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24226"/>
  <mc:AlternateContent xmlns:mc="http://schemas.openxmlformats.org/markup-compatibility/2006">
    <mc:Choice Requires="x15">
      <x15ac:absPath xmlns:x15ac="http://schemas.microsoft.com/office/spreadsheetml/2010/11/ac" url="C:\Users\3DFI\Desktop\"/>
    </mc:Choice>
  </mc:AlternateContent>
  <xr:revisionPtr revIDLastSave="0" documentId="8_{3275CBE9-861F-47BE-94BC-7B9138DB18E9}" xr6:coauthVersionLast="47" xr6:coauthVersionMax="47" xr10:uidLastSave="{00000000-0000-0000-0000-000000000000}"/>
  <workbookProtection workbookAlgorithmName="SHA-512" workbookHashValue="maDUVpI0HFMuRMQaZMQIpSWs7MIad7fLbkDBEk1FjF140NvAndgEc/5ZW0S4p19n2D2KKJsz0MYgWskFuYfDTg==" workbookSaltValue="56KtDRhDzSyd14mqxQWvkw==" workbookSpinCount="100000" lockStructure="1"/>
  <bookViews>
    <workbookView xWindow="-108" yWindow="-108" windowWidth="23256" windowHeight="12576" activeTab="2" xr2:uid="{00000000-000D-0000-FFFF-FFFF00000000}"/>
  </bookViews>
  <sheets>
    <sheet name="Guide d'utilisation" sheetId="3" r:id="rId1"/>
    <sheet name="Table médicament" sheetId="1" r:id="rId2"/>
    <sheet name="Étape 1 - à remplir" sheetId="2" r:id="rId3"/>
    <sheet name="Données_ATB" sheetId="12" state="hidden" r:id="rId4"/>
    <sheet name="MASQ2" sheetId="10" state="hidden" r:id="rId5"/>
    <sheet name="Etape 2 - par animal" sheetId="11" r:id="rId6"/>
    <sheet name="Etape 2 - par lot" sheetId="13" r:id="rId7"/>
    <sheet name="Etape 2 - par kg" sheetId="15" r:id="rId8"/>
  </sheets>
  <definedNames>
    <definedName name="_xlnm._FilterDatabase" localSheetId="3" hidden="1">Données_ATB!$A$2:$AW$1439</definedName>
    <definedName name="_xlnm._FilterDatabase" localSheetId="2" hidden="1">'Étape 1 - à remplir'!$B$30:$J$400</definedName>
    <definedName name="_xlnm._FilterDatabase" localSheetId="4" hidden="1">MASQ2!#REF!</definedName>
    <definedName name="_xlnm._FilterDatabase" localSheetId="1" hidden="1">'Table médicament'!$A$15:$C$375</definedName>
    <definedName name="age_a">MASQ2!$AV$31:$AV$41</definedName>
    <definedName name="age_kg">MASQ2!$FJ$31:$FJ$41</definedName>
    <definedName name="age_l">MASQ2!$DC$31:$DC$41</definedName>
    <definedName name="anim_annee">MASQ2!$AT$17:$AT$27</definedName>
    <definedName name="Animaux_Exploit">'Étape 1 - à remplir'!$L$18:$L$28</definedName>
    <definedName name="anmx_critique_medic">MASQ2!$M$4:$M$600</definedName>
    <definedName name="anmx_famille">MASQ2!$AQ$4:$AR$19</definedName>
    <definedName name="anmx_famille_nb">MASQ2!$AR$4:$AR$19</definedName>
    <definedName name="anmx_famille_nom">MASQ2!$AQ$4:$AQ$19</definedName>
    <definedName name="anmx_nb_maladie">MASQ2!$K$4:$K$23</definedName>
    <definedName name="anmx_nb_medic">MASQ2!$Q$4:$Q$600</definedName>
    <definedName name="anmx_nb_tri_medic">MASQ2!$AB$4:$AB$600</definedName>
    <definedName name="anmx_nb_voie">MASQ2!$AR$32:$AR$38</definedName>
    <definedName name="anmx_nom_maladie">MASQ2!$J$4:$J$23</definedName>
    <definedName name="anmx_nom_tri_medic">MASQ2!$AA$4:$AA$600</definedName>
    <definedName name="anmx_nom_voie">MASQ2!$AQ$32:$AQ$38</definedName>
    <definedName name="anmx_subst">MASQ2!$AI$4:$AJ$64</definedName>
    <definedName name="anmx_subst_nb">MASQ2!$AJ$4:$AJ$64</definedName>
    <definedName name="anmx_subst_nom">MASQ2!$AI$4:$AI$64</definedName>
    <definedName name="anmx_tri_maladie">MASQ2!$J$4:$K$23</definedName>
    <definedName name="anmx_tri_medic">MASQ2!$AA$4:$AB$600</definedName>
    <definedName name="anmx_tri_voie">MASQ2!$AQ$32:$AR$38</definedName>
    <definedName name="atelier_a">MASQ2!$AW$31:$AW$41</definedName>
    <definedName name="atelier_kg">MASQ2!$FK$31:$FK$41</definedName>
    <definedName name="atelier_l">MASQ2!$DD$31:$DD$41</definedName>
    <definedName name="d_animaux">'Étape 1 - à remplir'!$L$18</definedName>
    <definedName name="espece_a">MASQ2!$AX$31:$AX$41</definedName>
    <definedName name="espece_kg">MASQ2!$FL$31:$FL$41</definedName>
    <definedName name="espece_l">MASQ2!$DE$31:$DE$41</definedName>
    <definedName name="etape1">'Étape 1 - à remplir'!$A$2</definedName>
    <definedName name="Etape1Guide">'Guide d''utilisation'!$B$95:$I$107</definedName>
    <definedName name="etape1r">'Étape 1 - à remplir'!$A$1</definedName>
    <definedName name="etape2">'Etape 2 - par animal'!$B$6</definedName>
    <definedName name="Etape3Guide">'Guide d''utilisation'!$B$134</definedName>
    <definedName name="ExplicationE1">'Guide d''utilisation'!#REF!</definedName>
    <definedName name="groupe_a">MASQ2!$AU$31:$AU$41</definedName>
    <definedName name="groupe_kg">MASQ2!$FI$31:$FI$41</definedName>
    <definedName name="groupe_l">MASQ2!$DB$31:$DB$41</definedName>
    <definedName name="guide">'Guide d''utilisation'!$C$1</definedName>
    <definedName name="kg_critique_medic">MASQ2!$EA$4:$EA$600</definedName>
    <definedName name="kg_famille">MASQ2!$FE$4:$FF$19</definedName>
    <definedName name="kg_famille_nb">MASQ2!$FF$4:$FF$19</definedName>
    <definedName name="kg_famille_nom">MASQ2!$FE$4:$FE$19</definedName>
    <definedName name="kg_nb_medic">MASQ2!$EE$4:$EE$600</definedName>
    <definedName name="kg_nb_tri_maladie">MASQ2!$DY$4:$DY$23</definedName>
    <definedName name="kg_nb_tri_medic">MASQ2!$EP$4:$EP$600</definedName>
    <definedName name="kg_nb_tri_voie">MASQ2!$FF$32:$FF$38</definedName>
    <definedName name="kg_nom_tri_medic">MASQ2!$EO$4:$EO$600</definedName>
    <definedName name="kg_subst">MASQ2!$EW$4:$EX$64</definedName>
    <definedName name="kg_subst_nb">MASQ2!$EX$4:$EX$64</definedName>
    <definedName name="kg_subst_nom">MASQ2!$EW$4:$EW$64</definedName>
    <definedName name="kg_tri_maladie">MASQ2!$DX$4:$DY$23</definedName>
    <definedName name="kg_tri_medic">MASQ2!$EO$4:$EP$600</definedName>
    <definedName name="kg_tri_nom_maladie">MASQ2!$DX$4:$DX$23</definedName>
    <definedName name="kg_tri_nom_medic">MASQ2!$DX$4:$DX$23</definedName>
    <definedName name="kg_tri_nom_voie">MASQ2!$FE$32:$FE$38</definedName>
    <definedName name="kg_tri_voie">MASQ2!$FE$32:$FF$38</definedName>
    <definedName name="l_animaux">OFFSET(d_animaux,0,0,COUNTA(Animaux_Exploit),1)</definedName>
    <definedName name="L_groupe_anmx">MASQ2!$DB$31:$DB$41</definedName>
    <definedName name="l_noms">OFFSET(d_noms,0,0,COUNTA(c_noms),1)</definedName>
    <definedName name="lot_critique_medic">MASQ2!$BT$4:$BT$600</definedName>
    <definedName name="lot_famille">MASQ2!$CX$4:$CY$19</definedName>
    <definedName name="lot_famille_nb">MASQ2!$CY$4:$CY$19</definedName>
    <definedName name="lot_famille_nom">MASQ2!$CX$4:$CX$19</definedName>
    <definedName name="lot_maladie">MASQ2!$BQ$4:$BR$23</definedName>
    <definedName name="lot_nb_maladie">MASQ2!$BR$4:$BR$23</definedName>
    <definedName name="lot_nb_medic">MASQ2!$BX$4:$BX$600</definedName>
    <definedName name="lot_nb_tri_medic">MASQ2!$CI$4:$CI$600</definedName>
    <definedName name="lot_nb_voie">MASQ2!$CY$32:$CY$38</definedName>
    <definedName name="lot_nom_maladie">MASQ2!$BQ$4:$BQ$23</definedName>
    <definedName name="lot_nom_tri_medic">MASQ2!$CH$4:$CH$600</definedName>
    <definedName name="lot_nom_voie">MASQ2!$CX$32:$CX$38</definedName>
    <definedName name="lot_subst">MASQ2!$CP$4:$CQ$64</definedName>
    <definedName name="lot_subst_nb">MASQ2!$CQ$4:$CQ$64</definedName>
    <definedName name="lot_subst_nom">MASQ2!$CP$4:$CP$64</definedName>
    <definedName name="lot_tri_medic">MASQ2!$CH$4:$CI$600</definedName>
    <definedName name="lot_voie">MASQ2!$CX$32:$CY$38</definedName>
    <definedName name="Maladies">Données_ATB!$CG$3:$CG$22</definedName>
    <definedName name="Medicament">OFFSET(Données_ATB!$BD$3,,,COUNTA(Données_ATB!XFD$3:XFD$1000),1)</definedName>
    <definedName name="MOIS">Données_ATB!$CI$3:$CI$14</definedName>
    <definedName name="MOIS_TOTAL">Données_ATB!$CI$3:$CI$26</definedName>
    <definedName name="nb">Données_ATB!$CN$2:$CN$10001</definedName>
    <definedName name="UGB_crititque_medic">MASQ2!#REF!</definedName>
    <definedName name="UGB_famille">MASQ2!#REF!</definedName>
    <definedName name="UGB_famille_nb">MASQ2!#REF!</definedName>
    <definedName name="UGB_famille_nom">MASQ2!#REF!</definedName>
    <definedName name="UGB_nb_medic">MASQ2!#REF!</definedName>
    <definedName name="UGB_nb_tri_medic">MASQ2!#REF!</definedName>
    <definedName name="UGB_nom_tri_medic">MASQ2!#REF!</definedName>
    <definedName name="UGB_subst">MASQ2!#REF!</definedName>
    <definedName name="UGB_subst_nb">MASQ2!#REF!</definedName>
    <definedName name="UGB_subst_nom">MASQ2!#REF!</definedName>
    <definedName name="UGB_tri_medic">MASQ2!#REF!</definedName>
    <definedName name="_xlnm.Print_Area" localSheetId="2">'Étape 1 - à remplir'!$A$1:$J$133</definedName>
    <definedName name="_xlnm.Print_Area" localSheetId="5">'Etape 2 - par animal'!$A$1:$S$112</definedName>
    <definedName name="_xlnm.Print_Area" localSheetId="6">'Etape 2 - par lot'!$A$1:$S$114</definedName>
    <definedName name="_xlnm.Print_Area" localSheetId="0">'Guide d''utilisation'!$B$1:$I$151</definedName>
    <definedName name="_xlnm.Print_Area" localSheetId="1">'Table médicament'!$A$1:$C$514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10" i="11" l="1"/>
  <c r="X3" i="10"/>
  <c r="X2" i="10"/>
  <c r="L19" i="2"/>
  <c r="DP4" i="10" s="1"/>
  <c r="DQ4" i="10" s="1"/>
  <c r="DR4" i="10" s="1"/>
  <c r="DO4" i="10" s="1"/>
  <c r="L20" i="2"/>
  <c r="BI5" i="10" s="1"/>
  <c r="BJ5" i="10" s="1"/>
  <c r="BK5" i="10" s="1"/>
  <c r="BH5" i="10" s="1"/>
  <c r="L21" i="2"/>
  <c r="L22" i="2"/>
  <c r="L23" i="2"/>
  <c r="L24" i="2"/>
  <c r="G45" i="2"/>
  <c r="G47" i="2"/>
  <c r="G50" i="2"/>
  <c r="G51" i="2"/>
  <c r="K51" i="2" s="1"/>
  <c r="G33" i="2"/>
  <c r="G37" i="2"/>
  <c r="G42" i="2"/>
  <c r="K42" i="2" s="1"/>
  <c r="G49" i="2"/>
  <c r="G31" i="2"/>
  <c r="G32" i="2"/>
  <c r="G34" i="2"/>
  <c r="G35" i="2"/>
  <c r="K35" i="2" s="1"/>
  <c r="G36" i="2"/>
  <c r="K36" i="2" s="1"/>
  <c r="G38" i="2"/>
  <c r="K38" i="2" s="1"/>
  <c r="G39" i="2"/>
  <c r="K39" i="2" s="1"/>
  <c r="G40" i="2"/>
  <c r="G41" i="2"/>
  <c r="G43" i="2"/>
  <c r="G44" i="2"/>
  <c r="K44" i="2" s="1"/>
  <c r="G46" i="2"/>
  <c r="K46" i="2" s="1"/>
  <c r="G48" i="2"/>
  <c r="K48" i="2" s="1"/>
  <c r="G52" i="2"/>
  <c r="K52" i="2" s="1"/>
  <c r="G53" i="2"/>
  <c r="K53" i="2" s="1"/>
  <c r="G54" i="2"/>
  <c r="G55" i="2"/>
  <c r="G56" i="2"/>
  <c r="G57" i="2"/>
  <c r="K57" i="2" s="1"/>
  <c r="G58" i="2"/>
  <c r="K58" i="2" s="1"/>
  <c r="G59" i="2"/>
  <c r="K59" i="2" s="1"/>
  <c r="G60" i="2"/>
  <c r="K60" i="2" s="1"/>
  <c r="G61" i="2"/>
  <c r="K61" i="2" s="1"/>
  <c r="G62" i="2"/>
  <c r="G63" i="2"/>
  <c r="G64" i="2"/>
  <c r="G65" i="2"/>
  <c r="G66" i="2"/>
  <c r="K66" i="2" s="1"/>
  <c r="G67" i="2"/>
  <c r="K67" i="2" s="1"/>
  <c r="G68" i="2"/>
  <c r="K68" i="2" s="1"/>
  <c r="G69" i="2"/>
  <c r="K69" i="2" s="1"/>
  <c r="G70" i="2"/>
  <c r="G71" i="2"/>
  <c r="G72" i="2"/>
  <c r="G73" i="2"/>
  <c r="K73" i="2" s="1"/>
  <c r="G74" i="2"/>
  <c r="K74" i="2" s="1"/>
  <c r="G75" i="2"/>
  <c r="K75" i="2" s="1"/>
  <c r="G76" i="2"/>
  <c r="K76" i="2" s="1"/>
  <c r="G77" i="2"/>
  <c r="K77" i="2" s="1"/>
  <c r="G78" i="2"/>
  <c r="G79" i="2"/>
  <c r="G80" i="2"/>
  <c r="G81" i="2"/>
  <c r="G82" i="2"/>
  <c r="K82" i="2" s="1"/>
  <c r="G83" i="2"/>
  <c r="K83" i="2" s="1"/>
  <c r="G84" i="2"/>
  <c r="K84" i="2" s="1"/>
  <c r="G85" i="2"/>
  <c r="K85" i="2" s="1"/>
  <c r="G86" i="2"/>
  <c r="G87" i="2"/>
  <c r="G88" i="2"/>
  <c r="G89" i="2"/>
  <c r="K89" i="2" s="1"/>
  <c r="G90" i="2"/>
  <c r="K90" i="2" s="1"/>
  <c r="G91" i="2"/>
  <c r="K91" i="2" s="1"/>
  <c r="G92" i="2"/>
  <c r="K92" i="2" s="1"/>
  <c r="G93" i="2"/>
  <c r="K93" i="2" s="1"/>
  <c r="G94" i="2"/>
  <c r="G95" i="2"/>
  <c r="G96" i="2"/>
  <c r="G97" i="2"/>
  <c r="G98" i="2"/>
  <c r="K98" i="2" s="1"/>
  <c r="G99" i="2"/>
  <c r="K99" i="2" s="1"/>
  <c r="G100" i="2"/>
  <c r="K100" i="2" s="1"/>
  <c r="G101" i="2"/>
  <c r="K101" i="2" s="1"/>
  <c r="G102" i="2"/>
  <c r="G103" i="2"/>
  <c r="G104" i="2"/>
  <c r="G105" i="2"/>
  <c r="K105" i="2" s="1"/>
  <c r="G106" i="2"/>
  <c r="K106" i="2" s="1"/>
  <c r="G107" i="2"/>
  <c r="K107" i="2" s="1"/>
  <c r="G108" i="2"/>
  <c r="K108" i="2" s="1"/>
  <c r="G109" i="2"/>
  <c r="K109" i="2" s="1"/>
  <c r="G110" i="2"/>
  <c r="G111" i="2"/>
  <c r="G112" i="2"/>
  <c r="G113" i="2"/>
  <c r="G114" i="2"/>
  <c r="K114" i="2" s="1"/>
  <c r="G115" i="2"/>
  <c r="K115" i="2" s="1"/>
  <c r="G116" i="2"/>
  <c r="K116" i="2" s="1"/>
  <c r="G117" i="2"/>
  <c r="K117" i="2" s="1"/>
  <c r="G118" i="2"/>
  <c r="G119" i="2"/>
  <c r="G120" i="2"/>
  <c r="G121" i="2"/>
  <c r="K121" i="2" s="1"/>
  <c r="G122" i="2"/>
  <c r="K122" i="2" s="1"/>
  <c r="G123" i="2"/>
  <c r="K123" i="2" s="1"/>
  <c r="G124" i="2"/>
  <c r="K124" i="2" s="1"/>
  <c r="G125" i="2"/>
  <c r="K125" i="2" s="1"/>
  <c r="G126" i="2"/>
  <c r="G127" i="2"/>
  <c r="G128" i="2"/>
  <c r="G129" i="2"/>
  <c r="G130" i="2"/>
  <c r="K130" i="2" s="1"/>
  <c r="G131" i="2"/>
  <c r="K131" i="2" s="1"/>
  <c r="G132" i="2"/>
  <c r="K132" i="2" s="1"/>
  <c r="G133" i="2"/>
  <c r="K133" i="2" s="1"/>
  <c r="G134" i="2"/>
  <c r="G135" i="2"/>
  <c r="G136" i="2"/>
  <c r="G137" i="2"/>
  <c r="K137" i="2" s="1"/>
  <c r="G138" i="2"/>
  <c r="K138" i="2" s="1"/>
  <c r="G139" i="2"/>
  <c r="K139" i="2" s="1"/>
  <c r="G140" i="2"/>
  <c r="K140" i="2" s="1"/>
  <c r="G141" i="2"/>
  <c r="K141" i="2" s="1"/>
  <c r="G142" i="2"/>
  <c r="G143" i="2"/>
  <c r="G144" i="2"/>
  <c r="G145" i="2"/>
  <c r="G146" i="2"/>
  <c r="K146" i="2" s="1"/>
  <c r="G147" i="2"/>
  <c r="K147" i="2" s="1"/>
  <c r="G148" i="2"/>
  <c r="K148" i="2" s="1"/>
  <c r="G149" i="2"/>
  <c r="K149" i="2" s="1"/>
  <c r="G150" i="2"/>
  <c r="G151" i="2"/>
  <c r="G152" i="2"/>
  <c r="G153" i="2"/>
  <c r="K153" i="2" s="1"/>
  <c r="G154" i="2"/>
  <c r="K154" i="2" s="1"/>
  <c r="G155" i="2"/>
  <c r="K155" i="2" s="1"/>
  <c r="G156" i="2"/>
  <c r="K156" i="2" s="1"/>
  <c r="G157" i="2"/>
  <c r="K157" i="2" s="1"/>
  <c r="G158" i="2"/>
  <c r="G159" i="2"/>
  <c r="G160" i="2"/>
  <c r="G161" i="2"/>
  <c r="G162" i="2"/>
  <c r="K162" i="2" s="1"/>
  <c r="G163" i="2"/>
  <c r="K163" i="2" s="1"/>
  <c r="G164" i="2"/>
  <c r="K164" i="2" s="1"/>
  <c r="G165" i="2"/>
  <c r="K165" i="2" s="1"/>
  <c r="G166" i="2"/>
  <c r="G167" i="2"/>
  <c r="G168" i="2"/>
  <c r="G169" i="2"/>
  <c r="K169" i="2" s="1"/>
  <c r="G170" i="2"/>
  <c r="K170" i="2" s="1"/>
  <c r="G171" i="2"/>
  <c r="K171" i="2" s="1"/>
  <c r="G172" i="2"/>
  <c r="K172" i="2" s="1"/>
  <c r="G173" i="2"/>
  <c r="K173" i="2" s="1"/>
  <c r="G174" i="2"/>
  <c r="G175" i="2"/>
  <c r="G176" i="2"/>
  <c r="G177" i="2"/>
  <c r="G178" i="2"/>
  <c r="K178" i="2" s="1"/>
  <c r="G179" i="2"/>
  <c r="K179" i="2" s="1"/>
  <c r="G180" i="2"/>
  <c r="K180" i="2" s="1"/>
  <c r="G181" i="2"/>
  <c r="K181" i="2" s="1"/>
  <c r="G182" i="2"/>
  <c r="G183" i="2"/>
  <c r="G184" i="2"/>
  <c r="G185" i="2"/>
  <c r="K185" i="2" s="1"/>
  <c r="G186" i="2"/>
  <c r="K186" i="2" s="1"/>
  <c r="G187" i="2"/>
  <c r="K187" i="2" s="1"/>
  <c r="G188" i="2"/>
  <c r="K188" i="2" s="1"/>
  <c r="G189" i="2"/>
  <c r="K189" i="2" s="1"/>
  <c r="G190" i="2"/>
  <c r="G191" i="2"/>
  <c r="G192" i="2"/>
  <c r="G193" i="2"/>
  <c r="G194" i="2"/>
  <c r="K194" i="2" s="1"/>
  <c r="G195" i="2"/>
  <c r="K195" i="2" s="1"/>
  <c r="G196" i="2"/>
  <c r="K196" i="2" s="1"/>
  <c r="G197" i="2"/>
  <c r="K197" i="2" s="1"/>
  <c r="G198" i="2"/>
  <c r="G199" i="2"/>
  <c r="G200" i="2"/>
  <c r="G201" i="2"/>
  <c r="K201" i="2" s="1"/>
  <c r="G202" i="2"/>
  <c r="K202" i="2" s="1"/>
  <c r="G203" i="2"/>
  <c r="K203" i="2" s="1"/>
  <c r="G204" i="2"/>
  <c r="K204" i="2" s="1"/>
  <c r="G205" i="2"/>
  <c r="K205" i="2" s="1"/>
  <c r="G206" i="2"/>
  <c r="G207" i="2"/>
  <c r="G208" i="2"/>
  <c r="G209" i="2"/>
  <c r="G210" i="2"/>
  <c r="K210" i="2" s="1"/>
  <c r="G211" i="2"/>
  <c r="K211" i="2" s="1"/>
  <c r="G212" i="2"/>
  <c r="K212" i="2" s="1"/>
  <c r="G213" i="2"/>
  <c r="K213" i="2" s="1"/>
  <c r="G214" i="2"/>
  <c r="G215" i="2"/>
  <c r="G216" i="2"/>
  <c r="G217" i="2"/>
  <c r="K217" i="2" s="1"/>
  <c r="G218" i="2"/>
  <c r="K218" i="2" s="1"/>
  <c r="G219" i="2"/>
  <c r="K219" i="2" s="1"/>
  <c r="G220" i="2"/>
  <c r="K220" i="2" s="1"/>
  <c r="G221" i="2"/>
  <c r="K221" i="2" s="1"/>
  <c r="G222" i="2"/>
  <c r="G223" i="2"/>
  <c r="G224" i="2"/>
  <c r="G225" i="2"/>
  <c r="G226" i="2"/>
  <c r="K226" i="2" s="1"/>
  <c r="G227" i="2"/>
  <c r="K227" i="2" s="1"/>
  <c r="G228" i="2"/>
  <c r="K228" i="2" s="1"/>
  <c r="G229" i="2"/>
  <c r="K229" i="2" s="1"/>
  <c r="G230" i="2"/>
  <c r="G231" i="2"/>
  <c r="G232" i="2"/>
  <c r="G233" i="2"/>
  <c r="K233" i="2" s="1"/>
  <c r="G234" i="2"/>
  <c r="K234" i="2" s="1"/>
  <c r="G235" i="2"/>
  <c r="K235" i="2" s="1"/>
  <c r="G236" i="2"/>
  <c r="K236" i="2" s="1"/>
  <c r="G237" i="2"/>
  <c r="K237" i="2" s="1"/>
  <c r="G238" i="2"/>
  <c r="G239" i="2"/>
  <c r="G240" i="2"/>
  <c r="G241" i="2"/>
  <c r="G242" i="2"/>
  <c r="K242" i="2" s="1"/>
  <c r="G243" i="2"/>
  <c r="K243" i="2" s="1"/>
  <c r="G244" i="2"/>
  <c r="K244" i="2" s="1"/>
  <c r="G245" i="2"/>
  <c r="K245" i="2" s="1"/>
  <c r="G246" i="2"/>
  <c r="G247" i="2"/>
  <c r="G248" i="2"/>
  <c r="G249" i="2"/>
  <c r="K249" i="2" s="1"/>
  <c r="G250" i="2"/>
  <c r="K250" i="2" s="1"/>
  <c r="G251" i="2"/>
  <c r="K251" i="2" s="1"/>
  <c r="G252" i="2"/>
  <c r="K252" i="2" s="1"/>
  <c r="G253" i="2"/>
  <c r="K253" i="2" s="1"/>
  <c r="G254" i="2"/>
  <c r="G255" i="2"/>
  <c r="G256" i="2"/>
  <c r="G257" i="2"/>
  <c r="G258" i="2"/>
  <c r="K258" i="2" s="1"/>
  <c r="G259" i="2"/>
  <c r="K259" i="2" s="1"/>
  <c r="G260" i="2"/>
  <c r="K260" i="2" s="1"/>
  <c r="G261" i="2"/>
  <c r="K261" i="2" s="1"/>
  <c r="G262" i="2"/>
  <c r="G263" i="2"/>
  <c r="G264" i="2"/>
  <c r="G265" i="2"/>
  <c r="K265" i="2" s="1"/>
  <c r="G266" i="2"/>
  <c r="K266" i="2" s="1"/>
  <c r="G267" i="2"/>
  <c r="K267" i="2" s="1"/>
  <c r="G268" i="2"/>
  <c r="K268" i="2" s="1"/>
  <c r="G269" i="2"/>
  <c r="K269" i="2" s="1"/>
  <c r="G270" i="2"/>
  <c r="G271" i="2"/>
  <c r="G272" i="2"/>
  <c r="G273" i="2"/>
  <c r="G274" i="2"/>
  <c r="K274" i="2" s="1"/>
  <c r="G275" i="2"/>
  <c r="K275" i="2" s="1"/>
  <c r="G276" i="2"/>
  <c r="K276" i="2" s="1"/>
  <c r="G277" i="2"/>
  <c r="K277" i="2" s="1"/>
  <c r="G278" i="2"/>
  <c r="G279" i="2"/>
  <c r="G280" i="2"/>
  <c r="G281" i="2"/>
  <c r="K281" i="2" s="1"/>
  <c r="G282" i="2"/>
  <c r="K282" i="2" s="1"/>
  <c r="G283" i="2"/>
  <c r="K283" i="2" s="1"/>
  <c r="G284" i="2"/>
  <c r="K284" i="2" s="1"/>
  <c r="G285" i="2"/>
  <c r="K285" i="2" s="1"/>
  <c r="G286" i="2"/>
  <c r="G287" i="2"/>
  <c r="G288" i="2"/>
  <c r="G289" i="2"/>
  <c r="G290" i="2"/>
  <c r="K290" i="2" s="1"/>
  <c r="G291" i="2"/>
  <c r="K291" i="2" s="1"/>
  <c r="G292" i="2"/>
  <c r="K292" i="2" s="1"/>
  <c r="G293" i="2"/>
  <c r="K293" i="2" s="1"/>
  <c r="G294" i="2"/>
  <c r="G295" i="2"/>
  <c r="G296" i="2"/>
  <c r="G297" i="2"/>
  <c r="K297" i="2" s="1"/>
  <c r="G298" i="2"/>
  <c r="K298" i="2" s="1"/>
  <c r="G299" i="2"/>
  <c r="K299" i="2" s="1"/>
  <c r="G300" i="2"/>
  <c r="K300" i="2" s="1"/>
  <c r="G301" i="2"/>
  <c r="K301" i="2" s="1"/>
  <c r="G302" i="2"/>
  <c r="G303" i="2"/>
  <c r="G304" i="2"/>
  <c r="G305" i="2"/>
  <c r="G306" i="2"/>
  <c r="K306" i="2" s="1"/>
  <c r="G307" i="2"/>
  <c r="K307" i="2" s="1"/>
  <c r="G308" i="2"/>
  <c r="K308" i="2" s="1"/>
  <c r="G309" i="2"/>
  <c r="K309" i="2" s="1"/>
  <c r="G310" i="2"/>
  <c r="G311" i="2"/>
  <c r="G312" i="2"/>
  <c r="G313" i="2"/>
  <c r="K313" i="2" s="1"/>
  <c r="G314" i="2"/>
  <c r="K314" i="2" s="1"/>
  <c r="G315" i="2"/>
  <c r="K315" i="2" s="1"/>
  <c r="G316" i="2"/>
  <c r="K316" i="2" s="1"/>
  <c r="G317" i="2"/>
  <c r="K317" i="2" s="1"/>
  <c r="G318" i="2"/>
  <c r="G319" i="2"/>
  <c r="G320" i="2"/>
  <c r="G321" i="2"/>
  <c r="G322" i="2"/>
  <c r="K322" i="2" s="1"/>
  <c r="G323" i="2"/>
  <c r="K323" i="2" s="1"/>
  <c r="G324" i="2"/>
  <c r="K324" i="2" s="1"/>
  <c r="G325" i="2"/>
  <c r="K325" i="2" s="1"/>
  <c r="G326" i="2"/>
  <c r="G327" i="2"/>
  <c r="G328" i="2"/>
  <c r="G329" i="2"/>
  <c r="K329" i="2" s="1"/>
  <c r="G330" i="2"/>
  <c r="K330" i="2" s="1"/>
  <c r="G331" i="2"/>
  <c r="K331" i="2" s="1"/>
  <c r="G332" i="2"/>
  <c r="K332" i="2" s="1"/>
  <c r="G333" i="2"/>
  <c r="K333" i="2" s="1"/>
  <c r="G334" i="2"/>
  <c r="G335" i="2"/>
  <c r="G336" i="2"/>
  <c r="G337" i="2"/>
  <c r="G338" i="2"/>
  <c r="K338" i="2" s="1"/>
  <c r="G339" i="2"/>
  <c r="K339" i="2" s="1"/>
  <c r="G340" i="2"/>
  <c r="K340" i="2" s="1"/>
  <c r="G341" i="2"/>
  <c r="K341" i="2" s="1"/>
  <c r="G342" i="2"/>
  <c r="G343" i="2"/>
  <c r="G344" i="2"/>
  <c r="G345" i="2"/>
  <c r="K345" i="2" s="1"/>
  <c r="G346" i="2"/>
  <c r="K346" i="2" s="1"/>
  <c r="G347" i="2"/>
  <c r="K347" i="2" s="1"/>
  <c r="G348" i="2"/>
  <c r="K348" i="2" s="1"/>
  <c r="G349" i="2"/>
  <c r="K349" i="2" s="1"/>
  <c r="G350" i="2"/>
  <c r="G351" i="2"/>
  <c r="G352" i="2"/>
  <c r="G353" i="2"/>
  <c r="G354" i="2"/>
  <c r="K354" i="2" s="1"/>
  <c r="G355" i="2"/>
  <c r="K355" i="2" s="1"/>
  <c r="G356" i="2"/>
  <c r="K356" i="2" s="1"/>
  <c r="G357" i="2"/>
  <c r="K357" i="2" s="1"/>
  <c r="G358" i="2"/>
  <c r="G359" i="2"/>
  <c r="G360" i="2"/>
  <c r="G361" i="2"/>
  <c r="K361" i="2" s="1"/>
  <c r="G362" i="2"/>
  <c r="K362" i="2" s="1"/>
  <c r="G363" i="2"/>
  <c r="K363" i="2" s="1"/>
  <c r="G364" i="2"/>
  <c r="K364" i="2" s="1"/>
  <c r="G365" i="2"/>
  <c r="K365" i="2" s="1"/>
  <c r="G366" i="2"/>
  <c r="G367" i="2"/>
  <c r="G368" i="2"/>
  <c r="G369" i="2"/>
  <c r="G370" i="2"/>
  <c r="K370" i="2" s="1"/>
  <c r="G371" i="2"/>
  <c r="K371" i="2" s="1"/>
  <c r="G372" i="2"/>
  <c r="K372" i="2" s="1"/>
  <c r="G373" i="2"/>
  <c r="K373" i="2" s="1"/>
  <c r="G374" i="2"/>
  <c r="G375" i="2"/>
  <c r="G376" i="2"/>
  <c r="G377" i="2"/>
  <c r="K377" i="2" s="1"/>
  <c r="G378" i="2"/>
  <c r="K378" i="2" s="1"/>
  <c r="G379" i="2"/>
  <c r="K379" i="2" s="1"/>
  <c r="G380" i="2"/>
  <c r="K380" i="2" s="1"/>
  <c r="G381" i="2"/>
  <c r="K381" i="2" s="1"/>
  <c r="G382" i="2"/>
  <c r="G383" i="2"/>
  <c r="G384" i="2"/>
  <c r="G385" i="2"/>
  <c r="G386" i="2"/>
  <c r="K386" i="2" s="1"/>
  <c r="G387" i="2"/>
  <c r="K387" i="2" s="1"/>
  <c r="G388" i="2"/>
  <c r="K388" i="2" s="1"/>
  <c r="G389" i="2"/>
  <c r="K389" i="2" s="1"/>
  <c r="G390" i="2"/>
  <c r="G391" i="2"/>
  <c r="G392" i="2"/>
  <c r="G393" i="2"/>
  <c r="K393" i="2" s="1"/>
  <c r="G394" i="2"/>
  <c r="K394" i="2" s="1"/>
  <c r="G395" i="2"/>
  <c r="K395" i="2" s="1"/>
  <c r="G396" i="2"/>
  <c r="K396" i="2" s="1"/>
  <c r="G397" i="2"/>
  <c r="K397" i="2" s="1"/>
  <c r="G398" i="2"/>
  <c r="G399" i="2"/>
  <c r="G400" i="2"/>
  <c r="AY3" i="12"/>
  <c r="AY4" i="12"/>
  <c r="AY5" i="12"/>
  <c r="AY6" i="12"/>
  <c r="AY7" i="12"/>
  <c r="AY8" i="12"/>
  <c r="AY9" i="12"/>
  <c r="AY10" i="12"/>
  <c r="AY11" i="12"/>
  <c r="AY12" i="12"/>
  <c r="AY13" i="12"/>
  <c r="AY14" i="12"/>
  <c r="AY15" i="12"/>
  <c r="AY16" i="12"/>
  <c r="AY17" i="12"/>
  <c r="AY18" i="12"/>
  <c r="AY19" i="12"/>
  <c r="AY20" i="12"/>
  <c r="AY21" i="12"/>
  <c r="AY22" i="12"/>
  <c r="AY23" i="12"/>
  <c r="AY24" i="12"/>
  <c r="AY25" i="12"/>
  <c r="AY26" i="12"/>
  <c r="AY27" i="12"/>
  <c r="AY28" i="12"/>
  <c r="AY29" i="12"/>
  <c r="AY30" i="12"/>
  <c r="AY31" i="12"/>
  <c r="AY32" i="12"/>
  <c r="AY33" i="12"/>
  <c r="AY34" i="12"/>
  <c r="AY35" i="12"/>
  <c r="AY36" i="12"/>
  <c r="AY37" i="12"/>
  <c r="AY38" i="12"/>
  <c r="AY39" i="12"/>
  <c r="AY40" i="12"/>
  <c r="AY41" i="12"/>
  <c r="AY42" i="12"/>
  <c r="AY43" i="12"/>
  <c r="AY44" i="12"/>
  <c r="AY45" i="12"/>
  <c r="AY46" i="12"/>
  <c r="AY47" i="12"/>
  <c r="AY48" i="12"/>
  <c r="AY49" i="12"/>
  <c r="AY50" i="12"/>
  <c r="AY51" i="12"/>
  <c r="AY52" i="12"/>
  <c r="AY53" i="12"/>
  <c r="AY54" i="12"/>
  <c r="AY55" i="12"/>
  <c r="AY56" i="12"/>
  <c r="AY57" i="12"/>
  <c r="AY58" i="12"/>
  <c r="AY59" i="12"/>
  <c r="AY60" i="12"/>
  <c r="AY61" i="12"/>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Y101" i="12"/>
  <c r="AY102" i="12"/>
  <c r="AY103" i="12"/>
  <c r="AY104" i="12"/>
  <c r="AY105" i="12"/>
  <c r="AY106" i="12"/>
  <c r="AY107" i="12"/>
  <c r="AY108" i="12"/>
  <c r="AY109" i="12"/>
  <c r="AY110" i="12"/>
  <c r="AY111" i="12"/>
  <c r="AY112" i="12"/>
  <c r="AY113" i="12"/>
  <c r="AY114" i="12"/>
  <c r="AY115" i="12"/>
  <c r="AY116" i="12"/>
  <c r="AY117" i="12"/>
  <c r="AY118" i="12"/>
  <c r="AY119" i="12"/>
  <c r="AY120" i="12"/>
  <c r="AY121" i="12"/>
  <c r="AY122" i="12"/>
  <c r="AY123" i="12"/>
  <c r="AY124" i="12"/>
  <c r="AY125" i="12"/>
  <c r="AY126" i="12"/>
  <c r="AY127" i="12"/>
  <c r="AY128" i="12"/>
  <c r="AY129" i="12"/>
  <c r="AY130" i="12"/>
  <c r="AY131" i="12"/>
  <c r="AY132" i="12"/>
  <c r="AY133" i="12"/>
  <c r="AY134" i="12"/>
  <c r="AY135" i="12"/>
  <c r="AY136" i="12"/>
  <c r="AY137" i="12"/>
  <c r="AY138" i="12"/>
  <c r="AY139" i="12"/>
  <c r="AY140" i="12"/>
  <c r="AY141" i="12"/>
  <c r="AY142" i="12"/>
  <c r="AY143" i="12"/>
  <c r="AY144" i="12"/>
  <c r="AY145" i="12"/>
  <c r="AY146" i="12"/>
  <c r="AY147" i="12"/>
  <c r="AY148" i="12"/>
  <c r="AY149" i="12"/>
  <c r="AY150" i="12"/>
  <c r="AY151" i="12"/>
  <c r="AY152" i="12"/>
  <c r="AY153" i="12"/>
  <c r="AY154" i="12"/>
  <c r="AY155" i="12"/>
  <c r="AY156" i="12"/>
  <c r="AY157" i="12"/>
  <c r="AY158" i="12"/>
  <c r="AY159" i="12"/>
  <c r="AY160" i="12"/>
  <c r="AY161" i="12"/>
  <c r="AY162" i="12"/>
  <c r="AY163" i="12"/>
  <c r="AY164" i="12"/>
  <c r="AY165" i="12"/>
  <c r="AY166" i="12"/>
  <c r="AY167" i="12"/>
  <c r="AY168" i="12"/>
  <c r="AY169" i="12"/>
  <c r="AY170" i="12"/>
  <c r="AY171" i="12"/>
  <c r="AY172" i="12"/>
  <c r="AY173" i="12"/>
  <c r="AY174" i="12"/>
  <c r="AY175" i="12"/>
  <c r="AY176" i="12"/>
  <c r="AY177" i="12"/>
  <c r="AY178" i="12"/>
  <c r="AY179" i="12"/>
  <c r="AY180" i="12"/>
  <c r="AY181" i="12"/>
  <c r="AY182" i="12"/>
  <c r="AY183" i="12"/>
  <c r="AY184" i="12"/>
  <c r="AY185" i="12"/>
  <c r="AY186" i="12"/>
  <c r="AY187" i="12"/>
  <c r="AY188" i="12"/>
  <c r="AY189" i="12"/>
  <c r="AY190" i="12"/>
  <c r="AY191" i="12"/>
  <c r="AY192" i="12"/>
  <c r="AY193" i="12"/>
  <c r="AY194" i="12"/>
  <c r="AY195" i="12"/>
  <c r="AY196" i="12"/>
  <c r="AY197" i="12"/>
  <c r="AY198" i="12"/>
  <c r="AY199" i="12"/>
  <c r="AY200" i="12"/>
  <c r="AY201" i="12"/>
  <c r="AY202" i="12"/>
  <c r="AY203" i="12"/>
  <c r="AY204" i="12"/>
  <c r="AY205" i="12"/>
  <c r="AY206" i="12"/>
  <c r="AY207" i="12"/>
  <c r="AY208" i="12"/>
  <c r="AY209" i="12"/>
  <c r="AY210" i="12"/>
  <c r="AY211" i="12"/>
  <c r="AY212" i="12"/>
  <c r="AY213" i="12"/>
  <c r="AY214" i="12"/>
  <c r="AY215" i="12"/>
  <c r="AY216" i="12"/>
  <c r="AY217" i="12"/>
  <c r="AY218" i="12"/>
  <c r="AY219" i="12"/>
  <c r="AY220" i="12"/>
  <c r="AY221" i="12"/>
  <c r="AY222" i="12"/>
  <c r="AY223" i="12"/>
  <c r="AY224" i="12"/>
  <c r="AY225" i="12"/>
  <c r="AY226" i="12"/>
  <c r="AY227" i="12"/>
  <c r="AY228" i="12"/>
  <c r="AY229" i="12"/>
  <c r="AY230" i="12"/>
  <c r="AY231" i="12"/>
  <c r="AY232" i="12"/>
  <c r="AY233" i="12"/>
  <c r="AY234" i="12"/>
  <c r="AY235" i="12"/>
  <c r="AY236" i="12"/>
  <c r="AY237" i="12"/>
  <c r="AY238" i="12"/>
  <c r="AY239" i="12"/>
  <c r="AY240" i="12"/>
  <c r="AY241" i="12"/>
  <c r="AY242" i="12"/>
  <c r="AY243" i="12"/>
  <c r="AY244" i="12"/>
  <c r="AY245" i="12"/>
  <c r="AY246" i="12"/>
  <c r="AY247" i="12"/>
  <c r="AY248" i="12"/>
  <c r="AY249" i="12"/>
  <c r="AY250" i="12"/>
  <c r="AY251" i="12"/>
  <c r="AY252" i="12"/>
  <c r="AY253" i="12"/>
  <c r="AY254" i="12"/>
  <c r="AY255" i="12"/>
  <c r="AY256" i="12"/>
  <c r="AY257" i="12"/>
  <c r="AY258" i="12"/>
  <c r="AY259" i="12"/>
  <c r="AY260" i="12"/>
  <c r="AY261" i="12"/>
  <c r="AY262" i="12"/>
  <c r="AY263" i="12"/>
  <c r="AY264" i="12"/>
  <c r="AY265" i="12"/>
  <c r="AY266" i="12"/>
  <c r="AY267" i="12"/>
  <c r="AY268" i="12"/>
  <c r="AY269" i="12"/>
  <c r="AY270" i="12"/>
  <c r="AY271" i="12"/>
  <c r="AY272" i="12"/>
  <c r="AY273" i="12"/>
  <c r="AY274" i="12"/>
  <c r="AY275" i="12"/>
  <c r="AY276" i="12"/>
  <c r="AY277" i="12"/>
  <c r="AY278" i="12"/>
  <c r="AY279" i="12"/>
  <c r="AY280" i="12"/>
  <c r="AY281" i="12"/>
  <c r="AY282" i="12"/>
  <c r="AY283" i="12"/>
  <c r="AY284" i="12"/>
  <c r="AY285" i="12"/>
  <c r="AY286" i="12"/>
  <c r="AY287" i="12"/>
  <c r="AY288" i="12"/>
  <c r="AY289" i="12"/>
  <c r="AY290" i="12"/>
  <c r="AY291" i="12"/>
  <c r="AY292" i="12"/>
  <c r="AY293" i="12"/>
  <c r="AY294" i="12"/>
  <c r="AY295" i="12"/>
  <c r="AY296" i="12"/>
  <c r="AY297" i="12"/>
  <c r="AY298" i="12"/>
  <c r="AY299" i="12"/>
  <c r="AY300" i="12"/>
  <c r="AY301" i="12"/>
  <c r="AY302" i="12"/>
  <c r="AY303" i="12"/>
  <c r="AY304" i="12"/>
  <c r="AY305" i="12"/>
  <c r="AY306" i="12"/>
  <c r="AY307" i="12"/>
  <c r="AY308" i="12"/>
  <c r="AY309" i="12"/>
  <c r="AY310" i="12"/>
  <c r="AY311" i="12"/>
  <c r="AY312" i="12"/>
  <c r="AY313" i="12"/>
  <c r="AY314" i="12"/>
  <c r="AY315" i="12"/>
  <c r="AY316" i="12"/>
  <c r="AY317" i="12"/>
  <c r="AY318" i="12"/>
  <c r="AY319" i="12"/>
  <c r="AY320" i="12"/>
  <c r="AY321" i="12"/>
  <c r="AY322" i="12"/>
  <c r="AY323" i="12"/>
  <c r="AY324" i="12"/>
  <c r="AY325" i="12"/>
  <c r="AY326" i="12"/>
  <c r="AY327" i="12"/>
  <c r="AY328" i="12"/>
  <c r="AY329" i="12"/>
  <c r="AY330" i="12"/>
  <c r="AY331" i="12"/>
  <c r="AY332" i="12"/>
  <c r="AY333" i="12"/>
  <c r="AY334" i="12"/>
  <c r="AY335" i="12"/>
  <c r="AY336" i="12"/>
  <c r="AY337" i="12"/>
  <c r="AY338" i="12"/>
  <c r="AY339" i="12"/>
  <c r="AY340" i="12"/>
  <c r="AY341" i="12"/>
  <c r="AY342" i="12"/>
  <c r="AY343" i="12"/>
  <c r="AY344" i="12"/>
  <c r="AY345" i="12"/>
  <c r="AY346" i="12"/>
  <c r="AY347" i="12"/>
  <c r="AY348" i="12"/>
  <c r="AY349" i="12"/>
  <c r="AY350" i="12"/>
  <c r="AY351" i="12"/>
  <c r="AY352" i="12"/>
  <c r="AY353" i="12"/>
  <c r="AY354" i="12"/>
  <c r="AY355" i="12"/>
  <c r="AY356" i="12"/>
  <c r="AY357" i="12"/>
  <c r="AY358" i="12"/>
  <c r="AY359" i="12"/>
  <c r="AY360" i="12"/>
  <c r="AY361" i="12"/>
  <c r="AY362" i="12"/>
  <c r="AY363" i="12"/>
  <c r="AY364" i="12"/>
  <c r="AY365" i="12"/>
  <c r="AY366" i="12"/>
  <c r="AY367" i="12"/>
  <c r="AY368" i="12"/>
  <c r="AY369" i="12"/>
  <c r="AY370" i="12"/>
  <c r="AY371" i="12"/>
  <c r="AY372" i="12"/>
  <c r="AY373" i="12"/>
  <c r="AY374" i="12"/>
  <c r="AY375" i="12"/>
  <c r="AY376" i="12"/>
  <c r="AY377" i="12"/>
  <c r="AY378" i="12"/>
  <c r="AY379" i="12"/>
  <c r="AY380" i="12"/>
  <c r="AY381" i="12"/>
  <c r="AY382" i="12"/>
  <c r="AY383" i="12"/>
  <c r="AY384" i="12"/>
  <c r="AY385" i="12"/>
  <c r="AY386" i="12"/>
  <c r="AY387" i="12"/>
  <c r="AY388" i="12"/>
  <c r="AY389" i="12"/>
  <c r="AY390" i="12"/>
  <c r="AY391" i="12"/>
  <c r="AY392" i="12"/>
  <c r="AY393" i="12"/>
  <c r="AY394" i="12"/>
  <c r="AY395" i="12"/>
  <c r="AY396" i="12"/>
  <c r="AY397" i="12"/>
  <c r="AY398" i="12"/>
  <c r="AY399" i="12"/>
  <c r="AY400" i="12"/>
  <c r="AY401" i="12"/>
  <c r="AY402" i="12"/>
  <c r="AY403" i="12"/>
  <c r="AY404" i="12"/>
  <c r="AY405" i="12"/>
  <c r="AY406" i="12"/>
  <c r="AY407" i="12"/>
  <c r="AY408" i="12"/>
  <c r="AY409" i="12"/>
  <c r="AY410" i="12"/>
  <c r="AY411" i="12"/>
  <c r="AY412" i="12"/>
  <c r="AY413" i="12"/>
  <c r="AY414" i="12"/>
  <c r="AY415" i="12"/>
  <c r="AY416" i="12"/>
  <c r="AY417" i="12"/>
  <c r="AY418" i="12"/>
  <c r="AY419" i="12"/>
  <c r="AY420" i="12"/>
  <c r="AY421" i="12"/>
  <c r="AY422" i="12"/>
  <c r="AY423" i="12"/>
  <c r="AY424" i="12"/>
  <c r="AY425" i="12"/>
  <c r="AY426" i="12"/>
  <c r="AY427" i="12"/>
  <c r="AY428" i="12"/>
  <c r="AY429" i="12"/>
  <c r="AY430" i="12"/>
  <c r="AY431" i="12"/>
  <c r="AY432" i="12"/>
  <c r="AY433" i="12"/>
  <c r="AY434" i="12"/>
  <c r="AY435" i="12"/>
  <c r="AY436" i="12"/>
  <c r="AY437" i="12"/>
  <c r="AY438" i="12"/>
  <c r="AY439" i="12"/>
  <c r="AY440" i="12"/>
  <c r="AY441" i="12"/>
  <c r="AY442" i="12"/>
  <c r="AY443" i="12"/>
  <c r="AY444" i="12"/>
  <c r="AY445" i="12"/>
  <c r="AY446" i="12"/>
  <c r="AY447" i="12"/>
  <c r="AY448" i="12"/>
  <c r="AY449" i="12"/>
  <c r="AY450" i="12"/>
  <c r="AY451" i="12"/>
  <c r="AY452" i="12"/>
  <c r="AY453" i="12"/>
  <c r="AY454" i="12"/>
  <c r="AY455" i="12"/>
  <c r="AY456" i="12"/>
  <c r="AY457" i="12"/>
  <c r="AY458" i="12"/>
  <c r="AY459" i="12"/>
  <c r="AY460" i="12"/>
  <c r="AY461" i="12"/>
  <c r="AY462" i="12"/>
  <c r="AY463" i="12"/>
  <c r="AY464" i="12"/>
  <c r="AY465" i="12"/>
  <c r="AY466" i="12"/>
  <c r="AY467" i="12"/>
  <c r="AY468" i="12"/>
  <c r="AY469" i="12"/>
  <c r="AY470" i="12"/>
  <c r="AY471" i="12"/>
  <c r="AY472" i="12"/>
  <c r="AY473" i="12"/>
  <c r="AY474" i="12"/>
  <c r="AY475" i="12"/>
  <c r="AY476" i="12"/>
  <c r="AY477" i="12"/>
  <c r="AY478" i="12"/>
  <c r="AY479" i="12"/>
  <c r="AY480" i="12"/>
  <c r="AY481" i="12"/>
  <c r="AY482" i="12"/>
  <c r="AY483" i="12"/>
  <c r="AY484" i="12"/>
  <c r="AY485" i="12"/>
  <c r="AY486" i="12"/>
  <c r="AY487" i="12"/>
  <c r="AY488" i="12"/>
  <c r="AY489" i="12"/>
  <c r="AY490" i="12"/>
  <c r="AY491" i="12"/>
  <c r="AY492" i="12"/>
  <c r="AY493" i="12"/>
  <c r="AY494" i="12"/>
  <c r="AY495" i="12"/>
  <c r="AY496" i="12"/>
  <c r="AY497" i="12"/>
  <c r="AY498" i="12"/>
  <c r="AY499" i="12"/>
  <c r="AY500" i="12"/>
  <c r="AY501" i="12"/>
  <c r="AY502" i="12"/>
  <c r="AY503" i="12"/>
  <c r="AY504" i="12"/>
  <c r="AY505" i="12"/>
  <c r="AY506" i="12"/>
  <c r="AY507" i="12"/>
  <c r="AY508" i="12"/>
  <c r="AY509" i="12"/>
  <c r="AY510" i="12"/>
  <c r="AY511" i="12"/>
  <c r="AY512" i="12"/>
  <c r="AY513" i="12"/>
  <c r="AY514" i="12"/>
  <c r="AY515" i="12"/>
  <c r="AY516" i="12"/>
  <c r="AY517" i="12"/>
  <c r="AY518" i="12"/>
  <c r="AY519" i="12"/>
  <c r="AY520" i="12"/>
  <c r="AY521" i="12"/>
  <c r="AY522" i="12"/>
  <c r="AY523" i="12"/>
  <c r="AY524" i="12"/>
  <c r="AY525" i="12"/>
  <c r="AY526" i="12"/>
  <c r="AY527" i="12"/>
  <c r="AY528" i="12"/>
  <c r="AY529" i="12"/>
  <c r="AY530" i="12"/>
  <c r="AY531" i="12"/>
  <c r="AY532" i="12"/>
  <c r="AY533" i="12"/>
  <c r="AY534" i="12"/>
  <c r="AY535" i="12"/>
  <c r="AY536" i="12"/>
  <c r="AY537" i="12"/>
  <c r="AY538" i="12"/>
  <c r="AY539" i="12"/>
  <c r="AY540" i="12"/>
  <c r="AY541" i="12"/>
  <c r="AY542" i="12"/>
  <c r="AY543" i="12"/>
  <c r="AY544" i="12"/>
  <c r="AY545" i="12"/>
  <c r="AY546" i="12"/>
  <c r="AY547" i="12"/>
  <c r="AY548" i="12"/>
  <c r="AY549" i="12"/>
  <c r="AY550" i="12"/>
  <c r="AY551" i="12"/>
  <c r="AY552" i="12"/>
  <c r="AY553" i="12"/>
  <c r="AY554" i="12"/>
  <c r="AY555" i="12"/>
  <c r="AY556" i="12"/>
  <c r="AY557" i="12"/>
  <c r="AY558" i="12"/>
  <c r="AY559" i="12"/>
  <c r="AY560" i="12"/>
  <c r="AY561" i="12"/>
  <c r="AY562" i="12"/>
  <c r="AY563" i="12"/>
  <c r="AY564" i="12"/>
  <c r="AY565" i="12"/>
  <c r="AY566" i="12"/>
  <c r="AY567" i="12"/>
  <c r="AY568" i="12"/>
  <c r="AY569" i="12"/>
  <c r="AY570" i="12"/>
  <c r="AY571" i="12"/>
  <c r="AY572" i="12"/>
  <c r="AY573" i="12"/>
  <c r="AY574" i="12"/>
  <c r="AY575" i="12"/>
  <c r="AY576" i="12"/>
  <c r="AY577" i="12"/>
  <c r="AY578" i="12"/>
  <c r="AY579" i="12"/>
  <c r="AY580" i="12"/>
  <c r="AY581" i="12"/>
  <c r="AY582" i="12"/>
  <c r="AY583" i="12"/>
  <c r="AY584" i="12"/>
  <c r="AY585" i="12"/>
  <c r="AY586" i="12"/>
  <c r="AY587" i="12"/>
  <c r="AY588" i="12"/>
  <c r="AY589" i="12"/>
  <c r="AY590" i="12"/>
  <c r="AY591" i="12"/>
  <c r="AY592" i="12"/>
  <c r="AY593" i="12"/>
  <c r="AY594" i="12"/>
  <c r="AY595" i="12"/>
  <c r="AY596" i="12"/>
  <c r="AY597" i="12"/>
  <c r="AY598" i="12"/>
  <c r="AY599" i="12"/>
  <c r="AY600" i="12"/>
  <c r="AY601" i="12"/>
  <c r="AY602" i="12"/>
  <c r="AY603" i="12"/>
  <c r="AY604" i="12"/>
  <c r="AY605" i="12"/>
  <c r="AY606" i="12"/>
  <c r="AY607" i="12"/>
  <c r="AY608" i="12"/>
  <c r="AY609" i="12"/>
  <c r="AY610" i="12"/>
  <c r="AY611" i="12"/>
  <c r="AY612" i="12"/>
  <c r="AY613" i="12"/>
  <c r="AY614" i="12"/>
  <c r="AY615" i="12"/>
  <c r="AY616" i="12"/>
  <c r="AY617" i="12"/>
  <c r="AY618" i="12"/>
  <c r="AY619" i="12"/>
  <c r="AY620" i="12"/>
  <c r="AY621" i="12"/>
  <c r="AY622" i="12"/>
  <c r="AY623" i="12"/>
  <c r="AY624" i="12"/>
  <c r="AY625" i="12"/>
  <c r="AY626" i="12"/>
  <c r="AY627" i="12"/>
  <c r="AY628" i="12"/>
  <c r="AY629" i="12"/>
  <c r="AY630" i="12"/>
  <c r="AY631" i="12"/>
  <c r="AY632" i="12"/>
  <c r="AY633" i="12"/>
  <c r="AY634" i="12"/>
  <c r="AY635" i="12"/>
  <c r="AY636" i="12"/>
  <c r="AY637" i="12"/>
  <c r="AY638" i="12"/>
  <c r="AY639" i="12"/>
  <c r="AY640" i="12"/>
  <c r="AY641" i="12"/>
  <c r="AY642" i="12"/>
  <c r="AY643" i="12"/>
  <c r="AY644" i="12"/>
  <c r="AY645" i="12"/>
  <c r="AY646" i="12"/>
  <c r="AY647" i="12"/>
  <c r="AY648" i="12"/>
  <c r="AY649" i="12"/>
  <c r="AY650" i="12"/>
  <c r="AY651" i="12"/>
  <c r="AY652" i="12"/>
  <c r="AY653" i="12"/>
  <c r="AY654" i="12"/>
  <c r="AY655" i="12"/>
  <c r="AY656" i="12"/>
  <c r="AY657" i="12"/>
  <c r="AY658" i="12"/>
  <c r="AY659" i="12"/>
  <c r="AY660" i="12"/>
  <c r="AY661" i="12"/>
  <c r="AY662" i="12"/>
  <c r="AY663" i="12"/>
  <c r="AY664" i="12"/>
  <c r="AY665" i="12"/>
  <c r="AY666" i="12"/>
  <c r="AY667" i="12"/>
  <c r="AY668" i="12"/>
  <c r="AY669" i="12"/>
  <c r="AY670" i="12"/>
  <c r="AY671" i="12"/>
  <c r="AY672" i="12"/>
  <c r="AY673" i="12"/>
  <c r="AY674" i="12"/>
  <c r="AY675" i="12"/>
  <c r="AY676" i="12"/>
  <c r="AY677" i="12"/>
  <c r="AY678" i="12"/>
  <c r="AY679" i="12"/>
  <c r="AY680" i="12"/>
  <c r="AY681" i="12"/>
  <c r="AY682" i="12"/>
  <c r="AY683" i="12"/>
  <c r="AY684" i="12"/>
  <c r="AY685" i="12"/>
  <c r="AY686" i="12"/>
  <c r="AY687" i="12"/>
  <c r="AY688" i="12"/>
  <c r="AY689" i="12"/>
  <c r="AY690" i="12"/>
  <c r="AY691" i="12"/>
  <c r="AY692" i="12"/>
  <c r="AY693" i="12"/>
  <c r="AY694" i="12"/>
  <c r="AY695" i="12"/>
  <c r="AY696" i="12"/>
  <c r="AY697" i="12"/>
  <c r="AY698" i="12"/>
  <c r="AY699" i="12"/>
  <c r="AY700" i="12"/>
  <c r="AY701" i="12"/>
  <c r="AY702" i="12"/>
  <c r="AY703" i="12"/>
  <c r="AY704" i="12"/>
  <c r="AY705" i="12"/>
  <c r="AY706" i="12"/>
  <c r="AY707" i="12"/>
  <c r="AY708" i="12"/>
  <c r="AY709" i="12"/>
  <c r="AY710" i="12"/>
  <c r="AY711" i="12"/>
  <c r="AY712" i="12"/>
  <c r="AY713" i="12"/>
  <c r="AY714" i="12"/>
  <c r="AY715" i="12"/>
  <c r="AY716" i="12"/>
  <c r="AY717" i="12"/>
  <c r="AY718" i="12"/>
  <c r="AY719" i="12"/>
  <c r="AY720" i="12"/>
  <c r="AY721" i="12"/>
  <c r="AY722" i="12"/>
  <c r="AY723" i="12"/>
  <c r="AY724" i="12"/>
  <c r="AY725" i="12"/>
  <c r="AY726" i="12"/>
  <c r="AY727" i="12"/>
  <c r="AY728" i="12"/>
  <c r="AY729" i="12"/>
  <c r="AY730" i="12"/>
  <c r="AY731" i="12"/>
  <c r="AY732" i="12"/>
  <c r="AY733" i="12"/>
  <c r="AY734" i="12"/>
  <c r="AY735" i="12"/>
  <c r="AY736" i="12"/>
  <c r="AY737" i="12"/>
  <c r="AY738" i="12"/>
  <c r="AY739" i="12"/>
  <c r="AY740" i="12"/>
  <c r="AY741" i="12"/>
  <c r="AY742" i="12"/>
  <c r="AY743" i="12"/>
  <c r="AY744" i="12"/>
  <c r="AY745" i="12"/>
  <c r="AY746" i="12"/>
  <c r="AY747" i="12"/>
  <c r="AY748" i="12"/>
  <c r="AY749" i="12"/>
  <c r="AY750" i="12"/>
  <c r="AY751" i="12"/>
  <c r="AY752" i="12"/>
  <c r="AY753" i="12"/>
  <c r="AY754" i="12"/>
  <c r="AY755" i="12"/>
  <c r="AY756" i="12"/>
  <c r="AY757" i="12"/>
  <c r="AY758" i="12"/>
  <c r="AY759" i="12"/>
  <c r="AY760" i="12"/>
  <c r="AY761" i="12"/>
  <c r="AY762" i="12"/>
  <c r="AY763" i="12"/>
  <c r="AY764" i="12"/>
  <c r="AY765" i="12"/>
  <c r="AY766" i="12"/>
  <c r="AY767" i="12"/>
  <c r="AY768" i="12"/>
  <c r="AY769" i="12"/>
  <c r="AY770" i="12"/>
  <c r="AY771" i="12"/>
  <c r="AY772" i="12"/>
  <c r="AY773" i="12"/>
  <c r="AY774" i="12"/>
  <c r="AY775" i="12"/>
  <c r="AY776" i="12"/>
  <c r="AY777" i="12"/>
  <c r="AY778" i="12"/>
  <c r="AY779" i="12"/>
  <c r="AY780" i="12"/>
  <c r="AY781" i="12"/>
  <c r="AY782" i="12"/>
  <c r="AY783" i="12"/>
  <c r="AY784" i="12"/>
  <c r="AY785" i="12"/>
  <c r="AY786" i="12"/>
  <c r="AY787" i="12"/>
  <c r="AY788" i="12"/>
  <c r="AY789" i="12"/>
  <c r="AY790" i="12"/>
  <c r="AY791" i="12"/>
  <c r="AY792" i="12"/>
  <c r="AY793" i="12"/>
  <c r="AY794" i="12"/>
  <c r="AY795" i="12"/>
  <c r="AY796" i="12"/>
  <c r="AY797" i="12"/>
  <c r="AY798" i="12"/>
  <c r="AY799" i="12"/>
  <c r="AY800" i="12"/>
  <c r="AY801" i="12"/>
  <c r="AY802" i="12"/>
  <c r="AY803" i="12"/>
  <c r="AY804" i="12"/>
  <c r="AY805" i="12"/>
  <c r="AY806" i="12"/>
  <c r="AY807" i="12"/>
  <c r="AY808" i="12"/>
  <c r="AY809" i="12"/>
  <c r="AY810" i="12"/>
  <c r="AY811" i="12"/>
  <c r="AY812" i="12"/>
  <c r="AY813" i="12"/>
  <c r="AY814" i="12"/>
  <c r="AY815" i="12"/>
  <c r="AY816" i="12"/>
  <c r="AY817" i="12"/>
  <c r="AY818" i="12"/>
  <c r="AY819" i="12"/>
  <c r="AY820" i="12"/>
  <c r="AY821" i="12"/>
  <c r="AY822" i="12"/>
  <c r="AY823" i="12"/>
  <c r="AY824" i="12"/>
  <c r="AY825" i="12"/>
  <c r="AY826" i="12"/>
  <c r="AY827" i="12"/>
  <c r="AY828" i="12"/>
  <c r="AY829" i="12"/>
  <c r="AY830" i="12"/>
  <c r="AY831" i="12"/>
  <c r="AY832" i="12"/>
  <c r="AY833" i="12"/>
  <c r="AY834" i="12"/>
  <c r="AY835" i="12"/>
  <c r="AY836" i="12"/>
  <c r="AY837" i="12"/>
  <c r="AY838" i="12"/>
  <c r="AY839" i="12"/>
  <c r="AY840" i="12"/>
  <c r="AY841" i="12"/>
  <c r="AY842" i="12"/>
  <c r="AY843" i="12"/>
  <c r="AY844" i="12"/>
  <c r="AY845" i="12"/>
  <c r="AY846" i="12"/>
  <c r="AY847" i="12"/>
  <c r="AY848" i="12"/>
  <c r="AY849" i="12"/>
  <c r="AY850" i="12"/>
  <c r="AY851" i="12"/>
  <c r="AY852" i="12"/>
  <c r="AY853" i="12"/>
  <c r="AY854" i="12"/>
  <c r="AY855" i="12"/>
  <c r="AY856" i="12"/>
  <c r="AY857" i="12"/>
  <c r="AY858" i="12"/>
  <c r="AY859" i="12"/>
  <c r="AY860" i="12"/>
  <c r="AY861" i="12"/>
  <c r="AY862" i="12"/>
  <c r="AY863" i="12"/>
  <c r="AY864" i="12"/>
  <c r="AY865" i="12"/>
  <c r="AY866" i="12"/>
  <c r="AY867" i="12"/>
  <c r="AY868" i="12"/>
  <c r="AY869" i="12"/>
  <c r="AY870" i="12"/>
  <c r="AY871" i="12"/>
  <c r="AY872" i="12"/>
  <c r="AY873" i="12"/>
  <c r="AY874" i="12"/>
  <c r="AY875" i="12"/>
  <c r="AY876" i="12"/>
  <c r="AY877" i="12"/>
  <c r="AY878" i="12"/>
  <c r="AY879" i="12"/>
  <c r="AY880" i="12"/>
  <c r="AY881" i="12"/>
  <c r="AY882" i="12"/>
  <c r="AY883" i="12"/>
  <c r="AY884" i="12"/>
  <c r="AY885" i="12"/>
  <c r="AY886" i="12"/>
  <c r="AY887" i="12"/>
  <c r="AY888" i="12"/>
  <c r="AY889" i="12"/>
  <c r="AY890" i="12"/>
  <c r="AY891" i="12"/>
  <c r="AY892" i="12"/>
  <c r="AY893" i="12"/>
  <c r="AY894" i="12"/>
  <c r="AY895" i="12"/>
  <c r="AY896" i="12"/>
  <c r="AY897" i="12"/>
  <c r="AY898" i="12"/>
  <c r="AY899" i="12"/>
  <c r="AY900" i="12"/>
  <c r="AY901" i="12"/>
  <c r="AY902" i="12"/>
  <c r="AY903" i="12"/>
  <c r="AY904" i="12"/>
  <c r="AY905" i="12"/>
  <c r="AY906" i="12"/>
  <c r="AY907" i="12"/>
  <c r="AY908" i="12"/>
  <c r="AY909" i="12"/>
  <c r="AY910" i="12"/>
  <c r="AY911" i="12"/>
  <c r="AY912" i="12"/>
  <c r="AY913" i="12"/>
  <c r="AY914" i="12"/>
  <c r="AY915" i="12"/>
  <c r="AY916" i="12"/>
  <c r="AY917" i="12"/>
  <c r="AY918" i="12"/>
  <c r="AY919" i="12"/>
  <c r="AY920" i="12"/>
  <c r="AY921" i="12"/>
  <c r="AY922" i="12"/>
  <c r="AY923" i="12"/>
  <c r="AY924" i="12"/>
  <c r="AY925" i="12"/>
  <c r="AY926" i="12"/>
  <c r="AY927" i="12"/>
  <c r="AY928" i="12"/>
  <c r="AY929" i="12"/>
  <c r="AY930" i="12"/>
  <c r="AY931" i="12"/>
  <c r="AY932" i="12"/>
  <c r="AY933" i="12"/>
  <c r="AY934" i="12"/>
  <c r="AY935" i="12"/>
  <c r="AY936" i="12"/>
  <c r="AY937" i="12"/>
  <c r="AY938" i="12"/>
  <c r="AY939" i="12"/>
  <c r="AY940" i="12"/>
  <c r="AY941" i="12"/>
  <c r="AY942" i="12"/>
  <c r="AY943" i="12"/>
  <c r="AY944" i="12"/>
  <c r="AY945" i="12"/>
  <c r="AY946" i="12"/>
  <c r="AY947" i="12"/>
  <c r="AY948" i="12"/>
  <c r="AY949" i="12"/>
  <c r="AY950" i="12"/>
  <c r="AY951" i="12"/>
  <c r="AY952" i="12"/>
  <c r="AY953" i="12"/>
  <c r="AY954" i="12"/>
  <c r="AY955" i="12"/>
  <c r="AY956" i="12"/>
  <c r="AY957" i="12"/>
  <c r="AY958" i="12"/>
  <c r="AY959" i="12"/>
  <c r="AY960" i="12"/>
  <c r="AY961" i="12"/>
  <c r="AY962" i="12"/>
  <c r="AY963" i="12"/>
  <c r="AY964" i="12"/>
  <c r="AY965" i="12"/>
  <c r="AY966" i="12"/>
  <c r="AY967" i="12"/>
  <c r="AY968" i="12"/>
  <c r="AY969" i="12"/>
  <c r="AY970" i="12"/>
  <c r="AY971" i="12"/>
  <c r="AY972" i="12"/>
  <c r="AY973" i="12"/>
  <c r="AY974" i="12"/>
  <c r="AY975" i="12"/>
  <c r="AY976" i="12"/>
  <c r="AY977" i="12"/>
  <c r="AY978" i="12"/>
  <c r="AY979" i="12"/>
  <c r="AY980" i="12"/>
  <c r="AY981" i="12"/>
  <c r="AY982" i="12"/>
  <c r="AY983" i="12"/>
  <c r="AY984" i="12"/>
  <c r="AY985" i="12"/>
  <c r="AY986" i="12"/>
  <c r="AY987" i="12"/>
  <c r="AY988" i="12"/>
  <c r="AY989" i="12"/>
  <c r="AY990" i="12"/>
  <c r="AY991" i="12"/>
  <c r="AY992" i="12"/>
  <c r="AY993" i="12"/>
  <c r="AY994" i="12"/>
  <c r="AY995" i="12"/>
  <c r="AY996" i="12"/>
  <c r="AY997" i="12"/>
  <c r="AY998" i="12"/>
  <c r="AY999" i="12"/>
  <c r="AY1000" i="12"/>
  <c r="AY1001" i="12"/>
  <c r="AY1002" i="12"/>
  <c r="AY1003" i="12"/>
  <c r="AY1004" i="12"/>
  <c r="AY1005" i="12"/>
  <c r="AY1006" i="12"/>
  <c r="AY1007" i="12"/>
  <c r="AY1008" i="12"/>
  <c r="AY1009" i="12"/>
  <c r="AY1010" i="12"/>
  <c r="AY1011" i="12"/>
  <c r="AY1012" i="12"/>
  <c r="AY1013" i="12"/>
  <c r="AY1014" i="12"/>
  <c r="AY1015" i="12"/>
  <c r="AY1016" i="12"/>
  <c r="AY1017" i="12"/>
  <c r="AY1018" i="12"/>
  <c r="AY1019" i="12"/>
  <c r="AY1020" i="12"/>
  <c r="AY1021" i="12"/>
  <c r="AY1022" i="12"/>
  <c r="AY1023" i="12"/>
  <c r="AY1024" i="12"/>
  <c r="AY1025" i="12"/>
  <c r="AY1026" i="12"/>
  <c r="AY1027" i="12"/>
  <c r="AY1028" i="12"/>
  <c r="AY1029" i="12"/>
  <c r="AY1030" i="12"/>
  <c r="AY1031" i="12"/>
  <c r="AY1032" i="12"/>
  <c r="AY1033" i="12"/>
  <c r="AY1034" i="12"/>
  <c r="AY1035" i="12"/>
  <c r="AY1036" i="12"/>
  <c r="AY1037" i="12"/>
  <c r="AY1038" i="12"/>
  <c r="AY1039" i="12"/>
  <c r="AY1040" i="12"/>
  <c r="AY1041" i="12"/>
  <c r="AY1042" i="12"/>
  <c r="AY1043" i="12"/>
  <c r="AY1044" i="12"/>
  <c r="AY1045" i="12"/>
  <c r="AY1046" i="12"/>
  <c r="AY1047" i="12"/>
  <c r="AY1048" i="12"/>
  <c r="AY1049" i="12"/>
  <c r="AY1050" i="12"/>
  <c r="AY1051" i="12"/>
  <c r="AY1052" i="12"/>
  <c r="AY1053" i="12"/>
  <c r="AY1054" i="12"/>
  <c r="AY1055" i="12"/>
  <c r="AY1056" i="12"/>
  <c r="AY1057" i="12"/>
  <c r="AY1058" i="12"/>
  <c r="AY1059" i="12"/>
  <c r="AY1060" i="12"/>
  <c r="AY1061" i="12"/>
  <c r="AY1062" i="12"/>
  <c r="AY1063" i="12"/>
  <c r="AY1064" i="12"/>
  <c r="AY1065" i="12"/>
  <c r="AY1066" i="12"/>
  <c r="AY1067" i="12"/>
  <c r="AY1068" i="12"/>
  <c r="AY1069" i="12"/>
  <c r="AY1070" i="12"/>
  <c r="AY1071" i="12"/>
  <c r="AY1072" i="12"/>
  <c r="AY1073" i="12"/>
  <c r="AY1074" i="12"/>
  <c r="AY1075" i="12"/>
  <c r="AY1076" i="12"/>
  <c r="AY1077" i="12"/>
  <c r="AY1078" i="12"/>
  <c r="AY1079" i="12"/>
  <c r="AY1080" i="12"/>
  <c r="AY1081" i="12"/>
  <c r="AY1082" i="12"/>
  <c r="AY1083" i="12"/>
  <c r="AY1084" i="12"/>
  <c r="AY1085" i="12"/>
  <c r="AY1086" i="12"/>
  <c r="AY1087" i="12"/>
  <c r="AY1088" i="12"/>
  <c r="AY1089" i="12"/>
  <c r="AY1090" i="12"/>
  <c r="AY1091" i="12"/>
  <c r="AY1092" i="12"/>
  <c r="AY1093" i="12"/>
  <c r="AY1094" i="12"/>
  <c r="AY1095" i="12"/>
  <c r="AY1096" i="12"/>
  <c r="AY1097" i="12"/>
  <c r="AY1098" i="12"/>
  <c r="AY1099" i="12"/>
  <c r="AY1100" i="12"/>
  <c r="AY1101" i="12"/>
  <c r="AY1102" i="12"/>
  <c r="AY1103" i="12"/>
  <c r="AY1104" i="12"/>
  <c r="AY1105" i="12"/>
  <c r="AY1106" i="12"/>
  <c r="AY1107" i="12"/>
  <c r="AY1108" i="12"/>
  <c r="AY1109" i="12"/>
  <c r="AY1110" i="12"/>
  <c r="AY1111" i="12"/>
  <c r="AY1112" i="12"/>
  <c r="AY1113" i="12"/>
  <c r="AY1114" i="12"/>
  <c r="AY1115" i="12"/>
  <c r="AY1116" i="12"/>
  <c r="AY1117" i="12"/>
  <c r="AY1118" i="12"/>
  <c r="AY1119" i="12"/>
  <c r="AY1120" i="12"/>
  <c r="AY1121" i="12"/>
  <c r="AY1122" i="12"/>
  <c r="AY1123" i="12"/>
  <c r="AY1124" i="12"/>
  <c r="AY1125" i="12"/>
  <c r="AY1126" i="12"/>
  <c r="AY1127" i="12"/>
  <c r="AY1128" i="12"/>
  <c r="AY1129" i="12"/>
  <c r="AY1130" i="12"/>
  <c r="AY1131" i="12"/>
  <c r="AY1132" i="12"/>
  <c r="AY1133" i="12"/>
  <c r="AY1134" i="12"/>
  <c r="AY1135" i="12"/>
  <c r="AY1136" i="12"/>
  <c r="AY1137" i="12"/>
  <c r="AY1138" i="12"/>
  <c r="AY1139" i="12"/>
  <c r="AY1140" i="12"/>
  <c r="AY1141" i="12"/>
  <c r="AY1142" i="12"/>
  <c r="AY1143" i="12"/>
  <c r="AY1144" i="12"/>
  <c r="AY1145" i="12"/>
  <c r="AY1146" i="12"/>
  <c r="AY1147" i="12"/>
  <c r="AY1148" i="12"/>
  <c r="AY1149" i="12"/>
  <c r="AY1150" i="12"/>
  <c r="AY1151" i="12"/>
  <c r="AY1152" i="12"/>
  <c r="AY1153" i="12"/>
  <c r="AY1154" i="12"/>
  <c r="AY1155" i="12"/>
  <c r="AY1156" i="12"/>
  <c r="AY1157" i="12"/>
  <c r="AY1158" i="12"/>
  <c r="AY1159" i="12"/>
  <c r="AY1160" i="12"/>
  <c r="AY1161" i="12"/>
  <c r="AY1162" i="12"/>
  <c r="AY1163" i="12"/>
  <c r="AY1164" i="12"/>
  <c r="AY1165" i="12"/>
  <c r="AY1166" i="12"/>
  <c r="AY1167" i="12"/>
  <c r="AY1168" i="12"/>
  <c r="AY1169" i="12"/>
  <c r="AY1170" i="12"/>
  <c r="AY1171" i="12"/>
  <c r="AY1172" i="12"/>
  <c r="AY1173" i="12"/>
  <c r="AY1174" i="12"/>
  <c r="AY1175" i="12"/>
  <c r="AY1176" i="12"/>
  <c r="AY1177" i="12"/>
  <c r="AY1178" i="12"/>
  <c r="AY1179" i="12"/>
  <c r="AY1180" i="12"/>
  <c r="AY1181" i="12"/>
  <c r="AY1182" i="12"/>
  <c r="AY1183" i="12"/>
  <c r="AY1184" i="12"/>
  <c r="AY1185" i="12"/>
  <c r="AY1186" i="12"/>
  <c r="AY1187" i="12"/>
  <c r="AY1188" i="12"/>
  <c r="AY1189" i="12"/>
  <c r="AY1190" i="12"/>
  <c r="AY1191" i="12"/>
  <c r="AY1192" i="12"/>
  <c r="AY1193" i="12"/>
  <c r="AY1194" i="12"/>
  <c r="AY1195" i="12"/>
  <c r="AY1196" i="12"/>
  <c r="AY1197" i="12"/>
  <c r="AY1198" i="12"/>
  <c r="AY1199" i="12"/>
  <c r="AY1200" i="12"/>
  <c r="AY1201" i="12"/>
  <c r="AY1202" i="12"/>
  <c r="AY1203" i="12"/>
  <c r="AY1204" i="12"/>
  <c r="AY1205" i="12"/>
  <c r="AY1206" i="12"/>
  <c r="AY1207" i="12"/>
  <c r="AY1208" i="12"/>
  <c r="AY1209" i="12"/>
  <c r="AY1210" i="12"/>
  <c r="AY1211" i="12"/>
  <c r="AY1212" i="12"/>
  <c r="AY1213" i="12"/>
  <c r="AY1214" i="12"/>
  <c r="AY1215" i="12"/>
  <c r="AY1216" i="12"/>
  <c r="AY1217" i="12"/>
  <c r="AY1218" i="12"/>
  <c r="AY1219" i="12"/>
  <c r="AY1220" i="12"/>
  <c r="AY1221" i="12"/>
  <c r="AY1222" i="12"/>
  <c r="AY1223" i="12"/>
  <c r="AY1224" i="12"/>
  <c r="AY1225" i="12"/>
  <c r="AY1226" i="12"/>
  <c r="AY1227" i="12"/>
  <c r="AY1228" i="12"/>
  <c r="AY1229" i="12"/>
  <c r="AY1230" i="12"/>
  <c r="AY1231" i="12"/>
  <c r="AY1232" i="12"/>
  <c r="AY1233" i="12"/>
  <c r="AY1234" i="12"/>
  <c r="AY1235" i="12"/>
  <c r="AY1236" i="12"/>
  <c r="AY1237" i="12"/>
  <c r="AY1238" i="12"/>
  <c r="AY1239" i="12"/>
  <c r="AY1240" i="12"/>
  <c r="AY1241" i="12"/>
  <c r="AY1242" i="12"/>
  <c r="AY1243" i="12"/>
  <c r="AY1244" i="12"/>
  <c r="AY1245" i="12"/>
  <c r="AY1246" i="12"/>
  <c r="AY1247" i="12"/>
  <c r="AY1248" i="12"/>
  <c r="AY1249" i="12"/>
  <c r="AY1250" i="12"/>
  <c r="AY1251" i="12"/>
  <c r="AY1252" i="12"/>
  <c r="AY1253" i="12"/>
  <c r="AY1254" i="12"/>
  <c r="AY1255" i="12"/>
  <c r="AY1256" i="12"/>
  <c r="AY1257" i="12"/>
  <c r="AY1258" i="12"/>
  <c r="AY1259" i="12"/>
  <c r="AY1260" i="12"/>
  <c r="AY1261" i="12"/>
  <c r="AY1262" i="12"/>
  <c r="AY1263" i="12"/>
  <c r="AY1264" i="12"/>
  <c r="AY1265" i="12"/>
  <c r="AY1266" i="12"/>
  <c r="AY1267" i="12"/>
  <c r="AY1268" i="12"/>
  <c r="AY1269" i="12"/>
  <c r="AY1270" i="12"/>
  <c r="AY1271" i="12"/>
  <c r="AY1272" i="12"/>
  <c r="AY1273" i="12"/>
  <c r="AY1274" i="12"/>
  <c r="AY1275" i="12"/>
  <c r="AY1276" i="12"/>
  <c r="AY1277" i="12"/>
  <c r="AY1278" i="12"/>
  <c r="AY1279" i="12"/>
  <c r="AY1280" i="12"/>
  <c r="AY1281" i="12"/>
  <c r="AY1282" i="12"/>
  <c r="AY1283" i="12"/>
  <c r="AY1284" i="12"/>
  <c r="AY1285" i="12"/>
  <c r="AY1286" i="12"/>
  <c r="AY1287" i="12"/>
  <c r="AY1288" i="12"/>
  <c r="AY1289" i="12"/>
  <c r="AY1290" i="12"/>
  <c r="AY1291" i="12"/>
  <c r="AY1292" i="12"/>
  <c r="AY1293" i="12"/>
  <c r="AY1294" i="12"/>
  <c r="AY1295" i="12"/>
  <c r="AY1296" i="12"/>
  <c r="AY1297" i="12"/>
  <c r="AY1298" i="12"/>
  <c r="AY1299" i="12"/>
  <c r="AY1300" i="12"/>
  <c r="AY1301" i="12"/>
  <c r="AY1302" i="12"/>
  <c r="AY1303" i="12"/>
  <c r="AY1304" i="12"/>
  <c r="AY1305" i="12"/>
  <c r="AY1306" i="12"/>
  <c r="AY1307" i="12"/>
  <c r="AY1308" i="12"/>
  <c r="AY1309" i="12"/>
  <c r="AY1310" i="12"/>
  <c r="AY1311" i="12"/>
  <c r="AY1312" i="12"/>
  <c r="AY1313" i="12"/>
  <c r="AY1314" i="12"/>
  <c r="AY1315" i="12"/>
  <c r="AY1316" i="12"/>
  <c r="AY1317" i="12"/>
  <c r="AY1318" i="12"/>
  <c r="AY1319" i="12"/>
  <c r="AY1320" i="12"/>
  <c r="AY1321" i="12"/>
  <c r="AY1322" i="12"/>
  <c r="AY1323" i="12"/>
  <c r="AY1324" i="12"/>
  <c r="AY1325" i="12"/>
  <c r="AY1326" i="12"/>
  <c r="AY1327" i="12"/>
  <c r="AY1328" i="12"/>
  <c r="AY1329" i="12"/>
  <c r="AY1330" i="12"/>
  <c r="AY1331" i="12"/>
  <c r="AY1332" i="12"/>
  <c r="AY1333" i="12"/>
  <c r="AY1334" i="12"/>
  <c r="AY1335" i="12"/>
  <c r="AY1336" i="12"/>
  <c r="AY1337" i="12"/>
  <c r="AY1338" i="12"/>
  <c r="AY1339" i="12"/>
  <c r="AY1340" i="12"/>
  <c r="AY1341" i="12"/>
  <c r="AY1342" i="12"/>
  <c r="AY1343" i="12"/>
  <c r="AY1344" i="12"/>
  <c r="AY1345" i="12"/>
  <c r="AY1346" i="12"/>
  <c r="AY1347" i="12"/>
  <c r="AY1348" i="12"/>
  <c r="AY1349" i="12"/>
  <c r="AY1350" i="12"/>
  <c r="AY1351" i="12"/>
  <c r="AY1352" i="12"/>
  <c r="AY1353" i="12"/>
  <c r="AY1354" i="12"/>
  <c r="AY1355" i="12"/>
  <c r="AY1356" i="12"/>
  <c r="AY1357" i="12"/>
  <c r="AY1358" i="12"/>
  <c r="AY1359" i="12"/>
  <c r="AY1360" i="12"/>
  <c r="AY1361" i="12"/>
  <c r="AY1362" i="12"/>
  <c r="AY1363" i="12"/>
  <c r="AY1364" i="12"/>
  <c r="AY1365" i="12"/>
  <c r="AZ1365" i="12" s="1"/>
  <c r="AY1366" i="12"/>
  <c r="AY1367" i="12"/>
  <c r="AY1368" i="12"/>
  <c r="AY1369" i="12"/>
  <c r="AY1370" i="12"/>
  <c r="AY1371" i="12"/>
  <c r="AY1372" i="12"/>
  <c r="AY1373" i="12"/>
  <c r="AY1374" i="12"/>
  <c r="AY1375" i="12"/>
  <c r="AY1376" i="12"/>
  <c r="AY1377" i="12"/>
  <c r="AY1378" i="12"/>
  <c r="AY1379" i="12"/>
  <c r="AY1380" i="12"/>
  <c r="AY1381" i="12"/>
  <c r="AY1382" i="12"/>
  <c r="AY1383" i="12"/>
  <c r="AY1384" i="12"/>
  <c r="AY1385" i="12"/>
  <c r="AY1386" i="12"/>
  <c r="AY1387" i="12"/>
  <c r="AY1388" i="12"/>
  <c r="AY1389" i="12"/>
  <c r="AY1390" i="12"/>
  <c r="AY1391" i="12"/>
  <c r="AY1392" i="12"/>
  <c r="AY1393" i="12"/>
  <c r="AY1394" i="12"/>
  <c r="AY1395" i="12"/>
  <c r="AY1396" i="12"/>
  <c r="AY1397" i="12"/>
  <c r="AY1398" i="12"/>
  <c r="AY1399" i="12"/>
  <c r="AY1400" i="12"/>
  <c r="AY1401" i="12"/>
  <c r="AY1402" i="12"/>
  <c r="AY1403" i="12"/>
  <c r="AY1404" i="12"/>
  <c r="AY1405" i="12"/>
  <c r="AY1406" i="12"/>
  <c r="AY1407" i="12"/>
  <c r="AY1408" i="12"/>
  <c r="AY1409" i="12"/>
  <c r="AY1410" i="12"/>
  <c r="AY1411" i="12"/>
  <c r="AY1412" i="12"/>
  <c r="AY1413" i="12"/>
  <c r="AY1414" i="12"/>
  <c r="AY1415" i="12"/>
  <c r="AY1416" i="12"/>
  <c r="AY1417" i="12"/>
  <c r="AY1418" i="12"/>
  <c r="AY1419" i="12"/>
  <c r="AY1420" i="12"/>
  <c r="AY1421" i="12"/>
  <c r="AY1422" i="12"/>
  <c r="AY1423" i="12"/>
  <c r="AY1424" i="12"/>
  <c r="AY1425" i="12"/>
  <c r="AY1426" i="12"/>
  <c r="AY1427" i="12"/>
  <c r="AY1428" i="12"/>
  <c r="AY1429" i="12"/>
  <c r="AY1430" i="12"/>
  <c r="AY1431" i="12"/>
  <c r="AY1432" i="12"/>
  <c r="AY1433" i="12"/>
  <c r="AY1434" i="12"/>
  <c r="AY1435" i="12"/>
  <c r="AY1436" i="12"/>
  <c r="AY1437" i="12"/>
  <c r="AY1438" i="12"/>
  <c r="AY1439" i="12"/>
  <c r="EL2" i="10"/>
  <c r="EL3" i="10"/>
  <c r="O564" i="10"/>
  <c r="EC564" i="10" s="1"/>
  <c r="ED564" i="10" s="1"/>
  <c r="EE564" i="10" s="1"/>
  <c r="O565" i="10"/>
  <c r="EC565" i="10"/>
  <c r="ED565" i="10" s="1"/>
  <c r="EE565" i="10" s="1"/>
  <c r="O566" i="10"/>
  <c r="EC566" i="10" s="1"/>
  <c r="ED566" i="10" s="1"/>
  <c r="EE566" i="10" s="1"/>
  <c r="O567" i="10"/>
  <c r="EC567" i="10" s="1"/>
  <c r="ED567" i="10"/>
  <c r="EE567" i="10" s="1"/>
  <c r="O568" i="10"/>
  <c r="EC568" i="10"/>
  <c r="ED568" i="10" s="1"/>
  <c r="EE568" i="10" s="1"/>
  <c r="O569" i="10"/>
  <c r="EC569" i="10"/>
  <c r="ED569" i="10" s="1"/>
  <c r="EE569" i="10" s="1"/>
  <c r="O570" i="10"/>
  <c r="EC570" i="10"/>
  <c r="ED570" i="10" s="1"/>
  <c r="EE570" i="10" s="1"/>
  <c r="O571" i="10"/>
  <c r="EC571" i="10" s="1"/>
  <c r="ED571" i="10" s="1"/>
  <c r="EE571" i="10" s="1"/>
  <c r="O572" i="10"/>
  <c r="EC572" i="10" s="1"/>
  <c r="ED572" i="10" s="1"/>
  <c r="EE572" i="10" s="1"/>
  <c r="O573" i="10"/>
  <c r="EC573" i="10" s="1"/>
  <c r="ED573" i="10"/>
  <c r="EE573" i="10" s="1"/>
  <c r="O574" i="10"/>
  <c r="EC574" i="10" s="1"/>
  <c r="ED574" i="10" s="1"/>
  <c r="EE574" i="10" s="1"/>
  <c r="O575" i="10"/>
  <c r="EC575" i="10"/>
  <c r="ED575" i="10"/>
  <c r="EE575" i="10" s="1"/>
  <c r="O576" i="10"/>
  <c r="EC576" i="10"/>
  <c r="ED576" i="10" s="1"/>
  <c r="EE576" i="10" s="1"/>
  <c r="O577" i="10"/>
  <c r="EC577" i="10"/>
  <c r="ED577" i="10"/>
  <c r="EE577" i="10" s="1"/>
  <c r="O578" i="10"/>
  <c r="EC578" i="10"/>
  <c r="ED578" i="10"/>
  <c r="EE578" i="10" s="1"/>
  <c r="O579" i="10"/>
  <c r="EC579" i="10" s="1"/>
  <c r="ED579" i="10" s="1"/>
  <c r="EE579" i="10" s="1"/>
  <c r="O580" i="10"/>
  <c r="EC580" i="10"/>
  <c r="ED580" i="10" s="1"/>
  <c r="EE580" i="10" s="1"/>
  <c r="O581" i="10"/>
  <c r="EC581" i="10"/>
  <c r="ED581" i="10" s="1"/>
  <c r="EE581" i="10" s="1"/>
  <c r="O582" i="10"/>
  <c r="EC582" i="10"/>
  <c r="ED582" i="10"/>
  <c r="EE582" i="10" s="1"/>
  <c r="O583" i="10"/>
  <c r="EC583" i="10" s="1"/>
  <c r="ED583" i="10"/>
  <c r="EE583" i="10" s="1"/>
  <c r="O584" i="10"/>
  <c r="EC584" i="10" s="1"/>
  <c r="ED584" i="10" s="1"/>
  <c r="EE584" i="10" s="1"/>
  <c r="O585" i="10"/>
  <c r="EC585" i="10" s="1"/>
  <c r="ED585" i="10" s="1"/>
  <c r="EE585" i="10" s="1"/>
  <c r="O586" i="10"/>
  <c r="EC586" i="10"/>
  <c r="ED586" i="10" s="1"/>
  <c r="EE586" i="10" s="1"/>
  <c r="O587" i="10"/>
  <c r="EC587" i="10" s="1"/>
  <c r="ED587" i="10" s="1"/>
  <c r="EE587" i="10" s="1"/>
  <c r="O588" i="10"/>
  <c r="EC588" i="10"/>
  <c r="ED588" i="10" s="1"/>
  <c r="EE588" i="10" s="1"/>
  <c r="O589" i="10"/>
  <c r="EC589" i="10"/>
  <c r="ED589" i="10" s="1"/>
  <c r="EE589" i="10" s="1"/>
  <c r="O590" i="10"/>
  <c r="EC590" i="10"/>
  <c r="ED590" i="10" s="1"/>
  <c r="EE590" i="10" s="1"/>
  <c r="O591" i="10"/>
  <c r="EC591" i="10" s="1"/>
  <c r="ED591" i="10"/>
  <c r="EE591" i="10" s="1"/>
  <c r="O592" i="10"/>
  <c r="EC592" i="10" s="1"/>
  <c r="ED592" i="10" s="1"/>
  <c r="EE592" i="10" s="1"/>
  <c r="O593" i="10"/>
  <c r="EC593" i="10" s="1"/>
  <c r="ED593" i="10" s="1"/>
  <c r="EE593" i="10" s="1"/>
  <c r="O594" i="10"/>
  <c r="EC594" i="10"/>
  <c r="ED594" i="10" s="1"/>
  <c r="EE594" i="10" s="1"/>
  <c r="O595" i="10"/>
  <c r="EC595" i="10" s="1"/>
  <c r="ED595" i="10" s="1"/>
  <c r="EE595" i="10" s="1"/>
  <c r="O596" i="10"/>
  <c r="EC596" i="10"/>
  <c r="ED596" i="10" s="1"/>
  <c r="EE596" i="10" s="1"/>
  <c r="O597" i="10"/>
  <c r="EC597" i="10"/>
  <c r="ED597" i="10" s="1"/>
  <c r="EE597" i="10" s="1"/>
  <c r="O598" i="10"/>
  <c r="EC598" i="10"/>
  <c r="ED598" i="10" s="1"/>
  <c r="EE598" i="10" s="1"/>
  <c r="O599" i="10"/>
  <c r="EC599" i="10" s="1"/>
  <c r="ED599" i="10"/>
  <c r="EE599" i="10" s="1"/>
  <c r="O600" i="10"/>
  <c r="EC600" i="10" s="1"/>
  <c r="ED600" i="10" s="1"/>
  <c r="EE600" i="10" s="1"/>
  <c r="P564" i="10"/>
  <c r="Q564" i="10" s="1"/>
  <c r="N564" i="10" s="1"/>
  <c r="P565" i="10"/>
  <c r="Q565" i="10" s="1"/>
  <c r="N565" i="10" s="1"/>
  <c r="P566" i="10"/>
  <c r="Q566" i="10" s="1"/>
  <c r="N566" i="10" s="1"/>
  <c r="P567" i="10"/>
  <c r="Q567" i="10" s="1"/>
  <c r="N567" i="10" s="1"/>
  <c r="P568" i="10"/>
  <c r="Q568" i="10" s="1"/>
  <c r="N568" i="10" s="1"/>
  <c r="P569" i="10"/>
  <c r="Q569" i="10" s="1"/>
  <c r="P570" i="10"/>
  <c r="Q570" i="10" s="1"/>
  <c r="P571" i="10"/>
  <c r="Q571" i="10" s="1"/>
  <c r="N571" i="10" s="1"/>
  <c r="P572" i="10"/>
  <c r="Q572" i="10" s="1"/>
  <c r="N572" i="10" s="1"/>
  <c r="P573" i="10"/>
  <c r="Q573" i="10" s="1"/>
  <c r="N573" i="10" s="1"/>
  <c r="P574" i="10"/>
  <c r="Q574" i="10" s="1"/>
  <c r="N574" i="10" s="1"/>
  <c r="P575" i="10"/>
  <c r="Q575" i="10" s="1"/>
  <c r="N575" i="10" s="1"/>
  <c r="P576" i="10"/>
  <c r="Q576" i="10" s="1"/>
  <c r="N576" i="10" s="1"/>
  <c r="P577" i="10"/>
  <c r="Q577" i="10" s="1"/>
  <c r="P578" i="10"/>
  <c r="Q578" i="10" s="1"/>
  <c r="P579" i="10"/>
  <c r="Q579" i="10" s="1"/>
  <c r="N579" i="10" s="1"/>
  <c r="P580" i="10"/>
  <c r="Q580" i="10" s="1"/>
  <c r="N580" i="10" s="1"/>
  <c r="P581" i="10"/>
  <c r="Q581" i="10" s="1"/>
  <c r="N581" i="10" s="1"/>
  <c r="P582" i="10"/>
  <c r="Q582" i="10" s="1"/>
  <c r="N582" i="10" s="1"/>
  <c r="P583" i="10"/>
  <c r="Q583" i="10" s="1"/>
  <c r="N583" i="10" s="1"/>
  <c r="P584" i="10"/>
  <c r="Q584" i="10" s="1"/>
  <c r="N584" i="10" s="1"/>
  <c r="P585" i="10"/>
  <c r="Q585" i="10" s="1"/>
  <c r="P586" i="10"/>
  <c r="Q586" i="10" s="1"/>
  <c r="P587" i="10"/>
  <c r="Q587" i="10" s="1"/>
  <c r="N587" i="10" s="1"/>
  <c r="P588" i="10"/>
  <c r="Q588" i="10" s="1"/>
  <c r="N588" i="10" s="1"/>
  <c r="P589" i="10"/>
  <c r="Q589" i="10" s="1"/>
  <c r="N589" i="10" s="1"/>
  <c r="P590" i="10"/>
  <c r="Q590" i="10" s="1"/>
  <c r="N590" i="10" s="1"/>
  <c r="P591" i="10"/>
  <c r="Q591" i="10" s="1"/>
  <c r="N591" i="10" s="1"/>
  <c r="P592" i="10"/>
  <c r="Q592" i="10" s="1"/>
  <c r="N592" i="10" s="1"/>
  <c r="P593" i="10"/>
  <c r="Q593" i="10" s="1"/>
  <c r="P594" i="10"/>
  <c r="Q594" i="10" s="1"/>
  <c r="P595" i="10"/>
  <c r="Q595" i="10" s="1"/>
  <c r="N595" i="10" s="1"/>
  <c r="P596" i="10"/>
  <c r="Q596" i="10" s="1"/>
  <c r="N596" i="10" s="1"/>
  <c r="P597" i="10"/>
  <c r="Q597" i="10" s="1"/>
  <c r="N597" i="10" s="1"/>
  <c r="P598" i="10"/>
  <c r="Q598" i="10" s="1"/>
  <c r="N598" i="10" s="1"/>
  <c r="P599" i="10"/>
  <c r="Q599" i="10" s="1"/>
  <c r="N599" i="10" s="1"/>
  <c r="P600" i="10"/>
  <c r="Q600" i="10" s="1"/>
  <c r="N600" i="10" s="1"/>
  <c r="CE2" i="10"/>
  <c r="CE3" i="10"/>
  <c r="BV564" i="10"/>
  <c r="BV565" i="10"/>
  <c r="BW565" i="10"/>
  <c r="BX565" i="10" s="1"/>
  <c r="BU565" i="10" s="1"/>
  <c r="BV566" i="10"/>
  <c r="BV567" i="10"/>
  <c r="BV568" i="10"/>
  <c r="BV569" i="10"/>
  <c r="BV570" i="10"/>
  <c r="BV571" i="10"/>
  <c r="BV572" i="10"/>
  <c r="BV573" i="10"/>
  <c r="BV574" i="10"/>
  <c r="BV575" i="10"/>
  <c r="BV576" i="10"/>
  <c r="BV577" i="10"/>
  <c r="BV578" i="10"/>
  <c r="BV579" i="10"/>
  <c r="BV580" i="10"/>
  <c r="BV581" i="10"/>
  <c r="BV582" i="10"/>
  <c r="BV583" i="10"/>
  <c r="BV584" i="10"/>
  <c r="BV585" i="10"/>
  <c r="BV586" i="10"/>
  <c r="BW586" i="10"/>
  <c r="BX586" i="10" s="1"/>
  <c r="BV587" i="10"/>
  <c r="BV588" i="10"/>
  <c r="BV589" i="10"/>
  <c r="BV590" i="10"/>
  <c r="BV591" i="10"/>
  <c r="BV592" i="10"/>
  <c r="BV593" i="10"/>
  <c r="BW593" i="10"/>
  <c r="BX593" i="10" s="1"/>
  <c r="BV594" i="10"/>
  <c r="BV595" i="10"/>
  <c r="BV596" i="10"/>
  <c r="BV597" i="10"/>
  <c r="BW597" i="10"/>
  <c r="BX597" i="10" s="1"/>
  <c r="BU597" i="10" s="1"/>
  <c r="BV598" i="10"/>
  <c r="BV599" i="10"/>
  <c r="BV600" i="10"/>
  <c r="G4" i="10"/>
  <c r="BN4" i="10"/>
  <c r="G5" i="10"/>
  <c r="G6" i="10"/>
  <c r="H6" i="10" s="1"/>
  <c r="F6" i="10" s="1"/>
  <c r="G7" i="10"/>
  <c r="DU7" i="10" s="1"/>
  <c r="G8" i="10"/>
  <c r="G9" i="10"/>
  <c r="H9" i="10" s="1"/>
  <c r="F9" i="10" s="1"/>
  <c r="G10" i="10"/>
  <c r="BN10" i="10"/>
  <c r="G11" i="10"/>
  <c r="H11" i="10" s="1"/>
  <c r="F11" i="10" s="1"/>
  <c r="BN11" i="10"/>
  <c r="G12" i="10"/>
  <c r="BN12" i="10"/>
  <c r="G13" i="10"/>
  <c r="BN13" i="10"/>
  <c r="G14" i="10"/>
  <c r="BN14" i="10" s="1"/>
  <c r="G15" i="10"/>
  <c r="DU15" i="10" s="1"/>
  <c r="BN15" i="10"/>
  <c r="G16" i="10"/>
  <c r="G17" i="10"/>
  <c r="H17" i="10" s="1"/>
  <c r="F17" i="10" s="1"/>
  <c r="G18" i="10"/>
  <c r="G19" i="10"/>
  <c r="H19" i="10" s="1"/>
  <c r="BN19" i="10"/>
  <c r="G20" i="10"/>
  <c r="BN20" i="10"/>
  <c r="BO20" i="10"/>
  <c r="BM20" i="10" s="1"/>
  <c r="G21" i="10"/>
  <c r="G22" i="10"/>
  <c r="BN22" i="10"/>
  <c r="G23" i="10"/>
  <c r="DU23" i="10" s="1"/>
  <c r="DV23" i="10" s="1"/>
  <c r="DT23" i="10" s="1"/>
  <c r="BN23" i="10"/>
  <c r="BO23" i="10"/>
  <c r="BM23" i="10" s="1"/>
  <c r="BI6" i="10"/>
  <c r="BI7" i="10"/>
  <c r="BI8" i="10"/>
  <c r="BI9" i="10"/>
  <c r="B6" i="10"/>
  <c r="B7" i="10"/>
  <c r="B8" i="10"/>
  <c r="B9" i="10"/>
  <c r="DP6" i="10"/>
  <c r="DP7" i="10"/>
  <c r="DP8" i="10"/>
  <c r="DP9" i="10"/>
  <c r="L110" i="11"/>
  <c r="K110" i="11"/>
  <c r="I110" i="11"/>
  <c r="G110" i="11"/>
  <c r="F110" i="11"/>
  <c r="D110" i="11"/>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AN33" i="10"/>
  <c r="AN34" i="10"/>
  <c r="FB34" i="10" s="1"/>
  <c r="AN35" i="10"/>
  <c r="FB35" i="10"/>
  <c r="AN36" i="10"/>
  <c r="AN37" i="10"/>
  <c r="AN38" i="10"/>
  <c r="FB38" i="10" s="1"/>
  <c r="AN32" i="10"/>
  <c r="FB32" i="10"/>
  <c r="CU34" i="10"/>
  <c r="CU35" i="10"/>
  <c r="CU32" i="10"/>
  <c r="DU4" i="10"/>
  <c r="DV4" i="10" s="1"/>
  <c r="DT4" i="10" s="1"/>
  <c r="DU6" i="10"/>
  <c r="DV6" i="10" s="1"/>
  <c r="DT6" i="10" s="1"/>
  <c r="DV7" i="10"/>
  <c r="DT7" i="10" s="1"/>
  <c r="DU8" i="10"/>
  <c r="DV8" i="10"/>
  <c r="DT8" i="10" s="1"/>
  <c r="DU9" i="10"/>
  <c r="DV9" i="10" s="1"/>
  <c r="DT9" i="10" s="1"/>
  <c r="DU11" i="10"/>
  <c r="DV11" i="10"/>
  <c r="DT11" i="10" s="1"/>
  <c r="DU12" i="10"/>
  <c r="DV12" i="10"/>
  <c r="DT12" i="10" s="1"/>
  <c r="DU14" i="10"/>
  <c r="DV14" i="10"/>
  <c r="DT14" i="10" s="1"/>
  <c r="DV15" i="10"/>
  <c r="DT15" i="10" s="1"/>
  <c r="DU17" i="10"/>
  <c r="DV17" i="10" s="1"/>
  <c r="DT17" i="10" s="1"/>
  <c r="DU19" i="10"/>
  <c r="DV19" i="10"/>
  <c r="DT19" i="10" s="1"/>
  <c r="DU20" i="10"/>
  <c r="DV20" i="10"/>
  <c r="DT20" i="10" s="1"/>
  <c r="DU21" i="10"/>
  <c r="DV21" i="10" s="1"/>
  <c r="DT21" i="10" s="1"/>
  <c r="DU22" i="10"/>
  <c r="DV22" i="10"/>
  <c r="DT22" i="10" s="1"/>
  <c r="FQ32" i="10"/>
  <c r="FQ33" i="10"/>
  <c r="FQ34" i="10"/>
  <c r="FQ35" i="10"/>
  <c r="FQ36" i="10"/>
  <c r="FQ37" i="10"/>
  <c r="DJ32" i="10"/>
  <c r="DJ33" i="10"/>
  <c r="DJ34" i="10"/>
  <c r="DJ35" i="10"/>
  <c r="DJ36" i="10"/>
  <c r="DJ37" i="10"/>
  <c r="FQ18" i="10"/>
  <c r="FQ19" i="10"/>
  <c r="FQ20" i="10"/>
  <c r="FQ21" i="10"/>
  <c r="FQ22" i="10"/>
  <c r="FQ23" i="10"/>
  <c r="FK18" i="10"/>
  <c r="FK19" i="10"/>
  <c r="FK20" i="10"/>
  <c r="FK21" i="10"/>
  <c r="FK22" i="10"/>
  <c r="FK23" i="10"/>
  <c r="BF563" i="12"/>
  <c r="BQ563" i="12" s="1"/>
  <c r="U564" i="10"/>
  <c r="EI564" i="10" s="1"/>
  <c r="BF564" i="12"/>
  <c r="BQ564" i="12"/>
  <c r="U565" i="10" s="1"/>
  <c r="EI565" i="10" s="1"/>
  <c r="BF565" i="12"/>
  <c r="BQ565" i="12" s="1"/>
  <c r="U566" i="10"/>
  <c r="EI566" i="10"/>
  <c r="BF566" i="12"/>
  <c r="BQ566" i="12" s="1"/>
  <c r="U567" i="10" s="1"/>
  <c r="EI567" i="10" s="1"/>
  <c r="BF567" i="12"/>
  <c r="BQ567" i="12" s="1"/>
  <c r="U568" i="10" s="1"/>
  <c r="EI568" i="10" s="1"/>
  <c r="BF568" i="12"/>
  <c r="BQ568" i="12" s="1"/>
  <c r="U569" i="10" s="1"/>
  <c r="EI569" i="10" s="1"/>
  <c r="BF569" i="12"/>
  <c r="BQ569" i="12" s="1"/>
  <c r="U570" i="10" s="1"/>
  <c r="EI570" i="10"/>
  <c r="BF570" i="12"/>
  <c r="BQ570" i="12"/>
  <c r="U571" i="10"/>
  <c r="EI571" i="10" s="1"/>
  <c r="BF571" i="12"/>
  <c r="BQ571" i="12" s="1"/>
  <c r="U572" i="10"/>
  <c r="EI572" i="10" s="1"/>
  <c r="BF572" i="12"/>
  <c r="BQ572" i="12"/>
  <c r="U573" i="10" s="1"/>
  <c r="EI573" i="10" s="1"/>
  <c r="BF573" i="12"/>
  <c r="BQ573" i="12" s="1"/>
  <c r="U574" i="10"/>
  <c r="EI574" i="10"/>
  <c r="BF574" i="12"/>
  <c r="BQ574" i="12"/>
  <c r="U575" i="10" s="1"/>
  <c r="EI575" i="10" s="1"/>
  <c r="BF575" i="12"/>
  <c r="BQ575" i="12" s="1"/>
  <c r="U576" i="10" s="1"/>
  <c r="EI576" i="10" s="1"/>
  <c r="BF576" i="12"/>
  <c r="BQ576" i="12" s="1"/>
  <c r="U577" i="10"/>
  <c r="EI577" i="10" s="1"/>
  <c r="BF577" i="12"/>
  <c r="BQ577" i="12" s="1"/>
  <c r="U578" i="10" s="1"/>
  <c r="EI578" i="10" s="1"/>
  <c r="BF578" i="12"/>
  <c r="BQ578" i="12"/>
  <c r="U579" i="10"/>
  <c r="EI579" i="10" s="1"/>
  <c r="BF579" i="12"/>
  <c r="BQ579" i="12" s="1"/>
  <c r="U580" i="10"/>
  <c r="EI580" i="10"/>
  <c r="BF580" i="12"/>
  <c r="BQ580" i="12"/>
  <c r="U581" i="10" s="1"/>
  <c r="EI581" i="10" s="1"/>
  <c r="BF581" i="12"/>
  <c r="BQ581" i="12" s="1"/>
  <c r="U582" i="10"/>
  <c r="EI582" i="10" s="1"/>
  <c r="BF582" i="12"/>
  <c r="BQ582" i="12" s="1"/>
  <c r="U583" i="10" s="1"/>
  <c r="EI583" i="10" s="1"/>
  <c r="BF583" i="12"/>
  <c r="BQ583" i="12" s="1"/>
  <c r="U584" i="10" s="1"/>
  <c r="EI584" i="10" s="1"/>
  <c r="BF584" i="12"/>
  <c r="BQ584" i="12" s="1"/>
  <c r="U585" i="10" s="1"/>
  <c r="BF585" i="12"/>
  <c r="BQ585" i="12" s="1"/>
  <c r="U586" i="10" s="1"/>
  <c r="EI586" i="10" s="1"/>
  <c r="BF586" i="12"/>
  <c r="BQ586" i="12"/>
  <c r="U587" i="10"/>
  <c r="EI587" i="10" s="1"/>
  <c r="BF587" i="12"/>
  <c r="BQ587" i="12" s="1"/>
  <c r="U588" i="10"/>
  <c r="EI588" i="10" s="1"/>
  <c r="BF588" i="12"/>
  <c r="BQ588" i="12"/>
  <c r="U589" i="10" s="1"/>
  <c r="EI589" i="10" s="1"/>
  <c r="BF589" i="12"/>
  <c r="BQ589" i="12" s="1"/>
  <c r="U590" i="10"/>
  <c r="EI590" i="10" s="1"/>
  <c r="BF590" i="12"/>
  <c r="BQ590" i="12"/>
  <c r="U591" i="10" s="1"/>
  <c r="EI591" i="10" s="1"/>
  <c r="BF591" i="12"/>
  <c r="BQ591" i="12" s="1"/>
  <c r="U592" i="10" s="1"/>
  <c r="EI592" i="10" s="1"/>
  <c r="BF592" i="12"/>
  <c r="BQ592" i="12" s="1"/>
  <c r="U593" i="10" s="1"/>
  <c r="EI593" i="10" s="1"/>
  <c r="BF593" i="12"/>
  <c r="BQ593" i="12" s="1"/>
  <c r="U594" i="10" s="1"/>
  <c r="EI594" i="10"/>
  <c r="BF594" i="12"/>
  <c r="BQ594" i="12"/>
  <c r="U595" i="10"/>
  <c r="EI595" i="10" s="1"/>
  <c r="BF595" i="12"/>
  <c r="BQ595" i="12" s="1"/>
  <c r="U596" i="10"/>
  <c r="EI596" i="10" s="1"/>
  <c r="BF596" i="12"/>
  <c r="BQ596" i="12"/>
  <c r="U597" i="10" s="1"/>
  <c r="EI597" i="10" s="1"/>
  <c r="BF597" i="12"/>
  <c r="BQ597" i="12" s="1"/>
  <c r="U598" i="10"/>
  <c r="EI598" i="10" s="1"/>
  <c r="BF598" i="12"/>
  <c r="BQ598" i="12"/>
  <c r="U599" i="10" s="1"/>
  <c r="EI599" i="10" s="1"/>
  <c r="BF599" i="12"/>
  <c r="BQ599" i="12" s="1"/>
  <c r="U600" i="10" s="1"/>
  <c r="EI600" i="10" s="1"/>
  <c r="BG563" i="12"/>
  <c r="BR563" i="12" s="1"/>
  <c r="V564" i="10"/>
  <c r="EJ564" i="10" s="1"/>
  <c r="BG564" i="12"/>
  <c r="BR564" i="12"/>
  <c r="V565" i="10" s="1"/>
  <c r="EJ565" i="10" s="1"/>
  <c r="BG565" i="12"/>
  <c r="BR565" i="12" s="1"/>
  <c r="V566" i="10"/>
  <c r="EJ566" i="10" s="1"/>
  <c r="BG566" i="12"/>
  <c r="BR566" i="12" s="1"/>
  <c r="V567" i="10" s="1"/>
  <c r="EJ567" i="10" s="1"/>
  <c r="BG567" i="12"/>
  <c r="BR567" i="12" s="1"/>
  <c r="V568" i="10" s="1"/>
  <c r="EJ568" i="10" s="1"/>
  <c r="BG568" i="12"/>
  <c r="BR568" i="12" s="1"/>
  <c r="V569" i="10"/>
  <c r="EJ569" i="10" s="1"/>
  <c r="BG569" i="12"/>
  <c r="BR569" i="12" s="1"/>
  <c r="V570" i="10"/>
  <c r="EJ570" i="10" s="1"/>
  <c r="BG570" i="12"/>
  <c r="BR570" i="12"/>
  <c r="V571" i="10"/>
  <c r="EJ571" i="10" s="1"/>
  <c r="BG571" i="12"/>
  <c r="BR571" i="12" s="1"/>
  <c r="V572" i="10"/>
  <c r="EJ572" i="10" s="1"/>
  <c r="BG572" i="12"/>
  <c r="BR572" i="12" s="1"/>
  <c r="V573" i="10" s="1"/>
  <c r="EJ573" i="10" s="1"/>
  <c r="BG573" i="12"/>
  <c r="BR573" i="12" s="1"/>
  <c r="V574" i="10"/>
  <c r="EJ574" i="10" s="1"/>
  <c r="BG574" i="12"/>
  <c r="BR574" i="12"/>
  <c r="V575" i="10"/>
  <c r="EJ575" i="10" s="1"/>
  <c r="BG575" i="12"/>
  <c r="BR575" i="12" s="1"/>
  <c r="V576" i="10" s="1"/>
  <c r="BG576" i="12"/>
  <c r="BR576" i="12" s="1"/>
  <c r="V577" i="10" s="1"/>
  <c r="EJ577" i="10" s="1"/>
  <c r="BG577" i="12"/>
  <c r="BR577" i="12" s="1"/>
  <c r="V578" i="10"/>
  <c r="EJ578" i="10" s="1"/>
  <c r="BG578" i="12"/>
  <c r="BR578" i="12"/>
  <c r="V579" i="10"/>
  <c r="EJ579" i="10" s="1"/>
  <c r="BG579" i="12"/>
  <c r="BR579" i="12" s="1"/>
  <c r="V580" i="10"/>
  <c r="EJ580" i="10"/>
  <c r="BG580" i="12"/>
  <c r="BR580" i="12" s="1"/>
  <c r="V581" i="10" s="1"/>
  <c r="EJ581" i="10" s="1"/>
  <c r="BG581" i="12"/>
  <c r="BR581" i="12" s="1"/>
  <c r="V582" i="10"/>
  <c r="EJ582" i="10" s="1"/>
  <c r="BG582" i="12"/>
  <c r="BR582" i="12" s="1"/>
  <c r="V583" i="10" s="1"/>
  <c r="BG583" i="12"/>
  <c r="BR583" i="12" s="1"/>
  <c r="V584" i="10" s="1"/>
  <c r="EJ584" i="10" s="1"/>
  <c r="BG584" i="12"/>
  <c r="BR584" i="12" s="1"/>
  <c r="V585" i="10" s="1"/>
  <c r="EJ585" i="10" s="1"/>
  <c r="BG585" i="12"/>
  <c r="BR585" i="12" s="1"/>
  <c r="V586" i="10"/>
  <c r="EJ586" i="10"/>
  <c r="BG586" i="12"/>
  <c r="BR586" i="12"/>
  <c r="V587" i="10"/>
  <c r="EJ587" i="10" s="1"/>
  <c r="BG587" i="12"/>
  <c r="BR587" i="12" s="1"/>
  <c r="V588" i="10"/>
  <c r="EJ588" i="10"/>
  <c r="BG588" i="12"/>
  <c r="BR588" i="12"/>
  <c r="V589" i="10" s="1"/>
  <c r="EJ589" i="10" s="1"/>
  <c r="BG589" i="12"/>
  <c r="BR589" i="12" s="1"/>
  <c r="V590" i="10" s="1"/>
  <c r="EJ590" i="10" s="1"/>
  <c r="BG590" i="12"/>
  <c r="BR590" i="12"/>
  <c r="V591" i="10" s="1"/>
  <c r="EJ591" i="10" s="1"/>
  <c r="BG591" i="12"/>
  <c r="BR591" i="12" s="1"/>
  <c r="V592" i="10" s="1"/>
  <c r="EJ592" i="10" s="1"/>
  <c r="BG592" i="12"/>
  <c r="BR592" i="12" s="1"/>
  <c r="V593" i="10"/>
  <c r="EJ593" i="10" s="1"/>
  <c r="BG593" i="12"/>
  <c r="BR593" i="12" s="1"/>
  <c r="V594" i="10"/>
  <c r="EJ594" i="10" s="1"/>
  <c r="BG594" i="12"/>
  <c r="BR594" i="12"/>
  <c r="V595" i="10"/>
  <c r="EJ595" i="10" s="1"/>
  <c r="BG595" i="12"/>
  <c r="BR595" i="12" s="1"/>
  <c r="V596" i="10"/>
  <c r="EJ596" i="10" s="1"/>
  <c r="BG596" i="12"/>
  <c r="BR596" i="12" s="1"/>
  <c r="V597" i="10" s="1"/>
  <c r="EJ597" i="10" s="1"/>
  <c r="BG597" i="12"/>
  <c r="BR597" i="12" s="1"/>
  <c r="V598" i="10" s="1"/>
  <c r="EJ598" i="10" s="1"/>
  <c r="BG598" i="12"/>
  <c r="BR598" i="12" s="1"/>
  <c r="V599" i="10" s="1"/>
  <c r="EJ599" i="10" s="1"/>
  <c r="BG599" i="12"/>
  <c r="BR599" i="12" s="1"/>
  <c r="V600" i="10" s="1"/>
  <c r="EJ600" i="10" s="1"/>
  <c r="BH563" i="12"/>
  <c r="BS563" i="12" s="1"/>
  <c r="W564" i="10" s="1"/>
  <c r="EK564" i="10" s="1"/>
  <c r="BH564" i="12"/>
  <c r="BS564" i="12" s="1"/>
  <c r="W565" i="10" s="1"/>
  <c r="EK565" i="10" s="1"/>
  <c r="BH565" i="12"/>
  <c r="BS565" i="12" s="1"/>
  <c r="W566" i="10" s="1"/>
  <c r="EK566" i="10" s="1"/>
  <c r="BH566" i="12"/>
  <c r="BS566" i="12"/>
  <c r="W567" i="10" s="1"/>
  <c r="EK567" i="10" s="1"/>
  <c r="BH567" i="12"/>
  <c r="BS567" i="12" s="1"/>
  <c r="W568" i="10" s="1"/>
  <c r="EK568" i="10" s="1"/>
  <c r="BH568" i="12"/>
  <c r="BS568" i="12" s="1"/>
  <c r="W569" i="10" s="1"/>
  <c r="BH569" i="12"/>
  <c r="BS569" i="12" s="1"/>
  <c r="W570" i="10" s="1"/>
  <c r="EK570" i="10" s="1"/>
  <c r="BH570" i="12"/>
  <c r="BS570" i="12"/>
  <c r="W571" i="10" s="1"/>
  <c r="EK571" i="10" s="1"/>
  <c r="BH571" i="12"/>
  <c r="BS571" i="12" s="1"/>
  <c r="W572" i="10" s="1"/>
  <c r="EK572" i="10" s="1"/>
  <c r="BH572" i="12"/>
  <c r="BS572" i="12" s="1"/>
  <c r="W573" i="10" s="1"/>
  <c r="EK573" i="10" s="1"/>
  <c r="BH573" i="12"/>
  <c r="BS573" i="12" s="1"/>
  <c r="W574" i="10" s="1"/>
  <c r="EK574" i="10" s="1"/>
  <c r="BH574" i="12"/>
  <c r="BS574" i="12"/>
  <c r="W575" i="10" s="1"/>
  <c r="EK575" i="10" s="1"/>
  <c r="BH575" i="12"/>
  <c r="BS575" i="12" s="1"/>
  <c r="W576" i="10" s="1"/>
  <c r="EK576" i="10" s="1"/>
  <c r="BH576" i="12"/>
  <c r="BS576" i="12" s="1"/>
  <c r="W577" i="10" s="1"/>
  <c r="BH577" i="12"/>
  <c r="BS577" i="12" s="1"/>
  <c r="W578" i="10" s="1"/>
  <c r="EK578" i="10" s="1"/>
  <c r="BH578" i="12"/>
  <c r="BS578" i="12"/>
  <c r="W579" i="10" s="1"/>
  <c r="EK579" i="10" s="1"/>
  <c r="BH579" i="12"/>
  <c r="BS579" i="12" s="1"/>
  <c r="W580" i="10" s="1"/>
  <c r="EK580" i="10" s="1"/>
  <c r="BH580" i="12"/>
  <c r="BS580" i="12" s="1"/>
  <c r="W581" i="10" s="1"/>
  <c r="EK581" i="10" s="1"/>
  <c r="BH581" i="12"/>
  <c r="BS581" i="12" s="1"/>
  <c r="W582" i="10" s="1"/>
  <c r="BH582" i="12"/>
  <c r="BS582" i="12"/>
  <c r="W583" i="10" s="1"/>
  <c r="EK583" i="10" s="1"/>
  <c r="BH583" i="12"/>
  <c r="BS583" i="12" s="1"/>
  <c r="W584" i="10" s="1"/>
  <c r="EK584" i="10" s="1"/>
  <c r="BH584" i="12"/>
  <c r="BS584" i="12" s="1"/>
  <c r="W585" i="10" s="1"/>
  <c r="EK585" i="10" s="1"/>
  <c r="BH585" i="12"/>
  <c r="BS585" i="12" s="1"/>
  <c r="W586" i="10" s="1"/>
  <c r="EK586" i="10" s="1"/>
  <c r="BH586" i="12"/>
  <c r="BS586" i="12"/>
  <c r="W587" i="10" s="1"/>
  <c r="EK587" i="10" s="1"/>
  <c r="BH587" i="12"/>
  <c r="BS587" i="12" s="1"/>
  <c r="W588" i="10" s="1"/>
  <c r="EK588" i="10" s="1"/>
  <c r="BH588" i="12"/>
  <c r="BS588" i="12" s="1"/>
  <c r="W589" i="10" s="1"/>
  <c r="EK589" i="10" s="1"/>
  <c r="BH589" i="12"/>
  <c r="BS589" i="12" s="1"/>
  <c r="W590" i="10" s="1"/>
  <c r="BH590" i="12"/>
  <c r="BS590" i="12"/>
  <c r="W591" i="10" s="1"/>
  <c r="EK591" i="10" s="1"/>
  <c r="BH591" i="12"/>
  <c r="BS591" i="12" s="1"/>
  <c r="W592" i="10" s="1"/>
  <c r="EK592" i="10" s="1"/>
  <c r="BH592" i="12"/>
  <c r="BS592" i="12" s="1"/>
  <c r="W593" i="10" s="1"/>
  <c r="EK593" i="10" s="1"/>
  <c r="BH593" i="12"/>
  <c r="BS593" i="12" s="1"/>
  <c r="W594" i="10" s="1"/>
  <c r="EK594" i="10" s="1"/>
  <c r="BH594" i="12"/>
  <c r="BS594" i="12"/>
  <c r="W595" i="10" s="1"/>
  <c r="EK595" i="10" s="1"/>
  <c r="BH595" i="12"/>
  <c r="BS595" i="12" s="1"/>
  <c r="W596" i="10" s="1"/>
  <c r="EK596" i="10" s="1"/>
  <c r="BH596" i="12"/>
  <c r="BS596" i="12" s="1"/>
  <c r="W597" i="10" s="1"/>
  <c r="EK597" i="10" s="1"/>
  <c r="BH597" i="12"/>
  <c r="BS597" i="12" s="1"/>
  <c r="W598" i="10" s="1"/>
  <c r="EK598" i="10" s="1"/>
  <c r="BH598" i="12"/>
  <c r="BS598" i="12"/>
  <c r="W599" i="10" s="1"/>
  <c r="EK599" i="10" s="1"/>
  <c r="BH599" i="12"/>
  <c r="BS599" i="12" s="1"/>
  <c r="W600" i="10" s="1"/>
  <c r="EK600" i="10" s="1"/>
  <c r="AN5" i="10"/>
  <c r="AN4" i="10"/>
  <c r="FB4" i="10" s="1"/>
  <c r="AN6" i="10"/>
  <c r="FB6" i="10" s="1"/>
  <c r="AN7" i="10"/>
  <c r="FB7" i="10" s="1"/>
  <c r="AN8" i="10"/>
  <c r="FB8" i="10" s="1"/>
  <c r="AN9" i="10"/>
  <c r="FB9" i="10" s="1"/>
  <c r="AN10" i="10"/>
  <c r="FB10" i="10"/>
  <c r="AN11" i="10"/>
  <c r="FB11" i="10" s="1"/>
  <c r="AN12" i="10"/>
  <c r="FB12" i="10"/>
  <c r="AN13" i="10"/>
  <c r="FB13" i="10"/>
  <c r="AN14" i="10"/>
  <c r="FB14" i="10"/>
  <c r="AN15" i="10"/>
  <c r="AN16" i="10"/>
  <c r="FB16" i="10" s="1"/>
  <c r="AN17" i="10"/>
  <c r="FB17" i="10"/>
  <c r="AN18" i="10"/>
  <c r="FB18" i="10" s="1"/>
  <c r="AN19" i="10"/>
  <c r="FB19" i="10"/>
  <c r="AF4" i="10"/>
  <c r="ET4" i="10"/>
  <c r="BI563" i="12"/>
  <c r="BM563" i="12" s="1"/>
  <c r="R564" i="10"/>
  <c r="EF564" i="10" s="1"/>
  <c r="BI564" i="12"/>
  <c r="BM564" i="12" s="1"/>
  <c r="R565" i="10" s="1"/>
  <c r="EF565" i="10" s="1"/>
  <c r="BI565" i="12"/>
  <c r="BM565" i="12"/>
  <c r="R566" i="10" s="1"/>
  <c r="EF566" i="10" s="1"/>
  <c r="BI566" i="12"/>
  <c r="BM566" i="12" s="1"/>
  <c r="R567" i="10" s="1"/>
  <c r="EF567" i="10" s="1"/>
  <c r="BI567" i="12"/>
  <c r="BM567" i="12" s="1"/>
  <c r="R568" i="10" s="1"/>
  <c r="BI568" i="12"/>
  <c r="BM568" i="12" s="1"/>
  <c r="R569" i="10" s="1"/>
  <c r="EF569" i="10" s="1"/>
  <c r="BI569" i="12"/>
  <c r="BM569" i="12"/>
  <c r="R570" i="10" s="1"/>
  <c r="EF570" i="10" s="1"/>
  <c r="BI570" i="12"/>
  <c r="BM570" i="12" s="1"/>
  <c r="R571" i="10" s="1"/>
  <c r="EF571" i="10" s="1"/>
  <c r="BI571" i="12"/>
  <c r="BM571" i="12" s="1"/>
  <c r="R572" i="10"/>
  <c r="BI572" i="12"/>
  <c r="BM572" i="12" s="1"/>
  <c r="R573" i="10" s="1"/>
  <c r="EF573" i="10" s="1"/>
  <c r="BI573" i="12"/>
  <c r="BM573" i="12"/>
  <c r="R574" i="10" s="1"/>
  <c r="EF574" i="10" s="1"/>
  <c r="BI574" i="12"/>
  <c r="BM574" i="12" s="1"/>
  <c r="R575" i="10" s="1"/>
  <c r="EF575" i="10" s="1"/>
  <c r="BI575" i="12"/>
  <c r="BM575" i="12" s="1"/>
  <c r="R576" i="10"/>
  <c r="BI576" i="12"/>
  <c r="BM576" i="12" s="1"/>
  <c r="R577" i="10" s="1"/>
  <c r="EF577" i="10" s="1"/>
  <c r="BI577" i="12"/>
  <c r="BM577" i="12"/>
  <c r="R578" i="10" s="1"/>
  <c r="EF578" i="10" s="1"/>
  <c r="BI578" i="12"/>
  <c r="BM578" i="12" s="1"/>
  <c r="R579" i="10" s="1"/>
  <c r="EF579" i="10" s="1"/>
  <c r="BI579" i="12"/>
  <c r="BM579" i="12" s="1"/>
  <c r="R580" i="10"/>
  <c r="EF580" i="10" s="1"/>
  <c r="BI580" i="12"/>
  <c r="BM580" i="12" s="1"/>
  <c r="R581" i="10" s="1"/>
  <c r="EF581" i="10" s="1"/>
  <c r="BI581" i="12"/>
  <c r="BM581" i="12"/>
  <c r="R582" i="10" s="1"/>
  <c r="EF582" i="10" s="1"/>
  <c r="BI582" i="12"/>
  <c r="BM582" i="12" s="1"/>
  <c r="R583" i="10" s="1"/>
  <c r="EF583" i="10" s="1"/>
  <c r="BI583" i="12"/>
  <c r="BM583" i="12" s="1"/>
  <c r="R584" i="10" s="1"/>
  <c r="BI584" i="12"/>
  <c r="BM584" i="12" s="1"/>
  <c r="R585" i="10" s="1"/>
  <c r="EF585" i="10" s="1"/>
  <c r="BI585" i="12"/>
  <c r="BM585" i="12"/>
  <c r="R586" i="10" s="1"/>
  <c r="EF586" i="10" s="1"/>
  <c r="BI586" i="12"/>
  <c r="BM586" i="12" s="1"/>
  <c r="R587" i="10" s="1"/>
  <c r="BI587" i="12"/>
  <c r="BM587" i="12" s="1"/>
  <c r="R588" i="10"/>
  <c r="BI588" i="12"/>
  <c r="BM588" i="12" s="1"/>
  <c r="R589" i="10" s="1"/>
  <c r="EF589" i="10" s="1"/>
  <c r="BI589" i="12"/>
  <c r="BM589" i="12"/>
  <c r="R590" i="10" s="1"/>
  <c r="EF590" i="10" s="1"/>
  <c r="BI590" i="12"/>
  <c r="BM590" i="12" s="1"/>
  <c r="R591" i="10" s="1"/>
  <c r="EF591" i="10" s="1"/>
  <c r="BI591" i="12"/>
  <c r="BM591" i="12" s="1"/>
  <c r="R592" i="10"/>
  <c r="BI592" i="12"/>
  <c r="BM592" i="12" s="1"/>
  <c r="R593" i="10" s="1"/>
  <c r="EF593" i="10" s="1"/>
  <c r="BI593" i="12"/>
  <c r="BM593" i="12"/>
  <c r="R594" i="10" s="1"/>
  <c r="EF594" i="10" s="1"/>
  <c r="BI594" i="12"/>
  <c r="BM594" i="12" s="1"/>
  <c r="R595" i="10" s="1"/>
  <c r="EF595" i="10" s="1"/>
  <c r="BI595" i="12"/>
  <c r="BM595" i="12" s="1"/>
  <c r="R596" i="10"/>
  <c r="EF596" i="10" s="1"/>
  <c r="BI596" i="12"/>
  <c r="BM596" i="12" s="1"/>
  <c r="R597" i="10" s="1"/>
  <c r="EF597" i="10" s="1"/>
  <c r="BI597" i="12"/>
  <c r="BM597" i="12"/>
  <c r="R598" i="10" s="1"/>
  <c r="EF598" i="10" s="1"/>
  <c r="BI598" i="12"/>
  <c r="BM598" i="12" s="1"/>
  <c r="R599" i="10" s="1"/>
  <c r="EF599" i="10" s="1"/>
  <c r="BI599" i="12"/>
  <c r="BM599" i="12" s="1"/>
  <c r="R600" i="10" s="1"/>
  <c r="BJ563" i="12"/>
  <c r="BN563" i="12" s="1"/>
  <c r="S564" i="10"/>
  <c r="EG564" i="10" s="1"/>
  <c r="BJ564" i="12"/>
  <c r="BN564" i="12" s="1"/>
  <c r="S565" i="10"/>
  <c r="BJ565" i="12"/>
  <c r="BN565" i="12" s="1"/>
  <c r="S566" i="10"/>
  <c r="BJ566" i="12"/>
  <c r="BN566" i="12" s="1"/>
  <c r="S567" i="10"/>
  <c r="EG567" i="10" s="1"/>
  <c r="BJ567" i="12"/>
  <c r="BN567" i="12" s="1"/>
  <c r="S568" i="10"/>
  <c r="EG568" i="10" s="1"/>
  <c r="BJ568" i="12"/>
  <c r="BN568" i="12" s="1"/>
  <c r="S569" i="10" s="1"/>
  <c r="BJ569" i="12"/>
  <c r="BN569" i="12" s="1"/>
  <c r="S570" i="10" s="1"/>
  <c r="EG570" i="10" s="1"/>
  <c r="BJ570" i="12"/>
  <c r="BN570" i="12" s="1"/>
  <c r="S571" i="10"/>
  <c r="EG571" i="10" s="1"/>
  <c r="BJ571" i="12"/>
  <c r="BN571" i="12" s="1"/>
  <c r="S572" i="10" s="1"/>
  <c r="EG572" i="10"/>
  <c r="BJ572" i="12"/>
  <c r="BN572" i="12" s="1"/>
  <c r="S573" i="10" s="1"/>
  <c r="EG573" i="10" s="1"/>
  <c r="BJ573" i="12"/>
  <c r="BN573" i="12" s="1"/>
  <c r="S574" i="10" s="1"/>
  <c r="BJ574" i="12"/>
  <c r="BN574" i="12" s="1"/>
  <c r="S575" i="10"/>
  <c r="EG575" i="10" s="1"/>
  <c r="BJ575" i="12"/>
  <c r="BN575" i="12" s="1"/>
  <c r="S576" i="10" s="1"/>
  <c r="BJ576" i="12"/>
  <c r="BN576" i="12" s="1"/>
  <c r="S577" i="10" s="1"/>
  <c r="BJ577" i="12"/>
  <c r="BN577" i="12" s="1"/>
  <c r="S578" i="10"/>
  <c r="EG578" i="10" s="1"/>
  <c r="BJ578" i="12"/>
  <c r="BN578" i="12" s="1"/>
  <c r="S579" i="10" s="1"/>
  <c r="BJ579" i="12"/>
  <c r="BN579" i="12" s="1"/>
  <c r="S580" i="10" s="1"/>
  <c r="EG580" i="10" s="1"/>
  <c r="BJ580" i="12"/>
  <c r="BN580" i="12" s="1"/>
  <c r="S581" i="10" s="1"/>
  <c r="BJ581" i="12"/>
  <c r="BN581" i="12" s="1"/>
  <c r="S582" i="10" s="1"/>
  <c r="BJ582" i="12"/>
  <c r="BN582" i="12" s="1"/>
  <c r="S583" i="10"/>
  <c r="EG583" i="10" s="1"/>
  <c r="BJ583" i="12"/>
  <c r="BN583" i="12" s="1"/>
  <c r="S584" i="10"/>
  <c r="BJ584" i="12"/>
  <c r="BN584" i="12" s="1"/>
  <c r="S585" i="10" s="1"/>
  <c r="BJ585" i="12"/>
  <c r="BN585" i="12" s="1"/>
  <c r="S586" i="10" s="1"/>
  <c r="EG586" i="10" s="1"/>
  <c r="BJ586" i="12"/>
  <c r="BN586" i="12" s="1"/>
  <c r="S587" i="10"/>
  <c r="BJ587" i="12"/>
  <c r="BN587" i="12" s="1"/>
  <c r="S588" i="10"/>
  <c r="EG588" i="10" s="1"/>
  <c r="BJ588" i="12"/>
  <c r="BN588" i="12" s="1"/>
  <c r="S589" i="10" s="1"/>
  <c r="BJ589" i="12"/>
  <c r="BN589" i="12" s="1"/>
  <c r="S590" i="10" s="1"/>
  <c r="EG590" i="10" s="1"/>
  <c r="BJ590" i="12"/>
  <c r="BN590" i="12" s="1"/>
  <c r="S591" i="10" s="1"/>
  <c r="BJ591" i="12"/>
  <c r="BN591" i="12" s="1"/>
  <c r="S592" i="10" s="1"/>
  <c r="BJ592" i="12"/>
  <c r="BN592" i="12" s="1"/>
  <c r="S593" i="10" s="1"/>
  <c r="EG593" i="10" s="1"/>
  <c r="BJ593" i="12"/>
  <c r="BN593" i="12" s="1"/>
  <c r="S594" i="10" s="1"/>
  <c r="EG594" i="10" s="1"/>
  <c r="BJ594" i="12"/>
  <c r="BN594" i="12" s="1"/>
  <c r="S595" i="10"/>
  <c r="BJ595" i="12"/>
  <c r="BN595" i="12" s="1"/>
  <c r="S596" i="10"/>
  <c r="EG596" i="10" s="1"/>
  <c r="BJ596" i="12"/>
  <c r="BN596" i="12" s="1"/>
  <c r="S597" i="10"/>
  <c r="EG597" i="10" s="1"/>
  <c r="BJ597" i="12"/>
  <c r="BN597" i="12" s="1"/>
  <c r="S598" i="10"/>
  <c r="BJ598" i="12"/>
  <c r="BN598" i="12" s="1"/>
  <c r="S599" i="10" s="1"/>
  <c r="BJ599" i="12"/>
  <c r="BN599" i="12" s="1"/>
  <c r="S600" i="10"/>
  <c r="EG600" i="10"/>
  <c r="BK563" i="12"/>
  <c r="BO563" i="12" s="1"/>
  <c r="T564" i="10" s="1"/>
  <c r="BK564" i="12"/>
  <c r="BO564" i="12" s="1"/>
  <c r="T565" i="10" s="1"/>
  <c r="BK565" i="12"/>
  <c r="BO565" i="12" s="1"/>
  <c r="T566" i="10" s="1"/>
  <c r="BK566" i="12"/>
  <c r="BO566" i="12"/>
  <c r="T567" i="10" s="1"/>
  <c r="EH567" i="10" s="1"/>
  <c r="BK567" i="12"/>
  <c r="BO567" i="12"/>
  <c r="T568" i="10" s="1"/>
  <c r="BK568" i="12"/>
  <c r="BO568" i="12" s="1"/>
  <c r="T569" i="10" s="1"/>
  <c r="BK569" i="12"/>
  <c r="BO569" i="12" s="1"/>
  <c r="T570" i="10" s="1"/>
  <c r="CA570" i="10" s="1"/>
  <c r="BK570" i="12"/>
  <c r="BO570" i="12"/>
  <c r="T571" i="10" s="1"/>
  <c r="BK571" i="12"/>
  <c r="BO571" i="12"/>
  <c r="T572" i="10" s="1"/>
  <c r="BK572" i="12"/>
  <c r="BO572" i="12" s="1"/>
  <c r="T573" i="10" s="1"/>
  <c r="EH573" i="10" s="1"/>
  <c r="BK573" i="12"/>
  <c r="BO573" i="12" s="1"/>
  <c r="T574" i="10" s="1"/>
  <c r="BK574" i="12"/>
  <c r="BO574" i="12"/>
  <c r="T575" i="10" s="1"/>
  <c r="EH575" i="10" s="1"/>
  <c r="BK575" i="12"/>
  <c r="BO575" i="12"/>
  <c r="T576" i="10" s="1"/>
  <c r="EH576" i="10" s="1"/>
  <c r="BK576" i="12"/>
  <c r="BO576" i="12" s="1"/>
  <c r="T577" i="10"/>
  <c r="BK577" i="12"/>
  <c r="BO577" i="12" s="1"/>
  <c r="T578" i="10" s="1"/>
  <c r="BK578" i="12"/>
  <c r="BO578" i="12"/>
  <c r="T579" i="10" s="1"/>
  <c r="CA579" i="10" s="1"/>
  <c r="EH579" i="10"/>
  <c r="BK579" i="12"/>
  <c r="BO579" i="12"/>
  <c r="T580" i="10" s="1"/>
  <c r="EH580" i="10" s="1"/>
  <c r="BK580" i="12"/>
  <c r="BO580" i="12" s="1"/>
  <c r="T581" i="10"/>
  <c r="EH581" i="10" s="1"/>
  <c r="BK581" i="12"/>
  <c r="BO581" i="12" s="1"/>
  <c r="T582" i="10" s="1"/>
  <c r="BK582" i="12"/>
  <c r="BO582" i="12"/>
  <c r="T583" i="10" s="1"/>
  <c r="EH583" i="10"/>
  <c r="BK583" i="12"/>
  <c r="BO583" i="12"/>
  <c r="T584" i="10" s="1"/>
  <c r="BK584" i="12"/>
  <c r="BO584" i="12" s="1"/>
  <c r="T585" i="10" s="1"/>
  <c r="BK585" i="12"/>
  <c r="BO585" i="12" s="1"/>
  <c r="T586" i="10" s="1"/>
  <c r="CA586" i="10" s="1"/>
  <c r="EH586" i="10"/>
  <c r="BK586" i="12"/>
  <c r="BO586" i="12"/>
  <c r="T587" i="10" s="1"/>
  <c r="BK587" i="12"/>
  <c r="BO587" i="12"/>
  <c r="T588" i="10" s="1"/>
  <c r="BK588" i="12"/>
  <c r="BO588" i="12" s="1"/>
  <c r="T589" i="10" s="1"/>
  <c r="EH589" i="10" s="1"/>
  <c r="BK589" i="12"/>
  <c r="BO589" i="12" s="1"/>
  <c r="T590" i="10" s="1"/>
  <c r="CA590" i="10" s="1"/>
  <c r="EH590" i="10"/>
  <c r="BK590" i="12"/>
  <c r="BO590" i="12"/>
  <c r="T591" i="10" s="1"/>
  <c r="EH591" i="10" s="1"/>
  <c r="BK591" i="12"/>
  <c r="BO591" i="12"/>
  <c r="T592" i="10" s="1"/>
  <c r="EH592" i="10" s="1"/>
  <c r="BK592" i="12"/>
  <c r="BO592" i="12" s="1"/>
  <c r="T593" i="10" s="1"/>
  <c r="BK593" i="12"/>
  <c r="BO593" i="12" s="1"/>
  <c r="T594" i="10" s="1"/>
  <c r="BK594" i="12"/>
  <c r="BO594" i="12"/>
  <c r="T595" i="10" s="1"/>
  <c r="BK595" i="12"/>
  <c r="BO595" i="12"/>
  <c r="T596" i="10" s="1"/>
  <c r="EH596" i="10" s="1"/>
  <c r="BK596" i="12"/>
  <c r="BO596" i="12" s="1"/>
  <c r="T597" i="10" s="1"/>
  <c r="BK597" i="12"/>
  <c r="BO597" i="12" s="1"/>
  <c r="T598" i="10" s="1"/>
  <c r="BK598" i="12"/>
  <c r="BO598" i="12"/>
  <c r="T599" i="10" s="1"/>
  <c r="EH599" i="10" s="1"/>
  <c r="BK599" i="12"/>
  <c r="BO599" i="12"/>
  <c r="T600" i="10" s="1"/>
  <c r="AF5" i="10"/>
  <c r="ET5" i="10" s="1"/>
  <c r="AF6" i="10"/>
  <c r="ET6" i="10"/>
  <c r="AF7" i="10"/>
  <c r="ET7" i="10" s="1"/>
  <c r="AF8" i="10"/>
  <c r="ET8" i="10" s="1"/>
  <c r="AF9" i="10"/>
  <c r="AF10" i="10"/>
  <c r="AF11" i="10"/>
  <c r="ET11" i="10" s="1"/>
  <c r="AF12" i="10"/>
  <c r="ET12" i="10"/>
  <c r="AF13" i="10"/>
  <c r="ET13" i="10"/>
  <c r="AF14" i="10"/>
  <c r="ET14" i="10"/>
  <c r="AF15" i="10"/>
  <c r="ET15" i="10" s="1"/>
  <c r="AF16" i="10"/>
  <c r="ET16" i="10" s="1"/>
  <c r="AF17" i="10"/>
  <c r="ET17" i="10" s="1"/>
  <c r="AF18" i="10"/>
  <c r="AF19" i="10"/>
  <c r="AF20" i="10"/>
  <c r="ET20" i="10"/>
  <c r="AF21" i="10"/>
  <c r="ET21" i="10"/>
  <c r="AF22" i="10"/>
  <c r="ET22" i="10"/>
  <c r="AF23" i="10"/>
  <c r="ET23" i="10" s="1"/>
  <c r="AF24" i="10"/>
  <c r="AF25" i="10"/>
  <c r="ET25" i="10" s="1"/>
  <c r="AF26" i="10"/>
  <c r="ET26" i="10" s="1"/>
  <c r="AF27" i="10"/>
  <c r="ET27" i="10" s="1"/>
  <c r="AF28" i="10"/>
  <c r="ET28" i="10"/>
  <c r="AF29" i="10"/>
  <c r="ET29" i="10"/>
  <c r="AF30" i="10"/>
  <c r="ET30" i="10"/>
  <c r="AF31" i="10"/>
  <c r="ET31" i="10" s="1"/>
  <c r="AF32" i="10"/>
  <c r="AF33" i="10"/>
  <c r="AF34" i="10"/>
  <c r="ET34" i="10" s="1"/>
  <c r="AF35" i="10"/>
  <c r="ET35" i="10" s="1"/>
  <c r="AF36" i="10"/>
  <c r="ET36" i="10"/>
  <c r="AF37" i="10"/>
  <c r="ET37" i="10"/>
  <c r="AF38" i="10"/>
  <c r="ET38" i="10"/>
  <c r="AF39" i="10"/>
  <c r="ET39" i="10" s="1"/>
  <c r="AF40" i="10"/>
  <c r="ET40" i="10" s="1"/>
  <c r="AF41" i="10"/>
  <c r="AF42" i="10"/>
  <c r="ET42" i="10" s="1"/>
  <c r="AF43" i="10"/>
  <c r="ET43" i="10" s="1"/>
  <c r="AF44" i="10"/>
  <c r="ET44" i="10"/>
  <c r="AF45" i="10"/>
  <c r="ET45" i="10"/>
  <c r="AF46" i="10"/>
  <c r="ET46" i="10"/>
  <c r="AF47" i="10"/>
  <c r="ET47" i="10" s="1"/>
  <c r="AF48" i="10"/>
  <c r="ET48" i="10" s="1"/>
  <c r="AF49" i="10"/>
  <c r="ET49" i="10" s="1"/>
  <c r="AF50" i="10"/>
  <c r="AF51" i="10"/>
  <c r="AF52" i="10"/>
  <c r="ET52" i="10"/>
  <c r="AF53" i="10"/>
  <c r="ET53" i="10"/>
  <c r="AF54" i="10"/>
  <c r="ET54" i="10"/>
  <c r="AF55" i="10"/>
  <c r="ET55" i="10" s="1"/>
  <c r="AF56" i="10"/>
  <c r="AF57" i="10"/>
  <c r="ET57" i="10" s="1"/>
  <c r="AF58" i="10"/>
  <c r="ET58" i="10" s="1"/>
  <c r="AF59" i="10"/>
  <c r="ET59" i="10" s="1"/>
  <c r="AF60" i="10"/>
  <c r="ET60" i="10"/>
  <c r="AF61" i="10"/>
  <c r="ET61" i="10"/>
  <c r="AF62" i="10"/>
  <c r="ET62" i="10"/>
  <c r="AF63" i="10"/>
  <c r="ET63" i="10" s="1"/>
  <c r="AF64" i="10"/>
  <c r="EB564" i="10"/>
  <c r="EB568" i="10"/>
  <c r="EB573" i="10"/>
  <c r="EB574" i="10"/>
  <c r="EB577" i="10"/>
  <c r="EB580" i="10"/>
  <c r="EB581" i="10"/>
  <c r="EB584" i="10"/>
  <c r="EB585" i="10"/>
  <c r="EB589" i="10"/>
  <c r="EB590" i="10"/>
  <c r="EB594" i="10"/>
  <c r="EB595" i="10"/>
  <c r="EB596" i="10"/>
  <c r="EB597" i="10"/>
  <c r="EB600" i="10"/>
  <c r="DD18" i="10"/>
  <c r="DD19" i="10"/>
  <c r="DD20" i="10"/>
  <c r="DD21" i="10"/>
  <c r="DD22" i="10"/>
  <c r="DD23" i="10"/>
  <c r="DD24" i="10"/>
  <c r="DD25" i="10"/>
  <c r="DD26" i="10"/>
  <c r="DD27" i="10"/>
  <c r="DJ18" i="10"/>
  <c r="DJ19" i="10"/>
  <c r="DJ20" i="10"/>
  <c r="DJ21" i="10"/>
  <c r="DJ22" i="10"/>
  <c r="DJ23" i="10"/>
  <c r="DJ24" i="10"/>
  <c r="DJ25" i="10"/>
  <c r="DJ26" i="10"/>
  <c r="DJ27" i="10"/>
  <c r="DJ38" i="10"/>
  <c r="DJ39" i="10"/>
  <c r="DJ40" i="10"/>
  <c r="DJ41" i="10"/>
  <c r="CU4" i="10"/>
  <c r="CB564" i="10"/>
  <c r="CB565" i="10"/>
  <c r="CB566" i="10"/>
  <c r="CB567" i="10"/>
  <c r="CB568" i="10"/>
  <c r="CB569" i="10"/>
  <c r="CB570" i="10"/>
  <c r="CB571" i="10"/>
  <c r="CB572" i="10"/>
  <c r="CB573" i="10"/>
  <c r="CB574" i="10"/>
  <c r="CB575" i="10"/>
  <c r="CB576" i="10"/>
  <c r="CB577" i="10"/>
  <c r="CB578" i="10"/>
  <c r="CB579" i="10"/>
  <c r="CB580" i="10"/>
  <c r="CB581" i="10"/>
  <c r="CB582" i="10"/>
  <c r="CB583" i="10"/>
  <c r="CB584" i="10"/>
  <c r="CB586" i="10"/>
  <c r="CB587" i="10"/>
  <c r="CB588" i="10"/>
  <c r="CB589" i="10"/>
  <c r="CB590" i="10"/>
  <c r="CB591" i="10"/>
  <c r="CB592" i="10"/>
  <c r="CB593" i="10"/>
  <c r="CB594" i="10"/>
  <c r="CB595" i="10"/>
  <c r="CB596" i="10"/>
  <c r="CB597" i="10"/>
  <c r="CB598" i="10"/>
  <c r="CB599" i="10"/>
  <c r="CB600" i="10"/>
  <c r="CC564" i="10"/>
  <c r="CC565" i="10"/>
  <c r="CC566" i="10"/>
  <c r="CC567" i="10"/>
  <c r="CC568" i="10"/>
  <c r="CC569" i="10"/>
  <c r="CC570" i="10"/>
  <c r="CC571" i="10"/>
  <c r="CC572" i="10"/>
  <c r="CC573" i="10"/>
  <c r="CC574" i="10"/>
  <c r="CC575" i="10"/>
  <c r="CC577" i="10"/>
  <c r="CC578" i="10"/>
  <c r="CC579" i="10"/>
  <c r="CC580" i="10"/>
  <c r="CC581" i="10"/>
  <c r="CC582" i="10"/>
  <c r="CC584" i="10"/>
  <c r="CC585" i="10"/>
  <c r="CC586" i="10"/>
  <c r="CC587" i="10"/>
  <c r="CC588" i="10"/>
  <c r="CC589" i="10"/>
  <c r="CC590" i="10"/>
  <c r="CC591" i="10"/>
  <c r="CC592" i="10"/>
  <c r="CC593" i="10"/>
  <c r="CC594" i="10"/>
  <c r="CC595" i="10"/>
  <c r="CC596" i="10"/>
  <c r="CC597" i="10"/>
  <c r="CC598" i="10"/>
  <c r="CC599" i="10"/>
  <c r="CC600" i="10"/>
  <c r="CD564" i="10"/>
  <c r="CD565" i="10"/>
  <c r="CD566" i="10"/>
  <c r="CD567" i="10"/>
  <c r="CD568" i="10"/>
  <c r="CD570" i="10"/>
  <c r="CD571" i="10"/>
  <c r="CD572" i="10"/>
  <c r="CD573" i="10"/>
  <c r="CD574" i="10"/>
  <c r="CD575" i="10"/>
  <c r="CD576" i="10"/>
  <c r="CD578" i="10"/>
  <c r="CD579" i="10"/>
  <c r="CD580" i="10"/>
  <c r="CD581" i="10"/>
  <c r="CD583" i="10"/>
  <c r="CD584" i="10"/>
  <c r="CD585" i="10"/>
  <c r="CD586" i="10"/>
  <c r="CD587" i="10"/>
  <c r="CD588" i="10"/>
  <c r="CD589" i="10"/>
  <c r="CD591" i="10"/>
  <c r="CD592" i="10"/>
  <c r="CD593" i="10"/>
  <c r="CD594" i="10"/>
  <c r="CD595" i="10"/>
  <c r="CD596" i="10"/>
  <c r="CD597" i="10"/>
  <c r="CD598" i="10"/>
  <c r="CD599" i="10"/>
  <c r="CD600" i="10"/>
  <c r="CU6" i="10"/>
  <c r="CU7" i="10"/>
  <c r="CU8" i="10"/>
  <c r="CU9" i="10"/>
  <c r="CU10" i="10"/>
  <c r="CU11" i="10"/>
  <c r="CU12" i="10"/>
  <c r="CU13" i="10"/>
  <c r="CU14" i="10"/>
  <c r="CU16" i="10"/>
  <c r="CU17" i="10"/>
  <c r="CU18" i="10"/>
  <c r="CU19" i="10"/>
  <c r="CM4" i="10"/>
  <c r="BY564" i="10"/>
  <c r="BY565" i="10"/>
  <c r="BY566" i="10"/>
  <c r="BY567" i="10"/>
  <c r="BY569" i="10"/>
  <c r="BY570" i="10"/>
  <c r="BY571" i="10"/>
  <c r="BY573" i="10"/>
  <c r="BY574" i="10"/>
  <c r="BY575" i="10"/>
  <c r="BY577" i="10"/>
  <c r="BY578" i="10"/>
  <c r="BY579" i="10"/>
  <c r="BY580" i="10"/>
  <c r="BY581" i="10"/>
  <c r="BY582" i="10"/>
  <c r="BY583" i="10"/>
  <c r="BY585" i="10"/>
  <c r="BY586" i="10"/>
  <c r="BY589" i="10"/>
  <c r="BY590" i="10"/>
  <c r="BY591" i="10"/>
  <c r="BY593" i="10"/>
  <c r="BY594" i="10"/>
  <c r="BY595" i="10"/>
  <c r="BY596" i="10"/>
  <c r="BY597" i="10"/>
  <c r="BY598" i="10"/>
  <c r="BY599" i="10"/>
  <c r="BZ564" i="10"/>
  <c r="BZ567" i="10"/>
  <c r="BZ568" i="10"/>
  <c r="BZ570" i="10"/>
  <c r="BZ571" i="10"/>
  <c r="BZ572" i="10"/>
  <c r="BZ573" i="10"/>
  <c r="BZ575" i="10"/>
  <c r="BZ578" i="10"/>
  <c r="BZ580" i="10"/>
  <c r="BZ583" i="10"/>
  <c r="BZ586" i="10"/>
  <c r="BZ588" i="10"/>
  <c r="BZ590" i="10"/>
  <c r="BZ593" i="10"/>
  <c r="BZ594" i="10"/>
  <c r="BZ596" i="10"/>
  <c r="BZ597" i="10"/>
  <c r="BZ600" i="10"/>
  <c r="CA567" i="10"/>
  <c r="CA573" i="10"/>
  <c r="CA575" i="10"/>
  <c r="CA576" i="10"/>
  <c r="CA580" i="10"/>
  <c r="CA581" i="10"/>
  <c r="CA583" i="10"/>
  <c r="CA589" i="10"/>
  <c r="CA591" i="10"/>
  <c r="CA592" i="10"/>
  <c r="CA596" i="10"/>
  <c r="CA599" i="10"/>
  <c r="CM5" i="10"/>
  <c r="CM6" i="10"/>
  <c r="CM7" i="10"/>
  <c r="CM8" i="10"/>
  <c r="CM11" i="10"/>
  <c r="CM12" i="10"/>
  <c r="CM13" i="10"/>
  <c r="CM14" i="10"/>
  <c r="CM15" i="10"/>
  <c r="CM16" i="10"/>
  <c r="CM17" i="10"/>
  <c r="CM20" i="10"/>
  <c r="CM21" i="10"/>
  <c r="CM22" i="10"/>
  <c r="CM23" i="10"/>
  <c r="CM25" i="10"/>
  <c r="CM26" i="10"/>
  <c r="CM27" i="10"/>
  <c r="CM28" i="10"/>
  <c r="CM29" i="10"/>
  <c r="CM30" i="10"/>
  <c r="CM31" i="10"/>
  <c r="CM34" i="10"/>
  <c r="CM35" i="10"/>
  <c r="CM36" i="10"/>
  <c r="CM37" i="10"/>
  <c r="CM38" i="10"/>
  <c r="CM39" i="10"/>
  <c r="CM40" i="10"/>
  <c r="CM42" i="10"/>
  <c r="CM43" i="10"/>
  <c r="CM44" i="10"/>
  <c r="CM45" i="10"/>
  <c r="CM46" i="10"/>
  <c r="CM47" i="10"/>
  <c r="CM48" i="10"/>
  <c r="CM49" i="10"/>
  <c r="CM52" i="10"/>
  <c r="CM53" i="10"/>
  <c r="CM54" i="10"/>
  <c r="CM55" i="10"/>
  <c r="CM57" i="10"/>
  <c r="CM58" i="10"/>
  <c r="CM59" i="10"/>
  <c r="CM60" i="10"/>
  <c r="CM61" i="10"/>
  <c r="CM62" i="10"/>
  <c r="CM63" i="10"/>
  <c r="BU586" i="10"/>
  <c r="BU593" i="10"/>
  <c r="AT4" i="10"/>
  <c r="AT3" i="10"/>
  <c r="AW18" i="10"/>
  <c r="AW19" i="10"/>
  <c r="AW20" i="10"/>
  <c r="AW21" i="10"/>
  <c r="AW22" i="10"/>
  <c r="AW23" i="10"/>
  <c r="AW24" i="10"/>
  <c r="AW25" i="10"/>
  <c r="AW26" i="10"/>
  <c r="AW27" i="10"/>
  <c r="AU3" i="10"/>
  <c r="AU4" i="10"/>
  <c r="M33" i="2"/>
  <c r="M34" i="2"/>
  <c r="M37" i="2"/>
  <c r="M38" i="2"/>
  <c r="M31" i="2"/>
  <c r="M32" i="2"/>
  <c r="M35" i="2"/>
  <c r="M36" i="2"/>
  <c r="M39" i="2"/>
  <c r="M40" i="2"/>
  <c r="M41" i="2"/>
  <c r="M42" i="2"/>
  <c r="M43" i="2"/>
  <c r="M44" i="2"/>
  <c r="M45" i="2"/>
  <c r="M46" i="2"/>
  <c r="M47" i="2"/>
  <c r="M48" i="2"/>
  <c r="M49" i="2"/>
  <c r="M50" i="2"/>
  <c r="M51" i="2"/>
  <c r="M52" i="2"/>
  <c r="M53" i="2"/>
  <c r="M54" i="2"/>
  <c r="M55" i="2"/>
  <c r="M56" i="2"/>
  <c r="M57" i="2"/>
  <c r="M58" i="2"/>
  <c r="M59" i="2"/>
  <c r="M60" i="2"/>
  <c r="M61" i="2"/>
  <c r="M62" i="2"/>
  <c r="M63" i="2"/>
  <c r="BC18" i="10"/>
  <c r="BC19" i="10"/>
  <c r="BC20" i="10"/>
  <c r="BC21" i="10"/>
  <c r="BC22" i="10"/>
  <c r="BC23" i="10"/>
  <c r="BC24" i="10"/>
  <c r="BC25" i="10"/>
  <c r="BC26" i="10"/>
  <c r="BC27" i="10"/>
  <c r="BC32" i="10"/>
  <c r="BC33" i="10"/>
  <c r="BC34" i="10"/>
  <c r="BC35" i="10"/>
  <c r="BC36" i="10"/>
  <c r="BC37" i="10"/>
  <c r="BC38" i="10"/>
  <c r="BC39" i="10"/>
  <c r="BC40" i="10"/>
  <c r="BC41" i="10"/>
  <c r="B13" i="10"/>
  <c r="N569" i="10"/>
  <c r="N570" i="10"/>
  <c r="N577" i="10"/>
  <c r="N578" i="10"/>
  <c r="N585" i="10"/>
  <c r="N586" i="10"/>
  <c r="N593" i="10"/>
  <c r="N594" i="10"/>
  <c r="F19" i="10"/>
  <c r="BL563" i="12"/>
  <c r="BP563" i="12"/>
  <c r="I19" i="2"/>
  <c r="I23" i="2"/>
  <c r="L25" i="2"/>
  <c r="M25" i="2" s="1"/>
  <c r="L26" i="2"/>
  <c r="M26" i="2" s="1"/>
  <c r="L27" i="2"/>
  <c r="M27" i="2" s="1"/>
  <c r="FH3" i="10"/>
  <c r="FH4" i="10"/>
  <c r="DA3" i="10"/>
  <c r="DA4" i="10"/>
  <c r="FI4" i="10"/>
  <c r="AV3" i="10"/>
  <c r="DB4" i="10"/>
  <c r="K27" i="15"/>
  <c r="K27" i="13"/>
  <c r="K27" i="11"/>
  <c r="L28" i="2"/>
  <c r="BU563" i="12"/>
  <c r="P31" i="2"/>
  <c r="P33" i="2"/>
  <c r="P32"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H8" i="15"/>
  <c r="H8" i="13"/>
  <c r="N49" i="2"/>
  <c r="O49" i="2"/>
  <c r="N50" i="2"/>
  <c r="O50" i="2"/>
  <c r="N51" i="2"/>
  <c r="O51" i="2"/>
  <c r="N52" i="2"/>
  <c r="O52" i="2"/>
  <c r="N53" i="2"/>
  <c r="O53" i="2"/>
  <c r="N54" i="2"/>
  <c r="O54" i="2"/>
  <c r="N55" i="2"/>
  <c r="O55" i="2"/>
  <c r="N56" i="2"/>
  <c r="O56" i="2"/>
  <c r="N57" i="2"/>
  <c r="O57" i="2"/>
  <c r="N58" i="2"/>
  <c r="O58" i="2"/>
  <c r="N59" i="2"/>
  <c r="O59" i="2"/>
  <c r="N60" i="2"/>
  <c r="O60" i="2"/>
  <c r="N61" i="2"/>
  <c r="O61" i="2"/>
  <c r="N62" i="2"/>
  <c r="O62" i="2"/>
  <c r="N63" i="2"/>
  <c r="O63" i="2"/>
  <c r="N64" i="2"/>
  <c r="O64" i="2"/>
  <c r="N65" i="2"/>
  <c r="O65" i="2"/>
  <c r="N66" i="2"/>
  <c r="O66" i="2"/>
  <c r="N67" i="2"/>
  <c r="O67" i="2"/>
  <c r="N68" i="2"/>
  <c r="O68" i="2"/>
  <c r="N69" i="2"/>
  <c r="O69" i="2"/>
  <c r="N70" i="2"/>
  <c r="O70" i="2"/>
  <c r="N71" i="2"/>
  <c r="O71" i="2"/>
  <c r="N72" i="2"/>
  <c r="O72" i="2"/>
  <c r="N73" i="2"/>
  <c r="O73" i="2"/>
  <c r="N74" i="2"/>
  <c r="O74" i="2"/>
  <c r="N75" i="2"/>
  <c r="O75" i="2"/>
  <c r="N76" i="2"/>
  <c r="O76" i="2"/>
  <c r="N77" i="2"/>
  <c r="O77" i="2"/>
  <c r="N78" i="2"/>
  <c r="O78" i="2"/>
  <c r="N79" i="2"/>
  <c r="O79" i="2"/>
  <c r="N80" i="2"/>
  <c r="O80" i="2"/>
  <c r="N81" i="2"/>
  <c r="O81" i="2"/>
  <c r="N82" i="2"/>
  <c r="O82" i="2"/>
  <c r="N83" i="2"/>
  <c r="O83" i="2"/>
  <c r="N84" i="2"/>
  <c r="O84" i="2"/>
  <c r="N85" i="2"/>
  <c r="O85" i="2"/>
  <c r="N86" i="2"/>
  <c r="O86" i="2"/>
  <c r="N87" i="2"/>
  <c r="O87" i="2"/>
  <c r="N88" i="2"/>
  <c r="O88" i="2"/>
  <c r="N89" i="2"/>
  <c r="O89" i="2"/>
  <c r="N90" i="2"/>
  <c r="O90" i="2"/>
  <c r="N91" i="2"/>
  <c r="O91" i="2"/>
  <c r="N92" i="2"/>
  <c r="O92" i="2"/>
  <c r="N93" i="2"/>
  <c r="O93" i="2"/>
  <c r="N94" i="2"/>
  <c r="O94" i="2"/>
  <c r="N95" i="2"/>
  <c r="O95" i="2"/>
  <c r="N96" i="2"/>
  <c r="O96" i="2"/>
  <c r="N97" i="2"/>
  <c r="O97" i="2"/>
  <c r="N98" i="2"/>
  <c r="O98" i="2"/>
  <c r="N99" i="2"/>
  <c r="O99" i="2"/>
  <c r="N100" i="2"/>
  <c r="O100" i="2"/>
  <c r="N101" i="2"/>
  <c r="O101" i="2"/>
  <c r="N102" i="2"/>
  <c r="O102" i="2"/>
  <c r="N103" i="2"/>
  <c r="O103" i="2"/>
  <c r="N104" i="2"/>
  <c r="O104" i="2"/>
  <c r="N105" i="2"/>
  <c r="O105" i="2"/>
  <c r="N106" i="2"/>
  <c r="O106" i="2"/>
  <c r="N107" i="2"/>
  <c r="O107" i="2"/>
  <c r="N108" i="2"/>
  <c r="O108" i="2"/>
  <c r="N109" i="2"/>
  <c r="O109" i="2"/>
  <c r="N110" i="2"/>
  <c r="O110" i="2"/>
  <c r="N111" i="2"/>
  <c r="O111" i="2"/>
  <c r="N112" i="2"/>
  <c r="O112" i="2"/>
  <c r="N113" i="2"/>
  <c r="O113" i="2"/>
  <c r="N114" i="2"/>
  <c r="O114" i="2"/>
  <c r="N115" i="2"/>
  <c r="O115" i="2"/>
  <c r="N116" i="2"/>
  <c r="O116" i="2"/>
  <c r="N117" i="2"/>
  <c r="O117" i="2"/>
  <c r="N118" i="2"/>
  <c r="O118" i="2"/>
  <c r="N119" i="2"/>
  <c r="O119" i="2"/>
  <c r="N120" i="2"/>
  <c r="O120" i="2"/>
  <c r="N121" i="2"/>
  <c r="O121" i="2"/>
  <c r="N122" i="2"/>
  <c r="O122" i="2"/>
  <c r="N123" i="2"/>
  <c r="O123" i="2"/>
  <c r="N124" i="2"/>
  <c r="O124" i="2"/>
  <c r="N125" i="2"/>
  <c r="O125" i="2"/>
  <c r="N126" i="2"/>
  <c r="O126" i="2"/>
  <c r="N127" i="2"/>
  <c r="O127" i="2"/>
  <c r="N128" i="2"/>
  <c r="O128" i="2"/>
  <c r="N129" i="2"/>
  <c r="O129" i="2"/>
  <c r="N130" i="2"/>
  <c r="O130" i="2"/>
  <c r="N131" i="2"/>
  <c r="O131" i="2"/>
  <c r="N132" i="2"/>
  <c r="O132" i="2"/>
  <c r="N133" i="2"/>
  <c r="O133" i="2"/>
  <c r="N134" i="2"/>
  <c r="O134" i="2"/>
  <c r="N135" i="2"/>
  <c r="O135" i="2"/>
  <c r="N136" i="2"/>
  <c r="O136" i="2"/>
  <c r="N137" i="2"/>
  <c r="O137" i="2"/>
  <c r="N138" i="2"/>
  <c r="O138" i="2"/>
  <c r="N139" i="2"/>
  <c r="O139" i="2"/>
  <c r="N140" i="2"/>
  <c r="O140" i="2"/>
  <c r="N141" i="2"/>
  <c r="O141" i="2"/>
  <c r="N142" i="2"/>
  <c r="O142" i="2"/>
  <c r="N143" i="2"/>
  <c r="O143" i="2"/>
  <c r="N144" i="2"/>
  <c r="O144" i="2"/>
  <c r="N145" i="2"/>
  <c r="O145" i="2"/>
  <c r="N146" i="2"/>
  <c r="O146" i="2"/>
  <c r="N147" i="2"/>
  <c r="O147" i="2"/>
  <c r="N148" i="2"/>
  <c r="O148" i="2"/>
  <c r="N149" i="2"/>
  <c r="O149" i="2"/>
  <c r="N150" i="2"/>
  <c r="O150" i="2"/>
  <c r="N151" i="2"/>
  <c r="O151" i="2"/>
  <c r="N152" i="2"/>
  <c r="O152" i="2"/>
  <c r="N153" i="2"/>
  <c r="O153" i="2"/>
  <c r="N154" i="2"/>
  <c r="O154" i="2"/>
  <c r="N155" i="2"/>
  <c r="O155" i="2"/>
  <c r="N156" i="2"/>
  <c r="O156" i="2"/>
  <c r="N157" i="2"/>
  <c r="O157" i="2"/>
  <c r="N158" i="2"/>
  <c r="O158" i="2"/>
  <c r="N159" i="2"/>
  <c r="O159" i="2"/>
  <c r="N160" i="2"/>
  <c r="O160" i="2"/>
  <c r="N161" i="2"/>
  <c r="O161" i="2"/>
  <c r="N162" i="2"/>
  <c r="O162" i="2"/>
  <c r="N163" i="2"/>
  <c r="O163" i="2"/>
  <c r="N164" i="2"/>
  <c r="O164" i="2"/>
  <c r="N165" i="2"/>
  <c r="O165" i="2"/>
  <c r="N166" i="2"/>
  <c r="O166" i="2"/>
  <c r="N167" i="2"/>
  <c r="O167" i="2"/>
  <c r="N168" i="2"/>
  <c r="O168" i="2"/>
  <c r="N169" i="2"/>
  <c r="O169" i="2"/>
  <c r="N170" i="2"/>
  <c r="O170" i="2"/>
  <c r="N171" i="2"/>
  <c r="O171" i="2"/>
  <c r="N172" i="2"/>
  <c r="O172" i="2"/>
  <c r="N173" i="2"/>
  <c r="O173" i="2"/>
  <c r="N174" i="2"/>
  <c r="O174" i="2"/>
  <c r="N175" i="2"/>
  <c r="O175" i="2"/>
  <c r="N176" i="2"/>
  <c r="O176" i="2"/>
  <c r="N177" i="2"/>
  <c r="O177" i="2"/>
  <c r="N178" i="2"/>
  <c r="O178" i="2"/>
  <c r="N179" i="2"/>
  <c r="O179" i="2"/>
  <c r="N180" i="2"/>
  <c r="O180" i="2"/>
  <c r="N181" i="2"/>
  <c r="O181" i="2"/>
  <c r="N182" i="2"/>
  <c r="O182" i="2"/>
  <c r="N183" i="2"/>
  <c r="O183" i="2"/>
  <c r="N184" i="2"/>
  <c r="O184" i="2"/>
  <c r="N185" i="2"/>
  <c r="O185" i="2"/>
  <c r="N186" i="2"/>
  <c r="O186" i="2"/>
  <c r="N187" i="2"/>
  <c r="O187" i="2"/>
  <c r="N188" i="2"/>
  <c r="O188" i="2"/>
  <c r="N189" i="2"/>
  <c r="O189" i="2"/>
  <c r="N190" i="2"/>
  <c r="O190" i="2"/>
  <c r="N191" i="2"/>
  <c r="O191" i="2"/>
  <c r="N192" i="2"/>
  <c r="O192" i="2"/>
  <c r="N193" i="2"/>
  <c r="O193" i="2"/>
  <c r="N194" i="2"/>
  <c r="O194" i="2"/>
  <c r="N195" i="2"/>
  <c r="O195" i="2"/>
  <c r="N196" i="2"/>
  <c r="O196" i="2"/>
  <c r="N197" i="2"/>
  <c r="O197" i="2"/>
  <c r="N198" i="2"/>
  <c r="O198" i="2"/>
  <c r="N199" i="2"/>
  <c r="O199" i="2"/>
  <c r="N200" i="2"/>
  <c r="O200" i="2"/>
  <c r="N201" i="2"/>
  <c r="O201" i="2"/>
  <c r="N202" i="2"/>
  <c r="O202" i="2"/>
  <c r="N203" i="2"/>
  <c r="O203" i="2"/>
  <c r="N204" i="2"/>
  <c r="O204" i="2"/>
  <c r="N205" i="2"/>
  <c r="O205" i="2"/>
  <c r="N206" i="2"/>
  <c r="O206" i="2"/>
  <c r="N207" i="2"/>
  <c r="O207" i="2"/>
  <c r="N208" i="2"/>
  <c r="O208" i="2"/>
  <c r="N209" i="2"/>
  <c r="O209" i="2"/>
  <c r="N210" i="2"/>
  <c r="O210" i="2"/>
  <c r="N211" i="2"/>
  <c r="O211" i="2"/>
  <c r="N212" i="2"/>
  <c r="O212" i="2"/>
  <c r="N213" i="2"/>
  <c r="O213" i="2"/>
  <c r="N214" i="2"/>
  <c r="O214" i="2"/>
  <c r="N215" i="2"/>
  <c r="O215" i="2"/>
  <c r="N216" i="2"/>
  <c r="O216" i="2"/>
  <c r="N217" i="2"/>
  <c r="O217" i="2"/>
  <c r="N218" i="2"/>
  <c r="O218" i="2"/>
  <c r="N219" i="2"/>
  <c r="O219" i="2"/>
  <c r="N220" i="2"/>
  <c r="O220" i="2"/>
  <c r="N221" i="2"/>
  <c r="O221" i="2"/>
  <c r="N222" i="2"/>
  <c r="O222" i="2"/>
  <c r="N223" i="2"/>
  <c r="O223" i="2"/>
  <c r="N224" i="2"/>
  <c r="O224" i="2"/>
  <c r="N225" i="2"/>
  <c r="O225" i="2"/>
  <c r="N226" i="2"/>
  <c r="O226" i="2"/>
  <c r="N227" i="2"/>
  <c r="O227" i="2"/>
  <c r="N228" i="2"/>
  <c r="O228" i="2"/>
  <c r="N229" i="2"/>
  <c r="O229" i="2"/>
  <c r="N230" i="2"/>
  <c r="O230" i="2"/>
  <c r="N231" i="2"/>
  <c r="O231" i="2"/>
  <c r="N232" i="2"/>
  <c r="O232" i="2"/>
  <c r="N233" i="2"/>
  <c r="O233" i="2"/>
  <c r="N234" i="2"/>
  <c r="O234" i="2"/>
  <c r="N235" i="2"/>
  <c r="O235" i="2"/>
  <c r="N236" i="2"/>
  <c r="O236" i="2"/>
  <c r="N237" i="2"/>
  <c r="O237" i="2"/>
  <c r="N238" i="2"/>
  <c r="O238" i="2"/>
  <c r="N239" i="2"/>
  <c r="O239" i="2"/>
  <c r="N240" i="2"/>
  <c r="O240" i="2"/>
  <c r="N241" i="2"/>
  <c r="O241" i="2"/>
  <c r="N242" i="2"/>
  <c r="O242" i="2"/>
  <c r="N243" i="2"/>
  <c r="O243" i="2"/>
  <c r="N244" i="2"/>
  <c r="O244" i="2"/>
  <c r="N245" i="2"/>
  <c r="O245" i="2"/>
  <c r="N246" i="2"/>
  <c r="O246" i="2"/>
  <c r="N247" i="2"/>
  <c r="O247" i="2"/>
  <c r="N248" i="2"/>
  <c r="O248" i="2"/>
  <c r="N249" i="2"/>
  <c r="O249" i="2"/>
  <c r="N250" i="2"/>
  <c r="O250" i="2"/>
  <c r="N251" i="2"/>
  <c r="O251" i="2"/>
  <c r="N252" i="2"/>
  <c r="O252" i="2"/>
  <c r="N253" i="2"/>
  <c r="O253" i="2"/>
  <c r="N254" i="2"/>
  <c r="O254" i="2"/>
  <c r="N255" i="2"/>
  <c r="O255" i="2"/>
  <c r="N256" i="2"/>
  <c r="O256" i="2"/>
  <c r="N257" i="2"/>
  <c r="O257" i="2"/>
  <c r="N258" i="2"/>
  <c r="O258" i="2"/>
  <c r="N259" i="2"/>
  <c r="O259" i="2"/>
  <c r="N260" i="2"/>
  <c r="O260" i="2"/>
  <c r="N261" i="2"/>
  <c r="O261" i="2"/>
  <c r="N262" i="2"/>
  <c r="O262" i="2"/>
  <c r="N263" i="2"/>
  <c r="O263" i="2"/>
  <c r="N264" i="2"/>
  <c r="O264" i="2"/>
  <c r="N265" i="2"/>
  <c r="O265" i="2"/>
  <c r="N266" i="2"/>
  <c r="O266" i="2"/>
  <c r="N267" i="2"/>
  <c r="O267" i="2"/>
  <c r="N268" i="2"/>
  <c r="O268" i="2"/>
  <c r="N269" i="2"/>
  <c r="O269" i="2"/>
  <c r="N270" i="2"/>
  <c r="O270" i="2"/>
  <c r="N271" i="2"/>
  <c r="O271" i="2"/>
  <c r="N272" i="2"/>
  <c r="O272" i="2"/>
  <c r="N273" i="2"/>
  <c r="O273" i="2"/>
  <c r="N274" i="2"/>
  <c r="O274" i="2"/>
  <c r="N275" i="2"/>
  <c r="O275" i="2"/>
  <c r="N276" i="2"/>
  <c r="O276" i="2"/>
  <c r="N277" i="2"/>
  <c r="O277" i="2"/>
  <c r="N278" i="2"/>
  <c r="O278" i="2"/>
  <c r="N279" i="2"/>
  <c r="O279" i="2"/>
  <c r="N280" i="2"/>
  <c r="O280" i="2"/>
  <c r="N281" i="2"/>
  <c r="O281" i="2"/>
  <c r="N282" i="2"/>
  <c r="O282" i="2"/>
  <c r="N283" i="2"/>
  <c r="O283" i="2"/>
  <c r="N284" i="2"/>
  <c r="O284" i="2"/>
  <c r="N285" i="2"/>
  <c r="O285" i="2"/>
  <c r="N286" i="2"/>
  <c r="O286" i="2"/>
  <c r="N287" i="2"/>
  <c r="O287" i="2"/>
  <c r="N288" i="2"/>
  <c r="O288" i="2"/>
  <c r="N289" i="2"/>
  <c r="O289" i="2"/>
  <c r="N290" i="2"/>
  <c r="O290" i="2"/>
  <c r="N291" i="2"/>
  <c r="O291" i="2"/>
  <c r="N292" i="2"/>
  <c r="O292" i="2"/>
  <c r="N293" i="2"/>
  <c r="O293" i="2"/>
  <c r="N294" i="2"/>
  <c r="O294" i="2"/>
  <c r="N295" i="2"/>
  <c r="O295" i="2"/>
  <c r="N296" i="2"/>
  <c r="O296" i="2"/>
  <c r="N297" i="2"/>
  <c r="O297" i="2"/>
  <c r="N298" i="2"/>
  <c r="O298" i="2"/>
  <c r="N299" i="2"/>
  <c r="O299" i="2"/>
  <c r="N300" i="2"/>
  <c r="O300" i="2"/>
  <c r="N301" i="2"/>
  <c r="O301" i="2"/>
  <c r="N302" i="2"/>
  <c r="O302" i="2"/>
  <c r="N303" i="2"/>
  <c r="O303" i="2"/>
  <c r="N304" i="2"/>
  <c r="O304" i="2"/>
  <c r="N305" i="2"/>
  <c r="O305" i="2"/>
  <c r="N306" i="2"/>
  <c r="O306" i="2"/>
  <c r="N307" i="2"/>
  <c r="O307" i="2"/>
  <c r="N308" i="2"/>
  <c r="O308" i="2"/>
  <c r="N309" i="2"/>
  <c r="O309" i="2"/>
  <c r="N310" i="2"/>
  <c r="O310" i="2"/>
  <c r="N311" i="2"/>
  <c r="O311" i="2"/>
  <c r="N312" i="2"/>
  <c r="O312" i="2"/>
  <c r="N313" i="2"/>
  <c r="O313" i="2"/>
  <c r="N314" i="2"/>
  <c r="O314" i="2"/>
  <c r="N315" i="2"/>
  <c r="O315" i="2"/>
  <c r="N316" i="2"/>
  <c r="O316" i="2"/>
  <c r="N317" i="2"/>
  <c r="O317" i="2"/>
  <c r="N318" i="2"/>
  <c r="O318" i="2"/>
  <c r="N319" i="2"/>
  <c r="O319" i="2"/>
  <c r="N320" i="2"/>
  <c r="O320" i="2"/>
  <c r="N321" i="2"/>
  <c r="O321" i="2"/>
  <c r="N322" i="2"/>
  <c r="O322" i="2"/>
  <c r="N323" i="2"/>
  <c r="O323" i="2"/>
  <c r="N324" i="2"/>
  <c r="O324" i="2"/>
  <c r="N325" i="2"/>
  <c r="O325" i="2"/>
  <c r="N326" i="2"/>
  <c r="O326" i="2"/>
  <c r="N327" i="2"/>
  <c r="O327" i="2"/>
  <c r="N328" i="2"/>
  <c r="O328" i="2"/>
  <c r="N329" i="2"/>
  <c r="O329" i="2"/>
  <c r="N330" i="2"/>
  <c r="O330" i="2"/>
  <c r="N331" i="2"/>
  <c r="O331" i="2"/>
  <c r="N332" i="2"/>
  <c r="O332" i="2"/>
  <c r="N333" i="2"/>
  <c r="O333" i="2"/>
  <c r="N334" i="2"/>
  <c r="O334" i="2"/>
  <c r="N335" i="2"/>
  <c r="O335" i="2"/>
  <c r="N336" i="2"/>
  <c r="O336" i="2"/>
  <c r="N337" i="2"/>
  <c r="O337" i="2"/>
  <c r="N338" i="2"/>
  <c r="O338" i="2"/>
  <c r="N339" i="2"/>
  <c r="O339" i="2"/>
  <c r="N340" i="2"/>
  <c r="O340" i="2"/>
  <c r="N341" i="2"/>
  <c r="O341" i="2"/>
  <c r="N342" i="2"/>
  <c r="O342" i="2"/>
  <c r="N343" i="2"/>
  <c r="O343" i="2"/>
  <c r="N344" i="2"/>
  <c r="O344" i="2"/>
  <c r="N345" i="2"/>
  <c r="O345" i="2"/>
  <c r="N346" i="2"/>
  <c r="O346" i="2"/>
  <c r="N347" i="2"/>
  <c r="O347" i="2"/>
  <c r="N348" i="2"/>
  <c r="O348" i="2"/>
  <c r="N349" i="2"/>
  <c r="O349" i="2"/>
  <c r="N350" i="2"/>
  <c r="O350" i="2"/>
  <c r="N351" i="2"/>
  <c r="O351" i="2"/>
  <c r="N352" i="2"/>
  <c r="O352" i="2"/>
  <c r="N353" i="2"/>
  <c r="O353" i="2"/>
  <c r="N354" i="2"/>
  <c r="O354" i="2"/>
  <c r="N355" i="2"/>
  <c r="O355" i="2"/>
  <c r="N356" i="2"/>
  <c r="O356" i="2"/>
  <c r="N357" i="2"/>
  <c r="O357" i="2"/>
  <c r="N358" i="2"/>
  <c r="O358" i="2"/>
  <c r="N359" i="2"/>
  <c r="O359" i="2"/>
  <c r="N360" i="2"/>
  <c r="O360" i="2"/>
  <c r="N361" i="2"/>
  <c r="O361" i="2"/>
  <c r="N362" i="2"/>
  <c r="O362" i="2"/>
  <c r="N363" i="2"/>
  <c r="O363" i="2"/>
  <c r="N364" i="2"/>
  <c r="O364" i="2"/>
  <c r="N365" i="2"/>
  <c r="O365" i="2"/>
  <c r="N366" i="2"/>
  <c r="O366" i="2"/>
  <c r="N367" i="2"/>
  <c r="O367" i="2"/>
  <c r="N368" i="2"/>
  <c r="O368" i="2"/>
  <c r="N369" i="2"/>
  <c r="O369" i="2"/>
  <c r="N370" i="2"/>
  <c r="O370" i="2"/>
  <c r="N371" i="2"/>
  <c r="O371" i="2"/>
  <c r="N372" i="2"/>
  <c r="O372" i="2"/>
  <c r="N373" i="2"/>
  <c r="O373" i="2"/>
  <c r="N374" i="2"/>
  <c r="O374" i="2"/>
  <c r="N375" i="2"/>
  <c r="O375" i="2"/>
  <c r="N376" i="2"/>
  <c r="O376" i="2"/>
  <c r="N377" i="2"/>
  <c r="O377" i="2"/>
  <c r="N378" i="2"/>
  <c r="O378" i="2"/>
  <c r="N379" i="2"/>
  <c r="O379" i="2"/>
  <c r="N380" i="2"/>
  <c r="O380" i="2"/>
  <c r="N381" i="2"/>
  <c r="O381" i="2"/>
  <c r="N382" i="2"/>
  <c r="O382" i="2"/>
  <c r="N383" i="2"/>
  <c r="O383" i="2"/>
  <c r="N384" i="2"/>
  <c r="O384" i="2"/>
  <c r="N385" i="2"/>
  <c r="O385" i="2"/>
  <c r="N386" i="2"/>
  <c r="O386" i="2"/>
  <c r="N387" i="2"/>
  <c r="O387" i="2"/>
  <c r="N388" i="2"/>
  <c r="O388" i="2"/>
  <c r="N389" i="2"/>
  <c r="O389" i="2"/>
  <c r="N390" i="2"/>
  <c r="O390" i="2"/>
  <c r="N391" i="2"/>
  <c r="O391" i="2"/>
  <c r="N392" i="2"/>
  <c r="O392" i="2"/>
  <c r="N393" i="2"/>
  <c r="O393" i="2"/>
  <c r="N394" i="2"/>
  <c r="O394" i="2"/>
  <c r="N395" i="2"/>
  <c r="O395" i="2"/>
  <c r="N396" i="2"/>
  <c r="O396" i="2"/>
  <c r="N397" i="2"/>
  <c r="O397" i="2"/>
  <c r="N398" i="2"/>
  <c r="O398" i="2"/>
  <c r="N399" i="2"/>
  <c r="O399" i="2"/>
  <c r="N400" i="2"/>
  <c r="O400" i="2"/>
  <c r="N32" i="2"/>
  <c r="O32" i="2"/>
  <c r="N33" i="2"/>
  <c r="O33" i="2"/>
  <c r="N34" i="2"/>
  <c r="O34" i="2"/>
  <c r="N35" i="2"/>
  <c r="O35" i="2"/>
  <c r="N36" i="2"/>
  <c r="O36" i="2"/>
  <c r="N37" i="2"/>
  <c r="O37" i="2"/>
  <c r="N38" i="2"/>
  <c r="O38" i="2"/>
  <c r="N39" i="2"/>
  <c r="O39" i="2"/>
  <c r="N40" i="2"/>
  <c r="O40" i="2"/>
  <c r="N41" i="2"/>
  <c r="O41" i="2"/>
  <c r="N42" i="2"/>
  <c r="O42" i="2"/>
  <c r="N43" i="2"/>
  <c r="O43" i="2"/>
  <c r="N44" i="2"/>
  <c r="O44" i="2"/>
  <c r="N45" i="2"/>
  <c r="O45" i="2"/>
  <c r="N46" i="2"/>
  <c r="O46" i="2"/>
  <c r="N47" i="2"/>
  <c r="O47" i="2"/>
  <c r="N48" i="2"/>
  <c r="O48" i="2"/>
  <c r="O31" i="2"/>
  <c r="N31" i="2"/>
  <c r="FK24" i="10"/>
  <c r="FK25" i="10"/>
  <c r="FK26" i="10"/>
  <c r="FK27" i="10"/>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I46" i="2"/>
  <c r="J46" i="2"/>
  <c r="I47" i="2"/>
  <c r="J47" i="2"/>
  <c r="I48" i="2"/>
  <c r="J48" i="2"/>
  <c r="I49" i="2"/>
  <c r="J49" i="2"/>
  <c r="I50" i="2"/>
  <c r="J50" i="2"/>
  <c r="I51" i="2"/>
  <c r="J51" i="2"/>
  <c r="I52" i="2"/>
  <c r="J52" i="2"/>
  <c r="I53" i="2"/>
  <c r="J53" i="2"/>
  <c r="I54" i="2"/>
  <c r="J54" i="2"/>
  <c r="I55" i="2"/>
  <c r="J55" i="2"/>
  <c r="I56" i="2"/>
  <c r="J56" i="2"/>
  <c r="I57" i="2"/>
  <c r="J57" i="2"/>
  <c r="I58" i="2"/>
  <c r="J58" i="2"/>
  <c r="I59" i="2"/>
  <c r="J59" i="2"/>
  <c r="I60" i="2"/>
  <c r="J60" i="2"/>
  <c r="I61" i="2"/>
  <c r="J61" i="2"/>
  <c r="I62" i="2"/>
  <c r="J62" i="2"/>
  <c r="I63" i="2"/>
  <c r="J63" i="2"/>
  <c r="I64" i="2"/>
  <c r="J64" i="2"/>
  <c r="I65" i="2"/>
  <c r="J65" i="2"/>
  <c r="I66" i="2"/>
  <c r="J66" i="2"/>
  <c r="I67" i="2"/>
  <c r="J67" i="2"/>
  <c r="I68" i="2"/>
  <c r="J68" i="2"/>
  <c r="I69" i="2"/>
  <c r="J69" i="2"/>
  <c r="I70" i="2"/>
  <c r="J70" i="2"/>
  <c r="I71" i="2"/>
  <c r="J71" i="2"/>
  <c r="I72" i="2"/>
  <c r="J72" i="2"/>
  <c r="I73" i="2"/>
  <c r="J73" i="2"/>
  <c r="I74" i="2"/>
  <c r="J74" i="2"/>
  <c r="I75" i="2"/>
  <c r="J75" i="2"/>
  <c r="I76" i="2"/>
  <c r="J76" i="2"/>
  <c r="I77" i="2"/>
  <c r="J77" i="2"/>
  <c r="I78" i="2"/>
  <c r="J78" i="2"/>
  <c r="I79" i="2"/>
  <c r="J79" i="2"/>
  <c r="I80" i="2"/>
  <c r="J80" i="2"/>
  <c r="I81" i="2"/>
  <c r="J81" i="2"/>
  <c r="I82" i="2"/>
  <c r="J82" i="2"/>
  <c r="I83" i="2"/>
  <c r="J83" i="2"/>
  <c r="I84" i="2"/>
  <c r="J84" i="2"/>
  <c r="I85" i="2"/>
  <c r="J85" i="2"/>
  <c r="I86" i="2"/>
  <c r="J86" i="2"/>
  <c r="I87" i="2"/>
  <c r="J87" i="2"/>
  <c r="I88" i="2"/>
  <c r="J88" i="2"/>
  <c r="I89" i="2"/>
  <c r="J89" i="2"/>
  <c r="I90" i="2"/>
  <c r="J90" i="2"/>
  <c r="I91" i="2"/>
  <c r="J91" i="2"/>
  <c r="I92" i="2"/>
  <c r="J92" i="2"/>
  <c r="I93" i="2"/>
  <c r="J93" i="2"/>
  <c r="I94" i="2"/>
  <c r="J94" i="2"/>
  <c r="I95" i="2"/>
  <c r="J95" i="2"/>
  <c r="I96" i="2"/>
  <c r="J96" i="2"/>
  <c r="I97" i="2"/>
  <c r="J97" i="2"/>
  <c r="I98" i="2"/>
  <c r="J98" i="2"/>
  <c r="I99" i="2"/>
  <c r="J99" i="2"/>
  <c r="I100" i="2"/>
  <c r="J100" i="2"/>
  <c r="I101" i="2"/>
  <c r="J101" i="2"/>
  <c r="I102" i="2"/>
  <c r="J102" i="2"/>
  <c r="I103" i="2"/>
  <c r="J103" i="2"/>
  <c r="I104" i="2"/>
  <c r="J104" i="2"/>
  <c r="I105" i="2"/>
  <c r="J105" i="2"/>
  <c r="I106" i="2"/>
  <c r="J106" i="2"/>
  <c r="I107" i="2"/>
  <c r="J107" i="2"/>
  <c r="I108" i="2"/>
  <c r="J108" i="2"/>
  <c r="I109" i="2"/>
  <c r="J109" i="2"/>
  <c r="I110" i="2"/>
  <c r="J110" i="2"/>
  <c r="I111" i="2"/>
  <c r="J111" i="2"/>
  <c r="I112" i="2"/>
  <c r="J112" i="2"/>
  <c r="I113" i="2"/>
  <c r="J113" i="2"/>
  <c r="I114" i="2"/>
  <c r="J114" i="2"/>
  <c r="I115" i="2"/>
  <c r="J115" i="2"/>
  <c r="I116" i="2"/>
  <c r="J116" i="2"/>
  <c r="I117" i="2"/>
  <c r="J117" i="2"/>
  <c r="I118" i="2"/>
  <c r="J118" i="2"/>
  <c r="I119" i="2"/>
  <c r="J119" i="2"/>
  <c r="I120" i="2"/>
  <c r="J120" i="2"/>
  <c r="I121" i="2"/>
  <c r="J121" i="2"/>
  <c r="I122" i="2"/>
  <c r="J122" i="2"/>
  <c r="I123" i="2"/>
  <c r="J123" i="2"/>
  <c r="I124" i="2"/>
  <c r="J124" i="2"/>
  <c r="I125" i="2"/>
  <c r="J125" i="2"/>
  <c r="I126" i="2"/>
  <c r="J126" i="2"/>
  <c r="I127" i="2"/>
  <c r="J127" i="2"/>
  <c r="I128" i="2"/>
  <c r="J128" i="2"/>
  <c r="I129" i="2"/>
  <c r="J129" i="2"/>
  <c r="I130" i="2"/>
  <c r="J130" i="2"/>
  <c r="I131" i="2"/>
  <c r="J131" i="2"/>
  <c r="I132" i="2"/>
  <c r="J132" i="2"/>
  <c r="I133" i="2"/>
  <c r="J133" i="2"/>
  <c r="I134" i="2"/>
  <c r="J134" i="2"/>
  <c r="I135" i="2"/>
  <c r="J135" i="2"/>
  <c r="I136" i="2"/>
  <c r="J136" i="2"/>
  <c r="I137" i="2"/>
  <c r="J137" i="2"/>
  <c r="I138" i="2"/>
  <c r="J138" i="2"/>
  <c r="I139" i="2"/>
  <c r="J139" i="2"/>
  <c r="I140" i="2"/>
  <c r="J140" i="2"/>
  <c r="I141" i="2"/>
  <c r="J141" i="2"/>
  <c r="I142" i="2"/>
  <c r="J142" i="2"/>
  <c r="I143" i="2"/>
  <c r="J143" i="2"/>
  <c r="I144" i="2"/>
  <c r="J144" i="2"/>
  <c r="I145" i="2"/>
  <c r="J145" i="2"/>
  <c r="I146" i="2"/>
  <c r="J146" i="2"/>
  <c r="I147" i="2"/>
  <c r="J147" i="2"/>
  <c r="I148" i="2"/>
  <c r="J148" i="2"/>
  <c r="I149" i="2"/>
  <c r="J149" i="2"/>
  <c r="I150" i="2"/>
  <c r="J150" i="2"/>
  <c r="I151" i="2"/>
  <c r="J151" i="2"/>
  <c r="I152" i="2"/>
  <c r="J152" i="2"/>
  <c r="I153" i="2"/>
  <c r="J153" i="2"/>
  <c r="I154" i="2"/>
  <c r="J154" i="2"/>
  <c r="I155" i="2"/>
  <c r="J155" i="2"/>
  <c r="I156" i="2"/>
  <c r="J156" i="2"/>
  <c r="I157" i="2"/>
  <c r="J157" i="2"/>
  <c r="I158" i="2"/>
  <c r="J158" i="2"/>
  <c r="I159" i="2"/>
  <c r="J159" i="2"/>
  <c r="I160" i="2"/>
  <c r="J160" i="2"/>
  <c r="I161" i="2"/>
  <c r="J161" i="2"/>
  <c r="I162" i="2"/>
  <c r="J162" i="2"/>
  <c r="I163" i="2"/>
  <c r="J163" i="2"/>
  <c r="I164" i="2"/>
  <c r="J164" i="2"/>
  <c r="I165" i="2"/>
  <c r="J165" i="2"/>
  <c r="I166" i="2"/>
  <c r="J166" i="2"/>
  <c r="I167" i="2"/>
  <c r="J167" i="2"/>
  <c r="I168" i="2"/>
  <c r="J168" i="2"/>
  <c r="I169" i="2"/>
  <c r="J169" i="2"/>
  <c r="I170" i="2"/>
  <c r="J170" i="2"/>
  <c r="I171" i="2"/>
  <c r="J171" i="2"/>
  <c r="I172" i="2"/>
  <c r="J172" i="2"/>
  <c r="I173" i="2"/>
  <c r="J173" i="2"/>
  <c r="I174" i="2"/>
  <c r="J174" i="2"/>
  <c r="I175" i="2"/>
  <c r="J175" i="2"/>
  <c r="I176" i="2"/>
  <c r="J176" i="2"/>
  <c r="I177" i="2"/>
  <c r="J177" i="2"/>
  <c r="I178" i="2"/>
  <c r="J178" i="2"/>
  <c r="I179" i="2"/>
  <c r="J179" i="2"/>
  <c r="I180" i="2"/>
  <c r="J180" i="2"/>
  <c r="I181" i="2"/>
  <c r="J181" i="2"/>
  <c r="I182" i="2"/>
  <c r="J182" i="2"/>
  <c r="I183" i="2"/>
  <c r="J183" i="2"/>
  <c r="I184" i="2"/>
  <c r="J184" i="2"/>
  <c r="I185" i="2"/>
  <c r="J185" i="2"/>
  <c r="I186" i="2"/>
  <c r="J186" i="2"/>
  <c r="I187" i="2"/>
  <c r="J187" i="2"/>
  <c r="I188" i="2"/>
  <c r="J188" i="2"/>
  <c r="I189" i="2"/>
  <c r="J189" i="2"/>
  <c r="I190" i="2"/>
  <c r="J190" i="2"/>
  <c r="I191" i="2"/>
  <c r="J191" i="2"/>
  <c r="I192" i="2"/>
  <c r="J192" i="2"/>
  <c r="I193" i="2"/>
  <c r="J193" i="2"/>
  <c r="I194" i="2"/>
  <c r="J194" i="2"/>
  <c r="I195" i="2"/>
  <c r="J195" i="2"/>
  <c r="I196" i="2"/>
  <c r="J196" i="2"/>
  <c r="I197" i="2"/>
  <c r="J197" i="2"/>
  <c r="I198" i="2"/>
  <c r="J198" i="2"/>
  <c r="I199" i="2"/>
  <c r="J199" i="2"/>
  <c r="I200" i="2"/>
  <c r="J200" i="2"/>
  <c r="I201" i="2"/>
  <c r="J201" i="2"/>
  <c r="I202" i="2"/>
  <c r="J202" i="2"/>
  <c r="I203" i="2"/>
  <c r="J203" i="2"/>
  <c r="I204" i="2"/>
  <c r="J204" i="2"/>
  <c r="I205" i="2"/>
  <c r="J205" i="2"/>
  <c r="I206" i="2"/>
  <c r="J206" i="2"/>
  <c r="I207" i="2"/>
  <c r="J207" i="2"/>
  <c r="I208" i="2"/>
  <c r="J208" i="2"/>
  <c r="I209" i="2"/>
  <c r="J209" i="2"/>
  <c r="I210" i="2"/>
  <c r="J210" i="2"/>
  <c r="I211" i="2"/>
  <c r="J211" i="2"/>
  <c r="I212" i="2"/>
  <c r="J212" i="2"/>
  <c r="I213" i="2"/>
  <c r="J213" i="2"/>
  <c r="I214" i="2"/>
  <c r="J214" i="2"/>
  <c r="I215" i="2"/>
  <c r="J215" i="2"/>
  <c r="I216" i="2"/>
  <c r="J216" i="2"/>
  <c r="I217" i="2"/>
  <c r="J217" i="2"/>
  <c r="I218" i="2"/>
  <c r="J218" i="2"/>
  <c r="I219" i="2"/>
  <c r="J219" i="2"/>
  <c r="I220" i="2"/>
  <c r="J220" i="2"/>
  <c r="I221" i="2"/>
  <c r="J221" i="2"/>
  <c r="I222" i="2"/>
  <c r="J222" i="2"/>
  <c r="I223" i="2"/>
  <c r="J223" i="2"/>
  <c r="I224" i="2"/>
  <c r="J224" i="2"/>
  <c r="I225" i="2"/>
  <c r="J225" i="2"/>
  <c r="I226" i="2"/>
  <c r="J226" i="2"/>
  <c r="I227" i="2"/>
  <c r="J227" i="2"/>
  <c r="I228" i="2"/>
  <c r="J228" i="2"/>
  <c r="I229" i="2"/>
  <c r="J229" i="2"/>
  <c r="I230" i="2"/>
  <c r="J230" i="2"/>
  <c r="I231" i="2"/>
  <c r="J231" i="2"/>
  <c r="I232" i="2"/>
  <c r="J232" i="2"/>
  <c r="I233" i="2"/>
  <c r="J233" i="2"/>
  <c r="I234" i="2"/>
  <c r="J234" i="2"/>
  <c r="I235" i="2"/>
  <c r="J235" i="2"/>
  <c r="I236" i="2"/>
  <c r="J236" i="2"/>
  <c r="I237" i="2"/>
  <c r="J237" i="2"/>
  <c r="I238" i="2"/>
  <c r="J238" i="2"/>
  <c r="I239" i="2"/>
  <c r="J239" i="2"/>
  <c r="I240" i="2"/>
  <c r="J240" i="2"/>
  <c r="I241" i="2"/>
  <c r="J241" i="2"/>
  <c r="I242" i="2"/>
  <c r="J242" i="2"/>
  <c r="I243" i="2"/>
  <c r="J243" i="2"/>
  <c r="I244" i="2"/>
  <c r="J244" i="2"/>
  <c r="I245" i="2"/>
  <c r="J245" i="2"/>
  <c r="I246" i="2"/>
  <c r="J246" i="2"/>
  <c r="I247" i="2"/>
  <c r="J247" i="2"/>
  <c r="I248" i="2"/>
  <c r="J248" i="2"/>
  <c r="I249" i="2"/>
  <c r="J249" i="2"/>
  <c r="I250" i="2"/>
  <c r="J250" i="2"/>
  <c r="I251" i="2"/>
  <c r="J251" i="2"/>
  <c r="I252" i="2"/>
  <c r="J252" i="2"/>
  <c r="I253" i="2"/>
  <c r="J253" i="2"/>
  <c r="I254" i="2"/>
  <c r="J254" i="2"/>
  <c r="I255" i="2"/>
  <c r="J255" i="2"/>
  <c r="I256" i="2"/>
  <c r="J256" i="2"/>
  <c r="I257" i="2"/>
  <c r="J257" i="2"/>
  <c r="I258" i="2"/>
  <c r="J258" i="2"/>
  <c r="I259" i="2"/>
  <c r="J259" i="2"/>
  <c r="I260" i="2"/>
  <c r="J260" i="2"/>
  <c r="I261" i="2"/>
  <c r="J261" i="2"/>
  <c r="I262" i="2"/>
  <c r="J262" i="2"/>
  <c r="I263" i="2"/>
  <c r="J263" i="2"/>
  <c r="I264" i="2"/>
  <c r="J264" i="2"/>
  <c r="I265" i="2"/>
  <c r="J265" i="2"/>
  <c r="I266" i="2"/>
  <c r="J266" i="2"/>
  <c r="I267" i="2"/>
  <c r="J267" i="2"/>
  <c r="I268" i="2"/>
  <c r="J268" i="2"/>
  <c r="I269" i="2"/>
  <c r="J269" i="2"/>
  <c r="I270" i="2"/>
  <c r="J270" i="2"/>
  <c r="I271" i="2"/>
  <c r="J271" i="2"/>
  <c r="I272" i="2"/>
  <c r="J272" i="2"/>
  <c r="I273" i="2"/>
  <c r="J273" i="2"/>
  <c r="I274" i="2"/>
  <c r="J274" i="2"/>
  <c r="I275" i="2"/>
  <c r="J275" i="2"/>
  <c r="I276" i="2"/>
  <c r="J276" i="2"/>
  <c r="I277" i="2"/>
  <c r="J277" i="2"/>
  <c r="I278" i="2"/>
  <c r="J278" i="2"/>
  <c r="I279" i="2"/>
  <c r="J279" i="2"/>
  <c r="I280" i="2"/>
  <c r="J280" i="2"/>
  <c r="I281" i="2"/>
  <c r="J281" i="2"/>
  <c r="I282" i="2"/>
  <c r="J282" i="2"/>
  <c r="I283" i="2"/>
  <c r="J283" i="2"/>
  <c r="I284" i="2"/>
  <c r="J284" i="2"/>
  <c r="I285" i="2"/>
  <c r="J285" i="2"/>
  <c r="I286" i="2"/>
  <c r="J286" i="2"/>
  <c r="I287" i="2"/>
  <c r="J287" i="2"/>
  <c r="I288" i="2"/>
  <c r="J288" i="2"/>
  <c r="I289" i="2"/>
  <c r="J289" i="2"/>
  <c r="I290" i="2"/>
  <c r="J290" i="2"/>
  <c r="I291" i="2"/>
  <c r="J291" i="2"/>
  <c r="I292" i="2"/>
  <c r="J292" i="2"/>
  <c r="I293" i="2"/>
  <c r="J293" i="2"/>
  <c r="I294" i="2"/>
  <c r="J294" i="2"/>
  <c r="I295" i="2"/>
  <c r="J295" i="2"/>
  <c r="I296" i="2"/>
  <c r="J296" i="2"/>
  <c r="I297" i="2"/>
  <c r="J297" i="2"/>
  <c r="I298" i="2"/>
  <c r="J298" i="2"/>
  <c r="I299" i="2"/>
  <c r="J299" i="2"/>
  <c r="I300" i="2"/>
  <c r="J300" i="2"/>
  <c r="I301" i="2"/>
  <c r="J301" i="2"/>
  <c r="I302" i="2"/>
  <c r="J302" i="2"/>
  <c r="I303" i="2"/>
  <c r="J303" i="2"/>
  <c r="I304" i="2"/>
  <c r="J304" i="2"/>
  <c r="I305" i="2"/>
  <c r="J305" i="2"/>
  <c r="I306" i="2"/>
  <c r="J306" i="2"/>
  <c r="I307" i="2"/>
  <c r="J307" i="2"/>
  <c r="I308" i="2"/>
  <c r="J308" i="2"/>
  <c r="I309" i="2"/>
  <c r="J309" i="2"/>
  <c r="I310" i="2"/>
  <c r="J310" i="2"/>
  <c r="I311" i="2"/>
  <c r="J311" i="2"/>
  <c r="I312" i="2"/>
  <c r="J312" i="2"/>
  <c r="I313" i="2"/>
  <c r="J313" i="2"/>
  <c r="I314" i="2"/>
  <c r="J314" i="2"/>
  <c r="I315" i="2"/>
  <c r="J315" i="2"/>
  <c r="I316" i="2"/>
  <c r="J316" i="2"/>
  <c r="I317" i="2"/>
  <c r="J317" i="2"/>
  <c r="I318" i="2"/>
  <c r="J318" i="2"/>
  <c r="I319" i="2"/>
  <c r="J319" i="2"/>
  <c r="I320" i="2"/>
  <c r="J320" i="2"/>
  <c r="I321" i="2"/>
  <c r="J321" i="2"/>
  <c r="I322" i="2"/>
  <c r="J322" i="2"/>
  <c r="I323" i="2"/>
  <c r="J323" i="2"/>
  <c r="I324" i="2"/>
  <c r="J324" i="2"/>
  <c r="I325" i="2"/>
  <c r="J325" i="2"/>
  <c r="I326" i="2"/>
  <c r="J326" i="2"/>
  <c r="I327" i="2"/>
  <c r="J327" i="2"/>
  <c r="I328" i="2"/>
  <c r="J328" i="2"/>
  <c r="I329" i="2"/>
  <c r="J329" i="2"/>
  <c r="I330" i="2"/>
  <c r="J330" i="2"/>
  <c r="I331" i="2"/>
  <c r="J331" i="2"/>
  <c r="I332" i="2"/>
  <c r="J332" i="2"/>
  <c r="I333" i="2"/>
  <c r="J333" i="2"/>
  <c r="I334" i="2"/>
  <c r="J334" i="2"/>
  <c r="I335" i="2"/>
  <c r="J335" i="2"/>
  <c r="I336" i="2"/>
  <c r="J336" i="2"/>
  <c r="I337" i="2"/>
  <c r="J337" i="2"/>
  <c r="I338" i="2"/>
  <c r="J338" i="2"/>
  <c r="I339" i="2"/>
  <c r="J339" i="2"/>
  <c r="I340" i="2"/>
  <c r="J340" i="2"/>
  <c r="I341" i="2"/>
  <c r="J341" i="2"/>
  <c r="I342" i="2"/>
  <c r="J342" i="2"/>
  <c r="I343" i="2"/>
  <c r="J343" i="2"/>
  <c r="I344" i="2"/>
  <c r="J344" i="2"/>
  <c r="I345" i="2"/>
  <c r="J345" i="2"/>
  <c r="I346" i="2"/>
  <c r="J346" i="2"/>
  <c r="I347" i="2"/>
  <c r="J347" i="2"/>
  <c r="I348" i="2"/>
  <c r="J348" i="2"/>
  <c r="I349" i="2"/>
  <c r="J349" i="2"/>
  <c r="I350" i="2"/>
  <c r="J350" i="2"/>
  <c r="I351" i="2"/>
  <c r="J351" i="2"/>
  <c r="I352" i="2"/>
  <c r="J352" i="2"/>
  <c r="I353" i="2"/>
  <c r="J353" i="2"/>
  <c r="I354" i="2"/>
  <c r="J354" i="2"/>
  <c r="I355" i="2"/>
  <c r="J355" i="2"/>
  <c r="I356" i="2"/>
  <c r="J356" i="2"/>
  <c r="I357" i="2"/>
  <c r="J357" i="2"/>
  <c r="I358" i="2"/>
  <c r="J358" i="2"/>
  <c r="I359" i="2"/>
  <c r="J359" i="2"/>
  <c r="I360" i="2"/>
  <c r="J360" i="2"/>
  <c r="I361" i="2"/>
  <c r="J361" i="2"/>
  <c r="I362" i="2"/>
  <c r="J362" i="2"/>
  <c r="I363" i="2"/>
  <c r="J363" i="2"/>
  <c r="I364" i="2"/>
  <c r="J364" i="2"/>
  <c r="I365" i="2"/>
  <c r="J365" i="2"/>
  <c r="I366" i="2"/>
  <c r="J366" i="2"/>
  <c r="I367" i="2"/>
  <c r="J367" i="2"/>
  <c r="I368" i="2"/>
  <c r="J368" i="2"/>
  <c r="I369" i="2"/>
  <c r="J369" i="2"/>
  <c r="I370" i="2"/>
  <c r="J370" i="2"/>
  <c r="I371" i="2"/>
  <c r="J371" i="2"/>
  <c r="I372" i="2"/>
  <c r="J372" i="2"/>
  <c r="I373" i="2"/>
  <c r="J373" i="2"/>
  <c r="I374" i="2"/>
  <c r="J374" i="2"/>
  <c r="I375" i="2"/>
  <c r="J375" i="2"/>
  <c r="I376" i="2"/>
  <c r="J376" i="2"/>
  <c r="I377" i="2"/>
  <c r="J377" i="2"/>
  <c r="I378" i="2"/>
  <c r="J378" i="2"/>
  <c r="I379" i="2"/>
  <c r="J379" i="2"/>
  <c r="I380" i="2"/>
  <c r="J380" i="2"/>
  <c r="I381" i="2"/>
  <c r="J381" i="2"/>
  <c r="I382" i="2"/>
  <c r="J382" i="2"/>
  <c r="I383" i="2"/>
  <c r="J383" i="2"/>
  <c r="I384" i="2"/>
  <c r="J384" i="2"/>
  <c r="I385" i="2"/>
  <c r="J385" i="2"/>
  <c r="I386" i="2"/>
  <c r="J386" i="2"/>
  <c r="I387" i="2"/>
  <c r="J387" i="2"/>
  <c r="I388" i="2"/>
  <c r="J388" i="2"/>
  <c r="I389" i="2"/>
  <c r="J389" i="2"/>
  <c r="I390" i="2"/>
  <c r="J390" i="2"/>
  <c r="I391" i="2"/>
  <c r="J391" i="2"/>
  <c r="I392" i="2"/>
  <c r="J392" i="2"/>
  <c r="I393" i="2"/>
  <c r="J393" i="2"/>
  <c r="I394" i="2"/>
  <c r="J394" i="2"/>
  <c r="I395" i="2"/>
  <c r="J395" i="2"/>
  <c r="I396" i="2"/>
  <c r="J396" i="2"/>
  <c r="I397" i="2"/>
  <c r="J397" i="2"/>
  <c r="I398" i="2"/>
  <c r="J398" i="2"/>
  <c r="I399" i="2"/>
  <c r="J399" i="2"/>
  <c r="I400" i="2"/>
  <c r="J400" i="2"/>
  <c r="I33" i="2"/>
  <c r="J33" i="2"/>
  <c r="I34" i="2"/>
  <c r="J34" i="2"/>
  <c r="I35" i="2"/>
  <c r="J35" i="2"/>
  <c r="I36" i="2"/>
  <c r="J36" i="2"/>
  <c r="I37" i="2"/>
  <c r="J37" i="2"/>
  <c r="I38" i="2"/>
  <c r="J38" i="2"/>
  <c r="I39" i="2"/>
  <c r="J39" i="2"/>
  <c r="I40" i="2"/>
  <c r="J40" i="2"/>
  <c r="I41" i="2"/>
  <c r="J41" i="2"/>
  <c r="I42" i="2"/>
  <c r="J42" i="2"/>
  <c r="I43" i="2"/>
  <c r="J43" i="2"/>
  <c r="I44" i="2"/>
  <c r="J44" i="2"/>
  <c r="I45" i="2"/>
  <c r="J45" i="2"/>
  <c r="I32" i="2"/>
  <c r="J32" i="2"/>
  <c r="L31" i="2"/>
  <c r="J31" i="2"/>
  <c r="I31" i="2"/>
  <c r="AL5" i="10"/>
  <c r="EZ5" i="10" s="1"/>
  <c r="AL6" i="10"/>
  <c r="AL7" i="10"/>
  <c r="EZ7" i="10"/>
  <c r="AL8" i="10"/>
  <c r="EZ8" i="10" s="1"/>
  <c r="AL9" i="10"/>
  <c r="EZ9" i="10" s="1"/>
  <c r="AL10" i="10"/>
  <c r="AL11" i="10"/>
  <c r="EZ11" i="10"/>
  <c r="AL12" i="10"/>
  <c r="EZ12" i="10" s="1"/>
  <c r="AL13" i="10"/>
  <c r="EZ13" i="10" s="1"/>
  <c r="AL14" i="10"/>
  <c r="AL15" i="10"/>
  <c r="EZ15" i="10"/>
  <c r="AL16" i="10"/>
  <c r="EZ16" i="10" s="1"/>
  <c r="AL17" i="10"/>
  <c r="EZ17" i="10" s="1"/>
  <c r="AL18" i="10"/>
  <c r="AL19" i="10"/>
  <c r="EZ19" i="10"/>
  <c r="AL20" i="10"/>
  <c r="EZ20" i="10" s="1"/>
  <c r="AL21" i="10"/>
  <c r="EZ21" i="10" s="1"/>
  <c r="AL22" i="10"/>
  <c r="EZ22" i="10" s="1"/>
  <c r="AL23" i="10"/>
  <c r="EZ23" i="10"/>
  <c r="AL24" i="10"/>
  <c r="EZ24" i="10" s="1"/>
  <c r="AL25" i="10"/>
  <c r="EZ25" i="10" s="1"/>
  <c r="AL4" i="10"/>
  <c r="AD5" i="10"/>
  <c r="ER5" i="10"/>
  <c r="AD6" i="10"/>
  <c r="ER6" i="10" s="1"/>
  <c r="AD7" i="10"/>
  <c r="ER7" i="10" s="1"/>
  <c r="AD8" i="10"/>
  <c r="AD9" i="10"/>
  <c r="ER9" i="10"/>
  <c r="AD10" i="10"/>
  <c r="ER10" i="10" s="1"/>
  <c r="AD11" i="10"/>
  <c r="ER11" i="10" s="1"/>
  <c r="AD12" i="10"/>
  <c r="AD13" i="10"/>
  <c r="ER13" i="10"/>
  <c r="AD14" i="10"/>
  <c r="ER14" i="10" s="1"/>
  <c r="AD15" i="10"/>
  <c r="ER15" i="10" s="1"/>
  <c r="AD16" i="10"/>
  <c r="AD17" i="10"/>
  <c r="ER17" i="10"/>
  <c r="AD18" i="10"/>
  <c r="ER18" i="10" s="1"/>
  <c r="AD19" i="10"/>
  <c r="ER19" i="10" s="1"/>
  <c r="AD20" i="10"/>
  <c r="AD21" i="10"/>
  <c r="ER21" i="10"/>
  <c r="AD22" i="10"/>
  <c r="ER22" i="10" s="1"/>
  <c r="AD23" i="10"/>
  <c r="ER23" i="10" s="1"/>
  <c r="AD24" i="10"/>
  <c r="AD25" i="10"/>
  <c r="ER25" i="10"/>
  <c r="AD26" i="10"/>
  <c r="ER26" i="10" s="1"/>
  <c r="AD27" i="10"/>
  <c r="ER27" i="10" s="1"/>
  <c r="AD28" i="10"/>
  <c r="AD29" i="10"/>
  <c r="ER29" i="10"/>
  <c r="AD30" i="10"/>
  <c r="ER30" i="10" s="1"/>
  <c r="AD31" i="10"/>
  <c r="ER31" i="10" s="1"/>
  <c r="AD32" i="10"/>
  <c r="AD33" i="10"/>
  <c r="ER33" i="10"/>
  <c r="AD34" i="10"/>
  <c r="ER34" i="10" s="1"/>
  <c r="AD35" i="10"/>
  <c r="ER35" i="10" s="1"/>
  <c r="AD36" i="10"/>
  <c r="AD37" i="10"/>
  <c r="ER37" i="10"/>
  <c r="AD38" i="10"/>
  <c r="ER38" i="10" s="1"/>
  <c r="AD39" i="10"/>
  <c r="ER39" i="10" s="1"/>
  <c r="AD40" i="10"/>
  <c r="AD41" i="10"/>
  <c r="ER41" i="10"/>
  <c r="AD42" i="10"/>
  <c r="ER42" i="10" s="1"/>
  <c r="AD43" i="10"/>
  <c r="ER43" i="10" s="1"/>
  <c r="AD44" i="10"/>
  <c r="AD45" i="10"/>
  <c r="ER45" i="10"/>
  <c r="AD46" i="10"/>
  <c r="ER46" i="10" s="1"/>
  <c r="AD47" i="10"/>
  <c r="ER47" i="10" s="1"/>
  <c r="AD48" i="10"/>
  <c r="AD49" i="10"/>
  <c r="ER49" i="10"/>
  <c r="AD50" i="10"/>
  <c r="ER50" i="10" s="1"/>
  <c r="AD51" i="10"/>
  <c r="ER51" i="10" s="1"/>
  <c r="AD52" i="10"/>
  <c r="AD53" i="10"/>
  <c r="ER53" i="10"/>
  <c r="AD54" i="10"/>
  <c r="ER54" i="10" s="1"/>
  <c r="AD55" i="10"/>
  <c r="ER55" i="10" s="1"/>
  <c r="AD56" i="10"/>
  <c r="AD57" i="10"/>
  <c r="ER57" i="10"/>
  <c r="AD58" i="10"/>
  <c r="ER58" i="10" s="1"/>
  <c r="AD59" i="10"/>
  <c r="ER59" i="10" s="1"/>
  <c r="AD60" i="10"/>
  <c r="AD61" i="10"/>
  <c r="ER61" i="10"/>
  <c r="AD62" i="10"/>
  <c r="ER62" i="10" s="1"/>
  <c r="AD63" i="10"/>
  <c r="ER63" i="10" s="1"/>
  <c r="AD64" i="10"/>
  <c r="AD4" i="10"/>
  <c r="ER4" i="10"/>
  <c r="FI3" i="10"/>
  <c r="DB3" i="10"/>
  <c r="CS23" i="10"/>
  <c r="CS24" i="10"/>
  <c r="CS25" i="10"/>
  <c r="CS19" i="10"/>
  <c r="CS20" i="10"/>
  <c r="CS21" i="10"/>
  <c r="CS22" i="10"/>
  <c r="CS15" i="10"/>
  <c r="CS16" i="10"/>
  <c r="CS17" i="10"/>
  <c r="CS5" i="10"/>
  <c r="CS7" i="10"/>
  <c r="CS8" i="10"/>
  <c r="CS9" i="10"/>
  <c r="CS11" i="10"/>
  <c r="CS12" i="10"/>
  <c r="CS13" i="10"/>
  <c r="CK5" i="10"/>
  <c r="CK6" i="10"/>
  <c r="CK7" i="10"/>
  <c r="CK9" i="10"/>
  <c r="CK10" i="10"/>
  <c r="CK11" i="10"/>
  <c r="CK13" i="10"/>
  <c r="CK14" i="10"/>
  <c r="CK15" i="10"/>
  <c r="CK17" i="10"/>
  <c r="CK18" i="10"/>
  <c r="CK19" i="10"/>
  <c r="CK21" i="10"/>
  <c r="CK22" i="10"/>
  <c r="CK23" i="10"/>
  <c r="CK25" i="10"/>
  <c r="CK26" i="10"/>
  <c r="CK27" i="10"/>
  <c r="CK29" i="10"/>
  <c r="CK30" i="10"/>
  <c r="CK31" i="10"/>
  <c r="CK33" i="10"/>
  <c r="CK34" i="10"/>
  <c r="CK35" i="10"/>
  <c r="CK37" i="10"/>
  <c r="CK38" i="10"/>
  <c r="CK39" i="10"/>
  <c r="CK41" i="10"/>
  <c r="CK42" i="10"/>
  <c r="CK43" i="10"/>
  <c r="CK45" i="10"/>
  <c r="CK46" i="10"/>
  <c r="CK47" i="10"/>
  <c r="CK49" i="10"/>
  <c r="CK50" i="10"/>
  <c r="CK51" i="10"/>
  <c r="CK53" i="10"/>
  <c r="CK54" i="10"/>
  <c r="CK55" i="10"/>
  <c r="CK57" i="10"/>
  <c r="CK58" i="10"/>
  <c r="CK59" i="10"/>
  <c r="CK61" i="10"/>
  <c r="CK62" i="10"/>
  <c r="CK63" i="10"/>
  <c r="CK4" i="10"/>
  <c r="BK600" i="12"/>
  <c r="BO600" i="12"/>
  <c r="BK601" i="12"/>
  <c r="BO601" i="12"/>
  <c r="BK602" i="12"/>
  <c r="BO602" i="12"/>
  <c r="BJ600" i="12"/>
  <c r="BN600" i="12" s="1"/>
  <c r="BJ601" i="12"/>
  <c r="BN601" i="12"/>
  <c r="BJ602" i="12"/>
  <c r="BN602" i="12"/>
  <c r="BI600" i="12"/>
  <c r="BM600" i="12"/>
  <c r="BI601" i="12"/>
  <c r="BM601" i="12" s="1"/>
  <c r="BI602" i="12"/>
  <c r="BM602" i="12"/>
  <c r="K43" i="2"/>
  <c r="K45" i="2"/>
  <c r="K47" i="2"/>
  <c r="K49" i="2"/>
  <c r="K50" i="2"/>
  <c r="K54" i="2"/>
  <c r="K55" i="2"/>
  <c r="K56" i="2"/>
  <c r="K62" i="2"/>
  <c r="K63" i="2"/>
  <c r="K64" i="2"/>
  <c r="K65" i="2"/>
  <c r="K70" i="2"/>
  <c r="K71" i="2"/>
  <c r="K72" i="2"/>
  <c r="K78" i="2"/>
  <c r="K79" i="2"/>
  <c r="K80" i="2"/>
  <c r="K81" i="2"/>
  <c r="K86" i="2"/>
  <c r="K87" i="2"/>
  <c r="K88" i="2"/>
  <c r="K94" i="2"/>
  <c r="K95" i="2"/>
  <c r="K96" i="2"/>
  <c r="K97" i="2"/>
  <c r="K102" i="2"/>
  <c r="K103" i="2"/>
  <c r="K104" i="2"/>
  <c r="K110" i="2"/>
  <c r="K111" i="2"/>
  <c r="K112" i="2"/>
  <c r="K113" i="2"/>
  <c r="K118" i="2"/>
  <c r="K119" i="2"/>
  <c r="K120" i="2"/>
  <c r="K126" i="2"/>
  <c r="K127" i="2"/>
  <c r="K128" i="2"/>
  <c r="K129" i="2"/>
  <c r="K134" i="2"/>
  <c r="K135" i="2"/>
  <c r="K136" i="2"/>
  <c r="K142" i="2"/>
  <c r="K143" i="2"/>
  <c r="K144" i="2"/>
  <c r="K145" i="2"/>
  <c r="K150" i="2"/>
  <c r="K151" i="2"/>
  <c r="K152" i="2"/>
  <c r="K158" i="2"/>
  <c r="K159" i="2"/>
  <c r="K160" i="2"/>
  <c r="K161" i="2"/>
  <c r="K166" i="2"/>
  <c r="K167" i="2"/>
  <c r="K168" i="2"/>
  <c r="K174" i="2"/>
  <c r="K175" i="2"/>
  <c r="K176" i="2"/>
  <c r="K177" i="2"/>
  <c r="K182" i="2"/>
  <c r="K183" i="2"/>
  <c r="K184" i="2"/>
  <c r="K190" i="2"/>
  <c r="K191" i="2"/>
  <c r="K192" i="2"/>
  <c r="K193" i="2"/>
  <c r="K198" i="2"/>
  <c r="K199" i="2"/>
  <c r="K200" i="2"/>
  <c r="K206" i="2"/>
  <c r="K207" i="2"/>
  <c r="K208" i="2"/>
  <c r="K209" i="2"/>
  <c r="K214" i="2"/>
  <c r="K215" i="2"/>
  <c r="K216" i="2"/>
  <c r="K222" i="2"/>
  <c r="K223" i="2"/>
  <c r="K224" i="2"/>
  <c r="K225" i="2"/>
  <c r="K230" i="2"/>
  <c r="K231" i="2"/>
  <c r="K232" i="2"/>
  <c r="K238" i="2"/>
  <c r="K239" i="2"/>
  <c r="K240" i="2"/>
  <c r="K241" i="2"/>
  <c r="K246" i="2"/>
  <c r="K247" i="2"/>
  <c r="K248" i="2"/>
  <c r="K254" i="2"/>
  <c r="K255" i="2"/>
  <c r="K256" i="2"/>
  <c r="K257" i="2"/>
  <c r="K262" i="2"/>
  <c r="K263" i="2"/>
  <c r="K264" i="2"/>
  <c r="K270" i="2"/>
  <c r="K271" i="2"/>
  <c r="K272" i="2"/>
  <c r="K273" i="2"/>
  <c r="K278" i="2"/>
  <c r="K279" i="2"/>
  <c r="K280" i="2"/>
  <c r="K286" i="2"/>
  <c r="K287" i="2"/>
  <c r="K288" i="2"/>
  <c r="K289" i="2"/>
  <c r="K294" i="2"/>
  <c r="K295" i="2"/>
  <c r="K296" i="2"/>
  <c r="K302" i="2"/>
  <c r="K303" i="2"/>
  <c r="K304" i="2"/>
  <c r="K305" i="2"/>
  <c r="K310" i="2"/>
  <c r="K311" i="2"/>
  <c r="K312" i="2"/>
  <c r="K318" i="2"/>
  <c r="K319" i="2"/>
  <c r="K320" i="2"/>
  <c r="K321" i="2"/>
  <c r="K326" i="2"/>
  <c r="K327" i="2"/>
  <c r="K328" i="2"/>
  <c r="K334" i="2"/>
  <c r="K335" i="2"/>
  <c r="K336" i="2"/>
  <c r="K337" i="2"/>
  <c r="K342" i="2"/>
  <c r="K343" i="2"/>
  <c r="K344" i="2"/>
  <c r="K350" i="2"/>
  <c r="K351" i="2"/>
  <c r="K352" i="2"/>
  <c r="K353" i="2"/>
  <c r="K358" i="2"/>
  <c r="K359" i="2"/>
  <c r="K360" i="2"/>
  <c r="K366" i="2"/>
  <c r="K367" i="2"/>
  <c r="K368" i="2"/>
  <c r="K369" i="2"/>
  <c r="K374" i="2"/>
  <c r="K375" i="2"/>
  <c r="K376" i="2"/>
  <c r="K382" i="2"/>
  <c r="K383" i="2"/>
  <c r="K384" i="2"/>
  <c r="K385" i="2"/>
  <c r="K390" i="2"/>
  <c r="K391" i="2"/>
  <c r="K392" i="2"/>
  <c r="K398" i="2"/>
  <c r="K399" i="2"/>
  <c r="K400" i="2"/>
  <c r="K32" i="2"/>
  <c r="K33" i="2"/>
  <c r="K34" i="2"/>
  <c r="K40" i="2"/>
  <c r="K41" i="2"/>
  <c r="BE563" i="12"/>
  <c r="BT563" i="12" s="1"/>
  <c r="BE564" i="12"/>
  <c r="BT564" i="12" s="1"/>
  <c r="BE565" i="12"/>
  <c r="BT565" i="12"/>
  <c r="BE566" i="12"/>
  <c r="BT566" i="12" s="1"/>
  <c r="BE567" i="12"/>
  <c r="BT567" i="12" s="1"/>
  <c r="BE568" i="12"/>
  <c r="BT568" i="12" s="1"/>
  <c r="BE569" i="12"/>
  <c r="BT569" i="12"/>
  <c r="BE570" i="12"/>
  <c r="BT570" i="12" s="1"/>
  <c r="BE571" i="12"/>
  <c r="BT571" i="12" s="1"/>
  <c r="BE572" i="12"/>
  <c r="BT572" i="12" s="1"/>
  <c r="BE573" i="12"/>
  <c r="BT573" i="12"/>
  <c r="BE574" i="12"/>
  <c r="BT574" i="12" s="1"/>
  <c r="BE575" i="12"/>
  <c r="BT575" i="12" s="1"/>
  <c r="BE576" i="12"/>
  <c r="BT576" i="12" s="1"/>
  <c r="BE577" i="12"/>
  <c r="BT577" i="12"/>
  <c r="BE578" i="12"/>
  <c r="BT578" i="12" s="1"/>
  <c r="BE579" i="12"/>
  <c r="BT579" i="12" s="1"/>
  <c r="BE580" i="12"/>
  <c r="BT580" i="12" s="1"/>
  <c r="BE581" i="12"/>
  <c r="BT581" i="12"/>
  <c r="BE582" i="12"/>
  <c r="BT582" i="12" s="1"/>
  <c r="BE583" i="12"/>
  <c r="BT583" i="12" s="1"/>
  <c r="BE584" i="12"/>
  <c r="BT584" i="12" s="1"/>
  <c r="BE585" i="12"/>
  <c r="BT585" i="12"/>
  <c r="BE586" i="12"/>
  <c r="BT586" i="12" s="1"/>
  <c r="BE587" i="12"/>
  <c r="BT587" i="12" s="1"/>
  <c r="BE588" i="12"/>
  <c r="BT588" i="12" s="1"/>
  <c r="BE589" i="12"/>
  <c r="BT589" i="12"/>
  <c r="BE590" i="12"/>
  <c r="BT590" i="12" s="1"/>
  <c r="BE591" i="12"/>
  <c r="BT591" i="12" s="1"/>
  <c r="BE592" i="12"/>
  <c r="BT592" i="12" s="1"/>
  <c r="BE593" i="12"/>
  <c r="BT593" i="12"/>
  <c r="BE594" i="12"/>
  <c r="BT594" i="12" s="1"/>
  <c r="BE595" i="12"/>
  <c r="BT595" i="12" s="1"/>
  <c r="BE596" i="12"/>
  <c r="BT596" i="12" s="1"/>
  <c r="BE597" i="12"/>
  <c r="BT597" i="12"/>
  <c r="BE598" i="12"/>
  <c r="BT598" i="12" s="1"/>
  <c r="BE599" i="12"/>
  <c r="BT599" i="12" s="1"/>
  <c r="BE600" i="12"/>
  <c r="BT600" i="12" s="1"/>
  <c r="BE601" i="12"/>
  <c r="BT601" i="12"/>
  <c r="BE602" i="12"/>
  <c r="BT602" i="12" s="1"/>
  <c r="BF600" i="12"/>
  <c r="BQ600" i="12" s="1"/>
  <c r="BG600" i="12"/>
  <c r="BR600" i="12"/>
  <c r="BH600" i="12"/>
  <c r="BS600" i="12" s="1"/>
  <c r="BF601" i="12"/>
  <c r="BQ601" i="12" s="1"/>
  <c r="BP601" i="12" s="1"/>
  <c r="BG601" i="12"/>
  <c r="BR601" i="12" s="1"/>
  <c r="BH601" i="12"/>
  <c r="BS601" i="12"/>
  <c r="BF602" i="12"/>
  <c r="BQ602" i="12" s="1"/>
  <c r="BG602" i="12"/>
  <c r="BR602" i="12" s="1"/>
  <c r="BH602" i="12"/>
  <c r="BS602" i="12" s="1"/>
  <c r="BP564" i="12"/>
  <c r="BP565" i="12"/>
  <c r="BP566" i="12"/>
  <c r="BP567" i="12"/>
  <c r="BP568" i="12"/>
  <c r="BP569" i="12"/>
  <c r="BP570" i="12"/>
  <c r="BP571" i="12"/>
  <c r="BP572" i="12"/>
  <c r="BP573" i="12"/>
  <c r="BP574" i="12"/>
  <c r="BP575" i="12"/>
  <c r="BP576" i="12"/>
  <c r="BP577" i="12"/>
  <c r="BP578" i="12"/>
  <c r="BP579" i="12"/>
  <c r="BP580" i="12"/>
  <c r="BP581" i="12"/>
  <c r="BP582" i="12"/>
  <c r="BP583" i="12"/>
  <c r="BP584" i="12"/>
  <c r="BP585" i="12"/>
  <c r="BP586" i="12"/>
  <c r="BP587" i="12"/>
  <c r="BP588" i="12"/>
  <c r="BP589" i="12"/>
  <c r="BP590" i="12"/>
  <c r="BP591" i="12"/>
  <c r="BP592" i="12"/>
  <c r="BP593" i="12"/>
  <c r="BP594" i="12"/>
  <c r="BP595" i="12"/>
  <c r="BP596" i="12"/>
  <c r="BP597" i="12"/>
  <c r="BP598" i="12"/>
  <c r="BP599" i="12"/>
  <c r="BP602" i="12"/>
  <c r="BU565" i="12"/>
  <c r="BU566" i="12"/>
  <c r="BU567" i="12"/>
  <c r="BU568" i="12"/>
  <c r="BU569" i="12"/>
  <c r="BU570" i="12"/>
  <c r="BU571" i="12"/>
  <c r="BU572" i="12"/>
  <c r="BU574" i="12"/>
  <c r="BU575" i="12"/>
  <c r="BU576" i="12"/>
  <c r="BU577" i="12"/>
  <c r="BU578" i="12"/>
  <c r="BU579" i="12"/>
  <c r="BU580" i="12"/>
  <c r="BU581" i="12"/>
  <c r="BU582" i="12"/>
  <c r="BU583" i="12"/>
  <c r="BU584" i="12"/>
  <c r="BU585" i="12"/>
  <c r="BU586" i="12"/>
  <c r="BU587" i="12"/>
  <c r="BU588" i="12"/>
  <c r="BU589" i="12"/>
  <c r="BU590" i="12"/>
  <c r="BU591" i="12"/>
  <c r="BU593" i="12"/>
  <c r="BU594" i="12"/>
  <c r="BU595" i="12"/>
  <c r="BU596" i="12"/>
  <c r="BU597" i="12"/>
  <c r="BU598" i="12"/>
  <c r="BU599" i="12"/>
  <c r="BL564" i="12"/>
  <c r="BL565" i="12"/>
  <c r="BL566" i="12"/>
  <c r="BL567" i="12"/>
  <c r="BL568" i="12"/>
  <c r="BL569" i="12"/>
  <c r="BL570" i="12"/>
  <c r="BL571" i="12"/>
  <c r="BL572" i="12"/>
  <c r="BL574" i="12"/>
  <c r="BL575" i="12"/>
  <c r="BL576" i="12"/>
  <c r="BL577" i="12"/>
  <c r="BL578" i="12"/>
  <c r="BL579" i="12"/>
  <c r="BL580" i="12"/>
  <c r="BL581" i="12"/>
  <c r="BL582" i="12"/>
  <c r="BL583" i="12"/>
  <c r="BL584" i="12"/>
  <c r="BL585" i="12"/>
  <c r="BL586" i="12"/>
  <c r="BL588" i="12"/>
  <c r="BL589" i="12"/>
  <c r="BL590" i="12"/>
  <c r="BL591" i="12"/>
  <c r="BL593" i="12"/>
  <c r="BL594" i="12"/>
  <c r="BL595" i="12"/>
  <c r="BL596" i="12"/>
  <c r="BL597" i="12"/>
  <c r="BL598" i="12"/>
  <c r="BL599" i="12"/>
  <c r="FQ38" i="10"/>
  <c r="FQ39" i="10"/>
  <c r="FQ40" i="10"/>
  <c r="FQ41" i="10"/>
  <c r="FQ24" i="10"/>
  <c r="FQ25" i="10"/>
  <c r="FQ26" i="10"/>
  <c r="FQ27" i="10"/>
  <c r="FI31" i="10"/>
  <c r="DB31" i="10"/>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AU31" i="10"/>
  <c r="M21" i="2"/>
  <c r="H8" i="11"/>
  <c r="EZ26" i="10"/>
  <c r="EZ27" i="10"/>
  <c r="CS26" i="10"/>
  <c r="CS27" i="10"/>
  <c r="AL26" i="10"/>
  <c r="AL27" i="10"/>
  <c r="K31" i="2"/>
  <c r="I20" i="2"/>
  <c r="I21" i="2"/>
  <c r="I22" i="2"/>
  <c r="I24" i="2"/>
  <c r="I25" i="2"/>
  <c r="I26" i="2"/>
  <c r="I27" i="2"/>
  <c r="I28" i="2"/>
  <c r="M22" i="2"/>
  <c r="M23" i="2"/>
  <c r="M24" i="2"/>
  <c r="M28" i="2"/>
  <c r="DP5" i="10" l="1"/>
  <c r="DQ5" i="10" s="1"/>
  <c r="DR5" i="10" s="1"/>
  <c r="DO5" i="10" s="1"/>
  <c r="C8" i="10"/>
  <c r="D8" i="10" s="1"/>
  <c r="BJ6" i="10"/>
  <c r="BK6" i="10" s="1"/>
  <c r="BH6" i="10" s="1"/>
  <c r="M19" i="2"/>
  <c r="DQ8" i="10"/>
  <c r="DR8" i="10" s="1"/>
  <c r="DO8" i="10" s="1"/>
  <c r="B5" i="10"/>
  <c r="B4" i="10"/>
  <c r="C4" i="10" s="1"/>
  <c r="D4" i="10" s="1"/>
  <c r="M20" i="2"/>
  <c r="C7" i="10"/>
  <c r="D7" i="10" s="1"/>
  <c r="DQ9" i="10"/>
  <c r="DR9" i="10" s="1"/>
  <c r="DO9" i="10" s="1"/>
  <c r="C6" i="10"/>
  <c r="D6" i="10" s="1"/>
  <c r="BI4" i="10"/>
  <c r="BJ4" i="10" s="1"/>
  <c r="BK4" i="10" s="1"/>
  <c r="BH4" i="10" s="1"/>
  <c r="DQ6" i="10"/>
  <c r="DR6" i="10" s="1"/>
  <c r="DO6" i="10" s="1"/>
  <c r="BJ9" i="10"/>
  <c r="BK9" i="10" s="1"/>
  <c r="BH9" i="10" s="1"/>
  <c r="EB599" i="10"/>
  <c r="EB575" i="10"/>
  <c r="EB591" i="10"/>
  <c r="EB598" i="10"/>
  <c r="EB587" i="10"/>
  <c r="EB565" i="10"/>
  <c r="EB582" i="10"/>
  <c r="EB570" i="10"/>
  <c r="EB592" i="10"/>
  <c r="EB566" i="10"/>
  <c r="EB578" i="10"/>
  <c r="D12" i="13"/>
  <c r="EB572" i="10"/>
  <c r="D12" i="11"/>
  <c r="EB588" i="10"/>
  <c r="EB579" i="10"/>
  <c r="EB571" i="10"/>
  <c r="D12" i="15"/>
  <c r="K37" i="2"/>
  <c r="EB593" i="10"/>
  <c r="EB576" i="10"/>
  <c r="EB567" i="10"/>
  <c r="EB583" i="10"/>
  <c r="EB586" i="10"/>
  <c r="BJ8" i="10"/>
  <c r="BK8" i="10" s="1"/>
  <c r="BH8" i="10" s="1"/>
  <c r="EB569" i="10"/>
  <c r="CK44" i="10"/>
  <c r="ER44" i="10"/>
  <c r="CK12" i="10"/>
  <c r="ER12" i="10"/>
  <c r="CS4" i="10"/>
  <c r="EZ4" i="10"/>
  <c r="ER24" i="10"/>
  <c r="CK24" i="10"/>
  <c r="BL601" i="12"/>
  <c r="BU601" i="12"/>
  <c r="ER48" i="10"/>
  <c r="CK48" i="10"/>
  <c r="ER16" i="10"/>
  <c r="CK16" i="10"/>
  <c r="CS6" i="10"/>
  <c r="EZ6" i="10"/>
  <c r="BL600" i="12"/>
  <c r="BU600" i="12"/>
  <c r="CK36" i="10"/>
  <c r="ER36" i="10"/>
  <c r="CK60" i="10"/>
  <c r="ER60" i="10"/>
  <c r="CK28" i="10"/>
  <c r="ER28" i="10"/>
  <c r="CS18" i="10"/>
  <c r="EZ18" i="10"/>
  <c r="BP600" i="12"/>
  <c r="BL602" i="12"/>
  <c r="BU602" i="12"/>
  <c r="ER40" i="10"/>
  <c r="CK40" i="10"/>
  <c r="ER8" i="10"/>
  <c r="CK8" i="10"/>
  <c r="ER56" i="10"/>
  <c r="CK56" i="10"/>
  <c r="CS14" i="10"/>
  <c r="EZ14" i="10"/>
  <c r="CK52" i="10"/>
  <c r="ER52" i="10"/>
  <c r="CK20" i="10"/>
  <c r="ER20" i="10"/>
  <c r="EZ10" i="10"/>
  <c r="CS10" i="10"/>
  <c r="ER64" i="10"/>
  <c r="CK64" i="10"/>
  <c r="ER32" i="10"/>
  <c r="CK32" i="10"/>
  <c r="CA574" i="10"/>
  <c r="EH574" i="10"/>
  <c r="BU573" i="12"/>
  <c r="BL573" i="12"/>
  <c r="BU564" i="12"/>
  <c r="EH597" i="10"/>
  <c r="CA597" i="10"/>
  <c r="CA569" i="10"/>
  <c r="EH569" i="10"/>
  <c r="AZ1277" i="12"/>
  <c r="AZ1213" i="12"/>
  <c r="AZ1021" i="12"/>
  <c r="AZ997" i="12"/>
  <c r="AZ933" i="12"/>
  <c r="AZ901" i="12"/>
  <c r="AZ1381" i="12"/>
  <c r="AZ1341" i="12"/>
  <c r="AZ1125" i="12"/>
  <c r="AZ1085" i="12"/>
  <c r="AZ989" i="12"/>
  <c r="AZ957" i="12"/>
  <c r="BL587" i="12"/>
  <c r="DP13" i="10"/>
  <c r="BI13" i="10"/>
  <c r="EH582" i="10"/>
  <c r="CA582" i="10"/>
  <c r="CA578" i="10"/>
  <c r="EH578" i="10"/>
  <c r="EG591" i="10"/>
  <c r="BZ591" i="10"/>
  <c r="EG585" i="10"/>
  <c r="BZ585" i="10"/>
  <c r="EG579" i="10"/>
  <c r="BZ579" i="10"/>
  <c r="AZ1117" i="12"/>
  <c r="CA595" i="10"/>
  <c r="EH595" i="10"/>
  <c r="BU592" i="12"/>
  <c r="BL592" i="12"/>
  <c r="EH571" i="10"/>
  <c r="CA571" i="10"/>
  <c r="EH593" i="10"/>
  <c r="CA593" i="10"/>
  <c r="CA588" i="10"/>
  <c r="EH588" i="10"/>
  <c r="EH565" i="10"/>
  <c r="CA565" i="10"/>
  <c r="ET24" i="10"/>
  <c r="CM24" i="10"/>
  <c r="ET19" i="10"/>
  <c r="CM19" i="10"/>
  <c r="EH598" i="10"/>
  <c r="CA598" i="10"/>
  <c r="CA594" i="10"/>
  <c r="EH594" i="10"/>
  <c r="CA585" i="10"/>
  <c r="EH585" i="10"/>
  <c r="CA572" i="10"/>
  <c r="EH572" i="10"/>
  <c r="EG581" i="10"/>
  <c r="BZ581" i="10"/>
  <c r="EG569" i="10"/>
  <c r="BZ569" i="10"/>
  <c r="EF592" i="10"/>
  <c r="BY592" i="10"/>
  <c r="EF587" i="10"/>
  <c r="BY587" i="10"/>
  <c r="CM64" i="10"/>
  <c r="ET64" i="10"/>
  <c r="ET41" i="10"/>
  <c r="CM41" i="10"/>
  <c r="CM18" i="10"/>
  <c r="ET18" i="10"/>
  <c r="EH584" i="10"/>
  <c r="CA584" i="10"/>
  <c r="EG592" i="10"/>
  <c r="BZ592" i="10"/>
  <c r="EG574" i="10"/>
  <c r="BZ574" i="10"/>
  <c r="EI585" i="10"/>
  <c r="CB585" i="10"/>
  <c r="EH600" i="10"/>
  <c r="CA600" i="10"/>
  <c r="BZ584" i="10"/>
  <c r="EG584" i="10"/>
  <c r="EF568" i="10"/>
  <c r="BY568" i="10"/>
  <c r="EK590" i="10"/>
  <c r="CD590" i="10"/>
  <c r="EK577" i="10"/>
  <c r="CD577" i="10"/>
  <c r="ET56" i="10"/>
  <c r="CM56" i="10"/>
  <c r="ET51" i="10"/>
  <c r="CM51" i="10"/>
  <c r="ET33" i="10"/>
  <c r="CM33" i="10"/>
  <c r="ET10" i="10"/>
  <c r="CM10" i="10"/>
  <c r="EH587" i="10"/>
  <c r="CA587" i="10"/>
  <c r="EH570" i="10"/>
  <c r="EH566" i="10"/>
  <c r="CA566" i="10"/>
  <c r="EG595" i="10"/>
  <c r="BZ595" i="10"/>
  <c r="EG589" i="10"/>
  <c r="BZ589" i="10"/>
  <c r="EF584" i="10"/>
  <c r="BY584" i="10"/>
  <c r="EJ583" i="10"/>
  <c r="CC583" i="10"/>
  <c r="CM50" i="10"/>
  <c r="ET50" i="10"/>
  <c r="CM32" i="10"/>
  <c r="ET32" i="10"/>
  <c r="ET9" i="10"/>
  <c r="CM9" i="10"/>
  <c r="EG599" i="10"/>
  <c r="BZ599" i="10"/>
  <c r="EG577" i="10"/>
  <c r="BZ577" i="10"/>
  <c r="EG566" i="10"/>
  <c r="BZ566" i="10"/>
  <c r="EF600" i="10"/>
  <c r="BY600" i="10"/>
  <c r="EF572" i="10"/>
  <c r="BY572" i="10"/>
  <c r="FB15" i="10"/>
  <c r="CU15" i="10"/>
  <c r="FB5" i="10"/>
  <c r="CU5" i="10"/>
  <c r="EK582" i="10"/>
  <c r="CD582" i="10"/>
  <c r="EK569" i="10"/>
  <c r="CD569" i="10"/>
  <c r="BZ598" i="10"/>
  <c r="EG598" i="10"/>
  <c r="EG576" i="10"/>
  <c r="BZ576" i="10"/>
  <c r="EF588" i="10"/>
  <c r="BY588" i="10"/>
  <c r="EH577" i="10"/>
  <c r="CA577" i="10"/>
  <c r="EH568" i="10"/>
  <c r="CA568" i="10"/>
  <c r="EH564" i="10"/>
  <c r="CA564" i="10"/>
  <c r="EG587" i="10"/>
  <c r="BZ587" i="10"/>
  <c r="EG582" i="10"/>
  <c r="BZ582" i="10"/>
  <c r="EG565" i="10"/>
  <c r="BZ565" i="10"/>
  <c r="EF576" i="10"/>
  <c r="BY576" i="10"/>
  <c r="CU36" i="10"/>
  <c r="FB36" i="10"/>
  <c r="EJ576" i="10"/>
  <c r="CC576" i="10"/>
  <c r="DU5" i="10"/>
  <c r="DV5" i="10" s="1"/>
  <c r="DT5" i="10" s="1"/>
  <c r="BN5" i="10"/>
  <c r="AZ797" i="12"/>
  <c r="AZ733" i="12"/>
  <c r="AZ725" i="12"/>
  <c r="BW567" i="10"/>
  <c r="BX567" i="10" s="1"/>
  <c r="BU567" i="10" s="1"/>
  <c r="BW571" i="10"/>
  <c r="BX571" i="10" s="1"/>
  <c r="BU571" i="10" s="1"/>
  <c r="BW575" i="10"/>
  <c r="BX575" i="10" s="1"/>
  <c r="BU575" i="10" s="1"/>
  <c r="BW579" i="10"/>
  <c r="BX579" i="10" s="1"/>
  <c r="BU579" i="10" s="1"/>
  <c r="BW583" i="10"/>
  <c r="BX583" i="10" s="1"/>
  <c r="BU583" i="10" s="1"/>
  <c r="BW587" i="10"/>
  <c r="BX587" i="10" s="1"/>
  <c r="BU587" i="10" s="1"/>
  <c r="BW591" i="10"/>
  <c r="BX591" i="10" s="1"/>
  <c r="BU591" i="10" s="1"/>
  <c r="BW595" i="10"/>
  <c r="BX595" i="10" s="1"/>
  <c r="BU595" i="10" s="1"/>
  <c r="BW599" i="10"/>
  <c r="BX599" i="10" s="1"/>
  <c r="BU599" i="10" s="1"/>
  <c r="BO5" i="10"/>
  <c r="BM5" i="10" s="1"/>
  <c r="BO13" i="10"/>
  <c r="BM13" i="10" s="1"/>
  <c r="BO16" i="10"/>
  <c r="BM16" i="10" s="1"/>
  <c r="BW564" i="10"/>
  <c r="BX564" i="10" s="1"/>
  <c r="BU564" i="10" s="1"/>
  <c r="BW568" i="10"/>
  <c r="BX568" i="10" s="1"/>
  <c r="BU568" i="10" s="1"/>
  <c r="BW572" i="10"/>
  <c r="BX572" i="10" s="1"/>
  <c r="BU572" i="10" s="1"/>
  <c r="BW576" i="10"/>
  <c r="BX576" i="10" s="1"/>
  <c r="BU576" i="10" s="1"/>
  <c r="BW580" i="10"/>
  <c r="BX580" i="10" s="1"/>
  <c r="BU580" i="10" s="1"/>
  <c r="BW584" i="10"/>
  <c r="BX584" i="10" s="1"/>
  <c r="BU584" i="10" s="1"/>
  <c r="BW588" i="10"/>
  <c r="BX588" i="10" s="1"/>
  <c r="BU588" i="10" s="1"/>
  <c r="BW592" i="10"/>
  <c r="BX592" i="10" s="1"/>
  <c r="BU592" i="10" s="1"/>
  <c r="BW596" i="10"/>
  <c r="BX596" i="10" s="1"/>
  <c r="BU596" i="10" s="1"/>
  <c r="BW600" i="10"/>
  <c r="BX600" i="10" s="1"/>
  <c r="BU600" i="10" s="1"/>
  <c r="BO11" i="10"/>
  <c r="BM11" i="10" s="1"/>
  <c r="BO19" i="10"/>
  <c r="BM19" i="10" s="1"/>
  <c r="BO14" i="10"/>
  <c r="BM14" i="10" s="1"/>
  <c r="BO22" i="10"/>
  <c r="BM22" i="10" s="1"/>
  <c r="BO10" i="10"/>
  <c r="BM10" i="10" s="1"/>
  <c r="BW573" i="10"/>
  <c r="BX573" i="10" s="1"/>
  <c r="BU573" i="10" s="1"/>
  <c r="BW578" i="10"/>
  <c r="BX578" i="10" s="1"/>
  <c r="BU578" i="10" s="1"/>
  <c r="BW589" i="10"/>
  <c r="BX589" i="10" s="1"/>
  <c r="BU589" i="10" s="1"/>
  <c r="BW594" i="10"/>
  <c r="BX594" i="10" s="1"/>
  <c r="BU594" i="10" s="1"/>
  <c r="BW569" i="10"/>
  <c r="BX569" i="10" s="1"/>
  <c r="BU569" i="10" s="1"/>
  <c r="BW574" i="10"/>
  <c r="BX574" i="10" s="1"/>
  <c r="BU574" i="10" s="1"/>
  <c r="BW585" i="10"/>
  <c r="BX585" i="10" s="1"/>
  <c r="BU585" i="10" s="1"/>
  <c r="BW590" i="10"/>
  <c r="BX590" i="10" s="1"/>
  <c r="BU590" i="10" s="1"/>
  <c r="BO15" i="10"/>
  <c r="BM15" i="10" s="1"/>
  <c r="BW581" i="10"/>
  <c r="BX581" i="10" s="1"/>
  <c r="BU581" i="10" s="1"/>
  <c r="CV32" i="10"/>
  <c r="CT32" i="10" s="1"/>
  <c r="BO12" i="10"/>
  <c r="BM12" i="10" s="1"/>
  <c r="BW582" i="10"/>
  <c r="BX582" i="10" s="1"/>
  <c r="BU582" i="10" s="1"/>
  <c r="BW570" i="10"/>
  <c r="BX570" i="10" s="1"/>
  <c r="BU570" i="10" s="1"/>
  <c r="BW577" i="10"/>
  <c r="BX577" i="10" s="1"/>
  <c r="BU577" i="10" s="1"/>
  <c r="BO4" i="10"/>
  <c r="BM4" i="10" s="1"/>
  <c r="BW566" i="10"/>
  <c r="BX566" i="10" s="1"/>
  <c r="BU566" i="10" s="1"/>
  <c r="BW598" i="10"/>
  <c r="BX598" i="10" s="1"/>
  <c r="BU598" i="10" s="1"/>
  <c r="BN16" i="10"/>
  <c r="DU16" i="10"/>
  <c r="DV16" i="10" s="1"/>
  <c r="DT16" i="10" s="1"/>
  <c r="AZ709" i="12"/>
  <c r="AZ693" i="12"/>
  <c r="AZ677" i="12"/>
  <c r="FB33" i="10"/>
  <c r="FC33" i="10" s="1"/>
  <c r="FA33" i="10" s="1"/>
  <c r="CU33" i="10"/>
  <c r="H10" i="10"/>
  <c r="F10" i="10" s="1"/>
  <c r="DU10" i="10"/>
  <c r="DV10" i="10" s="1"/>
  <c r="DT10" i="10" s="1"/>
  <c r="H18" i="10"/>
  <c r="F18" i="10" s="1"/>
  <c r="DU18" i="10"/>
  <c r="DV18" i="10" s="1"/>
  <c r="DT18" i="10" s="1"/>
  <c r="BN18" i="10"/>
  <c r="BO18" i="10" s="1"/>
  <c r="BM18" i="10" s="1"/>
  <c r="H13" i="10"/>
  <c r="F13" i="10" s="1"/>
  <c r="DU13" i="10"/>
  <c r="DV13" i="10" s="1"/>
  <c r="DT13" i="10" s="1"/>
  <c r="FB37" i="10"/>
  <c r="CU37" i="10"/>
  <c r="H21" i="10"/>
  <c r="F21" i="10" s="1"/>
  <c r="BN21" i="10"/>
  <c r="BO21" i="10" s="1"/>
  <c r="BM21" i="10" s="1"/>
  <c r="AZ621" i="12"/>
  <c r="H8" i="10"/>
  <c r="F8" i="10" s="1"/>
  <c r="BN8" i="10"/>
  <c r="BO8" i="10" s="1"/>
  <c r="BM8" i="10" s="1"/>
  <c r="BN7" i="10"/>
  <c r="BO7" i="10" s="1"/>
  <c r="BM7" i="10" s="1"/>
  <c r="CV35" i="10"/>
  <c r="CT35" i="10" s="1"/>
  <c r="AZ597" i="12"/>
  <c r="AZ589" i="12"/>
  <c r="AZ573" i="12"/>
  <c r="BN17" i="10"/>
  <c r="BO17" i="10" s="1"/>
  <c r="BM17" i="10" s="1"/>
  <c r="BN9" i="10"/>
  <c r="BO9" i="10" s="1"/>
  <c r="BM9" i="10" s="1"/>
  <c r="CU38" i="10"/>
  <c r="BN6" i="10"/>
  <c r="BO6" i="10" s="1"/>
  <c r="BM6" i="10" s="1"/>
  <c r="FC37" i="10"/>
  <c r="FA37" i="10" s="1"/>
  <c r="AZ841" i="12"/>
  <c r="AZ987" i="12"/>
  <c r="AZ1265" i="12"/>
  <c r="AZ1279" i="12"/>
  <c r="AZ1354" i="12"/>
  <c r="AZ1363" i="12"/>
  <c r="AZ1382" i="12"/>
  <c r="AZ801" i="12"/>
  <c r="AZ990" i="12"/>
  <c r="AZ1266" i="12"/>
  <c r="AZ1364" i="12"/>
  <c r="AZ715" i="12"/>
  <c r="AZ923" i="12"/>
  <c r="AZ996" i="12"/>
  <c r="AZ1033" i="12"/>
  <c r="AZ1216" i="12"/>
  <c r="AZ1329" i="12"/>
  <c r="AZ1338" i="12"/>
  <c r="AZ926" i="12"/>
  <c r="AZ999" i="12"/>
  <c r="AZ1035" i="12"/>
  <c r="AZ1271" i="12"/>
  <c r="AZ1296" i="12"/>
  <c r="AZ1330" i="12"/>
  <c r="AZ1385" i="12"/>
  <c r="AZ896" i="12"/>
  <c r="AZ969" i="12"/>
  <c r="AZ1042" i="12"/>
  <c r="AZ1079" i="12"/>
  <c r="AZ1051" i="12"/>
  <c r="AZ1124" i="12"/>
  <c r="AZ1161" i="12"/>
  <c r="AZ1263" i="12"/>
  <c r="AZ1044" i="12"/>
  <c r="AZ1264" i="12"/>
  <c r="AZ1362" i="12"/>
  <c r="AZ935" i="12"/>
  <c r="AZ1386" i="12"/>
  <c r="AZ1090" i="12"/>
  <c r="AZ1276" i="12"/>
  <c r="AZ1387" i="12"/>
  <c r="AZ971" i="12"/>
  <c r="AZ1118" i="12"/>
  <c r="AZ1388" i="12"/>
  <c r="AZ871" i="12"/>
  <c r="AZ1359" i="12"/>
  <c r="AZ1250" i="12"/>
  <c r="AZ493" i="12"/>
  <c r="AZ1199" i="12"/>
  <c r="AZ1162" i="12"/>
  <c r="AZ1126" i="12"/>
  <c r="AZ1116" i="12"/>
  <c r="AZ1107" i="12"/>
  <c r="AZ1043" i="12"/>
  <c r="AZ1034" i="12"/>
  <c r="AZ998" i="12"/>
  <c r="AZ970" i="12"/>
  <c r="AZ934" i="12"/>
  <c r="AZ870" i="12"/>
  <c r="AZ988" i="12"/>
  <c r="AZ723" i="12"/>
  <c r="AZ675" i="12"/>
  <c r="AZ485" i="12"/>
  <c r="AZ429" i="12"/>
  <c r="AZ421" i="12"/>
  <c r="AZ413" i="12"/>
  <c r="AZ389" i="12"/>
  <c r="AZ365" i="12"/>
  <c r="AZ349" i="12"/>
  <c r="AZ285" i="12"/>
  <c r="AZ253" i="12"/>
  <c r="AZ189" i="12"/>
  <c r="AZ676" i="12"/>
  <c r="AZ634" i="12"/>
  <c r="AZ476" i="12"/>
  <c r="AZ66" i="12"/>
  <c r="AZ1215" i="12"/>
  <c r="AZ1169" i="12"/>
  <c r="AZ1142" i="12"/>
  <c r="AZ1123" i="12"/>
  <c r="AZ1050" i="12"/>
  <c r="AZ1032" i="12"/>
  <c r="AZ995" i="12"/>
  <c r="AZ986" i="12"/>
  <c r="AZ968" i="12"/>
  <c r="AZ913" i="12"/>
  <c r="AZ840" i="12"/>
  <c r="AZ1278" i="12"/>
  <c r="AZ1262" i="12"/>
  <c r="AZ1214" i="12"/>
  <c r="AZ1058" i="12"/>
  <c r="AZ1031" i="12"/>
  <c r="AZ994" i="12"/>
  <c r="AZ985" i="12"/>
  <c r="AZ848" i="12"/>
  <c r="AZ1176" i="12"/>
  <c r="AZ1084" i="12"/>
  <c r="AZ1039" i="12"/>
  <c r="AZ1030" i="12"/>
  <c r="AZ1020" i="12"/>
  <c r="AZ993" i="12"/>
  <c r="AZ956" i="12"/>
  <c r="AZ847" i="12"/>
  <c r="AZ743" i="12"/>
  <c r="AZ1147" i="12"/>
  <c r="AZ1083" i="12"/>
  <c r="AZ1019" i="12"/>
  <c r="AZ974" i="12"/>
  <c r="AZ955" i="12"/>
  <c r="AZ855" i="12"/>
  <c r="AZ368" i="12"/>
  <c r="AZ1307" i="12"/>
  <c r="AZ1283" i="12"/>
  <c r="AZ1146" i="12"/>
  <c r="AZ1036" i="12"/>
  <c r="AZ1018" i="12"/>
  <c r="AZ954" i="12"/>
  <c r="AZ945" i="12"/>
  <c r="AZ936" i="12"/>
  <c r="AZ927" i="12"/>
  <c r="AZ844" i="12"/>
  <c r="AZ633" i="12"/>
  <c r="AZ350" i="12"/>
  <c r="AZ746" i="12"/>
  <c r="AZ724" i="12"/>
  <c r="AZ139" i="12"/>
  <c r="AZ157" i="12"/>
  <c r="AZ101" i="12"/>
  <c r="AZ13" i="12"/>
  <c r="AZ3" i="12"/>
  <c r="AZ12" i="12"/>
  <c r="AZ31" i="12"/>
  <c r="AZ86" i="12"/>
  <c r="AZ159" i="12"/>
  <c r="AZ250" i="12"/>
  <c r="AZ424" i="12"/>
  <c r="AZ433" i="12"/>
  <c r="AZ470" i="12"/>
  <c r="AZ488" i="12"/>
  <c r="AZ14" i="12"/>
  <c r="AZ32" i="12"/>
  <c r="AZ87" i="12"/>
  <c r="AZ105" i="12"/>
  <c r="AZ187" i="12"/>
  <c r="AZ4" i="12"/>
  <c r="AZ15" i="12"/>
  <c r="AZ42" i="12"/>
  <c r="AZ88" i="12"/>
  <c r="AZ115" i="12"/>
  <c r="AZ143" i="12"/>
  <c r="AZ188" i="12"/>
  <c r="AZ390" i="12"/>
  <c r="AZ426" i="12"/>
  <c r="AZ572" i="12"/>
  <c r="AZ71" i="12"/>
  <c r="AZ190" i="12"/>
  <c r="AZ254" i="12"/>
  <c r="AZ427" i="12"/>
  <c r="AZ482" i="12"/>
  <c r="AZ592" i="12"/>
  <c r="AZ672" i="12"/>
  <c r="BA672" i="12" s="1"/>
  <c r="AZ35" i="12"/>
  <c r="AZ72" i="12"/>
  <c r="AZ191" i="12"/>
  <c r="AZ218" i="12"/>
  <c r="AZ255" i="12"/>
  <c r="AZ428" i="12"/>
  <c r="AZ483" i="12"/>
  <c r="AZ575" i="12"/>
  <c r="AZ584" i="12"/>
  <c r="AZ593" i="12"/>
  <c r="AZ620" i="12"/>
  <c r="AZ36" i="12"/>
  <c r="AZ55" i="12"/>
  <c r="AZ91" i="12"/>
  <c r="AZ110" i="12"/>
  <c r="AZ174" i="12"/>
  <c r="AZ366" i="12"/>
  <c r="AZ393" i="12"/>
  <c r="AZ430" i="12"/>
  <c r="AZ466" i="12"/>
  <c r="AZ484" i="12"/>
  <c r="AZ622" i="12"/>
  <c r="AZ19" i="12"/>
  <c r="AZ28" i="12"/>
  <c r="AZ47" i="12"/>
  <c r="AZ56" i="12"/>
  <c r="AZ92" i="12"/>
  <c r="AZ175" i="12"/>
  <c r="AZ367" i="12"/>
  <c r="AZ394" i="12"/>
  <c r="AZ422" i="12"/>
  <c r="AZ431" i="12"/>
  <c r="AZ671" i="12"/>
  <c r="AZ660" i="12"/>
  <c r="AZ600" i="12"/>
  <c r="AZ552" i="12"/>
  <c r="AZ434" i="12"/>
  <c r="AZ267" i="12"/>
  <c r="AZ121" i="12"/>
  <c r="AZ823" i="12"/>
  <c r="AZ751" i="12"/>
  <c r="AZ670" i="12"/>
  <c r="AZ514" i="12"/>
  <c r="AZ489" i="12"/>
  <c r="AZ432" i="12"/>
  <c r="AZ425" i="12"/>
  <c r="AZ249" i="12"/>
  <c r="AZ596" i="12"/>
  <c r="AZ507" i="12"/>
  <c r="AZ423" i="12"/>
  <c r="AZ678" i="12"/>
  <c r="AZ608" i="12"/>
  <c r="AZ524" i="12"/>
  <c r="AZ158" i="12"/>
  <c r="H5" i="10"/>
  <c r="H4" i="10"/>
  <c r="F4" i="10" s="1"/>
  <c r="H12" i="10"/>
  <c r="F12" i="10" s="1"/>
  <c r="H16" i="10"/>
  <c r="F16" i="10" s="1"/>
  <c r="H15" i="10"/>
  <c r="F15" i="10" s="1"/>
  <c r="H14" i="10"/>
  <c r="F14" i="10" s="1"/>
  <c r="H7" i="10"/>
  <c r="F7" i="10" s="1"/>
  <c r="H23" i="10"/>
  <c r="F23" i="10" s="1"/>
  <c r="H22" i="10"/>
  <c r="F22" i="10" s="1"/>
  <c r="H20" i="10"/>
  <c r="F20" i="10" s="1"/>
  <c r="BB21" i="10"/>
  <c r="DI18" i="10"/>
  <c r="DI33" i="10"/>
  <c r="DI24" i="10"/>
  <c r="BB36" i="10"/>
  <c r="DQ7" i="10"/>
  <c r="DR7" i="10" s="1"/>
  <c r="DO7" i="10" s="1"/>
  <c r="C9" i="10"/>
  <c r="D9" i="10" s="1"/>
  <c r="C5" i="10"/>
  <c r="D5" i="10" s="1"/>
  <c r="BJ7" i="10"/>
  <c r="BK7" i="10" s="1"/>
  <c r="BH7" i="10" s="1"/>
  <c r="BB38" i="10"/>
  <c r="DC23" i="10"/>
  <c r="DC25" i="10"/>
  <c r="AV26" i="10"/>
  <c r="AV22" i="10"/>
  <c r="DI38" i="10"/>
  <c r="DI26" i="10"/>
  <c r="BB34" i="10"/>
  <c r="DI19" i="10"/>
  <c r="DC18" i="10"/>
  <c r="BB23" i="10"/>
  <c r="BB19" i="10"/>
  <c r="FP25" i="10"/>
  <c r="FP39" i="10"/>
  <c r="BB37" i="10"/>
  <c r="BB33" i="10"/>
  <c r="AV24" i="10"/>
  <c r="AV20" i="10"/>
  <c r="DI34" i="10"/>
  <c r="BB40" i="10"/>
  <c r="BB25" i="10"/>
  <c r="CV33" i="10"/>
  <c r="CT33" i="10" s="1"/>
  <c r="FC34" i="10"/>
  <c r="FA34" i="10" s="1"/>
  <c r="AO36" i="10"/>
  <c r="AM36" i="10" s="1"/>
  <c r="CV37" i="10"/>
  <c r="CT37" i="10" s="1"/>
  <c r="FC35" i="10"/>
  <c r="FA35" i="10" s="1"/>
  <c r="FC36" i="10"/>
  <c r="FA36" i="10" s="1"/>
  <c r="AO38" i="10"/>
  <c r="AM38" i="10" s="1"/>
  <c r="AO34" i="10"/>
  <c r="AM34" i="10" s="1"/>
  <c r="CV38" i="10"/>
  <c r="CT38" i="10" s="1"/>
  <c r="CV36" i="10"/>
  <c r="CT36" i="10" s="1"/>
  <c r="CV34" i="10"/>
  <c r="CT34" i="10" s="1"/>
  <c r="FC32" i="10"/>
  <c r="FA32" i="10" s="1"/>
  <c r="AO37" i="10"/>
  <c r="AM37" i="10" s="1"/>
  <c r="AO33" i="10"/>
  <c r="AM33" i="10" s="1"/>
  <c r="AO32" i="10"/>
  <c r="AO35" i="10"/>
  <c r="FC38" i="10"/>
  <c r="FA38" i="10" s="1"/>
  <c r="FP26" i="10"/>
  <c r="FP40" i="10"/>
  <c r="FJ22" i="10"/>
  <c r="FJ24" i="10"/>
  <c r="FJ18" i="10"/>
  <c r="BJ13" i="10"/>
  <c r="BK13" i="10" s="1"/>
  <c r="BH13" i="10" s="1"/>
  <c r="DQ13" i="10"/>
  <c r="DR13" i="10" s="1"/>
  <c r="DO13" i="10" s="1"/>
  <c r="C13" i="10"/>
  <c r="D13" i="10" s="1"/>
  <c r="DP10" i="10"/>
  <c r="DQ10" i="10" s="1"/>
  <c r="DR10" i="10" s="1"/>
  <c r="DO10" i="10" s="1"/>
  <c r="BI10" i="10"/>
  <c r="BJ10" i="10" s="1"/>
  <c r="BK10" i="10" s="1"/>
  <c r="BH10" i="10" s="1"/>
  <c r="B10" i="10"/>
  <c r="C10" i="10" s="1"/>
  <c r="D10" i="10" s="1"/>
  <c r="FP20" i="10"/>
  <c r="FP24" i="10"/>
  <c r="FP18" i="10"/>
  <c r="FP22" i="10"/>
  <c r="FP32" i="10"/>
  <c r="FP36" i="10"/>
  <c r="FP34" i="10"/>
  <c r="FP38" i="10"/>
  <c r="FJ26" i="10"/>
  <c r="DP12" i="10"/>
  <c r="DQ12" i="10" s="1"/>
  <c r="DR12" i="10" s="1"/>
  <c r="DO12" i="10" s="1"/>
  <c r="BI12" i="10"/>
  <c r="BJ12" i="10" s="1"/>
  <c r="BK12" i="10" s="1"/>
  <c r="BH12" i="10" s="1"/>
  <c r="B12" i="10"/>
  <c r="C12" i="10" s="1"/>
  <c r="D12" i="10" s="1"/>
  <c r="FJ25" i="10"/>
  <c r="AV19" i="10"/>
  <c r="AV23" i="10"/>
  <c r="AV27" i="10"/>
  <c r="BB35" i="10"/>
  <c r="BB39" i="10"/>
  <c r="BB41" i="10"/>
  <c r="BB27" i="10"/>
  <c r="AV25" i="10"/>
  <c r="AV21" i="10"/>
  <c r="DP11" i="10"/>
  <c r="DQ11" i="10" s="1"/>
  <c r="DR11" i="10" s="1"/>
  <c r="DO11" i="10" s="1"/>
  <c r="BI11" i="10"/>
  <c r="BJ11" i="10" s="1"/>
  <c r="BK11" i="10" s="1"/>
  <c r="BH11" i="10" s="1"/>
  <c r="B11" i="10"/>
  <c r="C11" i="10" s="1"/>
  <c r="D11" i="10" s="1"/>
  <c r="A8" i="10" s="1"/>
  <c r="BB20" i="10"/>
  <c r="BB24" i="10"/>
  <c r="AV18" i="10"/>
  <c r="BB32" i="10"/>
  <c r="BB26" i="10"/>
  <c r="BB22" i="10"/>
  <c r="BB18" i="10"/>
  <c r="DI41" i="10"/>
  <c r="DI36" i="10"/>
  <c r="DI22" i="10"/>
  <c r="DC21" i="10"/>
  <c r="DI40" i="10"/>
  <c r="DI39" i="10"/>
  <c r="DI27" i="10"/>
  <c r="DI25" i="10"/>
  <c r="DI21" i="10"/>
  <c r="DC26" i="10"/>
  <c r="DC24" i="10"/>
  <c r="DC20" i="10"/>
  <c r="DI32" i="10"/>
  <c r="DI35" i="10"/>
  <c r="DI20" i="10"/>
  <c r="DC19" i="10"/>
  <c r="DC27" i="10"/>
  <c r="DI37" i="10"/>
  <c r="DI23" i="10"/>
  <c r="DC22" i="10"/>
  <c r="FJ27" i="10"/>
  <c r="FJ21" i="10"/>
  <c r="FP23" i="10"/>
  <c r="FP19" i="10"/>
  <c r="FP37" i="10"/>
  <c r="FP33" i="10"/>
  <c r="FP41" i="10"/>
  <c r="FJ23" i="10"/>
  <c r="FJ19" i="10"/>
  <c r="FP21" i="10"/>
  <c r="A7" i="10"/>
  <c r="FP27" i="10"/>
  <c r="FP35" i="10"/>
  <c r="FJ20" i="10"/>
  <c r="DC3" i="10"/>
  <c r="AW3" i="10"/>
  <c r="AV4" i="10"/>
  <c r="FJ3" i="10"/>
  <c r="AM32" i="10" l="1"/>
  <c r="F5" i="10"/>
  <c r="K8" i="10" s="1"/>
  <c r="A4" i="10"/>
  <c r="BJ25" i="10"/>
  <c r="BQ8" i="10"/>
  <c r="DY4" i="10"/>
  <c r="DQ25" i="10"/>
  <c r="FH27" i="10" s="1"/>
  <c r="FF34" i="10"/>
  <c r="BR19" i="10"/>
  <c r="BJ18" i="10"/>
  <c r="G18" i="13" s="1"/>
  <c r="DY19" i="10"/>
  <c r="DY23" i="10"/>
  <c r="DY16" i="10"/>
  <c r="BQ13" i="10"/>
  <c r="DQ20" i="10"/>
  <c r="G20" i="15" s="1"/>
  <c r="BJ16" i="10"/>
  <c r="G16" i="13" s="1"/>
  <c r="BQ10" i="10"/>
  <c r="FF37" i="10"/>
  <c r="BR13" i="10"/>
  <c r="DQ17" i="10"/>
  <c r="FH19" i="10" s="1"/>
  <c r="DX15" i="10"/>
  <c r="DX20" i="10"/>
  <c r="DX9" i="10"/>
  <c r="DX13" i="10"/>
  <c r="BI17" i="10"/>
  <c r="C17" i="13" s="1"/>
  <c r="DP17" i="10"/>
  <c r="C17" i="15" s="1"/>
  <c r="DX11" i="10"/>
  <c r="BQ17" i="10"/>
  <c r="BR22" i="10"/>
  <c r="BQ16" i="10"/>
  <c r="DY18" i="10"/>
  <c r="DX18" i="10"/>
  <c r="DY14" i="10"/>
  <c r="DY11" i="10"/>
  <c r="DX16" i="10"/>
  <c r="BJ21" i="10"/>
  <c r="DA23" i="10" s="1"/>
  <c r="DX23" i="10"/>
  <c r="DX7" i="10"/>
  <c r="BR4" i="10"/>
  <c r="BR14" i="10"/>
  <c r="BQ6" i="10"/>
  <c r="DY13" i="10"/>
  <c r="DY12" i="10"/>
  <c r="DY9" i="10"/>
  <c r="DX6" i="10"/>
  <c r="BR21" i="10"/>
  <c r="DY15" i="10"/>
  <c r="DX12" i="10"/>
  <c r="DP20" i="10"/>
  <c r="C20" i="15" s="1"/>
  <c r="DX21" i="10"/>
  <c r="DX5" i="10"/>
  <c r="BQ5" i="10"/>
  <c r="BR12" i="10"/>
  <c r="BR15" i="10"/>
  <c r="DY10" i="10"/>
  <c r="DX10" i="10"/>
  <c r="DY6" i="10"/>
  <c r="DY21" i="10"/>
  <c r="DY20" i="10"/>
  <c r="DY17" i="10"/>
  <c r="DX14" i="10"/>
  <c r="DY8" i="10"/>
  <c r="DX8" i="10"/>
  <c r="DY7" i="10"/>
  <c r="DX22" i="10"/>
  <c r="BQ4" i="10"/>
  <c r="BJ23" i="10"/>
  <c r="FF38" i="10"/>
  <c r="BQ15" i="10"/>
  <c r="BQ12" i="10"/>
  <c r="BQ19" i="10"/>
  <c r="BR16" i="10"/>
  <c r="BJ22" i="10"/>
  <c r="DA24" i="10" s="1"/>
  <c r="DP16" i="10"/>
  <c r="C16" i="15" s="1"/>
  <c r="DX19" i="10"/>
  <c r="BR5" i="10"/>
  <c r="BR10" i="10"/>
  <c r="DX17" i="10"/>
  <c r="BQ7" i="10"/>
  <c r="BR9" i="10"/>
  <c r="BR6" i="10"/>
  <c r="BI18" i="10"/>
  <c r="C18" i="13" s="1"/>
  <c r="DX4" i="10"/>
  <c r="DY5" i="10"/>
  <c r="DY22" i="10"/>
  <c r="J20" i="10"/>
  <c r="K20" i="10"/>
  <c r="K14" i="10"/>
  <c r="K18" i="10"/>
  <c r="K5" i="10"/>
  <c r="K7" i="10"/>
  <c r="K13" i="10"/>
  <c r="J14" i="10"/>
  <c r="K10" i="10"/>
  <c r="K12" i="10"/>
  <c r="CY32" i="10"/>
  <c r="CY37" i="10"/>
  <c r="CY34" i="10"/>
  <c r="CX37" i="10"/>
  <c r="CY38" i="10"/>
  <c r="K9" i="10"/>
  <c r="CX35" i="10"/>
  <c r="CX34" i="10"/>
  <c r="J22" i="10"/>
  <c r="K19" i="10"/>
  <c r="J23" i="10"/>
  <c r="J18" i="10"/>
  <c r="DQ24" i="10"/>
  <c r="FH26" i="10" s="1"/>
  <c r="DQ16" i="10"/>
  <c r="FH18" i="10" s="1"/>
  <c r="DQ22" i="10"/>
  <c r="FH24" i="10" s="1"/>
  <c r="BR7" i="10"/>
  <c r="BR11" i="10"/>
  <c r="BQ22" i="10"/>
  <c r="BR18" i="10"/>
  <c r="BQ11" i="10"/>
  <c r="BQ23" i="10"/>
  <c r="BQ18" i="10"/>
  <c r="BQ14" i="10"/>
  <c r="BR23" i="10"/>
  <c r="BR20" i="10"/>
  <c r="BQ9" i="10"/>
  <c r="BQ20" i="10"/>
  <c r="BR8" i="10"/>
  <c r="BR17" i="10"/>
  <c r="BQ21" i="10"/>
  <c r="K15" i="10"/>
  <c r="J11" i="10"/>
  <c r="K17" i="10"/>
  <c r="J10" i="10"/>
  <c r="K6" i="10"/>
  <c r="K21" i="10"/>
  <c r="J13" i="10"/>
  <c r="J5" i="10"/>
  <c r="J15" i="10"/>
  <c r="K22" i="10"/>
  <c r="J6" i="10"/>
  <c r="J16" i="10"/>
  <c r="K4" i="10"/>
  <c r="J8" i="10"/>
  <c r="J17" i="10"/>
  <c r="J21" i="10"/>
  <c r="K16" i="10"/>
  <c r="J4" i="10"/>
  <c r="J7" i="10"/>
  <c r="K23" i="10"/>
  <c r="J9" i="10"/>
  <c r="K11" i="10"/>
  <c r="CX32" i="10"/>
  <c r="CX36" i="10"/>
  <c r="CY36" i="10"/>
  <c r="CX33" i="10"/>
  <c r="J19" i="10"/>
  <c r="FE32" i="10"/>
  <c r="FF36" i="10"/>
  <c r="FF35" i="10"/>
  <c r="J12" i="10"/>
  <c r="BJ19" i="10"/>
  <c r="DA21" i="10" s="1"/>
  <c r="BI19" i="10"/>
  <c r="C19" i="13" s="1"/>
  <c r="AZ5" i="12"/>
  <c r="DK25" i="10"/>
  <c r="DE19" i="10"/>
  <c r="DP19" i="10"/>
  <c r="C19" i="15" s="1"/>
  <c r="DE23" i="10"/>
  <c r="DK20" i="10"/>
  <c r="FF33" i="10"/>
  <c r="DK21" i="10"/>
  <c r="DL21" i="10" s="1"/>
  <c r="DM21" i="10" s="1"/>
  <c r="A5" i="10"/>
  <c r="DQ18" i="10"/>
  <c r="FH20" i="10" s="1"/>
  <c r="DQ23" i="10"/>
  <c r="FH25" i="10" s="1"/>
  <c r="A9" i="10"/>
  <c r="FE34" i="10"/>
  <c r="FE38" i="10"/>
  <c r="FE35" i="10"/>
  <c r="FF32" i="10"/>
  <c r="FE36" i="10"/>
  <c r="FE33" i="10"/>
  <c r="FE37" i="10"/>
  <c r="CY33" i="10"/>
  <c r="CX38" i="10"/>
  <c r="CY35" i="10"/>
  <c r="BI20" i="10"/>
  <c r="C20" i="13" s="1"/>
  <c r="BI21" i="10"/>
  <c r="C21" i="13" s="1"/>
  <c r="BJ17" i="10"/>
  <c r="DA19" i="10" s="1"/>
  <c r="DP18" i="10"/>
  <c r="C18" i="15" s="1"/>
  <c r="DQ19" i="10"/>
  <c r="FH21" i="10" s="1"/>
  <c r="DP21" i="10"/>
  <c r="C21" i="15" s="1"/>
  <c r="A6" i="10"/>
  <c r="AM35" i="10"/>
  <c r="BJ24" i="10"/>
  <c r="BI16" i="10"/>
  <c r="C16" i="13" s="1"/>
  <c r="BJ20" i="10"/>
  <c r="DK18" i="10"/>
  <c r="DL18" i="10" s="1"/>
  <c r="DM18" i="10" s="1"/>
  <c r="BD18" i="10"/>
  <c r="BE18" i="10" s="1"/>
  <c r="BF18" i="10" s="1"/>
  <c r="BD22" i="10"/>
  <c r="BD26" i="10"/>
  <c r="BD20" i="10"/>
  <c r="BD24" i="10"/>
  <c r="BD19" i="10"/>
  <c r="BD27" i="10"/>
  <c r="BD25" i="10"/>
  <c r="BD23" i="10"/>
  <c r="BD21" i="10"/>
  <c r="DE20" i="10"/>
  <c r="DE22" i="10"/>
  <c r="A13" i="10"/>
  <c r="E13" i="10"/>
  <c r="DA20" i="10"/>
  <c r="DA27" i="10"/>
  <c r="G25" i="13"/>
  <c r="DK19" i="10"/>
  <c r="DK27" i="10"/>
  <c r="DK22" i="10"/>
  <c r="DE25" i="10"/>
  <c r="DE18" i="10"/>
  <c r="DF18" i="10" s="1"/>
  <c r="DG18" i="10" s="1"/>
  <c r="DK23" i="10"/>
  <c r="FR34" i="10"/>
  <c r="FR38" i="10"/>
  <c r="FR33" i="10"/>
  <c r="FR37" i="10"/>
  <c r="FR41" i="10"/>
  <c r="FR32" i="10"/>
  <c r="FS32" i="10" s="1"/>
  <c r="FT32" i="10" s="1"/>
  <c r="FR36" i="10"/>
  <c r="FR40" i="10"/>
  <c r="FR35" i="10"/>
  <c r="FS35" i="10" s="1"/>
  <c r="FT35" i="10" s="1"/>
  <c r="FR39" i="10"/>
  <c r="FS39" i="10" s="1"/>
  <c r="FT39" i="10" s="1"/>
  <c r="A10" i="10"/>
  <c r="E9" i="10"/>
  <c r="E10" i="10"/>
  <c r="DA25" i="10"/>
  <c r="G23" i="13"/>
  <c r="DA18" i="10"/>
  <c r="DK26" i="10"/>
  <c r="DK35" i="10"/>
  <c r="DK39" i="10"/>
  <c r="DK32" i="10"/>
  <c r="DL32" i="10" s="1"/>
  <c r="DM32" i="10" s="1"/>
  <c r="DK34" i="10"/>
  <c r="DK41" i="10"/>
  <c r="DK36" i="10"/>
  <c r="DL36" i="10" s="1"/>
  <c r="DM36" i="10" s="1"/>
  <c r="DK38" i="10"/>
  <c r="DK33" i="10"/>
  <c r="DK40" i="10"/>
  <c r="DK37" i="10"/>
  <c r="DK24" i="10"/>
  <c r="DE24" i="10"/>
  <c r="DE27" i="10"/>
  <c r="A11" i="10"/>
  <c r="E11" i="10"/>
  <c r="A12" i="10"/>
  <c r="E12" i="10"/>
  <c r="BK20" i="10"/>
  <c r="H20" i="13" s="1"/>
  <c r="I20" i="13" s="1"/>
  <c r="BI23" i="10"/>
  <c r="C23" i="13" s="1"/>
  <c r="BI25" i="10"/>
  <c r="C25" i="13" s="1"/>
  <c r="BK18" i="10"/>
  <c r="H18" i="13" s="1"/>
  <c r="I18" i="13" s="1"/>
  <c r="BI22" i="10"/>
  <c r="C22" i="13" s="1"/>
  <c r="BI24" i="10"/>
  <c r="C24" i="13" s="1"/>
  <c r="BK16" i="10"/>
  <c r="H16" i="13" s="1"/>
  <c r="I16" i="13" s="1"/>
  <c r="BK21" i="10"/>
  <c r="H21" i="13" s="1"/>
  <c r="I21" i="13" s="1"/>
  <c r="BK25" i="10"/>
  <c r="H25" i="13" s="1"/>
  <c r="I25" i="13" s="1"/>
  <c r="BK22" i="10"/>
  <c r="H22" i="13" s="1"/>
  <c r="I22" i="13" s="1"/>
  <c r="BK17" i="10"/>
  <c r="H17" i="13" s="1"/>
  <c r="I17" i="13" s="1"/>
  <c r="BK23" i="10"/>
  <c r="H23" i="13" s="1"/>
  <c r="I23" i="13" s="1"/>
  <c r="BK19" i="10"/>
  <c r="H19" i="13" s="1"/>
  <c r="I19" i="13" s="1"/>
  <c r="BK24" i="10"/>
  <c r="H24" i="13" s="1"/>
  <c r="I24" i="13" s="1"/>
  <c r="BD35" i="10"/>
  <c r="BD39" i="10"/>
  <c r="BD33" i="10"/>
  <c r="BD37" i="10"/>
  <c r="BD41" i="10"/>
  <c r="BD34" i="10"/>
  <c r="BD32" i="10"/>
  <c r="BE32" i="10" s="1"/>
  <c r="BF32" i="10" s="1"/>
  <c r="BD40" i="10"/>
  <c r="BD38" i="10"/>
  <c r="BD36" i="10"/>
  <c r="DE21" i="10"/>
  <c r="DE26" i="10"/>
  <c r="AX19" i="10"/>
  <c r="AX23" i="10"/>
  <c r="AX27" i="10"/>
  <c r="AX21" i="10"/>
  <c r="AX25" i="10"/>
  <c r="AX22" i="10"/>
  <c r="AX20" i="10"/>
  <c r="AX18" i="10"/>
  <c r="AY18" i="10" s="1"/>
  <c r="AZ18" i="10" s="1"/>
  <c r="AX26" i="10"/>
  <c r="AX24" i="10"/>
  <c r="FR24" i="10"/>
  <c r="FR20" i="10"/>
  <c r="FR27" i="10"/>
  <c r="FR25" i="10"/>
  <c r="FR21" i="10"/>
  <c r="FR19" i="10"/>
  <c r="FR26" i="10"/>
  <c r="FR22" i="10"/>
  <c r="FR18" i="10"/>
  <c r="FS18" i="10" s="1"/>
  <c r="FT18" i="10" s="1"/>
  <c r="FR23" i="10"/>
  <c r="DQ21" i="10"/>
  <c r="DR18" i="10"/>
  <c r="H18" i="15" s="1"/>
  <c r="I18" i="15" s="1"/>
  <c r="DP22" i="10"/>
  <c r="C22" i="15" s="1"/>
  <c r="DP24" i="10"/>
  <c r="C24" i="15" s="1"/>
  <c r="DR16" i="10"/>
  <c r="H16" i="15" s="1"/>
  <c r="I16" i="15" s="1"/>
  <c r="DR19" i="10"/>
  <c r="H19" i="15" s="1"/>
  <c r="I19" i="15" s="1"/>
  <c r="DR22" i="10"/>
  <c r="H22" i="15" s="1"/>
  <c r="I22" i="15" s="1"/>
  <c r="DR24" i="10"/>
  <c r="H24" i="15" s="1"/>
  <c r="I24" i="15" s="1"/>
  <c r="DP23" i="10"/>
  <c r="C23" i="15" s="1"/>
  <c r="DR17" i="10"/>
  <c r="H17" i="15" s="1"/>
  <c r="I17" i="15" s="1"/>
  <c r="DR23" i="10"/>
  <c r="H23" i="15" s="1"/>
  <c r="I23" i="15" s="1"/>
  <c r="DR20" i="10"/>
  <c r="H20" i="15" s="1"/>
  <c r="I20" i="15" s="1"/>
  <c r="DP25" i="10"/>
  <c r="C25" i="15" s="1"/>
  <c r="DR21" i="10"/>
  <c r="H21" i="15" s="1"/>
  <c r="I21" i="15" s="1"/>
  <c r="DR25" i="10"/>
  <c r="H25" i="15" s="1"/>
  <c r="I25" i="15" s="1"/>
  <c r="FL18" i="10"/>
  <c r="FM18" i="10" s="1"/>
  <c r="FN18" i="10" s="1"/>
  <c r="FL21" i="10"/>
  <c r="FL25" i="10"/>
  <c r="FL20" i="10"/>
  <c r="FL24" i="10"/>
  <c r="FL23" i="10"/>
  <c r="FL27" i="10"/>
  <c r="FL19" i="10"/>
  <c r="FL22" i="10"/>
  <c r="FL26" i="10"/>
  <c r="AW4" i="10"/>
  <c r="DD3" i="10"/>
  <c r="FK3" i="10"/>
  <c r="AX3" i="10"/>
  <c r="FJ4" i="10"/>
  <c r="DC4" i="10"/>
  <c r="G22" i="15" l="1"/>
  <c r="G19" i="13"/>
  <c r="G16" i="15"/>
  <c r="G25" i="15"/>
  <c r="FH22" i="10"/>
  <c r="DL23" i="10"/>
  <c r="DM23" i="10" s="1"/>
  <c r="DL24" i="10"/>
  <c r="DM24" i="10" s="1"/>
  <c r="DL19" i="10"/>
  <c r="DM19" i="10" s="1"/>
  <c r="DF20" i="10"/>
  <c r="DG20" i="10" s="1"/>
  <c r="K63" i="15"/>
  <c r="P63" i="15" s="1"/>
  <c r="D19" i="10"/>
  <c r="H19" i="11" s="1"/>
  <c r="I19" i="11" s="1"/>
  <c r="C64" i="15"/>
  <c r="H64" i="15" s="1"/>
  <c r="C64" i="13"/>
  <c r="H64" i="13" s="1"/>
  <c r="AY24" i="10"/>
  <c r="AZ24" i="10" s="1"/>
  <c r="G17" i="15"/>
  <c r="K65" i="15"/>
  <c r="P65" i="15" s="1"/>
  <c r="C67" i="11"/>
  <c r="H67" i="11" s="1"/>
  <c r="C66" i="15"/>
  <c r="H66" i="15" s="1"/>
  <c r="C69" i="13"/>
  <c r="H69" i="13" s="1"/>
  <c r="G23" i="15"/>
  <c r="C65" i="13"/>
  <c r="H65" i="13" s="1"/>
  <c r="C62" i="15"/>
  <c r="H62" i="15" s="1"/>
  <c r="DF24" i="10"/>
  <c r="DG24" i="10" s="1"/>
  <c r="DF26" i="10"/>
  <c r="DG26" i="10" s="1"/>
  <c r="G21" i="13"/>
  <c r="G24" i="15"/>
  <c r="B22" i="10"/>
  <c r="C22" i="11" s="1"/>
  <c r="C68" i="13"/>
  <c r="H68" i="13" s="1"/>
  <c r="K66" i="15"/>
  <c r="P66" i="15" s="1"/>
  <c r="C70" i="13"/>
  <c r="H70" i="13" s="1"/>
  <c r="C63" i="13"/>
  <c r="H63" i="13" s="1"/>
  <c r="C66" i="13"/>
  <c r="H66" i="13" s="1"/>
  <c r="C67" i="15"/>
  <c r="H67" i="15" s="1"/>
  <c r="C69" i="15"/>
  <c r="H69" i="15" s="1"/>
  <c r="C65" i="15"/>
  <c r="H65" i="15" s="1"/>
  <c r="G22" i="13"/>
  <c r="C67" i="13"/>
  <c r="H67" i="13" s="1"/>
  <c r="C63" i="15"/>
  <c r="H63" i="15" s="1"/>
  <c r="K62" i="15"/>
  <c r="P62" i="15" s="1"/>
  <c r="C64" i="11"/>
  <c r="H64" i="11" s="1"/>
  <c r="DL26" i="10"/>
  <c r="DM26" i="10" s="1"/>
  <c r="C62" i="13"/>
  <c r="H62" i="13" s="1"/>
  <c r="K62" i="13"/>
  <c r="P62" i="13" s="1"/>
  <c r="C68" i="15"/>
  <c r="H68" i="15" s="1"/>
  <c r="G19" i="15"/>
  <c r="G17" i="13"/>
  <c r="K69" i="13"/>
  <c r="P69" i="13" s="1"/>
  <c r="K67" i="15"/>
  <c r="P67" i="15" s="1"/>
  <c r="D23" i="10"/>
  <c r="H23" i="11" s="1"/>
  <c r="I23" i="11" s="1"/>
  <c r="D17" i="10"/>
  <c r="H17" i="11" s="1"/>
  <c r="I17" i="11" s="1"/>
  <c r="K66" i="13"/>
  <c r="P66" i="13" s="1"/>
  <c r="C20" i="10"/>
  <c r="G20" i="11" s="1"/>
  <c r="FS36" i="10"/>
  <c r="FT36" i="10" s="1"/>
  <c r="C63" i="11"/>
  <c r="H63" i="11" s="1"/>
  <c r="DF21" i="10"/>
  <c r="DG21" i="10" s="1"/>
  <c r="K64" i="15"/>
  <c r="P64" i="15" s="1"/>
  <c r="K65" i="13"/>
  <c r="P65" i="13" s="1"/>
  <c r="C69" i="11"/>
  <c r="H69" i="11" s="1"/>
  <c r="G18" i="15"/>
  <c r="B24" i="10"/>
  <c r="C24" i="11" s="1"/>
  <c r="C70" i="11"/>
  <c r="H70" i="11" s="1"/>
  <c r="C66" i="11"/>
  <c r="H66" i="11" s="1"/>
  <c r="B17" i="10"/>
  <c r="C17" i="11" s="1"/>
  <c r="K69" i="15"/>
  <c r="P69" i="15" s="1"/>
  <c r="FS33" i="10"/>
  <c r="FT33" i="10" s="1"/>
  <c r="K63" i="13"/>
  <c r="P63" i="13" s="1"/>
  <c r="K70" i="13"/>
  <c r="P70" i="13" s="1"/>
  <c r="BE27" i="10"/>
  <c r="BF27" i="10" s="1"/>
  <c r="C62" i="11"/>
  <c r="H62" i="11" s="1"/>
  <c r="B21" i="10"/>
  <c r="C21" i="11" s="1"/>
  <c r="K68" i="15"/>
  <c r="P68" i="15" s="1"/>
  <c r="K67" i="13"/>
  <c r="P67" i="13" s="1"/>
  <c r="K64" i="13"/>
  <c r="P64" i="13" s="1"/>
  <c r="AZ6" i="12"/>
  <c r="DL37" i="10"/>
  <c r="DM37" i="10" s="1"/>
  <c r="C68" i="11"/>
  <c r="H68" i="11" s="1"/>
  <c r="FS40" i="10"/>
  <c r="FT40" i="10" s="1"/>
  <c r="K68" i="13"/>
  <c r="P68" i="13" s="1"/>
  <c r="DL22" i="10"/>
  <c r="DM22" i="10" s="1"/>
  <c r="C65" i="11"/>
  <c r="H65" i="11" s="1"/>
  <c r="AY26" i="10"/>
  <c r="AZ26" i="10" s="1"/>
  <c r="DL38" i="10"/>
  <c r="DM38" i="10" s="1"/>
  <c r="DF23" i="10"/>
  <c r="DG23" i="10" s="1"/>
  <c r="D20" i="10"/>
  <c r="H20" i="11" s="1"/>
  <c r="I20" i="11" s="1"/>
  <c r="C23" i="10"/>
  <c r="AT25" i="10" s="1"/>
  <c r="C16" i="10"/>
  <c r="G16" i="11" s="1"/>
  <c r="C22" i="10"/>
  <c r="G22" i="11" s="1"/>
  <c r="BE34" i="10"/>
  <c r="BF34" i="10" s="1"/>
  <c r="FM25" i="10"/>
  <c r="FN25" i="10" s="1"/>
  <c r="AY20" i="10"/>
  <c r="AZ20" i="10" s="1"/>
  <c r="AY27" i="10"/>
  <c r="AZ27" i="10" s="1"/>
  <c r="C24" i="10"/>
  <c r="AT26" i="10" s="1"/>
  <c r="BE19" i="10"/>
  <c r="BF19" i="10" s="1"/>
  <c r="BE23" i="10"/>
  <c r="BF23" i="10" s="1"/>
  <c r="FS21" i="10"/>
  <c r="FT21" i="10" s="1"/>
  <c r="FS24" i="10"/>
  <c r="FT24" i="10" s="1"/>
  <c r="BE35" i="10"/>
  <c r="BF35" i="10" s="1"/>
  <c r="BE20" i="10"/>
  <c r="BF20" i="10" s="1"/>
  <c r="FM26" i="10"/>
  <c r="FN26" i="10" s="1"/>
  <c r="FM23" i="10"/>
  <c r="FN23" i="10" s="1"/>
  <c r="FM21" i="10"/>
  <c r="FN21" i="10" s="1"/>
  <c r="FS22" i="10"/>
  <c r="FT22" i="10" s="1"/>
  <c r="FS25" i="10"/>
  <c r="FT25" i="10" s="1"/>
  <c r="AY22" i="10"/>
  <c r="BE40" i="10"/>
  <c r="BF40" i="10" s="1"/>
  <c r="BE37" i="10"/>
  <c r="BF37" i="10" s="1"/>
  <c r="B23" i="10"/>
  <c r="C23" i="11" s="1"/>
  <c r="D21" i="10"/>
  <c r="H21" i="11" s="1"/>
  <c r="I21" i="11" s="1"/>
  <c r="C21" i="10"/>
  <c r="AT23" i="10" s="1"/>
  <c r="B18" i="10"/>
  <c r="C18" i="11" s="1"/>
  <c r="B20" i="10"/>
  <c r="C20" i="11" s="1"/>
  <c r="B19" i="10"/>
  <c r="C19" i="11" s="1"/>
  <c r="AY19" i="10"/>
  <c r="AZ19" i="10" s="1"/>
  <c r="D16" i="10"/>
  <c r="H16" i="11" s="1"/>
  <c r="I16" i="11" s="1"/>
  <c r="D18" i="10"/>
  <c r="H18" i="11" s="1"/>
  <c r="I18" i="11" s="1"/>
  <c r="D22" i="10"/>
  <c r="H22" i="11" s="1"/>
  <c r="I22" i="11" s="1"/>
  <c r="C19" i="10"/>
  <c r="AT21" i="10" s="1"/>
  <c r="B16" i="10"/>
  <c r="C16" i="11" s="1"/>
  <c r="C17" i="10"/>
  <c r="AT19" i="10" s="1"/>
  <c r="C18" i="10"/>
  <c r="AT20" i="10" s="1"/>
  <c r="AR35" i="10"/>
  <c r="AQ33" i="10"/>
  <c r="AR33" i="10"/>
  <c r="AQ32" i="10"/>
  <c r="D24" i="10"/>
  <c r="H24" i="11" s="1"/>
  <c r="I24" i="11" s="1"/>
  <c r="AR37" i="10"/>
  <c r="AR34" i="10"/>
  <c r="AR36" i="10"/>
  <c r="B25" i="10"/>
  <c r="C25" i="11" s="1"/>
  <c r="C25" i="10"/>
  <c r="AT27" i="10" s="1"/>
  <c r="AQ37" i="10"/>
  <c r="AQ38" i="10"/>
  <c r="AQ34" i="10"/>
  <c r="AQ35" i="10"/>
  <c r="AQ36" i="10"/>
  <c r="AR38" i="10"/>
  <c r="D25" i="10"/>
  <c r="H25" i="11" s="1"/>
  <c r="I25" i="11" s="1"/>
  <c r="AR32" i="10"/>
  <c r="FM27" i="10"/>
  <c r="FN27" i="10" s="1"/>
  <c r="BE38" i="10"/>
  <c r="BE41" i="10"/>
  <c r="BF41" i="10" s="1"/>
  <c r="DL33" i="10"/>
  <c r="DM33" i="10" s="1"/>
  <c r="DL34" i="10"/>
  <c r="DM34" i="10" s="1"/>
  <c r="FS37" i="10"/>
  <c r="FT37" i="10" s="1"/>
  <c r="BE21" i="10"/>
  <c r="BF21" i="10" s="1"/>
  <c r="BE22" i="10"/>
  <c r="BF22" i="10" s="1"/>
  <c r="DL25" i="10"/>
  <c r="DM25" i="10" s="1"/>
  <c r="FH23" i="10"/>
  <c r="G21" i="15"/>
  <c r="AY23" i="10"/>
  <c r="AZ23" i="10" s="1"/>
  <c r="AT24" i="10"/>
  <c r="DF27" i="10"/>
  <c r="DG27" i="10" s="1"/>
  <c r="BE24" i="10"/>
  <c r="BF24" i="10" s="1"/>
  <c r="DA22" i="10"/>
  <c r="G20" i="13"/>
  <c r="FM22" i="10"/>
  <c r="FN22" i="10" s="1"/>
  <c r="FM24" i="10"/>
  <c r="FN24" i="10" s="1"/>
  <c r="FS26" i="10"/>
  <c r="FT26" i="10" s="1"/>
  <c r="FS27" i="10"/>
  <c r="FT27" i="10" s="1"/>
  <c r="AY25" i="10"/>
  <c r="BE33" i="10"/>
  <c r="BF33" i="10" s="1"/>
  <c r="DL39" i="10"/>
  <c r="DM39" i="10" s="1"/>
  <c r="FS38" i="10"/>
  <c r="FT38" i="10" s="1"/>
  <c r="DL27" i="10"/>
  <c r="DM27" i="10" s="1"/>
  <c r="DF22" i="10"/>
  <c r="DG22" i="10" s="1"/>
  <c r="BE25" i="10"/>
  <c r="BF25" i="10" s="1"/>
  <c r="DL20" i="10"/>
  <c r="DM20" i="10" s="1"/>
  <c r="FM19" i="10"/>
  <c r="FN19" i="10" s="1"/>
  <c r="FM20" i="10"/>
  <c r="FN20" i="10" s="1"/>
  <c r="FS23" i="10"/>
  <c r="FT23" i="10" s="1"/>
  <c r="FS19" i="10"/>
  <c r="FT19" i="10" s="1"/>
  <c r="FS20" i="10"/>
  <c r="FT20" i="10" s="1"/>
  <c r="AY21" i="10"/>
  <c r="AZ21" i="10" s="1"/>
  <c r="AZ22" i="10" s="1"/>
  <c r="BE36" i="10"/>
  <c r="BF36" i="10" s="1"/>
  <c r="BE39" i="10"/>
  <c r="BF39" i="10" s="1"/>
  <c r="G18" i="11"/>
  <c r="DL40" i="10"/>
  <c r="DM40" i="10" s="1"/>
  <c r="DL41" i="10"/>
  <c r="DM41" i="10" s="1"/>
  <c r="DL35" i="10"/>
  <c r="DM35" i="10" s="1"/>
  <c r="FS41" i="10"/>
  <c r="FT41" i="10" s="1"/>
  <c r="FS34" i="10"/>
  <c r="FT34" i="10" s="1"/>
  <c r="DF25" i="10"/>
  <c r="DG25" i="10" s="1"/>
  <c r="BE26" i="10"/>
  <c r="BF26" i="10" s="1"/>
  <c r="DA26" i="10"/>
  <c r="G24" i="13"/>
  <c r="DF19" i="10"/>
  <c r="DG19" i="10" s="1"/>
  <c r="FL3" i="10"/>
  <c r="AX4" i="10"/>
  <c r="DE3" i="10"/>
  <c r="AY3" i="10"/>
  <c r="FK4" i="10"/>
  <c r="DD4" i="10"/>
  <c r="FG23" i="10" l="1"/>
  <c r="G25" i="11"/>
  <c r="AT22" i="10"/>
  <c r="G23" i="11"/>
  <c r="CZ26" i="10"/>
  <c r="FG27" i="10"/>
  <c r="G17" i="11"/>
  <c r="G21" i="11"/>
  <c r="AT18" i="10"/>
  <c r="BA6" i="12"/>
  <c r="AZ7" i="12"/>
  <c r="AZ9" i="12"/>
  <c r="BA9" i="12" s="1"/>
  <c r="DD33" i="10"/>
  <c r="DA55" i="10" s="1"/>
  <c r="DH55" i="10" s="1"/>
  <c r="G19" i="11"/>
  <c r="FG20" i="10"/>
  <c r="FG24" i="10"/>
  <c r="FG18" i="10"/>
  <c r="FG19" i="10"/>
  <c r="G24" i="11"/>
  <c r="AZ10" i="12"/>
  <c r="BA10" i="12" s="1"/>
  <c r="AW33" i="10"/>
  <c r="AT55" i="10" s="1"/>
  <c r="BD55" i="10" s="1"/>
  <c r="AZ8" i="12"/>
  <c r="AW32" i="10"/>
  <c r="AT54" i="10" s="1"/>
  <c r="BB54" i="10" s="1"/>
  <c r="DC36" i="10"/>
  <c r="DA48" i="10" s="1"/>
  <c r="DM48" i="10" s="1"/>
  <c r="FK40" i="10"/>
  <c r="FH62" i="10" s="1"/>
  <c r="FS62" i="10" s="1"/>
  <c r="AW37" i="10"/>
  <c r="AT59" i="10" s="1"/>
  <c r="AY59" i="10" s="1"/>
  <c r="FL34" i="10"/>
  <c r="FH66" i="10" s="1"/>
  <c r="FO66" i="10" s="1"/>
  <c r="DE41" i="10"/>
  <c r="DA73" i="10" s="1"/>
  <c r="DL73" i="10" s="1"/>
  <c r="FJ37" i="10"/>
  <c r="FH49" i="10" s="1"/>
  <c r="AW35" i="10"/>
  <c r="AT57" i="10" s="1"/>
  <c r="AZ57" i="10" s="1"/>
  <c r="K64" i="11"/>
  <c r="P64" i="11" s="1"/>
  <c r="K69" i="11"/>
  <c r="P69" i="11" s="1"/>
  <c r="K68" i="11"/>
  <c r="P68" i="11" s="1"/>
  <c r="K62" i="11"/>
  <c r="P62" i="11" s="1"/>
  <c r="K63" i="11"/>
  <c r="P63" i="11" s="1"/>
  <c r="K70" i="11"/>
  <c r="P70" i="11" s="1"/>
  <c r="K66" i="11"/>
  <c r="P66" i="11" s="1"/>
  <c r="K67" i="11"/>
  <c r="P67" i="11" s="1"/>
  <c r="K65" i="11"/>
  <c r="P65" i="11" s="1"/>
  <c r="FG26" i="10"/>
  <c r="CZ27" i="10"/>
  <c r="DL48" i="10"/>
  <c r="FT62" i="10"/>
  <c r="FP62" i="10"/>
  <c r="DK55" i="10"/>
  <c r="DB55" i="10"/>
  <c r="AX57" i="10"/>
  <c r="BB57" i="10"/>
  <c r="DH73" i="10"/>
  <c r="DM73" i="10"/>
  <c r="DG73" i="10"/>
  <c r="DF73" i="10"/>
  <c r="DE73" i="10"/>
  <c r="DJ73" i="10"/>
  <c r="DI73" i="10"/>
  <c r="DD73" i="10"/>
  <c r="DC73" i="10"/>
  <c r="FK49" i="10"/>
  <c r="FO49" i="10"/>
  <c r="FS49" i="10"/>
  <c r="FM49" i="10"/>
  <c r="FR49" i="10"/>
  <c r="FI49" i="10"/>
  <c r="FN49" i="10"/>
  <c r="FT49" i="10"/>
  <c r="FJ49" i="10"/>
  <c r="FP49" i="10"/>
  <c r="FL49" i="10"/>
  <c r="FQ49" i="10"/>
  <c r="CZ20" i="10"/>
  <c r="DC39" i="10"/>
  <c r="DA51" i="10" s="1"/>
  <c r="DC38" i="10"/>
  <c r="DA50" i="10" s="1"/>
  <c r="FL35" i="10"/>
  <c r="FH67" i="10" s="1"/>
  <c r="FL41" i="10"/>
  <c r="FH73" i="10" s="1"/>
  <c r="CZ18" i="10"/>
  <c r="FJ32" i="10"/>
  <c r="FH44" i="10" s="1"/>
  <c r="FJ34" i="10"/>
  <c r="FH46" i="10" s="1"/>
  <c r="FJ35" i="10"/>
  <c r="FH47" i="10" s="1"/>
  <c r="AW38" i="10"/>
  <c r="AT60" i="10" s="1"/>
  <c r="AW41" i="10"/>
  <c r="AT63" i="10" s="1"/>
  <c r="DE33" i="10"/>
  <c r="DA65" i="10" s="1"/>
  <c r="DE39" i="10"/>
  <c r="DA71" i="10" s="1"/>
  <c r="CZ23" i="10"/>
  <c r="DD39" i="10"/>
  <c r="DA61" i="10" s="1"/>
  <c r="DD38" i="10"/>
  <c r="DA60" i="10" s="1"/>
  <c r="DD41" i="10"/>
  <c r="DA63" i="10" s="1"/>
  <c r="BF38" i="10"/>
  <c r="AX33" i="10" s="1"/>
  <c r="AT65" i="10" s="1"/>
  <c r="FK35" i="10"/>
  <c r="FH57" i="10" s="1"/>
  <c r="FK38" i="10"/>
  <c r="FH60" i="10" s="1"/>
  <c r="CZ19" i="10"/>
  <c r="DC37" i="10"/>
  <c r="DA49" i="10" s="1"/>
  <c r="DC32" i="10"/>
  <c r="DA44" i="10" s="1"/>
  <c r="FL40" i="10"/>
  <c r="FH72" i="10" s="1"/>
  <c r="FL32" i="10"/>
  <c r="FH64" i="10" s="1"/>
  <c r="FL37" i="10"/>
  <c r="FH69" i="10" s="1"/>
  <c r="AZ25" i="10"/>
  <c r="AV39" i="10" s="1"/>
  <c r="AT51" i="10" s="1"/>
  <c r="FJ40" i="10"/>
  <c r="FH52" i="10" s="1"/>
  <c r="FJ41" i="10"/>
  <c r="FH53" i="10" s="1"/>
  <c r="FJ33" i="10"/>
  <c r="FH45" i="10" s="1"/>
  <c r="CZ22" i="10"/>
  <c r="AW36" i="10"/>
  <c r="AT58" i="10" s="1"/>
  <c r="AW39" i="10"/>
  <c r="AT61" i="10" s="1"/>
  <c r="DE37" i="10"/>
  <c r="DA69" i="10" s="1"/>
  <c r="DE32" i="10"/>
  <c r="DA64" i="10" s="1"/>
  <c r="DE38" i="10"/>
  <c r="DA70" i="10" s="1"/>
  <c r="DD32" i="10"/>
  <c r="DA54" i="10" s="1"/>
  <c r="DD36" i="10"/>
  <c r="DA58" i="10" s="1"/>
  <c r="DD37" i="10"/>
  <c r="DA59" i="10" s="1"/>
  <c r="FG21" i="10"/>
  <c r="CZ25" i="10"/>
  <c r="FK41" i="10"/>
  <c r="FH63" i="10" s="1"/>
  <c r="FK33" i="10"/>
  <c r="FH55" i="10" s="1"/>
  <c r="FK36" i="10"/>
  <c r="FH58" i="10" s="1"/>
  <c r="DC41" i="10"/>
  <c r="DA53" i="10" s="1"/>
  <c r="DC33" i="10"/>
  <c r="DA45" i="10" s="1"/>
  <c r="DC40" i="10"/>
  <c r="DA52" i="10" s="1"/>
  <c r="FL36" i="10"/>
  <c r="FH68" i="10" s="1"/>
  <c r="FL38" i="10"/>
  <c r="FH70" i="10" s="1"/>
  <c r="FL33" i="10"/>
  <c r="FH65" i="10" s="1"/>
  <c r="FJ38" i="10"/>
  <c r="FH50" i="10" s="1"/>
  <c r="FJ39" i="10"/>
  <c r="FH51" i="10" s="1"/>
  <c r="AY54" i="10"/>
  <c r="AX54" i="10"/>
  <c r="AZ54" i="10"/>
  <c r="AU54" i="10"/>
  <c r="AW34" i="10"/>
  <c r="AT56" i="10" s="1"/>
  <c r="DE35" i="10"/>
  <c r="DA67" i="10" s="1"/>
  <c r="DE36" i="10"/>
  <c r="DA68" i="10" s="1"/>
  <c r="DE34" i="10"/>
  <c r="DA66" i="10" s="1"/>
  <c r="DD35" i="10"/>
  <c r="DA57" i="10" s="1"/>
  <c r="DD34" i="10"/>
  <c r="DA56" i="10" s="1"/>
  <c r="FK39" i="10"/>
  <c r="FH61" i="10" s="1"/>
  <c r="FK32" i="10"/>
  <c r="FH54" i="10" s="1"/>
  <c r="FK34" i="10"/>
  <c r="FH56" i="10" s="1"/>
  <c r="CZ21" i="10"/>
  <c r="AV40" i="10"/>
  <c r="AT52" i="10" s="1"/>
  <c r="AV35" i="10"/>
  <c r="AT47" i="10" s="1"/>
  <c r="DC34" i="10"/>
  <c r="DA46" i="10" s="1"/>
  <c r="DC35" i="10"/>
  <c r="DA47" i="10" s="1"/>
  <c r="FL39" i="10"/>
  <c r="FH71" i="10" s="1"/>
  <c r="CZ24" i="10"/>
  <c r="FJ36" i="10"/>
  <c r="FH48" i="10" s="1"/>
  <c r="AW40" i="10"/>
  <c r="AT62" i="10" s="1"/>
  <c r="BC55" i="10"/>
  <c r="BB55" i="10"/>
  <c r="DE40" i="10"/>
  <c r="DA72" i="10" s="1"/>
  <c r="FG25" i="10"/>
  <c r="DD40" i="10"/>
  <c r="DA62" i="10" s="1"/>
  <c r="FG22" i="10"/>
  <c r="FK37" i="10"/>
  <c r="FH59" i="10" s="1"/>
  <c r="DE4" i="10"/>
  <c r="FL4" i="10"/>
  <c r="FM3" i="10"/>
  <c r="AY4" i="10"/>
  <c r="DF3" i="10"/>
  <c r="AZ3" i="10"/>
  <c r="AS26" i="10" l="1"/>
  <c r="AS27" i="10"/>
  <c r="BE57" i="10"/>
  <c r="FN62" i="10"/>
  <c r="DG48" i="10"/>
  <c r="FJ62" i="10"/>
  <c r="FO62" i="10"/>
  <c r="DF48" i="10"/>
  <c r="AS24" i="10"/>
  <c r="FK62" i="10"/>
  <c r="FQ62" i="10"/>
  <c r="DJ48" i="10"/>
  <c r="FI62" i="10"/>
  <c r="DK48" i="10"/>
  <c r="AX38" i="10"/>
  <c r="AT70" i="10" s="1"/>
  <c r="FL62" i="10"/>
  <c r="FR62" i="10"/>
  <c r="DI48" i="10"/>
  <c r="AX40" i="10"/>
  <c r="AT72" i="10" s="1"/>
  <c r="AX39" i="10"/>
  <c r="AT71" i="10" s="1"/>
  <c r="AY57" i="10"/>
  <c r="FM62" i="10"/>
  <c r="DE48" i="10"/>
  <c r="AS25" i="10"/>
  <c r="AS18" i="10"/>
  <c r="AS21" i="10"/>
  <c r="AS19" i="10"/>
  <c r="AS22" i="10"/>
  <c r="AS20" i="10"/>
  <c r="AS23" i="10"/>
  <c r="AY55" i="10"/>
  <c r="BC59" i="10"/>
  <c r="DE55" i="10"/>
  <c r="AW55" i="10"/>
  <c r="DD55" i="10"/>
  <c r="BF55" i="10"/>
  <c r="AX55" i="10"/>
  <c r="AW59" i="10"/>
  <c r="DJ55" i="10"/>
  <c r="DF55" i="10"/>
  <c r="DM55" i="10"/>
  <c r="AZ55" i="10"/>
  <c r="BD59" i="10"/>
  <c r="DL55" i="10"/>
  <c r="DI55" i="10"/>
  <c r="AU55" i="10"/>
  <c r="BE55" i="10"/>
  <c r="BF59" i="10"/>
  <c r="DC55" i="10"/>
  <c r="BA55" i="10"/>
  <c r="AV55" i="10"/>
  <c r="BE59" i="10"/>
  <c r="DG55" i="10"/>
  <c r="FL66" i="10"/>
  <c r="AX37" i="10"/>
  <c r="AT69" i="10" s="1"/>
  <c r="AX35" i="10"/>
  <c r="AT67" i="10" s="1"/>
  <c r="BA7" i="12"/>
  <c r="AW54" i="10"/>
  <c r="AV54" i="10"/>
  <c r="DK73" i="10"/>
  <c r="FT66" i="10"/>
  <c r="FS66" i="10"/>
  <c r="AZ59" i="10"/>
  <c r="AV57" i="10"/>
  <c r="AU57" i="10"/>
  <c r="DB48" i="10"/>
  <c r="BA54" i="10"/>
  <c r="BE54" i="10"/>
  <c r="FN66" i="10"/>
  <c r="FP66" i="10"/>
  <c r="AU59" i="10"/>
  <c r="BA57" i="10"/>
  <c r="BF57" i="10"/>
  <c r="AZ11" i="12"/>
  <c r="BD54" i="10"/>
  <c r="BC54" i="10"/>
  <c r="FI66" i="10"/>
  <c r="FQ66" i="10"/>
  <c r="AX59" i="10"/>
  <c r="BD57" i="10"/>
  <c r="AW57" i="10"/>
  <c r="FR66" i="10"/>
  <c r="FK66" i="10"/>
  <c r="FJ66" i="10"/>
  <c r="BF54" i="10"/>
  <c r="DB73" i="10"/>
  <c r="FM66" i="10"/>
  <c r="AV59" i="10"/>
  <c r="BA59" i="10"/>
  <c r="BC57" i="10"/>
  <c r="DH48" i="10"/>
  <c r="DD48" i="10"/>
  <c r="BB59" i="10"/>
  <c r="DC48" i="10"/>
  <c r="AV34" i="10"/>
  <c r="AT46" i="10" s="1"/>
  <c r="AV32" i="10"/>
  <c r="AT44" i="10" s="1"/>
  <c r="AV33" i="10"/>
  <c r="AT45" i="10" s="1"/>
  <c r="AX32" i="10"/>
  <c r="AT64" i="10" s="1"/>
  <c r="FI33" i="10"/>
  <c r="ES78" i="10" s="1"/>
  <c r="FI34" i="10"/>
  <c r="ES79" i="10" s="1"/>
  <c r="AW51" i="10"/>
  <c r="BA51" i="10"/>
  <c r="BE51" i="10"/>
  <c r="AU51" i="10"/>
  <c r="AZ51" i="10"/>
  <c r="BF51" i="10"/>
  <c r="AV51" i="10"/>
  <c r="BB51" i="10"/>
  <c r="AX51" i="10"/>
  <c r="BC51" i="10"/>
  <c r="AY51" i="10"/>
  <c r="BD51" i="10"/>
  <c r="AU65" i="10"/>
  <c r="AZ65" i="10"/>
  <c r="BE65" i="10"/>
  <c r="AX65" i="10"/>
  <c r="AY65" i="10"/>
  <c r="BD65" i="10"/>
  <c r="BC65" i="10"/>
  <c r="BB65" i="10"/>
  <c r="AW65" i="10"/>
  <c r="AV65" i="10"/>
  <c r="BF65" i="10"/>
  <c r="BA65" i="10"/>
  <c r="DH72" i="10"/>
  <c r="DM72" i="10"/>
  <c r="DC72" i="10"/>
  <c r="DD72" i="10"/>
  <c r="DB72" i="10"/>
  <c r="DK72" i="10"/>
  <c r="DL72" i="10"/>
  <c r="DF72" i="10"/>
  <c r="DJ72" i="10"/>
  <c r="DE72" i="10"/>
  <c r="DG72" i="10"/>
  <c r="DI72" i="10"/>
  <c r="AW72" i="10"/>
  <c r="BB72" i="10"/>
  <c r="BC72" i="10"/>
  <c r="AV72" i="10"/>
  <c r="BA72" i="10"/>
  <c r="BF72" i="10"/>
  <c r="BE72" i="10"/>
  <c r="AU72" i="10"/>
  <c r="AX72" i="10"/>
  <c r="AZ72" i="10"/>
  <c r="BD72" i="10"/>
  <c r="AY72" i="10"/>
  <c r="DJ46" i="10"/>
  <c r="DB46" i="10"/>
  <c r="DF46" i="10"/>
  <c r="DH46" i="10"/>
  <c r="DI46" i="10"/>
  <c r="DC46" i="10"/>
  <c r="DE46" i="10"/>
  <c r="DG46" i="10"/>
  <c r="DK46" i="10"/>
  <c r="DL46" i="10"/>
  <c r="DM46" i="10"/>
  <c r="DD46" i="10"/>
  <c r="DH66" i="10"/>
  <c r="DM66" i="10"/>
  <c r="DK66" i="10"/>
  <c r="DE66" i="10"/>
  <c r="DJ66" i="10"/>
  <c r="DI66" i="10"/>
  <c r="DC66" i="10"/>
  <c r="DD66" i="10"/>
  <c r="DG66" i="10"/>
  <c r="DB66" i="10"/>
  <c r="DL66" i="10"/>
  <c r="DF66" i="10"/>
  <c r="FK51" i="10"/>
  <c r="FO51" i="10"/>
  <c r="FS51" i="10"/>
  <c r="FJ51" i="10"/>
  <c r="FP51" i="10"/>
  <c r="FL51" i="10"/>
  <c r="FQ51" i="10"/>
  <c r="FM51" i="10"/>
  <c r="FR51" i="10"/>
  <c r="FI51" i="10"/>
  <c r="FN51" i="10"/>
  <c r="FT51" i="10"/>
  <c r="FL65" i="10"/>
  <c r="FJ65" i="10"/>
  <c r="FM65" i="10"/>
  <c r="FK65" i="10"/>
  <c r="FP65" i="10"/>
  <c r="FT65" i="10"/>
  <c r="FN65" i="10"/>
  <c r="FR65" i="10"/>
  <c r="FQ65" i="10"/>
  <c r="FI65" i="10"/>
  <c r="FO65" i="10"/>
  <c r="FS65" i="10"/>
  <c r="DI45" i="10"/>
  <c r="DM45" i="10"/>
  <c r="DC45" i="10"/>
  <c r="DG45" i="10"/>
  <c r="DJ45" i="10"/>
  <c r="DK45" i="10"/>
  <c r="DL45" i="10"/>
  <c r="DD45" i="10"/>
  <c r="DF45" i="10"/>
  <c r="DH45" i="10"/>
  <c r="DE45" i="10"/>
  <c r="DB45" i="10"/>
  <c r="FP63" i="10"/>
  <c r="FS63" i="10"/>
  <c r="FI63" i="10"/>
  <c r="FL63" i="10"/>
  <c r="FT63" i="10"/>
  <c r="FR63" i="10"/>
  <c r="FK63" i="10"/>
  <c r="FQ63" i="10"/>
  <c r="FO63" i="10"/>
  <c r="FM63" i="10"/>
  <c r="FN63" i="10"/>
  <c r="FJ63" i="10"/>
  <c r="DD58" i="10"/>
  <c r="DG58" i="10"/>
  <c r="DM58" i="10"/>
  <c r="DB58" i="10"/>
  <c r="DC58" i="10"/>
  <c r="DL58" i="10"/>
  <c r="DF58" i="10"/>
  <c r="DJ58" i="10"/>
  <c r="DE58" i="10"/>
  <c r="DI58" i="10"/>
  <c r="DH58" i="10"/>
  <c r="DK58" i="10"/>
  <c r="DH70" i="10"/>
  <c r="DM70" i="10"/>
  <c r="DK70" i="10"/>
  <c r="DL70" i="10"/>
  <c r="DF70" i="10"/>
  <c r="DE70" i="10"/>
  <c r="DJ70" i="10"/>
  <c r="DI70" i="10"/>
  <c r="DC70" i="10"/>
  <c r="DB70" i="10"/>
  <c r="DD70" i="10"/>
  <c r="DG70" i="10"/>
  <c r="AY58" i="10"/>
  <c r="BB58" i="10"/>
  <c r="AV58" i="10"/>
  <c r="BC58" i="10"/>
  <c r="AZ58" i="10"/>
  <c r="BD58" i="10"/>
  <c r="BA58" i="10"/>
  <c r="BE58" i="10"/>
  <c r="BF58" i="10"/>
  <c r="AU58" i="10"/>
  <c r="AX58" i="10"/>
  <c r="AW58" i="10"/>
  <c r="FK52" i="10"/>
  <c r="FO52" i="10"/>
  <c r="FS52" i="10"/>
  <c r="FI52" i="10"/>
  <c r="FN52" i="10"/>
  <c r="FT52" i="10"/>
  <c r="FJ52" i="10"/>
  <c r="FP52" i="10"/>
  <c r="FL52" i="10"/>
  <c r="FQ52" i="10"/>
  <c r="FM52" i="10"/>
  <c r="FR52" i="10"/>
  <c r="DH44" i="10"/>
  <c r="DE44" i="10"/>
  <c r="DL44" i="10"/>
  <c r="DM44" i="10"/>
  <c r="DI44" i="10"/>
  <c r="DJ44" i="10"/>
  <c r="DK44" i="10"/>
  <c r="DF44" i="10"/>
  <c r="DG44" i="10"/>
  <c r="DB44" i="10"/>
  <c r="DC44" i="10"/>
  <c r="DD44" i="10"/>
  <c r="FI40" i="10"/>
  <c r="FI36" i="10"/>
  <c r="FI41" i="10"/>
  <c r="DD61" i="10"/>
  <c r="DH61" i="10"/>
  <c r="DL61" i="10"/>
  <c r="DC61" i="10"/>
  <c r="DI61" i="10"/>
  <c r="DJ61" i="10"/>
  <c r="DE61" i="10"/>
  <c r="DM61" i="10"/>
  <c r="DB61" i="10"/>
  <c r="DG61" i="10"/>
  <c r="DF61" i="10"/>
  <c r="DK61" i="10"/>
  <c r="AU63" i="10"/>
  <c r="BD63" i="10"/>
  <c r="AZ63" i="10"/>
  <c r="BF63" i="10"/>
  <c r="AY63" i="10"/>
  <c r="BA63" i="10"/>
  <c r="AW63" i="10"/>
  <c r="BB63" i="10"/>
  <c r="AV63" i="10"/>
  <c r="BC63" i="10"/>
  <c r="AX63" i="10"/>
  <c r="BE63" i="10"/>
  <c r="FM44" i="10"/>
  <c r="FQ44" i="10"/>
  <c r="FN44" i="10"/>
  <c r="FS44" i="10"/>
  <c r="FO44" i="10"/>
  <c r="FT44" i="10"/>
  <c r="FL44" i="10"/>
  <c r="FJ44" i="10"/>
  <c r="FP44" i="10"/>
  <c r="FI44" i="10"/>
  <c r="FK44" i="10"/>
  <c r="FR44" i="10"/>
  <c r="FI73" i="10"/>
  <c r="FS73" i="10"/>
  <c r="FN73" i="10"/>
  <c r="FP73" i="10"/>
  <c r="FR73" i="10"/>
  <c r="FQ73" i="10"/>
  <c r="FL73" i="10"/>
  <c r="FJ73" i="10"/>
  <c r="FM73" i="10"/>
  <c r="FO73" i="10"/>
  <c r="FT73" i="10"/>
  <c r="FK73" i="10"/>
  <c r="AV38" i="10"/>
  <c r="AT50" i="10" s="1"/>
  <c r="AY62" i="10"/>
  <c r="BD62" i="10"/>
  <c r="AV62" i="10"/>
  <c r="BC62" i="10"/>
  <c r="AZ62" i="10"/>
  <c r="BB62" i="10"/>
  <c r="AU62" i="10"/>
  <c r="BE62" i="10"/>
  <c r="BA62" i="10"/>
  <c r="AX62" i="10"/>
  <c r="BF62" i="10"/>
  <c r="AW62" i="10"/>
  <c r="AU47" i="10"/>
  <c r="AY47" i="10"/>
  <c r="BC47" i="10"/>
  <c r="AX47" i="10"/>
  <c r="AW47" i="10"/>
  <c r="BD47" i="10"/>
  <c r="AZ47" i="10"/>
  <c r="BE47" i="10"/>
  <c r="BA47" i="10"/>
  <c r="BF47" i="10"/>
  <c r="AV47" i="10"/>
  <c r="BB47" i="10"/>
  <c r="FN56" i="10"/>
  <c r="FK56" i="10"/>
  <c r="FQ56" i="10"/>
  <c r="FI56" i="10"/>
  <c r="FT56" i="10"/>
  <c r="FM56" i="10"/>
  <c r="FS56" i="10"/>
  <c r="FJ56" i="10"/>
  <c r="FP56" i="10"/>
  <c r="FR56" i="10"/>
  <c r="FL56" i="10"/>
  <c r="FO56" i="10"/>
  <c r="DH68" i="10"/>
  <c r="DM68" i="10"/>
  <c r="DC68" i="10"/>
  <c r="DL68" i="10"/>
  <c r="DF68" i="10"/>
  <c r="DE68" i="10"/>
  <c r="DJ68" i="10"/>
  <c r="DI68" i="10"/>
  <c r="DG68" i="10"/>
  <c r="DB68" i="10"/>
  <c r="DD68" i="10"/>
  <c r="DK68" i="10"/>
  <c r="FK50" i="10"/>
  <c r="FO50" i="10"/>
  <c r="FS50" i="10"/>
  <c r="FL50" i="10"/>
  <c r="FQ50" i="10"/>
  <c r="FM50" i="10"/>
  <c r="FR50" i="10"/>
  <c r="FI50" i="10"/>
  <c r="FN50" i="10"/>
  <c r="FT50" i="10"/>
  <c r="FJ50" i="10"/>
  <c r="FP50" i="10"/>
  <c r="FK70" i="10"/>
  <c r="FQ70" i="10"/>
  <c r="FP70" i="10"/>
  <c r="FS70" i="10"/>
  <c r="FJ70" i="10"/>
  <c r="FL70" i="10"/>
  <c r="FO70" i="10"/>
  <c r="FM70" i="10"/>
  <c r="FR70" i="10"/>
  <c r="FI70" i="10"/>
  <c r="FN70" i="10"/>
  <c r="FT70" i="10"/>
  <c r="DB53" i="10"/>
  <c r="DF53" i="10"/>
  <c r="DJ53" i="10"/>
  <c r="DD53" i="10"/>
  <c r="DI53" i="10"/>
  <c r="DE53" i="10"/>
  <c r="DK53" i="10"/>
  <c r="DG53" i="10"/>
  <c r="DL53" i="10"/>
  <c r="DC53" i="10"/>
  <c r="DH53" i="10"/>
  <c r="DM53" i="10"/>
  <c r="DI54" i="10"/>
  <c r="DL54" i="10"/>
  <c r="DD54" i="10"/>
  <c r="DK54" i="10"/>
  <c r="DB54" i="10"/>
  <c r="DF54" i="10"/>
  <c r="DC54" i="10"/>
  <c r="DE54" i="10"/>
  <c r="DG54" i="10"/>
  <c r="DM54" i="10"/>
  <c r="DJ54" i="10"/>
  <c r="DH54" i="10"/>
  <c r="DI64" i="10"/>
  <c r="DB64" i="10"/>
  <c r="DL64" i="10"/>
  <c r="DJ64" i="10"/>
  <c r="DD64" i="10"/>
  <c r="DE64" i="10"/>
  <c r="DC64" i="10"/>
  <c r="DH64" i="10"/>
  <c r="DG64" i="10"/>
  <c r="DK64" i="10"/>
  <c r="DM64" i="10"/>
  <c r="DF64" i="10"/>
  <c r="FI69" i="10"/>
  <c r="FS69" i="10"/>
  <c r="FN69" i="10"/>
  <c r="FP69" i="10"/>
  <c r="FR69" i="10"/>
  <c r="FQ69" i="10"/>
  <c r="FL69" i="10"/>
  <c r="FJ69" i="10"/>
  <c r="FM69" i="10"/>
  <c r="FO69" i="10"/>
  <c r="FT69" i="10"/>
  <c r="FK69" i="10"/>
  <c r="DE49" i="10"/>
  <c r="DI49" i="10"/>
  <c r="DM49" i="10"/>
  <c r="DC49" i="10"/>
  <c r="DH49" i="10"/>
  <c r="DD49" i="10"/>
  <c r="DJ49" i="10"/>
  <c r="DF49" i="10"/>
  <c r="DK49" i="10"/>
  <c r="DB49" i="10"/>
  <c r="DG49" i="10"/>
  <c r="DL49" i="10"/>
  <c r="FI39" i="10"/>
  <c r="FI35" i="10"/>
  <c r="FJ60" i="10"/>
  <c r="FK60" i="10"/>
  <c r="FM60" i="10"/>
  <c r="FQ60" i="10"/>
  <c r="FI60" i="10"/>
  <c r="FN60" i="10"/>
  <c r="FR60" i="10"/>
  <c r="FT60" i="10"/>
  <c r="FS60" i="10"/>
  <c r="FL60" i="10"/>
  <c r="FO60" i="10"/>
  <c r="FP60" i="10"/>
  <c r="AX60" i="10"/>
  <c r="AY60" i="10"/>
  <c r="BD60" i="10"/>
  <c r="AU60" i="10"/>
  <c r="AW60" i="10"/>
  <c r="BE60" i="10"/>
  <c r="AV60" i="10"/>
  <c r="AZ60" i="10"/>
  <c r="BB60" i="10"/>
  <c r="BC60" i="10"/>
  <c r="BA60" i="10"/>
  <c r="BF60" i="10"/>
  <c r="AX34" i="10"/>
  <c r="AT66" i="10" s="1"/>
  <c r="FI67" i="10"/>
  <c r="FS67" i="10"/>
  <c r="FN67" i="10"/>
  <c r="FM67" i="10"/>
  <c r="FO67" i="10"/>
  <c r="FT67" i="10"/>
  <c r="FK67" i="10"/>
  <c r="FP67" i="10"/>
  <c r="FR67" i="10"/>
  <c r="FQ67" i="10"/>
  <c r="FL67" i="10"/>
  <c r="FJ67" i="10"/>
  <c r="AV41" i="10"/>
  <c r="AT53" i="10" s="1"/>
  <c r="AV37" i="10"/>
  <c r="AT49" i="10" s="1"/>
  <c r="DC62" i="10"/>
  <c r="DG62" i="10"/>
  <c r="DM62" i="10"/>
  <c r="DB62" i="10"/>
  <c r="DF62" i="10"/>
  <c r="DD62" i="10"/>
  <c r="DH62" i="10"/>
  <c r="DI62" i="10"/>
  <c r="DL62" i="10"/>
  <c r="DJ62" i="10"/>
  <c r="DK62" i="10"/>
  <c r="DE62" i="10"/>
  <c r="FK48" i="10"/>
  <c r="FO48" i="10"/>
  <c r="FS48" i="10"/>
  <c r="FI48" i="10"/>
  <c r="FN48" i="10"/>
  <c r="FT48" i="10"/>
  <c r="FJ48" i="10"/>
  <c r="FP48" i="10"/>
  <c r="FL48" i="10"/>
  <c r="FQ48" i="10"/>
  <c r="FM48" i="10"/>
  <c r="FR48" i="10"/>
  <c r="FI71" i="10"/>
  <c r="FS71" i="10"/>
  <c r="FN71" i="10"/>
  <c r="FM71" i="10"/>
  <c r="FO71" i="10"/>
  <c r="FT71" i="10"/>
  <c r="FK71" i="10"/>
  <c r="FP71" i="10"/>
  <c r="FR71" i="10"/>
  <c r="FQ71" i="10"/>
  <c r="FL71" i="10"/>
  <c r="FJ71" i="10"/>
  <c r="AW52" i="10"/>
  <c r="BA52" i="10"/>
  <c r="BE52" i="10"/>
  <c r="AY52" i="10"/>
  <c r="BD52" i="10"/>
  <c r="AU52" i="10"/>
  <c r="AZ52" i="10"/>
  <c r="BF52" i="10"/>
  <c r="AV52" i="10"/>
  <c r="BB52" i="10"/>
  <c r="AX52" i="10"/>
  <c r="BC52" i="10"/>
  <c r="FJ54" i="10"/>
  <c r="FL54" i="10"/>
  <c r="FI54" i="10"/>
  <c r="FT54" i="10"/>
  <c r="FN54" i="10"/>
  <c r="FQ54" i="10"/>
  <c r="FP54" i="10"/>
  <c r="FR54" i="10"/>
  <c r="FS54" i="10"/>
  <c r="FK54" i="10"/>
  <c r="FM54" i="10"/>
  <c r="FO54" i="10"/>
  <c r="DF56" i="10"/>
  <c r="DM56" i="10"/>
  <c r="DG56" i="10"/>
  <c r="DJ56" i="10"/>
  <c r="DI56" i="10"/>
  <c r="DL56" i="10"/>
  <c r="DK56" i="10"/>
  <c r="DC56" i="10"/>
  <c r="DD56" i="10"/>
  <c r="DH56" i="10"/>
  <c r="DB56" i="10"/>
  <c r="DE56" i="10"/>
  <c r="DH67" i="10"/>
  <c r="DM67" i="10"/>
  <c r="DC67" i="10"/>
  <c r="DE67" i="10"/>
  <c r="DJ67" i="10"/>
  <c r="DI67" i="10"/>
  <c r="DG67" i="10"/>
  <c r="DB67" i="10"/>
  <c r="DD67" i="10"/>
  <c r="DK67" i="10"/>
  <c r="DF67" i="10"/>
  <c r="DL67" i="10"/>
  <c r="AU69" i="10"/>
  <c r="AZ69" i="10"/>
  <c r="BE69" i="10"/>
  <c r="AX69" i="10"/>
  <c r="AY69" i="10"/>
  <c r="BD69" i="10"/>
  <c r="BB69" i="10"/>
  <c r="AW69" i="10"/>
  <c r="BC69" i="10"/>
  <c r="BF69" i="10"/>
  <c r="BA69" i="10"/>
  <c r="AV69" i="10"/>
  <c r="FK68" i="10"/>
  <c r="FQ68" i="10"/>
  <c r="FP68" i="10"/>
  <c r="FR68" i="10"/>
  <c r="FI68" i="10"/>
  <c r="FN68" i="10"/>
  <c r="FT68" i="10"/>
  <c r="FS68" i="10"/>
  <c r="FJ68" i="10"/>
  <c r="FL68" i="10"/>
  <c r="FO68" i="10"/>
  <c r="FM68" i="10"/>
  <c r="FO58" i="10"/>
  <c r="FI58" i="10"/>
  <c r="FL58" i="10"/>
  <c r="FN58" i="10"/>
  <c r="FJ58" i="10"/>
  <c r="FP58" i="10"/>
  <c r="FR58" i="10"/>
  <c r="FK58" i="10"/>
  <c r="FT58" i="10"/>
  <c r="FS58" i="10"/>
  <c r="FM58" i="10"/>
  <c r="FQ58" i="10"/>
  <c r="DH69" i="10"/>
  <c r="DM69" i="10"/>
  <c r="DG69" i="10"/>
  <c r="DI69" i="10"/>
  <c r="DK69" i="10"/>
  <c r="DD69" i="10"/>
  <c r="DB69" i="10"/>
  <c r="DC69" i="10"/>
  <c r="DL69" i="10"/>
  <c r="DF69" i="10"/>
  <c r="DE69" i="10"/>
  <c r="DJ69" i="10"/>
  <c r="FM45" i="10"/>
  <c r="FQ45" i="10"/>
  <c r="FI45" i="10"/>
  <c r="FK45" i="10"/>
  <c r="FP45" i="10"/>
  <c r="FL45" i="10"/>
  <c r="FR45" i="10"/>
  <c r="FN45" i="10"/>
  <c r="FS45" i="10"/>
  <c r="FJ45" i="10"/>
  <c r="FO45" i="10"/>
  <c r="FT45" i="10"/>
  <c r="AX41" i="10"/>
  <c r="AT73" i="10" s="1"/>
  <c r="FN64" i="10"/>
  <c r="FO64" i="10"/>
  <c r="FQ64" i="10"/>
  <c r="FS64" i="10"/>
  <c r="FL64" i="10"/>
  <c r="FK64" i="10"/>
  <c r="FP64" i="10"/>
  <c r="FR64" i="10"/>
  <c r="FT64" i="10"/>
  <c r="FI64" i="10"/>
  <c r="FM64" i="10"/>
  <c r="FJ64" i="10"/>
  <c r="FI38" i="10"/>
  <c r="FK57" i="10"/>
  <c r="FL57" i="10"/>
  <c r="FT57" i="10"/>
  <c r="FS57" i="10"/>
  <c r="FJ57" i="10"/>
  <c r="FP57" i="10"/>
  <c r="FO57" i="10"/>
  <c r="FR57" i="10"/>
  <c r="FM57" i="10"/>
  <c r="FN57" i="10"/>
  <c r="FQ57" i="10"/>
  <c r="FI57" i="10"/>
  <c r="DD63" i="10"/>
  <c r="DG63" i="10"/>
  <c r="DB63" i="10"/>
  <c r="DE63" i="10"/>
  <c r="DM63" i="10"/>
  <c r="DF63" i="10"/>
  <c r="DJ63" i="10"/>
  <c r="DC63" i="10"/>
  <c r="DL63" i="10"/>
  <c r="DI63" i="10"/>
  <c r="DH63" i="10"/>
  <c r="DK63" i="10"/>
  <c r="DH71" i="10"/>
  <c r="DM71" i="10"/>
  <c r="DC71" i="10"/>
  <c r="DD71" i="10"/>
  <c r="DB71" i="10"/>
  <c r="DK71" i="10"/>
  <c r="DL71" i="10"/>
  <c r="DF71" i="10"/>
  <c r="DE71" i="10"/>
  <c r="DJ71" i="10"/>
  <c r="DI71" i="10"/>
  <c r="DG71" i="10"/>
  <c r="FI47" i="10"/>
  <c r="FK47" i="10"/>
  <c r="FO47" i="10"/>
  <c r="FS47" i="10"/>
  <c r="FJ47" i="10"/>
  <c r="FP47" i="10"/>
  <c r="FL47" i="10"/>
  <c r="FQ47" i="10"/>
  <c r="FM47" i="10"/>
  <c r="FR47" i="10"/>
  <c r="FN47" i="10"/>
  <c r="FT47" i="10"/>
  <c r="AX36" i="10"/>
  <c r="AT68" i="10" s="1"/>
  <c r="DD50" i="10"/>
  <c r="DF50" i="10"/>
  <c r="DJ50" i="10"/>
  <c r="DB50" i="10"/>
  <c r="DH50" i="10"/>
  <c r="DM50" i="10"/>
  <c r="DC50" i="10"/>
  <c r="DI50" i="10"/>
  <c r="DE50" i="10"/>
  <c r="DK50" i="10"/>
  <c r="DG50" i="10"/>
  <c r="DL50" i="10"/>
  <c r="AV46" i="10"/>
  <c r="BA46" i="10"/>
  <c r="BE46" i="10"/>
  <c r="AW46" i="10"/>
  <c r="BC46" i="10"/>
  <c r="AY46" i="10"/>
  <c r="BD46" i="10"/>
  <c r="AX46" i="10"/>
  <c r="AZ46" i="10"/>
  <c r="BF46" i="10"/>
  <c r="AU46" i="10"/>
  <c r="BB46" i="10"/>
  <c r="FL59" i="10"/>
  <c r="FJ59" i="10"/>
  <c r="FI59" i="10"/>
  <c r="FQ59" i="10"/>
  <c r="FP59" i="10"/>
  <c r="FO59" i="10"/>
  <c r="FR59" i="10"/>
  <c r="FK59" i="10"/>
  <c r="FM59" i="10"/>
  <c r="FN59" i="10"/>
  <c r="FS59" i="10"/>
  <c r="FT59" i="10"/>
  <c r="AW70" i="10"/>
  <c r="BB70" i="10"/>
  <c r="BC70" i="10"/>
  <c r="AV70" i="10"/>
  <c r="BA70" i="10"/>
  <c r="BF70" i="10"/>
  <c r="BE70" i="10"/>
  <c r="AZ70" i="10"/>
  <c r="AU70" i="10"/>
  <c r="AX70" i="10"/>
  <c r="BD70" i="10"/>
  <c r="AY70" i="10"/>
  <c r="DK47" i="10"/>
  <c r="DE47" i="10"/>
  <c r="DC47" i="10"/>
  <c r="DG47" i="10"/>
  <c r="DL47" i="10"/>
  <c r="DM47" i="10"/>
  <c r="DB47" i="10"/>
  <c r="DD47" i="10"/>
  <c r="DH47" i="10"/>
  <c r="DI47" i="10"/>
  <c r="DJ47" i="10"/>
  <c r="DF47" i="10"/>
  <c r="FN61" i="10"/>
  <c r="FS61" i="10"/>
  <c r="FP61" i="10"/>
  <c r="FO61" i="10"/>
  <c r="FI61" i="10"/>
  <c r="FR61" i="10"/>
  <c r="FT61" i="10"/>
  <c r="FL61" i="10"/>
  <c r="FJ61" i="10"/>
  <c r="FM61" i="10"/>
  <c r="FK61" i="10"/>
  <c r="FQ61" i="10"/>
  <c r="DM57" i="10"/>
  <c r="DJ57" i="10"/>
  <c r="DK57" i="10"/>
  <c r="DD57" i="10"/>
  <c r="DB57" i="10"/>
  <c r="DE57" i="10"/>
  <c r="DH57" i="10"/>
  <c r="DC57" i="10"/>
  <c r="DL57" i="10"/>
  <c r="DG57" i="10"/>
  <c r="DF57" i="10"/>
  <c r="DI57" i="10"/>
  <c r="AX56" i="10"/>
  <c r="AY56" i="10"/>
  <c r="BD56" i="10"/>
  <c r="AU56" i="10"/>
  <c r="AW56" i="10"/>
  <c r="BE56" i="10"/>
  <c r="AV56" i="10"/>
  <c r="AZ56" i="10"/>
  <c r="BB56" i="10"/>
  <c r="BA56" i="10"/>
  <c r="BC56" i="10"/>
  <c r="BF56" i="10"/>
  <c r="AU67" i="10"/>
  <c r="AZ67" i="10"/>
  <c r="BE67" i="10"/>
  <c r="AX67" i="10"/>
  <c r="AY67" i="10"/>
  <c r="BD67" i="10"/>
  <c r="BB67" i="10"/>
  <c r="AW67" i="10"/>
  <c r="BF67" i="10"/>
  <c r="BA67" i="10"/>
  <c r="BC67" i="10"/>
  <c r="AV67" i="10"/>
  <c r="DB52" i="10"/>
  <c r="DF52" i="10"/>
  <c r="DJ52" i="10"/>
  <c r="DE52" i="10"/>
  <c r="DK52" i="10"/>
  <c r="DG52" i="10"/>
  <c r="DL52" i="10"/>
  <c r="DC52" i="10"/>
  <c r="DH52" i="10"/>
  <c r="DM52" i="10"/>
  <c r="DD52" i="10"/>
  <c r="DI52" i="10"/>
  <c r="FP55" i="10"/>
  <c r="FS55" i="10"/>
  <c r="FJ55" i="10"/>
  <c r="FQ55" i="10"/>
  <c r="FR55" i="10"/>
  <c r="FI55" i="10"/>
  <c r="FM55" i="10"/>
  <c r="FO55" i="10"/>
  <c r="FK55" i="10"/>
  <c r="FN55" i="10"/>
  <c r="FT55" i="10"/>
  <c r="FL55" i="10"/>
  <c r="DB59" i="10"/>
  <c r="DI59" i="10"/>
  <c r="DC59" i="10"/>
  <c r="DF59" i="10"/>
  <c r="DE59" i="10"/>
  <c r="DK59" i="10"/>
  <c r="DG59" i="10"/>
  <c r="DD59" i="10"/>
  <c r="DJ59" i="10"/>
  <c r="DH59" i="10"/>
  <c r="DL59" i="10"/>
  <c r="DM59" i="10"/>
  <c r="BE61" i="10"/>
  <c r="AY61" i="10"/>
  <c r="BF61" i="10"/>
  <c r="AU61" i="10"/>
  <c r="AX61" i="10"/>
  <c r="AW61" i="10"/>
  <c r="BA61" i="10"/>
  <c r="BB61" i="10"/>
  <c r="BC61" i="10"/>
  <c r="BD61" i="10"/>
  <c r="AZ61" i="10"/>
  <c r="AV61" i="10"/>
  <c r="FK53" i="10"/>
  <c r="FO53" i="10"/>
  <c r="FS53" i="10"/>
  <c r="FM53" i="10"/>
  <c r="FR53" i="10"/>
  <c r="FI53" i="10"/>
  <c r="FN53" i="10"/>
  <c r="FT53" i="10"/>
  <c r="FJ53" i="10"/>
  <c r="FP53" i="10"/>
  <c r="FL53" i="10"/>
  <c r="FQ53" i="10"/>
  <c r="AU71" i="10"/>
  <c r="AZ71" i="10"/>
  <c r="BE71" i="10"/>
  <c r="AX71" i="10"/>
  <c r="AY71" i="10"/>
  <c r="BD71" i="10"/>
  <c r="BC71" i="10"/>
  <c r="BB71" i="10"/>
  <c r="AW71" i="10"/>
  <c r="AV71" i="10"/>
  <c r="BF71" i="10"/>
  <c r="BA71" i="10"/>
  <c r="FK72" i="10"/>
  <c r="FQ72" i="10"/>
  <c r="FP72" i="10"/>
  <c r="FR72" i="10"/>
  <c r="FI72" i="10"/>
  <c r="FN72" i="10"/>
  <c r="FT72" i="10"/>
  <c r="FS72" i="10"/>
  <c r="FJ72" i="10"/>
  <c r="FL72" i="10"/>
  <c r="FO72" i="10"/>
  <c r="FM72" i="10"/>
  <c r="FI32" i="10"/>
  <c r="FI37" i="10"/>
  <c r="DL60" i="10"/>
  <c r="DM60" i="10"/>
  <c r="DG60" i="10"/>
  <c r="DJ60" i="10"/>
  <c r="DI60" i="10"/>
  <c r="DF60" i="10"/>
  <c r="DH60" i="10"/>
  <c r="DC60" i="10"/>
  <c r="DK60" i="10"/>
  <c r="DB60" i="10"/>
  <c r="DE60" i="10"/>
  <c r="DD60" i="10"/>
  <c r="DH65" i="10"/>
  <c r="DM65" i="10"/>
  <c r="DG65" i="10"/>
  <c r="DE65" i="10"/>
  <c r="DJ65" i="10"/>
  <c r="DI65" i="10"/>
  <c r="DK65" i="10"/>
  <c r="DB65" i="10"/>
  <c r="DD65" i="10"/>
  <c r="DC65" i="10"/>
  <c r="DF65" i="10"/>
  <c r="DL65" i="10"/>
  <c r="FL46" i="10"/>
  <c r="FI46" i="10"/>
  <c r="FN46" i="10"/>
  <c r="FR46" i="10"/>
  <c r="FJ46" i="10"/>
  <c r="FP46" i="10"/>
  <c r="FK46" i="10"/>
  <c r="FQ46" i="10"/>
  <c r="FM46" i="10"/>
  <c r="FS46" i="10"/>
  <c r="FO46" i="10"/>
  <c r="FT46" i="10"/>
  <c r="DB34" i="10"/>
  <c r="DB38" i="10"/>
  <c r="DB32" i="10"/>
  <c r="DB33" i="10"/>
  <c r="DB37" i="10"/>
  <c r="DB41" i="10"/>
  <c r="DB36" i="10"/>
  <c r="DB40" i="10"/>
  <c r="DB39" i="10"/>
  <c r="DB35" i="10"/>
  <c r="DB51" i="10"/>
  <c r="DF51" i="10"/>
  <c r="DJ51" i="10"/>
  <c r="DG51" i="10"/>
  <c r="DL51" i="10"/>
  <c r="DC51" i="10"/>
  <c r="DH51" i="10"/>
  <c r="DM51" i="10"/>
  <c r="DD51" i="10"/>
  <c r="DI51" i="10"/>
  <c r="DE51" i="10"/>
  <c r="DK51" i="10"/>
  <c r="AV36" i="10"/>
  <c r="AT48" i="10" s="1"/>
  <c r="DG3" i="10"/>
  <c r="BA3" i="10"/>
  <c r="AZ4" i="10"/>
  <c r="FN3" i="10"/>
  <c r="DF4" i="10"/>
  <c r="FM4" i="10"/>
  <c r="AU33" i="10" l="1"/>
  <c r="AU41" i="10"/>
  <c r="AU38" i="10"/>
  <c r="AU32" i="10"/>
  <c r="AU37" i="10"/>
  <c r="AU40" i="10"/>
  <c r="AE85" i="10" s="1"/>
  <c r="AU35" i="10"/>
  <c r="AT8" i="10" s="1"/>
  <c r="AZ8" i="10" s="1" a="1"/>
  <c r="AZ8" i="10" s="1"/>
  <c r="AU36" i="10"/>
  <c r="AE81" i="10" s="1"/>
  <c r="AU34" i="10"/>
  <c r="AE79" i="10" s="1"/>
  <c r="AU39" i="10"/>
  <c r="AE84" i="10" s="1"/>
  <c r="FH7" i="10"/>
  <c r="FL7" i="10" s="1" a="1"/>
  <c r="FL7" i="10" s="1"/>
  <c r="FH6" i="10"/>
  <c r="FL6" i="10" s="1" a="1"/>
  <c r="FL6" i="10" s="1"/>
  <c r="BA11" i="12"/>
  <c r="AZ16" i="12"/>
  <c r="AZ17" i="12"/>
  <c r="BA17" i="12" s="1"/>
  <c r="BB64" i="10"/>
  <c r="AY64" i="10"/>
  <c r="AX64" i="10"/>
  <c r="BF64" i="10"/>
  <c r="BE64" i="10"/>
  <c r="AW64" i="10"/>
  <c r="AV64" i="10"/>
  <c r="AZ64" i="10"/>
  <c r="BD64" i="10"/>
  <c r="BA64" i="10"/>
  <c r="AU64" i="10"/>
  <c r="BC64" i="10"/>
  <c r="BE45" i="10"/>
  <c r="AU45" i="10"/>
  <c r="AW45" i="10"/>
  <c r="AY45" i="10"/>
  <c r="AZ45" i="10"/>
  <c r="BC45" i="10"/>
  <c r="AV45" i="10"/>
  <c r="BD45" i="10"/>
  <c r="BF45" i="10"/>
  <c r="BA45" i="10"/>
  <c r="AX45" i="10"/>
  <c r="BB45" i="10"/>
  <c r="AU44" i="10"/>
  <c r="AW44" i="10"/>
  <c r="BA44" i="10"/>
  <c r="AY44" i="10"/>
  <c r="BD44" i="10"/>
  <c r="BF44" i="10"/>
  <c r="BC44" i="10"/>
  <c r="AZ44" i="10"/>
  <c r="AV44" i="10"/>
  <c r="AX44" i="10"/>
  <c r="BE44" i="10"/>
  <c r="BB44" i="10"/>
  <c r="CL83" i="10"/>
  <c r="DA11" i="10"/>
  <c r="CL85" i="10"/>
  <c r="DA13" i="10"/>
  <c r="CL78" i="10"/>
  <c r="DA6" i="10"/>
  <c r="DF6" i="10" s="1" a="1"/>
  <c r="DF6" i="10" s="1"/>
  <c r="ES82" i="10"/>
  <c r="FH10" i="10"/>
  <c r="FM10" i="10" s="1" a="1"/>
  <c r="FM10" i="10" s="1"/>
  <c r="AU73" i="10"/>
  <c r="AZ73" i="10"/>
  <c r="BE73" i="10"/>
  <c r="AX73" i="10"/>
  <c r="AY73" i="10"/>
  <c r="BD73" i="10"/>
  <c r="BB73" i="10"/>
  <c r="AW73" i="10"/>
  <c r="BC73" i="10"/>
  <c r="BF73" i="10"/>
  <c r="BA73" i="10"/>
  <c r="AV73" i="10"/>
  <c r="ES80" i="10"/>
  <c r="FH8" i="10"/>
  <c r="FM8" i="10" s="1" a="1"/>
  <c r="FM8" i="10" s="1"/>
  <c r="AE77" i="10"/>
  <c r="AT5" i="10"/>
  <c r="AZ5" i="10" s="1" a="1"/>
  <c r="AZ5" i="10" s="1"/>
  <c r="AW50" i="10"/>
  <c r="BA50" i="10"/>
  <c r="BE50" i="10"/>
  <c r="AV50" i="10"/>
  <c r="BB50" i="10"/>
  <c r="AX50" i="10"/>
  <c r="BC50" i="10"/>
  <c r="AY50" i="10"/>
  <c r="BD50" i="10"/>
  <c r="AU50" i="10"/>
  <c r="AZ50" i="10"/>
  <c r="BF50" i="10"/>
  <c r="CL80" i="10"/>
  <c r="DA8" i="10"/>
  <c r="DF8" i="10" s="1" a="1"/>
  <c r="DF8" i="10" s="1"/>
  <c r="CL86" i="10"/>
  <c r="DA14" i="10"/>
  <c r="DF14" i="10" s="1" a="1"/>
  <c r="DF14" i="10" s="1"/>
  <c r="AU48" i="10"/>
  <c r="AZ48" i="10"/>
  <c r="BD48" i="10"/>
  <c r="AW48" i="10"/>
  <c r="BC48" i="10"/>
  <c r="AY48" i="10"/>
  <c r="BE48" i="10"/>
  <c r="BA48" i="10"/>
  <c r="BF48" i="10"/>
  <c r="AX48" i="10"/>
  <c r="AV48" i="10"/>
  <c r="BB48" i="10"/>
  <c r="CL81" i="10"/>
  <c r="DA9" i="10"/>
  <c r="DF9" i="10" s="1" a="1"/>
  <c r="DF9" i="10" s="1"/>
  <c r="CL77" i="10"/>
  <c r="DA5" i="10"/>
  <c r="DF5" i="10" s="1" a="1"/>
  <c r="DF5" i="10" s="1"/>
  <c r="ES77" i="10"/>
  <c r="FH5" i="10"/>
  <c r="FM5" i="10" s="1" a="1"/>
  <c r="FM5" i="10" s="1"/>
  <c r="AX49" i="10"/>
  <c r="AV49" i="10"/>
  <c r="BA49" i="10"/>
  <c r="BE49" i="10"/>
  <c r="AW49" i="10"/>
  <c r="BC49" i="10"/>
  <c r="AY49" i="10"/>
  <c r="BD49" i="10"/>
  <c r="AZ49" i="10"/>
  <c r="BF49" i="10"/>
  <c r="AU49" i="10"/>
  <c r="BB49" i="10"/>
  <c r="ES84" i="10"/>
  <c r="FH12" i="10"/>
  <c r="FM12" i="10" s="1" a="1"/>
  <c r="FM12" i="10" s="1"/>
  <c r="AE78" i="10"/>
  <c r="AT6" i="10"/>
  <c r="AZ6" i="10" s="1" a="1"/>
  <c r="AZ6" i="10" s="1"/>
  <c r="AE80" i="10"/>
  <c r="ES86" i="10"/>
  <c r="FH14" i="10"/>
  <c r="FM14" i="10" s="1" a="1"/>
  <c r="FM14" i="10" s="1"/>
  <c r="ET79" i="10"/>
  <c r="D102" i="15" s="1"/>
  <c r="EV79" i="10"/>
  <c r="G102" i="15" s="1"/>
  <c r="EY79" i="10"/>
  <c r="L102" i="15" s="1"/>
  <c r="EX79" i="10"/>
  <c r="K102" i="15" s="1"/>
  <c r="EU79" i="10"/>
  <c r="F102" i="15" s="1"/>
  <c r="EZ79" i="10"/>
  <c r="O102" i="15" s="1"/>
  <c r="EW79" i="10"/>
  <c r="I102" i="15" s="1"/>
  <c r="AW68" i="10"/>
  <c r="BB68" i="10"/>
  <c r="BC68" i="10"/>
  <c r="AV68" i="10"/>
  <c r="BA68" i="10"/>
  <c r="BF68" i="10"/>
  <c r="AZ68" i="10"/>
  <c r="AU68" i="10"/>
  <c r="BE68" i="10"/>
  <c r="BD68" i="10"/>
  <c r="AY68" i="10"/>
  <c r="AX68" i="10"/>
  <c r="AW53" i="10"/>
  <c r="BA53" i="10"/>
  <c r="BE53" i="10"/>
  <c r="AX53" i="10"/>
  <c r="BC53" i="10"/>
  <c r="AY53" i="10"/>
  <c r="BD53" i="10"/>
  <c r="AU53" i="10"/>
  <c r="AZ53" i="10"/>
  <c r="BF53" i="10"/>
  <c r="AV53" i="10"/>
  <c r="BB53" i="10"/>
  <c r="AE86" i="10"/>
  <c r="AT14" i="10"/>
  <c r="AZ14" i="10" s="1" a="1"/>
  <c r="AZ14" i="10" s="1"/>
  <c r="ES81" i="10"/>
  <c r="FH9" i="10"/>
  <c r="FM9" i="10" s="1" a="1"/>
  <c r="FM9" i="10" s="1"/>
  <c r="FI6" i="10" a="1"/>
  <c r="FI6" i="10" s="1"/>
  <c r="FJ6" i="10" a="1"/>
  <c r="FJ6" i="10" s="1"/>
  <c r="FK6" i="10" a="1"/>
  <c r="FK6" i="10" s="1"/>
  <c r="CL84" i="10"/>
  <c r="DA12" i="10"/>
  <c r="DF12" i="10" s="1" a="1"/>
  <c r="DF12" i="10" s="1"/>
  <c r="CL82" i="10"/>
  <c r="DA10" i="10"/>
  <c r="DF10" i="10" s="1" a="1"/>
  <c r="DF10" i="10" s="1"/>
  <c r="CL79" i="10"/>
  <c r="DA7" i="10"/>
  <c r="DF7" i="10" s="1" a="1"/>
  <c r="DF7" i="10" s="1"/>
  <c r="ES83" i="10"/>
  <c r="FH11" i="10"/>
  <c r="FM11" i="10" s="1" a="1"/>
  <c r="FM11" i="10" s="1"/>
  <c r="AW66" i="10"/>
  <c r="BB66" i="10"/>
  <c r="BC66" i="10"/>
  <c r="AV66" i="10"/>
  <c r="BA66" i="10"/>
  <c r="BF66" i="10"/>
  <c r="BE66" i="10"/>
  <c r="AZ66" i="10"/>
  <c r="AU66" i="10"/>
  <c r="AX66" i="10"/>
  <c r="BD66" i="10"/>
  <c r="AY66" i="10"/>
  <c r="AE82" i="10"/>
  <c r="AT10" i="10"/>
  <c r="AZ10" i="10" s="1" a="1"/>
  <c r="AZ10" i="10" s="1"/>
  <c r="AE83" i="10"/>
  <c r="AT11" i="10"/>
  <c r="AZ11" i="10" s="1" a="1"/>
  <c r="AZ11" i="10" s="1"/>
  <c r="ES85" i="10"/>
  <c r="FH13" i="10"/>
  <c r="FM13" i="10" s="1" a="1"/>
  <c r="FM13" i="10" s="1"/>
  <c r="EU78" i="10"/>
  <c r="F101" i="15" s="1"/>
  <c r="EY78" i="10"/>
  <c r="L101" i="15" s="1"/>
  <c r="ET78" i="10"/>
  <c r="D101" i="15" s="1"/>
  <c r="EZ78" i="10"/>
  <c r="O101" i="15" s="1"/>
  <c r="EW78" i="10"/>
  <c r="I101" i="15" s="1"/>
  <c r="EX78" i="10"/>
  <c r="K101" i="15" s="1"/>
  <c r="EV78" i="10"/>
  <c r="G101" i="15" s="1"/>
  <c r="BB3" i="10"/>
  <c r="DH3" i="10"/>
  <c r="FO3" i="10"/>
  <c r="BA4" i="10"/>
  <c r="FM6" i="10" a="1"/>
  <c r="FM6" i="10" s="1"/>
  <c r="DF13" i="10" a="1"/>
  <c r="DF13" i="10" s="1"/>
  <c r="DF11" i="10" a="1"/>
  <c r="DF11" i="10" s="1"/>
  <c r="FN4" i="10"/>
  <c r="DG4" i="10"/>
  <c r="FJ7" i="10" l="1" a="1"/>
  <c r="FJ7" i="10" s="1"/>
  <c r="AT13" i="10"/>
  <c r="AZ13" i="10" s="1" a="1"/>
  <c r="AZ13" i="10" s="1"/>
  <c r="AT7" i="10"/>
  <c r="AZ7" i="10" s="1" a="1"/>
  <c r="AZ7" i="10" s="1"/>
  <c r="AT9" i="10"/>
  <c r="AZ9" i="10" s="1" a="1"/>
  <c r="AZ9" i="10" s="1"/>
  <c r="AT12" i="10"/>
  <c r="AZ12" i="10" s="1" a="1"/>
  <c r="AZ12" i="10" s="1"/>
  <c r="FK7" i="10" a="1"/>
  <c r="FK7" i="10" s="1"/>
  <c r="FI7" i="10" a="1"/>
  <c r="FI7" i="10" s="1"/>
  <c r="FM7" i="10" a="1"/>
  <c r="FM7" i="10" s="1"/>
  <c r="AZ20" i="12"/>
  <c r="AZ18" i="12"/>
  <c r="EX85" i="10"/>
  <c r="K108" i="15" s="1"/>
  <c r="EU85" i="10"/>
  <c r="F108" i="15" s="1"/>
  <c r="EY85" i="10"/>
  <c r="L108" i="15" s="1"/>
  <c r="EV85" i="10"/>
  <c r="G108" i="15" s="1"/>
  <c r="EZ85" i="10"/>
  <c r="O108" i="15" s="1"/>
  <c r="ET85" i="10"/>
  <c r="D108" i="15" s="1"/>
  <c r="EW85" i="10"/>
  <c r="I108" i="15" s="1"/>
  <c r="AK82" i="10"/>
  <c r="L105" i="11" s="1"/>
  <c r="AG82" i="10"/>
  <c r="F105" i="11" s="1"/>
  <c r="AL82" i="10"/>
  <c r="O105" i="11" s="1"/>
  <c r="AF82" i="10"/>
  <c r="D105" i="11" s="1"/>
  <c r="AI82" i="10"/>
  <c r="I105" i="11" s="1"/>
  <c r="AH82" i="10"/>
  <c r="G105" i="11" s="1"/>
  <c r="AJ82" i="10"/>
  <c r="K105" i="11" s="1"/>
  <c r="ET83" i="10"/>
  <c r="D106" i="15" s="1"/>
  <c r="EV83" i="10"/>
  <c r="G106" i="15" s="1"/>
  <c r="EY83" i="10"/>
  <c r="L106" i="15" s="1"/>
  <c r="EX83" i="10"/>
  <c r="K106" i="15" s="1"/>
  <c r="EW83" i="10"/>
  <c r="I106" i="15" s="1"/>
  <c r="EZ83" i="10"/>
  <c r="O106" i="15" s="1"/>
  <c r="EU83" i="10"/>
  <c r="F106" i="15" s="1"/>
  <c r="CR82" i="10"/>
  <c r="L104" i="13" s="1"/>
  <c r="CN82" i="10"/>
  <c r="F104" i="13" s="1"/>
  <c r="CQ82" i="10"/>
  <c r="K104" i="13" s="1"/>
  <c r="CP82" i="10"/>
  <c r="I104" i="13" s="1"/>
  <c r="CO82" i="10"/>
  <c r="G104" i="13" s="1"/>
  <c r="CS82" i="10"/>
  <c r="O104" i="13" s="1"/>
  <c r="CM82" i="10"/>
  <c r="D104" i="13" s="1"/>
  <c r="AU7" i="10" a="1"/>
  <c r="AU7" i="10" s="1"/>
  <c r="AV7" i="10" a="1"/>
  <c r="AV7" i="10" s="1"/>
  <c r="AX7" i="10" a="1"/>
  <c r="AX7" i="10" s="1"/>
  <c r="AY7" i="10" a="1"/>
  <c r="AY7" i="10" s="1"/>
  <c r="AU9" i="10" a="1"/>
  <c r="AU9" i="10" s="1"/>
  <c r="AV9" i="10" a="1"/>
  <c r="AV9" i="10" s="1"/>
  <c r="AX9" i="10" a="1"/>
  <c r="AX9" i="10" s="1"/>
  <c r="AY9" i="10" a="1"/>
  <c r="AY9" i="10" s="1"/>
  <c r="AI80" i="10"/>
  <c r="I103" i="11" s="1"/>
  <c r="AH80" i="10"/>
  <c r="G103" i="11" s="1"/>
  <c r="AK80" i="10"/>
  <c r="L103" i="11" s="1"/>
  <c r="AF80" i="10"/>
  <c r="D103" i="11" s="1"/>
  <c r="AJ80" i="10"/>
  <c r="K103" i="11" s="1"/>
  <c r="AL80" i="10"/>
  <c r="O103" i="11" s="1"/>
  <c r="AG80" i="10"/>
  <c r="F103" i="11" s="1"/>
  <c r="ET84" i="10"/>
  <c r="D107" i="15" s="1"/>
  <c r="EX84" i="10"/>
  <c r="K107" i="15" s="1"/>
  <c r="EV84" i="10"/>
  <c r="G107" i="15" s="1"/>
  <c r="EY84" i="10"/>
  <c r="L107" i="15" s="1"/>
  <c r="EU84" i="10"/>
  <c r="F107" i="15" s="1"/>
  <c r="EZ84" i="10"/>
  <c r="O107" i="15" s="1"/>
  <c r="EW84" i="10"/>
  <c r="I107" i="15" s="1"/>
  <c r="CQ77" i="10"/>
  <c r="K99" i="13" s="1"/>
  <c r="CO77" i="10"/>
  <c r="G99" i="13" s="1"/>
  <c r="CM77" i="10"/>
  <c r="D99" i="13" s="1"/>
  <c r="CP77" i="10"/>
  <c r="I99" i="13" s="1"/>
  <c r="CS77" i="10"/>
  <c r="O99" i="13" s="1"/>
  <c r="CR77" i="10"/>
  <c r="L99" i="13" s="1"/>
  <c r="CN77" i="10"/>
  <c r="F99" i="13" s="1"/>
  <c r="CR86" i="10"/>
  <c r="L108" i="13" s="1"/>
  <c r="CP86" i="10"/>
  <c r="I108" i="13" s="1"/>
  <c r="CN86" i="10"/>
  <c r="F108" i="13" s="1"/>
  <c r="CQ86" i="10"/>
  <c r="K108" i="13" s="1"/>
  <c r="CO86" i="10"/>
  <c r="G108" i="13" s="1"/>
  <c r="CS86" i="10"/>
  <c r="O108" i="13" s="1"/>
  <c r="CM86" i="10"/>
  <c r="D108" i="13" s="1"/>
  <c r="AU5" i="10"/>
  <c r="AV5" i="10" a="1"/>
  <c r="AV5" i="10" s="1"/>
  <c r="AW5" i="10" a="1"/>
  <c r="AW5" i="10" s="1"/>
  <c r="AX5" i="10" a="1"/>
  <c r="AX5" i="10" s="1"/>
  <c r="AY5" i="10" a="1"/>
  <c r="AY5" i="10" s="1"/>
  <c r="FI10" i="10" a="1"/>
  <c r="FI10" i="10" s="1"/>
  <c r="FJ10" i="10" a="1"/>
  <c r="FJ10" i="10" s="1"/>
  <c r="FK10" i="10" a="1"/>
  <c r="FK10" i="10" s="1"/>
  <c r="FL10" i="10" a="1"/>
  <c r="FL10" i="10" s="1"/>
  <c r="DB13" i="10" a="1"/>
  <c r="DB13" i="10" s="1"/>
  <c r="DC13" i="10" a="1"/>
  <c r="DC13" i="10" s="1"/>
  <c r="DD13" i="10" a="1"/>
  <c r="DD13" i="10" s="1"/>
  <c r="DE13" i="10" a="1"/>
  <c r="DE13" i="10" s="1"/>
  <c r="AU11" i="10" a="1"/>
  <c r="AU11" i="10" s="1"/>
  <c r="AV11" i="10" a="1"/>
  <c r="AV11" i="10" s="1"/>
  <c r="AW11" i="10" a="1"/>
  <c r="AW11" i="10" s="1"/>
  <c r="AX11" i="10" a="1"/>
  <c r="AX11" i="10" s="1"/>
  <c r="AY11" i="10" a="1"/>
  <c r="AY11" i="10" s="1"/>
  <c r="AV12" i="10" a="1"/>
  <c r="AV12" i="10" s="1"/>
  <c r="DB7" i="10" a="1"/>
  <c r="DB7" i="10" s="1"/>
  <c r="DC7" i="10" a="1"/>
  <c r="DC7" i="10" s="1"/>
  <c r="DD7" i="10" a="1"/>
  <c r="DD7" i="10" s="1"/>
  <c r="DE7" i="10" a="1"/>
  <c r="DE7" i="10" s="1"/>
  <c r="DB12" i="10" a="1"/>
  <c r="DB12" i="10" s="1"/>
  <c r="DC12" i="10" a="1"/>
  <c r="DC12" i="10" s="1"/>
  <c r="DD12" i="10" a="1"/>
  <c r="DD12" i="10" s="1"/>
  <c r="DE12" i="10" a="1"/>
  <c r="DE12" i="10" s="1"/>
  <c r="AJ79" i="10"/>
  <c r="K102" i="11" s="1"/>
  <c r="AF79" i="10"/>
  <c r="D102" i="11" s="1"/>
  <c r="AL79" i="10"/>
  <c r="O102" i="11" s="1"/>
  <c r="AG79" i="10"/>
  <c r="F102" i="11" s="1"/>
  <c r="AI79" i="10"/>
  <c r="I102" i="11" s="1"/>
  <c r="AH79" i="10"/>
  <c r="G102" i="11" s="1"/>
  <c r="AK79" i="10"/>
  <c r="L102" i="11" s="1"/>
  <c r="AL81" i="10"/>
  <c r="O104" i="11" s="1"/>
  <c r="AH81" i="10"/>
  <c r="G104" i="11" s="1"/>
  <c r="AJ81" i="10"/>
  <c r="K104" i="11" s="1"/>
  <c r="AG81" i="10"/>
  <c r="F104" i="11" s="1"/>
  <c r="AK81" i="10"/>
  <c r="L104" i="11" s="1"/>
  <c r="AF81" i="10"/>
  <c r="D104" i="11" s="1"/>
  <c r="AI81" i="10"/>
  <c r="I104" i="11" s="1"/>
  <c r="FI14" i="10" a="1"/>
  <c r="FI14" i="10" s="1"/>
  <c r="FJ14" i="10" a="1"/>
  <c r="FJ14" i="10" s="1"/>
  <c r="FK14" i="10" a="1"/>
  <c r="FK14" i="10" s="1"/>
  <c r="FL14" i="10" a="1"/>
  <c r="FL14" i="10" s="1"/>
  <c r="AU6" i="10" a="1"/>
  <c r="AU6" i="10" s="1"/>
  <c r="AV6" i="10" a="1"/>
  <c r="AV6" i="10" s="1"/>
  <c r="AW6" i="10" a="1"/>
  <c r="AW6" i="10" s="1"/>
  <c r="AX6" i="10" a="1"/>
  <c r="AX6" i="10" s="1"/>
  <c r="AY6" i="10" a="1"/>
  <c r="AY6" i="10" s="1"/>
  <c r="FI5" i="10" a="1"/>
  <c r="FI5" i="10" s="1"/>
  <c r="FJ5" i="10" a="1"/>
  <c r="FJ5" i="10" s="1"/>
  <c r="FK5" i="10" a="1"/>
  <c r="FK5" i="10" s="1"/>
  <c r="FL5" i="10" a="1"/>
  <c r="FL5" i="10" s="1"/>
  <c r="DB9" i="10" a="1"/>
  <c r="DB9" i="10" s="1"/>
  <c r="DC9" i="10" a="1"/>
  <c r="DC9" i="10" s="1"/>
  <c r="DD9" i="10" a="1"/>
  <c r="DD9" i="10" s="1"/>
  <c r="DE9" i="10" a="1"/>
  <c r="DE9" i="10" s="1"/>
  <c r="DB8" i="10" a="1"/>
  <c r="DB8" i="10" s="1"/>
  <c r="DC8" i="10" a="1"/>
  <c r="DC8" i="10" s="1"/>
  <c r="DD8" i="10" a="1"/>
  <c r="DD8" i="10" s="1"/>
  <c r="DE8" i="10" a="1"/>
  <c r="DE8" i="10" s="1"/>
  <c r="AF77" i="10"/>
  <c r="D100" i="11" s="1"/>
  <c r="AJ77" i="10"/>
  <c r="K100" i="11" s="1"/>
  <c r="AL77" i="10"/>
  <c r="O100" i="11" s="1"/>
  <c r="AG77" i="10"/>
  <c r="F100" i="11" s="1"/>
  <c r="AI77" i="10"/>
  <c r="I100" i="11" s="1"/>
  <c r="AH77" i="10"/>
  <c r="G100" i="11" s="1"/>
  <c r="AK77" i="10"/>
  <c r="L100" i="11" s="1"/>
  <c r="EW82" i="10"/>
  <c r="I105" i="15" s="1"/>
  <c r="EV82" i="10"/>
  <c r="G105" i="15" s="1"/>
  <c r="ET82" i="10"/>
  <c r="D105" i="15" s="1"/>
  <c r="EZ82" i="10"/>
  <c r="O105" i="15" s="1"/>
  <c r="EX82" i="10"/>
  <c r="K105" i="15" s="1"/>
  <c r="EU82" i="10"/>
  <c r="F105" i="15" s="1"/>
  <c r="EY82" i="10"/>
  <c r="L105" i="15" s="1"/>
  <c r="CS85" i="10"/>
  <c r="O107" i="13" s="1"/>
  <c r="CQ85" i="10"/>
  <c r="K107" i="13" s="1"/>
  <c r="CP85" i="10"/>
  <c r="I107" i="13" s="1"/>
  <c r="CO85" i="10"/>
  <c r="G107" i="13" s="1"/>
  <c r="CM85" i="10"/>
  <c r="D107" i="13" s="1"/>
  <c r="CR85" i="10"/>
  <c r="L107" i="13" s="1"/>
  <c r="CN85" i="10"/>
  <c r="F107" i="13" s="1"/>
  <c r="AJ83" i="10"/>
  <c r="K106" i="11" s="1"/>
  <c r="AF83" i="10"/>
  <c r="D106" i="11" s="1"/>
  <c r="AH83" i="10"/>
  <c r="G106" i="11" s="1"/>
  <c r="AK83" i="10"/>
  <c r="L106" i="11" s="1"/>
  <c r="AI83" i="10"/>
  <c r="I106" i="11" s="1"/>
  <c r="AL83" i="10"/>
  <c r="O106" i="11" s="1"/>
  <c r="AG83" i="10"/>
  <c r="F106" i="11" s="1"/>
  <c r="AI84" i="10"/>
  <c r="I107" i="11" s="1"/>
  <c r="AJ84" i="10"/>
  <c r="K107" i="11" s="1"/>
  <c r="AL84" i="10"/>
  <c r="O107" i="11" s="1"/>
  <c r="AG84" i="10"/>
  <c r="F107" i="11" s="1"/>
  <c r="AK84" i="10"/>
  <c r="L107" i="11" s="1"/>
  <c r="AF84" i="10"/>
  <c r="D107" i="11" s="1"/>
  <c r="AH84" i="10"/>
  <c r="G107" i="11" s="1"/>
  <c r="CQ79" i="10"/>
  <c r="K101" i="13" s="1"/>
  <c r="CP79" i="10"/>
  <c r="I101" i="13" s="1"/>
  <c r="CO79" i="10"/>
  <c r="G101" i="13" s="1"/>
  <c r="CM79" i="10"/>
  <c r="D101" i="13" s="1"/>
  <c r="CS79" i="10"/>
  <c r="O101" i="13" s="1"/>
  <c r="CR79" i="10"/>
  <c r="L101" i="13" s="1"/>
  <c r="CN79" i="10"/>
  <c r="F101" i="13" s="1"/>
  <c r="CR84" i="10"/>
  <c r="L106" i="13" s="1"/>
  <c r="CN84" i="10"/>
  <c r="F106" i="13" s="1"/>
  <c r="CS84" i="10"/>
  <c r="O106" i="13" s="1"/>
  <c r="CQ84" i="10"/>
  <c r="K106" i="13" s="1"/>
  <c r="CP84" i="10"/>
  <c r="I106" i="13" s="1"/>
  <c r="CO84" i="10"/>
  <c r="G106" i="13" s="1"/>
  <c r="CM84" i="10"/>
  <c r="D106" i="13" s="1"/>
  <c r="FI9" i="10" a="1"/>
  <c r="FI9" i="10" s="1"/>
  <c r="FJ9" i="10" a="1"/>
  <c r="FJ9" i="10" s="1"/>
  <c r="FK9" i="10" a="1"/>
  <c r="FK9" i="10" s="1"/>
  <c r="FL9" i="10" a="1"/>
  <c r="FL9" i="10" s="1"/>
  <c r="AU14" i="10" a="1"/>
  <c r="AU14" i="10" s="1"/>
  <c r="AV14" i="10" a="1"/>
  <c r="AV14" i="10" s="1"/>
  <c r="AW14" i="10" a="1"/>
  <c r="AW14" i="10" s="1"/>
  <c r="AX14" i="10" a="1"/>
  <c r="AX14" i="10" s="1"/>
  <c r="AY14" i="10" a="1"/>
  <c r="AY14" i="10" s="1"/>
  <c r="EX86" i="10"/>
  <c r="K109" i="15" s="1"/>
  <c r="EU86" i="10"/>
  <c r="F109" i="15" s="1"/>
  <c r="EW86" i="10"/>
  <c r="I109" i="15" s="1"/>
  <c r="EZ86" i="10"/>
  <c r="O109" i="15" s="1"/>
  <c r="EY86" i="10"/>
  <c r="L109" i="15" s="1"/>
  <c r="EV86" i="10"/>
  <c r="G109" i="15" s="1"/>
  <c r="ET86" i="10"/>
  <c r="D109" i="15" s="1"/>
  <c r="AK78" i="10"/>
  <c r="L101" i="11" s="1"/>
  <c r="AG78" i="10"/>
  <c r="F101" i="11" s="1"/>
  <c r="AJ78" i="10"/>
  <c r="K101" i="11" s="1"/>
  <c r="AH78" i="10"/>
  <c r="G101" i="11" s="1"/>
  <c r="AL78" i="10"/>
  <c r="O101" i="11" s="1"/>
  <c r="AF78" i="10"/>
  <c r="D101" i="11" s="1"/>
  <c r="AI78" i="10"/>
  <c r="I101" i="11" s="1"/>
  <c r="EW77" i="10"/>
  <c r="I100" i="15" s="1"/>
  <c r="ET77" i="10"/>
  <c r="D100" i="15" s="1"/>
  <c r="EV77" i="10"/>
  <c r="G100" i="15" s="1"/>
  <c r="EY77" i="10"/>
  <c r="L100" i="15" s="1"/>
  <c r="EX77" i="10"/>
  <c r="K100" i="15" s="1"/>
  <c r="EZ77" i="10"/>
  <c r="O100" i="15" s="1"/>
  <c r="EU77" i="10"/>
  <c r="F100" i="15" s="1"/>
  <c r="CS81" i="10"/>
  <c r="O103" i="13" s="1"/>
  <c r="CQ81" i="10"/>
  <c r="K103" i="13" s="1"/>
  <c r="CP81" i="10"/>
  <c r="I103" i="13" s="1"/>
  <c r="CO81" i="10"/>
  <c r="G103" i="13" s="1"/>
  <c r="CM81" i="10"/>
  <c r="D103" i="13" s="1"/>
  <c r="CR81" i="10"/>
  <c r="L103" i="13" s="1"/>
  <c r="CN81" i="10"/>
  <c r="F103" i="13" s="1"/>
  <c r="CR80" i="10"/>
  <c r="L102" i="13" s="1"/>
  <c r="CN80" i="10"/>
  <c r="F102" i="13" s="1"/>
  <c r="CS80" i="10"/>
  <c r="O102" i="13" s="1"/>
  <c r="CQ80" i="10"/>
  <c r="K102" i="13" s="1"/>
  <c r="CP80" i="10"/>
  <c r="I102" i="13" s="1"/>
  <c r="CO80" i="10"/>
  <c r="G102" i="13" s="1"/>
  <c r="CM80" i="10"/>
  <c r="D102" i="13" s="1"/>
  <c r="AU13" i="10" a="1"/>
  <c r="AU13" i="10" s="1"/>
  <c r="AV13" i="10" a="1"/>
  <c r="AV13" i="10" s="1"/>
  <c r="AW13" i="10" a="1"/>
  <c r="AW13" i="10" s="1"/>
  <c r="AX13" i="10" a="1"/>
  <c r="AX13" i="10" s="1"/>
  <c r="AY13" i="10" a="1"/>
  <c r="AY13" i="10" s="1"/>
  <c r="FI8" i="10" a="1"/>
  <c r="FI8" i="10" s="1"/>
  <c r="FJ8" i="10" a="1"/>
  <c r="FJ8" i="10" s="1"/>
  <c r="FK8" i="10" a="1"/>
  <c r="FK8" i="10" s="1"/>
  <c r="FL8" i="10" a="1"/>
  <c r="FL8" i="10" s="1"/>
  <c r="DB6" i="10" a="1"/>
  <c r="DB6" i="10" s="1"/>
  <c r="DC6" i="10" a="1"/>
  <c r="DC6" i="10" s="1"/>
  <c r="DD6" i="10" a="1"/>
  <c r="DD6" i="10" s="1"/>
  <c r="DE6" i="10" a="1"/>
  <c r="DE6" i="10" s="1"/>
  <c r="DB11" i="10" a="1"/>
  <c r="DB11" i="10" s="1"/>
  <c r="DC11" i="10" a="1"/>
  <c r="DC11" i="10" s="1"/>
  <c r="DD11" i="10" a="1"/>
  <c r="DD11" i="10" s="1"/>
  <c r="DE11" i="10" a="1"/>
  <c r="DE11" i="10" s="1"/>
  <c r="FI13" i="10" a="1"/>
  <c r="FI13" i="10" s="1"/>
  <c r="FJ13" i="10" a="1"/>
  <c r="FJ13" i="10" s="1"/>
  <c r="FK13" i="10" a="1"/>
  <c r="FK13" i="10" s="1"/>
  <c r="FL13" i="10" a="1"/>
  <c r="FL13" i="10" s="1"/>
  <c r="AU10" i="10" a="1"/>
  <c r="AU10" i="10" s="1"/>
  <c r="AV10" i="10" a="1"/>
  <c r="AV10" i="10" s="1"/>
  <c r="AW10" i="10" a="1"/>
  <c r="AW10" i="10" s="1"/>
  <c r="AX10" i="10" a="1"/>
  <c r="AX10" i="10" s="1"/>
  <c r="AY10" i="10" a="1"/>
  <c r="AY10" i="10" s="1"/>
  <c r="FI11" i="10" a="1"/>
  <c r="FI11" i="10" s="1"/>
  <c r="FJ11" i="10" a="1"/>
  <c r="FJ11" i="10" s="1"/>
  <c r="FK11" i="10" a="1"/>
  <c r="FK11" i="10" s="1"/>
  <c r="FL11" i="10" a="1"/>
  <c r="FL11" i="10" s="1"/>
  <c r="DB10" i="10" a="1"/>
  <c r="DB10" i="10" s="1"/>
  <c r="DC10" i="10" a="1"/>
  <c r="DC10" i="10" s="1"/>
  <c r="DD10" i="10" a="1"/>
  <c r="DD10" i="10" s="1"/>
  <c r="DE10" i="10" a="1"/>
  <c r="DE10" i="10" s="1"/>
  <c r="EU81" i="10"/>
  <c r="F104" i="15" s="1"/>
  <c r="EW81" i="10"/>
  <c r="I104" i="15" s="1"/>
  <c r="EZ81" i="10"/>
  <c r="O104" i="15" s="1"/>
  <c r="EX81" i="10"/>
  <c r="K104" i="15" s="1"/>
  <c r="EV81" i="10"/>
  <c r="G104" i="15" s="1"/>
  <c r="ET81" i="10"/>
  <c r="D104" i="15" s="1"/>
  <c r="EY81" i="10"/>
  <c r="L104" i="15" s="1"/>
  <c r="AK86" i="10"/>
  <c r="L109" i="11" s="1"/>
  <c r="AG86" i="10"/>
  <c r="F109" i="11" s="1"/>
  <c r="AH86" i="10"/>
  <c r="G109" i="11" s="1"/>
  <c r="AJ86" i="10"/>
  <c r="K109" i="11" s="1"/>
  <c r="AI86" i="10"/>
  <c r="I109" i="11" s="1"/>
  <c r="AF86" i="10"/>
  <c r="D109" i="11" s="1"/>
  <c r="AL86" i="10"/>
  <c r="O109" i="11" s="1"/>
  <c r="AU8" i="10" a="1"/>
  <c r="AU8" i="10" s="1"/>
  <c r="AV8" i="10" a="1"/>
  <c r="AV8" i="10" s="1"/>
  <c r="AW8" i="10" a="1"/>
  <c r="AW8" i="10" s="1"/>
  <c r="AX8" i="10" a="1"/>
  <c r="AX8" i="10" s="1"/>
  <c r="AY8" i="10" a="1"/>
  <c r="AY8" i="10" s="1"/>
  <c r="FI12" i="10" a="1"/>
  <c r="FI12" i="10" s="1"/>
  <c r="FJ12" i="10" a="1"/>
  <c r="FJ12" i="10" s="1"/>
  <c r="FK12" i="10" a="1"/>
  <c r="FK12" i="10" s="1"/>
  <c r="FL12" i="10" a="1"/>
  <c r="FL12" i="10" s="1"/>
  <c r="DB5" i="10" a="1"/>
  <c r="DB5" i="10" s="1"/>
  <c r="DC5" i="10" a="1"/>
  <c r="DC5" i="10" s="1"/>
  <c r="DD5" i="10" a="1"/>
  <c r="DD5" i="10" s="1"/>
  <c r="DE5" i="10" a="1"/>
  <c r="DE5" i="10" s="1"/>
  <c r="DB14" i="10" a="1"/>
  <c r="DB14" i="10" s="1"/>
  <c r="DC14" i="10" a="1"/>
  <c r="DC14" i="10" s="1"/>
  <c r="DD14" i="10" a="1"/>
  <c r="DD14" i="10" s="1"/>
  <c r="DE14" i="10" a="1"/>
  <c r="DE14" i="10" s="1"/>
  <c r="AL85" i="10"/>
  <c r="O108" i="11" s="1"/>
  <c r="AH85" i="10"/>
  <c r="G108" i="11" s="1"/>
  <c r="AK85" i="10"/>
  <c r="L108" i="11" s="1"/>
  <c r="AF85" i="10"/>
  <c r="D108" i="11" s="1"/>
  <c r="AI85" i="10"/>
  <c r="I108" i="11" s="1"/>
  <c r="AG85" i="10"/>
  <c r="F108" i="11" s="1"/>
  <c r="AJ85" i="10"/>
  <c r="K108" i="11" s="1"/>
  <c r="EU80" i="10"/>
  <c r="F103" i="15" s="1"/>
  <c r="EV80" i="10"/>
  <c r="G103" i="15" s="1"/>
  <c r="EZ80" i="10"/>
  <c r="O103" i="15" s="1"/>
  <c r="EX80" i="10"/>
  <c r="K103" i="15" s="1"/>
  <c r="ET80" i="10"/>
  <c r="D103" i="15" s="1"/>
  <c r="EW80" i="10"/>
  <c r="I103" i="15" s="1"/>
  <c r="EY80" i="10"/>
  <c r="L103" i="15" s="1"/>
  <c r="CR78" i="10"/>
  <c r="L100" i="13" s="1"/>
  <c r="CN78" i="10"/>
  <c r="F100" i="13" s="1"/>
  <c r="CQ78" i="10"/>
  <c r="K100" i="13" s="1"/>
  <c r="CP78" i="10"/>
  <c r="I100" i="13" s="1"/>
  <c r="CO78" i="10"/>
  <c r="G100" i="13" s="1"/>
  <c r="CM78" i="10"/>
  <c r="D100" i="13" s="1"/>
  <c r="CS78" i="10"/>
  <c r="O100" i="13" s="1"/>
  <c r="CQ83" i="10"/>
  <c r="K105" i="13" s="1"/>
  <c r="CP83" i="10"/>
  <c r="I105" i="13" s="1"/>
  <c r="CO83" i="10"/>
  <c r="G105" i="13" s="1"/>
  <c r="CM83" i="10"/>
  <c r="D105" i="13" s="1"/>
  <c r="CS83" i="10"/>
  <c r="O105" i="13" s="1"/>
  <c r="CR83" i="10"/>
  <c r="L105" i="13" s="1"/>
  <c r="CN83" i="10"/>
  <c r="F105" i="13" s="1"/>
  <c r="DH4" i="10"/>
  <c r="BA6" i="10" a="1"/>
  <c r="BA6" i="10" s="1"/>
  <c r="BA8" i="10" a="1"/>
  <c r="BA8" i="10" s="1"/>
  <c r="BA10" i="10" a="1"/>
  <c r="BA10" i="10" s="1"/>
  <c r="BA12" i="10" a="1"/>
  <c r="BA12" i="10" s="1"/>
  <c r="BA14" i="10" a="1"/>
  <c r="BA14" i="10" s="1"/>
  <c r="BA11" i="10" a="1"/>
  <c r="BA11" i="10" s="1"/>
  <c r="FO4" i="10"/>
  <c r="BA13" i="10" a="1"/>
  <c r="BA13" i="10" s="1"/>
  <c r="BA7" i="10" a="1"/>
  <c r="BA7" i="10" s="1"/>
  <c r="BA5" i="10" a="1"/>
  <c r="BA5" i="10" s="1"/>
  <c r="BA9" i="10" a="1"/>
  <c r="BA9" i="10" s="1"/>
  <c r="DG8" i="10" a="1"/>
  <c r="DG8" i="10" s="1"/>
  <c r="DG9" i="10" a="1"/>
  <c r="DG9" i="10" s="1"/>
  <c r="DG10" i="10" a="1"/>
  <c r="DG10" i="10" s="1"/>
  <c r="DG6" i="10" a="1"/>
  <c r="DG6" i="10" s="1"/>
  <c r="DG5" i="10" a="1"/>
  <c r="DG5" i="10" s="1"/>
  <c r="DG12" i="10" a="1"/>
  <c r="DG12" i="10" s="1"/>
  <c r="DG13" i="10" a="1"/>
  <c r="DG13" i="10" s="1"/>
  <c r="DG14" i="10" a="1"/>
  <c r="DG14" i="10" s="1"/>
  <c r="DG11" i="10" a="1"/>
  <c r="DG11" i="10" s="1"/>
  <c r="DG7" i="10" a="1"/>
  <c r="DG7" i="10" s="1"/>
  <c r="FN6" i="10" a="1"/>
  <c r="FN6" i="10" s="1"/>
  <c r="FN7" i="10" a="1"/>
  <c r="FN7" i="10" s="1"/>
  <c r="FN9" i="10" a="1"/>
  <c r="FN9" i="10" s="1"/>
  <c r="FN11" i="10" a="1"/>
  <c r="FN11" i="10" s="1"/>
  <c r="FN13" i="10" a="1"/>
  <c r="FN13" i="10" s="1"/>
  <c r="FN5" i="10" a="1"/>
  <c r="FN5" i="10" s="1"/>
  <c r="FN8" i="10" a="1"/>
  <c r="FN8" i="10" s="1"/>
  <c r="FN10" i="10" a="1"/>
  <c r="FN10" i="10" s="1"/>
  <c r="FN12" i="10" a="1"/>
  <c r="FN12" i="10" s="1"/>
  <c r="FN14" i="10" a="1"/>
  <c r="FN14" i="10" s="1"/>
  <c r="DI3" i="10"/>
  <c r="BC3" i="10"/>
  <c r="BB4" i="10"/>
  <c r="FP3" i="10"/>
  <c r="AW7" i="10" l="1" a="1"/>
  <c r="AW7" i="10" s="1"/>
  <c r="AU12" i="10" a="1"/>
  <c r="AU12" i="10" s="1"/>
  <c r="AW9" i="10" a="1"/>
  <c r="AW9" i="10" s="1"/>
  <c r="AY12" i="10" a="1"/>
  <c r="AY12" i="10" s="1"/>
  <c r="AX12" i="10" a="1"/>
  <c r="AX12" i="10" s="1"/>
  <c r="AW12" i="10" a="1"/>
  <c r="AW12" i="10" s="1"/>
  <c r="AZ21" i="12"/>
  <c r="BA18" i="12"/>
  <c r="DI4" i="10"/>
  <c r="BB5" i="10" a="1"/>
  <c r="BB5" i="10" s="1"/>
  <c r="BB7" i="10" a="1"/>
  <c r="BB7" i="10" s="1"/>
  <c r="BB9" i="10" a="1"/>
  <c r="BB9" i="10" s="1"/>
  <c r="BB11" i="10" a="1"/>
  <c r="BB11" i="10" s="1"/>
  <c r="BB13" i="10" a="1"/>
  <c r="BB13" i="10" s="1"/>
  <c r="BB8" i="10" a="1"/>
  <c r="BB8" i="10" s="1"/>
  <c r="BB10" i="10" a="1"/>
  <c r="BB10" i="10" s="1"/>
  <c r="FP4" i="10"/>
  <c r="BB12" i="10" a="1"/>
  <c r="BB12" i="10" s="1"/>
  <c r="BB14" i="10" a="1"/>
  <c r="BB14" i="10" s="1"/>
  <c r="BB6" i="10" a="1"/>
  <c r="BB6" i="10" s="1"/>
  <c r="BC4" i="10"/>
  <c r="DJ3" i="10"/>
  <c r="FQ3" i="10"/>
  <c r="BD3" i="10"/>
  <c r="FO5" i="10" a="1"/>
  <c r="FO5" i="10" s="1"/>
  <c r="FO7" i="10" a="1"/>
  <c r="FO7" i="10" s="1"/>
  <c r="FO9" i="10" a="1"/>
  <c r="FO9" i="10" s="1"/>
  <c r="FO11" i="10" a="1"/>
  <c r="FO11" i="10" s="1"/>
  <c r="FO13" i="10" a="1"/>
  <c r="FO13" i="10" s="1"/>
  <c r="FO6" i="10" a="1"/>
  <c r="FO6" i="10" s="1"/>
  <c r="FO8" i="10" a="1"/>
  <c r="FO8" i="10" s="1"/>
  <c r="FO10" i="10" a="1"/>
  <c r="FO10" i="10" s="1"/>
  <c r="FO12" i="10" a="1"/>
  <c r="FO12" i="10" s="1"/>
  <c r="FO14" i="10" a="1"/>
  <c r="FO14" i="10" s="1"/>
  <c r="DH7" i="10" a="1"/>
  <c r="DH7" i="10" s="1"/>
  <c r="DH8" i="10" a="1"/>
  <c r="DH8" i="10" s="1"/>
  <c r="DH5" i="10" a="1"/>
  <c r="DH5" i="10" s="1"/>
  <c r="DH13" i="10" a="1"/>
  <c r="DH13" i="10" s="1"/>
  <c r="DH10" i="10" a="1"/>
  <c r="DH10" i="10" s="1"/>
  <c r="DH9" i="10" a="1"/>
  <c r="DH9" i="10" s="1"/>
  <c r="DH6" i="10" a="1"/>
  <c r="DH6" i="10" s="1"/>
  <c r="DH14" i="10" a="1"/>
  <c r="DH14" i="10" s="1"/>
  <c r="DH11" i="10" a="1"/>
  <c r="DH11" i="10" s="1"/>
  <c r="DH12" i="10" a="1"/>
  <c r="DH12" i="10" s="1"/>
  <c r="BA21" i="12" l="1"/>
  <c r="AZ22" i="12"/>
  <c r="BE3" i="10"/>
  <c r="DK3" i="10"/>
  <c r="FR3" i="10"/>
  <c r="BD4" i="10"/>
  <c r="DJ4" i="10"/>
  <c r="FQ4" i="10"/>
  <c r="BC7" i="10" a="1"/>
  <c r="BC7" i="10" s="1"/>
  <c r="BC9" i="10" a="1"/>
  <c r="BC9" i="10" s="1"/>
  <c r="BC11" i="10" a="1"/>
  <c r="BC11" i="10" s="1"/>
  <c r="BC13" i="10" a="1"/>
  <c r="BC13" i="10" s="1"/>
  <c r="BC5" i="10" a="1"/>
  <c r="BC5" i="10" s="1"/>
  <c r="BC8" i="10" a="1"/>
  <c r="BC8" i="10" s="1"/>
  <c r="BC12" i="10" a="1"/>
  <c r="BC12" i="10" s="1"/>
  <c r="BC6" i="10" a="1"/>
  <c r="BC6" i="10" s="1"/>
  <c r="BC10" i="10" a="1"/>
  <c r="BC10" i="10" s="1"/>
  <c r="BC14" i="10" a="1"/>
  <c r="BC14" i="10" s="1"/>
  <c r="FP6" i="10" a="1"/>
  <c r="FP6" i="10" s="1"/>
  <c r="FP8" i="10" a="1"/>
  <c r="FP8" i="10" s="1"/>
  <c r="FP10" i="10" a="1"/>
  <c r="FP10" i="10" s="1"/>
  <c r="FP12" i="10" a="1"/>
  <c r="FP12" i="10" s="1"/>
  <c r="FP14" i="10" a="1"/>
  <c r="FP14" i="10" s="1"/>
  <c r="FP7" i="10" a="1"/>
  <c r="FP7" i="10" s="1"/>
  <c r="FP9" i="10" a="1"/>
  <c r="FP9" i="10" s="1"/>
  <c r="FP11" i="10" a="1"/>
  <c r="FP11" i="10" s="1"/>
  <c r="FP13" i="10" a="1"/>
  <c r="FP13" i="10" s="1"/>
  <c r="FP5" i="10" a="1"/>
  <c r="FP5" i="10" s="1"/>
  <c r="DI7" i="10" a="1"/>
  <c r="DI7" i="10" s="1"/>
  <c r="DI14" i="10" a="1"/>
  <c r="DI14" i="10" s="1"/>
  <c r="DI8" i="10" a="1"/>
  <c r="DI8" i="10" s="1"/>
  <c r="DI9" i="10" a="1"/>
  <c r="DI9" i="10" s="1"/>
  <c r="DI5" i="10" a="1"/>
  <c r="DI5" i="10" s="1"/>
  <c r="DI10" i="10" a="1"/>
  <c r="DI10" i="10" s="1"/>
  <c r="DI11" i="10" a="1"/>
  <c r="DI11" i="10" s="1"/>
  <c r="DI12" i="10" a="1"/>
  <c r="DI12" i="10" s="1"/>
  <c r="DI13" i="10" a="1"/>
  <c r="DI13" i="10" s="1"/>
  <c r="DI6" i="10" a="1"/>
  <c r="DI6" i="10" s="1"/>
  <c r="BA22" i="12" l="1"/>
  <c r="AZ23" i="12"/>
  <c r="FQ5" i="10" a="1"/>
  <c r="FQ5" i="10" s="1"/>
  <c r="FQ7" i="10" a="1"/>
  <c r="FQ7" i="10" s="1"/>
  <c r="FQ9" i="10" a="1"/>
  <c r="FQ9" i="10" s="1"/>
  <c r="FQ11" i="10" a="1"/>
  <c r="FQ11" i="10" s="1"/>
  <c r="FQ13" i="10" a="1"/>
  <c r="FQ13" i="10" s="1"/>
  <c r="FQ6" i="10" a="1"/>
  <c r="FQ6" i="10" s="1"/>
  <c r="FQ14" i="10" a="1"/>
  <c r="FQ14" i="10" s="1"/>
  <c r="FQ10" i="10" a="1"/>
  <c r="FQ10" i="10" s="1"/>
  <c r="FQ12" i="10" a="1"/>
  <c r="FQ12" i="10" s="1"/>
  <c r="FQ8" i="10" a="1"/>
  <c r="FQ8" i="10" s="1"/>
  <c r="DK4" i="10"/>
  <c r="BD6" i="10" a="1"/>
  <c r="BD6" i="10" s="1"/>
  <c r="BD8" i="10" a="1"/>
  <c r="BD8" i="10" s="1"/>
  <c r="BD10" i="10" a="1"/>
  <c r="BD10" i="10" s="1"/>
  <c r="BD12" i="10" a="1"/>
  <c r="BD12" i="10" s="1"/>
  <c r="BD14" i="10" a="1"/>
  <c r="BD14" i="10" s="1"/>
  <c r="BD7" i="10" a="1"/>
  <c r="BD7" i="10" s="1"/>
  <c r="BD5" i="10" a="1"/>
  <c r="BD5" i="10" s="1"/>
  <c r="BD11" i="10" a="1"/>
  <c r="BD11" i="10" s="1"/>
  <c r="BD9" i="10" a="1"/>
  <c r="BD9" i="10" s="1"/>
  <c r="FR4" i="10"/>
  <c r="BD13" i="10" a="1"/>
  <c r="BD13" i="10" s="1"/>
  <c r="DJ9" i="10" a="1"/>
  <c r="DJ9" i="10" s="1"/>
  <c r="DJ7" i="10" a="1"/>
  <c r="DJ7" i="10" s="1"/>
  <c r="DJ14" i="10" a="1"/>
  <c r="DJ14" i="10" s="1"/>
  <c r="DJ11" i="10" a="1"/>
  <c r="DJ11" i="10" s="1"/>
  <c r="DJ12" i="10" a="1"/>
  <c r="DJ12" i="10" s="1"/>
  <c r="DJ10" i="10" a="1"/>
  <c r="DJ10" i="10" s="1"/>
  <c r="DJ6" i="10" a="1"/>
  <c r="DJ6" i="10" s="1"/>
  <c r="DJ8" i="10" a="1"/>
  <c r="DJ8" i="10" s="1"/>
  <c r="DJ13" i="10" a="1"/>
  <c r="DJ13" i="10" s="1"/>
  <c r="DJ5" i="10" a="1"/>
  <c r="DJ5" i="10" s="1"/>
  <c r="BE4" i="10"/>
  <c r="DL3" i="10"/>
  <c r="FS3" i="10"/>
  <c r="BF3" i="10"/>
  <c r="BA23" i="12" l="1"/>
  <c r="AZ24" i="12"/>
  <c r="DM3" i="10"/>
  <c r="BF4" i="10"/>
  <c r="FT3" i="10"/>
  <c r="DK8" i="10" a="1"/>
  <c r="DK8" i="10" s="1"/>
  <c r="DK9" i="10" a="1"/>
  <c r="DK9" i="10" s="1"/>
  <c r="DK6" i="10" a="1"/>
  <c r="DK6" i="10" s="1"/>
  <c r="DK14" i="10" a="1"/>
  <c r="DK14" i="10" s="1"/>
  <c r="DK11" i="10" a="1"/>
  <c r="DK11" i="10" s="1"/>
  <c r="DK13" i="10" a="1"/>
  <c r="DK13" i="10" s="1"/>
  <c r="DK10" i="10" a="1"/>
  <c r="DK10" i="10" s="1"/>
  <c r="DK12" i="10" a="1"/>
  <c r="DK12" i="10" s="1"/>
  <c r="DK7" i="10" a="1"/>
  <c r="DK7" i="10" s="1"/>
  <c r="DK5" i="10" a="1"/>
  <c r="DK5" i="10" s="1"/>
  <c r="FS4" i="10"/>
  <c r="BE7" i="10" a="1"/>
  <c r="BE7" i="10" s="1"/>
  <c r="BE9" i="10" a="1"/>
  <c r="BE9" i="10" s="1"/>
  <c r="BE11" i="10" a="1"/>
  <c r="BE11" i="10" s="1"/>
  <c r="BE13" i="10" a="1"/>
  <c r="BE13" i="10" s="1"/>
  <c r="BE5" i="10" a="1"/>
  <c r="BE5" i="10" s="1"/>
  <c r="DL4" i="10"/>
  <c r="BE8" i="10" a="1"/>
  <c r="BE8" i="10" s="1"/>
  <c r="BE12" i="10" a="1"/>
  <c r="BE12" i="10" s="1"/>
  <c r="BE6" i="10" a="1"/>
  <c r="BE6" i="10" s="1"/>
  <c r="BE10" i="10" a="1"/>
  <c r="BE10" i="10" s="1"/>
  <c r="BE14" i="10" a="1"/>
  <c r="BE14" i="10" s="1"/>
  <c r="FR6" i="10" a="1"/>
  <c r="FR6" i="10" s="1"/>
  <c r="FR8" i="10" a="1"/>
  <c r="FR8" i="10" s="1"/>
  <c r="FR10" i="10" a="1"/>
  <c r="FR10" i="10" s="1"/>
  <c r="FR12" i="10" a="1"/>
  <c r="FR12" i="10" s="1"/>
  <c r="FR14" i="10" a="1"/>
  <c r="FR14" i="10" s="1"/>
  <c r="FR5" i="10" a="1"/>
  <c r="FR5" i="10" s="1"/>
  <c r="FR9" i="10" a="1"/>
  <c r="FR9" i="10" s="1"/>
  <c r="FR11" i="10" a="1"/>
  <c r="FR11" i="10" s="1"/>
  <c r="FR13" i="10" a="1"/>
  <c r="FR13" i="10" s="1"/>
  <c r="FR7" i="10" a="1"/>
  <c r="FR7" i="10" s="1"/>
  <c r="AZ25" i="12" l="1"/>
  <c r="DL6" i="10" a="1"/>
  <c r="DL6" i="10" s="1"/>
  <c r="DL8" i="10" a="1"/>
  <c r="DL8" i="10" s="1"/>
  <c r="DL5" i="10" a="1"/>
  <c r="DL5" i="10" s="1"/>
  <c r="DL9" i="10" a="1"/>
  <c r="DL9" i="10" s="1"/>
  <c r="DL14" i="10" a="1"/>
  <c r="DL14" i="10" s="1"/>
  <c r="DL12" i="10" a="1"/>
  <c r="DL12" i="10" s="1"/>
  <c r="DL11" i="10" a="1"/>
  <c r="DL11" i="10" s="1"/>
  <c r="DL7" i="10" a="1"/>
  <c r="DL7" i="10" s="1"/>
  <c r="DL10" i="10" a="1"/>
  <c r="DL10" i="10" s="1"/>
  <c r="DL13" i="10" a="1"/>
  <c r="DL13" i="10" s="1"/>
  <c r="FS8" i="10" a="1"/>
  <c r="FS8" i="10" s="1"/>
  <c r="FS10" i="10" a="1"/>
  <c r="FS10" i="10" s="1"/>
  <c r="FS12" i="10" a="1"/>
  <c r="FS12" i="10" s="1"/>
  <c r="FS14" i="10" a="1"/>
  <c r="FS14" i="10" s="1"/>
  <c r="FS13" i="10" a="1"/>
  <c r="FS13" i="10" s="1"/>
  <c r="FS11" i="10" a="1"/>
  <c r="FS11" i="10" s="1"/>
  <c r="FS7" i="10" a="1"/>
  <c r="FS7" i="10" s="1"/>
  <c r="FS5" i="10" a="1"/>
  <c r="FS5" i="10" s="1"/>
  <c r="FS6" i="10" a="1"/>
  <c r="FS6" i="10" s="1"/>
  <c r="FS9" i="10" a="1"/>
  <c r="FS9" i="10" s="1"/>
  <c r="DM4" i="10"/>
  <c r="BF6" i="10" a="1"/>
  <c r="BF6" i="10" s="1"/>
  <c r="BF8" i="10" a="1"/>
  <c r="BF8" i="10" s="1"/>
  <c r="BF10" i="10" a="1"/>
  <c r="BF10" i="10" s="1"/>
  <c r="BF12" i="10" a="1"/>
  <c r="BF12" i="10" s="1"/>
  <c r="BF14" i="10" a="1"/>
  <c r="BF14" i="10" s="1"/>
  <c r="FT4" i="10"/>
  <c r="BF5" i="10" a="1"/>
  <c r="BF5" i="10" s="1"/>
  <c r="BF13" i="10" a="1"/>
  <c r="BF13" i="10" s="1"/>
  <c r="BF7" i="10" a="1"/>
  <c r="BF7" i="10" s="1"/>
  <c r="BF9" i="10" a="1"/>
  <c r="BF9" i="10" s="1"/>
  <c r="BF11" i="10" a="1"/>
  <c r="BF11" i="10" s="1"/>
  <c r="BA25" i="12" l="1"/>
  <c r="AZ26" i="12"/>
  <c r="FT6" i="10" a="1"/>
  <c r="FT6" i="10" s="1"/>
  <c r="FT8" i="10" a="1"/>
  <c r="FT8" i="10" s="1"/>
  <c r="FT10" i="10" a="1"/>
  <c r="FT10" i="10" s="1"/>
  <c r="FT12" i="10" a="1"/>
  <c r="FT12" i="10" s="1"/>
  <c r="FT14" i="10" a="1"/>
  <c r="FT14" i="10" s="1"/>
  <c r="FT11" i="10" a="1"/>
  <c r="FT11" i="10" s="1"/>
  <c r="FT9" i="10" a="1"/>
  <c r="FT9" i="10" s="1"/>
  <c r="FT13" i="10" a="1"/>
  <c r="FT13" i="10" s="1"/>
  <c r="FT7" i="10" a="1"/>
  <c r="FT7" i="10" s="1"/>
  <c r="FT5" i="10" a="1"/>
  <c r="FT5" i="10" s="1"/>
  <c r="DM6" i="10" a="1"/>
  <c r="DM6" i="10" s="1"/>
  <c r="DM10" i="10" a="1"/>
  <c r="DM10" i="10" s="1"/>
  <c r="DM11" i="10" a="1"/>
  <c r="DM11" i="10" s="1"/>
  <c r="DM12" i="10" a="1"/>
  <c r="DM12" i="10" s="1"/>
  <c r="DM9" i="10" a="1"/>
  <c r="DM9" i="10" s="1"/>
  <c r="DM7" i="10" a="1"/>
  <c r="DM7" i="10" s="1"/>
  <c r="DM5" i="10" a="1"/>
  <c r="DM5" i="10" s="1"/>
  <c r="DM14" i="10" a="1"/>
  <c r="DM14" i="10" s="1"/>
  <c r="DM8" i="10" a="1"/>
  <c r="DM8" i="10" s="1"/>
  <c r="DM13" i="10" a="1"/>
  <c r="DM13" i="10" s="1"/>
  <c r="BA26" i="12" l="1"/>
  <c r="AZ27" i="12"/>
  <c r="BA27" i="12" l="1"/>
  <c r="AZ29" i="12"/>
  <c r="AZ30" i="12" l="1"/>
  <c r="BA30" i="12" l="1"/>
  <c r="AZ33" i="12"/>
  <c r="AZ34" i="12" l="1"/>
  <c r="BA34" i="12" l="1"/>
  <c r="AZ37" i="12"/>
  <c r="AZ38" i="12" l="1"/>
  <c r="BA38" i="12" l="1"/>
  <c r="AZ39" i="12"/>
  <c r="BA39" i="12" l="1"/>
  <c r="AZ40" i="12"/>
  <c r="AZ41" i="12" l="1"/>
  <c r="BA41" i="12" l="1"/>
  <c r="AZ43" i="12"/>
  <c r="AZ44" i="12" l="1"/>
  <c r="BA44" i="12" l="1"/>
  <c r="AZ45" i="12"/>
  <c r="AZ46" i="12" l="1"/>
  <c r="BA46" i="12" l="1"/>
  <c r="AZ48" i="12"/>
  <c r="AZ49" i="12" l="1"/>
  <c r="BA49" i="12" l="1"/>
  <c r="AZ50" i="12"/>
  <c r="BA50" i="12" l="1"/>
  <c r="AZ51" i="12"/>
  <c r="BA51" i="12" l="1"/>
  <c r="AZ52" i="12"/>
  <c r="BA52" i="12" l="1"/>
  <c r="AZ53" i="12"/>
  <c r="BA53" i="12" l="1"/>
  <c r="AZ54" i="12"/>
  <c r="BA54" i="12" l="1"/>
  <c r="AZ57" i="12"/>
  <c r="AZ58" i="12" l="1"/>
  <c r="BA58" i="12" l="1"/>
  <c r="AZ59" i="12"/>
  <c r="BA59" i="12" l="1"/>
  <c r="AZ60" i="12"/>
  <c r="BA60" i="12" l="1"/>
  <c r="AZ61" i="12"/>
  <c r="BA61" i="12" l="1"/>
  <c r="AZ62" i="12"/>
  <c r="AZ63" i="12" l="1"/>
  <c r="BA63" i="12" l="1"/>
  <c r="AZ64" i="12"/>
  <c r="BA64" i="12" l="1"/>
  <c r="AZ65" i="12"/>
  <c r="BA65" i="12" l="1"/>
  <c r="AZ67" i="12"/>
  <c r="BA67" i="12" l="1"/>
  <c r="AZ68" i="12"/>
  <c r="BA68" i="12" l="1"/>
  <c r="AZ69" i="12"/>
  <c r="BA69" i="12" l="1"/>
  <c r="AZ70" i="12"/>
  <c r="BA70" i="12" l="1"/>
  <c r="AZ73" i="12"/>
  <c r="AZ74" i="12" l="1"/>
  <c r="BA74" i="12" l="1"/>
  <c r="AZ75" i="12"/>
  <c r="AZ76" i="12" l="1"/>
  <c r="BA76" i="12" l="1"/>
  <c r="AZ77" i="12"/>
  <c r="AZ78" i="12" l="1"/>
  <c r="BA78" i="12" l="1"/>
  <c r="AZ79" i="12"/>
  <c r="AZ80" i="12" l="1"/>
  <c r="BA80" i="12" l="1"/>
  <c r="AZ81" i="12"/>
  <c r="AZ82" i="12" l="1"/>
  <c r="BA82" i="12" l="1"/>
  <c r="AZ83" i="12"/>
  <c r="BA83" i="12" l="1"/>
  <c r="AZ84" i="12"/>
  <c r="AZ85" i="12" l="1"/>
  <c r="BA85" i="12" l="1"/>
  <c r="AZ89" i="12"/>
  <c r="AZ90" i="12" l="1"/>
  <c r="BA90" i="12" l="1"/>
  <c r="AZ93" i="12"/>
  <c r="BA93" i="12" l="1"/>
  <c r="AZ94" i="12"/>
  <c r="BA94" i="12" l="1"/>
  <c r="AZ95" i="12"/>
  <c r="BA95" i="12" l="1"/>
  <c r="AZ96" i="12"/>
  <c r="BA96" i="12" l="1"/>
  <c r="AZ97" i="12"/>
  <c r="BA97" i="12" l="1"/>
  <c r="AZ98" i="12"/>
  <c r="BA98" i="12" l="1"/>
  <c r="AZ99" i="12"/>
  <c r="BA99" i="12" l="1"/>
  <c r="AZ100" i="12"/>
  <c r="BA100" i="12" l="1"/>
  <c r="AZ102" i="12"/>
  <c r="AZ103" i="12" l="1"/>
  <c r="BA103" i="12" l="1"/>
  <c r="AZ104" i="12"/>
  <c r="BA104" i="12" l="1"/>
  <c r="AZ106" i="12"/>
  <c r="AZ107" i="12" l="1"/>
  <c r="BA107" i="12" l="1"/>
  <c r="AZ108" i="12"/>
  <c r="AZ109" i="12" l="1"/>
  <c r="BA109" i="12" l="1"/>
  <c r="AZ111" i="12"/>
  <c r="BA111" i="12" l="1"/>
  <c r="AZ112" i="12"/>
  <c r="BA112" i="12" l="1"/>
  <c r="AZ113" i="12"/>
  <c r="BA113" i="12" l="1"/>
  <c r="AZ114" i="12"/>
  <c r="BA114" i="12" l="1"/>
  <c r="AZ116" i="12"/>
  <c r="AZ117" i="12" l="1"/>
  <c r="BA117" i="12" l="1"/>
  <c r="AZ118" i="12"/>
  <c r="BA118" i="12" l="1"/>
  <c r="AZ119" i="12"/>
  <c r="AZ120" i="12" l="1"/>
  <c r="BA120" i="12" l="1"/>
  <c r="AZ122" i="12"/>
  <c r="AZ123" i="12" l="1"/>
  <c r="BA123" i="12" l="1"/>
  <c r="AZ124" i="12"/>
  <c r="BA124" i="12" l="1"/>
  <c r="AZ125" i="12"/>
  <c r="BA125" i="12" l="1"/>
  <c r="AZ126" i="12"/>
  <c r="AZ127" i="12" l="1"/>
  <c r="BA127" i="12" l="1"/>
  <c r="AZ128" i="12"/>
  <c r="BA128" i="12" l="1"/>
  <c r="AZ129" i="12"/>
  <c r="AZ130" i="12" l="1"/>
  <c r="BA130" i="12" l="1"/>
  <c r="AZ131" i="12"/>
  <c r="BA131" i="12" l="1"/>
  <c r="AZ132" i="12"/>
  <c r="AZ133" i="12" l="1"/>
  <c r="BA133" i="12" l="1"/>
  <c r="AZ134" i="12"/>
  <c r="AZ135" i="12" l="1"/>
  <c r="BA135" i="12" l="1"/>
  <c r="AZ136" i="12"/>
  <c r="BA136" i="12" l="1"/>
  <c r="AZ137" i="12"/>
  <c r="AZ138" i="12" l="1"/>
  <c r="BA138" i="12" l="1"/>
  <c r="AZ140" i="12"/>
  <c r="AZ141" i="12" l="1"/>
  <c r="BA141" i="12" l="1"/>
  <c r="AZ142" i="12"/>
  <c r="BA142" i="12" l="1"/>
  <c r="AZ144" i="12"/>
  <c r="AZ145" i="12" l="1"/>
  <c r="BA145" i="12" l="1"/>
  <c r="AZ146" i="12"/>
  <c r="AZ147" i="12" l="1"/>
  <c r="BA147" i="12" l="1"/>
  <c r="AZ148" i="12"/>
  <c r="BA148" i="12" l="1"/>
  <c r="AZ149" i="12"/>
  <c r="BA149" i="12" l="1"/>
  <c r="AZ150" i="12"/>
  <c r="BA150" i="12" l="1"/>
  <c r="AZ151" i="12"/>
  <c r="BA151" i="12" l="1"/>
  <c r="AZ152" i="12"/>
  <c r="BA152" i="12" l="1"/>
  <c r="AZ153" i="12"/>
  <c r="BA153" i="12" l="1"/>
  <c r="AZ154" i="12"/>
  <c r="BA154" i="12" l="1"/>
  <c r="AZ155" i="12"/>
  <c r="BA155" i="12" l="1"/>
  <c r="AZ156" i="12"/>
  <c r="BA156" i="12" l="1"/>
  <c r="AZ160" i="12"/>
  <c r="AZ161" i="12" l="1"/>
  <c r="BA161" i="12" l="1"/>
  <c r="AZ162" i="12"/>
  <c r="AZ163" i="12" l="1"/>
  <c r="BA163" i="12" l="1"/>
  <c r="AZ164" i="12"/>
  <c r="BA164" i="12" l="1"/>
  <c r="AZ165" i="12"/>
  <c r="BA165" i="12" l="1"/>
  <c r="AZ166" i="12"/>
  <c r="BA166" i="12" l="1"/>
  <c r="AZ167" i="12"/>
  <c r="AZ168" i="12" l="1"/>
  <c r="BA168" i="12" l="1"/>
  <c r="AZ169" i="12"/>
  <c r="AZ170" i="12" l="1"/>
  <c r="BA170" i="12" l="1"/>
  <c r="AZ171" i="12"/>
  <c r="BA171" i="12" l="1"/>
  <c r="AZ172" i="12"/>
  <c r="BA172" i="12" l="1"/>
  <c r="AZ173" i="12"/>
  <c r="BA173" i="12" l="1"/>
  <c r="AZ176" i="12"/>
  <c r="AZ177" i="12" l="1"/>
  <c r="BA177" i="12" l="1"/>
  <c r="AZ178" i="12"/>
  <c r="AZ179" i="12" l="1"/>
  <c r="BA179" i="12" l="1"/>
  <c r="AZ180" i="12"/>
  <c r="BA180" i="12" l="1"/>
  <c r="AZ181" i="12"/>
  <c r="BA181" i="12" l="1"/>
  <c r="AZ182" i="12"/>
  <c r="BA182" i="12" l="1"/>
  <c r="AZ183" i="12"/>
  <c r="BA183" i="12" l="1"/>
  <c r="AZ184" i="12"/>
  <c r="BA184" i="12" l="1"/>
  <c r="AZ185" i="12"/>
  <c r="BA185" i="12" l="1"/>
  <c r="AZ186" i="12"/>
  <c r="BA186" i="12" l="1"/>
  <c r="AZ192" i="12"/>
  <c r="BA192" i="12" l="1"/>
  <c r="AZ193" i="12"/>
  <c r="BA193" i="12" l="1"/>
  <c r="AZ194" i="12"/>
  <c r="BA194" i="12" l="1"/>
  <c r="AZ195" i="12"/>
  <c r="AZ196" i="12" l="1"/>
  <c r="BA196" i="12" l="1"/>
  <c r="AZ197" i="12"/>
  <c r="BA197" i="12" l="1"/>
  <c r="AZ198" i="12"/>
  <c r="BA198" i="12" l="1"/>
  <c r="AZ199" i="12"/>
  <c r="BA199" i="12" l="1"/>
  <c r="AZ200" i="12"/>
  <c r="BA200" i="12" l="1"/>
  <c r="AZ201" i="12"/>
  <c r="BA201" i="12" l="1"/>
  <c r="AZ202" i="12"/>
  <c r="BA202" i="12" l="1"/>
  <c r="AZ203" i="12"/>
  <c r="BA203" i="12" l="1"/>
  <c r="AZ204" i="12"/>
  <c r="BA204" i="12" l="1"/>
  <c r="AZ205" i="12"/>
  <c r="BA205" i="12" l="1"/>
  <c r="AZ206" i="12"/>
  <c r="BA206" i="12" l="1"/>
  <c r="AZ207" i="12"/>
  <c r="BA207" i="12" l="1"/>
  <c r="AZ208" i="12"/>
  <c r="BA208" i="12" l="1"/>
  <c r="AZ209" i="12"/>
  <c r="BA209" i="12" l="1"/>
  <c r="AZ210" i="12"/>
  <c r="BA210" i="12" l="1"/>
  <c r="AZ211" i="12"/>
  <c r="BA211" i="12" l="1"/>
  <c r="AZ212" i="12"/>
  <c r="BA212" i="12" l="1"/>
  <c r="AZ213" i="12"/>
  <c r="BA213" i="12" l="1"/>
  <c r="AZ214" i="12"/>
  <c r="AZ215" i="12" l="1"/>
  <c r="BA215" i="12" l="1"/>
  <c r="AZ216" i="12"/>
  <c r="AZ217" i="12" l="1"/>
  <c r="BA217" i="12" l="1"/>
  <c r="AZ219" i="12"/>
  <c r="AZ220" i="12" l="1"/>
  <c r="BA220" i="12" l="1"/>
  <c r="AZ221" i="12"/>
  <c r="BA221" i="12" l="1"/>
  <c r="AZ222" i="12"/>
  <c r="AZ223" i="12" l="1"/>
  <c r="BA223" i="12" l="1"/>
  <c r="AZ224" i="12"/>
  <c r="BA224" i="12" l="1"/>
  <c r="AZ225" i="12"/>
  <c r="AZ226" i="12" l="1"/>
  <c r="BA226" i="12" l="1"/>
  <c r="AZ227" i="12"/>
  <c r="AZ228" i="12" l="1"/>
  <c r="BA228" i="12" l="1"/>
  <c r="AZ229" i="12"/>
  <c r="AZ230" i="12" l="1"/>
  <c r="BA230" i="12" l="1"/>
  <c r="AZ231" i="12"/>
  <c r="AZ232" i="12" l="1"/>
  <c r="BA232" i="12" l="1"/>
  <c r="AZ233" i="12"/>
  <c r="BA233" i="12" l="1"/>
  <c r="AZ234" i="12"/>
  <c r="BA234" i="12" l="1"/>
  <c r="AZ235" i="12"/>
  <c r="BA235" i="12" l="1"/>
  <c r="AZ236" i="12"/>
  <c r="BA236" i="12" l="1"/>
  <c r="AZ237" i="12"/>
  <c r="BA237" i="12" l="1"/>
  <c r="AZ238" i="12"/>
  <c r="AZ239" i="12" l="1"/>
  <c r="BA239" i="12" l="1"/>
  <c r="AZ240" i="12"/>
  <c r="BA240" i="12" l="1"/>
  <c r="AZ241" i="12"/>
  <c r="BA241" i="12" l="1"/>
  <c r="AZ242" i="12"/>
  <c r="AZ243" i="12" l="1"/>
  <c r="BA243" i="12" l="1"/>
  <c r="AZ244" i="12"/>
  <c r="BA244" i="12" l="1"/>
  <c r="AZ245" i="12"/>
  <c r="AZ246" i="12" l="1"/>
  <c r="BA246" i="12" l="1"/>
  <c r="AZ247" i="12"/>
  <c r="AZ248" i="12" l="1"/>
  <c r="BA248" i="12" l="1"/>
  <c r="AZ251" i="12"/>
  <c r="AZ252" i="12" l="1"/>
  <c r="BA252" i="12" l="1"/>
  <c r="AZ256" i="12"/>
  <c r="AZ257" i="12" l="1"/>
  <c r="BA257" i="12" l="1"/>
  <c r="AZ258" i="12"/>
  <c r="AZ259" i="12" l="1"/>
  <c r="BA259" i="12" l="1"/>
  <c r="AZ260" i="12"/>
  <c r="AZ261" i="12" l="1"/>
  <c r="BA261" i="12" l="1"/>
  <c r="AZ262" i="12"/>
  <c r="AZ263" i="12" l="1"/>
  <c r="BA263" i="12" l="1"/>
  <c r="AZ264" i="12"/>
  <c r="BA264" i="12" l="1"/>
  <c r="AZ265" i="12"/>
  <c r="AZ266" i="12" l="1"/>
  <c r="BA266" i="12" l="1"/>
  <c r="AZ268" i="12"/>
  <c r="AZ269" i="12" l="1"/>
  <c r="BA269" i="12" l="1"/>
  <c r="AZ270" i="12"/>
  <c r="BA270" i="12" l="1"/>
  <c r="AZ271" i="12"/>
  <c r="AZ272" i="12" l="1"/>
  <c r="BA272" i="12" l="1"/>
  <c r="AZ273" i="12"/>
  <c r="BA273" i="12" l="1"/>
  <c r="AZ274" i="12"/>
  <c r="BA274" i="12" l="1"/>
  <c r="AZ275" i="12"/>
  <c r="BA275" i="12" l="1"/>
  <c r="AZ276" i="12"/>
  <c r="BA276" i="12" l="1"/>
  <c r="AZ277" i="12"/>
  <c r="BA277" i="12" l="1"/>
  <c r="AZ278" i="12"/>
  <c r="BA278" i="12" l="1"/>
  <c r="AZ279" i="12"/>
  <c r="BA279" i="12" l="1"/>
  <c r="AZ280" i="12"/>
  <c r="BA280" i="12" l="1"/>
  <c r="AZ281" i="12"/>
  <c r="BA281" i="12" l="1"/>
  <c r="AZ282" i="12"/>
  <c r="BA282" i="12" l="1"/>
  <c r="AZ283" i="12"/>
  <c r="AZ284" i="12" l="1"/>
  <c r="BA284" i="12" l="1"/>
  <c r="AZ286" i="12"/>
  <c r="AZ287" i="12" l="1"/>
  <c r="BA287" i="12" l="1"/>
  <c r="AZ288" i="12"/>
  <c r="BA288" i="12" l="1"/>
  <c r="AZ289" i="12"/>
  <c r="BA289" i="12" l="1"/>
  <c r="AZ290" i="12"/>
  <c r="BA290" i="12" l="1"/>
  <c r="AZ291" i="12"/>
  <c r="BA291" i="12" l="1"/>
  <c r="AZ292" i="12"/>
  <c r="BA292" i="12" l="1"/>
  <c r="AZ293" i="12"/>
  <c r="BA293" i="12" l="1"/>
  <c r="AZ294" i="12"/>
  <c r="BA294" i="12" l="1"/>
  <c r="AZ295" i="12"/>
  <c r="BA295" i="12" l="1"/>
  <c r="AZ296" i="12"/>
  <c r="BA296" i="12" l="1"/>
  <c r="AZ297" i="12"/>
  <c r="BA297" i="12" l="1"/>
  <c r="AZ298" i="12"/>
  <c r="BA298" i="12" l="1"/>
  <c r="AZ299" i="12"/>
  <c r="BA299" i="12" l="1"/>
  <c r="AZ300" i="12"/>
  <c r="BA300" i="12" l="1"/>
  <c r="AZ301" i="12"/>
  <c r="BA301" i="12" l="1"/>
  <c r="AZ302" i="12"/>
  <c r="BA302" i="12" l="1"/>
  <c r="AZ303" i="12"/>
  <c r="BA303" i="12" l="1"/>
  <c r="AZ304" i="12"/>
  <c r="BA304" i="12" l="1"/>
  <c r="AZ305" i="12"/>
  <c r="BA305" i="12" l="1"/>
  <c r="AZ306" i="12"/>
  <c r="BA306" i="12" l="1"/>
  <c r="AZ307" i="12"/>
  <c r="AZ308" i="12" l="1"/>
  <c r="BA308" i="12" l="1"/>
  <c r="AZ309" i="12"/>
  <c r="BA309" i="12" l="1"/>
  <c r="AZ310" i="12"/>
  <c r="BA310" i="12" l="1"/>
  <c r="AZ311" i="12"/>
  <c r="BA311" i="12" l="1"/>
  <c r="AZ312" i="12"/>
  <c r="BA312" i="12" l="1"/>
  <c r="AZ313" i="12"/>
  <c r="BA313" i="12" l="1"/>
  <c r="AZ314" i="12"/>
  <c r="BA314" i="12" l="1"/>
  <c r="AZ315" i="12"/>
  <c r="BA315" i="12" l="1"/>
  <c r="AZ316" i="12"/>
  <c r="BA316" i="12" l="1"/>
  <c r="AZ317" i="12"/>
  <c r="BA317" i="12" l="1"/>
  <c r="AZ318" i="12"/>
  <c r="BA318" i="12" l="1"/>
  <c r="AZ319" i="12"/>
  <c r="BA319" i="12" l="1"/>
  <c r="AZ320" i="12"/>
  <c r="BA320" i="12" l="1"/>
  <c r="AZ321" i="12"/>
  <c r="BA321" i="12" l="1"/>
  <c r="AZ322" i="12"/>
  <c r="BA322" i="12" l="1"/>
  <c r="AZ323" i="12"/>
  <c r="BA323" i="12" l="1"/>
  <c r="AZ324" i="12"/>
  <c r="BA324" i="12" l="1"/>
  <c r="AZ325" i="12"/>
  <c r="BA325" i="12" l="1"/>
  <c r="AZ326" i="12"/>
  <c r="BA326" i="12" l="1"/>
  <c r="AZ327" i="12"/>
  <c r="BA327" i="12" l="1"/>
  <c r="AZ328" i="12"/>
  <c r="BA328" i="12" l="1"/>
  <c r="AZ329" i="12"/>
  <c r="BA329" i="12" l="1"/>
  <c r="AZ330" i="12"/>
  <c r="BA330" i="12" l="1"/>
  <c r="AZ331" i="12"/>
  <c r="BA331" i="12" l="1"/>
  <c r="AZ332" i="12"/>
  <c r="BA332" i="12" l="1"/>
  <c r="AZ333" i="12"/>
  <c r="BA333" i="12" l="1"/>
  <c r="AZ334" i="12"/>
  <c r="BA334" i="12" l="1"/>
  <c r="AZ335" i="12"/>
  <c r="BA335" i="12" l="1"/>
  <c r="AZ336" i="12"/>
  <c r="BA336" i="12" l="1"/>
  <c r="AZ337" i="12"/>
  <c r="BA337" i="12" l="1"/>
  <c r="AZ338" i="12"/>
  <c r="BA338" i="12" l="1"/>
  <c r="AZ339" i="12"/>
  <c r="BA339" i="12" l="1"/>
  <c r="AZ340" i="12"/>
  <c r="BA340" i="12" l="1"/>
  <c r="AZ341" i="12"/>
  <c r="BA341" i="12" l="1"/>
  <c r="AZ342" i="12"/>
  <c r="BA342" i="12" l="1"/>
  <c r="AZ343" i="12"/>
  <c r="BA343" i="12" l="1"/>
  <c r="AZ344" i="12"/>
  <c r="BA344" i="12" l="1"/>
  <c r="AZ345" i="12"/>
  <c r="BA345" i="12" l="1"/>
  <c r="AZ346" i="12"/>
  <c r="BA346" i="12" l="1"/>
  <c r="AZ347" i="12"/>
  <c r="AZ348" i="12" l="1"/>
  <c r="BA348" i="12" l="1"/>
  <c r="AZ351" i="12"/>
  <c r="AZ352" i="12" l="1"/>
  <c r="BA352" i="12" l="1"/>
  <c r="AZ353" i="12"/>
  <c r="AZ354" i="12" l="1"/>
  <c r="BA354" i="12" l="1"/>
  <c r="AZ355" i="12"/>
  <c r="AZ356" i="12" l="1"/>
  <c r="BA356" i="12" l="1"/>
  <c r="AZ357" i="12"/>
  <c r="BA357" i="12" l="1"/>
  <c r="AZ358" i="12"/>
  <c r="AZ359" i="12" l="1"/>
  <c r="BA359" i="12" l="1"/>
  <c r="AZ360" i="12"/>
  <c r="BA360" i="12" l="1"/>
  <c r="AZ361" i="12"/>
  <c r="AZ362" i="12" l="1"/>
  <c r="BA362" i="12" l="1"/>
  <c r="AZ363" i="12"/>
  <c r="AZ364" i="12" l="1"/>
  <c r="BA364" i="12" l="1"/>
  <c r="AZ369" i="12"/>
  <c r="AZ370" i="12" l="1"/>
  <c r="BA370" i="12" l="1"/>
  <c r="AZ371" i="12"/>
  <c r="BA371" i="12" l="1"/>
  <c r="AZ372" i="12"/>
  <c r="AZ373" i="12" l="1"/>
  <c r="BA373" i="12" l="1"/>
  <c r="AZ374" i="12"/>
  <c r="AZ375" i="12" l="1"/>
  <c r="BA375" i="12" l="1"/>
  <c r="AZ376" i="12"/>
  <c r="AZ377" i="12" l="1"/>
  <c r="BA377" i="12" l="1"/>
  <c r="AZ378" i="12"/>
  <c r="AZ379" i="12" l="1"/>
  <c r="BA379" i="12" l="1"/>
  <c r="AZ380" i="12"/>
  <c r="AZ381" i="12" l="1"/>
  <c r="BA381" i="12" l="1"/>
  <c r="AZ382" i="12"/>
  <c r="AZ383" i="12" l="1"/>
  <c r="BA383" i="12" l="1"/>
  <c r="AZ384" i="12"/>
  <c r="BA384" i="12" l="1"/>
  <c r="AZ385" i="12"/>
  <c r="AZ386" i="12" l="1"/>
  <c r="BA386" i="12" l="1"/>
  <c r="AZ387" i="12"/>
  <c r="AZ388" i="12" l="1"/>
  <c r="BA388" i="12" l="1"/>
  <c r="AZ391" i="12"/>
  <c r="AZ392" i="12" l="1"/>
  <c r="BA392" i="12" l="1"/>
  <c r="AZ395" i="12"/>
  <c r="AZ396" i="12" l="1"/>
  <c r="BA396" i="12" l="1"/>
  <c r="AZ397" i="12"/>
  <c r="AZ398" i="12" l="1"/>
  <c r="BA398" i="12" l="1"/>
  <c r="AZ399" i="12"/>
  <c r="BA399" i="12" l="1"/>
  <c r="AZ400" i="12"/>
  <c r="BA400" i="12" l="1"/>
  <c r="AZ401" i="12"/>
  <c r="BA401" i="12" l="1"/>
  <c r="AZ402" i="12"/>
  <c r="AZ403" i="12" l="1"/>
  <c r="BA403" i="12" l="1"/>
  <c r="AZ404" i="12"/>
  <c r="BA404" i="12" l="1"/>
  <c r="AZ405" i="12"/>
  <c r="AZ406" i="12" l="1"/>
  <c r="BA406" i="12" l="1"/>
  <c r="AZ407" i="12"/>
  <c r="BA407" i="12" l="1"/>
  <c r="AZ408" i="12"/>
  <c r="AZ409" i="12" l="1"/>
  <c r="BA409" i="12" l="1"/>
  <c r="AZ410" i="12"/>
  <c r="BA410" i="12" l="1"/>
  <c r="AZ411" i="12"/>
  <c r="AZ412" i="12" l="1"/>
  <c r="BA412" i="12" l="1"/>
  <c r="AZ414" i="12"/>
  <c r="AZ415" i="12" l="1"/>
  <c r="BA415" i="12" l="1"/>
  <c r="AZ416" i="12"/>
  <c r="BA416" i="12" l="1"/>
  <c r="AZ417" i="12"/>
  <c r="BA417" i="12" l="1"/>
  <c r="AZ418" i="12"/>
  <c r="AZ419" i="12" l="1"/>
  <c r="BA419" i="12" l="1"/>
  <c r="AZ420" i="12"/>
  <c r="BA420" i="12" l="1"/>
  <c r="AZ435" i="12"/>
  <c r="BA435" i="12" l="1"/>
  <c r="AZ436" i="12"/>
  <c r="BA436" i="12" l="1"/>
  <c r="AZ437" i="12"/>
  <c r="BA437" i="12" l="1"/>
  <c r="AZ438" i="12"/>
  <c r="AZ439" i="12" l="1"/>
  <c r="BA439" i="12" l="1"/>
  <c r="AZ440" i="12"/>
  <c r="BA440" i="12" l="1"/>
  <c r="AZ441" i="12"/>
  <c r="BA441" i="12" l="1"/>
  <c r="AZ442" i="12"/>
  <c r="BA442" i="12" l="1"/>
  <c r="AZ443" i="12"/>
  <c r="AZ444" i="12" l="1"/>
  <c r="BA444" i="12" l="1"/>
  <c r="AZ445" i="12"/>
  <c r="BA445" i="12" l="1"/>
  <c r="AZ446" i="12"/>
  <c r="AZ447" i="12" l="1"/>
  <c r="BA447" i="12" l="1"/>
  <c r="AZ448" i="12"/>
  <c r="BA448" i="12" l="1"/>
  <c r="AZ449" i="12"/>
  <c r="AZ450" i="12" l="1"/>
  <c r="BA450" i="12" l="1"/>
  <c r="AZ451" i="12"/>
  <c r="BA451" i="12" l="1"/>
  <c r="AZ452" i="12"/>
  <c r="AZ453" i="12" l="1"/>
  <c r="BA453" i="12" l="1"/>
  <c r="AZ454" i="12"/>
  <c r="AZ455" i="12" l="1"/>
  <c r="BA455" i="12" l="1"/>
  <c r="AZ456" i="12"/>
  <c r="BA456" i="12" l="1"/>
  <c r="AZ457" i="12"/>
  <c r="BA457" i="12" l="1"/>
  <c r="AZ458" i="12"/>
  <c r="AZ459" i="12" l="1"/>
  <c r="BA459" i="12" l="1"/>
  <c r="AZ460" i="12"/>
  <c r="BA460" i="12" l="1"/>
  <c r="AZ461" i="12"/>
  <c r="BA461" i="12" l="1"/>
  <c r="AZ462" i="12"/>
  <c r="AZ463" i="12" l="1"/>
  <c r="BA463" i="12" l="1"/>
  <c r="AZ464" i="12"/>
  <c r="BA464" i="12" l="1"/>
  <c r="AZ465" i="12"/>
  <c r="BA465" i="12" l="1"/>
  <c r="AZ467" i="12"/>
  <c r="AZ468" i="12" l="1"/>
  <c r="BA468" i="12" l="1"/>
  <c r="AZ469" i="12"/>
  <c r="BA469" i="12" l="1"/>
  <c r="AZ471" i="12"/>
  <c r="AZ472" i="12" l="1"/>
  <c r="BA472" i="12" l="1"/>
  <c r="AZ473" i="12"/>
  <c r="AZ474" i="12" l="1"/>
  <c r="BA474" i="12" l="1"/>
  <c r="AZ475" i="12"/>
  <c r="BA475" i="12" l="1"/>
  <c r="AZ477" i="12"/>
  <c r="AZ478" i="12" l="1"/>
  <c r="BA478" i="12" l="1"/>
  <c r="AZ479" i="12"/>
  <c r="BA479" i="12" l="1"/>
  <c r="AZ480" i="12"/>
  <c r="AZ481" i="12" l="1"/>
  <c r="BA481" i="12" l="1"/>
  <c r="AZ486" i="12"/>
  <c r="AZ487" i="12" l="1"/>
  <c r="BA487" i="12" l="1"/>
  <c r="AZ490" i="12"/>
  <c r="AZ491" i="12" l="1"/>
  <c r="BA491" i="12" l="1"/>
  <c r="AZ492" i="12"/>
  <c r="BA492" i="12" l="1"/>
  <c r="AZ494" i="12"/>
  <c r="AZ495" i="12" l="1"/>
  <c r="BA495" i="12" l="1"/>
  <c r="AZ496" i="12"/>
  <c r="BA496" i="12" l="1"/>
  <c r="AZ497" i="12"/>
  <c r="BA497" i="12" l="1"/>
  <c r="AZ498" i="12"/>
  <c r="BA498" i="12" l="1"/>
  <c r="AZ499" i="12"/>
  <c r="BA499" i="12" l="1"/>
  <c r="AZ500" i="12"/>
  <c r="BA500" i="12" l="1"/>
  <c r="AZ501" i="12"/>
  <c r="BA501" i="12" l="1"/>
  <c r="AZ502" i="12"/>
  <c r="AZ503" i="12" l="1"/>
  <c r="BA503" i="12" l="1"/>
  <c r="AZ504" i="12"/>
  <c r="BA504" i="12" l="1"/>
  <c r="AZ505" i="12"/>
  <c r="BA505" i="12" l="1"/>
  <c r="AZ506" i="12"/>
  <c r="BA506" i="12" l="1"/>
  <c r="AZ508" i="12"/>
  <c r="AZ509" i="12" l="1"/>
  <c r="BA509" i="12" l="1"/>
  <c r="AZ510" i="12"/>
  <c r="AZ511" i="12" l="1"/>
  <c r="BA511" i="12" l="1"/>
  <c r="AZ512" i="12"/>
  <c r="BA512" i="12" l="1"/>
  <c r="AZ513" i="12"/>
  <c r="BA513" i="12" l="1"/>
  <c r="AZ515" i="12"/>
  <c r="BA515" i="12" l="1"/>
  <c r="AZ516" i="12"/>
  <c r="BA516" i="12" l="1"/>
  <c r="AZ517" i="12"/>
  <c r="BA517" i="12" l="1"/>
  <c r="AZ518" i="12"/>
  <c r="BA518" i="12" l="1"/>
  <c r="AZ519" i="12"/>
  <c r="AZ520" i="12" l="1"/>
  <c r="BA520" i="12" l="1"/>
  <c r="AZ521" i="12"/>
  <c r="BA521" i="12" l="1"/>
  <c r="AZ522" i="12"/>
  <c r="BA522" i="12" l="1"/>
  <c r="AZ523" i="12"/>
  <c r="BA523" i="12" l="1"/>
  <c r="AZ525" i="12"/>
  <c r="AZ526" i="12" l="1"/>
  <c r="BA526" i="12" l="1"/>
  <c r="AZ527" i="12"/>
  <c r="BA527" i="12" l="1"/>
  <c r="AZ528" i="12"/>
  <c r="BA528" i="12" l="1"/>
  <c r="AZ529" i="12"/>
  <c r="BA529" i="12" l="1"/>
  <c r="AZ530" i="12"/>
  <c r="BA530" i="12" l="1"/>
  <c r="AZ531" i="12"/>
  <c r="BA531" i="12" l="1"/>
  <c r="AZ532" i="12"/>
  <c r="BA532" i="12" l="1"/>
  <c r="AZ533" i="12"/>
  <c r="AZ534" i="12" l="1"/>
  <c r="BA534" i="12" l="1"/>
  <c r="AZ535" i="12"/>
  <c r="BA535" i="12" l="1"/>
  <c r="AZ536" i="12"/>
  <c r="AZ537" i="12" l="1"/>
  <c r="BA537" i="12" l="1"/>
  <c r="AZ538" i="12"/>
  <c r="BA538" i="12" l="1"/>
  <c r="AZ539" i="12"/>
  <c r="AZ540" i="12" l="1"/>
  <c r="BA540" i="12" l="1"/>
  <c r="AZ541" i="12"/>
  <c r="AZ542" i="12" l="1"/>
  <c r="BA542" i="12" l="1"/>
  <c r="AZ543" i="12"/>
  <c r="BA543" i="12" l="1"/>
  <c r="AZ544" i="12"/>
  <c r="BA544" i="12" l="1"/>
  <c r="AZ545" i="12"/>
  <c r="BA545" i="12" l="1"/>
  <c r="AZ546" i="12"/>
  <c r="BA546" i="12" l="1"/>
  <c r="AZ547" i="12"/>
  <c r="AZ548" i="12" l="1"/>
  <c r="BA548" i="12" l="1"/>
  <c r="AZ549" i="12"/>
  <c r="BA549" i="12" l="1"/>
  <c r="AZ550" i="12"/>
  <c r="BA550" i="12" l="1"/>
  <c r="AZ551" i="12"/>
  <c r="BA551" i="12" l="1"/>
  <c r="AZ553" i="12"/>
  <c r="AZ554" i="12" l="1"/>
  <c r="BA554" i="12" l="1"/>
  <c r="AZ555" i="12"/>
  <c r="BA555" i="12" l="1"/>
  <c r="AZ556" i="12"/>
  <c r="BA556" i="12" l="1"/>
  <c r="AZ557" i="12"/>
  <c r="BA557" i="12" l="1"/>
  <c r="AZ558" i="12"/>
  <c r="BA558" i="12" l="1"/>
  <c r="AZ559" i="12"/>
  <c r="BA559" i="12" l="1"/>
  <c r="AZ560" i="12"/>
  <c r="BA560" i="12" l="1"/>
  <c r="AZ561" i="12"/>
  <c r="BA561" i="12" l="1"/>
  <c r="AZ562" i="12"/>
  <c r="AZ563" i="12" l="1"/>
  <c r="BA563" i="12" l="1"/>
  <c r="AZ564" i="12"/>
  <c r="BA564" i="12" l="1"/>
  <c r="AZ565" i="12"/>
  <c r="BA565" i="12" l="1"/>
  <c r="AZ566" i="12"/>
  <c r="BA566" i="12" l="1"/>
  <c r="AZ567" i="12"/>
  <c r="BA567" i="12" l="1"/>
  <c r="AZ568" i="12"/>
  <c r="AZ569" i="12" l="1"/>
  <c r="BA569" i="12" l="1"/>
  <c r="AZ570" i="12"/>
  <c r="AZ571" i="12" l="1"/>
  <c r="BA571" i="12" l="1"/>
  <c r="AZ574" i="12"/>
  <c r="BA574" i="12" l="1"/>
  <c r="AZ576" i="12"/>
  <c r="AZ577" i="12" l="1"/>
  <c r="BA577" i="12" l="1"/>
  <c r="AZ578" i="12"/>
  <c r="AZ579" i="12" l="1"/>
  <c r="BA579" i="12" l="1"/>
  <c r="AZ580" i="12"/>
  <c r="AZ581" i="12" l="1"/>
  <c r="BA581" i="12" l="1"/>
  <c r="AZ582" i="12"/>
  <c r="AZ583" i="12" l="1"/>
  <c r="BA583" i="12" l="1"/>
  <c r="AZ585" i="12"/>
  <c r="AZ586" i="12" l="1"/>
  <c r="BA586" i="12" l="1"/>
  <c r="AZ587" i="12"/>
  <c r="AZ588" i="12" l="1"/>
  <c r="BA588" i="12" l="1"/>
  <c r="AZ590" i="12"/>
  <c r="BA590" i="12" l="1"/>
  <c r="AZ591" i="12"/>
  <c r="BA591" i="12" l="1"/>
  <c r="AZ594" i="12"/>
  <c r="AZ595" i="12" l="1"/>
  <c r="BA595" i="12" l="1"/>
  <c r="AZ598" i="12"/>
  <c r="AZ599" i="12" l="1"/>
  <c r="BA599" i="12" l="1"/>
  <c r="AZ601" i="12"/>
  <c r="AZ602" i="12" l="1"/>
  <c r="BA602" i="12" l="1"/>
  <c r="AZ603" i="12"/>
  <c r="BA603" i="12" l="1"/>
  <c r="AZ604" i="12"/>
  <c r="BA604" i="12" l="1"/>
  <c r="AZ605" i="12"/>
  <c r="BA605" i="12" l="1"/>
  <c r="AZ606" i="12"/>
  <c r="BA606" i="12" l="1"/>
  <c r="AZ607" i="12"/>
  <c r="BA607" i="12" l="1"/>
  <c r="AZ609" i="12"/>
  <c r="AZ610" i="12" l="1"/>
  <c r="BA610" i="12" l="1"/>
  <c r="AZ611" i="12"/>
  <c r="AZ612" i="12" l="1"/>
  <c r="BA612" i="12" l="1"/>
  <c r="AZ613" i="12"/>
  <c r="AZ614" i="12" l="1"/>
  <c r="BA614" i="12" l="1"/>
  <c r="AZ615" i="12"/>
  <c r="AZ616" i="12" l="1"/>
  <c r="BA616" i="12" l="1"/>
  <c r="AZ617" i="12"/>
  <c r="BA617" i="12" l="1"/>
  <c r="AZ618" i="12"/>
  <c r="BA618" i="12" l="1"/>
  <c r="AZ619" i="12"/>
  <c r="BA619" i="12" l="1"/>
  <c r="AZ623" i="12"/>
  <c r="BA623" i="12" l="1"/>
  <c r="AZ624" i="12"/>
  <c r="BA624" i="12" l="1"/>
  <c r="AZ625" i="12"/>
  <c r="AZ626" i="12" l="1"/>
  <c r="BA626" i="12" l="1"/>
  <c r="AZ627" i="12"/>
  <c r="AZ628" i="12" l="1"/>
  <c r="BA628" i="12" l="1"/>
  <c r="AZ629" i="12"/>
  <c r="AZ630" i="12" l="1"/>
  <c r="BA630" i="12" l="1"/>
  <c r="AZ631" i="12"/>
  <c r="AZ632" i="12" l="1"/>
  <c r="BA632" i="12" l="1"/>
  <c r="AZ635" i="12"/>
  <c r="AZ636" i="12" l="1"/>
  <c r="BA636" i="12" l="1"/>
  <c r="AZ637" i="12"/>
  <c r="BA637" i="12" l="1"/>
  <c r="AZ638" i="12"/>
  <c r="AZ639" i="12" l="1"/>
  <c r="BA639" i="12" l="1"/>
  <c r="AZ640" i="12"/>
  <c r="BA640" i="12" l="1"/>
  <c r="AZ641" i="12"/>
  <c r="AZ642" i="12" l="1"/>
  <c r="BA642" i="12" l="1"/>
  <c r="AZ643" i="12"/>
  <c r="BA643" i="12" l="1"/>
  <c r="AZ644" i="12"/>
  <c r="AZ645" i="12" l="1"/>
  <c r="BA645" i="12" l="1"/>
  <c r="AZ646" i="12"/>
  <c r="BA646" i="12" l="1"/>
  <c r="AZ647" i="12"/>
  <c r="BA647" i="12" l="1"/>
  <c r="AZ648" i="12"/>
  <c r="BA648" i="12" l="1"/>
  <c r="AZ649" i="12"/>
  <c r="AZ650" i="12" l="1"/>
  <c r="BA650" i="12" l="1"/>
  <c r="AZ651" i="12"/>
  <c r="AZ652" i="12" l="1"/>
  <c r="BA652" i="12" l="1"/>
  <c r="AZ653" i="12"/>
  <c r="AZ654" i="12" l="1"/>
  <c r="BA654" i="12" l="1"/>
  <c r="AZ655" i="12"/>
  <c r="BA655" i="12" l="1"/>
  <c r="AZ656" i="12"/>
  <c r="BA656" i="12" l="1"/>
  <c r="AZ657" i="12"/>
  <c r="AZ658" i="12" l="1"/>
  <c r="BA658" i="12" l="1"/>
  <c r="AZ659" i="12"/>
  <c r="BA659" i="12" l="1"/>
  <c r="AZ661" i="12"/>
  <c r="AZ662" i="12" l="1"/>
  <c r="BA662" i="12" l="1"/>
  <c r="AZ663" i="12"/>
  <c r="BA663" i="12" l="1"/>
  <c r="AZ664" i="12"/>
  <c r="BA664" i="12" l="1"/>
  <c r="AZ665" i="12"/>
  <c r="BA665" i="12" l="1"/>
  <c r="AZ666" i="12"/>
  <c r="AZ667" i="12" l="1"/>
  <c r="BA667" i="12" l="1"/>
  <c r="AZ668" i="12"/>
  <c r="BA668" i="12" l="1"/>
  <c r="AZ669" i="12"/>
  <c r="BA669" i="12" l="1"/>
  <c r="AZ673" i="12"/>
  <c r="AZ674" i="12" l="1"/>
  <c r="BA674" i="12" l="1"/>
  <c r="AZ679" i="12"/>
  <c r="AZ680" i="12" l="1"/>
  <c r="BA680" i="12" l="1"/>
  <c r="AZ681" i="12"/>
  <c r="BA681" i="12" l="1"/>
  <c r="AZ682" i="12"/>
  <c r="AZ683" i="12" l="1"/>
  <c r="BA683" i="12" l="1"/>
  <c r="AZ684" i="12"/>
  <c r="BA684" i="12" l="1"/>
  <c r="AZ685" i="12"/>
  <c r="BA685" i="12" l="1"/>
  <c r="AZ686" i="12"/>
  <c r="AZ687" i="12" l="1"/>
  <c r="BA687" i="12" l="1"/>
  <c r="AZ688" i="12"/>
  <c r="BA688" i="12" l="1"/>
  <c r="AZ689" i="12"/>
  <c r="AZ690" i="12" l="1"/>
  <c r="BA690" i="12" l="1"/>
  <c r="AZ691" i="12"/>
  <c r="BA691" i="12" l="1"/>
  <c r="AZ692" i="12"/>
  <c r="BA692" i="12" l="1"/>
  <c r="AZ694" i="12"/>
  <c r="AZ695" i="12" l="1"/>
  <c r="BA695" i="12" l="1"/>
  <c r="AZ696" i="12"/>
  <c r="AZ697" i="12" l="1"/>
  <c r="BA697" i="12" l="1"/>
  <c r="AZ698" i="12"/>
  <c r="BA698" i="12" l="1"/>
  <c r="AZ699" i="12"/>
  <c r="BA699" i="12" l="1"/>
  <c r="AZ700" i="12"/>
  <c r="BA700" i="12" l="1"/>
  <c r="AZ701" i="12"/>
  <c r="BA701" i="12" l="1"/>
  <c r="AZ702" i="12"/>
  <c r="BA702" i="12" l="1"/>
  <c r="AZ703" i="12"/>
  <c r="BA703" i="12" l="1"/>
  <c r="AZ704" i="12"/>
  <c r="BA704" i="12" l="1"/>
  <c r="AZ705" i="12"/>
  <c r="BA705" i="12" l="1"/>
  <c r="AZ706" i="12"/>
  <c r="BA706" i="12" l="1"/>
  <c r="AZ707" i="12"/>
  <c r="AZ708" i="12" l="1"/>
  <c r="BA708" i="12" l="1"/>
  <c r="AZ710" i="12"/>
  <c r="AZ711" i="12" l="1"/>
  <c r="BA711" i="12" l="1"/>
  <c r="AZ712" i="12"/>
  <c r="AZ713" i="12" l="1"/>
  <c r="BA713" i="12" l="1"/>
  <c r="AZ714" i="12"/>
  <c r="BA714" i="12" l="1"/>
  <c r="AZ716" i="12"/>
  <c r="AZ717" i="12" l="1"/>
  <c r="BA717" i="12" l="1"/>
  <c r="AZ718" i="12"/>
  <c r="BA718" i="12" l="1"/>
  <c r="AZ719" i="12"/>
  <c r="AZ720" i="12" l="1"/>
  <c r="BA720" i="12" l="1"/>
  <c r="AZ721" i="12"/>
  <c r="AZ722" i="12" l="1"/>
  <c r="BA722" i="12" l="1"/>
  <c r="AZ726" i="12"/>
  <c r="AZ727" i="12" l="1"/>
  <c r="BA727" i="12" l="1"/>
  <c r="AZ728" i="12"/>
  <c r="AZ729" i="12" l="1"/>
  <c r="BA729" i="12" l="1"/>
  <c r="AZ730" i="12"/>
  <c r="BA730" i="12" l="1"/>
  <c r="AZ731" i="12"/>
  <c r="AZ732" i="12" l="1"/>
  <c r="BA732" i="12" l="1"/>
  <c r="AZ734" i="12"/>
  <c r="AZ735" i="12" l="1"/>
  <c r="BA735" i="12" l="1"/>
  <c r="AZ736" i="12"/>
  <c r="AZ737" i="12" l="1"/>
  <c r="BA737" i="12" l="1"/>
  <c r="AZ738" i="12"/>
  <c r="AZ739" i="12" l="1"/>
  <c r="BA739" i="12" l="1"/>
  <c r="AZ740" i="12"/>
  <c r="BA740" i="12" l="1"/>
  <c r="AZ741" i="12"/>
  <c r="AZ742" i="12" l="1"/>
  <c r="BA742" i="12" l="1"/>
  <c r="AZ744" i="12"/>
  <c r="AZ745" i="12" l="1"/>
  <c r="BA745" i="12" l="1"/>
  <c r="AZ747" i="12"/>
  <c r="AZ748" i="12" l="1"/>
  <c r="BA748" i="12" l="1"/>
  <c r="AZ749" i="12"/>
  <c r="BA749" i="12" l="1"/>
  <c r="AZ750" i="12"/>
  <c r="BA750" i="12" l="1"/>
  <c r="AZ752" i="12"/>
  <c r="AZ753" i="12" l="1"/>
  <c r="BA753" i="12" l="1"/>
  <c r="AZ754" i="12"/>
  <c r="BA754" i="12" l="1"/>
  <c r="AZ755" i="12"/>
  <c r="BA755" i="12" l="1"/>
  <c r="AZ756" i="12"/>
  <c r="BA756" i="12" l="1"/>
  <c r="AZ757" i="12"/>
  <c r="BA757" i="12" l="1"/>
  <c r="AZ758" i="12"/>
  <c r="BA758" i="12" l="1"/>
  <c r="AZ759" i="12"/>
  <c r="BA759" i="12" l="1"/>
  <c r="AZ760" i="12"/>
  <c r="BA760" i="12" l="1"/>
  <c r="AZ761" i="12"/>
  <c r="BA761" i="12" l="1"/>
  <c r="AZ762" i="12"/>
  <c r="BA762" i="12" l="1"/>
  <c r="AZ763" i="12"/>
  <c r="BA763" i="12" l="1"/>
  <c r="AZ764" i="12"/>
  <c r="AZ765" i="12" l="1"/>
  <c r="BA765" i="12" l="1"/>
  <c r="AZ766" i="12"/>
  <c r="AZ767" i="12" l="1"/>
  <c r="BA767" i="12" l="1"/>
  <c r="AZ768" i="12"/>
  <c r="AZ769" i="12" l="1"/>
  <c r="BA769" i="12" l="1"/>
  <c r="AZ770" i="12"/>
  <c r="BA770" i="12" l="1"/>
  <c r="AZ771" i="12"/>
  <c r="BA771" i="12" l="1"/>
  <c r="AZ772" i="12"/>
  <c r="BA772" i="12" l="1"/>
  <c r="AZ773" i="12"/>
  <c r="BA773" i="12" l="1"/>
  <c r="AZ774" i="12"/>
  <c r="AZ775" i="12" l="1"/>
  <c r="BA775" i="12" l="1"/>
  <c r="AZ776" i="12"/>
  <c r="BA776" i="12" l="1"/>
  <c r="AZ777" i="12"/>
  <c r="BA777" i="12" l="1"/>
  <c r="AZ778" i="12"/>
  <c r="BA778" i="12" l="1"/>
  <c r="AZ779" i="12"/>
  <c r="AZ780" i="12" l="1"/>
  <c r="BA780" i="12" l="1"/>
  <c r="AZ781" i="12"/>
  <c r="BA781" i="12" l="1"/>
  <c r="AZ782" i="12"/>
  <c r="BA782" i="12" l="1"/>
  <c r="AZ783" i="12"/>
  <c r="BA783" i="12" l="1"/>
  <c r="AZ784" i="12"/>
  <c r="AZ785" i="12" l="1"/>
  <c r="BA785" i="12" l="1"/>
  <c r="AZ786" i="12"/>
  <c r="AZ787" i="12" l="1"/>
  <c r="BA787" i="12" l="1"/>
  <c r="AZ788" i="12"/>
  <c r="AZ789" i="12" l="1"/>
  <c r="BA789" i="12" l="1"/>
  <c r="AZ790" i="12"/>
  <c r="AZ791" i="12" l="1"/>
  <c r="BA791" i="12" l="1"/>
  <c r="AZ792" i="12"/>
  <c r="AZ793" i="12" l="1"/>
  <c r="BA793" i="12" l="1"/>
  <c r="AZ794" i="12"/>
  <c r="BA794" i="12" l="1"/>
  <c r="AZ795" i="12"/>
  <c r="AZ796" i="12" l="1"/>
  <c r="BA796" i="12" l="1"/>
  <c r="AZ798" i="12"/>
  <c r="AZ799" i="12" l="1"/>
  <c r="BA799" i="12" l="1"/>
  <c r="AZ800" i="12"/>
  <c r="BA800" i="12" l="1"/>
  <c r="AZ802" i="12"/>
  <c r="AZ803" i="12" l="1"/>
  <c r="BA803" i="12" l="1"/>
  <c r="AZ804" i="12"/>
  <c r="BA804" i="12" l="1"/>
  <c r="AZ805" i="12"/>
  <c r="BA805" i="12" l="1"/>
  <c r="AZ806" i="12"/>
  <c r="BA806" i="12" l="1"/>
  <c r="AZ807" i="12"/>
  <c r="BA807" i="12" l="1"/>
  <c r="AZ808" i="12"/>
  <c r="BA808" i="12" l="1"/>
  <c r="AZ809" i="12"/>
  <c r="BA809" i="12" l="1"/>
  <c r="AZ810" i="12"/>
  <c r="BA810" i="12" l="1"/>
  <c r="AZ811" i="12"/>
  <c r="BA811" i="12" l="1"/>
  <c r="AZ812" i="12"/>
  <c r="BA812" i="12" l="1"/>
  <c r="AZ813" i="12"/>
  <c r="AZ814" i="12" l="1"/>
  <c r="BA814" i="12" l="1"/>
  <c r="AZ815" i="12"/>
  <c r="BA815" i="12" l="1"/>
  <c r="AZ816" i="12"/>
  <c r="BA816" i="12" l="1"/>
  <c r="AZ817" i="12"/>
  <c r="AZ818" i="12" l="1"/>
  <c r="BA818" i="12" l="1"/>
  <c r="AZ819" i="12"/>
  <c r="BA819" i="12" l="1"/>
  <c r="AZ820" i="12"/>
  <c r="BA820" i="12" l="1"/>
  <c r="AZ821" i="12"/>
  <c r="BA821" i="12" l="1"/>
  <c r="AZ822" i="12"/>
  <c r="BA822" i="12" l="1"/>
  <c r="AZ824" i="12"/>
  <c r="AZ825" i="12" l="1"/>
  <c r="BA825" i="12" l="1"/>
  <c r="AZ826" i="12"/>
  <c r="BA826" i="12" l="1"/>
  <c r="AZ827" i="12"/>
  <c r="BA827" i="12" l="1"/>
  <c r="AZ828" i="12"/>
  <c r="AZ829" i="12" l="1"/>
  <c r="BA829" i="12" l="1"/>
  <c r="AZ830" i="12"/>
  <c r="AZ831" i="12" l="1"/>
  <c r="BA831" i="12" l="1"/>
  <c r="AZ832" i="12"/>
  <c r="BA832" i="12" l="1"/>
  <c r="AZ833" i="12"/>
  <c r="AZ834" i="12" l="1"/>
  <c r="BA834" i="12" l="1"/>
  <c r="AZ835" i="12"/>
  <c r="BA835" i="12" l="1"/>
  <c r="AZ836" i="12"/>
  <c r="AZ837" i="12" l="1"/>
  <c r="BA837" i="12" l="1"/>
  <c r="AZ838" i="12"/>
  <c r="AZ839" i="12" l="1"/>
  <c r="BA839" i="12" l="1"/>
  <c r="AZ842" i="12"/>
  <c r="AZ843" i="12" l="1"/>
  <c r="BA843" i="12" l="1"/>
  <c r="AZ845" i="12"/>
  <c r="AZ846" i="12" l="1"/>
  <c r="BA846" i="12" l="1"/>
  <c r="AZ849" i="12"/>
  <c r="AZ850" i="12" l="1"/>
  <c r="BA850" i="12" l="1"/>
  <c r="AZ851" i="12"/>
  <c r="AZ852" i="12" l="1"/>
  <c r="BA852" i="12" l="1"/>
  <c r="AZ853" i="12"/>
  <c r="BA853" i="12" l="1"/>
  <c r="AZ854" i="12"/>
  <c r="BA854" i="12" l="1"/>
  <c r="AZ856" i="12"/>
  <c r="AZ857" i="12" l="1"/>
  <c r="BA857" i="12" l="1"/>
  <c r="AZ858" i="12"/>
  <c r="AZ859" i="12" l="1"/>
  <c r="BA859" i="12" l="1"/>
  <c r="AZ860" i="12"/>
  <c r="BA860" i="12" l="1"/>
  <c r="AZ861" i="12"/>
  <c r="BA861" i="12" l="1"/>
  <c r="AZ862" i="12"/>
  <c r="BA862" i="12" l="1"/>
  <c r="AZ863" i="12"/>
  <c r="BA863" i="12" l="1"/>
  <c r="AZ864" i="12"/>
  <c r="BA864" i="12" l="1"/>
  <c r="AZ865" i="12"/>
  <c r="BA865" i="12" l="1"/>
  <c r="AZ866" i="12"/>
  <c r="BA866" i="12" l="1"/>
  <c r="AZ867" i="12"/>
  <c r="BA867" i="12" l="1"/>
  <c r="AZ868" i="12"/>
  <c r="BA868" i="12" l="1"/>
  <c r="AZ869" i="12"/>
  <c r="BA869" i="12" l="1"/>
  <c r="AZ872" i="12"/>
  <c r="AZ873" i="12" l="1"/>
  <c r="BA873" i="12" l="1"/>
  <c r="AZ874" i="12"/>
  <c r="BA874" i="12" l="1"/>
  <c r="AZ875" i="12"/>
  <c r="BA875" i="12" l="1"/>
  <c r="AZ876" i="12"/>
  <c r="AZ877" i="12" l="1"/>
  <c r="BA877" i="12" l="1"/>
  <c r="AZ878" i="12"/>
  <c r="BA878" i="12" l="1"/>
  <c r="AZ879" i="12"/>
  <c r="AZ880" i="12" l="1"/>
  <c r="BA880" i="12" l="1"/>
  <c r="AZ881" i="12"/>
  <c r="BA881" i="12" l="1"/>
  <c r="AZ882" i="12"/>
  <c r="AZ883" i="12" l="1"/>
  <c r="BA883" i="12" l="1"/>
  <c r="AZ884" i="12"/>
  <c r="AZ885" i="12" l="1"/>
  <c r="BA885" i="12" l="1"/>
  <c r="AZ886" i="12"/>
  <c r="BA886" i="12" l="1"/>
  <c r="AZ887" i="12"/>
  <c r="BA887" i="12" l="1"/>
  <c r="AZ888" i="12"/>
  <c r="BA888" i="12" l="1"/>
  <c r="AZ889" i="12"/>
  <c r="AZ890" i="12" l="1"/>
  <c r="BA890" i="12" l="1"/>
  <c r="AZ891" i="12"/>
  <c r="AZ892" i="12" l="1"/>
  <c r="BA892" i="12" l="1"/>
  <c r="AZ893" i="12"/>
  <c r="BA893" i="12" l="1"/>
  <c r="AZ894" i="12"/>
  <c r="BA894" i="12" l="1"/>
  <c r="AZ895" i="12"/>
  <c r="BA895" i="12" l="1"/>
  <c r="AZ897" i="12"/>
  <c r="BA897" i="12" l="1"/>
  <c r="AZ898" i="12"/>
  <c r="BA898" i="12" l="1"/>
  <c r="AZ899" i="12"/>
  <c r="AZ900" i="12" l="1"/>
  <c r="BA900" i="12" l="1"/>
  <c r="AZ902" i="12"/>
  <c r="AZ903" i="12" l="1"/>
  <c r="BA903" i="12" l="1"/>
  <c r="AZ904" i="12"/>
  <c r="BA904" i="12" l="1"/>
  <c r="AZ905" i="12"/>
  <c r="BA905" i="12" l="1"/>
  <c r="AZ906" i="12"/>
  <c r="BA906" i="12" l="1"/>
  <c r="AZ907" i="12"/>
  <c r="BA907" i="12" l="1"/>
  <c r="AZ908" i="12"/>
  <c r="BA908" i="12" l="1"/>
  <c r="AZ909" i="12"/>
  <c r="BA909" i="12" l="1"/>
  <c r="AZ910" i="12"/>
  <c r="BA910" i="12" l="1"/>
  <c r="AZ911" i="12"/>
  <c r="AZ912" i="12" l="1"/>
  <c r="BA912" i="12" l="1"/>
  <c r="AZ914" i="12"/>
  <c r="BA914" i="12" l="1"/>
  <c r="AZ915" i="12"/>
  <c r="BA915" i="12" l="1"/>
  <c r="AZ916" i="12"/>
  <c r="BA916" i="12" l="1"/>
  <c r="AZ917" i="12"/>
  <c r="AZ918" i="12" l="1"/>
  <c r="BA918" i="12" l="1"/>
  <c r="AZ919" i="12"/>
  <c r="BA919" i="12" l="1"/>
  <c r="AZ920" i="12"/>
  <c r="BA920" i="12" l="1"/>
  <c r="AZ921" i="12"/>
  <c r="BA921" i="12" l="1"/>
  <c r="AZ922" i="12"/>
  <c r="BA922" i="12" l="1"/>
  <c r="AZ924" i="12"/>
  <c r="AZ925" i="12" l="1"/>
  <c r="BA925" i="12" l="1"/>
  <c r="AZ928" i="12"/>
  <c r="AZ929" i="12" l="1"/>
  <c r="BA929" i="12" l="1"/>
  <c r="AZ930" i="12"/>
  <c r="BA930" i="12" l="1"/>
  <c r="AZ931" i="12"/>
  <c r="AZ932" i="12" l="1"/>
  <c r="BA932" i="12" l="1"/>
  <c r="AZ937" i="12"/>
  <c r="AZ938" i="12" l="1"/>
  <c r="BA938" i="12" l="1"/>
  <c r="AZ939" i="12"/>
  <c r="AZ940" i="12" l="1"/>
  <c r="BA940" i="12" l="1"/>
  <c r="AZ941" i="12"/>
  <c r="AZ942" i="12" l="1"/>
  <c r="BA942" i="12" l="1"/>
  <c r="AZ943" i="12"/>
  <c r="AZ944" i="12" l="1"/>
  <c r="BA944" i="12" l="1"/>
  <c r="AZ946" i="12"/>
  <c r="AZ947" i="12" l="1"/>
  <c r="BA947" i="12" l="1"/>
  <c r="AZ948" i="12"/>
  <c r="BA948" i="12" l="1"/>
  <c r="AZ949" i="12"/>
  <c r="BA949" i="12" l="1"/>
  <c r="AZ950" i="12"/>
  <c r="AZ951" i="12" l="1"/>
  <c r="BA951" i="12" l="1"/>
  <c r="AZ952" i="12"/>
  <c r="BA952" i="12" l="1"/>
  <c r="AZ953" i="12"/>
  <c r="BA953" i="12" l="1"/>
  <c r="AZ958" i="12"/>
  <c r="AZ959" i="12" l="1"/>
  <c r="BA959" i="12" l="1"/>
  <c r="AZ960" i="12"/>
  <c r="BA960" i="12" l="1"/>
  <c r="AZ961" i="12"/>
  <c r="AZ962" i="12" l="1"/>
  <c r="BA962" i="12" l="1"/>
  <c r="AZ963" i="12"/>
  <c r="BA963" i="12" l="1"/>
  <c r="AZ964" i="12"/>
  <c r="BA964" i="12" l="1"/>
  <c r="AZ965" i="12"/>
  <c r="BA965" i="12" l="1"/>
  <c r="AZ966" i="12"/>
  <c r="AZ967" i="12" l="1"/>
  <c r="BA967" i="12" l="1"/>
  <c r="AZ972" i="12"/>
  <c r="AZ973" i="12" l="1"/>
  <c r="BA973" i="12" l="1"/>
  <c r="AZ975" i="12"/>
  <c r="AZ976" i="12" l="1"/>
  <c r="BA976" i="12" l="1"/>
  <c r="AZ977" i="12"/>
  <c r="AZ978" i="12" l="1"/>
  <c r="BA978" i="12" l="1"/>
  <c r="AZ979" i="12"/>
  <c r="AZ980" i="12" l="1"/>
  <c r="BA980" i="12" l="1"/>
  <c r="AZ981" i="12"/>
  <c r="BA981" i="12" l="1"/>
  <c r="AZ982" i="12"/>
  <c r="BA982" i="12" l="1"/>
  <c r="AZ983" i="12"/>
  <c r="AZ984" i="12" l="1"/>
  <c r="BA984" i="12" l="1"/>
  <c r="AZ991" i="12"/>
  <c r="AZ992" i="12" l="1"/>
  <c r="BA992" i="12" l="1"/>
  <c r="AZ1000" i="12"/>
  <c r="AZ1001" i="12" l="1"/>
  <c r="BA1001" i="12" l="1"/>
  <c r="AZ1002" i="12"/>
  <c r="BA1002" i="12" l="1"/>
  <c r="AZ1003" i="12"/>
  <c r="BA1003" i="12" l="1"/>
  <c r="AZ1004" i="12"/>
  <c r="BA1004" i="12" l="1"/>
  <c r="AZ1005" i="12"/>
  <c r="AZ1006" i="12" l="1"/>
  <c r="BA1006" i="12" l="1"/>
  <c r="AZ1007" i="12"/>
  <c r="AZ1008" i="12" l="1"/>
  <c r="BA1008" i="12" l="1"/>
  <c r="AZ1009" i="12"/>
  <c r="AZ1010" i="12" l="1"/>
  <c r="BA1010" i="12" l="1"/>
  <c r="AZ1011" i="12"/>
  <c r="BA1011" i="12" l="1"/>
  <c r="AZ1012" i="12"/>
  <c r="BA1012" i="12" l="1"/>
  <c r="AZ1013" i="12"/>
  <c r="AZ1014" i="12" l="1"/>
  <c r="BA1014" i="12" l="1"/>
  <c r="AZ1015" i="12"/>
  <c r="BA1015" i="12" l="1"/>
  <c r="AZ1016" i="12"/>
  <c r="AZ1017" i="12" l="1"/>
  <c r="BA1017" i="12" l="1"/>
  <c r="AZ1022" i="12"/>
  <c r="BA1022" i="12" l="1"/>
  <c r="AZ1023" i="12"/>
  <c r="AZ1024" i="12" l="1"/>
  <c r="BA1024" i="12" l="1"/>
  <c r="AZ1025" i="12"/>
  <c r="BA1025" i="12" l="1"/>
  <c r="AZ1026" i="12"/>
  <c r="AZ1027" i="12" l="1"/>
  <c r="BA1027" i="12" l="1"/>
  <c r="AZ1028" i="12"/>
  <c r="AZ1029" i="12" l="1"/>
  <c r="BA1029" i="12" l="1"/>
  <c r="AZ1037" i="12"/>
  <c r="AZ1038" i="12" l="1"/>
  <c r="BA1038" i="12" l="1"/>
  <c r="AZ1040" i="12"/>
  <c r="AZ1041" i="12" l="1"/>
  <c r="BA1041" i="12" l="1"/>
  <c r="AZ1045" i="12"/>
  <c r="AZ1046" i="12" l="1"/>
  <c r="BA1046" i="12" l="1"/>
  <c r="AZ1047" i="12"/>
  <c r="AZ1048" i="12" l="1"/>
  <c r="BA1048" i="12" l="1"/>
  <c r="AZ1049" i="12"/>
  <c r="BA1049" i="12" l="1"/>
  <c r="AZ1052" i="12"/>
  <c r="BA1052" i="12" l="1"/>
  <c r="AZ1053" i="12"/>
  <c r="BA1053" i="12" l="1"/>
  <c r="AZ1054" i="12"/>
  <c r="BA1054" i="12" l="1"/>
  <c r="AZ1055" i="12"/>
  <c r="BA1055" i="12" l="1"/>
  <c r="AZ1056" i="12"/>
  <c r="BA1056" i="12" l="1"/>
  <c r="AZ1057" i="12"/>
  <c r="BA1057" i="12" l="1"/>
  <c r="AZ1059" i="12"/>
  <c r="BA1059" i="12" l="1"/>
  <c r="AZ1060" i="12"/>
  <c r="BA1060" i="12" l="1"/>
  <c r="AZ1061" i="12"/>
  <c r="BA1061" i="12" l="1"/>
  <c r="AZ1062" i="12"/>
  <c r="AZ1063" i="12" l="1"/>
  <c r="BA1063" i="12" l="1"/>
  <c r="AZ1064" i="12"/>
  <c r="BA1064" i="12" l="1"/>
  <c r="AZ1065" i="12"/>
  <c r="BA1065" i="12" l="1"/>
  <c r="AZ1066" i="12"/>
  <c r="BA1066" i="12" l="1"/>
  <c r="AZ1067" i="12"/>
  <c r="BA1067" i="12" l="1"/>
  <c r="AZ1068" i="12"/>
  <c r="BA1068" i="12" l="1"/>
  <c r="AZ1069" i="12"/>
  <c r="BA1069" i="12" l="1"/>
  <c r="AZ1070" i="12"/>
  <c r="BA1070" i="12" l="1"/>
  <c r="AZ1071" i="12"/>
  <c r="BA1071" i="12" l="1"/>
  <c r="AZ1072" i="12"/>
  <c r="AZ1073" i="12" l="1"/>
  <c r="BA1073" i="12" l="1"/>
  <c r="AZ1074" i="12"/>
  <c r="BA1074" i="12" l="1"/>
  <c r="AZ1075" i="12"/>
  <c r="BA1075" i="12" l="1"/>
  <c r="AZ1076" i="12"/>
  <c r="AZ1077" i="12" l="1"/>
  <c r="BA1077" i="12" l="1"/>
  <c r="AZ1078" i="12"/>
  <c r="BA1078" i="12" l="1"/>
  <c r="AZ1080" i="12"/>
  <c r="AZ1081" i="12" l="1"/>
  <c r="BA1081" i="12" l="1"/>
  <c r="AZ1082" i="12"/>
  <c r="BA1082" i="12" l="1"/>
  <c r="AZ1086" i="12"/>
  <c r="AZ1087" i="12" l="1"/>
  <c r="BA1087" i="12" l="1"/>
  <c r="AZ1088" i="12"/>
  <c r="BA1088" i="12" l="1"/>
  <c r="AZ1089" i="12"/>
  <c r="BA1089" i="12" l="1"/>
  <c r="AZ1091" i="12"/>
  <c r="BA1091" i="12" l="1"/>
  <c r="AZ1092" i="12"/>
  <c r="BA1092" i="12" l="1"/>
  <c r="AZ1093" i="12"/>
  <c r="AZ1094" i="12" l="1"/>
  <c r="BA1094" i="12" l="1"/>
  <c r="AZ1095" i="12"/>
  <c r="AZ1096" i="12" l="1"/>
  <c r="BA1096" i="12" l="1"/>
  <c r="AZ1097" i="12"/>
  <c r="BA1097" i="12" l="1"/>
  <c r="AZ1098" i="12"/>
  <c r="AZ1099" i="12" l="1"/>
  <c r="BA1099" i="12" l="1"/>
  <c r="AZ1100" i="12"/>
  <c r="AZ1101" i="12" l="1"/>
  <c r="BA1101" i="12" l="1"/>
  <c r="AZ1102" i="12"/>
  <c r="AZ1103" i="12" l="1"/>
  <c r="BA1103" i="12" l="1"/>
  <c r="AZ1104" i="12"/>
  <c r="BA1104" i="12" l="1"/>
  <c r="AZ1105" i="12"/>
  <c r="AZ1106" i="12" l="1"/>
  <c r="BA1106" i="12" l="1"/>
  <c r="AZ1108" i="12"/>
  <c r="BA1108" i="12" l="1"/>
  <c r="AZ1109" i="12"/>
  <c r="BA1109" i="12" l="1"/>
  <c r="AZ1110" i="12"/>
  <c r="BA1110" i="12" l="1"/>
  <c r="AZ1111" i="12"/>
  <c r="BA1111" i="12" l="1"/>
  <c r="AZ1112" i="12"/>
  <c r="BA1112" i="12" l="1"/>
  <c r="AZ1113" i="12"/>
  <c r="BA1113" i="12" l="1"/>
  <c r="AZ1114" i="12"/>
  <c r="AZ1115" i="12" l="1"/>
  <c r="BA1115" i="12" l="1"/>
  <c r="AZ1119" i="12"/>
  <c r="AZ1120" i="12" l="1"/>
  <c r="BA1120" i="12" l="1"/>
  <c r="AZ1121" i="12"/>
  <c r="BA1121" i="12" l="1"/>
  <c r="AZ1122" i="12"/>
  <c r="BA1122" i="12" l="1"/>
  <c r="AZ1127" i="12"/>
  <c r="AZ1128" i="12" l="1"/>
  <c r="BA1128" i="12" l="1"/>
  <c r="AZ1129" i="12"/>
  <c r="AZ1130" i="12" l="1"/>
  <c r="BA1130" i="12" l="1"/>
  <c r="AZ1131" i="12"/>
  <c r="BA1131" i="12" l="1"/>
  <c r="AZ1132" i="12"/>
  <c r="BA1132" i="12" l="1"/>
  <c r="AZ1133" i="12"/>
  <c r="BA1133" i="12" l="1"/>
  <c r="AZ1134" i="12"/>
  <c r="BA1134" i="12" l="1"/>
  <c r="AZ1135" i="12"/>
  <c r="BA1135" i="12" l="1"/>
  <c r="AZ1136" i="12"/>
  <c r="AZ1137" i="12" l="1"/>
  <c r="BA1137" i="12" l="1"/>
  <c r="AZ1138" i="12"/>
  <c r="BA1138" i="12" l="1"/>
  <c r="AZ1139" i="12"/>
  <c r="BA1139" i="12" l="1"/>
  <c r="AZ1140" i="12"/>
  <c r="BA1140" i="12" l="1"/>
  <c r="AZ1141" i="12"/>
  <c r="BA1141" i="12" l="1"/>
  <c r="AZ1143" i="12"/>
  <c r="BA1143" i="12" l="1"/>
  <c r="AZ1144" i="12"/>
  <c r="BA1144" i="12" l="1"/>
  <c r="AZ1145" i="12"/>
  <c r="BA1145" i="12" l="1"/>
  <c r="AZ1148" i="12"/>
  <c r="AZ1149" i="12" l="1"/>
  <c r="BA1149" i="12" l="1"/>
  <c r="AZ1150" i="12"/>
  <c r="BA1150" i="12" l="1"/>
  <c r="AZ1151" i="12"/>
  <c r="AZ1152" i="12" l="1"/>
  <c r="BA1152" i="12" l="1"/>
  <c r="AZ1153" i="12"/>
  <c r="AZ1154" i="12" l="1"/>
  <c r="BA1154" i="12" l="1"/>
  <c r="AZ1155" i="12"/>
  <c r="BA1155" i="12" l="1"/>
  <c r="AZ1156" i="12"/>
  <c r="AZ1157" i="12" l="1"/>
  <c r="BA1157" i="12" l="1"/>
  <c r="AZ1158" i="12"/>
  <c r="AZ1159" i="12" l="1"/>
  <c r="BA1159" i="12" l="1"/>
  <c r="AZ1160" i="12"/>
  <c r="BA1160" i="12" l="1"/>
  <c r="AZ1163" i="12"/>
  <c r="AZ1164" i="12" l="1"/>
  <c r="BA1164" i="12" l="1"/>
  <c r="AZ1165" i="12"/>
  <c r="AZ1166" i="12" l="1"/>
  <c r="BA1166" i="12" l="1"/>
  <c r="AZ1167" i="12"/>
  <c r="BA1167" i="12" l="1"/>
  <c r="AZ1168" i="12"/>
  <c r="BA1168" i="12" l="1"/>
  <c r="AZ1170" i="12"/>
  <c r="BA1170" i="12" l="1"/>
  <c r="AZ1171" i="12"/>
  <c r="BA1171" i="12" l="1"/>
  <c r="AZ1172" i="12"/>
  <c r="BA1172" i="12" l="1"/>
  <c r="AZ1173" i="12"/>
  <c r="BA1173" i="12" l="1"/>
  <c r="AZ1174" i="12"/>
  <c r="BA1174" i="12" l="1"/>
  <c r="AZ1175" i="12"/>
  <c r="BA1175" i="12" l="1"/>
  <c r="AZ1177" i="12"/>
  <c r="AZ1178" i="12" l="1"/>
  <c r="BA1178" i="12" l="1"/>
  <c r="AZ1179" i="12"/>
  <c r="BA1179" i="12" l="1"/>
  <c r="AZ1180" i="12"/>
  <c r="AZ1181" i="12" l="1"/>
  <c r="BA1181" i="12" l="1"/>
  <c r="AZ1182" i="12"/>
  <c r="AZ1183" i="12" l="1"/>
  <c r="BA1183" i="12" l="1"/>
  <c r="AZ1184" i="12"/>
  <c r="BA1184" i="12" l="1"/>
  <c r="AZ1185" i="12"/>
  <c r="AZ1186" i="12" l="1"/>
  <c r="BA1186" i="12" l="1"/>
  <c r="AZ1187" i="12"/>
  <c r="AZ1188" i="12" l="1"/>
  <c r="BA1188" i="12" l="1"/>
  <c r="AZ1189" i="12"/>
  <c r="BA1189" i="12" l="1"/>
  <c r="AZ1190" i="12"/>
  <c r="BA1190" i="12" l="1"/>
  <c r="AZ1191" i="12"/>
  <c r="AZ1192" i="12" l="1"/>
  <c r="BA1192" i="12" l="1"/>
  <c r="AZ1193" i="12"/>
  <c r="BA1193" i="12" l="1"/>
  <c r="AZ1194" i="12"/>
  <c r="AZ1195" i="12" l="1"/>
  <c r="BA1195" i="12" l="1"/>
  <c r="AZ1196" i="12"/>
  <c r="BA1196" i="12" l="1"/>
  <c r="AZ1197" i="12"/>
  <c r="BA1197" i="12" l="1"/>
  <c r="AZ1198" i="12"/>
  <c r="BA1198" i="12" l="1"/>
  <c r="AZ1200" i="12"/>
  <c r="BA1200" i="12" l="1"/>
  <c r="AZ1201" i="12"/>
  <c r="BA1201" i="12" l="1"/>
  <c r="AZ1202" i="12"/>
  <c r="BA1202" i="12" l="1"/>
  <c r="AZ1203" i="12"/>
  <c r="BA1203" i="12" l="1"/>
  <c r="AZ1204" i="12"/>
  <c r="BA1204" i="12" l="1"/>
  <c r="AZ1205" i="12"/>
  <c r="BA1205" i="12" l="1"/>
  <c r="AZ1206" i="12"/>
  <c r="BA1206" i="12" l="1"/>
  <c r="AZ1207" i="12"/>
  <c r="BA1207" i="12" l="1"/>
  <c r="AZ1208" i="12"/>
  <c r="AZ1209" i="12" l="1"/>
  <c r="BA1209" i="12" l="1"/>
  <c r="AZ1210" i="12"/>
  <c r="BA1210" i="12" l="1"/>
  <c r="AZ1211" i="12"/>
  <c r="AZ1212" i="12" l="1"/>
  <c r="BA1212" i="12" l="1"/>
  <c r="AZ1217" i="12"/>
  <c r="AZ1218" i="12" l="1"/>
  <c r="BA1218" i="12" l="1"/>
  <c r="AZ1219" i="12"/>
  <c r="BA1219" i="12" l="1"/>
  <c r="AZ1220" i="12"/>
  <c r="AZ1221" i="12" l="1"/>
  <c r="BA1221" i="12" l="1"/>
  <c r="AZ1222" i="12"/>
  <c r="BA1222" i="12" l="1"/>
  <c r="AZ1223" i="12"/>
  <c r="BA1223" i="12" l="1"/>
  <c r="AZ1224" i="12"/>
  <c r="BA1224" i="12" l="1"/>
  <c r="AZ1225" i="12"/>
  <c r="AZ1226" i="12" l="1"/>
  <c r="BA1226" i="12" l="1"/>
  <c r="AZ1227" i="12"/>
  <c r="BA1227" i="12" l="1"/>
  <c r="AZ1228" i="12"/>
  <c r="AZ1229" i="12" l="1"/>
  <c r="BA1229" i="12" l="1"/>
  <c r="AZ1230" i="12"/>
  <c r="BA1230" i="12" l="1"/>
  <c r="AZ1231" i="12"/>
  <c r="BA1231" i="12" l="1"/>
  <c r="AZ1232" i="12"/>
  <c r="BA1232" i="12" l="1"/>
  <c r="AZ1233" i="12"/>
  <c r="BA1233" i="12" l="1"/>
  <c r="AZ1234" i="12"/>
  <c r="AZ1235" i="12" l="1"/>
  <c r="BA1235" i="12" l="1"/>
  <c r="AZ1236" i="12"/>
  <c r="AZ1237" i="12" l="1"/>
  <c r="BA1237" i="12" l="1"/>
  <c r="AZ1238" i="12"/>
  <c r="BA1238" i="12" l="1"/>
  <c r="AZ1239" i="12"/>
  <c r="AZ1240" i="12" l="1"/>
  <c r="BA1240" i="12" l="1"/>
  <c r="AZ1241" i="12"/>
  <c r="BA1241" i="12" l="1"/>
  <c r="AZ1242" i="12"/>
  <c r="AZ1243" i="12" l="1"/>
  <c r="BA1243" i="12" l="1"/>
  <c r="AZ1244" i="12"/>
  <c r="BA1244" i="12" l="1"/>
  <c r="AZ1245" i="12"/>
  <c r="AZ1246" i="12" l="1"/>
  <c r="BA1246" i="12" l="1"/>
  <c r="AZ1247" i="12"/>
  <c r="AZ1248" i="12" l="1"/>
  <c r="BA1248" i="12" l="1"/>
  <c r="AZ1249" i="12"/>
  <c r="BA1249" i="12" l="1"/>
  <c r="AZ1251" i="12"/>
  <c r="BA1251" i="12" l="1"/>
  <c r="AZ1252" i="12"/>
  <c r="BA1252" i="12" l="1"/>
  <c r="AZ1253" i="12"/>
  <c r="BA1253" i="12" l="1"/>
  <c r="AZ1254" i="12"/>
  <c r="BA1254" i="12" l="1"/>
  <c r="AZ1255" i="12"/>
  <c r="BA1255" i="12" l="1"/>
  <c r="AZ1256" i="12"/>
  <c r="BA1256" i="12" l="1"/>
  <c r="AZ1257" i="12"/>
  <c r="BA1257" i="12" l="1"/>
  <c r="AZ1258" i="12"/>
  <c r="BA1258" i="12" l="1"/>
  <c r="AZ1259" i="12"/>
  <c r="BA1259" i="12" l="1"/>
  <c r="AZ1260" i="12"/>
  <c r="AZ1261" i="12" l="1"/>
  <c r="BA1261" i="12" l="1"/>
  <c r="AZ1267" i="12"/>
  <c r="AZ1268" i="12" l="1"/>
  <c r="BA1268" i="12" l="1"/>
  <c r="AZ1269" i="12"/>
  <c r="AZ1270" i="12" l="1"/>
  <c r="BA1270" i="12" l="1"/>
  <c r="AZ1272" i="12"/>
  <c r="AZ1273" i="12" l="1"/>
  <c r="BA1273" i="12" l="1"/>
  <c r="AZ1274" i="12"/>
  <c r="AZ1275" i="12" l="1"/>
  <c r="BA1275" i="12" l="1"/>
  <c r="AZ1280" i="12"/>
  <c r="AZ1281" i="12" l="1"/>
  <c r="BA1281" i="12" l="1"/>
  <c r="AZ1282" i="12"/>
  <c r="BA1282" i="12" l="1"/>
  <c r="AZ1284" i="12"/>
  <c r="AZ1285" i="12" l="1"/>
  <c r="BA1285" i="12" l="1"/>
  <c r="AZ1286" i="12"/>
  <c r="AZ1287" i="12" l="1"/>
  <c r="BA1287" i="12" l="1"/>
  <c r="AZ1288" i="12"/>
  <c r="BA1288" i="12" l="1"/>
  <c r="AZ1289" i="12"/>
  <c r="AZ1290" i="12" l="1"/>
  <c r="BA1290" i="12" l="1"/>
  <c r="AZ1291" i="12"/>
  <c r="BA1291" i="12" l="1"/>
  <c r="AZ1292" i="12"/>
  <c r="BA1292" i="12" l="1"/>
  <c r="AZ1293" i="12"/>
  <c r="AZ1294" i="12" l="1"/>
  <c r="BA1294" i="12" l="1"/>
  <c r="AZ1295" i="12"/>
  <c r="BA1295" i="12" l="1"/>
  <c r="AZ1297" i="12"/>
  <c r="AZ1298" i="12" l="1"/>
  <c r="BA1298" i="12" l="1"/>
  <c r="AZ1299" i="12"/>
  <c r="BA1299" i="12" l="1"/>
  <c r="AZ1300" i="12"/>
  <c r="BA1300" i="12" l="1"/>
  <c r="AZ1301" i="12"/>
  <c r="BA1301" i="12" l="1"/>
  <c r="AZ1302" i="12"/>
  <c r="BA1302" i="12" l="1"/>
  <c r="AZ1303" i="12"/>
  <c r="BA1303" i="12" l="1"/>
  <c r="AZ1304" i="12"/>
  <c r="AZ1305" i="12" l="1"/>
  <c r="BA1305" i="12" l="1"/>
  <c r="AZ1306" i="12"/>
  <c r="BA1306" i="12" l="1"/>
  <c r="AZ1308" i="12"/>
  <c r="AZ1309" i="12" l="1"/>
  <c r="BA1309" i="12" l="1"/>
  <c r="AZ1310" i="12"/>
  <c r="BA1310" i="12" l="1"/>
  <c r="AZ1311" i="12"/>
  <c r="BA1311" i="12" l="1"/>
  <c r="AZ1312" i="12"/>
  <c r="AZ1313" i="12" l="1"/>
  <c r="BA1313" i="12" l="1"/>
  <c r="AZ1314" i="12"/>
  <c r="AZ1315" i="12" l="1"/>
  <c r="BA1315" i="12" l="1"/>
  <c r="AZ1316" i="12"/>
  <c r="BA1316" i="12" l="1"/>
  <c r="AZ1317" i="12"/>
  <c r="BA1317" i="12" l="1"/>
  <c r="AZ1318" i="12"/>
  <c r="AZ1319" i="12" l="1"/>
  <c r="BA1319" i="12" l="1"/>
  <c r="AZ1320" i="12"/>
  <c r="BA1320" i="12" l="1"/>
  <c r="AZ1321" i="12"/>
  <c r="AZ1322" i="12" l="1"/>
  <c r="BA1322" i="12" l="1"/>
  <c r="AZ1323" i="12"/>
  <c r="BA1323" i="12" l="1"/>
  <c r="AZ1324" i="12"/>
  <c r="AZ1325" i="12" l="1"/>
  <c r="BA1325" i="12" l="1"/>
  <c r="AZ1326" i="12"/>
  <c r="BA1326" i="12" l="1"/>
  <c r="AZ1327" i="12"/>
  <c r="BA1327" i="12" l="1"/>
  <c r="AZ1328" i="12"/>
  <c r="BA1328" i="12" l="1"/>
  <c r="AZ1331" i="12"/>
  <c r="AZ1332" i="12" l="1"/>
  <c r="BA1332" i="12" l="1"/>
  <c r="AZ1333" i="12"/>
  <c r="AZ1334" i="12" l="1"/>
  <c r="BA1334" i="12" l="1"/>
  <c r="AZ1335" i="12"/>
  <c r="BA1335" i="12" l="1"/>
  <c r="AZ1336" i="12"/>
  <c r="BA1336" i="12" l="1"/>
  <c r="AZ1337" i="12"/>
  <c r="BA1337" i="12" l="1"/>
  <c r="AZ1339" i="12"/>
  <c r="AZ1340" i="12" l="1"/>
  <c r="BA1340" i="12" l="1"/>
  <c r="AZ1342" i="12"/>
  <c r="AZ1343" i="12" l="1"/>
  <c r="BA1343" i="12" l="1"/>
  <c r="AZ1344" i="12"/>
  <c r="BA1344" i="12" l="1"/>
  <c r="AZ1345" i="12"/>
  <c r="BA1345" i="12" l="1"/>
  <c r="AZ1346" i="12"/>
  <c r="AZ1347" i="12" l="1"/>
  <c r="BA1347" i="12" l="1"/>
  <c r="AZ1348" i="12"/>
  <c r="AZ1349" i="12" l="1"/>
  <c r="BA1349" i="12" l="1"/>
  <c r="AZ1350" i="12"/>
  <c r="AZ1351" i="12" l="1"/>
  <c r="BA1351" i="12" l="1"/>
  <c r="AZ1352" i="12"/>
  <c r="BA1352" i="12" l="1"/>
  <c r="AZ1353" i="12"/>
  <c r="BA1353" i="12" l="1"/>
  <c r="AZ1355" i="12"/>
  <c r="BA1355" i="12" l="1"/>
  <c r="AZ1356" i="12"/>
  <c r="BA1356" i="12" l="1"/>
  <c r="AZ1357" i="12"/>
  <c r="AZ1358" i="12" l="1"/>
  <c r="BA1358" i="12" l="1"/>
  <c r="AZ1360" i="12"/>
  <c r="AZ1361" i="12" l="1"/>
  <c r="BA1361" i="12" l="1"/>
  <c r="AZ1366" i="12"/>
  <c r="BA1366" i="12" l="1"/>
  <c r="AZ1367" i="12"/>
  <c r="BA1367" i="12" l="1"/>
  <c r="AZ1368" i="12"/>
  <c r="BA1368" i="12" l="1"/>
  <c r="AZ1369" i="12"/>
  <c r="BA1369" i="12" l="1"/>
  <c r="AZ1370" i="12"/>
  <c r="BA1370" i="12" l="1"/>
  <c r="AZ1371" i="12"/>
  <c r="BA1371" i="12" l="1"/>
  <c r="AZ1372" i="12"/>
  <c r="BA1372" i="12" l="1"/>
  <c r="AZ1373" i="12"/>
  <c r="BA1373" i="12" l="1"/>
  <c r="AZ1374" i="12"/>
  <c r="BA1374" i="12" l="1"/>
  <c r="AZ1375" i="12"/>
  <c r="BA1375" i="12" l="1"/>
  <c r="AZ1376" i="12"/>
  <c r="BA1376" i="12" l="1"/>
  <c r="AZ1377" i="12"/>
  <c r="BA1377" i="12" l="1"/>
  <c r="AZ1378" i="12"/>
  <c r="BA1378" i="12" l="1"/>
  <c r="AZ1379" i="12"/>
  <c r="AZ1380" i="12" l="1"/>
  <c r="BA1380" i="12" l="1"/>
  <c r="AZ1383" i="12"/>
  <c r="AZ1384" i="12" l="1"/>
  <c r="BA1384" i="12" l="1"/>
  <c r="AZ1389" i="12"/>
  <c r="AZ1390" i="12" l="1"/>
  <c r="BA1390" i="12" l="1"/>
  <c r="AZ1391" i="12"/>
  <c r="BA1391" i="12" l="1"/>
  <c r="AZ1392" i="12"/>
  <c r="AZ1393" i="12" l="1"/>
  <c r="BA1393" i="12" l="1"/>
  <c r="AZ1394" i="12"/>
  <c r="BA1394" i="12" l="1"/>
  <c r="AZ1395" i="12"/>
  <c r="BA1395" i="12" l="1"/>
  <c r="AZ1396" i="12"/>
  <c r="AZ1397" i="12" l="1"/>
  <c r="BA1397" i="12" l="1"/>
  <c r="AZ1398" i="12"/>
  <c r="BA1398" i="12" l="1"/>
  <c r="AZ1399" i="12"/>
  <c r="AZ1400" i="12" l="1"/>
  <c r="BA1400" i="12" l="1"/>
  <c r="AZ1401" i="12"/>
  <c r="AZ1402" i="12" l="1"/>
  <c r="BA1402" i="12" l="1"/>
  <c r="AZ1403" i="12"/>
  <c r="AZ1404" i="12" l="1"/>
  <c r="BA1404" i="12" l="1"/>
  <c r="AZ1405" i="12"/>
  <c r="BA1405" i="12" l="1"/>
  <c r="AZ1406" i="12"/>
  <c r="AZ1407" i="12" l="1"/>
  <c r="BA1407" i="12" l="1"/>
  <c r="AZ1408" i="12"/>
  <c r="BA1408" i="12" l="1"/>
  <c r="AZ1409" i="12"/>
  <c r="AZ1410" i="12" l="1"/>
  <c r="BA1410" i="12" l="1"/>
  <c r="AZ1411" i="12"/>
  <c r="BA1411" i="12" l="1"/>
  <c r="AZ1412" i="12"/>
  <c r="BA1412" i="12" l="1"/>
  <c r="AZ1413" i="12"/>
  <c r="BA1413" i="12" l="1"/>
  <c r="AZ1414" i="12"/>
  <c r="BA1414" i="12" l="1"/>
  <c r="AZ1415" i="12"/>
  <c r="BA1415" i="12" l="1"/>
  <c r="AZ1416" i="12"/>
  <c r="BA1416" i="12" l="1"/>
  <c r="AZ1417" i="12"/>
  <c r="BA1417" i="12" l="1"/>
  <c r="AZ1418" i="12"/>
  <c r="BA1418" i="12" l="1"/>
  <c r="AZ1419" i="12"/>
  <c r="BA1419" i="12" l="1"/>
  <c r="AZ1420" i="12"/>
  <c r="AZ1421" i="12" l="1"/>
  <c r="BA1421" i="12" l="1"/>
  <c r="AZ1422" i="12"/>
  <c r="BA1422" i="12" l="1"/>
  <c r="AZ1423" i="12"/>
  <c r="BA1423" i="12" l="1"/>
  <c r="AZ1424" i="12"/>
  <c r="BA1424" i="12" l="1"/>
  <c r="AZ1425" i="12"/>
  <c r="BA1425" i="12" l="1"/>
  <c r="AZ1426" i="12"/>
  <c r="AZ1427" i="12" l="1"/>
  <c r="BA1427" i="12" l="1"/>
  <c r="AZ1428" i="12"/>
  <c r="BA1428" i="12" l="1"/>
  <c r="AZ1429" i="12"/>
  <c r="BA1429" i="12" l="1"/>
  <c r="AZ1430" i="12"/>
  <c r="BA1430" i="12" l="1"/>
  <c r="AZ1431" i="12"/>
  <c r="BA1431" i="12" l="1"/>
  <c r="AZ1432" i="12"/>
  <c r="BA1432" i="12" l="1"/>
  <c r="AZ1433" i="12"/>
  <c r="BA1433" i="12" l="1"/>
  <c r="AZ1434" i="12"/>
  <c r="AZ1435" i="12" l="1"/>
  <c r="BA1435" i="12" l="1"/>
  <c r="AZ1436" i="12"/>
  <c r="BA1436" i="12" l="1"/>
  <c r="AZ1437" i="12"/>
  <c r="BA1437" i="12" l="1"/>
  <c r="AZ1438" i="12"/>
  <c r="BA1438" i="12" l="1"/>
  <c r="AZ1439" i="12"/>
  <c r="BA1434" i="12"/>
  <c r="BA1439" i="12" l="1"/>
  <c r="BA425" i="12"/>
  <c r="BA1033" i="12"/>
  <c r="BA1161" i="12"/>
  <c r="BA429" i="12"/>
  <c r="BA430" i="12"/>
  <c r="BA47" i="12"/>
  <c r="BA470" i="12"/>
  <c r="BA524" i="12"/>
  <c r="BA974" i="12"/>
  <c r="BA158" i="12"/>
  <c r="BA1021" i="12"/>
  <c r="BA1042" i="12"/>
  <c r="BA956" i="12"/>
  <c r="BA998" i="12"/>
  <c r="BA622" i="12"/>
  <c r="BA19" i="12"/>
  <c r="BA1019" i="12"/>
  <c r="BA72" i="12"/>
  <c r="BA593" i="12"/>
  <c r="BA507" i="12"/>
  <c r="BA995" i="12"/>
  <c r="BA987" i="12"/>
  <c r="BA969" i="12"/>
  <c r="BA1283" i="12"/>
  <c r="BA1215" i="12"/>
  <c r="BA552" i="12"/>
  <c r="BA484" i="12"/>
  <c r="BA15" i="12"/>
  <c r="BA1142" i="12"/>
  <c r="BA432" i="12"/>
  <c r="BA1365" i="12"/>
  <c r="BA1031" i="12"/>
  <c r="BA1058" i="12"/>
  <c r="BA36" i="12"/>
  <c r="BA670" i="12"/>
  <c r="BA677" i="12"/>
  <c r="BA488" i="12"/>
  <c r="BA423" i="12"/>
  <c r="BA485" i="12"/>
  <c r="BA797" i="12"/>
  <c r="BA633" i="12"/>
  <c r="BA349" i="12"/>
  <c r="BA157" i="12"/>
  <c r="BA188" i="12"/>
  <c r="BA724" i="12"/>
  <c r="BA71" i="12"/>
  <c r="BA592" i="12"/>
  <c r="BA927" i="12"/>
  <c r="BA1359" i="12"/>
  <c r="BA923" i="12"/>
  <c r="BA1216" i="12"/>
  <c r="BA367" i="12"/>
  <c r="BA31" i="12"/>
  <c r="BA1050" i="12"/>
  <c r="BA482" i="12"/>
  <c r="BA139" i="12"/>
  <c r="BA42" i="12"/>
  <c r="BA393" i="12"/>
  <c r="BA4" i="12"/>
  <c r="BA671" i="12"/>
  <c r="BA871" i="12"/>
  <c r="BA121" i="12"/>
  <c r="BA267" i="12"/>
  <c r="BA848" i="12"/>
  <c r="BA993" i="12"/>
  <c r="BA413" i="12"/>
  <c r="BA725" i="12"/>
  <c r="BA143" i="12"/>
  <c r="BA32" i="12"/>
  <c r="BA1090" i="12"/>
  <c r="BA1296" i="12"/>
  <c r="BA428" i="12"/>
  <c r="BA1363" i="12"/>
  <c r="BA840" i="12"/>
  <c r="BA1279" i="12"/>
  <c r="BA365" i="12"/>
  <c r="BA996" i="12"/>
  <c r="BA250" i="12"/>
  <c r="BA493" i="12"/>
  <c r="BA985" i="12"/>
  <c r="BA1036" i="12"/>
  <c r="BA110" i="12"/>
  <c r="BA55" i="12"/>
  <c r="BA634" i="12"/>
  <c r="BA1278" i="12"/>
  <c r="BA575" i="12"/>
  <c r="BA660" i="12"/>
  <c r="BA13" i="12"/>
  <c r="BA105" i="12"/>
  <c r="BA1364" i="12"/>
  <c r="BA1329" i="12"/>
  <c r="BA1116" i="12"/>
  <c r="BA92" i="12"/>
  <c r="BA366" i="12"/>
  <c r="BA934" i="12"/>
  <c r="BA390" i="12"/>
  <c r="BA1354" i="12"/>
  <c r="BA1030" i="12"/>
  <c r="BA1387" i="12"/>
  <c r="BA174" i="12"/>
  <c r="BA87" i="12"/>
  <c r="BA431" i="12"/>
  <c r="BA989" i="12"/>
  <c r="BA589" i="12"/>
  <c r="BA945" i="12"/>
  <c r="BA926" i="12"/>
  <c r="BA743" i="12"/>
  <c r="BA596" i="12"/>
  <c r="BA1079" i="12"/>
  <c r="BA844" i="12"/>
  <c r="BA1213" i="12"/>
  <c r="BA901" i="12"/>
  <c r="BA350" i="12"/>
  <c r="BA91" i="12"/>
  <c r="BA676" i="12"/>
  <c r="BA12" i="12"/>
  <c r="BA254" i="12"/>
  <c r="BA1107" i="12"/>
  <c r="BA1035" i="12"/>
  <c r="BA746" i="12"/>
  <c r="BA1051" i="12"/>
  <c r="BA514" i="12"/>
  <c r="BA1084" i="12"/>
  <c r="BA841" i="12"/>
  <c r="BA1338" i="12"/>
  <c r="BA733" i="12"/>
  <c r="BA1266" i="12"/>
  <c r="BA955" i="12"/>
  <c r="BA997" i="12"/>
  <c r="BA1307" i="12"/>
  <c r="BA855" i="12"/>
  <c r="BA1277" i="12"/>
  <c r="BA253" i="12"/>
  <c r="BA476" i="12"/>
  <c r="BA801" i="12"/>
  <c r="BA483" i="12"/>
  <c r="BA999" i="12"/>
  <c r="BA1176" i="12"/>
  <c r="BA1264" i="12"/>
  <c r="BA434" i="12"/>
  <c r="BA14" i="12"/>
  <c r="BA187" i="12"/>
  <c r="BA709" i="12"/>
  <c r="BA1385" i="12"/>
  <c r="BA1146" i="12"/>
  <c r="BA1020" i="12"/>
  <c r="BA1043" i="12"/>
  <c r="BA584" i="12"/>
  <c r="BA935" i="12"/>
  <c r="BA608" i="12"/>
  <c r="BA28" i="12"/>
  <c r="BA1124" i="12"/>
  <c r="BA421" i="12"/>
  <c r="BA1265" i="12"/>
  <c r="BA600" i="12"/>
  <c r="BA1039" i="12"/>
  <c r="BA86" i="12"/>
  <c r="BA988" i="12"/>
  <c r="BA190" i="12"/>
  <c r="BA968" i="12"/>
  <c r="BA1214" i="12"/>
  <c r="BA933" i="12"/>
  <c r="BA1199" i="12"/>
  <c r="BA218" i="12"/>
  <c r="BA1263" i="12"/>
  <c r="BA994" i="12"/>
  <c r="BA489" i="12"/>
  <c r="BA715" i="12"/>
  <c r="BA870" i="12"/>
  <c r="BA175" i="12"/>
  <c r="BA56" i="12"/>
  <c r="BA1169" i="12"/>
  <c r="BA1250" i="12"/>
  <c r="BA1330" i="12"/>
  <c r="BA1341" i="12"/>
  <c r="BA847" i="12"/>
  <c r="BA368" i="12"/>
  <c r="BA1118" i="12"/>
  <c r="BA285" i="12"/>
  <c r="BA1032" i="12"/>
  <c r="BA986" i="12"/>
  <c r="BA1034" i="12"/>
  <c r="BA1123" i="12"/>
  <c r="BA394" i="12"/>
  <c r="BA433" i="12"/>
  <c r="BA466" i="12"/>
  <c r="BA1044" i="12"/>
  <c r="BA1386" i="12"/>
  <c r="BA1147" i="12"/>
  <c r="BA422" i="12"/>
  <c r="BA1085" i="12"/>
  <c r="BA1262" i="12"/>
  <c r="BA1083" i="12"/>
  <c r="BA1271" i="12"/>
  <c r="BA249" i="12"/>
  <c r="BA572" i="12"/>
  <c r="BA66" i="12"/>
  <c r="BA1125" i="12"/>
  <c r="BA971" i="12"/>
  <c r="BA1126" i="12"/>
  <c r="BA990" i="12"/>
  <c r="BA970" i="12"/>
  <c r="BA751" i="12"/>
  <c r="BA1362" i="12"/>
  <c r="BA191" i="12"/>
  <c r="BA1162" i="12"/>
  <c r="BA675" i="12"/>
  <c r="BA115" i="12"/>
  <c r="BA913" i="12"/>
  <c r="BA35" i="12"/>
  <c r="BA189" i="12"/>
  <c r="BA823" i="12"/>
  <c r="BA159" i="12"/>
  <c r="BA426" i="12"/>
  <c r="BA620" i="12"/>
  <c r="BA427" i="12"/>
  <c r="BA255" i="12"/>
  <c r="BA88" i="12"/>
  <c r="BA424" i="12"/>
  <c r="BA1018" i="12"/>
  <c r="BA1276" i="12"/>
  <c r="BA573" i="12"/>
  <c r="BA936" i="12"/>
  <c r="BA957" i="12"/>
  <c r="BA101" i="12"/>
  <c r="BA621" i="12"/>
  <c r="BA1117" i="12"/>
  <c r="BA1381" i="12"/>
  <c r="BA693" i="12"/>
  <c r="BA678" i="12"/>
  <c r="BA389" i="12"/>
  <c r="BA1388" i="12"/>
  <c r="BA723" i="12"/>
  <c r="BA1382" i="12"/>
  <c r="BA896" i="12"/>
  <c r="BA954" i="12"/>
  <c r="BA597" i="12"/>
  <c r="BA8" i="12"/>
  <c r="BA3" i="12"/>
  <c r="BA5" i="12"/>
  <c r="BA16" i="12"/>
  <c r="BA20" i="12"/>
  <c r="BA24" i="12"/>
  <c r="BA29" i="12"/>
  <c r="BA33" i="12"/>
  <c r="BA37" i="12"/>
  <c r="BA40" i="12"/>
  <c r="BA43" i="12"/>
  <c r="BA45" i="12"/>
  <c r="BA48" i="12"/>
  <c r="BA57" i="12"/>
  <c r="BA62" i="12"/>
  <c r="BA73" i="12"/>
  <c r="BA75" i="12"/>
  <c r="BA77" i="12"/>
  <c r="BA79" i="12"/>
  <c r="BA81" i="12"/>
  <c r="BA84" i="12"/>
  <c r="BA89" i="12"/>
  <c r="BA102" i="12"/>
  <c r="BA108" i="12"/>
  <c r="BA106" i="12"/>
  <c r="BA116" i="12"/>
  <c r="BA119" i="12"/>
  <c r="BA122" i="12"/>
  <c r="BA126" i="12"/>
  <c r="BA129" i="12"/>
  <c r="BA132" i="12"/>
  <c r="BA134" i="12"/>
  <c r="BA137" i="12"/>
  <c r="BA140" i="12"/>
  <c r="BA144" i="12"/>
  <c r="BA146" i="12"/>
  <c r="BA160" i="12"/>
  <c r="BA162" i="12"/>
  <c r="BA167" i="12"/>
  <c r="BA169" i="12"/>
  <c r="BA176" i="12"/>
  <c r="BA178" i="12"/>
  <c r="BA195" i="12"/>
  <c r="BA214" i="12"/>
  <c r="BA216" i="12"/>
  <c r="BA219" i="12"/>
  <c r="BA222" i="12"/>
  <c r="BA225" i="12"/>
  <c r="BA227" i="12"/>
  <c r="BA229" i="12"/>
  <c r="BA231" i="12"/>
  <c r="BA238" i="12"/>
  <c r="BA242" i="12"/>
  <c r="BA245" i="12"/>
  <c r="BA247" i="12"/>
  <c r="BA251" i="12"/>
  <c r="BA256" i="12"/>
  <c r="BA258" i="12"/>
  <c r="BA260" i="12"/>
  <c r="BA262" i="12"/>
  <c r="BA265" i="12"/>
  <c r="BA268" i="12"/>
  <c r="BA271" i="12"/>
  <c r="BA283" i="12"/>
  <c r="BA286" i="12"/>
  <c r="BA307" i="12"/>
  <c r="BA353" i="12"/>
  <c r="BA347" i="12"/>
  <c r="BA351" i="12"/>
  <c r="BA355" i="12"/>
  <c r="BA358" i="12"/>
  <c r="BA361" i="12"/>
  <c r="BA363" i="12"/>
  <c r="BA369" i="12"/>
  <c r="BA372" i="12"/>
  <c r="BA374" i="12"/>
  <c r="BA376" i="12"/>
  <c r="BA378" i="12"/>
  <c r="BA380" i="12"/>
  <c r="BA382" i="12"/>
  <c r="BA385" i="12"/>
  <c r="BA387" i="12"/>
  <c r="BA391" i="12"/>
  <c r="BA395" i="12"/>
  <c r="BA397" i="12"/>
  <c r="BA402" i="12"/>
  <c r="BA408" i="12"/>
  <c r="BA405" i="12"/>
  <c r="BA411" i="12"/>
  <c r="BA414" i="12"/>
  <c r="BA418" i="12"/>
  <c r="BA438" i="12"/>
  <c r="BA443" i="12"/>
  <c r="BA449" i="12"/>
  <c r="BA446" i="12"/>
  <c r="BA454" i="12"/>
  <c r="BA452" i="12"/>
  <c r="BA458" i="12"/>
  <c r="BA462" i="12"/>
  <c r="BA467" i="12"/>
  <c r="BA471" i="12"/>
  <c r="BA473" i="12"/>
  <c r="BA477" i="12"/>
  <c r="BA480" i="12"/>
  <c r="BA486" i="12"/>
  <c r="BA490" i="12"/>
  <c r="BA494" i="12"/>
  <c r="BA502" i="12"/>
  <c r="BA508" i="12"/>
  <c r="BA510" i="12"/>
  <c r="BA519" i="12"/>
  <c r="BA525" i="12"/>
  <c r="BA533" i="12"/>
  <c r="BA536" i="12"/>
  <c r="BA539" i="12"/>
  <c r="BA541" i="12"/>
  <c r="BA547" i="12"/>
  <c r="BA553" i="12"/>
  <c r="BA562" i="12"/>
  <c r="BA568" i="12"/>
  <c r="BA570" i="12"/>
  <c r="BA578" i="12"/>
  <c r="BA576" i="12"/>
  <c r="BA580" i="12"/>
  <c r="BA585" i="12"/>
  <c r="BA582" i="12"/>
  <c r="BA587" i="12"/>
  <c r="BA594" i="12"/>
  <c r="BA598" i="12"/>
  <c r="BA601" i="12"/>
  <c r="BA609" i="12"/>
  <c r="BA611" i="12"/>
  <c r="BA613" i="12"/>
  <c r="BA615" i="12"/>
  <c r="BA625" i="12"/>
  <c r="BA627" i="12"/>
  <c r="BA631" i="12"/>
  <c r="BA629" i="12"/>
  <c r="BA635" i="12"/>
  <c r="BA638" i="12"/>
  <c r="BA641" i="12"/>
  <c r="BA644" i="12"/>
  <c r="BA649" i="12"/>
  <c r="BA651" i="12"/>
  <c r="BA653" i="12"/>
  <c r="BA657" i="12"/>
  <c r="BA661" i="12"/>
  <c r="BA666" i="12"/>
  <c r="BA673" i="12"/>
  <c r="BA679" i="12"/>
  <c r="BA682" i="12"/>
  <c r="BA686" i="12"/>
  <c r="BA689" i="12"/>
  <c r="BA694" i="12"/>
  <c r="BA696" i="12"/>
  <c r="BA710" i="12"/>
  <c r="BA707" i="12"/>
  <c r="BA712" i="12"/>
  <c r="BA716" i="12"/>
  <c r="BA719" i="12"/>
  <c r="BA721" i="12"/>
  <c r="BA728" i="12"/>
  <c r="BA726" i="12"/>
  <c r="BA731" i="12"/>
  <c r="BA734" i="12"/>
  <c r="BA736" i="12"/>
  <c r="BA738" i="12"/>
  <c r="BA741" i="12"/>
  <c r="BA744" i="12"/>
  <c r="BA752" i="12"/>
  <c r="BA747" i="12"/>
  <c r="BA764" i="12"/>
  <c r="BA768" i="12"/>
  <c r="BA766" i="12"/>
  <c r="BA774" i="12"/>
  <c r="BA779" i="12"/>
  <c r="BA784" i="12"/>
  <c r="BA786" i="12"/>
  <c r="BA788" i="12"/>
  <c r="BA792" i="12"/>
  <c r="BA790" i="12"/>
  <c r="BA795" i="12"/>
  <c r="BA798" i="12"/>
  <c r="BA802" i="12"/>
  <c r="BA813" i="12"/>
  <c r="BA817" i="12"/>
  <c r="BA824" i="12"/>
  <c r="BA828" i="12"/>
  <c r="BA830" i="12"/>
  <c r="BA836" i="12"/>
  <c r="BA833" i="12"/>
  <c r="BA842" i="12"/>
  <c r="BA838" i="12"/>
  <c r="BA845" i="12"/>
  <c r="BA849" i="12"/>
  <c r="BA851" i="12"/>
  <c r="BA858" i="12"/>
  <c r="BA856" i="12"/>
  <c r="BA872" i="12"/>
  <c r="BA876" i="12"/>
  <c r="BA879" i="12"/>
  <c r="BA882" i="12"/>
  <c r="BA884" i="12"/>
  <c r="BA889" i="12"/>
  <c r="BA891" i="12"/>
  <c r="BA902" i="12"/>
  <c r="BA899" i="12"/>
  <c r="BA911" i="12"/>
  <c r="BA917" i="12"/>
  <c r="BA924" i="12"/>
  <c r="BA928" i="12"/>
  <c r="BA931" i="12"/>
  <c r="BA937" i="12"/>
  <c r="BA939" i="12"/>
  <c r="BA943" i="12"/>
  <c r="BA941" i="12"/>
  <c r="BA946" i="12"/>
  <c r="BA950" i="12"/>
  <c r="BA958" i="12"/>
  <c r="BA961" i="12"/>
  <c r="BA966" i="12"/>
  <c r="BA972" i="12"/>
  <c r="BA975" i="12"/>
  <c r="BA977" i="12"/>
  <c r="BA979" i="12"/>
  <c r="BA983" i="12"/>
  <c r="BA991" i="12"/>
  <c r="BA1000" i="12"/>
  <c r="BA1005" i="12"/>
  <c r="BA1009" i="12"/>
  <c r="BA1007" i="12"/>
  <c r="BA1013" i="12"/>
  <c r="BA1016" i="12"/>
  <c r="BA1023" i="12"/>
  <c r="BA1026" i="12"/>
  <c r="BA1028" i="12"/>
  <c r="BA1037" i="12"/>
  <c r="BA1040" i="12"/>
  <c r="BA1045" i="12"/>
  <c r="BA1047" i="12"/>
  <c r="BA1062" i="12"/>
  <c r="BA1072" i="12"/>
  <c r="BA1076" i="12"/>
  <c r="BA1080" i="12"/>
  <c r="BA1086" i="12"/>
  <c r="BA1093" i="12"/>
  <c r="BA1095" i="12"/>
  <c r="BA1098" i="12"/>
  <c r="BA1102" i="12"/>
  <c r="BA1100" i="12"/>
  <c r="BA1105" i="12"/>
  <c r="BA1114" i="12"/>
  <c r="BA1119" i="12"/>
  <c r="BA1127" i="12"/>
  <c r="BA1129" i="12"/>
  <c r="BA1136" i="12"/>
  <c r="BA1148" i="12"/>
  <c r="BA1151" i="12"/>
  <c r="BA1153" i="12"/>
  <c r="BA1156" i="12"/>
  <c r="BA1158" i="12"/>
  <c r="BA1165" i="12"/>
  <c r="BA1163" i="12"/>
  <c r="BA1177" i="12"/>
  <c r="BA1180" i="12"/>
  <c r="BA1185" i="12"/>
  <c r="BA1182" i="12"/>
  <c r="BA1187" i="12"/>
  <c r="BA1191" i="12"/>
  <c r="BA1194" i="12"/>
  <c r="BA1208" i="12"/>
  <c r="BA1211" i="12"/>
  <c r="BA1217" i="12"/>
  <c r="BA1220" i="12"/>
  <c r="BA1225" i="12"/>
  <c r="BA1228" i="12"/>
  <c r="BA1234" i="12"/>
  <c r="BA1236" i="12"/>
  <c r="BA1239" i="12"/>
  <c r="BA1242" i="12"/>
  <c r="BA1245" i="12"/>
  <c r="BA1247" i="12"/>
  <c r="BA1267" i="12"/>
  <c r="BA1269" i="12"/>
  <c r="BA1260" i="12"/>
  <c r="BA1272" i="12"/>
  <c r="BA1274" i="12"/>
  <c r="BA1280" i="12"/>
  <c r="BA1284" i="12"/>
  <c r="BA1289" i="12"/>
  <c r="BA1286" i="12"/>
  <c r="BA1293" i="12"/>
  <c r="BA1297" i="12"/>
  <c r="BA1304" i="12"/>
  <c r="BA1308" i="12"/>
  <c r="BA1312" i="12"/>
  <c r="BA1314" i="12"/>
  <c r="BA1318" i="12"/>
  <c r="BA1321" i="12"/>
  <c r="BA1324" i="12"/>
  <c r="BA1331" i="12"/>
  <c r="BA1333" i="12"/>
  <c r="BA1339" i="12"/>
  <c r="BA1342" i="12"/>
  <c r="BA1346" i="12"/>
  <c r="BA1348" i="12"/>
  <c r="BA1350" i="12"/>
  <c r="BA1357" i="12"/>
  <c r="BA1360" i="12"/>
  <c r="BA1379" i="12"/>
  <c r="BA1383" i="12"/>
  <c r="BA1389" i="12"/>
  <c r="BA1392" i="12"/>
  <c r="BA1396" i="12"/>
  <c r="BA1401" i="12"/>
  <c r="BA1399" i="12"/>
  <c r="BA1403" i="12"/>
  <c r="BA1406" i="12"/>
  <c r="BA1409" i="12"/>
  <c r="BA1420" i="12"/>
  <c r="BA1426" i="12"/>
  <c r="BD264" i="12" l="1"/>
  <c r="BD10" i="12"/>
  <c r="BD18" i="12"/>
  <c r="BD26" i="12"/>
  <c r="BD34" i="12"/>
  <c r="BD42" i="12"/>
  <c r="BD50" i="12"/>
  <c r="BD58" i="12"/>
  <c r="BD66" i="12"/>
  <c r="BD74" i="12"/>
  <c r="BD82" i="12"/>
  <c r="BD90" i="12"/>
  <c r="BD98" i="12"/>
  <c r="BD106" i="12"/>
  <c r="BD114" i="12"/>
  <c r="BD122" i="12"/>
  <c r="BD130" i="12"/>
  <c r="BD138" i="12"/>
  <c r="BD147" i="12"/>
  <c r="BD155" i="12"/>
  <c r="BD163" i="12"/>
  <c r="BD171" i="12"/>
  <c r="BD179" i="12"/>
  <c r="BD187" i="12"/>
  <c r="BD195" i="12"/>
  <c r="BD203" i="12"/>
  <c r="BD211" i="12"/>
  <c r="BD220" i="12"/>
  <c r="BD228" i="12"/>
  <c r="BD4" i="12"/>
  <c r="BD12" i="12"/>
  <c r="BD20" i="12"/>
  <c r="BD28" i="12"/>
  <c r="BD36" i="12"/>
  <c r="BD44" i="12"/>
  <c r="BD52" i="12"/>
  <c r="BD60" i="12"/>
  <c r="BD68" i="12"/>
  <c r="BD76" i="12"/>
  <c r="BD84" i="12"/>
  <c r="BD92" i="12"/>
  <c r="BD100" i="12"/>
  <c r="BD108" i="12"/>
  <c r="BD116" i="12"/>
  <c r="BD124" i="12"/>
  <c r="BD132" i="12"/>
  <c r="BD140" i="12"/>
  <c r="BD149" i="12"/>
  <c r="BD157" i="12"/>
  <c r="BD165" i="12"/>
  <c r="BD173" i="12"/>
  <c r="BD181" i="12"/>
  <c r="BD189" i="12"/>
  <c r="BD197" i="12"/>
  <c r="BD205" i="12"/>
  <c r="BD214" i="12"/>
  <c r="BD222" i="12"/>
  <c r="BD230" i="12"/>
  <c r="BD238" i="12"/>
  <c r="BD246" i="12"/>
  <c r="BD255" i="12"/>
  <c r="BD263" i="12"/>
  <c r="BD272" i="12"/>
  <c r="BD280" i="12"/>
  <c r="BD289" i="12"/>
  <c r="BD297" i="12"/>
  <c r="BD305" i="12"/>
  <c r="BD313" i="12"/>
  <c r="BD321" i="12"/>
  <c r="BD329" i="12"/>
  <c r="BD337" i="12"/>
  <c r="BD345" i="12"/>
  <c r="BD353" i="12"/>
  <c r="BD361" i="12"/>
  <c r="BD369" i="12"/>
  <c r="BD377" i="12"/>
  <c r="BD385" i="12"/>
  <c r="BD393" i="12"/>
  <c r="BD401" i="12"/>
  <c r="BD409" i="12"/>
  <c r="BD417" i="12"/>
  <c r="BD425" i="12"/>
  <c r="BD433" i="12"/>
  <c r="BD441" i="12"/>
  <c r="BD449" i="12"/>
  <c r="BD457" i="12"/>
  <c r="BD465" i="12"/>
  <c r="BD473" i="12"/>
  <c r="BD481" i="12"/>
  <c r="BD489" i="12"/>
  <c r="BD497" i="12"/>
  <c r="BD505" i="12"/>
  <c r="BD513" i="12"/>
  <c r="BD521" i="12"/>
  <c r="BD529" i="12"/>
  <c r="BD537" i="12"/>
  <c r="BD545" i="12"/>
  <c r="BD553" i="12"/>
  <c r="BD561" i="12"/>
  <c r="BD5" i="12"/>
  <c r="BD13" i="12"/>
  <c r="BD3" i="12"/>
  <c r="BD16" i="12"/>
  <c r="BD27" i="12"/>
  <c r="BD38" i="12"/>
  <c r="BD48" i="12"/>
  <c r="BD59" i="12"/>
  <c r="BD70" i="12"/>
  <c r="BD80" i="12"/>
  <c r="BD91" i="12"/>
  <c r="BD102" i="12"/>
  <c r="BD112" i="12"/>
  <c r="BD123" i="12"/>
  <c r="BD134" i="12"/>
  <c r="BD145" i="12"/>
  <c r="BD156" i="12"/>
  <c r="BD167" i="12"/>
  <c r="BD177" i="12"/>
  <c r="BD188" i="12"/>
  <c r="BD199" i="12"/>
  <c r="BD209" i="12"/>
  <c r="BD221" i="12"/>
  <c r="BD232" i="12"/>
  <c r="BD241" i="12"/>
  <c r="BD251" i="12"/>
  <c r="BD260" i="12"/>
  <c r="BD270" i="12"/>
  <c r="BD279" i="12"/>
  <c r="BD290" i="12"/>
  <c r="BD299" i="12"/>
  <c r="BD308" i="12"/>
  <c r="BD317" i="12"/>
  <c r="BD326" i="12"/>
  <c r="BD335" i="12"/>
  <c r="BD344" i="12"/>
  <c r="BD354" i="12"/>
  <c r="BD363" i="12"/>
  <c r="BD372" i="12"/>
  <c r="BD381" i="12"/>
  <c r="BD390" i="12"/>
  <c r="BD399" i="12"/>
  <c r="BD408" i="12"/>
  <c r="BD418" i="12"/>
  <c r="BD427" i="12"/>
  <c r="BD436" i="12"/>
  <c r="BD445" i="12"/>
  <c r="BD454" i="12"/>
  <c r="BD463" i="12"/>
  <c r="BD472" i="12"/>
  <c r="BD482" i="12"/>
  <c r="BD491" i="12"/>
  <c r="BD500" i="12"/>
  <c r="BD509" i="12"/>
  <c r="BD518" i="12"/>
  <c r="BD527" i="12"/>
  <c r="BD536" i="12"/>
  <c r="BD546" i="12"/>
  <c r="BD555" i="12"/>
  <c r="BD6" i="12"/>
  <c r="BD17" i="12"/>
  <c r="BD29" i="12"/>
  <c r="BD39" i="12"/>
  <c r="BD49" i="12"/>
  <c r="BD61" i="12"/>
  <c r="BD71" i="12"/>
  <c r="BD81" i="12"/>
  <c r="BD93" i="12"/>
  <c r="BD103" i="12"/>
  <c r="BD113" i="12"/>
  <c r="BD125" i="12"/>
  <c r="BD135" i="12"/>
  <c r="BD146" i="12"/>
  <c r="BD158" i="12"/>
  <c r="BD168" i="12"/>
  <c r="BD178" i="12"/>
  <c r="BD190" i="12"/>
  <c r="BD200" i="12"/>
  <c r="BD210" i="12"/>
  <c r="BD223" i="12"/>
  <c r="BD233" i="12"/>
  <c r="BD242" i="12"/>
  <c r="BD252" i="12"/>
  <c r="BD261" i="12"/>
  <c r="BD271" i="12"/>
  <c r="BD281" i="12"/>
  <c r="BD291" i="12"/>
  <c r="BD300" i="12"/>
  <c r="BD309" i="12"/>
  <c r="BD318" i="12"/>
  <c r="BD327" i="12"/>
  <c r="BD336" i="12"/>
  <c r="BD346" i="12"/>
  <c r="BD355" i="12"/>
  <c r="BD364" i="12"/>
  <c r="BD373" i="12"/>
  <c r="BD382" i="12"/>
  <c r="BD391" i="12"/>
  <c r="BD400" i="12"/>
  <c r="BD410" i="12"/>
  <c r="BD419" i="12"/>
  <c r="BD428" i="12"/>
  <c r="BD437" i="12"/>
  <c r="BD446" i="12"/>
  <c r="BD455" i="12"/>
  <c r="BD464" i="12"/>
  <c r="BD474" i="12"/>
  <c r="BD483" i="12"/>
  <c r="BD492" i="12"/>
  <c r="BD501" i="12"/>
  <c r="BD510" i="12"/>
  <c r="BD519" i="12"/>
  <c r="BD528" i="12"/>
  <c r="BD538" i="12"/>
  <c r="BD547" i="12"/>
  <c r="BD556" i="12"/>
  <c r="BD7" i="12"/>
  <c r="BD19" i="12"/>
  <c r="BD30" i="12"/>
  <c r="BD40" i="12"/>
  <c r="BD51" i="12"/>
  <c r="BD62" i="12"/>
  <c r="BD72" i="12"/>
  <c r="BD83" i="12"/>
  <c r="BD94" i="12"/>
  <c r="BD104" i="12"/>
  <c r="BD115" i="12"/>
  <c r="BD126" i="12"/>
  <c r="BD136" i="12"/>
  <c r="BD148" i="12"/>
  <c r="BD159" i="12"/>
  <c r="BD169" i="12"/>
  <c r="BD180" i="12"/>
  <c r="BD191" i="12"/>
  <c r="BD201" i="12"/>
  <c r="BD213" i="12"/>
  <c r="BD224" i="12"/>
  <c r="BD234" i="12"/>
  <c r="BD243" i="12"/>
  <c r="BD253" i="12"/>
  <c r="BD262" i="12"/>
  <c r="BD273" i="12"/>
  <c r="BD283" i="12"/>
  <c r="BD292" i="12"/>
  <c r="BD301" i="12"/>
  <c r="BD310" i="12"/>
  <c r="BD319" i="12"/>
  <c r="BD328" i="12"/>
  <c r="BD338" i="12"/>
  <c r="BD347" i="12"/>
  <c r="BD356" i="12"/>
  <c r="BD365" i="12"/>
  <c r="BD374" i="12"/>
  <c r="BD383" i="12"/>
  <c r="BD392" i="12"/>
  <c r="BD402" i="12"/>
  <c r="BD411" i="12"/>
  <c r="BD420" i="12"/>
  <c r="BD429" i="12"/>
  <c r="BD438" i="12"/>
  <c r="BD447" i="12"/>
  <c r="BD456" i="12"/>
  <c r="BD466" i="12"/>
  <c r="BD475" i="12"/>
  <c r="BD484" i="12"/>
  <c r="BD493" i="12"/>
  <c r="BD502" i="12"/>
  <c r="BD511" i="12"/>
  <c r="BD520" i="12"/>
  <c r="BD530" i="12"/>
  <c r="BD539" i="12"/>
  <c r="BD548" i="12"/>
  <c r="BD557" i="12"/>
  <c r="BD8" i="12"/>
  <c r="BD21" i="12"/>
  <c r="BD31" i="12"/>
  <c r="BD41" i="12"/>
  <c r="BD53" i="12"/>
  <c r="BD63" i="12"/>
  <c r="BD73" i="12"/>
  <c r="BD85" i="12"/>
  <c r="BD95" i="12"/>
  <c r="BD105" i="12"/>
  <c r="BD117" i="12"/>
  <c r="BD127" i="12"/>
  <c r="BD137" i="12"/>
  <c r="BD150" i="12"/>
  <c r="BD160" i="12"/>
  <c r="BD170" i="12"/>
  <c r="BD182" i="12"/>
  <c r="BD192" i="12"/>
  <c r="BD202" i="12"/>
  <c r="BD215" i="12"/>
  <c r="BD225" i="12"/>
  <c r="BD235" i="12"/>
  <c r="BD244" i="12"/>
  <c r="BD254" i="12"/>
  <c r="BD265" i="12"/>
  <c r="BD274" i="12"/>
  <c r="BD284" i="12"/>
  <c r="BD293" i="12"/>
  <c r="BD302" i="12"/>
  <c r="BD311" i="12"/>
  <c r="BD320" i="12"/>
  <c r="BD330" i="12"/>
  <c r="BD339" i="12"/>
  <c r="BD348" i="12"/>
  <c r="BD357" i="12"/>
  <c r="BD366" i="12"/>
  <c r="BD375" i="12"/>
  <c r="BD384" i="12"/>
  <c r="BD394" i="12"/>
  <c r="BD403" i="12"/>
  <c r="BD412" i="12"/>
  <c r="BD421" i="12"/>
  <c r="BD430" i="12"/>
  <c r="BD439" i="12"/>
  <c r="BD448" i="12"/>
  <c r="BD458" i="12"/>
  <c r="BD282" i="12"/>
  <c r="BD9" i="12"/>
  <c r="BD22" i="12"/>
  <c r="BD32" i="12"/>
  <c r="BD43" i="12"/>
  <c r="BD54" i="12"/>
  <c r="BD64" i="12"/>
  <c r="BD75" i="12"/>
  <c r="BD86" i="12"/>
  <c r="BD96" i="12"/>
  <c r="BD107" i="12"/>
  <c r="BD118" i="12"/>
  <c r="BD128" i="12"/>
  <c r="BD11" i="12"/>
  <c r="BD37" i="12"/>
  <c r="BD67" i="12"/>
  <c r="BD97" i="12"/>
  <c r="BD121" i="12"/>
  <c r="BD151" i="12"/>
  <c r="BD172" i="12"/>
  <c r="BD193" i="12"/>
  <c r="BD216" i="12"/>
  <c r="BD236" i="12"/>
  <c r="BD256" i="12"/>
  <c r="BD275" i="12"/>
  <c r="BD294" i="12"/>
  <c r="BD312" i="12"/>
  <c r="BD331" i="12"/>
  <c r="BD349" i="12"/>
  <c r="BD367" i="12"/>
  <c r="BD386" i="12"/>
  <c r="BD404" i="12"/>
  <c r="BD422" i="12"/>
  <c r="BD440" i="12"/>
  <c r="BD459" i="12"/>
  <c r="BD471" i="12"/>
  <c r="BD487" i="12"/>
  <c r="BD503" i="12"/>
  <c r="BD516" i="12"/>
  <c r="BD532" i="12"/>
  <c r="BD544" i="12"/>
  <c r="BD560" i="12"/>
  <c r="BD14" i="12"/>
  <c r="BD45" i="12"/>
  <c r="BD69" i="12"/>
  <c r="BD99" i="12"/>
  <c r="BD129" i="12"/>
  <c r="BD152" i="12"/>
  <c r="BD174" i="12"/>
  <c r="BD194" i="12"/>
  <c r="BD217" i="12"/>
  <c r="BD237" i="12"/>
  <c r="BD257" i="12"/>
  <c r="BD276" i="12"/>
  <c r="BD295" i="12"/>
  <c r="BD314" i="12"/>
  <c r="BD332" i="12"/>
  <c r="BD350" i="12"/>
  <c r="BD368" i="12"/>
  <c r="BD387" i="12"/>
  <c r="BD405" i="12"/>
  <c r="BD423" i="12"/>
  <c r="BD442" i="12"/>
  <c r="BD460" i="12"/>
  <c r="BD476" i="12"/>
  <c r="BD488" i="12"/>
  <c r="BD504" i="12"/>
  <c r="BD517" i="12"/>
  <c r="BD533" i="12"/>
  <c r="BD549" i="12"/>
  <c r="BD562" i="12"/>
  <c r="BD15" i="12"/>
  <c r="BD46" i="12"/>
  <c r="BD77" i="12"/>
  <c r="BD101" i="12"/>
  <c r="BD131" i="12"/>
  <c r="BD153" i="12"/>
  <c r="BD175" i="12"/>
  <c r="BD196" i="12"/>
  <c r="BD218" i="12"/>
  <c r="BD239" i="12"/>
  <c r="BD258" i="12"/>
  <c r="BD277" i="12"/>
  <c r="BD296" i="12"/>
  <c r="BD315" i="12"/>
  <c r="BD333" i="12"/>
  <c r="BD351" i="12"/>
  <c r="BD370" i="12"/>
  <c r="BD388" i="12"/>
  <c r="BD406" i="12"/>
  <c r="BD424" i="12"/>
  <c r="BD443" i="12"/>
  <c r="BD461" i="12"/>
  <c r="BD477" i="12"/>
  <c r="BD490" i="12"/>
  <c r="BD506" i="12"/>
  <c r="BD522" i="12"/>
  <c r="BD534" i="12"/>
  <c r="BD550" i="12"/>
  <c r="BD23" i="12"/>
  <c r="BD47" i="12"/>
  <c r="BD78" i="12"/>
  <c r="BD109" i="12"/>
  <c r="BD133" i="12"/>
  <c r="BD154" i="12"/>
  <c r="BD176" i="12"/>
  <c r="BD198" i="12"/>
  <c r="BD219" i="12"/>
  <c r="BD240" i="12"/>
  <c r="BD259" i="12"/>
  <c r="BD278" i="12"/>
  <c r="BD298" i="12"/>
  <c r="BD316" i="12"/>
  <c r="BD334" i="12"/>
  <c r="BD352" i="12"/>
  <c r="BD371" i="12"/>
  <c r="BD389" i="12"/>
  <c r="BD407" i="12"/>
  <c r="BD426" i="12"/>
  <c r="BD444" i="12"/>
  <c r="BD462" i="12"/>
  <c r="BD478" i="12"/>
  <c r="BD494" i="12"/>
  <c r="BD507" i="12"/>
  <c r="BD523" i="12"/>
  <c r="BD535" i="12"/>
  <c r="BD551" i="12"/>
  <c r="BD24" i="12"/>
  <c r="BD55" i="12"/>
  <c r="BD79" i="12"/>
  <c r="BD110" i="12"/>
  <c r="BD139" i="12"/>
  <c r="BD161" i="12"/>
  <c r="BD183" i="12"/>
  <c r="BD204" i="12"/>
  <c r="BD226" i="12"/>
  <c r="BD245" i="12"/>
  <c r="BD266" i="12"/>
  <c r="BD285" i="12"/>
  <c r="BD303" i="12"/>
  <c r="BD322" i="12"/>
  <c r="BD340" i="12"/>
  <c r="BD358" i="12"/>
  <c r="BD376" i="12"/>
  <c r="BD395" i="12"/>
  <c r="BD413" i="12"/>
  <c r="BD431" i="12"/>
  <c r="BD450" i="12"/>
  <c r="BD467" i="12"/>
  <c r="BD479" i="12"/>
  <c r="BD495" i="12"/>
  <c r="BD508" i="12"/>
  <c r="BD524" i="12"/>
  <c r="BD540" i="12"/>
  <c r="BD552" i="12"/>
  <c r="BD142" i="12"/>
  <c r="BD65" i="12"/>
  <c r="BD143" i="12"/>
  <c r="BD206" i="12"/>
  <c r="BD250" i="12"/>
  <c r="BD306" i="12"/>
  <c r="BD359" i="12"/>
  <c r="BD398" i="12"/>
  <c r="BD452" i="12"/>
  <c r="BD496" i="12"/>
  <c r="BD531" i="12"/>
  <c r="BD212" i="12"/>
  <c r="BD87" i="12"/>
  <c r="BD144" i="12"/>
  <c r="BD207" i="12"/>
  <c r="BD267" i="12"/>
  <c r="BD307" i="12"/>
  <c r="BD360" i="12"/>
  <c r="BD414" i="12"/>
  <c r="BD453" i="12"/>
  <c r="BD498" i="12"/>
  <c r="BD541" i="12"/>
  <c r="BD247" i="12"/>
  <c r="BD88" i="12"/>
  <c r="BD162" i="12"/>
  <c r="BD208" i="12"/>
  <c r="BD268" i="12"/>
  <c r="BD323" i="12"/>
  <c r="BD362" i="12"/>
  <c r="BD415" i="12"/>
  <c r="BD468" i="12"/>
  <c r="BD499" i="12"/>
  <c r="BD542" i="12"/>
  <c r="BD25" i="12"/>
  <c r="BD89" i="12"/>
  <c r="BD164" i="12"/>
  <c r="BD227" i="12"/>
  <c r="BD269" i="12"/>
  <c r="BD324" i="12"/>
  <c r="BD378" i="12"/>
  <c r="BD416" i="12"/>
  <c r="BD469" i="12"/>
  <c r="BD512" i="12"/>
  <c r="BD543" i="12"/>
  <c r="BD33" i="12"/>
  <c r="BD111" i="12"/>
  <c r="BD166" i="12"/>
  <c r="BD229" i="12"/>
  <c r="BD286" i="12"/>
  <c r="BD325" i="12"/>
  <c r="BD379" i="12"/>
  <c r="BD432" i="12"/>
  <c r="BD470" i="12"/>
  <c r="BD514" i="12"/>
  <c r="BD554" i="12"/>
  <c r="BD120" i="12"/>
  <c r="BD287" i="12"/>
  <c r="BD397" i="12"/>
  <c r="BD525" i="12"/>
  <c r="BD141" i="12"/>
  <c r="BD288" i="12"/>
  <c r="BD434" i="12"/>
  <c r="BD526" i="12"/>
  <c r="BD184" i="12"/>
  <c r="BD304" i="12"/>
  <c r="BD435" i="12"/>
  <c r="BD558" i="12"/>
  <c r="BD185" i="12"/>
  <c r="BD341" i="12"/>
  <c r="BD451" i="12"/>
  <c r="BD559" i="12"/>
  <c r="BD35" i="12"/>
  <c r="BD186" i="12"/>
  <c r="BD342" i="12"/>
  <c r="BD480" i="12"/>
  <c r="BD119" i="12"/>
  <c r="BD249" i="12"/>
  <c r="BD396" i="12"/>
  <c r="BD515" i="12"/>
  <c r="BD56" i="12"/>
  <c r="BD57" i="12"/>
  <c r="BD231" i="12"/>
  <c r="BD248" i="12"/>
  <c r="BD343" i="12"/>
  <c r="BD380" i="12"/>
  <c r="BD485" i="12"/>
  <c r="BD486" i="12"/>
  <c r="O436" i="10" l="1"/>
  <c r="BJ435" i="12"/>
  <c r="BN435" i="12" s="1"/>
  <c r="S436" i="10" s="1"/>
  <c r="BH435" i="12"/>
  <c r="BS435" i="12" s="1"/>
  <c r="W436" i="10" s="1"/>
  <c r="BK435" i="12"/>
  <c r="BO435" i="12" s="1"/>
  <c r="T436" i="10" s="1"/>
  <c r="BI435" i="12"/>
  <c r="BM435" i="12" s="1"/>
  <c r="BG435" i="12"/>
  <c r="BR435" i="12" s="1"/>
  <c r="V436" i="10" s="1"/>
  <c r="BF435" i="12"/>
  <c r="BQ435" i="12" s="1"/>
  <c r="A448" i="1"/>
  <c r="BE435" i="12"/>
  <c r="BT435" i="12" s="1"/>
  <c r="O497" i="10"/>
  <c r="BF496" i="12"/>
  <c r="BQ496" i="12" s="1"/>
  <c r="BI496" i="12"/>
  <c r="BM496" i="12" s="1"/>
  <c r="BG496" i="12"/>
  <c r="BR496" i="12" s="1"/>
  <c r="V497" i="10" s="1"/>
  <c r="BJ496" i="12"/>
  <c r="BN496" i="12" s="1"/>
  <c r="S497" i="10" s="1"/>
  <c r="BH496" i="12"/>
  <c r="BS496" i="12" s="1"/>
  <c r="W497" i="10" s="1"/>
  <c r="BK496" i="12"/>
  <c r="BO496" i="12" s="1"/>
  <c r="T497" i="10" s="1"/>
  <c r="BE496" i="12"/>
  <c r="BT496" i="12" s="1"/>
  <c r="A509" i="1"/>
  <c r="O390" i="10"/>
  <c r="BJ389" i="12"/>
  <c r="BN389" i="12" s="1"/>
  <c r="S390" i="10" s="1"/>
  <c r="BH389" i="12"/>
  <c r="BS389" i="12" s="1"/>
  <c r="W390" i="10" s="1"/>
  <c r="BG389" i="12"/>
  <c r="BR389" i="12" s="1"/>
  <c r="V390" i="10" s="1"/>
  <c r="BI389" i="12"/>
  <c r="BM389" i="12" s="1"/>
  <c r="BK389" i="12"/>
  <c r="BO389" i="12" s="1"/>
  <c r="T390" i="10" s="1"/>
  <c r="BF389" i="12"/>
  <c r="BQ389" i="12" s="1"/>
  <c r="A402" i="1"/>
  <c r="BE389" i="12"/>
  <c r="BT389" i="12" s="1"/>
  <c r="O534" i="10"/>
  <c r="BF533" i="12"/>
  <c r="BQ533" i="12" s="1"/>
  <c r="BI533" i="12"/>
  <c r="BM533" i="12" s="1"/>
  <c r="BG533" i="12"/>
  <c r="BR533" i="12" s="1"/>
  <c r="V534" i="10" s="1"/>
  <c r="BH533" i="12"/>
  <c r="BS533" i="12" s="1"/>
  <c r="W534" i="10" s="1"/>
  <c r="BK533" i="12"/>
  <c r="BO533" i="12" s="1"/>
  <c r="T534" i="10" s="1"/>
  <c r="BJ533" i="12"/>
  <c r="BN533" i="12" s="1"/>
  <c r="S534" i="10" s="1"/>
  <c r="A546" i="1"/>
  <c r="BE533" i="12"/>
  <c r="BT533" i="12" s="1"/>
  <c r="O560" i="10"/>
  <c r="BK559" i="12"/>
  <c r="BO559" i="12" s="1"/>
  <c r="T560" i="10" s="1"/>
  <c r="BF559" i="12"/>
  <c r="BQ559" i="12" s="1"/>
  <c r="BG559" i="12"/>
  <c r="BR559" i="12" s="1"/>
  <c r="V560" i="10" s="1"/>
  <c r="BH559" i="12"/>
  <c r="BS559" i="12" s="1"/>
  <c r="W560" i="10" s="1"/>
  <c r="BJ559" i="12"/>
  <c r="BN559" i="12" s="1"/>
  <c r="S560" i="10" s="1"/>
  <c r="BI559" i="12"/>
  <c r="BM559" i="12" s="1"/>
  <c r="BE559" i="12"/>
  <c r="BT559" i="12" s="1"/>
  <c r="A572" i="1"/>
  <c r="O167" i="10"/>
  <c r="BI166" i="12"/>
  <c r="BM166" i="12" s="1"/>
  <c r="BG166" i="12"/>
  <c r="BR166" i="12" s="1"/>
  <c r="V167" i="10" s="1"/>
  <c r="BJ166" i="12"/>
  <c r="BN166" i="12" s="1"/>
  <c r="S167" i="10" s="1"/>
  <c r="BH166" i="12"/>
  <c r="BS166" i="12" s="1"/>
  <c r="W167" i="10" s="1"/>
  <c r="BK166" i="12"/>
  <c r="BO166" i="12" s="1"/>
  <c r="T167" i="10" s="1"/>
  <c r="BF166" i="12"/>
  <c r="BQ166" i="12" s="1"/>
  <c r="A179" i="1"/>
  <c r="BE166" i="12"/>
  <c r="BT166" i="12" s="1"/>
  <c r="O248" i="10"/>
  <c r="BF247" i="12"/>
  <c r="BQ247" i="12" s="1"/>
  <c r="BI247" i="12"/>
  <c r="BM247" i="12" s="1"/>
  <c r="BG247" i="12"/>
  <c r="BR247" i="12" s="1"/>
  <c r="V248" i="10" s="1"/>
  <c r="BK247" i="12"/>
  <c r="BO247" i="12" s="1"/>
  <c r="T248" i="10" s="1"/>
  <c r="BH247" i="12"/>
  <c r="BS247" i="12" s="1"/>
  <c r="W248" i="10" s="1"/>
  <c r="BJ247" i="12"/>
  <c r="BN247" i="12" s="1"/>
  <c r="S248" i="10" s="1"/>
  <c r="BE247" i="12"/>
  <c r="BT247" i="12" s="1"/>
  <c r="A260" i="1"/>
  <c r="O541" i="10"/>
  <c r="BI540" i="12"/>
  <c r="BM540" i="12" s="1"/>
  <c r="BF540" i="12"/>
  <c r="BQ540" i="12" s="1"/>
  <c r="BH540" i="12"/>
  <c r="BS540" i="12" s="1"/>
  <c r="W541" i="10" s="1"/>
  <c r="BG540" i="12"/>
  <c r="BR540" i="12" s="1"/>
  <c r="V541" i="10" s="1"/>
  <c r="BK540" i="12"/>
  <c r="BO540" i="12" s="1"/>
  <c r="T541" i="10" s="1"/>
  <c r="BJ540" i="12"/>
  <c r="BN540" i="12" s="1"/>
  <c r="S541" i="10" s="1"/>
  <c r="A553" i="1"/>
  <c r="BE540" i="12"/>
  <c r="BT540" i="12" s="1"/>
  <c r="O479" i="10"/>
  <c r="BK478" i="12"/>
  <c r="BO478" i="12" s="1"/>
  <c r="T479" i="10" s="1"/>
  <c r="BF478" i="12"/>
  <c r="BQ478" i="12" s="1"/>
  <c r="BJ478" i="12"/>
  <c r="BN478" i="12" s="1"/>
  <c r="S479" i="10" s="1"/>
  <c r="BG478" i="12"/>
  <c r="BR478" i="12" s="1"/>
  <c r="V479" i="10" s="1"/>
  <c r="BI478" i="12"/>
  <c r="BM478" i="12" s="1"/>
  <c r="BH478" i="12"/>
  <c r="BS478" i="12" s="1"/>
  <c r="W479" i="10" s="1"/>
  <c r="BE478" i="12"/>
  <c r="BT478" i="12" s="1"/>
  <c r="A491" i="1"/>
  <c r="O177" i="10"/>
  <c r="BF176" i="12"/>
  <c r="BQ176" i="12" s="1"/>
  <c r="BI176" i="12"/>
  <c r="BM176" i="12" s="1"/>
  <c r="BG176" i="12"/>
  <c r="BR176" i="12" s="1"/>
  <c r="V177" i="10" s="1"/>
  <c r="BJ176" i="12"/>
  <c r="BN176" i="12" s="1"/>
  <c r="S177" i="10" s="1"/>
  <c r="BH176" i="12"/>
  <c r="BS176" i="12" s="1"/>
  <c r="W177" i="10" s="1"/>
  <c r="BK176" i="12"/>
  <c r="BO176" i="12" s="1"/>
  <c r="T177" i="10" s="1"/>
  <c r="A189" i="1"/>
  <c r="BE176" i="12"/>
  <c r="BT176" i="12" s="1"/>
  <c r="O407" i="10"/>
  <c r="BF406" i="12"/>
  <c r="BQ406" i="12" s="1"/>
  <c r="BI406" i="12"/>
  <c r="BM406" i="12" s="1"/>
  <c r="BG406" i="12"/>
  <c r="BR406" i="12" s="1"/>
  <c r="V407" i="10" s="1"/>
  <c r="BK406" i="12"/>
  <c r="BO406" i="12" s="1"/>
  <c r="T407" i="10" s="1"/>
  <c r="BH406" i="12"/>
  <c r="BS406" i="12" s="1"/>
  <c r="W407" i="10" s="1"/>
  <c r="BJ406" i="12"/>
  <c r="BN406" i="12" s="1"/>
  <c r="S407" i="10" s="1"/>
  <c r="A419" i="1"/>
  <c r="BE406" i="12"/>
  <c r="BT406" i="12" s="1"/>
  <c r="O78" i="10"/>
  <c r="BK77" i="12"/>
  <c r="BO77" i="12" s="1"/>
  <c r="T78" i="10" s="1"/>
  <c r="BF77" i="12"/>
  <c r="BQ77" i="12" s="1"/>
  <c r="BJ77" i="12"/>
  <c r="BN77" i="12" s="1"/>
  <c r="S78" i="10" s="1"/>
  <c r="BG77" i="12"/>
  <c r="BR77" i="12" s="1"/>
  <c r="V78" i="10" s="1"/>
  <c r="BH77" i="12"/>
  <c r="BS77" i="12" s="1"/>
  <c r="W78" i="10" s="1"/>
  <c r="BI77" i="12"/>
  <c r="BM77" i="12" s="1"/>
  <c r="A90" i="1"/>
  <c r="BE77" i="12"/>
  <c r="BT77" i="12" s="1"/>
  <c r="O489" i="10"/>
  <c r="BF488" i="12"/>
  <c r="BQ488" i="12" s="1"/>
  <c r="BI488" i="12"/>
  <c r="BM488" i="12" s="1"/>
  <c r="BG488" i="12"/>
  <c r="BR488" i="12" s="1"/>
  <c r="V489" i="10" s="1"/>
  <c r="BK488" i="12"/>
  <c r="BO488" i="12" s="1"/>
  <c r="T489" i="10" s="1"/>
  <c r="BH488" i="12"/>
  <c r="BS488" i="12" s="1"/>
  <c r="W489" i="10" s="1"/>
  <c r="BJ488" i="12"/>
  <c r="BN488" i="12" s="1"/>
  <c r="S489" i="10" s="1"/>
  <c r="BE488" i="12"/>
  <c r="BT488" i="12" s="1"/>
  <c r="A501" i="1"/>
  <c r="BI194" i="12"/>
  <c r="BM194" i="12" s="1"/>
  <c r="BG194" i="12"/>
  <c r="BR194" i="12" s="1"/>
  <c r="V195" i="10" s="1"/>
  <c r="BJ194" i="12"/>
  <c r="BN194" i="12" s="1"/>
  <c r="S195" i="10" s="1"/>
  <c r="BH194" i="12"/>
  <c r="BS194" i="12" s="1"/>
  <c r="W195" i="10" s="1"/>
  <c r="O195" i="10"/>
  <c r="BK194" i="12"/>
  <c r="BO194" i="12" s="1"/>
  <c r="T195" i="10" s="1"/>
  <c r="BF194" i="12"/>
  <c r="BQ194" i="12" s="1"/>
  <c r="A207" i="1"/>
  <c r="BE194" i="12"/>
  <c r="BT194" i="12" s="1"/>
  <c r="O561" i="10"/>
  <c r="BF560" i="12"/>
  <c r="BQ560" i="12" s="1"/>
  <c r="BI560" i="12"/>
  <c r="BM560" i="12" s="1"/>
  <c r="BG560" i="12"/>
  <c r="BR560" i="12" s="1"/>
  <c r="V561" i="10" s="1"/>
  <c r="BJ560" i="12"/>
  <c r="BN560" i="12" s="1"/>
  <c r="S561" i="10" s="1"/>
  <c r="BK560" i="12"/>
  <c r="BO560" i="12" s="1"/>
  <c r="T561" i="10" s="1"/>
  <c r="BH560" i="12"/>
  <c r="BS560" i="12" s="1"/>
  <c r="W561" i="10" s="1"/>
  <c r="A573" i="1"/>
  <c r="BE560" i="12"/>
  <c r="BT560" i="12" s="1"/>
  <c r="O441" i="10"/>
  <c r="BI440" i="12"/>
  <c r="BM440" i="12" s="1"/>
  <c r="BJ440" i="12"/>
  <c r="BN440" i="12" s="1"/>
  <c r="S441" i="10" s="1"/>
  <c r="BG440" i="12"/>
  <c r="BR440" i="12" s="1"/>
  <c r="V441" i="10" s="1"/>
  <c r="BH440" i="12"/>
  <c r="BS440" i="12" s="1"/>
  <c r="W441" i="10" s="1"/>
  <c r="BF440" i="12"/>
  <c r="BQ440" i="12" s="1"/>
  <c r="BK440" i="12"/>
  <c r="BO440" i="12" s="1"/>
  <c r="T441" i="10" s="1"/>
  <c r="BE440" i="12"/>
  <c r="BT440" i="12" s="1"/>
  <c r="A453" i="1"/>
  <c r="O295" i="10"/>
  <c r="BF294" i="12"/>
  <c r="BQ294" i="12" s="1"/>
  <c r="BI294" i="12"/>
  <c r="BM294" i="12" s="1"/>
  <c r="BK294" i="12"/>
  <c r="BO294" i="12" s="1"/>
  <c r="T295" i="10" s="1"/>
  <c r="BJ294" i="12"/>
  <c r="BN294" i="12" s="1"/>
  <c r="S295" i="10" s="1"/>
  <c r="BG294" i="12"/>
  <c r="BR294" i="12" s="1"/>
  <c r="V295" i="10" s="1"/>
  <c r="BH294" i="12"/>
  <c r="BS294" i="12" s="1"/>
  <c r="W295" i="10" s="1"/>
  <c r="BE294" i="12"/>
  <c r="BT294" i="12" s="1"/>
  <c r="A307" i="1"/>
  <c r="O122" i="10"/>
  <c r="BJ121" i="12"/>
  <c r="BN121" i="12" s="1"/>
  <c r="S122" i="10" s="1"/>
  <c r="BH121" i="12"/>
  <c r="BS121" i="12" s="1"/>
  <c r="W122" i="10" s="1"/>
  <c r="BK121" i="12"/>
  <c r="BO121" i="12" s="1"/>
  <c r="T122" i="10" s="1"/>
  <c r="BI121" i="12"/>
  <c r="BM121" i="12" s="1"/>
  <c r="BF121" i="12"/>
  <c r="BQ121" i="12" s="1"/>
  <c r="BG121" i="12"/>
  <c r="BR121" i="12" s="1"/>
  <c r="V122" i="10" s="1"/>
  <c r="BE121" i="12"/>
  <c r="BT121" i="12" s="1"/>
  <c r="A134" i="1"/>
  <c r="O97" i="10"/>
  <c r="BK96" i="12"/>
  <c r="BO96" i="12" s="1"/>
  <c r="T97" i="10" s="1"/>
  <c r="BF96" i="12"/>
  <c r="BQ96" i="12" s="1"/>
  <c r="BI96" i="12"/>
  <c r="BM96" i="12" s="1"/>
  <c r="BG96" i="12"/>
  <c r="BR96" i="12" s="1"/>
  <c r="V97" i="10" s="1"/>
  <c r="BH96" i="12"/>
  <c r="BS96" i="12" s="1"/>
  <c r="W97" i="10" s="1"/>
  <c r="BJ96" i="12"/>
  <c r="BN96" i="12" s="1"/>
  <c r="S97" i="10" s="1"/>
  <c r="A109" i="1"/>
  <c r="BE96" i="12"/>
  <c r="BT96" i="12" s="1"/>
  <c r="BF9" i="12"/>
  <c r="BQ9" i="12" s="1"/>
  <c r="BI9" i="12"/>
  <c r="BM9" i="12" s="1"/>
  <c r="BG9" i="12"/>
  <c r="BR9" i="12" s="1"/>
  <c r="V10" i="10" s="1"/>
  <c r="O10" i="10"/>
  <c r="BK9" i="12"/>
  <c r="BO9" i="12" s="1"/>
  <c r="T10" i="10" s="1"/>
  <c r="BH9" i="12"/>
  <c r="BS9" i="12" s="1"/>
  <c r="W10" i="10" s="1"/>
  <c r="BJ9" i="12"/>
  <c r="BN9" i="12" s="1"/>
  <c r="S10" i="10" s="1"/>
  <c r="BE9" i="12"/>
  <c r="BT9" i="12" s="1"/>
  <c r="A22" i="1"/>
  <c r="O404" i="10"/>
  <c r="BF403" i="12"/>
  <c r="BQ403" i="12" s="1"/>
  <c r="BI403" i="12"/>
  <c r="BM403" i="12" s="1"/>
  <c r="BG403" i="12"/>
  <c r="BR403" i="12" s="1"/>
  <c r="V404" i="10" s="1"/>
  <c r="BH403" i="12"/>
  <c r="BS403" i="12" s="1"/>
  <c r="W404" i="10" s="1"/>
  <c r="BJ403" i="12"/>
  <c r="BN403" i="12" s="1"/>
  <c r="S404" i="10" s="1"/>
  <c r="BK403" i="12"/>
  <c r="BO403" i="12" s="1"/>
  <c r="T404" i="10" s="1"/>
  <c r="BE403" i="12"/>
  <c r="BT403" i="12" s="1"/>
  <c r="A416" i="1"/>
  <c r="O331" i="10"/>
  <c r="BI330" i="12"/>
  <c r="BM330" i="12" s="1"/>
  <c r="BG330" i="12"/>
  <c r="BR330" i="12" s="1"/>
  <c r="V331" i="10" s="1"/>
  <c r="BJ330" i="12"/>
  <c r="BN330" i="12" s="1"/>
  <c r="S331" i="10" s="1"/>
  <c r="BH330" i="12"/>
  <c r="BS330" i="12" s="1"/>
  <c r="W331" i="10" s="1"/>
  <c r="BF330" i="12"/>
  <c r="BQ330" i="12" s="1"/>
  <c r="BK330" i="12"/>
  <c r="BO330" i="12" s="1"/>
  <c r="T331" i="10" s="1"/>
  <c r="A343" i="1"/>
  <c r="BE330" i="12"/>
  <c r="BT330" i="12" s="1"/>
  <c r="O255" i="10"/>
  <c r="BJ254" i="12"/>
  <c r="BN254" i="12" s="1"/>
  <c r="S255" i="10" s="1"/>
  <c r="BH254" i="12"/>
  <c r="BS254" i="12" s="1"/>
  <c r="W255" i="10" s="1"/>
  <c r="BK254" i="12"/>
  <c r="BO254" i="12" s="1"/>
  <c r="T255" i="10" s="1"/>
  <c r="BF254" i="12"/>
  <c r="BQ254" i="12" s="1"/>
  <c r="BG254" i="12"/>
  <c r="BR254" i="12" s="1"/>
  <c r="V255" i="10" s="1"/>
  <c r="BI254" i="12"/>
  <c r="BM254" i="12" s="1"/>
  <c r="BE254" i="12"/>
  <c r="BT254" i="12" s="1"/>
  <c r="A267" i="1"/>
  <c r="O171" i="10"/>
  <c r="BK170" i="12"/>
  <c r="BO170" i="12" s="1"/>
  <c r="T171" i="10" s="1"/>
  <c r="BF170" i="12"/>
  <c r="BQ170" i="12" s="1"/>
  <c r="BI170" i="12"/>
  <c r="BM170" i="12" s="1"/>
  <c r="BG170" i="12"/>
  <c r="BR170" i="12" s="1"/>
  <c r="V171" i="10" s="1"/>
  <c r="BH170" i="12"/>
  <c r="BS170" i="12" s="1"/>
  <c r="W171" i="10" s="1"/>
  <c r="BJ170" i="12"/>
  <c r="BN170" i="12" s="1"/>
  <c r="S171" i="10" s="1"/>
  <c r="A183" i="1"/>
  <c r="BE170" i="12"/>
  <c r="BT170" i="12" s="1"/>
  <c r="O86" i="10"/>
  <c r="BK85" i="12"/>
  <c r="BO85" i="12" s="1"/>
  <c r="T86" i="10" s="1"/>
  <c r="BF85" i="12"/>
  <c r="BQ85" i="12" s="1"/>
  <c r="BJ85" i="12"/>
  <c r="BN85" i="12" s="1"/>
  <c r="S86" i="10" s="1"/>
  <c r="BG85" i="12"/>
  <c r="BR85" i="12" s="1"/>
  <c r="V86" i="10" s="1"/>
  <c r="BI85" i="12"/>
  <c r="BM85" i="12" s="1"/>
  <c r="BH85" i="12"/>
  <c r="BS85" i="12" s="1"/>
  <c r="W86" i="10" s="1"/>
  <c r="A98" i="1"/>
  <c r="BE85" i="12"/>
  <c r="BT85" i="12" s="1"/>
  <c r="O558" i="10"/>
  <c r="BG557" i="12"/>
  <c r="BR557" i="12" s="1"/>
  <c r="V558" i="10" s="1"/>
  <c r="BH557" i="12"/>
  <c r="BS557" i="12" s="1"/>
  <c r="W558" i="10" s="1"/>
  <c r="BF557" i="12"/>
  <c r="BQ557" i="12" s="1"/>
  <c r="BI557" i="12"/>
  <c r="BM557" i="12" s="1"/>
  <c r="BK557" i="12"/>
  <c r="BO557" i="12" s="1"/>
  <c r="T558" i="10" s="1"/>
  <c r="BJ557" i="12"/>
  <c r="BN557" i="12" s="1"/>
  <c r="S558" i="10" s="1"/>
  <c r="A570" i="1"/>
  <c r="BE557" i="12"/>
  <c r="BT557" i="12" s="1"/>
  <c r="O485" i="10"/>
  <c r="BJ484" i="12"/>
  <c r="BN484" i="12" s="1"/>
  <c r="S485" i="10" s="1"/>
  <c r="BH484" i="12"/>
  <c r="BS484" i="12" s="1"/>
  <c r="W485" i="10" s="1"/>
  <c r="BK484" i="12"/>
  <c r="BO484" i="12" s="1"/>
  <c r="T485" i="10" s="1"/>
  <c r="BG484" i="12"/>
  <c r="BR484" i="12" s="1"/>
  <c r="V485" i="10" s="1"/>
  <c r="BF484" i="12"/>
  <c r="BQ484" i="12" s="1"/>
  <c r="BI484" i="12"/>
  <c r="BM484" i="12" s="1"/>
  <c r="A497" i="1"/>
  <c r="BE484" i="12"/>
  <c r="BT484" i="12" s="1"/>
  <c r="O412" i="10"/>
  <c r="BF411" i="12"/>
  <c r="BQ411" i="12" s="1"/>
  <c r="BI411" i="12"/>
  <c r="BM411" i="12" s="1"/>
  <c r="BG411" i="12"/>
  <c r="BR411" i="12" s="1"/>
  <c r="V412" i="10" s="1"/>
  <c r="BJ411" i="12"/>
  <c r="BN411" i="12" s="1"/>
  <c r="S412" i="10" s="1"/>
  <c r="BK411" i="12"/>
  <c r="BO411" i="12" s="1"/>
  <c r="T412" i="10" s="1"/>
  <c r="BH411" i="12"/>
  <c r="BS411" i="12" s="1"/>
  <c r="W412" i="10" s="1"/>
  <c r="A424" i="1"/>
  <c r="BE411" i="12"/>
  <c r="BT411" i="12" s="1"/>
  <c r="BI338" i="12"/>
  <c r="BM338" i="12" s="1"/>
  <c r="BG338" i="12"/>
  <c r="BR338" i="12" s="1"/>
  <c r="V339" i="10" s="1"/>
  <c r="BJ338" i="12"/>
  <c r="BN338" i="12" s="1"/>
  <c r="S339" i="10" s="1"/>
  <c r="BH338" i="12"/>
  <c r="BS338" i="12" s="1"/>
  <c r="W339" i="10" s="1"/>
  <c r="BF338" i="12"/>
  <c r="BQ338" i="12" s="1"/>
  <c r="O339" i="10"/>
  <c r="BK338" i="12"/>
  <c r="BO338" i="12" s="1"/>
  <c r="T339" i="10" s="1"/>
  <c r="BE338" i="12"/>
  <c r="BT338" i="12" s="1"/>
  <c r="A351" i="1"/>
  <c r="O263" i="10"/>
  <c r="BJ262" i="12"/>
  <c r="BN262" i="12" s="1"/>
  <c r="S263" i="10" s="1"/>
  <c r="BH262" i="12"/>
  <c r="BS262" i="12" s="1"/>
  <c r="W263" i="10" s="1"/>
  <c r="BK262" i="12"/>
  <c r="BO262" i="12" s="1"/>
  <c r="T263" i="10" s="1"/>
  <c r="BF262" i="12"/>
  <c r="BQ262" i="12" s="1"/>
  <c r="BG262" i="12"/>
  <c r="BR262" i="12" s="1"/>
  <c r="V263" i="10" s="1"/>
  <c r="BI262" i="12"/>
  <c r="BM262" i="12" s="1"/>
  <c r="A275" i="1"/>
  <c r="BE262" i="12"/>
  <c r="BT262" i="12" s="1"/>
  <c r="O181" i="10"/>
  <c r="BJ180" i="12"/>
  <c r="BN180" i="12" s="1"/>
  <c r="S181" i="10" s="1"/>
  <c r="BH180" i="12"/>
  <c r="BS180" i="12" s="1"/>
  <c r="W181" i="10" s="1"/>
  <c r="BK180" i="12"/>
  <c r="BO180" i="12" s="1"/>
  <c r="T181" i="10" s="1"/>
  <c r="BF180" i="12"/>
  <c r="BQ180" i="12" s="1"/>
  <c r="BG180" i="12"/>
  <c r="BR180" i="12" s="1"/>
  <c r="V181" i="10" s="1"/>
  <c r="BI180" i="12"/>
  <c r="BM180" i="12" s="1"/>
  <c r="BE180" i="12"/>
  <c r="BT180" i="12" s="1"/>
  <c r="A193" i="1"/>
  <c r="O95" i="10"/>
  <c r="BF94" i="12"/>
  <c r="BQ94" i="12" s="1"/>
  <c r="BI94" i="12"/>
  <c r="BM94" i="12" s="1"/>
  <c r="BG94" i="12"/>
  <c r="BR94" i="12" s="1"/>
  <c r="V95" i="10" s="1"/>
  <c r="BJ94" i="12"/>
  <c r="BN94" i="12" s="1"/>
  <c r="S95" i="10" s="1"/>
  <c r="BH94" i="12"/>
  <c r="BS94" i="12" s="1"/>
  <c r="W95" i="10" s="1"/>
  <c r="BK94" i="12"/>
  <c r="BO94" i="12" s="1"/>
  <c r="T95" i="10" s="1"/>
  <c r="A107" i="1"/>
  <c r="BE94" i="12"/>
  <c r="BT94" i="12" s="1"/>
  <c r="O8" i="10"/>
  <c r="BI7" i="12"/>
  <c r="BM7" i="12" s="1"/>
  <c r="BG7" i="12"/>
  <c r="BR7" i="12" s="1"/>
  <c r="V8" i="10" s="1"/>
  <c r="BJ7" i="12"/>
  <c r="BN7" i="12" s="1"/>
  <c r="S8" i="10" s="1"/>
  <c r="BH7" i="12"/>
  <c r="BS7" i="12" s="1"/>
  <c r="W8" i="10" s="1"/>
  <c r="BF7" i="12"/>
  <c r="BQ7" i="12" s="1"/>
  <c r="BK7" i="12"/>
  <c r="BO7" i="12" s="1"/>
  <c r="T8" i="10" s="1"/>
  <c r="BE7" i="12"/>
  <c r="BT7" i="12" s="1"/>
  <c r="A20" i="1"/>
  <c r="O493" i="10"/>
  <c r="BJ492" i="12"/>
  <c r="BN492" i="12" s="1"/>
  <c r="S493" i="10" s="1"/>
  <c r="BH492" i="12"/>
  <c r="BS492" i="12" s="1"/>
  <c r="W493" i="10" s="1"/>
  <c r="BK492" i="12"/>
  <c r="BO492" i="12" s="1"/>
  <c r="T493" i="10" s="1"/>
  <c r="BI492" i="12"/>
  <c r="BM492" i="12" s="1"/>
  <c r="BF492" i="12"/>
  <c r="BQ492" i="12" s="1"/>
  <c r="BG492" i="12"/>
  <c r="BR492" i="12" s="1"/>
  <c r="V493" i="10" s="1"/>
  <c r="A505" i="1"/>
  <c r="BE492" i="12"/>
  <c r="BT492" i="12" s="1"/>
  <c r="O420" i="10"/>
  <c r="BF419" i="12"/>
  <c r="BQ419" i="12" s="1"/>
  <c r="BI419" i="12"/>
  <c r="BM419" i="12" s="1"/>
  <c r="BG419" i="12"/>
  <c r="BR419" i="12" s="1"/>
  <c r="V420" i="10" s="1"/>
  <c r="BH419" i="12"/>
  <c r="BS419" i="12" s="1"/>
  <c r="W420" i="10" s="1"/>
  <c r="BJ419" i="12"/>
  <c r="BN419" i="12" s="1"/>
  <c r="S420" i="10" s="1"/>
  <c r="BK419" i="12"/>
  <c r="BO419" i="12" s="1"/>
  <c r="T420" i="10" s="1"/>
  <c r="A432" i="1"/>
  <c r="BE419" i="12"/>
  <c r="BT419" i="12" s="1"/>
  <c r="O347" i="10"/>
  <c r="BK346" i="12"/>
  <c r="BO346" i="12" s="1"/>
  <c r="T347" i="10" s="1"/>
  <c r="BF346" i="12"/>
  <c r="BQ346" i="12" s="1"/>
  <c r="BG346" i="12"/>
  <c r="BR346" i="12" s="1"/>
  <c r="V347" i="10" s="1"/>
  <c r="BH346" i="12"/>
  <c r="BS346" i="12" s="1"/>
  <c r="W347" i="10" s="1"/>
  <c r="BI346" i="12"/>
  <c r="BM346" i="12" s="1"/>
  <c r="BJ346" i="12"/>
  <c r="BN346" i="12" s="1"/>
  <c r="S347" i="10" s="1"/>
  <c r="A359" i="1"/>
  <c r="BE346" i="12"/>
  <c r="BT346" i="12" s="1"/>
  <c r="O272" i="10"/>
  <c r="BF271" i="12"/>
  <c r="BQ271" i="12" s="1"/>
  <c r="BI271" i="12"/>
  <c r="BM271" i="12" s="1"/>
  <c r="BG271" i="12"/>
  <c r="BR271" i="12" s="1"/>
  <c r="V272" i="10" s="1"/>
  <c r="BJ271" i="12"/>
  <c r="BN271" i="12" s="1"/>
  <c r="S272" i="10" s="1"/>
  <c r="BK271" i="12"/>
  <c r="BO271" i="12" s="1"/>
  <c r="T272" i="10" s="1"/>
  <c r="BH271" i="12"/>
  <c r="BS271" i="12" s="1"/>
  <c r="W272" i="10" s="1"/>
  <c r="BE271" i="12"/>
  <c r="BT271" i="12" s="1"/>
  <c r="A284" i="1"/>
  <c r="O191" i="10"/>
  <c r="BK190" i="12"/>
  <c r="BO190" i="12" s="1"/>
  <c r="T191" i="10" s="1"/>
  <c r="BF190" i="12"/>
  <c r="BQ190" i="12" s="1"/>
  <c r="BI190" i="12"/>
  <c r="BM190" i="12" s="1"/>
  <c r="BG190" i="12"/>
  <c r="BR190" i="12" s="1"/>
  <c r="V191" i="10" s="1"/>
  <c r="BH190" i="12"/>
  <c r="BS190" i="12" s="1"/>
  <c r="W191" i="10" s="1"/>
  <c r="BJ190" i="12"/>
  <c r="BN190" i="12" s="1"/>
  <c r="S191" i="10" s="1"/>
  <c r="A203" i="1"/>
  <c r="BE190" i="12"/>
  <c r="BT190" i="12" s="1"/>
  <c r="O104" i="10"/>
  <c r="BJ103" i="12"/>
  <c r="BN103" i="12" s="1"/>
  <c r="S104" i="10" s="1"/>
  <c r="BH103" i="12"/>
  <c r="BS103" i="12" s="1"/>
  <c r="W104" i="10" s="1"/>
  <c r="BK103" i="12"/>
  <c r="BO103" i="12" s="1"/>
  <c r="T104" i="10" s="1"/>
  <c r="BI103" i="12"/>
  <c r="BM103" i="12" s="1"/>
  <c r="BF103" i="12"/>
  <c r="BQ103" i="12" s="1"/>
  <c r="BG103" i="12"/>
  <c r="BR103" i="12" s="1"/>
  <c r="V104" i="10" s="1"/>
  <c r="A116" i="1"/>
  <c r="BE103" i="12"/>
  <c r="BT103" i="12" s="1"/>
  <c r="O18" i="10"/>
  <c r="BF17" i="12"/>
  <c r="BQ17" i="12" s="1"/>
  <c r="BI17" i="12"/>
  <c r="BM17" i="12" s="1"/>
  <c r="BG17" i="12"/>
  <c r="BR17" i="12" s="1"/>
  <c r="V18" i="10" s="1"/>
  <c r="BK17" i="12"/>
  <c r="BO17" i="12" s="1"/>
  <c r="T18" i="10" s="1"/>
  <c r="BH17" i="12"/>
  <c r="BS17" i="12" s="1"/>
  <c r="W18" i="10" s="1"/>
  <c r="BJ17" i="12"/>
  <c r="BN17" i="12" s="1"/>
  <c r="S18" i="10" s="1"/>
  <c r="A30" i="1"/>
  <c r="BE17" i="12"/>
  <c r="BT17" i="12" s="1"/>
  <c r="O501" i="10"/>
  <c r="BJ500" i="12"/>
  <c r="BN500" i="12" s="1"/>
  <c r="S501" i="10" s="1"/>
  <c r="BH500" i="12"/>
  <c r="BS500" i="12" s="1"/>
  <c r="W501" i="10" s="1"/>
  <c r="BK500" i="12"/>
  <c r="BO500" i="12" s="1"/>
  <c r="T501" i="10" s="1"/>
  <c r="BG500" i="12"/>
  <c r="BR500" i="12" s="1"/>
  <c r="V501" i="10" s="1"/>
  <c r="BI500" i="12"/>
  <c r="BM500" i="12" s="1"/>
  <c r="BF500" i="12"/>
  <c r="BQ500" i="12" s="1"/>
  <c r="A513" i="1"/>
  <c r="BE500" i="12"/>
  <c r="BT500" i="12" s="1"/>
  <c r="O428" i="10"/>
  <c r="BJ427" i="12"/>
  <c r="BN427" i="12" s="1"/>
  <c r="S428" i="10" s="1"/>
  <c r="BH427" i="12"/>
  <c r="BS427" i="12" s="1"/>
  <c r="W428" i="10" s="1"/>
  <c r="BK427" i="12"/>
  <c r="BO427" i="12" s="1"/>
  <c r="T428" i="10" s="1"/>
  <c r="BF427" i="12"/>
  <c r="BQ427" i="12" s="1"/>
  <c r="BG427" i="12"/>
  <c r="BR427" i="12" s="1"/>
  <c r="V428" i="10" s="1"/>
  <c r="BI427" i="12"/>
  <c r="BM427" i="12" s="1"/>
  <c r="BE427" i="12"/>
  <c r="BT427" i="12" s="1"/>
  <c r="A440" i="1"/>
  <c r="O355" i="10"/>
  <c r="BK354" i="12"/>
  <c r="BO354" i="12" s="1"/>
  <c r="T355" i="10" s="1"/>
  <c r="BF354" i="12"/>
  <c r="BQ354" i="12" s="1"/>
  <c r="BI354" i="12"/>
  <c r="BM354" i="12" s="1"/>
  <c r="BJ354" i="12"/>
  <c r="BN354" i="12" s="1"/>
  <c r="S355" i="10" s="1"/>
  <c r="BG354" i="12"/>
  <c r="BR354" i="12" s="1"/>
  <c r="V355" i="10" s="1"/>
  <c r="BH354" i="12"/>
  <c r="BS354" i="12" s="1"/>
  <c r="W355" i="10" s="1"/>
  <c r="A367" i="1"/>
  <c r="BE354" i="12"/>
  <c r="BT354" i="12" s="1"/>
  <c r="O280" i="10"/>
  <c r="BF279" i="12"/>
  <c r="BQ279" i="12" s="1"/>
  <c r="BI279" i="12"/>
  <c r="BM279" i="12" s="1"/>
  <c r="BG279" i="12"/>
  <c r="BR279" i="12" s="1"/>
  <c r="V280" i="10" s="1"/>
  <c r="BJ279" i="12"/>
  <c r="BN279" i="12" s="1"/>
  <c r="S280" i="10" s="1"/>
  <c r="BK279" i="12"/>
  <c r="BO279" i="12" s="1"/>
  <c r="T280" i="10" s="1"/>
  <c r="BH279" i="12"/>
  <c r="BS279" i="12" s="1"/>
  <c r="W280" i="10" s="1"/>
  <c r="A292" i="1"/>
  <c r="BE279" i="12"/>
  <c r="BT279" i="12" s="1"/>
  <c r="O200" i="10"/>
  <c r="BI199" i="12"/>
  <c r="BM199" i="12" s="1"/>
  <c r="BG199" i="12"/>
  <c r="BR199" i="12" s="1"/>
  <c r="V200" i="10" s="1"/>
  <c r="BJ199" i="12"/>
  <c r="BN199" i="12" s="1"/>
  <c r="S200" i="10" s="1"/>
  <c r="BH199" i="12"/>
  <c r="BS199" i="12" s="1"/>
  <c r="W200" i="10" s="1"/>
  <c r="BK199" i="12"/>
  <c r="BO199" i="12" s="1"/>
  <c r="T200" i="10" s="1"/>
  <c r="BF199" i="12"/>
  <c r="BQ199" i="12" s="1"/>
  <c r="A212" i="1"/>
  <c r="BE199" i="12"/>
  <c r="BT199" i="12" s="1"/>
  <c r="O113" i="10"/>
  <c r="BF112" i="12"/>
  <c r="BQ112" i="12" s="1"/>
  <c r="BI112" i="12"/>
  <c r="BM112" i="12" s="1"/>
  <c r="BG112" i="12"/>
  <c r="BR112" i="12" s="1"/>
  <c r="V113" i="10" s="1"/>
  <c r="BJ112" i="12"/>
  <c r="BN112" i="12" s="1"/>
  <c r="S113" i="10" s="1"/>
  <c r="BH112" i="12"/>
  <c r="BS112" i="12" s="1"/>
  <c r="W113" i="10" s="1"/>
  <c r="BK112" i="12"/>
  <c r="BO112" i="12" s="1"/>
  <c r="T113" i="10" s="1"/>
  <c r="A125" i="1"/>
  <c r="BE112" i="12"/>
  <c r="BT112" i="12" s="1"/>
  <c r="O28" i="10"/>
  <c r="BK27" i="12"/>
  <c r="BO27" i="12" s="1"/>
  <c r="T28" i="10" s="1"/>
  <c r="BF27" i="12"/>
  <c r="BQ27" i="12" s="1"/>
  <c r="BJ27" i="12"/>
  <c r="BN27" i="12" s="1"/>
  <c r="S28" i="10" s="1"/>
  <c r="BH27" i="12"/>
  <c r="BS27" i="12" s="1"/>
  <c r="W28" i="10" s="1"/>
  <c r="BI27" i="12"/>
  <c r="BM27" i="12" s="1"/>
  <c r="BG27" i="12"/>
  <c r="BR27" i="12" s="1"/>
  <c r="V28" i="10" s="1"/>
  <c r="A40" i="1"/>
  <c r="BE27" i="12"/>
  <c r="BT27" i="12" s="1"/>
  <c r="O538" i="10"/>
  <c r="BJ537" i="12"/>
  <c r="BN537" i="12" s="1"/>
  <c r="S538" i="10" s="1"/>
  <c r="BH537" i="12"/>
  <c r="BS537" i="12" s="1"/>
  <c r="W538" i="10" s="1"/>
  <c r="BK537" i="12"/>
  <c r="BO537" i="12" s="1"/>
  <c r="T538" i="10" s="1"/>
  <c r="BI537" i="12"/>
  <c r="BM537" i="12" s="1"/>
  <c r="BF537" i="12"/>
  <c r="BQ537" i="12" s="1"/>
  <c r="BG537" i="12"/>
  <c r="BR537" i="12" s="1"/>
  <c r="V538" i="10" s="1"/>
  <c r="BE537" i="12"/>
  <c r="BT537" i="12" s="1"/>
  <c r="A550" i="1"/>
  <c r="O474" i="10"/>
  <c r="BF473" i="12"/>
  <c r="BQ473" i="12" s="1"/>
  <c r="BI473" i="12"/>
  <c r="BM473" i="12" s="1"/>
  <c r="BG473" i="12"/>
  <c r="BR473" i="12" s="1"/>
  <c r="V474" i="10" s="1"/>
  <c r="BJ473" i="12"/>
  <c r="BN473" i="12" s="1"/>
  <c r="S474" i="10" s="1"/>
  <c r="BK473" i="12"/>
  <c r="BO473" i="12" s="1"/>
  <c r="T474" i="10" s="1"/>
  <c r="BH473" i="12"/>
  <c r="BS473" i="12" s="1"/>
  <c r="W474" i="10" s="1"/>
  <c r="BE473" i="12"/>
  <c r="BT473" i="12" s="1"/>
  <c r="A486" i="1"/>
  <c r="O410" i="10"/>
  <c r="BI409" i="12"/>
  <c r="BM409" i="12" s="1"/>
  <c r="BG409" i="12"/>
  <c r="BR409" i="12" s="1"/>
  <c r="V410" i="10" s="1"/>
  <c r="BJ409" i="12"/>
  <c r="BN409" i="12" s="1"/>
  <c r="S410" i="10" s="1"/>
  <c r="BH409" i="12"/>
  <c r="BS409" i="12" s="1"/>
  <c r="W410" i="10" s="1"/>
  <c r="BF409" i="12"/>
  <c r="BQ409" i="12" s="1"/>
  <c r="BK409" i="12"/>
  <c r="BO409" i="12" s="1"/>
  <c r="T410" i="10" s="1"/>
  <c r="A422" i="1"/>
  <c r="BE409" i="12"/>
  <c r="BT409" i="12" s="1"/>
  <c r="O346" i="10"/>
  <c r="BJ345" i="12"/>
  <c r="BN345" i="12" s="1"/>
  <c r="S346" i="10" s="1"/>
  <c r="BH345" i="12"/>
  <c r="BS345" i="12" s="1"/>
  <c r="W346" i="10" s="1"/>
  <c r="BK345" i="12"/>
  <c r="BO345" i="12" s="1"/>
  <c r="T346" i="10" s="1"/>
  <c r="BF345" i="12"/>
  <c r="BQ345" i="12" s="1"/>
  <c r="BG345" i="12"/>
  <c r="BR345" i="12" s="1"/>
  <c r="V346" i="10" s="1"/>
  <c r="BI345" i="12"/>
  <c r="BM345" i="12" s="1"/>
  <c r="A358" i="1"/>
  <c r="BE345" i="12"/>
  <c r="BT345" i="12" s="1"/>
  <c r="O281" i="10"/>
  <c r="BI280" i="12"/>
  <c r="BM280" i="12" s="1"/>
  <c r="BG280" i="12"/>
  <c r="BR280" i="12" s="1"/>
  <c r="V281" i="10" s="1"/>
  <c r="BJ280" i="12"/>
  <c r="BN280" i="12" s="1"/>
  <c r="S281" i="10" s="1"/>
  <c r="BH280" i="12"/>
  <c r="BS280" i="12" s="1"/>
  <c r="W281" i="10" s="1"/>
  <c r="BF280" i="12"/>
  <c r="BQ280" i="12" s="1"/>
  <c r="BK280" i="12"/>
  <c r="BO280" i="12" s="1"/>
  <c r="T281" i="10" s="1"/>
  <c r="A293" i="1"/>
  <c r="BE280" i="12"/>
  <c r="BT280" i="12" s="1"/>
  <c r="O215" i="10"/>
  <c r="BI214" i="12"/>
  <c r="BM214" i="12" s="1"/>
  <c r="BJ214" i="12"/>
  <c r="BN214" i="12" s="1"/>
  <c r="S215" i="10" s="1"/>
  <c r="BK214" i="12"/>
  <c r="BO214" i="12" s="1"/>
  <c r="T215" i="10" s="1"/>
  <c r="BF214" i="12"/>
  <c r="BQ214" i="12" s="1"/>
  <c r="BG214" i="12"/>
  <c r="BR214" i="12" s="1"/>
  <c r="V215" i="10" s="1"/>
  <c r="BH214" i="12"/>
  <c r="BS214" i="12" s="1"/>
  <c r="W215" i="10" s="1"/>
  <c r="A227" i="1"/>
  <c r="BE214" i="12"/>
  <c r="BT214" i="12" s="1"/>
  <c r="O150" i="10"/>
  <c r="BI149" i="12"/>
  <c r="BM149" i="12" s="1"/>
  <c r="BG149" i="12"/>
  <c r="BR149" i="12" s="1"/>
  <c r="V150" i="10" s="1"/>
  <c r="BJ149" i="12"/>
  <c r="BN149" i="12" s="1"/>
  <c r="S150" i="10" s="1"/>
  <c r="BH149" i="12"/>
  <c r="BS149" i="12" s="1"/>
  <c r="W150" i="10" s="1"/>
  <c r="BK149" i="12"/>
  <c r="BO149" i="12" s="1"/>
  <c r="T150" i="10" s="1"/>
  <c r="BF149" i="12"/>
  <c r="BQ149" i="12" s="1"/>
  <c r="A162" i="1"/>
  <c r="BE149" i="12"/>
  <c r="BT149" i="12" s="1"/>
  <c r="O85" i="10"/>
  <c r="BI84" i="12"/>
  <c r="BM84" i="12" s="1"/>
  <c r="BG84" i="12"/>
  <c r="BR84" i="12" s="1"/>
  <c r="V85" i="10" s="1"/>
  <c r="BJ84" i="12"/>
  <c r="BN84" i="12" s="1"/>
  <c r="S85" i="10" s="1"/>
  <c r="BH84" i="12"/>
  <c r="BS84" i="12" s="1"/>
  <c r="W85" i="10" s="1"/>
  <c r="BK84" i="12"/>
  <c r="BO84" i="12" s="1"/>
  <c r="T85" i="10" s="1"/>
  <c r="BF84" i="12"/>
  <c r="BQ84" i="12" s="1"/>
  <c r="A97" i="1"/>
  <c r="BE84" i="12"/>
  <c r="BT84" i="12" s="1"/>
  <c r="BF20" i="12"/>
  <c r="BQ20" i="12" s="1"/>
  <c r="BI20" i="12"/>
  <c r="BM20" i="12" s="1"/>
  <c r="BG20" i="12"/>
  <c r="BR20" i="12" s="1"/>
  <c r="V21" i="10" s="1"/>
  <c r="O21" i="10"/>
  <c r="BJ20" i="12"/>
  <c r="BN20" i="12" s="1"/>
  <c r="S21" i="10" s="1"/>
  <c r="BH20" i="12"/>
  <c r="BS20" i="12" s="1"/>
  <c r="W21" i="10" s="1"/>
  <c r="BK20" i="12"/>
  <c r="BO20" i="12" s="1"/>
  <c r="T21" i="10" s="1"/>
  <c r="A33" i="1"/>
  <c r="BE20" i="12"/>
  <c r="BT20" i="12" s="1"/>
  <c r="O188" i="10"/>
  <c r="BK187" i="12"/>
  <c r="BO187" i="12" s="1"/>
  <c r="T188" i="10" s="1"/>
  <c r="BF187" i="12"/>
  <c r="BQ187" i="12" s="1"/>
  <c r="BH187" i="12"/>
  <c r="BS187" i="12" s="1"/>
  <c r="W188" i="10" s="1"/>
  <c r="BJ187" i="12"/>
  <c r="BN187" i="12" s="1"/>
  <c r="S188" i="10" s="1"/>
  <c r="BG187" i="12"/>
  <c r="BR187" i="12" s="1"/>
  <c r="V188" i="10" s="1"/>
  <c r="BI187" i="12"/>
  <c r="BM187" i="12" s="1"/>
  <c r="A200" i="1"/>
  <c r="BE187" i="12"/>
  <c r="BT187" i="12" s="1"/>
  <c r="O123" i="10"/>
  <c r="BK122" i="12"/>
  <c r="BO122" i="12" s="1"/>
  <c r="T123" i="10" s="1"/>
  <c r="BF122" i="12"/>
  <c r="BQ122" i="12" s="1"/>
  <c r="BI122" i="12"/>
  <c r="BM122" i="12" s="1"/>
  <c r="BG122" i="12"/>
  <c r="BR122" i="12" s="1"/>
  <c r="V123" i="10" s="1"/>
  <c r="BH122" i="12"/>
  <c r="BS122" i="12" s="1"/>
  <c r="W123" i="10" s="1"/>
  <c r="BJ122" i="12"/>
  <c r="BN122" i="12" s="1"/>
  <c r="S123" i="10" s="1"/>
  <c r="A135" i="1"/>
  <c r="BE122" i="12"/>
  <c r="BT122" i="12" s="1"/>
  <c r="BJ58" i="12"/>
  <c r="BN58" i="12" s="1"/>
  <c r="S59" i="10" s="1"/>
  <c r="BH58" i="12"/>
  <c r="BS58" i="12" s="1"/>
  <c r="W59" i="10" s="1"/>
  <c r="BK58" i="12"/>
  <c r="BO58" i="12" s="1"/>
  <c r="T59" i="10" s="1"/>
  <c r="BI58" i="12"/>
  <c r="BM58" i="12" s="1"/>
  <c r="O59" i="10"/>
  <c r="BF58" i="12"/>
  <c r="BQ58" i="12" s="1"/>
  <c r="BG58" i="12"/>
  <c r="BR58" i="12" s="1"/>
  <c r="V59" i="10" s="1"/>
  <c r="A71" i="1"/>
  <c r="BE58" i="12"/>
  <c r="BT58" i="12" s="1"/>
  <c r="O26" i="10"/>
  <c r="BF25" i="12"/>
  <c r="BQ25" i="12" s="1"/>
  <c r="BI25" i="12"/>
  <c r="BM25" i="12" s="1"/>
  <c r="BG25" i="12"/>
  <c r="BR25" i="12" s="1"/>
  <c r="V26" i="10" s="1"/>
  <c r="BK25" i="12"/>
  <c r="BO25" i="12" s="1"/>
  <c r="T26" i="10" s="1"/>
  <c r="BH25" i="12"/>
  <c r="BS25" i="12" s="1"/>
  <c r="W26" i="10" s="1"/>
  <c r="BJ25" i="12"/>
  <c r="BN25" i="12" s="1"/>
  <c r="S26" i="10" s="1"/>
  <c r="BE25" i="12"/>
  <c r="BT25" i="12" s="1"/>
  <c r="A38" i="1"/>
  <c r="O468" i="10"/>
  <c r="BK467" i="12"/>
  <c r="BO467" i="12" s="1"/>
  <c r="T468" i="10" s="1"/>
  <c r="BF467" i="12"/>
  <c r="BQ467" i="12" s="1"/>
  <c r="BI467" i="12"/>
  <c r="BM467" i="12" s="1"/>
  <c r="BJ467" i="12"/>
  <c r="BN467" i="12" s="1"/>
  <c r="S468" i="10" s="1"/>
  <c r="BG467" i="12"/>
  <c r="BR467" i="12" s="1"/>
  <c r="V468" i="10" s="1"/>
  <c r="BH467" i="12"/>
  <c r="BS467" i="12" s="1"/>
  <c r="W468" i="10" s="1"/>
  <c r="BE467" i="12"/>
  <c r="BT467" i="12" s="1"/>
  <c r="A480" i="1"/>
  <c r="O241" i="10"/>
  <c r="BI240" i="12"/>
  <c r="BM240" i="12" s="1"/>
  <c r="BG240" i="12"/>
  <c r="BR240" i="12" s="1"/>
  <c r="V241" i="10" s="1"/>
  <c r="BJ240" i="12"/>
  <c r="BN240" i="12" s="1"/>
  <c r="S241" i="10" s="1"/>
  <c r="BH240" i="12"/>
  <c r="BS240" i="12" s="1"/>
  <c r="W241" i="10" s="1"/>
  <c r="BK240" i="12"/>
  <c r="BO240" i="12" s="1"/>
  <c r="T241" i="10" s="1"/>
  <c r="BF240" i="12"/>
  <c r="BQ240" i="12" s="1"/>
  <c r="A253" i="1"/>
  <c r="BE240" i="12"/>
  <c r="BT240" i="12" s="1"/>
  <c r="O406" i="10"/>
  <c r="BK405" i="12"/>
  <c r="BO405" i="12" s="1"/>
  <c r="T406" i="10" s="1"/>
  <c r="BF405" i="12"/>
  <c r="BQ405" i="12" s="1"/>
  <c r="BI405" i="12"/>
  <c r="BM405" i="12" s="1"/>
  <c r="BJ405" i="12"/>
  <c r="BN405" i="12" s="1"/>
  <c r="S406" i="10" s="1"/>
  <c r="BG405" i="12"/>
  <c r="BR405" i="12" s="1"/>
  <c r="V406" i="10" s="1"/>
  <c r="BH405" i="12"/>
  <c r="BS405" i="12" s="1"/>
  <c r="W406" i="10" s="1"/>
  <c r="A418" i="1"/>
  <c r="BE405" i="12"/>
  <c r="BT405" i="12" s="1"/>
  <c r="O516" i="10"/>
  <c r="BI515" i="12"/>
  <c r="BM515" i="12" s="1"/>
  <c r="BG515" i="12"/>
  <c r="BR515" i="12" s="1"/>
  <c r="V516" i="10" s="1"/>
  <c r="BJ515" i="12"/>
  <c r="BN515" i="12" s="1"/>
  <c r="S516" i="10" s="1"/>
  <c r="BH515" i="12"/>
  <c r="BS515" i="12" s="1"/>
  <c r="W516" i="10" s="1"/>
  <c r="BK515" i="12"/>
  <c r="BO515" i="12" s="1"/>
  <c r="T516" i="10" s="1"/>
  <c r="BF515" i="12"/>
  <c r="BQ515" i="12" s="1"/>
  <c r="A528" i="1"/>
  <c r="BE515" i="12"/>
  <c r="BT515" i="12" s="1"/>
  <c r="O555" i="10"/>
  <c r="BJ554" i="12"/>
  <c r="BN554" i="12" s="1"/>
  <c r="S555" i="10" s="1"/>
  <c r="BH554" i="12"/>
  <c r="BS554" i="12" s="1"/>
  <c r="W555" i="10" s="1"/>
  <c r="BK554" i="12"/>
  <c r="BO554" i="12" s="1"/>
  <c r="T555" i="10" s="1"/>
  <c r="BI554" i="12"/>
  <c r="BM554" i="12" s="1"/>
  <c r="BF554" i="12"/>
  <c r="BQ554" i="12" s="1"/>
  <c r="BG554" i="12"/>
  <c r="BR554" i="12" s="1"/>
  <c r="V555" i="10" s="1"/>
  <c r="A567" i="1"/>
  <c r="BE554" i="12"/>
  <c r="BT554" i="12" s="1"/>
  <c r="O469" i="10"/>
  <c r="BF468" i="12"/>
  <c r="BQ468" i="12" s="1"/>
  <c r="BI468" i="12"/>
  <c r="BM468" i="12" s="1"/>
  <c r="BG468" i="12"/>
  <c r="BR468" i="12" s="1"/>
  <c r="V469" i="10" s="1"/>
  <c r="BK468" i="12"/>
  <c r="BO468" i="12" s="1"/>
  <c r="T469" i="10" s="1"/>
  <c r="BH468" i="12"/>
  <c r="BS468" i="12" s="1"/>
  <c r="W469" i="10" s="1"/>
  <c r="BJ468" i="12"/>
  <c r="BN468" i="12" s="1"/>
  <c r="S469" i="10" s="1"/>
  <c r="A481" i="1"/>
  <c r="BE468" i="12"/>
  <c r="BT468" i="12" s="1"/>
  <c r="O360" i="10"/>
  <c r="BK359" i="12"/>
  <c r="BO359" i="12" s="1"/>
  <c r="T360" i="10" s="1"/>
  <c r="BH359" i="12"/>
  <c r="BS359" i="12" s="1"/>
  <c r="W360" i="10" s="1"/>
  <c r="BI359" i="12"/>
  <c r="BM359" i="12" s="1"/>
  <c r="BJ359" i="12"/>
  <c r="BN359" i="12" s="1"/>
  <c r="S360" i="10" s="1"/>
  <c r="BF359" i="12"/>
  <c r="BQ359" i="12" s="1"/>
  <c r="BG359" i="12"/>
  <c r="BR359" i="12" s="1"/>
  <c r="V360" i="10" s="1"/>
  <c r="A372" i="1"/>
  <c r="BE359" i="12"/>
  <c r="BT359" i="12" s="1"/>
  <c r="O414" i="10"/>
  <c r="BK413" i="12"/>
  <c r="BO413" i="12" s="1"/>
  <c r="T414" i="10" s="1"/>
  <c r="BF413" i="12"/>
  <c r="BQ413" i="12" s="1"/>
  <c r="BG413" i="12"/>
  <c r="BR413" i="12" s="1"/>
  <c r="V414" i="10" s="1"/>
  <c r="BH413" i="12"/>
  <c r="BS413" i="12" s="1"/>
  <c r="W414" i="10" s="1"/>
  <c r="BI413" i="12"/>
  <c r="BM413" i="12" s="1"/>
  <c r="BJ413" i="12"/>
  <c r="BN413" i="12" s="1"/>
  <c r="S414" i="10" s="1"/>
  <c r="A426" i="1"/>
  <c r="BE413" i="12"/>
  <c r="BT413" i="12" s="1"/>
  <c r="O80" i="10"/>
  <c r="BJ79" i="12"/>
  <c r="BN79" i="12" s="1"/>
  <c r="S80" i="10" s="1"/>
  <c r="BH79" i="12"/>
  <c r="BS79" i="12" s="1"/>
  <c r="W80" i="10" s="1"/>
  <c r="BK79" i="12"/>
  <c r="BO79" i="12" s="1"/>
  <c r="T80" i="10" s="1"/>
  <c r="BI79" i="12"/>
  <c r="BM79" i="12" s="1"/>
  <c r="BF79" i="12"/>
  <c r="BQ79" i="12" s="1"/>
  <c r="BG79" i="12"/>
  <c r="BR79" i="12" s="1"/>
  <c r="V80" i="10" s="1"/>
  <c r="A92" i="1"/>
  <c r="BE79" i="12"/>
  <c r="BT79" i="12" s="1"/>
  <c r="O335" i="10"/>
  <c r="BK334" i="12"/>
  <c r="BO334" i="12" s="1"/>
  <c r="T335" i="10" s="1"/>
  <c r="BF334" i="12"/>
  <c r="BQ334" i="12" s="1"/>
  <c r="BJ334" i="12"/>
  <c r="BN334" i="12" s="1"/>
  <c r="S335" i="10" s="1"/>
  <c r="BH334" i="12"/>
  <c r="BS334" i="12" s="1"/>
  <c r="W335" i="10" s="1"/>
  <c r="BI334" i="12"/>
  <c r="BM334" i="12" s="1"/>
  <c r="BG334" i="12"/>
  <c r="BR334" i="12" s="1"/>
  <c r="V335" i="10" s="1"/>
  <c r="A347" i="1"/>
  <c r="BE334" i="12"/>
  <c r="BT334" i="12" s="1"/>
  <c r="O535" i="10"/>
  <c r="BI534" i="12"/>
  <c r="BM534" i="12" s="1"/>
  <c r="BJ534" i="12"/>
  <c r="BN534" i="12" s="1"/>
  <c r="S535" i="10" s="1"/>
  <c r="BK534" i="12"/>
  <c r="BO534" i="12" s="1"/>
  <c r="T535" i="10" s="1"/>
  <c r="BH534" i="12"/>
  <c r="BS534" i="12" s="1"/>
  <c r="W535" i="10" s="1"/>
  <c r="BF534" i="12"/>
  <c r="BQ534" i="12" s="1"/>
  <c r="BG534" i="12"/>
  <c r="BR534" i="12" s="1"/>
  <c r="V535" i="10" s="1"/>
  <c r="BE534" i="12"/>
  <c r="BT534" i="12" s="1"/>
  <c r="A547" i="1"/>
  <c r="O259" i="10"/>
  <c r="BF258" i="12"/>
  <c r="BQ258" i="12" s="1"/>
  <c r="BI258" i="12"/>
  <c r="BM258" i="12" s="1"/>
  <c r="BG258" i="12"/>
  <c r="BR258" i="12" s="1"/>
  <c r="V259" i="10" s="1"/>
  <c r="BJ258" i="12"/>
  <c r="BN258" i="12" s="1"/>
  <c r="S259" i="10" s="1"/>
  <c r="BH258" i="12"/>
  <c r="BS258" i="12" s="1"/>
  <c r="W259" i="10" s="1"/>
  <c r="BK258" i="12"/>
  <c r="BO258" i="12" s="1"/>
  <c r="T259" i="10" s="1"/>
  <c r="BE258" i="12"/>
  <c r="BT258" i="12" s="1"/>
  <c r="A271" i="1"/>
  <c r="O351" i="10"/>
  <c r="BI350" i="12"/>
  <c r="BM350" i="12" s="1"/>
  <c r="BG350" i="12"/>
  <c r="BR350" i="12" s="1"/>
  <c r="V351" i="10" s="1"/>
  <c r="BJ350" i="12"/>
  <c r="BN350" i="12" s="1"/>
  <c r="S351" i="10" s="1"/>
  <c r="BH350" i="12"/>
  <c r="BS350" i="12" s="1"/>
  <c r="W351" i="10" s="1"/>
  <c r="BF350" i="12"/>
  <c r="BQ350" i="12" s="1"/>
  <c r="BK350" i="12"/>
  <c r="BO350" i="12" s="1"/>
  <c r="T351" i="10" s="1"/>
  <c r="BE350" i="12"/>
  <c r="BT350" i="12" s="1"/>
  <c r="A363" i="1"/>
  <c r="O486" i="10"/>
  <c r="BF485" i="12"/>
  <c r="BQ485" i="12" s="1"/>
  <c r="BI485" i="12"/>
  <c r="BM485" i="12" s="1"/>
  <c r="BG485" i="12"/>
  <c r="BR485" i="12" s="1"/>
  <c r="V486" i="10" s="1"/>
  <c r="BH485" i="12"/>
  <c r="BS485" i="12" s="1"/>
  <c r="W486" i="10" s="1"/>
  <c r="BJ485" i="12"/>
  <c r="BN485" i="12" s="1"/>
  <c r="S486" i="10" s="1"/>
  <c r="BK485" i="12"/>
  <c r="BO485" i="12" s="1"/>
  <c r="T486" i="10" s="1"/>
  <c r="BE485" i="12"/>
  <c r="BT485" i="12" s="1"/>
  <c r="A498" i="1"/>
  <c r="O397" i="10"/>
  <c r="BI396" i="12"/>
  <c r="BM396" i="12" s="1"/>
  <c r="BG396" i="12"/>
  <c r="BR396" i="12" s="1"/>
  <c r="V397" i="10" s="1"/>
  <c r="BF396" i="12"/>
  <c r="BQ396" i="12" s="1"/>
  <c r="BH396" i="12"/>
  <c r="BS396" i="12" s="1"/>
  <c r="W397" i="10" s="1"/>
  <c r="BK396" i="12"/>
  <c r="BO396" i="12" s="1"/>
  <c r="T397" i="10" s="1"/>
  <c r="BJ396" i="12"/>
  <c r="BN396" i="12" s="1"/>
  <c r="S397" i="10" s="1"/>
  <c r="BE396" i="12"/>
  <c r="BT396" i="12" s="1"/>
  <c r="A409" i="1"/>
  <c r="O452" i="10"/>
  <c r="BI451" i="12"/>
  <c r="BM451" i="12" s="1"/>
  <c r="BG451" i="12"/>
  <c r="BR451" i="12" s="1"/>
  <c r="V452" i="10" s="1"/>
  <c r="BJ451" i="12"/>
  <c r="BN451" i="12" s="1"/>
  <c r="S452" i="10" s="1"/>
  <c r="BH451" i="12"/>
  <c r="BS451" i="12" s="1"/>
  <c r="W452" i="10" s="1"/>
  <c r="BF451" i="12"/>
  <c r="BQ451" i="12" s="1"/>
  <c r="BK451" i="12"/>
  <c r="BO451" i="12" s="1"/>
  <c r="T452" i="10" s="1"/>
  <c r="A464" i="1"/>
  <c r="BE451" i="12"/>
  <c r="BT451" i="12" s="1"/>
  <c r="O435" i="10"/>
  <c r="BF434" i="12"/>
  <c r="BQ434" i="12" s="1"/>
  <c r="BI434" i="12"/>
  <c r="BM434" i="12" s="1"/>
  <c r="BG434" i="12"/>
  <c r="BR434" i="12" s="1"/>
  <c r="V435" i="10" s="1"/>
  <c r="BJ434" i="12"/>
  <c r="BN434" i="12" s="1"/>
  <c r="S435" i="10" s="1"/>
  <c r="BK434" i="12"/>
  <c r="BO434" i="12" s="1"/>
  <c r="T435" i="10" s="1"/>
  <c r="BH434" i="12"/>
  <c r="BS434" i="12" s="1"/>
  <c r="W435" i="10" s="1"/>
  <c r="BE434" i="12"/>
  <c r="BT434" i="12" s="1"/>
  <c r="A447" i="1"/>
  <c r="O515" i="10"/>
  <c r="BK514" i="12"/>
  <c r="BO514" i="12" s="1"/>
  <c r="T515" i="10" s="1"/>
  <c r="BF514" i="12"/>
  <c r="BQ514" i="12" s="1"/>
  <c r="BJ514" i="12"/>
  <c r="BN514" i="12" s="1"/>
  <c r="S515" i="10" s="1"/>
  <c r="BG514" i="12"/>
  <c r="BR514" i="12" s="1"/>
  <c r="V515" i="10" s="1"/>
  <c r="BI514" i="12"/>
  <c r="BM514" i="12" s="1"/>
  <c r="BH514" i="12"/>
  <c r="BS514" i="12" s="1"/>
  <c r="W515" i="10" s="1"/>
  <c r="A527" i="1"/>
  <c r="BE514" i="12"/>
  <c r="BT514" i="12" s="1"/>
  <c r="O112" i="10"/>
  <c r="BK111" i="12"/>
  <c r="BO111" i="12" s="1"/>
  <c r="T112" i="10" s="1"/>
  <c r="BF111" i="12"/>
  <c r="BQ111" i="12" s="1"/>
  <c r="BJ111" i="12"/>
  <c r="BN111" i="12" s="1"/>
  <c r="S112" i="10" s="1"/>
  <c r="BG111" i="12"/>
  <c r="BR111" i="12" s="1"/>
  <c r="V112" i="10" s="1"/>
  <c r="BI111" i="12"/>
  <c r="BM111" i="12" s="1"/>
  <c r="BH111" i="12"/>
  <c r="BS111" i="12" s="1"/>
  <c r="W112" i="10" s="1"/>
  <c r="A124" i="1"/>
  <c r="BE111" i="12"/>
  <c r="BT111" i="12" s="1"/>
  <c r="O270" i="10"/>
  <c r="BI269" i="12"/>
  <c r="BM269" i="12" s="1"/>
  <c r="BG269" i="12"/>
  <c r="BR269" i="12" s="1"/>
  <c r="V270" i="10" s="1"/>
  <c r="BJ269" i="12"/>
  <c r="BN269" i="12" s="1"/>
  <c r="S270" i="10" s="1"/>
  <c r="BH269" i="12"/>
  <c r="BS269" i="12" s="1"/>
  <c r="W270" i="10" s="1"/>
  <c r="BK269" i="12"/>
  <c r="BO269" i="12" s="1"/>
  <c r="T270" i="10" s="1"/>
  <c r="BF269" i="12"/>
  <c r="BQ269" i="12" s="1"/>
  <c r="A282" i="1"/>
  <c r="BE269" i="12"/>
  <c r="BT269" i="12" s="1"/>
  <c r="O416" i="10"/>
  <c r="BJ415" i="12"/>
  <c r="BN415" i="12" s="1"/>
  <c r="S416" i="10" s="1"/>
  <c r="BK415" i="12"/>
  <c r="BO415" i="12" s="1"/>
  <c r="T416" i="10" s="1"/>
  <c r="BI415" i="12"/>
  <c r="BM415" i="12" s="1"/>
  <c r="BF415" i="12"/>
  <c r="BQ415" i="12" s="1"/>
  <c r="BG415" i="12"/>
  <c r="BR415" i="12" s="1"/>
  <c r="V416" i="10" s="1"/>
  <c r="BH415" i="12"/>
  <c r="BS415" i="12" s="1"/>
  <c r="W416" i="10" s="1"/>
  <c r="BE415" i="12"/>
  <c r="BT415" i="12" s="1"/>
  <c r="A428" i="1"/>
  <c r="O542" i="10"/>
  <c r="BJ541" i="12"/>
  <c r="BN541" i="12" s="1"/>
  <c r="S542" i="10" s="1"/>
  <c r="BH541" i="12"/>
  <c r="BS541" i="12" s="1"/>
  <c r="W542" i="10" s="1"/>
  <c r="BK541" i="12"/>
  <c r="BO541" i="12" s="1"/>
  <c r="T542" i="10" s="1"/>
  <c r="BI541" i="12"/>
  <c r="BM541" i="12" s="1"/>
  <c r="BF541" i="12"/>
  <c r="BQ541" i="12" s="1"/>
  <c r="BG541" i="12"/>
  <c r="BR541" i="12" s="1"/>
  <c r="V542" i="10" s="1"/>
  <c r="A554" i="1"/>
  <c r="BE541" i="12"/>
  <c r="BT541" i="12" s="1"/>
  <c r="O145" i="10"/>
  <c r="BI144" i="12"/>
  <c r="BM144" i="12" s="1"/>
  <c r="BF144" i="12"/>
  <c r="BQ144" i="12" s="1"/>
  <c r="BG144" i="12"/>
  <c r="BR144" i="12" s="1"/>
  <c r="V145" i="10" s="1"/>
  <c r="BH144" i="12"/>
  <c r="BS144" i="12" s="1"/>
  <c r="W145" i="10" s="1"/>
  <c r="BJ144" i="12"/>
  <c r="BN144" i="12" s="1"/>
  <c r="S145" i="10" s="1"/>
  <c r="BK144" i="12"/>
  <c r="BO144" i="12" s="1"/>
  <c r="T145" i="10" s="1"/>
  <c r="A157" i="1"/>
  <c r="BE144" i="12"/>
  <c r="BT144" i="12" s="1"/>
  <c r="O307" i="10"/>
  <c r="BF306" i="12"/>
  <c r="BQ306" i="12" s="1"/>
  <c r="BI306" i="12"/>
  <c r="BM306" i="12" s="1"/>
  <c r="BG306" i="12"/>
  <c r="BR306" i="12" s="1"/>
  <c r="V307" i="10" s="1"/>
  <c r="BK306" i="12"/>
  <c r="BO306" i="12" s="1"/>
  <c r="T307" i="10" s="1"/>
  <c r="BH306" i="12"/>
  <c r="BS306" i="12" s="1"/>
  <c r="W307" i="10" s="1"/>
  <c r="BJ306" i="12"/>
  <c r="BN306" i="12" s="1"/>
  <c r="S307" i="10" s="1"/>
  <c r="BE306" i="12"/>
  <c r="BT306" i="12" s="1"/>
  <c r="A319" i="1"/>
  <c r="O525" i="10"/>
  <c r="BJ524" i="12"/>
  <c r="BN524" i="12" s="1"/>
  <c r="S525" i="10" s="1"/>
  <c r="BH524" i="12"/>
  <c r="BS524" i="12" s="1"/>
  <c r="W525" i="10" s="1"/>
  <c r="BK524" i="12"/>
  <c r="BO524" i="12" s="1"/>
  <c r="T525" i="10" s="1"/>
  <c r="BI524" i="12"/>
  <c r="BM524" i="12" s="1"/>
  <c r="BF524" i="12"/>
  <c r="BQ524" i="12" s="1"/>
  <c r="BG524" i="12"/>
  <c r="BR524" i="12" s="1"/>
  <c r="V525" i="10" s="1"/>
  <c r="BE524" i="12"/>
  <c r="BT524" i="12" s="1"/>
  <c r="A537" i="1"/>
  <c r="O396" i="10"/>
  <c r="BK395" i="12"/>
  <c r="BO395" i="12" s="1"/>
  <c r="T396" i="10" s="1"/>
  <c r="BF395" i="12"/>
  <c r="BQ395" i="12" s="1"/>
  <c r="BG395" i="12"/>
  <c r="BR395" i="12" s="1"/>
  <c r="V396" i="10" s="1"/>
  <c r="BI395" i="12"/>
  <c r="BM395" i="12" s="1"/>
  <c r="BJ395" i="12"/>
  <c r="BN395" i="12" s="1"/>
  <c r="S396" i="10" s="1"/>
  <c r="BH395" i="12"/>
  <c r="BS395" i="12" s="1"/>
  <c r="W396" i="10" s="1"/>
  <c r="A408" i="1"/>
  <c r="BE395" i="12"/>
  <c r="BT395" i="12" s="1"/>
  <c r="O246" i="10"/>
  <c r="BK245" i="12"/>
  <c r="BO245" i="12" s="1"/>
  <c r="T246" i="10" s="1"/>
  <c r="BF245" i="12"/>
  <c r="BQ245" i="12" s="1"/>
  <c r="BI245" i="12"/>
  <c r="BM245" i="12" s="1"/>
  <c r="BJ245" i="12"/>
  <c r="BN245" i="12" s="1"/>
  <c r="S246" i="10" s="1"/>
  <c r="BH245" i="12"/>
  <c r="BS245" i="12" s="1"/>
  <c r="W246" i="10" s="1"/>
  <c r="BG245" i="12"/>
  <c r="BR245" i="12" s="1"/>
  <c r="V246" i="10" s="1"/>
  <c r="A258" i="1"/>
  <c r="BE245" i="12"/>
  <c r="BT245" i="12" s="1"/>
  <c r="O56" i="10"/>
  <c r="BI55" i="12"/>
  <c r="BM55" i="12" s="1"/>
  <c r="BG55" i="12"/>
  <c r="BR55" i="12" s="1"/>
  <c r="V56" i="10" s="1"/>
  <c r="BJ55" i="12"/>
  <c r="BN55" i="12" s="1"/>
  <c r="S56" i="10" s="1"/>
  <c r="BH55" i="12"/>
  <c r="BS55" i="12" s="1"/>
  <c r="W56" i="10" s="1"/>
  <c r="BF55" i="12"/>
  <c r="BQ55" i="12" s="1"/>
  <c r="BK55" i="12"/>
  <c r="BO55" i="12" s="1"/>
  <c r="T56" i="10" s="1"/>
  <c r="A68" i="1"/>
  <c r="BE55" i="12"/>
  <c r="BT55" i="12" s="1"/>
  <c r="O463" i="10"/>
  <c r="BK462" i="12"/>
  <c r="BO462" i="12" s="1"/>
  <c r="T463" i="10" s="1"/>
  <c r="BF462" i="12"/>
  <c r="BQ462" i="12" s="1"/>
  <c r="BJ462" i="12"/>
  <c r="BN462" i="12" s="1"/>
  <c r="S463" i="10" s="1"/>
  <c r="BG462" i="12"/>
  <c r="BR462" i="12" s="1"/>
  <c r="V463" i="10" s="1"/>
  <c r="BI462" i="12"/>
  <c r="BM462" i="12" s="1"/>
  <c r="BH462" i="12"/>
  <c r="BS462" i="12" s="1"/>
  <c r="W463" i="10" s="1"/>
  <c r="BE462" i="12"/>
  <c r="BT462" i="12" s="1"/>
  <c r="A475" i="1"/>
  <c r="O317" i="10"/>
  <c r="BF316" i="12"/>
  <c r="BQ316" i="12" s="1"/>
  <c r="BI316" i="12"/>
  <c r="BM316" i="12" s="1"/>
  <c r="BG316" i="12"/>
  <c r="BR316" i="12" s="1"/>
  <c r="V317" i="10" s="1"/>
  <c r="BK316" i="12"/>
  <c r="BO316" i="12" s="1"/>
  <c r="T317" i="10" s="1"/>
  <c r="BJ316" i="12"/>
  <c r="BN316" i="12" s="1"/>
  <c r="S317" i="10" s="1"/>
  <c r="BH316" i="12"/>
  <c r="BS316" i="12" s="1"/>
  <c r="W317" i="10" s="1"/>
  <c r="A329" i="1"/>
  <c r="BE316" i="12"/>
  <c r="BT316" i="12" s="1"/>
  <c r="O155" i="10"/>
  <c r="BI154" i="12"/>
  <c r="BM154" i="12" s="1"/>
  <c r="BG154" i="12"/>
  <c r="BR154" i="12" s="1"/>
  <c r="V155" i="10" s="1"/>
  <c r="BJ154" i="12"/>
  <c r="BN154" i="12" s="1"/>
  <c r="S155" i="10" s="1"/>
  <c r="BH154" i="12"/>
  <c r="BS154" i="12" s="1"/>
  <c r="W155" i="10" s="1"/>
  <c r="BK154" i="12"/>
  <c r="BO154" i="12" s="1"/>
  <c r="T155" i="10" s="1"/>
  <c r="BF154" i="12"/>
  <c r="BQ154" i="12" s="1"/>
  <c r="A167" i="1"/>
  <c r="BE154" i="12"/>
  <c r="BT154" i="12" s="1"/>
  <c r="O523" i="10"/>
  <c r="BK522" i="12"/>
  <c r="BO522" i="12" s="1"/>
  <c r="T523" i="10" s="1"/>
  <c r="BF522" i="12"/>
  <c r="BQ522" i="12" s="1"/>
  <c r="BH522" i="12"/>
  <c r="BS522" i="12" s="1"/>
  <c r="W523" i="10" s="1"/>
  <c r="BI522" i="12"/>
  <c r="BM522" i="12" s="1"/>
  <c r="BJ522" i="12"/>
  <c r="BN522" i="12" s="1"/>
  <c r="S523" i="10" s="1"/>
  <c r="BG522" i="12"/>
  <c r="BR522" i="12" s="1"/>
  <c r="V523" i="10" s="1"/>
  <c r="BE522" i="12"/>
  <c r="BT522" i="12" s="1"/>
  <c r="A535" i="1"/>
  <c r="O389" i="10"/>
  <c r="BI388" i="12"/>
  <c r="BM388" i="12" s="1"/>
  <c r="BG388" i="12"/>
  <c r="BR388" i="12" s="1"/>
  <c r="V389" i="10" s="1"/>
  <c r="BH388" i="12"/>
  <c r="BS388" i="12" s="1"/>
  <c r="W389" i="10" s="1"/>
  <c r="BJ388" i="12"/>
  <c r="BN388" i="12" s="1"/>
  <c r="S389" i="10" s="1"/>
  <c r="BF388" i="12"/>
  <c r="BQ388" i="12" s="1"/>
  <c r="BK388" i="12"/>
  <c r="BO388" i="12" s="1"/>
  <c r="T389" i="10" s="1"/>
  <c r="A401" i="1"/>
  <c r="BE388" i="12"/>
  <c r="BT388" i="12" s="1"/>
  <c r="O240" i="10"/>
  <c r="BF239" i="12"/>
  <c r="BQ239" i="12" s="1"/>
  <c r="BI239" i="12"/>
  <c r="BM239" i="12" s="1"/>
  <c r="BG239" i="12"/>
  <c r="BR239" i="12" s="1"/>
  <c r="V240" i="10" s="1"/>
  <c r="BJ239" i="12"/>
  <c r="BN239" i="12" s="1"/>
  <c r="S240" i="10" s="1"/>
  <c r="BH239" i="12"/>
  <c r="BS239" i="12" s="1"/>
  <c r="W240" i="10" s="1"/>
  <c r="BK239" i="12"/>
  <c r="BO239" i="12" s="1"/>
  <c r="T240" i="10" s="1"/>
  <c r="A252" i="1"/>
  <c r="BE239" i="12"/>
  <c r="BT239" i="12" s="1"/>
  <c r="O47" i="10"/>
  <c r="BF46" i="12"/>
  <c r="BQ46" i="12" s="1"/>
  <c r="BI46" i="12"/>
  <c r="BM46" i="12" s="1"/>
  <c r="BG46" i="12"/>
  <c r="BR46" i="12" s="1"/>
  <c r="V47" i="10" s="1"/>
  <c r="BJ46" i="12"/>
  <c r="BN46" i="12" s="1"/>
  <c r="S47" i="10" s="1"/>
  <c r="BK46" i="12"/>
  <c r="BO46" i="12" s="1"/>
  <c r="T47" i="10" s="1"/>
  <c r="BH46" i="12"/>
  <c r="BS46" i="12" s="1"/>
  <c r="W47" i="10" s="1"/>
  <c r="A59" i="1"/>
  <c r="BE46" i="12"/>
  <c r="BT46" i="12" s="1"/>
  <c r="O477" i="10"/>
  <c r="BF476" i="12"/>
  <c r="BQ476" i="12" s="1"/>
  <c r="BI476" i="12"/>
  <c r="BM476" i="12" s="1"/>
  <c r="BG476" i="12"/>
  <c r="BR476" i="12" s="1"/>
  <c r="V477" i="10" s="1"/>
  <c r="BJ476" i="12"/>
  <c r="BN476" i="12" s="1"/>
  <c r="S477" i="10" s="1"/>
  <c r="BH476" i="12"/>
  <c r="BS476" i="12" s="1"/>
  <c r="W477" i="10" s="1"/>
  <c r="BK476" i="12"/>
  <c r="BO476" i="12" s="1"/>
  <c r="T477" i="10" s="1"/>
  <c r="BE476" i="12"/>
  <c r="BT476" i="12" s="1"/>
  <c r="A489" i="1"/>
  <c r="O333" i="10"/>
  <c r="BF332" i="12"/>
  <c r="BQ332" i="12" s="1"/>
  <c r="BI332" i="12"/>
  <c r="BM332" i="12" s="1"/>
  <c r="BG332" i="12"/>
  <c r="BR332" i="12" s="1"/>
  <c r="V333" i="10" s="1"/>
  <c r="BK332" i="12"/>
  <c r="BO332" i="12" s="1"/>
  <c r="T333" i="10" s="1"/>
  <c r="BJ332" i="12"/>
  <c r="BN332" i="12" s="1"/>
  <c r="S333" i="10" s="1"/>
  <c r="BH332" i="12"/>
  <c r="BS332" i="12" s="1"/>
  <c r="W333" i="10" s="1"/>
  <c r="BE332" i="12"/>
  <c r="BT332" i="12" s="1"/>
  <c r="A345" i="1"/>
  <c r="O175" i="10"/>
  <c r="BI174" i="12"/>
  <c r="BM174" i="12" s="1"/>
  <c r="BG174" i="12"/>
  <c r="BR174" i="12" s="1"/>
  <c r="V175" i="10" s="1"/>
  <c r="BJ174" i="12"/>
  <c r="BN174" i="12" s="1"/>
  <c r="S175" i="10" s="1"/>
  <c r="BH174" i="12"/>
  <c r="BS174" i="12" s="1"/>
  <c r="W175" i="10" s="1"/>
  <c r="BK174" i="12"/>
  <c r="BO174" i="12" s="1"/>
  <c r="T175" i="10" s="1"/>
  <c r="BF174" i="12"/>
  <c r="BQ174" i="12" s="1"/>
  <c r="BE174" i="12"/>
  <c r="BT174" i="12" s="1"/>
  <c r="A187" i="1"/>
  <c r="O545" i="10"/>
  <c r="BJ544" i="12"/>
  <c r="BN544" i="12" s="1"/>
  <c r="S545" i="10" s="1"/>
  <c r="BH544" i="12"/>
  <c r="BS544" i="12" s="1"/>
  <c r="W545" i="10" s="1"/>
  <c r="BK544" i="12"/>
  <c r="BO544" i="12" s="1"/>
  <c r="T545" i="10" s="1"/>
  <c r="BG544" i="12"/>
  <c r="BR544" i="12" s="1"/>
  <c r="V545" i="10" s="1"/>
  <c r="BI544" i="12"/>
  <c r="BM544" i="12" s="1"/>
  <c r="BF544" i="12"/>
  <c r="BQ544" i="12" s="1"/>
  <c r="A557" i="1"/>
  <c r="BE544" i="12"/>
  <c r="BT544" i="12" s="1"/>
  <c r="O423" i="10"/>
  <c r="BJ422" i="12"/>
  <c r="BN422" i="12" s="1"/>
  <c r="S423" i="10" s="1"/>
  <c r="BH422" i="12"/>
  <c r="BS422" i="12" s="1"/>
  <c r="W423" i="10" s="1"/>
  <c r="BK422" i="12"/>
  <c r="BO422" i="12" s="1"/>
  <c r="T423" i="10" s="1"/>
  <c r="BG422" i="12"/>
  <c r="BR422" i="12" s="1"/>
  <c r="V423" i="10" s="1"/>
  <c r="BI422" i="12"/>
  <c r="BM422" i="12" s="1"/>
  <c r="BF422" i="12"/>
  <c r="BQ422" i="12" s="1"/>
  <c r="BE422" i="12"/>
  <c r="BT422" i="12" s="1"/>
  <c r="A435" i="1"/>
  <c r="O276" i="10"/>
  <c r="BJ275" i="12"/>
  <c r="BN275" i="12" s="1"/>
  <c r="S276" i="10" s="1"/>
  <c r="BH275" i="12"/>
  <c r="BS275" i="12" s="1"/>
  <c r="W276" i="10" s="1"/>
  <c r="BK275" i="12"/>
  <c r="BO275" i="12" s="1"/>
  <c r="T276" i="10" s="1"/>
  <c r="BI275" i="12"/>
  <c r="BM275" i="12" s="1"/>
  <c r="BF275" i="12"/>
  <c r="BQ275" i="12" s="1"/>
  <c r="BG275" i="12"/>
  <c r="BR275" i="12" s="1"/>
  <c r="V276" i="10" s="1"/>
  <c r="A288" i="1"/>
  <c r="BE275" i="12"/>
  <c r="BT275" i="12" s="1"/>
  <c r="O98" i="10"/>
  <c r="BI97" i="12"/>
  <c r="BM97" i="12" s="1"/>
  <c r="BG97" i="12"/>
  <c r="BR97" i="12" s="1"/>
  <c r="V98" i="10" s="1"/>
  <c r="BJ97" i="12"/>
  <c r="BN97" i="12" s="1"/>
  <c r="S98" i="10" s="1"/>
  <c r="BH97" i="12"/>
  <c r="BS97" i="12" s="1"/>
  <c r="W98" i="10" s="1"/>
  <c r="BK97" i="12"/>
  <c r="BO97" i="12" s="1"/>
  <c r="T98" i="10" s="1"/>
  <c r="BF97" i="12"/>
  <c r="BQ97" i="12" s="1"/>
  <c r="A110" i="1"/>
  <c r="BE97" i="12"/>
  <c r="BT97" i="12" s="1"/>
  <c r="O87" i="10"/>
  <c r="BF86" i="12"/>
  <c r="BQ86" i="12" s="1"/>
  <c r="BI86" i="12"/>
  <c r="BM86" i="12" s="1"/>
  <c r="BG86" i="12"/>
  <c r="BR86" i="12" s="1"/>
  <c r="V87" i="10" s="1"/>
  <c r="BJ86" i="12"/>
  <c r="BN86" i="12" s="1"/>
  <c r="S87" i="10" s="1"/>
  <c r="BH86" i="12"/>
  <c r="BS86" i="12" s="1"/>
  <c r="W87" i="10" s="1"/>
  <c r="BK86" i="12"/>
  <c r="BO86" i="12" s="1"/>
  <c r="T87" i="10" s="1"/>
  <c r="A99" i="1"/>
  <c r="BE86" i="12"/>
  <c r="BT86" i="12" s="1"/>
  <c r="BD1" i="12"/>
  <c r="O283" i="10"/>
  <c r="BF282" i="12"/>
  <c r="BQ282" i="12" s="1"/>
  <c r="BI282" i="12"/>
  <c r="BM282" i="12" s="1"/>
  <c r="BG282" i="12"/>
  <c r="BR282" i="12" s="1"/>
  <c r="V283" i="10" s="1"/>
  <c r="BK282" i="12"/>
  <c r="BO282" i="12" s="1"/>
  <c r="T283" i="10" s="1"/>
  <c r="BH282" i="12"/>
  <c r="BS282" i="12" s="1"/>
  <c r="W283" i="10" s="1"/>
  <c r="BJ282" i="12"/>
  <c r="BN282" i="12" s="1"/>
  <c r="S283" i="10" s="1"/>
  <c r="A295" i="1"/>
  <c r="BE282" i="12"/>
  <c r="BT282" i="12" s="1"/>
  <c r="O395" i="10"/>
  <c r="BJ394" i="12"/>
  <c r="BN394" i="12" s="1"/>
  <c r="S395" i="10" s="1"/>
  <c r="BH394" i="12"/>
  <c r="BS394" i="12" s="1"/>
  <c r="W395" i="10" s="1"/>
  <c r="BF394" i="12"/>
  <c r="BQ394" i="12" s="1"/>
  <c r="BG394" i="12"/>
  <c r="BR394" i="12" s="1"/>
  <c r="V395" i="10" s="1"/>
  <c r="BI394" i="12"/>
  <c r="BM394" i="12" s="1"/>
  <c r="BK394" i="12"/>
  <c r="BO394" i="12" s="1"/>
  <c r="T395" i="10" s="1"/>
  <c r="A407" i="1"/>
  <c r="BE394" i="12"/>
  <c r="BT394" i="12" s="1"/>
  <c r="O321" i="10"/>
  <c r="BJ320" i="12"/>
  <c r="BN320" i="12" s="1"/>
  <c r="S321" i="10" s="1"/>
  <c r="BH320" i="12"/>
  <c r="BS320" i="12" s="1"/>
  <c r="W321" i="10" s="1"/>
  <c r="BK320" i="12"/>
  <c r="BO320" i="12" s="1"/>
  <c r="T321" i="10" s="1"/>
  <c r="BI320" i="12"/>
  <c r="BM320" i="12" s="1"/>
  <c r="BG320" i="12"/>
  <c r="BR320" i="12" s="1"/>
  <c r="V321" i="10" s="1"/>
  <c r="BF320" i="12"/>
  <c r="BQ320" i="12" s="1"/>
  <c r="BE320" i="12"/>
  <c r="BT320" i="12" s="1"/>
  <c r="A333" i="1"/>
  <c r="O245" i="10"/>
  <c r="BK244" i="12"/>
  <c r="BO244" i="12" s="1"/>
  <c r="T245" i="10" s="1"/>
  <c r="BF244" i="12"/>
  <c r="BQ244" i="12" s="1"/>
  <c r="BI244" i="12"/>
  <c r="BM244" i="12" s="1"/>
  <c r="BJ244" i="12"/>
  <c r="BN244" i="12" s="1"/>
  <c r="S245" i="10" s="1"/>
  <c r="BG244" i="12"/>
  <c r="BR244" i="12" s="1"/>
  <c r="V245" i="10" s="1"/>
  <c r="BH244" i="12"/>
  <c r="BS244" i="12" s="1"/>
  <c r="W245" i="10" s="1"/>
  <c r="BE244" i="12"/>
  <c r="BT244" i="12" s="1"/>
  <c r="A257" i="1"/>
  <c r="O161" i="10"/>
  <c r="BJ160" i="12"/>
  <c r="BN160" i="12" s="1"/>
  <c r="S161" i="10" s="1"/>
  <c r="BH160" i="12"/>
  <c r="BS160" i="12" s="1"/>
  <c r="W161" i="10" s="1"/>
  <c r="BK160" i="12"/>
  <c r="BO160" i="12" s="1"/>
  <c r="T161" i="10" s="1"/>
  <c r="BF160" i="12"/>
  <c r="BQ160" i="12" s="1"/>
  <c r="BI160" i="12"/>
  <c r="BM160" i="12" s="1"/>
  <c r="BG160" i="12"/>
  <c r="BR160" i="12" s="1"/>
  <c r="V161" i="10" s="1"/>
  <c r="A173" i="1"/>
  <c r="BE160" i="12"/>
  <c r="BT160" i="12" s="1"/>
  <c r="O74" i="10"/>
  <c r="BI73" i="12"/>
  <c r="BM73" i="12" s="1"/>
  <c r="BG73" i="12"/>
  <c r="BR73" i="12" s="1"/>
  <c r="V74" i="10" s="1"/>
  <c r="BJ73" i="12"/>
  <c r="BN73" i="12" s="1"/>
  <c r="S74" i="10" s="1"/>
  <c r="BH73" i="12"/>
  <c r="BS73" i="12" s="1"/>
  <c r="W74" i="10" s="1"/>
  <c r="BF73" i="12"/>
  <c r="BQ73" i="12" s="1"/>
  <c r="BK73" i="12"/>
  <c r="BO73" i="12" s="1"/>
  <c r="T74" i="10" s="1"/>
  <c r="A86" i="1"/>
  <c r="BE73" i="12"/>
  <c r="BT73" i="12" s="1"/>
  <c r="O549" i="10"/>
  <c r="BF548" i="12"/>
  <c r="BQ548" i="12" s="1"/>
  <c r="BI548" i="12"/>
  <c r="BM548" i="12" s="1"/>
  <c r="BG548" i="12"/>
  <c r="BR548" i="12" s="1"/>
  <c r="V549" i="10" s="1"/>
  <c r="BK548" i="12"/>
  <c r="BO548" i="12" s="1"/>
  <c r="T549" i="10" s="1"/>
  <c r="BH548" i="12"/>
  <c r="BS548" i="12" s="1"/>
  <c r="W549" i="10" s="1"/>
  <c r="BJ548" i="12"/>
  <c r="BN548" i="12" s="1"/>
  <c r="S549" i="10" s="1"/>
  <c r="A561" i="1"/>
  <c r="BE548" i="12"/>
  <c r="BT548" i="12" s="1"/>
  <c r="O476" i="10"/>
  <c r="BK475" i="12"/>
  <c r="BO475" i="12" s="1"/>
  <c r="T476" i="10" s="1"/>
  <c r="BF475" i="12"/>
  <c r="BQ475" i="12" s="1"/>
  <c r="BG475" i="12"/>
  <c r="BR475" i="12" s="1"/>
  <c r="V476" i="10" s="1"/>
  <c r="BH475" i="12"/>
  <c r="BS475" i="12" s="1"/>
  <c r="W476" i="10" s="1"/>
  <c r="BI475" i="12"/>
  <c r="BM475" i="12" s="1"/>
  <c r="BJ475" i="12"/>
  <c r="BN475" i="12" s="1"/>
  <c r="S476" i="10" s="1"/>
  <c r="BE475" i="12"/>
  <c r="BT475" i="12" s="1"/>
  <c r="A488" i="1"/>
  <c r="O403" i="10"/>
  <c r="BJ402" i="12"/>
  <c r="BN402" i="12" s="1"/>
  <c r="S403" i="10" s="1"/>
  <c r="BH402" i="12"/>
  <c r="BS402" i="12" s="1"/>
  <c r="W403" i="10" s="1"/>
  <c r="BK402" i="12"/>
  <c r="BO402" i="12" s="1"/>
  <c r="T403" i="10" s="1"/>
  <c r="BG402" i="12"/>
  <c r="BR402" i="12" s="1"/>
  <c r="V403" i="10" s="1"/>
  <c r="BF402" i="12"/>
  <c r="BQ402" i="12" s="1"/>
  <c r="BI402" i="12"/>
  <c r="BM402" i="12" s="1"/>
  <c r="BE402" i="12"/>
  <c r="BT402" i="12" s="1"/>
  <c r="A415" i="1"/>
  <c r="O329" i="10"/>
  <c r="BJ328" i="12"/>
  <c r="BN328" i="12" s="1"/>
  <c r="S329" i="10" s="1"/>
  <c r="BH328" i="12"/>
  <c r="BS328" i="12" s="1"/>
  <c r="W329" i="10" s="1"/>
  <c r="BK328" i="12"/>
  <c r="BO328" i="12" s="1"/>
  <c r="T329" i="10" s="1"/>
  <c r="BI328" i="12"/>
  <c r="BM328" i="12" s="1"/>
  <c r="BG328" i="12"/>
  <c r="BR328" i="12" s="1"/>
  <c r="V329" i="10" s="1"/>
  <c r="BF328" i="12"/>
  <c r="BQ328" i="12" s="1"/>
  <c r="A341" i="1"/>
  <c r="BE328" i="12"/>
  <c r="BT328" i="12" s="1"/>
  <c r="O254" i="10"/>
  <c r="BI253" i="12"/>
  <c r="BM253" i="12" s="1"/>
  <c r="BG253" i="12"/>
  <c r="BR253" i="12" s="1"/>
  <c r="V254" i="10" s="1"/>
  <c r="BJ253" i="12"/>
  <c r="BN253" i="12" s="1"/>
  <c r="S254" i="10" s="1"/>
  <c r="BH253" i="12"/>
  <c r="BS253" i="12" s="1"/>
  <c r="W254" i="10" s="1"/>
  <c r="BK253" i="12"/>
  <c r="BO253" i="12" s="1"/>
  <c r="T254" i="10" s="1"/>
  <c r="BF253" i="12"/>
  <c r="BQ253" i="12" s="1"/>
  <c r="BE253" i="12"/>
  <c r="BT253" i="12" s="1"/>
  <c r="A266" i="1"/>
  <c r="O170" i="10"/>
  <c r="BJ169" i="12"/>
  <c r="BN169" i="12" s="1"/>
  <c r="S170" i="10" s="1"/>
  <c r="BH169" i="12"/>
  <c r="BS169" i="12" s="1"/>
  <c r="W170" i="10" s="1"/>
  <c r="BK169" i="12"/>
  <c r="BO169" i="12" s="1"/>
  <c r="T170" i="10" s="1"/>
  <c r="BF169" i="12"/>
  <c r="BQ169" i="12" s="1"/>
  <c r="BG169" i="12"/>
  <c r="BR169" i="12" s="1"/>
  <c r="V170" i="10" s="1"/>
  <c r="BI169" i="12"/>
  <c r="BM169" i="12" s="1"/>
  <c r="BE169" i="12"/>
  <c r="BT169" i="12" s="1"/>
  <c r="A182" i="1"/>
  <c r="O84" i="10"/>
  <c r="BF83" i="12"/>
  <c r="BQ83" i="12" s="1"/>
  <c r="BI83" i="12"/>
  <c r="BM83" i="12" s="1"/>
  <c r="BG83" i="12"/>
  <c r="BR83" i="12" s="1"/>
  <c r="V84" i="10" s="1"/>
  <c r="BH83" i="12"/>
  <c r="BS83" i="12" s="1"/>
  <c r="W84" i="10" s="1"/>
  <c r="BJ83" i="12"/>
  <c r="BN83" i="12" s="1"/>
  <c r="S84" i="10" s="1"/>
  <c r="BK83" i="12"/>
  <c r="BO83" i="12" s="1"/>
  <c r="T84" i="10" s="1"/>
  <c r="A96" i="1"/>
  <c r="BE83" i="12"/>
  <c r="BT83" i="12" s="1"/>
  <c r="O557" i="10"/>
  <c r="BI556" i="12"/>
  <c r="BM556" i="12" s="1"/>
  <c r="BG556" i="12"/>
  <c r="BR556" i="12" s="1"/>
  <c r="V557" i="10" s="1"/>
  <c r="BJ556" i="12"/>
  <c r="BN556" i="12" s="1"/>
  <c r="S557" i="10" s="1"/>
  <c r="BH556" i="12"/>
  <c r="BS556" i="12" s="1"/>
  <c r="W557" i="10" s="1"/>
  <c r="BF556" i="12"/>
  <c r="BQ556" i="12" s="1"/>
  <c r="BK556" i="12"/>
  <c r="BO556" i="12" s="1"/>
  <c r="T557" i="10" s="1"/>
  <c r="A569" i="1"/>
  <c r="BE556" i="12"/>
  <c r="BT556" i="12" s="1"/>
  <c r="O484" i="10"/>
  <c r="BK483" i="12"/>
  <c r="BO483" i="12" s="1"/>
  <c r="T484" i="10" s="1"/>
  <c r="BF483" i="12"/>
  <c r="BQ483" i="12" s="1"/>
  <c r="BI483" i="12"/>
  <c r="BM483" i="12" s="1"/>
  <c r="BJ483" i="12"/>
  <c r="BN483" i="12" s="1"/>
  <c r="S484" i="10" s="1"/>
  <c r="BG483" i="12"/>
  <c r="BR483" i="12" s="1"/>
  <c r="V484" i="10" s="1"/>
  <c r="BH483" i="12"/>
  <c r="BS483" i="12" s="1"/>
  <c r="W484" i="10" s="1"/>
  <c r="A496" i="1"/>
  <c r="BE483" i="12"/>
  <c r="BT483" i="12" s="1"/>
  <c r="O411" i="10"/>
  <c r="BJ410" i="12"/>
  <c r="BN410" i="12" s="1"/>
  <c r="S411" i="10" s="1"/>
  <c r="BH410" i="12"/>
  <c r="BS410" i="12" s="1"/>
  <c r="W411" i="10" s="1"/>
  <c r="BK410" i="12"/>
  <c r="BO410" i="12" s="1"/>
  <c r="T411" i="10" s="1"/>
  <c r="BI410" i="12"/>
  <c r="BM410" i="12" s="1"/>
  <c r="BF410" i="12"/>
  <c r="BQ410" i="12" s="1"/>
  <c r="BG410" i="12"/>
  <c r="BR410" i="12" s="1"/>
  <c r="V411" i="10" s="1"/>
  <c r="BE410" i="12"/>
  <c r="BT410" i="12" s="1"/>
  <c r="A423" i="1"/>
  <c r="O337" i="10"/>
  <c r="BJ336" i="12"/>
  <c r="BN336" i="12" s="1"/>
  <c r="S337" i="10" s="1"/>
  <c r="BH336" i="12"/>
  <c r="BS336" i="12" s="1"/>
  <c r="W337" i="10" s="1"/>
  <c r="BK336" i="12"/>
  <c r="BO336" i="12" s="1"/>
  <c r="T337" i="10" s="1"/>
  <c r="BI336" i="12"/>
  <c r="BM336" i="12" s="1"/>
  <c r="BG336" i="12"/>
  <c r="BR336" i="12" s="1"/>
  <c r="V337" i="10" s="1"/>
  <c r="BF336" i="12"/>
  <c r="BQ336" i="12" s="1"/>
  <c r="BE336" i="12"/>
  <c r="BT336" i="12" s="1"/>
  <c r="A349" i="1"/>
  <c r="O262" i="10"/>
  <c r="BI261" i="12"/>
  <c r="BM261" i="12" s="1"/>
  <c r="BG261" i="12"/>
  <c r="BR261" i="12" s="1"/>
  <c r="V262" i="10" s="1"/>
  <c r="BJ261" i="12"/>
  <c r="BN261" i="12" s="1"/>
  <c r="S262" i="10" s="1"/>
  <c r="BH261" i="12"/>
  <c r="BS261" i="12" s="1"/>
  <c r="W262" i="10" s="1"/>
  <c r="BK261" i="12"/>
  <c r="BO261" i="12" s="1"/>
  <c r="T262" i="10" s="1"/>
  <c r="BF261" i="12"/>
  <c r="BQ261" i="12" s="1"/>
  <c r="A274" i="1"/>
  <c r="BE261" i="12"/>
  <c r="BT261" i="12" s="1"/>
  <c r="O179" i="10"/>
  <c r="BK178" i="12"/>
  <c r="BO178" i="12" s="1"/>
  <c r="T179" i="10" s="1"/>
  <c r="BF178" i="12"/>
  <c r="BQ178" i="12" s="1"/>
  <c r="BI178" i="12"/>
  <c r="BM178" i="12" s="1"/>
  <c r="BG178" i="12"/>
  <c r="BR178" i="12" s="1"/>
  <c r="V179" i="10" s="1"/>
  <c r="BH178" i="12"/>
  <c r="BS178" i="12" s="1"/>
  <c r="W179" i="10" s="1"/>
  <c r="BJ178" i="12"/>
  <c r="BN178" i="12" s="1"/>
  <c r="S179" i="10" s="1"/>
  <c r="A191" i="1"/>
  <c r="BE178" i="12"/>
  <c r="BT178" i="12" s="1"/>
  <c r="O94" i="10"/>
  <c r="BK93" i="12"/>
  <c r="BO93" i="12" s="1"/>
  <c r="T94" i="10" s="1"/>
  <c r="BF93" i="12"/>
  <c r="BQ93" i="12" s="1"/>
  <c r="BG93" i="12"/>
  <c r="BR93" i="12" s="1"/>
  <c r="V94" i="10" s="1"/>
  <c r="BH93" i="12"/>
  <c r="BS93" i="12" s="1"/>
  <c r="W94" i="10" s="1"/>
  <c r="BI93" i="12"/>
  <c r="BM93" i="12" s="1"/>
  <c r="BJ93" i="12"/>
  <c r="BN93" i="12" s="1"/>
  <c r="S94" i="10" s="1"/>
  <c r="A106" i="1"/>
  <c r="BE93" i="12"/>
  <c r="BT93" i="12" s="1"/>
  <c r="O7" i="10"/>
  <c r="BI6" i="12"/>
  <c r="BM6" i="12" s="1"/>
  <c r="BF6" i="12"/>
  <c r="BQ6" i="12" s="1"/>
  <c r="BG6" i="12"/>
  <c r="BR6" i="12" s="1"/>
  <c r="V7" i="10" s="1"/>
  <c r="BH6" i="12"/>
  <c r="BS6" i="12" s="1"/>
  <c r="W7" i="10" s="1"/>
  <c r="BK6" i="12"/>
  <c r="BO6" i="12" s="1"/>
  <c r="T7" i="10" s="1"/>
  <c r="BJ6" i="12"/>
  <c r="BN6" i="12" s="1"/>
  <c r="S7" i="10" s="1"/>
  <c r="BE6" i="12"/>
  <c r="BT6" i="12" s="1"/>
  <c r="A19" i="1"/>
  <c r="O492" i="10"/>
  <c r="BI491" i="12"/>
  <c r="BM491" i="12" s="1"/>
  <c r="BG491" i="12"/>
  <c r="BR491" i="12" s="1"/>
  <c r="V492" i="10" s="1"/>
  <c r="BJ491" i="12"/>
  <c r="BN491" i="12" s="1"/>
  <c r="S492" i="10" s="1"/>
  <c r="BH491" i="12"/>
  <c r="BS491" i="12" s="1"/>
  <c r="W492" i="10" s="1"/>
  <c r="BF491" i="12"/>
  <c r="BQ491" i="12" s="1"/>
  <c r="BK491" i="12"/>
  <c r="BO491" i="12" s="1"/>
  <c r="T492" i="10" s="1"/>
  <c r="BE491" i="12"/>
  <c r="BT491" i="12" s="1"/>
  <c r="A504" i="1"/>
  <c r="O419" i="10"/>
  <c r="BF418" i="12"/>
  <c r="BQ418" i="12" s="1"/>
  <c r="BI418" i="12"/>
  <c r="BM418" i="12" s="1"/>
  <c r="BK418" i="12"/>
  <c r="BO418" i="12" s="1"/>
  <c r="T419" i="10" s="1"/>
  <c r="BJ418" i="12"/>
  <c r="BN418" i="12" s="1"/>
  <c r="S419" i="10" s="1"/>
  <c r="BG418" i="12"/>
  <c r="BR418" i="12" s="1"/>
  <c r="V419" i="10" s="1"/>
  <c r="BH418" i="12"/>
  <c r="BS418" i="12" s="1"/>
  <c r="W419" i="10" s="1"/>
  <c r="BE418" i="12"/>
  <c r="BT418" i="12" s="1"/>
  <c r="A431" i="1"/>
  <c r="O345" i="10"/>
  <c r="BF344" i="12"/>
  <c r="BQ344" i="12" s="1"/>
  <c r="BI344" i="12"/>
  <c r="BM344" i="12" s="1"/>
  <c r="BG344" i="12"/>
  <c r="BR344" i="12" s="1"/>
  <c r="V345" i="10" s="1"/>
  <c r="BK344" i="12"/>
  <c r="BO344" i="12" s="1"/>
  <c r="T345" i="10" s="1"/>
  <c r="BJ344" i="12"/>
  <c r="BN344" i="12" s="1"/>
  <c r="S345" i="10" s="1"/>
  <c r="BH344" i="12"/>
  <c r="BS344" i="12" s="1"/>
  <c r="W345" i="10" s="1"/>
  <c r="BE344" i="12"/>
  <c r="BT344" i="12" s="1"/>
  <c r="A357" i="1"/>
  <c r="O271" i="10"/>
  <c r="BJ270" i="12"/>
  <c r="BN270" i="12" s="1"/>
  <c r="S271" i="10" s="1"/>
  <c r="BH270" i="12"/>
  <c r="BS270" i="12" s="1"/>
  <c r="W271" i="10" s="1"/>
  <c r="BK270" i="12"/>
  <c r="BO270" i="12" s="1"/>
  <c r="T271" i="10" s="1"/>
  <c r="BF270" i="12"/>
  <c r="BQ270" i="12" s="1"/>
  <c r="BG270" i="12"/>
  <c r="BR270" i="12" s="1"/>
  <c r="V271" i="10" s="1"/>
  <c r="BI270" i="12"/>
  <c r="BM270" i="12" s="1"/>
  <c r="A283" i="1"/>
  <c r="BE270" i="12"/>
  <c r="BT270" i="12" s="1"/>
  <c r="O189" i="10"/>
  <c r="BF188" i="12"/>
  <c r="BQ188" i="12" s="1"/>
  <c r="BI188" i="12"/>
  <c r="BM188" i="12" s="1"/>
  <c r="BG188" i="12"/>
  <c r="BR188" i="12" s="1"/>
  <c r="V189" i="10" s="1"/>
  <c r="BJ188" i="12"/>
  <c r="BN188" i="12" s="1"/>
  <c r="S189" i="10" s="1"/>
  <c r="BH188" i="12"/>
  <c r="BS188" i="12" s="1"/>
  <c r="W189" i="10" s="1"/>
  <c r="BK188" i="12"/>
  <c r="BO188" i="12" s="1"/>
  <c r="T189" i="10" s="1"/>
  <c r="BE188" i="12"/>
  <c r="BT188" i="12" s="1"/>
  <c r="A201" i="1"/>
  <c r="O103" i="10"/>
  <c r="BF102" i="12"/>
  <c r="BQ102" i="12" s="1"/>
  <c r="BI102" i="12"/>
  <c r="BM102" i="12" s="1"/>
  <c r="BG102" i="12"/>
  <c r="BR102" i="12" s="1"/>
  <c r="V103" i="10" s="1"/>
  <c r="BJ102" i="12"/>
  <c r="BN102" i="12" s="1"/>
  <c r="S103" i="10" s="1"/>
  <c r="BH102" i="12"/>
  <c r="BS102" i="12" s="1"/>
  <c r="W103" i="10" s="1"/>
  <c r="BK102" i="12"/>
  <c r="BO102" i="12" s="1"/>
  <c r="T103" i="10" s="1"/>
  <c r="A115" i="1"/>
  <c r="BE102" i="12"/>
  <c r="BT102" i="12" s="1"/>
  <c r="O17" i="10"/>
  <c r="BJ16" i="12"/>
  <c r="BN16" i="12" s="1"/>
  <c r="S17" i="10" s="1"/>
  <c r="BH16" i="12"/>
  <c r="BS16" i="12" s="1"/>
  <c r="W17" i="10" s="1"/>
  <c r="BK16" i="12"/>
  <c r="BO16" i="12" s="1"/>
  <c r="T17" i="10" s="1"/>
  <c r="BF16" i="12"/>
  <c r="BQ16" i="12" s="1"/>
  <c r="BI16" i="12"/>
  <c r="BM16" i="12" s="1"/>
  <c r="BG16" i="12"/>
  <c r="BR16" i="12" s="1"/>
  <c r="V17" i="10" s="1"/>
  <c r="A29" i="1"/>
  <c r="BE16" i="12"/>
  <c r="BT16" i="12" s="1"/>
  <c r="O530" i="10"/>
  <c r="BJ529" i="12"/>
  <c r="BN529" i="12" s="1"/>
  <c r="S530" i="10" s="1"/>
  <c r="BH529" i="12"/>
  <c r="BS529" i="12" s="1"/>
  <c r="W530" i="10" s="1"/>
  <c r="BK529" i="12"/>
  <c r="BO529" i="12" s="1"/>
  <c r="T530" i="10" s="1"/>
  <c r="BI529" i="12"/>
  <c r="BM529" i="12" s="1"/>
  <c r="BF529" i="12"/>
  <c r="BQ529" i="12" s="1"/>
  <c r="BG529" i="12"/>
  <c r="BR529" i="12" s="1"/>
  <c r="V530" i="10" s="1"/>
  <c r="BE529" i="12"/>
  <c r="BT529" i="12" s="1"/>
  <c r="A542" i="1"/>
  <c r="O466" i="10"/>
  <c r="BF465" i="12"/>
  <c r="BQ465" i="12" s="1"/>
  <c r="BI465" i="12"/>
  <c r="BM465" i="12" s="1"/>
  <c r="BG465" i="12"/>
  <c r="BR465" i="12" s="1"/>
  <c r="V466" i="10" s="1"/>
  <c r="BH465" i="12"/>
  <c r="BS465" i="12" s="1"/>
  <c r="W466" i="10" s="1"/>
  <c r="BJ465" i="12"/>
  <c r="BN465" i="12" s="1"/>
  <c r="S466" i="10" s="1"/>
  <c r="BK465" i="12"/>
  <c r="BO465" i="12" s="1"/>
  <c r="T466" i="10" s="1"/>
  <c r="A478" i="1"/>
  <c r="BE465" i="12"/>
  <c r="BT465" i="12" s="1"/>
  <c r="O402" i="10"/>
  <c r="BI401" i="12"/>
  <c r="BM401" i="12" s="1"/>
  <c r="BG401" i="12"/>
  <c r="BR401" i="12" s="1"/>
  <c r="V402" i="10" s="1"/>
  <c r="BJ401" i="12"/>
  <c r="BN401" i="12" s="1"/>
  <c r="S402" i="10" s="1"/>
  <c r="BH401" i="12"/>
  <c r="BS401" i="12" s="1"/>
  <c r="W402" i="10" s="1"/>
  <c r="BK401" i="12"/>
  <c r="BO401" i="12" s="1"/>
  <c r="T402" i="10" s="1"/>
  <c r="BF401" i="12"/>
  <c r="BQ401" i="12" s="1"/>
  <c r="BE401" i="12"/>
  <c r="BT401" i="12" s="1"/>
  <c r="A414" i="1"/>
  <c r="O338" i="10"/>
  <c r="BF337" i="12"/>
  <c r="BQ337" i="12" s="1"/>
  <c r="BI337" i="12"/>
  <c r="BM337" i="12" s="1"/>
  <c r="BG337" i="12"/>
  <c r="BR337" i="12" s="1"/>
  <c r="V338" i="10" s="1"/>
  <c r="BJ337" i="12"/>
  <c r="BN337" i="12" s="1"/>
  <c r="S338" i="10" s="1"/>
  <c r="BK337" i="12"/>
  <c r="BO337" i="12" s="1"/>
  <c r="T338" i="10" s="1"/>
  <c r="BH337" i="12"/>
  <c r="BS337" i="12" s="1"/>
  <c r="W338" i="10" s="1"/>
  <c r="BE337" i="12"/>
  <c r="BT337" i="12" s="1"/>
  <c r="A350" i="1"/>
  <c r="O273" i="10"/>
  <c r="BI272" i="12"/>
  <c r="BM272" i="12" s="1"/>
  <c r="BJ272" i="12"/>
  <c r="BN272" i="12" s="1"/>
  <c r="S273" i="10" s="1"/>
  <c r="BK272" i="12"/>
  <c r="BO272" i="12" s="1"/>
  <c r="T273" i="10" s="1"/>
  <c r="BF272" i="12"/>
  <c r="BQ272" i="12" s="1"/>
  <c r="BH272" i="12"/>
  <c r="BS272" i="12" s="1"/>
  <c r="W273" i="10" s="1"/>
  <c r="BG272" i="12"/>
  <c r="BR272" i="12" s="1"/>
  <c r="V273" i="10" s="1"/>
  <c r="A285" i="1"/>
  <c r="BE272" i="12"/>
  <c r="BT272" i="12" s="1"/>
  <c r="O206" i="10"/>
  <c r="BJ205" i="12"/>
  <c r="BN205" i="12" s="1"/>
  <c r="S206" i="10" s="1"/>
  <c r="BH205" i="12"/>
  <c r="BS205" i="12" s="1"/>
  <c r="W206" i="10" s="1"/>
  <c r="BK205" i="12"/>
  <c r="BO205" i="12" s="1"/>
  <c r="T206" i="10" s="1"/>
  <c r="BG205" i="12"/>
  <c r="BR205" i="12" s="1"/>
  <c r="V206" i="10" s="1"/>
  <c r="BI205" i="12"/>
  <c r="BM205" i="12" s="1"/>
  <c r="BF205" i="12"/>
  <c r="BQ205" i="12" s="1"/>
  <c r="BE205" i="12"/>
  <c r="BT205" i="12" s="1"/>
  <c r="A218" i="1"/>
  <c r="O141" i="10"/>
  <c r="BI140" i="12"/>
  <c r="BM140" i="12" s="1"/>
  <c r="BF140" i="12"/>
  <c r="BQ140" i="12" s="1"/>
  <c r="BG140" i="12"/>
  <c r="BR140" i="12" s="1"/>
  <c r="V141" i="10" s="1"/>
  <c r="BH140" i="12"/>
  <c r="BS140" i="12" s="1"/>
  <c r="W141" i="10" s="1"/>
  <c r="BJ140" i="12"/>
  <c r="BN140" i="12" s="1"/>
  <c r="S141" i="10" s="1"/>
  <c r="BK140" i="12"/>
  <c r="BO140" i="12" s="1"/>
  <c r="T141" i="10" s="1"/>
  <c r="A153" i="1"/>
  <c r="BE140" i="12"/>
  <c r="BT140" i="12" s="1"/>
  <c r="O77" i="10"/>
  <c r="BI76" i="12"/>
  <c r="BM76" i="12" s="1"/>
  <c r="BF76" i="12"/>
  <c r="BQ76" i="12" s="1"/>
  <c r="BG76" i="12"/>
  <c r="BR76" i="12" s="1"/>
  <c r="V77" i="10" s="1"/>
  <c r="BH76" i="12"/>
  <c r="BS76" i="12" s="1"/>
  <c r="W77" i="10" s="1"/>
  <c r="BK76" i="12"/>
  <c r="BO76" i="12" s="1"/>
  <c r="T77" i="10" s="1"/>
  <c r="A89" i="1"/>
  <c r="BJ76" i="12"/>
  <c r="BN76" i="12" s="1"/>
  <c r="S77" i="10" s="1"/>
  <c r="BE76" i="12"/>
  <c r="BT76" i="12" s="1"/>
  <c r="O13" i="10"/>
  <c r="BF12" i="12"/>
  <c r="BQ12" i="12" s="1"/>
  <c r="BI12" i="12"/>
  <c r="BM12" i="12" s="1"/>
  <c r="BG12" i="12"/>
  <c r="BR12" i="12" s="1"/>
  <c r="V13" i="10" s="1"/>
  <c r="BJ12" i="12"/>
  <c r="BN12" i="12" s="1"/>
  <c r="S13" i="10" s="1"/>
  <c r="BH12" i="12"/>
  <c r="BS12" i="12" s="1"/>
  <c r="W13" i="10" s="1"/>
  <c r="BK12" i="12"/>
  <c r="BO12" i="12" s="1"/>
  <c r="T13" i="10" s="1"/>
  <c r="A25" i="1"/>
  <c r="BE12" i="12"/>
  <c r="BT12" i="12" s="1"/>
  <c r="O180" i="10"/>
  <c r="BI179" i="12"/>
  <c r="BM179" i="12" s="1"/>
  <c r="BG179" i="12"/>
  <c r="BR179" i="12" s="1"/>
  <c r="V180" i="10" s="1"/>
  <c r="BJ179" i="12"/>
  <c r="BN179" i="12" s="1"/>
  <c r="S180" i="10" s="1"/>
  <c r="BH179" i="12"/>
  <c r="BS179" i="12" s="1"/>
  <c r="W180" i="10" s="1"/>
  <c r="BK179" i="12"/>
  <c r="BO179" i="12" s="1"/>
  <c r="T180" i="10" s="1"/>
  <c r="BF179" i="12"/>
  <c r="BQ179" i="12" s="1"/>
  <c r="BE179" i="12"/>
  <c r="BT179" i="12" s="1"/>
  <c r="A192" i="1"/>
  <c r="O115" i="10"/>
  <c r="BK114" i="12"/>
  <c r="BO114" i="12" s="1"/>
  <c r="T115" i="10" s="1"/>
  <c r="BF114" i="12"/>
  <c r="BQ114" i="12" s="1"/>
  <c r="BI114" i="12"/>
  <c r="BM114" i="12" s="1"/>
  <c r="BG114" i="12"/>
  <c r="BR114" i="12" s="1"/>
  <c r="V115" i="10" s="1"/>
  <c r="BH114" i="12"/>
  <c r="BS114" i="12" s="1"/>
  <c r="W115" i="10" s="1"/>
  <c r="BJ114" i="12"/>
  <c r="BN114" i="12" s="1"/>
  <c r="S115" i="10" s="1"/>
  <c r="A127" i="1"/>
  <c r="BE114" i="12"/>
  <c r="BT114" i="12" s="1"/>
  <c r="O51" i="10"/>
  <c r="BJ50" i="12"/>
  <c r="BN50" i="12" s="1"/>
  <c r="S51" i="10" s="1"/>
  <c r="BH50" i="12"/>
  <c r="BS50" i="12" s="1"/>
  <c r="W51" i="10" s="1"/>
  <c r="BK50" i="12"/>
  <c r="BO50" i="12" s="1"/>
  <c r="T51" i="10" s="1"/>
  <c r="BG50" i="12"/>
  <c r="BR50" i="12" s="1"/>
  <c r="V51" i="10" s="1"/>
  <c r="BI50" i="12"/>
  <c r="BM50" i="12" s="1"/>
  <c r="BF50" i="12"/>
  <c r="BQ50" i="12" s="1"/>
  <c r="A63" i="1"/>
  <c r="BE50" i="12"/>
  <c r="BT50" i="12" s="1"/>
  <c r="O326" i="10"/>
  <c r="BJ325" i="12"/>
  <c r="BN325" i="12" s="1"/>
  <c r="S326" i="10" s="1"/>
  <c r="BH325" i="12"/>
  <c r="BS325" i="12" s="1"/>
  <c r="W326" i="10" s="1"/>
  <c r="BK325" i="12"/>
  <c r="BO325" i="12" s="1"/>
  <c r="T326" i="10" s="1"/>
  <c r="BF325" i="12"/>
  <c r="BQ325" i="12" s="1"/>
  <c r="BG325" i="12"/>
  <c r="BR325" i="12" s="1"/>
  <c r="V326" i="10" s="1"/>
  <c r="BI325" i="12"/>
  <c r="BM325" i="12" s="1"/>
  <c r="A338" i="1"/>
  <c r="BE325" i="12"/>
  <c r="BT325" i="12" s="1"/>
  <c r="O361" i="10"/>
  <c r="BF360" i="12"/>
  <c r="BQ360" i="12" s="1"/>
  <c r="BI360" i="12"/>
  <c r="BM360" i="12" s="1"/>
  <c r="BG360" i="12"/>
  <c r="BR360" i="12" s="1"/>
  <c r="V361" i="10" s="1"/>
  <c r="BJ360" i="12"/>
  <c r="BN360" i="12" s="1"/>
  <c r="S361" i="10" s="1"/>
  <c r="BH360" i="12"/>
  <c r="BS360" i="12" s="1"/>
  <c r="W361" i="10" s="1"/>
  <c r="BK360" i="12"/>
  <c r="BO360" i="12" s="1"/>
  <c r="T361" i="10" s="1"/>
  <c r="A373" i="1"/>
  <c r="BE360" i="12"/>
  <c r="BT360" i="12" s="1"/>
  <c r="O162" i="10"/>
  <c r="BF161" i="12"/>
  <c r="BQ161" i="12" s="1"/>
  <c r="BI161" i="12"/>
  <c r="BM161" i="12" s="1"/>
  <c r="BG161" i="12"/>
  <c r="BR161" i="12" s="1"/>
  <c r="V162" i="10" s="1"/>
  <c r="BK161" i="12"/>
  <c r="BO161" i="12" s="1"/>
  <c r="T162" i="10" s="1"/>
  <c r="BH161" i="12"/>
  <c r="BS161" i="12" s="1"/>
  <c r="W162" i="10" s="1"/>
  <c r="BJ161" i="12"/>
  <c r="BN161" i="12" s="1"/>
  <c r="S162" i="10" s="1"/>
  <c r="A174" i="1"/>
  <c r="BE161" i="12"/>
  <c r="BT161" i="12" s="1"/>
  <c r="O316" i="10"/>
  <c r="BI315" i="12"/>
  <c r="BM315" i="12" s="1"/>
  <c r="BJ315" i="12"/>
  <c r="BN315" i="12" s="1"/>
  <c r="S316" i="10" s="1"/>
  <c r="BH315" i="12"/>
  <c r="BS315" i="12" s="1"/>
  <c r="W316" i="10" s="1"/>
  <c r="BG315" i="12"/>
  <c r="BR315" i="12" s="1"/>
  <c r="V316" i="10" s="1"/>
  <c r="BF315" i="12"/>
  <c r="BQ315" i="12" s="1"/>
  <c r="BK315" i="12"/>
  <c r="BO315" i="12" s="1"/>
  <c r="T316" i="10" s="1"/>
  <c r="BE315" i="12"/>
  <c r="BT315" i="12" s="1"/>
  <c r="A328" i="1"/>
  <c r="O487" i="10"/>
  <c r="BI486" i="12"/>
  <c r="BM486" i="12" s="1"/>
  <c r="BG486" i="12"/>
  <c r="BR486" i="12" s="1"/>
  <c r="V487" i="10" s="1"/>
  <c r="BJ486" i="12"/>
  <c r="BN486" i="12" s="1"/>
  <c r="S487" i="10" s="1"/>
  <c r="BH486" i="12"/>
  <c r="BS486" i="12" s="1"/>
  <c r="W487" i="10" s="1"/>
  <c r="BK486" i="12"/>
  <c r="BO486" i="12" s="1"/>
  <c r="T487" i="10" s="1"/>
  <c r="BF486" i="12"/>
  <c r="BQ486" i="12" s="1"/>
  <c r="BE486" i="12"/>
  <c r="BT486" i="12" s="1"/>
  <c r="A499" i="1"/>
  <c r="O527" i="10"/>
  <c r="BI526" i="12"/>
  <c r="BM526" i="12" s="1"/>
  <c r="BG526" i="12"/>
  <c r="BR526" i="12" s="1"/>
  <c r="V527" i="10" s="1"/>
  <c r="BJ526" i="12"/>
  <c r="BN526" i="12" s="1"/>
  <c r="S527" i="10" s="1"/>
  <c r="BH526" i="12"/>
  <c r="BS526" i="12" s="1"/>
  <c r="W527" i="10" s="1"/>
  <c r="BF526" i="12"/>
  <c r="BQ526" i="12" s="1"/>
  <c r="BK526" i="12"/>
  <c r="BO526" i="12" s="1"/>
  <c r="T527" i="10" s="1"/>
  <c r="BE526" i="12"/>
  <c r="BT526" i="12" s="1"/>
  <c r="A539" i="1"/>
  <c r="O325" i="10"/>
  <c r="BF324" i="12"/>
  <c r="BQ324" i="12" s="1"/>
  <c r="BI324" i="12"/>
  <c r="BM324" i="12" s="1"/>
  <c r="BG324" i="12"/>
  <c r="BR324" i="12" s="1"/>
  <c r="V325" i="10" s="1"/>
  <c r="BK324" i="12"/>
  <c r="BO324" i="12" s="1"/>
  <c r="T325" i="10" s="1"/>
  <c r="BJ324" i="12"/>
  <c r="BN324" i="12" s="1"/>
  <c r="S325" i="10" s="1"/>
  <c r="BH324" i="12"/>
  <c r="BS324" i="12" s="1"/>
  <c r="W325" i="10" s="1"/>
  <c r="BE324" i="12"/>
  <c r="BT324" i="12" s="1"/>
  <c r="A337" i="1"/>
  <c r="O208" i="10"/>
  <c r="BI207" i="12"/>
  <c r="BM207" i="12" s="1"/>
  <c r="BG207" i="12"/>
  <c r="BR207" i="12" s="1"/>
  <c r="V208" i="10" s="1"/>
  <c r="BJ207" i="12"/>
  <c r="BN207" i="12" s="1"/>
  <c r="S208" i="10" s="1"/>
  <c r="BH207" i="12"/>
  <c r="BS207" i="12" s="1"/>
  <c r="W208" i="10" s="1"/>
  <c r="BF207" i="12"/>
  <c r="BQ207" i="12" s="1"/>
  <c r="BK207" i="12"/>
  <c r="BO207" i="12" s="1"/>
  <c r="T208" i="10" s="1"/>
  <c r="A220" i="1"/>
  <c r="BE207" i="12"/>
  <c r="BT207" i="12" s="1"/>
  <c r="O267" i="10"/>
  <c r="BF266" i="12"/>
  <c r="BQ266" i="12" s="1"/>
  <c r="BI266" i="12"/>
  <c r="BM266" i="12" s="1"/>
  <c r="BJ266" i="12"/>
  <c r="BN266" i="12" s="1"/>
  <c r="S267" i="10" s="1"/>
  <c r="BK266" i="12"/>
  <c r="BO266" i="12" s="1"/>
  <c r="T267" i="10" s="1"/>
  <c r="BG266" i="12"/>
  <c r="BR266" i="12" s="1"/>
  <c r="V267" i="10" s="1"/>
  <c r="BH266" i="12"/>
  <c r="BS266" i="12" s="1"/>
  <c r="W267" i="10" s="1"/>
  <c r="BE266" i="12"/>
  <c r="BT266" i="12" s="1"/>
  <c r="A279" i="1"/>
  <c r="O381" i="10"/>
  <c r="BI380" i="12"/>
  <c r="BM380" i="12" s="1"/>
  <c r="BG380" i="12"/>
  <c r="BR380" i="12" s="1"/>
  <c r="V381" i="10" s="1"/>
  <c r="BF380" i="12"/>
  <c r="BQ380" i="12" s="1"/>
  <c r="BH380" i="12"/>
  <c r="BS380" i="12" s="1"/>
  <c r="W381" i="10" s="1"/>
  <c r="BJ380" i="12"/>
  <c r="BN380" i="12" s="1"/>
  <c r="S381" i="10" s="1"/>
  <c r="BK380" i="12"/>
  <c r="BO380" i="12" s="1"/>
  <c r="T381" i="10" s="1"/>
  <c r="A393" i="1"/>
  <c r="BE380" i="12"/>
  <c r="BT380" i="12" s="1"/>
  <c r="O250" i="10"/>
  <c r="BK249" i="12"/>
  <c r="BO249" i="12" s="1"/>
  <c r="T250" i="10" s="1"/>
  <c r="BF249" i="12"/>
  <c r="BQ249" i="12" s="1"/>
  <c r="BG249" i="12"/>
  <c r="BR249" i="12" s="1"/>
  <c r="V250" i="10" s="1"/>
  <c r="BJ249" i="12"/>
  <c r="BN249" i="12" s="1"/>
  <c r="S250" i="10" s="1"/>
  <c r="BH249" i="12"/>
  <c r="BS249" i="12" s="1"/>
  <c r="W250" i="10" s="1"/>
  <c r="BI249" i="12"/>
  <c r="BM249" i="12" s="1"/>
  <c r="A262" i="1"/>
  <c r="BE249" i="12"/>
  <c r="BT249" i="12" s="1"/>
  <c r="O342" i="10"/>
  <c r="BJ341" i="12"/>
  <c r="BN341" i="12" s="1"/>
  <c r="S342" i="10" s="1"/>
  <c r="BH341" i="12"/>
  <c r="BS341" i="12" s="1"/>
  <c r="W342" i="10" s="1"/>
  <c r="BK341" i="12"/>
  <c r="BO341" i="12" s="1"/>
  <c r="T342" i="10" s="1"/>
  <c r="BG341" i="12"/>
  <c r="BR341" i="12" s="1"/>
  <c r="V342" i="10" s="1"/>
  <c r="BI341" i="12"/>
  <c r="BM341" i="12" s="1"/>
  <c r="BF341" i="12"/>
  <c r="BQ341" i="12" s="1"/>
  <c r="BE341" i="12"/>
  <c r="BT341" i="12" s="1"/>
  <c r="A354" i="1"/>
  <c r="O289" i="10"/>
  <c r="BI288" i="12"/>
  <c r="BM288" i="12" s="1"/>
  <c r="BJ288" i="12"/>
  <c r="BN288" i="12" s="1"/>
  <c r="S289" i="10" s="1"/>
  <c r="BG288" i="12"/>
  <c r="BR288" i="12" s="1"/>
  <c r="V289" i="10" s="1"/>
  <c r="BF288" i="12"/>
  <c r="BQ288" i="12" s="1"/>
  <c r="BH288" i="12"/>
  <c r="BS288" i="12" s="1"/>
  <c r="W289" i="10" s="1"/>
  <c r="BK288" i="12"/>
  <c r="BO288" i="12" s="1"/>
  <c r="T289" i="10" s="1"/>
  <c r="A301" i="1"/>
  <c r="BE288" i="12"/>
  <c r="BT288" i="12" s="1"/>
  <c r="O471" i="10"/>
  <c r="BK470" i="12"/>
  <c r="BO470" i="12" s="1"/>
  <c r="T471" i="10" s="1"/>
  <c r="BF470" i="12"/>
  <c r="BQ470" i="12" s="1"/>
  <c r="BH470" i="12"/>
  <c r="BS470" i="12" s="1"/>
  <c r="W471" i="10" s="1"/>
  <c r="BI470" i="12"/>
  <c r="BM470" i="12" s="1"/>
  <c r="BJ470" i="12"/>
  <c r="BN470" i="12" s="1"/>
  <c r="S471" i="10" s="1"/>
  <c r="BG470" i="12"/>
  <c r="BR470" i="12" s="1"/>
  <c r="V471" i="10" s="1"/>
  <c r="BE470" i="12"/>
  <c r="BT470" i="12" s="1"/>
  <c r="A483" i="1"/>
  <c r="O34" i="10"/>
  <c r="BF33" i="12"/>
  <c r="BQ33" i="12" s="1"/>
  <c r="BI33" i="12"/>
  <c r="BM33" i="12" s="1"/>
  <c r="BG33" i="12"/>
  <c r="BR33" i="12" s="1"/>
  <c r="V34" i="10" s="1"/>
  <c r="BK33" i="12"/>
  <c r="BO33" i="12" s="1"/>
  <c r="T34" i="10" s="1"/>
  <c r="BJ33" i="12"/>
  <c r="BN33" i="12" s="1"/>
  <c r="S34" i="10" s="1"/>
  <c r="BH33" i="12"/>
  <c r="BS33" i="12" s="1"/>
  <c r="W34" i="10" s="1"/>
  <c r="A46" i="1"/>
  <c r="BE33" i="12"/>
  <c r="BT33" i="12" s="1"/>
  <c r="O228" i="10"/>
  <c r="BJ227" i="12"/>
  <c r="BN227" i="12" s="1"/>
  <c r="S228" i="10" s="1"/>
  <c r="BH227" i="12"/>
  <c r="BS227" i="12" s="1"/>
  <c r="W228" i="10" s="1"/>
  <c r="BK227" i="12"/>
  <c r="BO227" i="12" s="1"/>
  <c r="T228" i="10" s="1"/>
  <c r="BI227" i="12"/>
  <c r="BM227" i="12" s="1"/>
  <c r="BF227" i="12"/>
  <c r="BQ227" i="12" s="1"/>
  <c r="BG227" i="12"/>
  <c r="BR227" i="12" s="1"/>
  <c r="V228" i="10" s="1"/>
  <c r="A240" i="1"/>
  <c r="BE227" i="12"/>
  <c r="BT227" i="12" s="1"/>
  <c r="O363" i="10"/>
  <c r="BK362" i="12"/>
  <c r="BO362" i="12" s="1"/>
  <c r="T363" i="10" s="1"/>
  <c r="BF362" i="12"/>
  <c r="BQ362" i="12" s="1"/>
  <c r="BH362" i="12"/>
  <c r="BS362" i="12" s="1"/>
  <c r="W363" i="10" s="1"/>
  <c r="BI362" i="12"/>
  <c r="BM362" i="12" s="1"/>
  <c r="BJ362" i="12"/>
  <c r="BN362" i="12" s="1"/>
  <c r="S363" i="10" s="1"/>
  <c r="BG362" i="12"/>
  <c r="BR362" i="12" s="1"/>
  <c r="V363" i="10" s="1"/>
  <c r="A375" i="1"/>
  <c r="BE362" i="12"/>
  <c r="BT362" i="12" s="1"/>
  <c r="O499" i="10"/>
  <c r="BK498" i="12"/>
  <c r="BO498" i="12" s="1"/>
  <c r="T499" i="10" s="1"/>
  <c r="BF498" i="12"/>
  <c r="BQ498" i="12" s="1"/>
  <c r="BJ498" i="12"/>
  <c r="BN498" i="12" s="1"/>
  <c r="S499" i="10" s="1"/>
  <c r="BG498" i="12"/>
  <c r="BR498" i="12" s="1"/>
  <c r="V499" i="10" s="1"/>
  <c r="BI498" i="12"/>
  <c r="BM498" i="12" s="1"/>
  <c r="BH498" i="12"/>
  <c r="BS498" i="12" s="1"/>
  <c r="W499" i="10" s="1"/>
  <c r="BE498" i="12"/>
  <c r="BT498" i="12" s="1"/>
  <c r="A511" i="1"/>
  <c r="O88" i="10"/>
  <c r="BJ87" i="12"/>
  <c r="BN87" i="12" s="1"/>
  <c r="S88" i="10" s="1"/>
  <c r="BH87" i="12"/>
  <c r="BS87" i="12" s="1"/>
  <c r="W88" i="10" s="1"/>
  <c r="BK87" i="12"/>
  <c r="BO87" i="12" s="1"/>
  <c r="T88" i="10" s="1"/>
  <c r="BI87" i="12"/>
  <c r="BM87" i="12" s="1"/>
  <c r="BF87" i="12"/>
  <c r="BQ87" i="12" s="1"/>
  <c r="BG87" i="12"/>
  <c r="BR87" i="12" s="1"/>
  <c r="V88" i="10" s="1"/>
  <c r="A100" i="1"/>
  <c r="BE87" i="12"/>
  <c r="BT87" i="12" s="1"/>
  <c r="O251" i="10"/>
  <c r="BF250" i="12"/>
  <c r="BQ250" i="12" s="1"/>
  <c r="BI250" i="12"/>
  <c r="BM250" i="12" s="1"/>
  <c r="BG250" i="12"/>
  <c r="BR250" i="12" s="1"/>
  <c r="V251" i="10" s="1"/>
  <c r="BJ250" i="12"/>
  <c r="BN250" i="12" s="1"/>
  <c r="S251" i="10" s="1"/>
  <c r="BH250" i="12"/>
  <c r="BS250" i="12" s="1"/>
  <c r="W251" i="10" s="1"/>
  <c r="BK250" i="12"/>
  <c r="BO250" i="12" s="1"/>
  <c r="T251" i="10" s="1"/>
  <c r="BE250" i="12"/>
  <c r="BT250" i="12" s="1"/>
  <c r="A263" i="1"/>
  <c r="O509" i="10"/>
  <c r="BJ508" i="12"/>
  <c r="BN508" i="12" s="1"/>
  <c r="S509" i="10" s="1"/>
  <c r="BH508" i="12"/>
  <c r="BS508" i="12" s="1"/>
  <c r="W509" i="10" s="1"/>
  <c r="BK508" i="12"/>
  <c r="BO508" i="12" s="1"/>
  <c r="T509" i="10" s="1"/>
  <c r="BI508" i="12"/>
  <c r="BM508" i="12" s="1"/>
  <c r="BF508" i="12"/>
  <c r="BQ508" i="12" s="1"/>
  <c r="BG508" i="12"/>
  <c r="BR508" i="12" s="1"/>
  <c r="V509" i="10" s="1"/>
  <c r="A521" i="1"/>
  <c r="BE508" i="12"/>
  <c r="BT508" i="12" s="1"/>
  <c r="O377" i="10"/>
  <c r="BI376" i="12"/>
  <c r="BM376" i="12" s="1"/>
  <c r="BG376" i="12"/>
  <c r="BR376" i="12" s="1"/>
  <c r="V377" i="10" s="1"/>
  <c r="BF376" i="12"/>
  <c r="BQ376" i="12" s="1"/>
  <c r="BH376" i="12"/>
  <c r="BS376" i="12" s="1"/>
  <c r="W377" i="10" s="1"/>
  <c r="BJ376" i="12"/>
  <c r="BN376" i="12" s="1"/>
  <c r="S377" i="10" s="1"/>
  <c r="BK376" i="12"/>
  <c r="BO376" i="12" s="1"/>
  <c r="T377" i="10" s="1"/>
  <c r="BE376" i="12"/>
  <c r="BT376" i="12" s="1"/>
  <c r="A389" i="1"/>
  <c r="BF226" i="12"/>
  <c r="BQ226" i="12" s="1"/>
  <c r="BI226" i="12"/>
  <c r="BM226" i="12" s="1"/>
  <c r="BG226" i="12"/>
  <c r="BR226" i="12" s="1"/>
  <c r="V227" i="10" s="1"/>
  <c r="BJ226" i="12"/>
  <c r="BN226" i="12" s="1"/>
  <c r="S227" i="10" s="1"/>
  <c r="BH226" i="12"/>
  <c r="BS226" i="12" s="1"/>
  <c r="W227" i="10" s="1"/>
  <c r="O227" i="10"/>
  <c r="BK226" i="12"/>
  <c r="BO226" i="12" s="1"/>
  <c r="T227" i="10" s="1"/>
  <c r="BE226" i="12"/>
  <c r="BT226" i="12" s="1"/>
  <c r="A239" i="1"/>
  <c r="O25" i="10"/>
  <c r="BJ24" i="12"/>
  <c r="BN24" i="12" s="1"/>
  <c r="S25" i="10" s="1"/>
  <c r="BH24" i="12"/>
  <c r="BS24" i="12" s="1"/>
  <c r="W25" i="10" s="1"/>
  <c r="BK24" i="12"/>
  <c r="BO24" i="12" s="1"/>
  <c r="T25" i="10" s="1"/>
  <c r="BF24" i="12"/>
  <c r="BQ24" i="12" s="1"/>
  <c r="BI24" i="12"/>
  <c r="BM24" i="12" s="1"/>
  <c r="BG24" i="12"/>
  <c r="BR24" i="12" s="1"/>
  <c r="V25" i="10" s="1"/>
  <c r="A37" i="1"/>
  <c r="BE24" i="12"/>
  <c r="BT24" i="12" s="1"/>
  <c r="O445" i="10"/>
  <c r="BI444" i="12"/>
  <c r="BM444" i="12" s="1"/>
  <c r="BG444" i="12"/>
  <c r="BR444" i="12" s="1"/>
  <c r="V445" i="10" s="1"/>
  <c r="BJ444" i="12"/>
  <c r="BN444" i="12" s="1"/>
  <c r="S445" i="10" s="1"/>
  <c r="BH444" i="12"/>
  <c r="BS444" i="12" s="1"/>
  <c r="W445" i="10" s="1"/>
  <c r="BK444" i="12"/>
  <c r="BO444" i="12" s="1"/>
  <c r="T445" i="10" s="1"/>
  <c r="BF444" i="12"/>
  <c r="BQ444" i="12" s="1"/>
  <c r="BE444" i="12"/>
  <c r="BT444" i="12" s="1"/>
  <c r="A457" i="1"/>
  <c r="O299" i="10"/>
  <c r="BJ298" i="12"/>
  <c r="BN298" i="12" s="1"/>
  <c r="S299" i="10" s="1"/>
  <c r="BK298" i="12"/>
  <c r="BO298" i="12" s="1"/>
  <c r="T299" i="10" s="1"/>
  <c r="BI298" i="12"/>
  <c r="BM298" i="12" s="1"/>
  <c r="BF298" i="12"/>
  <c r="BQ298" i="12" s="1"/>
  <c r="BG298" i="12"/>
  <c r="BR298" i="12" s="1"/>
  <c r="V299" i="10" s="1"/>
  <c r="BH298" i="12"/>
  <c r="BS298" i="12" s="1"/>
  <c r="W299" i="10" s="1"/>
  <c r="A311" i="1"/>
  <c r="BE298" i="12"/>
  <c r="BT298" i="12" s="1"/>
  <c r="O134" i="10"/>
  <c r="BJ133" i="12"/>
  <c r="BN133" i="12" s="1"/>
  <c r="S134" i="10" s="1"/>
  <c r="BI133" i="12"/>
  <c r="BM133" i="12" s="1"/>
  <c r="BF133" i="12"/>
  <c r="BQ133" i="12" s="1"/>
  <c r="BG133" i="12"/>
  <c r="BR133" i="12" s="1"/>
  <c r="V134" i="10" s="1"/>
  <c r="BH133" i="12"/>
  <c r="BS133" i="12" s="1"/>
  <c r="W134" i="10" s="1"/>
  <c r="BK133" i="12"/>
  <c r="BO133" i="12" s="1"/>
  <c r="T134" i="10" s="1"/>
  <c r="BE133" i="12"/>
  <c r="BT133" i="12" s="1"/>
  <c r="A146" i="1"/>
  <c r="O507" i="10"/>
  <c r="BK506" i="12"/>
  <c r="BO506" i="12" s="1"/>
  <c r="T507" i="10" s="1"/>
  <c r="BF506" i="12"/>
  <c r="BQ506" i="12" s="1"/>
  <c r="BH506" i="12"/>
  <c r="BS506" i="12" s="1"/>
  <c r="W507" i="10" s="1"/>
  <c r="BI506" i="12"/>
  <c r="BM506" i="12" s="1"/>
  <c r="BG506" i="12"/>
  <c r="BR506" i="12" s="1"/>
  <c r="V507" i="10" s="1"/>
  <c r="BJ506" i="12"/>
  <c r="BN506" i="12" s="1"/>
  <c r="S507" i="10" s="1"/>
  <c r="A519" i="1"/>
  <c r="BE506" i="12"/>
  <c r="BT506" i="12" s="1"/>
  <c r="O371" i="10"/>
  <c r="BF370" i="12"/>
  <c r="BQ370" i="12" s="1"/>
  <c r="BJ370" i="12"/>
  <c r="BN370" i="12" s="1"/>
  <c r="S371" i="10" s="1"/>
  <c r="BK370" i="12"/>
  <c r="BO370" i="12" s="1"/>
  <c r="T371" i="10" s="1"/>
  <c r="BI370" i="12"/>
  <c r="BM370" i="12" s="1"/>
  <c r="BG370" i="12"/>
  <c r="BR370" i="12" s="1"/>
  <c r="V371" i="10" s="1"/>
  <c r="BH370" i="12"/>
  <c r="BS370" i="12" s="1"/>
  <c r="W371" i="10" s="1"/>
  <c r="A383" i="1"/>
  <c r="BE370" i="12"/>
  <c r="BT370" i="12" s="1"/>
  <c r="O219" i="10"/>
  <c r="BF218" i="12"/>
  <c r="BQ218" i="12" s="1"/>
  <c r="BI218" i="12"/>
  <c r="BM218" i="12" s="1"/>
  <c r="BG218" i="12"/>
  <c r="BR218" i="12" s="1"/>
  <c r="V219" i="10" s="1"/>
  <c r="BJ218" i="12"/>
  <c r="BN218" i="12" s="1"/>
  <c r="S219" i="10" s="1"/>
  <c r="BH218" i="12"/>
  <c r="BS218" i="12" s="1"/>
  <c r="W219" i="10" s="1"/>
  <c r="BK218" i="12"/>
  <c r="BO218" i="12" s="1"/>
  <c r="T219" i="10" s="1"/>
  <c r="A231" i="1"/>
  <c r="BE218" i="12"/>
  <c r="BT218" i="12" s="1"/>
  <c r="O16" i="10"/>
  <c r="BK15" i="12"/>
  <c r="BO15" i="12" s="1"/>
  <c r="T16" i="10" s="1"/>
  <c r="BF15" i="12"/>
  <c r="BQ15" i="12" s="1"/>
  <c r="BJ15" i="12"/>
  <c r="BN15" i="12" s="1"/>
  <c r="S16" i="10" s="1"/>
  <c r="BI15" i="12"/>
  <c r="BM15" i="12" s="1"/>
  <c r="BG15" i="12"/>
  <c r="BR15" i="12" s="1"/>
  <c r="V16" i="10" s="1"/>
  <c r="BH15" i="12"/>
  <c r="BS15" i="12" s="1"/>
  <c r="W16" i="10" s="1"/>
  <c r="A28" i="1"/>
  <c r="BE15" i="12"/>
  <c r="BT15" i="12" s="1"/>
  <c r="O461" i="10"/>
  <c r="BF460" i="12"/>
  <c r="BQ460" i="12" s="1"/>
  <c r="BI460" i="12"/>
  <c r="BM460" i="12" s="1"/>
  <c r="BG460" i="12"/>
  <c r="BR460" i="12" s="1"/>
  <c r="V461" i="10" s="1"/>
  <c r="BJ460" i="12"/>
  <c r="BN460" i="12" s="1"/>
  <c r="S461" i="10" s="1"/>
  <c r="BK460" i="12"/>
  <c r="BO460" i="12" s="1"/>
  <c r="T461" i="10" s="1"/>
  <c r="BH460" i="12"/>
  <c r="BS460" i="12" s="1"/>
  <c r="W461" i="10" s="1"/>
  <c r="BE460" i="12"/>
  <c r="BT460" i="12" s="1"/>
  <c r="A473" i="1"/>
  <c r="O315" i="10"/>
  <c r="BI314" i="12"/>
  <c r="BM314" i="12" s="1"/>
  <c r="BG314" i="12"/>
  <c r="BR314" i="12" s="1"/>
  <c r="V315" i="10" s="1"/>
  <c r="BJ314" i="12"/>
  <c r="BN314" i="12" s="1"/>
  <c r="S315" i="10" s="1"/>
  <c r="BH314" i="12"/>
  <c r="BS314" i="12" s="1"/>
  <c r="W315" i="10" s="1"/>
  <c r="BF314" i="12"/>
  <c r="BQ314" i="12" s="1"/>
  <c r="BK314" i="12"/>
  <c r="BO314" i="12" s="1"/>
  <c r="T315" i="10" s="1"/>
  <c r="A327" i="1"/>
  <c r="BE314" i="12"/>
  <c r="BT314" i="12" s="1"/>
  <c r="O153" i="10"/>
  <c r="BJ152" i="12"/>
  <c r="BN152" i="12" s="1"/>
  <c r="S153" i="10" s="1"/>
  <c r="BH152" i="12"/>
  <c r="BS152" i="12" s="1"/>
  <c r="W153" i="10" s="1"/>
  <c r="BK152" i="12"/>
  <c r="BO152" i="12" s="1"/>
  <c r="T153" i="10" s="1"/>
  <c r="BF152" i="12"/>
  <c r="BQ152" i="12" s="1"/>
  <c r="BG152" i="12"/>
  <c r="BR152" i="12" s="1"/>
  <c r="V153" i="10" s="1"/>
  <c r="BI152" i="12"/>
  <c r="BM152" i="12" s="1"/>
  <c r="A165" i="1"/>
  <c r="BE152" i="12"/>
  <c r="BT152" i="12" s="1"/>
  <c r="O533" i="10"/>
  <c r="BJ532" i="12"/>
  <c r="BN532" i="12" s="1"/>
  <c r="S533" i="10" s="1"/>
  <c r="BH532" i="12"/>
  <c r="BS532" i="12" s="1"/>
  <c r="W533" i="10" s="1"/>
  <c r="BK532" i="12"/>
  <c r="BO532" i="12" s="1"/>
  <c r="T533" i="10" s="1"/>
  <c r="BG532" i="12"/>
  <c r="BR532" i="12" s="1"/>
  <c r="V533" i="10" s="1"/>
  <c r="BI532" i="12"/>
  <c r="BM532" i="12" s="1"/>
  <c r="BF532" i="12"/>
  <c r="BQ532" i="12" s="1"/>
  <c r="A545" i="1"/>
  <c r="BE532" i="12"/>
  <c r="BT532" i="12" s="1"/>
  <c r="O405" i="10"/>
  <c r="BI404" i="12"/>
  <c r="BM404" i="12" s="1"/>
  <c r="BG404" i="12"/>
  <c r="BR404" i="12" s="1"/>
  <c r="V405" i="10" s="1"/>
  <c r="BJ404" i="12"/>
  <c r="BN404" i="12" s="1"/>
  <c r="S405" i="10" s="1"/>
  <c r="BH404" i="12"/>
  <c r="BS404" i="12" s="1"/>
  <c r="W405" i="10" s="1"/>
  <c r="BK404" i="12"/>
  <c r="BO404" i="12" s="1"/>
  <c r="T405" i="10" s="1"/>
  <c r="BF404" i="12"/>
  <c r="BQ404" i="12" s="1"/>
  <c r="A417" i="1"/>
  <c r="BE404" i="12"/>
  <c r="BT404" i="12" s="1"/>
  <c r="O257" i="10"/>
  <c r="BI256" i="12"/>
  <c r="BM256" i="12" s="1"/>
  <c r="BG256" i="12"/>
  <c r="BR256" i="12" s="1"/>
  <c r="V257" i="10" s="1"/>
  <c r="BJ256" i="12"/>
  <c r="BN256" i="12" s="1"/>
  <c r="S257" i="10" s="1"/>
  <c r="BH256" i="12"/>
  <c r="BS256" i="12" s="1"/>
  <c r="W257" i="10" s="1"/>
  <c r="BK256" i="12"/>
  <c r="BO256" i="12" s="1"/>
  <c r="T257" i="10" s="1"/>
  <c r="BF256" i="12"/>
  <c r="BQ256" i="12" s="1"/>
  <c r="A269" i="1"/>
  <c r="BE256" i="12"/>
  <c r="BT256" i="12" s="1"/>
  <c r="O68" i="10"/>
  <c r="BI67" i="12"/>
  <c r="BM67" i="12" s="1"/>
  <c r="BJ67" i="12"/>
  <c r="BN67" i="12" s="1"/>
  <c r="S68" i="10" s="1"/>
  <c r="BF67" i="12"/>
  <c r="BQ67" i="12" s="1"/>
  <c r="BK67" i="12"/>
  <c r="BO67" i="12" s="1"/>
  <c r="T68" i="10" s="1"/>
  <c r="BG67" i="12"/>
  <c r="BR67" i="12" s="1"/>
  <c r="V68" i="10" s="1"/>
  <c r="BH67" i="12"/>
  <c r="BS67" i="12" s="1"/>
  <c r="W68" i="10" s="1"/>
  <c r="A80" i="1"/>
  <c r="BE67" i="12"/>
  <c r="BT67" i="12" s="1"/>
  <c r="O76" i="10"/>
  <c r="BK75" i="12"/>
  <c r="BO75" i="12" s="1"/>
  <c r="T76" i="10" s="1"/>
  <c r="BF75" i="12"/>
  <c r="BQ75" i="12" s="1"/>
  <c r="BI75" i="12"/>
  <c r="BM75" i="12" s="1"/>
  <c r="BH75" i="12"/>
  <c r="BS75" i="12" s="1"/>
  <c r="W76" i="10" s="1"/>
  <c r="BJ75" i="12"/>
  <c r="BN75" i="12" s="1"/>
  <c r="S76" i="10" s="1"/>
  <c r="BG75" i="12"/>
  <c r="BR75" i="12" s="1"/>
  <c r="V76" i="10" s="1"/>
  <c r="A88" i="1"/>
  <c r="BE75" i="12"/>
  <c r="BT75" i="12" s="1"/>
  <c r="O459" i="10"/>
  <c r="BI458" i="12"/>
  <c r="BM458" i="12" s="1"/>
  <c r="BG458" i="12"/>
  <c r="BR458" i="12" s="1"/>
  <c r="V459" i="10" s="1"/>
  <c r="BJ458" i="12"/>
  <c r="BN458" i="12" s="1"/>
  <c r="S459" i="10" s="1"/>
  <c r="BH458" i="12"/>
  <c r="BS458" i="12" s="1"/>
  <c r="W459" i="10" s="1"/>
  <c r="BF458" i="12"/>
  <c r="BQ458" i="12" s="1"/>
  <c r="BK458" i="12"/>
  <c r="BO458" i="12" s="1"/>
  <c r="T459" i="10" s="1"/>
  <c r="BE458" i="12"/>
  <c r="BT458" i="12" s="1"/>
  <c r="A471" i="1"/>
  <c r="O385" i="10"/>
  <c r="BK384" i="12"/>
  <c r="BO384" i="12" s="1"/>
  <c r="T385" i="10" s="1"/>
  <c r="BG384" i="12"/>
  <c r="BR384" i="12" s="1"/>
  <c r="V385" i="10" s="1"/>
  <c r="BI384" i="12"/>
  <c r="BM384" i="12" s="1"/>
  <c r="BH384" i="12"/>
  <c r="BS384" i="12" s="1"/>
  <c r="W385" i="10" s="1"/>
  <c r="BJ384" i="12"/>
  <c r="BN384" i="12" s="1"/>
  <c r="S385" i="10" s="1"/>
  <c r="BF384" i="12"/>
  <c r="BQ384" i="12" s="1"/>
  <c r="BE384" i="12"/>
  <c r="BT384" i="12" s="1"/>
  <c r="A397" i="1"/>
  <c r="BI311" i="12"/>
  <c r="BM311" i="12" s="1"/>
  <c r="BG311" i="12"/>
  <c r="BR311" i="12" s="1"/>
  <c r="V312" i="10" s="1"/>
  <c r="O312" i="10"/>
  <c r="BJ311" i="12"/>
  <c r="BN311" i="12" s="1"/>
  <c r="S312" i="10" s="1"/>
  <c r="BH311" i="12"/>
  <c r="BS311" i="12" s="1"/>
  <c r="W312" i="10" s="1"/>
  <c r="BK311" i="12"/>
  <c r="BO311" i="12" s="1"/>
  <c r="T312" i="10" s="1"/>
  <c r="BF311" i="12"/>
  <c r="BQ311" i="12" s="1"/>
  <c r="A324" i="1"/>
  <c r="BE311" i="12"/>
  <c r="BT311" i="12" s="1"/>
  <c r="O236" i="10"/>
  <c r="BJ235" i="12"/>
  <c r="BN235" i="12" s="1"/>
  <c r="S236" i="10" s="1"/>
  <c r="BK235" i="12"/>
  <c r="BO235" i="12" s="1"/>
  <c r="T236" i="10" s="1"/>
  <c r="BI235" i="12"/>
  <c r="BM235" i="12" s="1"/>
  <c r="BF235" i="12"/>
  <c r="BQ235" i="12" s="1"/>
  <c r="BG235" i="12"/>
  <c r="BR235" i="12" s="1"/>
  <c r="V236" i="10" s="1"/>
  <c r="BH235" i="12"/>
  <c r="BS235" i="12" s="1"/>
  <c r="W236" i="10" s="1"/>
  <c r="A248" i="1"/>
  <c r="BE235" i="12"/>
  <c r="BT235" i="12" s="1"/>
  <c r="O151" i="10"/>
  <c r="BI150" i="12"/>
  <c r="BM150" i="12" s="1"/>
  <c r="BF150" i="12"/>
  <c r="BQ150" i="12" s="1"/>
  <c r="BG150" i="12"/>
  <c r="BR150" i="12" s="1"/>
  <c r="V151" i="10" s="1"/>
  <c r="BH150" i="12"/>
  <c r="BS150" i="12" s="1"/>
  <c r="W151" i="10" s="1"/>
  <c r="BJ150" i="12"/>
  <c r="BN150" i="12" s="1"/>
  <c r="S151" i="10" s="1"/>
  <c r="BK150" i="12"/>
  <c r="BO150" i="12" s="1"/>
  <c r="T151" i="10" s="1"/>
  <c r="A163" i="1"/>
  <c r="BE150" i="12"/>
  <c r="BT150" i="12" s="1"/>
  <c r="O64" i="10"/>
  <c r="BK63" i="12"/>
  <c r="BO63" i="12" s="1"/>
  <c r="T64" i="10" s="1"/>
  <c r="BF63" i="12"/>
  <c r="BQ63" i="12" s="1"/>
  <c r="BJ63" i="12"/>
  <c r="BN63" i="12" s="1"/>
  <c r="S64" i="10" s="1"/>
  <c r="BI63" i="12"/>
  <c r="BM63" i="12" s="1"/>
  <c r="BG63" i="12"/>
  <c r="BR63" i="12" s="1"/>
  <c r="V64" i="10" s="1"/>
  <c r="BH63" i="12"/>
  <c r="BS63" i="12" s="1"/>
  <c r="W64" i="10" s="1"/>
  <c r="A76" i="1"/>
  <c r="BE63" i="12"/>
  <c r="BT63" i="12" s="1"/>
  <c r="O540" i="10"/>
  <c r="BI539" i="12"/>
  <c r="BM539" i="12" s="1"/>
  <c r="BF539" i="12"/>
  <c r="BQ539" i="12" s="1"/>
  <c r="BG539" i="12"/>
  <c r="BR539" i="12" s="1"/>
  <c r="V540" i="10" s="1"/>
  <c r="BJ539" i="12"/>
  <c r="BN539" i="12" s="1"/>
  <c r="S540" i="10" s="1"/>
  <c r="BH539" i="12"/>
  <c r="BS539" i="12" s="1"/>
  <c r="W540" i="10" s="1"/>
  <c r="BK539" i="12"/>
  <c r="BO539" i="12" s="1"/>
  <c r="T540" i="10" s="1"/>
  <c r="BE539" i="12"/>
  <c r="BT539" i="12" s="1"/>
  <c r="A552" i="1"/>
  <c r="O467" i="10"/>
  <c r="BI466" i="12"/>
  <c r="BM466" i="12" s="1"/>
  <c r="BG466" i="12"/>
  <c r="BR466" i="12" s="1"/>
  <c r="V467" i="10" s="1"/>
  <c r="BJ466" i="12"/>
  <c r="BN466" i="12" s="1"/>
  <c r="S467" i="10" s="1"/>
  <c r="BH466" i="12"/>
  <c r="BS466" i="12" s="1"/>
  <c r="W467" i="10" s="1"/>
  <c r="BK466" i="12"/>
  <c r="BO466" i="12" s="1"/>
  <c r="T467" i="10" s="1"/>
  <c r="BF466" i="12"/>
  <c r="BQ466" i="12" s="1"/>
  <c r="BE466" i="12"/>
  <c r="BT466" i="12" s="1"/>
  <c r="A479" i="1"/>
  <c r="O393" i="10"/>
  <c r="BK392" i="12"/>
  <c r="BO392" i="12" s="1"/>
  <c r="T393" i="10" s="1"/>
  <c r="BI392" i="12"/>
  <c r="BM392" i="12" s="1"/>
  <c r="BH392" i="12"/>
  <c r="BS392" i="12" s="1"/>
  <c r="W393" i="10" s="1"/>
  <c r="BJ392" i="12"/>
  <c r="BN392" i="12" s="1"/>
  <c r="S393" i="10" s="1"/>
  <c r="BF392" i="12"/>
  <c r="BQ392" i="12" s="1"/>
  <c r="BG392" i="12"/>
  <c r="BR392" i="12" s="1"/>
  <c r="V393" i="10" s="1"/>
  <c r="A405" i="1"/>
  <c r="BE392" i="12"/>
  <c r="BT392" i="12" s="1"/>
  <c r="O320" i="10"/>
  <c r="BI319" i="12"/>
  <c r="BM319" i="12" s="1"/>
  <c r="BG319" i="12"/>
  <c r="BR319" i="12" s="1"/>
  <c r="V320" i="10" s="1"/>
  <c r="BJ319" i="12"/>
  <c r="BN319" i="12" s="1"/>
  <c r="S320" i="10" s="1"/>
  <c r="BH319" i="12"/>
  <c r="BS319" i="12" s="1"/>
  <c r="W320" i="10" s="1"/>
  <c r="BK319" i="12"/>
  <c r="BO319" i="12" s="1"/>
  <c r="T320" i="10" s="1"/>
  <c r="BF319" i="12"/>
  <c r="BQ319" i="12" s="1"/>
  <c r="A332" i="1"/>
  <c r="BE319" i="12"/>
  <c r="BT319" i="12" s="1"/>
  <c r="O244" i="10"/>
  <c r="BJ243" i="12"/>
  <c r="BN243" i="12" s="1"/>
  <c r="S244" i="10" s="1"/>
  <c r="BH243" i="12"/>
  <c r="BS243" i="12" s="1"/>
  <c r="W244" i="10" s="1"/>
  <c r="BK243" i="12"/>
  <c r="BO243" i="12" s="1"/>
  <c r="T244" i="10" s="1"/>
  <c r="BI243" i="12"/>
  <c r="BM243" i="12" s="1"/>
  <c r="BG243" i="12"/>
  <c r="BR243" i="12" s="1"/>
  <c r="V244" i="10" s="1"/>
  <c r="BF243" i="12"/>
  <c r="BQ243" i="12" s="1"/>
  <c r="A256" i="1"/>
  <c r="BE243" i="12"/>
  <c r="BT243" i="12" s="1"/>
  <c r="O160" i="10"/>
  <c r="BI159" i="12"/>
  <c r="BM159" i="12" s="1"/>
  <c r="BG159" i="12"/>
  <c r="BR159" i="12" s="1"/>
  <c r="V160" i="10" s="1"/>
  <c r="BJ159" i="12"/>
  <c r="BN159" i="12" s="1"/>
  <c r="S160" i="10" s="1"/>
  <c r="BH159" i="12"/>
  <c r="BS159" i="12" s="1"/>
  <c r="W160" i="10" s="1"/>
  <c r="BF159" i="12"/>
  <c r="BQ159" i="12" s="1"/>
  <c r="BK159" i="12"/>
  <c r="BO159" i="12" s="1"/>
  <c r="T160" i="10" s="1"/>
  <c r="A172" i="1"/>
  <c r="BE159" i="12"/>
  <c r="BT159" i="12" s="1"/>
  <c r="O73" i="10"/>
  <c r="BF72" i="12"/>
  <c r="BQ72" i="12" s="1"/>
  <c r="BI72" i="12"/>
  <c r="BM72" i="12" s="1"/>
  <c r="BG72" i="12"/>
  <c r="BR72" i="12" s="1"/>
  <c r="V73" i="10" s="1"/>
  <c r="BH72" i="12"/>
  <c r="BS72" i="12" s="1"/>
  <c r="W73" i="10" s="1"/>
  <c r="BJ72" i="12"/>
  <c r="BN72" i="12" s="1"/>
  <c r="S73" i="10" s="1"/>
  <c r="BK72" i="12"/>
  <c r="BO72" i="12" s="1"/>
  <c r="T73" i="10" s="1"/>
  <c r="A85" i="1"/>
  <c r="BE72" i="12"/>
  <c r="BT72" i="12" s="1"/>
  <c r="O548" i="10"/>
  <c r="BK547" i="12"/>
  <c r="BO547" i="12" s="1"/>
  <c r="T548" i="10" s="1"/>
  <c r="BF547" i="12"/>
  <c r="BQ547" i="12" s="1"/>
  <c r="BI547" i="12"/>
  <c r="BM547" i="12" s="1"/>
  <c r="BJ547" i="12"/>
  <c r="BN547" i="12" s="1"/>
  <c r="S548" i="10" s="1"/>
  <c r="BH547" i="12"/>
  <c r="BS547" i="12" s="1"/>
  <c r="W548" i="10" s="1"/>
  <c r="BG547" i="12"/>
  <c r="BR547" i="12" s="1"/>
  <c r="V548" i="10" s="1"/>
  <c r="BE547" i="12"/>
  <c r="BT547" i="12" s="1"/>
  <c r="A560" i="1"/>
  <c r="O475" i="10"/>
  <c r="BI474" i="12"/>
  <c r="BM474" i="12" s="1"/>
  <c r="BG474" i="12"/>
  <c r="BR474" i="12" s="1"/>
  <c r="V475" i="10" s="1"/>
  <c r="BJ474" i="12"/>
  <c r="BN474" i="12" s="1"/>
  <c r="S475" i="10" s="1"/>
  <c r="BH474" i="12"/>
  <c r="BS474" i="12" s="1"/>
  <c r="W475" i="10" s="1"/>
  <c r="BF474" i="12"/>
  <c r="BQ474" i="12" s="1"/>
  <c r="BK474" i="12"/>
  <c r="BO474" i="12" s="1"/>
  <c r="T475" i="10" s="1"/>
  <c r="BE474" i="12"/>
  <c r="BT474" i="12" s="1"/>
  <c r="A487" i="1"/>
  <c r="O401" i="10"/>
  <c r="BI400" i="12"/>
  <c r="BM400" i="12" s="1"/>
  <c r="BG400" i="12"/>
  <c r="BR400" i="12" s="1"/>
  <c r="V401" i="10" s="1"/>
  <c r="BJ400" i="12"/>
  <c r="BN400" i="12" s="1"/>
  <c r="S401" i="10" s="1"/>
  <c r="BF400" i="12"/>
  <c r="BQ400" i="12" s="1"/>
  <c r="BH400" i="12"/>
  <c r="BS400" i="12" s="1"/>
  <c r="W401" i="10" s="1"/>
  <c r="BK400" i="12"/>
  <c r="BO400" i="12" s="1"/>
  <c r="T401" i="10" s="1"/>
  <c r="A413" i="1"/>
  <c r="BE400" i="12"/>
  <c r="BT400" i="12" s="1"/>
  <c r="O328" i="10"/>
  <c r="BI327" i="12"/>
  <c r="BM327" i="12" s="1"/>
  <c r="BG327" i="12"/>
  <c r="BR327" i="12" s="1"/>
  <c r="V328" i="10" s="1"/>
  <c r="BJ327" i="12"/>
  <c r="BN327" i="12" s="1"/>
  <c r="S328" i="10" s="1"/>
  <c r="BH327" i="12"/>
  <c r="BS327" i="12" s="1"/>
  <c r="W328" i="10" s="1"/>
  <c r="BK327" i="12"/>
  <c r="BO327" i="12" s="1"/>
  <c r="T328" i="10" s="1"/>
  <c r="BF327" i="12"/>
  <c r="BQ327" i="12" s="1"/>
  <c r="A340" i="1"/>
  <c r="BE327" i="12"/>
  <c r="BT327" i="12" s="1"/>
  <c r="O253" i="10"/>
  <c r="BK252" i="12"/>
  <c r="BO252" i="12" s="1"/>
  <c r="T253" i="10" s="1"/>
  <c r="BF252" i="12"/>
  <c r="BQ252" i="12" s="1"/>
  <c r="BI252" i="12"/>
  <c r="BM252" i="12" s="1"/>
  <c r="BG252" i="12"/>
  <c r="BR252" i="12" s="1"/>
  <c r="V253" i="10" s="1"/>
  <c r="BH252" i="12"/>
  <c r="BS252" i="12" s="1"/>
  <c r="W253" i="10" s="1"/>
  <c r="BJ252" i="12"/>
  <c r="BN252" i="12" s="1"/>
  <c r="S253" i="10" s="1"/>
  <c r="A265" i="1"/>
  <c r="BE252" i="12"/>
  <c r="BT252" i="12" s="1"/>
  <c r="O169" i="10"/>
  <c r="BF168" i="12"/>
  <c r="BQ168" i="12" s="1"/>
  <c r="BI168" i="12"/>
  <c r="BM168" i="12" s="1"/>
  <c r="BG168" i="12"/>
  <c r="BR168" i="12" s="1"/>
  <c r="V169" i="10" s="1"/>
  <c r="BJ168" i="12"/>
  <c r="BN168" i="12" s="1"/>
  <c r="S169" i="10" s="1"/>
  <c r="BH168" i="12"/>
  <c r="BS168" i="12" s="1"/>
  <c r="W169" i="10" s="1"/>
  <c r="BK168" i="12"/>
  <c r="BO168" i="12" s="1"/>
  <c r="T169" i="10" s="1"/>
  <c r="A181" i="1"/>
  <c r="BE168" i="12"/>
  <c r="BT168" i="12" s="1"/>
  <c r="O82" i="10"/>
  <c r="BI81" i="12"/>
  <c r="BM81" i="12" s="1"/>
  <c r="BG81" i="12"/>
  <c r="BR81" i="12" s="1"/>
  <c r="V82" i="10" s="1"/>
  <c r="BJ81" i="12"/>
  <c r="BN81" i="12" s="1"/>
  <c r="S82" i="10" s="1"/>
  <c r="BH81" i="12"/>
  <c r="BS81" i="12" s="1"/>
  <c r="W82" i="10" s="1"/>
  <c r="BF81" i="12"/>
  <c r="BQ81" i="12" s="1"/>
  <c r="BK81" i="12"/>
  <c r="BO81" i="12" s="1"/>
  <c r="T82" i="10" s="1"/>
  <c r="A94" i="1"/>
  <c r="BE81" i="12"/>
  <c r="BT81" i="12" s="1"/>
  <c r="O556" i="10"/>
  <c r="BF555" i="12"/>
  <c r="BQ555" i="12" s="1"/>
  <c r="BI555" i="12"/>
  <c r="BM555" i="12" s="1"/>
  <c r="BG555" i="12"/>
  <c r="BR555" i="12" s="1"/>
  <c r="V556" i="10" s="1"/>
  <c r="BJ555" i="12"/>
  <c r="BN555" i="12" s="1"/>
  <c r="S556" i="10" s="1"/>
  <c r="BK555" i="12"/>
  <c r="BO555" i="12" s="1"/>
  <c r="T556" i="10" s="1"/>
  <c r="BH555" i="12"/>
  <c r="BS555" i="12" s="1"/>
  <c r="W556" i="10" s="1"/>
  <c r="BE555" i="12"/>
  <c r="BT555" i="12" s="1"/>
  <c r="A568" i="1"/>
  <c r="O483" i="10"/>
  <c r="BI482" i="12"/>
  <c r="BM482" i="12" s="1"/>
  <c r="BG482" i="12"/>
  <c r="BR482" i="12" s="1"/>
  <c r="V483" i="10" s="1"/>
  <c r="BJ482" i="12"/>
  <c r="BN482" i="12" s="1"/>
  <c r="S483" i="10" s="1"/>
  <c r="BH482" i="12"/>
  <c r="BS482" i="12" s="1"/>
  <c r="W483" i="10" s="1"/>
  <c r="BE482" i="12"/>
  <c r="BT482" i="12" s="1"/>
  <c r="BK482" i="12"/>
  <c r="BO482" i="12" s="1"/>
  <c r="T483" i="10" s="1"/>
  <c r="BF482" i="12"/>
  <c r="BQ482" i="12" s="1"/>
  <c r="A495" i="1"/>
  <c r="O409" i="10"/>
  <c r="BK408" i="12"/>
  <c r="BO408" i="12" s="1"/>
  <c r="T409" i="10" s="1"/>
  <c r="BF408" i="12"/>
  <c r="BQ408" i="12" s="1"/>
  <c r="BH408" i="12"/>
  <c r="BS408" i="12" s="1"/>
  <c r="W409" i="10" s="1"/>
  <c r="BI408" i="12"/>
  <c r="BM408" i="12" s="1"/>
  <c r="BJ408" i="12"/>
  <c r="BN408" i="12" s="1"/>
  <c r="S409" i="10" s="1"/>
  <c r="BG408" i="12"/>
  <c r="BR408" i="12" s="1"/>
  <c r="V409" i="10" s="1"/>
  <c r="A421" i="1"/>
  <c r="BE408" i="12"/>
  <c r="BT408" i="12" s="1"/>
  <c r="O336" i="10"/>
  <c r="BI335" i="12"/>
  <c r="BM335" i="12" s="1"/>
  <c r="BG335" i="12"/>
  <c r="BR335" i="12" s="1"/>
  <c r="V336" i="10" s="1"/>
  <c r="BJ335" i="12"/>
  <c r="BN335" i="12" s="1"/>
  <c r="S336" i="10" s="1"/>
  <c r="BH335" i="12"/>
  <c r="BS335" i="12" s="1"/>
  <c r="W336" i="10" s="1"/>
  <c r="BK335" i="12"/>
  <c r="BO335" i="12" s="1"/>
  <c r="T336" i="10" s="1"/>
  <c r="BF335" i="12"/>
  <c r="BQ335" i="12" s="1"/>
  <c r="A348" i="1"/>
  <c r="BE335" i="12"/>
  <c r="BT335" i="12" s="1"/>
  <c r="O261" i="10"/>
  <c r="BK260" i="12"/>
  <c r="BO260" i="12" s="1"/>
  <c r="T261" i="10" s="1"/>
  <c r="BF260" i="12"/>
  <c r="BQ260" i="12" s="1"/>
  <c r="BI260" i="12"/>
  <c r="BM260" i="12" s="1"/>
  <c r="BG260" i="12"/>
  <c r="BR260" i="12" s="1"/>
  <c r="V261" i="10" s="1"/>
  <c r="BH260" i="12"/>
  <c r="BS260" i="12" s="1"/>
  <c r="W261" i="10" s="1"/>
  <c r="BJ260" i="12"/>
  <c r="BN260" i="12" s="1"/>
  <c r="S261" i="10" s="1"/>
  <c r="BE260" i="12"/>
  <c r="BT260" i="12" s="1"/>
  <c r="A273" i="1"/>
  <c r="O178" i="10"/>
  <c r="BJ177" i="12"/>
  <c r="BN177" i="12" s="1"/>
  <c r="S178" i="10" s="1"/>
  <c r="BH177" i="12"/>
  <c r="BS177" i="12" s="1"/>
  <c r="W178" i="10" s="1"/>
  <c r="BK177" i="12"/>
  <c r="BO177" i="12" s="1"/>
  <c r="T178" i="10" s="1"/>
  <c r="BG177" i="12"/>
  <c r="BR177" i="12" s="1"/>
  <c r="V178" i="10" s="1"/>
  <c r="BI177" i="12"/>
  <c r="BM177" i="12" s="1"/>
  <c r="BF177" i="12"/>
  <c r="BQ177" i="12" s="1"/>
  <c r="A190" i="1"/>
  <c r="BE177" i="12"/>
  <c r="BT177" i="12" s="1"/>
  <c r="O92" i="10"/>
  <c r="BF91" i="12"/>
  <c r="BQ91" i="12" s="1"/>
  <c r="BI91" i="12"/>
  <c r="BM91" i="12" s="1"/>
  <c r="BG91" i="12"/>
  <c r="BR91" i="12" s="1"/>
  <c r="V92" i="10" s="1"/>
  <c r="BK91" i="12"/>
  <c r="BO91" i="12" s="1"/>
  <c r="T92" i="10" s="1"/>
  <c r="BH91" i="12"/>
  <c r="BS91" i="12" s="1"/>
  <c r="W92" i="10" s="1"/>
  <c r="BJ91" i="12"/>
  <c r="BN91" i="12" s="1"/>
  <c r="S92" i="10" s="1"/>
  <c r="A104" i="1"/>
  <c r="BE91" i="12"/>
  <c r="BT91" i="12" s="1"/>
  <c r="O4" i="10"/>
  <c r="BI3" i="12"/>
  <c r="BM3" i="12" s="1"/>
  <c r="BG3" i="12"/>
  <c r="BR3" i="12" s="1"/>
  <c r="V4" i="10" s="1"/>
  <c r="BJ3" i="12"/>
  <c r="BN3" i="12" s="1"/>
  <c r="S4" i="10" s="1"/>
  <c r="BH3" i="12"/>
  <c r="BS3" i="12" s="1"/>
  <c r="W4" i="10" s="1"/>
  <c r="BF3" i="12"/>
  <c r="BQ3" i="12" s="1"/>
  <c r="BK3" i="12"/>
  <c r="BO3" i="12" s="1"/>
  <c r="T4" i="10" s="1"/>
  <c r="A16" i="1"/>
  <c r="BE3" i="12"/>
  <c r="BT3" i="12" s="1"/>
  <c r="O522" i="10"/>
  <c r="BJ521" i="12"/>
  <c r="BN521" i="12" s="1"/>
  <c r="S522" i="10" s="1"/>
  <c r="BH521" i="12"/>
  <c r="BS521" i="12" s="1"/>
  <c r="W522" i="10" s="1"/>
  <c r="BK521" i="12"/>
  <c r="BO521" i="12" s="1"/>
  <c r="T522" i="10" s="1"/>
  <c r="BF521" i="12"/>
  <c r="BQ521" i="12" s="1"/>
  <c r="BG521" i="12"/>
  <c r="BR521" i="12" s="1"/>
  <c r="V522" i="10" s="1"/>
  <c r="BI521" i="12"/>
  <c r="BM521" i="12" s="1"/>
  <c r="BE521" i="12"/>
  <c r="BT521" i="12" s="1"/>
  <c r="A534" i="1"/>
  <c r="O458" i="10"/>
  <c r="BF457" i="12"/>
  <c r="BQ457" i="12" s="1"/>
  <c r="BI457" i="12"/>
  <c r="BM457" i="12" s="1"/>
  <c r="BG457" i="12"/>
  <c r="BR457" i="12" s="1"/>
  <c r="V458" i="10" s="1"/>
  <c r="BJ457" i="12"/>
  <c r="BN457" i="12" s="1"/>
  <c r="S458" i="10" s="1"/>
  <c r="BK457" i="12"/>
  <c r="BO457" i="12" s="1"/>
  <c r="T458" i="10" s="1"/>
  <c r="BH457" i="12"/>
  <c r="BS457" i="12" s="1"/>
  <c r="W458" i="10" s="1"/>
  <c r="BE457" i="12"/>
  <c r="BT457" i="12" s="1"/>
  <c r="A470" i="1"/>
  <c r="O394" i="10"/>
  <c r="BF393" i="12"/>
  <c r="BQ393" i="12" s="1"/>
  <c r="BI393" i="12"/>
  <c r="BM393" i="12" s="1"/>
  <c r="BH393" i="12"/>
  <c r="BS393" i="12" s="1"/>
  <c r="W394" i="10" s="1"/>
  <c r="BJ393" i="12"/>
  <c r="BN393" i="12" s="1"/>
  <c r="S394" i="10" s="1"/>
  <c r="BK393" i="12"/>
  <c r="BO393" i="12" s="1"/>
  <c r="T394" i="10" s="1"/>
  <c r="BG393" i="12"/>
  <c r="BR393" i="12" s="1"/>
  <c r="V394" i="10" s="1"/>
  <c r="BE393" i="12"/>
  <c r="BT393" i="12" s="1"/>
  <c r="A406" i="1"/>
  <c r="O330" i="10"/>
  <c r="BF329" i="12"/>
  <c r="BQ329" i="12" s="1"/>
  <c r="BI329" i="12"/>
  <c r="BM329" i="12" s="1"/>
  <c r="BG329" i="12"/>
  <c r="BR329" i="12" s="1"/>
  <c r="V330" i="10" s="1"/>
  <c r="BJ329" i="12"/>
  <c r="BN329" i="12" s="1"/>
  <c r="S330" i="10" s="1"/>
  <c r="BK329" i="12"/>
  <c r="BO329" i="12" s="1"/>
  <c r="T330" i="10" s="1"/>
  <c r="BH329" i="12"/>
  <c r="BS329" i="12" s="1"/>
  <c r="W330" i="10" s="1"/>
  <c r="A342" i="1"/>
  <c r="BE329" i="12"/>
  <c r="BT329" i="12" s="1"/>
  <c r="O264" i="10"/>
  <c r="BF263" i="12"/>
  <c r="BQ263" i="12" s="1"/>
  <c r="BI263" i="12"/>
  <c r="BM263" i="12" s="1"/>
  <c r="BG263" i="12"/>
  <c r="BR263" i="12" s="1"/>
  <c r="V264" i="10" s="1"/>
  <c r="BJ263" i="12"/>
  <c r="BN263" i="12" s="1"/>
  <c r="S264" i="10" s="1"/>
  <c r="BK263" i="12"/>
  <c r="BO263" i="12" s="1"/>
  <c r="T264" i="10" s="1"/>
  <c r="BH263" i="12"/>
  <c r="BS263" i="12" s="1"/>
  <c r="W264" i="10" s="1"/>
  <c r="A276" i="1"/>
  <c r="BE263" i="12"/>
  <c r="BT263" i="12" s="1"/>
  <c r="O198" i="10"/>
  <c r="BJ197" i="12"/>
  <c r="BN197" i="12" s="1"/>
  <c r="S198" i="10" s="1"/>
  <c r="BH197" i="12"/>
  <c r="BS197" i="12" s="1"/>
  <c r="W198" i="10" s="1"/>
  <c r="BK197" i="12"/>
  <c r="BO197" i="12" s="1"/>
  <c r="T198" i="10" s="1"/>
  <c r="BG197" i="12"/>
  <c r="BR197" i="12" s="1"/>
  <c r="V198" i="10" s="1"/>
  <c r="BI197" i="12"/>
  <c r="BM197" i="12" s="1"/>
  <c r="BF197" i="12"/>
  <c r="BQ197" i="12" s="1"/>
  <c r="A210" i="1"/>
  <c r="BE197" i="12"/>
  <c r="BT197" i="12" s="1"/>
  <c r="O133" i="10"/>
  <c r="BI132" i="12"/>
  <c r="BM132" i="12" s="1"/>
  <c r="BG132" i="12"/>
  <c r="BR132" i="12" s="1"/>
  <c r="V133" i="10" s="1"/>
  <c r="BJ132" i="12"/>
  <c r="BN132" i="12" s="1"/>
  <c r="S133" i="10" s="1"/>
  <c r="BH132" i="12"/>
  <c r="BS132" i="12" s="1"/>
  <c r="W133" i="10" s="1"/>
  <c r="BK132" i="12"/>
  <c r="BO132" i="12" s="1"/>
  <c r="T133" i="10" s="1"/>
  <c r="BF132" i="12"/>
  <c r="BQ132" i="12" s="1"/>
  <c r="A145" i="1"/>
  <c r="BE132" i="12"/>
  <c r="BT132" i="12" s="1"/>
  <c r="O69" i="10"/>
  <c r="BI68" i="12"/>
  <c r="BM68" i="12" s="1"/>
  <c r="BJ68" i="12"/>
  <c r="BN68" i="12" s="1"/>
  <c r="S69" i="10" s="1"/>
  <c r="BK68" i="12"/>
  <c r="BO68" i="12" s="1"/>
  <c r="T69" i="10" s="1"/>
  <c r="BF68" i="12"/>
  <c r="BQ68" i="12" s="1"/>
  <c r="BG68" i="12"/>
  <c r="BR68" i="12" s="1"/>
  <c r="V69" i="10" s="1"/>
  <c r="BH68" i="12"/>
  <c r="BS68" i="12" s="1"/>
  <c r="W69" i="10" s="1"/>
  <c r="A81" i="1"/>
  <c r="BE68" i="12"/>
  <c r="BT68" i="12" s="1"/>
  <c r="A17" i="1"/>
  <c r="O5" i="10"/>
  <c r="BJ4" i="12"/>
  <c r="BN4" i="12" s="1"/>
  <c r="S5" i="10" s="1"/>
  <c r="BH4" i="12"/>
  <c r="BS4" i="12" s="1"/>
  <c r="W5" i="10" s="1"/>
  <c r="BK4" i="12"/>
  <c r="BO4" i="12" s="1"/>
  <c r="T5" i="10" s="1"/>
  <c r="BF4" i="12"/>
  <c r="BQ4" i="12" s="1"/>
  <c r="BI4" i="12"/>
  <c r="BM4" i="12" s="1"/>
  <c r="BG4" i="12"/>
  <c r="BR4" i="12" s="1"/>
  <c r="V5" i="10" s="1"/>
  <c r="BE4" i="12"/>
  <c r="BT4" i="12" s="1"/>
  <c r="O172" i="10"/>
  <c r="BI171" i="12"/>
  <c r="BM171" i="12" s="1"/>
  <c r="BG171" i="12"/>
  <c r="BR171" i="12" s="1"/>
  <c r="V172" i="10" s="1"/>
  <c r="BJ171" i="12"/>
  <c r="BN171" i="12" s="1"/>
  <c r="S172" i="10" s="1"/>
  <c r="BH171" i="12"/>
  <c r="BS171" i="12" s="1"/>
  <c r="W172" i="10" s="1"/>
  <c r="BK171" i="12"/>
  <c r="BO171" i="12" s="1"/>
  <c r="T172" i="10" s="1"/>
  <c r="BF171" i="12"/>
  <c r="BQ171" i="12" s="1"/>
  <c r="BE171" i="12"/>
  <c r="BT171" i="12" s="1"/>
  <c r="A184" i="1"/>
  <c r="O107" i="10"/>
  <c r="BI106" i="12"/>
  <c r="BM106" i="12" s="1"/>
  <c r="BF106" i="12"/>
  <c r="BQ106" i="12" s="1"/>
  <c r="BH106" i="12"/>
  <c r="BS106" i="12" s="1"/>
  <c r="W107" i="10" s="1"/>
  <c r="BG106" i="12"/>
  <c r="BR106" i="12" s="1"/>
  <c r="V107" i="10" s="1"/>
  <c r="BJ106" i="12"/>
  <c r="BN106" i="12" s="1"/>
  <c r="S107" i="10" s="1"/>
  <c r="A119" i="1"/>
  <c r="BE106" i="12"/>
  <c r="BT106" i="12" s="1"/>
  <c r="BK106" i="12"/>
  <c r="BO106" i="12" s="1"/>
  <c r="T107" i="10" s="1"/>
  <c r="O43" i="10"/>
  <c r="BJ42" i="12"/>
  <c r="BN42" i="12" s="1"/>
  <c r="S43" i="10" s="1"/>
  <c r="BH42" i="12"/>
  <c r="BS42" i="12" s="1"/>
  <c r="W43" i="10" s="1"/>
  <c r="BK42" i="12"/>
  <c r="BO42" i="12" s="1"/>
  <c r="T43" i="10" s="1"/>
  <c r="BI42" i="12"/>
  <c r="BM42" i="12" s="1"/>
  <c r="BF42" i="12"/>
  <c r="BQ42" i="12" s="1"/>
  <c r="BG42" i="12"/>
  <c r="BR42" i="12" s="1"/>
  <c r="V43" i="10" s="1"/>
  <c r="A55" i="1"/>
  <c r="BE42" i="12"/>
  <c r="BT42" i="12" s="1"/>
  <c r="O398" i="10"/>
  <c r="BK397" i="12"/>
  <c r="BO397" i="12" s="1"/>
  <c r="T398" i="10" s="1"/>
  <c r="BI397" i="12"/>
  <c r="BM397" i="12" s="1"/>
  <c r="BH397" i="12"/>
  <c r="BS397" i="12" s="1"/>
  <c r="W398" i="10" s="1"/>
  <c r="BJ397" i="12"/>
  <c r="BN397" i="12" s="1"/>
  <c r="S398" i="10" s="1"/>
  <c r="BF397" i="12"/>
  <c r="BQ397" i="12" s="1"/>
  <c r="BG397" i="12"/>
  <c r="BR397" i="12" s="1"/>
  <c r="V398" i="10" s="1"/>
  <c r="BE397" i="12"/>
  <c r="BT397" i="12" s="1"/>
  <c r="A410" i="1"/>
  <c r="O120" i="10"/>
  <c r="BK119" i="12"/>
  <c r="BO119" i="12" s="1"/>
  <c r="T120" i="10" s="1"/>
  <c r="BF119" i="12"/>
  <c r="BQ119" i="12" s="1"/>
  <c r="BG119" i="12"/>
  <c r="BR119" i="12" s="1"/>
  <c r="V120" i="10" s="1"/>
  <c r="BH119" i="12"/>
  <c r="BS119" i="12" s="1"/>
  <c r="W120" i="10" s="1"/>
  <c r="BJ119" i="12"/>
  <c r="BN119" i="12" s="1"/>
  <c r="S120" i="10" s="1"/>
  <c r="BI119" i="12"/>
  <c r="BM119" i="12" s="1"/>
  <c r="A132" i="1"/>
  <c r="BE119" i="12"/>
  <c r="BT119" i="12" s="1"/>
  <c r="O142" i="10"/>
  <c r="BI141" i="12"/>
  <c r="BM141" i="12" s="1"/>
  <c r="BF141" i="12"/>
  <c r="BQ141" i="12" s="1"/>
  <c r="BG141" i="12"/>
  <c r="BR141" i="12" s="1"/>
  <c r="V142" i="10" s="1"/>
  <c r="BH141" i="12"/>
  <c r="BS141" i="12" s="1"/>
  <c r="W142" i="10" s="1"/>
  <c r="BJ141" i="12"/>
  <c r="BN141" i="12" s="1"/>
  <c r="S142" i="10" s="1"/>
  <c r="BK141" i="12"/>
  <c r="BO141" i="12" s="1"/>
  <c r="T142" i="10" s="1"/>
  <c r="A154" i="1"/>
  <c r="BE141" i="12"/>
  <c r="BT141" i="12" s="1"/>
  <c r="O544" i="10"/>
  <c r="BI543" i="12"/>
  <c r="BM543" i="12" s="1"/>
  <c r="BG543" i="12"/>
  <c r="BR543" i="12" s="1"/>
  <c r="V544" i="10" s="1"/>
  <c r="BJ543" i="12"/>
  <c r="BN543" i="12" s="1"/>
  <c r="S544" i="10" s="1"/>
  <c r="BH543" i="12"/>
  <c r="BS543" i="12" s="1"/>
  <c r="W544" i="10" s="1"/>
  <c r="BK543" i="12"/>
  <c r="BO543" i="12" s="1"/>
  <c r="T544" i="10" s="1"/>
  <c r="BF543" i="12"/>
  <c r="BQ543" i="12" s="1"/>
  <c r="BE543" i="12"/>
  <c r="BT543" i="12" s="1"/>
  <c r="A556" i="1"/>
  <c r="O454" i="10"/>
  <c r="BJ453" i="12"/>
  <c r="BN453" i="12" s="1"/>
  <c r="S454" i="10" s="1"/>
  <c r="BH453" i="12"/>
  <c r="BS453" i="12" s="1"/>
  <c r="W454" i="10" s="1"/>
  <c r="BK453" i="12"/>
  <c r="BO453" i="12" s="1"/>
  <c r="T454" i="10" s="1"/>
  <c r="BF453" i="12"/>
  <c r="BQ453" i="12" s="1"/>
  <c r="BG453" i="12"/>
  <c r="BR453" i="12" s="1"/>
  <c r="V454" i="10" s="1"/>
  <c r="BI453" i="12"/>
  <c r="BM453" i="12" s="1"/>
  <c r="BE453" i="12"/>
  <c r="BT453" i="12" s="1"/>
  <c r="A466" i="1"/>
  <c r="O563" i="10"/>
  <c r="BK562" i="12"/>
  <c r="BO562" i="12" s="1"/>
  <c r="T563" i="10" s="1"/>
  <c r="BF562" i="12"/>
  <c r="BQ562" i="12" s="1"/>
  <c r="BJ562" i="12"/>
  <c r="BN562" i="12" s="1"/>
  <c r="S563" i="10" s="1"/>
  <c r="BG562" i="12"/>
  <c r="BR562" i="12" s="1"/>
  <c r="V563" i="10" s="1"/>
  <c r="BI562" i="12"/>
  <c r="BM562" i="12" s="1"/>
  <c r="BH562" i="12"/>
  <c r="BS562" i="12" s="1"/>
  <c r="W563" i="10" s="1"/>
  <c r="BE562" i="12"/>
  <c r="BT562" i="12" s="1"/>
  <c r="A575" i="1"/>
  <c r="O443" i="10"/>
  <c r="BI442" i="12"/>
  <c r="BM442" i="12" s="1"/>
  <c r="BH442" i="12"/>
  <c r="BS442" i="12" s="1"/>
  <c r="W443" i="10" s="1"/>
  <c r="BF442" i="12"/>
  <c r="BQ442" i="12" s="1"/>
  <c r="BG442" i="12"/>
  <c r="BR442" i="12" s="1"/>
  <c r="V443" i="10" s="1"/>
  <c r="BK442" i="12"/>
  <c r="BO442" i="12" s="1"/>
  <c r="T443" i="10" s="1"/>
  <c r="BJ442" i="12"/>
  <c r="BN442" i="12" s="1"/>
  <c r="S443" i="10" s="1"/>
  <c r="A455" i="1"/>
  <c r="BE442" i="12"/>
  <c r="BT442" i="12" s="1"/>
  <c r="O296" i="10"/>
  <c r="BF295" i="12"/>
  <c r="BQ295" i="12" s="1"/>
  <c r="BI295" i="12"/>
  <c r="BM295" i="12" s="1"/>
  <c r="BJ295" i="12"/>
  <c r="BN295" i="12" s="1"/>
  <c r="S296" i="10" s="1"/>
  <c r="BK295" i="12"/>
  <c r="BO295" i="12" s="1"/>
  <c r="T296" i="10" s="1"/>
  <c r="BH295" i="12"/>
  <c r="BS295" i="12" s="1"/>
  <c r="W296" i="10" s="1"/>
  <c r="BG295" i="12"/>
  <c r="BR295" i="12" s="1"/>
  <c r="V296" i="10" s="1"/>
  <c r="A308" i="1"/>
  <c r="BE295" i="12"/>
  <c r="BT295" i="12" s="1"/>
  <c r="O130" i="10"/>
  <c r="BI129" i="12"/>
  <c r="BM129" i="12" s="1"/>
  <c r="BG129" i="12"/>
  <c r="BR129" i="12" s="1"/>
  <c r="V130" i="10" s="1"/>
  <c r="BJ129" i="12"/>
  <c r="BN129" i="12" s="1"/>
  <c r="S130" i="10" s="1"/>
  <c r="BH129" i="12"/>
  <c r="BS129" i="12" s="1"/>
  <c r="W130" i="10" s="1"/>
  <c r="BF129" i="12"/>
  <c r="BQ129" i="12" s="1"/>
  <c r="BK129" i="12"/>
  <c r="BO129" i="12" s="1"/>
  <c r="T130" i="10" s="1"/>
  <c r="A142" i="1"/>
  <c r="BE129" i="12"/>
  <c r="BT129" i="12" s="1"/>
  <c r="O517" i="10"/>
  <c r="BJ516" i="12"/>
  <c r="BN516" i="12" s="1"/>
  <c r="S517" i="10" s="1"/>
  <c r="BH516" i="12"/>
  <c r="BS516" i="12" s="1"/>
  <c r="W517" i="10" s="1"/>
  <c r="BK516" i="12"/>
  <c r="BO516" i="12" s="1"/>
  <c r="T517" i="10" s="1"/>
  <c r="BG516" i="12"/>
  <c r="BR516" i="12" s="1"/>
  <c r="V517" i="10" s="1"/>
  <c r="BF516" i="12"/>
  <c r="BQ516" i="12" s="1"/>
  <c r="BI516" i="12"/>
  <c r="BM516" i="12" s="1"/>
  <c r="BE516" i="12"/>
  <c r="BT516" i="12" s="1"/>
  <c r="A529" i="1"/>
  <c r="O387" i="10"/>
  <c r="BJ386" i="12"/>
  <c r="BN386" i="12" s="1"/>
  <c r="S387" i="10" s="1"/>
  <c r="BH386" i="12"/>
  <c r="BS386" i="12" s="1"/>
  <c r="W387" i="10" s="1"/>
  <c r="BK386" i="12"/>
  <c r="BO386" i="12" s="1"/>
  <c r="T387" i="10" s="1"/>
  <c r="BF386" i="12"/>
  <c r="BQ386" i="12" s="1"/>
  <c r="BI386" i="12"/>
  <c r="BM386" i="12" s="1"/>
  <c r="BG386" i="12"/>
  <c r="BR386" i="12" s="1"/>
  <c r="V387" i="10" s="1"/>
  <c r="A399" i="1"/>
  <c r="BE386" i="12"/>
  <c r="BT386" i="12" s="1"/>
  <c r="O237" i="10"/>
  <c r="BI236" i="12"/>
  <c r="BM236" i="12" s="1"/>
  <c r="BJ236" i="12"/>
  <c r="BN236" i="12" s="1"/>
  <c r="S237" i="10" s="1"/>
  <c r="BK236" i="12"/>
  <c r="BO236" i="12" s="1"/>
  <c r="T237" i="10" s="1"/>
  <c r="BH236" i="12"/>
  <c r="BS236" i="12" s="1"/>
  <c r="W237" i="10" s="1"/>
  <c r="BG236" i="12"/>
  <c r="BR236" i="12" s="1"/>
  <c r="V237" i="10" s="1"/>
  <c r="BF236" i="12"/>
  <c r="BQ236" i="12" s="1"/>
  <c r="A249" i="1"/>
  <c r="BE236" i="12"/>
  <c r="BT236" i="12" s="1"/>
  <c r="BJ37" i="12"/>
  <c r="BN37" i="12" s="1"/>
  <c r="S38" i="10" s="1"/>
  <c r="BH37" i="12"/>
  <c r="BS37" i="12" s="1"/>
  <c r="W38" i="10" s="1"/>
  <c r="BK37" i="12"/>
  <c r="BO37" i="12" s="1"/>
  <c r="T38" i="10" s="1"/>
  <c r="O38" i="10"/>
  <c r="BI37" i="12"/>
  <c r="BM37" i="12" s="1"/>
  <c r="BG37" i="12"/>
  <c r="BR37" i="12" s="1"/>
  <c r="V38" i="10" s="1"/>
  <c r="BF37" i="12"/>
  <c r="BQ37" i="12" s="1"/>
  <c r="A50" i="1"/>
  <c r="BE37" i="12"/>
  <c r="BT37" i="12" s="1"/>
  <c r="O65" i="10"/>
  <c r="BK64" i="12"/>
  <c r="BO64" i="12" s="1"/>
  <c r="T65" i="10" s="1"/>
  <c r="BF64" i="12"/>
  <c r="BQ64" i="12" s="1"/>
  <c r="BI64" i="12"/>
  <c r="BM64" i="12" s="1"/>
  <c r="BJ64" i="12"/>
  <c r="BN64" i="12" s="1"/>
  <c r="S65" i="10" s="1"/>
  <c r="BH64" i="12"/>
  <c r="BS64" i="12" s="1"/>
  <c r="W65" i="10" s="1"/>
  <c r="BG64" i="12"/>
  <c r="BR64" i="12" s="1"/>
  <c r="V65" i="10" s="1"/>
  <c r="A77" i="1"/>
  <c r="BE64" i="12"/>
  <c r="BT64" i="12" s="1"/>
  <c r="O449" i="10"/>
  <c r="BF448" i="12"/>
  <c r="BQ448" i="12" s="1"/>
  <c r="BI448" i="12"/>
  <c r="BM448" i="12" s="1"/>
  <c r="BG448" i="12"/>
  <c r="BR448" i="12" s="1"/>
  <c r="V449" i="10" s="1"/>
  <c r="BK448" i="12"/>
  <c r="BO448" i="12" s="1"/>
  <c r="T449" i="10" s="1"/>
  <c r="BH448" i="12"/>
  <c r="BS448" i="12" s="1"/>
  <c r="W449" i="10" s="1"/>
  <c r="BJ448" i="12"/>
  <c r="BN448" i="12" s="1"/>
  <c r="S449" i="10" s="1"/>
  <c r="A461" i="1"/>
  <c r="BE448" i="12"/>
  <c r="BT448" i="12" s="1"/>
  <c r="O376" i="10"/>
  <c r="BK375" i="12"/>
  <c r="BO375" i="12" s="1"/>
  <c r="T376" i="10" s="1"/>
  <c r="BI375" i="12"/>
  <c r="BM375" i="12" s="1"/>
  <c r="BH375" i="12"/>
  <c r="BS375" i="12" s="1"/>
  <c r="W376" i="10" s="1"/>
  <c r="BJ375" i="12"/>
  <c r="BN375" i="12" s="1"/>
  <c r="S376" i="10" s="1"/>
  <c r="BF375" i="12"/>
  <c r="BQ375" i="12" s="1"/>
  <c r="BG375" i="12"/>
  <c r="BR375" i="12" s="1"/>
  <c r="V376" i="10" s="1"/>
  <c r="BE375" i="12"/>
  <c r="BT375" i="12" s="1"/>
  <c r="A388" i="1"/>
  <c r="O303" i="10"/>
  <c r="BJ302" i="12"/>
  <c r="BN302" i="12" s="1"/>
  <c r="S303" i="10" s="1"/>
  <c r="BH302" i="12"/>
  <c r="BS302" i="12" s="1"/>
  <c r="W303" i="10" s="1"/>
  <c r="BK302" i="12"/>
  <c r="BO302" i="12" s="1"/>
  <c r="T303" i="10" s="1"/>
  <c r="BI302" i="12"/>
  <c r="BM302" i="12" s="1"/>
  <c r="BG302" i="12"/>
  <c r="BR302" i="12" s="1"/>
  <c r="V303" i="10" s="1"/>
  <c r="BF302" i="12"/>
  <c r="BQ302" i="12" s="1"/>
  <c r="BE302" i="12"/>
  <c r="BT302" i="12" s="1"/>
  <c r="A315" i="1"/>
  <c r="O226" i="10"/>
  <c r="BK225" i="12"/>
  <c r="BO225" i="12" s="1"/>
  <c r="T226" i="10" s="1"/>
  <c r="BF225" i="12"/>
  <c r="BQ225" i="12" s="1"/>
  <c r="BJ225" i="12"/>
  <c r="BN225" i="12" s="1"/>
  <c r="S226" i="10" s="1"/>
  <c r="BG225" i="12"/>
  <c r="BR225" i="12" s="1"/>
  <c r="V226" i="10" s="1"/>
  <c r="BI225" i="12"/>
  <c r="BM225" i="12" s="1"/>
  <c r="BH225" i="12"/>
  <c r="BS225" i="12" s="1"/>
  <c r="W226" i="10" s="1"/>
  <c r="A238" i="1"/>
  <c r="BE225" i="12"/>
  <c r="BT225" i="12" s="1"/>
  <c r="O138" i="10"/>
  <c r="BJ137" i="12"/>
  <c r="BN137" i="12" s="1"/>
  <c r="S138" i="10" s="1"/>
  <c r="BI137" i="12"/>
  <c r="BM137" i="12" s="1"/>
  <c r="BE137" i="12"/>
  <c r="BT137" i="12" s="1"/>
  <c r="BF137" i="12"/>
  <c r="BQ137" i="12" s="1"/>
  <c r="BG137" i="12"/>
  <c r="BR137" i="12" s="1"/>
  <c r="V138" i="10" s="1"/>
  <c r="BH137" i="12"/>
  <c r="BS137" i="12" s="1"/>
  <c r="W138" i="10" s="1"/>
  <c r="BK137" i="12"/>
  <c r="BO137" i="12" s="1"/>
  <c r="T138" i="10" s="1"/>
  <c r="A150" i="1"/>
  <c r="O54" i="10"/>
  <c r="BJ53" i="12"/>
  <c r="BN53" i="12" s="1"/>
  <c r="S54" i="10" s="1"/>
  <c r="BH53" i="12"/>
  <c r="BS53" i="12" s="1"/>
  <c r="W54" i="10" s="1"/>
  <c r="BK53" i="12"/>
  <c r="BO53" i="12" s="1"/>
  <c r="T54" i="10" s="1"/>
  <c r="BI53" i="12"/>
  <c r="BM53" i="12" s="1"/>
  <c r="BG53" i="12"/>
  <c r="BR53" i="12" s="1"/>
  <c r="V54" i="10" s="1"/>
  <c r="BF53" i="12"/>
  <c r="BQ53" i="12" s="1"/>
  <c r="A66" i="1"/>
  <c r="BE53" i="12"/>
  <c r="BT53" i="12" s="1"/>
  <c r="O531" i="10"/>
  <c r="BK530" i="12"/>
  <c r="BO530" i="12" s="1"/>
  <c r="T531" i="10" s="1"/>
  <c r="BF530" i="12"/>
  <c r="BQ530" i="12" s="1"/>
  <c r="BJ530" i="12"/>
  <c r="BN530" i="12" s="1"/>
  <c r="S531" i="10" s="1"/>
  <c r="BG530" i="12"/>
  <c r="BR530" i="12" s="1"/>
  <c r="V531" i="10" s="1"/>
  <c r="BI530" i="12"/>
  <c r="BM530" i="12" s="1"/>
  <c r="BH530" i="12"/>
  <c r="BS530" i="12" s="1"/>
  <c r="W531" i="10" s="1"/>
  <c r="BE530" i="12"/>
  <c r="BT530" i="12" s="1"/>
  <c r="A543" i="1"/>
  <c r="O457" i="10"/>
  <c r="BJ456" i="12"/>
  <c r="BN456" i="12" s="1"/>
  <c r="S457" i="10" s="1"/>
  <c r="BH456" i="12"/>
  <c r="BS456" i="12" s="1"/>
  <c r="W457" i="10" s="1"/>
  <c r="BK456" i="12"/>
  <c r="BO456" i="12" s="1"/>
  <c r="T457" i="10" s="1"/>
  <c r="BI456" i="12"/>
  <c r="BM456" i="12" s="1"/>
  <c r="BF456" i="12"/>
  <c r="BQ456" i="12" s="1"/>
  <c r="BG456" i="12"/>
  <c r="BR456" i="12" s="1"/>
  <c r="V457" i="10" s="1"/>
  <c r="A469" i="1"/>
  <c r="BE456" i="12"/>
  <c r="BT456" i="12" s="1"/>
  <c r="O384" i="10"/>
  <c r="BI383" i="12"/>
  <c r="BM383" i="12" s="1"/>
  <c r="BF383" i="12"/>
  <c r="BQ383" i="12" s="1"/>
  <c r="BG383" i="12"/>
  <c r="BR383" i="12" s="1"/>
  <c r="V384" i="10" s="1"/>
  <c r="BH383" i="12"/>
  <c r="BS383" i="12" s="1"/>
  <c r="W384" i="10" s="1"/>
  <c r="BJ383" i="12"/>
  <c r="BN383" i="12" s="1"/>
  <c r="S384" i="10" s="1"/>
  <c r="BK383" i="12"/>
  <c r="BO383" i="12" s="1"/>
  <c r="T384" i="10" s="1"/>
  <c r="BE383" i="12"/>
  <c r="BT383" i="12" s="1"/>
  <c r="A396" i="1"/>
  <c r="O311" i="10"/>
  <c r="BI310" i="12"/>
  <c r="BM310" i="12" s="1"/>
  <c r="BF310" i="12"/>
  <c r="BQ310" i="12" s="1"/>
  <c r="BH310" i="12"/>
  <c r="BS310" i="12" s="1"/>
  <c r="W311" i="10" s="1"/>
  <c r="BJ310" i="12"/>
  <c r="BN310" i="12" s="1"/>
  <c r="S311" i="10" s="1"/>
  <c r="BG310" i="12"/>
  <c r="BR310" i="12" s="1"/>
  <c r="V311" i="10" s="1"/>
  <c r="BK310" i="12"/>
  <c r="BO310" i="12" s="1"/>
  <c r="T311" i="10" s="1"/>
  <c r="A323" i="1"/>
  <c r="BE310" i="12"/>
  <c r="BT310" i="12" s="1"/>
  <c r="O235" i="10"/>
  <c r="BF234" i="12"/>
  <c r="BQ234" i="12" s="1"/>
  <c r="BI234" i="12"/>
  <c r="BM234" i="12" s="1"/>
  <c r="BG234" i="12"/>
  <c r="BR234" i="12" s="1"/>
  <c r="V235" i="10" s="1"/>
  <c r="BJ234" i="12"/>
  <c r="BN234" i="12" s="1"/>
  <c r="S235" i="10" s="1"/>
  <c r="BH234" i="12"/>
  <c r="BS234" i="12" s="1"/>
  <c r="W235" i="10" s="1"/>
  <c r="BK234" i="12"/>
  <c r="BO234" i="12" s="1"/>
  <c r="T235" i="10" s="1"/>
  <c r="BE234" i="12"/>
  <c r="BT234" i="12" s="1"/>
  <c r="A247" i="1"/>
  <c r="O149" i="10"/>
  <c r="BI148" i="12"/>
  <c r="BM148" i="12" s="1"/>
  <c r="BF148" i="12"/>
  <c r="BQ148" i="12" s="1"/>
  <c r="BG148" i="12"/>
  <c r="BR148" i="12" s="1"/>
  <c r="V149" i="10" s="1"/>
  <c r="BH148" i="12"/>
  <c r="BS148" i="12" s="1"/>
  <c r="W149" i="10" s="1"/>
  <c r="BJ148" i="12"/>
  <c r="BN148" i="12" s="1"/>
  <c r="S149" i="10" s="1"/>
  <c r="BK148" i="12"/>
  <c r="BO148" i="12" s="1"/>
  <c r="T149" i="10" s="1"/>
  <c r="A161" i="1"/>
  <c r="BE148" i="12"/>
  <c r="BT148" i="12" s="1"/>
  <c r="O63" i="10"/>
  <c r="BF62" i="12"/>
  <c r="BQ62" i="12" s="1"/>
  <c r="BI62" i="12"/>
  <c r="BM62" i="12" s="1"/>
  <c r="BJ62" i="12"/>
  <c r="BN62" i="12" s="1"/>
  <c r="S63" i="10" s="1"/>
  <c r="BK62" i="12"/>
  <c r="BO62" i="12" s="1"/>
  <c r="T63" i="10" s="1"/>
  <c r="BG62" i="12"/>
  <c r="BR62" i="12" s="1"/>
  <c r="V63" i="10" s="1"/>
  <c r="BH62" i="12"/>
  <c r="BS62" i="12" s="1"/>
  <c r="W63" i="10" s="1"/>
  <c r="A75" i="1"/>
  <c r="BE62" i="12"/>
  <c r="BT62" i="12" s="1"/>
  <c r="O539" i="10"/>
  <c r="BK538" i="12"/>
  <c r="BO538" i="12" s="1"/>
  <c r="T539" i="10" s="1"/>
  <c r="BF538" i="12"/>
  <c r="BQ538" i="12" s="1"/>
  <c r="BJ538" i="12"/>
  <c r="BN538" i="12" s="1"/>
  <c r="S539" i="10" s="1"/>
  <c r="BG538" i="12"/>
  <c r="BR538" i="12" s="1"/>
  <c r="V539" i="10" s="1"/>
  <c r="BI538" i="12"/>
  <c r="BM538" i="12" s="1"/>
  <c r="BH538" i="12"/>
  <c r="BS538" i="12" s="1"/>
  <c r="W539" i="10" s="1"/>
  <c r="BE538" i="12"/>
  <c r="BT538" i="12" s="1"/>
  <c r="A551" i="1"/>
  <c r="O465" i="10"/>
  <c r="BJ464" i="12"/>
  <c r="BN464" i="12" s="1"/>
  <c r="S465" i="10" s="1"/>
  <c r="BH464" i="12"/>
  <c r="BS464" i="12" s="1"/>
  <c r="W465" i="10" s="1"/>
  <c r="BK464" i="12"/>
  <c r="BO464" i="12" s="1"/>
  <c r="T465" i="10" s="1"/>
  <c r="BG464" i="12"/>
  <c r="BR464" i="12" s="1"/>
  <c r="V465" i="10" s="1"/>
  <c r="BF464" i="12"/>
  <c r="BQ464" i="12" s="1"/>
  <c r="BI464" i="12"/>
  <c r="BM464" i="12" s="1"/>
  <c r="A477" i="1"/>
  <c r="BE464" i="12"/>
  <c r="BT464" i="12" s="1"/>
  <c r="O392" i="10"/>
  <c r="BI391" i="12"/>
  <c r="BM391" i="12" s="1"/>
  <c r="BG391" i="12"/>
  <c r="BR391" i="12" s="1"/>
  <c r="V392" i="10" s="1"/>
  <c r="BK391" i="12"/>
  <c r="BO391" i="12" s="1"/>
  <c r="T392" i="10" s="1"/>
  <c r="BF391" i="12"/>
  <c r="BQ391" i="12" s="1"/>
  <c r="BH391" i="12"/>
  <c r="BS391" i="12" s="1"/>
  <c r="W392" i="10" s="1"/>
  <c r="BJ391" i="12"/>
  <c r="BN391" i="12" s="1"/>
  <c r="S392" i="10" s="1"/>
  <c r="BE391" i="12"/>
  <c r="BT391" i="12" s="1"/>
  <c r="A404" i="1"/>
  <c r="O319" i="10"/>
  <c r="BK318" i="12"/>
  <c r="BO318" i="12" s="1"/>
  <c r="T319" i="10" s="1"/>
  <c r="BF318" i="12"/>
  <c r="BQ318" i="12" s="1"/>
  <c r="BJ318" i="12"/>
  <c r="BN318" i="12" s="1"/>
  <c r="S319" i="10" s="1"/>
  <c r="BH318" i="12"/>
  <c r="BS318" i="12" s="1"/>
  <c r="W319" i="10" s="1"/>
  <c r="BG318" i="12"/>
  <c r="BR318" i="12" s="1"/>
  <c r="V319" i="10" s="1"/>
  <c r="BI318" i="12"/>
  <c r="BM318" i="12" s="1"/>
  <c r="BE318" i="12"/>
  <c r="BT318" i="12" s="1"/>
  <c r="A331" i="1"/>
  <c r="BF242" i="12"/>
  <c r="BQ242" i="12" s="1"/>
  <c r="O243" i="10"/>
  <c r="BI242" i="12"/>
  <c r="BM242" i="12" s="1"/>
  <c r="BG242" i="12"/>
  <c r="BR242" i="12" s="1"/>
  <c r="V243" i="10" s="1"/>
  <c r="BJ242" i="12"/>
  <c r="BN242" i="12" s="1"/>
  <c r="S243" i="10" s="1"/>
  <c r="BH242" i="12"/>
  <c r="BS242" i="12" s="1"/>
  <c r="W243" i="10" s="1"/>
  <c r="BK242" i="12"/>
  <c r="BO242" i="12" s="1"/>
  <c r="T243" i="10" s="1"/>
  <c r="BE242" i="12"/>
  <c r="BT242" i="12" s="1"/>
  <c r="A255" i="1"/>
  <c r="O159" i="10"/>
  <c r="BK158" i="12"/>
  <c r="BO158" i="12" s="1"/>
  <c r="T159" i="10" s="1"/>
  <c r="BF158" i="12"/>
  <c r="BQ158" i="12" s="1"/>
  <c r="BI158" i="12"/>
  <c r="BM158" i="12" s="1"/>
  <c r="BG158" i="12"/>
  <c r="BR158" i="12" s="1"/>
  <c r="V159" i="10" s="1"/>
  <c r="BJ158" i="12"/>
  <c r="BN158" i="12" s="1"/>
  <c r="S159" i="10" s="1"/>
  <c r="BH158" i="12"/>
  <c r="BS158" i="12" s="1"/>
  <c r="W159" i="10" s="1"/>
  <c r="A171" i="1"/>
  <c r="BE158" i="12"/>
  <c r="BT158" i="12" s="1"/>
  <c r="O72" i="10"/>
  <c r="BJ71" i="12"/>
  <c r="BN71" i="12" s="1"/>
  <c r="S72" i="10" s="1"/>
  <c r="BI71" i="12"/>
  <c r="BM71" i="12" s="1"/>
  <c r="BG71" i="12"/>
  <c r="BR71" i="12" s="1"/>
  <c r="V72" i="10" s="1"/>
  <c r="BH71" i="12"/>
  <c r="BS71" i="12" s="1"/>
  <c r="W72" i="10" s="1"/>
  <c r="BF71" i="12"/>
  <c r="BQ71" i="12" s="1"/>
  <c r="BK71" i="12"/>
  <c r="BO71" i="12" s="1"/>
  <c r="T72" i="10" s="1"/>
  <c r="A84" i="1"/>
  <c r="BE71" i="12"/>
  <c r="BT71" i="12" s="1"/>
  <c r="O547" i="10"/>
  <c r="BI546" i="12"/>
  <c r="BM546" i="12" s="1"/>
  <c r="BG546" i="12"/>
  <c r="BR546" i="12" s="1"/>
  <c r="V547" i="10" s="1"/>
  <c r="BJ546" i="12"/>
  <c r="BN546" i="12" s="1"/>
  <c r="S547" i="10" s="1"/>
  <c r="BH546" i="12"/>
  <c r="BS546" i="12" s="1"/>
  <c r="W547" i="10" s="1"/>
  <c r="BK546" i="12"/>
  <c r="BO546" i="12" s="1"/>
  <c r="T547" i="10" s="1"/>
  <c r="BF546" i="12"/>
  <c r="BQ546" i="12" s="1"/>
  <c r="A559" i="1"/>
  <c r="BE546" i="12"/>
  <c r="BT546" i="12" s="1"/>
  <c r="O473" i="10"/>
  <c r="BJ472" i="12"/>
  <c r="BN472" i="12" s="1"/>
  <c r="S473" i="10" s="1"/>
  <c r="BH472" i="12"/>
  <c r="BS472" i="12" s="1"/>
  <c r="W473" i="10" s="1"/>
  <c r="BK472" i="12"/>
  <c r="BO472" i="12" s="1"/>
  <c r="T473" i="10" s="1"/>
  <c r="BI472" i="12"/>
  <c r="BM472" i="12" s="1"/>
  <c r="BF472" i="12"/>
  <c r="BQ472" i="12" s="1"/>
  <c r="BG472" i="12"/>
  <c r="BR472" i="12" s="1"/>
  <c r="V473" i="10" s="1"/>
  <c r="A485" i="1"/>
  <c r="BE472" i="12"/>
  <c r="BT472" i="12" s="1"/>
  <c r="O400" i="10"/>
  <c r="BJ399" i="12"/>
  <c r="BN399" i="12" s="1"/>
  <c r="S400" i="10" s="1"/>
  <c r="BH399" i="12"/>
  <c r="BS399" i="12" s="1"/>
  <c r="W400" i="10" s="1"/>
  <c r="BK399" i="12"/>
  <c r="BO399" i="12" s="1"/>
  <c r="T400" i="10" s="1"/>
  <c r="BF399" i="12"/>
  <c r="BQ399" i="12" s="1"/>
  <c r="BG399" i="12"/>
  <c r="BR399" i="12" s="1"/>
  <c r="V400" i="10" s="1"/>
  <c r="BI399" i="12"/>
  <c r="BM399" i="12" s="1"/>
  <c r="A412" i="1"/>
  <c r="BE399" i="12"/>
  <c r="BT399" i="12" s="1"/>
  <c r="O327" i="10"/>
  <c r="BK326" i="12"/>
  <c r="BO326" i="12" s="1"/>
  <c r="T327" i="10" s="1"/>
  <c r="BF326" i="12"/>
  <c r="BQ326" i="12" s="1"/>
  <c r="BJ326" i="12"/>
  <c r="BN326" i="12" s="1"/>
  <c r="S327" i="10" s="1"/>
  <c r="BH326" i="12"/>
  <c r="BS326" i="12" s="1"/>
  <c r="W327" i="10" s="1"/>
  <c r="BI326" i="12"/>
  <c r="BM326" i="12" s="1"/>
  <c r="BG326" i="12"/>
  <c r="BR326" i="12" s="1"/>
  <c r="V327" i="10" s="1"/>
  <c r="A339" i="1"/>
  <c r="BE326" i="12"/>
  <c r="BT326" i="12" s="1"/>
  <c r="O252" i="10"/>
  <c r="BJ251" i="12"/>
  <c r="BN251" i="12" s="1"/>
  <c r="S252" i="10" s="1"/>
  <c r="BH251" i="12"/>
  <c r="BS251" i="12" s="1"/>
  <c r="W252" i="10" s="1"/>
  <c r="BK251" i="12"/>
  <c r="BO251" i="12" s="1"/>
  <c r="T252" i="10" s="1"/>
  <c r="BI251" i="12"/>
  <c r="BM251" i="12" s="1"/>
  <c r="BF251" i="12"/>
  <c r="BQ251" i="12" s="1"/>
  <c r="BG251" i="12"/>
  <c r="BR251" i="12" s="1"/>
  <c r="V252" i="10" s="1"/>
  <c r="A264" i="1"/>
  <c r="BE251" i="12"/>
  <c r="BT251" i="12" s="1"/>
  <c r="O168" i="10"/>
  <c r="BK167" i="12"/>
  <c r="BO167" i="12" s="1"/>
  <c r="T168" i="10" s="1"/>
  <c r="BF167" i="12"/>
  <c r="BQ167" i="12" s="1"/>
  <c r="BH167" i="12"/>
  <c r="BS167" i="12" s="1"/>
  <c r="W168" i="10" s="1"/>
  <c r="BJ167" i="12"/>
  <c r="BN167" i="12" s="1"/>
  <c r="S168" i="10" s="1"/>
  <c r="BG167" i="12"/>
  <c r="BR167" i="12" s="1"/>
  <c r="V168" i="10" s="1"/>
  <c r="BI167" i="12"/>
  <c r="BM167" i="12" s="1"/>
  <c r="BE167" i="12"/>
  <c r="BT167" i="12" s="1"/>
  <c r="A180" i="1"/>
  <c r="O81" i="10"/>
  <c r="BK80" i="12"/>
  <c r="BO80" i="12" s="1"/>
  <c r="T81" i="10" s="1"/>
  <c r="BF80" i="12"/>
  <c r="BQ80" i="12" s="1"/>
  <c r="BI80" i="12"/>
  <c r="BM80" i="12" s="1"/>
  <c r="BG80" i="12"/>
  <c r="BR80" i="12" s="1"/>
  <c r="V81" i="10" s="1"/>
  <c r="BH80" i="12"/>
  <c r="BS80" i="12" s="1"/>
  <c r="W81" i="10" s="1"/>
  <c r="BJ80" i="12"/>
  <c r="BN80" i="12" s="1"/>
  <c r="S81" i="10" s="1"/>
  <c r="A93" i="1"/>
  <c r="BE80" i="12"/>
  <c r="BT80" i="12" s="1"/>
  <c r="O14" i="10"/>
  <c r="BJ13" i="12"/>
  <c r="BN13" i="12" s="1"/>
  <c r="S14" i="10" s="1"/>
  <c r="BH13" i="12"/>
  <c r="BS13" i="12" s="1"/>
  <c r="W14" i="10" s="1"/>
  <c r="BK13" i="12"/>
  <c r="BO13" i="12" s="1"/>
  <c r="T14" i="10" s="1"/>
  <c r="BI13" i="12"/>
  <c r="BM13" i="12" s="1"/>
  <c r="BG13" i="12"/>
  <c r="BR13" i="12" s="1"/>
  <c r="V14" i="10" s="1"/>
  <c r="BF13" i="12"/>
  <c r="BQ13" i="12" s="1"/>
  <c r="A26" i="1"/>
  <c r="BE13" i="12"/>
  <c r="BT13" i="12" s="1"/>
  <c r="O514" i="10"/>
  <c r="BJ513" i="12"/>
  <c r="BN513" i="12" s="1"/>
  <c r="S514" i="10" s="1"/>
  <c r="BH513" i="12"/>
  <c r="BS513" i="12" s="1"/>
  <c r="W514" i="10" s="1"/>
  <c r="BK513" i="12"/>
  <c r="BO513" i="12" s="1"/>
  <c r="T514" i="10" s="1"/>
  <c r="BI513" i="12"/>
  <c r="BM513" i="12" s="1"/>
  <c r="BG513" i="12"/>
  <c r="BR513" i="12" s="1"/>
  <c r="V514" i="10" s="1"/>
  <c r="BF513" i="12"/>
  <c r="BQ513" i="12" s="1"/>
  <c r="A526" i="1"/>
  <c r="BE513" i="12"/>
  <c r="BT513" i="12" s="1"/>
  <c r="O450" i="10"/>
  <c r="BJ449" i="12"/>
  <c r="BN449" i="12" s="1"/>
  <c r="S450" i="10" s="1"/>
  <c r="BH449" i="12"/>
  <c r="BS449" i="12" s="1"/>
  <c r="W450" i="10" s="1"/>
  <c r="BK449" i="12"/>
  <c r="BO449" i="12" s="1"/>
  <c r="T450" i="10" s="1"/>
  <c r="BF449" i="12"/>
  <c r="BQ449" i="12" s="1"/>
  <c r="BG449" i="12"/>
  <c r="BR449" i="12" s="1"/>
  <c r="V450" i="10" s="1"/>
  <c r="BI449" i="12"/>
  <c r="BM449" i="12" s="1"/>
  <c r="A462" i="1"/>
  <c r="BE449" i="12"/>
  <c r="BT449" i="12" s="1"/>
  <c r="O386" i="10"/>
  <c r="BF385" i="12"/>
  <c r="BQ385" i="12" s="1"/>
  <c r="BG385" i="12"/>
  <c r="BR385" i="12" s="1"/>
  <c r="V386" i="10" s="1"/>
  <c r="BI385" i="12"/>
  <c r="BM385" i="12" s="1"/>
  <c r="BH385" i="12"/>
  <c r="BS385" i="12" s="1"/>
  <c r="W386" i="10" s="1"/>
  <c r="BJ385" i="12"/>
  <c r="BN385" i="12" s="1"/>
  <c r="S386" i="10" s="1"/>
  <c r="BK385" i="12"/>
  <c r="BO385" i="12" s="1"/>
  <c r="T386" i="10" s="1"/>
  <c r="A398" i="1"/>
  <c r="BE385" i="12"/>
  <c r="BT385" i="12" s="1"/>
  <c r="O322" i="10"/>
  <c r="BF321" i="12"/>
  <c r="BQ321" i="12" s="1"/>
  <c r="BI321" i="12"/>
  <c r="BM321" i="12" s="1"/>
  <c r="BG321" i="12"/>
  <c r="BR321" i="12" s="1"/>
  <c r="V322" i="10" s="1"/>
  <c r="BK321" i="12"/>
  <c r="BO321" i="12" s="1"/>
  <c r="T322" i="10" s="1"/>
  <c r="BH321" i="12"/>
  <c r="BS321" i="12" s="1"/>
  <c r="W322" i="10" s="1"/>
  <c r="BJ321" i="12"/>
  <c r="BN321" i="12" s="1"/>
  <c r="S322" i="10" s="1"/>
  <c r="BE321" i="12"/>
  <c r="BT321" i="12" s="1"/>
  <c r="A334" i="1"/>
  <c r="O256" i="10"/>
  <c r="BF255" i="12"/>
  <c r="BQ255" i="12" s="1"/>
  <c r="BI255" i="12"/>
  <c r="BM255" i="12" s="1"/>
  <c r="BG255" i="12"/>
  <c r="BR255" i="12" s="1"/>
  <c r="V256" i="10" s="1"/>
  <c r="BK255" i="12"/>
  <c r="BO255" i="12" s="1"/>
  <c r="T256" i="10" s="1"/>
  <c r="BH255" i="12"/>
  <c r="BS255" i="12" s="1"/>
  <c r="W256" i="10" s="1"/>
  <c r="BJ255" i="12"/>
  <c r="BN255" i="12" s="1"/>
  <c r="S256" i="10" s="1"/>
  <c r="A268" i="1"/>
  <c r="BE255" i="12"/>
  <c r="BT255" i="12" s="1"/>
  <c r="O190" i="10"/>
  <c r="BJ189" i="12"/>
  <c r="BN189" i="12" s="1"/>
  <c r="S190" i="10" s="1"/>
  <c r="BH189" i="12"/>
  <c r="BS189" i="12" s="1"/>
  <c r="W190" i="10" s="1"/>
  <c r="BK189" i="12"/>
  <c r="BO189" i="12" s="1"/>
  <c r="T190" i="10" s="1"/>
  <c r="BF189" i="12"/>
  <c r="BQ189" i="12" s="1"/>
  <c r="BG189" i="12"/>
  <c r="BR189" i="12" s="1"/>
  <c r="V190" i="10" s="1"/>
  <c r="BI189" i="12"/>
  <c r="BM189" i="12" s="1"/>
  <c r="BE189" i="12"/>
  <c r="BT189" i="12" s="1"/>
  <c r="A202" i="1"/>
  <c r="O125" i="10"/>
  <c r="BI124" i="12"/>
  <c r="BM124" i="12" s="1"/>
  <c r="BG124" i="12"/>
  <c r="BR124" i="12" s="1"/>
  <c r="V125" i="10" s="1"/>
  <c r="BH124" i="12"/>
  <c r="BS124" i="12" s="1"/>
  <c r="W125" i="10" s="1"/>
  <c r="BF124" i="12"/>
  <c r="BQ124" i="12" s="1"/>
  <c r="BJ124" i="12"/>
  <c r="BN124" i="12" s="1"/>
  <c r="S125" i="10" s="1"/>
  <c r="BK124" i="12"/>
  <c r="BO124" i="12" s="1"/>
  <c r="T125" i="10" s="1"/>
  <c r="A137" i="1"/>
  <c r="BE124" i="12"/>
  <c r="BT124" i="12" s="1"/>
  <c r="O61" i="10"/>
  <c r="BI60" i="12"/>
  <c r="BM60" i="12" s="1"/>
  <c r="BG60" i="12"/>
  <c r="BR60" i="12" s="1"/>
  <c r="V61" i="10" s="1"/>
  <c r="BJ60" i="12"/>
  <c r="BN60" i="12" s="1"/>
  <c r="S61" i="10" s="1"/>
  <c r="BH60" i="12"/>
  <c r="BS60" i="12" s="1"/>
  <c r="W61" i="10" s="1"/>
  <c r="BF60" i="12"/>
  <c r="BQ60" i="12" s="1"/>
  <c r="BK60" i="12"/>
  <c r="BO60" i="12" s="1"/>
  <c r="T61" i="10" s="1"/>
  <c r="A73" i="1"/>
  <c r="BE60" i="12"/>
  <c r="BT60" i="12" s="1"/>
  <c r="O229" i="10"/>
  <c r="BK228" i="12"/>
  <c r="BO228" i="12" s="1"/>
  <c r="T229" i="10" s="1"/>
  <c r="BF228" i="12"/>
  <c r="BQ228" i="12" s="1"/>
  <c r="BI228" i="12"/>
  <c r="BM228" i="12" s="1"/>
  <c r="BG228" i="12"/>
  <c r="BR228" i="12" s="1"/>
  <c r="V229" i="10" s="1"/>
  <c r="BH228" i="12"/>
  <c r="BS228" i="12" s="1"/>
  <c r="W229" i="10" s="1"/>
  <c r="BJ228" i="12"/>
  <c r="BN228" i="12" s="1"/>
  <c r="S229" i="10" s="1"/>
  <c r="A241" i="1"/>
  <c r="BE228" i="12"/>
  <c r="BT228" i="12" s="1"/>
  <c r="O164" i="10"/>
  <c r="BI163" i="12"/>
  <c r="BM163" i="12" s="1"/>
  <c r="BF163" i="12"/>
  <c r="BQ163" i="12" s="1"/>
  <c r="BG163" i="12"/>
  <c r="BR163" i="12" s="1"/>
  <c r="V164" i="10" s="1"/>
  <c r="BH163" i="12"/>
  <c r="BS163" i="12" s="1"/>
  <c r="W164" i="10" s="1"/>
  <c r="BK163" i="12"/>
  <c r="BO163" i="12" s="1"/>
  <c r="T164" i="10" s="1"/>
  <c r="BJ163" i="12"/>
  <c r="BN163" i="12" s="1"/>
  <c r="S164" i="10" s="1"/>
  <c r="A176" i="1"/>
  <c r="BE163" i="12"/>
  <c r="BT163" i="12" s="1"/>
  <c r="O99" i="10"/>
  <c r="BJ98" i="12"/>
  <c r="BN98" i="12" s="1"/>
  <c r="S99" i="10" s="1"/>
  <c r="BH98" i="12"/>
  <c r="BS98" i="12" s="1"/>
  <c r="W99" i="10" s="1"/>
  <c r="BK98" i="12"/>
  <c r="BO98" i="12" s="1"/>
  <c r="T99" i="10" s="1"/>
  <c r="BF98" i="12"/>
  <c r="BQ98" i="12" s="1"/>
  <c r="BG98" i="12"/>
  <c r="BR98" i="12" s="1"/>
  <c r="V99" i="10" s="1"/>
  <c r="BI98" i="12"/>
  <c r="BM98" i="12" s="1"/>
  <c r="A111" i="1"/>
  <c r="BE98" i="12"/>
  <c r="BT98" i="12" s="1"/>
  <c r="O35" i="10"/>
  <c r="BI34" i="12"/>
  <c r="BM34" i="12" s="1"/>
  <c r="BG34" i="12"/>
  <c r="BR34" i="12" s="1"/>
  <c r="V35" i="10" s="1"/>
  <c r="BJ34" i="12"/>
  <c r="BN34" i="12" s="1"/>
  <c r="S35" i="10" s="1"/>
  <c r="BH34" i="12"/>
  <c r="BS34" i="12" s="1"/>
  <c r="W35" i="10" s="1"/>
  <c r="BK34" i="12"/>
  <c r="BO34" i="12" s="1"/>
  <c r="T35" i="10" s="1"/>
  <c r="BF34" i="12"/>
  <c r="BQ34" i="12" s="1"/>
  <c r="A47" i="1"/>
  <c r="BE34" i="12"/>
  <c r="BT34" i="12" s="1"/>
  <c r="O232" i="10"/>
  <c r="BF231" i="12"/>
  <c r="BQ231" i="12" s="1"/>
  <c r="BI231" i="12"/>
  <c r="BM231" i="12" s="1"/>
  <c r="BG231" i="12"/>
  <c r="BR231" i="12" s="1"/>
  <c r="V232" i="10" s="1"/>
  <c r="BJ231" i="12"/>
  <c r="BN231" i="12" s="1"/>
  <c r="S232" i="10" s="1"/>
  <c r="BK231" i="12"/>
  <c r="BO231" i="12" s="1"/>
  <c r="T232" i="10" s="1"/>
  <c r="BH231" i="12"/>
  <c r="BS231" i="12" s="1"/>
  <c r="W232" i="10" s="1"/>
  <c r="BE231" i="12"/>
  <c r="BT231" i="12" s="1"/>
  <c r="A244" i="1"/>
  <c r="O344" i="10"/>
  <c r="BI343" i="12"/>
  <c r="BM343" i="12" s="1"/>
  <c r="BJ343" i="12"/>
  <c r="BN343" i="12" s="1"/>
  <c r="S344" i="10" s="1"/>
  <c r="BK343" i="12"/>
  <c r="BO343" i="12" s="1"/>
  <c r="T344" i="10" s="1"/>
  <c r="BF343" i="12"/>
  <c r="BQ343" i="12" s="1"/>
  <c r="BG343" i="12"/>
  <c r="BR343" i="12" s="1"/>
  <c r="V344" i="10" s="1"/>
  <c r="BH343" i="12"/>
  <c r="BS343" i="12" s="1"/>
  <c r="W344" i="10" s="1"/>
  <c r="A356" i="1"/>
  <c r="BE343" i="12"/>
  <c r="BT343" i="12" s="1"/>
  <c r="O186" i="10"/>
  <c r="BF185" i="12"/>
  <c r="BQ185" i="12" s="1"/>
  <c r="BI185" i="12"/>
  <c r="BM185" i="12" s="1"/>
  <c r="BG185" i="12"/>
  <c r="BR185" i="12" s="1"/>
  <c r="V186" i="10" s="1"/>
  <c r="BH185" i="12"/>
  <c r="BS185" i="12" s="1"/>
  <c r="W186" i="10" s="1"/>
  <c r="BJ185" i="12"/>
  <c r="BN185" i="12" s="1"/>
  <c r="S186" i="10" s="1"/>
  <c r="BK185" i="12"/>
  <c r="BO185" i="12" s="1"/>
  <c r="T186" i="10" s="1"/>
  <c r="A198" i="1"/>
  <c r="BE185" i="12"/>
  <c r="BT185" i="12" s="1"/>
  <c r="O433" i="10"/>
  <c r="BI432" i="12"/>
  <c r="BM432" i="12" s="1"/>
  <c r="BG432" i="12"/>
  <c r="BR432" i="12" s="1"/>
  <c r="V433" i="10" s="1"/>
  <c r="BJ432" i="12"/>
  <c r="BN432" i="12" s="1"/>
  <c r="S433" i="10" s="1"/>
  <c r="BH432" i="12"/>
  <c r="BS432" i="12" s="1"/>
  <c r="W433" i="10" s="1"/>
  <c r="BF432" i="12"/>
  <c r="BQ432" i="12" s="1"/>
  <c r="BK432" i="12"/>
  <c r="BO432" i="12" s="1"/>
  <c r="T433" i="10" s="1"/>
  <c r="BE432" i="12"/>
  <c r="BT432" i="12" s="1"/>
  <c r="A445" i="1"/>
  <c r="O165" i="10"/>
  <c r="BJ164" i="12"/>
  <c r="BN164" i="12" s="1"/>
  <c r="S165" i="10" s="1"/>
  <c r="BH164" i="12"/>
  <c r="BS164" i="12" s="1"/>
  <c r="W165" i="10" s="1"/>
  <c r="BK164" i="12"/>
  <c r="BO164" i="12" s="1"/>
  <c r="T165" i="10" s="1"/>
  <c r="BF164" i="12"/>
  <c r="BQ164" i="12" s="1"/>
  <c r="BG164" i="12"/>
  <c r="BR164" i="12" s="1"/>
  <c r="V165" i="10" s="1"/>
  <c r="BI164" i="12"/>
  <c r="BM164" i="12" s="1"/>
  <c r="A177" i="1"/>
  <c r="BE164" i="12"/>
  <c r="BT164" i="12" s="1"/>
  <c r="O324" i="10"/>
  <c r="BK323" i="12"/>
  <c r="BO323" i="12" s="1"/>
  <c r="T324" i="10" s="1"/>
  <c r="BF323" i="12"/>
  <c r="BQ323" i="12" s="1"/>
  <c r="BG323" i="12"/>
  <c r="BR323" i="12" s="1"/>
  <c r="V324" i="10" s="1"/>
  <c r="BH323" i="12"/>
  <c r="BS323" i="12" s="1"/>
  <c r="W324" i="10" s="1"/>
  <c r="BI323" i="12"/>
  <c r="BM323" i="12" s="1"/>
  <c r="BJ323" i="12"/>
  <c r="BN323" i="12" s="1"/>
  <c r="S324" i="10" s="1"/>
  <c r="A336" i="1"/>
  <c r="BE323" i="12"/>
  <c r="BT323" i="12" s="1"/>
  <c r="O213" i="10"/>
  <c r="BJ212" i="12"/>
  <c r="BN212" i="12" s="1"/>
  <c r="S213" i="10" s="1"/>
  <c r="BK212" i="12"/>
  <c r="BO212" i="12" s="1"/>
  <c r="T213" i="10" s="1"/>
  <c r="BF212" i="12"/>
  <c r="BQ212" i="12" s="1"/>
  <c r="BI212" i="12"/>
  <c r="BM212" i="12" s="1"/>
  <c r="BG212" i="12"/>
  <c r="BR212" i="12" s="1"/>
  <c r="V213" i="10" s="1"/>
  <c r="BH212" i="12"/>
  <c r="BS212" i="12" s="1"/>
  <c r="W213" i="10" s="1"/>
  <c r="BE212" i="12"/>
  <c r="BT212" i="12" s="1"/>
  <c r="A225" i="1"/>
  <c r="O207" i="10"/>
  <c r="BK206" i="12"/>
  <c r="BO206" i="12" s="1"/>
  <c r="T207" i="10" s="1"/>
  <c r="BF206" i="12"/>
  <c r="BQ206" i="12" s="1"/>
  <c r="BI206" i="12"/>
  <c r="BM206" i="12" s="1"/>
  <c r="BG206" i="12"/>
  <c r="BR206" i="12" s="1"/>
  <c r="V207" i="10" s="1"/>
  <c r="BJ206" i="12"/>
  <c r="BN206" i="12" s="1"/>
  <c r="S207" i="10" s="1"/>
  <c r="BH206" i="12"/>
  <c r="BS206" i="12" s="1"/>
  <c r="W207" i="10" s="1"/>
  <c r="A219" i="1"/>
  <c r="BE206" i="12"/>
  <c r="BT206" i="12" s="1"/>
  <c r="O496" i="10"/>
  <c r="BK495" i="12"/>
  <c r="BO495" i="12" s="1"/>
  <c r="T496" i="10" s="1"/>
  <c r="BF495" i="12"/>
  <c r="BQ495" i="12" s="1"/>
  <c r="BG495" i="12"/>
  <c r="BR495" i="12" s="1"/>
  <c r="V496" i="10" s="1"/>
  <c r="BH495" i="12"/>
  <c r="BS495" i="12" s="1"/>
  <c r="W496" i="10" s="1"/>
  <c r="BI495" i="12"/>
  <c r="BM495" i="12" s="1"/>
  <c r="BJ495" i="12"/>
  <c r="BN495" i="12" s="1"/>
  <c r="S496" i="10" s="1"/>
  <c r="BE495" i="12"/>
  <c r="BT495" i="12" s="1"/>
  <c r="A508" i="1"/>
  <c r="O359" i="10"/>
  <c r="BI358" i="12"/>
  <c r="BM358" i="12" s="1"/>
  <c r="BG358" i="12"/>
  <c r="BR358" i="12" s="1"/>
  <c r="V359" i="10" s="1"/>
  <c r="BJ358" i="12"/>
  <c r="BN358" i="12" s="1"/>
  <c r="S359" i="10" s="1"/>
  <c r="BH358" i="12"/>
  <c r="BS358" i="12" s="1"/>
  <c r="W359" i="10" s="1"/>
  <c r="BK358" i="12"/>
  <c r="BO358" i="12" s="1"/>
  <c r="T359" i="10" s="1"/>
  <c r="BF358" i="12"/>
  <c r="BQ358" i="12" s="1"/>
  <c r="BE358" i="12"/>
  <c r="BT358" i="12" s="1"/>
  <c r="A371" i="1"/>
  <c r="O205" i="10"/>
  <c r="BF204" i="12"/>
  <c r="BQ204" i="12" s="1"/>
  <c r="BI204" i="12"/>
  <c r="BM204" i="12" s="1"/>
  <c r="BG204" i="12"/>
  <c r="BR204" i="12" s="1"/>
  <c r="V205" i="10" s="1"/>
  <c r="BJ204" i="12"/>
  <c r="BN204" i="12" s="1"/>
  <c r="S205" i="10" s="1"/>
  <c r="BH204" i="12"/>
  <c r="BS204" i="12" s="1"/>
  <c r="W205" i="10" s="1"/>
  <c r="BK204" i="12"/>
  <c r="BO204" i="12" s="1"/>
  <c r="T205" i="10" s="1"/>
  <c r="A217" i="1"/>
  <c r="BE204" i="12"/>
  <c r="BT204" i="12" s="1"/>
  <c r="O552" i="10"/>
  <c r="BI551" i="12"/>
  <c r="BM551" i="12" s="1"/>
  <c r="BF551" i="12"/>
  <c r="BQ551" i="12" s="1"/>
  <c r="BG551" i="12"/>
  <c r="BR551" i="12" s="1"/>
  <c r="V552" i="10" s="1"/>
  <c r="BJ551" i="12"/>
  <c r="BN551" i="12" s="1"/>
  <c r="S552" i="10" s="1"/>
  <c r="BH551" i="12"/>
  <c r="BS551" i="12" s="1"/>
  <c r="W552" i="10" s="1"/>
  <c r="BE551" i="12"/>
  <c r="BT551" i="12" s="1"/>
  <c r="A564" i="1"/>
  <c r="BK551" i="12"/>
  <c r="BO551" i="12" s="1"/>
  <c r="T552" i="10" s="1"/>
  <c r="O427" i="10"/>
  <c r="BF426" i="12"/>
  <c r="BQ426" i="12" s="1"/>
  <c r="BI426" i="12"/>
  <c r="BM426" i="12" s="1"/>
  <c r="BG426" i="12"/>
  <c r="BR426" i="12" s="1"/>
  <c r="V427" i="10" s="1"/>
  <c r="BK426" i="12"/>
  <c r="BO426" i="12" s="1"/>
  <c r="T427" i="10" s="1"/>
  <c r="BH426" i="12"/>
  <c r="BS426" i="12" s="1"/>
  <c r="W427" i="10" s="1"/>
  <c r="BJ426" i="12"/>
  <c r="BN426" i="12" s="1"/>
  <c r="S427" i="10" s="1"/>
  <c r="BE426" i="12"/>
  <c r="BT426" i="12" s="1"/>
  <c r="A439" i="1"/>
  <c r="O279" i="10"/>
  <c r="BJ278" i="12"/>
  <c r="BN278" i="12" s="1"/>
  <c r="S279" i="10" s="1"/>
  <c r="BK278" i="12"/>
  <c r="BO278" i="12" s="1"/>
  <c r="T279" i="10" s="1"/>
  <c r="BF278" i="12"/>
  <c r="BQ278" i="12" s="1"/>
  <c r="BG278" i="12"/>
  <c r="BR278" i="12" s="1"/>
  <c r="V279" i="10" s="1"/>
  <c r="BH278" i="12"/>
  <c r="BS278" i="12" s="1"/>
  <c r="W279" i="10" s="1"/>
  <c r="BI278" i="12"/>
  <c r="BM278" i="12" s="1"/>
  <c r="A291" i="1"/>
  <c r="BE278" i="12"/>
  <c r="BT278" i="12" s="1"/>
  <c r="O110" i="10"/>
  <c r="BF109" i="12"/>
  <c r="BQ109" i="12" s="1"/>
  <c r="BI109" i="12"/>
  <c r="BM109" i="12" s="1"/>
  <c r="BG109" i="12"/>
  <c r="BR109" i="12" s="1"/>
  <c r="V110" i="10" s="1"/>
  <c r="BH109" i="12"/>
  <c r="BS109" i="12" s="1"/>
  <c r="W110" i="10" s="1"/>
  <c r="BK109" i="12"/>
  <c r="BO109" i="12" s="1"/>
  <c r="T110" i="10" s="1"/>
  <c r="BJ109" i="12"/>
  <c r="BN109" i="12" s="1"/>
  <c r="S110" i="10" s="1"/>
  <c r="A122" i="1"/>
  <c r="BE109" i="12"/>
  <c r="BT109" i="12" s="1"/>
  <c r="O491" i="10"/>
  <c r="BK490" i="12"/>
  <c r="BO490" i="12" s="1"/>
  <c r="T491" i="10" s="1"/>
  <c r="BF490" i="12"/>
  <c r="BQ490" i="12" s="1"/>
  <c r="BH490" i="12"/>
  <c r="BS490" i="12" s="1"/>
  <c r="W491" i="10" s="1"/>
  <c r="BI490" i="12"/>
  <c r="BM490" i="12" s="1"/>
  <c r="BJ490" i="12"/>
  <c r="BN490" i="12" s="1"/>
  <c r="S491" i="10" s="1"/>
  <c r="BG490" i="12"/>
  <c r="BR490" i="12" s="1"/>
  <c r="V491" i="10" s="1"/>
  <c r="A503" i="1"/>
  <c r="BE490" i="12"/>
  <c r="BT490" i="12" s="1"/>
  <c r="O352" i="10"/>
  <c r="BK351" i="12"/>
  <c r="BO351" i="12" s="1"/>
  <c r="T352" i="10" s="1"/>
  <c r="BF351" i="12"/>
  <c r="BQ351" i="12" s="1"/>
  <c r="BI351" i="12"/>
  <c r="BM351" i="12" s="1"/>
  <c r="BJ351" i="12"/>
  <c r="BN351" i="12" s="1"/>
  <c r="S352" i="10" s="1"/>
  <c r="BG351" i="12"/>
  <c r="BR351" i="12" s="1"/>
  <c r="V352" i="10" s="1"/>
  <c r="BH351" i="12"/>
  <c r="BS351" i="12" s="1"/>
  <c r="W352" i="10" s="1"/>
  <c r="BE351" i="12"/>
  <c r="BT351" i="12" s="1"/>
  <c r="A364" i="1"/>
  <c r="O197" i="10"/>
  <c r="BF196" i="12"/>
  <c r="BQ196" i="12" s="1"/>
  <c r="BI196" i="12"/>
  <c r="BM196" i="12" s="1"/>
  <c r="BG196" i="12"/>
  <c r="BR196" i="12" s="1"/>
  <c r="V197" i="10" s="1"/>
  <c r="BJ196" i="12"/>
  <c r="BN196" i="12" s="1"/>
  <c r="S197" i="10" s="1"/>
  <c r="BH196" i="12"/>
  <c r="BS196" i="12" s="1"/>
  <c r="W197" i="10" s="1"/>
  <c r="BK196" i="12"/>
  <c r="BO196" i="12" s="1"/>
  <c r="T197" i="10" s="1"/>
  <c r="BE196" i="12"/>
  <c r="BT196" i="12" s="1"/>
  <c r="A209" i="1"/>
  <c r="O249" i="10"/>
  <c r="BI248" i="12"/>
  <c r="BM248" i="12" s="1"/>
  <c r="BG248" i="12"/>
  <c r="BR248" i="12" s="1"/>
  <c r="V249" i="10" s="1"/>
  <c r="BJ248" i="12"/>
  <c r="BN248" i="12" s="1"/>
  <c r="S249" i="10" s="1"/>
  <c r="BH248" i="12"/>
  <c r="BS248" i="12" s="1"/>
  <c r="W249" i="10" s="1"/>
  <c r="BK248" i="12"/>
  <c r="BO248" i="12" s="1"/>
  <c r="T249" i="10" s="1"/>
  <c r="BF248" i="12"/>
  <c r="BQ248" i="12" s="1"/>
  <c r="A261" i="1"/>
  <c r="BE248" i="12"/>
  <c r="BT248" i="12" s="1"/>
  <c r="O481" i="10"/>
  <c r="BJ480" i="12"/>
  <c r="BN480" i="12" s="1"/>
  <c r="S481" i="10" s="1"/>
  <c r="BH480" i="12"/>
  <c r="BS480" i="12" s="1"/>
  <c r="W481" i="10" s="1"/>
  <c r="BK480" i="12"/>
  <c r="BO480" i="12" s="1"/>
  <c r="T481" i="10" s="1"/>
  <c r="BG480" i="12"/>
  <c r="BR480" i="12" s="1"/>
  <c r="V481" i="10" s="1"/>
  <c r="BI480" i="12"/>
  <c r="BM480" i="12" s="1"/>
  <c r="BF480" i="12"/>
  <c r="BQ480" i="12" s="1"/>
  <c r="A493" i="1"/>
  <c r="BE480" i="12"/>
  <c r="BT480" i="12" s="1"/>
  <c r="O559" i="10"/>
  <c r="BI558" i="12"/>
  <c r="BM558" i="12" s="1"/>
  <c r="BG558" i="12"/>
  <c r="BR558" i="12" s="1"/>
  <c r="V559" i="10" s="1"/>
  <c r="BJ558" i="12"/>
  <c r="BN558" i="12" s="1"/>
  <c r="S559" i="10" s="1"/>
  <c r="BH558" i="12"/>
  <c r="BS558" i="12" s="1"/>
  <c r="W559" i="10" s="1"/>
  <c r="BF558" i="12"/>
  <c r="BQ558" i="12" s="1"/>
  <c r="BK558" i="12"/>
  <c r="BO558" i="12" s="1"/>
  <c r="T559" i="10" s="1"/>
  <c r="BE558" i="12"/>
  <c r="BT558" i="12" s="1"/>
  <c r="A571" i="1"/>
  <c r="O526" i="10"/>
  <c r="BF525" i="12"/>
  <c r="BQ525" i="12" s="1"/>
  <c r="BI525" i="12"/>
  <c r="BM525" i="12" s="1"/>
  <c r="BG525" i="12"/>
  <c r="BR525" i="12" s="1"/>
  <c r="V526" i="10" s="1"/>
  <c r="BJ525" i="12"/>
  <c r="BN525" i="12" s="1"/>
  <c r="S526" i="10" s="1"/>
  <c r="BK525" i="12"/>
  <c r="BO525" i="12" s="1"/>
  <c r="T526" i="10" s="1"/>
  <c r="BH525" i="12"/>
  <c r="BS525" i="12" s="1"/>
  <c r="W526" i="10" s="1"/>
  <c r="BE525" i="12"/>
  <c r="BT525" i="12" s="1"/>
  <c r="A538" i="1"/>
  <c r="O380" i="10"/>
  <c r="BI379" i="12"/>
  <c r="BM379" i="12" s="1"/>
  <c r="BG379" i="12"/>
  <c r="BR379" i="12" s="1"/>
  <c r="V380" i="10" s="1"/>
  <c r="BJ379" i="12"/>
  <c r="BN379" i="12" s="1"/>
  <c r="S380" i="10" s="1"/>
  <c r="BK379" i="12"/>
  <c r="BO379" i="12" s="1"/>
  <c r="T380" i="10" s="1"/>
  <c r="BH379" i="12"/>
  <c r="BS379" i="12" s="1"/>
  <c r="W380" i="10" s="1"/>
  <c r="BF379" i="12"/>
  <c r="BQ379" i="12" s="1"/>
  <c r="BE379" i="12"/>
  <c r="BT379" i="12" s="1"/>
  <c r="A392" i="1"/>
  <c r="O513" i="10"/>
  <c r="BF512" i="12"/>
  <c r="BQ512" i="12" s="1"/>
  <c r="BI512" i="12"/>
  <c r="BM512" i="12" s="1"/>
  <c r="BG512" i="12"/>
  <c r="BR512" i="12" s="1"/>
  <c r="V513" i="10" s="1"/>
  <c r="BJ512" i="12"/>
  <c r="BN512" i="12" s="1"/>
  <c r="S513" i="10" s="1"/>
  <c r="BK512" i="12"/>
  <c r="BO512" i="12" s="1"/>
  <c r="T513" i="10" s="1"/>
  <c r="BH512" i="12"/>
  <c r="BS512" i="12" s="1"/>
  <c r="W513" i="10" s="1"/>
  <c r="A525" i="1"/>
  <c r="BE512" i="12"/>
  <c r="BT512" i="12" s="1"/>
  <c r="O90" i="10"/>
  <c r="BI89" i="12"/>
  <c r="BM89" i="12" s="1"/>
  <c r="BG89" i="12"/>
  <c r="BR89" i="12" s="1"/>
  <c r="V90" i="10" s="1"/>
  <c r="BJ89" i="12"/>
  <c r="BN89" i="12" s="1"/>
  <c r="S90" i="10" s="1"/>
  <c r="BH89" i="12"/>
  <c r="BS89" i="12" s="1"/>
  <c r="W90" i="10" s="1"/>
  <c r="BK89" i="12"/>
  <c r="BO89" i="12" s="1"/>
  <c r="T90" i="10" s="1"/>
  <c r="BF89" i="12"/>
  <c r="BQ89" i="12" s="1"/>
  <c r="BE89" i="12"/>
  <c r="BT89" i="12" s="1"/>
  <c r="A102" i="1"/>
  <c r="O269" i="10"/>
  <c r="BI268" i="12"/>
  <c r="BM268" i="12" s="1"/>
  <c r="BJ268" i="12"/>
  <c r="BN268" i="12" s="1"/>
  <c r="S269" i="10" s="1"/>
  <c r="BK268" i="12"/>
  <c r="BO268" i="12" s="1"/>
  <c r="T269" i="10" s="1"/>
  <c r="BF268" i="12"/>
  <c r="BQ268" i="12" s="1"/>
  <c r="BG268" i="12"/>
  <c r="BR268" i="12" s="1"/>
  <c r="V269" i="10" s="1"/>
  <c r="BH268" i="12"/>
  <c r="BS268" i="12" s="1"/>
  <c r="W269" i="10" s="1"/>
  <c r="A281" i="1"/>
  <c r="BE268" i="12"/>
  <c r="BT268" i="12" s="1"/>
  <c r="O415" i="10"/>
  <c r="BF414" i="12"/>
  <c r="BQ414" i="12" s="1"/>
  <c r="BI414" i="12"/>
  <c r="BM414" i="12" s="1"/>
  <c r="BG414" i="12"/>
  <c r="BR414" i="12" s="1"/>
  <c r="V415" i="10" s="1"/>
  <c r="BJ414" i="12"/>
  <c r="BN414" i="12" s="1"/>
  <c r="S415" i="10" s="1"/>
  <c r="BH414" i="12"/>
  <c r="BS414" i="12" s="1"/>
  <c r="W415" i="10" s="1"/>
  <c r="BK414" i="12"/>
  <c r="BO414" i="12" s="1"/>
  <c r="T415" i="10" s="1"/>
  <c r="A427" i="1"/>
  <c r="BE414" i="12"/>
  <c r="BT414" i="12" s="1"/>
  <c r="O532" i="10"/>
  <c r="BI531" i="12"/>
  <c r="BM531" i="12" s="1"/>
  <c r="BG531" i="12"/>
  <c r="BR531" i="12" s="1"/>
  <c r="V532" i="10" s="1"/>
  <c r="BJ531" i="12"/>
  <c r="BN531" i="12" s="1"/>
  <c r="S532" i="10" s="1"/>
  <c r="BH531" i="12"/>
  <c r="BS531" i="12" s="1"/>
  <c r="W532" i="10" s="1"/>
  <c r="BK531" i="12"/>
  <c r="BO531" i="12" s="1"/>
  <c r="T532" i="10" s="1"/>
  <c r="BF531" i="12"/>
  <c r="BQ531" i="12" s="1"/>
  <c r="A544" i="1"/>
  <c r="BE531" i="12"/>
  <c r="BT531" i="12" s="1"/>
  <c r="O144" i="10"/>
  <c r="BI143" i="12"/>
  <c r="BM143" i="12" s="1"/>
  <c r="BF143" i="12"/>
  <c r="BQ143" i="12" s="1"/>
  <c r="BG143" i="12"/>
  <c r="BR143" i="12" s="1"/>
  <c r="V144" i="10" s="1"/>
  <c r="BH143" i="12"/>
  <c r="BS143" i="12" s="1"/>
  <c r="W144" i="10" s="1"/>
  <c r="BJ143" i="12"/>
  <c r="BN143" i="12" s="1"/>
  <c r="S144" i="10" s="1"/>
  <c r="BK143" i="12"/>
  <c r="BO143" i="12" s="1"/>
  <c r="T144" i="10" s="1"/>
  <c r="A156" i="1"/>
  <c r="BE143" i="12"/>
  <c r="BT143" i="12" s="1"/>
  <c r="O480" i="10"/>
  <c r="BI479" i="12"/>
  <c r="BM479" i="12" s="1"/>
  <c r="BG479" i="12"/>
  <c r="BR479" i="12" s="1"/>
  <c r="V480" i="10" s="1"/>
  <c r="BJ479" i="12"/>
  <c r="BN479" i="12" s="1"/>
  <c r="S480" i="10" s="1"/>
  <c r="BH479" i="12"/>
  <c r="BS479" i="12" s="1"/>
  <c r="W480" i="10" s="1"/>
  <c r="BK479" i="12"/>
  <c r="BO479" i="12" s="1"/>
  <c r="T480" i="10" s="1"/>
  <c r="BF479" i="12"/>
  <c r="BQ479" i="12" s="1"/>
  <c r="BE479" i="12"/>
  <c r="BT479" i="12" s="1"/>
  <c r="A492" i="1"/>
  <c r="O341" i="10"/>
  <c r="BF340" i="12"/>
  <c r="BQ340" i="12" s="1"/>
  <c r="BI340" i="12"/>
  <c r="BM340" i="12" s="1"/>
  <c r="BG340" i="12"/>
  <c r="BR340" i="12" s="1"/>
  <c r="V341" i="10" s="1"/>
  <c r="BK340" i="12"/>
  <c r="BO340" i="12" s="1"/>
  <c r="T341" i="10" s="1"/>
  <c r="BJ340" i="12"/>
  <c r="BN340" i="12" s="1"/>
  <c r="S341" i="10" s="1"/>
  <c r="BH340" i="12"/>
  <c r="BS340" i="12" s="1"/>
  <c r="W341" i="10" s="1"/>
  <c r="BE340" i="12"/>
  <c r="BT340" i="12" s="1"/>
  <c r="A353" i="1"/>
  <c r="O184" i="10"/>
  <c r="BK183" i="12"/>
  <c r="BO183" i="12" s="1"/>
  <c r="T184" i="10" s="1"/>
  <c r="BF183" i="12"/>
  <c r="BQ183" i="12" s="1"/>
  <c r="BI183" i="12"/>
  <c r="BM183" i="12" s="1"/>
  <c r="BJ183" i="12"/>
  <c r="BN183" i="12" s="1"/>
  <c r="S184" i="10" s="1"/>
  <c r="BG183" i="12"/>
  <c r="BR183" i="12" s="1"/>
  <c r="V184" i="10" s="1"/>
  <c r="BH183" i="12"/>
  <c r="BS183" i="12" s="1"/>
  <c r="W184" i="10" s="1"/>
  <c r="A196" i="1"/>
  <c r="BE183" i="12"/>
  <c r="BT183" i="12" s="1"/>
  <c r="O536" i="10"/>
  <c r="BI535" i="12"/>
  <c r="BM535" i="12" s="1"/>
  <c r="BJ535" i="12"/>
  <c r="BN535" i="12" s="1"/>
  <c r="S536" i="10" s="1"/>
  <c r="BK535" i="12"/>
  <c r="BO535" i="12" s="1"/>
  <c r="T536" i="10" s="1"/>
  <c r="BF535" i="12"/>
  <c r="BQ535" i="12" s="1"/>
  <c r="BG535" i="12"/>
  <c r="BR535" i="12" s="1"/>
  <c r="V536" i="10" s="1"/>
  <c r="BH535" i="12"/>
  <c r="BS535" i="12" s="1"/>
  <c r="W536" i="10" s="1"/>
  <c r="BE535" i="12"/>
  <c r="BT535" i="12" s="1"/>
  <c r="A548" i="1"/>
  <c r="O408" i="10"/>
  <c r="BJ407" i="12"/>
  <c r="BN407" i="12" s="1"/>
  <c r="S408" i="10" s="1"/>
  <c r="BH407" i="12"/>
  <c r="BS407" i="12" s="1"/>
  <c r="W408" i="10" s="1"/>
  <c r="BK407" i="12"/>
  <c r="BO407" i="12" s="1"/>
  <c r="T408" i="10" s="1"/>
  <c r="BF407" i="12"/>
  <c r="BQ407" i="12" s="1"/>
  <c r="BG407" i="12"/>
  <c r="BR407" i="12" s="1"/>
  <c r="V408" i="10" s="1"/>
  <c r="BI407" i="12"/>
  <c r="BM407" i="12" s="1"/>
  <c r="A420" i="1"/>
  <c r="BE407" i="12"/>
  <c r="BT407" i="12" s="1"/>
  <c r="O260" i="10"/>
  <c r="BJ259" i="12"/>
  <c r="BN259" i="12" s="1"/>
  <c r="S260" i="10" s="1"/>
  <c r="BH259" i="12"/>
  <c r="BS259" i="12" s="1"/>
  <c r="W260" i="10" s="1"/>
  <c r="BK259" i="12"/>
  <c r="BO259" i="12" s="1"/>
  <c r="T260" i="10" s="1"/>
  <c r="BF259" i="12"/>
  <c r="BQ259" i="12" s="1"/>
  <c r="BI259" i="12"/>
  <c r="BM259" i="12" s="1"/>
  <c r="BG259" i="12"/>
  <c r="BR259" i="12" s="1"/>
  <c r="V260" i="10" s="1"/>
  <c r="A272" i="1"/>
  <c r="BE259" i="12"/>
  <c r="BT259" i="12" s="1"/>
  <c r="O79" i="10"/>
  <c r="BF78" i="12"/>
  <c r="BQ78" i="12" s="1"/>
  <c r="BI78" i="12"/>
  <c r="BM78" i="12" s="1"/>
  <c r="BG78" i="12"/>
  <c r="BR78" i="12" s="1"/>
  <c r="V79" i="10" s="1"/>
  <c r="BJ78" i="12"/>
  <c r="BN78" i="12" s="1"/>
  <c r="S79" i="10" s="1"/>
  <c r="BH78" i="12"/>
  <c r="BS78" i="12" s="1"/>
  <c r="W79" i="10" s="1"/>
  <c r="BK78" i="12"/>
  <c r="BO78" i="12" s="1"/>
  <c r="T79" i="10" s="1"/>
  <c r="A91" i="1"/>
  <c r="BE78" i="12"/>
  <c r="BT78" i="12" s="1"/>
  <c r="O478" i="10"/>
  <c r="BJ477" i="12"/>
  <c r="BN477" i="12" s="1"/>
  <c r="S478" i="10" s="1"/>
  <c r="BH477" i="12"/>
  <c r="BS477" i="12" s="1"/>
  <c r="W478" i="10" s="1"/>
  <c r="BK477" i="12"/>
  <c r="BO477" i="12" s="1"/>
  <c r="T478" i="10" s="1"/>
  <c r="BI477" i="12"/>
  <c r="BM477" i="12" s="1"/>
  <c r="BF477" i="12"/>
  <c r="BQ477" i="12" s="1"/>
  <c r="BG477" i="12"/>
  <c r="BR477" i="12" s="1"/>
  <c r="V478" i="10" s="1"/>
  <c r="A490" i="1"/>
  <c r="BE477" i="12"/>
  <c r="BT477" i="12" s="1"/>
  <c r="O334" i="10"/>
  <c r="BJ333" i="12"/>
  <c r="BN333" i="12" s="1"/>
  <c r="S334" i="10" s="1"/>
  <c r="BH333" i="12"/>
  <c r="BS333" i="12" s="1"/>
  <c r="W334" i="10" s="1"/>
  <c r="BK333" i="12"/>
  <c r="BO333" i="12" s="1"/>
  <c r="T334" i="10" s="1"/>
  <c r="BF333" i="12"/>
  <c r="BQ333" i="12" s="1"/>
  <c r="BG333" i="12"/>
  <c r="BR333" i="12" s="1"/>
  <c r="V334" i="10" s="1"/>
  <c r="BI333" i="12"/>
  <c r="BM333" i="12" s="1"/>
  <c r="A346" i="1"/>
  <c r="BE333" i="12"/>
  <c r="BT333" i="12" s="1"/>
  <c r="O176" i="10"/>
  <c r="BK175" i="12"/>
  <c r="BO175" i="12" s="1"/>
  <c r="T176" i="10" s="1"/>
  <c r="BF175" i="12"/>
  <c r="BQ175" i="12" s="1"/>
  <c r="BH175" i="12"/>
  <c r="BS175" i="12" s="1"/>
  <c r="W176" i="10" s="1"/>
  <c r="BG175" i="12"/>
  <c r="BR175" i="12" s="1"/>
  <c r="V176" i="10" s="1"/>
  <c r="BI175" i="12"/>
  <c r="BM175" i="12" s="1"/>
  <c r="BJ175" i="12"/>
  <c r="BN175" i="12" s="1"/>
  <c r="S176" i="10" s="1"/>
  <c r="A188" i="1"/>
  <c r="BE175" i="12"/>
  <c r="BT175" i="12" s="1"/>
  <c r="O550" i="10"/>
  <c r="BJ549" i="12"/>
  <c r="BN549" i="12" s="1"/>
  <c r="S550" i="10" s="1"/>
  <c r="BH549" i="12"/>
  <c r="BS549" i="12" s="1"/>
  <c r="W550" i="10" s="1"/>
  <c r="BK549" i="12"/>
  <c r="BO549" i="12" s="1"/>
  <c r="T550" i="10" s="1"/>
  <c r="BF549" i="12"/>
  <c r="BQ549" i="12" s="1"/>
  <c r="BG549" i="12"/>
  <c r="BR549" i="12" s="1"/>
  <c r="V550" i="10" s="1"/>
  <c r="BI549" i="12"/>
  <c r="BM549" i="12" s="1"/>
  <c r="A562" i="1"/>
  <c r="BE549" i="12"/>
  <c r="BT549" i="12" s="1"/>
  <c r="O424" i="10"/>
  <c r="BF423" i="12"/>
  <c r="BQ423" i="12" s="1"/>
  <c r="BI423" i="12"/>
  <c r="BM423" i="12" s="1"/>
  <c r="BG423" i="12"/>
  <c r="BR423" i="12" s="1"/>
  <c r="V424" i="10" s="1"/>
  <c r="BH423" i="12"/>
  <c r="BS423" i="12" s="1"/>
  <c r="W424" i="10" s="1"/>
  <c r="BK423" i="12"/>
  <c r="BO423" i="12" s="1"/>
  <c r="T424" i="10" s="1"/>
  <c r="BJ423" i="12"/>
  <c r="BN423" i="12" s="1"/>
  <c r="S424" i="10" s="1"/>
  <c r="A436" i="1"/>
  <c r="BE423" i="12"/>
  <c r="BT423" i="12" s="1"/>
  <c r="O277" i="10"/>
  <c r="BK276" i="12"/>
  <c r="BO276" i="12" s="1"/>
  <c r="T277" i="10" s="1"/>
  <c r="BF276" i="12"/>
  <c r="BQ276" i="12" s="1"/>
  <c r="BI276" i="12"/>
  <c r="BM276" i="12" s="1"/>
  <c r="BG276" i="12"/>
  <c r="BR276" i="12" s="1"/>
  <c r="V277" i="10" s="1"/>
  <c r="BH276" i="12"/>
  <c r="BS276" i="12" s="1"/>
  <c r="W277" i="10" s="1"/>
  <c r="BJ276" i="12"/>
  <c r="BN276" i="12" s="1"/>
  <c r="S277" i="10" s="1"/>
  <c r="BE276" i="12"/>
  <c r="BT276" i="12" s="1"/>
  <c r="A289" i="1"/>
  <c r="O100" i="10"/>
  <c r="BF99" i="12"/>
  <c r="BQ99" i="12" s="1"/>
  <c r="BI99" i="12"/>
  <c r="BM99" i="12" s="1"/>
  <c r="BJ99" i="12"/>
  <c r="BN99" i="12" s="1"/>
  <c r="S100" i="10" s="1"/>
  <c r="BK99" i="12"/>
  <c r="BO99" i="12" s="1"/>
  <c r="T100" i="10" s="1"/>
  <c r="BG99" i="12"/>
  <c r="BR99" i="12" s="1"/>
  <c r="V100" i="10" s="1"/>
  <c r="BH99" i="12"/>
  <c r="BS99" i="12" s="1"/>
  <c r="W100" i="10" s="1"/>
  <c r="A112" i="1"/>
  <c r="BE99" i="12"/>
  <c r="BT99" i="12" s="1"/>
  <c r="O504" i="10"/>
  <c r="BK503" i="12"/>
  <c r="BO503" i="12" s="1"/>
  <c r="T504" i="10" s="1"/>
  <c r="BF503" i="12"/>
  <c r="BQ503" i="12" s="1"/>
  <c r="BI503" i="12"/>
  <c r="BM503" i="12" s="1"/>
  <c r="BJ503" i="12"/>
  <c r="BN503" i="12" s="1"/>
  <c r="S504" i="10" s="1"/>
  <c r="BH503" i="12"/>
  <c r="BS503" i="12" s="1"/>
  <c r="W504" i="10" s="1"/>
  <c r="BG503" i="12"/>
  <c r="BR503" i="12" s="1"/>
  <c r="V504" i="10" s="1"/>
  <c r="BE503" i="12"/>
  <c r="BT503" i="12" s="1"/>
  <c r="A516" i="1"/>
  <c r="O368" i="10"/>
  <c r="BK367" i="12"/>
  <c r="BO367" i="12" s="1"/>
  <c r="T368" i="10" s="1"/>
  <c r="BH367" i="12"/>
  <c r="BS367" i="12" s="1"/>
  <c r="W368" i="10" s="1"/>
  <c r="BI367" i="12"/>
  <c r="BM367" i="12" s="1"/>
  <c r="BJ367" i="12"/>
  <c r="BN367" i="12" s="1"/>
  <c r="S368" i="10" s="1"/>
  <c r="BF367" i="12"/>
  <c r="BQ367" i="12" s="1"/>
  <c r="BG367" i="12"/>
  <c r="BR367" i="12" s="1"/>
  <c r="V368" i="10" s="1"/>
  <c r="A380" i="1"/>
  <c r="BE367" i="12"/>
  <c r="BT367" i="12" s="1"/>
  <c r="O217" i="10"/>
  <c r="BI216" i="12"/>
  <c r="BM216" i="12" s="1"/>
  <c r="BJ216" i="12"/>
  <c r="BN216" i="12" s="1"/>
  <c r="S217" i="10" s="1"/>
  <c r="BF216" i="12"/>
  <c r="BQ216" i="12" s="1"/>
  <c r="BG216" i="12"/>
  <c r="BR216" i="12" s="1"/>
  <c r="V217" i="10" s="1"/>
  <c r="BH216" i="12"/>
  <c r="BS216" i="12" s="1"/>
  <c r="W217" i="10" s="1"/>
  <c r="BK216" i="12"/>
  <c r="BO216" i="12" s="1"/>
  <c r="T217" i="10" s="1"/>
  <c r="BE216" i="12"/>
  <c r="BT216" i="12" s="1"/>
  <c r="A229" i="1"/>
  <c r="O12" i="10"/>
  <c r="BK11" i="12"/>
  <c r="BO11" i="12" s="1"/>
  <c r="T12" i="10" s="1"/>
  <c r="BF11" i="12"/>
  <c r="BQ11" i="12" s="1"/>
  <c r="BJ11" i="12"/>
  <c r="BN11" i="12" s="1"/>
  <c r="S12" i="10" s="1"/>
  <c r="BH11" i="12"/>
  <c r="BS11" i="12" s="1"/>
  <c r="W12" i="10" s="1"/>
  <c r="BG11" i="12"/>
  <c r="BR11" i="12" s="1"/>
  <c r="V12" i="10" s="1"/>
  <c r="BI11" i="12"/>
  <c r="BM11" i="12" s="1"/>
  <c r="A24" i="1"/>
  <c r="BE11" i="12"/>
  <c r="BT11" i="12" s="1"/>
  <c r="O55" i="10"/>
  <c r="BF54" i="12"/>
  <c r="BQ54" i="12" s="1"/>
  <c r="BI54" i="12"/>
  <c r="BM54" i="12" s="1"/>
  <c r="BG54" i="12"/>
  <c r="BR54" i="12" s="1"/>
  <c r="V55" i="10" s="1"/>
  <c r="BJ54" i="12"/>
  <c r="BN54" i="12" s="1"/>
  <c r="S55" i="10" s="1"/>
  <c r="BK54" i="12"/>
  <c r="BO54" i="12" s="1"/>
  <c r="T55" i="10" s="1"/>
  <c r="BH54" i="12"/>
  <c r="BS54" i="12" s="1"/>
  <c r="W55" i="10" s="1"/>
  <c r="A67" i="1"/>
  <c r="BE54" i="12"/>
  <c r="BT54" i="12" s="1"/>
  <c r="O440" i="10"/>
  <c r="BF439" i="12"/>
  <c r="BQ439" i="12" s="1"/>
  <c r="BI439" i="12"/>
  <c r="BM439" i="12" s="1"/>
  <c r="BG439" i="12"/>
  <c r="BR439" i="12" s="1"/>
  <c r="V440" i="10" s="1"/>
  <c r="BJ439" i="12"/>
  <c r="BN439" i="12" s="1"/>
  <c r="S440" i="10" s="1"/>
  <c r="BK439" i="12"/>
  <c r="BO439" i="12" s="1"/>
  <c r="T440" i="10" s="1"/>
  <c r="BH439" i="12"/>
  <c r="BS439" i="12" s="1"/>
  <c r="W440" i="10" s="1"/>
  <c r="A452" i="1"/>
  <c r="BE439" i="12"/>
  <c r="BT439" i="12" s="1"/>
  <c r="O367" i="10"/>
  <c r="BI366" i="12"/>
  <c r="BM366" i="12" s="1"/>
  <c r="BG366" i="12"/>
  <c r="BR366" i="12" s="1"/>
  <c r="V367" i="10" s="1"/>
  <c r="BJ366" i="12"/>
  <c r="BN366" i="12" s="1"/>
  <c r="S367" i="10" s="1"/>
  <c r="BH366" i="12"/>
  <c r="BS366" i="12" s="1"/>
  <c r="W367" i="10" s="1"/>
  <c r="BF366" i="12"/>
  <c r="BQ366" i="12" s="1"/>
  <c r="BK366" i="12"/>
  <c r="BO366" i="12" s="1"/>
  <c r="T367" i="10" s="1"/>
  <c r="A379" i="1"/>
  <c r="BE366" i="12"/>
  <c r="BT366" i="12" s="1"/>
  <c r="O294" i="10"/>
  <c r="BI293" i="12"/>
  <c r="BM293" i="12" s="1"/>
  <c r="BJ293" i="12"/>
  <c r="BN293" i="12" s="1"/>
  <c r="S294" i="10" s="1"/>
  <c r="BK293" i="12"/>
  <c r="BO293" i="12" s="1"/>
  <c r="T294" i="10" s="1"/>
  <c r="BF293" i="12"/>
  <c r="BQ293" i="12" s="1"/>
  <c r="BH293" i="12"/>
  <c r="BS293" i="12" s="1"/>
  <c r="W294" i="10" s="1"/>
  <c r="BG293" i="12"/>
  <c r="BR293" i="12" s="1"/>
  <c r="V294" i="10" s="1"/>
  <c r="BE293" i="12"/>
  <c r="BT293" i="12" s="1"/>
  <c r="A306" i="1"/>
  <c r="O216" i="10"/>
  <c r="BI215" i="12"/>
  <c r="BM215" i="12" s="1"/>
  <c r="BJ215" i="12"/>
  <c r="BN215" i="12" s="1"/>
  <c r="S216" i="10" s="1"/>
  <c r="BK215" i="12"/>
  <c r="BO215" i="12" s="1"/>
  <c r="T216" i="10" s="1"/>
  <c r="BF215" i="12"/>
  <c r="BQ215" i="12" s="1"/>
  <c r="BG215" i="12"/>
  <c r="BR215" i="12" s="1"/>
  <c r="V216" i="10" s="1"/>
  <c r="BH215" i="12"/>
  <c r="BS215" i="12" s="1"/>
  <c r="W216" i="10" s="1"/>
  <c r="A228" i="1"/>
  <c r="BE215" i="12"/>
  <c r="BT215" i="12" s="1"/>
  <c r="O128" i="10"/>
  <c r="BJ127" i="12"/>
  <c r="BN127" i="12" s="1"/>
  <c r="S128" i="10" s="1"/>
  <c r="BH127" i="12"/>
  <c r="BS127" i="12" s="1"/>
  <c r="W128" i="10" s="1"/>
  <c r="BK127" i="12"/>
  <c r="BO127" i="12" s="1"/>
  <c r="T128" i="10" s="1"/>
  <c r="BI127" i="12"/>
  <c r="BM127" i="12" s="1"/>
  <c r="BF127" i="12"/>
  <c r="BQ127" i="12" s="1"/>
  <c r="BG127" i="12"/>
  <c r="BR127" i="12" s="1"/>
  <c r="V128" i="10" s="1"/>
  <c r="A140" i="1"/>
  <c r="BE127" i="12"/>
  <c r="BT127" i="12" s="1"/>
  <c r="O42" i="10"/>
  <c r="BF41" i="12"/>
  <c r="BQ41" i="12" s="1"/>
  <c r="BI41" i="12"/>
  <c r="BM41" i="12" s="1"/>
  <c r="BG41" i="12"/>
  <c r="BR41" i="12" s="1"/>
  <c r="V42" i="10" s="1"/>
  <c r="BK41" i="12"/>
  <c r="BO41" i="12" s="1"/>
  <c r="T42" i="10" s="1"/>
  <c r="BJ41" i="12"/>
  <c r="BN41" i="12" s="1"/>
  <c r="S42" i="10" s="1"/>
  <c r="BH41" i="12"/>
  <c r="BS41" i="12" s="1"/>
  <c r="W42" i="10" s="1"/>
  <c r="A54" i="1"/>
  <c r="BE41" i="12"/>
  <c r="BT41" i="12" s="1"/>
  <c r="O521" i="10"/>
  <c r="BF520" i="12"/>
  <c r="BQ520" i="12" s="1"/>
  <c r="BI520" i="12"/>
  <c r="BM520" i="12" s="1"/>
  <c r="BG520" i="12"/>
  <c r="BR520" i="12" s="1"/>
  <c r="V521" i="10" s="1"/>
  <c r="BK520" i="12"/>
  <c r="BO520" i="12" s="1"/>
  <c r="T521" i="10" s="1"/>
  <c r="BH520" i="12"/>
  <c r="BS520" i="12" s="1"/>
  <c r="W521" i="10" s="1"/>
  <c r="BJ520" i="12"/>
  <c r="BN520" i="12" s="1"/>
  <c r="S521" i="10" s="1"/>
  <c r="A533" i="1"/>
  <c r="BE520" i="12"/>
  <c r="BT520" i="12" s="1"/>
  <c r="O448" i="10"/>
  <c r="BG447" i="12"/>
  <c r="BR447" i="12" s="1"/>
  <c r="V448" i="10" s="1"/>
  <c r="BI447" i="12"/>
  <c r="BM447" i="12" s="1"/>
  <c r="BH447" i="12"/>
  <c r="BS447" i="12" s="1"/>
  <c r="W448" i="10" s="1"/>
  <c r="BJ447" i="12"/>
  <c r="BN447" i="12" s="1"/>
  <c r="S448" i="10" s="1"/>
  <c r="BF447" i="12"/>
  <c r="BQ447" i="12" s="1"/>
  <c r="BK447" i="12"/>
  <c r="BO447" i="12" s="1"/>
  <c r="T448" i="10" s="1"/>
  <c r="BE447" i="12"/>
  <c r="BT447" i="12" s="1"/>
  <c r="A460" i="1"/>
  <c r="O375" i="10"/>
  <c r="BJ374" i="12"/>
  <c r="BN374" i="12" s="1"/>
  <c r="S375" i="10" s="1"/>
  <c r="BH374" i="12"/>
  <c r="BS374" i="12" s="1"/>
  <c r="W375" i="10" s="1"/>
  <c r="BI374" i="12"/>
  <c r="BM374" i="12" s="1"/>
  <c r="BK374" i="12"/>
  <c r="BO374" i="12" s="1"/>
  <c r="T375" i="10" s="1"/>
  <c r="BF374" i="12"/>
  <c r="BQ374" i="12" s="1"/>
  <c r="BG374" i="12"/>
  <c r="BR374" i="12" s="1"/>
  <c r="V375" i="10" s="1"/>
  <c r="A387" i="1"/>
  <c r="BE374" i="12"/>
  <c r="BT374" i="12" s="1"/>
  <c r="O302" i="10"/>
  <c r="BI301" i="12"/>
  <c r="BM301" i="12" s="1"/>
  <c r="BG301" i="12"/>
  <c r="BR301" i="12" s="1"/>
  <c r="V302" i="10" s="1"/>
  <c r="BJ301" i="12"/>
  <c r="BN301" i="12" s="1"/>
  <c r="S302" i="10" s="1"/>
  <c r="BH301" i="12"/>
  <c r="BS301" i="12" s="1"/>
  <c r="W302" i="10" s="1"/>
  <c r="BK301" i="12"/>
  <c r="BO301" i="12" s="1"/>
  <c r="T302" i="10" s="1"/>
  <c r="BF301" i="12"/>
  <c r="BQ301" i="12" s="1"/>
  <c r="A314" i="1"/>
  <c r="BE301" i="12"/>
  <c r="BT301" i="12" s="1"/>
  <c r="O225" i="10"/>
  <c r="BI224" i="12"/>
  <c r="BM224" i="12" s="1"/>
  <c r="BG224" i="12"/>
  <c r="BR224" i="12" s="1"/>
  <c r="V225" i="10" s="1"/>
  <c r="BJ224" i="12"/>
  <c r="BN224" i="12" s="1"/>
  <c r="S225" i="10" s="1"/>
  <c r="BH224" i="12"/>
  <c r="BS224" i="12" s="1"/>
  <c r="W225" i="10" s="1"/>
  <c r="BK224" i="12"/>
  <c r="BO224" i="12" s="1"/>
  <c r="T225" i="10" s="1"/>
  <c r="BF224" i="12"/>
  <c r="BQ224" i="12" s="1"/>
  <c r="BE224" i="12"/>
  <c r="BT224" i="12" s="1"/>
  <c r="A237" i="1"/>
  <c r="O137" i="10"/>
  <c r="BI136" i="12"/>
  <c r="BM136" i="12" s="1"/>
  <c r="BF136" i="12"/>
  <c r="BQ136" i="12" s="1"/>
  <c r="BG136" i="12"/>
  <c r="BR136" i="12" s="1"/>
  <c r="V137" i="10" s="1"/>
  <c r="BH136" i="12"/>
  <c r="BS136" i="12" s="1"/>
  <c r="W137" i="10" s="1"/>
  <c r="BJ136" i="12"/>
  <c r="BN136" i="12" s="1"/>
  <c r="S137" i="10" s="1"/>
  <c r="BK136" i="12"/>
  <c r="BO136" i="12" s="1"/>
  <c r="T137" i="10" s="1"/>
  <c r="A149" i="1"/>
  <c r="BE136" i="12"/>
  <c r="BT136" i="12" s="1"/>
  <c r="O52" i="10"/>
  <c r="BK51" i="12"/>
  <c r="BO51" i="12" s="1"/>
  <c r="T52" i="10" s="1"/>
  <c r="BF51" i="12"/>
  <c r="BQ51" i="12" s="1"/>
  <c r="BJ51" i="12"/>
  <c r="BN51" i="12" s="1"/>
  <c r="S52" i="10" s="1"/>
  <c r="BH51" i="12"/>
  <c r="BS51" i="12" s="1"/>
  <c r="W52" i="10" s="1"/>
  <c r="BI51" i="12"/>
  <c r="BM51" i="12" s="1"/>
  <c r="BG51" i="12"/>
  <c r="BR51" i="12" s="1"/>
  <c r="V52" i="10" s="1"/>
  <c r="A64" i="1"/>
  <c r="BE51" i="12"/>
  <c r="BT51" i="12" s="1"/>
  <c r="O529" i="10"/>
  <c r="BF528" i="12"/>
  <c r="BQ528" i="12" s="1"/>
  <c r="BI528" i="12"/>
  <c r="BM528" i="12" s="1"/>
  <c r="BG528" i="12"/>
  <c r="BR528" i="12" s="1"/>
  <c r="V529" i="10" s="1"/>
  <c r="BJ528" i="12"/>
  <c r="BN528" i="12" s="1"/>
  <c r="S529" i="10" s="1"/>
  <c r="BH528" i="12"/>
  <c r="BS528" i="12" s="1"/>
  <c r="W529" i="10" s="1"/>
  <c r="BK528" i="12"/>
  <c r="BO528" i="12" s="1"/>
  <c r="T529" i="10" s="1"/>
  <c r="A541" i="1"/>
  <c r="BE528" i="12"/>
  <c r="BT528" i="12" s="1"/>
  <c r="O456" i="10"/>
  <c r="BI455" i="12"/>
  <c r="BM455" i="12" s="1"/>
  <c r="BG455" i="12"/>
  <c r="BR455" i="12" s="1"/>
  <c r="V456" i="10" s="1"/>
  <c r="BJ455" i="12"/>
  <c r="BN455" i="12" s="1"/>
  <c r="S456" i="10" s="1"/>
  <c r="BH455" i="12"/>
  <c r="BS455" i="12" s="1"/>
  <c r="W456" i="10" s="1"/>
  <c r="BK455" i="12"/>
  <c r="BO455" i="12" s="1"/>
  <c r="T456" i="10" s="1"/>
  <c r="BF455" i="12"/>
  <c r="BQ455" i="12" s="1"/>
  <c r="BE455" i="12"/>
  <c r="BT455" i="12" s="1"/>
  <c r="A468" i="1"/>
  <c r="O383" i="10"/>
  <c r="BK382" i="12"/>
  <c r="BO382" i="12" s="1"/>
  <c r="T383" i="10" s="1"/>
  <c r="BJ382" i="12"/>
  <c r="BN382" i="12" s="1"/>
  <c r="S383" i="10" s="1"/>
  <c r="BF382" i="12"/>
  <c r="BQ382" i="12" s="1"/>
  <c r="BH382" i="12"/>
  <c r="BS382" i="12" s="1"/>
  <c r="W383" i="10" s="1"/>
  <c r="BI382" i="12"/>
  <c r="BM382" i="12" s="1"/>
  <c r="BG382" i="12"/>
  <c r="BR382" i="12" s="1"/>
  <c r="V383" i="10" s="1"/>
  <c r="A395" i="1"/>
  <c r="BE382" i="12"/>
  <c r="BT382" i="12" s="1"/>
  <c r="O310" i="10"/>
  <c r="BI309" i="12"/>
  <c r="BM309" i="12" s="1"/>
  <c r="BG309" i="12"/>
  <c r="BR309" i="12" s="1"/>
  <c r="V310" i="10" s="1"/>
  <c r="BJ309" i="12"/>
  <c r="BN309" i="12" s="1"/>
  <c r="S310" i="10" s="1"/>
  <c r="BH309" i="12"/>
  <c r="BS309" i="12" s="1"/>
  <c r="W310" i="10" s="1"/>
  <c r="BF309" i="12"/>
  <c r="BQ309" i="12" s="1"/>
  <c r="BK309" i="12"/>
  <c r="BO309" i="12" s="1"/>
  <c r="T310" i="10" s="1"/>
  <c r="A322" i="1"/>
  <c r="BE309" i="12"/>
  <c r="BT309" i="12" s="1"/>
  <c r="O234" i="10"/>
  <c r="BK233" i="12"/>
  <c r="BO233" i="12" s="1"/>
  <c r="T234" i="10" s="1"/>
  <c r="BF233" i="12"/>
  <c r="BQ233" i="12" s="1"/>
  <c r="BG233" i="12"/>
  <c r="BR233" i="12" s="1"/>
  <c r="V234" i="10" s="1"/>
  <c r="BI233" i="12"/>
  <c r="BM233" i="12" s="1"/>
  <c r="BJ233" i="12"/>
  <c r="BN233" i="12" s="1"/>
  <c r="S234" i="10" s="1"/>
  <c r="BH233" i="12"/>
  <c r="BS233" i="12" s="1"/>
  <c r="W234" i="10" s="1"/>
  <c r="A246" i="1"/>
  <c r="BE233" i="12"/>
  <c r="BT233" i="12" s="1"/>
  <c r="O147" i="10"/>
  <c r="BJ146" i="12"/>
  <c r="BN146" i="12" s="1"/>
  <c r="S147" i="10" s="1"/>
  <c r="BI146" i="12"/>
  <c r="BM146" i="12" s="1"/>
  <c r="BG146" i="12"/>
  <c r="BR146" i="12" s="1"/>
  <c r="V147" i="10" s="1"/>
  <c r="BH146" i="12"/>
  <c r="BS146" i="12" s="1"/>
  <c r="W147" i="10" s="1"/>
  <c r="BF146" i="12"/>
  <c r="BQ146" i="12" s="1"/>
  <c r="BK146" i="12"/>
  <c r="BO146" i="12" s="1"/>
  <c r="T147" i="10" s="1"/>
  <c r="A159" i="1"/>
  <c r="BE146" i="12"/>
  <c r="BT146" i="12" s="1"/>
  <c r="O62" i="10"/>
  <c r="BJ61" i="12"/>
  <c r="BN61" i="12" s="1"/>
  <c r="S62" i="10" s="1"/>
  <c r="BH61" i="12"/>
  <c r="BS61" i="12" s="1"/>
  <c r="W62" i="10" s="1"/>
  <c r="BK61" i="12"/>
  <c r="BO61" i="12" s="1"/>
  <c r="T62" i="10" s="1"/>
  <c r="BI61" i="12"/>
  <c r="BM61" i="12" s="1"/>
  <c r="BG61" i="12"/>
  <c r="BR61" i="12" s="1"/>
  <c r="V62" i="10" s="1"/>
  <c r="BF61" i="12"/>
  <c r="BQ61" i="12" s="1"/>
  <c r="BE61" i="12"/>
  <c r="BT61" i="12" s="1"/>
  <c r="A74" i="1"/>
  <c r="O537" i="10"/>
  <c r="BF536" i="12"/>
  <c r="BQ536" i="12" s="1"/>
  <c r="BI536" i="12"/>
  <c r="BM536" i="12" s="1"/>
  <c r="BG536" i="12"/>
  <c r="BR536" i="12" s="1"/>
  <c r="V537" i="10" s="1"/>
  <c r="BJ536" i="12"/>
  <c r="BN536" i="12" s="1"/>
  <c r="S537" i="10" s="1"/>
  <c r="BH536" i="12"/>
  <c r="BS536" i="12" s="1"/>
  <c r="W537" i="10" s="1"/>
  <c r="BK536" i="12"/>
  <c r="BO536" i="12" s="1"/>
  <c r="T537" i="10" s="1"/>
  <c r="A549" i="1"/>
  <c r="BE536" i="12"/>
  <c r="BT536" i="12" s="1"/>
  <c r="O464" i="10"/>
  <c r="BI463" i="12"/>
  <c r="BM463" i="12" s="1"/>
  <c r="BG463" i="12"/>
  <c r="BR463" i="12" s="1"/>
  <c r="V464" i="10" s="1"/>
  <c r="BJ463" i="12"/>
  <c r="BN463" i="12" s="1"/>
  <c r="S464" i="10" s="1"/>
  <c r="BH463" i="12"/>
  <c r="BS463" i="12" s="1"/>
  <c r="W464" i="10" s="1"/>
  <c r="BK463" i="12"/>
  <c r="BO463" i="12" s="1"/>
  <c r="T464" i="10" s="1"/>
  <c r="BF463" i="12"/>
  <c r="BQ463" i="12" s="1"/>
  <c r="BE463" i="12"/>
  <c r="BT463" i="12" s="1"/>
  <c r="A476" i="1"/>
  <c r="O391" i="10"/>
  <c r="BF390" i="12"/>
  <c r="BQ390" i="12" s="1"/>
  <c r="BK390" i="12"/>
  <c r="BO390" i="12" s="1"/>
  <c r="T391" i="10" s="1"/>
  <c r="BG390" i="12"/>
  <c r="BR390" i="12" s="1"/>
  <c r="V391" i="10" s="1"/>
  <c r="BJ390" i="12"/>
  <c r="BN390" i="12" s="1"/>
  <c r="S391" i="10" s="1"/>
  <c r="BH390" i="12"/>
  <c r="BS390" i="12" s="1"/>
  <c r="W391" i="10" s="1"/>
  <c r="BI390" i="12"/>
  <c r="BM390" i="12" s="1"/>
  <c r="BE390" i="12"/>
  <c r="BT390" i="12" s="1"/>
  <c r="A403" i="1"/>
  <c r="O318" i="10"/>
  <c r="BJ317" i="12"/>
  <c r="BN317" i="12" s="1"/>
  <c r="S318" i="10" s="1"/>
  <c r="BH317" i="12"/>
  <c r="BS317" i="12" s="1"/>
  <c r="W318" i="10" s="1"/>
  <c r="BK317" i="12"/>
  <c r="BO317" i="12" s="1"/>
  <c r="T318" i="10" s="1"/>
  <c r="BI317" i="12"/>
  <c r="BM317" i="12" s="1"/>
  <c r="BF317" i="12"/>
  <c r="BQ317" i="12" s="1"/>
  <c r="BG317" i="12"/>
  <c r="BR317" i="12" s="1"/>
  <c r="V318" i="10" s="1"/>
  <c r="A330" i="1"/>
  <c r="BE317" i="12"/>
  <c r="BT317" i="12" s="1"/>
  <c r="O242" i="10"/>
  <c r="BK241" i="12"/>
  <c r="BO241" i="12" s="1"/>
  <c r="T242" i="10" s="1"/>
  <c r="BF241" i="12"/>
  <c r="BQ241" i="12" s="1"/>
  <c r="BI241" i="12"/>
  <c r="BM241" i="12" s="1"/>
  <c r="BJ241" i="12"/>
  <c r="BN241" i="12" s="1"/>
  <c r="S242" i="10" s="1"/>
  <c r="BG241" i="12"/>
  <c r="BR241" i="12" s="1"/>
  <c r="V242" i="10" s="1"/>
  <c r="BH241" i="12"/>
  <c r="BS241" i="12" s="1"/>
  <c r="W242" i="10" s="1"/>
  <c r="A254" i="1"/>
  <c r="BE241" i="12"/>
  <c r="BT241" i="12" s="1"/>
  <c r="O157" i="10"/>
  <c r="BF156" i="12"/>
  <c r="BQ156" i="12" s="1"/>
  <c r="BI156" i="12"/>
  <c r="BM156" i="12" s="1"/>
  <c r="BG156" i="12"/>
  <c r="BR156" i="12" s="1"/>
  <c r="V157" i="10" s="1"/>
  <c r="BJ156" i="12"/>
  <c r="BN156" i="12" s="1"/>
  <c r="S157" i="10" s="1"/>
  <c r="BH156" i="12"/>
  <c r="BS156" i="12" s="1"/>
  <c r="W157" i="10" s="1"/>
  <c r="BK156" i="12"/>
  <c r="BO156" i="12" s="1"/>
  <c r="T157" i="10" s="1"/>
  <c r="A169" i="1"/>
  <c r="BE156" i="12"/>
  <c r="BT156" i="12" s="1"/>
  <c r="O71" i="10"/>
  <c r="BI70" i="12"/>
  <c r="BM70" i="12" s="1"/>
  <c r="BF70" i="12"/>
  <c r="BQ70" i="12" s="1"/>
  <c r="BG70" i="12"/>
  <c r="BR70" i="12" s="1"/>
  <c r="V71" i="10" s="1"/>
  <c r="BJ70" i="12"/>
  <c r="BN70" i="12" s="1"/>
  <c r="S71" i="10" s="1"/>
  <c r="BH70" i="12"/>
  <c r="BS70" i="12" s="1"/>
  <c r="W71" i="10" s="1"/>
  <c r="BK70" i="12"/>
  <c r="BO70" i="12" s="1"/>
  <c r="T71" i="10" s="1"/>
  <c r="A83" i="1"/>
  <c r="BE70" i="12"/>
  <c r="BT70" i="12" s="1"/>
  <c r="O6" i="10"/>
  <c r="BI5" i="12"/>
  <c r="BM5" i="12" s="1"/>
  <c r="BF5" i="12"/>
  <c r="BQ5" i="12" s="1"/>
  <c r="BG5" i="12"/>
  <c r="BR5" i="12" s="1"/>
  <c r="V6" i="10" s="1"/>
  <c r="BH5" i="12"/>
  <c r="BS5" i="12" s="1"/>
  <c r="W6" i="10" s="1"/>
  <c r="BJ5" i="12"/>
  <c r="BN5" i="12" s="1"/>
  <c r="S6" i="10" s="1"/>
  <c r="BK5" i="12"/>
  <c r="BO5" i="12" s="1"/>
  <c r="T6" i="10" s="1"/>
  <c r="BE5" i="12"/>
  <c r="BT5" i="12" s="1"/>
  <c r="A18" i="1"/>
  <c r="O506" i="10"/>
  <c r="BJ505" i="12"/>
  <c r="BN505" i="12" s="1"/>
  <c r="S506" i="10" s="1"/>
  <c r="BH505" i="12"/>
  <c r="BS505" i="12" s="1"/>
  <c r="W506" i="10" s="1"/>
  <c r="BK505" i="12"/>
  <c r="BO505" i="12" s="1"/>
  <c r="T506" i="10" s="1"/>
  <c r="BF505" i="12"/>
  <c r="BQ505" i="12" s="1"/>
  <c r="BG505" i="12"/>
  <c r="BR505" i="12" s="1"/>
  <c r="V506" i="10" s="1"/>
  <c r="BI505" i="12"/>
  <c r="BM505" i="12" s="1"/>
  <c r="A518" i="1"/>
  <c r="BE505" i="12"/>
  <c r="BT505" i="12" s="1"/>
  <c r="O442" i="10"/>
  <c r="BI441" i="12"/>
  <c r="BM441" i="12" s="1"/>
  <c r="BF441" i="12"/>
  <c r="BQ441" i="12" s="1"/>
  <c r="BG441" i="12"/>
  <c r="BR441" i="12" s="1"/>
  <c r="V442" i="10" s="1"/>
  <c r="BH441" i="12"/>
  <c r="BS441" i="12" s="1"/>
  <c r="W442" i="10" s="1"/>
  <c r="BJ441" i="12"/>
  <c r="BN441" i="12" s="1"/>
  <c r="S442" i="10" s="1"/>
  <c r="BK441" i="12"/>
  <c r="BO441" i="12" s="1"/>
  <c r="T442" i="10" s="1"/>
  <c r="A454" i="1"/>
  <c r="BE441" i="12"/>
  <c r="BT441" i="12" s="1"/>
  <c r="O378" i="10"/>
  <c r="BJ377" i="12"/>
  <c r="BN377" i="12" s="1"/>
  <c r="S378" i="10" s="1"/>
  <c r="BH377" i="12"/>
  <c r="BS377" i="12" s="1"/>
  <c r="W378" i="10" s="1"/>
  <c r="BF377" i="12"/>
  <c r="BQ377" i="12" s="1"/>
  <c r="BG377" i="12"/>
  <c r="BR377" i="12" s="1"/>
  <c r="V378" i="10" s="1"/>
  <c r="BI377" i="12"/>
  <c r="BM377" i="12" s="1"/>
  <c r="BK377" i="12"/>
  <c r="BO377" i="12" s="1"/>
  <c r="T378" i="10" s="1"/>
  <c r="A390" i="1"/>
  <c r="BE377" i="12"/>
  <c r="BT377" i="12" s="1"/>
  <c r="O314" i="10"/>
  <c r="BF313" i="12"/>
  <c r="BQ313" i="12" s="1"/>
  <c r="BI313" i="12"/>
  <c r="BM313" i="12" s="1"/>
  <c r="BG313" i="12"/>
  <c r="BR313" i="12" s="1"/>
  <c r="V314" i="10" s="1"/>
  <c r="BJ313" i="12"/>
  <c r="BN313" i="12" s="1"/>
  <c r="S314" i="10" s="1"/>
  <c r="BK313" i="12"/>
  <c r="BO313" i="12" s="1"/>
  <c r="T314" i="10" s="1"/>
  <c r="BH313" i="12"/>
  <c r="BS313" i="12" s="1"/>
  <c r="W314" i="10" s="1"/>
  <c r="BE313" i="12"/>
  <c r="BT313" i="12" s="1"/>
  <c r="A326" i="1"/>
  <c r="O247" i="10"/>
  <c r="BJ246" i="12"/>
  <c r="BN246" i="12" s="1"/>
  <c r="S247" i="10" s="1"/>
  <c r="BH246" i="12"/>
  <c r="BS246" i="12" s="1"/>
  <c r="W247" i="10" s="1"/>
  <c r="BK246" i="12"/>
  <c r="BO246" i="12" s="1"/>
  <c r="T247" i="10" s="1"/>
  <c r="BF246" i="12"/>
  <c r="BQ246" i="12" s="1"/>
  <c r="BI246" i="12"/>
  <c r="BM246" i="12" s="1"/>
  <c r="BG246" i="12"/>
  <c r="BR246" i="12" s="1"/>
  <c r="V247" i="10" s="1"/>
  <c r="A259" i="1"/>
  <c r="BE246" i="12"/>
  <c r="BT246" i="12" s="1"/>
  <c r="O182" i="10"/>
  <c r="BF181" i="12"/>
  <c r="BQ181" i="12" s="1"/>
  <c r="BI181" i="12"/>
  <c r="BM181" i="12" s="1"/>
  <c r="BG181" i="12"/>
  <c r="BR181" i="12" s="1"/>
  <c r="V182" i="10" s="1"/>
  <c r="BJ181" i="12"/>
  <c r="BN181" i="12" s="1"/>
  <c r="S182" i="10" s="1"/>
  <c r="BK181" i="12"/>
  <c r="BO181" i="12" s="1"/>
  <c r="T182" i="10" s="1"/>
  <c r="BH181" i="12"/>
  <c r="BS181" i="12" s="1"/>
  <c r="W182" i="10" s="1"/>
  <c r="A194" i="1"/>
  <c r="BE181" i="12"/>
  <c r="BT181" i="12" s="1"/>
  <c r="O117" i="10"/>
  <c r="BJ116" i="12"/>
  <c r="BN116" i="12" s="1"/>
  <c r="S117" i="10" s="1"/>
  <c r="BH116" i="12"/>
  <c r="BS116" i="12" s="1"/>
  <c r="W117" i="10" s="1"/>
  <c r="BK116" i="12"/>
  <c r="BO116" i="12" s="1"/>
  <c r="T117" i="10" s="1"/>
  <c r="BF116" i="12"/>
  <c r="BQ116" i="12" s="1"/>
  <c r="BG116" i="12"/>
  <c r="BR116" i="12" s="1"/>
  <c r="V117" i="10" s="1"/>
  <c r="BI116" i="12"/>
  <c r="BM116" i="12" s="1"/>
  <c r="A129" i="1"/>
  <c r="BE116" i="12"/>
  <c r="BT116" i="12" s="1"/>
  <c r="O53" i="10"/>
  <c r="BI52" i="12"/>
  <c r="BM52" i="12" s="1"/>
  <c r="BG52" i="12"/>
  <c r="BR52" i="12" s="1"/>
  <c r="V53" i="10" s="1"/>
  <c r="BJ52" i="12"/>
  <c r="BN52" i="12" s="1"/>
  <c r="S53" i="10" s="1"/>
  <c r="BH52" i="12"/>
  <c r="BS52" i="12" s="1"/>
  <c r="W53" i="10" s="1"/>
  <c r="BK52" i="12"/>
  <c r="BO52" i="12" s="1"/>
  <c r="T53" i="10" s="1"/>
  <c r="BF52" i="12"/>
  <c r="BQ52" i="12" s="1"/>
  <c r="A65" i="1"/>
  <c r="BE52" i="12"/>
  <c r="BT52" i="12" s="1"/>
  <c r="O221" i="10"/>
  <c r="BK220" i="12"/>
  <c r="BO220" i="12" s="1"/>
  <c r="T221" i="10" s="1"/>
  <c r="BF220" i="12"/>
  <c r="BQ220" i="12" s="1"/>
  <c r="BI220" i="12"/>
  <c r="BM220" i="12" s="1"/>
  <c r="BG220" i="12"/>
  <c r="BR220" i="12" s="1"/>
  <c r="V221" i="10" s="1"/>
  <c r="BJ220" i="12"/>
  <c r="BN220" i="12" s="1"/>
  <c r="S221" i="10" s="1"/>
  <c r="BH220" i="12"/>
  <c r="BS220" i="12" s="1"/>
  <c r="W221" i="10" s="1"/>
  <c r="BE220" i="12"/>
  <c r="BT220" i="12" s="1"/>
  <c r="A233" i="1"/>
  <c r="O156" i="10"/>
  <c r="BK155" i="12"/>
  <c r="BO155" i="12" s="1"/>
  <c r="T156" i="10" s="1"/>
  <c r="BF155" i="12"/>
  <c r="BQ155" i="12" s="1"/>
  <c r="BI155" i="12"/>
  <c r="BM155" i="12" s="1"/>
  <c r="BH155" i="12"/>
  <c r="BS155" i="12" s="1"/>
  <c r="W156" i="10" s="1"/>
  <c r="BG155" i="12"/>
  <c r="BR155" i="12" s="1"/>
  <c r="V156" i="10" s="1"/>
  <c r="BJ155" i="12"/>
  <c r="BN155" i="12" s="1"/>
  <c r="S156" i="10" s="1"/>
  <c r="A168" i="1"/>
  <c r="BE155" i="12"/>
  <c r="BT155" i="12" s="1"/>
  <c r="O91" i="10"/>
  <c r="BJ90" i="12"/>
  <c r="BN90" i="12" s="1"/>
  <c r="S91" i="10" s="1"/>
  <c r="BH90" i="12"/>
  <c r="BS90" i="12" s="1"/>
  <c r="W91" i="10" s="1"/>
  <c r="BK90" i="12"/>
  <c r="BO90" i="12" s="1"/>
  <c r="T91" i="10" s="1"/>
  <c r="BF90" i="12"/>
  <c r="BQ90" i="12" s="1"/>
  <c r="BG90" i="12"/>
  <c r="BR90" i="12" s="1"/>
  <c r="V91" i="10" s="1"/>
  <c r="BI90" i="12"/>
  <c r="BM90" i="12" s="1"/>
  <c r="A103" i="1"/>
  <c r="BE90" i="12"/>
  <c r="BT90" i="12" s="1"/>
  <c r="O27" i="10"/>
  <c r="BI26" i="12"/>
  <c r="BM26" i="12" s="1"/>
  <c r="BG26" i="12"/>
  <c r="BR26" i="12" s="1"/>
  <c r="V27" i="10" s="1"/>
  <c r="BJ26" i="12"/>
  <c r="BN26" i="12" s="1"/>
  <c r="S27" i="10" s="1"/>
  <c r="BH26" i="12"/>
  <c r="BS26" i="12" s="1"/>
  <c r="W27" i="10" s="1"/>
  <c r="BK26" i="12"/>
  <c r="BO26" i="12" s="1"/>
  <c r="T27" i="10" s="1"/>
  <c r="BF26" i="12"/>
  <c r="BQ26" i="12" s="1"/>
  <c r="A39" i="1"/>
  <c r="BE26" i="12"/>
  <c r="BT26" i="12" s="1"/>
  <c r="O233" i="10"/>
  <c r="BI232" i="12"/>
  <c r="BM232" i="12" s="1"/>
  <c r="BG232" i="12"/>
  <c r="BR232" i="12" s="1"/>
  <c r="V233" i="10" s="1"/>
  <c r="BJ232" i="12"/>
  <c r="BN232" i="12" s="1"/>
  <c r="S233" i="10" s="1"/>
  <c r="BH232" i="12"/>
  <c r="BS232" i="12" s="1"/>
  <c r="W233" i="10" s="1"/>
  <c r="BK232" i="12"/>
  <c r="BO232" i="12" s="1"/>
  <c r="T233" i="10" s="1"/>
  <c r="BF232" i="12"/>
  <c r="BQ232" i="12" s="1"/>
  <c r="BE232" i="12"/>
  <c r="BT232" i="12" s="1"/>
  <c r="A245" i="1"/>
  <c r="O146" i="10"/>
  <c r="BI145" i="12"/>
  <c r="BM145" i="12" s="1"/>
  <c r="BF145" i="12"/>
  <c r="BQ145" i="12" s="1"/>
  <c r="BG145" i="12"/>
  <c r="BR145" i="12" s="1"/>
  <c r="V146" i="10" s="1"/>
  <c r="BH145" i="12"/>
  <c r="BS145" i="12" s="1"/>
  <c r="W146" i="10" s="1"/>
  <c r="BJ145" i="12"/>
  <c r="BN145" i="12" s="1"/>
  <c r="S146" i="10" s="1"/>
  <c r="BK145" i="12"/>
  <c r="BO145" i="12" s="1"/>
  <c r="T146" i="10" s="1"/>
  <c r="BE145" i="12"/>
  <c r="BT145" i="12" s="1"/>
  <c r="A158" i="1"/>
  <c r="O60" i="10"/>
  <c r="BK59" i="12"/>
  <c r="BO59" i="12" s="1"/>
  <c r="T60" i="10" s="1"/>
  <c r="BF59" i="12"/>
  <c r="BQ59" i="12" s="1"/>
  <c r="BJ59" i="12"/>
  <c r="BN59" i="12" s="1"/>
  <c r="S60" i="10" s="1"/>
  <c r="BH59" i="12"/>
  <c r="BS59" i="12" s="1"/>
  <c r="W60" i="10" s="1"/>
  <c r="BI59" i="12"/>
  <c r="BM59" i="12" s="1"/>
  <c r="BG59" i="12"/>
  <c r="BR59" i="12" s="1"/>
  <c r="V60" i="10" s="1"/>
  <c r="A72" i="1"/>
  <c r="BE59" i="12"/>
  <c r="BT59" i="12" s="1"/>
  <c r="O562" i="10"/>
  <c r="BJ561" i="12"/>
  <c r="BN561" i="12" s="1"/>
  <c r="S562" i="10" s="1"/>
  <c r="BH561" i="12"/>
  <c r="BS561" i="12" s="1"/>
  <c r="W562" i="10" s="1"/>
  <c r="BK561" i="12"/>
  <c r="BO561" i="12" s="1"/>
  <c r="T562" i="10" s="1"/>
  <c r="BI561" i="12"/>
  <c r="BM561" i="12" s="1"/>
  <c r="BG561" i="12"/>
  <c r="BR561" i="12" s="1"/>
  <c r="V562" i="10" s="1"/>
  <c r="BF561" i="12"/>
  <c r="BQ561" i="12" s="1"/>
  <c r="A574" i="1"/>
  <c r="BE561" i="12"/>
  <c r="BT561" i="12" s="1"/>
  <c r="O498" i="10"/>
  <c r="BJ497" i="12"/>
  <c r="BN497" i="12" s="1"/>
  <c r="S498" i="10" s="1"/>
  <c r="BH497" i="12"/>
  <c r="BS497" i="12" s="1"/>
  <c r="W498" i="10" s="1"/>
  <c r="BK497" i="12"/>
  <c r="BO497" i="12" s="1"/>
  <c r="T498" i="10" s="1"/>
  <c r="BI497" i="12"/>
  <c r="BM497" i="12" s="1"/>
  <c r="BF497" i="12"/>
  <c r="BQ497" i="12" s="1"/>
  <c r="BG497" i="12"/>
  <c r="BR497" i="12" s="1"/>
  <c r="V498" i="10" s="1"/>
  <c r="A510" i="1"/>
  <c r="BE497" i="12"/>
  <c r="BT497" i="12" s="1"/>
  <c r="O434" i="10"/>
  <c r="BK433" i="12"/>
  <c r="BO433" i="12" s="1"/>
  <c r="T434" i="10" s="1"/>
  <c r="BF433" i="12"/>
  <c r="BQ433" i="12" s="1"/>
  <c r="BG433" i="12"/>
  <c r="BR433" i="12" s="1"/>
  <c r="V434" i="10" s="1"/>
  <c r="BH433" i="12"/>
  <c r="BS433" i="12" s="1"/>
  <c r="W434" i="10" s="1"/>
  <c r="BJ433" i="12"/>
  <c r="BN433" i="12" s="1"/>
  <c r="S434" i="10" s="1"/>
  <c r="BI433" i="12"/>
  <c r="BM433" i="12" s="1"/>
  <c r="A446" i="1"/>
  <c r="BE433" i="12"/>
  <c r="BT433" i="12" s="1"/>
  <c r="O370" i="10"/>
  <c r="BJ369" i="12"/>
  <c r="BN369" i="12" s="1"/>
  <c r="S370" i="10" s="1"/>
  <c r="BH369" i="12"/>
  <c r="BS369" i="12" s="1"/>
  <c r="W370" i="10" s="1"/>
  <c r="BF369" i="12"/>
  <c r="BQ369" i="12" s="1"/>
  <c r="BG369" i="12"/>
  <c r="BR369" i="12" s="1"/>
  <c r="V370" i="10" s="1"/>
  <c r="BK369" i="12"/>
  <c r="BO369" i="12" s="1"/>
  <c r="T370" i="10" s="1"/>
  <c r="BI369" i="12"/>
  <c r="BM369" i="12" s="1"/>
  <c r="A382" i="1"/>
  <c r="BE369" i="12"/>
  <c r="BT369" i="12" s="1"/>
  <c r="O306" i="10"/>
  <c r="BK305" i="12"/>
  <c r="BO305" i="12" s="1"/>
  <c r="T306" i="10" s="1"/>
  <c r="BF305" i="12"/>
  <c r="BQ305" i="12" s="1"/>
  <c r="BI305" i="12"/>
  <c r="BM305" i="12" s="1"/>
  <c r="BJ305" i="12"/>
  <c r="BN305" i="12" s="1"/>
  <c r="S306" i="10" s="1"/>
  <c r="BG305" i="12"/>
  <c r="BR305" i="12" s="1"/>
  <c r="V306" i="10" s="1"/>
  <c r="BH305" i="12"/>
  <c r="BS305" i="12" s="1"/>
  <c r="W306" i="10" s="1"/>
  <c r="BE305" i="12"/>
  <c r="BT305" i="12" s="1"/>
  <c r="A318" i="1"/>
  <c r="O239" i="10"/>
  <c r="BJ238" i="12"/>
  <c r="BN238" i="12" s="1"/>
  <c r="S239" i="10" s="1"/>
  <c r="BH238" i="12"/>
  <c r="BS238" i="12" s="1"/>
  <c r="W239" i="10" s="1"/>
  <c r="BK238" i="12"/>
  <c r="BO238" i="12" s="1"/>
  <c r="T239" i="10" s="1"/>
  <c r="BF238" i="12"/>
  <c r="BQ238" i="12" s="1"/>
  <c r="BI238" i="12"/>
  <c r="BM238" i="12" s="1"/>
  <c r="BG238" i="12"/>
  <c r="BR238" i="12" s="1"/>
  <c r="V239" i="10" s="1"/>
  <c r="BE238" i="12"/>
  <c r="BT238" i="12" s="1"/>
  <c r="A251" i="1"/>
  <c r="BF173" i="12"/>
  <c r="BQ173" i="12" s="1"/>
  <c r="O174" i="10"/>
  <c r="BI173" i="12"/>
  <c r="BM173" i="12" s="1"/>
  <c r="BG173" i="12"/>
  <c r="BR173" i="12" s="1"/>
  <c r="V174" i="10" s="1"/>
  <c r="BJ173" i="12"/>
  <c r="BN173" i="12" s="1"/>
  <c r="S174" i="10" s="1"/>
  <c r="BK173" i="12"/>
  <c r="BO173" i="12" s="1"/>
  <c r="T174" i="10" s="1"/>
  <c r="BH173" i="12"/>
  <c r="BS173" i="12" s="1"/>
  <c r="W174" i="10" s="1"/>
  <c r="A186" i="1"/>
  <c r="BE173" i="12"/>
  <c r="BT173" i="12" s="1"/>
  <c r="O109" i="10"/>
  <c r="BJ108" i="12"/>
  <c r="BN108" i="12" s="1"/>
  <c r="S109" i="10" s="1"/>
  <c r="BH108" i="12"/>
  <c r="BS108" i="12" s="1"/>
  <c r="W109" i="10" s="1"/>
  <c r="BK108" i="12"/>
  <c r="BO108" i="12" s="1"/>
  <c r="T109" i="10" s="1"/>
  <c r="BF108" i="12"/>
  <c r="BQ108" i="12" s="1"/>
  <c r="BI108" i="12"/>
  <c r="BM108" i="12" s="1"/>
  <c r="BG108" i="12"/>
  <c r="BR108" i="12" s="1"/>
  <c r="V109" i="10" s="1"/>
  <c r="A121" i="1"/>
  <c r="BE108" i="12"/>
  <c r="BT108" i="12" s="1"/>
  <c r="O45" i="10"/>
  <c r="BI44" i="12"/>
  <c r="BM44" i="12" s="1"/>
  <c r="BG44" i="12"/>
  <c r="BR44" i="12" s="1"/>
  <c r="V45" i="10" s="1"/>
  <c r="BJ44" i="12"/>
  <c r="BN44" i="12" s="1"/>
  <c r="S45" i="10" s="1"/>
  <c r="BH44" i="12"/>
  <c r="BS44" i="12" s="1"/>
  <c r="W45" i="10" s="1"/>
  <c r="BK44" i="12"/>
  <c r="BO44" i="12" s="1"/>
  <c r="T45" i="10" s="1"/>
  <c r="BF44" i="12"/>
  <c r="BQ44" i="12" s="1"/>
  <c r="A57" i="1"/>
  <c r="BE44" i="12"/>
  <c r="BT44" i="12" s="1"/>
  <c r="O212" i="10"/>
  <c r="BK211" i="12"/>
  <c r="BO211" i="12" s="1"/>
  <c r="T212" i="10" s="1"/>
  <c r="BF211" i="12"/>
  <c r="BQ211" i="12" s="1"/>
  <c r="BI211" i="12"/>
  <c r="BM211" i="12" s="1"/>
  <c r="BJ211" i="12"/>
  <c r="BN211" i="12" s="1"/>
  <c r="S212" i="10" s="1"/>
  <c r="BH211" i="12"/>
  <c r="BS211" i="12" s="1"/>
  <c r="W212" i="10" s="1"/>
  <c r="BG211" i="12"/>
  <c r="BR211" i="12" s="1"/>
  <c r="V212" i="10" s="1"/>
  <c r="A224" i="1"/>
  <c r="BE211" i="12"/>
  <c r="BT211" i="12" s="1"/>
  <c r="O148" i="10"/>
  <c r="BI147" i="12"/>
  <c r="BM147" i="12" s="1"/>
  <c r="BF147" i="12"/>
  <c r="BQ147" i="12" s="1"/>
  <c r="BG147" i="12"/>
  <c r="BR147" i="12" s="1"/>
  <c r="V148" i="10" s="1"/>
  <c r="BH147" i="12"/>
  <c r="BS147" i="12" s="1"/>
  <c r="W148" i="10" s="1"/>
  <c r="BJ147" i="12"/>
  <c r="BN147" i="12" s="1"/>
  <c r="S148" i="10" s="1"/>
  <c r="BK147" i="12"/>
  <c r="BO147" i="12" s="1"/>
  <c r="T148" i="10" s="1"/>
  <c r="A160" i="1"/>
  <c r="BE147" i="12"/>
  <c r="BT147" i="12" s="1"/>
  <c r="O83" i="10"/>
  <c r="BJ82" i="12"/>
  <c r="BN82" i="12" s="1"/>
  <c r="S83" i="10" s="1"/>
  <c r="BH82" i="12"/>
  <c r="BS82" i="12" s="1"/>
  <c r="W83" i="10" s="1"/>
  <c r="BK82" i="12"/>
  <c r="BO82" i="12" s="1"/>
  <c r="T83" i="10" s="1"/>
  <c r="BF82" i="12"/>
  <c r="BQ82" i="12" s="1"/>
  <c r="BI82" i="12"/>
  <c r="BM82" i="12" s="1"/>
  <c r="BG82" i="12"/>
  <c r="BR82" i="12" s="1"/>
  <c r="V83" i="10" s="1"/>
  <c r="A95" i="1"/>
  <c r="BE82" i="12"/>
  <c r="BT82" i="12" s="1"/>
  <c r="O19" i="10"/>
  <c r="BI18" i="12"/>
  <c r="BM18" i="12" s="1"/>
  <c r="BG18" i="12"/>
  <c r="BR18" i="12" s="1"/>
  <c r="V19" i="10" s="1"/>
  <c r="BJ18" i="12"/>
  <c r="BN18" i="12" s="1"/>
  <c r="S19" i="10" s="1"/>
  <c r="BH18" i="12"/>
  <c r="BS18" i="12" s="1"/>
  <c r="W19" i="10" s="1"/>
  <c r="BK18" i="12"/>
  <c r="BO18" i="12" s="1"/>
  <c r="T19" i="10" s="1"/>
  <c r="BF18" i="12"/>
  <c r="BQ18" i="12" s="1"/>
  <c r="A31" i="1"/>
  <c r="BE18" i="12"/>
  <c r="BT18" i="12" s="1"/>
  <c r="O470" i="10"/>
  <c r="BJ469" i="12"/>
  <c r="BN469" i="12" s="1"/>
  <c r="S470" i="10" s="1"/>
  <c r="BH469" i="12"/>
  <c r="BS469" i="12" s="1"/>
  <c r="W470" i="10" s="1"/>
  <c r="BK469" i="12"/>
  <c r="BO469" i="12" s="1"/>
  <c r="T470" i="10" s="1"/>
  <c r="BF469" i="12"/>
  <c r="BQ469" i="12" s="1"/>
  <c r="BG469" i="12"/>
  <c r="BR469" i="12" s="1"/>
  <c r="V470" i="10" s="1"/>
  <c r="BI469" i="12"/>
  <c r="BM469" i="12" s="1"/>
  <c r="A482" i="1"/>
  <c r="BE469" i="12"/>
  <c r="BT469" i="12" s="1"/>
  <c r="O66" i="10"/>
  <c r="BJ65" i="12"/>
  <c r="BN65" i="12" s="1"/>
  <c r="S66" i="10" s="1"/>
  <c r="BK65" i="12"/>
  <c r="BO65" i="12" s="1"/>
  <c r="T66" i="10" s="1"/>
  <c r="BI65" i="12"/>
  <c r="BM65" i="12" s="1"/>
  <c r="BF65" i="12"/>
  <c r="BQ65" i="12" s="1"/>
  <c r="BG65" i="12"/>
  <c r="BR65" i="12" s="1"/>
  <c r="V66" i="10" s="1"/>
  <c r="BH65" i="12"/>
  <c r="BS65" i="12" s="1"/>
  <c r="W66" i="10" s="1"/>
  <c r="A78" i="1"/>
  <c r="BE65" i="12"/>
  <c r="BT65" i="12" s="1"/>
  <c r="O524" i="10"/>
  <c r="BI523" i="12"/>
  <c r="BM523" i="12" s="1"/>
  <c r="BG523" i="12"/>
  <c r="BR523" i="12" s="1"/>
  <c r="V524" i="10" s="1"/>
  <c r="BJ523" i="12"/>
  <c r="BN523" i="12" s="1"/>
  <c r="S524" i="10" s="1"/>
  <c r="BH523" i="12"/>
  <c r="BS523" i="12" s="1"/>
  <c r="W524" i="10" s="1"/>
  <c r="BF523" i="12"/>
  <c r="BQ523" i="12" s="1"/>
  <c r="BK523" i="12"/>
  <c r="BO523" i="12" s="1"/>
  <c r="T524" i="10" s="1"/>
  <c r="A536" i="1"/>
  <c r="BE523" i="12"/>
  <c r="BT523" i="12" s="1"/>
  <c r="O462" i="10"/>
  <c r="BJ461" i="12"/>
  <c r="BN461" i="12" s="1"/>
  <c r="S462" i="10" s="1"/>
  <c r="BH461" i="12"/>
  <c r="BS461" i="12" s="1"/>
  <c r="W462" i="10" s="1"/>
  <c r="BK461" i="12"/>
  <c r="BO461" i="12" s="1"/>
  <c r="T462" i="10" s="1"/>
  <c r="BI461" i="12"/>
  <c r="BM461" i="12" s="1"/>
  <c r="BG461" i="12"/>
  <c r="BR461" i="12" s="1"/>
  <c r="V462" i="10" s="1"/>
  <c r="BF461" i="12"/>
  <c r="BQ461" i="12" s="1"/>
  <c r="BE461" i="12"/>
  <c r="BT461" i="12" s="1"/>
  <c r="A474" i="1"/>
  <c r="O258" i="10"/>
  <c r="BK257" i="12"/>
  <c r="BO257" i="12" s="1"/>
  <c r="T258" i="10" s="1"/>
  <c r="BF257" i="12"/>
  <c r="BQ257" i="12" s="1"/>
  <c r="BH257" i="12"/>
  <c r="BS257" i="12" s="1"/>
  <c r="W258" i="10" s="1"/>
  <c r="BI257" i="12"/>
  <c r="BM257" i="12" s="1"/>
  <c r="BG257" i="12"/>
  <c r="BR257" i="12" s="1"/>
  <c r="V258" i="10" s="1"/>
  <c r="BJ257" i="12"/>
  <c r="BN257" i="12" s="1"/>
  <c r="S258" i="10" s="1"/>
  <c r="BE257" i="12"/>
  <c r="BT257" i="12" s="1"/>
  <c r="A270" i="1"/>
  <c r="O488" i="10"/>
  <c r="BK487" i="12"/>
  <c r="BO487" i="12" s="1"/>
  <c r="T488" i="10" s="1"/>
  <c r="BF487" i="12"/>
  <c r="BQ487" i="12" s="1"/>
  <c r="BI487" i="12"/>
  <c r="BM487" i="12" s="1"/>
  <c r="BJ487" i="12"/>
  <c r="BN487" i="12" s="1"/>
  <c r="S488" i="10" s="1"/>
  <c r="BG487" i="12"/>
  <c r="BR487" i="12" s="1"/>
  <c r="V488" i="10" s="1"/>
  <c r="BH487" i="12"/>
  <c r="BS487" i="12" s="1"/>
  <c r="W488" i="10" s="1"/>
  <c r="A500" i="1"/>
  <c r="BE487" i="12"/>
  <c r="BT487" i="12" s="1"/>
  <c r="O194" i="10"/>
  <c r="BF193" i="12"/>
  <c r="BQ193" i="12" s="1"/>
  <c r="BI193" i="12"/>
  <c r="BM193" i="12" s="1"/>
  <c r="BG193" i="12"/>
  <c r="BR193" i="12" s="1"/>
  <c r="V194" i="10" s="1"/>
  <c r="BJ193" i="12"/>
  <c r="BN193" i="12" s="1"/>
  <c r="S194" i="10" s="1"/>
  <c r="BK193" i="12"/>
  <c r="BO193" i="12" s="1"/>
  <c r="T194" i="10" s="1"/>
  <c r="BH193" i="12"/>
  <c r="BS193" i="12" s="1"/>
  <c r="W194" i="10" s="1"/>
  <c r="A206" i="1"/>
  <c r="BE193" i="12"/>
  <c r="BT193" i="12" s="1"/>
  <c r="O44" i="10"/>
  <c r="BJ43" i="12"/>
  <c r="BN43" i="12" s="1"/>
  <c r="S44" i="10" s="1"/>
  <c r="BI43" i="12"/>
  <c r="BM43" i="12" s="1"/>
  <c r="BF43" i="12"/>
  <c r="BQ43" i="12" s="1"/>
  <c r="BG43" i="12"/>
  <c r="BR43" i="12" s="1"/>
  <c r="V44" i="10" s="1"/>
  <c r="BH43" i="12"/>
  <c r="BS43" i="12" s="1"/>
  <c r="W44" i="10" s="1"/>
  <c r="BK43" i="12"/>
  <c r="BO43" i="12" s="1"/>
  <c r="T44" i="10" s="1"/>
  <c r="A56" i="1"/>
  <c r="BE43" i="12"/>
  <c r="BT43" i="12" s="1"/>
  <c r="O358" i="10"/>
  <c r="BF357" i="12"/>
  <c r="BQ357" i="12" s="1"/>
  <c r="BI357" i="12"/>
  <c r="BM357" i="12" s="1"/>
  <c r="BJ357" i="12"/>
  <c r="BN357" i="12" s="1"/>
  <c r="S358" i="10" s="1"/>
  <c r="BK357" i="12"/>
  <c r="BO357" i="12" s="1"/>
  <c r="T358" i="10" s="1"/>
  <c r="BH357" i="12"/>
  <c r="BS357" i="12" s="1"/>
  <c r="W358" i="10" s="1"/>
  <c r="BG357" i="12"/>
  <c r="BR357" i="12" s="1"/>
  <c r="V358" i="10" s="1"/>
  <c r="A370" i="1"/>
  <c r="BE357" i="12"/>
  <c r="BT357" i="12" s="1"/>
  <c r="O203" i="10"/>
  <c r="BI202" i="12"/>
  <c r="BM202" i="12" s="1"/>
  <c r="BG202" i="12"/>
  <c r="BR202" i="12" s="1"/>
  <c r="V203" i="10" s="1"/>
  <c r="BJ202" i="12"/>
  <c r="BN202" i="12" s="1"/>
  <c r="S203" i="10" s="1"/>
  <c r="BH202" i="12"/>
  <c r="BS202" i="12" s="1"/>
  <c r="W203" i="10" s="1"/>
  <c r="BK202" i="12"/>
  <c r="BO202" i="12" s="1"/>
  <c r="T203" i="10" s="1"/>
  <c r="BF202" i="12"/>
  <c r="BQ202" i="12" s="1"/>
  <c r="BE202" i="12"/>
  <c r="BT202" i="12" s="1"/>
  <c r="A215" i="1"/>
  <c r="O32" i="10"/>
  <c r="BI31" i="12"/>
  <c r="BM31" i="12" s="1"/>
  <c r="BG31" i="12"/>
  <c r="BR31" i="12" s="1"/>
  <c r="V32" i="10" s="1"/>
  <c r="BJ31" i="12"/>
  <c r="BN31" i="12" s="1"/>
  <c r="S32" i="10" s="1"/>
  <c r="BH31" i="12"/>
  <c r="BS31" i="12" s="1"/>
  <c r="W32" i="10" s="1"/>
  <c r="BF31" i="12"/>
  <c r="BQ31" i="12" s="1"/>
  <c r="BK31" i="12"/>
  <c r="BO31" i="12" s="1"/>
  <c r="T32" i="10" s="1"/>
  <c r="A44" i="1"/>
  <c r="BE31" i="12"/>
  <c r="BT31" i="12" s="1"/>
  <c r="O439" i="10"/>
  <c r="BJ438" i="12"/>
  <c r="BN438" i="12" s="1"/>
  <c r="S439" i="10" s="1"/>
  <c r="BH438" i="12"/>
  <c r="BS438" i="12" s="1"/>
  <c r="W439" i="10" s="1"/>
  <c r="BK438" i="12"/>
  <c r="BO438" i="12" s="1"/>
  <c r="T439" i="10" s="1"/>
  <c r="BI438" i="12"/>
  <c r="BM438" i="12" s="1"/>
  <c r="BF438" i="12"/>
  <c r="BQ438" i="12" s="1"/>
  <c r="BG438" i="12"/>
  <c r="BR438" i="12" s="1"/>
  <c r="V439" i="10" s="1"/>
  <c r="BE438" i="12"/>
  <c r="BT438" i="12" s="1"/>
  <c r="A451" i="1"/>
  <c r="O293" i="10"/>
  <c r="BI292" i="12"/>
  <c r="BM292" i="12" s="1"/>
  <c r="BJ292" i="12"/>
  <c r="BN292" i="12" s="1"/>
  <c r="S293" i="10" s="1"/>
  <c r="BF292" i="12"/>
  <c r="BQ292" i="12" s="1"/>
  <c r="BK292" i="12"/>
  <c r="BO292" i="12" s="1"/>
  <c r="T293" i="10" s="1"/>
  <c r="BH292" i="12"/>
  <c r="BS292" i="12" s="1"/>
  <c r="W293" i="10" s="1"/>
  <c r="BG292" i="12"/>
  <c r="BR292" i="12" s="1"/>
  <c r="V293" i="10" s="1"/>
  <c r="BE292" i="12"/>
  <c r="BT292" i="12" s="1"/>
  <c r="A305" i="1"/>
  <c r="O127" i="10"/>
  <c r="BI126" i="12"/>
  <c r="BM126" i="12" s="1"/>
  <c r="BF126" i="12"/>
  <c r="BQ126" i="12" s="1"/>
  <c r="BG126" i="12"/>
  <c r="BR126" i="12" s="1"/>
  <c r="V127" i="10" s="1"/>
  <c r="BH126" i="12"/>
  <c r="BS126" i="12" s="1"/>
  <c r="W127" i="10" s="1"/>
  <c r="BJ126" i="12"/>
  <c r="BN126" i="12" s="1"/>
  <c r="S127" i="10" s="1"/>
  <c r="BK126" i="12"/>
  <c r="BO126" i="12" s="1"/>
  <c r="T127" i="10" s="1"/>
  <c r="A139" i="1"/>
  <c r="BE126" i="12"/>
  <c r="BT126" i="12" s="1"/>
  <c r="O520" i="10"/>
  <c r="BK519" i="12"/>
  <c r="BO519" i="12" s="1"/>
  <c r="T520" i="10" s="1"/>
  <c r="BF519" i="12"/>
  <c r="BQ519" i="12" s="1"/>
  <c r="BI519" i="12"/>
  <c r="BM519" i="12" s="1"/>
  <c r="BJ519" i="12"/>
  <c r="BN519" i="12" s="1"/>
  <c r="S520" i="10" s="1"/>
  <c r="BG519" i="12"/>
  <c r="BR519" i="12" s="1"/>
  <c r="V520" i="10" s="1"/>
  <c r="BH519" i="12"/>
  <c r="BS519" i="12" s="1"/>
  <c r="W520" i="10" s="1"/>
  <c r="A532" i="1"/>
  <c r="BE519" i="12"/>
  <c r="BT519" i="12" s="1"/>
  <c r="O374" i="10"/>
  <c r="BI373" i="12"/>
  <c r="BM373" i="12" s="1"/>
  <c r="BJ373" i="12"/>
  <c r="BN373" i="12" s="1"/>
  <c r="S374" i="10" s="1"/>
  <c r="BG373" i="12"/>
  <c r="BR373" i="12" s="1"/>
  <c r="V374" i="10" s="1"/>
  <c r="BF373" i="12"/>
  <c r="BQ373" i="12" s="1"/>
  <c r="BH373" i="12"/>
  <c r="BS373" i="12" s="1"/>
  <c r="W374" i="10" s="1"/>
  <c r="BK373" i="12"/>
  <c r="BO373" i="12" s="1"/>
  <c r="T374" i="10" s="1"/>
  <c r="A386" i="1"/>
  <c r="BE373" i="12"/>
  <c r="BT373" i="12" s="1"/>
  <c r="O224" i="10"/>
  <c r="BF223" i="12"/>
  <c r="BQ223" i="12" s="1"/>
  <c r="BI223" i="12"/>
  <c r="BM223" i="12" s="1"/>
  <c r="BG223" i="12"/>
  <c r="BR223" i="12" s="1"/>
  <c r="V224" i="10" s="1"/>
  <c r="BH223" i="12"/>
  <c r="BS223" i="12" s="1"/>
  <c r="W224" i="10" s="1"/>
  <c r="BK223" i="12"/>
  <c r="BO223" i="12" s="1"/>
  <c r="T224" i="10" s="1"/>
  <c r="BJ223" i="12"/>
  <c r="BN223" i="12" s="1"/>
  <c r="S224" i="10" s="1"/>
  <c r="A236" i="1"/>
  <c r="BE223" i="12"/>
  <c r="BT223" i="12" s="1"/>
  <c r="O50" i="10"/>
  <c r="BF49" i="12"/>
  <c r="BQ49" i="12" s="1"/>
  <c r="BI49" i="12"/>
  <c r="BM49" i="12" s="1"/>
  <c r="BG49" i="12"/>
  <c r="BR49" i="12" s="1"/>
  <c r="V50" i="10" s="1"/>
  <c r="BK49" i="12"/>
  <c r="BO49" i="12" s="1"/>
  <c r="T50" i="10" s="1"/>
  <c r="BJ49" i="12"/>
  <c r="BN49" i="12" s="1"/>
  <c r="S50" i="10" s="1"/>
  <c r="BH49" i="12"/>
  <c r="BS49" i="12" s="1"/>
  <c r="W50" i="10" s="1"/>
  <c r="A62" i="1"/>
  <c r="BE49" i="12"/>
  <c r="BT49" i="12" s="1"/>
  <c r="O455" i="10"/>
  <c r="BK454" i="12"/>
  <c r="BO454" i="12" s="1"/>
  <c r="T455" i="10" s="1"/>
  <c r="BF454" i="12"/>
  <c r="BQ454" i="12" s="1"/>
  <c r="BH454" i="12"/>
  <c r="BS454" i="12" s="1"/>
  <c r="W455" i="10" s="1"/>
  <c r="BI454" i="12"/>
  <c r="BM454" i="12" s="1"/>
  <c r="BG454" i="12"/>
  <c r="BR454" i="12" s="1"/>
  <c r="V455" i="10" s="1"/>
  <c r="BJ454" i="12"/>
  <c r="BN454" i="12" s="1"/>
  <c r="S455" i="10" s="1"/>
  <c r="BE454" i="12"/>
  <c r="BT454" i="12" s="1"/>
  <c r="A467" i="1"/>
  <c r="O309" i="10"/>
  <c r="BJ308" i="12"/>
  <c r="BN308" i="12" s="1"/>
  <c r="S309" i="10" s="1"/>
  <c r="BI308" i="12"/>
  <c r="BM308" i="12" s="1"/>
  <c r="BF308" i="12"/>
  <c r="BQ308" i="12" s="1"/>
  <c r="BG308" i="12"/>
  <c r="BR308" i="12" s="1"/>
  <c r="V309" i="10" s="1"/>
  <c r="BH308" i="12"/>
  <c r="BS308" i="12" s="1"/>
  <c r="W309" i="10" s="1"/>
  <c r="BK308" i="12"/>
  <c r="BO308" i="12" s="1"/>
  <c r="T309" i="10" s="1"/>
  <c r="BE308" i="12"/>
  <c r="BT308" i="12" s="1"/>
  <c r="A321" i="1"/>
  <c r="O58" i="10"/>
  <c r="BF57" i="12"/>
  <c r="BQ57" i="12" s="1"/>
  <c r="BI57" i="12"/>
  <c r="BM57" i="12" s="1"/>
  <c r="BG57" i="12"/>
  <c r="BR57" i="12" s="1"/>
  <c r="V58" i="10" s="1"/>
  <c r="BK57" i="12"/>
  <c r="BO57" i="12" s="1"/>
  <c r="T58" i="10" s="1"/>
  <c r="BH57" i="12"/>
  <c r="BS57" i="12" s="1"/>
  <c r="W58" i="10" s="1"/>
  <c r="BJ57" i="12"/>
  <c r="BN57" i="12" s="1"/>
  <c r="S58" i="10" s="1"/>
  <c r="BE57" i="12"/>
  <c r="BT57" i="12" s="1"/>
  <c r="A70" i="1"/>
  <c r="O288" i="10"/>
  <c r="BF287" i="12"/>
  <c r="BQ287" i="12" s="1"/>
  <c r="BI287" i="12"/>
  <c r="BM287" i="12" s="1"/>
  <c r="BG287" i="12"/>
  <c r="BR287" i="12" s="1"/>
  <c r="V288" i="10" s="1"/>
  <c r="BJ287" i="12"/>
  <c r="BN287" i="12" s="1"/>
  <c r="S288" i="10" s="1"/>
  <c r="BK287" i="12"/>
  <c r="BO287" i="12" s="1"/>
  <c r="T288" i="10" s="1"/>
  <c r="BH287" i="12"/>
  <c r="BS287" i="12" s="1"/>
  <c r="W288" i="10" s="1"/>
  <c r="A300" i="1"/>
  <c r="BE287" i="12"/>
  <c r="BT287" i="12" s="1"/>
  <c r="O417" i="10"/>
  <c r="BI416" i="12"/>
  <c r="BM416" i="12" s="1"/>
  <c r="BJ416" i="12"/>
  <c r="BN416" i="12" s="1"/>
  <c r="S417" i="10" s="1"/>
  <c r="BF416" i="12"/>
  <c r="BQ416" i="12" s="1"/>
  <c r="BH416" i="12"/>
  <c r="BS416" i="12" s="1"/>
  <c r="W417" i="10" s="1"/>
  <c r="BG416" i="12"/>
  <c r="BR416" i="12" s="1"/>
  <c r="V417" i="10" s="1"/>
  <c r="BK416" i="12"/>
  <c r="BO416" i="12" s="1"/>
  <c r="T417" i="10" s="1"/>
  <c r="A429" i="1"/>
  <c r="BE416" i="12"/>
  <c r="BT416" i="12" s="1"/>
  <c r="O163" i="10"/>
  <c r="BI162" i="12"/>
  <c r="BM162" i="12" s="1"/>
  <c r="BF162" i="12"/>
  <c r="BQ162" i="12" s="1"/>
  <c r="BG162" i="12"/>
  <c r="BR162" i="12" s="1"/>
  <c r="V163" i="10" s="1"/>
  <c r="BH162" i="12"/>
  <c r="BS162" i="12" s="1"/>
  <c r="W163" i="10" s="1"/>
  <c r="BJ162" i="12"/>
  <c r="BN162" i="12" s="1"/>
  <c r="S163" i="10" s="1"/>
  <c r="BK162" i="12"/>
  <c r="BO162" i="12" s="1"/>
  <c r="T163" i="10" s="1"/>
  <c r="A175" i="1"/>
  <c r="BE162" i="12"/>
  <c r="BT162" i="12" s="1"/>
  <c r="O453" i="10"/>
  <c r="BJ452" i="12"/>
  <c r="BN452" i="12" s="1"/>
  <c r="S453" i="10" s="1"/>
  <c r="BK452" i="12"/>
  <c r="BO452" i="12" s="1"/>
  <c r="T453" i="10" s="1"/>
  <c r="BI452" i="12"/>
  <c r="BM452" i="12" s="1"/>
  <c r="BF452" i="12"/>
  <c r="BQ452" i="12" s="1"/>
  <c r="BG452" i="12"/>
  <c r="BR452" i="12" s="1"/>
  <c r="V453" i="10" s="1"/>
  <c r="BH452" i="12"/>
  <c r="BS452" i="12" s="1"/>
  <c r="W453" i="10" s="1"/>
  <c r="BE452" i="12"/>
  <c r="BT452" i="12" s="1"/>
  <c r="A465" i="1"/>
  <c r="O451" i="10"/>
  <c r="BK450" i="12"/>
  <c r="BO450" i="12" s="1"/>
  <c r="T451" i="10" s="1"/>
  <c r="BF450" i="12"/>
  <c r="BQ450" i="12" s="1"/>
  <c r="BH450" i="12"/>
  <c r="BS450" i="12" s="1"/>
  <c r="W451" i="10" s="1"/>
  <c r="BI450" i="12"/>
  <c r="BM450" i="12" s="1"/>
  <c r="BJ450" i="12"/>
  <c r="BN450" i="12" s="1"/>
  <c r="S451" i="10" s="1"/>
  <c r="BG450" i="12"/>
  <c r="BR450" i="12" s="1"/>
  <c r="V451" i="10" s="1"/>
  <c r="A463" i="1"/>
  <c r="BE450" i="12"/>
  <c r="BT450" i="12" s="1"/>
  <c r="O140" i="10"/>
  <c r="BJ139" i="12"/>
  <c r="BN139" i="12" s="1"/>
  <c r="S140" i="10" s="1"/>
  <c r="BI139" i="12"/>
  <c r="BM139" i="12" s="1"/>
  <c r="BF139" i="12"/>
  <c r="BQ139" i="12" s="1"/>
  <c r="BG139" i="12"/>
  <c r="BR139" i="12" s="1"/>
  <c r="V140" i="10" s="1"/>
  <c r="BH139" i="12"/>
  <c r="BS139" i="12" s="1"/>
  <c r="W140" i="10" s="1"/>
  <c r="BK139" i="12"/>
  <c r="BO139" i="12" s="1"/>
  <c r="T140" i="10" s="1"/>
  <c r="A152" i="1"/>
  <c r="BE139" i="12"/>
  <c r="BT139" i="12" s="1"/>
  <c r="O372" i="10"/>
  <c r="BI371" i="12"/>
  <c r="BM371" i="12" s="1"/>
  <c r="BG371" i="12"/>
  <c r="BR371" i="12" s="1"/>
  <c r="V372" i="10" s="1"/>
  <c r="BJ371" i="12"/>
  <c r="BN371" i="12" s="1"/>
  <c r="S372" i="10" s="1"/>
  <c r="BK371" i="12"/>
  <c r="BO371" i="12" s="1"/>
  <c r="T372" i="10" s="1"/>
  <c r="BF371" i="12"/>
  <c r="BQ371" i="12" s="1"/>
  <c r="BH371" i="12"/>
  <c r="BS371" i="12" s="1"/>
  <c r="W372" i="10" s="1"/>
  <c r="BE371" i="12"/>
  <c r="BT371" i="12" s="1"/>
  <c r="A384" i="1"/>
  <c r="O24" i="10"/>
  <c r="BI23" i="12"/>
  <c r="BM23" i="12" s="1"/>
  <c r="BJ23" i="12"/>
  <c r="BN23" i="12" s="1"/>
  <c r="S24" i="10" s="1"/>
  <c r="BF23" i="12"/>
  <c r="BQ23" i="12" s="1"/>
  <c r="BG23" i="12"/>
  <c r="BR23" i="12" s="1"/>
  <c r="V24" i="10" s="1"/>
  <c r="BH23" i="12"/>
  <c r="BS23" i="12" s="1"/>
  <c r="W24" i="10" s="1"/>
  <c r="BK23" i="12"/>
  <c r="BO23" i="12" s="1"/>
  <c r="T24" i="10" s="1"/>
  <c r="A36" i="1"/>
  <c r="BE23" i="12"/>
  <c r="BT23" i="12" s="1"/>
  <c r="O297" i="10"/>
  <c r="BK296" i="12"/>
  <c r="BO296" i="12" s="1"/>
  <c r="T297" i="10" s="1"/>
  <c r="BF296" i="12"/>
  <c r="BQ296" i="12" s="1"/>
  <c r="BJ296" i="12"/>
  <c r="BN296" i="12" s="1"/>
  <c r="S297" i="10" s="1"/>
  <c r="BG296" i="12"/>
  <c r="BR296" i="12" s="1"/>
  <c r="V297" i="10" s="1"/>
  <c r="BI296" i="12"/>
  <c r="BM296" i="12" s="1"/>
  <c r="BH296" i="12"/>
  <c r="BS296" i="12" s="1"/>
  <c r="W297" i="10" s="1"/>
  <c r="BE296" i="12"/>
  <c r="BT296" i="12" s="1"/>
  <c r="A309" i="1"/>
  <c r="O518" i="10"/>
  <c r="BF517" i="12"/>
  <c r="BQ517" i="12" s="1"/>
  <c r="BI517" i="12"/>
  <c r="BM517" i="12" s="1"/>
  <c r="BG517" i="12"/>
  <c r="BR517" i="12" s="1"/>
  <c r="V518" i="10" s="1"/>
  <c r="BH517" i="12"/>
  <c r="BS517" i="12" s="1"/>
  <c r="W518" i="10" s="1"/>
  <c r="BJ517" i="12"/>
  <c r="BN517" i="12" s="1"/>
  <c r="S518" i="10" s="1"/>
  <c r="BK517" i="12"/>
  <c r="BO517" i="12" s="1"/>
  <c r="T518" i="10" s="1"/>
  <c r="BE517" i="12"/>
  <c r="BT517" i="12" s="1"/>
  <c r="A530" i="1"/>
  <c r="O238" i="10"/>
  <c r="BI237" i="12"/>
  <c r="BM237" i="12" s="1"/>
  <c r="BG237" i="12"/>
  <c r="BR237" i="12" s="1"/>
  <c r="V238" i="10" s="1"/>
  <c r="BJ237" i="12"/>
  <c r="BN237" i="12" s="1"/>
  <c r="S238" i="10" s="1"/>
  <c r="BH237" i="12"/>
  <c r="BS237" i="12" s="1"/>
  <c r="W238" i="10" s="1"/>
  <c r="BF237" i="12"/>
  <c r="BQ237" i="12" s="1"/>
  <c r="BK237" i="12"/>
  <c r="BO237" i="12" s="1"/>
  <c r="T238" i="10" s="1"/>
  <c r="BE237" i="12"/>
  <c r="BT237" i="12" s="1"/>
  <c r="A250" i="1"/>
  <c r="O472" i="10"/>
  <c r="BI471" i="12"/>
  <c r="BM471" i="12" s="1"/>
  <c r="BG471" i="12"/>
  <c r="BR471" i="12" s="1"/>
  <c r="V472" i="10" s="1"/>
  <c r="BJ471" i="12"/>
  <c r="BN471" i="12" s="1"/>
  <c r="S472" i="10" s="1"/>
  <c r="BH471" i="12"/>
  <c r="BS471" i="12" s="1"/>
  <c r="W472" i="10" s="1"/>
  <c r="BF471" i="12"/>
  <c r="BQ471" i="12" s="1"/>
  <c r="BK471" i="12"/>
  <c r="BO471" i="12" s="1"/>
  <c r="T472" i="10" s="1"/>
  <c r="A484" i="1"/>
  <c r="BE471" i="12"/>
  <c r="BT471" i="12" s="1"/>
  <c r="O173" i="10"/>
  <c r="BJ172" i="12"/>
  <c r="BN172" i="12" s="1"/>
  <c r="S173" i="10" s="1"/>
  <c r="BH172" i="12"/>
  <c r="BS172" i="12" s="1"/>
  <c r="W173" i="10" s="1"/>
  <c r="BK172" i="12"/>
  <c r="BO172" i="12" s="1"/>
  <c r="T173" i="10" s="1"/>
  <c r="BF172" i="12"/>
  <c r="BQ172" i="12" s="1"/>
  <c r="BG172" i="12"/>
  <c r="BR172" i="12" s="1"/>
  <c r="V173" i="10" s="1"/>
  <c r="BI172" i="12"/>
  <c r="BM172" i="12" s="1"/>
  <c r="A185" i="1"/>
  <c r="BE172" i="12"/>
  <c r="BT172" i="12" s="1"/>
  <c r="O33" i="10"/>
  <c r="BJ32" i="12"/>
  <c r="BN32" i="12" s="1"/>
  <c r="S33" i="10" s="1"/>
  <c r="BH32" i="12"/>
  <c r="BS32" i="12" s="1"/>
  <c r="W33" i="10" s="1"/>
  <c r="BK32" i="12"/>
  <c r="BO32" i="12" s="1"/>
  <c r="T33" i="10" s="1"/>
  <c r="BF32" i="12"/>
  <c r="BQ32" i="12" s="1"/>
  <c r="BG32" i="12"/>
  <c r="BR32" i="12" s="1"/>
  <c r="V33" i="10" s="1"/>
  <c r="BI32" i="12"/>
  <c r="BM32" i="12" s="1"/>
  <c r="A45" i="1"/>
  <c r="BE32" i="12"/>
  <c r="BT32" i="12" s="1"/>
  <c r="O422" i="10"/>
  <c r="BK421" i="12"/>
  <c r="BO421" i="12" s="1"/>
  <c r="T422" i="10" s="1"/>
  <c r="BF421" i="12"/>
  <c r="BQ421" i="12" s="1"/>
  <c r="BI421" i="12"/>
  <c r="BM421" i="12" s="1"/>
  <c r="BJ421" i="12"/>
  <c r="BN421" i="12" s="1"/>
  <c r="S422" i="10" s="1"/>
  <c r="BG421" i="12"/>
  <c r="BR421" i="12" s="1"/>
  <c r="V422" i="10" s="1"/>
  <c r="BH421" i="12"/>
  <c r="BS421" i="12" s="1"/>
  <c r="W422" i="10" s="1"/>
  <c r="BE421" i="12"/>
  <c r="BT421" i="12" s="1"/>
  <c r="A434" i="1"/>
  <c r="BF274" i="12"/>
  <c r="BQ274" i="12" s="1"/>
  <c r="BI274" i="12"/>
  <c r="BM274" i="12" s="1"/>
  <c r="BG274" i="12"/>
  <c r="BR274" i="12" s="1"/>
  <c r="V275" i="10" s="1"/>
  <c r="BJ274" i="12"/>
  <c r="BN274" i="12" s="1"/>
  <c r="S275" i="10" s="1"/>
  <c r="BH274" i="12"/>
  <c r="BS274" i="12" s="1"/>
  <c r="W275" i="10" s="1"/>
  <c r="BK274" i="12"/>
  <c r="BO274" i="12" s="1"/>
  <c r="T275" i="10" s="1"/>
  <c r="O275" i="10"/>
  <c r="BE274" i="12"/>
  <c r="BT274" i="12" s="1"/>
  <c r="A287" i="1"/>
  <c r="O193" i="10"/>
  <c r="BJ192" i="12"/>
  <c r="BN192" i="12" s="1"/>
  <c r="S193" i="10" s="1"/>
  <c r="BH192" i="12"/>
  <c r="BS192" i="12" s="1"/>
  <c r="W193" i="10" s="1"/>
  <c r="BK192" i="12"/>
  <c r="BO192" i="12" s="1"/>
  <c r="T193" i="10" s="1"/>
  <c r="BF192" i="12"/>
  <c r="BQ192" i="12" s="1"/>
  <c r="BG192" i="12"/>
  <c r="BR192" i="12" s="1"/>
  <c r="V193" i="10" s="1"/>
  <c r="BI192" i="12"/>
  <c r="BM192" i="12" s="1"/>
  <c r="A205" i="1"/>
  <c r="BE192" i="12"/>
  <c r="BT192" i="12" s="1"/>
  <c r="O106" i="10"/>
  <c r="BI105" i="12"/>
  <c r="BM105" i="12" s="1"/>
  <c r="BG105" i="12"/>
  <c r="BR105" i="12" s="1"/>
  <c r="V106" i="10" s="1"/>
  <c r="BJ105" i="12"/>
  <c r="BN105" i="12" s="1"/>
  <c r="S106" i="10" s="1"/>
  <c r="BH105" i="12"/>
  <c r="BS105" i="12" s="1"/>
  <c r="W106" i="10" s="1"/>
  <c r="BF105" i="12"/>
  <c r="BQ105" i="12" s="1"/>
  <c r="BK105" i="12"/>
  <c r="BO105" i="12" s="1"/>
  <c r="T106" i="10" s="1"/>
  <c r="A118" i="1"/>
  <c r="BE105" i="12"/>
  <c r="BT105" i="12" s="1"/>
  <c r="O22" i="10"/>
  <c r="BJ21" i="12"/>
  <c r="BN21" i="12" s="1"/>
  <c r="S22" i="10" s="1"/>
  <c r="BH21" i="12"/>
  <c r="BS21" i="12" s="1"/>
  <c r="W22" i="10" s="1"/>
  <c r="BK21" i="12"/>
  <c r="BO21" i="12" s="1"/>
  <c r="T22" i="10" s="1"/>
  <c r="BI21" i="12"/>
  <c r="BM21" i="12" s="1"/>
  <c r="BG21" i="12"/>
  <c r="BR21" i="12" s="1"/>
  <c r="V22" i="10" s="1"/>
  <c r="BF21" i="12"/>
  <c r="BQ21" i="12" s="1"/>
  <c r="A34" i="1"/>
  <c r="BE21" i="12"/>
  <c r="BT21" i="12" s="1"/>
  <c r="O503" i="10"/>
  <c r="BI502" i="12"/>
  <c r="BM502" i="12" s="1"/>
  <c r="BG502" i="12"/>
  <c r="BR502" i="12" s="1"/>
  <c r="V503" i="10" s="1"/>
  <c r="BJ502" i="12"/>
  <c r="BN502" i="12" s="1"/>
  <c r="S503" i="10" s="1"/>
  <c r="BH502" i="12"/>
  <c r="BS502" i="12" s="1"/>
  <c r="W503" i="10" s="1"/>
  <c r="BK502" i="12"/>
  <c r="BO502" i="12" s="1"/>
  <c r="T503" i="10" s="1"/>
  <c r="BF502" i="12"/>
  <c r="BQ502" i="12" s="1"/>
  <c r="BE502" i="12"/>
  <c r="BT502" i="12" s="1"/>
  <c r="A515" i="1"/>
  <c r="O430" i="10"/>
  <c r="BI429" i="12"/>
  <c r="BM429" i="12" s="1"/>
  <c r="BG429" i="12"/>
  <c r="BR429" i="12" s="1"/>
  <c r="V430" i="10" s="1"/>
  <c r="BJ429" i="12"/>
  <c r="BN429" i="12" s="1"/>
  <c r="S430" i="10" s="1"/>
  <c r="BH429" i="12"/>
  <c r="BS429" i="12" s="1"/>
  <c r="W430" i="10" s="1"/>
  <c r="BK429" i="12"/>
  <c r="BO429" i="12" s="1"/>
  <c r="T430" i="10" s="1"/>
  <c r="BF429" i="12"/>
  <c r="BQ429" i="12" s="1"/>
  <c r="A442" i="1"/>
  <c r="BE429" i="12"/>
  <c r="BT429" i="12" s="1"/>
  <c r="O357" i="10"/>
  <c r="BJ356" i="12"/>
  <c r="BN356" i="12" s="1"/>
  <c r="S357" i="10" s="1"/>
  <c r="BH356" i="12"/>
  <c r="BS356" i="12" s="1"/>
  <c r="W357" i="10" s="1"/>
  <c r="BK356" i="12"/>
  <c r="BO356" i="12" s="1"/>
  <c r="T357" i="10" s="1"/>
  <c r="BI356" i="12"/>
  <c r="BM356" i="12" s="1"/>
  <c r="BG356" i="12"/>
  <c r="BR356" i="12" s="1"/>
  <c r="V357" i="10" s="1"/>
  <c r="BF356" i="12"/>
  <c r="BQ356" i="12" s="1"/>
  <c r="A369" i="1"/>
  <c r="BE356" i="12"/>
  <c r="BT356" i="12" s="1"/>
  <c r="O284" i="10"/>
  <c r="BJ283" i="12"/>
  <c r="BN283" i="12" s="1"/>
  <c r="S284" i="10" s="1"/>
  <c r="BH283" i="12"/>
  <c r="BS283" i="12" s="1"/>
  <c r="W284" i="10" s="1"/>
  <c r="BK283" i="12"/>
  <c r="BO283" i="12" s="1"/>
  <c r="T284" i="10" s="1"/>
  <c r="BI283" i="12"/>
  <c r="BM283" i="12" s="1"/>
  <c r="BG283" i="12"/>
  <c r="BR283" i="12" s="1"/>
  <c r="V284" i="10" s="1"/>
  <c r="BF283" i="12"/>
  <c r="BQ283" i="12" s="1"/>
  <c r="A296" i="1"/>
  <c r="BE283" i="12"/>
  <c r="BT283" i="12" s="1"/>
  <c r="O202" i="10"/>
  <c r="BF201" i="12"/>
  <c r="BQ201" i="12" s="1"/>
  <c r="BI201" i="12"/>
  <c r="BM201" i="12" s="1"/>
  <c r="BG201" i="12"/>
  <c r="BR201" i="12" s="1"/>
  <c r="V202" i="10" s="1"/>
  <c r="BJ201" i="12"/>
  <c r="BN201" i="12" s="1"/>
  <c r="S202" i="10" s="1"/>
  <c r="BK201" i="12"/>
  <c r="BO201" i="12" s="1"/>
  <c r="T202" i="10" s="1"/>
  <c r="BH201" i="12"/>
  <c r="BS201" i="12" s="1"/>
  <c r="W202" i="10" s="1"/>
  <c r="BE201" i="12"/>
  <c r="BT201" i="12" s="1"/>
  <c r="A214" i="1"/>
  <c r="O116" i="10"/>
  <c r="BI115" i="12"/>
  <c r="BM115" i="12" s="1"/>
  <c r="BG115" i="12"/>
  <c r="BR115" i="12" s="1"/>
  <c r="V116" i="10" s="1"/>
  <c r="BJ115" i="12"/>
  <c r="BN115" i="12" s="1"/>
  <c r="S116" i="10" s="1"/>
  <c r="BH115" i="12"/>
  <c r="BS115" i="12" s="1"/>
  <c r="W116" i="10" s="1"/>
  <c r="BF115" i="12"/>
  <c r="BQ115" i="12" s="1"/>
  <c r="BK115" i="12"/>
  <c r="BO115" i="12" s="1"/>
  <c r="T116" i="10" s="1"/>
  <c r="A128" i="1"/>
  <c r="BE115" i="12"/>
  <c r="BT115" i="12" s="1"/>
  <c r="BK30" i="12"/>
  <c r="BO30" i="12" s="1"/>
  <c r="T31" i="10" s="1"/>
  <c r="BF30" i="12"/>
  <c r="BQ30" i="12" s="1"/>
  <c r="BI30" i="12"/>
  <c r="BM30" i="12" s="1"/>
  <c r="BG30" i="12"/>
  <c r="BR30" i="12" s="1"/>
  <c r="V31" i="10" s="1"/>
  <c r="BJ30" i="12"/>
  <c r="BN30" i="12" s="1"/>
  <c r="S31" i="10" s="1"/>
  <c r="BH30" i="12"/>
  <c r="BS30" i="12" s="1"/>
  <c r="W31" i="10" s="1"/>
  <c r="O31" i="10"/>
  <c r="A43" i="1"/>
  <c r="BE30" i="12"/>
  <c r="BT30" i="12" s="1"/>
  <c r="O511" i="10"/>
  <c r="BI510" i="12"/>
  <c r="BM510" i="12" s="1"/>
  <c r="BG510" i="12"/>
  <c r="BR510" i="12" s="1"/>
  <c r="V511" i="10" s="1"/>
  <c r="BJ510" i="12"/>
  <c r="BN510" i="12" s="1"/>
  <c r="S511" i="10" s="1"/>
  <c r="BH510" i="12"/>
  <c r="BS510" i="12" s="1"/>
  <c r="W511" i="10" s="1"/>
  <c r="BF510" i="12"/>
  <c r="BQ510" i="12" s="1"/>
  <c r="BK510" i="12"/>
  <c r="BO510" i="12" s="1"/>
  <c r="T511" i="10" s="1"/>
  <c r="A523" i="1"/>
  <c r="BE510" i="12"/>
  <c r="BT510" i="12" s="1"/>
  <c r="O438" i="10"/>
  <c r="BI437" i="12"/>
  <c r="BM437" i="12" s="1"/>
  <c r="BG437" i="12"/>
  <c r="BR437" i="12" s="1"/>
  <c r="V438" i="10" s="1"/>
  <c r="BJ437" i="12"/>
  <c r="BN437" i="12" s="1"/>
  <c r="S438" i="10" s="1"/>
  <c r="BH437" i="12"/>
  <c r="BS437" i="12" s="1"/>
  <c r="W438" i="10" s="1"/>
  <c r="BK437" i="12"/>
  <c r="BO437" i="12" s="1"/>
  <c r="T438" i="10" s="1"/>
  <c r="BF437" i="12"/>
  <c r="BQ437" i="12" s="1"/>
  <c r="BE437" i="12"/>
  <c r="BT437" i="12" s="1"/>
  <c r="A450" i="1"/>
  <c r="O365" i="10"/>
  <c r="BJ364" i="12"/>
  <c r="BN364" i="12" s="1"/>
  <c r="S365" i="10" s="1"/>
  <c r="BH364" i="12"/>
  <c r="BS364" i="12" s="1"/>
  <c r="W365" i="10" s="1"/>
  <c r="BK364" i="12"/>
  <c r="BO364" i="12" s="1"/>
  <c r="T365" i="10" s="1"/>
  <c r="BI364" i="12"/>
  <c r="BM364" i="12" s="1"/>
  <c r="BF364" i="12"/>
  <c r="BQ364" i="12" s="1"/>
  <c r="BG364" i="12"/>
  <c r="BR364" i="12" s="1"/>
  <c r="V365" i="10" s="1"/>
  <c r="BE364" i="12"/>
  <c r="BT364" i="12" s="1"/>
  <c r="A377" i="1"/>
  <c r="O292" i="10"/>
  <c r="BJ291" i="12"/>
  <c r="BN291" i="12" s="1"/>
  <c r="S292" i="10" s="1"/>
  <c r="BK291" i="12"/>
  <c r="BO291" i="12" s="1"/>
  <c r="T292" i="10" s="1"/>
  <c r="BF291" i="12"/>
  <c r="BQ291" i="12" s="1"/>
  <c r="BG291" i="12"/>
  <c r="BR291" i="12" s="1"/>
  <c r="V292" i="10" s="1"/>
  <c r="BH291" i="12"/>
  <c r="BS291" i="12" s="1"/>
  <c r="W292" i="10" s="1"/>
  <c r="BI291" i="12"/>
  <c r="BM291" i="12" s="1"/>
  <c r="A304" i="1"/>
  <c r="BE291" i="12"/>
  <c r="BT291" i="12" s="1"/>
  <c r="BI210" i="12"/>
  <c r="BM210" i="12" s="1"/>
  <c r="BG210" i="12"/>
  <c r="BR210" i="12" s="1"/>
  <c r="V211" i="10" s="1"/>
  <c r="BJ210" i="12"/>
  <c r="BN210" i="12" s="1"/>
  <c r="S211" i="10" s="1"/>
  <c r="BH210" i="12"/>
  <c r="BS210" i="12" s="1"/>
  <c r="W211" i="10" s="1"/>
  <c r="BK210" i="12"/>
  <c r="BO210" i="12" s="1"/>
  <c r="T211" i="10" s="1"/>
  <c r="O211" i="10"/>
  <c r="BF210" i="12"/>
  <c r="BQ210" i="12" s="1"/>
  <c r="BE210" i="12"/>
  <c r="BT210" i="12" s="1"/>
  <c r="A223" i="1"/>
  <c r="O126" i="10"/>
  <c r="BI125" i="12"/>
  <c r="BM125" i="12" s="1"/>
  <c r="BF125" i="12"/>
  <c r="BQ125" i="12" s="1"/>
  <c r="BG125" i="12"/>
  <c r="BR125" i="12" s="1"/>
  <c r="V126" i="10" s="1"/>
  <c r="BH125" i="12"/>
  <c r="BS125" i="12" s="1"/>
  <c r="W126" i="10" s="1"/>
  <c r="BJ125" i="12"/>
  <c r="BN125" i="12" s="1"/>
  <c r="S126" i="10" s="1"/>
  <c r="BK125" i="12"/>
  <c r="BO125" i="12" s="1"/>
  <c r="T126" i="10" s="1"/>
  <c r="BE125" i="12"/>
  <c r="BT125" i="12" s="1"/>
  <c r="A138" i="1"/>
  <c r="O40" i="10"/>
  <c r="BI39" i="12"/>
  <c r="BM39" i="12" s="1"/>
  <c r="BJ39" i="12"/>
  <c r="BN39" i="12" s="1"/>
  <c r="S40" i="10" s="1"/>
  <c r="BF39" i="12"/>
  <c r="BQ39" i="12" s="1"/>
  <c r="BG39" i="12"/>
  <c r="BR39" i="12" s="1"/>
  <c r="V40" i="10" s="1"/>
  <c r="BH39" i="12"/>
  <c r="BS39" i="12" s="1"/>
  <c r="W40" i="10" s="1"/>
  <c r="BK39" i="12"/>
  <c r="BO39" i="12" s="1"/>
  <c r="T40" i="10" s="1"/>
  <c r="A52" i="1"/>
  <c r="BE39" i="12"/>
  <c r="BT39" i="12" s="1"/>
  <c r="O519" i="10"/>
  <c r="BI518" i="12"/>
  <c r="BM518" i="12" s="1"/>
  <c r="BG518" i="12"/>
  <c r="BR518" i="12" s="1"/>
  <c r="V519" i="10" s="1"/>
  <c r="BJ518" i="12"/>
  <c r="BN518" i="12" s="1"/>
  <c r="S519" i="10" s="1"/>
  <c r="BH518" i="12"/>
  <c r="BS518" i="12" s="1"/>
  <c r="W519" i="10" s="1"/>
  <c r="BK518" i="12"/>
  <c r="BO518" i="12" s="1"/>
  <c r="T519" i="10" s="1"/>
  <c r="BF518" i="12"/>
  <c r="BQ518" i="12" s="1"/>
  <c r="A531" i="1"/>
  <c r="BE518" i="12"/>
  <c r="BT518" i="12" s="1"/>
  <c r="O446" i="10"/>
  <c r="BK445" i="12"/>
  <c r="BO445" i="12" s="1"/>
  <c r="T446" i="10" s="1"/>
  <c r="BF445" i="12"/>
  <c r="BQ445" i="12" s="1"/>
  <c r="BI445" i="12"/>
  <c r="BM445" i="12" s="1"/>
  <c r="BJ445" i="12"/>
  <c r="BN445" i="12" s="1"/>
  <c r="S446" i="10" s="1"/>
  <c r="BH445" i="12"/>
  <c r="BS445" i="12" s="1"/>
  <c r="W446" i="10" s="1"/>
  <c r="BG445" i="12"/>
  <c r="BR445" i="12" s="1"/>
  <c r="V446" i="10" s="1"/>
  <c r="A458" i="1"/>
  <c r="BE445" i="12"/>
  <c r="BT445" i="12" s="1"/>
  <c r="O373" i="10"/>
  <c r="BK372" i="12"/>
  <c r="BO372" i="12" s="1"/>
  <c r="T373" i="10" s="1"/>
  <c r="BG372" i="12"/>
  <c r="BR372" i="12" s="1"/>
  <c r="V373" i="10" s="1"/>
  <c r="BI372" i="12"/>
  <c r="BM372" i="12" s="1"/>
  <c r="BH372" i="12"/>
  <c r="BS372" i="12" s="1"/>
  <c r="W373" i="10" s="1"/>
  <c r="BJ372" i="12"/>
  <c r="BN372" i="12" s="1"/>
  <c r="S373" i="10" s="1"/>
  <c r="BF372" i="12"/>
  <c r="BQ372" i="12" s="1"/>
  <c r="A385" i="1"/>
  <c r="BE372" i="12"/>
  <c r="BT372" i="12" s="1"/>
  <c r="O300" i="10"/>
  <c r="BJ299" i="12"/>
  <c r="BN299" i="12" s="1"/>
  <c r="S300" i="10" s="1"/>
  <c r="BI299" i="12"/>
  <c r="BM299" i="12" s="1"/>
  <c r="BG299" i="12"/>
  <c r="BR299" i="12" s="1"/>
  <c r="V300" i="10" s="1"/>
  <c r="BH299" i="12"/>
  <c r="BS299" i="12" s="1"/>
  <c r="W300" i="10" s="1"/>
  <c r="BF299" i="12"/>
  <c r="BQ299" i="12" s="1"/>
  <c r="BK299" i="12"/>
  <c r="BO299" i="12" s="1"/>
  <c r="T300" i="10" s="1"/>
  <c r="A312" i="1"/>
  <c r="BE299" i="12"/>
  <c r="BT299" i="12" s="1"/>
  <c r="O222" i="10"/>
  <c r="BI221" i="12"/>
  <c r="BM221" i="12" s="1"/>
  <c r="BG221" i="12"/>
  <c r="BR221" i="12" s="1"/>
  <c r="V222" i="10" s="1"/>
  <c r="BJ221" i="12"/>
  <c r="BN221" i="12" s="1"/>
  <c r="S222" i="10" s="1"/>
  <c r="BH221" i="12"/>
  <c r="BS221" i="12" s="1"/>
  <c r="W222" i="10" s="1"/>
  <c r="BK221" i="12"/>
  <c r="BO221" i="12" s="1"/>
  <c r="T222" i="10" s="1"/>
  <c r="BF221" i="12"/>
  <c r="BQ221" i="12" s="1"/>
  <c r="A234" i="1"/>
  <c r="BE221" i="12"/>
  <c r="BT221" i="12" s="1"/>
  <c r="O135" i="10"/>
  <c r="BF134" i="12"/>
  <c r="BQ134" i="12" s="1"/>
  <c r="BI134" i="12"/>
  <c r="BM134" i="12" s="1"/>
  <c r="BG134" i="12"/>
  <c r="BR134" i="12" s="1"/>
  <c r="V135" i="10" s="1"/>
  <c r="BJ134" i="12"/>
  <c r="BN134" i="12" s="1"/>
  <c r="S135" i="10" s="1"/>
  <c r="BH134" i="12"/>
  <c r="BS134" i="12" s="1"/>
  <c r="W135" i="10" s="1"/>
  <c r="BK134" i="12"/>
  <c r="BO134" i="12" s="1"/>
  <c r="T135" i="10" s="1"/>
  <c r="BE134" i="12"/>
  <c r="BT134" i="12" s="1"/>
  <c r="A147" i="1"/>
  <c r="O49" i="10"/>
  <c r="BK48" i="12"/>
  <c r="BO48" i="12" s="1"/>
  <c r="T49" i="10" s="1"/>
  <c r="BF48" i="12"/>
  <c r="BQ48" i="12" s="1"/>
  <c r="BI48" i="12"/>
  <c r="BM48" i="12" s="1"/>
  <c r="BJ48" i="12"/>
  <c r="BN48" i="12" s="1"/>
  <c r="S49" i="10" s="1"/>
  <c r="BG48" i="12"/>
  <c r="BR48" i="12" s="1"/>
  <c r="V49" i="10" s="1"/>
  <c r="BH48" i="12"/>
  <c r="BS48" i="12" s="1"/>
  <c r="W49" i="10" s="1"/>
  <c r="A61" i="1"/>
  <c r="BE48" i="12"/>
  <c r="BT48" i="12" s="1"/>
  <c r="O554" i="10"/>
  <c r="BI553" i="12"/>
  <c r="BM553" i="12" s="1"/>
  <c r="BG553" i="12"/>
  <c r="BR553" i="12" s="1"/>
  <c r="V554" i="10" s="1"/>
  <c r="BJ553" i="12"/>
  <c r="BN553" i="12" s="1"/>
  <c r="S554" i="10" s="1"/>
  <c r="BH553" i="12"/>
  <c r="BS553" i="12" s="1"/>
  <c r="W554" i="10" s="1"/>
  <c r="BF553" i="12"/>
  <c r="BQ553" i="12" s="1"/>
  <c r="BK553" i="12"/>
  <c r="BO553" i="12" s="1"/>
  <c r="T554" i="10" s="1"/>
  <c r="A566" i="1"/>
  <c r="BE553" i="12"/>
  <c r="BT553" i="12" s="1"/>
  <c r="O490" i="10"/>
  <c r="BJ489" i="12"/>
  <c r="BN489" i="12" s="1"/>
  <c r="S490" i="10" s="1"/>
  <c r="BH489" i="12"/>
  <c r="BS489" i="12" s="1"/>
  <c r="W490" i="10" s="1"/>
  <c r="BK489" i="12"/>
  <c r="BO489" i="12" s="1"/>
  <c r="T490" i="10" s="1"/>
  <c r="BF489" i="12"/>
  <c r="BQ489" i="12" s="1"/>
  <c r="BG489" i="12"/>
  <c r="BR489" i="12" s="1"/>
  <c r="V490" i="10" s="1"/>
  <c r="BI489" i="12"/>
  <c r="BM489" i="12" s="1"/>
  <c r="BE489" i="12"/>
  <c r="BT489" i="12" s="1"/>
  <c r="A502" i="1"/>
  <c r="O426" i="10"/>
  <c r="BK425" i="12"/>
  <c r="BO425" i="12" s="1"/>
  <c r="T426" i="10" s="1"/>
  <c r="BF425" i="12"/>
  <c r="BQ425" i="12" s="1"/>
  <c r="BI425" i="12"/>
  <c r="BM425" i="12" s="1"/>
  <c r="BJ425" i="12"/>
  <c r="BN425" i="12" s="1"/>
  <c r="S426" i="10" s="1"/>
  <c r="BH425" i="12"/>
  <c r="BS425" i="12" s="1"/>
  <c r="W426" i="10" s="1"/>
  <c r="BG425" i="12"/>
  <c r="BR425" i="12" s="1"/>
  <c r="V426" i="10" s="1"/>
  <c r="A438" i="1"/>
  <c r="BE425" i="12"/>
  <c r="BT425" i="12" s="1"/>
  <c r="O362" i="10"/>
  <c r="BJ361" i="12"/>
  <c r="BN361" i="12" s="1"/>
  <c r="S362" i="10" s="1"/>
  <c r="BH361" i="12"/>
  <c r="BS361" i="12" s="1"/>
  <c r="W362" i="10" s="1"/>
  <c r="BI361" i="12"/>
  <c r="BM361" i="12" s="1"/>
  <c r="BK361" i="12"/>
  <c r="BO361" i="12" s="1"/>
  <c r="T362" i="10" s="1"/>
  <c r="BG361" i="12"/>
  <c r="BR361" i="12" s="1"/>
  <c r="V362" i="10" s="1"/>
  <c r="BF361" i="12"/>
  <c r="BQ361" i="12" s="1"/>
  <c r="A374" i="1"/>
  <c r="BE361" i="12"/>
  <c r="BT361" i="12" s="1"/>
  <c r="O298" i="10"/>
  <c r="BK297" i="12"/>
  <c r="BO297" i="12" s="1"/>
  <c r="T298" i="10" s="1"/>
  <c r="BF297" i="12"/>
  <c r="BQ297" i="12" s="1"/>
  <c r="BI297" i="12"/>
  <c r="BM297" i="12" s="1"/>
  <c r="BJ297" i="12"/>
  <c r="BN297" i="12" s="1"/>
  <c r="S298" i="10" s="1"/>
  <c r="BH297" i="12"/>
  <c r="BS297" i="12" s="1"/>
  <c r="W298" i="10" s="1"/>
  <c r="BG297" i="12"/>
  <c r="BR297" i="12" s="1"/>
  <c r="V298" i="10" s="1"/>
  <c r="A310" i="1"/>
  <c r="BE297" i="12"/>
  <c r="BT297" i="12" s="1"/>
  <c r="O231" i="10"/>
  <c r="BJ230" i="12"/>
  <c r="BN230" i="12" s="1"/>
  <c r="S231" i="10" s="1"/>
  <c r="BH230" i="12"/>
  <c r="BS230" i="12" s="1"/>
  <c r="W231" i="10" s="1"/>
  <c r="BK230" i="12"/>
  <c r="BO230" i="12" s="1"/>
  <c r="T231" i="10" s="1"/>
  <c r="BF230" i="12"/>
  <c r="BQ230" i="12" s="1"/>
  <c r="BI230" i="12"/>
  <c r="BM230" i="12" s="1"/>
  <c r="BG230" i="12"/>
  <c r="BR230" i="12" s="1"/>
  <c r="V231" i="10" s="1"/>
  <c r="A243" i="1"/>
  <c r="BE230" i="12"/>
  <c r="BT230" i="12" s="1"/>
  <c r="O166" i="10"/>
  <c r="BF165" i="12"/>
  <c r="BQ165" i="12" s="1"/>
  <c r="BI165" i="12"/>
  <c r="BM165" i="12" s="1"/>
  <c r="BG165" i="12"/>
  <c r="BR165" i="12" s="1"/>
  <c r="V166" i="10" s="1"/>
  <c r="BH165" i="12"/>
  <c r="BS165" i="12" s="1"/>
  <c r="W166" i="10" s="1"/>
  <c r="BJ165" i="12"/>
  <c r="BN165" i="12" s="1"/>
  <c r="S166" i="10" s="1"/>
  <c r="BK165" i="12"/>
  <c r="BO165" i="12" s="1"/>
  <c r="T166" i="10" s="1"/>
  <c r="A178" i="1"/>
  <c r="BE165" i="12"/>
  <c r="BT165" i="12" s="1"/>
  <c r="O101" i="10"/>
  <c r="BK100" i="12"/>
  <c r="BO100" i="12" s="1"/>
  <c r="T101" i="10" s="1"/>
  <c r="BF100" i="12"/>
  <c r="BQ100" i="12" s="1"/>
  <c r="BI100" i="12"/>
  <c r="BM100" i="12" s="1"/>
  <c r="BJ100" i="12"/>
  <c r="BN100" i="12" s="1"/>
  <c r="S101" i="10" s="1"/>
  <c r="BG100" i="12"/>
  <c r="BR100" i="12" s="1"/>
  <c r="V101" i="10" s="1"/>
  <c r="BH100" i="12"/>
  <c r="BS100" i="12" s="1"/>
  <c r="W101" i="10" s="1"/>
  <c r="A113" i="1"/>
  <c r="BE100" i="12"/>
  <c r="BT100" i="12" s="1"/>
  <c r="O37" i="10"/>
  <c r="BF36" i="12"/>
  <c r="BQ36" i="12" s="1"/>
  <c r="BI36" i="12"/>
  <c r="BM36" i="12" s="1"/>
  <c r="BG36" i="12"/>
  <c r="BR36" i="12" s="1"/>
  <c r="V37" i="10" s="1"/>
  <c r="BJ36" i="12"/>
  <c r="BN36" i="12" s="1"/>
  <c r="S37" i="10" s="1"/>
  <c r="BH36" i="12"/>
  <c r="BS36" i="12" s="1"/>
  <c r="W37" i="10" s="1"/>
  <c r="BK36" i="12"/>
  <c r="BO36" i="12" s="1"/>
  <c r="T37" i="10" s="1"/>
  <c r="A49" i="1"/>
  <c r="BE36" i="12"/>
  <c r="BT36" i="12" s="1"/>
  <c r="O204" i="10"/>
  <c r="BK203" i="12"/>
  <c r="BO203" i="12" s="1"/>
  <c r="T204" i="10" s="1"/>
  <c r="BF203" i="12"/>
  <c r="BQ203" i="12" s="1"/>
  <c r="BI203" i="12"/>
  <c r="BM203" i="12" s="1"/>
  <c r="BH203" i="12"/>
  <c r="BS203" i="12" s="1"/>
  <c r="W204" i="10" s="1"/>
  <c r="BJ203" i="12"/>
  <c r="BN203" i="12" s="1"/>
  <c r="S204" i="10" s="1"/>
  <c r="BG203" i="12"/>
  <c r="BR203" i="12" s="1"/>
  <c r="V204" i="10" s="1"/>
  <c r="A216" i="1"/>
  <c r="BE203" i="12"/>
  <c r="BT203" i="12" s="1"/>
  <c r="O139" i="10"/>
  <c r="BI138" i="12"/>
  <c r="BM138" i="12" s="1"/>
  <c r="BJ138" i="12"/>
  <c r="BN138" i="12" s="1"/>
  <c r="S139" i="10" s="1"/>
  <c r="BG138" i="12"/>
  <c r="BR138" i="12" s="1"/>
  <c r="V139" i="10" s="1"/>
  <c r="BH138" i="12"/>
  <c r="BS138" i="12" s="1"/>
  <c r="W139" i="10" s="1"/>
  <c r="BF138" i="12"/>
  <c r="BQ138" i="12" s="1"/>
  <c r="BK138" i="12"/>
  <c r="BO138" i="12" s="1"/>
  <c r="T139" i="10" s="1"/>
  <c r="A151" i="1"/>
  <c r="BE138" i="12"/>
  <c r="BT138" i="12" s="1"/>
  <c r="O75" i="10"/>
  <c r="BK74" i="12"/>
  <c r="BO74" i="12" s="1"/>
  <c r="T75" i="10" s="1"/>
  <c r="BF74" i="12"/>
  <c r="BQ74" i="12" s="1"/>
  <c r="BJ74" i="12"/>
  <c r="BN74" i="12" s="1"/>
  <c r="S75" i="10" s="1"/>
  <c r="BG74" i="12"/>
  <c r="BR74" i="12" s="1"/>
  <c r="V75" i="10" s="1"/>
  <c r="BH74" i="12"/>
  <c r="BS74" i="12" s="1"/>
  <c r="W75" i="10" s="1"/>
  <c r="BI74" i="12"/>
  <c r="BM74" i="12" s="1"/>
  <c r="A87" i="1"/>
  <c r="BE74" i="12"/>
  <c r="BT74" i="12" s="1"/>
  <c r="O11" i="10"/>
  <c r="BI10" i="12"/>
  <c r="BM10" i="12" s="1"/>
  <c r="BG10" i="12"/>
  <c r="BR10" i="12" s="1"/>
  <c r="V11" i="10" s="1"/>
  <c r="BJ10" i="12"/>
  <c r="BN10" i="12" s="1"/>
  <c r="S11" i="10" s="1"/>
  <c r="BH10" i="12"/>
  <c r="BS10" i="12" s="1"/>
  <c r="W11" i="10" s="1"/>
  <c r="BK10" i="12"/>
  <c r="BO10" i="12" s="1"/>
  <c r="T11" i="10" s="1"/>
  <c r="BF10" i="12"/>
  <c r="BQ10" i="12" s="1"/>
  <c r="A23" i="1"/>
  <c r="BE10" i="12"/>
  <c r="BT10" i="12" s="1"/>
  <c r="O343" i="10"/>
  <c r="BK342" i="12"/>
  <c r="BO342" i="12" s="1"/>
  <c r="T343" i="10" s="1"/>
  <c r="BF342" i="12"/>
  <c r="BQ342" i="12" s="1"/>
  <c r="BJ342" i="12"/>
  <c r="BN342" i="12" s="1"/>
  <c r="S343" i="10" s="1"/>
  <c r="BH342" i="12"/>
  <c r="BS342" i="12" s="1"/>
  <c r="W343" i="10" s="1"/>
  <c r="BI342" i="12"/>
  <c r="BM342" i="12" s="1"/>
  <c r="BG342" i="12"/>
  <c r="BR342" i="12" s="1"/>
  <c r="V343" i="10" s="1"/>
  <c r="BE342" i="12"/>
  <c r="BT342" i="12" s="1"/>
  <c r="A355" i="1"/>
  <c r="O209" i="10"/>
  <c r="BJ208" i="12"/>
  <c r="BN208" i="12" s="1"/>
  <c r="S209" i="10" s="1"/>
  <c r="BH208" i="12"/>
  <c r="BS208" i="12" s="1"/>
  <c r="W209" i="10" s="1"/>
  <c r="BK208" i="12"/>
  <c r="BO208" i="12" s="1"/>
  <c r="T209" i="10" s="1"/>
  <c r="BF208" i="12"/>
  <c r="BQ208" i="12" s="1"/>
  <c r="BG208" i="12"/>
  <c r="BR208" i="12" s="1"/>
  <c r="V209" i="10" s="1"/>
  <c r="BI208" i="12"/>
  <c r="BM208" i="12" s="1"/>
  <c r="A221" i="1"/>
  <c r="BE208" i="12"/>
  <c r="BT208" i="12" s="1"/>
  <c r="O323" i="10"/>
  <c r="BI322" i="12"/>
  <c r="BM322" i="12" s="1"/>
  <c r="BG322" i="12"/>
  <c r="BR322" i="12" s="1"/>
  <c r="V323" i="10" s="1"/>
  <c r="BJ322" i="12"/>
  <c r="BN322" i="12" s="1"/>
  <c r="S323" i="10" s="1"/>
  <c r="BH322" i="12"/>
  <c r="BS322" i="12" s="1"/>
  <c r="W323" i="10" s="1"/>
  <c r="BF322" i="12"/>
  <c r="BQ322" i="12" s="1"/>
  <c r="BK322" i="12"/>
  <c r="BO322" i="12" s="1"/>
  <c r="T323" i="10" s="1"/>
  <c r="A335" i="1"/>
  <c r="BE322" i="12"/>
  <c r="BT322" i="12" s="1"/>
  <c r="O48" i="10"/>
  <c r="BI47" i="12"/>
  <c r="BM47" i="12" s="1"/>
  <c r="BG47" i="12"/>
  <c r="BR47" i="12" s="1"/>
  <c r="V48" i="10" s="1"/>
  <c r="BJ47" i="12"/>
  <c r="BN47" i="12" s="1"/>
  <c r="S48" i="10" s="1"/>
  <c r="BH47" i="12"/>
  <c r="BS47" i="12" s="1"/>
  <c r="W48" i="10" s="1"/>
  <c r="BF47" i="12"/>
  <c r="BQ47" i="12" s="1"/>
  <c r="BK47" i="12"/>
  <c r="BO47" i="12" s="1"/>
  <c r="T48" i="10" s="1"/>
  <c r="A60" i="1"/>
  <c r="BE47" i="12"/>
  <c r="BT47" i="12" s="1"/>
  <c r="O154" i="10"/>
  <c r="BF153" i="12"/>
  <c r="BQ153" i="12" s="1"/>
  <c r="BI153" i="12"/>
  <c r="BM153" i="12" s="1"/>
  <c r="BG153" i="12"/>
  <c r="BR153" i="12" s="1"/>
  <c r="V154" i="10" s="1"/>
  <c r="BJ153" i="12"/>
  <c r="BN153" i="12" s="1"/>
  <c r="S154" i="10" s="1"/>
  <c r="BK153" i="12"/>
  <c r="BO153" i="12" s="1"/>
  <c r="T154" i="10" s="1"/>
  <c r="BH153" i="12"/>
  <c r="BS153" i="12" s="1"/>
  <c r="W154" i="10" s="1"/>
  <c r="A166" i="1"/>
  <c r="BE153" i="12"/>
  <c r="BT153" i="12" s="1"/>
  <c r="O70" i="10"/>
  <c r="BF69" i="12"/>
  <c r="BQ69" i="12" s="1"/>
  <c r="BI69" i="12"/>
  <c r="BM69" i="12" s="1"/>
  <c r="BK69" i="12"/>
  <c r="BO69" i="12" s="1"/>
  <c r="T70" i="10" s="1"/>
  <c r="BJ69" i="12"/>
  <c r="BN69" i="12" s="1"/>
  <c r="S70" i="10" s="1"/>
  <c r="BH69" i="12"/>
  <c r="BS69" i="12" s="1"/>
  <c r="W70" i="10" s="1"/>
  <c r="BG69" i="12"/>
  <c r="BR69" i="12" s="1"/>
  <c r="V70" i="10" s="1"/>
  <c r="A82" i="1"/>
  <c r="BE69" i="12"/>
  <c r="BT69" i="12" s="1"/>
  <c r="O350" i="10"/>
  <c r="BI349" i="12"/>
  <c r="BM349" i="12" s="1"/>
  <c r="BJ349" i="12"/>
  <c r="BN349" i="12" s="1"/>
  <c r="S350" i="10" s="1"/>
  <c r="BH349" i="12"/>
  <c r="BS349" i="12" s="1"/>
  <c r="W350" i="10" s="1"/>
  <c r="BF349" i="12"/>
  <c r="BQ349" i="12" s="1"/>
  <c r="BG349" i="12"/>
  <c r="BR349" i="12" s="1"/>
  <c r="V350" i="10" s="1"/>
  <c r="BK349" i="12"/>
  <c r="BO349" i="12" s="1"/>
  <c r="T350" i="10" s="1"/>
  <c r="BE349" i="12"/>
  <c r="BT349" i="12" s="1"/>
  <c r="A362" i="1"/>
  <c r="O129" i="10"/>
  <c r="BK128" i="12"/>
  <c r="BO128" i="12" s="1"/>
  <c r="T129" i="10" s="1"/>
  <c r="BF128" i="12"/>
  <c r="BQ128" i="12" s="1"/>
  <c r="BI128" i="12"/>
  <c r="BM128" i="12" s="1"/>
  <c r="BG128" i="12"/>
  <c r="BR128" i="12" s="1"/>
  <c r="V129" i="10" s="1"/>
  <c r="BH128" i="12"/>
  <c r="BS128" i="12" s="1"/>
  <c r="W129" i="10" s="1"/>
  <c r="BJ128" i="12"/>
  <c r="BN128" i="12" s="1"/>
  <c r="S129" i="10" s="1"/>
  <c r="A141" i="1"/>
  <c r="BE128" i="12"/>
  <c r="BT128" i="12" s="1"/>
  <c r="O431" i="10"/>
  <c r="BJ430" i="12"/>
  <c r="BN430" i="12" s="1"/>
  <c r="S431" i="10" s="1"/>
  <c r="BH430" i="12"/>
  <c r="BS430" i="12" s="1"/>
  <c r="W431" i="10" s="1"/>
  <c r="BK430" i="12"/>
  <c r="BO430" i="12" s="1"/>
  <c r="T431" i="10" s="1"/>
  <c r="BI430" i="12"/>
  <c r="BM430" i="12" s="1"/>
  <c r="BF430" i="12"/>
  <c r="BQ430" i="12" s="1"/>
  <c r="BG430" i="12"/>
  <c r="BR430" i="12" s="1"/>
  <c r="V431" i="10" s="1"/>
  <c r="A443" i="1"/>
  <c r="BE430" i="12"/>
  <c r="BT430" i="12" s="1"/>
  <c r="O285" i="10"/>
  <c r="BK284" i="12"/>
  <c r="BO284" i="12" s="1"/>
  <c r="T285" i="10" s="1"/>
  <c r="BF284" i="12"/>
  <c r="BQ284" i="12" s="1"/>
  <c r="BJ284" i="12"/>
  <c r="BN284" i="12" s="1"/>
  <c r="S285" i="10" s="1"/>
  <c r="BH284" i="12"/>
  <c r="BS284" i="12" s="1"/>
  <c r="W285" i="10" s="1"/>
  <c r="BI284" i="12"/>
  <c r="BM284" i="12" s="1"/>
  <c r="BG284" i="12"/>
  <c r="BR284" i="12" s="1"/>
  <c r="V285" i="10" s="1"/>
  <c r="A297" i="1"/>
  <c r="BE284" i="12"/>
  <c r="BT284" i="12" s="1"/>
  <c r="O118" i="10"/>
  <c r="BF117" i="12"/>
  <c r="BQ117" i="12" s="1"/>
  <c r="BI117" i="12"/>
  <c r="BM117" i="12" s="1"/>
  <c r="BG117" i="12"/>
  <c r="BR117" i="12" s="1"/>
  <c r="V118" i="10" s="1"/>
  <c r="BK117" i="12"/>
  <c r="BO117" i="12" s="1"/>
  <c r="T118" i="10" s="1"/>
  <c r="BJ117" i="12"/>
  <c r="BN117" i="12" s="1"/>
  <c r="S118" i="10" s="1"/>
  <c r="BH117" i="12"/>
  <c r="BS117" i="12" s="1"/>
  <c r="W118" i="10" s="1"/>
  <c r="A130" i="1"/>
  <c r="BE117" i="12"/>
  <c r="BT117" i="12" s="1"/>
  <c r="O512" i="10"/>
  <c r="BK511" i="12"/>
  <c r="BO511" i="12" s="1"/>
  <c r="T512" i="10" s="1"/>
  <c r="BF511" i="12"/>
  <c r="BQ511" i="12" s="1"/>
  <c r="BG511" i="12"/>
  <c r="BR511" i="12" s="1"/>
  <c r="V512" i="10" s="1"/>
  <c r="BH511" i="12"/>
  <c r="BS511" i="12" s="1"/>
  <c r="W512" i="10" s="1"/>
  <c r="BJ511" i="12"/>
  <c r="BN511" i="12" s="1"/>
  <c r="S512" i="10" s="1"/>
  <c r="BI511" i="12"/>
  <c r="BM511" i="12" s="1"/>
  <c r="BE511" i="12"/>
  <c r="BT511" i="12" s="1"/>
  <c r="A524" i="1"/>
  <c r="O366" i="10"/>
  <c r="BF365" i="12"/>
  <c r="BQ365" i="12" s="1"/>
  <c r="BH365" i="12"/>
  <c r="BS365" i="12" s="1"/>
  <c r="W366" i="10" s="1"/>
  <c r="BI365" i="12"/>
  <c r="BM365" i="12" s="1"/>
  <c r="BJ365" i="12"/>
  <c r="BN365" i="12" s="1"/>
  <c r="S366" i="10" s="1"/>
  <c r="BK365" i="12"/>
  <c r="BO365" i="12" s="1"/>
  <c r="T366" i="10" s="1"/>
  <c r="BG365" i="12"/>
  <c r="BR365" i="12" s="1"/>
  <c r="V366" i="10" s="1"/>
  <c r="BE365" i="12"/>
  <c r="BT365" i="12" s="1"/>
  <c r="A378" i="1"/>
  <c r="O214" i="10"/>
  <c r="BJ213" i="12"/>
  <c r="BN213" i="12" s="1"/>
  <c r="S214" i="10" s="1"/>
  <c r="BK213" i="12"/>
  <c r="BO213" i="12" s="1"/>
  <c r="T214" i="10" s="1"/>
  <c r="BI213" i="12"/>
  <c r="BM213" i="12" s="1"/>
  <c r="BF213" i="12"/>
  <c r="BQ213" i="12" s="1"/>
  <c r="BG213" i="12"/>
  <c r="BR213" i="12" s="1"/>
  <c r="V214" i="10" s="1"/>
  <c r="BH213" i="12"/>
  <c r="BS213" i="12" s="1"/>
  <c r="W214" i="10" s="1"/>
  <c r="A226" i="1"/>
  <c r="BE213" i="12"/>
  <c r="BT213" i="12" s="1"/>
  <c r="O41" i="10"/>
  <c r="BI40" i="12"/>
  <c r="BM40" i="12" s="1"/>
  <c r="BJ40" i="12"/>
  <c r="BN40" i="12" s="1"/>
  <c r="S41" i="10" s="1"/>
  <c r="BF40" i="12"/>
  <c r="BQ40" i="12" s="1"/>
  <c r="BG40" i="12"/>
  <c r="BR40" i="12" s="1"/>
  <c r="V41" i="10" s="1"/>
  <c r="BH40" i="12"/>
  <c r="BS40" i="12" s="1"/>
  <c r="W41" i="10" s="1"/>
  <c r="BK40" i="12"/>
  <c r="BO40" i="12" s="1"/>
  <c r="T41" i="10" s="1"/>
  <c r="A53" i="1"/>
  <c r="BE40" i="12"/>
  <c r="BT40" i="12" s="1"/>
  <c r="O447" i="10"/>
  <c r="BF446" i="12"/>
  <c r="BQ446" i="12" s="1"/>
  <c r="BI446" i="12"/>
  <c r="BM446" i="12" s="1"/>
  <c r="BG446" i="12"/>
  <c r="BR446" i="12" s="1"/>
  <c r="V447" i="10" s="1"/>
  <c r="BK446" i="12"/>
  <c r="BO446" i="12" s="1"/>
  <c r="T447" i="10" s="1"/>
  <c r="BH446" i="12"/>
  <c r="BS446" i="12" s="1"/>
  <c r="W447" i="10" s="1"/>
  <c r="BJ446" i="12"/>
  <c r="BN446" i="12" s="1"/>
  <c r="S447" i="10" s="1"/>
  <c r="A459" i="1"/>
  <c r="BE446" i="12"/>
  <c r="BT446" i="12" s="1"/>
  <c r="O301" i="10"/>
  <c r="BK300" i="12"/>
  <c r="BO300" i="12" s="1"/>
  <c r="T301" i="10" s="1"/>
  <c r="BF300" i="12"/>
  <c r="BQ300" i="12" s="1"/>
  <c r="BJ300" i="12"/>
  <c r="BN300" i="12" s="1"/>
  <c r="S301" i="10" s="1"/>
  <c r="BH300" i="12"/>
  <c r="BS300" i="12" s="1"/>
  <c r="W301" i="10" s="1"/>
  <c r="BI300" i="12"/>
  <c r="BM300" i="12" s="1"/>
  <c r="BE300" i="12"/>
  <c r="BT300" i="12" s="1"/>
  <c r="BG300" i="12"/>
  <c r="BR300" i="12" s="1"/>
  <c r="V301" i="10" s="1"/>
  <c r="A313" i="1"/>
  <c r="O136" i="10"/>
  <c r="BI135" i="12"/>
  <c r="BM135" i="12" s="1"/>
  <c r="BF135" i="12"/>
  <c r="BQ135" i="12" s="1"/>
  <c r="BG135" i="12"/>
  <c r="BR135" i="12" s="1"/>
  <c r="V136" i="10" s="1"/>
  <c r="BH135" i="12"/>
  <c r="BS135" i="12" s="1"/>
  <c r="W136" i="10" s="1"/>
  <c r="BK135" i="12"/>
  <c r="BO135" i="12" s="1"/>
  <c r="T136" i="10" s="1"/>
  <c r="A148" i="1"/>
  <c r="BJ135" i="12"/>
  <c r="BN135" i="12" s="1"/>
  <c r="S136" i="10" s="1"/>
  <c r="BE135" i="12"/>
  <c r="BT135" i="12" s="1"/>
  <c r="O528" i="10"/>
  <c r="BK527" i="12"/>
  <c r="BO527" i="12" s="1"/>
  <c r="T528" i="10" s="1"/>
  <c r="BF527" i="12"/>
  <c r="BQ527" i="12" s="1"/>
  <c r="BG527" i="12"/>
  <c r="BR527" i="12" s="1"/>
  <c r="V528" i="10" s="1"/>
  <c r="BH527" i="12"/>
  <c r="BS527" i="12" s="1"/>
  <c r="W528" i="10" s="1"/>
  <c r="BI527" i="12"/>
  <c r="BM527" i="12" s="1"/>
  <c r="BJ527" i="12"/>
  <c r="BN527" i="12" s="1"/>
  <c r="S528" i="10" s="1"/>
  <c r="BE527" i="12"/>
  <c r="BT527" i="12" s="1"/>
  <c r="A540" i="1"/>
  <c r="O382" i="10"/>
  <c r="BI381" i="12"/>
  <c r="BM381" i="12" s="1"/>
  <c r="BG381" i="12"/>
  <c r="BR381" i="12" s="1"/>
  <c r="V382" i="10" s="1"/>
  <c r="BF381" i="12"/>
  <c r="BQ381" i="12" s="1"/>
  <c r="BH381" i="12"/>
  <c r="BS381" i="12" s="1"/>
  <c r="W382" i="10" s="1"/>
  <c r="BJ381" i="12"/>
  <c r="BN381" i="12" s="1"/>
  <c r="S382" i="10" s="1"/>
  <c r="BK381" i="12"/>
  <c r="BO381" i="12" s="1"/>
  <c r="T382" i="10" s="1"/>
  <c r="A394" i="1"/>
  <c r="BE381" i="12"/>
  <c r="BT381" i="12" s="1"/>
  <c r="O187" i="10"/>
  <c r="BI186" i="12"/>
  <c r="BM186" i="12" s="1"/>
  <c r="BG186" i="12"/>
  <c r="BR186" i="12" s="1"/>
  <c r="V187" i="10" s="1"/>
  <c r="BJ186" i="12"/>
  <c r="BN186" i="12" s="1"/>
  <c r="S187" i="10" s="1"/>
  <c r="BH186" i="12"/>
  <c r="BS186" i="12" s="1"/>
  <c r="W187" i="10" s="1"/>
  <c r="BK186" i="12"/>
  <c r="BO186" i="12" s="1"/>
  <c r="T187" i="10" s="1"/>
  <c r="BF186" i="12"/>
  <c r="BQ186" i="12" s="1"/>
  <c r="A199" i="1"/>
  <c r="BE186" i="12"/>
  <c r="BT186" i="12" s="1"/>
  <c r="O305" i="10"/>
  <c r="BI304" i="12"/>
  <c r="BM304" i="12" s="1"/>
  <c r="BG304" i="12"/>
  <c r="BR304" i="12" s="1"/>
  <c r="V305" i="10" s="1"/>
  <c r="BJ304" i="12"/>
  <c r="BN304" i="12" s="1"/>
  <c r="S305" i="10" s="1"/>
  <c r="BH304" i="12"/>
  <c r="BS304" i="12" s="1"/>
  <c r="W305" i="10" s="1"/>
  <c r="BF304" i="12"/>
  <c r="BQ304" i="12" s="1"/>
  <c r="BK304" i="12"/>
  <c r="BO304" i="12" s="1"/>
  <c r="T305" i="10" s="1"/>
  <c r="A317" i="1"/>
  <c r="BE304" i="12"/>
  <c r="BT304" i="12" s="1"/>
  <c r="O287" i="10"/>
  <c r="BJ286" i="12"/>
  <c r="BN286" i="12" s="1"/>
  <c r="S287" i="10" s="1"/>
  <c r="BH286" i="12"/>
  <c r="BS286" i="12" s="1"/>
  <c r="W287" i="10" s="1"/>
  <c r="BK286" i="12"/>
  <c r="BO286" i="12" s="1"/>
  <c r="T287" i="10" s="1"/>
  <c r="BI286" i="12"/>
  <c r="BM286" i="12" s="1"/>
  <c r="BG286" i="12"/>
  <c r="BR286" i="12" s="1"/>
  <c r="V287" i="10" s="1"/>
  <c r="BF286" i="12"/>
  <c r="BQ286" i="12" s="1"/>
  <c r="BE286" i="12"/>
  <c r="BT286" i="12" s="1"/>
  <c r="A299" i="1"/>
  <c r="O543" i="10"/>
  <c r="BK542" i="12"/>
  <c r="BO542" i="12" s="1"/>
  <c r="T543" i="10" s="1"/>
  <c r="BF542" i="12"/>
  <c r="BQ542" i="12" s="1"/>
  <c r="BJ542" i="12"/>
  <c r="BN542" i="12" s="1"/>
  <c r="S543" i="10" s="1"/>
  <c r="BG542" i="12"/>
  <c r="BR542" i="12" s="1"/>
  <c r="V543" i="10" s="1"/>
  <c r="BH542" i="12"/>
  <c r="BS542" i="12" s="1"/>
  <c r="W543" i="10" s="1"/>
  <c r="BI542" i="12"/>
  <c r="BM542" i="12" s="1"/>
  <c r="BE542" i="12"/>
  <c r="BT542" i="12" s="1"/>
  <c r="A555" i="1"/>
  <c r="O308" i="10"/>
  <c r="BJ307" i="12"/>
  <c r="BN307" i="12" s="1"/>
  <c r="S308" i="10" s="1"/>
  <c r="BH307" i="12"/>
  <c r="BS307" i="12" s="1"/>
  <c r="W308" i="10" s="1"/>
  <c r="BK307" i="12"/>
  <c r="BO307" i="12" s="1"/>
  <c r="T308" i="10" s="1"/>
  <c r="BI307" i="12"/>
  <c r="BM307" i="12" s="1"/>
  <c r="BG307" i="12"/>
  <c r="BR307" i="12" s="1"/>
  <c r="V308" i="10" s="1"/>
  <c r="BF307" i="12"/>
  <c r="BQ307" i="12" s="1"/>
  <c r="BE307" i="12"/>
  <c r="BT307" i="12" s="1"/>
  <c r="A320" i="1"/>
  <c r="O143" i="10"/>
  <c r="BI142" i="12"/>
  <c r="BM142" i="12" s="1"/>
  <c r="BF142" i="12"/>
  <c r="BQ142" i="12" s="1"/>
  <c r="BG142" i="12"/>
  <c r="BR142" i="12" s="1"/>
  <c r="V143" i="10" s="1"/>
  <c r="BH142" i="12"/>
  <c r="BS142" i="12" s="1"/>
  <c r="W143" i="10" s="1"/>
  <c r="BK142" i="12"/>
  <c r="BO142" i="12" s="1"/>
  <c r="T143" i="10" s="1"/>
  <c r="BE142" i="12"/>
  <c r="BT142" i="12" s="1"/>
  <c r="A155" i="1"/>
  <c r="BJ142" i="12"/>
  <c r="BN142" i="12" s="1"/>
  <c r="S143" i="10" s="1"/>
  <c r="O304" i="10"/>
  <c r="BF303" i="12"/>
  <c r="BQ303" i="12" s="1"/>
  <c r="BI303" i="12"/>
  <c r="BM303" i="12" s="1"/>
  <c r="BG303" i="12"/>
  <c r="BR303" i="12" s="1"/>
  <c r="V304" i="10" s="1"/>
  <c r="BJ303" i="12"/>
  <c r="BN303" i="12" s="1"/>
  <c r="S304" i="10" s="1"/>
  <c r="BK303" i="12"/>
  <c r="BO303" i="12" s="1"/>
  <c r="T304" i="10" s="1"/>
  <c r="BH303" i="12"/>
  <c r="BS303" i="12" s="1"/>
  <c r="W304" i="10" s="1"/>
  <c r="A316" i="1"/>
  <c r="BE303" i="12"/>
  <c r="BT303" i="12" s="1"/>
  <c r="O508" i="10"/>
  <c r="BI507" i="12"/>
  <c r="BM507" i="12" s="1"/>
  <c r="BG507" i="12"/>
  <c r="BR507" i="12" s="1"/>
  <c r="V508" i="10" s="1"/>
  <c r="BJ507" i="12"/>
  <c r="BN507" i="12" s="1"/>
  <c r="S508" i="10" s="1"/>
  <c r="BH507" i="12"/>
  <c r="BS507" i="12" s="1"/>
  <c r="W508" i="10" s="1"/>
  <c r="BK507" i="12"/>
  <c r="BO507" i="12" s="1"/>
  <c r="T508" i="10" s="1"/>
  <c r="BF507" i="12"/>
  <c r="BQ507" i="12" s="1"/>
  <c r="BE507" i="12"/>
  <c r="BT507" i="12" s="1"/>
  <c r="A520" i="1"/>
  <c r="O220" i="10"/>
  <c r="BJ219" i="12"/>
  <c r="BN219" i="12" s="1"/>
  <c r="S220" i="10" s="1"/>
  <c r="BH219" i="12"/>
  <c r="BS219" i="12" s="1"/>
  <c r="W220" i="10" s="1"/>
  <c r="BK219" i="12"/>
  <c r="BO219" i="12" s="1"/>
  <c r="T220" i="10" s="1"/>
  <c r="BG219" i="12"/>
  <c r="BR219" i="12" s="1"/>
  <c r="V220" i="10" s="1"/>
  <c r="BF219" i="12"/>
  <c r="BQ219" i="12" s="1"/>
  <c r="BI219" i="12"/>
  <c r="BM219" i="12" s="1"/>
  <c r="A232" i="1"/>
  <c r="BE219" i="12"/>
  <c r="BT219" i="12" s="1"/>
  <c r="O444" i="10"/>
  <c r="BF443" i="12"/>
  <c r="BQ443" i="12" s="1"/>
  <c r="BI443" i="12"/>
  <c r="BM443" i="12" s="1"/>
  <c r="BG443" i="12"/>
  <c r="BR443" i="12" s="1"/>
  <c r="V444" i="10" s="1"/>
  <c r="BH443" i="12"/>
  <c r="BS443" i="12" s="1"/>
  <c r="W444" i="10" s="1"/>
  <c r="BK443" i="12"/>
  <c r="BO443" i="12" s="1"/>
  <c r="T444" i="10" s="1"/>
  <c r="BJ443" i="12"/>
  <c r="BN443" i="12" s="1"/>
  <c r="S444" i="10" s="1"/>
  <c r="A456" i="1"/>
  <c r="BE443" i="12"/>
  <c r="BT443" i="12" s="1"/>
  <c r="O132" i="10"/>
  <c r="BF131" i="12"/>
  <c r="BQ131" i="12" s="1"/>
  <c r="BI131" i="12"/>
  <c r="BM131" i="12" s="1"/>
  <c r="BG131" i="12"/>
  <c r="BR131" i="12" s="1"/>
  <c r="V132" i="10" s="1"/>
  <c r="BH131" i="12"/>
  <c r="BS131" i="12" s="1"/>
  <c r="W132" i="10" s="1"/>
  <c r="BK131" i="12"/>
  <c r="BO131" i="12" s="1"/>
  <c r="T132" i="10" s="1"/>
  <c r="BJ131" i="12"/>
  <c r="BN131" i="12" s="1"/>
  <c r="S132" i="10" s="1"/>
  <c r="A144" i="1"/>
  <c r="BE131" i="12"/>
  <c r="BT131" i="12" s="1"/>
  <c r="O388" i="10"/>
  <c r="BK387" i="12"/>
  <c r="BO387" i="12" s="1"/>
  <c r="T388" i="10" s="1"/>
  <c r="BJ387" i="12"/>
  <c r="BN387" i="12" s="1"/>
  <c r="S388" i="10" s="1"/>
  <c r="BF387" i="12"/>
  <c r="BQ387" i="12" s="1"/>
  <c r="BI387" i="12"/>
  <c r="BM387" i="12" s="1"/>
  <c r="BH387" i="12"/>
  <c r="BS387" i="12" s="1"/>
  <c r="W388" i="10" s="1"/>
  <c r="BG387" i="12"/>
  <c r="BR387" i="12" s="1"/>
  <c r="V388" i="10" s="1"/>
  <c r="A400" i="1"/>
  <c r="BE387" i="12"/>
  <c r="BT387" i="12" s="1"/>
  <c r="O46" i="10"/>
  <c r="BJ45" i="12"/>
  <c r="BN45" i="12" s="1"/>
  <c r="S46" i="10" s="1"/>
  <c r="BH45" i="12"/>
  <c r="BS45" i="12" s="1"/>
  <c r="W46" i="10" s="1"/>
  <c r="BK45" i="12"/>
  <c r="BO45" i="12" s="1"/>
  <c r="T46" i="10" s="1"/>
  <c r="BI45" i="12"/>
  <c r="BM45" i="12" s="1"/>
  <c r="BG45" i="12"/>
  <c r="BR45" i="12" s="1"/>
  <c r="V46" i="10" s="1"/>
  <c r="BF45" i="12"/>
  <c r="BQ45" i="12" s="1"/>
  <c r="A58" i="1"/>
  <c r="BE45" i="12"/>
  <c r="BT45" i="12" s="1"/>
  <c r="O332" i="10"/>
  <c r="BK331" i="12"/>
  <c r="BO331" i="12" s="1"/>
  <c r="T332" i="10" s="1"/>
  <c r="BF331" i="12"/>
  <c r="BQ331" i="12" s="1"/>
  <c r="BH331" i="12"/>
  <c r="BS331" i="12" s="1"/>
  <c r="W332" i="10" s="1"/>
  <c r="BJ331" i="12"/>
  <c r="BN331" i="12" s="1"/>
  <c r="S332" i="10" s="1"/>
  <c r="BG331" i="12"/>
  <c r="BR331" i="12" s="1"/>
  <c r="V332" i="10" s="1"/>
  <c r="BI331" i="12"/>
  <c r="BM331" i="12" s="1"/>
  <c r="A344" i="1"/>
  <c r="BE331" i="12"/>
  <c r="BT331" i="12" s="1"/>
  <c r="O119" i="10"/>
  <c r="BI118" i="12"/>
  <c r="BM118" i="12" s="1"/>
  <c r="BG118" i="12"/>
  <c r="BR118" i="12" s="1"/>
  <c r="V119" i="10" s="1"/>
  <c r="BJ118" i="12"/>
  <c r="BN118" i="12" s="1"/>
  <c r="S119" i="10" s="1"/>
  <c r="BH118" i="12"/>
  <c r="BS118" i="12" s="1"/>
  <c r="W119" i="10" s="1"/>
  <c r="BK118" i="12"/>
  <c r="BO118" i="12" s="1"/>
  <c r="T119" i="10" s="1"/>
  <c r="BF118" i="12"/>
  <c r="BQ118" i="12" s="1"/>
  <c r="BE118" i="12"/>
  <c r="BT118" i="12" s="1"/>
  <c r="A131" i="1"/>
  <c r="O349" i="10"/>
  <c r="BJ348" i="12"/>
  <c r="BN348" i="12" s="1"/>
  <c r="S349" i="10" s="1"/>
  <c r="BH348" i="12"/>
  <c r="BS348" i="12" s="1"/>
  <c r="W349" i="10" s="1"/>
  <c r="BK348" i="12"/>
  <c r="BO348" i="12" s="1"/>
  <c r="T349" i="10" s="1"/>
  <c r="BI348" i="12"/>
  <c r="BM348" i="12" s="1"/>
  <c r="BF348" i="12"/>
  <c r="BQ348" i="12" s="1"/>
  <c r="BG348" i="12"/>
  <c r="BR348" i="12" s="1"/>
  <c r="V349" i="10" s="1"/>
  <c r="A361" i="1"/>
  <c r="BE348" i="12"/>
  <c r="BT348" i="12" s="1"/>
  <c r="O57" i="10"/>
  <c r="BK56" i="12"/>
  <c r="BO56" i="12" s="1"/>
  <c r="T57" i="10" s="1"/>
  <c r="BF56" i="12"/>
  <c r="BQ56" i="12" s="1"/>
  <c r="BI56" i="12"/>
  <c r="BM56" i="12" s="1"/>
  <c r="BJ56" i="12"/>
  <c r="BN56" i="12" s="1"/>
  <c r="S57" i="10" s="1"/>
  <c r="BG56" i="12"/>
  <c r="BR56" i="12" s="1"/>
  <c r="V57" i="10" s="1"/>
  <c r="BH56" i="12"/>
  <c r="BS56" i="12" s="1"/>
  <c r="W57" i="10" s="1"/>
  <c r="A69" i="1"/>
  <c r="BE56" i="12"/>
  <c r="BT56" i="12" s="1"/>
  <c r="O36" i="10"/>
  <c r="BK35" i="12"/>
  <c r="BO35" i="12" s="1"/>
  <c r="T36" i="10" s="1"/>
  <c r="BF35" i="12"/>
  <c r="BQ35" i="12" s="1"/>
  <c r="BJ35" i="12"/>
  <c r="BN35" i="12" s="1"/>
  <c r="S36" i="10" s="1"/>
  <c r="BH35" i="12"/>
  <c r="BS35" i="12" s="1"/>
  <c r="W36" i="10" s="1"/>
  <c r="BG35" i="12"/>
  <c r="BR35" i="12" s="1"/>
  <c r="V36" i="10" s="1"/>
  <c r="BI35" i="12"/>
  <c r="BM35" i="12" s="1"/>
  <c r="A48" i="1"/>
  <c r="BE35" i="12"/>
  <c r="BT35" i="12" s="1"/>
  <c r="O185" i="10"/>
  <c r="BJ184" i="12"/>
  <c r="BN184" i="12" s="1"/>
  <c r="S185" i="10" s="1"/>
  <c r="BH184" i="12"/>
  <c r="BS184" i="12" s="1"/>
  <c r="W185" i="10" s="1"/>
  <c r="BK184" i="12"/>
  <c r="BO184" i="12" s="1"/>
  <c r="T185" i="10" s="1"/>
  <c r="BF184" i="12"/>
  <c r="BQ184" i="12" s="1"/>
  <c r="BG184" i="12"/>
  <c r="BR184" i="12" s="1"/>
  <c r="V185" i="10" s="1"/>
  <c r="BI184" i="12"/>
  <c r="BM184" i="12" s="1"/>
  <c r="A197" i="1"/>
  <c r="BE184" i="12"/>
  <c r="BT184" i="12" s="1"/>
  <c r="O121" i="10"/>
  <c r="BF120" i="12"/>
  <c r="BQ120" i="12" s="1"/>
  <c r="BI120" i="12"/>
  <c r="BM120" i="12" s="1"/>
  <c r="BG120" i="12"/>
  <c r="BR120" i="12" s="1"/>
  <c r="V121" i="10" s="1"/>
  <c r="BJ120" i="12"/>
  <c r="BN120" i="12" s="1"/>
  <c r="S121" i="10" s="1"/>
  <c r="BH120" i="12"/>
  <c r="BS120" i="12" s="1"/>
  <c r="W121" i="10" s="1"/>
  <c r="BK120" i="12"/>
  <c r="BO120" i="12" s="1"/>
  <c r="T121" i="10" s="1"/>
  <c r="A133" i="1"/>
  <c r="BE120" i="12"/>
  <c r="BT120" i="12" s="1"/>
  <c r="O230" i="10"/>
  <c r="BI229" i="12"/>
  <c r="BM229" i="12" s="1"/>
  <c r="BG229" i="12"/>
  <c r="BR229" i="12" s="1"/>
  <c r="V230" i="10" s="1"/>
  <c r="BJ229" i="12"/>
  <c r="BN229" i="12" s="1"/>
  <c r="S230" i="10" s="1"/>
  <c r="BH229" i="12"/>
  <c r="BS229" i="12" s="1"/>
  <c r="W230" i="10" s="1"/>
  <c r="BK229" i="12"/>
  <c r="BO229" i="12" s="1"/>
  <c r="T230" i="10" s="1"/>
  <c r="BF229" i="12"/>
  <c r="BQ229" i="12" s="1"/>
  <c r="A242" i="1"/>
  <c r="BE229" i="12"/>
  <c r="BT229" i="12" s="1"/>
  <c r="O379" i="10"/>
  <c r="BF378" i="12"/>
  <c r="BQ378" i="12" s="1"/>
  <c r="BJ378" i="12"/>
  <c r="BN378" i="12" s="1"/>
  <c r="S379" i="10" s="1"/>
  <c r="BK378" i="12"/>
  <c r="BO378" i="12" s="1"/>
  <c r="T379" i="10" s="1"/>
  <c r="BH378" i="12"/>
  <c r="BS378" i="12" s="1"/>
  <c r="W379" i="10" s="1"/>
  <c r="BI378" i="12"/>
  <c r="BM378" i="12" s="1"/>
  <c r="BG378" i="12"/>
  <c r="BR378" i="12" s="1"/>
  <c r="V379" i="10" s="1"/>
  <c r="BE378" i="12"/>
  <c r="BT378" i="12" s="1"/>
  <c r="A391" i="1"/>
  <c r="O500" i="10"/>
  <c r="BI499" i="12"/>
  <c r="BM499" i="12" s="1"/>
  <c r="BG499" i="12"/>
  <c r="BR499" i="12" s="1"/>
  <c r="V500" i="10" s="1"/>
  <c r="BJ499" i="12"/>
  <c r="BN499" i="12" s="1"/>
  <c r="S500" i="10" s="1"/>
  <c r="BH499" i="12"/>
  <c r="BS499" i="12" s="1"/>
  <c r="W500" i="10" s="1"/>
  <c r="BK499" i="12"/>
  <c r="BO499" i="12" s="1"/>
  <c r="T500" i="10" s="1"/>
  <c r="BF499" i="12"/>
  <c r="BQ499" i="12" s="1"/>
  <c r="BE499" i="12"/>
  <c r="BT499" i="12" s="1"/>
  <c r="A512" i="1"/>
  <c r="O89" i="10"/>
  <c r="BK88" i="12"/>
  <c r="BO88" i="12" s="1"/>
  <c r="T89" i="10" s="1"/>
  <c r="BF88" i="12"/>
  <c r="BQ88" i="12" s="1"/>
  <c r="BI88" i="12"/>
  <c r="BM88" i="12" s="1"/>
  <c r="BG88" i="12"/>
  <c r="BR88" i="12" s="1"/>
  <c r="V89" i="10" s="1"/>
  <c r="BH88" i="12"/>
  <c r="BS88" i="12" s="1"/>
  <c r="W89" i="10" s="1"/>
  <c r="BJ88" i="12"/>
  <c r="BN88" i="12" s="1"/>
  <c r="S89" i="10" s="1"/>
  <c r="A101" i="1"/>
  <c r="BE88" i="12"/>
  <c r="BT88" i="12" s="1"/>
  <c r="O268" i="10"/>
  <c r="BF267" i="12"/>
  <c r="BQ267" i="12" s="1"/>
  <c r="BI267" i="12"/>
  <c r="BM267" i="12" s="1"/>
  <c r="BG267" i="12"/>
  <c r="BR267" i="12" s="1"/>
  <c r="V268" i="10" s="1"/>
  <c r="BJ267" i="12"/>
  <c r="BN267" i="12" s="1"/>
  <c r="S268" i="10" s="1"/>
  <c r="BK267" i="12"/>
  <c r="BO267" i="12" s="1"/>
  <c r="T268" i="10" s="1"/>
  <c r="BH267" i="12"/>
  <c r="BS267" i="12" s="1"/>
  <c r="W268" i="10" s="1"/>
  <c r="BE267" i="12"/>
  <c r="BT267" i="12" s="1"/>
  <c r="A280" i="1"/>
  <c r="O399" i="10"/>
  <c r="BI398" i="12"/>
  <c r="BM398" i="12" s="1"/>
  <c r="BF398" i="12"/>
  <c r="BQ398" i="12" s="1"/>
  <c r="BJ398" i="12"/>
  <c r="BN398" i="12" s="1"/>
  <c r="S399" i="10" s="1"/>
  <c r="BG398" i="12"/>
  <c r="BR398" i="12" s="1"/>
  <c r="V399" i="10" s="1"/>
  <c r="BH398" i="12"/>
  <c r="BS398" i="12" s="1"/>
  <c r="W399" i="10" s="1"/>
  <c r="BK398" i="12"/>
  <c r="BO398" i="12" s="1"/>
  <c r="T399" i="10" s="1"/>
  <c r="A411" i="1"/>
  <c r="BE398" i="12"/>
  <c r="BT398" i="12" s="1"/>
  <c r="O553" i="10"/>
  <c r="BK552" i="12"/>
  <c r="BO552" i="12" s="1"/>
  <c r="T553" i="10" s="1"/>
  <c r="BF552" i="12"/>
  <c r="BQ552" i="12" s="1"/>
  <c r="BH552" i="12"/>
  <c r="BS552" i="12" s="1"/>
  <c r="W553" i="10" s="1"/>
  <c r="BI552" i="12"/>
  <c r="BM552" i="12" s="1"/>
  <c r="BJ552" i="12"/>
  <c r="BN552" i="12" s="1"/>
  <c r="S553" i="10" s="1"/>
  <c r="BG552" i="12"/>
  <c r="BR552" i="12" s="1"/>
  <c r="V553" i="10" s="1"/>
  <c r="A565" i="1"/>
  <c r="BE552" i="12"/>
  <c r="BT552" i="12" s="1"/>
  <c r="O432" i="10"/>
  <c r="BF431" i="12"/>
  <c r="BQ431" i="12" s="1"/>
  <c r="BI431" i="12"/>
  <c r="BM431" i="12" s="1"/>
  <c r="BG431" i="12"/>
  <c r="BR431" i="12" s="1"/>
  <c r="V432" i="10" s="1"/>
  <c r="BJ431" i="12"/>
  <c r="BN431" i="12" s="1"/>
  <c r="S432" i="10" s="1"/>
  <c r="BK431" i="12"/>
  <c r="BO431" i="12" s="1"/>
  <c r="T432" i="10" s="1"/>
  <c r="BH431" i="12"/>
  <c r="BS431" i="12" s="1"/>
  <c r="W432" i="10" s="1"/>
  <c r="A444" i="1"/>
  <c r="BE431" i="12"/>
  <c r="BT431" i="12" s="1"/>
  <c r="O286" i="10"/>
  <c r="BI285" i="12"/>
  <c r="BM285" i="12" s="1"/>
  <c r="BG285" i="12"/>
  <c r="BR285" i="12" s="1"/>
  <c r="V286" i="10" s="1"/>
  <c r="BJ285" i="12"/>
  <c r="BN285" i="12" s="1"/>
  <c r="S286" i="10" s="1"/>
  <c r="BH285" i="12"/>
  <c r="BS285" i="12" s="1"/>
  <c r="W286" i="10" s="1"/>
  <c r="BF285" i="12"/>
  <c r="BQ285" i="12" s="1"/>
  <c r="BK285" i="12"/>
  <c r="BO285" i="12" s="1"/>
  <c r="T286" i="10" s="1"/>
  <c r="A298" i="1"/>
  <c r="BE285" i="12"/>
  <c r="BT285" i="12" s="1"/>
  <c r="O111" i="10"/>
  <c r="BI110" i="12"/>
  <c r="BM110" i="12" s="1"/>
  <c r="BG110" i="12"/>
  <c r="BR110" i="12" s="1"/>
  <c r="V111" i="10" s="1"/>
  <c r="BJ110" i="12"/>
  <c r="BN110" i="12" s="1"/>
  <c r="S111" i="10" s="1"/>
  <c r="BH110" i="12"/>
  <c r="BS110" i="12" s="1"/>
  <c r="W111" i="10" s="1"/>
  <c r="BK110" i="12"/>
  <c r="BO110" i="12" s="1"/>
  <c r="T111" i="10" s="1"/>
  <c r="BF110" i="12"/>
  <c r="BQ110" i="12" s="1"/>
  <c r="A123" i="1"/>
  <c r="BE110" i="12"/>
  <c r="BT110" i="12" s="1"/>
  <c r="O495" i="10"/>
  <c r="BI494" i="12"/>
  <c r="BM494" i="12" s="1"/>
  <c r="BG494" i="12"/>
  <c r="BR494" i="12" s="1"/>
  <c r="V495" i="10" s="1"/>
  <c r="BJ494" i="12"/>
  <c r="BN494" i="12" s="1"/>
  <c r="S495" i="10" s="1"/>
  <c r="BH494" i="12"/>
  <c r="BS494" i="12" s="1"/>
  <c r="W495" i="10" s="1"/>
  <c r="BF494" i="12"/>
  <c r="BQ494" i="12" s="1"/>
  <c r="BK494" i="12"/>
  <c r="BO494" i="12" s="1"/>
  <c r="T495" i="10" s="1"/>
  <c r="BE494" i="12"/>
  <c r="BT494" i="12" s="1"/>
  <c r="A507" i="1"/>
  <c r="O353" i="10"/>
  <c r="BF352" i="12"/>
  <c r="BQ352" i="12" s="1"/>
  <c r="BI352" i="12"/>
  <c r="BM352" i="12" s="1"/>
  <c r="BG352" i="12"/>
  <c r="BR352" i="12" s="1"/>
  <c r="V353" i="10" s="1"/>
  <c r="BJ352" i="12"/>
  <c r="BN352" i="12" s="1"/>
  <c r="S353" i="10" s="1"/>
  <c r="BK352" i="12"/>
  <c r="BO352" i="12" s="1"/>
  <c r="T353" i="10" s="1"/>
  <c r="BH352" i="12"/>
  <c r="BS352" i="12" s="1"/>
  <c r="W353" i="10" s="1"/>
  <c r="BE352" i="12"/>
  <c r="BT352" i="12" s="1"/>
  <c r="A365" i="1"/>
  <c r="O199" i="10"/>
  <c r="BK198" i="12"/>
  <c r="BO198" i="12" s="1"/>
  <c r="T199" i="10" s="1"/>
  <c r="BF198" i="12"/>
  <c r="BQ198" i="12" s="1"/>
  <c r="BI198" i="12"/>
  <c r="BM198" i="12" s="1"/>
  <c r="BG198" i="12"/>
  <c r="BR198" i="12" s="1"/>
  <c r="V199" i="10" s="1"/>
  <c r="BH198" i="12"/>
  <c r="BS198" i="12" s="1"/>
  <c r="W199" i="10" s="1"/>
  <c r="BJ198" i="12"/>
  <c r="BN198" i="12" s="1"/>
  <c r="S199" i="10" s="1"/>
  <c r="A211" i="1"/>
  <c r="BE198" i="12"/>
  <c r="BT198" i="12" s="1"/>
  <c r="O551" i="10"/>
  <c r="BK550" i="12"/>
  <c r="BO550" i="12" s="1"/>
  <c r="T551" i="10" s="1"/>
  <c r="BF550" i="12"/>
  <c r="BQ550" i="12" s="1"/>
  <c r="BH550" i="12"/>
  <c r="BS550" i="12" s="1"/>
  <c r="W551" i="10" s="1"/>
  <c r="BI550" i="12"/>
  <c r="BM550" i="12" s="1"/>
  <c r="BG550" i="12"/>
  <c r="BR550" i="12" s="1"/>
  <c r="V551" i="10" s="1"/>
  <c r="BJ550" i="12"/>
  <c r="BN550" i="12" s="1"/>
  <c r="S551" i="10" s="1"/>
  <c r="BE550" i="12"/>
  <c r="BT550" i="12" s="1"/>
  <c r="A563" i="1"/>
  <c r="O425" i="10"/>
  <c r="BI424" i="12"/>
  <c r="BM424" i="12" s="1"/>
  <c r="BG424" i="12"/>
  <c r="BR424" i="12" s="1"/>
  <c r="V425" i="10" s="1"/>
  <c r="BJ424" i="12"/>
  <c r="BN424" i="12" s="1"/>
  <c r="S425" i="10" s="1"/>
  <c r="BH424" i="12"/>
  <c r="BS424" i="12" s="1"/>
  <c r="W425" i="10" s="1"/>
  <c r="BK424" i="12"/>
  <c r="BO424" i="12" s="1"/>
  <c r="T425" i="10" s="1"/>
  <c r="BF424" i="12"/>
  <c r="BQ424" i="12" s="1"/>
  <c r="BE424" i="12"/>
  <c r="BT424" i="12" s="1"/>
  <c r="A437" i="1"/>
  <c r="O278" i="10"/>
  <c r="BI277" i="12"/>
  <c r="BM277" i="12" s="1"/>
  <c r="BG277" i="12"/>
  <c r="BR277" i="12" s="1"/>
  <c r="V278" i="10" s="1"/>
  <c r="BJ277" i="12"/>
  <c r="BN277" i="12" s="1"/>
  <c r="S278" i="10" s="1"/>
  <c r="BH277" i="12"/>
  <c r="BS277" i="12" s="1"/>
  <c r="W278" i="10" s="1"/>
  <c r="BF277" i="12"/>
  <c r="BQ277" i="12" s="1"/>
  <c r="BK277" i="12"/>
  <c r="BO277" i="12" s="1"/>
  <c r="T278" i="10" s="1"/>
  <c r="A290" i="1"/>
  <c r="BE277" i="12"/>
  <c r="BT277" i="12" s="1"/>
  <c r="O102" i="10"/>
  <c r="BK101" i="12"/>
  <c r="BO101" i="12" s="1"/>
  <c r="T102" i="10" s="1"/>
  <c r="BF101" i="12"/>
  <c r="BQ101" i="12" s="1"/>
  <c r="BI101" i="12"/>
  <c r="BM101" i="12" s="1"/>
  <c r="BH101" i="12"/>
  <c r="BS101" i="12" s="1"/>
  <c r="W102" i="10" s="1"/>
  <c r="BG101" i="12"/>
  <c r="BR101" i="12" s="1"/>
  <c r="V102" i="10" s="1"/>
  <c r="BJ101" i="12"/>
  <c r="BN101" i="12" s="1"/>
  <c r="S102" i="10" s="1"/>
  <c r="A114" i="1"/>
  <c r="BE101" i="12"/>
  <c r="BT101" i="12" s="1"/>
  <c r="O505" i="10"/>
  <c r="BF504" i="12"/>
  <c r="BQ504" i="12" s="1"/>
  <c r="BI504" i="12"/>
  <c r="BM504" i="12" s="1"/>
  <c r="BG504" i="12"/>
  <c r="BR504" i="12" s="1"/>
  <c r="V505" i="10" s="1"/>
  <c r="BK504" i="12"/>
  <c r="BO504" i="12" s="1"/>
  <c r="T505" i="10" s="1"/>
  <c r="BH504" i="12"/>
  <c r="BS504" i="12" s="1"/>
  <c r="W505" i="10" s="1"/>
  <c r="BJ504" i="12"/>
  <c r="BN504" i="12" s="1"/>
  <c r="S505" i="10" s="1"/>
  <c r="BE504" i="12"/>
  <c r="BT504" i="12" s="1"/>
  <c r="A517" i="1"/>
  <c r="O369" i="10"/>
  <c r="BI368" i="12"/>
  <c r="BM368" i="12" s="1"/>
  <c r="BG368" i="12"/>
  <c r="BR368" i="12" s="1"/>
  <c r="V369" i="10" s="1"/>
  <c r="BF368" i="12"/>
  <c r="BQ368" i="12" s="1"/>
  <c r="BH368" i="12"/>
  <c r="BS368" i="12" s="1"/>
  <c r="W369" i="10" s="1"/>
  <c r="BK368" i="12"/>
  <c r="BO368" i="12" s="1"/>
  <c r="T369" i="10" s="1"/>
  <c r="BJ368" i="12"/>
  <c r="BN368" i="12" s="1"/>
  <c r="S369" i="10" s="1"/>
  <c r="BE368" i="12"/>
  <c r="BT368" i="12" s="1"/>
  <c r="A381" i="1"/>
  <c r="O218" i="10"/>
  <c r="BI217" i="12"/>
  <c r="BM217" i="12" s="1"/>
  <c r="BF217" i="12"/>
  <c r="BQ217" i="12" s="1"/>
  <c r="BG217" i="12"/>
  <c r="BR217" i="12" s="1"/>
  <c r="V218" i="10" s="1"/>
  <c r="BH217" i="12"/>
  <c r="BS217" i="12" s="1"/>
  <c r="W218" i="10" s="1"/>
  <c r="BJ217" i="12"/>
  <c r="BN217" i="12" s="1"/>
  <c r="S218" i="10" s="1"/>
  <c r="BK217" i="12"/>
  <c r="BO217" i="12" s="1"/>
  <c r="T218" i="10" s="1"/>
  <c r="A230" i="1"/>
  <c r="BE217" i="12"/>
  <c r="BT217" i="12" s="1"/>
  <c r="O15" i="10"/>
  <c r="BK14" i="12"/>
  <c r="BO14" i="12" s="1"/>
  <c r="T15" i="10" s="1"/>
  <c r="BF14" i="12"/>
  <c r="BQ14" i="12" s="1"/>
  <c r="BI14" i="12"/>
  <c r="BM14" i="12" s="1"/>
  <c r="BJ14" i="12"/>
  <c r="BN14" i="12" s="1"/>
  <c r="S15" i="10" s="1"/>
  <c r="BG14" i="12"/>
  <c r="BR14" i="12" s="1"/>
  <c r="V15" i="10" s="1"/>
  <c r="BH14" i="12"/>
  <c r="BS14" i="12" s="1"/>
  <c r="W15" i="10" s="1"/>
  <c r="A27" i="1"/>
  <c r="BE14" i="12"/>
  <c r="BT14" i="12" s="1"/>
  <c r="O460" i="10"/>
  <c r="BK459" i="12"/>
  <c r="BO459" i="12" s="1"/>
  <c r="T460" i="10" s="1"/>
  <c r="BF459" i="12"/>
  <c r="BQ459" i="12" s="1"/>
  <c r="BG459" i="12"/>
  <c r="BR459" i="12" s="1"/>
  <c r="V460" i="10" s="1"/>
  <c r="BH459" i="12"/>
  <c r="BS459" i="12" s="1"/>
  <c r="W460" i="10" s="1"/>
  <c r="BJ459" i="12"/>
  <c r="BN459" i="12" s="1"/>
  <c r="S460" i="10" s="1"/>
  <c r="BI459" i="12"/>
  <c r="BM459" i="12" s="1"/>
  <c r="A472" i="1"/>
  <c r="BE459" i="12"/>
  <c r="BT459" i="12" s="1"/>
  <c r="O313" i="10"/>
  <c r="BJ312" i="12"/>
  <c r="BN312" i="12" s="1"/>
  <c r="S313" i="10" s="1"/>
  <c r="BI312" i="12"/>
  <c r="BM312" i="12" s="1"/>
  <c r="BG312" i="12"/>
  <c r="BR312" i="12" s="1"/>
  <c r="V313" i="10" s="1"/>
  <c r="BH312" i="12"/>
  <c r="BS312" i="12" s="1"/>
  <c r="W313" i="10" s="1"/>
  <c r="BF312" i="12"/>
  <c r="BQ312" i="12" s="1"/>
  <c r="BK312" i="12"/>
  <c r="BO312" i="12" s="1"/>
  <c r="T313" i="10" s="1"/>
  <c r="A325" i="1"/>
  <c r="BE312" i="12"/>
  <c r="BT312" i="12" s="1"/>
  <c r="O152" i="10"/>
  <c r="BI151" i="12"/>
  <c r="BM151" i="12" s="1"/>
  <c r="BG151" i="12"/>
  <c r="BR151" i="12" s="1"/>
  <c r="V152" i="10" s="1"/>
  <c r="BJ151" i="12"/>
  <c r="BN151" i="12" s="1"/>
  <c r="S152" i="10" s="1"/>
  <c r="BH151" i="12"/>
  <c r="BS151" i="12" s="1"/>
  <c r="W152" i="10" s="1"/>
  <c r="BF151" i="12"/>
  <c r="BQ151" i="12" s="1"/>
  <c r="BK151" i="12"/>
  <c r="BO151" i="12" s="1"/>
  <c r="T152" i="10" s="1"/>
  <c r="A164" i="1"/>
  <c r="BE151" i="12"/>
  <c r="BT151" i="12" s="1"/>
  <c r="O108" i="10"/>
  <c r="BI107" i="12"/>
  <c r="BM107" i="12" s="1"/>
  <c r="BG107" i="12"/>
  <c r="BR107" i="12" s="1"/>
  <c r="V108" i="10" s="1"/>
  <c r="BJ107" i="12"/>
  <c r="BN107" i="12" s="1"/>
  <c r="S108" i="10" s="1"/>
  <c r="BH107" i="12"/>
  <c r="BS107" i="12" s="1"/>
  <c r="W108" i="10" s="1"/>
  <c r="BF107" i="12"/>
  <c r="BQ107" i="12" s="1"/>
  <c r="BK107" i="12"/>
  <c r="BO107" i="12" s="1"/>
  <c r="T108" i="10" s="1"/>
  <c r="A120" i="1"/>
  <c r="BE107" i="12"/>
  <c r="BT107" i="12" s="1"/>
  <c r="O23" i="10"/>
  <c r="BK22" i="12"/>
  <c r="BO22" i="12" s="1"/>
  <c r="T23" i="10" s="1"/>
  <c r="BF22" i="12"/>
  <c r="BQ22" i="12" s="1"/>
  <c r="BI22" i="12"/>
  <c r="BM22" i="12" s="1"/>
  <c r="BG22" i="12"/>
  <c r="BR22" i="12" s="1"/>
  <c r="V23" i="10" s="1"/>
  <c r="BJ22" i="12"/>
  <c r="BN22" i="12" s="1"/>
  <c r="S23" i="10" s="1"/>
  <c r="BH22" i="12"/>
  <c r="BS22" i="12" s="1"/>
  <c r="W23" i="10" s="1"/>
  <c r="A35" i="1"/>
  <c r="BE22" i="12"/>
  <c r="BT22" i="12" s="1"/>
  <c r="O413" i="10"/>
  <c r="BI412" i="12"/>
  <c r="BM412" i="12" s="1"/>
  <c r="BG412" i="12"/>
  <c r="BR412" i="12" s="1"/>
  <c r="V413" i="10" s="1"/>
  <c r="BJ412" i="12"/>
  <c r="BN412" i="12" s="1"/>
  <c r="S413" i="10" s="1"/>
  <c r="BH412" i="12"/>
  <c r="BS412" i="12" s="1"/>
  <c r="W413" i="10" s="1"/>
  <c r="BF412" i="12"/>
  <c r="BQ412" i="12" s="1"/>
  <c r="BK412" i="12"/>
  <c r="BO412" i="12" s="1"/>
  <c r="T413" i="10" s="1"/>
  <c r="BE412" i="12"/>
  <c r="BT412" i="12" s="1"/>
  <c r="A425" i="1"/>
  <c r="O340" i="10"/>
  <c r="BK339" i="12"/>
  <c r="BO339" i="12" s="1"/>
  <c r="T340" i="10" s="1"/>
  <c r="BF339" i="12"/>
  <c r="BQ339" i="12" s="1"/>
  <c r="BI339" i="12"/>
  <c r="BM339" i="12" s="1"/>
  <c r="BJ339" i="12"/>
  <c r="BN339" i="12" s="1"/>
  <c r="S340" i="10" s="1"/>
  <c r="BG339" i="12"/>
  <c r="BR339" i="12" s="1"/>
  <c r="V340" i="10" s="1"/>
  <c r="BH339" i="12"/>
  <c r="BS339" i="12" s="1"/>
  <c r="W340" i="10" s="1"/>
  <c r="A352" i="1"/>
  <c r="BE339" i="12"/>
  <c r="BT339" i="12" s="1"/>
  <c r="O266" i="10"/>
  <c r="BK265" i="12"/>
  <c r="BO265" i="12" s="1"/>
  <c r="T266" i="10" s="1"/>
  <c r="BF265" i="12"/>
  <c r="BQ265" i="12" s="1"/>
  <c r="BI265" i="12"/>
  <c r="BM265" i="12" s="1"/>
  <c r="BG265" i="12"/>
  <c r="BR265" i="12" s="1"/>
  <c r="V266" i="10" s="1"/>
  <c r="BH265" i="12"/>
  <c r="BS265" i="12" s="1"/>
  <c r="W266" i="10" s="1"/>
  <c r="BJ265" i="12"/>
  <c r="BN265" i="12" s="1"/>
  <c r="S266" i="10" s="1"/>
  <c r="BE265" i="12"/>
  <c r="BT265" i="12" s="1"/>
  <c r="A278" i="1"/>
  <c r="O183" i="10"/>
  <c r="BI182" i="12"/>
  <c r="BM182" i="12" s="1"/>
  <c r="BG182" i="12"/>
  <c r="BR182" i="12" s="1"/>
  <c r="V183" i="10" s="1"/>
  <c r="BJ182" i="12"/>
  <c r="BN182" i="12" s="1"/>
  <c r="S183" i="10" s="1"/>
  <c r="BH182" i="12"/>
  <c r="BS182" i="12" s="1"/>
  <c r="W183" i="10" s="1"/>
  <c r="BK182" i="12"/>
  <c r="BO182" i="12" s="1"/>
  <c r="T183" i="10" s="1"/>
  <c r="BF182" i="12"/>
  <c r="BQ182" i="12" s="1"/>
  <c r="A195" i="1"/>
  <c r="BE182" i="12"/>
  <c r="BT182" i="12" s="1"/>
  <c r="O96" i="10"/>
  <c r="BJ95" i="12"/>
  <c r="BN95" i="12" s="1"/>
  <c r="S96" i="10" s="1"/>
  <c r="BH95" i="12"/>
  <c r="BS95" i="12" s="1"/>
  <c r="W96" i="10" s="1"/>
  <c r="BK95" i="12"/>
  <c r="BO95" i="12" s="1"/>
  <c r="T96" i="10" s="1"/>
  <c r="BI95" i="12"/>
  <c r="BM95" i="12" s="1"/>
  <c r="BF95" i="12"/>
  <c r="BQ95" i="12" s="1"/>
  <c r="BG95" i="12"/>
  <c r="BR95" i="12" s="1"/>
  <c r="V96" i="10" s="1"/>
  <c r="A108" i="1"/>
  <c r="BE95" i="12"/>
  <c r="BT95" i="12" s="1"/>
  <c r="O9" i="10"/>
  <c r="BJ8" i="12"/>
  <c r="BN8" i="12" s="1"/>
  <c r="S9" i="10" s="1"/>
  <c r="BH8" i="12"/>
  <c r="BS8" i="12" s="1"/>
  <c r="W9" i="10" s="1"/>
  <c r="BK8" i="12"/>
  <c r="BO8" i="12" s="1"/>
  <c r="T9" i="10" s="1"/>
  <c r="BF8" i="12"/>
  <c r="BQ8" i="12" s="1"/>
  <c r="BI8" i="12"/>
  <c r="BM8" i="12" s="1"/>
  <c r="BG8" i="12"/>
  <c r="BR8" i="12" s="1"/>
  <c r="V9" i="10" s="1"/>
  <c r="A21" i="1"/>
  <c r="BE8" i="12"/>
  <c r="BT8" i="12" s="1"/>
  <c r="O494" i="10"/>
  <c r="BF493" i="12"/>
  <c r="BQ493" i="12" s="1"/>
  <c r="BI493" i="12"/>
  <c r="BM493" i="12" s="1"/>
  <c r="BG493" i="12"/>
  <c r="BR493" i="12" s="1"/>
  <c r="V494" i="10" s="1"/>
  <c r="BJ493" i="12"/>
  <c r="BN493" i="12" s="1"/>
  <c r="S494" i="10" s="1"/>
  <c r="BK493" i="12"/>
  <c r="BO493" i="12" s="1"/>
  <c r="T494" i="10" s="1"/>
  <c r="BH493" i="12"/>
  <c r="BS493" i="12" s="1"/>
  <c r="W494" i="10" s="1"/>
  <c r="BE493" i="12"/>
  <c r="BT493" i="12" s="1"/>
  <c r="A506" i="1"/>
  <c r="O421" i="10"/>
  <c r="BI420" i="12"/>
  <c r="BM420" i="12" s="1"/>
  <c r="BG420" i="12"/>
  <c r="BR420" i="12" s="1"/>
  <c r="V421" i="10" s="1"/>
  <c r="BJ420" i="12"/>
  <c r="BN420" i="12" s="1"/>
  <c r="S421" i="10" s="1"/>
  <c r="BH420" i="12"/>
  <c r="BS420" i="12" s="1"/>
  <c r="W421" i="10" s="1"/>
  <c r="BK420" i="12"/>
  <c r="BO420" i="12" s="1"/>
  <c r="T421" i="10" s="1"/>
  <c r="BF420" i="12"/>
  <c r="BQ420" i="12" s="1"/>
  <c r="A433" i="1"/>
  <c r="BE420" i="12"/>
  <c r="BT420" i="12" s="1"/>
  <c r="O348" i="10"/>
  <c r="BI347" i="12"/>
  <c r="BM347" i="12" s="1"/>
  <c r="BG347" i="12"/>
  <c r="BR347" i="12" s="1"/>
  <c r="V348" i="10" s="1"/>
  <c r="BJ347" i="12"/>
  <c r="BN347" i="12" s="1"/>
  <c r="S348" i="10" s="1"/>
  <c r="BH347" i="12"/>
  <c r="BS347" i="12" s="1"/>
  <c r="W348" i="10" s="1"/>
  <c r="BK347" i="12"/>
  <c r="BO347" i="12" s="1"/>
  <c r="T348" i="10" s="1"/>
  <c r="BF347" i="12"/>
  <c r="BQ347" i="12" s="1"/>
  <c r="A360" i="1"/>
  <c r="BE347" i="12"/>
  <c r="BT347" i="12" s="1"/>
  <c r="O274" i="10"/>
  <c r="BI273" i="12"/>
  <c r="BM273" i="12" s="1"/>
  <c r="BJ273" i="12"/>
  <c r="BN273" i="12" s="1"/>
  <c r="S274" i="10" s="1"/>
  <c r="BK273" i="12"/>
  <c r="BO273" i="12" s="1"/>
  <c r="T274" i="10" s="1"/>
  <c r="BF273" i="12"/>
  <c r="BQ273" i="12" s="1"/>
  <c r="BG273" i="12"/>
  <c r="BR273" i="12" s="1"/>
  <c r="V274" i="10" s="1"/>
  <c r="BH273" i="12"/>
  <c r="BS273" i="12" s="1"/>
  <c r="W274" i="10" s="1"/>
  <c r="A286" i="1"/>
  <c r="BE273" i="12"/>
  <c r="BT273" i="12" s="1"/>
  <c r="O192" i="10"/>
  <c r="BI191" i="12"/>
  <c r="BM191" i="12" s="1"/>
  <c r="BG191" i="12"/>
  <c r="BR191" i="12" s="1"/>
  <c r="V192" i="10" s="1"/>
  <c r="BJ191" i="12"/>
  <c r="BN191" i="12" s="1"/>
  <c r="S192" i="10" s="1"/>
  <c r="BH191" i="12"/>
  <c r="BS191" i="12" s="1"/>
  <c r="W192" i="10" s="1"/>
  <c r="BK191" i="12"/>
  <c r="BO191" i="12" s="1"/>
  <c r="T192" i="10" s="1"/>
  <c r="BF191" i="12"/>
  <c r="BQ191" i="12" s="1"/>
  <c r="A204" i="1"/>
  <c r="BE191" i="12"/>
  <c r="BT191" i="12" s="1"/>
  <c r="O105" i="10"/>
  <c r="BK104" i="12"/>
  <c r="BO104" i="12" s="1"/>
  <c r="T105" i="10" s="1"/>
  <c r="BF104" i="12"/>
  <c r="BQ104" i="12" s="1"/>
  <c r="BI104" i="12"/>
  <c r="BM104" i="12" s="1"/>
  <c r="BG104" i="12"/>
  <c r="BR104" i="12" s="1"/>
  <c r="V105" i="10" s="1"/>
  <c r="BJ104" i="12"/>
  <c r="BN104" i="12" s="1"/>
  <c r="S105" i="10" s="1"/>
  <c r="BH104" i="12"/>
  <c r="BS104" i="12" s="1"/>
  <c r="W105" i="10" s="1"/>
  <c r="A117" i="1"/>
  <c r="BE104" i="12"/>
  <c r="BT104" i="12" s="1"/>
  <c r="O20" i="10"/>
  <c r="BK19" i="12"/>
  <c r="BO19" i="12" s="1"/>
  <c r="T20" i="10" s="1"/>
  <c r="BF19" i="12"/>
  <c r="BQ19" i="12" s="1"/>
  <c r="BJ19" i="12"/>
  <c r="BN19" i="12" s="1"/>
  <c r="S20" i="10" s="1"/>
  <c r="BH19" i="12"/>
  <c r="BS19" i="12" s="1"/>
  <c r="W20" i="10" s="1"/>
  <c r="BI19" i="12"/>
  <c r="BM19" i="12" s="1"/>
  <c r="BG19" i="12"/>
  <c r="BR19" i="12" s="1"/>
  <c r="V20" i="10" s="1"/>
  <c r="A32" i="1"/>
  <c r="BE19" i="12"/>
  <c r="BT19" i="12" s="1"/>
  <c r="O502" i="10"/>
  <c r="BF501" i="12"/>
  <c r="BQ501" i="12" s="1"/>
  <c r="BI501" i="12"/>
  <c r="BM501" i="12" s="1"/>
  <c r="BG501" i="12"/>
  <c r="BR501" i="12" s="1"/>
  <c r="V502" i="10" s="1"/>
  <c r="BH501" i="12"/>
  <c r="BS501" i="12" s="1"/>
  <c r="W502" i="10" s="1"/>
  <c r="BK501" i="12"/>
  <c r="BO501" i="12" s="1"/>
  <c r="T502" i="10" s="1"/>
  <c r="BJ501" i="12"/>
  <c r="BN501" i="12" s="1"/>
  <c r="S502" i="10" s="1"/>
  <c r="BE501" i="12"/>
  <c r="BT501" i="12" s="1"/>
  <c r="A514" i="1"/>
  <c r="O429" i="10"/>
  <c r="BK428" i="12"/>
  <c r="BO428" i="12" s="1"/>
  <c r="T429" i="10" s="1"/>
  <c r="BF428" i="12"/>
  <c r="BQ428" i="12" s="1"/>
  <c r="BH428" i="12"/>
  <c r="BS428" i="12" s="1"/>
  <c r="W429" i="10" s="1"/>
  <c r="BI428" i="12"/>
  <c r="BM428" i="12" s="1"/>
  <c r="BG428" i="12"/>
  <c r="BR428" i="12" s="1"/>
  <c r="V429" i="10" s="1"/>
  <c r="BJ428" i="12"/>
  <c r="BN428" i="12" s="1"/>
  <c r="S429" i="10" s="1"/>
  <c r="A441" i="1"/>
  <c r="BE428" i="12"/>
  <c r="BT428" i="12" s="1"/>
  <c r="O356" i="10"/>
  <c r="BI355" i="12"/>
  <c r="BM355" i="12" s="1"/>
  <c r="BG355" i="12"/>
  <c r="BR355" i="12" s="1"/>
  <c r="V356" i="10" s="1"/>
  <c r="BJ355" i="12"/>
  <c r="BN355" i="12" s="1"/>
  <c r="S356" i="10" s="1"/>
  <c r="BK355" i="12"/>
  <c r="BO355" i="12" s="1"/>
  <c r="T356" i="10" s="1"/>
  <c r="BF355" i="12"/>
  <c r="BQ355" i="12" s="1"/>
  <c r="BH355" i="12"/>
  <c r="BS355" i="12" s="1"/>
  <c r="W356" i="10" s="1"/>
  <c r="BE355" i="12"/>
  <c r="BT355" i="12" s="1"/>
  <c r="A368" i="1"/>
  <c r="O282" i="10"/>
  <c r="BK281" i="12"/>
  <c r="BO281" i="12" s="1"/>
  <c r="T282" i="10" s="1"/>
  <c r="BF281" i="12"/>
  <c r="BQ281" i="12" s="1"/>
  <c r="BI281" i="12"/>
  <c r="BM281" i="12" s="1"/>
  <c r="BJ281" i="12"/>
  <c r="BN281" i="12" s="1"/>
  <c r="S282" i="10" s="1"/>
  <c r="BG281" i="12"/>
  <c r="BR281" i="12" s="1"/>
  <c r="V282" i="10" s="1"/>
  <c r="BH281" i="12"/>
  <c r="BS281" i="12" s="1"/>
  <c r="W282" i="10" s="1"/>
  <c r="BE281" i="12"/>
  <c r="BT281" i="12" s="1"/>
  <c r="A294" i="1"/>
  <c r="O201" i="10"/>
  <c r="BJ200" i="12"/>
  <c r="BN200" i="12" s="1"/>
  <c r="S201" i="10" s="1"/>
  <c r="BH200" i="12"/>
  <c r="BS200" i="12" s="1"/>
  <c r="W201" i="10" s="1"/>
  <c r="BK200" i="12"/>
  <c r="BO200" i="12" s="1"/>
  <c r="T201" i="10" s="1"/>
  <c r="BF200" i="12"/>
  <c r="BQ200" i="12" s="1"/>
  <c r="BG200" i="12"/>
  <c r="BR200" i="12" s="1"/>
  <c r="V201" i="10" s="1"/>
  <c r="BI200" i="12"/>
  <c r="BM200" i="12" s="1"/>
  <c r="A213" i="1"/>
  <c r="BE200" i="12"/>
  <c r="BT200" i="12" s="1"/>
  <c r="O114" i="10"/>
  <c r="BJ113" i="12"/>
  <c r="BN113" i="12" s="1"/>
  <c r="S114" i="10" s="1"/>
  <c r="BH113" i="12"/>
  <c r="BS113" i="12" s="1"/>
  <c r="W114" i="10" s="1"/>
  <c r="BK113" i="12"/>
  <c r="BO113" i="12" s="1"/>
  <c r="T114" i="10" s="1"/>
  <c r="BI113" i="12"/>
  <c r="BM113" i="12" s="1"/>
  <c r="BF113" i="12"/>
  <c r="BQ113" i="12" s="1"/>
  <c r="BG113" i="12"/>
  <c r="BR113" i="12" s="1"/>
  <c r="V114" i="10" s="1"/>
  <c r="A126" i="1"/>
  <c r="BE113" i="12"/>
  <c r="BT113" i="12" s="1"/>
  <c r="O30" i="10"/>
  <c r="BJ29" i="12"/>
  <c r="BN29" i="12" s="1"/>
  <c r="S30" i="10" s="1"/>
  <c r="BH29" i="12"/>
  <c r="BS29" i="12" s="1"/>
  <c r="W30" i="10" s="1"/>
  <c r="BK29" i="12"/>
  <c r="BO29" i="12" s="1"/>
  <c r="T30" i="10" s="1"/>
  <c r="BI29" i="12"/>
  <c r="BM29" i="12" s="1"/>
  <c r="BG29" i="12"/>
  <c r="BR29" i="12" s="1"/>
  <c r="V30" i="10" s="1"/>
  <c r="BF29" i="12"/>
  <c r="BQ29" i="12" s="1"/>
  <c r="BE29" i="12"/>
  <c r="BT29" i="12" s="1"/>
  <c r="A42" i="1"/>
  <c r="O510" i="10"/>
  <c r="BF509" i="12"/>
  <c r="BQ509" i="12" s="1"/>
  <c r="BI509" i="12"/>
  <c r="BM509" i="12" s="1"/>
  <c r="BG509" i="12"/>
  <c r="BR509" i="12" s="1"/>
  <c r="V510" i="10" s="1"/>
  <c r="BJ509" i="12"/>
  <c r="BN509" i="12" s="1"/>
  <c r="S510" i="10" s="1"/>
  <c r="BK509" i="12"/>
  <c r="BO509" i="12" s="1"/>
  <c r="T510" i="10" s="1"/>
  <c r="BH509" i="12"/>
  <c r="BS509" i="12" s="1"/>
  <c r="W510" i="10" s="1"/>
  <c r="BE509" i="12"/>
  <c r="BT509" i="12" s="1"/>
  <c r="A522" i="1"/>
  <c r="O437" i="10"/>
  <c r="BJ436" i="12"/>
  <c r="BN436" i="12" s="1"/>
  <c r="S437" i="10" s="1"/>
  <c r="BF436" i="12"/>
  <c r="BQ436" i="12" s="1"/>
  <c r="BI436" i="12"/>
  <c r="BM436" i="12" s="1"/>
  <c r="BG436" i="12"/>
  <c r="BR436" i="12" s="1"/>
  <c r="V437" i="10" s="1"/>
  <c r="BH436" i="12"/>
  <c r="BS436" i="12" s="1"/>
  <c r="W437" i="10" s="1"/>
  <c r="BK436" i="12"/>
  <c r="BO436" i="12" s="1"/>
  <c r="T437" i="10" s="1"/>
  <c r="A449" i="1"/>
  <c r="BE436" i="12"/>
  <c r="BT436" i="12" s="1"/>
  <c r="O364" i="10"/>
  <c r="BI363" i="12"/>
  <c r="BM363" i="12" s="1"/>
  <c r="BG363" i="12"/>
  <c r="BR363" i="12" s="1"/>
  <c r="V364" i="10" s="1"/>
  <c r="BJ363" i="12"/>
  <c r="BN363" i="12" s="1"/>
  <c r="S364" i="10" s="1"/>
  <c r="BK363" i="12"/>
  <c r="BO363" i="12" s="1"/>
  <c r="T364" i="10" s="1"/>
  <c r="BF363" i="12"/>
  <c r="BQ363" i="12" s="1"/>
  <c r="BH363" i="12"/>
  <c r="BS363" i="12" s="1"/>
  <c r="W364" i="10" s="1"/>
  <c r="BE363" i="12"/>
  <c r="BT363" i="12" s="1"/>
  <c r="A376" i="1"/>
  <c r="O291" i="10"/>
  <c r="BJ290" i="12"/>
  <c r="BN290" i="12" s="1"/>
  <c r="S291" i="10" s="1"/>
  <c r="BK290" i="12"/>
  <c r="BO290" i="12" s="1"/>
  <c r="T291" i="10" s="1"/>
  <c r="BI290" i="12"/>
  <c r="BM290" i="12" s="1"/>
  <c r="BF290" i="12"/>
  <c r="BQ290" i="12" s="1"/>
  <c r="BG290" i="12"/>
  <c r="BR290" i="12" s="1"/>
  <c r="V291" i="10" s="1"/>
  <c r="BH290" i="12"/>
  <c r="BS290" i="12" s="1"/>
  <c r="W291" i="10" s="1"/>
  <c r="A303" i="1"/>
  <c r="BE290" i="12"/>
  <c r="BT290" i="12" s="1"/>
  <c r="O210" i="10"/>
  <c r="BF209" i="12"/>
  <c r="BQ209" i="12" s="1"/>
  <c r="BI209" i="12"/>
  <c r="BM209" i="12" s="1"/>
  <c r="BG209" i="12"/>
  <c r="BR209" i="12" s="1"/>
  <c r="V210" i="10" s="1"/>
  <c r="BJ209" i="12"/>
  <c r="BN209" i="12" s="1"/>
  <c r="S210" i="10" s="1"/>
  <c r="BK209" i="12"/>
  <c r="BO209" i="12" s="1"/>
  <c r="T210" i="10" s="1"/>
  <c r="BH209" i="12"/>
  <c r="BS209" i="12" s="1"/>
  <c r="W210" i="10" s="1"/>
  <c r="A222" i="1"/>
  <c r="BE209" i="12"/>
  <c r="BT209" i="12" s="1"/>
  <c r="O124" i="10"/>
  <c r="BI123" i="12"/>
  <c r="BM123" i="12" s="1"/>
  <c r="BG123" i="12"/>
  <c r="BR123" i="12" s="1"/>
  <c r="V124" i="10" s="1"/>
  <c r="BJ123" i="12"/>
  <c r="BN123" i="12" s="1"/>
  <c r="S124" i="10" s="1"/>
  <c r="BH123" i="12"/>
  <c r="BS123" i="12" s="1"/>
  <c r="W124" i="10" s="1"/>
  <c r="BK123" i="12"/>
  <c r="BO123" i="12" s="1"/>
  <c r="T124" i="10" s="1"/>
  <c r="BF123" i="12"/>
  <c r="BQ123" i="12" s="1"/>
  <c r="A136" i="1"/>
  <c r="BE123" i="12"/>
  <c r="BT123" i="12" s="1"/>
  <c r="O39" i="10"/>
  <c r="BF38" i="12"/>
  <c r="BQ38" i="12" s="1"/>
  <c r="BI38" i="12"/>
  <c r="BM38" i="12" s="1"/>
  <c r="BG38" i="12"/>
  <c r="BR38" i="12" s="1"/>
  <c r="V39" i="10" s="1"/>
  <c r="BJ38" i="12"/>
  <c r="BN38" i="12" s="1"/>
  <c r="S39" i="10" s="1"/>
  <c r="BK38" i="12"/>
  <c r="BO38" i="12" s="1"/>
  <c r="T39" i="10" s="1"/>
  <c r="BH38" i="12"/>
  <c r="BS38" i="12" s="1"/>
  <c r="W39" i="10" s="1"/>
  <c r="A51" i="1"/>
  <c r="BE38" i="12"/>
  <c r="BT38" i="12" s="1"/>
  <c r="O546" i="10"/>
  <c r="BF545" i="12"/>
  <c r="BQ545" i="12" s="1"/>
  <c r="BI545" i="12"/>
  <c r="BM545" i="12" s="1"/>
  <c r="BG545" i="12"/>
  <c r="BR545" i="12" s="1"/>
  <c r="V546" i="10" s="1"/>
  <c r="BH545" i="12"/>
  <c r="BS545" i="12" s="1"/>
  <c r="W546" i="10" s="1"/>
  <c r="BK545" i="12"/>
  <c r="BO545" i="12" s="1"/>
  <c r="T546" i="10" s="1"/>
  <c r="BJ545" i="12"/>
  <c r="BN545" i="12" s="1"/>
  <c r="S546" i="10" s="1"/>
  <c r="A558" i="1"/>
  <c r="BE545" i="12"/>
  <c r="BT545" i="12" s="1"/>
  <c r="O482" i="10"/>
  <c r="BF481" i="12"/>
  <c r="BQ481" i="12" s="1"/>
  <c r="BI481" i="12"/>
  <c r="BM481" i="12" s="1"/>
  <c r="BG481" i="12"/>
  <c r="BR481" i="12" s="1"/>
  <c r="V482" i="10" s="1"/>
  <c r="BH481" i="12"/>
  <c r="BS481" i="12" s="1"/>
  <c r="W482" i="10" s="1"/>
  <c r="BK481" i="12"/>
  <c r="BO481" i="12" s="1"/>
  <c r="T482" i="10" s="1"/>
  <c r="BJ481" i="12"/>
  <c r="BN481" i="12" s="1"/>
  <c r="S482" i="10" s="1"/>
  <c r="BE481" i="12"/>
  <c r="BT481" i="12" s="1"/>
  <c r="A494" i="1"/>
  <c r="O418" i="10"/>
  <c r="BI417" i="12"/>
  <c r="BM417" i="12" s="1"/>
  <c r="BJ417" i="12"/>
  <c r="BN417" i="12" s="1"/>
  <c r="S418" i="10" s="1"/>
  <c r="BF417" i="12"/>
  <c r="BQ417" i="12" s="1"/>
  <c r="BG417" i="12"/>
  <c r="BR417" i="12" s="1"/>
  <c r="V418" i="10" s="1"/>
  <c r="BK417" i="12"/>
  <c r="BO417" i="12" s="1"/>
  <c r="T418" i="10" s="1"/>
  <c r="BH417" i="12"/>
  <c r="BS417" i="12" s="1"/>
  <c r="W418" i="10" s="1"/>
  <c r="A430" i="1"/>
  <c r="BE417" i="12"/>
  <c r="BT417" i="12" s="1"/>
  <c r="O354" i="10"/>
  <c r="BJ353" i="12"/>
  <c r="BN353" i="12" s="1"/>
  <c r="S354" i="10" s="1"/>
  <c r="BH353" i="12"/>
  <c r="BS353" i="12" s="1"/>
  <c r="W354" i="10" s="1"/>
  <c r="BI353" i="12"/>
  <c r="BM353" i="12" s="1"/>
  <c r="BK353" i="12"/>
  <c r="BO353" i="12" s="1"/>
  <c r="T354" i="10" s="1"/>
  <c r="BF353" i="12"/>
  <c r="BQ353" i="12" s="1"/>
  <c r="BG353" i="12"/>
  <c r="BR353" i="12" s="1"/>
  <c r="V354" i="10" s="1"/>
  <c r="A366" i="1"/>
  <c r="BE353" i="12"/>
  <c r="BT353" i="12" s="1"/>
  <c r="O290" i="10"/>
  <c r="BK289" i="12"/>
  <c r="BO289" i="12" s="1"/>
  <c r="T290" i="10" s="1"/>
  <c r="BF289" i="12"/>
  <c r="BQ289" i="12" s="1"/>
  <c r="BI289" i="12"/>
  <c r="BM289" i="12" s="1"/>
  <c r="BJ289" i="12"/>
  <c r="BN289" i="12" s="1"/>
  <c r="S290" i="10" s="1"/>
  <c r="BH289" i="12"/>
  <c r="BS289" i="12" s="1"/>
  <c r="W290" i="10" s="1"/>
  <c r="BG289" i="12"/>
  <c r="BR289" i="12" s="1"/>
  <c r="V290" i="10" s="1"/>
  <c r="BE289" i="12"/>
  <c r="BT289" i="12" s="1"/>
  <c r="A302" i="1"/>
  <c r="O223" i="10"/>
  <c r="BJ222" i="12"/>
  <c r="BN222" i="12" s="1"/>
  <c r="S223" i="10" s="1"/>
  <c r="BH222" i="12"/>
  <c r="BS222" i="12" s="1"/>
  <c r="W223" i="10" s="1"/>
  <c r="BK222" i="12"/>
  <c r="BO222" i="12" s="1"/>
  <c r="T223" i="10" s="1"/>
  <c r="BF222" i="12"/>
  <c r="BQ222" i="12" s="1"/>
  <c r="BI222" i="12"/>
  <c r="BM222" i="12" s="1"/>
  <c r="BG222" i="12"/>
  <c r="BR222" i="12" s="1"/>
  <c r="V223" i="10" s="1"/>
  <c r="BE222" i="12"/>
  <c r="BT222" i="12" s="1"/>
  <c r="A235" i="1"/>
  <c r="O158" i="10"/>
  <c r="BJ157" i="12"/>
  <c r="BN157" i="12" s="1"/>
  <c r="S158" i="10" s="1"/>
  <c r="BH157" i="12"/>
  <c r="BS157" i="12" s="1"/>
  <c r="W158" i="10" s="1"/>
  <c r="BK157" i="12"/>
  <c r="BO157" i="12" s="1"/>
  <c r="T158" i="10" s="1"/>
  <c r="BI157" i="12"/>
  <c r="BM157" i="12" s="1"/>
  <c r="BF157" i="12"/>
  <c r="BQ157" i="12" s="1"/>
  <c r="BG157" i="12"/>
  <c r="BR157" i="12" s="1"/>
  <c r="V158" i="10" s="1"/>
  <c r="A170" i="1"/>
  <c r="BE157" i="12"/>
  <c r="BT157" i="12" s="1"/>
  <c r="O93" i="10"/>
  <c r="BI92" i="12"/>
  <c r="BM92" i="12" s="1"/>
  <c r="BG92" i="12"/>
  <c r="BR92" i="12" s="1"/>
  <c r="V93" i="10" s="1"/>
  <c r="BJ92" i="12"/>
  <c r="BN92" i="12" s="1"/>
  <c r="S93" i="10" s="1"/>
  <c r="BH92" i="12"/>
  <c r="BS92" i="12" s="1"/>
  <c r="W93" i="10" s="1"/>
  <c r="BK92" i="12"/>
  <c r="BO92" i="12" s="1"/>
  <c r="T93" i="10" s="1"/>
  <c r="BF92" i="12"/>
  <c r="BQ92" i="12" s="1"/>
  <c r="A105" i="1"/>
  <c r="BE92" i="12"/>
  <c r="BT92" i="12" s="1"/>
  <c r="O29" i="10"/>
  <c r="BF28" i="12"/>
  <c r="BQ28" i="12" s="1"/>
  <c r="BI28" i="12"/>
  <c r="BM28" i="12" s="1"/>
  <c r="BG28" i="12"/>
  <c r="BR28" i="12" s="1"/>
  <c r="V29" i="10" s="1"/>
  <c r="BJ28" i="12"/>
  <c r="BN28" i="12" s="1"/>
  <c r="S29" i="10" s="1"/>
  <c r="BH28" i="12"/>
  <c r="BS28" i="12" s="1"/>
  <c r="W29" i="10" s="1"/>
  <c r="BK28" i="12"/>
  <c r="BO28" i="12" s="1"/>
  <c r="T29" i="10" s="1"/>
  <c r="A41" i="1"/>
  <c r="BE28" i="12"/>
  <c r="BT28" i="12" s="1"/>
  <c r="O196" i="10"/>
  <c r="BK195" i="12"/>
  <c r="BO195" i="12" s="1"/>
  <c r="T196" i="10" s="1"/>
  <c r="BF195" i="12"/>
  <c r="BQ195" i="12" s="1"/>
  <c r="BH195" i="12"/>
  <c r="BS195" i="12" s="1"/>
  <c r="W196" i="10" s="1"/>
  <c r="BG195" i="12"/>
  <c r="BR195" i="12" s="1"/>
  <c r="V196" i="10" s="1"/>
  <c r="BI195" i="12"/>
  <c r="BM195" i="12" s="1"/>
  <c r="BJ195" i="12"/>
  <c r="BN195" i="12" s="1"/>
  <c r="S196" i="10" s="1"/>
  <c r="A208" i="1"/>
  <c r="BE195" i="12"/>
  <c r="BT195" i="12" s="1"/>
  <c r="O131" i="10"/>
  <c r="BJ130" i="12"/>
  <c r="BN130" i="12" s="1"/>
  <c r="S131" i="10" s="1"/>
  <c r="BH130" i="12"/>
  <c r="BS130" i="12" s="1"/>
  <c r="W131" i="10" s="1"/>
  <c r="BK130" i="12"/>
  <c r="BO130" i="12" s="1"/>
  <c r="T131" i="10" s="1"/>
  <c r="BF130" i="12"/>
  <c r="BQ130" i="12" s="1"/>
  <c r="BI130" i="12"/>
  <c r="BM130" i="12" s="1"/>
  <c r="BG130" i="12"/>
  <c r="BR130" i="12" s="1"/>
  <c r="V131" i="10" s="1"/>
  <c r="A143" i="1"/>
  <c r="BE130" i="12"/>
  <c r="BT130" i="12" s="1"/>
  <c r="O67" i="10"/>
  <c r="BJ66" i="12"/>
  <c r="BN66" i="12" s="1"/>
  <c r="S67" i="10" s="1"/>
  <c r="BK66" i="12"/>
  <c r="BO66" i="12" s="1"/>
  <c r="T67" i="10" s="1"/>
  <c r="BI66" i="12"/>
  <c r="BM66" i="12" s="1"/>
  <c r="BF66" i="12"/>
  <c r="BQ66" i="12" s="1"/>
  <c r="BG66" i="12"/>
  <c r="BR66" i="12" s="1"/>
  <c r="V67" i="10" s="1"/>
  <c r="BH66" i="12"/>
  <c r="BS66" i="12" s="1"/>
  <c r="W67" i="10" s="1"/>
  <c r="A79" i="1"/>
  <c r="BE66" i="12"/>
  <c r="BT66" i="12" s="1"/>
  <c r="O265" i="10"/>
  <c r="BI264" i="12"/>
  <c r="BM264" i="12" s="1"/>
  <c r="BJ264" i="12"/>
  <c r="BN264" i="12" s="1"/>
  <c r="S265" i="10" s="1"/>
  <c r="BF264" i="12"/>
  <c r="BQ264" i="12" s="1"/>
  <c r="BG264" i="12"/>
  <c r="BR264" i="12" s="1"/>
  <c r="V265" i="10" s="1"/>
  <c r="BH264" i="12"/>
  <c r="BS264" i="12" s="1"/>
  <c r="W265" i="10" s="1"/>
  <c r="BK264" i="12"/>
  <c r="BO264" i="12" s="1"/>
  <c r="T265" i="10" s="1"/>
  <c r="A277" i="1"/>
  <c r="BE264" i="12"/>
  <c r="BT264" i="12" s="1"/>
  <c r="EH158" i="10" l="1"/>
  <c r="CA158" i="10"/>
  <c r="BU38" i="12"/>
  <c r="R39" i="10"/>
  <c r="BL38" i="12"/>
  <c r="EH201" i="10"/>
  <c r="CA201" i="10"/>
  <c r="EJ192" i="10"/>
  <c r="CC192" i="10"/>
  <c r="BU182" i="12"/>
  <c r="R183" i="10"/>
  <c r="BL182" i="12"/>
  <c r="EG102" i="10"/>
  <c r="BZ102" i="10"/>
  <c r="EH111" i="10"/>
  <c r="CA111" i="10"/>
  <c r="EK500" i="10"/>
  <c r="CD500" i="10"/>
  <c r="U57" i="10"/>
  <c r="BP56" i="12"/>
  <c r="EH143" i="10"/>
  <c r="CA143" i="10"/>
  <c r="U382" i="10"/>
  <c r="BP381" i="12"/>
  <c r="BU284" i="12"/>
  <c r="R285" i="10"/>
  <c r="BL284" i="12"/>
  <c r="EG48" i="10"/>
  <c r="BZ48" i="10"/>
  <c r="EC75" i="10"/>
  <c r="ED75" i="10" s="1"/>
  <c r="P75" i="10"/>
  <c r="Q75" i="10" s="1"/>
  <c r="N75" i="10" s="1"/>
  <c r="BV75" i="10"/>
  <c r="BW75" i="10" s="1"/>
  <c r="BX75" i="10" s="1"/>
  <c r="BU75" i="10" s="1"/>
  <c r="EJ231" i="10"/>
  <c r="CC231" i="10"/>
  <c r="EC362" i="10"/>
  <c r="ED362" i="10" s="1"/>
  <c r="BV362" i="10"/>
  <c r="BW362" i="10" s="1"/>
  <c r="BX362" i="10" s="1"/>
  <c r="BU362" i="10" s="1"/>
  <c r="P362" i="10"/>
  <c r="Q362" i="10" s="1"/>
  <c r="N362" i="10" s="1"/>
  <c r="BU291" i="12"/>
  <c r="R292" i="10"/>
  <c r="BL291" i="12"/>
  <c r="EC438" i="10"/>
  <c r="ED438" i="10" s="1"/>
  <c r="BV438" i="10"/>
  <c r="BW438" i="10" s="1"/>
  <c r="BX438" i="10" s="1"/>
  <c r="BU438" i="10" s="1"/>
  <c r="P438" i="10"/>
  <c r="Q438" i="10" s="1"/>
  <c r="N438" i="10" s="1"/>
  <c r="U357" i="10"/>
  <c r="BP356" i="12"/>
  <c r="BU517" i="12"/>
  <c r="R518" i="10"/>
  <c r="BL517" i="12"/>
  <c r="EG417" i="10"/>
  <c r="BZ417" i="10"/>
  <c r="EC224" i="10"/>
  <c r="ED224" i="10" s="1"/>
  <c r="BV224" i="10"/>
  <c r="BW224" i="10" s="1"/>
  <c r="BX224" i="10" s="1"/>
  <c r="BU224" i="10" s="1"/>
  <c r="P224" i="10"/>
  <c r="Q224" i="10" s="1"/>
  <c r="N224" i="10" s="1"/>
  <c r="BU487" i="12"/>
  <c r="R488" i="10"/>
  <c r="BL487" i="12"/>
  <c r="EG212" i="10"/>
  <c r="BZ212" i="10"/>
  <c r="EC239" i="10"/>
  <c r="ED239" i="10" s="1"/>
  <c r="BV239" i="10"/>
  <c r="BW239" i="10" s="1"/>
  <c r="BX239" i="10" s="1"/>
  <c r="BU239" i="10" s="1"/>
  <c r="P239" i="10"/>
  <c r="Q239" i="10" s="1"/>
  <c r="N239" i="10" s="1"/>
  <c r="EH53" i="10"/>
  <c r="CA53" i="10"/>
  <c r="EJ442" i="10"/>
  <c r="CC442" i="10"/>
  <c r="EH147" i="10"/>
  <c r="CA147" i="10"/>
  <c r="EK52" i="10"/>
  <c r="CD52" i="10"/>
  <c r="BU127" i="12"/>
  <c r="R128" i="10"/>
  <c r="BL127" i="12"/>
  <c r="EK100" i="10"/>
  <c r="CD100" i="10"/>
  <c r="BU477" i="12"/>
  <c r="R478" i="10"/>
  <c r="BL477" i="12"/>
  <c r="EH532" i="10"/>
  <c r="CA532" i="10"/>
  <c r="BU109" i="12"/>
  <c r="R110" i="10"/>
  <c r="BL109" i="12"/>
  <c r="EH207" i="10"/>
  <c r="CA207" i="10"/>
  <c r="EK99" i="10"/>
  <c r="CD99" i="10"/>
  <c r="BU513" i="12"/>
  <c r="R514" i="10"/>
  <c r="BL513" i="12"/>
  <c r="CA473" i="10"/>
  <c r="EH473" i="10"/>
  <c r="EK465" i="10"/>
  <c r="CD465" i="10"/>
  <c r="EH54" i="10"/>
  <c r="CA54" i="10"/>
  <c r="CA65" i="10"/>
  <c r="EH65" i="10"/>
  <c r="EK142" i="10"/>
  <c r="CD142" i="10"/>
  <c r="EK133" i="10"/>
  <c r="CD133" i="10"/>
  <c r="EC394" i="10"/>
  <c r="ED394" i="10" s="1"/>
  <c r="BV394" i="10"/>
  <c r="BW394" i="10" s="1"/>
  <c r="BX394" i="10" s="1"/>
  <c r="BU394" i="10" s="1"/>
  <c r="P394" i="10"/>
  <c r="Q394" i="10" s="1"/>
  <c r="N394" i="10" s="1"/>
  <c r="BZ169" i="10"/>
  <c r="EG169" i="10"/>
  <c r="EG160" i="10"/>
  <c r="BZ160" i="10"/>
  <c r="U151" i="10"/>
  <c r="BP150" i="12"/>
  <c r="EJ405" i="10"/>
  <c r="CC405" i="10"/>
  <c r="EG509" i="10"/>
  <c r="BZ509" i="10"/>
  <c r="EK342" i="10"/>
  <c r="CD342" i="10"/>
  <c r="CA208" i="10"/>
  <c r="EH208" i="10"/>
  <c r="U51" i="10"/>
  <c r="BP50" i="12"/>
  <c r="EK345" i="10"/>
  <c r="CD345" i="10"/>
  <c r="EJ411" i="10"/>
  <c r="CC411" i="10"/>
  <c r="EC557" i="10"/>
  <c r="ED557" i="10" s="1"/>
  <c r="P557" i="10"/>
  <c r="Q557" i="10" s="1"/>
  <c r="N557" i="10" s="1"/>
  <c r="BV557" i="10"/>
  <c r="BW557" i="10" s="1"/>
  <c r="BX557" i="10" s="1"/>
  <c r="BU557" i="10" s="1"/>
  <c r="EJ395" i="10"/>
  <c r="CC395" i="10"/>
  <c r="EK423" i="10"/>
  <c r="CD423" i="10"/>
  <c r="EC240" i="10"/>
  <c r="ED240" i="10" s="1"/>
  <c r="BV240" i="10"/>
  <c r="BW240" i="10" s="1"/>
  <c r="BX240" i="10" s="1"/>
  <c r="BU240" i="10" s="1"/>
  <c r="P240" i="10"/>
  <c r="Q240" i="10" s="1"/>
  <c r="N240" i="10" s="1"/>
  <c r="BU306" i="12"/>
  <c r="R307" i="10"/>
  <c r="BL306" i="12"/>
  <c r="EJ452" i="10"/>
  <c r="CC452" i="10"/>
  <c r="U414" i="10"/>
  <c r="BP413" i="12"/>
  <c r="U516" i="10"/>
  <c r="BP515" i="12"/>
  <c r="EC241" i="10"/>
  <c r="ED241" i="10" s="1"/>
  <c r="BV241" i="10"/>
  <c r="BW241" i="10" s="1"/>
  <c r="BX241" i="10" s="1"/>
  <c r="BU241" i="10" s="1"/>
  <c r="P241" i="10"/>
  <c r="Q241" i="10" s="1"/>
  <c r="N241" i="10" s="1"/>
  <c r="EH21" i="10"/>
  <c r="CA21" i="10"/>
  <c r="EC150" i="10"/>
  <c r="ED150" i="10" s="1"/>
  <c r="P150" i="10"/>
  <c r="Q150" i="10" s="1"/>
  <c r="N150" i="10" s="1"/>
  <c r="BV150" i="10"/>
  <c r="BW150" i="10" s="1"/>
  <c r="BX150" i="10" s="1"/>
  <c r="BU150" i="10" s="1"/>
  <c r="EJ538" i="10"/>
  <c r="CC538" i="10"/>
  <c r="EG18" i="10"/>
  <c r="BZ18" i="10"/>
  <c r="U8" i="10"/>
  <c r="BP7" i="12"/>
  <c r="BU557" i="12"/>
  <c r="R558" i="10"/>
  <c r="BL557" i="12"/>
  <c r="BU194" i="12"/>
  <c r="R195" i="10"/>
  <c r="BL194" i="12"/>
  <c r="EG196" i="10"/>
  <c r="BZ196" i="10"/>
  <c r="BU289" i="12"/>
  <c r="R290" i="10"/>
  <c r="BL289" i="12"/>
  <c r="EG67" i="10"/>
  <c r="BZ67" i="10"/>
  <c r="EC67" i="10"/>
  <c r="ED67" i="10" s="1"/>
  <c r="P67" i="10"/>
  <c r="Q67" i="10" s="1"/>
  <c r="N67" i="10" s="1"/>
  <c r="BV67" i="10"/>
  <c r="BW67" i="10" s="1"/>
  <c r="BX67" i="10" s="1"/>
  <c r="BU67" i="10" s="1"/>
  <c r="EG131" i="10"/>
  <c r="BZ131" i="10"/>
  <c r="U196" i="10"/>
  <c r="BP195" i="12"/>
  <c r="EJ29" i="10"/>
  <c r="CC29" i="10"/>
  <c r="EK93" i="10"/>
  <c r="CD93" i="10"/>
  <c r="U158" i="10"/>
  <c r="BP157" i="12"/>
  <c r="EJ223" i="10"/>
  <c r="CC223" i="10"/>
  <c r="EC354" i="10"/>
  <c r="ED354" i="10" s="1"/>
  <c r="BV354" i="10"/>
  <c r="BW354" i="10" s="1"/>
  <c r="BX354" i="10" s="1"/>
  <c r="BU354" i="10" s="1"/>
  <c r="P354" i="10"/>
  <c r="Q354" i="10" s="1"/>
  <c r="N354" i="10" s="1"/>
  <c r="BU417" i="12"/>
  <c r="R418" i="10"/>
  <c r="BL417" i="12"/>
  <c r="BU481" i="12"/>
  <c r="R482" i="10"/>
  <c r="BL481" i="12"/>
  <c r="EJ546" i="10"/>
  <c r="CC546" i="10"/>
  <c r="EG39" i="10"/>
  <c r="BZ39" i="10"/>
  <c r="EH124" i="10"/>
  <c r="CA124" i="10"/>
  <c r="EK210" i="10"/>
  <c r="CD210" i="10"/>
  <c r="EC364" i="10"/>
  <c r="ED364" i="10" s="1"/>
  <c r="P364" i="10"/>
  <c r="Q364" i="10" s="1"/>
  <c r="N364" i="10" s="1"/>
  <c r="BV364" i="10"/>
  <c r="BW364" i="10" s="1"/>
  <c r="BX364" i="10" s="1"/>
  <c r="BU364" i="10" s="1"/>
  <c r="EG437" i="10"/>
  <c r="BZ437" i="10"/>
  <c r="BU509" i="12"/>
  <c r="R510" i="10"/>
  <c r="BL509" i="12"/>
  <c r="EH30" i="10"/>
  <c r="CA30" i="10"/>
  <c r="BU113" i="12"/>
  <c r="R114" i="10"/>
  <c r="BL113" i="12"/>
  <c r="EJ201" i="10"/>
  <c r="CC201" i="10"/>
  <c r="EK282" i="10"/>
  <c r="CD282" i="10"/>
  <c r="EC429" i="10"/>
  <c r="ED429" i="10" s="1"/>
  <c r="P429" i="10"/>
  <c r="Q429" i="10" s="1"/>
  <c r="N429" i="10" s="1"/>
  <c r="BV429" i="10"/>
  <c r="BW429" i="10" s="1"/>
  <c r="BX429" i="10" s="1"/>
  <c r="BU429" i="10" s="1"/>
  <c r="U502" i="10"/>
  <c r="BP501" i="12"/>
  <c r="U20" i="10"/>
  <c r="BP19" i="12"/>
  <c r="BU104" i="12"/>
  <c r="R105" i="10"/>
  <c r="BL104" i="12"/>
  <c r="EK192" i="10"/>
  <c r="CD192" i="10"/>
  <c r="EJ274" i="10"/>
  <c r="CC274" i="10"/>
  <c r="U348" i="10"/>
  <c r="BP347" i="12"/>
  <c r="EC494" i="10"/>
  <c r="ED494" i="10" s="1"/>
  <c r="BV494" i="10"/>
  <c r="BW494" i="10" s="1"/>
  <c r="BX494" i="10" s="1"/>
  <c r="BU494" i="10" s="1"/>
  <c r="P494" i="10"/>
  <c r="Q494" i="10" s="1"/>
  <c r="N494" i="10" s="1"/>
  <c r="EG9" i="10"/>
  <c r="BZ9" i="10"/>
  <c r="EK96" i="10"/>
  <c r="CD96" i="10"/>
  <c r="EG183" i="10"/>
  <c r="BZ183" i="10"/>
  <c r="EJ266" i="10"/>
  <c r="CC266" i="10"/>
  <c r="EJ340" i="10"/>
  <c r="CC340" i="10"/>
  <c r="EH413" i="10"/>
  <c r="CA413" i="10"/>
  <c r="EC108" i="10"/>
  <c r="ED108" i="10" s="1"/>
  <c r="P108" i="10"/>
  <c r="Q108" i="10" s="1"/>
  <c r="N108" i="10" s="1"/>
  <c r="BV108" i="10"/>
  <c r="BW108" i="10" s="1"/>
  <c r="BX108" i="10" s="1"/>
  <c r="BU108" i="10" s="1"/>
  <c r="BU151" i="12"/>
  <c r="R152" i="10"/>
  <c r="BL151" i="12"/>
  <c r="BU312" i="12"/>
  <c r="R313" i="10"/>
  <c r="BL312" i="12"/>
  <c r="EJ460" i="10"/>
  <c r="CC460" i="10"/>
  <c r="EG15" i="10"/>
  <c r="BZ15" i="10"/>
  <c r="EG218" i="10"/>
  <c r="BZ218" i="10"/>
  <c r="EG369" i="10"/>
  <c r="BZ369" i="10"/>
  <c r="EC102" i="10"/>
  <c r="ED102" i="10" s="1"/>
  <c r="P102" i="10"/>
  <c r="Q102" i="10" s="1"/>
  <c r="N102" i="10" s="1"/>
  <c r="BV102" i="10"/>
  <c r="BW102" i="10" s="1"/>
  <c r="BX102" i="10" s="1"/>
  <c r="BU102" i="10" s="1"/>
  <c r="BU277" i="12"/>
  <c r="R278" i="10"/>
  <c r="BL277" i="12"/>
  <c r="EJ425" i="10"/>
  <c r="CC425" i="10"/>
  <c r="EK551" i="10"/>
  <c r="CD551" i="10"/>
  <c r="EJ199" i="10"/>
  <c r="CC199" i="10"/>
  <c r="EH353" i="10"/>
  <c r="CA353" i="10"/>
  <c r="EH495" i="10"/>
  <c r="CA495" i="10"/>
  <c r="EC286" i="10"/>
  <c r="ED286" i="10" s="1"/>
  <c r="BV286" i="10"/>
  <c r="BW286" i="10" s="1"/>
  <c r="BX286" i="10" s="1"/>
  <c r="BU286" i="10" s="1"/>
  <c r="P286" i="10"/>
  <c r="Q286" i="10" s="1"/>
  <c r="N286" i="10" s="1"/>
  <c r="U432" i="10"/>
  <c r="BP431" i="12"/>
  <c r="C444" i="1" s="1"/>
  <c r="U553" i="10"/>
  <c r="BP552" i="12"/>
  <c r="EG399" i="10"/>
  <c r="BZ399" i="10"/>
  <c r="EG268" i="10"/>
  <c r="BZ268" i="10"/>
  <c r="EK89" i="10"/>
  <c r="CD89" i="10"/>
  <c r="U500" i="10"/>
  <c r="BP499" i="12"/>
  <c r="EC230" i="10"/>
  <c r="ED230" i="10" s="1"/>
  <c r="P230" i="10"/>
  <c r="Q230" i="10" s="1"/>
  <c r="N230" i="10" s="1"/>
  <c r="BV230" i="10"/>
  <c r="BW230" i="10" s="1"/>
  <c r="BX230" i="10" s="1"/>
  <c r="BU230" i="10" s="1"/>
  <c r="U121" i="10"/>
  <c r="BP120" i="12"/>
  <c r="EK185" i="10"/>
  <c r="CD185" i="10"/>
  <c r="EG36" i="10"/>
  <c r="BZ36" i="10"/>
  <c r="EG57" i="10"/>
  <c r="BZ57" i="10"/>
  <c r="U349" i="10"/>
  <c r="BP348" i="12"/>
  <c r="U119" i="10"/>
  <c r="BP118" i="12"/>
  <c r="EC46" i="10"/>
  <c r="ED46" i="10" s="1"/>
  <c r="P46" i="10"/>
  <c r="Q46" i="10" s="1"/>
  <c r="N46" i="10" s="1"/>
  <c r="BV46" i="10"/>
  <c r="BW46" i="10" s="1"/>
  <c r="BX46" i="10" s="1"/>
  <c r="BU46" i="10" s="1"/>
  <c r="EH388" i="10"/>
  <c r="CA388" i="10"/>
  <c r="BU131" i="12"/>
  <c r="R132" i="10"/>
  <c r="BL131" i="12"/>
  <c r="EJ444" i="10"/>
  <c r="CC444" i="10"/>
  <c r="EJ220" i="10"/>
  <c r="CC220" i="10"/>
  <c r="EH508" i="10"/>
  <c r="CA508" i="10"/>
  <c r="EK304" i="10"/>
  <c r="CD304" i="10"/>
  <c r="EC308" i="10"/>
  <c r="ED308" i="10" s="1"/>
  <c r="P308" i="10"/>
  <c r="Q308" i="10" s="1"/>
  <c r="N308" i="10" s="1"/>
  <c r="BV308" i="10"/>
  <c r="BW308" i="10" s="1"/>
  <c r="BX308" i="10" s="1"/>
  <c r="BU308" i="10" s="1"/>
  <c r="EH543" i="10"/>
  <c r="CA543" i="10"/>
  <c r="EK287" i="10"/>
  <c r="CD287" i="10"/>
  <c r="EG305" i="10"/>
  <c r="BZ305" i="10"/>
  <c r="EK187" i="10"/>
  <c r="CD187" i="10"/>
  <c r="BZ382" i="10"/>
  <c r="EG382" i="10"/>
  <c r="EG528" i="10"/>
  <c r="BZ528" i="10"/>
  <c r="EG136" i="10"/>
  <c r="BZ136" i="10"/>
  <c r="EC301" i="10"/>
  <c r="ED301" i="10" s="1"/>
  <c r="P301" i="10"/>
  <c r="Q301" i="10" s="1"/>
  <c r="N301" i="10" s="1"/>
  <c r="BV301" i="10"/>
  <c r="BW301" i="10" s="1"/>
  <c r="BX301" i="10" s="1"/>
  <c r="BU301" i="10" s="1"/>
  <c r="U447" i="10"/>
  <c r="BP446" i="12"/>
  <c r="C459" i="1" s="1"/>
  <c r="EG41" i="10"/>
  <c r="BZ41" i="10"/>
  <c r="BU213" i="12"/>
  <c r="R214" i="10"/>
  <c r="BL213" i="12"/>
  <c r="EG366" i="10"/>
  <c r="BZ366" i="10"/>
  <c r="EG512" i="10"/>
  <c r="BZ512" i="10"/>
  <c r="EK118" i="10"/>
  <c r="CD118" i="10"/>
  <c r="B297" i="1"/>
  <c r="D297" i="1" s="1"/>
  <c r="EC431" i="10"/>
  <c r="ED431" i="10" s="1"/>
  <c r="BV431" i="10"/>
  <c r="BW431" i="10" s="1"/>
  <c r="BX431" i="10" s="1"/>
  <c r="BU431" i="10" s="1"/>
  <c r="P431" i="10"/>
  <c r="Q431" i="10" s="1"/>
  <c r="N431" i="10" s="1"/>
  <c r="EH129" i="10"/>
  <c r="CA129" i="10"/>
  <c r="EG350" i="10"/>
  <c r="BZ350" i="10"/>
  <c r="EH70" i="10"/>
  <c r="CA70" i="10"/>
  <c r="EG154" i="10"/>
  <c r="BZ154" i="10"/>
  <c r="U48" i="10"/>
  <c r="BP47" i="12"/>
  <c r="CA323" i="10"/>
  <c r="EH323" i="10"/>
  <c r="EC343" i="10"/>
  <c r="ED343" i="10" s="1"/>
  <c r="BV343" i="10"/>
  <c r="BW343" i="10" s="1"/>
  <c r="BX343" i="10" s="1"/>
  <c r="BU343" i="10" s="1"/>
  <c r="P343" i="10"/>
  <c r="Q343" i="10" s="1"/>
  <c r="N343" i="10" s="1"/>
  <c r="BU10" i="12"/>
  <c r="R11" i="10"/>
  <c r="BL10" i="12"/>
  <c r="B23" i="1" s="1"/>
  <c r="D23" i="1" s="1"/>
  <c r="U75" i="10"/>
  <c r="BP74" i="12"/>
  <c r="EJ139" i="10"/>
  <c r="CC139" i="10"/>
  <c r="EK204" i="10"/>
  <c r="CD204" i="10"/>
  <c r="EK37" i="10"/>
  <c r="CD37" i="10"/>
  <c r="EK101" i="10"/>
  <c r="CD101" i="10"/>
  <c r="EC231" i="10"/>
  <c r="ED231" i="10" s="1"/>
  <c r="BV231" i="10"/>
  <c r="BW231" i="10" s="1"/>
  <c r="BX231" i="10" s="1"/>
  <c r="BU231" i="10" s="1"/>
  <c r="P231" i="10"/>
  <c r="Q231" i="10" s="1"/>
  <c r="N231" i="10" s="1"/>
  <c r="EH298" i="10"/>
  <c r="CA298" i="10"/>
  <c r="EK362" i="10"/>
  <c r="CD362" i="10"/>
  <c r="BU425" i="12"/>
  <c r="R426" i="10"/>
  <c r="BL425" i="12"/>
  <c r="U490" i="10"/>
  <c r="BP489" i="12"/>
  <c r="U554" i="10"/>
  <c r="BP553" i="12"/>
  <c r="EK49" i="10"/>
  <c r="CD49" i="10"/>
  <c r="EC222" i="10"/>
  <c r="ED222" i="10" s="1"/>
  <c r="P222" i="10"/>
  <c r="Q222" i="10" s="1"/>
  <c r="N222" i="10" s="1"/>
  <c r="BV222" i="10"/>
  <c r="BW222" i="10" s="1"/>
  <c r="BX222" i="10" s="1"/>
  <c r="BU222" i="10" s="1"/>
  <c r="EG300" i="10"/>
  <c r="BZ300" i="10"/>
  <c r="EJ373" i="10"/>
  <c r="CC373" i="10"/>
  <c r="BU445" i="12"/>
  <c r="R446" i="10"/>
  <c r="BL445" i="12"/>
  <c r="EK519" i="10"/>
  <c r="CD519" i="10"/>
  <c r="EK40" i="10"/>
  <c r="CD40" i="10"/>
  <c r="EH126" i="10"/>
  <c r="CA126" i="10"/>
  <c r="EC292" i="10"/>
  <c r="ED292" i="10" s="1"/>
  <c r="P292" i="10"/>
  <c r="Q292" i="10" s="1"/>
  <c r="N292" i="10" s="1"/>
  <c r="BV292" i="10"/>
  <c r="BW292" i="10" s="1"/>
  <c r="BX292" i="10" s="1"/>
  <c r="BU292" i="10" s="1"/>
  <c r="M292" i="10"/>
  <c r="EG365" i="10"/>
  <c r="BZ365" i="10"/>
  <c r="CC438" i="10"/>
  <c r="EJ438" i="10"/>
  <c r="EG511" i="10"/>
  <c r="BZ511" i="10"/>
  <c r="EG31" i="10"/>
  <c r="BZ31" i="10"/>
  <c r="U116" i="10"/>
  <c r="BP115" i="12"/>
  <c r="EK202" i="10"/>
  <c r="CD202" i="10"/>
  <c r="EC357" i="10"/>
  <c r="ED357" i="10" s="1"/>
  <c r="P357" i="10"/>
  <c r="Q357" i="10" s="1"/>
  <c r="N357" i="10" s="1"/>
  <c r="BV357" i="10"/>
  <c r="BW357" i="10" s="1"/>
  <c r="BX357" i="10" s="1"/>
  <c r="BU357" i="10" s="1"/>
  <c r="BU429" i="12"/>
  <c r="R430" i="10"/>
  <c r="BL429" i="12"/>
  <c r="EJ503" i="10"/>
  <c r="CC503" i="10"/>
  <c r="EH22" i="10"/>
  <c r="CA22" i="10"/>
  <c r="EK106" i="10"/>
  <c r="CD106" i="10"/>
  <c r="EJ193" i="10"/>
  <c r="CC193" i="10"/>
  <c r="EC275" i="10"/>
  <c r="ED275" i="10" s="1"/>
  <c r="P275" i="10"/>
  <c r="Q275" i="10" s="1"/>
  <c r="BV275" i="10"/>
  <c r="BW275" i="10" s="1"/>
  <c r="BX275" i="10" s="1"/>
  <c r="BU275" i="10" s="1"/>
  <c r="EC33" i="10"/>
  <c r="ED33" i="10" s="1"/>
  <c r="BV33" i="10"/>
  <c r="BW33" i="10" s="1"/>
  <c r="BX33" i="10" s="1"/>
  <c r="BU33" i="10" s="1"/>
  <c r="P33" i="10"/>
  <c r="Q33" i="10" s="1"/>
  <c r="N33" i="10" s="1"/>
  <c r="EG173" i="10"/>
  <c r="BZ173" i="10"/>
  <c r="EJ472" i="10"/>
  <c r="CC472" i="10"/>
  <c r="EG238" i="10"/>
  <c r="BZ238" i="10"/>
  <c r="EK518" i="10"/>
  <c r="CD518" i="10"/>
  <c r="BU296" i="12"/>
  <c r="R297" i="10"/>
  <c r="BL296" i="12"/>
  <c r="EH24" i="10"/>
  <c r="CA24" i="10"/>
  <c r="EC140" i="10"/>
  <c r="ED140" i="10" s="1"/>
  <c r="P140" i="10"/>
  <c r="Q140" i="10" s="1"/>
  <c r="N140" i="10" s="1"/>
  <c r="BV140" i="10"/>
  <c r="BW140" i="10" s="1"/>
  <c r="BX140" i="10" s="1"/>
  <c r="BU140" i="10" s="1"/>
  <c r="CA451" i="10"/>
  <c r="EH451" i="10"/>
  <c r="CA453" i="10"/>
  <c r="EH453" i="10"/>
  <c r="EJ163" i="10"/>
  <c r="CC163" i="10"/>
  <c r="EK417" i="10"/>
  <c r="CD417" i="10"/>
  <c r="EH288" i="10"/>
  <c r="CA288" i="10"/>
  <c r="EG58" i="10"/>
  <c r="BZ58" i="10"/>
  <c r="EC455" i="10"/>
  <c r="ED455" i="10" s="1"/>
  <c r="BV455" i="10"/>
  <c r="BW455" i="10" s="1"/>
  <c r="BX455" i="10" s="1"/>
  <c r="BU455" i="10" s="1"/>
  <c r="P455" i="10"/>
  <c r="Q455" i="10" s="1"/>
  <c r="U50" i="10"/>
  <c r="BP49" i="12"/>
  <c r="C62" i="1" s="1"/>
  <c r="BU223" i="12"/>
  <c r="M224" i="10" s="1"/>
  <c r="R224" i="10"/>
  <c r="BL223" i="12"/>
  <c r="EJ374" i="10"/>
  <c r="CC374" i="10"/>
  <c r="EG520" i="10"/>
  <c r="BZ520" i="10"/>
  <c r="EG127" i="10"/>
  <c r="BZ127" i="10"/>
  <c r="EJ293" i="10"/>
  <c r="CC293" i="10"/>
  <c r="EC32" i="10"/>
  <c r="ED32" i="10" s="1"/>
  <c r="BV32" i="10"/>
  <c r="BW32" i="10" s="1"/>
  <c r="BX32" i="10" s="1"/>
  <c r="BU32" i="10" s="1"/>
  <c r="P32" i="10"/>
  <c r="Q32" i="10" s="1"/>
  <c r="N32" i="10" s="1"/>
  <c r="BU202" i="12"/>
  <c r="R203" i="10"/>
  <c r="BL202" i="12"/>
  <c r="BU357" i="12"/>
  <c r="R358" i="10"/>
  <c r="BL357" i="12"/>
  <c r="U44" i="10"/>
  <c r="BP43" i="12"/>
  <c r="EG194" i="10"/>
  <c r="BZ194" i="10"/>
  <c r="EJ488" i="10"/>
  <c r="CC488" i="10"/>
  <c r="EG258" i="10"/>
  <c r="BZ258" i="10"/>
  <c r="EC524" i="10"/>
  <c r="ED524" i="10" s="1"/>
  <c r="P524" i="10"/>
  <c r="Q524" i="10" s="1"/>
  <c r="N524" i="10" s="1"/>
  <c r="BV524" i="10"/>
  <c r="BW524" i="10" s="1"/>
  <c r="BX524" i="10" s="1"/>
  <c r="BU524" i="10" s="1"/>
  <c r="EG66" i="10"/>
  <c r="BZ66" i="10"/>
  <c r="EK470" i="10"/>
  <c r="CD470" i="10"/>
  <c r="EG19" i="10"/>
  <c r="BZ19" i="10"/>
  <c r="U83" i="10"/>
  <c r="BP82" i="12"/>
  <c r="EG148" i="10"/>
  <c r="BZ148" i="10"/>
  <c r="EJ212" i="10"/>
  <c r="CC212" i="10"/>
  <c r="EC109" i="10"/>
  <c r="ED109" i="10" s="1"/>
  <c r="P109" i="10"/>
  <c r="Q109" i="10" s="1"/>
  <c r="N109" i="10" s="1"/>
  <c r="BV109" i="10"/>
  <c r="BW109" i="10" s="1"/>
  <c r="BX109" i="10" s="1"/>
  <c r="BU109" i="10" s="1"/>
  <c r="EC174" i="10"/>
  <c r="ED174" i="10" s="1"/>
  <c r="P174" i="10"/>
  <c r="Q174" i="10" s="1"/>
  <c r="N174" i="10" s="1"/>
  <c r="BV174" i="10"/>
  <c r="BW174" i="10" s="1"/>
  <c r="BX174" i="10" s="1"/>
  <c r="BU174" i="10" s="1"/>
  <c r="EK239" i="10"/>
  <c r="CD239" i="10"/>
  <c r="BU305" i="12"/>
  <c r="R306" i="10"/>
  <c r="BL305" i="12"/>
  <c r="EJ370" i="10"/>
  <c r="CC370" i="10"/>
  <c r="EG434" i="10"/>
  <c r="BZ434" i="10"/>
  <c r="EJ498" i="10"/>
  <c r="CC498" i="10"/>
  <c r="EC60" i="10"/>
  <c r="ED60" i="10" s="1"/>
  <c r="BV60" i="10"/>
  <c r="BW60" i="10" s="1"/>
  <c r="BX60" i="10" s="1"/>
  <c r="BU60" i="10" s="1"/>
  <c r="P60" i="10"/>
  <c r="Q60" i="10" s="1"/>
  <c r="N60" i="10" s="1"/>
  <c r="BU145" i="12"/>
  <c r="R146" i="10"/>
  <c r="BL145" i="12"/>
  <c r="EJ233" i="10"/>
  <c r="CC233" i="10"/>
  <c r="EG27" i="10"/>
  <c r="BZ27" i="10"/>
  <c r="U91" i="10"/>
  <c r="BP90" i="12"/>
  <c r="EJ156" i="10"/>
  <c r="CC156" i="10"/>
  <c r="EK221" i="10"/>
  <c r="CD221" i="10"/>
  <c r="EC117" i="10"/>
  <c r="ED117" i="10" s="1"/>
  <c r="P117" i="10"/>
  <c r="Q117" i="10" s="1"/>
  <c r="N117" i="10" s="1"/>
  <c r="BV117" i="10"/>
  <c r="BW117" i="10" s="1"/>
  <c r="BX117" i="10" s="1"/>
  <c r="BU117" i="10" s="1"/>
  <c r="U182" i="10"/>
  <c r="BP181" i="12"/>
  <c r="EK247" i="10"/>
  <c r="CD247" i="10"/>
  <c r="EJ314" i="10"/>
  <c r="CC314" i="10"/>
  <c r="EJ378" i="10"/>
  <c r="CC378" i="10"/>
  <c r="EG442" i="10"/>
  <c r="BZ442" i="10"/>
  <c r="BU505" i="12"/>
  <c r="R506" i="10"/>
  <c r="BL505" i="12"/>
  <c r="EC71" i="10"/>
  <c r="ED71" i="10" s="1"/>
  <c r="BV71" i="10"/>
  <c r="BW71" i="10" s="1"/>
  <c r="BX71" i="10" s="1"/>
  <c r="BU71" i="10" s="1"/>
  <c r="P71" i="10"/>
  <c r="Q71" i="10" s="1"/>
  <c r="N71" i="10" s="1"/>
  <c r="U157" i="10"/>
  <c r="BP156" i="12"/>
  <c r="U242" i="10"/>
  <c r="BP241" i="12"/>
  <c r="EH318" i="10"/>
  <c r="CA318" i="10"/>
  <c r="EG391" i="10"/>
  <c r="BZ391" i="10"/>
  <c r="CA464" i="10"/>
  <c r="EH464" i="10"/>
  <c r="CA537" i="10"/>
  <c r="EH537" i="10"/>
  <c r="EC147" i="10"/>
  <c r="ED147" i="10" s="1"/>
  <c r="P147" i="10"/>
  <c r="Q147" i="10" s="1"/>
  <c r="N147" i="10" s="1"/>
  <c r="BV147" i="10"/>
  <c r="BW147" i="10" s="1"/>
  <c r="BX147" i="10" s="1"/>
  <c r="BU147" i="10" s="1"/>
  <c r="CA234" i="10"/>
  <c r="EH234" i="10"/>
  <c r="EJ310" i="10"/>
  <c r="CC310" i="10"/>
  <c r="U383" i="10"/>
  <c r="BP382" i="12"/>
  <c r="EK456" i="10"/>
  <c r="CD456" i="10"/>
  <c r="EK529" i="10"/>
  <c r="CD529" i="10"/>
  <c r="EJ52" i="10"/>
  <c r="CC52" i="10"/>
  <c r="EC225" i="10"/>
  <c r="ED225" i="10" s="1"/>
  <c r="P225" i="10"/>
  <c r="Q225" i="10" s="1"/>
  <c r="N225" i="10" s="1"/>
  <c r="BV225" i="10"/>
  <c r="BW225" i="10" s="1"/>
  <c r="BX225" i="10" s="1"/>
  <c r="BU225" i="10" s="1"/>
  <c r="BU301" i="12"/>
  <c r="R302" i="10"/>
  <c r="BL301" i="12"/>
  <c r="EK375" i="10"/>
  <c r="CD375" i="10"/>
  <c r="EK448" i="10"/>
  <c r="CD448" i="10"/>
  <c r="CA521" i="10"/>
  <c r="EH521" i="10"/>
  <c r="EG42" i="10"/>
  <c r="BZ42" i="10"/>
  <c r="EJ128" i="10"/>
  <c r="CC128" i="10"/>
  <c r="EC294" i="10"/>
  <c r="ED294" i="10" s="1"/>
  <c r="BV294" i="10"/>
  <c r="BW294" i="10" s="1"/>
  <c r="BX294" i="10" s="1"/>
  <c r="BU294" i="10" s="1"/>
  <c r="P294" i="10"/>
  <c r="Q294" i="10" s="1"/>
  <c r="N294" i="10" s="1"/>
  <c r="BU366" i="12"/>
  <c r="R367" i="10"/>
  <c r="BL366" i="12"/>
  <c r="B379" i="1" s="1"/>
  <c r="D379" i="1" s="1"/>
  <c r="BU439" i="12"/>
  <c r="R440" i="10"/>
  <c r="BL439" i="12"/>
  <c r="EJ55" i="10"/>
  <c r="CC55" i="10"/>
  <c r="EK12" i="10"/>
  <c r="CD12" i="10"/>
  <c r="EK217" i="10"/>
  <c r="CD217" i="10"/>
  <c r="EJ368" i="10"/>
  <c r="CC368" i="10"/>
  <c r="EC100" i="10"/>
  <c r="ED100" i="10" s="1"/>
  <c r="P100" i="10"/>
  <c r="Q100" i="10" s="1"/>
  <c r="N100" i="10" s="1"/>
  <c r="BV100" i="10"/>
  <c r="BW100" i="10" s="1"/>
  <c r="BX100" i="10" s="1"/>
  <c r="BU100" i="10" s="1"/>
  <c r="EH277" i="10"/>
  <c r="CA277" i="10"/>
  <c r="BU423" i="12"/>
  <c r="R424" i="10"/>
  <c r="BL423" i="12"/>
  <c r="CA550" i="10"/>
  <c r="EH550" i="10"/>
  <c r="EJ176" i="10"/>
  <c r="CC176" i="10"/>
  <c r="EJ334" i="10"/>
  <c r="CC334" i="10"/>
  <c r="EJ478" i="10"/>
  <c r="CC478" i="10"/>
  <c r="EC260" i="10"/>
  <c r="ED260" i="10" s="1"/>
  <c r="P260" i="10"/>
  <c r="Q260" i="10" s="1"/>
  <c r="N260" i="10" s="1"/>
  <c r="BV260" i="10"/>
  <c r="BW260" i="10" s="1"/>
  <c r="BX260" i="10" s="1"/>
  <c r="BU260" i="10" s="1"/>
  <c r="EG408" i="10"/>
  <c r="BZ408" i="10"/>
  <c r="EG536" i="10"/>
  <c r="BZ536" i="10"/>
  <c r="BU183" i="12"/>
  <c r="R184" i="10"/>
  <c r="BL183" i="12"/>
  <c r="EH341" i="10"/>
  <c r="CA341" i="10"/>
  <c r="CA480" i="10"/>
  <c r="EH480" i="10"/>
  <c r="CA144" i="10"/>
  <c r="EH144" i="10"/>
  <c r="EC415" i="10"/>
  <c r="ED415" i="10" s="1"/>
  <c r="BV415" i="10"/>
  <c r="BW415" i="10" s="1"/>
  <c r="BX415" i="10" s="1"/>
  <c r="BU415" i="10" s="1"/>
  <c r="P415" i="10"/>
  <c r="Q415" i="10" s="1"/>
  <c r="N415" i="10" s="1"/>
  <c r="BU268" i="12"/>
  <c r="R269" i="10"/>
  <c r="BL268" i="12"/>
  <c r="EJ90" i="10"/>
  <c r="CC90" i="10"/>
  <c r="EJ513" i="10"/>
  <c r="CC513" i="10"/>
  <c r="EH380" i="10"/>
  <c r="CA380" i="10"/>
  <c r="CA526" i="10"/>
  <c r="EH526" i="10"/>
  <c r="EH559" i="10"/>
  <c r="CA559" i="10"/>
  <c r="EC249" i="10"/>
  <c r="ED249" i="10" s="1"/>
  <c r="P249" i="10"/>
  <c r="Q249" i="10" s="1"/>
  <c r="N249" i="10" s="1"/>
  <c r="BV249" i="10"/>
  <c r="BW249" i="10" s="1"/>
  <c r="BX249" i="10" s="1"/>
  <c r="BU249" i="10" s="1"/>
  <c r="U197" i="10"/>
  <c r="BP196" i="12"/>
  <c r="U352" i="10"/>
  <c r="BP351" i="12"/>
  <c r="EK491" i="10"/>
  <c r="CD491" i="10"/>
  <c r="EK110" i="10"/>
  <c r="CD110" i="10"/>
  <c r="EK279" i="10"/>
  <c r="CD279" i="10"/>
  <c r="EG427" i="10"/>
  <c r="BZ427" i="10"/>
  <c r="EC205" i="10"/>
  <c r="ED205" i="10" s="1"/>
  <c r="P205" i="10"/>
  <c r="Q205" i="10" s="1"/>
  <c r="N205" i="10" s="1"/>
  <c r="BV205" i="10"/>
  <c r="BW205" i="10" s="1"/>
  <c r="BX205" i="10" s="1"/>
  <c r="BU205" i="10" s="1"/>
  <c r="BU358" i="12"/>
  <c r="R359" i="10"/>
  <c r="BL358" i="12"/>
  <c r="U496" i="10"/>
  <c r="BP495" i="12"/>
  <c r="BU206" i="12"/>
  <c r="R207" i="10"/>
  <c r="BL206" i="12"/>
  <c r="BU212" i="12"/>
  <c r="R213" i="10"/>
  <c r="BL212" i="12"/>
  <c r="BU323" i="12"/>
  <c r="R324" i="10"/>
  <c r="BL323" i="12"/>
  <c r="BU164" i="12"/>
  <c r="R165" i="10"/>
  <c r="BL164" i="12"/>
  <c r="EC186" i="10"/>
  <c r="ED186" i="10" s="1"/>
  <c r="P186" i="10"/>
  <c r="Q186" i="10" s="1"/>
  <c r="N186" i="10" s="1"/>
  <c r="BV186" i="10"/>
  <c r="BW186" i="10" s="1"/>
  <c r="BX186" i="10" s="1"/>
  <c r="BU186" i="10" s="1"/>
  <c r="BU343" i="12"/>
  <c r="R344" i="10"/>
  <c r="BL343" i="12"/>
  <c r="BU231" i="12"/>
  <c r="R232" i="10"/>
  <c r="BL231" i="12"/>
  <c r="EG35" i="10"/>
  <c r="BZ35" i="10"/>
  <c r="U99" i="10"/>
  <c r="BP98" i="12"/>
  <c r="CA164" i="10"/>
  <c r="EH164" i="10"/>
  <c r="EG229" i="10"/>
  <c r="BZ229" i="10"/>
  <c r="EC125" i="10"/>
  <c r="ED125" i="10" s="1"/>
  <c r="P125" i="10"/>
  <c r="Q125" i="10" s="1"/>
  <c r="N125" i="10" s="1"/>
  <c r="BV125" i="10"/>
  <c r="BW125" i="10" s="1"/>
  <c r="BX125" i="10" s="1"/>
  <c r="BU125" i="10" s="1"/>
  <c r="EG190" i="10"/>
  <c r="BZ190" i="10"/>
  <c r="BU255" i="12"/>
  <c r="R256" i="10"/>
  <c r="BL255" i="12"/>
  <c r="EJ322" i="10"/>
  <c r="CC322" i="10"/>
  <c r="EK386" i="10"/>
  <c r="CD386" i="10"/>
  <c r="EJ450" i="10"/>
  <c r="CC450" i="10"/>
  <c r="U514" i="10"/>
  <c r="BP513" i="12"/>
  <c r="EC81" i="10"/>
  <c r="ED81" i="10" s="1"/>
  <c r="BV81" i="10"/>
  <c r="BW81" i="10" s="1"/>
  <c r="BX81" i="10" s="1"/>
  <c r="BU81" i="10" s="1"/>
  <c r="P81" i="10"/>
  <c r="Q81" i="10" s="1"/>
  <c r="N81" i="10" s="1"/>
  <c r="CA168" i="10"/>
  <c r="EH168" i="10"/>
  <c r="EK252" i="10"/>
  <c r="CD252" i="10"/>
  <c r="BZ327" i="10"/>
  <c r="EG327" i="10"/>
  <c r="U400" i="10"/>
  <c r="BP399" i="12"/>
  <c r="U473" i="10"/>
  <c r="BP472" i="12"/>
  <c r="U547" i="10"/>
  <c r="BP546" i="12"/>
  <c r="EC159" i="10"/>
  <c r="ED159" i="10" s="1"/>
  <c r="BV159" i="10"/>
  <c r="BW159" i="10" s="1"/>
  <c r="BX159" i="10" s="1"/>
  <c r="BU159" i="10" s="1"/>
  <c r="P159" i="10"/>
  <c r="Q159" i="10" s="1"/>
  <c r="N159" i="10" s="1"/>
  <c r="EC243" i="10"/>
  <c r="ED243" i="10" s="1"/>
  <c r="P243" i="10"/>
  <c r="Q243" i="10" s="1"/>
  <c r="N243" i="10" s="1"/>
  <c r="BV243" i="10"/>
  <c r="BW243" i="10" s="1"/>
  <c r="BX243" i="10" s="1"/>
  <c r="BU243" i="10" s="1"/>
  <c r="U319" i="10"/>
  <c r="BP318" i="12"/>
  <c r="CA392" i="10"/>
  <c r="EH392" i="10"/>
  <c r="EJ465" i="10"/>
  <c r="CC465" i="10"/>
  <c r="BU538" i="12"/>
  <c r="R539" i="10"/>
  <c r="BL538" i="12"/>
  <c r="EK63" i="10"/>
  <c r="CD63" i="10"/>
  <c r="EC235" i="10"/>
  <c r="ED235" i="10" s="1"/>
  <c r="P235" i="10"/>
  <c r="Q235" i="10" s="1"/>
  <c r="N235" i="10" s="1"/>
  <c r="BV235" i="10"/>
  <c r="BW235" i="10" s="1"/>
  <c r="BX235" i="10" s="1"/>
  <c r="BU235" i="10" s="1"/>
  <c r="BU310" i="12"/>
  <c r="R311" i="10"/>
  <c r="BL310" i="12"/>
  <c r="U384" i="10"/>
  <c r="BP383" i="12"/>
  <c r="CA457" i="10"/>
  <c r="EH457" i="10"/>
  <c r="EJ531" i="10"/>
  <c r="CC531" i="10"/>
  <c r="EJ54" i="10"/>
  <c r="CC54" i="10"/>
  <c r="EK138" i="10"/>
  <c r="CD138" i="10"/>
  <c r="EC303" i="10"/>
  <c r="ED303" i="10" s="1"/>
  <c r="BV303" i="10"/>
  <c r="BW303" i="10" s="1"/>
  <c r="BX303" i="10" s="1"/>
  <c r="BU303" i="10" s="1"/>
  <c r="P303" i="10"/>
  <c r="Q303" i="10" s="1"/>
  <c r="N303" i="10" s="1"/>
  <c r="CA376" i="10"/>
  <c r="EH376" i="10"/>
  <c r="BU448" i="12"/>
  <c r="R449" i="10"/>
  <c r="BL448" i="12"/>
  <c r="BU64" i="12"/>
  <c r="R65" i="10"/>
  <c r="BL64" i="12"/>
  <c r="BU37" i="12"/>
  <c r="R38" i="10"/>
  <c r="BL37" i="12"/>
  <c r="EJ237" i="10"/>
  <c r="CC237" i="10"/>
  <c r="EJ387" i="10"/>
  <c r="CC387" i="10"/>
  <c r="EC130" i="10"/>
  <c r="ED130" i="10" s="1"/>
  <c r="P130" i="10"/>
  <c r="Q130" i="10" s="1"/>
  <c r="N130" i="10" s="1"/>
  <c r="BV130" i="10"/>
  <c r="BW130" i="10" s="1"/>
  <c r="BX130" i="10" s="1"/>
  <c r="BU130" i="10" s="1"/>
  <c r="U296" i="10"/>
  <c r="BP295" i="12"/>
  <c r="CD443" i="10"/>
  <c r="EK443" i="10"/>
  <c r="EG563" i="10"/>
  <c r="BZ563" i="10"/>
  <c r="U454" i="10"/>
  <c r="BP453" i="12"/>
  <c r="CA544" i="10"/>
  <c r="EH544" i="10"/>
  <c r="EH142" i="10"/>
  <c r="CA142" i="10"/>
  <c r="EC398" i="10"/>
  <c r="ED398" i="10" s="1"/>
  <c r="BV398" i="10"/>
  <c r="BW398" i="10" s="1"/>
  <c r="BX398" i="10" s="1"/>
  <c r="BU398" i="10" s="1"/>
  <c r="P398" i="10"/>
  <c r="Q398" i="10" s="1"/>
  <c r="N398" i="10" s="1"/>
  <c r="EG43" i="10"/>
  <c r="BZ43" i="10"/>
  <c r="U107" i="10"/>
  <c r="BP106" i="12"/>
  <c r="EG172" i="10"/>
  <c r="BZ172" i="10"/>
  <c r="EH5" i="10"/>
  <c r="CA5" i="10"/>
  <c r="EJ69" i="10"/>
  <c r="CC69" i="10"/>
  <c r="U133" i="10"/>
  <c r="BP132" i="12"/>
  <c r="EC264" i="10"/>
  <c r="ED264" i="10" s="1"/>
  <c r="P264" i="10"/>
  <c r="Q264" i="10" s="1"/>
  <c r="N264" i="10" s="1"/>
  <c r="BV264" i="10"/>
  <c r="BW264" i="10" s="1"/>
  <c r="BX264" i="10" s="1"/>
  <c r="BU264" i="10" s="1"/>
  <c r="U330" i="10"/>
  <c r="BP329" i="12"/>
  <c r="C342" i="1" s="1"/>
  <c r="BU393" i="12"/>
  <c r="M394" i="10" s="1"/>
  <c r="R394" i="10"/>
  <c r="BL393" i="12"/>
  <c r="EJ458" i="10"/>
  <c r="CC458" i="10"/>
  <c r="U522" i="10"/>
  <c r="BP521" i="12"/>
  <c r="U4" i="10"/>
  <c r="BP3" i="12"/>
  <c r="EG92" i="10"/>
  <c r="BZ92" i="10"/>
  <c r="EC261" i="10"/>
  <c r="ED261" i="10" s="1"/>
  <c r="P261" i="10"/>
  <c r="Q261" i="10" s="1"/>
  <c r="N261" i="10" s="1"/>
  <c r="BV261" i="10"/>
  <c r="BW261" i="10" s="1"/>
  <c r="BX261" i="10" s="1"/>
  <c r="BU261" i="10" s="1"/>
  <c r="BU335" i="12"/>
  <c r="R336" i="10"/>
  <c r="BL335" i="12"/>
  <c r="U409" i="10"/>
  <c r="BP408" i="12"/>
  <c r="EG483" i="10"/>
  <c r="BZ483" i="10"/>
  <c r="EG556" i="10"/>
  <c r="BZ556" i="10"/>
  <c r="U82" i="10"/>
  <c r="BP81" i="12"/>
  <c r="EH169" i="10"/>
  <c r="CA169" i="10"/>
  <c r="EC328" i="10"/>
  <c r="ED328" i="10" s="1"/>
  <c r="P328" i="10"/>
  <c r="Q328" i="10" s="1"/>
  <c r="N328" i="10" s="1"/>
  <c r="BV328" i="10"/>
  <c r="BW328" i="10" s="1"/>
  <c r="BX328" i="10" s="1"/>
  <c r="BU328" i="10" s="1"/>
  <c r="BU400" i="12"/>
  <c r="R401" i="10"/>
  <c r="BL400" i="12"/>
  <c r="EJ475" i="10"/>
  <c r="CC475" i="10"/>
  <c r="BU547" i="12"/>
  <c r="R548" i="10"/>
  <c r="BL547" i="12"/>
  <c r="EK73" i="10"/>
  <c r="CD73" i="10"/>
  <c r="U160" i="10"/>
  <c r="BP159" i="12"/>
  <c r="U244" i="10"/>
  <c r="BP243" i="12"/>
  <c r="EC393" i="10"/>
  <c r="ED393" i="10" s="1"/>
  <c r="P393" i="10"/>
  <c r="Q393" i="10" s="1"/>
  <c r="N393" i="10" s="1"/>
  <c r="BV393" i="10"/>
  <c r="BW393" i="10" s="1"/>
  <c r="BX393" i="10" s="1"/>
  <c r="BU393" i="10" s="1"/>
  <c r="BU466" i="12"/>
  <c r="R467" i="10"/>
  <c r="BL466" i="12"/>
  <c r="U540" i="10"/>
  <c r="BP539" i="12"/>
  <c r="EG64" i="10"/>
  <c r="BZ64" i="10"/>
  <c r="EK151" i="10"/>
  <c r="CD151" i="10"/>
  <c r="EJ236" i="10"/>
  <c r="CC236" i="10"/>
  <c r="U312" i="10"/>
  <c r="BP311" i="12"/>
  <c r="EC459" i="10"/>
  <c r="ED459" i="10" s="1"/>
  <c r="P459" i="10"/>
  <c r="Q459" i="10" s="1"/>
  <c r="N459" i="10" s="1"/>
  <c r="BV459" i="10"/>
  <c r="BW459" i="10" s="1"/>
  <c r="BX459" i="10" s="1"/>
  <c r="BU459" i="10" s="1"/>
  <c r="EH76" i="10"/>
  <c r="CA76" i="10"/>
  <c r="EG68" i="10"/>
  <c r="BZ68" i="10"/>
  <c r="EG257" i="10"/>
  <c r="BZ257" i="10"/>
  <c r="EK405" i="10"/>
  <c r="CD405" i="10"/>
  <c r="BU532" i="12"/>
  <c r="R533" i="10"/>
  <c r="BL532" i="12"/>
  <c r="BU152" i="12"/>
  <c r="R153" i="10"/>
  <c r="BL152" i="12"/>
  <c r="EC461" i="10"/>
  <c r="ED461" i="10" s="1"/>
  <c r="BV461" i="10"/>
  <c r="BW461" i="10" s="1"/>
  <c r="BX461" i="10" s="1"/>
  <c r="BU461" i="10" s="1"/>
  <c r="P461" i="10"/>
  <c r="Q461" i="10" s="1"/>
  <c r="N461" i="10" s="1"/>
  <c r="EH16" i="10"/>
  <c r="CA16" i="10"/>
  <c r="BU218" i="12"/>
  <c r="R219" i="10"/>
  <c r="BL218" i="12"/>
  <c r="EH371" i="10"/>
  <c r="CA371" i="10"/>
  <c r="BU506" i="12"/>
  <c r="R507" i="10"/>
  <c r="BL506" i="12"/>
  <c r="EK134" i="10"/>
  <c r="CD134" i="10"/>
  <c r="EK299" i="10"/>
  <c r="CD299" i="10"/>
  <c r="EC25" i="10"/>
  <c r="ED25" i="10" s="1"/>
  <c r="BV25" i="10"/>
  <c r="BW25" i="10" s="1"/>
  <c r="BX25" i="10" s="1"/>
  <c r="BU25" i="10" s="1"/>
  <c r="P25" i="10"/>
  <c r="Q25" i="10" s="1"/>
  <c r="N25" i="10" s="1"/>
  <c r="BU226" i="12"/>
  <c r="R227" i="10"/>
  <c r="BL226" i="12"/>
  <c r="EJ377" i="10"/>
  <c r="CC377" i="10"/>
  <c r="EH509" i="10"/>
  <c r="CA509" i="10"/>
  <c r="EG251" i="10"/>
  <c r="BZ251" i="10"/>
  <c r="U88" i="10"/>
  <c r="BP87" i="12"/>
  <c r="EK499" i="10"/>
  <c r="CD499" i="10"/>
  <c r="EC228" i="10"/>
  <c r="ED228" i="10" s="1"/>
  <c r="P228" i="10"/>
  <c r="Q228" i="10" s="1"/>
  <c r="N228" i="10" s="1"/>
  <c r="BV228" i="10"/>
  <c r="BW228" i="10" s="1"/>
  <c r="BX228" i="10" s="1"/>
  <c r="BU228" i="10" s="1"/>
  <c r="U34" i="10"/>
  <c r="BP33" i="12"/>
  <c r="U471" i="10"/>
  <c r="BP470" i="12"/>
  <c r="EJ289" i="10"/>
  <c r="CC289" i="10"/>
  <c r="EJ342" i="10"/>
  <c r="CC342" i="10"/>
  <c r="EK250" i="10"/>
  <c r="CD250" i="10"/>
  <c r="EH381" i="10"/>
  <c r="CA381" i="10"/>
  <c r="EC208" i="10"/>
  <c r="ED208" i="10" s="1"/>
  <c r="BV208" i="10"/>
  <c r="BW208" i="10" s="1"/>
  <c r="BX208" i="10" s="1"/>
  <c r="BU208" i="10" s="1"/>
  <c r="P208" i="10"/>
  <c r="Q208" i="10" s="1"/>
  <c r="N208" i="10" s="1"/>
  <c r="U325" i="10"/>
  <c r="BP324" i="12"/>
  <c r="EJ527" i="10"/>
  <c r="CC527" i="10"/>
  <c r="EG487" i="10"/>
  <c r="BZ487" i="10"/>
  <c r="EJ316" i="10"/>
  <c r="CC316" i="10"/>
  <c r="EK162" i="10"/>
  <c r="CD162" i="10"/>
  <c r="EH361" i="10"/>
  <c r="CA361" i="10"/>
  <c r="EC51" i="10"/>
  <c r="ED51" i="10" s="1"/>
  <c r="P51" i="10"/>
  <c r="Q51" i="10" s="1"/>
  <c r="BV51" i="10"/>
  <c r="BW51" i="10" s="1"/>
  <c r="BX51" i="10" s="1"/>
  <c r="BU51" i="10" s="1"/>
  <c r="EH115" i="10"/>
  <c r="CA115" i="10"/>
  <c r="EJ180" i="10"/>
  <c r="CC180" i="10"/>
  <c r="EJ13" i="10"/>
  <c r="CC13" i="10"/>
  <c r="EK77" i="10"/>
  <c r="CD77" i="10"/>
  <c r="EG141" i="10"/>
  <c r="BZ141" i="10"/>
  <c r="U206" i="10"/>
  <c r="BP205" i="12"/>
  <c r="EC338" i="10"/>
  <c r="ED338" i="10" s="1"/>
  <c r="BV338" i="10"/>
  <c r="BW338" i="10" s="1"/>
  <c r="BX338" i="10" s="1"/>
  <c r="BU338" i="10" s="1"/>
  <c r="P338" i="10"/>
  <c r="Q338" i="10" s="1"/>
  <c r="N338" i="10" s="1"/>
  <c r="BU401" i="12"/>
  <c r="R402" i="10"/>
  <c r="BL401" i="12"/>
  <c r="BU465" i="12"/>
  <c r="R466" i="10"/>
  <c r="BL465" i="12"/>
  <c r="CA530" i="10"/>
  <c r="EH530" i="10"/>
  <c r="U17" i="10"/>
  <c r="BP16" i="12"/>
  <c r="EK103" i="10"/>
  <c r="CD103" i="10"/>
  <c r="EH189" i="10"/>
  <c r="CA189" i="10"/>
  <c r="EC345" i="10"/>
  <c r="ED345" i="10" s="1"/>
  <c r="P345" i="10"/>
  <c r="Q345" i="10" s="1"/>
  <c r="N345" i="10" s="1"/>
  <c r="BV345" i="10"/>
  <c r="BW345" i="10" s="1"/>
  <c r="BX345" i="10" s="1"/>
  <c r="BU345" i="10" s="1"/>
  <c r="U419" i="10"/>
  <c r="BP418" i="12"/>
  <c r="EJ492" i="10"/>
  <c r="CC492" i="10"/>
  <c r="EJ7" i="10"/>
  <c r="CC7" i="10"/>
  <c r="EK94" i="10"/>
  <c r="CD94" i="10"/>
  <c r="EK179" i="10"/>
  <c r="CD179" i="10"/>
  <c r="U262" i="10"/>
  <c r="BP261" i="12"/>
  <c r="EC411" i="10"/>
  <c r="ED411" i="10" s="1"/>
  <c r="P411" i="10"/>
  <c r="Q411" i="10" s="1"/>
  <c r="BV411" i="10"/>
  <c r="BW411" i="10" s="1"/>
  <c r="BX411" i="10" s="1"/>
  <c r="BU411" i="10" s="1"/>
  <c r="CA484" i="10"/>
  <c r="EH484" i="10"/>
  <c r="EJ557" i="10"/>
  <c r="CC557" i="10"/>
  <c r="EJ84" i="10"/>
  <c r="CC84" i="10"/>
  <c r="U170" i="10"/>
  <c r="BP169" i="12"/>
  <c r="EH254" i="10"/>
  <c r="CA254" i="10"/>
  <c r="U329" i="10"/>
  <c r="BP328" i="12"/>
  <c r="EC476" i="10"/>
  <c r="ED476" i="10" s="1"/>
  <c r="P476" i="10"/>
  <c r="Q476" i="10" s="1"/>
  <c r="N476" i="10" s="1"/>
  <c r="BV476" i="10"/>
  <c r="BW476" i="10" s="1"/>
  <c r="BX476" i="10" s="1"/>
  <c r="BU476" i="10" s="1"/>
  <c r="U549" i="10"/>
  <c r="BP548" i="12"/>
  <c r="EJ74" i="10"/>
  <c r="CC74" i="10"/>
  <c r="EH161" i="10"/>
  <c r="CA161" i="10"/>
  <c r="EG245" i="10"/>
  <c r="BZ245" i="10"/>
  <c r="EJ321" i="10"/>
  <c r="CC321" i="10"/>
  <c r="CA395" i="10"/>
  <c r="EH395" i="10"/>
  <c r="M568" i="10"/>
  <c r="M600" i="10"/>
  <c r="M591" i="10"/>
  <c r="M570" i="10"/>
  <c r="M579" i="10"/>
  <c r="M571" i="10"/>
  <c r="M594" i="10"/>
  <c r="M564" i="10"/>
  <c r="M578" i="10"/>
  <c r="M596" i="10"/>
  <c r="M585" i="10"/>
  <c r="M566" i="10"/>
  <c r="M574" i="10"/>
  <c r="M569" i="10"/>
  <c r="M587" i="10"/>
  <c r="M576" i="10"/>
  <c r="M580" i="10"/>
  <c r="M586" i="10"/>
  <c r="M593" i="10"/>
  <c r="M581" i="10"/>
  <c r="M572" i="10"/>
  <c r="M595" i="10"/>
  <c r="M582" i="10"/>
  <c r="M583" i="10"/>
  <c r="M598" i="10"/>
  <c r="M599" i="10"/>
  <c r="M567" i="10"/>
  <c r="M573" i="10"/>
  <c r="M584" i="10"/>
  <c r="M575" i="10"/>
  <c r="M589" i="10"/>
  <c r="M590" i="10"/>
  <c r="M592" i="10"/>
  <c r="M565" i="10"/>
  <c r="M597" i="10"/>
  <c r="M588" i="10"/>
  <c r="M577" i="10"/>
  <c r="U87" i="10"/>
  <c r="BP86" i="12"/>
  <c r="EJ98" i="10"/>
  <c r="CC98" i="10"/>
  <c r="EH276" i="10"/>
  <c r="CA276" i="10"/>
  <c r="EJ423" i="10"/>
  <c r="CC423" i="10"/>
  <c r="BU544" i="12"/>
  <c r="R545" i="10"/>
  <c r="BL544" i="12"/>
  <c r="U175" i="10"/>
  <c r="BP174" i="12"/>
  <c r="EC477" i="10"/>
  <c r="ED477" i="10" s="1"/>
  <c r="BV477" i="10"/>
  <c r="BW477" i="10" s="1"/>
  <c r="BX477" i="10" s="1"/>
  <c r="BU477" i="10" s="1"/>
  <c r="P477" i="10"/>
  <c r="Q477" i="10" s="1"/>
  <c r="N477" i="10" s="1"/>
  <c r="U47" i="10"/>
  <c r="BP46" i="12"/>
  <c r="BU239" i="12"/>
  <c r="M240" i="10" s="1"/>
  <c r="R240" i="10"/>
  <c r="BL239" i="12"/>
  <c r="EK389" i="10"/>
  <c r="CD389" i="10"/>
  <c r="BU522" i="12"/>
  <c r="R523" i="10"/>
  <c r="BL522" i="12"/>
  <c r="EH155" i="10"/>
  <c r="CA155" i="10"/>
  <c r="EK317" i="10"/>
  <c r="CD317" i="10"/>
  <c r="EC56" i="10"/>
  <c r="ED56" i="10" s="1"/>
  <c r="BV56" i="10"/>
  <c r="BW56" i="10" s="1"/>
  <c r="BX56" i="10" s="1"/>
  <c r="BU56" i="10" s="1"/>
  <c r="P56" i="10"/>
  <c r="Q56" i="10" s="1"/>
  <c r="N56" i="10" s="1"/>
  <c r="EH246" i="10"/>
  <c r="CA246" i="10"/>
  <c r="U396" i="10"/>
  <c r="BP395" i="12"/>
  <c r="CA525" i="10"/>
  <c r="EH525" i="10"/>
  <c r="CA307" i="10"/>
  <c r="EH307" i="10"/>
  <c r="EG145" i="10"/>
  <c r="BZ145" i="10"/>
  <c r="EJ542" i="10"/>
  <c r="CC542" i="10"/>
  <c r="EC270" i="10"/>
  <c r="ED270" i="10" s="1"/>
  <c r="BV270" i="10"/>
  <c r="BW270" i="10" s="1"/>
  <c r="BX270" i="10" s="1"/>
  <c r="BU270" i="10" s="1"/>
  <c r="P270" i="10"/>
  <c r="Q270" i="10" s="1"/>
  <c r="N270" i="10" s="1"/>
  <c r="EH112" i="10"/>
  <c r="CA112" i="10"/>
  <c r="U515" i="10"/>
  <c r="BP514" i="12"/>
  <c r="EJ435" i="10"/>
  <c r="CC435" i="10"/>
  <c r="CD452" i="10"/>
  <c r="EK452" i="10"/>
  <c r="EH397" i="10"/>
  <c r="CA397" i="10"/>
  <c r="EH486" i="10"/>
  <c r="CA486" i="10"/>
  <c r="EC259" i="10"/>
  <c r="ED259" i="10" s="1"/>
  <c r="P259" i="10"/>
  <c r="Q259" i="10" s="1"/>
  <c r="N259" i="10" s="1"/>
  <c r="BV259" i="10"/>
  <c r="BW259" i="10" s="1"/>
  <c r="BX259" i="10" s="1"/>
  <c r="BU259" i="10" s="1"/>
  <c r="BU534" i="12"/>
  <c r="R535" i="10"/>
  <c r="BL534" i="12"/>
  <c r="U335" i="10"/>
  <c r="BP334" i="12"/>
  <c r="EH80" i="10"/>
  <c r="CA80" i="10"/>
  <c r="EK414" i="10"/>
  <c r="CD414" i="10"/>
  <c r="U360" i="10"/>
  <c r="BP359" i="12"/>
  <c r="EG469" i="10"/>
  <c r="BZ469" i="10"/>
  <c r="EC516" i="10"/>
  <c r="ED516" i="10" s="1"/>
  <c r="P516" i="10"/>
  <c r="Q516" i="10" s="1"/>
  <c r="N516" i="10" s="1"/>
  <c r="BV516" i="10"/>
  <c r="BW516" i="10" s="1"/>
  <c r="BX516" i="10" s="1"/>
  <c r="BU516" i="10" s="1"/>
  <c r="EH406" i="10"/>
  <c r="CA406" i="10"/>
  <c r="EJ241" i="10"/>
  <c r="CC241" i="10"/>
  <c r="BU467" i="12"/>
  <c r="R468" i="10"/>
  <c r="BL467" i="12"/>
  <c r="EH26" i="10"/>
  <c r="CA26" i="10"/>
  <c r="U59" i="10"/>
  <c r="BP58" i="12"/>
  <c r="EG123" i="10"/>
  <c r="BZ123" i="10"/>
  <c r="U21" i="10"/>
  <c r="BP20" i="12"/>
  <c r="BU84" i="12"/>
  <c r="R85" i="10"/>
  <c r="BL84" i="12"/>
  <c r="EJ150" i="10"/>
  <c r="CC150" i="10"/>
  <c r="EH215" i="10"/>
  <c r="CA215" i="10"/>
  <c r="EK281" i="10"/>
  <c r="CD281" i="10"/>
  <c r="EJ346" i="10"/>
  <c r="CC346" i="10"/>
  <c r="CA410" i="10"/>
  <c r="EH410" i="10"/>
  <c r="EC538" i="10"/>
  <c r="ED538" i="10" s="1"/>
  <c r="P538" i="10"/>
  <c r="Q538" i="10" s="1"/>
  <c r="N538" i="10" s="1"/>
  <c r="BV538" i="10"/>
  <c r="BW538" i="10" s="1"/>
  <c r="BX538" i="10" s="1"/>
  <c r="BU538" i="10" s="1"/>
  <c r="EH28" i="10"/>
  <c r="CA28" i="10"/>
  <c r="BU112" i="12"/>
  <c r="R113" i="10"/>
  <c r="BL112" i="12"/>
  <c r="EG200" i="10"/>
  <c r="BZ200" i="10"/>
  <c r="BZ280" i="10"/>
  <c r="EG280" i="10"/>
  <c r="EJ355" i="10"/>
  <c r="CC355" i="10"/>
  <c r="BU427" i="12"/>
  <c r="R428" i="10"/>
  <c r="BL427" i="12"/>
  <c r="EC18" i="10"/>
  <c r="ED18" i="10" s="1"/>
  <c r="BV18" i="10"/>
  <c r="BW18" i="10" s="1"/>
  <c r="BX18" i="10" s="1"/>
  <c r="BU18" i="10" s="1"/>
  <c r="P18" i="10"/>
  <c r="Q18" i="10" s="1"/>
  <c r="N18" i="10" s="1"/>
  <c r="EG104" i="10"/>
  <c r="BZ104" i="10"/>
  <c r="U191" i="10"/>
  <c r="BP190" i="12"/>
  <c r="EJ272" i="10"/>
  <c r="CC272" i="10"/>
  <c r="EK347" i="10"/>
  <c r="CD347" i="10"/>
  <c r="EG420" i="10"/>
  <c r="BZ420" i="10"/>
  <c r="EJ493" i="10"/>
  <c r="CC493" i="10"/>
  <c r="EC95" i="10"/>
  <c r="ED95" i="10" s="1"/>
  <c r="BV95" i="10"/>
  <c r="BW95" i="10" s="1"/>
  <c r="BX95" i="10" s="1"/>
  <c r="BU95" i="10" s="1"/>
  <c r="P95" i="10"/>
  <c r="Q95" i="10" s="1"/>
  <c r="N95" i="10" s="1"/>
  <c r="EG181" i="10"/>
  <c r="BZ181" i="10"/>
  <c r="EK263" i="10"/>
  <c r="CD263" i="10"/>
  <c r="EK339" i="10"/>
  <c r="CD339" i="10"/>
  <c r="EG412" i="10"/>
  <c r="BZ412" i="10"/>
  <c r="U485" i="10"/>
  <c r="BP484" i="12"/>
  <c r="EG558" i="10"/>
  <c r="BZ558" i="10"/>
  <c r="EC171" i="10"/>
  <c r="ED171" i="10" s="1"/>
  <c r="P171" i="10"/>
  <c r="Q171" i="10" s="1"/>
  <c r="N171" i="10" s="1"/>
  <c r="BV171" i="10"/>
  <c r="BW171" i="10" s="1"/>
  <c r="BX171" i="10" s="1"/>
  <c r="BU171" i="10" s="1"/>
  <c r="EG255" i="10"/>
  <c r="BZ255" i="10"/>
  <c r="EJ331" i="10"/>
  <c r="CC331" i="10"/>
  <c r="EJ404" i="10"/>
  <c r="CC404" i="10"/>
  <c r="EH10" i="10"/>
  <c r="CA10" i="10"/>
  <c r="EK97" i="10"/>
  <c r="CD97" i="10"/>
  <c r="EJ122" i="10"/>
  <c r="CC122" i="10"/>
  <c r="EC441" i="10"/>
  <c r="ED441" i="10" s="1"/>
  <c r="P441" i="10"/>
  <c r="Q441" i="10" s="1"/>
  <c r="N441" i="10" s="1"/>
  <c r="BV441" i="10"/>
  <c r="BW441" i="10" s="1"/>
  <c r="BX441" i="10" s="1"/>
  <c r="BU441" i="10" s="1"/>
  <c r="U561" i="10"/>
  <c r="BP560" i="12"/>
  <c r="EG195" i="10"/>
  <c r="BZ195" i="10"/>
  <c r="EJ489" i="10"/>
  <c r="CC489" i="10"/>
  <c r="EJ78" i="10"/>
  <c r="CC78" i="10"/>
  <c r="EK407" i="10"/>
  <c r="CD407" i="10"/>
  <c r="EH177" i="10"/>
  <c r="CA177" i="10"/>
  <c r="EC541" i="10"/>
  <c r="ED541" i="10" s="1"/>
  <c r="P541" i="10"/>
  <c r="Q541" i="10" s="1"/>
  <c r="N541" i="10" s="1"/>
  <c r="BV541" i="10"/>
  <c r="BW541" i="10" s="1"/>
  <c r="BX541" i="10" s="1"/>
  <c r="BU541" i="10" s="1"/>
  <c r="U248" i="10"/>
  <c r="BP247" i="12"/>
  <c r="EJ167" i="10"/>
  <c r="CC167" i="10"/>
  <c r="EJ560" i="10"/>
  <c r="CC560" i="10"/>
  <c r="EK534" i="10"/>
  <c r="CD534" i="10"/>
  <c r="EH390" i="10"/>
  <c r="CA390" i="10"/>
  <c r="CA497" i="10"/>
  <c r="EH497" i="10"/>
  <c r="U29" i="10"/>
  <c r="BP28" i="12"/>
  <c r="B494" i="1"/>
  <c r="D494" i="1" s="1"/>
  <c r="EG210" i="10"/>
  <c r="BZ210" i="10"/>
  <c r="EC510" i="10"/>
  <c r="ED510" i="10" s="1"/>
  <c r="P510" i="10"/>
  <c r="Q510" i="10" s="1"/>
  <c r="N510" i="10" s="1"/>
  <c r="BV510" i="10"/>
  <c r="BW510" i="10" s="1"/>
  <c r="BX510" i="10" s="1"/>
  <c r="BU510" i="10" s="1"/>
  <c r="M510" i="10"/>
  <c r="EG23" i="10"/>
  <c r="BZ23" i="10"/>
  <c r="EJ218" i="10"/>
  <c r="CC218" i="10"/>
  <c r="EH551" i="10"/>
  <c r="CA551" i="10"/>
  <c r="U230" i="10"/>
  <c r="BP229" i="12"/>
  <c r="EK119" i="10"/>
  <c r="CD119" i="10"/>
  <c r="EK220" i="10"/>
  <c r="CD220" i="10"/>
  <c r="EC287" i="10"/>
  <c r="ED287" i="10" s="1"/>
  <c r="BV287" i="10"/>
  <c r="BW287" i="10" s="1"/>
  <c r="BX287" i="10" s="1"/>
  <c r="BU287" i="10" s="1"/>
  <c r="P287" i="10"/>
  <c r="Q287" i="10" s="1"/>
  <c r="N287" i="10" s="1"/>
  <c r="EC41" i="10"/>
  <c r="ED41" i="10" s="1"/>
  <c r="BV41" i="10"/>
  <c r="BW41" i="10" s="1"/>
  <c r="BX41" i="10" s="1"/>
  <c r="BU41" i="10" s="1"/>
  <c r="P41" i="10"/>
  <c r="Q41" i="10" s="1"/>
  <c r="N41" i="10" s="1"/>
  <c r="M41" i="10"/>
  <c r="EJ343" i="10"/>
  <c r="CC343" i="10"/>
  <c r="EH446" i="10"/>
  <c r="CA446" i="10"/>
  <c r="EG116" i="10"/>
  <c r="BZ116" i="10"/>
  <c r="BU237" i="12"/>
  <c r="R238" i="10"/>
  <c r="BL237" i="12"/>
  <c r="EH58" i="10"/>
  <c r="CA58" i="10"/>
  <c r="EJ127" i="10"/>
  <c r="CC127" i="10"/>
  <c r="EC358" i="10"/>
  <c r="ED358" i="10" s="1"/>
  <c r="BV358" i="10"/>
  <c r="BW358" i="10" s="1"/>
  <c r="BX358" i="10" s="1"/>
  <c r="BU358" i="10" s="1"/>
  <c r="P358" i="10"/>
  <c r="Q358" i="10" s="1"/>
  <c r="N358" i="10" s="1"/>
  <c r="M358" i="10"/>
  <c r="EJ462" i="10"/>
  <c r="CC462" i="10"/>
  <c r="BU497" i="12"/>
  <c r="R498" i="10"/>
  <c r="BL497" i="12"/>
  <c r="BU155" i="12"/>
  <c r="R156" i="10"/>
  <c r="BL155" i="12"/>
  <c r="EK378" i="10"/>
  <c r="CD378" i="10"/>
  <c r="EC242" i="10"/>
  <c r="ED242" i="10" s="1"/>
  <c r="P242" i="10"/>
  <c r="Q242" i="10" s="1"/>
  <c r="N242" i="10" s="1"/>
  <c r="BV242" i="10"/>
  <c r="BW242" i="10" s="1"/>
  <c r="BX242" i="10" s="1"/>
  <c r="BU242" i="10" s="1"/>
  <c r="EH383" i="10"/>
  <c r="CA383" i="10"/>
  <c r="EC375" i="10"/>
  <c r="ED375" i="10" s="1"/>
  <c r="BV375" i="10"/>
  <c r="BW375" i="10" s="1"/>
  <c r="BX375" i="10" s="1"/>
  <c r="BU375" i="10" s="1"/>
  <c r="P375" i="10"/>
  <c r="Q375" i="10" s="1"/>
  <c r="N375" i="10" s="1"/>
  <c r="EG368" i="10"/>
  <c r="BZ368" i="10"/>
  <c r="EG480" i="10"/>
  <c r="BZ480" i="10"/>
  <c r="EJ526" i="10"/>
  <c r="CC526" i="10"/>
  <c r="EH213" i="10"/>
  <c r="CA213" i="10"/>
  <c r="EJ164" i="10"/>
  <c r="CC164" i="10"/>
  <c r="EC256" i="10"/>
  <c r="ED256" i="10" s="1"/>
  <c r="BV256" i="10"/>
  <c r="BW256" i="10" s="1"/>
  <c r="BX256" i="10" s="1"/>
  <c r="BU256" i="10" s="1"/>
  <c r="P256" i="10"/>
  <c r="Q256" i="10" s="1"/>
  <c r="N256" i="10" s="1"/>
  <c r="M256" i="10"/>
  <c r="EH327" i="10"/>
  <c r="CA327" i="10"/>
  <c r="EG539" i="10"/>
  <c r="BZ539" i="10"/>
  <c r="BU225" i="12"/>
  <c r="R226" i="10"/>
  <c r="BL225" i="12"/>
  <c r="B238" i="1" s="1"/>
  <c r="D238" i="1" s="1"/>
  <c r="U387" i="10"/>
  <c r="BP386" i="12"/>
  <c r="EK454" i="10"/>
  <c r="CD454" i="10"/>
  <c r="EG5" i="10"/>
  <c r="BZ5" i="10"/>
  <c r="EK522" i="10"/>
  <c r="CD522" i="10"/>
  <c r="EK253" i="10"/>
  <c r="CD253" i="10"/>
  <c r="B413" i="1"/>
  <c r="D413" i="1" s="1"/>
  <c r="EC475" i="10"/>
  <c r="ED475" i="10" s="1"/>
  <c r="P475" i="10"/>
  <c r="Q475" i="10" s="1"/>
  <c r="N475" i="10" s="1"/>
  <c r="BV475" i="10"/>
  <c r="BW475" i="10" s="1"/>
  <c r="BX475" i="10" s="1"/>
  <c r="BU475" i="10" s="1"/>
  <c r="EK312" i="10"/>
  <c r="CD312" i="10"/>
  <c r="U153" i="10"/>
  <c r="BP152" i="12"/>
  <c r="EC219" i="10"/>
  <c r="ED219" i="10" s="1"/>
  <c r="P219" i="10"/>
  <c r="Q219" i="10" s="1"/>
  <c r="N219" i="10" s="1"/>
  <c r="BV219" i="10"/>
  <c r="BW219" i="10" s="1"/>
  <c r="BX219" i="10" s="1"/>
  <c r="BU219" i="10" s="1"/>
  <c r="M219" i="10"/>
  <c r="BU250" i="12"/>
  <c r="R251" i="10"/>
  <c r="BL250" i="12"/>
  <c r="EJ250" i="10"/>
  <c r="CC250" i="10"/>
  <c r="EJ326" i="10"/>
  <c r="CC326" i="10"/>
  <c r="EC180" i="10"/>
  <c r="ED180" i="10" s="1"/>
  <c r="P180" i="10"/>
  <c r="Q180" i="10" s="1"/>
  <c r="N180" i="10" s="1"/>
  <c r="BV180" i="10"/>
  <c r="BW180" i="10" s="1"/>
  <c r="BX180" i="10" s="1"/>
  <c r="BU180" i="10" s="1"/>
  <c r="U77" i="10"/>
  <c r="BP76" i="12"/>
  <c r="EJ271" i="10"/>
  <c r="CC271" i="10"/>
  <c r="EK262" i="10"/>
  <c r="CD262" i="10"/>
  <c r="U84" i="10"/>
  <c r="BP83" i="12"/>
  <c r="EG161" i="10"/>
  <c r="BZ161" i="10"/>
  <c r="EH477" i="10"/>
  <c r="CA477" i="10"/>
  <c r="EG155" i="10"/>
  <c r="BZ155" i="10"/>
  <c r="BU541" i="12"/>
  <c r="R542" i="10"/>
  <c r="BL541" i="12"/>
  <c r="EG80" i="10"/>
  <c r="BZ80" i="10"/>
  <c r="EJ188" i="10"/>
  <c r="CC188" i="10"/>
  <c r="CA474" i="10"/>
  <c r="EH474" i="10"/>
  <c r="EC113" i="10"/>
  <c r="ED113" i="10" s="1"/>
  <c r="BV113" i="10"/>
  <c r="BW113" i="10" s="1"/>
  <c r="BX113" i="10" s="1"/>
  <c r="BU113" i="10" s="1"/>
  <c r="P113" i="10"/>
  <c r="Q113" i="10" s="1"/>
  <c r="N113" i="10" s="1"/>
  <c r="M113" i="10"/>
  <c r="BU492" i="12"/>
  <c r="R493" i="10"/>
  <c r="BL492" i="12"/>
  <c r="BU85" i="12"/>
  <c r="R86" i="10"/>
  <c r="BL85" i="12"/>
  <c r="B98" i="1" s="1"/>
  <c r="D98" i="1" s="1"/>
  <c r="EJ10" i="10"/>
  <c r="CC10" i="10"/>
  <c r="C573" i="1"/>
  <c r="EG158" i="10"/>
  <c r="BZ158" i="10"/>
  <c r="CA265" i="10"/>
  <c r="EH265" i="10"/>
  <c r="EC131" i="10"/>
  <c r="ED131" i="10" s="1"/>
  <c r="P131" i="10"/>
  <c r="Q131" i="10" s="1"/>
  <c r="N131" i="10" s="1"/>
  <c r="BV131" i="10"/>
  <c r="BW131" i="10" s="1"/>
  <c r="BX131" i="10" s="1"/>
  <c r="BU131" i="10" s="1"/>
  <c r="EH196" i="10"/>
  <c r="CA196" i="10"/>
  <c r="BU28" i="12"/>
  <c r="R29" i="10"/>
  <c r="BL28" i="12"/>
  <c r="EG93" i="10"/>
  <c r="BZ93" i="10"/>
  <c r="BU157" i="12"/>
  <c r="R158" i="10"/>
  <c r="BL157" i="12"/>
  <c r="BU222" i="12"/>
  <c r="R223" i="10"/>
  <c r="BL222" i="12"/>
  <c r="EJ290" i="10"/>
  <c r="CC290" i="10"/>
  <c r="EC418" i="10"/>
  <c r="ED418" i="10" s="1"/>
  <c r="BV418" i="10"/>
  <c r="BW418" i="10" s="1"/>
  <c r="BX418" i="10" s="1"/>
  <c r="BU418" i="10" s="1"/>
  <c r="P418" i="10"/>
  <c r="Q418" i="10" s="1"/>
  <c r="N418" i="10" s="1"/>
  <c r="M418" i="10"/>
  <c r="U482" i="10"/>
  <c r="BP481" i="12"/>
  <c r="C494" i="1" s="1"/>
  <c r="BU545" i="12"/>
  <c r="R546" i="10"/>
  <c r="BL545" i="12"/>
  <c r="B558" i="1" s="1"/>
  <c r="D558" i="1" s="1"/>
  <c r="EJ39" i="10"/>
  <c r="CC39" i="10"/>
  <c r="EK124" i="10"/>
  <c r="CD124" i="10"/>
  <c r="EH210" i="10"/>
  <c r="CA210" i="10"/>
  <c r="CD291" i="10"/>
  <c r="EK291" i="10"/>
  <c r="EC437" i="10"/>
  <c r="ED437" i="10" s="1"/>
  <c r="P437" i="10"/>
  <c r="Q437" i="10" s="1"/>
  <c r="N437" i="10" s="1"/>
  <c r="BV437" i="10"/>
  <c r="BW437" i="10" s="1"/>
  <c r="BX437" i="10" s="1"/>
  <c r="BU437" i="10" s="1"/>
  <c r="U510" i="10"/>
  <c r="BP509" i="12"/>
  <c r="EK30" i="10"/>
  <c r="CD30" i="10"/>
  <c r="EH114" i="10"/>
  <c r="CA114" i="10"/>
  <c r="U201" i="10"/>
  <c r="BP200" i="12"/>
  <c r="EJ282" i="10"/>
  <c r="CC282" i="10"/>
  <c r="EK356" i="10"/>
  <c r="CD356" i="10"/>
  <c r="C514" i="1"/>
  <c r="EC502" i="10"/>
  <c r="ED502" i="10" s="1"/>
  <c r="P502" i="10"/>
  <c r="Q502" i="10" s="1"/>
  <c r="N502" i="10" s="1"/>
  <c r="BV502" i="10"/>
  <c r="BW502" i="10" s="1"/>
  <c r="BX502" i="10" s="1"/>
  <c r="BU502" i="10" s="1"/>
  <c r="EH20" i="10"/>
  <c r="CA20" i="10"/>
  <c r="U105" i="10"/>
  <c r="BP104" i="12"/>
  <c r="EG192" i="10"/>
  <c r="BZ192" i="10"/>
  <c r="U274" i="10"/>
  <c r="BP273" i="12"/>
  <c r="C286" i="1" s="1"/>
  <c r="EH348" i="10"/>
  <c r="CA348" i="10"/>
  <c r="U421" i="10"/>
  <c r="BP420" i="12"/>
  <c r="C433" i="1" s="1"/>
  <c r="EC9" i="10"/>
  <c r="ED9" i="10" s="1"/>
  <c r="BV9" i="10"/>
  <c r="BW9" i="10" s="1"/>
  <c r="BX9" i="10" s="1"/>
  <c r="BU9" i="10" s="1"/>
  <c r="P9" i="10"/>
  <c r="Q9" i="10" s="1"/>
  <c r="N9" i="10" s="1"/>
  <c r="EG96" i="10"/>
  <c r="BZ96" i="10"/>
  <c r="EJ183" i="10"/>
  <c r="CC183" i="10"/>
  <c r="BU265" i="12"/>
  <c r="R266" i="10"/>
  <c r="BL265" i="12"/>
  <c r="EG340" i="10"/>
  <c r="BZ340" i="10"/>
  <c r="U413" i="10"/>
  <c r="BP412" i="12"/>
  <c r="EK23" i="10"/>
  <c r="CD23" i="10"/>
  <c r="EC152" i="10"/>
  <c r="ED152" i="10" s="1"/>
  <c r="BV152" i="10"/>
  <c r="BW152" i="10" s="1"/>
  <c r="BX152" i="10" s="1"/>
  <c r="BU152" i="10" s="1"/>
  <c r="P152" i="10"/>
  <c r="Q152" i="10" s="1"/>
  <c r="N152" i="10" s="1"/>
  <c r="M152" i="10"/>
  <c r="EG313" i="10"/>
  <c r="BZ313" i="10"/>
  <c r="U460" i="10"/>
  <c r="BP459" i="12"/>
  <c r="BU14" i="12"/>
  <c r="R15" i="10"/>
  <c r="BL14" i="12"/>
  <c r="EK218" i="10"/>
  <c r="CD218" i="10"/>
  <c r="EH369" i="10"/>
  <c r="CA369" i="10"/>
  <c r="EG505" i="10"/>
  <c r="BZ505" i="10"/>
  <c r="EC278" i="10"/>
  <c r="ED278" i="10" s="1"/>
  <c r="BV278" i="10"/>
  <c r="BW278" i="10" s="1"/>
  <c r="BX278" i="10" s="1"/>
  <c r="BU278" i="10" s="1"/>
  <c r="P278" i="10"/>
  <c r="Q278" i="10" s="1"/>
  <c r="N278" i="10" s="1"/>
  <c r="M278" i="10"/>
  <c r="BU424" i="12"/>
  <c r="R425" i="10"/>
  <c r="BL424" i="12"/>
  <c r="U551" i="10"/>
  <c r="BP550" i="12"/>
  <c r="BU198" i="12"/>
  <c r="R199" i="10"/>
  <c r="BL198" i="12"/>
  <c r="EG353" i="10"/>
  <c r="BZ353" i="10"/>
  <c r="U495" i="10"/>
  <c r="BP494" i="12"/>
  <c r="U111" i="10"/>
  <c r="BP110" i="12"/>
  <c r="C123" i="1" s="1"/>
  <c r="EC432" i="10"/>
  <c r="ED432" i="10" s="1"/>
  <c r="P432" i="10"/>
  <c r="Q432" i="10" s="1"/>
  <c r="N432" i="10" s="1"/>
  <c r="BV432" i="10"/>
  <c r="BW432" i="10" s="1"/>
  <c r="BX432" i="10" s="1"/>
  <c r="BU432" i="10" s="1"/>
  <c r="CA553" i="10"/>
  <c r="EH553" i="10"/>
  <c r="U399" i="10"/>
  <c r="BP398" i="12"/>
  <c r="EJ268" i="10"/>
  <c r="CC268" i="10"/>
  <c r="EJ89" i="10"/>
  <c r="CC89" i="10"/>
  <c r="EH500" i="10"/>
  <c r="CA500" i="10"/>
  <c r="EJ379" i="10"/>
  <c r="CC379" i="10"/>
  <c r="C242" i="1"/>
  <c r="EC121" i="10"/>
  <c r="ED121" i="10" s="1"/>
  <c r="P121" i="10"/>
  <c r="Q121" i="10" s="1"/>
  <c r="N121" i="10" s="1"/>
  <c r="BV121" i="10"/>
  <c r="BW121" i="10" s="1"/>
  <c r="BX121" i="10" s="1"/>
  <c r="BU121" i="10" s="1"/>
  <c r="BZ185" i="10"/>
  <c r="EG185" i="10"/>
  <c r="U36" i="10"/>
  <c r="BP35" i="12"/>
  <c r="BU56" i="12"/>
  <c r="R57" i="10"/>
  <c r="BL56" i="12"/>
  <c r="BU348" i="12"/>
  <c r="R349" i="10"/>
  <c r="BL348" i="12"/>
  <c r="EH119" i="10"/>
  <c r="CA119" i="10"/>
  <c r="BU331" i="12"/>
  <c r="R332" i="10"/>
  <c r="BL331" i="12"/>
  <c r="B344" i="1" s="1"/>
  <c r="D344" i="1" s="1"/>
  <c r="EC388" i="10"/>
  <c r="ED388" i="10" s="1"/>
  <c r="P388" i="10"/>
  <c r="Q388" i="10" s="1"/>
  <c r="N388" i="10" s="1"/>
  <c r="BV388" i="10"/>
  <c r="BW388" i="10" s="1"/>
  <c r="BX388" i="10" s="1"/>
  <c r="BU388" i="10" s="1"/>
  <c r="U132" i="10"/>
  <c r="BP131" i="12"/>
  <c r="BU443" i="12"/>
  <c r="R444" i="10"/>
  <c r="BL443" i="12"/>
  <c r="EH220" i="10"/>
  <c r="CA220" i="10"/>
  <c r="EK508" i="10"/>
  <c r="CD508" i="10"/>
  <c r="EH304" i="10"/>
  <c r="CA304" i="10"/>
  <c r="EC543" i="10"/>
  <c r="ED543" i="10" s="1"/>
  <c r="P543" i="10"/>
  <c r="Q543" i="10" s="1"/>
  <c r="N543" i="10" s="1"/>
  <c r="BV543" i="10"/>
  <c r="BW543" i="10" s="1"/>
  <c r="BX543" i="10" s="1"/>
  <c r="BU543" i="10" s="1"/>
  <c r="EG287" i="10"/>
  <c r="BZ287" i="10"/>
  <c r="EJ305" i="10"/>
  <c r="CC305" i="10"/>
  <c r="EG187" i="10"/>
  <c r="BZ187" i="10"/>
  <c r="EK382" i="10"/>
  <c r="CD382" i="10"/>
  <c r="BU527" i="12"/>
  <c r="R528" i="10"/>
  <c r="BL527" i="12"/>
  <c r="EJ301" i="10"/>
  <c r="CC301" i="10"/>
  <c r="EC447" i="10"/>
  <c r="ED447" i="10" s="1"/>
  <c r="P447" i="10"/>
  <c r="Q447" i="10" s="1"/>
  <c r="N447" i="10" s="1"/>
  <c r="BV447" i="10"/>
  <c r="BW447" i="10" s="1"/>
  <c r="BX447" i="10" s="1"/>
  <c r="BU447" i="10" s="1"/>
  <c r="BU40" i="12"/>
  <c r="R41" i="10"/>
  <c r="BL40" i="12"/>
  <c r="EH214" i="10"/>
  <c r="CA214" i="10"/>
  <c r="BU365" i="12"/>
  <c r="R366" i="10"/>
  <c r="BL365" i="12"/>
  <c r="EK512" i="10"/>
  <c r="CD512" i="10"/>
  <c r="EG118" i="10"/>
  <c r="BZ118" i="10"/>
  <c r="EJ285" i="10"/>
  <c r="CC285" i="10"/>
  <c r="EC129" i="10"/>
  <c r="ED129" i="10" s="1"/>
  <c r="BV129" i="10"/>
  <c r="BW129" i="10" s="1"/>
  <c r="BX129" i="10" s="1"/>
  <c r="BU129" i="10" s="1"/>
  <c r="P129" i="10"/>
  <c r="Q129" i="10" s="1"/>
  <c r="N129" i="10" s="1"/>
  <c r="BU349" i="12"/>
  <c r="R350" i="10"/>
  <c r="BL349" i="12"/>
  <c r="B362" i="1" s="1"/>
  <c r="D362" i="1" s="1"/>
  <c r="BU69" i="12"/>
  <c r="R70" i="10"/>
  <c r="BL69" i="12"/>
  <c r="EJ154" i="10"/>
  <c r="CC154" i="10"/>
  <c r="EK48" i="10"/>
  <c r="CD48" i="10"/>
  <c r="U323" i="10"/>
  <c r="BP322" i="12"/>
  <c r="BU208" i="12"/>
  <c r="R209" i="10"/>
  <c r="BL208" i="12"/>
  <c r="B221" i="1" s="1"/>
  <c r="D221" i="1" s="1"/>
  <c r="EC11" i="10"/>
  <c r="ED11" i="10" s="1"/>
  <c r="P11" i="10"/>
  <c r="Q11" i="10" s="1"/>
  <c r="N11" i="10" s="1"/>
  <c r="BV11" i="10"/>
  <c r="BW11" i="10" s="1"/>
  <c r="BX11" i="10" s="1"/>
  <c r="BU11" i="10" s="1"/>
  <c r="M11" i="10"/>
  <c r="EH75" i="10"/>
  <c r="CA75" i="10"/>
  <c r="EG139" i="10"/>
  <c r="BZ139" i="10"/>
  <c r="BU203" i="12"/>
  <c r="R204" i="10"/>
  <c r="BL203" i="12"/>
  <c r="EG37" i="10"/>
  <c r="BZ37" i="10"/>
  <c r="EJ101" i="10"/>
  <c r="CC101" i="10"/>
  <c r="EH166" i="10"/>
  <c r="CA166" i="10"/>
  <c r="EC298" i="10"/>
  <c r="ED298" i="10" s="1"/>
  <c r="BV298" i="10"/>
  <c r="BW298" i="10" s="1"/>
  <c r="BX298" i="10" s="1"/>
  <c r="BU298" i="10" s="1"/>
  <c r="P298" i="10"/>
  <c r="Q298" i="10" s="1"/>
  <c r="N298" i="10" s="1"/>
  <c r="EG362" i="10"/>
  <c r="BZ362" i="10"/>
  <c r="U426" i="10"/>
  <c r="BP425" i="12"/>
  <c r="EH490" i="10"/>
  <c r="CA490" i="10"/>
  <c r="EK554" i="10"/>
  <c r="CD554" i="10"/>
  <c r="EJ49" i="10"/>
  <c r="CC49" i="10"/>
  <c r="EH135" i="10"/>
  <c r="CA135" i="10"/>
  <c r="EC300" i="10"/>
  <c r="ED300" i="10" s="1"/>
  <c r="P300" i="10"/>
  <c r="Q300" i="10" s="1"/>
  <c r="N300" i="10" s="1"/>
  <c r="BV300" i="10"/>
  <c r="BW300" i="10" s="1"/>
  <c r="BX300" i="10" s="1"/>
  <c r="BU300" i="10" s="1"/>
  <c r="EH373" i="10"/>
  <c r="CA373" i="10"/>
  <c r="U446" i="10"/>
  <c r="BP445" i="12"/>
  <c r="EG519" i="10"/>
  <c r="BZ519" i="10"/>
  <c r="EJ40" i="10"/>
  <c r="CC40" i="10"/>
  <c r="EG126" i="10"/>
  <c r="BZ126" i="10"/>
  <c r="U211" i="10"/>
  <c r="BP210" i="12"/>
  <c r="B304" i="1"/>
  <c r="D304" i="1" s="1"/>
  <c r="EC365" i="10"/>
  <c r="ED365" i="10" s="1"/>
  <c r="P365" i="10"/>
  <c r="Q365" i="10" s="1"/>
  <c r="N365" i="10" s="1"/>
  <c r="BV365" i="10"/>
  <c r="BW365" i="10" s="1"/>
  <c r="BX365" i="10" s="1"/>
  <c r="BU365" i="10" s="1"/>
  <c r="BU437" i="12"/>
  <c r="M438" i="10" s="1"/>
  <c r="R438" i="10"/>
  <c r="BL437" i="12"/>
  <c r="EJ511" i="10"/>
  <c r="CC511" i="10"/>
  <c r="EJ31" i="10"/>
  <c r="CC31" i="10"/>
  <c r="EK116" i="10"/>
  <c r="CD116" i="10"/>
  <c r="EH202" i="10"/>
  <c r="CA202" i="10"/>
  <c r="U284" i="10"/>
  <c r="BP283" i="12"/>
  <c r="C296" i="1" s="1"/>
  <c r="C369" i="1"/>
  <c r="EC430" i="10"/>
  <c r="ED430" i="10" s="1"/>
  <c r="BV430" i="10"/>
  <c r="BW430" i="10" s="1"/>
  <c r="BX430" i="10" s="1"/>
  <c r="BU430" i="10" s="1"/>
  <c r="P430" i="10"/>
  <c r="Q430" i="10" s="1"/>
  <c r="N430" i="10" s="1"/>
  <c r="M430" i="10"/>
  <c r="BU502" i="12"/>
  <c r="R503" i="10"/>
  <c r="BL502" i="12"/>
  <c r="B515" i="1" s="1"/>
  <c r="D515" i="1" s="1"/>
  <c r="EK22" i="10"/>
  <c r="CD22" i="10"/>
  <c r="EG106" i="10"/>
  <c r="BZ106" i="10"/>
  <c r="U193" i="10"/>
  <c r="BP192" i="12"/>
  <c r="EH275" i="10"/>
  <c r="CA275" i="10"/>
  <c r="EK422" i="10"/>
  <c r="CD422" i="10"/>
  <c r="EC173" i="10"/>
  <c r="ED173" i="10" s="1"/>
  <c r="P173" i="10"/>
  <c r="Q173" i="10" s="1"/>
  <c r="N173" i="10" s="1"/>
  <c r="BV173" i="10"/>
  <c r="BW173" i="10" s="1"/>
  <c r="BX173" i="10" s="1"/>
  <c r="BU173" i="10" s="1"/>
  <c r="BU471" i="12"/>
  <c r="R472" i="10"/>
  <c r="BL471" i="12"/>
  <c r="EJ238" i="10"/>
  <c r="CC238" i="10"/>
  <c r="EJ518" i="10"/>
  <c r="CC518" i="10"/>
  <c r="EJ297" i="10"/>
  <c r="CC297" i="10"/>
  <c r="EK24" i="10"/>
  <c r="CD24" i="10"/>
  <c r="EK372" i="10"/>
  <c r="CD372" i="10"/>
  <c r="EC451" i="10"/>
  <c r="ED451" i="10" s="1"/>
  <c r="P451" i="10"/>
  <c r="Q451" i="10" s="1"/>
  <c r="N451" i="10" s="1"/>
  <c r="BV451" i="10"/>
  <c r="BW451" i="10" s="1"/>
  <c r="BX451" i="10" s="1"/>
  <c r="BU451" i="10" s="1"/>
  <c r="EG453" i="10"/>
  <c r="BZ453" i="10"/>
  <c r="U163" i="10"/>
  <c r="BP162" i="12"/>
  <c r="U417" i="10"/>
  <c r="BP416" i="12"/>
  <c r="EG288" i="10"/>
  <c r="BZ288" i="10"/>
  <c r="EK58" i="10"/>
  <c r="CD58" i="10"/>
  <c r="EH309" i="10"/>
  <c r="CA309" i="10"/>
  <c r="EC50" i="10"/>
  <c r="ED50" i="10" s="1"/>
  <c r="BV50" i="10"/>
  <c r="BW50" i="10" s="1"/>
  <c r="BX50" i="10" s="1"/>
  <c r="BU50" i="10" s="1"/>
  <c r="P50" i="10"/>
  <c r="Q50" i="10" s="1"/>
  <c r="N50" i="10" s="1"/>
  <c r="U224" i="10"/>
  <c r="BP223" i="12"/>
  <c r="EG374" i="10"/>
  <c r="BZ374" i="10"/>
  <c r="BU519" i="12"/>
  <c r="R520" i="10"/>
  <c r="BL519" i="12"/>
  <c r="EK127" i="10"/>
  <c r="CD127" i="10"/>
  <c r="EK293" i="10"/>
  <c r="CD293" i="10"/>
  <c r="EJ439" i="10"/>
  <c r="CC439" i="10"/>
  <c r="B215" i="1"/>
  <c r="D215" i="1" s="1"/>
  <c r="EC203" i="10"/>
  <c r="ED203" i="10" s="1"/>
  <c r="P203" i="10"/>
  <c r="Q203" i="10" s="1"/>
  <c r="BV203" i="10"/>
  <c r="BW203" i="10" s="1"/>
  <c r="BX203" i="10" s="1"/>
  <c r="BU203" i="10" s="1"/>
  <c r="M203" i="10"/>
  <c r="U358" i="10"/>
  <c r="BP357" i="12"/>
  <c r="BU43" i="12"/>
  <c r="R44" i="10"/>
  <c r="BL43" i="12"/>
  <c r="EJ194" i="10"/>
  <c r="CC194" i="10"/>
  <c r="EG488" i="10"/>
  <c r="BZ488" i="10"/>
  <c r="EJ258" i="10"/>
  <c r="CC258" i="10"/>
  <c r="U462" i="10"/>
  <c r="BP461" i="12"/>
  <c r="EC66" i="10"/>
  <c r="ED66" i="10" s="1"/>
  <c r="BV66" i="10"/>
  <c r="BW66" i="10" s="1"/>
  <c r="BX66" i="10" s="1"/>
  <c r="BU66" i="10" s="1"/>
  <c r="P66" i="10"/>
  <c r="Q66" i="10" s="1"/>
  <c r="N66" i="10" s="1"/>
  <c r="EG470" i="10"/>
  <c r="BZ470" i="10"/>
  <c r="EJ19" i="10"/>
  <c r="CC19" i="10"/>
  <c r="EH83" i="10"/>
  <c r="CA83" i="10"/>
  <c r="EK148" i="10"/>
  <c r="CD148" i="10"/>
  <c r="EK212" i="10"/>
  <c r="CD212" i="10"/>
  <c r="U45" i="10"/>
  <c r="BP44" i="12"/>
  <c r="C57" i="1" s="1"/>
  <c r="U174" i="10"/>
  <c r="BP173" i="12"/>
  <c r="EG239" i="10"/>
  <c r="BZ239" i="10"/>
  <c r="U306" i="10"/>
  <c r="BP305" i="12"/>
  <c r="U370" i="10"/>
  <c r="BP369" i="12"/>
  <c r="EK434" i="10"/>
  <c r="CD434" i="10"/>
  <c r="U498" i="10"/>
  <c r="BP497" i="12"/>
  <c r="U562" i="10"/>
  <c r="BP561" i="12"/>
  <c r="C574" i="1" s="1"/>
  <c r="B158" i="1"/>
  <c r="D158" i="1" s="1"/>
  <c r="EC146" i="10"/>
  <c r="ED146" i="10" s="1"/>
  <c r="P146" i="10"/>
  <c r="Q146" i="10" s="1"/>
  <c r="N146" i="10" s="1"/>
  <c r="BV146" i="10"/>
  <c r="BW146" i="10" s="1"/>
  <c r="BX146" i="10" s="1"/>
  <c r="BU146" i="10" s="1"/>
  <c r="M146" i="10"/>
  <c r="BU232" i="12"/>
  <c r="R233" i="10"/>
  <c r="BL232" i="12"/>
  <c r="EJ27" i="10"/>
  <c r="CC27" i="10"/>
  <c r="EH91" i="10"/>
  <c r="CA91" i="10"/>
  <c r="EK156" i="10"/>
  <c r="CD156" i="10"/>
  <c r="EG221" i="10"/>
  <c r="BZ221" i="10"/>
  <c r="U53" i="10"/>
  <c r="BP52" i="12"/>
  <c r="C65" i="1" s="1"/>
  <c r="EC182" i="10"/>
  <c r="ED182" i="10" s="1"/>
  <c r="P182" i="10"/>
  <c r="Q182" i="10" s="1"/>
  <c r="N182" i="10" s="1"/>
  <c r="BV182" i="10"/>
  <c r="BW182" i="10" s="1"/>
  <c r="BX182" i="10" s="1"/>
  <c r="BU182" i="10" s="1"/>
  <c r="EG247" i="10"/>
  <c r="BZ247" i="10"/>
  <c r="BU313" i="12"/>
  <c r="R314" i="10"/>
  <c r="BL313" i="12"/>
  <c r="U378" i="10"/>
  <c r="BP377" i="12"/>
  <c r="EK442" i="10"/>
  <c r="CD442" i="10"/>
  <c r="EJ506" i="10"/>
  <c r="CC506" i="10"/>
  <c r="EH6" i="10"/>
  <c r="CA6" i="10"/>
  <c r="EC157" i="10"/>
  <c r="ED157" i="10" s="1"/>
  <c r="P157" i="10"/>
  <c r="Q157" i="10" s="1"/>
  <c r="N157" i="10" s="1"/>
  <c r="BV157" i="10"/>
  <c r="BW157" i="10" s="1"/>
  <c r="BX157" i="10" s="1"/>
  <c r="BU157" i="10" s="1"/>
  <c r="CA242" i="10"/>
  <c r="EH242" i="10"/>
  <c r="EK318" i="10"/>
  <c r="CD318" i="10"/>
  <c r="EJ391" i="10"/>
  <c r="CC391" i="10"/>
  <c r="EK464" i="10"/>
  <c r="CD464" i="10"/>
  <c r="EK537" i="10"/>
  <c r="CD537" i="10"/>
  <c r="U62" i="10"/>
  <c r="BP61" i="12"/>
  <c r="EC234" i="10"/>
  <c r="ED234" i="10" s="1"/>
  <c r="P234" i="10"/>
  <c r="Q234" i="10" s="1"/>
  <c r="N234" i="10" s="1"/>
  <c r="BV234" i="10"/>
  <c r="BW234" i="10" s="1"/>
  <c r="BX234" i="10" s="1"/>
  <c r="BU234" i="10" s="1"/>
  <c r="BU309" i="12"/>
  <c r="R310" i="10"/>
  <c r="BL309" i="12"/>
  <c r="EG383" i="10"/>
  <c r="BZ383" i="10"/>
  <c r="EG456" i="10"/>
  <c r="BZ456" i="10"/>
  <c r="BZ529" i="10"/>
  <c r="EG529" i="10"/>
  <c r="BU51" i="12"/>
  <c r="R52" i="10"/>
  <c r="BL51" i="12"/>
  <c r="EH137" i="10"/>
  <c r="CA137" i="10"/>
  <c r="EC302" i="10"/>
  <c r="ED302" i="10" s="1"/>
  <c r="BV302" i="10"/>
  <c r="BW302" i="10" s="1"/>
  <c r="BX302" i="10" s="1"/>
  <c r="BU302" i="10" s="1"/>
  <c r="P302" i="10"/>
  <c r="Q302" i="10" s="1"/>
  <c r="N302" i="10" s="1"/>
  <c r="M302" i="10"/>
  <c r="BZ375" i="10"/>
  <c r="EG375" i="10"/>
  <c r="BU447" i="12"/>
  <c r="R448" i="10"/>
  <c r="BL447" i="12"/>
  <c r="EJ521" i="10"/>
  <c r="CC521" i="10"/>
  <c r="CA42" i="10"/>
  <c r="EH42" i="10"/>
  <c r="U128" i="10"/>
  <c r="BP127" i="12"/>
  <c r="EK216" i="10"/>
  <c r="CD216" i="10"/>
  <c r="EC367" i="10"/>
  <c r="ED367" i="10" s="1"/>
  <c r="BV367" i="10"/>
  <c r="BW367" i="10" s="1"/>
  <c r="BX367" i="10" s="1"/>
  <c r="BU367" i="10" s="1"/>
  <c r="P367" i="10"/>
  <c r="Q367" i="10" s="1"/>
  <c r="M367" i="10"/>
  <c r="U440" i="10"/>
  <c r="BP439" i="12"/>
  <c r="BU54" i="12"/>
  <c r="R55" i="10"/>
  <c r="BL54" i="12"/>
  <c r="EG12" i="10"/>
  <c r="BZ12" i="10"/>
  <c r="EJ217" i="10"/>
  <c r="CC217" i="10"/>
  <c r="U368" i="10"/>
  <c r="BP367" i="12"/>
  <c r="EJ504" i="10"/>
  <c r="CC504" i="10"/>
  <c r="EC277" i="10"/>
  <c r="ED277" i="10" s="1"/>
  <c r="P277" i="10"/>
  <c r="Q277" i="10" s="1"/>
  <c r="N277" i="10" s="1"/>
  <c r="BV277" i="10"/>
  <c r="BW277" i="10" s="1"/>
  <c r="BX277" i="10" s="1"/>
  <c r="BU277" i="10" s="1"/>
  <c r="U424" i="10"/>
  <c r="BP423" i="12"/>
  <c r="EK550" i="10"/>
  <c r="CD550" i="10"/>
  <c r="EK176" i="10"/>
  <c r="CD176" i="10"/>
  <c r="U334" i="10"/>
  <c r="BP333" i="12"/>
  <c r="U478" i="10"/>
  <c r="BP477" i="12"/>
  <c r="EH79" i="10"/>
  <c r="CA79" i="10"/>
  <c r="EC408" i="10"/>
  <c r="ED408" i="10" s="1"/>
  <c r="P408" i="10"/>
  <c r="Q408" i="10" s="1"/>
  <c r="N408" i="10" s="1"/>
  <c r="BV408" i="10"/>
  <c r="BW408" i="10" s="1"/>
  <c r="BX408" i="10" s="1"/>
  <c r="BU408" i="10" s="1"/>
  <c r="BU535" i="12"/>
  <c r="R536" i="10"/>
  <c r="BL535" i="12"/>
  <c r="U184" i="10"/>
  <c r="BP183" i="12"/>
  <c r="EJ341" i="10"/>
  <c r="CC341" i="10"/>
  <c r="EK480" i="10"/>
  <c r="CD480" i="10"/>
  <c r="BZ144" i="10"/>
  <c r="EG144" i="10"/>
  <c r="U532" i="10"/>
  <c r="BP531" i="12"/>
  <c r="C544" i="1" s="1"/>
  <c r="EC269" i="10"/>
  <c r="ED269" i="10" s="1"/>
  <c r="P269" i="10"/>
  <c r="Q269" i="10" s="1"/>
  <c r="N269" i="10" s="1"/>
  <c r="BV269" i="10"/>
  <c r="BW269" i="10" s="1"/>
  <c r="BX269" i="10" s="1"/>
  <c r="BU269" i="10" s="1"/>
  <c r="M269" i="10"/>
  <c r="BU89" i="12"/>
  <c r="R90" i="10"/>
  <c r="BL89" i="12"/>
  <c r="BU512" i="12"/>
  <c r="R513" i="10"/>
  <c r="BL512" i="12"/>
  <c r="EG380" i="10"/>
  <c r="BZ380" i="10"/>
  <c r="EG526" i="10"/>
  <c r="BZ526" i="10"/>
  <c r="U559" i="10"/>
  <c r="BP558" i="12"/>
  <c r="U481" i="10"/>
  <c r="BP480" i="12"/>
  <c r="C493" i="1" s="1"/>
  <c r="C209" i="1"/>
  <c r="EC197" i="10"/>
  <c r="ED197" i="10" s="1"/>
  <c r="P197" i="10"/>
  <c r="Q197" i="10" s="1"/>
  <c r="N197" i="10" s="1"/>
  <c r="BV197" i="10"/>
  <c r="BW197" i="10" s="1"/>
  <c r="BX197" i="10" s="1"/>
  <c r="BU197" i="10" s="1"/>
  <c r="CA352" i="10"/>
  <c r="EH352" i="10"/>
  <c r="U491" i="10"/>
  <c r="BP490" i="12"/>
  <c r="EJ110" i="10"/>
  <c r="CC110" i="10"/>
  <c r="EJ279" i="10"/>
  <c r="CC279" i="10"/>
  <c r="EK427" i="10"/>
  <c r="CD427" i="10"/>
  <c r="B371" i="1"/>
  <c r="D371" i="1" s="1"/>
  <c r="EC359" i="10"/>
  <c r="ED359" i="10" s="1"/>
  <c r="BV359" i="10"/>
  <c r="BW359" i="10" s="1"/>
  <c r="BX359" i="10" s="1"/>
  <c r="BU359" i="10" s="1"/>
  <c r="P359" i="10"/>
  <c r="Q359" i="10" s="1"/>
  <c r="N359" i="10" s="1"/>
  <c r="M359" i="10"/>
  <c r="CA496" i="10"/>
  <c r="EH496" i="10"/>
  <c r="U207" i="10"/>
  <c r="BP206" i="12"/>
  <c r="U213" i="10"/>
  <c r="BP212" i="12"/>
  <c r="EK324" i="10"/>
  <c r="CD324" i="10"/>
  <c r="EJ165" i="10"/>
  <c r="CC165" i="10"/>
  <c r="CA433" i="10"/>
  <c r="EH433" i="10"/>
  <c r="EC344" i="10"/>
  <c r="ED344" i="10" s="1"/>
  <c r="P344" i="10"/>
  <c r="Q344" i="10" s="1"/>
  <c r="N344" i="10" s="1"/>
  <c r="BV344" i="10"/>
  <c r="BW344" i="10" s="1"/>
  <c r="BX344" i="10" s="1"/>
  <c r="BU344" i="10" s="1"/>
  <c r="M344" i="10"/>
  <c r="U232" i="10"/>
  <c r="BP231" i="12"/>
  <c r="EJ35" i="10"/>
  <c r="CC35" i="10"/>
  <c r="EH99" i="10"/>
  <c r="CA99" i="10"/>
  <c r="EK164" i="10"/>
  <c r="CD164" i="10"/>
  <c r="EK229" i="10"/>
  <c r="CD229" i="10"/>
  <c r="EH61" i="10"/>
  <c r="CA61" i="10"/>
  <c r="EC190" i="10"/>
  <c r="ED190" i="10" s="1"/>
  <c r="P190" i="10"/>
  <c r="Q190" i="10" s="1"/>
  <c r="N190" i="10" s="1"/>
  <c r="BV190" i="10"/>
  <c r="BW190" i="10" s="1"/>
  <c r="BX190" i="10" s="1"/>
  <c r="BU190" i="10" s="1"/>
  <c r="U256" i="10"/>
  <c r="BP255" i="12"/>
  <c r="BU321" i="12"/>
  <c r="R322" i="10"/>
  <c r="BL321" i="12"/>
  <c r="BU385" i="12"/>
  <c r="R386" i="10"/>
  <c r="BL385" i="12"/>
  <c r="U450" i="10"/>
  <c r="BP449" i="12"/>
  <c r="EJ514" i="10"/>
  <c r="CC514" i="10"/>
  <c r="U14" i="10"/>
  <c r="BP13" i="12"/>
  <c r="C26" i="1" s="1"/>
  <c r="EC168" i="10"/>
  <c r="ED168" i="10" s="1"/>
  <c r="BV168" i="10"/>
  <c r="BW168" i="10" s="1"/>
  <c r="BX168" i="10" s="1"/>
  <c r="BU168" i="10" s="1"/>
  <c r="P168" i="10"/>
  <c r="Q168" i="10" s="1"/>
  <c r="N168" i="10" s="1"/>
  <c r="EG252" i="10"/>
  <c r="BZ252" i="10"/>
  <c r="U327" i="10"/>
  <c r="BP326" i="12"/>
  <c r="EH400" i="10"/>
  <c r="CA400" i="10"/>
  <c r="BU472" i="12"/>
  <c r="R473" i="10"/>
  <c r="BL472" i="12"/>
  <c r="CA547" i="10"/>
  <c r="EH547" i="10"/>
  <c r="EH72" i="10"/>
  <c r="CA72" i="10"/>
  <c r="C255" i="1"/>
  <c r="U243" i="10"/>
  <c r="BP242" i="12"/>
  <c r="EH319" i="10"/>
  <c r="CA319" i="10"/>
  <c r="EJ392" i="10"/>
  <c r="CC392" i="10"/>
  <c r="CA465" i="10"/>
  <c r="EH465" i="10"/>
  <c r="EJ539" i="10"/>
  <c r="CC539" i="10"/>
  <c r="EJ63" i="10"/>
  <c r="CC63" i="10"/>
  <c r="EH149" i="10"/>
  <c r="CA149" i="10"/>
  <c r="EC311" i="10"/>
  <c r="ED311" i="10" s="1"/>
  <c r="BV311" i="10"/>
  <c r="BW311" i="10" s="1"/>
  <c r="BX311" i="10" s="1"/>
  <c r="BU311" i="10" s="1"/>
  <c r="P311" i="10"/>
  <c r="Q311" i="10" s="1"/>
  <c r="N311" i="10" s="1"/>
  <c r="M311" i="10"/>
  <c r="BU383" i="12"/>
  <c r="R384" i="10"/>
  <c r="BL383" i="12"/>
  <c r="EK457" i="10"/>
  <c r="CD457" i="10"/>
  <c r="EG531" i="10"/>
  <c r="BZ531" i="10"/>
  <c r="BU53" i="12"/>
  <c r="R54" i="10"/>
  <c r="BL53" i="12"/>
  <c r="EJ138" i="10"/>
  <c r="CC138" i="10"/>
  <c r="EK226" i="10"/>
  <c r="CD226" i="10"/>
  <c r="EC376" i="10"/>
  <c r="ED376" i="10" s="1"/>
  <c r="P376" i="10"/>
  <c r="Q376" i="10" s="1"/>
  <c r="N376" i="10" s="1"/>
  <c r="BV376" i="10"/>
  <c r="BW376" i="10" s="1"/>
  <c r="BX376" i="10" s="1"/>
  <c r="BU376" i="10" s="1"/>
  <c r="U449" i="10"/>
  <c r="BP448" i="12"/>
  <c r="U65" i="10"/>
  <c r="BP64" i="12"/>
  <c r="EC38" i="10"/>
  <c r="ED38" i="10" s="1"/>
  <c r="P38" i="10"/>
  <c r="Q38" i="10" s="1"/>
  <c r="N38" i="10" s="1"/>
  <c r="BV38" i="10"/>
  <c r="BW38" i="10" s="1"/>
  <c r="BX38" i="10" s="1"/>
  <c r="BU38" i="10" s="1"/>
  <c r="M38" i="10"/>
  <c r="EK237" i="10"/>
  <c r="CD237" i="10"/>
  <c r="BU386" i="12"/>
  <c r="R387" i="10"/>
  <c r="BL386" i="12"/>
  <c r="BU516" i="12"/>
  <c r="R517" i="10"/>
  <c r="BL516" i="12"/>
  <c r="EC296" i="10"/>
  <c r="ED296" i="10" s="1"/>
  <c r="P296" i="10"/>
  <c r="Q296" i="10" s="1"/>
  <c r="N296" i="10" s="1"/>
  <c r="BV296" i="10"/>
  <c r="BW296" i="10" s="1"/>
  <c r="BX296" i="10" s="1"/>
  <c r="BU296" i="10" s="1"/>
  <c r="BU442" i="12"/>
  <c r="R443" i="10"/>
  <c r="BL442" i="12"/>
  <c r="U563" i="10"/>
  <c r="BP562" i="12"/>
  <c r="EH454" i="10"/>
  <c r="CA454" i="10"/>
  <c r="EK544" i="10"/>
  <c r="CD544" i="10"/>
  <c r="EG142" i="10"/>
  <c r="BZ142" i="10"/>
  <c r="BU119" i="12"/>
  <c r="R120" i="10"/>
  <c r="BL119" i="12"/>
  <c r="B132" i="1" s="1"/>
  <c r="D132" i="1" s="1"/>
  <c r="EC43" i="10"/>
  <c r="ED43" i="10" s="1"/>
  <c r="P43" i="10"/>
  <c r="Q43" i="10" s="1"/>
  <c r="N43" i="10" s="1"/>
  <c r="BV43" i="10"/>
  <c r="BW43" i="10" s="1"/>
  <c r="BX43" i="10" s="1"/>
  <c r="BU43" i="10" s="1"/>
  <c r="BU106" i="12"/>
  <c r="R107" i="10"/>
  <c r="BL106" i="12"/>
  <c r="EJ172" i="10"/>
  <c r="CC172" i="10"/>
  <c r="EK5" i="10"/>
  <c r="CD5" i="10"/>
  <c r="U69" i="10"/>
  <c r="BP68" i="12"/>
  <c r="EH133" i="10"/>
  <c r="CA133" i="10"/>
  <c r="U198" i="10"/>
  <c r="BP197" i="12"/>
  <c r="C210" i="1" s="1"/>
  <c r="EC330" i="10"/>
  <c r="ED330" i="10" s="1"/>
  <c r="BV330" i="10"/>
  <c r="BW330" i="10" s="1"/>
  <c r="BX330" i="10" s="1"/>
  <c r="BU330" i="10" s="1"/>
  <c r="P330" i="10"/>
  <c r="Q330" i="10" s="1"/>
  <c r="N330" i="10" s="1"/>
  <c r="U394" i="10"/>
  <c r="BP393" i="12"/>
  <c r="BU457" i="12"/>
  <c r="R458" i="10"/>
  <c r="BL457" i="12"/>
  <c r="EH522" i="10"/>
  <c r="CA522" i="10"/>
  <c r="EK4" i="10"/>
  <c r="CD4" i="10"/>
  <c r="EK92" i="10"/>
  <c r="CD92" i="10"/>
  <c r="U178" i="10"/>
  <c r="BP177" i="12"/>
  <c r="C190" i="1" s="1"/>
  <c r="EC336" i="10"/>
  <c r="ED336" i="10" s="1"/>
  <c r="P336" i="10"/>
  <c r="Q336" i="10" s="1"/>
  <c r="N336" i="10" s="1"/>
  <c r="BV336" i="10"/>
  <c r="BW336" i="10" s="1"/>
  <c r="BX336" i="10" s="1"/>
  <c r="BU336" i="10" s="1"/>
  <c r="M336" i="10"/>
  <c r="CA409" i="10"/>
  <c r="EH409" i="10"/>
  <c r="EJ483" i="10"/>
  <c r="CC483" i="10"/>
  <c r="EJ556" i="10"/>
  <c r="CC556" i="10"/>
  <c r="EK82" i="10"/>
  <c r="CD82" i="10"/>
  <c r="EK169" i="10"/>
  <c r="CD169" i="10"/>
  <c r="EG253" i="10"/>
  <c r="BZ253" i="10"/>
  <c r="EC401" i="10"/>
  <c r="ED401" i="10" s="1"/>
  <c r="BV401" i="10"/>
  <c r="BW401" i="10" s="1"/>
  <c r="BX401" i="10" s="1"/>
  <c r="BU401" i="10" s="1"/>
  <c r="P401" i="10"/>
  <c r="Q401" i="10" s="1"/>
  <c r="N401" i="10" s="1"/>
  <c r="M401" i="10"/>
  <c r="BU474" i="12"/>
  <c r="M475" i="10" s="1"/>
  <c r="R475" i="10"/>
  <c r="BL474" i="12"/>
  <c r="U548" i="10"/>
  <c r="BP547" i="12"/>
  <c r="EJ73" i="10"/>
  <c r="CC73" i="10"/>
  <c r="EK160" i="10"/>
  <c r="CD160" i="10"/>
  <c r="EJ244" i="10"/>
  <c r="CC244" i="10"/>
  <c r="U320" i="10"/>
  <c r="BP319" i="12"/>
  <c r="C332" i="1" s="1"/>
  <c r="B479" i="1"/>
  <c r="D479" i="1" s="1"/>
  <c r="EC467" i="10"/>
  <c r="ED467" i="10" s="1"/>
  <c r="P467" i="10"/>
  <c r="Q467" i="10" s="1"/>
  <c r="BV467" i="10"/>
  <c r="BW467" i="10" s="1"/>
  <c r="BX467" i="10" s="1"/>
  <c r="BU467" i="10" s="1"/>
  <c r="M467" i="10"/>
  <c r="BU539" i="12"/>
  <c r="R540" i="10"/>
  <c r="BL539" i="12"/>
  <c r="U64" i="10"/>
  <c r="BP63" i="12"/>
  <c r="EJ151" i="10"/>
  <c r="CC151" i="10"/>
  <c r="U236" i="10"/>
  <c r="BP235" i="12"/>
  <c r="EH312" i="10"/>
  <c r="CA312" i="10"/>
  <c r="U385" i="10"/>
  <c r="BP384" i="12"/>
  <c r="EC76" i="10"/>
  <c r="ED76" i="10" s="1"/>
  <c r="BV76" i="10"/>
  <c r="BW76" i="10" s="1"/>
  <c r="BX76" i="10" s="1"/>
  <c r="BU76" i="10" s="1"/>
  <c r="P76" i="10"/>
  <c r="Q76" i="10" s="1"/>
  <c r="N76" i="10" s="1"/>
  <c r="BU67" i="12"/>
  <c r="R68" i="10"/>
  <c r="BL67" i="12"/>
  <c r="EJ257" i="10"/>
  <c r="CC257" i="10"/>
  <c r="EG405" i="10"/>
  <c r="BZ405" i="10"/>
  <c r="EJ533" i="10"/>
  <c r="CC533" i="10"/>
  <c r="EJ153" i="10"/>
  <c r="CC153" i="10"/>
  <c r="EH315" i="10"/>
  <c r="CA315" i="10"/>
  <c r="EC16" i="10"/>
  <c r="ED16" i="10" s="1"/>
  <c r="BV16" i="10"/>
  <c r="BW16" i="10" s="1"/>
  <c r="BX16" i="10" s="1"/>
  <c r="BU16" i="10" s="1"/>
  <c r="P16" i="10"/>
  <c r="Q16" i="10" s="1"/>
  <c r="N16" i="10" s="1"/>
  <c r="U219" i="10"/>
  <c r="BP218" i="12"/>
  <c r="EG371" i="10"/>
  <c r="BZ371" i="10"/>
  <c r="EK507" i="10"/>
  <c r="CD507" i="10"/>
  <c r="EJ134" i="10"/>
  <c r="CC134" i="10"/>
  <c r="EJ299" i="10"/>
  <c r="CC299" i="10"/>
  <c r="U445" i="10"/>
  <c r="BP444" i="12"/>
  <c r="B239" i="1"/>
  <c r="D239" i="1" s="1"/>
  <c r="U227" i="10"/>
  <c r="BP226" i="12"/>
  <c r="C239" i="1" s="1"/>
  <c r="BU376" i="12"/>
  <c r="R377" i="10"/>
  <c r="BL376" i="12"/>
  <c r="EK509" i="10"/>
  <c r="CD509" i="10"/>
  <c r="EJ251" i="10"/>
  <c r="CC251" i="10"/>
  <c r="BU87" i="12"/>
  <c r="R88" i="10"/>
  <c r="BL87" i="12"/>
  <c r="BU498" i="12"/>
  <c r="R499" i="10"/>
  <c r="BL498" i="12"/>
  <c r="EJ363" i="10"/>
  <c r="CC363" i="10"/>
  <c r="EC34" i="10"/>
  <c r="ED34" i="10" s="1"/>
  <c r="BV34" i="10"/>
  <c r="BW34" i="10" s="1"/>
  <c r="BX34" i="10" s="1"/>
  <c r="BU34" i="10" s="1"/>
  <c r="P34" i="10"/>
  <c r="Q34" i="10" s="1"/>
  <c r="N34" i="10" s="1"/>
  <c r="EH471" i="10"/>
  <c r="CA471" i="10"/>
  <c r="EG289" i="10"/>
  <c r="BZ289" i="10"/>
  <c r="EH342" i="10"/>
  <c r="CA342" i="10"/>
  <c r="EG250" i="10"/>
  <c r="BZ250" i="10"/>
  <c r="EG381" i="10"/>
  <c r="BZ381" i="10"/>
  <c r="EK267" i="10"/>
  <c r="CD267" i="10"/>
  <c r="C337" i="1"/>
  <c r="EC325" i="10"/>
  <c r="ED325" i="10" s="1"/>
  <c r="P325" i="10"/>
  <c r="Q325" i="10" s="1"/>
  <c r="N325" i="10" s="1"/>
  <c r="BV325" i="10"/>
  <c r="BW325" i="10" s="1"/>
  <c r="BX325" i="10" s="1"/>
  <c r="BU325" i="10" s="1"/>
  <c r="BU526" i="12"/>
  <c r="R527" i="10"/>
  <c r="BL526" i="12"/>
  <c r="EJ487" i="10"/>
  <c r="CC487" i="10"/>
  <c r="EK316" i="10"/>
  <c r="CD316" i="10"/>
  <c r="EH162" i="10"/>
  <c r="CA162" i="10"/>
  <c r="EK361" i="10"/>
  <c r="CD361" i="10"/>
  <c r="BU325" i="12"/>
  <c r="R326" i="10"/>
  <c r="BL325" i="12"/>
  <c r="B338" i="1" s="1"/>
  <c r="D338" i="1" s="1"/>
  <c r="C63" i="1"/>
  <c r="EC115" i="10"/>
  <c r="ED115" i="10" s="1"/>
  <c r="P115" i="10"/>
  <c r="Q115" i="10" s="1"/>
  <c r="N115" i="10" s="1"/>
  <c r="BV115" i="10"/>
  <c r="BW115" i="10" s="1"/>
  <c r="BX115" i="10" s="1"/>
  <c r="BU115" i="10" s="1"/>
  <c r="BU179" i="12"/>
  <c r="M180" i="10" s="1"/>
  <c r="R180" i="10"/>
  <c r="BL179" i="12"/>
  <c r="BU12" i="12"/>
  <c r="R13" i="10"/>
  <c r="BL12" i="12"/>
  <c r="EJ77" i="10"/>
  <c r="CC77" i="10"/>
  <c r="EK141" i="10"/>
  <c r="CD141" i="10"/>
  <c r="BU205" i="12"/>
  <c r="R206" i="10"/>
  <c r="BL205" i="12"/>
  <c r="EJ273" i="10"/>
  <c r="CC273" i="10"/>
  <c r="B414" i="1"/>
  <c r="D414" i="1" s="1"/>
  <c r="EC402" i="10"/>
  <c r="ED402" i="10" s="1"/>
  <c r="BV402" i="10"/>
  <c r="BW402" i="10" s="1"/>
  <c r="BX402" i="10" s="1"/>
  <c r="BU402" i="10" s="1"/>
  <c r="P402" i="10"/>
  <c r="Q402" i="10" s="1"/>
  <c r="N402" i="10" s="1"/>
  <c r="M402" i="10"/>
  <c r="U466" i="10"/>
  <c r="BP465" i="12"/>
  <c r="EK530" i="10"/>
  <c r="CD530" i="10"/>
  <c r="CA17" i="10"/>
  <c r="EH17" i="10"/>
  <c r="EG103" i="10"/>
  <c r="BZ103" i="10"/>
  <c r="EK189" i="10"/>
  <c r="CD189" i="10"/>
  <c r="BU270" i="12"/>
  <c r="R271" i="10"/>
  <c r="BL270" i="12"/>
  <c r="B283" i="1" s="1"/>
  <c r="D283" i="1" s="1"/>
  <c r="C431" i="1"/>
  <c r="EC419" i="10"/>
  <c r="ED419" i="10" s="1"/>
  <c r="P419" i="10"/>
  <c r="Q419" i="10" s="1"/>
  <c r="N419" i="10" s="1"/>
  <c r="BV419" i="10"/>
  <c r="BW419" i="10" s="1"/>
  <c r="BX419" i="10" s="1"/>
  <c r="BU419" i="10" s="1"/>
  <c r="BU491" i="12"/>
  <c r="R492" i="10"/>
  <c r="BL491" i="12"/>
  <c r="U7" i="10"/>
  <c r="BP6" i="12"/>
  <c r="EJ94" i="10"/>
  <c r="CC94" i="10"/>
  <c r="EJ179" i="10"/>
  <c r="CC179" i="10"/>
  <c r="EH262" i="10"/>
  <c r="CA262" i="10"/>
  <c r="U337" i="10"/>
  <c r="BP336" i="12"/>
  <c r="EC484" i="10"/>
  <c r="ED484" i="10" s="1"/>
  <c r="P484" i="10"/>
  <c r="Q484" i="10" s="1"/>
  <c r="N484" i="10" s="1"/>
  <c r="BV484" i="10"/>
  <c r="BW484" i="10" s="1"/>
  <c r="BX484" i="10" s="1"/>
  <c r="BU484" i="10" s="1"/>
  <c r="BU556" i="12"/>
  <c r="M557" i="10" s="1"/>
  <c r="R557" i="10"/>
  <c r="BL556" i="12"/>
  <c r="BU83" i="12"/>
  <c r="R84" i="10"/>
  <c r="BL83" i="12"/>
  <c r="EH170" i="10"/>
  <c r="CA170" i="10"/>
  <c r="EK254" i="10"/>
  <c r="CD254" i="10"/>
  <c r="EJ329" i="10"/>
  <c r="CC329" i="10"/>
  <c r="BU402" i="12"/>
  <c r="R403" i="10"/>
  <c r="BL402" i="12"/>
  <c r="EC549" i="10"/>
  <c r="ED549" i="10" s="1"/>
  <c r="P549" i="10"/>
  <c r="Q549" i="10" s="1"/>
  <c r="N549" i="10" s="1"/>
  <c r="BV549" i="10"/>
  <c r="BW549" i="10" s="1"/>
  <c r="BX549" i="10" s="1"/>
  <c r="BU549" i="10" s="1"/>
  <c r="BU73" i="12"/>
  <c r="R74" i="10"/>
  <c r="BL73" i="12"/>
  <c r="EK161" i="10"/>
  <c r="CD161" i="10"/>
  <c r="BU244" i="12"/>
  <c r="R245" i="10"/>
  <c r="BL244" i="12"/>
  <c r="BU320" i="12"/>
  <c r="R321" i="10"/>
  <c r="BL320" i="12"/>
  <c r="BU394" i="12"/>
  <c r="R395" i="10"/>
  <c r="BL394" i="12"/>
  <c r="EG283" i="10"/>
  <c r="BZ283" i="10"/>
  <c r="EC87" i="10"/>
  <c r="ED87" i="10" s="1"/>
  <c r="BV87" i="10"/>
  <c r="BW87" i="10" s="1"/>
  <c r="BX87" i="10" s="1"/>
  <c r="BU87" i="10" s="1"/>
  <c r="P87" i="10"/>
  <c r="Q87" i="10" s="1"/>
  <c r="N87" i="10" s="1"/>
  <c r="BU97" i="12"/>
  <c r="R98" i="10"/>
  <c r="BL97" i="12"/>
  <c r="EK276" i="10"/>
  <c r="CD276" i="10"/>
  <c r="EH423" i="10"/>
  <c r="CA423" i="10"/>
  <c r="EJ545" i="10"/>
  <c r="CC545" i="10"/>
  <c r="EH175" i="10"/>
  <c r="CA175" i="10"/>
  <c r="EK333" i="10"/>
  <c r="CD333" i="10"/>
  <c r="EC47" i="10"/>
  <c r="ED47" i="10" s="1"/>
  <c r="BV47" i="10"/>
  <c r="BW47" i="10" s="1"/>
  <c r="BX47" i="10" s="1"/>
  <c r="BU47" i="10" s="1"/>
  <c r="P47" i="10"/>
  <c r="Q47" i="10" s="1"/>
  <c r="N47" i="10" s="1"/>
  <c r="U240" i="10"/>
  <c r="BP239" i="12"/>
  <c r="EJ389" i="10"/>
  <c r="CC389" i="10"/>
  <c r="EK523" i="10"/>
  <c r="CD523" i="10"/>
  <c r="EK155" i="10"/>
  <c r="CD155" i="10"/>
  <c r="EG317" i="10"/>
  <c r="BZ317" i="10"/>
  <c r="EK463" i="10"/>
  <c r="CD463" i="10"/>
  <c r="EC246" i="10"/>
  <c r="ED246" i="10" s="1"/>
  <c r="P246" i="10"/>
  <c r="Q246" i="10" s="1"/>
  <c r="N246" i="10" s="1"/>
  <c r="BV246" i="10"/>
  <c r="BW246" i="10" s="1"/>
  <c r="BX246" i="10" s="1"/>
  <c r="BU246" i="10" s="1"/>
  <c r="CA396" i="10"/>
  <c r="EH396" i="10"/>
  <c r="EK525" i="10"/>
  <c r="CD525" i="10"/>
  <c r="EJ307" i="10"/>
  <c r="CC307" i="10"/>
  <c r="EK145" i="10"/>
  <c r="CD145" i="10"/>
  <c r="U542" i="10"/>
  <c r="BP541" i="12"/>
  <c r="EK416" i="10"/>
  <c r="CD416" i="10"/>
  <c r="EC112" i="10"/>
  <c r="ED112" i="10" s="1"/>
  <c r="BV112" i="10"/>
  <c r="BW112" i="10" s="1"/>
  <c r="BX112" i="10" s="1"/>
  <c r="BU112" i="10" s="1"/>
  <c r="P112" i="10"/>
  <c r="Q112" i="10" s="1"/>
  <c r="N112" i="10" s="1"/>
  <c r="CA515" i="10"/>
  <c r="EH515" i="10"/>
  <c r="BU434" i="12"/>
  <c r="R435" i="10"/>
  <c r="BL434" i="12"/>
  <c r="EG452" i="10"/>
  <c r="BZ452" i="10"/>
  <c r="EK397" i="10"/>
  <c r="CD397" i="10"/>
  <c r="EG486" i="10"/>
  <c r="BZ486" i="10"/>
  <c r="EH351" i="10"/>
  <c r="CA351" i="10"/>
  <c r="B547" i="1"/>
  <c r="D547" i="1" s="1"/>
  <c r="EC535" i="10"/>
  <c r="ED535" i="10" s="1"/>
  <c r="P535" i="10"/>
  <c r="Q535" i="10" s="1"/>
  <c r="N535" i="10" s="1"/>
  <c r="BV535" i="10"/>
  <c r="BW535" i="10" s="1"/>
  <c r="BX535" i="10" s="1"/>
  <c r="BU535" i="10" s="1"/>
  <c r="M535" i="10"/>
  <c r="EH335" i="10"/>
  <c r="CA335" i="10"/>
  <c r="EK80" i="10"/>
  <c r="CD80" i="10"/>
  <c r="EJ414" i="10"/>
  <c r="CC414" i="10"/>
  <c r="EG360" i="10"/>
  <c r="BZ360" i="10"/>
  <c r="EK469" i="10"/>
  <c r="CD469" i="10"/>
  <c r="EJ555" i="10"/>
  <c r="CC555" i="10"/>
  <c r="C528" i="1"/>
  <c r="EC406" i="10"/>
  <c r="ED406" i="10" s="1"/>
  <c r="BV406" i="10"/>
  <c r="BW406" i="10" s="1"/>
  <c r="BX406" i="10" s="1"/>
  <c r="BU406" i="10" s="1"/>
  <c r="P406" i="10"/>
  <c r="Q406" i="10" s="1"/>
  <c r="N406" i="10" s="1"/>
  <c r="BU240" i="12"/>
  <c r="M241" i="10" s="1"/>
  <c r="R241" i="10"/>
  <c r="BL240" i="12"/>
  <c r="U468" i="10"/>
  <c r="BP467" i="12"/>
  <c r="EJ26" i="10"/>
  <c r="CC26" i="10"/>
  <c r="EC59" i="10"/>
  <c r="ED59" i="10" s="1"/>
  <c r="P59" i="10"/>
  <c r="Q59" i="10" s="1"/>
  <c r="N59" i="10" s="1"/>
  <c r="BV59" i="10"/>
  <c r="BW59" i="10" s="1"/>
  <c r="BX59" i="10" s="1"/>
  <c r="BU59" i="10" s="1"/>
  <c r="EK123" i="10"/>
  <c r="CD123" i="10"/>
  <c r="BU187" i="12"/>
  <c r="R188" i="10"/>
  <c r="BL187" i="12"/>
  <c r="B200" i="1" s="1"/>
  <c r="D200" i="1" s="1"/>
  <c r="C33" i="1"/>
  <c r="EC85" i="10"/>
  <c r="ED85" i="10" s="1"/>
  <c r="P85" i="10"/>
  <c r="Q85" i="10" s="1"/>
  <c r="N85" i="10" s="1"/>
  <c r="BV85" i="10"/>
  <c r="BW85" i="10" s="1"/>
  <c r="BX85" i="10" s="1"/>
  <c r="BU85" i="10" s="1"/>
  <c r="M85" i="10"/>
  <c r="BU149" i="12"/>
  <c r="M150" i="10" s="1"/>
  <c r="R150" i="10"/>
  <c r="BL149" i="12"/>
  <c r="EG215" i="10"/>
  <c r="BZ215" i="10"/>
  <c r="EG281" i="10"/>
  <c r="BZ281" i="10"/>
  <c r="U346" i="10"/>
  <c r="BP345" i="12"/>
  <c r="U410" i="10"/>
  <c r="BP409" i="12"/>
  <c r="EK474" i="10"/>
  <c r="CD474" i="10"/>
  <c r="EC28" i="10"/>
  <c r="ED28" i="10" s="1"/>
  <c r="BV28" i="10"/>
  <c r="BW28" i="10" s="1"/>
  <c r="BX28" i="10" s="1"/>
  <c r="BU28" i="10" s="1"/>
  <c r="P28" i="10"/>
  <c r="Q28" i="10" s="1"/>
  <c r="N28" i="10" s="1"/>
  <c r="U113" i="10"/>
  <c r="BP112" i="12"/>
  <c r="EJ200" i="10"/>
  <c r="CC200" i="10"/>
  <c r="EJ280" i="10"/>
  <c r="CC280" i="10"/>
  <c r="EG355" i="10"/>
  <c r="BZ355" i="10"/>
  <c r="EJ428" i="10"/>
  <c r="CC428" i="10"/>
  <c r="U501" i="10"/>
  <c r="BP500" i="12"/>
  <c r="C513" i="1" s="1"/>
  <c r="EC104" i="10"/>
  <c r="ED104" i="10" s="1"/>
  <c r="BV104" i="10"/>
  <c r="BW104" i="10" s="1"/>
  <c r="BX104" i="10" s="1"/>
  <c r="BU104" i="10" s="1"/>
  <c r="P104" i="10"/>
  <c r="Q104" i="10" s="1"/>
  <c r="N104" i="10" s="1"/>
  <c r="EH191" i="10"/>
  <c r="CA191" i="10"/>
  <c r="BU271" i="12"/>
  <c r="R272" i="10"/>
  <c r="BL271" i="12"/>
  <c r="EJ347" i="10"/>
  <c r="CC347" i="10"/>
  <c r="EK420" i="10"/>
  <c r="CD420" i="10"/>
  <c r="U493" i="10"/>
  <c r="BP492" i="12"/>
  <c r="EH8" i="10"/>
  <c r="CA8" i="10"/>
  <c r="EC181" i="10"/>
  <c r="ED181" i="10" s="1"/>
  <c r="P181" i="10"/>
  <c r="Q181" i="10" s="1"/>
  <c r="N181" i="10" s="1"/>
  <c r="BV181" i="10"/>
  <c r="BW181" i="10" s="1"/>
  <c r="BX181" i="10" s="1"/>
  <c r="BU181" i="10" s="1"/>
  <c r="EG263" i="10"/>
  <c r="BZ263" i="10"/>
  <c r="EG339" i="10"/>
  <c r="BZ339" i="10"/>
  <c r="EJ412" i="10"/>
  <c r="CC412" i="10"/>
  <c r="EJ485" i="10"/>
  <c r="CC485" i="10"/>
  <c r="EH558" i="10"/>
  <c r="CA558" i="10"/>
  <c r="EK86" i="10"/>
  <c r="CD86" i="10"/>
  <c r="EC255" i="10"/>
  <c r="ED255" i="10" s="1"/>
  <c r="BV255" i="10"/>
  <c r="BW255" i="10" s="1"/>
  <c r="BX255" i="10" s="1"/>
  <c r="BU255" i="10" s="1"/>
  <c r="P255" i="10"/>
  <c r="Q255" i="10" s="1"/>
  <c r="N255" i="10" s="1"/>
  <c r="BU330" i="12"/>
  <c r="R331" i="10"/>
  <c r="BL330" i="12"/>
  <c r="BU403" i="12"/>
  <c r="R404" i="10"/>
  <c r="BL403" i="12"/>
  <c r="EC10" i="10"/>
  <c r="ED10" i="10" s="1"/>
  <c r="P10" i="10"/>
  <c r="Q10" i="10" s="1"/>
  <c r="N10" i="10" s="1"/>
  <c r="BV10" i="10"/>
  <c r="BW10" i="10" s="1"/>
  <c r="BX10" i="10" s="1"/>
  <c r="BU10" i="10" s="1"/>
  <c r="EJ97" i="10"/>
  <c r="CC97" i="10"/>
  <c r="U122" i="10"/>
  <c r="BP121" i="12"/>
  <c r="EK295" i="10"/>
  <c r="CD295" i="10"/>
  <c r="EC561" i="10"/>
  <c r="ED561" i="10" s="1"/>
  <c r="BV561" i="10"/>
  <c r="BW561" i="10" s="1"/>
  <c r="BX561" i="10" s="1"/>
  <c r="BU561" i="10" s="1"/>
  <c r="P561" i="10"/>
  <c r="Q561" i="10" s="1"/>
  <c r="N561" i="10" s="1"/>
  <c r="EJ195" i="10"/>
  <c r="CC195" i="10"/>
  <c r="BU488" i="12"/>
  <c r="R489" i="10"/>
  <c r="BL488" i="12"/>
  <c r="EG78" i="10"/>
  <c r="BZ78" i="10"/>
  <c r="EH407" i="10"/>
  <c r="CA407" i="10"/>
  <c r="EK177" i="10"/>
  <c r="CD177" i="10"/>
  <c r="EK479" i="10"/>
  <c r="CD479" i="10"/>
  <c r="C260" i="1"/>
  <c r="EC248" i="10"/>
  <c r="ED248" i="10" s="1"/>
  <c r="BV248" i="10"/>
  <c r="BW248" i="10" s="1"/>
  <c r="BX248" i="10" s="1"/>
  <c r="BU248" i="10" s="1"/>
  <c r="P248" i="10"/>
  <c r="Q248" i="10" s="1"/>
  <c r="N248" i="10" s="1"/>
  <c r="BU166" i="12"/>
  <c r="M167" i="10" s="1"/>
  <c r="R167" i="10"/>
  <c r="BL166" i="12"/>
  <c r="U560" i="10"/>
  <c r="BP559" i="12"/>
  <c r="EJ534" i="10"/>
  <c r="CC534" i="10"/>
  <c r="BU389" i="12"/>
  <c r="R390" i="10"/>
  <c r="BL389" i="12"/>
  <c r="EK497" i="10"/>
  <c r="CD497" i="10"/>
  <c r="U436" i="10"/>
  <c r="BP435" i="12"/>
  <c r="C448" i="1" s="1"/>
  <c r="EJ407" i="10"/>
  <c r="CC407" i="10"/>
  <c r="EG177" i="10"/>
  <c r="BZ177" i="10"/>
  <c r="BU478" i="12"/>
  <c r="R479" i="10"/>
  <c r="BL478" i="12"/>
  <c r="EG541" i="10"/>
  <c r="BZ541" i="10"/>
  <c r="EC167" i="10"/>
  <c r="ED167" i="10" s="1"/>
  <c r="BV167" i="10"/>
  <c r="BW167" i="10" s="1"/>
  <c r="BX167" i="10" s="1"/>
  <c r="BU167" i="10" s="1"/>
  <c r="P167" i="10"/>
  <c r="Q167" i="10" s="1"/>
  <c r="N167" i="10" s="1"/>
  <c r="CA560" i="10"/>
  <c r="EH560" i="10"/>
  <c r="BU533" i="12"/>
  <c r="R534" i="10"/>
  <c r="BL533" i="12"/>
  <c r="EJ390" i="10"/>
  <c r="CC390" i="10"/>
  <c r="BZ497" i="10"/>
  <c r="EG497" i="10"/>
  <c r="EJ436" i="10"/>
  <c r="CC436" i="10"/>
  <c r="EJ93" i="10"/>
  <c r="CC93" i="10"/>
  <c r="B430" i="1"/>
  <c r="D430" i="1" s="1"/>
  <c r="BV482" i="10"/>
  <c r="BW482" i="10" s="1"/>
  <c r="BX482" i="10" s="1"/>
  <c r="BU482" i="10" s="1"/>
  <c r="EC482" i="10"/>
  <c r="ED482" i="10" s="1"/>
  <c r="P482" i="10"/>
  <c r="Q482" i="10" s="1"/>
  <c r="N482" i="10" s="1"/>
  <c r="M482" i="10"/>
  <c r="EK364" i="10"/>
  <c r="CD364" i="10"/>
  <c r="U356" i="10"/>
  <c r="BP355" i="12"/>
  <c r="CA421" i="10"/>
  <c r="EH421" i="10"/>
  <c r="EK413" i="10"/>
  <c r="CD413" i="10"/>
  <c r="U15" i="10"/>
  <c r="BP14" i="12"/>
  <c r="EK495" i="10"/>
  <c r="CD495" i="10"/>
  <c r="BU378" i="12"/>
  <c r="R379" i="10"/>
  <c r="BL378" i="12"/>
  <c r="EJ332" i="10"/>
  <c r="CC332" i="10"/>
  <c r="BU304" i="12"/>
  <c r="R305" i="10"/>
  <c r="BL304" i="12"/>
  <c r="EG214" i="10"/>
  <c r="BZ214" i="10"/>
  <c r="BU153" i="12"/>
  <c r="R154" i="10"/>
  <c r="BL153" i="12"/>
  <c r="U204" i="10"/>
  <c r="BP203" i="12"/>
  <c r="EG49" i="10"/>
  <c r="BZ49" i="10"/>
  <c r="EK126" i="10"/>
  <c r="CD126" i="10"/>
  <c r="EC211" i="10"/>
  <c r="ED211" i="10" s="1"/>
  <c r="P211" i="10"/>
  <c r="Q211" i="10" s="1"/>
  <c r="N211" i="10" s="1"/>
  <c r="BV211" i="10"/>
  <c r="BW211" i="10" s="1"/>
  <c r="BX211" i="10" s="1"/>
  <c r="BU211" i="10" s="1"/>
  <c r="B450" i="1"/>
  <c r="D450" i="1" s="1"/>
  <c r="EJ106" i="10"/>
  <c r="CC106" i="10"/>
  <c r="EJ24" i="10"/>
  <c r="CC24" i="10"/>
  <c r="EK309" i="10"/>
  <c r="CD309" i="10"/>
  <c r="U520" i="10"/>
  <c r="BP519" i="12"/>
  <c r="BU257" i="12"/>
  <c r="R258" i="10"/>
  <c r="BL257" i="12"/>
  <c r="EK83" i="10"/>
  <c r="CD83" i="10"/>
  <c r="EK370" i="10"/>
  <c r="CD370" i="10"/>
  <c r="BU116" i="12"/>
  <c r="M117" i="10" s="1"/>
  <c r="R117" i="10"/>
  <c r="BL116" i="12"/>
  <c r="B129" i="1" s="1"/>
  <c r="D129" i="1" s="1"/>
  <c r="EC247" i="10"/>
  <c r="ED247" i="10" s="1"/>
  <c r="BV247" i="10"/>
  <c r="BW247" i="10" s="1"/>
  <c r="BX247" i="10" s="1"/>
  <c r="BU247" i="10" s="1"/>
  <c r="P247" i="10"/>
  <c r="Q247" i="10" s="1"/>
  <c r="N247" i="10" s="1"/>
  <c r="U506" i="10"/>
  <c r="BP505" i="12"/>
  <c r="C169" i="1"/>
  <c r="EJ62" i="10"/>
  <c r="CC62" i="10"/>
  <c r="EJ529" i="10"/>
  <c r="CC529" i="10"/>
  <c r="EJ448" i="10"/>
  <c r="CC448" i="10"/>
  <c r="EC440" i="10"/>
  <c r="ED440" i="10" s="1"/>
  <c r="P440" i="10"/>
  <c r="Q440" i="10" s="1"/>
  <c r="BV440" i="10"/>
  <c r="BW440" i="10" s="1"/>
  <c r="BX440" i="10" s="1"/>
  <c r="BU440" i="10" s="1"/>
  <c r="M440" i="10"/>
  <c r="EC424" i="10"/>
  <c r="ED424" i="10" s="1"/>
  <c r="P424" i="10"/>
  <c r="Q424" i="10" s="1"/>
  <c r="N424" i="10" s="1"/>
  <c r="BV424" i="10"/>
  <c r="BW424" i="10" s="1"/>
  <c r="BX424" i="10" s="1"/>
  <c r="BU424" i="10" s="1"/>
  <c r="M424" i="10"/>
  <c r="EK79" i="10"/>
  <c r="CD79" i="10"/>
  <c r="B548" i="1"/>
  <c r="D548" i="1" s="1"/>
  <c r="EC536" i="10"/>
  <c r="ED536" i="10" s="1"/>
  <c r="BV536" i="10"/>
  <c r="BW536" i="10" s="1"/>
  <c r="BX536" i="10" s="1"/>
  <c r="BU536" i="10" s="1"/>
  <c r="P536" i="10"/>
  <c r="Q536" i="10" s="1"/>
  <c r="N536" i="10" s="1"/>
  <c r="M536" i="10"/>
  <c r="U513" i="10"/>
  <c r="BP512" i="12"/>
  <c r="EC352" i="10"/>
  <c r="ED352" i="10" s="1"/>
  <c r="P352" i="10"/>
  <c r="Q352" i="10" s="1"/>
  <c r="N352" i="10" s="1"/>
  <c r="BV352" i="10"/>
  <c r="BW352" i="10" s="1"/>
  <c r="BX352" i="10" s="1"/>
  <c r="BU352" i="10" s="1"/>
  <c r="EH205" i="10"/>
  <c r="CA205" i="10"/>
  <c r="U165" i="10"/>
  <c r="BP164" i="12"/>
  <c r="B244" i="1"/>
  <c r="D244" i="1" s="1"/>
  <c r="C244" i="1"/>
  <c r="U61" i="10"/>
  <c r="BP60" i="12"/>
  <c r="C73" i="1" s="1"/>
  <c r="U322" i="10"/>
  <c r="BP321" i="12"/>
  <c r="U72" i="10"/>
  <c r="BP71" i="12"/>
  <c r="C84" i="1" s="1"/>
  <c r="EH63" i="10"/>
  <c r="CA63" i="10"/>
  <c r="B323" i="1"/>
  <c r="D323" i="1" s="1"/>
  <c r="EC384" i="10"/>
  <c r="ED384" i="10" s="1"/>
  <c r="P384" i="10"/>
  <c r="Q384" i="10" s="1"/>
  <c r="N384" i="10" s="1"/>
  <c r="BV384" i="10"/>
  <c r="BW384" i="10" s="1"/>
  <c r="BX384" i="10" s="1"/>
  <c r="BU384" i="10" s="1"/>
  <c r="M384" i="10"/>
  <c r="U303" i="10"/>
  <c r="BP302" i="12"/>
  <c r="C315" i="1" s="1"/>
  <c r="CA130" i="10"/>
  <c r="EH130" i="10"/>
  <c r="C308" i="1"/>
  <c r="BU171" i="12"/>
  <c r="R172" i="10"/>
  <c r="BL171" i="12"/>
  <c r="U458" i="10"/>
  <c r="BP457" i="12"/>
  <c r="BU482" i="12"/>
  <c r="M483" i="10" s="1"/>
  <c r="R483" i="10"/>
  <c r="BL482" i="12"/>
  <c r="BU243" i="12"/>
  <c r="R244" i="10"/>
  <c r="BL243" i="12"/>
  <c r="EG385" i="10"/>
  <c r="BZ385" i="10"/>
  <c r="EK461" i="10"/>
  <c r="CD461" i="10"/>
  <c r="EH88" i="10"/>
  <c r="CA88" i="10"/>
  <c r="C483" i="1"/>
  <c r="EG361" i="10"/>
  <c r="BZ361" i="10"/>
  <c r="B192" i="1"/>
  <c r="D192" i="1" s="1"/>
  <c r="EJ141" i="10"/>
  <c r="CC141" i="10"/>
  <c r="EG189" i="10"/>
  <c r="BZ189" i="10"/>
  <c r="BU178" i="12"/>
  <c r="R179" i="10"/>
  <c r="BL178" i="12"/>
  <c r="EK170" i="10"/>
  <c r="CD170" i="10"/>
  <c r="U245" i="10"/>
  <c r="BP244" i="12"/>
  <c r="EG333" i="10"/>
  <c r="BZ333" i="10"/>
  <c r="C59" i="1"/>
  <c r="U523" i="10"/>
  <c r="BP522" i="12"/>
  <c r="EC396" i="10"/>
  <c r="ED396" i="10" s="1"/>
  <c r="P396" i="10"/>
  <c r="Q396" i="10" s="1"/>
  <c r="N396" i="10" s="1"/>
  <c r="BV396" i="10"/>
  <c r="BW396" i="10" s="1"/>
  <c r="BX396" i="10" s="1"/>
  <c r="BU396" i="10" s="1"/>
  <c r="U435" i="10"/>
  <c r="BP434" i="12"/>
  <c r="BU359" i="12"/>
  <c r="R360" i="10"/>
  <c r="BL359" i="12"/>
  <c r="EH468" i="10"/>
  <c r="CA468" i="10"/>
  <c r="BU214" i="12"/>
  <c r="R215" i="10"/>
  <c r="BL214" i="12"/>
  <c r="BU199" i="12"/>
  <c r="R200" i="10"/>
  <c r="BL199" i="12"/>
  <c r="EC191" i="10"/>
  <c r="ED191" i="10" s="1"/>
  <c r="BV191" i="10"/>
  <c r="BW191" i="10" s="1"/>
  <c r="BX191" i="10" s="1"/>
  <c r="BU191" i="10" s="1"/>
  <c r="P191" i="10"/>
  <c r="Q191" i="10" s="1"/>
  <c r="N191" i="10" s="1"/>
  <c r="EC263" i="10"/>
  <c r="ED263" i="10" s="1"/>
  <c r="BV263" i="10"/>
  <c r="BW263" i="10" s="1"/>
  <c r="BX263" i="10" s="1"/>
  <c r="BU263" i="10" s="1"/>
  <c r="P263" i="10"/>
  <c r="Q263" i="10" s="1"/>
  <c r="N263" i="10" s="1"/>
  <c r="BU96" i="12"/>
  <c r="R97" i="10"/>
  <c r="BL96" i="12"/>
  <c r="U78" i="10"/>
  <c r="BP77" i="12"/>
  <c r="EJ265" i="10"/>
  <c r="CC265" i="10"/>
  <c r="EJ67" i="10"/>
  <c r="CC67" i="10"/>
  <c r="EJ131" i="10"/>
  <c r="CC131" i="10"/>
  <c r="C208" i="1"/>
  <c r="EC29" i="10"/>
  <c r="ED29" i="10" s="1"/>
  <c r="P29" i="10"/>
  <c r="Q29" i="10" s="1"/>
  <c r="N29" i="10" s="1"/>
  <c r="BV29" i="10"/>
  <c r="BW29" i="10" s="1"/>
  <c r="BX29" i="10" s="1"/>
  <c r="BU29" i="10" s="1"/>
  <c r="M29" i="10"/>
  <c r="BU92" i="12"/>
  <c r="R93" i="10"/>
  <c r="BL92" i="12"/>
  <c r="EK158" i="10"/>
  <c r="CD158" i="10"/>
  <c r="EH223" i="10"/>
  <c r="CA223" i="10"/>
  <c r="EG290" i="10"/>
  <c r="BZ290" i="10"/>
  <c r="U354" i="10"/>
  <c r="BP353" i="12"/>
  <c r="C366" i="1" s="1"/>
  <c r="EK418" i="10"/>
  <c r="CD418" i="10"/>
  <c r="EC546" i="10"/>
  <c r="ED546" i="10" s="1"/>
  <c r="BV546" i="10"/>
  <c r="BW546" i="10" s="1"/>
  <c r="BX546" i="10" s="1"/>
  <c r="BU546" i="10" s="1"/>
  <c r="P546" i="10"/>
  <c r="Q546" i="10" s="1"/>
  <c r="N546" i="10" s="1"/>
  <c r="M546" i="10"/>
  <c r="U39" i="10"/>
  <c r="BP38" i="12"/>
  <c r="EJ124" i="10"/>
  <c r="CC124" i="10"/>
  <c r="EJ210" i="10"/>
  <c r="CC210" i="10"/>
  <c r="U291" i="10"/>
  <c r="BP290" i="12"/>
  <c r="C303" i="1" s="1"/>
  <c r="U364" i="10"/>
  <c r="BP363" i="12"/>
  <c r="C376" i="1" s="1"/>
  <c r="EH437" i="10"/>
  <c r="CA437" i="10"/>
  <c r="EC30" i="10"/>
  <c r="ED30" i="10" s="1"/>
  <c r="P30" i="10"/>
  <c r="Q30" i="10" s="1"/>
  <c r="N30" i="10" s="1"/>
  <c r="BV30" i="10"/>
  <c r="BW30" i="10" s="1"/>
  <c r="BX30" i="10" s="1"/>
  <c r="BU30" i="10" s="1"/>
  <c r="EG114" i="10"/>
  <c r="BZ114" i="10"/>
  <c r="EK201" i="10"/>
  <c r="CD201" i="10"/>
  <c r="BU281" i="12"/>
  <c r="R282" i="10"/>
  <c r="BL281" i="12"/>
  <c r="EH356" i="10"/>
  <c r="CA356" i="10"/>
  <c r="EJ429" i="10"/>
  <c r="CC429" i="10"/>
  <c r="EG502" i="10"/>
  <c r="BZ502" i="10"/>
  <c r="C32" i="1"/>
  <c r="EC105" i="10"/>
  <c r="ED105" i="10" s="1"/>
  <c r="BV105" i="10"/>
  <c r="BW105" i="10" s="1"/>
  <c r="BX105" i="10" s="1"/>
  <c r="BU105" i="10" s="1"/>
  <c r="P105" i="10"/>
  <c r="Q105" i="10" s="1"/>
  <c r="N105" i="10" s="1"/>
  <c r="M105" i="10"/>
  <c r="BU191" i="12"/>
  <c r="R192" i="10"/>
  <c r="BL191" i="12"/>
  <c r="EG274" i="10"/>
  <c r="BZ274" i="10"/>
  <c r="EG348" i="10"/>
  <c r="BZ348" i="10"/>
  <c r="EK421" i="10"/>
  <c r="CD421" i="10"/>
  <c r="CA494" i="10"/>
  <c r="EH494" i="10"/>
  <c r="EJ9" i="10"/>
  <c r="CC9" i="10"/>
  <c r="EC183" i="10"/>
  <c r="ED183" i="10" s="1"/>
  <c r="BV183" i="10"/>
  <c r="BW183" i="10" s="1"/>
  <c r="BX183" i="10" s="1"/>
  <c r="BU183" i="10" s="1"/>
  <c r="P183" i="10"/>
  <c r="Q183" i="10" s="1"/>
  <c r="N183" i="10" s="1"/>
  <c r="M183" i="10"/>
  <c r="EH266" i="10"/>
  <c r="CA266" i="10"/>
  <c r="U340" i="10"/>
  <c r="BP339" i="12"/>
  <c r="EG413" i="10"/>
  <c r="BZ413" i="10"/>
  <c r="EJ23" i="10"/>
  <c r="CC23" i="10"/>
  <c r="U108" i="10"/>
  <c r="BP107" i="12"/>
  <c r="C120" i="1" s="1"/>
  <c r="EH152" i="10"/>
  <c r="CA152" i="10"/>
  <c r="B325" i="1"/>
  <c r="D325" i="1" s="1"/>
  <c r="EC460" i="10"/>
  <c r="ED460" i="10" s="1"/>
  <c r="P460" i="10"/>
  <c r="Q460" i="10" s="1"/>
  <c r="N460" i="10" s="1"/>
  <c r="BV460" i="10"/>
  <c r="BW460" i="10" s="1"/>
  <c r="BX460" i="10" s="1"/>
  <c r="BU460" i="10" s="1"/>
  <c r="EH15" i="10"/>
  <c r="CA15" i="10"/>
  <c r="U218" i="10"/>
  <c r="BP217" i="12"/>
  <c r="U369" i="10"/>
  <c r="BP368" i="12"/>
  <c r="CA505" i="10"/>
  <c r="EH505" i="10"/>
  <c r="EJ102" i="10"/>
  <c r="CC102" i="10"/>
  <c r="EH278" i="10"/>
  <c r="CA278" i="10"/>
  <c r="C563" i="1"/>
  <c r="EC551" i="10"/>
  <c r="ED551" i="10" s="1"/>
  <c r="BV551" i="10"/>
  <c r="BW551" i="10" s="1"/>
  <c r="BX551" i="10" s="1"/>
  <c r="BU551" i="10" s="1"/>
  <c r="P551" i="10"/>
  <c r="Q551" i="10" s="1"/>
  <c r="EH199" i="10"/>
  <c r="CA199" i="10"/>
  <c r="BU352" i="12"/>
  <c r="R353" i="10"/>
  <c r="BL352" i="12"/>
  <c r="EG495" i="10"/>
  <c r="BZ495" i="10"/>
  <c r="EK111" i="10"/>
  <c r="CD111" i="10"/>
  <c r="U286" i="10"/>
  <c r="BP285" i="12"/>
  <c r="C298" i="1" s="1"/>
  <c r="EK432" i="10"/>
  <c r="CD432" i="10"/>
  <c r="C565" i="1"/>
  <c r="EC399" i="10"/>
  <c r="ED399" i="10" s="1"/>
  <c r="BV399" i="10"/>
  <c r="BW399" i="10" s="1"/>
  <c r="BX399" i="10" s="1"/>
  <c r="BU399" i="10" s="1"/>
  <c r="P399" i="10"/>
  <c r="Q399" i="10" s="1"/>
  <c r="N399" i="10" s="1"/>
  <c r="U268" i="10"/>
  <c r="BP267" i="12"/>
  <c r="U89" i="10"/>
  <c r="BP88" i="12"/>
  <c r="EG500" i="10"/>
  <c r="BZ500" i="10"/>
  <c r="CD379" i="10"/>
  <c r="EK379" i="10"/>
  <c r="EH230" i="10"/>
  <c r="CA230" i="10"/>
  <c r="CA121" i="10"/>
  <c r="EH121" i="10"/>
  <c r="EC36" i="10"/>
  <c r="ED36" i="10" s="1"/>
  <c r="BV36" i="10"/>
  <c r="BW36" i="10" s="1"/>
  <c r="BX36" i="10" s="1"/>
  <c r="BU36" i="10" s="1"/>
  <c r="P36" i="10"/>
  <c r="Q36" i="10" s="1"/>
  <c r="N36" i="10" s="1"/>
  <c r="CA57" i="10"/>
  <c r="EH57" i="10"/>
  <c r="EK349" i="10"/>
  <c r="CD349" i="10"/>
  <c r="EG119" i="10"/>
  <c r="BZ119" i="10"/>
  <c r="EG332" i="10"/>
  <c r="BZ332" i="10"/>
  <c r="EJ46" i="10"/>
  <c r="CC46" i="10"/>
  <c r="EJ388" i="10"/>
  <c r="CC388" i="10"/>
  <c r="B144" i="1"/>
  <c r="D144" i="1" s="1"/>
  <c r="C144" i="1"/>
  <c r="EC444" i="10"/>
  <c r="ED444" i="10" s="1"/>
  <c r="P444" i="10"/>
  <c r="Q444" i="10" s="1"/>
  <c r="N444" i="10" s="1"/>
  <c r="BV444" i="10"/>
  <c r="BW444" i="10" s="1"/>
  <c r="BX444" i="10" s="1"/>
  <c r="BU444" i="10" s="1"/>
  <c r="M444" i="10"/>
  <c r="EG220" i="10"/>
  <c r="BZ220" i="10"/>
  <c r="EJ508" i="10"/>
  <c r="CC508" i="10"/>
  <c r="EJ304" i="10"/>
  <c r="CC304" i="10"/>
  <c r="EK143" i="10"/>
  <c r="CD143" i="10"/>
  <c r="EJ308" i="10"/>
  <c r="CC308" i="10"/>
  <c r="BU542" i="12"/>
  <c r="M543" i="10" s="1"/>
  <c r="R543" i="10"/>
  <c r="BL542" i="12"/>
  <c r="B555" i="1" s="1"/>
  <c r="D555" i="1" s="1"/>
  <c r="EC305" i="10"/>
  <c r="ED305" i="10" s="1"/>
  <c r="BV305" i="10"/>
  <c r="BW305" i="10" s="1"/>
  <c r="BX305" i="10" s="1"/>
  <c r="BU305" i="10" s="1"/>
  <c r="P305" i="10"/>
  <c r="Q305" i="10" s="1"/>
  <c r="N305" i="10" s="1"/>
  <c r="M305" i="10"/>
  <c r="BU186" i="12"/>
  <c r="R187" i="10"/>
  <c r="BL186" i="12"/>
  <c r="EJ382" i="10"/>
  <c r="CC382" i="10"/>
  <c r="EJ528" i="10"/>
  <c r="CC528" i="10"/>
  <c r="EK136" i="10"/>
  <c r="CD136" i="10"/>
  <c r="BU300" i="12"/>
  <c r="M301" i="10" s="1"/>
  <c r="R301" i="10"/>
  <c r="BL300" i="12"/>
  <c r="B313" i="1" s="1"/>
  <c r="D313" i="1" s="1"/>
  <c r="EG447" i="10"/>
  <c r="BZ447" i="10"/>
  <c r="B53" i="1"/>
  <c r="D53" i="1" s="1"/>
  <c r="EC214" i="10"/>
  <c r="ED214" i="10" s="1"/>
  <c r="P214" i="10"/>
  <c r="Q214" i="10" s="1"/>
  <c r="N214" i="10" s="1"/>
  <c r="BV214" i="10"/>
  <c r="BW214" i="10" s="1"/>
  <c r="BX214" i="10" s="1"/>
  <c r="BU214" i="10" s="1"/>
  <c r="M214" i="10"/>
  <c r="U366" i="10"/>
  <c r="BP365" i="12"/>
  <c r="U512" i="10"/>
  <c r="BP511" i="12"/>
  <c r="EJ118" i="10"/>
  <c r="CC118" i="10"/>
  <c r="EK285" i="10"/>
  <c r="CD285" i="10"/>
  <c r="U431" i="10"/>
  <c r="BP430" i="12"/>
  <c r="C443" i="1" s="1"/>
  <c r="EG129" i="10"/>
  <c r="BZ129" i="10"/>
  <c r="EC70" i="10"/>
  <c r="ED70" i="10" s="1"/>
  <c r="P70" i="10"/>
  <c r="Q70" i="10" s="1"/>
  <c r="N70" i="10" s="1"/>
  <c r="BV70" i="10"/>
  <c r="BW70" i="10" s="1"/>
  <c r="BX70" i="10" s="1"/>
  <c r="BU70" i="10" s="1"/>
  <c r="M70" i="10"/>
  <c r="U154" i="10"/>
  <c r="BP153" i="12"/>
  <c r="EJ48" i="10"/>
  <c r="CC48" i="10"/>
  <c r="EG323" i="10"/>
  <c r="BZ323" i="10"/>
  <c r="U209" i="10"/>
  <c r="BP208" i="12"/>
  <c r="C221" i="1" s="1"/>
  <c r="BU342" i="12"/>
  <c r="M343" i="10" s="1"/>
  <c r="R343" i="10"/>
  <c r="BL342" i="12"/>
  <c r="B355" i="1" s="1"/>
  <c r="D355" i="1" s="1"/>
  <c r="U11" i="10"/>
  <c r="BP10" i="12"/>
  <c r="C23" i="1" s="1"/>
  <c r="C87" i="1"/>
  <c r="EC139" i="10"/>
  <c r="ED139" i="10" s="1"/>
  <c r="P139" i="10"/>
  <c r="Q139" i="10" s="1"/>
  <c r="N139" i="10" s="1"/>
  <c r="BV139" i="10"/>
  <c r="BW139" i="10" s="1"/>
  <c r="BX139" i="10" s="1"/>
  <c r="BU139" i="10" s="1"/>
  <c r="EH204" i="10"/>
  <c r="CA204" i="10"/>
  <c r="BU36" i="12"/>
  <c r="R37" i="10"/>
  <c r="BL36" i="12"/>
  <c r="BU100" i="12"/>
  <c r="R101" i="10"/>
  <c r="BL100" i="12"/>
  <c r="EK166" i="10"/>
  <c r="CD166" i="10"/>
  <c r="BU230" i="12"/>
  <c r="M231" i="10" s="1"/>
  <c r="R231" i="10"/>
  <c r="BL230" i="12"/>
  <c r="B243" i="1" s="1"/>
  <c r="D243" i="1" s="1"/>
  <c r="EJ298" i="10"/>
  <c r="CC298" i="10"/>
  <c r="EC426" i="10"/>
  <c r="ED426" i="10" s="1"/>
  <c r="BV426" i="10"/>
  <c r="BW426" i="10" s="1"/>
  <c r="BX426" i="10" s="1"/>
  <c r="BU426" i="10" s="1"/>
  <c r="P426" i="10"/>
  <c r="Q426" i="10" s="1"/>
  <c r="N426" i="10" s="1"/>
  <c r="M426" i="10"/>
  <c r="EG490" i="10"/>
  <c r="BZ490" i="10"/>
  <c r="EJ554" i="10"/>
  <c r="CC554" i="10"/>
  <c r="BU48" i="12"/>
  <c r="R49" i="10"/>
  <c r="BL48" i="12"/>
  <c r="EG135" i="10"/>
  <c r="BZ135" i="10"/>
  <c r="CA222" i="10"/>
  <c r="EH222" i="10"/>
  <c r="EH300" i="10"/>
  <c r="CA300" i="10"/>
  <c r="EC446" i="10"/>
  <c r="ED446" i="10" s="1"/>
  <c r="BV446" i="10"/>
  <c r="BW446" i="10" s="1"/>
  <c r="BX446" i="10" s="1"/>
  <c r="BU446" i="10" s="1"/>
  <c r="P446" i="10"/>
  <c r="Q446" i="10" s="1"/>
  <c r="N446" i="10" s="1"/>
  <c r="M446" i="10"/>
  <c r="BU518" i="12"/>
  <c r="R519" i="10"/>
  <c r="BL518" i="12"/>
  <c r="EG40" i="10"/>
  <c r="BZ40" i="10"/>
  <c r="EJ126" i="10"/>
  <c r="CC126" i="10"/>
  <c r="EH211" i="10"/>
  <c r="CA211" i="10"/>
  <c r="EK292" i="10"/>
  <c r="CD292" i="10"/>
  <c r="EJ365" i="10"/>
  <c r="CC365" i="10"/>
  <c r="EC511" i="10"/>
  <c r="ED511" i="10" s="1"/>
  <c r="P511" i="10"/>
  <c r="Q511" i="10" s="1"/>
  <c r="N511" i="10" s="1"/>
  <c r="BV511" i="10"/>
  <c r="BW511" i="10" s="1"/>
  <c r="BX511" i="10" s="1"/>
  <c r="BU511" i="10" s="1"/>
  <c r="U31" i="10"/>
  <c r="BP30" i="12"/>
  <c r="EJ116" i="10"/>
  <c r="CC116" i="10"/>
  <c r="EJ202" i="10"/>
  <c r="CC202" i="10"/>
  <c r="BU283" i="12"/>
  <c r="R284" i="10"/>
  <c r="BL283" i="12"/>
  <c r="B296" i="1" s="1"/>
  <c r="D296" i="1" s="1"/>
  <c r="EJ357" i="10"/>
  <c r="CC357" i="10"/>
  <c r="U430" i="10"/>
  <c r="BP429" i="12"/>
  <c r="EC22" i="10"/>
  <c r="ED22" i="10" s="1"/>
  <c r="P22" i="10"/>
  <c r="Q22" i="10" s="1"/>
  <c r="N22" i="10" s="1"/>
  <c r="BV22" i="10"/>
  <c r="BW22" i="10" s="1"/>
  <c r="BX22" i="10" s="1"/>
  <c r="BU22" i="10" s="1"/>
  <c r="BU105" i="12"/>
  <c r="R106" i="10"/>
  <c r="BL105" i="12"/>
  <c r="EK193" i="10"/>
  <c r="CD193" i="10"/>
  <c r="EG275" i="10"/>
  <c r="BZ275" i="10"/>
  <c r="EG422" i="10"/>
  <c r="BZ422" i="10"/>
  <c r="EJ33" i="10"/>
  <c r="CC33" i="10"/>
  <c r="BU172" i="12"/>
  <c r="M173" i="10" s="1"/>
  <c r="R173" i="10"/>
  <c r="BL172" i="12"/>
  <c r="B484" i="1"/>
  <c r="D484" i="1" s="1"/>
  <c r="B250" i="1"/>
  <c r="D250" i="1" s="1"/>
  <c r="EC238" i="10"/>
  <c r="ED238" i="10" s="1"/>
  <c r="P238" i="10"/>
  <c r="Q238" i="10" s="1"/>
  <c r="N238" i="10" s="1"/>
  <c r="BV238" i="10"/>
  <c r="BW238" i="10" s="1"/>
  <c r="BX238" i="10" s="1"/>
  <c r="BU238" i="10" s="1"/>
  <c r="M238" i="10"/>
  <c r="U518" i="10"/>
  <c r="BP517" i="12"/>
  <c r="U297" i="10"/>
  <c r="BP296" i="12"/>
  <c r="U24" i="10"/>
  <c r="BP23" i="12"/>
  <c r="EH372" i="10"/>
  <c r="CA372" i="10"/>
  <c r="EK140" i="10"/>
  <c r="CD140" i="10"/>
  <c r="EJ451" i="10"/>
  <c r="CC451" i="10"/>
  <c r="EC163" i="10"/>
  <c r="ED163" i="10" s="1"/>
  <c r="P163" i="10"/>
  <c r="Q163" i="10" s="1"/>
  <c r="N163" i="10" s="1"/>
  <c r="BV163" i="10"/>
  <c r="BW163" i="10" s="1"/>
  <c r="BX163" i="10" s="1"/>
  <c r="BU163" i="10" s="1"/>
  <c r="BU416" i="12"/>
  <c r="R417" i="10"/>
  <c r="BL416" i="12"/>
  <c r="BU287" i="12"/>
  <c r="R288" i="10"/>
  <c r="BL287" i="12"/>
  <c r="EJ58" i="10"/>
  <c r="CC58" i="10"/>
  <c r="EJ309" i="10"/>
  <c r="CC309" i="10"/>
  <c r="EJ455" i="10"/>
  <c r="CC455" i="10"/>
  <c r="EK50" i="10"/>
  <c r="CD50" i="10"/>
  <c r="C236" i="1"/>
  <c r="B236" i="1"/>
  <c r="D236" i="1" s="1"/>
  <c r="EC374" i="10"/>
  <c r="ED374" i="10" s="1"/>
  <c r="BV374" i="10"/>
  <c r="BW374" i="10" s="1"/>
  <c r="BX374" i="10" s="1"/>
  <c r="BU374" i="10" s="1"/>
  <c r="P374" i="10"/>
  <c r="Q374" i="10" s="1"/>
  <c r="N374" i="10" s="1"/>
  <c r="CA520" i="10"/>
  <c r="EH520" i="10"/>
  <c r="U127" i="10"/>
  <c r="BP126" i="12"/>
  <c r="U293" i="10"/>
  <c r="BP292" i="12"/>
  <c r="BU438" i="12"/>
  <c r="R439" i="10"/>
  <c r="BL438" i="12"/>
  <c r="U32" i="10"/>
  <c r="BP31" i="12"/>
  <c r="C44" i="1" s="1"/>
  <c r="U203" i="10"/>
  <c r="BP202" i="12"/>
  <c r="C215" i="1" s="1"/>
  <c r="B370" i="1"/>
  <c r="D370" i="1" s="1"/>
  <c r="C370" i="1"/>
  <c r="EC44" i="10"/>
  <c r="ED44" i="10" s="1"/>
  <c r="BV44" i="10"/>
  <c r="BW44" i="10" s="1"/>
  <c r="BX44" i="10" s="1"/>
  <c r="BU44" i="10" s="1"/>
  <c r="P44" i="10"/>
  <c r="Q44" i="10" s="1"/>
  <c r="N44" i="10" s="1"/>
  <c r="M44" i="10"/>
  <c r="U194" i="10"/>
  <c r="BP193" i="12"/>
  <c r="U488" i="10"/>
  <c r="BP487" i="12"/>
  <c r="EK258" i="10"/>
  <c r="CD258" i="10"/>
  <c r="BU461" i="12"/>
  <c r="R462" i="10"/>
  <c r="BL461" i="12"/>
  <c r="U524" i="10"/>
  <c r="BP523" i="12"/>
  <c r="C536" i="1" s="1"/>
  <c r="EK66" i="10"/>
  <c r="CD66" i="10"/>
  <c r="EC19" i="10"/>
  <c r="ED19" i="10" s="1"/>
  <c r="P19" i="10"/>
  <c r="Q19" i="10" s="1"/>
  <c r="N19" i="10" s="1"/>
  <c r="BV19" i="10"/>
  <c r="BW19" i="10" s="1"/>
  <c r="BX19" i="10" s="1"/>
  <c r="BU19" i="10" s="1"/>
  <c r="EG83" i="10"/>
  <c r="BZ83" i="10"/>
  <c r="U148" i="10"/>
  <c r="BP147" i="12"/>
  <c r="BU211" i="12"/>
  <c r="R212" i="10"/>
  <c r="BL211" i="12"/>
  <c r="EK45" i="10"/>
  <c r="CD45" i="10"/>
  <c r="BU108" i="12"/>
  <c r="M109" i="10" s="1"/>
  <c r="R109" i="10"/>
  <c r="BL108" i="12"/>
  <c r="B121" i="1" s="1"/>
  <c r="D121" i="1" s="1"/>
  <c r="EK174" i="10"/>
  <c r="CD174" i="10"/>
  <c r="C318" i="1"/>
  <c r="B318" i="1"/>
  <c r="D318" i="1" s="1"/>
  <c r="EC306" i="10"/>
  <c r="ED306" i="10" s="1"/>
  <c r="BV306" i="10"/>
  <c r="BW306" i="10" s="1"/>
  <c r="BX306" i="10" s="1"/>
  <c r="BU306" i="10" s="1"/>
  <c r="P306" i="10"/>
  <c r="Q306" i="10" s="1"/>
  <c r="N306" i="10" s="1"/>
  <c r="M306" i="10"/>
  <c r="EG370" i="10"/>
  <c r="BZ370" i="10"/>
  <c r="U434" i="10"/>
  <c r="BP433" i="12"/>
  <c r="CA498" i="10"/>
  <c r="EH498" i="10"/>
  <c r="BU561" i="12"/>
  <c r="R562" i="10"/>
  <c r="BL561" i="12"/>
  <c r="B574" i="1" s="1"/>
  <c r="D574" i="1" s="1"/>
  <c r="BU59" i="12"/>
  <c r="M60" i="10" s="1"/>
  <c r="R60" i="10"/>
  <c r="BL59" i="12"/>
  <c r="B72" i="1" s="1"/>
  <c r="D72" i="1" s="1"/>
  <c r="CA146" i="10"/>
  <c r="EH146" i="10"/>
  <c r="EC27" i="10"/>
  <c r="ED27" i="10" s="1"/>
  <c r="P27" i="10"/>
  <c r="Q27" i="10" s="1"/>
  <c r="N27" i="10" s="1"/>
  <c r="BV27" i="10"/>
  <c r="BW27" i="10" s="1"/>
  <c r="BX27" i="10" s="1"/>
  <c r="BU27" i="10" s="1"/>
  <c r="EG91" i="10"/>
  <c r="BZ91" i="10"/>
  <c r="U156" i="10"/>
  <c r="BP155" i="12"/>
  <c r="BU220" i="12"/>
  <c r="R221" i="10"/>
  <c r="BL220" i="12"/>
  <c r="EK53" i="10"/>
  <c r="CD53" i="10"/>
  <c r="EJ117" i="10"/>
  <c r="CC117" i="10"/>
  <c r="EK182" i="10"/>
  <c r="CD182" i="10"/>
  <c r="B326" i="1"/>
  <c r="D326" i="1" s="1"/>
  <c r="EC314" i="10"/>
  <c r="ED314" i="10" s="1"/>
  <c r="BV314" i="10"/>
  <c r="BW314" i="10" s="1"/>
  <c r="BX314" i="10" s="1"/>
  <c r="BU314" i="10" s="1"/>
  <c r="P314" i="10"/>
  <c r="Q314" i="10" s="1"/>
  <c r="N314" i="10" s="1"/>
  <c r="M314" i="10"/>
  <c r="EG378" i="10"/>
  <c r="BZ378" i="10"/>
  <c r="U442" i="10"/>
  <c r="BP441" i="12"/>
  <c r="CA506" i="10"/>
  <c r="EH506" i="10"/>
  <c r="EK6" i="10"/>
  <c r="CD6" i="10"/>
  <c r="EK71" i="10"/>
  <c r="CD71" i="10"/>
  <c r="EH157" i="10"/>
  <c r="CA157" i="10"/>
  <c r="C254" i="1"/>
  <c r="EC318" i="10"/>
  <c r="ED318" i="10" s="1"/>
  <c r="BV318" i="10"/>
  <c r="BW318" i="10" s="1"/>
  <c r="BX318" i="10" s="1"/>
  <c r="BU318" i="10" s="1"/>
  <c r="P318" i="10"/>
  <c r="Q318" i="10" s="1"/>
  <c r="N318" i="10" s="1"/>
  <c r="U391" i="10"/>
  <c r="BP390" i="12"/>
  <c r="EJ464" i="10"/>
  <c r="CC464" i="10"/>
  <c r="EJ537" i="10"/>
  <c r="CC537" i="10"/>
  <c r="BU61" i="12"/>
  <c r="R62" i="10"/>
  <c r="BL61" i="12"/>
  <c r="U147" i="10"/>
  <c r="BP146" i="12"/>
  <c r="C159" i="1" s="1"/>
  <c r="EK234" i="10"/>
  <c r="CD234" i="10"/>
  <c r="B322" i="1"/>
  <c r="D322" i="1" s="1"/>
  <c r="EC383" i="10"/>
  <c r="ED383" i="10" s="1"/>
  <c r="BV383" i="10"/>
  <c r="BW383" i="10" s="1"/>
  <c r="BX383" i="10" s="1"/>
  <c r="BU383" i="10" s="1"/>
  <c r="P383" i="10"/>
  <c r="Q383" i="10" s="1"/>
  <c r="N383" i="10" s="1"/>
  <c r="BU455" i="12"/>
  <c r="R456" i="10"/>
  <c r="BL455" i="12"/>
  <c r="BU528" i="12"/>
  <c r="R529" i="10"/>
  <c r="BL528" i="12"/>
  <c r="EG52" i="10"/>
  <c r="BZ52" i="10"/>
  <c r="EK137" i="10"/>
  <c r="CD137" i="10"/>
  <c r="EH225" i="10"/>
  <c r="CA225" i="10"/>
  <c r="U302" i="10"/>
  <c r="BP301" i="12"/>
  <c r="B460" i="1"/>
  <c r="D460" i="1" s="1"/>
  <c r="EC448" i="10"/>
  <c r="ED448" i="10" s="1"/>
  <c r="P448" i="10"/>
  <c r="Q448" i="10" s="1"/>
  <c r="N448" i="10" s="1"/>
  <c r="BV448" i="10"/>
  <c r="BW448" i="10" s="1"/>
  <c r="BX448" i="10" s="1"/>
  <c r="BU448" i="10" s="1"/>
  <c r="M448" i="10"/>
  <c r="U521" i="10"/>
  <c r="BP520" i="12"/>
  <c r="BU41" i="12"/>
  <c r="R42" i="10"/>
  <c r="BL41" i="12"/>
  <c r="EH128" i="10"/>
  <c r="CA128" i="10"/>
  <c r="U216" i="10"/>
  <c r="BP215" i="12"/>
  <c r="C228" i="1" s="1"/>
  <c r="EK294" i="10"/>
  <c r="CD294" i="10"/>
  <c r="EH367" i="10"/>
  <c r="CA367" i="10"/>
  <c r="B452" i="1"/>
  <c r="D452" i="1" s="1"/>
  <c r="C452" i="1"/>
  <c r="EC55" i="10"/>
  <c r="ED55" i="10" s="1"/>
  <c r="BV55" i="10"/>
  <c r="BW55" i="10" s="1"/>
  <c r="BX55" i="10" s="1"/>
  <c r="BU55" i="10" s="1"/>
  <c r="P55" i="10"/>
  <c r="Q55" i="10" s="1"/>
  <c r="N55" i="10" s="1"/>
  <c r="M55" i="10"/>
  <c r="EH12" i="10"/>
  <c r="CA12" i="10"/>
  <c r="BZ217" i="10"/>
  <c r="EG217" i="10"/>
  <c r="BU367" i="12"/>
  <c r="R368" i="10"/>
  <c r="BL367" i="12"/>
  <c r="EG504" i="10"/>
  <c r="BZ504" i="10"/>
  <c r="EJ100" i="10"/>
  <c r="CC100" i="10"/>
  <c r="EG277" i="10"/>
  <c r="BZ277" i="10"/>
  <c r="C436" i="1"/>
  <c r="B436" i="1"/>
  <c r="D436" i="1" s="1"/>
  <c r="EC550" i="10"/>
  <c r="ED550" i="10" s="1"/>
  <c r="P550" i="10"/>
  <c r="Q550" i="10" s="1"/>
  <c r="N550" i="10" s="1"/>
  <c r="BV550" i="10"/>
  <c r="BW550" i="10" s="1"/>
  <c r="BX550" i="10" s="1"/>
  <c r="BU550" i="10" s="1"/>
  <c r="CA176" i="10"/>
  <c r="EH176" i="10"/>
  <c r="EK334" i="10"/>
  <c r="CD334" i="10"/>
  <c r="EH478" i="10"/>
  <c r="CA478" i="10"/>
  <c r="EG79" i="10"/>
  <c r="BZ79" i="10"/>
  <c r="BU259" i="12"/>
  <c r="M260" i="10" s="1"/>
  <c r="R260" i="10"/>
  <c r="BL259" i="12"/>
  <c r="B272" i="1" s="1"/>
  <c r="D272" i="1" s="1"/>
  <c r="BU407" i="12"/>
  <c r="M408" i="10" s="1"/>
  <c r="R408" i="10"/>
  <c r="BL407" i="12"/>
  <c r="B420" i="1" s="1"/>
  <c r="D420" i="1" s="1"/>
  <c r="EC184" i="10"/>
  <c r="ED184" i="10" s="1"/>
  <c r="BV184" i="10"/>
  <c r="BW184" i="10" s="1"/>
  <c r="BX184" i="10" s="1"/>
  <c r="BU184" i="10" s="1"/>
  <c r="P184" i="10"/>
  <c r="Q184" i="10" s="1"/>
  <c r="N184" i="10" s="1"/>
  <c r="M184" i="10"/>
  <c r="U341" i="10"/>
  <c r="BP340" i="12"/>
  <c r="EJ480" i="10"/>
  <c r="CC480" i="10"/>
  <c r="EJ144" i="10"/>
  <c r="CC144" i="10"/>
  <c r="EK532" i="10"/>
  <c r="CD532" i="10"/>
  <c r="EK415" i="10"/>
  <c r="CD415" i="10"/>
  <c r="EK269" i="10"/>
  <c r="CD269" i="10"/>
  <c r="EC513" i="10"/>
  <c r="ED513" i="10" s="1"/>
  <c r="BV513" i="10"/>
  <c r="BW513" i="10" s="1"/>
  <c r="BX513" i="10" s="1"/>
  <c r="BU513" i="10" s="1"/>
  <c r="P513" i="10"/>
  <c r="Q513" i="10" s="1"/>
  <c r="N513" i="10" s="1"/>
  <c r="M513" i="10"/>
  <c r="BU379" i="12"/>
  <c r="R380" i="10"/>
  <c r="BL379" i="12"/>
  <c r="BU525" i="12"/>
  <c r="R526" i="10"/>
  <c r="BL525" i="12"/>
  <c r="EG559" i="10"/>
  <c r="BZ559" i="10"/>
  <c r="EJ481" i="10"/>
  <c r="CC481" i="10"/>
  <c r="EH249" i="10"/>
  <c r="CA249" i="10"/>
  <c r="EH197" i="10"/>
  <c r="CA197" i="10"/>
  <c r="EC491" i="10"/>
  <c r="ED491" i="10" s="1"/>
  <c r="P491" i="10"/>
  <c r="Q491" i="10" s="1"/>
  <c r="N491" i="10" s="1"/>
  <c r="BV491" i="10"/>
  <c r="BW491" i="10" s="1"/>
  <c r="BX491" i="10" s="1"/>
  <c r="BU491" i="10" s="1"/>
  <c r="U110" i="10"/>
  <c r="BP109" i="12"/>
  <c r="EH279" i="10"/>
  <c r="CA279" i="10"/>
  <c r="EJ427" i="10"/>
  <c r="CC427" i="10"/>
  <c r="EG552" i="10"/>
  <c r="BZ552" i="10"/>
  <c r="EK205" i="10"/>
  <c r="CD205" i="10"/>
  <c r="U359" i="10"/>
  <c r="BP358" i="12"/>
  <c r="C371" i="1" s="1"/>
  <c r="EC207" i="10"/>
  <c r="ED207" i="10" s="1"/>
  <c r="BV207" i="10"/>
  <c r="BW207" i="10" s="1"/>
  <c r="BX207" i="10" s="1"/>
  <c r="BU207" i="10" s="1"/>
  <c r="P207" i="10"/>
  <c r="Q207" i="10" s="1"/>
  <c r="M207" i="10"/>
  <c r="EG213" i="10"/>
  <c r="BZ213" i="10"/>
  <c r="U324" i="10"/>
  <c r="BP323" i="12"/>
  <c r="EH165" i="10"/>
  <c r="CA165" i="10"/>
  <c r="EK433" i="10"/>
  <c r="CD433" i="10"/>
  <c r="EG186" i="10"/>
  <c r="BZ186" i="10"/>
  <c r="EK344" i="10"/>
  <c r="CD344" i="10"/>
  <c r="EC35" i="10"/>
  <c r="ED35" i="10" s="1"/>
  <c r="P35" i="10"/>
  <c r="Q35" i="10" s="1"/>
  <c r="N35" i="10" s="1"/>
  <c r="BV35" i="10"/>
  <c r="BW35" i="10" s="1"/>
  <c r="BX35" i="10" s="1"/>
  <c r="BU35" i="10" s="1"/>
  <c r="EG99" i="10"/>
  <c r="BZ99" i="10"/>
  <c r="U164" i="10"/>
  <c r="BP163" i="12"/>
  <c r="BU228" i="12"/>
  <c r="R229" i="10"/>
  <c r="BL228" i="12"/>
  <c r="EK61" i="10"/>
  <c r="CD61" i="10"/>
  <c r="EG125" i="10"/>
  <c r="BZ125" i="10"/>
  <c r="BU189" i="12"/>
  <c r="M190" i="10" s="1"/>
  <c r="R190" i="10"/>
  <c r="BL189" i="12"/>
  <c r="B202" i="1" s="1"/>
  <c r="D202" i="1" s="1"/>
  <c r="C268" i="1"/>
  <c r="B268" i="1"/>
  <c r="D268" i="1" s="1"/>
  <c r="C334" i="1"/>
  <c r="B334" i="1"/>
  <c r="D334" i="1" s="1"/>
  <c r="EC322" i="10"/>
  <c r="ED322" i="10" s="1"/>
  <c r="BV322" i="10"/>
  <c r="BW322" i="10" s="1"/>
  <c r="BX322" i="10" s="1"/>
  <c r="BU322" i="10" s="1"/>
  <c r="P322" i="10"/>
  <c r="Q322" i="10" s="1"/>
  <c r="N322" i="10" s="1"/>
  <c r="M322" i="10"/>
  <c r="U386" i="10"/>
  <c r="BP385" i="12"/>
  <c r="EK450" i="10"/>
  <c r="CD450" i="10"/>
  <c r="EH514" i="10"/>
  <c r="CA514" i="10"/>
  <c r="BU13" i="12"/>
  <c r="R14" i="10"/>
  <c r="BL13" i="12"/>
  <c r="B26" i="1" s="1"/>
  <c r="D26" i="1" s="1"/>
  <c r="EK81" i="10"/>
  <c r="CD81" i="10"/>
  <c r="BU167" i="12"/>
  <c r="M168" i="10" s="1"/>
  <c r="R168" i="10"/>
  <c r="BL167" i="12"/>
  <c r="B180" i="1" s="1"/>
  <c r="D180" i="1" s="1"/>
  <c r="EC327" i="10"/>
  <c r="ED327" i="10" s="1"/>
  <c r="BV327" i="10"/>
  <c r="BW327" i="10" s="1"/>
  <c r="BX327" i="10" s="1"/>
  <c r="BU327" i="10" s="1"/>
  <c r="P327" i="10"/>
  <c r="Q327" i="10" s="1"/>
  <c r="N327" i="10" s="1"/>
  <c r="EG400" i="10"/>
  <c r="BZ400" i="10"/>
  <c r="EK473" i="10"/>
  <c r="CD473" i="10"/>
  <c r="EG547" i="10"/>
  <c r="BZ547" i="10"/>
  <c r="EK72" i="10"/>
  <c r="CD72" i="10"/>
  <c r="EG159" i="10"/>
  <c r="BZ159" i="10"/>
  <c r="EH243" i="10"/>
  <c r="CA243" i="10"/>
  <c r="EC392" i="10"/>
  <c r="ED392" i="10" s="1"/>
  <c r="P392" i="10"/>
  <c r="Q392" i="10" s="1"/>
  <c r="N392" i="10" s="1"/>
  <c r="BV392" i="10"/>
  <c r="BW392" i="10" s="1"/>
  <c r="BX392" i="10" s="1"/>
  <c r="BU392" i="10" s="1"/>
  <c r="BZ465" i="10"/>
  <c r="EG465" i="10"/>
  <c r="U539" i="10"/>
  <c r="BP538" i="12"/>
  <c r="EG63" i="10"/>
  <c r="BZ63" i="10"/>
  <c r="EK149" i="10"/>
  <c r="CD149" i="10"/>
  <c r="EK235" i="10"/>
  <c r="CD235" i="10"/>
  <c r="EH311" i="10"/>
  <c r="CA311" i="10"/>
  <c r="EC457" i="10"/>
  <c r="ED457" i="10" s="1"/>
  <c r="BV457" i="10"/>
  <c r="BW457" i="10" s="1"/>
  <c r="BX457" i="10" s="1"/>
  <c r="BU457" i="10" s="1"/>
  <c r="P457" i="10"/>
  <c r="Q457" i="10" s="1"/>
  <c r="N457" i="10" s="1"/>
  <c r="EH531" i="10"/>
  <c r="CA531" i="10"/>
  <c r="EK54" i="10"/>
  <c r="CD54" i="10"/>
  <c r="EJ226" i="10"/>
  <c r="CC226" i="10"/>
  <c r="EJ303" i="10"/>
  <c r="CC303" i="10"/>
  <c r="CC376" i="10"/>
  <c r="EJ376" i="10"/>
  <c r="C461" i="1"/>
  <c r="B461" i="1"/>
  <c r="D461" i="1" s="1"/>
  <c r="EC65" i="10"/>
  <c r="ED65" i="10" s="1"/>
  <c r="BV65" i="10"/>
  <c r="BW65" i="10" s="1"/>
  <c r="BX65" i="10" s="1"/>
  <c r="BU65" i="10" s="1"/>
  <c r="P65" i="10"/>
  <c r="Q65" i="10" s="1"/>
  <c r="N65" i="10" s="1"/>
  <c r="M65" i="10"/>
  <c r="EK38" i="10"/>
  <c r="CD38" i="10"/>
  <c r="EG237" i="10"/>
  <c r="BZ237" i="10"/>
  <c r="CA387" i="10"/>
  <c r="EH387" i="10"/>
  <c r="EJ517" i="10"/>
  <c r="CC517" i="10"/>
  <c r="U130" i="10"/>
  <c r="BP129" i="12"/>
  <c r="C142" i="1" s="1"/>
  <c r="EJ296" i="10"/>
  <c r="CC296" i="10"/>
  <c r="B455" i="1"/>
  <c r="D455" i="1" s="1"/>
  <c r="C575" i="1"/>
  <c r="EC563" i="10"/>
  <c r="ED563" i="10" s="1"/>
  <c r="P563" i="10"/>
  <c r="Q563" i="10" s="1"/>
  <c r="BV563" i="10"/>
  <c r="BW563" i="10" s="1"/>
  <c r="BX563" i="10" s="1"/>
  <c r="BU563" i="10" s="1"/>
  <c r="EG454" i="10"/>
  <c r="BZ454" i="10"/>
  <c r="EJ544" i="10"/>
  <c r="CC544" i="10"/>
  <c r="EJ142" i="10"/>
  <c r="CC142" i="10"/>
  <c r="EK120" i="10"/>
  <c r="CD120" i="10"/>
  <c r="U398" i="10"/>
  <c r="BP397" i="12"/>
  <c r="C410" i="1" s="1"/>
  <c r="EJ43" i="10"/>
  <c r="CC43" i="10"/>
  <c r="B184" i="1"/>
  <c r="D184" i="1" s="1"/>
  <c r="EC172" i="10"/>
  <c r="ED172" i="10" s="1"/>
  <c r="P172" i="10"/>
  <c r="Q172" i="10" s="1"/>
  <c r="N172" i="10" s="1"/>
  <c r="BV172" i="10"/>
  <c r="BW172" i="10" s="1"/>
  <c r="BX172" i="10" s="1"/>
  <c r="BU172" i="10" s="1"/>
  <c r="M172" i="10"/>
  <c r="EC5" i="10"/>
  <c r="ED5" i="10" s="1"/>
  <c r="P5" i="10"/>
  <c r="Q5" i="10" s="1"/>
  <c r="N5" i="10" s="1"/>
  <c r="BV5" i="10"/>
  <c r="BW5" i="10" s="1"/>
  <c r="BX5" i="10" s="1"/>
  <c r="BU5" i="10" s="1"/>
  <c r="EG69" i="10"/>
  <c r="BZ69" i="10"/>
  <c r="EG133" i="10"/>
  <c r="BZ133" i="10"/>
  <c r="EJ198" i="10"/>
  <c r="CC198" i="10"/>
  <c r="CA264" i="10"/>
  <c r="EH264" i="10"/>
  <c r="EK330" i="10"/>
  <c r="CD330" i="10"/>
  <c r="C470" i="1"/>
  <c r="B470" i="1"/>
  <c r="D470" i="1" s="1"/>
  <c r="EC458" i="10"/>
  <c r="ED458" i="10" s="1"/>
  <c r="BV458" i="10"/>
  <c r="BW458" i="10" s="1"/>
  <c r="BX458" i="10" s="1"/>
  <c r="BU458" i="10" s="1"/>
  <c r="P458" i="10"/>
  <c r="Q458" i="10" s="1"/>
  <c r="N458" i="10" s="1"/>
  <c r="M458" i="10"/>
  <c r="EG522" i="10"/>
  <c r="BZ522" i="10"/>
  <c r="EJ4" i="10"/>
  <c r="CC4" i="10"/>
  <c r="EJ92" i="10"/>
  <c r="CC92" i="10"/>
  <c r="EJ178" i="10"/>
  <c r="CC178" i="10"/>
  <c r="EK261" i="10"/>
  <c r="CD261" i="10"/>
  <c r="U336" i="10"/>
  <c r="BP335" i="12"/>
  <c r="C421" i="1"/>
  <c r="B495" i="1"/>
  <c r="D495" i="1" s="1"/>
  <c r="EC483" i="10"/>
  <c r="ED483" i="10" s="1"/>
  <c r="P483" i="10"/>
  <c r="Q483" i="10" s="1"/>
  <c r="N483" i="10" s="1"/>
  <c r="BV483" i="10"/>
  <c r="BW483" i="10" s="1"/>
  <c r="BX483" i="10" s="1"/>
  <c r="BU483" i="10" s="1"/>
  <c r="U556" i="10"/>
  <c r="BP555" i="12"/>
  <c r="EJ82" i="10"/>
  <c r="CC82" i="10"/>
  <c r="EJ169" i="10"/>
  <c r="CC169" i="10"/>
  <c r="EJ253" i="10"/>
  <c r="CC253" i="10"/>
  <c r="EH328" i="10"/>
  <c r="CA328" i="10"/>
  <c r="CA401" i="10"/>
  <c r="EH401" i="10"/>
  <c r="B560" i="1"/>
  <c r="D560" i="1" s="1"/>
  <c r="C560" i="1"/>
  <c r="EC548" i="10"/>
  <c r="ED548" i="10" s="1"/>
  <c r="BV548" i="10"/>
  <c r="BW548" i="10" s="1"/>
  <c r="BX548" i="10" s="1"/>
  <c r="BU548" i="10" s="1"/>
  <c r="P548" i="10"/>
  <c r="Q548" i="10" s="1"/>
  <c r="N548" i="10" s="1"/>
  <c r="M548" i="10"/>
  <c r="U73" i="10"/>
  <c r="BP72" i="12"/>
  <c r="EJ160" i="10"/>
  <c r="CC160" i="10"/>
  <c r="EH244" i="10"/>
  <c r="CA244" i="10"/>
  <c r="EK320" i="10"/>
  <c r="CD320" i="10"/>
  <c r="U393" i="10"/>
  <c r="BP392" i="12"/>
  <c r="C405" i="1" s="1"/>
  <c r="U467" i="10"/>
  <c r="BP466" i="12"/>
  <c r="C479" i="1" s="1"/>
  <c r="EC64" i="10"/>
  <c r="ED64" i="10" s="1"/>
  <c r="BV64" i="10"/>
  <c r="BW64" i="10" s="1"/>
  <c r="BX64" i="10" s="1"/>
  <c r="BU64" i="10" s="1"/>
  <c r="P64" i="10"/>
  <c r="Q64" i="10" s="1"/>
  <c r="N64" i="10" s="1"/>
  <c r="BU150" i="12"/>
  <c r="R151" i="10"/>
  <c r="BL150" i="12"/>
  <c r="EH236" i="10"/>
  <c r="CA236" i="10"/>
  <c r="EG312" i="10"/>
  <c r="BZ312" i="10"/>
  <c r="EK385" i="10"/>
  <c r="CD385" i="10"/>
  <c r="U459" i="10"/>
  <c r="BP458" i="12"/>
  <c r="C471" i="1" s="1"/>
  <c r="EJ76" i="10"/>
  <c r="CC76" i="10"/>
  <c r="B80" i="1"/>
  <c r="D80" i="1" s="1"/>
  <c r="EC257" i="10"/>
  <c r="ED257" i="10" s="1"/>
  <c r="P257" i="10"/>
  <c r="Q257" i="10" s="1"/>
  <c r="N257" i="10" s="1"/>
  <c r="BV257" i="10"/>
  <c r="BW257" i="10" s="1"/>
  <c r="BX257" i="10" s="1"/>
  <c r="BU257" i="10" s="1"/>
  <c r="BU404" i="12"/>
  <c r="R405" i="10"/>
  <c r="BL404" i="12"/>
  <c r="EK533" i="10"/>
  <c r="CD533" i="10"/>
  <c r="EH153" i="10"/>
  <c r="CA153" i="10"/>
  <c r="CD315" i="10"/>
  <c r="EK315" i="10"/>
  <c r="EH461" i="10"/>
  <c r="CA461" i="10"/>
  <c r="EK16" i="10"/>
  <c r="CD16" i="10"/>
  <c r="B231" i="1"/>
  <c r="D231" i="1" s="1"/>
  <c r="C231" i="1"/>
  <c r="EC371" i="10"/>
  <c r="ED371" i="10" s="1"/>
  <c r="P371" i="10"/>
  <c r="Q371" i="10" s="1"/>
  <c r="N371" i="10" s="1"/>
  <c r="BV371" i="10"/>
  <c r="BW371" i="10" s="1"/>
  <c r="BX371" i="10" s="1"/>
  <c r="BU371" i="10" s="1"/>
  <c r="CA507" i="10"/>
  <c r="EH507" i="10"/>
  <c r="BU133" i="12"/>
  <c r="R134" i="10"/>
  <c r="BL133" i="12"/>
  <c r="BU298" i="12"/>
  <c r="R299" i="10"/>
  <c r="BL298" i="12"/>
  <c r="EK445" i="10"/>
  <c r="CD445" i="10"/>
  <c r="BU24" i="12"/>
  <c r="M25" i="10" s="1"/>
  <c r="R25" i="10"/>
  <c r="BL24" i="12"/>
  <c r="B37" i="1" s="1"/>
  <c r="D37" i="1" s="1"/>
  <c r="EH227" i="10"/>
  <c r="CA227" i="10"/>
  <c r="EC509" i="10"/>
  <c r="ED509" i="10" s="1"/>
  <c r="BV509" i="10"/>
  <c r="BW509" i="10" s="1"/>
  <c r="BX509" i="10" s="1"/>
  <c r="BU509" i="10" s="1"/>
  <c r="P509" i="10"/>
  <c r="Q509" i="10" s="1"/>
  <c r="N509" i="10" s="1"/>
  <c r="U251" i="10"/>
  <c r="BP250" i="12"/>
  <c r="EK88" i="10"/>
  <c r="CD88" i="10"/>
  <c r="EG499" i="10"/>
  <c r="BZ499" i="10"/>
  <c r="BU362" i="12"/>
  <c r="R363" i="10"/>
  <c r="BL362" i="12"/>
  <c r="B375" i="1" s="1"/>
  <c r="D375" i="1" s="1"/>
  <c r="U228" i="10"/>
  <c r="BP227" i="12"/>
  <c r="C240" i="1" s="1"/>
  <c r="EK34" i="10"/>
  <c r="CD34" i="10"/>
  <c r="EC289" i="10"/>
  <c r="ED289" i="10" s="1"/>
  <c r="P289" i="10"/>
  <c r="Q289" i="10" s="1"/>
  <c r="N289" i="10" s="1"/>
  <c r="BV289" i="10"/>
  <c r="BW289" i="10" s="1"/>
  <c r="BX289" i="10" s="1"/>
  <c r="BU289" i="10" s="1"/>
  <c r="EG342" i="10"/>
  <c r="BZ342" i="10"/>
  <c r="U250" i="10"/>
  <c r="BP249" i="12"/>
  <c r="U381" i="10"/>
  <c r="BP380" i="12"/>
  <c r="CA267" i="10"/>
  <c r="EH267" i="10"/>
  <c r="U208" i="10"/>
  <c r="BP207" i="12"/>
  <c r="C220" i="1" s="1"/>
  <c r="EK325" i="10"/>
  <c r="CD325" i="10"/>
  <c r="EC487" i="10"/>
  <c r="ED487" i="10" s="1"/>
  <c r="BV487" i="10"/>
  <c r="BW487" i="10" s="1"/>
  <c r="BX487" i="10" s="1"/>
  <c r="BU487" i="10" s="1"/>
  <c r="P487" i="10"/>
  <c r="Q487" i="10" s="1"/>
  <c r="N487" i="10" s="1"/>
  <c r="BU315" i="12"/>
  <c r="R316" i="10"/>
  <c r="BL315" i="12"/>
  <c r="BU161" i="12"/>
  <c r="R162" i="10"/>
  <c r="BL161" i="12"/>
  <c r="EJ361" i="10"/>
  <c r="CC361" i="10"/>
  <c r="U326" i="10"/>
  <c r="BP325" i="12"/>
  <c r="C338" i="1" s="1"/>
  <c r="BU50" i="12"/>
  <c r="M51" i="10" s="1"/>
  <c r="R51" i="10"/>
  <c r="BL50" i="12"/>
  <c r="B63" i="1" s="1"/>
  <c r="D63" i="1" s="1"/>
  <c r="EG115" i="10"/>
  <c r="BZ115" i="10"/>
  <c r="EC13" i="10"/>
  <c r="ED13" i="10" s="1"/>
  <c r="P13" i="10"/>
  <c r="Q13" i="10" s="1"/>
  <c r="N13" i="10" s="1"/>
  <c r="BV13" i="10"/>
  <c r="BW13" i="10" s="1"/>
  <c r="BX13" i="10" s="1"/>
  <c r="BU13" i="10" s="1"/>
  <c r="M13" i="10"/>
  <c r="BU76" i="12"/>
  <c r="R77" i="10"/>
  <c r="BL76" i="12"/>
  <c r="U141" i="10"/>
  <c r="BP140" i="12"/>
  <c r="EH206" i="10"/>
  <c r="CA206" i="10"/>
  <c r="U273" i="10"/>
  <c r="BP272" i="12"/>
  <c r="C285" i="1" s="1"/>
  <c r="EH338" i="10"/>
  <c r="CA338" i="10"/>
  <c r="U402" i="10"/>
  <c r="BP401" i="12"/>
  <c r="C414" i="1" s="1"/>
  <c r="C478" i="1"/>
  <c r="B478" i="1"/>
  <c r="D478" i="1" s="1"/>
  <c r="EC530" i="10"/>
  <c r="ED530" i="10" s="1"/>
  <c r="BV530" i="10"/>
  <c r="BW530" i="10" s="1"/>
  <c r="BX530" i="10" s="1"/>
  <c r="BU530" i="10" s="1"/>
  <c r="P530" i="10"/>
  <c r="Q530" i="10" s="1"/>
  <c r="N530" i="10" s="1"/>
  <c r="EG17" i="10"/>
  <c r="BZ17" i="10"/>
  <c r="BU102" i="12"/>
  <c r="R103" i="10"/>
  <c r="BL102" i="12"/>
  <c r="EJ189" i="10"/>
  <c r="CC189" i="10"/>
  <c r="U271" i="10"/>
  <c r="BP270" i="12"/>
  <c r="C283" i="1" s="1"/>
  <c r="EG345" i="10"/>
  <c r="BZ345" i="10"/>
  <c r="EK419" i="10"/>
  <c r="CD419" i="10"/>
  <c r="C19" i="1"/>
  <c r="EC7" i="10"/>
  <c r="ED7" i="10" s="1"/>
  <c r="BV7" i="10"/>
  <c r="BW7" i="10" s="1"/>
  <c r="BX7" i="10" s="1"/>
  <c r="BU7" i="10" s="1"/>
  <c r="P7" i="10"/>
  <c r="Q7" i="10" s="1"/>
  <c r="N7" i="10" s="1"/>
  <c r="EH94" i="10"/>
  <c r="CA94" i="10"/>
  <c r="U179" i="10"/>
  <c r="BP178" i="12"/>
  <c r="EG262" i="10"/>
  <c r="BZ262" i="10"/>
  <c r="BU336" i="12"/>
  <c r="R337" i="10"/>
  <c r="BL336" i="12"/>
  <c r="U411" i="10"/>
  <c r="BP410" i="12"/>
  <c r="C423" i="1" s="1"/>
  <c r="EK484" i="10"/>
  <c r="CD484" i="10"/>
  <c r="B569" i="1"/>
  <c r="D569" i="1" s="1"/>
  <c r="EC84" i="10"/>
  <c r="ED84" i="10" s="1"/>
  <c r="BV84" i="10"/>
  <c r="BW84" i="10" s="1"/>
  <c r="BX84" i="10" s="1"/>
  <c r="BU84" i="10" s="1"/>
  <c r="P84" i="10"/>
  <c r="Q84" i="10" s="1"/>
  <c r="N84" i="10" s="1"/>
  <c r="M84" i="10"/>
  <c r="EG170" i="10"/>
  <c r="BZ170" i="10"/>
  <c r="EJ254" i="10"/>
  <c r="CC254" i="10"/>
  <c r="CA329" i="10"/>
  <c r="EH329" i="10"/>
  <c r="EJ403" i="10"/>
  <c r="CC403" i="10"/>
  <c r="BU475" i="12"/>
  <c r="M476" i="10" s="1"/>
  <c r="R476" i="10"/>
  <c r="BL475" i="12"/>
  <c r="B488" i="1" s="1"/>
  <c r="D488" i="1" s="1"/>
  <c r="EG549" i="10"/>
  <c r="BZ549" i="10"/>
  <c r="B86" i="1"/>
  <c r="D86" i="1" s="1"/>
  <c r="EC161" i="10"/>
  <c r="ED161" i="10" s="1"/>
  <c r="BV161" i="10"/>
  <c r="BW161" i="10" s="1"/>
  <c r="BX161" i="10" s="1"/>
  <c r="BU161" i="10" s="1"/>
  <c r="P161" i="10"/>
  <c r="Q161" i="10" s="1"/>
  <c r="N161" i="10" s="1"/>
  <c r="EH245" i="10"/>
  <c r="CA245" i="10"/>
  <c r="EK321" i="10"/>
  <c r="CD321" i="10"/>
  <c r="U395" i="10"/>
  <c r="BP394" i="12"/>
  <c r="EH283" i="10"/>
  <c r="CA283" i="10"/>
  <c r="EH87" i="10"/>
  <c r="CA87" i="10"/>
  <c r="B110" i="1"/>
  <c r="D110" i="1" s="1"/>
  <c r="EC276" i="10"/>
  <c r="ED276" i="10" s="1"/>
  <c r="P276" i="10"/>
  <c r="Q276" i="10" s="1"/>
  <c r="N276" i="10" s="1"/>
  <c r="BV276" i="10"/>
  <c r="BW276" i="10" s="1"/>
  <c r="BX276" i="10" s="1"/>
  <c r="BU276" i="10" s="1"/>
  <c r="EG423" i="10"/>
  <c r="BZ423" i="10"/>
  <c r="EK545" i="10"/>
  <c r="CD545" i="10"/>
  <c r="EG175" i="10"/>
  <c r="BZ175" i="10"/>
  <c r="EH333" i="10"/>
  <c r="CA333" i="10"/>
  <c r="EK477" i="10"/>
  <c r="CD477" i="10"/>
  <c r="EK47" i="10"/>
  <c r="CD47" i="10"/>
  <c r="C252" i="1"/>
  <c r="B252" i="1"/>
  <c r="D252" i="1" s="1"/>
  <c r="EC389" i="10"/>
  <c r="ED389" i="10" s="1"/>
  <c r="P389" i="10"/>
  <c r="Q389" i="10" s="1"/>
  <c r="N389" i="10" s="1"/>
  <c r="BV389" i="10"/>
  <c r="BW389" i="10" s="1"/>
  <c r="BX389" i="10" s="1"/>
  <c r="BU389" i="10" s="1"/>
  <c r="EH523" i="10"/>
  <c r="CA523" i="10"/>
  <c r="EJ155" i="10"/>
  <c r="CC155" i="10"/>
  <c r="EJ317" i="10"/>
  <c r="CC317" i="10"/>
  <c r="EJ463" i="10"/>
  <c r="CC463" i="10"/>
  <c r="U56" i="10"/>
  <c r="BP55" i="12"/>
  <c r="C68" i="1" s="1"/>
  <c r="EJ246" i="10"/>
  <c r="CC246" i="10"/>
  <c r="C408" i="1"/>
  <c r="EC525" i="10"/>
  <c r="ED525" i="10" s="1"/>
  <c r="BV525" i="10"/>
  <c r="BW525" i="10" s="1"/>
  <c r="BX525" i="10" s="1"/>
  <c r="BU525" i="10" s="1"/>
  <c r="P525" i="10"/>
  <c r="Q525" i="10" s="1"/>
  <c r="N525" i="10" s="1"/>
  <c r="U307" i="10"/>
  <c r="BP306" i="12"/>
  <c r="U145" i="10"/>
  <c r="BP144" i="12"/>
  <c r="CA542" i="10"/>
  <c r="EH542" i="10"/>
  <c r="U416" i="10"/>
  <c r="BP415" i="12"/>
  <c r="EH270" i="10"/>
  <c r="CA270" i="10"/>
  <c r="EK112" i="10"/>
  <c r="CD112" i="10"/>
  <c r="C527" i="1"/>
  <c r="B447" i="1"/>
  <c r="D447" i="1" s="1"/>
  <c r="C447" i="1"/>
  <c r="EC435" i="10"/>
  <c r="ED435" i="10" s="1"/>
  <c r="P435" i="10"/>
  <c r="Q435" i="10" s="1"/>
  <c r="N435" i="10" s="1"/>
  <c r="BV435" i="10"/>
  <c r="BW435" i="10" s="1"/>
  <c r="BX435" i="10" s="1"/>
  <c r="BU435" i="10" s="1"/>
  <c r="M435" i="10"/>
  <c r="BU451" i="12"/>
  <c r="R452" i="10"/>
  <c r="BL451" i="12"/>
  <c r="EJ397" i="10"/>
  <c r="CC397" i="10"/>
  <c r="EJ486" i="10"/>
  <c r="CC486" i="10"/>
  <c r="EK351" i="10"/>
  <c r="CD351" i="10"/>
  <c r="CD259" i="10"/>
  <c r="EK259" i="10"/>
  <c r="EJ535" i="10"/>
  <c r="CC535" i="10"/>
  <c r="C347" i="1"/>
  <c r="EC80" i="10"/>
  <c r="ED80" i="10" s="1"/>
  <c r="BV80" i="10"/>
  <c r="BW80" i="10" s="1"/>
  <c r="BX80" i="10" s="1"/>
  <c r="BU80" i="10" s="1"/>
  <c r="P80" i="10"/>
  <c r="Q80" i="10" s="1"/>
  <c r="N80" i="10" s="1"/>
  <c r="EH414" i="10"/>
  <c r="CA414" i="10"/>
  <c r="EK360" i="10"/>
  <c r="CD360" i="10"/>
  <c r="EJ469" i="10"/>
  <c r="CC469" i="10"/>
  <c r="BU554" i="12"/>
  <c r="R555" i="10"/>
  <c r="BL554" i="12"/>
  <c r="B567" i="1" s="1"/>
  <c r="D567" i="1" s="1"/>
  <c r="CA516" i="10"/>
  <c r="EH516" i="10"/>
  <c r="EK406" i="10"/>
  <c r="CD406" i="10"/>
  <c r="B253" i="1"/>
  <c r="D253" i="1" s="1"/>
  <c r="B480" i="1"/>
  <c r="D480" i="1" s="1"/>
  <c r="C480" i="1"/>
  <c r="EC468" i="10"/>
  <c r="ED468" i="10" s="1"/>
  <c r="P468" i="10"/>
  <c r="Q468" i="10" s="1"/>
  <c r="N468" i="10" s="1"/>
  <c r="BV468" i="10"/>
  <c r="BW468" i="10" s="1"/>
  <c r="BX468" i="10" s="1"/>
  <c r="BU468" i="10" s="1"/>
  <c r="M468" i="10"/>
  <c r="U26" i="10"/>
  <c r="BP25" i="12"/>
  <c r="EH59" i="10"/>
  <c r="CA59" i="10"/>
  <c r="BU122" i="12"/>
  <c r="R123" i="10"/>
  <c r="BL122" i="12"/>
  <c r="EG188" i="10"/>
  <c r="BZ188" i="10"/>
  <c r="EK21" i="10"/>
  <c r="CD21" i="10"/>
  <c r="U85" i="10"/>
  <c r="BP84" i="12"/>
  <c r="B162" i="1"/>
  <c r="D162" i="1" s="1"/>
  <c r="EC215" i="10"/>
  <c r="ED215" i="10" s="1"/>
  <c r="BV215" i="10"/>
  <c r="BW215" i="10" s="1"/>
  <c r="BX215" i="10" s="1"/>
  <c r="BU215" i="10" s="1"/>
  <c r="P215" i="10"/>
  <c r="Q215" i="10" s="1"/>
  <c r="M215" i="10"/>
  <c r="BU280" i="12"/>
  <c r="R281" i="10"/>
  <c r="BL280" i="12"/>
  <c r="EK346" i="10"/>
  <c r="CD346" i="10"/>
  <c r="EG410" i="10"/>
  <c r="BZ410" i="10"/>
  <c r="EG474" i="10"/>
  <c r="BZ474" i="10"/>
  <c r="U538" i="10"/>
  <c r="BP537" i="12"/>
  <c r="C550" i="1" s="1"/>
  <c r="EJ28" i="10"/>
  <c r="CC28" i="10"/>
  <c r="B125" i="1"/>
  <c r="D125" i="1" s="1"/>
  <c r="C125" i="1"/>
  <c r="EC200" i="10"/>
  <c r="ED200" i="10" s="1"/>
  <c r="BV200" i="10"/>
  <c r="BW200" i="10" s="1"/>
  <c r="BX200" i="10" s="1"/>
  <c r="BU200" i="10" s="1"/>
  <c r="P200" i="10"/>
  <c r="Q200" i="10" s="1"/>
  <c r="N200" i="10" s="1"/>
  <c r="M200" i="10"/>
  <c r="U280" i="10"/>
  <c r="BP279" i="12"/>
  <c r="U355" i="10"/>
  <c r="BP354" i="12"/>
  <c r="EH428" i="10"/>
  <c r="CA428" i="10"/>
  <c r="EJ501" i="10"/>
  <c r="CC501" i="10"/>
  <c r="EK18" i="10"/>
  <c r="CD18" i="10"/>
  <c r="EJ104" i="10"/>
  <c r="CC104" i="10"/>
  <c r="C203" i="1"/>
  <c r="B284" i="1"/>
  <c r="D284" i="1" s="1"/>
  <c r="EC272" i="10"/>
  <c r="ED272" i="10" s="1"/>
  <c r="BV272" i="10"/>
  <c r="BW272" i="10" s="1"/>
  <c r="BX272" i="10" s="1"/>
  <c r="BU272" i="10" s="1"/>
  <c r="P272" i="10"/>
  <c r="Q272" i="10" s="1"/>
  <c r="N272" i="10" s="1"/>
  <c r="M272" i="10"/>
  <c r="CA347" i="10"/>
  <c r="EH347" i="10"/>
  <c r="BU419" i="12"/>
  <c r="R420" i="10"/>
  <c r="BL419" i="12"/>
  <c r="CA493" i="10"/>
  <c r="EH493" i="10"/>
  <c r="EK8" i="10"/>
  <c r="CD8" i="10"/>
  <c r="EK95" i="10"/>
  <c r="CD95" i="10"/>
  <c r="BU180" i="12"/>
  <c r="M181" i="10" s="1"/>
  <c r="R181" i="10"/>
  <c r="BL180" i="12"/>
  <c r="B193" i="1" s="1"/>
  <c r="D193" i="1" s="1"/>
  <c r="B351" i="1"/>
  <c r="D351" i="1" s="1"/>
  <c r="BU338" i="12"/>
  <c r="R339" i="10"/>
  <c r="BL338" i="12"/>
  <c r="U412" i="10"/>
  <c r="BP411" i="12"/>
  <c r="EK485" i="10"/>
  <c r="CD485" i="10"/>
  <c r="U558" i="10"/>
  <c r="BP557" i="12"/>
  <c r="EJ86" i="10"/>
  <c r="CC86" i="10"/>
  <c r="EK171" i="10"/>
  <c r="CD171" i="10"/>
  <c r="BU254" i="12"/>
  <c r="M255" i="10" s="1"/>
  <c r="R255" i="10"/>
  <c r="BL254" i="12"/>
  <c r="B267" i="1" s="1"/>
  <c r="D267" i="1" s="1"/>
  <c r="B343" i="1"/>
  <c r="D343" i="1" s="1"/>
  <c r="B416" i="1"/>
  <c r="D416" i="1" s="1"/>
  <c r="EC404" i="10"/>
  <c r="ED404" i="10" s="1"/>
  <c r="P404" i="10"/>
  <c r="Q404" i="10" s="1"/>
  <c r="N404" i="10" s="1"/>
  <c r="BV404" i="10"/>
  <c r="BW404" i="10" s="1"/>
  <c r="BX404" i="10" s="1"/>
  <c r="BU404" i="10" s="1"/>
  <c r="M404" i="10"/>
  <c r="BU9" i="12"/>
  <c r="M10" i="10" s="1"/>
  <c r="R10" i="10"/>
  <c r="BL9" i="12"/>
  <c r="U97" i="10"/>
  <c r="BP96" i="12"/>
  <c r="EH122" i="10"/>
  <c r="CA122" i="10"/>
  <c r="EG295" i="10"/>
  <c r="BZ295" i="10"/>
  <c r="U441" i="10"/>
  <c r="BP440" i="12"/>
  <c r="C453" i="1" s="1"/>
  <c r="EK561" i="10"/>
  <c r="CD561" i="10"/>
  <c r="B207" i="1"/>
  <c r="D207" i="1" s="1"/>
  <c r="B501" i="1"/>
  <c r="D501" i="1" s="1"/>
  <c r="EC489" i="10"/>
  <c r="ED489" i="10" s="1"/>
  <c r="BV489" i="10"/>
  <c r="BW489" i="10" s="1"/>
  <c r="BX489" i="10" s="1"/>
  <c r="BU489" i="10" s="1"/>
  <c r="P489" i="10"/>
  <c r="Q489" i="10" s="1"/>
  <c r="N489" i="10" s="1"/>
  <c r="M489" i="10"/>
  <c r="CA78" i="10"/>
  <c r="EH78" i="10"/>
  <c r="R407" i="10"/>
  <c r="BU406" i="12"/>
  <c r="BL406" i="12"/>
  <c r="EJ177" i="10"/>
  <c r="CC177" i="10"/>
  <c r="EJ479" i="10"/>
  <c r="CC479" i="10"/>
  <c r="EH541" i="10"/>
  <c r="CA541" i="10"/>
  <c r="BZ248" i="10"/>
  <c r="EG248" i="10"/>
  <c r="B179" i="1"/>
  <c r="D179" i="1" s="1"/>
  <c r="C572" i="1"/>
  <c r="EC560" i="10"/>
  <c r="ED560" i="10" s="1"/>
  <c r="BV560" i="10"/>
  <c r="BW560" i="10" s="1"/>
  <c r="BX560" i="10" s="1"/>
  <c r="BU560" i="10" s="1"/>
  <c r="P560" i="10"/>
  <c r="Q560" i="10" s="1"/>
  <c r="N560" i="10" s="1"/>
  <c r="U534" i="10"/>
  <c r="BP533" i="12"/>
  <c r="EK390" i="10"/>
  <c r="CD390" i="10"/>
  <c r="EJ497" i="10"/>
  <c r="CC497" i="10"/>
  <c r="BU435" i="12"/>
  <c r="R436" i="10"/>
  <c r="BL435" i="12"/>
  <c r="B448" i="1" s="1"/>
  <c r="D448" i="1" s="1"/>
  <c r="EJ354" i="10"/>
  <c r="CC354" i="10"/>
  <c r="EJ291" i="10"/>
  <c r="CC291" i="10"/>
  <c r="B522" i="1"/>
  <c r="D522" i="1" s="1"/>
  <c r="C522" i="1"/>
  <c r="EG429" i="10"/>
  <c r="BZ429" i="10"/>
  <c r="EC20" i="10"/>
  <c r="ED20" i="10" s="1"/>
  <c r="BV20" i="10"/>
  <c r="BW20" i="10" s="1"/>
  <c r="BX20" i="10" s="1"/>
  <c r="BU20" i="10" s="1"/>
  <c r="P20" i="10"/>
  <c r="Q20" i="10" s="1"/>
  <c r="N20" i="10" s="1"/>
  <c r="EK494" i="10"/>
  <c r="CD494" i="10"/>
  <c r="U266" i="10"/>
  <c r="BP265" i="12"/>
  <c r="EK505" i="10"/>
  <c r="CD505" i="10"/>
  <c r="B290" i="1"/>
  <c r="D290" i="1" s="1"/>
  <c r="EC425" i="10"/>
  <c r="ED425" i="10" s="1"/>
  <c r="P425" i="10"/>
  <c r="Q425" i="10" s="1"/>
  <c r="N425" i="10" s="1"/>
  <c r="BV425" i="10"/>
  <c r="BW425" i="10" s="1"/>
  <c r="BX425" i="10" s="1"/>
  <c r="BU425" i="10" s="1"/>
  <c r="M425" i="10"/>
  <c r="BU267" i="12"/>
  <c r="M268" i="10" s="1"/>
  <c r="R268" i="10"/>
  <c r="BL267" i="12"/>
  <c r="C133" i="1"/>
  <c r="EG508" i="10"/>
  <c r="BZ508" i="10"/>
  <c r="EK366" i="10"/>
  <c r="CD366" i="10"/>
  <c r="U70" i="10"/>
  <c r="BP69" i="12"/>
  <c r="BU138" i="12"/>
  <c r="M139" i="10" s="1"/>
  <c r="R139" i="10"/>
  <c r="BL138" i="12"/>
  <c r="B151" i="1" s="1"/>
  <c r="D151" i="1" s="1"/>
  <c r="CA426" i="10"/>
  <c r="EH426" i="10"/>
  <c r="EJ519" i="10"/>
  <c r="CC519" i="10"/>
  <c r="BU30" i="12"/>
  <c r="R31" i="10"/>
  <c r="BL30" i="12"/>
  <c r="C442" i="1"/>
  <c r="B442" i="1"/>
  <c r="D442" i="1" s="1"/>
  <c r="BU32" i="12"/>
  <c r="M33" i="10" s="1"/>
  <c r="R33" i="10"/>
  <c r="BL32" i="12"/>
  <c r="B45" i="1" s="1"/>
  <c r="D45" i="1" s="1"/>
  <c r="BU162" i="12"/>
  <c r="M163" i="10" s="1"/>
  <c r="R163" i="10"/>
  <c r="BL162" i="12"/>
  <c r="BU373" i="12"/>
  <c r="M374" i="10" s="1"/>
  <c r="R374" i="10"/>
  <c r="BL373" i="12"/>
  <c r="EG44" i="10"/>
  <c r="BZ44" i="10"/>
  <c r="EC470" i="10"/>
  <c r="ED470" i="10" s="1"/>
  <c r="BV470" i="10"/>
  <c r="BW470" i="10" s="1"/>
  <c r="BX470" i="10" s="1"/>
  <c r="BU470" i="10" s="1"/>
  <c r="P470" i="10"/>
  <c r="Q470" i="10" s="1"/>
  <c r="N470" i="10" s="1"/>
  <c r="EJ109" i="10"/>
  <c r="CC109" i="10"/>
  <c r="EJ60" i="10"/>
  <c r="CC60" i="10"/>
  <c r="B245" i="1"/>
  <c r="D245" i="1" s="1"/>
  <c r="EC233" i="10"/>
  <c r="ED233" i="10" s="1"/>
  <c r="P233" i="10"/>
  <c r="Q233" i="10" s="1"/>
  <c r="N233" i="10" s="1"/>
  <c r="BV233" i="10"/>
  <c r="BW233" i="10" s="1"/>
  <c r="BX233" i="10" s="1"/>
  <c r="BU233" i="10" s="1"/>
  <c r="M233" i="10"/>
  <c r="EG464" i="10"/>
  <c r="BZ464" i="10"/>
  <c r="U225" i="10"/>
  <c r="BP224" i="12"/>
  <c r="C237" i="1" s="1"/>
  <c r="EJ294" i="10"/>
  <c r="CC294" i="10"/>
  <c r="EK504" i="10"/>
  <c r="CD504" i="10"/>
  <c r="U176" i="10"/>
  <c r="BP175" i="12"/>
  <c r="EK144" i="10"/>
  <c r="CD144" i="10"/>
  <c r="B281" i="1"/>
  <c r="D281" i="1" s="1"/>
  <c r="EK559" i="10"/>
  <c r="CD559" i="10"/>
  <c r="C364" i="1"/>
  <c r="EK552" i="10"/>
  <c r="CD552" i="10"/>
  <c r="EC496" i="10"/>
  <c r="ED496" i="10" s="1"/>
  <c r="BV496" i="10"/>
  <c r="BW496" i="10" s="1"/>
  <c r="BX496" i="10" s="1"/>
  <c r="BU496" i="10" s="1"/>
  <c r="P496" i="10"/>
  <c r="Q496" i="10" s="1"/>
  <c r="N496" i="10" s="1"/>
  <c r="BU34" i="12"/>
  <c r="M35" i="10" s="1"/>
  <c r="R35" i="10"/>
  <c r="BL34" i="12"/>
  <c r="EJ14" i="10"/>
  <c r="CC14" i="10"/>
  <c r="EK547" i="10"/>
  <c r="CD547" i="10"/>
  <c r="C331" i="1"/>
  <c r="EG457" i="10"/>
  <c r="BZ457" i="10"/>
  <c r="EC449" i="10"/>
  <c r="ED449" i="10" s="1"/>
  <c r="BV449" i="10"/>
  <c r="BW449" i="10" s="1"/>
  <c r="BX449" i="10" s="1"/>
  <c r="BU449" i="10" s="1"/>
  <c r="P449" i="10"/>
  <c r="Q449" i="10" s="1"/>
  <c r="N449" i="10" s="1"/>
  <c r="M449" i="10"/>
  <c r="EG544" i="10"/>
  <c r="BZ544" i="10"/>
  <c r="BU197" i="12"/>
  <c r="R198" i="10"/>
  <c r="BL197" i="12"/>
  <c r="B210" i="1" s="1"/>
  <c r="D210" i="1" s="1"/>
  <c r="EH92" i="10"/>
  <c r="CA92" i="10"/>
  <c r="EG82" i="10"/>
  <c r="BZ82" i="10"/>
  <c r="EJ393" i="10"/>
  <c r="CC393" i="10"/>
  <c r="EC540" i="10"/>
  <c r="ED540" i="10" s="1"/>
  <c r="BV540" i="10"/>
  <c r="BW540" i="10" s="1"/>
  <c r="BX540" i="10" s="1"/>
  <c r="BU540" i="10" s="1"/>
  <c r="P540" i="10"/>
  <c r="Q540" i="10" s="1"/>
  <c r="N540" i="10" s="1"/>
  <c r="M540" i="10"/>
  <c r="BU256" i="12"/>
  <c r="M257" i="10" s="1"/>
  <c r="R257" i="10"/>
  <c r="BL256" i="12"/>
  <c r="U507" i="10"/>
  <c r="BP506" i="12"/>
  <c r="EJ25" i="10"/>
  <c r="CC25" i="10"/>
  <c r="B389" i="1"/>
  <c r="D389" i="1" s="1"/>
  <c r="EJ228" i="10"/>
  <c r="CC228" i="10"/>
  <c r="EJ267" i="10"/>
  <c r="CC267" i="10"/>
  <c r="EJ162" i="10"/>
  <c r="CC162" i="10"/>
  <c r="U13" i="10"/>
  <c r="BP12" i="12"/>
  <c r="EJ103" i="10"/>
  <c r="CC103" i="10"/>
  <c r="B504" i="1"/>
  <c r="D504" i="1" s="1"/>
  <c r="EC492" i="10"/>
  <c r="ED492" i="10" s="1"/>
  <c r="P492" i="10"/>
  <c r="Q492" i="10" s="1"/>
  <c r="N492" i="10" s="1"/>
  <c r="BV492" i="10"/>
  <c r="BW492" i="10" s="1"/>
  <c r="BX492" i="10" s="1"/>
  <c r="BU492" i="10" s="1"/>
  <c r="M492" i="10"/>
  <c r="EG254" i="10"/>
  <c r="BZ254" i="10"/>
  <c r="CA321" i="10"/>
  <c r="EH321" i="10"/>
  <c r="CA545" i="10"/>
  <c r="EH545" i="10"/>
  <c r="BU462" i="12"/>
  <c r="R463" i="10"/>
  <c r="BL462" i="12"/>
  <c r="U270" i="10"/>
  <c r="BP269" i="12"/>
  <c r="C282" i="1" s="1"/>
  <c r="EH259" i="10"/>
  <c r="CA259" i="10"/>
  <c r="BU58" i="12"/>
  <c r="M59" i="10" s="1"/>
  <c r="R59" i="10"/>
  <c r="BL58" i="12"/>
  <c r="EH346" i="10"/>
  <c r="CA346" i="10"/>
  <c r="BU354" i="12"/>
  <c r="R355" i="10"/>
  <c r="BL354" i="12"/>
  <c r="EJ420" i="10"/>
  <c r="CC420" i="10"/>
  <c r="EG171" i="10"/>
  <c r="BZ171" i="10"/>
  <c r="CA441" i="10"/>
  <c r="EH441" i="10"/>
  <c r="BU130" i="12"/>
  <c r="M131" i="10" s="1"/>
  <c r="R131" i="10"/>
  <c r="BL130" i="12"/>
  <c r="EH354" i="10"/>
  <c r="CA354" i="10"/>
  <c r="BU209" i="12"/>
  <c r="R210" i="10"/>
  <c r="BL209" i="12"/>
  <c r="EK437" i="10"/>
  <c r="CD437" i="10"/>
  <c r="BZ201" i="10"/>
  <c r="EG201" i="10"/>
  <c r="BU428" i="12"/>
  <c r="M429" i="10" s="1"/>
  <c r="R429" i="10"/>
  <c r="BL428" i="12"/>
  <c r="B441" i="1" s="1"/>
  <c r="D441" i="1" s="1"/>
  <c r="EC192" i="10"/>
  <c r="ED192" i="10" s="1"/>
  <c r="BV192" i="10"/>
  <c r="BW192" i="10" s="1"/>
  <c r="BX192" i="10" s="1"/>
  <c r="BU192" i="10" s="1"/>
  <c r="P192" i="10"/>
  <c r="Q192" i="10" s="1"/>
  <c r="N192" i="10" s="1"/>
  <c r="M192" i="10"/>
  <c r="EG421" i="10"/>
  <c r="BZ421" i="10"/>
  <c r="EJ96" i="10"/>
  <c r="CC96" i="10"/>
  <c r="C278" i="1"/>
  <c r="B278" i="1"/>
  <c r="D278" i="1" s="1"/>
  <c r="EC266" i="10"/>
  <c r="ED266" i="10" s="1"/>
  <c r="BV266" i="10"/>
  <c r="BW266" i="10" s="1"/>
  <c r="BX266" i="10" s="1"/>
  <c r="BU266" i="10" s="1"/>
  <c r="P266" i="10"/>
  <c r="Q266" i="10" s="1"/>
  <c r="N266" i="10" s="1"/>
  <c r="M266" i="10"/>
  <c r="EJ413" i="10"/>
  <c r="CC413" i="10"/>
  <c r="EH313" i="10"/>
  <c r="CA313" i="10"/>
  <c r="BU217" i="12"/>
  <c r="R218" i="10"/>
  <c r="BL217" i="12"/>
  <c r="EJ505" i="10"/>
  <c r="CC505" i="10"/>
  <c r="U425" i="10"/>
  <c r="BP424" i="12"/>
  <c r="EC199" i="10"/>
  <c r="ED199" i="10" s="1"/>
  <c r="BV199" i="10"/>
  <c r="BW199" i="10" s="1"/>
  <c r="BX199" i="10" s="1"/>
  <c r="BU199" i="10" s="1"/>
  <c r="P199" i="10"/>
  <c r="Q199" i="10" s="1"/>
  <c r="N199" i="10" s="1"/>
  <c r="M199" i="10"/>
  <c r="U353" i="10"/>
  <c r="BP352" i="12"/>
  <c r="EJ495" i="10"/>
  <c r="CC495" i="10"/>
  <c r="EG111" i="10"/>
  <c r="BZ111" i="10"/>
  <c r="EK286" i="10"/>
  <c r="CD286" i="10"/>
  <c r="CA432" i="10"/>
  <c r="EH432" i="10"/>
  <c r="EJ553" i="10"/>
  <c r="CC553" i="10"/>
  <c r="C411" i="1"/>
  <c r="B280" i="1"/>
  <c r="D280" i="1" s="1"/>
  <c r="C280" i="1"/>
  <c r="EC268" i="10"/>
  <c r="ED268" i="10" s="1"/>
  <c r="P268" i="10"/>
  <c r="Q268" i="10" s="1"/>
  <c r="N268" i="10" s="1"/>
  <c r="BV268" i="10"/>
  <c r="BW268" i="10" s="1"/>
  <c r="BX268" i="10" s="1"/>
  <c r="BU268" i="10" s="1"/>
  <c r="EH89" i="10"/>
  <c r="CA89" i="10"/>
  <c r="EJ500" i="10"/>
  <c r="CC500" i="10"/>
  <c r="CA379" i="10"/>
  <c r="EH379" i="10"/>
  <c r="EK230" i="10"/>
  <c r="CD230" i="10"/>
  <c r="EK121" i="10"/>
  <c r="CD121" i="10"/>
  <c r="BU184" i="12"/>
  <c r="R185" i="10"/>
  <c r="BL184" i="12"/>
  <c r="B197" i="1" s="1"/>
  <c r="D197" i="1" s="1"/>
  <c r="C48" i="1"/>
  <c r="EC57" i="10"/>
  <c r="ED57" i="10" s="1"/>
  <c r="BV57" i="10"/>
  <c r="BW57" i="10" s="1"/>
  <c r="BX57" i="10" s="1"/>
  <c r="BU57" i="10" s="1"/>
  <c r="P57" i="10"/>
  <c r="Q57" i="10" s="1"/>
  <c r="N57" i="10" s="1"/>
  <c r="M57" i="10"/>
  <c r="EG349" i="10"/>
  <c r="BZ349" i="10"/>
  <c r="EJ119" i="10"/>
  <c r="CC119" i="10"/>
  <c r="EK332" i="10"/>
  <c r="CD332" i="10"/>
  <c r="BU45" i="12"/>
  <c r="M46" i="10" s="1"/>
  <c r="R46" i="10"/>
  <c r="BL45" i="12"/>
  <c r="B58" i="1" s="1"/>
  <c r="D58" i="1" s="1"/>
  <c r="EK388" i="10"/>
  <c r="CD388" i="10"/>
  <c r="EG132" i="10"/>
  <c r="BZ132" i="10"/>
  <c r="B456" i="1"/>
  <c r="D456" i="1" s="1"/>
  <c r="EC220" i="10"/>
  <c r="ED220" i="10" s="1"/>
  <c r="P220" i="10"/>
  <c r="Q220" i="10" s="1"/>
  <c r="N220" i="10" s="1"/>
  <c r="BV220" i="10"/>
  <c r="BW220" i="10" s="1"/>
  <c r="BX220" i="10" s="1"/>
  <c r="BU220" i="10" s="1"/>
  <c r="BU507" i="12"/>
  <c r="R508" i="10"/>
  <c r="BL507" i="12"/>
  <c r="BU303" i="12"/>
  <c r="R304" i="10"/>
  <c r="BL303" i="12"/>
  <c r="EJ143" i="10"/>
  <c r="CC143" i="10"/>
  <c r="BU307" i="12"/>
  <c r="M308" i="10" s="1"/>
  <c r="R308" i="10"/>
  <c r="BL307" i="12"/>
  <c r="B320" i="1" s="1"/>
  <c r="D320" i="1" s="1"/>
  <c r="EK543" i="10"/>
  <c r="CD543" i="10"/>
  <c r="U287" i="10"/>
  <c r="BP286" i="12"/>
  <c r="C299" i="1" s="1"/>
  <c r="B317" i="1"/>
  <c r="D317" i="1" s="1"/>
  <c r="EC187" i="10"/>
  <c r="ED187" i="10" s="1"/>
  <c r="P187" i="10"/>
  <c r="Q187" i="10" s="1"/>
  <c r="BV187" i="10"/>
  <c r="BW187" i="10" s="1"/>
  <c r="BX187" i="10" s="1"/>
  <c r="BU187" i="10" s="1"/>
  <c r="M187" i="10"/>
  <c r="BU381" i="12"/>
  <c r="R382" i="10"/>
  <c r="BL381" i="12"/>
  <c r="U528" i="10"/>
  <c r="BP527" i="12"/>
  <c r="EJ136" i="10"/>
  <c r="CC136" i="10"/>
  <c r="EK301" i="10"/>
  <c r="CD301" i="10"/>
  <c r="EK447" i="10"/>
  <c r="CD447" i="10"/>
  <c r="EH41" i="10"/>
  <c r="CA41" i="10"/>
  <c r="B226" i="1"/>
  <c r="D226" i="1" s="1"/>
  <c r="B378" i="1"/>
  <c r="D378" i="1" s="1"/>
  <c r="C378" i="1"/>
  <c r="EC366" i="10"/>
  <c r="ED366" i="10" s="1"/>
  <c r="BV366" i="10"/>
  <c r="BW366" i="10" s="1"/>
  <c r="BX366" i="10" s="1"/>
  <c r="BU366" i="10" s="1"/>
  <c r="P366" i="10"/>
  <c r="Q366" i="10" s="1"/>
  <c r="N366" i="10" s="1"/>
  <c r="M366" i="10"/>
  <c r="CA512" i="10"/>
  <c r="EH512" i="10"/>
  <c r="BU117" i="12"/>
  <c r="R118" i="10"/>
  <c r="BL117" i="12"/>
  <c r="EG285" i="10"/>
  <c r="BZ285" i="10"/>
  <c r="BU430" i="12"/>
  <c r="M431" i="10" s="1"/>
  <c r="R431" i="10"/>
  <c r="BL430" i="12"/>
  <c r="B443" i="1" s="1"/>
  <c r="D443" i="1" s="1"/>
  <c r="EK129" i="10"/>
  <c r="CD129" i="10"/>
  <c r="EH350" i="10"/>
  <c r="CA350" i="10"/>
  <c r="C82" i="1"/>
  <c r="B82" i="1"/>
  <c r="D82" i="1" s="1"/>
  <c r="EC154" i="10"/>
  <c r="ED154" i="10" s="1"/>
  <c r="P154" i="10"/>
  <c r="Q154" i="10" s="1"/>
  <c r="N154" i="10" s="1"/>
  <c r="BV154" i="10"/>
  <c r="BW154" i="10" s="1"/>
  <c r="BX154" i="10" s="1"/>
  <c r="BU154" i="10" s="1"/>
  <c r="M154" i="10"/>
  <c r="BU47" i="12"/>
  <c r="R48" i="10"/>
  <c r="BL47" i="12"/>
  <c r="EJ323" i="10"/>
  <c r="CC323" i="10"/>
  <c r="EH209" i="10"/>
  <c r="CA209" i="10"/>
  <c r="EK343" i="10"/>
  <c r="CD343" i="10"/>
  <c r="EH11" i="10"/>
  <c r="CA11" i="10"/>
  <c r="BU74" i="12"/>
  <c r="M75" i="10" s="1"/>
  <c r="R75" i="10"/>
  <c r="BL74" i="12"/>
  <c r="B87" i="1" s="1"/>
  <c r="D87" i="1" s="1"/>
  <c r="EC204" i="10"/>
  <c r="ED204" i="10" s="1"/>
  <c r="P204" i="10"/>
  <c r="Q204" i="10" s="1"/>
  <c r="N204" i="10" s="1"/>
  <c r="BV204" i="10"/>
  <c r="BW204" i="10" s="1"/>
  <c r="BX204" i="10" s="1"/>
  <c r="BU204" i="10" s="1"/>
  <c r="M204" i="10"/>
  <c r="U37" i="10"/>
  <c r="BP36" i="12"/>
  <c r="U101" i="10"/>
  <c r="BP100" i="12"/>
  <c r="EJ166" i="10"/>
  <c r="CC166" i="10"/>
  <c r="U231" i="10"/>
  <c r="BP230" i="12"/>
  <c r="C243" i="1" s="1"/>
  <c r="EK298" i="10"/>
  <c r="CD298" i="10"/>
  <c r="U362" i="10"/>
  <c r="BP361" i="12"/>
  <c r="C374" i="1" s="1"/>
  <c r="C438" i="1"/>
  <c r="B438" i="1"/>
  <c r="D438" i="1" s="1"/>
  <c r="C502" i="1"/>
  <c r="EC490" i="10"/>
  <c r="ED490" i="10" s="1"/>
  <c r="BV490" i="10"/>
  <c r="BW490" i="10" s="1"/>
  <c r="BX490" i="10" s="1"/>
  <c r="BU490" i="10" s="1"/>
  <c r="P490" i="10"/>
  <c r="Q490" i="10" s="1"/>
  <c r="N490" i="10" s="1"/>
  <c r="BU553" i="12"/>
  <c r="R554" i="10"/>
  <c r="BL553" i="12"/>
  <c r="U49" i="10"/>
  <c r="BP48" i="12"/>
  <c r="EJ135" i="10"/>
  <c r="CC135" i="10"/>
  <c r="EK222" i="10"/>
  <c r="CD222" i="10"/>
  <c r="U300" i="10"/>
  <c r="BP299" i="12"/>
  <c r="U373" i="10"/>
  <c r="BP372" i="12"/>
  <c r="C385" i="1" s="1"/>
  <c r="B458" i="1"/>
  <c r="D458" i="1" s="1"/>
  <c r="C458" i="1"/>
  <c r="EC519" i="10"/>
  <c r="ED519" i="10" s="1"/>
  <c r="BV519" i="10"/>
  <c r="BW519" i="10" s="1"/>
  <c r="BX519" i="10" s="1"/>
  <c r="BU519" i="10" s="1"/>
  <c r="P519" i="10"/>
  <c r="Q519" i="10" s="1"/>
  <c r="N519" i="10" s="1"/>
  <c r="M519" i="10"/>
  <c r="BU39" i="12"/>
  <c r="R40" i="10"/>
  <c r="BL39" i="12"/>
  <c r="U126" i="10"/>
  <c r="BP125" i="12"/>
  <c r="EK211" i="10"/>
  <c r="CD211" i="10"/>
  <c r="EJ292" i="10"/>
  <c r="CC292" i="10"/>
  <c r="U365" i="10"/>
  <c r="BP364" i="12"/>
  <c r="C377" i="1" s="1"/>
  <c r="U438" i="10"/>
  <c r="BP437" i="12"/>
  <c r="C450" i="1" s="1"/>
  <c r="EH31" i="10"/>
  <c r="CA31" i="10"/>
  <c r="BU115" i="12"/>
  <c r="R116" i="10"/>
  <c r="BL115" i="12"/>
  <c r="BU201" i="12"/>
  <c r="R202" i="10"/>
  <c r="BL201" i="12"/>
  <c r="EH284" i="10"/>
  <c r="CA284" i="10"/>
  <c r="BU356" i="12"/>
  <c r="M357" i="10" s="1"/>
  <c r="R357" i="10"/>
  <c r="BL356" i="12"/>
  <c r="B369" i="1" s="1"/>
  <c r="D369" i="1" s="1"/>
  <c r="EH430" i="10"/>
  <c r="CA430" i="10"/>
  <c r="U503" i="10"/>
  <c r="BP502" i="12"/>
  <c r="C515" i="1" s="1"/>
  <c r="EC106" i="10"/>
  <c r="ED106" i="10" s="1"/>
  <c r="P106" i="10"/>
  <c r="Q106" i="10" s="1"/>
  <c r="N106" i="10" s="1"/>
  <c r="BV106" i="10"/>
  <c r="BW106" i="10" s="1"/>
  <c r="BX106" i="10" s="1"/>
  <c r="BU106" i="10" s="1"/>
  <c r="M106" i="10"/>
  <c r="EG193" i="10"/>
  <c r="BZ193" i="10"/>
  <c r="EJ275" i="10"/>
  <c r="CC275" i="10"/>
  <c r="BU421" i="12"/>
  <c r="R422" i="10"/>
  <c r="BL421" i="12"/>
  <c r="U33" i="10"/>
  <c r="BP32" i="12"/>
  <c r="C45" i="1" s="1"/>
  <c r="EJ173" i="10"/>
  <c r="CC173" i="10"/>
  <c r="CA472" i="10"/>
  <c r="EH472" i="10"/>
  <c r="C530" i="1"/>
  <c r="B530" i="1"/>
  <c r="D530" i="1" s="1"/>
  <c r="EC518" i="10"/>
  <c r="ED518" i="10" s="1"/>
  <c r="P518" i="10"/>
  <c r="Q518" i="10" s="1"/>
  <c r="N518" i="10" s="1"/>
  <c r="BV518" i="10"/>
  <c r="BW518" i="10" s="1"/>
  <c r="BX518" i="10" s="1"/>
  <c r="BU518" i="10" s="1"/>
  <c r="M518" i="10"/>
  <c r="EH297" i="10"/>
  <c r="CA297" i="10"/>
  <c r="EG24" i="10"/>
  <c r="BZ24" i="10"/>
  <c r="EG372" i="10"/>
  <c r="BZ372" i="10"/>
  <c r="EJ140" i="10"/>
  <c r="CC140" i="10"/>
  <c r="EG451" i="10"/>
  <c r="BZ451" i="10"/>
  <c r="EK453" i="10"/>
  <c r="CD453" i="10"/>
  <c r="C175" i="1"/>
  <c r="B175" i="1"/>
  <c r="D175" i="1" s="1"/>
  <c r="EC417" i="10"/>
  <c r="ED417" i="10" s="1"/>
  <c r="BV417" i="10"/>
  <c r="BW417" i="10" s="1"/>
  <c r="BX417" i="10" s="1"/>
  <c r="BU417" i="10" s="1"/>
  <c r="P417" i="10"/>
  <c r="Q417" i="10" s="1"/>
  <c r="N417" i="10" s="1"/>
  <c r="M417" i="10"/>
  <c r="U288" i="10"/>
  <c r="BP287" i="12"/>
  <c r="BU57" i="12"/>
  <c r="R58" i="10"/>
  <c r="BL57" i="12"/>
  <c r="U309" i="10"/>
  <c r="BP308" i="12"/>
  <c r="BU454" i="12"/>
  <c r="M455" i="10" s="1"/>
  <c r="R455" i="10"/>
  <c r="BL454" i="12"/>
  <c r="B467" i="1" s="1"/>
  <c r="D467" i="1" s="1"/>
  <c r="EG50" i="10"/>
  <c r="BZ50" i="10"/>
  <c r="EG224" i="10"/>
  <c r="BZ224" i="10"/>
  <c r="B386" i="1"/>
  <c r="D386" i="1" s="1"/>
  <c r="EC520" i="10"/>
  <c r="ED520" i="10" s="1"/>
  <c r="P520" i="10"/>
  <c r="Q520" i="10" s="1"/>
  <c r="N520" i="10" s="1"/>
  <c r="BV520" i="10"/>
  <c r="BW520" i="10" s="1"/>
  <c r="BX520" i="10" s="1"/>
  <c r="BU520" i="10" s="1"/>
  <c r="M520" i="10"/>
  <c r="BU126" i="12"/>
  <c r="R127" i="10"/>
  <c r="BL126" i="12"/>
  <c r="EG293" i="10"/>
  <c r="BZ293" i="10"/>
  <c r="EH439" i="10"/>
  <c r="CA439" i="10"/>
  <c r="EK32" i="10"/>
  <c r="CD32" i="10"/>
  <c r="EH203" i="10"/>
  <c r="CA203" i="10"/>
  <c r="EJ358" i="10"/>
  <c r="CC358" i="10"/>
  <c r="B56" i="1"/>
  <c r="D56" i="1" s="1"/>
  <c r="C56" i="1"/>
  <c r="EC194" i="10"/>
  <c r="ED194" i="10" s="1"/>
  <c r="P194" i="10"/>
  <c r="Q194" i="10" s="1"/>
  <c r="N194" i="10" s="1"/>
  <c r="BV194" i="10"/>
  <c r="BW194" i="10" s="1"/>
  <c r="BX194" i="10" s="1"/>
  <c r="BU194" i="10" s="1"/>
  <c r="CA488" i="10"/>
  <c r="EH488" i="10"/>
  <c r="U258" i="10"/>
  <c r="BP257" i="12"/>
  <c r="CA462" i="10"/>
  <c r="EH462" i="10"/>
  <c r="EK524" i="10"/>
  <c r="CD524" i="10"/>
  <c r="EJ66" i="10"/>
  <c r="CC66" i="10"/>
  <c r="BU469" i="12"/>
  <c r="M470" i="10" s="1"/>
  <c r="R470" i="10"/>
  <c r="BL469" i="12"/>
  <c r="B482" i="1" s="1"/>
  <c r="D482" i="1" s="1"/>
  <c r="EC83" i="10"/>
  <c r="ED83" i="10" s="1"/>
  <c r="P83" i="10"/>
  <c r="Q83" i="10" s="1"/>
  <c r="N83" i="10" s="1"/>
  <c r="BV83" i="10"/>
  <c r="BW83" i="10" s="1"/>
  <c r="BX83" i="10" s="1"/>
  <c r="BU83" i="10" s="1"/>
  <c r="BU147" i="12"/>
  <c r="R148" i="10"/>
  <c r="BL147" i="12"/>
  <c r="U212" i="10"/>
  <c r="BP211" i="12"/>
  <c r="EG45" i="10"/>
  <c r="BZ45" i="10"/>
  <c r="U109" i="10"/>
  <c r="BP108" i="12"/>
  <c r="C121" i="1" s="1"/>
  <c r="EH174" i="10"/>
  <c r="CA174" i="10"/>
  <c r="EJ239" i="10"/>
  <c r="CC239" i="10"/>
  <c r="EC370" i="10"/>
  <c r="ED370" i="10" s="1"/>
  <c r="BV370" i="10"/>
  <c r="BW370" i="10" s="1"/>
  <c r="BX370" i="10" s="1"/>
  <c r="BU370" i="10" s="1"/>
  <c r="P370" i="10"/>
  <c r="Q370" i="10" s="1"/>
  <c r="N370" i="10" s="1"/>
  <c r="CA434" i="10"/>
  <c r="EH434" i="10"/>
  <c r="EK498" i="10"/>
  <c r="CD498" i="10"/>
  <c r="CA562" i="10"/>
  <c r="EH562" i="10"/>
  <c r="EK60" i="10"/>
  <c r="CD60" i="10"/>
  <c r="EG146" i="10"/>
  <c r="BZ146" i="10"/>
  <c r="U233" i="10"/>
  <c r="BP232" i="12"/>
  <c r="C245" i="1" s="1"/>
  <c r="EC91" i="10"/>
  <c r="ED91" i="10" s="1"/>
  <c r="P91" i="10"/>
  <c r="Q91" i="10" s="1"/>
  <c r="N91" i="10" s="1"/>
  <c r="BV91" i="10"/>
  <c r="BW91" i="10" s="1"/>
  <c r="BX91" i="10" s="1"/>
  <c r="BU91" i="10" s="1"/>
  <c r="EH156" i="10"/>
  <c r="CA156" i="10"/>
  <c r="U221" i="10"/>
  <c r="BP220" i="12"/>
  <c r="EG53" i="10"/>
  <c r="BZ53" i="10"/>
  <c r="U117" i="10"/>
  <c r="BP116" i="12"/>
  <c r="C129" i="1" s="1"/>
  <c r="EH182" i="10"/>
  <c r="CA182" i="10"/>
  <c r="EJ247" i="10"/>
  <c r="CC247" i="10"/>
  <c r="EC378" i="10"/>
  <c r="ED378" i="10" s="1"/>
  <c r="BV378" i="10"/>
  <c r="BW378" i="10" s="1"/>
  <c r="BX378" i="10" s="1"/>
  <c r="BU378" i="10" s="1"/>
  <c r="P378" i="10"/>
  <c r="Q378" i="10" s="1"/>
  <c r="N378" i="10" s="1"/>
  <c r="BU441" i="12"/>
  <c r="R442" i="10"/>
  <c r="BL441" i="12"/>
  <c r="EK506" i="10"/>
  <c r="CD506" i="10"/>
  <c r="EJ6" i="10"/>
  <c r="CC6" i="10"/>
  <c r="EG71" i="10"/>
  <c r="BZ71" i="10"/>
  <c r="EK157" i="10"/>
  <c r="CD157" i="10"/>
  <c r="EK242" i="10"/>
  <c r="CD242" i="10"/>
  <c r="C403" i="1"/>
  <c r="EC391" i="10"/>
  <c r="ED391" i="10" s="1"/>
  <c r="BV391" i="10"/>
  <c r="BW391" i="10" s="1"/>
  <c r="BX391" i="10" s="1"/>
  <c r="BU391" i="10" s="1"/>
  <c r="P391" i="10"/>
  <c r="Q391" i="10" s="1"/>
  <c r="N391" i="10" s="1"/>
  <c r="BU463" i="12"/>
  <c r="R464" i="10"/>
  <c r="BL463" i="12"/>
  <c r="BU536" i="12"/>
  <c r="R537" i="10"/>
  <c r="BL536" i="12"/>
  <c r="EH62" i="10"/>
  <c r="CA62" i="10"/>
  <c r="EK147" i="10"/>
  <c r="CD147" i="10"/>
  <c r="EG234" i="10"/>
  <c r="BZ234" i="10"/>
  <c r="EH310" i="10"/>
  <c r="CA310" i="10"/>
  <c r="C395" i="1"/>
  <c r="B468" i="1"/>
  <c r="D468" i="1" s="1"/>
  <c r="EC456" i="10"/>
  <c r="ED456" i="10" s="1"/>
  <c r="P456" i="10"/>
  <c r="Q456" i="10" s="1"/>
  <c r="N456" i="10" s="1"/>
  <c r="BV456" i="10"/>
  <c r="BW456" i="10" s="1"/>
  <c r="BX456" i="10" s="1"/>
  <c r="BU456" i="10" s="1"/>
  <c r="M456" i="10"/>
  <c r="U529" i="10"/>
  <c r="BP528" i="12"/>
  <c r="U52" i="10"/>
  <c r="BP51" i="12"/>
  <c r="EJ137" i="10"/>
  <c r="CC137" i="10"/>
  <c r="EK225" i="10"/>
  <c r="CD225" i="10"/>
  <c r="EH302" i="10"/>
  <c r="CA302" i="10"/>
  <c r="EJ375" i="10"/>
  <c r="CC375" i="10"/>
  <c r="EC521" i="10"/>
  <c r="ED521" i="10" s="1"/>
  <c r="BV521" i="10"/>
  <c r="BW521" i="10" s="1"/>
  <c r="BX521" i="10" s="1"/>
  <c r="BU521" i="10" s="1"/>
  <c r="P521" i="10"/>
  <c r="Q521" i="10" s="1"/>
  <c r="N521" i="10" s="1"/>
  <c r="U42" i="10"/>
  <c r="BP41" i="12"/>
  <c r="EK128" i="10"/>
  <c r="CD128" i="10"/>
  <c r="CA216" i="10"/>
  <c r="EH216" i="10"/>
  <c r="U294" i="10"/>
  <c r="BP293" i="12"/>
  <c r="C306" i="1" s="1"/>
  <c r="U367" i="10"/>
  <c r="BP366" i="12"/>
  <c r="C379" i="1" s="1"/>
  <c r="EK440" i="10"/>
  <c r="CD440" i="10"/>
  <c r="B67" i="1"/>
  <c r="D67" i="1" s="1"/>
  <c r="EC12" i="10"/>
  <c r="ED12" i="10" s="1"/>
  <c r="BV12" i="10"/>
  <c r="BW12" i="10" s="1"/>
  <c r="BX12" i="10" s="1"/>
  <c r="BU12" i="10" s="1"/>
  <c r="P12" i="10"/>
  <c r="Q12" i="10" s="1"/>
  <c r="N12" i="10" s="1"/>
  <c r="BU216" i="12"/>
  <c r="R217" i="10"/>
  <c r="BL216" i="12"/>
  <c r="EK368" i="10"/>
  <c r="CD368" i="10"/>
  <c r="BU503" i="12"/>
  <c r="R504" i="10"/>
  <c r="BL503" i="12"/>
  <c r="EH100" i="10"/>
  <c r="CA100" i="10"/>
  <c r="EK277" i="10"/>
  <c r="CD277" i="10"/>
  <c r="EG424" i="10"/>
  <c r="BZ424" i="10"/>
  <c r="EC176" i="10"/>
  <c r="ED176" i="10" s="1"/>
  <c r="BV176" i="10"/>
  <c r="BW176" i="10" s="1"/>
  <c r="BX176" i="10" s="1"/>
  <c r="BU176" i="10" s="1"/>
  <c r="P176" i="10"/>
  <c r="Q176" i="10" s="1"/>
  <c r="N176" i="10" s="1"/>
  <c r="EG334" i="10"/>
  <c r="BZ334" i="10"/>
  <c r="EK478" i="10"/>
  <c r="CD478" i="10"/>
  <c r="EJ79" i="10"/>
  <c r="CC79" i="10"/>
  <c r="U260" i="10"/>
  <c r="BP259" i="12"/>
  <c r="C272" i="1" s="1"/>
  <c r="EJ408" i="10"/>
  <c r="CC408" i="10"/>
  <c r="EK536" i="10"/>
  <c r="CD536" i="10"/>
  <c r="B196" i="1"/>
  <c r="D196" i="1" s="1"/>
  <c r="C196" i="1"/>
  <c r="C353" i="1"/>
  <c r="EC341" i="10"/>
  <c r="ED341" i="10" s="1"/>
  <c r="P341" i="10"/>
  <c r="Q341" i="10" s="1"/>
  <c r="N341" i="10" s="1"/>
  <c r="BV341" i="10"/>
  <c r="BW341" i="10" s="1"/>
  <c r="BX341" i="10" s="1"/>
  <c r="BU341" i="10" s="1"/>
  <c r="BU479" i="12"/>
  <c r="R480" i="10"/>
  <c r="BL479" i="12"/>
  <c r="U144" i="10"/>
  <c r="BP143" i="12"/>
  <c r="EG532" i="10"/>
  <c r="BZ532" i="10"/>
  <c r="EG415" i="10"/>
  <c r="BZ415" i="10"/>
  <c r="EJ269" i="10"/>
  <c r="CC269" i="10"/>
  <c r="U90" i="10"/>
  <c r="BP89" i="12"/>
  <c r="C525" i="1"/>
  <c r="B525" i="1"/>
  <c r="D525" i="1" s="1"/>
  <c r="B392" i="1"/>
  <c r="D392" i="1" s="1"/>
  <c r="EC380" i="10"/>
  <c r="ED380" i="10" s="1"/>
  <c r="P380" i="10"/>
  <c r="Q380" i="10" s="1"/>
  <c r="N380" i="10" s="1"/>
  <c r="BV380" i="10"/>
  <c r="BW380" i="10" s="1"/>
  <c r="BX380" i="10" s="1"/>
  <c r="BU380" i="10" s="1"/>
  <c r="M380" i="10"/>
  <c r="U526" i="10"/>
  <c r="BP525" i="12"/>
  <c r="EJ559" i="10"/>
  <c r="CC559" i="10"/>
  <c r="EH481" i="10"/>
  <c r="CA481" i="10"/>
  <c r="EK249" i="10"/>
  <c r="CD249" i="10"/>
  <c r="EK197" i="10"/>
  <c r="CD197" i="10"/>
  <c r="EK352" i="10"/>
  <c r="CD352" i="10"/>
  <c r="C503" i="1"/>
  <c r="EC110" i="10"/>
  <c r="ED110" i="10" s="1"/>
  <c r="P110" i="10"/>
  <c r="Q110" i="10" s="1"/>
  <c r="N110" i="10" s="1"/>
  <c r="BV110" i="10"/>
  <c r="BW110" i="10" s="1"/>
  <c r="BX110" i="10" s="1"/>
  <c r="BU110" i="10" s="1"/>
  <c r="M110" i="10"/>
  <c r="EG279" i="10"/>
  <c r="BZ279" i="10"/>
  <c r="BU426" i="12"/>
  <c r="R427" i="10"/>
  <c r="BL426" i="12"/>
  <c r="EJ552" i="10"/>
  <c r="CC552" i="10"/>
  <c r="EG205" i="10"/>
  <c r="BZ205" i="10"/>
  <c r="EH359" i="10"/>
  <c r="CA359" i="10"/>
  <c r="EG496" i="10"/>
  <c r="BZ496" i="10"/>
  <c r="B219" i="1"/>
  <c r="D219" i="1" s="1"/>
  <c r="C219" i="1"/>
  <c r="C225" i="1"/>
  <c r="B225" i="1"/>
  <c r="D225" i="1" s="1"/>
  <c r="EC213" i="10"/>
  <c r="ED213" i="10" s="1"/>
  <c r="P213" i="10"/>
  <c r="Q213" i="10" s="1"/>
  <c r="N213" i="10" s="1"/>
  <c r="BV213" i="10"/>
  <c r="BW213" i="10" s="1"/>
  <c r="BX213" i="10" s="1"/>
  <c r="BU213" i="10" s="1"/>
  <c r="M213" i="10"/>
  <c r="EH324" i="10"/>
  <c r="CA324" i="10"/>
  <c r="CD165" i="10"/>
  <c r="EK165" i="10"/>
  <c r="EG433" i="10"/>
  <c r="BZ433" i="10"/>
  <c r="EK186" i="10"/>
  <c r="CD186" i="10"/>
  <c r="EJ344" i="10"/>
  <c r="CC344" i="10"/>
  <c r="EK232" i="10"/>
  <c r="CD232" i="10"/>
  <c r="B47" i="1"/>
  <c r="D47" i="1" s="1"/>
  <c r="EC99" i="10"/>
  <c r="ED99" i="10" s="1"/>
  <c r="P99" i="10"/>
  <c r="Q99" i="10" s="1"/>
  <c r="N99" i="10" s="1"/>
  <c r="BV99" i="10"/>
  <c r="BW99" i="10" s="1"/>
  <c r="BX99" i="10" s="1"/>
  <c r="BU99" i="10" s="1"/>
  <c r="BU163" i="12"/>
  <c r="R164" i="10"/>
  <c r="BL163" i="12"/>
  <c r="U229" i="10"/>
  <c r="BP228" i="12"/>
  <c r="EG61" i="10"/>
  <c r="BZ61" i="10"/>
  <c r="U125" i="10"/>
  <c r="BP124" i="12"/>
  <c r="C137" i="1" s="1"/>
  <c r="EJ190" i="10"/>
  <c r="CC190" i="10"/>
  <c r="EG256" i="10"/>
  <c r="BZ256" i="10"/>
  <c r="EC386" i="10"/>
  <c r="ED386" i="10" s="1"/>
  <c r="BV386" i="10"/>
  <c r="BW386" i="10" s="1"/>
  <c r="BX386" i="10" s="1"/>
  <c r="BU386" i="10" s="1"/>
  <c r="P386" i="10"/>
  <c r="Q386" i="10" s="1"/>
  <c r="N386" i="10" s="1"/>
  <c r="M386" i="10"/>
  <c r="EG450" i="10"/>
  <c r="BZ450" i="10"/>
  <c r="EK514" i="10"/>
  <c r="CD514" i="10"/>
  <c r="EH14" i="10"/>
  <c r="CA14" i="10"/>
  <c r="EJ81" i="10"/>
  <c r="CC81" i="10"/>
  <c r="EJ168" i="10"/>
  <c r="CC168" i="10"/>
  <c r="EJ252" i="10"/>
  <c r="CC252" i="10"/>
  <c r="C339" i="1"/>
  <c r="EC400" i="10"/>
  <c r="ED400" i="10" s="1"/>
  <c r="P400" i="10"/>
  <c r="Q400" i="10" s="1"/>
  <c r="N400" i="10" s="1"/>
  <c r="BV400" i="10"/>
  <c r="BW400" i="10" s="1"/>
  <c r="BX400" i="10" s="1"/>
  <c r="BU400" i="10" s="1"/>
  <c r="EG473" i="10"/>
  <c r="BZ473" i="10"/>
  <c r="EJ547" i="10"/>
  <c r="CC547" i="10"/>
  <c r="EJ72" i="10"/>
  <c r="CC72" i="10"/>
  <c r="EJ159" i="10"/>
  <c r="CC159" i="10"/>
  <c r="EK243" i="10"/>
  <c r="CD243" i="10"/>
  <c r="BU318" i="12"/>
  <c r="R319" i="10"/>
  <c r="BL318" i="12"/>
  <c r="B331" i="1" s="1"/>
  <c r="D331" i="1" s="1"/>
  <c r="EC465" i="10"/>
  <c r="ED465" i="10" s="1"/>
  <c r="BV465" i="10"/>
  <c r="BW465" i="10" s="1"/>
  <c r="BX465" i="10" s="1"/>
  <c r="BU465" i="10" s="1"/>
  <c r="P465" i="10"/>
  <c r="Q465" i="10" s="1"/>
  <c r="N465" i="10" s="1"/>
  <c r="CA539" i="10"/>
  <c r="EH539" i="10"/>
  <c r="BU62" i="12"/>
  <c r="R63" i="10"/>
  <c r="BL62" i="12"/>
  <c r="EJ149" i="10"/>
  <c r="CC149" i="10"/>
  <c r="EG235" i="10"/>
  <c r="BZ235" i="10"/>
  <c r="EJ311" i="10"/>
  <c r="CC311" i="10"/>
  <c r="EH384" i="10"/>
  <c r="CA384" i="10"/>
  <c r="EC531" i="10"/>
  <c r="ED531" i="10" s="1"/>
  <c r="P531" i="10"/>
  <c r="Q531" i="10" s="1"/>
  <c r="N531" i="10" s="1"/>
  <c r="BV531" i="10"/>
  <c r="BW531" i="10" s="1"/>
  <c r="BX531" i="10" s="1"/>
  <c r="BU531" i="10" s="1"/>
  <c r="EG54" i="10"/>
  <c r="BZ54" i="10"/>
  <c r="BU137" i="12"/>
  <c r="R138" i="10"/>
  <c r="BL137" i="12"/>
  <c r="EG226" i="10"/>
  <c r="BZ226" i="10"/>
  <c r="BU302" i="12"/>
  <c r="M303" i="10" s="1"/>
  <c r="R303" i="10"/>
  <c r="BL302" i="12"/>
  <c r="B315" i="1" s="1"/>
  <c r="D315" i="1" s="1"/>
  <c r="U376" i="10"/>
  <c r="BP375" i="12"/>
  <c r="C388" i="1" s="1"/>
  <c r="BZ449" i="10"/>
  <c r="EG449" i="10"/>
  <c r="B77" i="1"/>
  <c r="D77" i="1" s="1"/>
  <c r="C77" i="1"/>
  <c r="EG38" i="10"/>
  <c r="BZ38" i="10"/>
  <c r="BU236" i="12"/>
  <c r="R237" i="10"/>
  <c r="BL236" i="12"/>
  <c r="EK387" i="10"/>
  <c r="CD387" i="10"/>
  <c r="CA517" i="10"/>
  <c r="EH517" i="10"/>
  <c r="EK130" i="10"/>
  <c r="CD130" i="10"/>
  <c r="EK296" i="10"/>
  <c r="CD296" i="10"/>
  <c r="EG443" i="10"/>
  <c r="BZ443" i="10"/>
  <c r="C466" i="1"/>
  <c r="EC454" i="10"/>
  <c r="ED454" i="10" s="1"/>
  <c r="BV454" i="10"/>
  <c r="BW454" i="10" s="1"/>
  <c r="BX454" i="10" s="1"/>
  <c r="BU454" i="10" s="1"/>
  <c r="P454" i="10"/>
  <c r="Q454" i="10" s="1"/>
  <c r="N454" i="10" s="1"/>
  <c r="BU543" i="12"/>
  <c r="R544" i="10"/>
  <c r="BL543" i="12"/>
  <c r="U142" i="10"/>
  <c r="BP141" i="12"/>
  <c r="EJ120" i="10"/>
  <c r="CC120" i="10"/>
  <c r="EG398" i="10"/>
  <c r="BZ398" i="10"/>
  <c r="U43" i="10"/>
  <c r="BP42" i="12"/>
  <c r="C119" i="1"/>
  <c r="B119" i="1"/>
  <c r="D119" i="1" s="1"/>
  <c r="BU68" i="12"/>
  <c r="R69" i="10"/>
  <c r="BL68" i="12"/>
  <c r="EJ133" i="10"/>
  <c r="CC133" i="10"/>
  <c r="EH198" i="10"/>
  <c r="CA198" i="10"/>
  <c r="BZ264" i="10"/>
  <c r="EG264" i="10"/>
  <c r="EH330" i="10"/>
  <c r="CA330" i="10"/>
  <c r="EJ394" i="10"/>
  <c r="CC394" i="10"/>
  <c r="C534" i="1"/>
  <c r="EC522" i="10"/>
  <c r="ED522" i="10" s="1"/>
  <c r="BV522" i="10"/>
  <c r="BW522" i="10" s="1"/>
  <c r="BX522" i="10" s="1"/>
  <c r="BU522" i="10" s="1"/>
  <c r="P522" i="10"/>
  <c r="Q522" i="10" s="1"/>
  <c r="N522" i="10" s="1"/>
  <c r="BU3" i="12"/>
  <c r="R4" i="10"/>
  <c r="BL3" i="12"/>
  <c r="BU91" i="12"/>
  <c r="R92" i="10"/>
  <c r="BL91" i="12"/>
  <c r="EH178" i="10"/>
  <c r="CA178" i="10"/>
  <c r="EJ261" i="10"/>
  <c r="CC261" i="10"/>
  <c r="EH336" i="10"/>
  <c r="CA336" i="10"/>
  <c r="EJ409" i="10"/>
  <c r="CC409" i="10"/>
  <c r="U483" i="10"/>
  <c r="BP482" i="12"/>
  <c r="C495" i="1" s="1"/>
  <c r="C568" i="1"/>
  <c r="EC556" i="10"/>
  <c r="ED556" i="10" s="1"/>
  <c r="P556" i="10"/>
  <c r="Q556" i="10" s="1"/>
  <c r="N556" i="10" s="1"/>
  <c r="BV556" i="10"/>
  <c r="BW556" i="10" s="1"/>
  <c r="BX556" i="10" s="1"/>
  <c r="BU556" i="10" s="1"/>
  <c r="BU81" i="12"/>
  <c r="R82" i="10"/>
  <c r="BL81" i="12"/>
  <c r="BU168" i="12"/>
  <c r="R169" i="10"/>
  <c r="BL168" i="12"/>
  <c r="BU252" i="12"/>
  <c r="R253" i="10"/>
  <c r="BL252" i="12"/>
  <c r="B265" i="1" s="1"/>
  <c r="D265" i="1" s="1"/>
  <c r="EK328" i="10"/>
  <c r="CD328" i="10"/>
  <c r="EK401" i="10"/>
  <c r="CD401" i="10"/>
  <c r="CA475" i="10"/>
  <c r="EH475" i="10"/>
  <c r="EC73" i="10"/>
  <c r="ED73" i="10" s="1"/>
  <c r="BV73" i="10"/>
  <c r="BW73" i="10" s="1"/>
  <c r="BX73" i="10" s="1"/>
  <c r="BU73" i="10" s="1"/>
  <c r="P73" i="10"/>
  <c r="Q73" i="10" s="1"/>
  <c r="N73" i="10" s="1"/>
  <c r="BU159" i="12"/>
  <c r="R160" i="10"/>
  <c r="BL159" i="12"/>
  <c r="EK244" i="10"/>
  <c r="CD244" i="10"/>
  <c r="EG320" i="10"/>
  <c r="BZ320" i="10"/>
  <c r="EG393" i="10"/>
  <c r="BZ393" i="10"/>
  <c r="EH467" i="10"/>
  <c r="CA467" i="10"/>
  <c r="EH540" i="10"/>
  <c r="CA540" i="10"/>
  <c r="C76" i="1"/>
  <c r="EC151" i="10"/>
  <c r="ED151" i="10" s="1"/>
  <c r="BV151" i="10"/>
  <c r="BW151" i="10" s="1"/>
  <c r="BX151" i="10" s="1"/>
  <c r="BU151" i="10" s="1"/>
  <c r="P151" i="10"/>
  <c r="Q151" i="10" s="1"/>
  <c r="N151" i="10" s="1"/>
  <c r="M151" i="10"/>
  <c r="EG236" i="10"/>
  <c r="BZ236" i="10"/>
  <c r="EC312" i="10"/>
  <c r="ED312" i="10" s="1"/>
  <c r="P312" i="10"/>
  <c r="Q312" i="10" s="1"/>
  <c r="N312" i="10" s="1"/>
  <c r="BV312" i="10"/>
  <c r="BW312" i="10" s="1"/>
  <c r="BX312" i="10" s="1"/>
  <c r="BU312" i="10" s="1"/>
  <c r="BU384" i="12"/>
  <c r="R385" i="10"/>
  <c r="BL384" i="12"/>
  <c r="EK459" i="10"/>
  <c r="CD459" i="10"/>
  <c r="EG76" i="10"/>
  <c r="BZ76" i="10"/>
  <c r="EK68" i="10"/>
  <c r="CD68" i="10"/>
  <c r="B269" i="1"/>
  <c r="D269" i="1" s="1"/>
  <c r="EC405" i="10"/>
  <c r="ED405" i="10" s="1"/>
  <c r="P405" i="10"/>
  <c r="Q405" i="10" s="1"/>
  <c r="N405" i="10" s="1"/>
  <c r="BV405" i="10"/>
  <c r="BW405" i="10" s="1"/>
  <c r="BX405" i="10" s="1"/>
  <c r="BU405" i="10" s="1"/>
  <c r="M405" i="10"/>
  <c r="EG533" i="10"/>
  <c r="BZ533" i="10"/>
  <c r="EK153" i="10"/>
  <c r="CD153" i="10"/>
  <c r="EG315" i="10"/>
  <c r="BZ315" i="10"/>
  <c r="EG461" i="10"/>
  <c r="BZ461" i="10"/>
  <c r="EJ16" i="10"/>
  <c r="CC16" i="10"/>
  <c r="EH219" i="10"/>
  <c r="CA219" i="10"/>
  <c r="EC507" i="10"/>
  <c r="ED507" i="10" s="1"/>
  <c r="P507" i="10"/>
  <c r="Q507" i="10" s="1"/>
  <c r="N507" i="10" s="1"/>
  <c r="BV507" i="10"/>
  <c r="BW507" i="10" s="1"/>
  <c r="BX507" i="10" s="1"/>
  <c r="BU507" i="10" s="1"/>
  <c r="M507" i="10"/>
  <c r="BZ134" i="10"/>
  <c r="EG134" i="10"/>
  <c r="EH299" i="10"/>
  <c r="CA299" i="10"/>
  <c r="EG445" i="10"/>
  <c r="BZ445" i="10"/>
  <c r="U25" i="10"/>
  <c r="BP24" i="12"/>
  <c r="C37" i="1" s="1"/>
  <c r="EC227" i="10"/>
  <c r="ED227" i="10" s="1"/>
  <c r="P227" i="10"/>
  <c r="Q227" i="10" s="1"/>
  <c r="N227" i="10" s="1"/>
  <c r="BV227" i="10"/>
  <c r="BW227" i="10" s="1"/>
  <c r="BX227" i="10" s="1"/>
  <c r="BU227" i="10" s="1"/>
  <c r="M227" i="10"/>
  <c r="EH377" i="10"/>
  <c r="CA377" i="10"/>
  <c r="B263" i="1"/>
  <c r="D263" i="1" s="1"/>
  <c r="C263" i="1"/>
  <c r="EC251" i="10"/>
  <c r="ED251" i="10" s="1"/>
  <c r="P251" i="10"/>
  <c r="Q251" i="10" s="1"/>
  <c r="N251" i="10" s="1"/>
  <c r="BV251" i="10"/>
  <c r="BW251" i="10" s="1"/>
  <c r="BX251" i="10" s="1"/>
  <c r="BU251" i="10" s="1"/>
  <c r="M251" i="10"/>
  <c r="EG88" i="10"/>
  <c r="BZ88" i="10"/>
  <c r="U499" i="10"/>
  <c r="BP498" i="12"/>
  <c r="EK363" i="10"/>
  <c r="CD363" i="10"/>
  <c r="BU227" i="12"/>
  <c r="M228" i="10" s="1"/>
  <c r="R228" i="10"/>
  <c r="BL227" i="12"/>
  <c r="B240" i="1" s="1"/>
  <c r="D240" i="1" s="1"/>
  <c r="EG34" i="10"/>
  <c r="BZ34" i="10"/>
  <c r="EJ471" i="10"/>
  <c r="CC471" i="10"/>
  <c r="B301" i="1"/>
  <c r="D301" i="1" s="1"/>
  <c r="EC342" i="10"/>
  <c r="ED342" i="10" s="1"/>
  <c r="BV342" i="10"/>
  <c r="BW342" i="10" s="1"/>
  <c r="BX342" i="10" s="1"/>
  <c r="BU342" i="10" s="1"/>
  <c r="P342" i="10"/>
  <c r="Q342" i="10" s="1"/>
  <c r="N342" i="10" s="1"/>
  <c r="CA250" i="10"/>
  <c r="EH250" i="10"/>
  <c r="EJ381" i="10"/>
  <c r="CC381" i="10"/>
  <c r="EG267" i="10"/>
  <c r="BZ267" i="10"/>
  <c r="EK208" i="10"/>
  <c r="CD208" i="10"/>
  <c r="EG325" i="10"/>
  <c r="BZ325" i="10"/>
  <c r="EH527" i="10"/>
  <c r="CA527" i="10"/>
  <c r="B328" i="1"/>
  <c r="D328" i="1" s="1"/>
  <c r="EC316" i="10"/>
  <c r="ED316" i="10" s="1"/>
  <c r="P316" i="10"/>
  <c r="Q316" i="10" s="1"/>
  <c r="N316" i="10" s="1"/>
  <c r="BV316" i="10"/>
  <c r="BW316" i="10" s="1"/>
  <c r="BX316" i="10" s="1"/>
  <c r="BU316" i="10" s="1"/>
  <c r="M316" i="10"/>
  <c r="U162" i="10"/>
  <c r="BP161" i="12"/>
  <c r="BU360" i="12"/>
  <c r="R361" i="10"/>
  <c r="BL360" i="12"/>
  <c r="EH326" i="10"/>
  <c r="CA326" i="10"/>
  <c r="EJ51" i="10"/>
  <c r="CC51" i="10"/>
  <c r="EK115" i="10"/>
  <c r="CD115" i="10"/>
  <c r="U180" i="10"/>
  <c r="BP179" i="12"/>
  <c r="C192" i="1" s="1"/>
  <c r="B25" i="1"/>
  <c r="D25" i="1" s="1"/>
  <c r="C25" i="1"/>
  <c r="EC77" i="10"/>
  <c r="ED77" i="10" s="1"/>
  <c r="P77" i="10"/>
  <c r="Q77" i="10" s="1"/>
  <c r="N77" i="10" s="1"/>
  <c r="BV77" i="10"/>
  <c r="BW77" i="10" s="1"/>
  <c r="BX77" i="10" s="1"/>
  <c r="BU77" i="10" s="1"/>
  <c r="M77" i="10"/>
  <c r="BU140" i="12"/>
  <c r="R141" i="10"/>
  <c r="BL140" i="12"/>
  <c r="EK206" i="10"/>
  <c r="CD206" i="10"/>
  <c r="CA273" i="10"/>
  <c r="EH273" i="10"/>
  <c r="EG338" i="10"/>
  <c r="BZ338" i="10"/>
  <c r="CA402" i="10"/>
  <c r="EH402" i="10"/>
  <c r="CA466" i="10"/>
  <c r="EH466" i="10"/>
  <c r="EC17" i="10"/>
  <c r="ED17" i="10" s="1"/>
  <c r="BV17" i="10"/>
  <c r="BW17" i="10" s="1"/>
  <c r="BX17" i="10" s="1"/>
  <c r="BU17" i="10" s="1"/>
  <c r="P17" i="10"/>
  <c r="Q17" i="10" s="1"/>
  <c r="N17" i="10" s="1"/>
  <c r="U103" i="10"/>
  <c r="BP102" i="12"/>
  <c r="BU188" i="12"/>
  <c r="R189" i="10"/>
  <c r="BL188" i="12"/>
  <c r="EH271" i="10"/>
  <c r="CA271" i="10"/>
  <c r="CA345" i="10"/>
  <c r="EH345" i="10"/>
  <c r="EJ419" i="10"/>
  <c r="CC419" i="10"/>
  <c r="EH492" i="10"/>
  <c r="CA492" i="10"/>
  <c r="EC94" i="10"/>
  <c r="ED94" i="10" s="1"/>
  <c r="P94" i="10"/>
  <c r="Q94" i="10" s="1"/>
  <c r="N94" i="10" s="1"/>
  <c r="BV94" i="10"/>
  <c r="BW94" i="10" s="1"/>
  <c r="BX94" i="10" s="1"/>
  <c r="BU94" i="10" s="1"/>
  <c r="EH179" i="10"/>
  <c r="CA179" i="10"/>
  <c r="EJ262" i="10"/>
  <c r="CC262" i="10"/>
  <c r="CA337" i="10"/>
  <c r="EH337" i="10"/>
  <c r="BU410" i="12"/>
  <c r="M411" i="10" s="1"/>
  <c r="R411" i="10"/>
  <c r="BL410" i="12"/>
  <c r="B423" i="1" s="1"/>
  <c r="D423" i="1" s="1"/>
  <c r="EJ484" i="10"/>
  <c r="CC484" i="10"/>
  <c r="EH557" i="10"/>
  <c r="CA557" i="10"/>
  <c r="B96" i="1"/>
  <c r="D96" i="1" s="1"/>
  <c r="C96" i="1"/>
  <c r="C182" i="1"/>
  <c r="EC170" i="10"/>
  <c r="ED170" i="10" s="1"/>
  <c r="P170" i="10"/>
  <c r="Q170" i="10" s="1"/>
  <c r="N170" i="10" s="1"/>
  <c r="BV170" i="10"/>
  <c r="BW170" i="10" s="1"/>
  <c r="BX170" i="10" s="1"/>
  <c r="BU170" i="10" s="1"/>
  <c r="BU253" i="12"/>
  <c r="R254" i="10"/>
  <c r="BL253" i="12"/>
  <c r="EK329" i="10"/>
  <c r="CD329" i="10"/>
  <c r="CA403" i="10"/>
  <c r="EH403" i="10"/>
  <c r="EK476" i="10"/>
  <c r="CD476" i="10"/>
  <c r="EK549" i="10"/>
  <c r="CD549" i="10"/>
  <c r="EH74" i="10"/>
  <c r="CA74" i="10"/>
  <c r="C257" i="1"/>
  <c r="B257" i="1"/>
  <c r="D257" i="1" s="1"/>
  <c r="EC245" i="10"/>
  <c r="ED245" i="10" s="1"/>
  <c r="P245" i="10"/>
  <c r="Q245" i="10" s="1"/>
  <c r="N245" i="10" s="1"/>
  <c r="BV245" i="10"/>
  <c r="BW245" i="10" s="1"/>
  <c r="BX245" i="10" s="1"/>
  <c r="BU245" i="10" s="1"/>
  <c r="M245" i="10"/>
  <c r="EG321" i="10"/>
  <c r="BZ321" i="10"/>
  <c r="EK395" i="10"/>
  <c r="CD395" i="10"/>
  <c r="EJ283" i="10"/>
  <c r="CC283" i="10"/>
  <c r="EK87" i="10"/>
  <c r="CD87" i="10"/>
  <c r="U98" i="10"/>
  <c r="BP97" i="12"/>
  <c r="C110" i="1" s="1"/>
  <c r="EC423" i="10"/>
  <c r="ED423" i="10" s="1"/>
  <c r="BV423" i="10"/>
  <c r="BW423" i="10" s="1"/>
  <c r="BX423" i="10" s="1"/>
  <c r="BU423" i="10" s="1"/>
  <c r="P423" i="10"/>
  <c r="Q423" i="10" s="1"/>
  <c r="N423" i="10" s="1"/>
  <c r="EG545" i="10"/>
  <c r="BZ545" i="10"/>
  <c r="EJ175" i="10"/>
  <c r="CC175" i="10"/>
  <c r="EJ333" i="10"/>
  <c r="CC333" i="10"/>
  <c r="EG477" i="10"/>
  <c r="BZ477" i="10"/>
  <c r="EH47" i="10"/>
  <c r="CA47" i="10"/>
  <c r="EH240" i="10"/>
  <c r="CA240" i="10"/>
  <c r="B535" i="1"/>
  <c r="D535" i="1" s="1"/>
  <c r="C535" i="1"/>
  <c r="EC523" i="10"/>
  <c r="ED523" i="10" s="1"/>
  <c r="P523" i="10"/>
  <c r="Q523" i="10" s="1"/>
  <c r="N523" i="10" s="1"/>
  <c r="BV523" i="10"/>
  <c r="BW523" i="10" s="1"/>
  <c r="BX523" i="10" s="1"/>
  <c r="BU523" i="10" s="1"/>
  <c r="M523" i="10"/>
  <c r="BU154" i="12"/>
  <c r="R155" i="10"/>
  <c r="BL154" i="12"/>
  <c r="BU316" i="12"/>
  <c r="R317" i="10"/>
  <c r="BL316" i="12"/>
  <c r="EG463" i="10"/>
  <c r="BZ463" i="10"/>
  <c r="EK56" i="10"/>
  <c r="CD56" i="10"/>
  <c r="EK246" i="10"/>
  <c r="CD246" i="10"/>
  <c r="EK396" i="10"/>
  <c r="CD396" i="10"/>
  <c r="C319" i="1"/>
  <c r="B319" i="1"/>
  <c r="D319" i="1" s="1"/>
  <c r="EC307" i="10"/>
  <c r="ED307" i="10" s="1"/>
  <c r="P307" i="10"/>
  <c r="Q307" i="10" s="1"/>
  <c r="N307" i="10" s="1"/>
  <c r="BV307" i="10"/>
  <c r="BW307" i="10" s="1"/>
  <c r="BX307" i="10" s="1"/>
  <c r="BU307" i="10" s="1"/>
  <c r="M307" i="10"/>
  <c r="BU144" i="12"/>
  <c r="R145" i="10"/>
  <c r="BL144" i="12"/>
  <c r="EK542" i="10"/>
  <c r="CD542" i="10"/>
  <c r="BU415" i="12"/>
  <c r="R416" i="10"/>
  <c r="BL415" i="12"/>
  <c r="EK270" i="10"/>
  <c r="CD270" i="10"/>
  <c r="BU111" i="12"/>
  <c r="M112" i="10" s="1"/>
  <c r="R112" i="10"/>
  <c r="BL111" i="12"/>
  <c r="EK515" i="10"/>
  <c r="CD515" i="10"/>
  <c r="EC452" i="10"/>
  <c r="ED452" i="10" s="1"/>
  <c r="P452" i="10"/>
  <c r="Q452" i="10" s="1"/>
  <c r="N452" i="10" s="1"/>
  <c r="BV452" i="10"/>
  <c r="BW452" i="10" s="1"/>
  <c r="BX452" i="10" s="1"/>
  <c r="BU452" i="10" s="1"/>
  <c r="M452" i="10"/>
  <c r="BU396" i="12"/>
  <c r="R397" i="10"/>
  <c r="BL396" i="12"/>
  <c r="BU485" i="12"/>
  <c r="R486" i="10"/>
  <c r="BL485" i="12"/>
  <c r="EG351" i="10"/>
  <c r="BZ351" i="10"/>
  <c r="EG259" i="10"/>
  <c r="BZ259" i="10"/>
  <c r="U535" i="10"/>
  <c r="BP534" i="12"/>
  <c r="C547" i="1" s="1"/>
  <c r="EJ335" i="10"/>
  <c r="CC335" i="10"/>
  <c r="EC414" i="10"/>
  <c r="ED414" i="10" s="1"/>
  <c r="BV414" i="10"/>
  <c r="BW414" i="10" s="1"/>
  <c r="BX414" i="10" s="1"/>
  <c r="BU414" i="10" s="1"/>
  <c r="P414" i="10"/>
  <c r="Q414" i="10" s="1"/>
  <c r="N414" i="10" s="1"/>
  <c r="CA360" i="10"/>
  <c r="EH360" i="10"/>
  <c r="BU468" i="12"/>
  <c r="R469" i="10"/>
  <c r="BL468" i="12"/>
  <c r="CA555" i="10"/>
  <c r="EH555" i="10"/>
  <c r="EK516" i="10"/>
  <c r="CD516" i="10"/>
  <c r="EJ406" i="10"/>
  <c r="CC406" i="10"/>
  <c r="U241" i="10"/>
  <c r="BP240" i="12"/>
  <c r="C253" i="1" s="1"/>
  <c r="C38" i="1"/>
  <c r="EC26" i="10"/>
  <c r="ED26" i="10" s="1"/>
  <c r="P26" i="10"/>
  <c r="Q26" i="10" s="1"/>
  <c r="N26" i="10" s="1"/>
  <c r="BV26" i="10"/>
  <c r="BW26" i="10" s="1"/>
  <c r="BX26" i="10" s="1"/>
  <c r="BU26" i="10" s="1"/>
  <c r="EK59" i="10"/>
  <c r="CD59" i="10"/>
  <c r="U123" i="10"/>
  <c r="BP122" i="12"/>
  <c r="EK188" i="10"/>
  <c r="CD188" i="10"/>
  <c r="EG21" i="10"/>
  <c r="BZ21" i="10"/>
  <c r="EH85" i="10"/>
  <c r="CA85" i="10"/>
  <c r="U150" i="10"/>
  <c r="BP149" i="12"/>
  <c r="C162" i="1" s="1"/>
  <c r="B227" i="1"/>
  <c r="D227" i="1" s="1"/>
  <c r="EC281" i="10"/>
  <c r="ED281" i="10" s="1"/>
  <c r="P281" i="10"/>
  <c r="Q281" i="10" s="1"/>
  <c r="N281" i="10" s="1"/>
  <c r="BV281" i="10"/>
  <c r="BW281" i="10" s="1"/>
  <c r="BX281" i="10" s="1"/>
  <c r="BU281" i="10" s="1"/>
  <c r="M281" i="10"/>
  <c r="EG346" i="10"/>
  <c r="BZ346" i="10"/>
  <c r="EJ410" i="10"/>
  <c r="CC410" i="10"/>
  <c r="EJ474" i="10"/>
  <c r="CC474" i="10"/>
  <c r="BU537" i="12"/>
  <c r="M538" i="10" s="1"/>
  <c r="R538" i="10"/>
  <c r="BL537" i="12"/>
  <c r="B550" i="1" s="1"/>
  <c r="D550" i="1" s="1"/>
  <c r="BU27" i="12"/>
  <c r="M28" i="10" s="1"/>
  <c r="R28" i="10"/>
  <c r="BL27" i="12"/>
  <c r="B40" i="1" s="1"/>
  <c r="D40" i="1" s="1"/>
  <c r="EH113" i="10"/>
  <c r="CA113" i="10"/>
  <c r="B212" i="1"/>
  <c r="D212" i="1" s="1"/>
  <c r="EC280" i="10"/>
  <c r="ED280" i="10" s="1"/>
  <c r="P280" i="10"/>
  <c r="Q280" i="10" s="1"/>
  <c r="N280" i="10" s="1"/>
  <c r="BV280" i="10"/>
  <c r="BW280" i="10" s="1"/>
  <c r="BX280" i="10" s="1"/>
  <c r="BU280" i="10" s="1"/>
  <c r="EH355" i="10"/>
  <c r="CA355" i="10"/>
  <c r="EK428" i="10"/>
  <c r="CD428" i="10"/>
  <c r="EH501" i="10"/>
  <c r="CA501" i="10"/>
  <c r="EH18" i="10"/>
  <c r="CA18" i="10"/>
  <c r="U104" i="10"/>
  <c r="BP103" i="12"/>
  <c r="EG191" i="10"/>
  <c r="BZ191" i="10"/>
  <c r="EC347" i="10"/>
  <c r="ED347" i="10" s="1"/>
  <c r="P347" i="10"/>
  <c r="Q347" i="10" s="1"/>
  <c r="N347" i="10" s="1"/>
  <c r="BV347" i="10"/>
  <c r="BW347" i="10" s="1"/>
  <c r="BX347" i="10" s="1"/>
  <c r="BU347" i="10" s="1"/>
  <c r="U420" i="10"/>
  <c r="BP419" i="12"/>
  <c r="EK493" i="10"/>
  <c r="CD493" i="10"/>
  <c r="EG8" i="10"/>
  <c r="BZ8" i="10"/>
  <c r="EG95" i="10"/>
  <c r="BZ95" i="10"/>
  <c r="EJ181" i="10"/>
  <c r="CC181" i="10"/>
  <c r="BU262" i="12"/>
  <c r="M263" i="10" s="1"/>
  <c r="R263" i="10"/>
  <c r="BL262" i="12"/>
  <c r="B275" i="1" s="1"/>
  <c r="D275" i="1" s="1"/>
  <c r="EC412" i="10"/>
  <c r="ED412" i="10" s="1"/>
  <c r="P412" i="10"/>
  <c r="Q412" i="10" s="1"/>
  <c r="N412" i="10" s="1"/>
  <c r="BV412" i="10"/>
  <c r="BW412" i="10" s="1"/>
  <c r="BX412" i="10" s="1"/>
  <c r="BU412" i="10" s="1"/>
  <c r="EG485" i="10"/>
  <c r="BZ485" i="10"/>
  <c r="EK558" i="10"/>
  <c r="CD558" i="10"/>
  <c r="EG86" i="10"/>
  <c r="BZ86" i="10"/>
  <c r="EJ171" i="10"/>
  <c r="CC171" i="10"/>
  <c r="EJ255" i="10"/>
  <c r="CC255" i="10"/>
  <c r="EH331" i="10"/>
  <c r="CA331" i="10"/>
  <c r="C22" i="1"/>
  <c r="B22" i="1"/>
  <c r="D22" i="1" s="1"/>
  <c r="U10" i="10"/>
  <c r="BP9" i="12"/>
  <c r="EH97" i="10"/>
  <c r="CA97" i="10"/>
  <c r="EK122" i="10"/>
  <c r="CD122" i="10"/>
  <c r="EH295" i="10"/>
  <c r="CA295" i="10"/>
  <c r="EK441" i="10"/>
  <c r="CD441" i="10"/>
  <c r="CA561" i="10"/>
  <c r="EH561" i="10"/>
  <c r="U195" i="10"/>
  <c r="BP194" i="12"/>
  <c r="C207" i="1" s="1"/>
  <c r="EC78" i="10"/>
  <c r="ED78" i="10" s="1"/>
  <c r="P78" i="10"/>
  <c r="Q78" i="10" s="1"/>
  <c r="N78" i="10" s="1"/>
  <c r="BV78" i="10"/>
  <c r="BW78" i="10" s="1"/>
  <c r="BX78" i="10" s="1"/>
  <c r="BU78" i="10" s="1"/>
  <c r="U407" i="10"/>
  <c r="BP406" i="12"/>
  <c r="BU176" i="12"/>
  <c r="R177" i="10"/>
  <c r="BL176" i="12"/>
  <c r="EG479" i="10"/>
  <c r="BZ479" i="10"/>
  <c r="EJ541" i="10"/>
  <c r="CC541" i="10"/>
  <c r="EK248" i="10"/>
  <c r="CD248" i="10"/>
  <c r="U167" i="10"/>
  <c r="BP166" i="12"/>
  <c r="C179" i="1" s="1"/>
  <c r="EC534" i="10"/>
  <c r="ED534" i="10" s="1"/>
  <c r="P534" i="10"/>
  <c r="Q534" i="10" s="1"/>
  <c r="N534" i="10" s="1"/>
  <c r="BV534" i="10"/>
  <c r="BW534" i="10" s="1"/>
  <c r="BX534" i="10" s="1"/>
  <c r="BU534" i="10" s="1"/>
  <c r="M534" i="10"/>
  <c r="EG390" i="10"/>
  <c r="BZ390" i="10"/>
  <c r="BU496" i="12"/>
  <c r="R497" i="10"/>
  <c r="BL496" i="12"/>
  <c r="EH436" i="10"/>
  <c r="CA436" i="10"/>
  <c r="EK265" i="10"/>
  <c r="CD265" i="10"/>
  <c r="B143" i="1"/>
  <c r="D143" i="1" s="1"/>
  <c r="EK290" i="10"/>
  <c r="CD290" i="10"/>
  <c r="EG124" i="10"/>
  <c r="BZ124" i="10"/>
  <c r="EK114" i="10"/>
  <c r="CD114" i="10"/>
  <c r="EH460" i="10"/>
  <c r="CA460" i="10"/>
  <c r="EJ353" i="10"/>
  <c r="CC353" i="10"/>
  <c r="BU398" i="12"/>
  <c r="M399" i="10" s="1"/>
  <c r="R399" i="10"/>
  <c r="BL398" i="12"/>
  <c r="B411" i="1" s="1"/>
  <c r="D411" i="1" s="1"/>
  <c r="EH349" i="10"/>
  <c r="CA349" i="10"/>
  <c r="U444" i="10"/>
  <c r="BP443" i="12"/>
  <c r="C456" i="1" s="1"/>
  <c r="U308" i="10"/>
  <c r="BP307" i="12"/>
  <c r="C320" i="1" s="1"/>
  <c r="EK528" i="10"/>
  <c r="CD528" i="10"/>
  <c r="EJ431" i="10"/>
  <c r="CC431" i="10"/>
  <c r="EC350" i="10"/>
  <c r="ED350" i="10" s="1"/>
  <c r="BV350" i="10"/>
  <c r="BW350" i="10" s="1"/>
  <c r="BX350" i="10" s="1"/>
  <c r="BU350" i="10" s="1"/>
  <c r="P350" i="10"/>
  <c r="Q350" i="10" s="1"/>
  <c r="N350" i="10" s="1"/>
  <c r="M350" i="10"/>
  <c r="EG166" i="10"/>
  <c r="BZ166" i="10"/>
  <c r="EG554" i="10"/>
  <c r="BZ554" i="10"/>
  <c r="EJ284" i="10"/>
  <c r="CC284" i="10"/>
  <c r="EH193" i="10"/>
  <c r="CA193" i="10"/>
  <c r="EC472" i="10"/>
  <c r="ED472" i="10" s="1"/>
  <c r="P472" i="10"/>
  <c r="Q472" i="10" s="1"/>
  <c r="N472" i="10" s="1"/>
  <c r="BV472" i="10"/>
  <c r="BW472" i="10" s="1"/>
  <c r="BX472" i="10" s="1"/>
  <c r="BU472" i="10" s="1"/>
  <c r="M472" i="10"/>
  <c r="CA140" i="10"/>
  <c r="EH140" i="10"/>
  <c r="EC453" i="10"/>
  <c r="ED453" i="10" s="1"/>
  <c r="BV453" i="10"/>
  <c r="BW453" i="10" s="1"/>
  <c r="BX453" i="10" s="1"/>
  <c r="BU453" i="10" s="1"/>
  <c r="P453" i="10"/>
  <c r="Q453" i="10" s="1"/>
  <c r="N453" i="10" s="1"/>
  <c r="EH293" i="10"/>
  <c r="CA293" i="10"/>
  <c r="EH524" i="10"/>
  <c r="CA524" i="10"/>
  <c r="EH45" i="10"/>
  <c r="CA45" i="10"/>
  <c r="EJ434" i="10"/>
  <c r="CC434" i="10"/>
  <c r="EK91" i="10"/>
  <c r="CD91" i="10"/>
  <c r="EG537" i="10"/>
  <c r="BZ537" i="10"/>
  <c r="EG137" i="10"/>
  <c r="BZ137" i="10"/>
  <c r="B314" i="1"/>
  <c r="D314" i="1" s="1"/>
  <c r="C314" i="1"/>
  <c r="EJ216" i="10"/>
  <c r="CC216" i="10"/>
  <c r="U55" i="10"/>
  <c r="BP54" i="12"/>
  <c r="C67" i="1" s="1"/>
  <c r="EG550" i="10"/>
  <c r="BZ550" i="10"/>
  <c r="BU340" i="12"/>
  <c r="M341" i="10" s="1"/>
  <c r="R341" i="10"/>
  <c r="BL340" i="12"/>
  <c r="B353" i="1" s="1"/>
  <c r="D353" i="1" s="1"/>
  <c r="BU480" i="12"/>
  <c r="R481" i="10"/>
  <c r="BL480" i="12"/>
  <c r="B493" i="1" s="1"/>
  <c r="D493" i="1" s="1"/>
  <c r="U279" i="10"/>
  <c r="BP278" i="12"/>
  <c r="EJ324" i="10"/>
  <c r="CC324" i="10"/>
  <c r="EJ229" i="10"/>
  <c r="CC229" i="10"/>
  <c r="EH450" i="10"/>
  <c r="CA450" i="10"/>
  <c r="EK400" i="10"/>
  <c r="CD400" i="10"/>
  <c r="BU391" i="12"/>
  <c r="M392" i="10" s="1"/>
  <c r="R392" i="10"/>
  <c r="BL391" i="12"/>
  <c r="B404" i="1" s="1"/>
  <c r="D404" i="1" s="1"/>
  <c r="U531" i="10"/>
  <c r="BP530" i="12"/>
  <c r="C543" i="1" s="1"/>
  <c r="EH38" i="10"/>
  <c r="CA38" i="10"/>
  <c r="CA563" i="10"/>
  <c r="EH563" i="10"/>
  <c r="EH107" i="10"/>
  <c r="CA107" i="10"/>
  <c r="EC107" i="10"/>
  <c r="ED107" i="10" s="1"/>
  <c r="P107" i="10"/>
  <c r="Q107" i="10" s="1"/>
  <c r="N107" i="10" s="1"/>
  <c r="BV107" i="10"/>
  <c r="BW107" i="10" s="1"/>
  <c r="BX107" i="10" s="1"/>
  <c r="BU107" i="10" s="1"/>
  <c r="M107" i="10"/>
  <c r="EG4" i="10"/>
  <c r="BZ4" i="10"/>
  <c r="BU555" i="12"/>
  <c r="M556" i="10" s="1"/>
  <c r="R556" i="10"/>
  <c r="BL555" i="12"/>
  <c r="B568" i="1" s="1"/>
  <c r="D568" i="1" s="1"/>
  <c r="EH548" i="10"/>
  <c r="CA548" i="10"/>
  <c r="C552" i="1"/>
  <c r="B552" i="1"/>
  <c r="D552" i="1" s="1"/>
  <c r="EH459" i="10"/>
  <c r="CA459" i="10"/>
  <c r="U315" i="10"/>
  <c r="BP314" i="12"/>
  <c r="C327" i="1" s="1"/>
  <c r="U134" i="10"/>
  <c r="BP133" i="12"/>
  <c r="EC377" i="10"/>
  <c r="ED377" i="10" s="1"/>
  <c r="P377" i="10"/>
  <c r="Q377" i="10" s="1"/>
  <c r="N377" i="10" s="1"/>
  <c r="BV377" i="10"/>
  <c r="BW377" i="10" s="1"/>
  <c r="BX377" i="10" s="1"/>
  <c r="BU377" i="10" s="1"/>
  <c r="M377" i="10"/>
  <c r="BU288" i="12"/>
  <c r="M289" i="10" s="1"/>
  <c r="R289" i="10"/>
  <c r="BL288" i="12"/>
  <c r="BU486" i="12"/>
  <c r="M487" i="10" s="1"/>
  <c r="R487" i="10"/>
  <c r="BL486" i="12"/>
  <c r="B499" i="1" s="1"/>
  <c r="D499" i="1" s="1"/>
  <c r="EK273" i="10"/>
  <c r="CD273" i="10"/>
  <c r="EC466" i="10"/>
  <c r="ED466" i="10" s="1"/>
  <c r="BV466" i="10"/>
  <c r="BW466" i="10" s="1"/>
  <c r="BX466" i="10" s="1"/>
  <c r="P466" i="10"/>
  <c r="Q466" i="10" s="1"/>
  <c r="N466" i="10" s="1"/>
  <c r="M466" i="10"/>
  <c r="BU6" i="12"/>
  <c r="M7" i="10" s="1"/>
  <c r="R7" i="10"/>
  <c r="BL6" i="12"/>
  <c r="B19" i="1" s="1"/>
  <c r="D19" i="1" s="1"/>
  <c r="BU328" i="12"/>
  <c r="R329" i="10"/>
  <c r="BL328" i="12"/>
  <c r="C561" i="1"/>
  <c r="EK283" i="10"/>
  <c r="CD283" i="10"/>
  <c r="EC98" i="10"/>
  <c r="ED98" i="10" s="1"/>
  <c r="BV98" i="10"/>
  <c r="BW98" i="10" s="1"/>
  <c r="BX98" i="10" s="1"/>
  <c r="BU98" i="10" s="1"/>
  <c r="P98" i="10"/>
  <c r="Q98" i="10" s="1"/>
  <c r="N98" i="10" s="1"/>
  <c r="M98" i="10"/>
  <c r="BU388" i="12"/>
  <c r="M389" i="10" s="1"/>
  <c r="R389" i="10"/>
  <c r="BL388" i="12"/>
  <c r="B401" i="1" s="1"/>
  <c r="D401" i="1" s="1"/>
  <c r="EG525" i="10"/>
  <c r="BZ525" i="10"/>
  <c r="U351" i="10"/>
  <c r="BP350" i="12"/>
  <c r="EC335" i="10"/>
  <c r="ED335" i="10" s="1"/>
  <c r="BV335" i="10"/>
  <c r="BW335" i="10" s="1"/>
  <c r="BX335" i="10" s="1"/>
  <c r="BU335" i="10" s="1"/>
  <c r="P335" i="10"/>
  <c r="Q335" i="10" s="1"/>
  <c r="N335" i="10" s="1"/>
  <c r="U555" i="10"/>
  <c r="BP554" i="12"/>
  <c r="C567" i="1" s="1"/>
  <c r="EJ123" i="10"/>
  <c r="CC123" i="10"/>
  <c r="B97" i="1"/>
  <c r="D97" i="1" s="1"/>
  <c r="C97" i="1"/>
  <c r="BU500" i="12"/>
  <c r="R501" i="10"/>
  <c r="BL500" i="12"/>
  <c r="B513" i="1" s="1"/>
  <c r="D513" i="1" s="1"/>
  <c r="C116" i="1"/>
  <c r="EH95" i="10"/>
  <c r="CA95" i="10"/>
  <c r="EJ339" i="10"/>
  <c r="CC339" i="10"/>
  <c r="EC331" i="10"/>
  <c r="ED331" i="10" s="1"/>
  <c r="P331" i="10"/>
  <c r="Q331" i="10" s="1"/>
  <c r="N331" i="10" s="1"/>
  <c r="BV331" i="10"/>
  <c r="BW331" i="10" s="1"/>
  <c r="BX331" i="10" s="1"/>
  <c r="BU331" i="10" s="1"/>
  <c r="M331" i="10"/>
  <c r="U67" i="10"/>
  <c r="BP66" i="12"/>
  <c r="C79" i="1" s="1"/>
  <c r="EK223" i="10"/>
  <c r="CD223" i="10"/>
  <c r="BU123" i="12"/>
  <c r="R124" i="10"/>
  <c r="BL123" i="12"/>
  <c r="BU290" i="12"/>
  <c r="R291" i="10"/>
  <c r="BL290" i="12"/>
  <c r="B303" i="1" s="1"/>
  <c r="D303" i="1" s="1"/>
  <c r="U282" i="10"/>
  <c r="BP281" i="12"/>
  <c r="CA502" i="10"/>
  <c r="EH502" i="10"/>
  <c r="C117" i="1"/>
  <c r="B117" i="1"/>
  <c r="D117" i="1" s="1"/>
  <c r="EJ348" i="10"/>
  <c r="CC348" i="10"/>
  <c r="EG494" i="10"/>
  <c r="BZ494" i="10"/>
  <c r="B195" i="1"/>
  <c r="D195" i="1" s="1"/>
  <c r="BU22" i="12"/>
  <c r="R23" i="10"/>
  <c r="BL22" i="12"/>
  <c r="B35" i="1" s="1"/>
  <c r="D35" i="1" s="1"/>
  <c r="U152" i="10"/>
  <c r="BP151" i="12"/>
  <c r="B472" i="1"/>
  <c r="D472" i="1" s="1"/>
  <c r="C472" i="1"/>
  <c r="EC15" i="10"/>
  <c r="ED15" i="10" s="1"/>
  <c r="BV15" i="10"/>
  <c r="BW15" i="10" s="1"/>
  <c r="BX15" i="10" s="1"/>
  <c r="BU15" i="10" s="1"/>
  <c r="P15" i="10"/>
  <c r="Q15" i="10" s="1"/>
  <c r="N15" i="10" s="1"/>
  <c r="M15" i="10"/>
  <c r="U278" i="10"/>
  <c r="BP277" i="12"/>
  <c r="C290" i="1" s="1"/>
  <c r="EG265" i="10"/>
  <c r="BZ265" i="10"/>
  <c r="U131" i="10"/>
  <c r="BP130" i="12"/>
  <c r="C143" i="1" s="1"/>
  <c r="EH29" i="10"/>
  <c r="CA29" i="10"/>
  <c r="EC158" i="10"/>
  <c r="ED158" i="10" s="1"/>
  <c r="P158" i="10"/>
  <c r="Q158" i="10" s="1"/>
  <c r="N158" i="10" s="1"/>
  <c r="BV158" i="10"/>
  <c r="BW158" i="10" s="1"/>
  <c r="BX158" i="10" s="1"/>
  <c r="BU158" i="10" s="1"/>
  <c r="M158" i="10"/>
  <c r="U290" i="10"/>
  <c r="BP289" i="12"/>
  <c r="EJ418" i="10"/>
  <c r="CC418" i="10"/>
  <c r="EG546" i="10"/>
  <c r="BZ546" i="10"/>
  <c r="B51" i="1"/>
  <c r="D51" i="1" s="1"/>
  <c r="C51" i="1"/>
  <c r="U210" i="10"/>
  <c r="BP209" i="12"/>
  <c r="EG364" i="10"/>
  <c r="BZ364" i="10"/>
  <c r="EH510" i="10"/>
  <c r="CA510" i="10"/>
  <c r="EC201" i="10"/>
  <c r="ED201" i="10" s="1"/>
  <c r="P201" i="10"/>
  <c r="Q201" i="10" s="1"/>
  <c r="N201" i="10" s="1"/>
  <c r="BV201" i="10"/>
  <c r="BW201" i="10" s="1"/>
  <c r="BX201" i="10" s="1"/>
  <c r="BU201" i="10" s="1"/>
  <c r="EJ356" i="10"/>
  <c r="CC356" i="10"/>
  <c r="EK502" i="10"/>
  <c r="CD502" i="10"/>
  <c r="BU19" i="12"/>
  <c r="M20" i="10" s="1"/>
  <c r="R20" i="10"/>
  <c r="BL19" i="12"/>
  <c r="B32" i="1" s="1"/>
  <c r="D32" i="1" s="1"/>
  <c r="EK105" i="10"/>
  <c r="CD105" i="10"/>
  <c r="B204" i="1"/>
  <c r="D204" i="1" s="1"/>
  <c r="EC274" i="10"/>
  <c r="ED274" i="10" s="1"/>
  <c r="BV274" i="10"/>
  <c r="BW274" i="10" s="1"/>
  <c r="BX274" i="10" s="1"/>
  <c r="BU274" i="10" s="1"/>
  <c r="P274" i="10"/>
  <c r="Q274" i="10" s="1"/>
  <c r="N274" i="10" s="1"/>
  <c r="BU347" i="12"/>
  <c r="R348" i="10"/>
  <c r="BL347" i="12"/>
  <c r="EJ421" i="10"/>
  <c r="CC421" i="10"/>
  <c r="EJ494" i="10"/>
  <c r="CC494" i="10"/>
  <c r="U9" i="10"/>
  <c r="BP8" i="12"/>
  <c r="U96" i="10"/>
  <c r="BP95" i="12"/>
  <c r="C108" i="1" s="1"/>
  <c r="U183" i="10"/>
  <c r="BP182" i="12"/>
  <c r="C195" i="1" s="1"/>
  <c r="EC340" i="10"/>
  <c r="ED340" i="10" s="1"/>
  <c r="P340" i="10"/>
  <c r="Q340" i="10" s="1"/>
  <c r="N340" i="10" s="1"/>
  <c r="BV340" i="10"/>
  <c r="BW340" i="10" s="1"/>
  <c r="BX340" i="10" s="1"/>
  <c r="BU340" i="10" s="1"/>
  <c r="BU412" i="12"/>
  <c r="R413" i="10"/>
  <c r="BL412" i="12"/>
  <c r="U23" i="10"/>
  <c r="BP22" i="12"/>
  <c r="C35" i="1" s="1"/>
  <c r="EG108" i="10"/>
  <c r="BZ108" i="10"/>
  <c r="EK152" i="10"/>
  <c r="CD152" i="10"/>
  <c r="U313" i="10"/>
  <c r="BP312" i="12"/>
  <c r="C325" i="1" s="1"/>
  <c r="BU459" i="12"/>
  <c r="M460" i="10" s="1"/>
  <c r="R460" i="10"/>
  <c r="BL459" i="12"/>
  <c r="B27" i="1"/>
  <c r="D27" i="1" s="1"/>
  <c r="C27" i="1"/>
  <c r="EC218" i="10"/>
  <c r="ED218" i="10" s="1"/>
  <c r="P218" i="10"/>
  <c r="Q218" i="10" s="1"/>
  <c r="N218" i="10" s="1"/>
  <c r="BV218" i="10"/>
  <c r="BW218" i="10" s="1"/>
  <c r="BX218" i="10" s="1"/>
  <c r="BU218" i="10" s="1"/>
  <c r="M218" i="10"/>
  <c r="BU368" i="12"/>
  <c r="R369" i="10"/>
  <c r="BL368" i="12"/>
  <c r="BU504" i="12"/>
  <c r="R505" i="10"/>
  <c r="BL504" i="12"/>
  <c r="BU101" i="12"/>
  <c r="M102" i="10" s="1"/>
  <c r="R102" i="10"/>
  <c r="BL101" i="12"/>
  <c r="B114" i="1" s="1"/>
  <c r="D114" i="1" s="1"/>
  <c r="EK278" i="10"/>
  <c r="CD278" i="10"/>
  <c r="CA425" i="10"/>
  <c r="EH425" i="10"/>
  <c r="EG551" i="10"/>
  <c r="BZ551" i="10"/>
  <c r="B211" i="1"/>
  <c r="D211" i="1" s="1"/>
  <c r="B365" i="1"/>
  <c r="D365" i="1" s="1"/>
  <c r="C365" i="1"/>
  <c r="EC353" i="10"/>
  <c r="ED353" i="10" s="1"/>
  <c r="BV353" i="10"/>
  <c r="BW353" i="10" s="1"/>
  <c r="BX353" i="10" s="1"/>
  <c r="BU353" i="10" s="1"/>
  <c r="P353" i="10"/>
  <c r="Q353" i="10" s="1"/>
  <c r="N353" i="10" s="1"/>
  <c r="M353" i="10"/>
  <c r="BU494" i="12"/>
  <c r="R495" i="10"/>
  <c r="BL494" i="12"/>
  <c r="EJ111" i="10"/>
  <c r="CC111" i="10"/>
  <c r="EG286" i="10"/>
  <c r="BZ286" i="10"/>
  <c r="EG432" i="10"/>
  <c r="BZ432" i="10"/>
  <c r="EG553" i="10"/>
  <c r="BZ553" i="10"/>
  <c r="EH399" i="10"/>
  <c r="CA399" i="10"/>
  <c r="EC89" i="10"/>
  <c r="ED89" i="10" s="1"/>
  <c r="BV89" i="10"/>
  <c r="BW89" i="10" s="1"/>
  <c r="BX89" i="10" s="1"/>
  <c r="BU89" i="10" s="1"/>
  <c r="P89" i="10"/>
  <c r="Q89" i="10" s="1"/>
  <c r="N89" i="10" s="1"/>
  <c r="BU499" i="12"/>
  <c r="R500" i="10"/>
  <c r="BL499" i="12"/>
  <c r="EG379" i="10"/>
  <c r="BZ379" i="10"/>
  <c r="EG230" i="10"/>
  <c r="BZ230" i="10"/>
  <c r="BZ121" i="10"/>
  <c r="EG121" i="10"/>
  <c r="EJ185" i="10"/>
  <c r="CC185" i="10"/>
  <c r="BU35" i="12"/>
  <c r="M36" i="10" s="1"/>
  <c r="R36" i="10"/>
  <c r="BL35" i="12"/>
  <c r="B48" i="1" s="1"/>
  <c r="D48" i="1" s="1"/>
  <c r="B69" i="1"/>
  <c r="D69" i="1" s="1"/>
  <c r="C69" i="1"/>
  <c r="EC349" i="10"/>
  <c r="ED349" i="10" s="1"/>
  <c r="P349" i="10"/>
  <c r="Q349" i="10" s="1"/>
  <c r="N349" i="10" s="1"/>
  <c r="BV349" i="10"/>
  <c r="BW349" i="10" s="1"/>
  <c r="BX349" i="10" s="1"/>
  <c r="BU349" i="10" s="1"/>
  <c r="M349" i="10"/>
  <c r="BU118" i="12"/>
  <c r="R119" i="10"/>
  <c r="BL118" i="12"/>
  <c r="U332" i="10"/>
  <c r="BP331" i="12"/>
  <c r="C344" i="1" s="1"/>
  <c r="EH46" i="10"/>
  <c r="CA46" i="10"/>
  <c r="BU387" i="12"/>
  <c r="M388" i="10" s="1"/>
  <c r="R388" i="10"/>
  <c r="BL387" i="12"/>
  <c r="EH132" i="10"/>
  <c r="CA132" i="10"/>
  <c r="EG444" i="10"/>
  <c r="BZ444" i="10"/>
  <c r="B520" i="1"/>
  <c r="D520" i="1" s="1"/>
  <c r="EC508" i="10"/>
  <c r="ED508" i="10" s="1"/>
  <c r="P508" i="10"/>
  <c r="Q508" i="10" s="1"/>
  <c r="N508" i="10" s="1"/>
  <c r="BV508" i="10"/>
  <c r="BW508" i="10" s="1"/>
  <c r="BX508" i="10" s="1"/>
  <c r="BU508" i="10" s="1"/>
  <c r="M508" i="10"/>
  <c r="U304" i="10"/>
  <c r="BP303" i="12"/>
  <c r="U143" i="10"/>
  <c r="BP142" i="12"/>
  <c r="C155" i="1" s="1"/>
  <c r="EH308" i="10"/>
  <c r="CA308" i="10"/>
  <c r="EJ543" i="10"/>
  <c r="CC543" i="10"/>
  <c r="EJ287" i="10"/>
  <c r="CC287" i="10"/>
  <c r="EH305" i="10"/>
  <c r="CA305" i="10"/>
  <c r="B199" i="1"/>
  <c r="D199" i="1" s="1"/>
  <c r="EC382" i="10"/>
  <c r="ED382" i="10" s="1"/>
  <c r="BV382" i="10"/>
  <c r="BW382" i="10" s="1"/>
  <c r="BX382" i="10" s="1"/>
  <c r="BU382" i="10" s="1"/>
  <c r="P382" i="10"/>
  <c r="Q382" i="10" s="1"/>
  <c r="N382" i="10" s="1"/>
  <c r="M382" i="10"/>
  <c r="CA528" i="10"/>
  <c r="EH528" i="10"/>
  <c r="U136" i="10"/>
  <c r="BP135" i="12"/>
  <c r="C148" i="1" s="1"/>
  <c r="EG301" i="10"/>
  <c r="BZ301" i="10"/>
  <c r="EH447" i="10"/>
  <c r="CA447" i="10"/>
  <c r="EK41" i="10"/>
  <c r="CD41" i="10"/>
  <c r="EK214" i="10"/>
  <c r="CD214" i="10"/>
  <c r="C524" i="1"/>
  <c r="EC512" i="10"/>
  <c r="ED512" i="10" s="1"/>
  <c r="BV512" i="10"/>
  <c r="BW512" i="10" s="1"/>
  <c r="BX512" i="10" s="1"/>
  <c r="BU512" i="10" s="1"/>
  <c r="P512" i="10"/>
  <c r="Q512" i="10" s="1"/>
  <c r="N512" i="10" s="1"/>
  <c r="U118" i="10"/>
  <c r="BP117" i="12"/>
  <c r="U285" i="10"/>
  <c r="BP284" i="12"/>
  <c r="C297" i="1" s="1"/>
  <c r="EH431" i="10"/>
  <c r="CA431" i="10"/>
  <c r="EJ129" i="10"/>
  <c r="CC129" i="10"/>
  <c r="EJ350" i="10"/>
  <c r="CC350" i="10"/>
  <c r="EJ70" i="10"/>
  <c r="CC70" i="10"/>
  <c r="B166" i="1"/>
  <c r="D166" i="1" s="1"/>
  <c r="C166" i="1"/>
  <c r="EC48" i="10"/>
  <c r="ED48" i="10" s="1"/>
  <c r="BV48" i="10"/>
  <c r="BW48" i="10" s="1"/>
  <c r="BX48" i="10" s="1"/>
  <c r="BU48" i="10" s="1"/>
  <c r="P48" i="10"/>
  <c r="Q48" i="10" s="1"/>
  <c r="N48" i="10" s="1"/>
  <c r="M48" i="10"/>
  <c r="BU322" i="12"/>
  <c r="R323" i="10"/>
  <c r="BL322" i="12"/>
  <c r="EK209" i="10"/>
  <c r="CD209" i="10"/>
  <c r="BZ343" i="10"/>
  <c r="EG343" i="10"/>
  <c r="EK11" i="10"/>
  <c r="CD11" i="10"/>
  <c r="EK75" i="10"/>
  <c r="CD75" i="10"/>
  <c r="EH139" i="10"/>
  <c r="CA139" i="10"/>
  <c r="B216" i="1"/>
  <c r="D216" i="1" s="1"/>
  <c r="C216" i="1"/>
  <c r="EC37" i="10"/>
  <c r="ED37" i="10" s="1"/>
  <c r="P37" i="10"/>
  <c r="Q37" i="10" s="1"/>
  <c r="N37" i="10" s="1"/>
  <c r="BV37" i="10"/>
  <c r="BW37" i="10" s="1"/>
  <c r="BX37" i="10" s="1"/>
  <c r="BU37" i="10" s="1"/>
  <c r="M37" i="10"/>
  <c r="EH101" i="10"/>
  <c r="CA101" i="10"/>
  <c r="BU165" i="12"/>
  <c r="R166" i="10"/>
  <c r="BL165" i="12"/>
  <c r="B178" i="1" s="1"/>
  <c r="D178" i="1" s="1"/>
  <c r="EH231" i="10"/>
  <c r="CA231" i="10"/>
  <c r="EG298" i="10"/>
  <c r="BZ298" i="10"/>
  <c r="EJ362" i="10"/>
  <c r="CC362" i="10"/>
  <c r="EJ426" i="10"/>
  <c r="CC426" i="10"/>
  <c r="EC554" i="10"/>
  <c r="ED554" i="10" s="1"/>
  <c r="BV554" i="10"/>
  <c r="BW554" i="10" s="1"/>
  <c r="BX554" i="10" s="1"/>
  <c r="BU554" i="10" s="1"/>
  <c r="P554" i="10"/>
  <c r="Q554" i="10" s="1"/>
  <c r="N554" i="10" s="1"/>
  <c r="M554" i="10"/>
  <c r="CA49" i="10"/>
  <c r="EH49" i="10"/>
  <c r="BU134" i="12"/>
  <c r="R135" i="10"/>
  <c r="BL134" i="12"/>
  <c r="EG222" i="10"/>
  <c r="BZ222" i="10"/>
  <c r="EK300" i="10"/>
  <c r="CD300" i="10"/>
  <c r="EG373" i="10"/>
  <c r="BZ373" i="10"/>
  <c r="EJ446" i="10"/>
  <c r="CC446" i="10"/>
  <c r="B531" i="1"/>
  <c r="D531" i="1" s="1"/>
  <c r="EC40" i="10"/>
  <c r="ED40" i="10" s="1"/>
  <c r="BV40" i="10"/>
  <c r="BW40" i="10" s="1"/>
  <c r="BX40" i="10" s="1"/>
  <c r="BU40" i="10" s="1"/>
  <c r="P40" i="10"/>
  <c r="Q40" i="10" s="1"/>
  <c r="N40" i="10" s="1"/>
  <c r="M40" i="10"/>
  <c r="BU125" i="12"/>
  <c r="R126" i="10"/>
  <c r="BL125" i="12"/>
  <c r="EG211" i="10"/>
  <c r="BZ211" i="10"/>
  <c r="U292" i="10"/>
  <c r="BP291" i="12"/>
  <c r="C304" i="1" s="1"/>
  <c r="BU364" i="12"/>
  <c r="M365" i="10" s="1"/>
  <c r="R365" i="10"/>
  <c r="BL364" i="12"/>
  <c r="B377" i="1" s="1"/>
  <c r="D377" i="1" s="1"/>
  <c r="EH438" i="10"/>
  <c r="CA438" i="10"/>
  <c r="EH511" i="10"/>
  <c r="CA511" i="10"/>
  <c r="B43" i="1"/>
  <c r="D43" i="1" s="1"/>
  <c r="C43" i="1"/>
  <c r="EC116" i="10"/>
  <c r="ED116" i="10" s="1"/>
  <c r="P116" i="10"/>
  <c r="Q116" i="10" s="1"/>
  <c r="N116" i="10" s="1"/>
  <c r="BV116" i="10"/>
  <c r="BW116" i="10" s="1"/>
  <c r="BX116" i="10" s="1"/>
  <c r="BU116" i="10" s="1"/>
  <c r="M116" i="10"/>
  <c r="U202" i="10"/>
  <c r="BP201" i="12"/>
  <c r="EK284" i="10"/>
  <c r="CD284" i="10"/>
  <c r="EH357" i="10"/>
  <c r="CA357" i="10"/>
  <c r="EK430" i="10"/>
  <c r="CD430" i="10"/>
  <c r="EH503" i="10"/>
  <c r="CA503" i="10"/>
  <c r="U22" i="10"/>
  <c r="BP21" i="12"/>
  <c r="C34" i="1" s="1"/>
  <c r="B118" i="1"/>
  <c r="D118" i="1" s="1"/>
  <c r="EC193" i="10"/>
  <c r="ED193" i="10" s="1"/>
  <c r="BV193" i="10"/>
  <c r="BW193" i="10" s="1"/>
  <c r="BX193" i="10" s="1"/>
  <c r="BU193" i="10" s="1"/>
  <c r="P193" i="10"/>
  <c r="Q193" i="10" s="1"/>
  <c r="N193" i="10" s="1"/>
  <c r="BU274" i="12"/>
  <c r="M275" i="10" s="1"/>
  <c r="R275" i="10"/>
  <c r="BL274" i="12"/>
  <c r="U422" i="10"/>
  <c r="BP421" i="12"/>
  <c r="EH33" i="10"/>
  <c r="CA33" i="10"/>
  <c r="U173" i="10"/>
  <c r="BP172" i="12"/>
  <c r="U472" i="10"/>
  <c r="BP471" i="12"/>
  <c r="C484" i="1" s="1"/>
  <c r="EH238" i="10"/>
  <c r="CA238" i="10"/>
  <c r="C309" i="1"/>
  <c r="B309" i="1"/>
  <c r="D309" i="1" s="1"/>
  <c r="EC297" i="10"/>
  <c r="ED297" i="10" s="1"/>
  <c r="P297" i="10"/>
  <c r="Q297" i="10" s="1"/>
  <c r="N297" i="10" s="1"/>
  <c r="BV297" i="10"/>
  <c r="BW297" i="10" s="1"/>
  <c r="BX297" i="10" s="1"/>
  <c r="BU297" i="10" s="1"/>
  <c r="M297" i="10"/>
  <c r="BU23" i="12"/>
  <c r="R24" i="10"/>
  <c r="BL23" i="12"/>
  <c r="EJ372" i="10"/>
  <c r="CC372" i="10"/>
  <c r="U140" i="10"/>
  <c r="BP139" i="12"/>
  <c r="C152" i="1" s="1"/>
  <c r="BU450" i="12"/>
  <c r="M451" i="10" s="1"/>
  <c r="R451" i="10"/>
  <c r="BL450" i="12"/>
  <c r="EJ453" i="10"/>
  <c r="CC453" i="10"/>
  <c r="EH163" i="10"/>
  <c r="CA163" i="10"/>
  <c r="B429" i="1"/>
  <c r="D429" i="1" s="1"/>
  <c r="C429" i="1"/>
  <c r="EC288" i="10"/>
  <c r="ED288" i="10" s="1"/>
  <c r="BV288" i="10"/>
  <c r="BW288" i="10" s="1"/>
  <c r="BX288" i="10" s="1"/>
  <c r="BU288" i="10" s="1"/>
  <c r="P288" i="10"/>
  <c r="Q288" i="10" s="1"/>
  <c r="N288" i="10" s="1"/>
  <c r="M288" i="10"/>
  <c r="U58" i="10"/>
  <c r="BP57" i="12"/>
  <c r="BU308" i="12"/>
  <c r="R309" i="10"/>
  <c r="BL308" i="12"/>
  <c r="EK455" i="10"/>
  <c r="CD455" i="10"/>
  <c r="EH50" i="10"/>
  <c r="CA50" i="10"/>
  <c r="EH224" i="10"/>
  <c r="CA224" i="10"/>
  <c r="EH374" i="10"/>
  <c r="CA374" i="10"/>
  <c r="B532" i="1"/>
  <c r="D532" i="1" s="1"/>
  <c r="C532" i="1"/>
  <c r="EC127" i="10"/>
  <c r="ED127" i="10" s="1"/>
  <c r="BV127" i="10"/>
  <c r="BW127" i="10" s="1"/>
  <c r="BX127" i="10" s="1"/>
  <c r="BU127" i="10" s="1"/>
  <c r="P127" i="10"/>
  <c r="Q127" i="10" s="1"/>
  <c r="N127" i="10" s="1"/>
  <c r="M127" i="10"/>
  <c r="BU292" i="12"/>
  <c r="R293" i="10"/>
  <c r="BL292" i="12"/>
  <c r="EK439" i="10"/>
  <c r="CD439" i="10"/>
  <c r="EG32" i="10"/>
  <c r="BZ32" i="10"/>
  <c r="EK203" i="10"/>
  <c r="CD203" i="10"/>
  <c r="EK358" i="10"/>
  <c r="CD358" i="10"/>
  <c r="EH44" i="10"/>
  <c r="CA44" i="10"/>
  <c r="C206" i="1"/>
  <c r="EC488" i="10"/>
  <c r="ED488" i="10" s="1"/>
  <c r="P488" i="10"/>
  <c r="Q488" i="10" s="1"/>
  <c r="N488" i="10" s="1"/>
  <c r="BV488" i="10"/>
  <c r="BW488" i="10" s="1"/>
  <c r="BX488" i="10" s="1"/>
  <c r="BU488" i="10" s="1"/>
  <c r="M488" i="10"/>
  <c r="EH258" i="10"/>
  <c r="CA258" i="10"/>
  <c r="EK462" i="10"/>
  <c r="CD462" i="10"/>
  <c r="EG524" i="10"/>
  <c r="BZ524" i="10"/>
  <c r="U66" i="10"/>
  <c r="BP65" i="12"/>
  <c r="EJ470" i="10"/>
  <c r="CC470" i="10"/>
  <c r="U19" i="10"/>
  <c r="BP18" i="12"/>
  <c r="C31" i="1" s="1"/>
  <c r="C95" i="1"/>
  <c r="EC148" i="10"/>
  <c r="ED148" i="10" s="1"/>
  <c r="P148" i="10"/>
  <c r="Q148" i="10" s="1"/>
  <c r="N148" i="10" s="1"/>
  <c r="BV148" i="10"/>
  <c r="BW148" i="10" s="1"/>
  <c r="BX148" i="10" s="1"/>
  <c r="BU148" i="10" s="1"/>
  <c r="M148" i="10"/>
  <c r="EH212" i="10"/>
  <c r="CA212" i="10"/>
  <c r="EJ45" i="10"/>
  <c r="CC45" i="10"/>
  <c r="EH109" i="10"/>
  <c r="CA109" i="10"/>
  <c r="EG174" i="10"/>
  <c r="BZ174" i="10"/>
  <c r="BU238" i="12"/>
  <c r="M239" i="10" s="1"/>
  <c r="R239" i="10"/>
  <c r="BL238" i="12"/>
  <c r="B251" i="1" s="1"/>
  <c r="D251" i="1" s="1"/>
  <c r="EK306" i="10"/>
  <c r="CD306" i="10"/>
  <c r="C382" i="1"/>
  <c r="EC434" i="10"/>
  <c r="ED434" i="10" s="1"/>
  <c r="BV434" i="10"/>
  <c r="BW434" i="10" s="1"/>
  <c r="BX434" i="10" s="1"/>
  <c r="BU434" i="10" s="1"/>
  <c r="P434" i="10"/>
  <c r="Q434" i="10" s="1"/>
  <c r="N434" i="10" s="1"/>
  <c r="EG498" i="10"/>
  <c r="BZ498" i="10"/>
  <c r="EK562" i="10"/>
  <c r="CD562" i="10"/>
  <c r="EG60" i="10"/>
  <c r="BZ60" i="10"/>
  <c r="CD146" i="10"/>
  <c r="EK146" i="10"/>
  <c r="EH233" i="10"/>
  <c r="CA233" i="10"/>
  <c r="U27" i="10"/>
  <c r="BP26" i="12"/>
  <c r="C39" i="1" s="1"/>
  <c r="C103" i="1"/>
  <c r="EC156" i="10"/>
  <c r="ED156" i="10" s="1"/>
  <c r="P156" i="10"/>
  <c r="Q156" i="10" s="1"/>
  <c r="N156" i="10" s="1"/>
  <c r="BV156" i="10"/>
  <c r="BW156" i="10" s="1"/>
  <c r="BX156" i="10" s="1"/>
  <c r="BU156" i="10" s="1"/>
  <c r="M156" i="10"/>
  <c r="EH221" i="10"/>
  <c r="CA221" i="10"/>
  <c r="EJ53" i="10"/>
  <c r="CC53" i="10"/>
  <c r="EH117" i="10"/>
  <c r="CA117" i="10"/>
  <c r="EG182" i="10"/>
  <c r="BZ182" i="10"/>
  <c r="BU246" i="12"/>
  <c r="M247" i="10" s="1"/>
  <c r="R247" i="10"/>
  <c r="BL246" i="12"/>
  <c r="B259" i="1" s="1"/>
  <c r="D259" i="1" s="1"/>
  <c r="EK314" i="10"/>
  <c r="CD314" i="10"/>
  <c r="C390" i="1"/>
  <c r="EC442" i="10"/>
  <c r="ED442" i="10" s="1"/>
  <c r="BV442" i="10"/>
  <c r="BW442" i="10" s="1"/>
  <c r="BX442" i="10" s="1"/>
  <c r="BU442" i="10" s="1"/>
  <c r="P442" i="10"/>
  <c r="Q442" i="10" s="1"/>
  <c r="N442" i="10" s="1"/>
  <c r="M442" i="10"/>
  <c r="EG506" i="10"/>
  <c r="BZ506" i="10"/>
  <c r="U6" i="10"/>
  <c r="BP5" i="12"/>
  <c r="EJ71" i="10"/>
  <c r="CC71" i="10"/>
  <c r="EG157" i="10"/>
  <c r="BZ157" i="10"/>
  <c r="EJ242" i="10"/>
  <c r="CC242" i="10"/>
  <c r="EJ318" i="10"/>
  <c r="CC318" i="10"/>
  <c r="B476" i="1"/>
  <c r="D476" i="1" s="1"/>
  <c r="EC464" i="10"/>
  <c r="ED464" i="10" s="1"/>
  <c r="P464" i="10"/>
  <c r="Q464" i="10" s="1"/>
  <c r="N464" i="10" s="1"/>
  <c r="BV464" i="10"/>
  <c r="BW464" i="10" s="1"/>
  <c r="BX464" i="10" s="1"/>
  <c r="BU464" i="10" s="1"/>
  <c r="M464" i="10"/>
  <c r="U537" i="10"/>
  <c r="BP536" i="12"/>
  <c r="EK62" i="10"/>
  <c r="CD62" i="10"/>
  <c r="EJ147" i="10"/>
  <c r="CC147" i="10"/>
  <c r="BU233" i="12"/>
  <c r="M234" i="10" s="1"/>
  <c r="R234" i="10"/>
  <c r="BL233" i="12"/>
  <c r="B246" i="1" s="1"/>
  <c r="D246" i="1" s="1"/>
  <c r="U310" i="10"/>
  <c r="BP309" i="12"/>
  <c r="C322" i="1" s="1"/>
  <c r="EJ383" i="10"/>
  <c r="CC383" i="10"/>
  <c r="EC529" i="10"/>
  <c r="ED529" i="10" s="1"/>
  <c r="BV529" i="10"/>
  <c r="BW529" i="10" s="1"/>
  <c r="BX529" i="10" s="1"/>
  <c r="BU529" i="10" s="1"/>
  <c r="P529" i="10"/>
  <c r="Q529" i="10" s="1"/>
  <c r="N529" i="10" s="1"/>
  <c r="M529" i="10"/>
  <c r="EH52" i="10"/>
  <c r="CA52" i="10"/>
  <c r="U137" i="10"/>
  <c r="BP136" i="12"/>
  <c r="C149" i="1" s="1"/>
  <c r="EG225" i="10"/>
  <c r="BZ225" i="10"/>
  <c r="EK302" i="10"/>
  <c r="CD302" i="10"/>
  <c r="U375" i="10"/>
  <c r="BP374" i="12"/>
  <c r="C387" i="1" s="1"/>
  <c r="CA448" i="10"/>
  <c r="EH448" i="10"/>
  <c r="C533" i="1"/>
  <c r="EC42" i="10"/>
  <c r="ED42" i="10" s="1"/>
  <c r="P42" i="10"/>
  <c r="Q42" i="10" s="1"/>
  <c r="N42" i="10" s="1"/>
  <c r="BV42" i="10"/>
  <c r="BW42" i="10" s="1"/>
  <c r="BX42" i="10" s="1"/>
  <c r="BU42" i="10" s="1"/>
  <c r="M42" i="10"/>
  <c r="EG128" i="10"/>
  <c r="BZ128" i="10"/>
  <c r="EG216" i="10"/>
  <c r="BZ216" i="10"/>
  <c r="EH294" i="10"/>
  <c r="CA294" i="10"/>
  <c r="EK367" i="10"/>
  <c r="CD367" i="10"/>
  <c r="CA440" i="10"/>
  <c r="EH440" i="10"/>
  <c r="EK55" i="10"/>
  <c r="CD55" i="10"/>
  <c r="B229" i="1"/>
  <c r="D229" i="1" s="1"/>
  <c r="EC217" i="10"/>
  <c r="ED217" i="10" s="1"/>
  <c r="P217" i="10"/>
  <c r="Q217" i="10" s="1"/>
  <c r="N217" i="10" s="1"/>
  <c r="BV217" i="10"/>
  <c r="BW217" i="10" s="1"/>
  <c r="BX217" i="10" s="1"/>
  <c r="BU217" i="10" s="1"/>
  <c r="M217" i="10"/>
  <c r="CA368" i="10"/>
  <c r="EH368" i="10"/>
  <c r="U504" i="10"/>
  <c r="BP503" i="12"/>
  <c r="EG100" i="10"/>
  <c r="BZ100" i="10"/>
  <c r="EJ277" i="10"/>
  <c r="CC277" i="10"/>
  <c r="CA424" i="10"/>
  <c r="EH424" i="10"/>
  <c r="BU549" i="12"/>
  <c r="M550" i="10" s="1"/>
  <c r="R550" i="10"/>
  <c r="BL549" i="12"/>
  <c r="B562" i="1" s="1"/>
  <c r="D562" i="1" s="1"/>
  <c r="C188" i="1"/>
  <c r="EC334" i="10"/>
  <c r="ED334" i="10" s="1"/>
  <c r="BV334" i="10"/>
  <c r="BW334" i="10" s="1"/>
  <c r="BX334" i="10" s="1"/>
  <c r="BU334" i="10" s="1"/>
  <c r="P334" i="10"/>
  <c r="Q334" i="10" s="1"/>
  <c r="N334" i="10" s="1"/>
  <c r="EG478" i="10"/>
  <c r="BZ478" i="10"/>
  <c r="BU78" i="12"/>
  <c r="R79" i="10"/>
  <c r="BL78" i="12"/>
  <c r="B91" i="1" s="1"/>
  <c r="D91" i="1" s="1"/>
  <c r="EH260" i="10"/>
  <c r="CA260" i="10"/>
  <c r="U408" i="10"/>
  <c r="BP407" i="12"/>
  <c r="C420" i="1" s="1"/>
  <c r="EJ536" i="10"/>
  <c r="CC536" i="10"/>
  <c r="EK184" i="10"/>
  <c r="CD184" i="10"/>
  <c r="B492" i="1"/>
  <c r="D492" i="1" s="1"/>
  <c r="EC480" i="10"/>
  <c r="ED480" i="10" s="1"/>
  <c r="P480" i="10"/>
  <c r="Q480" i="10" s="1"/>
  <c r="N480" i="10" s="1"/>
  <c r="BV480" i="10"/>
  <c r="BW480" i="10" s="1"/>
  <c r="BX480" i="10" s="1"/>
  <c r="BU480" i="10" s="1"/>
  <c r="M480" i="10"/>
  <c r="BU143" i="12"/>
  <c r="R144" i="10"/>
  <c r="BL143" i="12"/>
  <c r="EJ532" i="10"/>
  <c r="CC532" i="10"/>
  <c r="EJ415" i="10"/>
  <c r="CC415" i="10"/>
  <c r="U269" i="10"/>
  <c r="BP268" i="12"/>
  <c r="C281" i="1" s="1"/>
  <c r="CA90" i="10"/>
  <c r="EH90" i="10"/>
  <c r="CD513" i="10"/>
  <c r="EK513" i="10"/>
  <c r="B538" i="1"/>
  <c r="D538" i="1" s="1"/>
  <c r="C538" i="1"/>
  <c r="EC526" i="10"/>
  <c r="ED526" i="10" s="1"/>
  <c r="P526" i="10"/>
  <c r="Q526" i="10" s="1"/>
  <c r="N526" i="10" s="1"/>
  <c r="BV526" i="10"/>
  <c r="BW526" i="10" s="1"/>
  <c r="BX526" i="10" s="1"/>
  <c r="BU526" i="10" s="1"/>
  <c r="M526" i="10"/>
  <c r="BU558" i="12"/>
  <c r="R559" i="10"/>
  <c r="BL558" i="12"/>
  <c r="EK481" i="10"/>
  <c r="CD481" i="10"/>
  <c r="EG249" i="10"/>
  <c r="BZ249" i="10"/>
  <c r="EG197" i="10"/>
  <c r="BZ197" i="10"/>
  <c r="EJ352" i="10"/>
  <c r="CC352" i="10"/>
  <c r="EJ491" i="10"/>
  <c r="CC491" i="10"/>
  <c r="C122" i="1"/>
  <c r="B122" i="1"/>
  <c r="D122" i="1" s="1"/>
  <c r="EC279" i="10"/>
  <c r="ED279" i="10" s="1"/>
  <c r="BV279" i="10"/>
  <c r="BW279" i="10" s="1"/>
  <c r="BX279" i="10" s="1"/>
  <c r="BU279" i="10" s="1"/>
  <c r="P279" i="10"/>
  <c r="Q279" i="10" s="1"/>
  <c r="N279" i="10" s="1"/>
  <c r="U427" i="10"/>
  <c r="BP426" i="12"/>
  <c r="U552" i="10"/>
  <c r="BP551" i="12"/>
  <c r="C564" i="1" s="1"/>
  <c r="EJ205" i="10"/>
  <c r="CC205" i="10"/>
  <c r="EK359" i="10"/>
  <c r="CD359" i="10"/>
  <c r="BU495" i="12"/>
  <c r="M496" i="10" s="1"/>
  <c r="R496" i="10"/>
  <c r="BL495" i="12"/>
  <c r="EK207" i="10"/>
  <c r="CD207" i="10"/>
  <c r="EC324" i="10"/>
  <c r="ED324" i="10" s="1"/>
  <c r="P324" i="10"/>
  <c r="Q324" i="10" s="1"/>
  <c r="N324" i="10" s="1"/>
  <c r="BV324" i="10"/>
  <c r="BW324" i="10" s="1"/>
  <c r="BX324" i="10" s="1"/>
  <c r="BU324" i="10" s="1"/>
  <c r="M324" i="10"/>
  <c r="EG165" i="10"/>
  <c r="BZ165" i="10"/>
  <c r="EJ433" i="10"/>
  <c r="CC433" i="10"/>
  <c r="EJ186" i="10"/>
  <c r="CC186" i="10"/>
  <c r="U344" i="10"/>
  <c r="BP343" i="12"/>
  <c r="EH232" i="10"/>
  <c r="CA232" i="10"/>
  <c r="U35" i="10"/>
  <c r="BP34" i="12"/>
  <c r="C47" i="1" s="1"/>
  <c r="C111" i="1"/>
  <c r="EC164" i="10"/>
  <c r="ED164" i="10" s="1"/>
  <c r="P164" i="10"/>
  <c r="Q164" i="10" s="1"/>
  <c r="N164" i="10" s="1"/>
  <c r="BV164" i="10"/>
  <c r="BW164" i="10" s="1"/>
  <c r="BX164" i="10" s="1"/>
  <c r="BU164" i="10" s="1"/>
  <c r="M164" i="10"/>
  <c r="EH229" i="10"/>
  <c r="CA229" i="10"/>
  <c r="EJ61" i="10"/>
  <c r="CC61" i="10"/>
  <c r="EK125" i="10"/>
  <c r="CD125" i="10"/>
  <c r="U190" i="10"/>
  <c r="BP189" i="12"/>
  <c r="C202" i="1" s="1"/>
  <c r="EK256" i="10"/>
  <c r="CD256" i="10"/>
  <c r="EG322" i="10"/>
  <c r="BZ322" i="10"/>
  <c r="B398" i="1"/>
  <c r="D398" i="1" s="1"/>
  <c r="C398" i="1"/>
  <c r="EC450" i="10"/>
  <c r="ED450" i="10" s="1"/>
  <c r="BV450" i="10"/>
  <c r="BW450" i="10" s="1"/>
  <c r="BX450" i="10" s="1"/>
  <c r="BU450" i="10" s="1"/>
  <c r="P450" i="10"/>
  <c r="Q450" i="10" s="1"/>
  <c r="N450" i="10" s="1"/>
  <c r="EG514" i="10"/>
  <c r="BZ514" i="10"/>
  <c r="EK14" i="10"/>
  <c r="CD14" i="10"/>
  <c r="BU80" i="12"/>
  <c r="M81" i="10" s="1"/>
  <c r="R81" i="10"/>
  <c r="BL80" i="12"/>
  <c r="B93" i="1" s="1"/>
  <c r="D93" i="1" s="1"/>
  <c r="EG168" i="10"/>
  <c r="BZ168" i="10"/>
  <c r="U252" i="10"/>
  <c r="BP251" i="12"/>
  <c r="C264" i="1" s="1"/>
  <c r="EJ327" i="10"/>
  <c r="CC327" i="10"/>
  <c r="C412" i="1"/>
  <c r="EC473" i="10"/>
  <c r="ED473" i="10" s="1"/>
  <c r="BV473" i="10"/>
  <c r="BW473" i="10" s="1"/>
  <c r="BX473" i="10" s="1"/>
  <c r="BU473" i="10" s="1"/>
  <c r="P473" i="10"/>
  <c r="Q473" i="10" s="1"/>
  <c r="N473" i="10" s="1"/>
  <c r="M473" i="10"/>
  <c r="R547" i="10"/>
  <c r="BU546" i="12"/>
  <c r="BL546" i="12"/>
  <c r="BU71" i="12"/>
  <c r="R72" i="10"/>
  <c r="BL71" i="12"/>
  <c r="B84" i="1" s="1"/>
  <c r="D84" i="1" s="1"/>
  <c r="BU158" i="12"/>
  <c r="M159" i="10" s="1"/>
  <c r="R159" i="10"/>
  <c r="BL158" i="12"/>
  <c r="B171" i="1" s="1"/>
  <c r="D171" i="1" s="1"/>
  <c r="EG243" i="10"/>
  <c r="BZ243" i="10"/>
  <c r="EJ319" i="10"/>
  <c r="CC319" i="10"/>
  <c r="EG392" i="10"/>
  <c r="BZ392" i="10"/>
  <c r="C551" i="1"/>
  <c r="B551" i="1"/>
  <c r="D551" i="1" s="1"/>
  <c r="EC539" i="10"/>
  <c r="ED539" i="10" s="1"/>
  <c r="P539" i="10"/>
  <c r="Q539" i="10" s="1"/>
  <c r="BV539" i="10"/>
  <c r="BW539" i="10" s="1"/>
  <c r="BX539" i="10" s="1"/>
  <c r="BU539" i="10" s="1"/>
  <c r="M539" i="10"/>
  <c r="U63" i="10"/>
  <c r="BP62" i="12"/>
  <c r="U149" i="10"/>
  <c r="BP148" i="12"/>
  <c r="C161" i="1" s="1"/>
  <c r="EJ235" i="10"/>
  <c r="CC235" i="10"/>
  <c r="BZ311" i="10"/>
  <c r="EG311" i="10"/>
  <c r="EG384" i="10"/>
  <c r="BZ384" i="10"/>
  <c r="EJ457" i="10"/>
  <c r="CC457" i="10"/>
  <c r="EC54" i="10"/>
  <c r="ED54" i="10" s="1"/>
  <c r="P54" i="10"/>
  <c r="Q54" i="10" s="1"/>
  <c r="N54" i="10" s="1"/>
  <c r="BV54" i="10"/>
  <c r="BW54" i="10" s="1"/>
  <c r="BX54" i="10" s="1"/>
  <c r="BU54" i="10" s="1"/>
  <c r="M54" i="10"/>
  <c r="EG138" i="10"/>
  <c r="BZ138" i="10"/>
  <c r="U226" i="10"/>
  <c r="BP225" i="12"/>
  <c r="C238" i="1" s="1"/>
  <c r="EH303" i="10"/>
  <c r="CA303" i="10"/>
  <c r="EG376" i="10"/>
  <c r="BZ376" i="10"/>
  <c r="EK449" i="10"/>
  <c r="CD449" i="10"/>
  <c r="EJ65" i="10"/>
  <c r="CC65" i="10"/>
  <c r="B50" i="1"/>
  <c r="D50" i="1" s="1"/>
  <c r="EC237" i="10"/>
  <c r="ED237" i="10" s="1"/>
  <c r="P237" i="10"/>
  <c r="Q237" i="10" s="1"/>
  <c r="N237" i="10" s="1"/>
  <c r="BV237" i="10"/>
  <c r="BW237" i="10" s="1"/>
  <c r="BX237" i="10" s="1"/>
  <c r="BU237" i="10" s="1"/>
  <c r="M237" i="10"/>
  <c r="EG387" i="10"/>
  <c r="BZ387" i="10"/>
  <c r="EK517" i="10"/>
  <c r="CD517" i="10"/>
  <c r="EG130" i="10"/>
  <c r="BZ130" i="10"/>
  <c r="CA296" i="10"/>
  <c r="EH296" i="10"/>
  <c r="CA443" i="10"/>
  <c r="EH443" i="10"/>
  <c r="EK563" i="10"/>
  <c r="CD563" i="10"/>
  <c r="B556" i="1"/>
  <c r="D556" i="1" s="1"/>
  <c r="EC544" i="10"/>
  <c r="ED544" i="10" s="1"/>
  <c r="BV544" i="10"/>
  <c r="BW544" i="10" s="1"/>
  <c r="BX544" i="10" s="1"/>
  <c r="BU544" i="10" s="1"/>
  <c r="P544" i="10"/>
  <c r="Q544" i="10" s="1"/>
  <c r="N544" i="10" s="1"/>
  <c r="M544" i="10"/>
  <c r="BU141" i="12"/>
  <c r="R142" i="10"/>
  <c r="BL141" i="12"/>
  <c r="U120" i="10"/>
  <c r="BP119" i="12"/>
  <c r="C132" i="1" s="1"/>
  <c r="EK398" i="10"/>
  <c r="CD398" i="10"/>
  <c r="BU42" i="12"/>
  <c r="M43" i="10" s="1"/>
  <c r="R43" i="10"/>
  <c r="BL42" i="12"/>
  <c r="EG107" i="10"/>
  <c r="BZ107" i="10"/>
  <c r="U172" i="10"/>
  <c r="BP171" i="12"/>
  <c r="C184" i="1" s="1"/>
  <c r="EJ5" i="10"/>
  <c r="CC5" i="10"/>
  <c r="EC69" i="10"/>
  <c r="ED69" i="10" s="1"/>
  <c r="P69" i="10"/>
  <c r="Q69" i="10" s="1"/>
  <c r="N69" i="10" s="1"/>
  <c r="BV69" i="10"/>
  <c r="BW69" i="10" s="1"/>
  <c r="BX69" i="10" s="1"/>
  <c r="BU69" i="10" s="1"/>
  <c r="M69" i="10"/>
  <c r="BU132" i="12"/>
  <c r="R133" i="10"/>
  <c r="BL132" i="12"/>
  <c r="EK198" i="10"/>
  <c r="CD198" i="10"/>
  <c r="EJ264" i="10"/>
  <c r="CC264" i="10"/>
  <c r="EG330" i="10"/>
  <c r="BZ330" i="10"/>
  <c r="EH394" i="10"/>
  <c r="CA394" i="10"/>
  <c r="EK458" i="10"/>
  <c r="CD458" i="10"/>
  <c r="EC4" i="10"/>
  <c r="ED4" i="10" s="1"/>
  <c r="P4" i="10"/>
  <c r="Q4" i="10" s="1"/>
  <c r="N4" i="10" s="1"/>
  <c r="BV4" i="10"/>
  <c r="BW4" i="10" s="1"/>
  <c r="BX4" i="10" s="1"/>
  <c r="M4" i="10"/>
  <c r="U92" i="10"/>
  <c r="BP91" i="12"/>
  <c r="EK178" i="10"/>
  <c r="CD178" i="10"/>
  <c r="BU260" i="12"/>
  <c r="M261" i="10" s="1"/>
  <c r="R261" i="10"/>
  <c r="BL260" i="12"/>
  <c r="B273" i="1" s="1"/>
  <c r="D273" i="1" s="1"/>
  <c r="EK336" i="10"/>
  <c r="CD336" i="10"/>
  <c r="EG409" i="10"/>
  <c r="BZ409" i="10"/>
  <c r="CA483" i="10"/>
  <c r="EH483" i="10"/>
  <c r="EC82" i="10"/>
  <c r="ED82" i="10" s="1"/>
  <c r="BV82" i="10"/>
  <c r="BW82" i="10" s="1"/>
  <c r="BX82" i="10" s="1"/>
  <c r="BU82" i="10" s="1"/>
  <c r="P82" i="10"/>
  <c r="Q82" i="10" s="1"/>
  <c r="N82" i="10" s="1"/>
  <c r="M82" i="10"/>
  <c r="U169" i="10"/>
  <c r="BP168" i="12"/>
  <c r="U253" i="10"/>
  <c r="BP252" i="12"/>
  <c r="C265" i="1" s="1"/>
  <c r="EG328" i="10"/>
  <c r="BZ328" i="10"/>
  <c r="U401" i="10"/>
  <c r="BP400" i="12"/>
  <c r="C413" i="1" s="1"/>
  <c r="U475" i="10"/>
  <c r="BP474" i="12"/>
  <c r="EJ548" i="10"/>
  <c r="CC548" i="10"/>
  <c r="C85" i="1"/>
  <c r="EC160" i="10"/>
  <c r="ED160" i="10" s="1"/>
  <c r="BV160" i="10"/>
  <c r="BW160" i="10" s="1"/>
  <c r="BX160" i="10" s="1"/>
  <c r="BU160" i="10" s="1"/>
  <c r="P160" i="10"/>
  <c r="Q160" i="10" s="1"/>
  <c r="N160" i="10" s="1"/>
  <c r="M160" i="10"/>
  <c r="EG244" i="10"/>
  <c r="BZ244" i="10"/>
  <c r="EJ320" i="10"/>
  <c r="CC320" i="10"/>
  <c r="EK393" i="10"/>
  <c r="CD393" i="10"/>
  <c r="EK467" i="10"/>
  <c r="CD467" i="10"/>
  <c r="EK540" i="10"/>
  <c r="CD540" i="10"/>
  <c r="EK64" i="10"/>
  <c r="CD64" i="10"/>
  <c r="C163" i="1"/>
  <c r="B163" i="1"/>
  <c r="D163" i="1" s="1"/>
  <c r="EC236" i="10"/>
  <c r="ED236" i="10" s="1"/>
  <c r="P236" i="10"/>
  <c r="Q236" i="10" s="1"/>
  <c r="N236" i="10" s="1"/>
  <c r="BV236" i="10"/>
  <c r="BW236" i="10" s="1"/>
  <c r="BX236" i="10" s="1"/>
  <c r="BU236" i="10" s="1"/>
  <c r="EJ312" i="10"/>
  <c r="CC312" i="10"/>
  <c r="EJ385" i="10"/>
  <c r="CC385" i="10"/>
  <c r="EG459" i="10"/>
  <c r="BZ459" i="10"/>
  <c r="EK76" i="10"/>
  <c r="CD76" i="10"/>
  <c r="EJ68" i="10"/>
  <c r="CC68" i="10"/>
  <c r="U257" i="10"/>
  <c r="BP256" i="12"/>
  <c r="C269" i="1" s="1"/>
  <c r="B417" i="1"/>
  <c r="D417" i="1" s="1"/>
  <c r="EC533" i="10"/>
  <c r="ED533" i="10" s="1"/>
  <c r="P533" i="10"/>
  <c r="Q533" i="10" s="1"/>
  <c r="N533" i="10" s="1"/>
  <c r="BV533" i="10"/>
  <c r="BW533" i="10" s="1"/>
  <c r="BX533" i="10" s="1"/>
  <c r="BU533" i="10" s="1"/>
  <c r="M533" i="10"/>
  <c r="EG153" i="10"/>
  <c r="BZ153" i="10"/>
  <c r="EJ315" i="10"/>
  <c r="CC315" i="10"/>
  <c r="EJ461" i="10"/>
  <c r="CC461" i="10"/>
  <c r="BU15" i="12"/>
  <c r="M16" i="10" s="1"/>
  <c r="R16" i="10"/>
  <c r="BL15" i="12"/>
  <c r="B28" i="1" s="1"/>
  <c r="D28" i="1" s="1"/>
  <c r="EK219" i="10"/>
  <c r="CD219" i="10"/>
  <c r="CD371" i="10"/>
  <c r="EK371" i="10"/>
  <c r="C519" i="1"/>
  <c r="B519" i="1"/>
  <c r="D519" i="1" s="1"/>
  <c r="B146" i="1"/>
  <c r="D146" i="1" s="1"/>
  <c r="C146" i="1"/>
  <c r="EC134" i="10"/>
  <c r="ED134" i="10" s="1"/>
  <c r="P134" i="10"/>
  <c r="Q134" i="10" s="1"/>
  <c r="N134" i="10" s="1"/>
  <c r="BV134" i="10"/>
  <c r="BW134" i="10" s="1"/>
  <c r="BX134" i="10" s="1"/>
  <c r="BU134" i="10" s="1"/>
  <c r="M134" i="10"/>
  <c r="EG299" i="10"/>
  <c r="BZ299" i="10"/>
  <c r="EJ445" i="10"/>
  <c r="CC445" i="10"/>
  <c r="EH25" i="10"/>
  <c r="CA25" i="10"/>
  <c r="EK227" i="10"/>
  <c r="CD227" i="10"/>
  <c r="EG377" i="10"/>
  <c r="BZ377" i="10"/>
  <c r="EJ509" i="10"/>
  <c r="CC509" i="10"/>
  <c r="EC88" i="10"/>
  <c r="ED88" i="10" s="1"/>
  <c r="BV88" i="10"/>
  <c r="BW88" i="10" s="1"/>
  <c r="BX88" i="10" s="1"/>
  <c r="BU88" i="10" s="1"/>
  <c r="P88" i="10"/>
  <c r="Q88" i="10" s="1"/>
  <c r="N88" i="10" s="1"/>
  <c r="M88" i="10"/>
  <c r="EH499" i="10"/>
  <c r="CA499" i="10"/>
  <c r="U363" i="10"/>
  <c r="BP362" i="12"/>
  <c r="C375" i="1" s="1"/>
  <c r="EH228" i="10"/>
  <c r="CA228" i="10"/>
  <c r="EH34" i="10"/>
  <c r="CA34" i="10"/>
  <c r="EG471" i="10"/>
  <c r="BZ471" i="10"/>
  <c r="EH289" i="10"/>
  <c r="CA289" i="10"/>
  <c r="EC250" i="10"/>
  <c r="ED250" i="10" s="1"/>
  <c r="BV250" i="10"/>
  <c r="BW250" i="10" s="1"/>
  <c r="BX250" i="10" s="1"/>
  <c r="BU250" i="10" s="1"/>
  <c r="P250" i="10"/>
  <c r="Q250" i="10" s="1"/>
  <c r="N250" i="10" s="1"/>
  <c r="BU380" i="12"/>
  <c r="R381" i="10"/>
  <c r="BL380" i="12"/>
  <c r="BU266" i="12"/>
  <c r="R267" i="10"/>
  <c r="BL266" i="12"/>
  <c r="EG208" i="10"/>
  <c r="BZ208" i="10"/>
  <c r="EH325" i="10"/>
  <c r="CA325" i="10"/>
  <c r="U527" i="10"/>
  <c r="BP526" i="12"/>
  <c r="U487" i="10"/>
  <c r="BP486" i="12"/>
  <c r="C499" i="1" s="1"/>
  <c r="EC162" i="10"/>
  <c r="ED162" i="10" s="1"/>
  <c r="BV162" i="10"/>
  <c r="BW162" i="10" s="1"/>
  <c r="BX162" i="10" s="1"/>
  <c r="BU162" i="10" s="1"/>
  <c r="P162" i="10"/>
  <c r="Q162" i="10" s="1"/>
  <c r="N162" i="10" s="1"/>
  <c r="M162" i="10"/>
  <c r="U361" i="10"/>
  <c r="BP360" i="12"/>
  <c r="EK326" i="10"/>
  <c r="CD326" i="10"/>
  <c r="EH51" i="10"/>
  <c r="CA51" i="10"/>
  <c r="EJ115" i="10"/>
  <c r="CC115" i="10"/>
  <c r="CA180" i="10"/>
  <c r="EH180" i="10"/>
  <c r="EH13" i="10"/>
  <c r="CA13" i="10"/>
  <c r="EG77" i="10"/>
  <c r="BZ77" i="10"/>
  <c r="EC141" i="10"/>
  <c r="ED141" i="10" s="1"/>
  <c r="P141" i="10"/>
  <c r="Q141" i="10" s="1"/>
  <c r="N141" i="10" s="1"/>
  <c r="BV141" i="10"/>
  <c r="BW141" i="10" s="1"/>
  <c r="BX141" i="10" s="1"/>
  <c r="BU141" i="10" s="1"/>
  <c r="M141" i="10"/>
  <c r="EG206" i="10"/>
  <c r="BZ206" i="10"/>
  <c r="EG273" i="10"/>
  <c r="BZ273" i="10"/>
  <c r="EJ338" i="10"/>
  <c r="CC338" i="10"/>
  <c r="EK402" i="10"/>
  <c r="CD402" i="10"/>
  <c r="EG466" i="10"/>
  <c r="BZ466" i="10"/>
  <c r="EJ530" i="10"/>
  <c r="CC530" i="10"/>
  <c r="C29" i="1"/>
  <c r="EC103" i="10"/>
  <c r="ED103" i="10" s="1"/>
  <c r="BV103" i="10"/>
  <c r="BW103" i="10" s="1"/>
  <c r="BX103" i="10" s="1"/>
  <c r="BU103" i="10" s="1"/>
  <c r="P103" i="10"/>
  <c r="Q103" i="10" s="1"/>
  <c r="N103" i="10" s="1"/>
  <c r="M103" i="10"/>
  <c r="U189" i="10"/>
  <c r="BP188" i="12"/>
  <c r="EK271" i="10"/>
  <c r="CD271" i="10"/>
  <c r="EJ345" i="10"/>
  <c r="CC345" i="10"/>
  <c r="EG419" i="10"/>
  <c r="BZ419" i="10"/>
  <c r="U492" i="10"/>
  <c r="BP491" i="12"/>
  <c r="C504" i="1" s="1"/>
  <c r="EG7" i="10"/>
  <c r="BZ7" i="10"/>
  <c r="C106" i="1"/>
  <c r="EC179" i="10"/>
  <c r="ED179" i="10" s="1"/>
  <c r="P179" i="10"/>
  <c r="Q179" i="10" s="1"/>
  <c r="BV179" i="10"/>
  <c r="BW179" i="10" s="1"/>
  <c r="BX179" i="10" s="1"/>
  <c r="BU179" i="10" s="1"/>
  <c r="M179" i="10"/>
  <c r="BU261" i="12"/>
  <c r="R262" i="10"/>
  <c r="BL261" i="12"/>
  <c r="EK337" i="10"/>
  <c r="CD337" i="10"/>
  <c r="CA411" i="10"/>
  <c r="EH411" i="10"/>
  <c r="EG484" i="10"/>
  <c r="BZ484" i="10"/>
  <c r="U557" i="10"/>
  <c r="BP556" i="12"/>
  <c r="C569" i="1" s="1"/>
  <c r="EH84" i="10"/>
  <c r="CA84" i="10"/>
  <c r="B266" i="1"/>
  <c r="D266" i="1" s="1"/>
  <c r="EC254" i="10"/>
  <c r="ED254" i="10" s="1"/>
  <c r="BV254" i="10"/>
  <c r="BW254" i="10" s="1"/>
  <c r="BX254" i="10" s="1"/>
  <c r="BU254" i="10" s="1"/>
  <c r="P254" i="10"/>
  <c r="Q254" i="10" s="1"/>
  <c r="N254" i="10" s="1"/>
  <c r="M254" i="10"/>
  <c r="EG329" i="10"/>
  <c r="BZ329" i="10"/>
  <c r="CD403" i="10"/>
  <c r="EK403" i="10"/>
  <c r="EJ476" i="10"/>
  <c r="CC476" i="10"/>
  <c r="EH549" i="10"/>
  <c r="CA549" i="10"/>
  <c r="U74" i="10"/>
  <c r="BP73" i="12"/>
  <c r="C86" i="1" s="1"/>
  <c r="EJ161" i="10"/>
  <c r="CC161" i="10"/>
  <c r="B333" i="1"/>
  <c r="D333" i="1" s="1"/>
  <c r="EC321" i="10"/>
  <c r="ED321" i="10" s="1"/>
  <c r="BV321" i="10"/>
  <c r="BW321" i="10" s="1"/>
  <c r="BX321" i="10" s="1"/>
  <c r="BU321" i="10" s="1"/>
  <c r="P321" i="10"/>
  <c r="Q321" i="10" s="1"/>
  <c r="N321" i="10" s="1"/>
  <c r="M321" i="10"/>
  <c r="EG395" i="10"/>
  <c r="BZ395" i="10"/>
  <c r="BU282" i="12"/>
  <c r="R283" i="10"/>
  <c r="BL282" i="12"/>
  <c r="B295" i="1" s="1"/>
  <c r="D295" i="1" s="1"/>
  <c r="EG87" i="10"/>
  <c r="BZ87" i="10"/>
  <c r="CA98" i="10"/>
  <c r="EH98" i="10"/>
  <c r="EJ276" i="10"/>
  <c r="CC276" i="10"/>
  <c r="EC545" i="10"/>
  <c r="ED545" i="10" s="1"/>
  <c r="BV545" i="10"/>
  <c r="BW545" i="10" s="1"/>
  <c r="BX545" i="10" s="1"/>
  <c r="BU545" i="10" s="1"/>
  <c r="P545" i="10"/>
  <c r="Q545" i="10" s="1"/>
  <c r="N545" i="10" s="1"/>
  <c r="M545" i="10"/>
  <c r="BU174" i="12"/>
  <c r="R175" i="10"/>
  <c r="BL174" i="12"/>
  <c r="BU332" i="12"/>
  <c r="R333" i="10"/>
  <c r="BL332" i="12"/>
  <c r="EJ477" i="10"/>
  <c r="CC477" i="10"/>
  <c r="EG47" i="10"/>
  <c r="BZ47" i="10"/>
  <c r="EK240" i="10"/>
  <c r="CD240" i="10"/>
  <c r="EH389" i="10"/>
  <c r="CA389" i="10"/>
  <c r="EC155" i="10"/>
  <c r="ED155" i="10" s="1"/>
  <c r="P155" i="10"/>
  <c r="Q155" i="10" s="1"/>
  <c r="N155" i="10" s="1"/>
  <c r="BV155" i="10"/>
  <c r="BW155" i="10" s="1"/>
  <c r="BX155" i="10" s="1"/>
  <c r="BU155" i="10" s="1"/>
  <c r="M155" i="10"/>
  <c r="U317" i="10"/>
  <c r="BP316" i="12"/>
  <c r="U463" i="10"/>
  <c r="BP462" i="12"/>
  <c r="EG56" i="10"/>
  <c r="BZ56" i="10"/>
  <c r="EG246" i="10"/>
  <c r="BZ246" i="10"/>
  <c r="EG396" i="10"/>
  <c r="BZ396" i="10"/>
  <c r="EJ525" i="10"/>
  <c r="CC525" i="10"/>
  <c r="EC145" i="10"/>
  <c r="ED145" i="10" s="1"/>
  <c r="BV145" i="10"/>
  <c r="BW145" i="10" s="1"/>
  <c r="BX145" i="10" s="1"/>
  <c r="BU145" i="10" s="1"/>
  <c r="P145" i="10"/>
  <c r="Q145" i="10" s="1"/>
  <c r="N145" i="10" s="1"/>
  <c r="M145" i="10"/>
  <c r="EG542" i="10"/>
  <c r="BZ542" i="10"/>
  <c r="CA416" i="10"/>
  <c r="EH416" i="10"/>
  <c r="EG270" i="10"/>
  <c r="BZ270" i="10"/>
  <c r="EJ112" i="10"/>
  <c r="CC112" i="10"/>
  <c r="BU514" i="12"/>
  <c r="R515" i="10"/>
  <c r="BL514" i="12"/>
  <c r="B527" i="1" s="1"/>
  <c r="D527" i="1" s="1"/>
  <c r="EK435" i="10"/>
  <c r="CD435" i="10"/>
  <c r="B464" i="1"/>
  <c r="D464" i="1" s="1"/>
  <c r="B409" i="1"/>
  <c r="D409" i="1" s="1"/>
  <c r="EC397" i="10"/>
  <c r="ED397" i="10" s="1"/>
  <c r="P397" i="10"/>
  <c r="Q397" i="10" s="1"/>
  <c r="N397" i="10" s="1"/>
  <c r="BV397" i="10"/>
  <c r="BW397" i="10" s="1"/>
  <c r="BX397" i="10" s="1"/>
  <c r="BU397" i="10" s="1"/>
  <c r="M397" i="10"/>
  <c r="U486" i="10"/>
  <c r="BP485" i="12"/>
  <c r="EJ351" i="10"/>
  <c r="CC351" i="10"/>
  <c r="EJ259" i="10"/>
  <c r="CC259" i="10"/>
  <c r="EK535" i="10"/>
  <c r="CD535" i="10"/>
  <c r="BU334" i="12"/>
  <c r="M335" i="10" s="1"/>
  <c r="R335" i="10"/>
  <c r="BL334" i="12"/>
  <c r="B347" i="1" s="1"/>
  <c r="D347" i="1" s="1"/>
  <c r="EJ80" i="10"/>
  <c r="CC80" i="10"/>
  <c r="C426" i="1"/>
  <c r="EC360" i="10"/>
  <c r="ED360" i="10" s="1"/>
  <c r="P360" i="10"/>
  <c r="Q360" i="10" s="1"/>
  <c r="N360" i="10" s="1"/>
  <c r="BV360" i="10"/>
  <c r="BW360" i="10" s="1"/>
  <c r="BX360" i="10" s="1"/>
  <c r="BU360" i="10" s="1"/>
  <c r="M360" i="10"/>
  <c r="U469" i="10"/>
  <c r="BP468" i="12"/>
  <c r="CD555" i="10"/>
  <c r="EK555" i="10"/>
  <c r="EG516" i="10"/>
  <c r="BZ516" i="10"/>
  <c r="EG406" i="10"/>
  <c r="BZ406" i="10"/>
  <c r="EH241" i="10"/>
  <c r="CA241" i="10"/>
  <c r="EK468" i="10"/>
  <c r="CD468" i="10"/>
  <c r="EG59" i="10"/>
  <c r="BZ59" i="10"/>
  <c r="EH123" i="10"/>
  <c r="CA123" i="10"/>
  <c r="U188" i="10"/>
  <c r="BP187" i="12"/>
  <c r="C200" i="1" s="1"/>
  <c r="EC21" i="10"/>
  <c r="ED21" i="10" s="1"/>
  <c r="P21" i="10"/>
  <c r="Q21" i="10" s="1"/>
  <c r="N21" i="10" s="1"/>
  <c r="BV21" i="10"/>
  <c r="BW21" i="10" s="1"/>
  <c r="BX21" i="10" s="1"/>
  <c r="BU21" i="10" s="1"/>
  <c r="EK85" i="10"/>
  <c r="CD85" i="10"/>
  <c r="EH150" i="10"/>
  <c r="CA150" i="10"/>
  <c r="EK215" i="10"/>
  <c r="CD215" i="10"/>
  <c r="B293" i="1"/>
  <c r="D293" i="1" s="1"/>
  <c r="EC346" i="10"/>
  <c r="ED346" i="10" s="1"/>
  <c r="BV346" i="10"/>
  <c r="BW346" i="10" s="1"/>
  <c r="BX346" i="10" s="1"/>
  <c r="BU346" i="10" s="1"/>
  <c r="P346" i="10"/>
  <c r="Q346" i="10" s="1"/>
  <c r="N346" i="10" s="1"/>
  <c r="BU409" i="12"/>
  <c r="R410" i="10"/>
  <c r="BL409" i="12"/>
  <c r="BU473" i="12"/>
  <c r="R474" i="10"/>
  <c r="BL473" i="12"/>
  <c r="CA538" i="10"/>
  <c r="EH538" i="10"/>
  <c r="EK28" i="10"/>
  <c r="CD28" i="10"/>
  <c r="EK113" i="10"/>
  <c r="CD113" i="10"/>
  <c r="U200" i="10"/>
  <c r="BP199" i="12"/>
  <c r="C212" i="1" s="1"/>
  <c r="C292" i="1"/>
  <c r="EC355" i="10"/>
  <c r="ED355" i="10" s="1"/>
  <c r="P355" i="10"/>
  <c r="Q355" i="10" s="1"/>
  <c r="N355" i="10" s="1"/>
  <c r="BV355" i="10"/>
  <c r="BW355" i="10" s="1"/>
  <c r="BX355" i="10" s="1"/>
  <c r="BU355" i="10" s="1"/>
  <c r="M355" i="10"/>
  <c r="EG428" i="10"/>
  <c r="BZ428" i="10"/>
  <c r="EK501" i="10"/>
  <c r="CD501" i="10"/>
  <c r="EJ18" i="10"/>
  <c r="CC18" i="10"/>
  <c r="BU103" i="12"/>
  <c r="M104" i="10" s="1"/>
  <c r="R104" i="10"/>
  <c r="BL103" i="12"/>
  <c r="B116" i="1" s="1"/>
  <c r="D116" i="1" s="1"/>
  <c r="EK191" i="10"/>
  <c r="CD191" i="10"/>
  <c r="EK272" i="10"/>
  <c r="CD272" i="10"/>
  <c r="C359" i="1"/>
  <c r="EC420" i="10"/>
  <c r="ED420" i="10" s="1"/>
  <c r="P420" i="10"/>
  <c r="Q420" i="10" s="1"/>
  <c r="N420" i="10" s="1"/>
  <c r="BV420" i="10"/>
  <c r="BW420" i="10" s="1"/>
  <c r="BX420" i="10" s="1"/>
  <c r="BU420" i="10" s="1"/>
  <c r="M420" i="10"/>
  <c r="EG493" i="10"/>
  <c r="BZ493" i="10"/>
  <c r="EJ8" i="10"/>
  <c r="CC8" i="10"/>
  <c r="EJ95" i="10"/>
  <c r="CC95" i="10"/>
  <c r="U181" i="10"/>
  <c r="BP180" i="12"/>
  <c r="C193" i="1" s="1"/>
  <c r="EJ263" i="10"/>
  <c r="CC263" i="10"/>
  <c r="CA339" i="10"/>
  <c r="EH339" i="10"/>
  <c r="C424" i="1"/>
  <c r="EC485" i="10"/>
  <c r="ED485" i="10" s="1"/>
  <c r="BV485" i="10"/>
  <c r="BW485" i="10" s="1"/>
  <c r="BX485" i="10" s="1"/>
  <c r="BU485" i="10" s="1"/>
  <c r="P485" i="10"/>
  <c r="Q485" i="10" s="1"/>
  <c r="N485" i="10" s="1"/>
  <c r="EJ558" i="10"/>
  <c r="CC558" i="10"/>
  <c r="U86" i="10"/>
  <c r="BP85" i="12"/>
  <c r="C98" i="1" s="1"/>
  <c r="BU170" i="12"/>
  <c r="M171" i="10" s="1"/>
  <c r="R171" i="10"/>
  <c r="BL170" i="12"/>
  <c r="B183" i="1" s="1"/>
  <c r="D183" i="1" s="1"/>
  <c r="U255" i="10"/>
  <c r="BP254" i="12"/>
  <c r="C267" i="1" s="1"/>
  <c r="U331" i="10"/>
  <c r="BP330" i="12"/>
  <c r="C343" i="1" s="1"/>
  <c r="EH404" i="10"/>
  <c r="CA404" i="10"/>
  <c r="EC97" i="10"/>
  <c r="ED97" i="10" s="1"/>
  <c r="BV97" i="10"/>
  <c r="BW97" i="10" s="1"/>
  <c r="BX97" i="10" s="1"/>
  <c r="BU97" i="10" s="1"/>
  <c r="P97" i="10"/>
  <c r="Q97" i="10" s="1"/>
  <c r="N97" i="10" s="1"/>
  <c r="M97" i="10"/>
  <c r="EG122" i="10"/>
  <c r="BZ122" i="10"/>
  <c r="BU294" i="12"/>
  <c r="R295" i="10"/>
  <c r="BL294" i="12"/>
  <c r="EJ441" i="10"/>
  <c r="CC441" i="10"/>
  <c r="EG561" i="10"/>
  <c r="BZ561" i="10"/>
  <c r="EH195" i="10"/>
  <c r="CA195" i="10"/>
  <c r="EG489" i="10"/>
  <c r="BZ489" i="10"/>
  <c r="C90" i="1"/>
  <c r="EC407" i="10"/>
  <c r="ED407" i="10" s="1"/>
  <c r="BV407" i="10"/>
  <c r="BW407" i="10" s="1"/>
  <c r="BX407" i="10" s="1"/>
  <c r="BU407" i="10" s="1"/>
  <c r="P407" i="10"/>
  <c r="Q407" i="10" s="1"/>
  <c r="N407" i="10" s="1"/>
  <c r="M407" i="10"/>
  <c r="U177" i="10"/>
  <c r="BP176" i="12"/>
  <c r="U479" i="10"/>
  <c r="BP478" i="12"/>
  <c r="EK541" i="10"/>
  <c r="CD541" i="10"/>
  <c r="CA248" i="10"/>
  <c r="EH248" i="10"/>
  <c r="EH167" i="10"/>
  <c r="CA167" i="10"/>
  <c r="BU559" i="12"/>
  <c r="M560" i="10" s="1"/>
  <c r="R560" i="10"/>
  <c r="BL559" i="12"/>
  <c r="B572" i="1" s="1"/>
  <c r="D572" i="1" s="1"/>
  <c r="B546" i="1"/>
  <c r="D546" i="1" s="1"/>
  <c r="C546" i="1"/>
  <c r="EC390" i="10"/>
  <c r="ED390" i="10" s="1"/>
  <c r="BV390" i="10"/>
  <c r="BW390" i="10" s="1"/>
  <c r="BX390" i="10" s="1"/>
  <c r="BU390" i="10" s="1"/>
  <c r="P390" i="10"/>
  <c r="Q390" i="10" s="1"/>
  <c r="N390" i="10" s="1"/>
  <c r="M390" i="10"/>
  <c r="U497" i="10"/>
  <c r="BP496" i="12"/>
  <c r="EK436" i="10"/>
  <c r="CD436" i="10"/>
  <c r="EK67" i="10"/>
  <c r="CD67" i="10"/>
  <c r="EC196" i="10"/>
  <c r="ED196" i="10" s="1"/>
  <c r="P196" i="10"/>
  <c r="Q196" i="10" s="1"/>
  <c r="N196" i="10" s="1"/>
  <c r="BV196" i="10"/>
  <c r="BW196" i="10" s="1"/>
  <c r="BX196" i="10" s="1"/>
  <c r="BU196" i="10" s="1"/>
  <c r="M196" i="10"/>
  <c r="U223" i="10"/>
  <c r="BP222" i="12"/>
  <c r="U546" i="10"/>
  <c r="BP545" i="12"/>
  <c r="C558" i="1" s="1"/>
  <c r="EG30" i="10"/>
  <c r="BZ30" i="10"/>
  <c r="EH105" i="10"/>
  <c r="CA105" i="10"/>
  <c r="EK348" i="10"/>
  <c r="CD348" i="10"/>
  <c r="C21" i="1"/>
  <c r="EC96" i="10"/>
  <c r="ED96" i="10" s="1"/>
  <c r="BV96" i="10"/>
  <c r="BW96" i="10" s="1"/>
  <c r="BX96" i="10" s="1"/>
  <c r="BU96" i="10" s="1"/>
  <c r="P96" i="10"/>
  <c r="Q96" i="10" s="1"/>
  <c r="N96" i="10" s="1"/>
  <c r="EH108" i="10"/>
  <c r="CA108" i="10"/>
  <c r="B164" i="1"/>
  <c r="D164" i="1" s="1"/>
  <c r="C164" i="1"/>
  <c r="EK369" i="10"/>
  <c r="CD369" i="10"/>
  <c r="U199" i="10"/>
  <c r="BP198" i="12"/>
  <c r="C211" i="1" s="1"/>
  <c r="BU88" i="12"/>
  <c r="M89" i="10" s="1"/>
  <c r="R89" i="10"/>
  <c r="BL88" i="12"/>
  <c r="EH36" i="10"/>
  <c r="CA36" i="10"/>
  <c r="U46" i="10"/>
  <c r="BP45" i="12"/>
  <c r="C58" i="1" s="1"/>
  <c r="C400" i="1"/>
  <c r="B400" i="1"/>
  <c r="D400" i="1" s="1"/>
  <c r="EC132" i="10"/>
  <c r="ED132" i="10" s="1"/>
  <c r="P132" i="10"/>
  <c r="Q132" i="10" s="1"/>
  <c r="N132" i="10" s="1"/>
  <c r="BV132" i="10"/>
  <c r="BW132" i="10" s="1"/>
  <c r="BX132" i="10" s="1"/>
  <c r="BU132" i="10" s="1"/>
  <c r="M132" i="10"/>
  <c r="EJ187" i="10"/>
  <c r="CC187" i="10"/>
  <c r="EJ512" i="10"/>
  <c r="CC512" i="10"/>
  <c r="EJ209" i="10"/>
  <c r="CC209" i="10"/>
  <c r="EG101" i="10"/>
  <c r="BZ101" i="10"/>
  <c r="B310" i="1"/>
  <c r="D310" i="1" s="1"/>
  <c r="EK135" i="10"/>
  <c r="CD135" i="10"/>
  <c r="U40" i="10"/>
  <c r="BP39" i="12"/>
  <c r="BU510" i="12"/>
  <c r="M511" i="10" s="1"/>
  <c r="R511" i="10"/>
  <c r="BL510" i="12"/>
  <c r="B523" i="1" s="1"/>
  <c r="D523" i="1" s="1"/>
  <c r="EG22" i="10"/>
  <c r="BZ22" i="10"/>
  <c r="EJ422" i="10"/>
  <c r="CC422" i="10"/>
  <c r="B185" i="1"/>
  <c r="D185" i="1" s="1"/>
  <c r="C185" i="1"/>
  <c r="U372" i="10"/>
  <c r="BP371" i="12"/>
  <c r="B463" i="1"/>
  <c r="D463" i="1" s="1"/>
  <c r="EJ288" i="10"/>
  <c r="CC288" i="10"/>
  <c r="U439" i="10"/>
  <c r="BP438" i="12"/>
  <c r="BU193" i="12"/>
  <c r="M194" i="10" s="1"/>
  <c r="R194" i="10"/>
  <c r="BL193" i="12"/>
  <c r="B206" i="1" s="1"/>
  <c r="D206" i="1" s="1"/>
  <c r="C78" i="1"/>
  <c r="EJ148" i="10"/>
  <c r="CC148" i="10"/>
  <c r="C186" i="1"/>
  <c r="EJ562" i="10"/>
  <c r="CC562" i="10"/>
  <c r="BU26" i="12"/>
  <c r="M27" i="10" s="1"/>
  <c r="R27" i="10"/>
  <c r="BL26" i="12"/>
  <c r="B39" i="1" s="1"/>
  <c r="D39" i="1" s="1"/>
  <c r="U314" i="10"/>
  <c r="BP313" i="12"/>
  <c r="C326" i="1" s="1"/>
  <c r="EH71" i="10"/>
  <c r="CA71" i="10"/>
  <c r="EH391" i="10"/>
  <c r="CA391" i="10"/>
  <c r="EJ456" i="10"/>
  <c r="CC456" i="10"/>
  <c r="EJ42" i="10"/>
  <c r="CC42" i="10"/>
  <c r="U12" i="10"/>
  <c r="BP11" i="12"/>
  <c r="C24" i="1" s="1"/>
  <c r="EJ260" i="10"/>
  <c r="CC260" i="10"/>
  <c r="EH415" i="10"/>
  <c r="CA415" i="10"/>
  <c r="C102" i="1"/>
  <c r="B102" i="1"/>
  <c r="D102" i="1" s="1"/>
  <c r="EC90" i="10"/>
  <c r="ED90" i="10" s="1"/>
  <c r="P90" i="10"/>
  <c r="Q90" i="10" s="1"/>
  <c r="N90" i="10" s="1"/>
  <c r="BV90" i="10"/>
  <c r="BW90" i="10" s="1"/>
  <c r="BX90" i="10" s="1"/>
  <c r="BU90" i="10" s="1"/>
  <c r="M90" i="10"/>
  <c r="U249" i="10"/>
  <c r="BP248" i="12"/>
  <c r="C261" i="1" s="1"/>
  <c r="EH427" i="10"/>
  <c r="CA427" i="10"/>
  <c r="B508" i="1"/>
  <c r="D508" i="1" s="1"/>
  <c r="C508" i="1"/>
  <c r="U433" i="10"/>
  <c r="BP432" i="12"/>
  <c r="C356" i="1"/>
  <c r="B356" i="1"/>
  <c r="D356" i="1" s="1"/>
  <c r="EH125" i="10"/>
  <c r="CA125" i="10"/>
  <c r="EJ386" i="10"/>
  <c r="CC386" i="10"/>
  <c r="EC252" i="10"/>
  <c r="ED252" i="10" s="1"/>
  <c r="P252" i="10"/>
  <c r="Q252" i="10" s="1"/>
  <c r="N252" i="10" s="1"/>
  <c r="BV252" i="10"/>
  <c r="BW252" i="10" s="1"/>
  <c r="BX252" i="10" s="1"/>
  <c r="BU252" i="10" s="1"/>
  <c r="EK159" i="10"/>
  <c r="CD159" i="10"/>
  <c r="EC319" i="10"/>
  <c r="ED319" i="10" s="1"/>
  <c r="BV319" i="10"/>
  <c r="BW319" i="10" s="1"/>
  <c r="BX319" i="10" s="1"/>
  <c r="BU319" i="10" s="1"/>
  <c r="P319" i="10"/>
  <c r="Q319" i="10" s="1"/>
  <c r="N319" i="10" s="1"/>
  <c r="M319" i="10"/>
  <c r="EH235" i="10"/>
  <c r="CA235" i="10"/>
  <c r="U138" i="10"/>
  <c r="BP137" i="12"/>
  <c r="U517" i="10"/>
  <c r="BP516" i="12"/>
  <c r="EC443" i="10"/>
  <c r="ED443" i="10" s="1"/>
  <c r="P443" i="10"/>
  <c r="Q443" i="10" s="1"/>
  <c r="N443" i="10" s="1"/>
  <c r="BV443" i="10"/>
  <c r="BW443" i="10" s="1"/>
  <c r="BX443" i="10" s="1"/>
  <c r="BU443" i="10" s="1"/>
  <c r="M443" i="10"/>
  <c r="EJ398" i="10"/>
  <c r="CC398" i="10"/>
  <c r="C55" i="1"/>
  <c r="B55" i="1"/>
  <c r="D55" i="1" s="1"/>
  <c r="EK264" i="10"/>
  <c r="CD264" i="10"/>
  <c r="C406" i="1"/>
  <c r="B406" i="1"/>
  <c r="D406" i="1" s="1"/>
  <c r="EG261" i="10"/>
  <c r="BZ261" i="10"/>
  <c r="C348" i="1"/>
  <c r="B348" i="1"/>
  <c r="D348" i="1" s="1"/>
  <c r="EC409" i="10"/>
  <c r="ED409" i="10" s="1"/>
  <c r="P409" i="10"/>
  <c r="Q409" i="10" s="1"/>
  <c r="N409" i="10" s="1"/>
  <c r="BV409" i="10"/>
  <c r="BW409" i="10" s="1"/>
  <c r="BX409" i="10" s="1"/>
  <c r="BU409" i="10" s="1"/>
  <c r="U328" i="10"/>
  <c r="BP327" i="12"/>
  <c r="C340" i="1" s="1"/>
  <c r="C487" i="1"/>
  <c r="B487" i="1"/>
  <c r="D487" i="1" s="1"/>
  <c r="EH320" i="10"/>
  <c r="CA320" i="10"/>
  <c r="BU235" i="12"/>
  <c r="M236" i="10" s="1"/>
  <c r="R236" i="10"/>
  <c r="BL235" i="12"/>
  <c r="EH533" i="10"/>
  <c r="CA533" i="10"/>
  <c r="U371" i="10"/>
  <c r="BP370" i="12"/>
  <c r="C383" i="1" s="1"/>
  <c r="U299" i="10"/>
  <c r="BP298" i="12"/>
  <c r="EJ499" i="10"/>
  <c r="CC499" i="10"/>
  <c r="C46" i="1"/>
  <c r="EK381" i="10"/>
  <c r="CD381" i="10"/>
  <c r="C539" i="1"/>
  <c r="B539" i="1"/>
  <c r="D539" i="1" s="1"/>
  <c r="EC527" i="10"/>
  <c r="ED527" i="10" s="1"/>
  <c r="P527" i="10"/>
  <c r="Q527" i="10" s="1"/>
  <c r="N527" i="10" s="1"/>
  <c r="BV527" i="10"/>
  <c r="BW527" i="10" s="1"/>
  <c r="BX527" i="10" s="1"/>
  <c r="BU527" i="10" s="1"/>
  <c r="M527" i="10"/>
  <c r="EK338" i="10"/>
  <c r="CD338" i="10"/>
  <c r="EK17" i="10"/>
  <c r="CD17" i="10"/>
  <c r="U94" i="10"/>
  <c r="BP93" i="12"/>
  <c r="EG476" i="10"/>
  <c r="BZ476" i="10"/>
  <c r="EC74" i="10"/>
  <c r="ED74" i="10" s="1"/>
  <c r="P74" i="10"/>
  <c r="Q74" i="10" s="1"/>
  <c r="N74" i="10" s="1"/>
  <c r="BV74" i="10"/>
  <c r="BW74" i="10" s="1"/>
  <c r="BX74" i="10" s="1"/>
  <c r="BU74" i="10" s="1"/>
  <c r="M74" i="10"/>
  <c r="C99" i="1"/>
  <c r="EG276" i="10"/>
  <c r="BZ276" i="10"/>
  <c r="EH317" i="10"/>
  <c r="CA317" i="10"/>
  <c r="EJ416" i="10"/>
  <c r="CC416" i="10"/>
  <c r="B124" i="1"/>
  <c r="D124" i="1" s="1"/>
  <c r="EC515" i="10"/>
  <c r="ED515" i="10" s="1"/>
  <c r="P515" i="10"/>
  <c r="Q515" i="10" s="1"/>
  <c r="N515" i="10" s="1"/>
  <c r="BV515" i="10"/>
  <c r="BW515" i="10" s="1"/>
  <c r="BX515" i="10" s="1"/>
  <c r="BU515" i="10" s="1"/>
  <c r="M515" i="10"/>
  <c r="EK486" i="10"/>
  <c r="CD486" i="10"/>
  <c r="EH469" i="10"/>
  <c r="CA469" i="10"/>
  <c r="BU25" i="12"/>
  <c r="M26" i="10" s="1"/>
  <c r="R26" i="10"/>
  <c r="BL25" i="12"/>
  <c r="B38" i="1" s="1"/>
  <c r="D38" i="1" s="1"/>
  <c r="EK410" i="10"/>
  <c r="CD410" i="10"/>
  <c r="U428" i="10"/>
  <c r="BP427" i="12"/>
  <c r="U347" i="10"/>
  <c r="BP346" i="12"/>
  <c r="BU411" i="12"/>
  <c r="M412" i="10" s="1"/>
  <c r="R412" i="10"/>
  <c r="BL411" i="12"/>
  <c r="B424" i="1" s="1"/>
  <c r="D424" i="1" s="1"/>
  <c r="U404" i="10"/>
  <c r="BP403" i="12"/>
  <c r="C416" i="1" s="1"/>
  <c r="U489" i="10"/>
  <c r="BP488" i="12"/>
  <c r="C501" i="1" s="1"/>
  <c r="EC93" i="10"/>
  <c r="ED93" i="10" s="1"/>
  <c r="P93" i="10"/>
  <c r="Q93" i="10" s="1"/>
  <c r="N93" i="10" s="1"/>
  <c r="BV93" i="10"/>
  <c r="BW93" i="10" s="1"/>
  <c r="BX93" i="10" s="1"/>
  <c r="BU93" i="10" s="1"/>
  <c r="M93" i="10"/>
  <c r="EH418" i="10"/>
  <c r="CA418" i="10"/>
  <c r="EC39" i="10"/>
  <c r="ED39" i="10" s="1"/>
  <c r="BV39" i="10"/>
  <c r="BW39" i="10" s="1"/>
  <c r="BX39" i="10" s="1"/>
  <c r="BU39" i="10" s="1"/>
  <c r="P39" i="10"/>
  <c r="Q39" i="10" s="1"/>
  <c r="N39" i="10" s="1"/>
  <c r="M39" i="10"/>
  <c r="EH364" i="10"/>
  <c r="CA364" i="10"/>
  <c r="EK510" i="10"/>
  <c r="CD510" i="10"/>
  <c r="EC114" i="10"/>
  <c r="ED114" i="10" s="1"/>
  <c r="P114" i="10"/>
  <c r="Q114" i="10" s="1"/>
  <c r="N114" i="10" s="1"/>
  <c r="BV114" i="10"/>
  <c r="BW114" i="10" s="1"/>
  <c r="BX114" i="10" s="1"/>
  <c r="BU114" i="10" s="1"/>
  <c r="M114" i="10"/>
  <c r="EG356" i="10"/>
  <c r="BZ356" i="10"/>
  <c r="EJ20" i="10"/>
  <c r="CC20" i="10"/>
  <c r="BU273" i="12"/>
  <c r="M274" i="10" s="1"/>
  <c r="R274" i="10"/>
  <c r="BL273" i="12"/>
  <c r="B286" i="1" s="1"/>
  <c r="D286" i="1" s="1"/>
  <c r="BU8" i="12"/>
  <c r="M9" i="10" s="1"/>
  <c r="R9" i="10"/>
  <c r="BL8" i="12"/>
  <c r="B21" i="1" s="1"/>
  <c r="D21" i="1" s="1"/>
  <c r="EH340" i="10"/>
  <c r="CA340" i="10"/>
  <c r="EK108" i="10"/>
  <c r="CD108" i="10"/>
  <c r="EJ369" i="10"/>
  <c r="CC369" i="10"/>
  <c r="EK102" i="10"/>
  <c r="CD102" i="10"/>
  <c r="BU66" i="12"/>
  <c r="M67" i="10" s="1"/>
  <c r="R67" i="10"/>
  <c r="BL66" i="12"/>
  <c r="B79" i="1" s="1"/>
  <c r="D79" i="1" s="1"/>
  <c r="BU195" i="12"/>
  <c r="R196" i="10"/>
  <c r="BL195" i="12"/>
  <c r="B208" i="1" s="1"/>
  <c r="D208" i="1" s="1"/>
  <c r="B105" i="1"/>
  <c r="D105" i="1" s="1"/>
  <c r="EG223" i="10"/>
  <c r="BZ223" i="10"/>
  <c r="BU353" i="12"/>
  <c r="M354" i="10" s="1"/>
  <c r="R354" i="10"/>
  <c r="BL353" i="12"/>
  <c r="B366" i="1" s="1"/>
  <c r="D366" i="1" s="1"/>
  <c r="EH482" i="10"/>
  <c r="CA482" i="10"/>
  <c r="EC124" i="10"/>
  <c r="ED124" i="10" s="1"/>
  <c r="P124" i="10"/>
  <c r="Q124" i="10" s="1"/>
  <c r="N124" i="10" s="1"/>
  <c r="BV124" i="10"/>
  <c r="BW124" i="10" s="1"/>
  <c r="BX124" i="10" s="1"/>
  <c r="BU124" i="10" s="1"/>
  <c r="M124" i="10"/>
  <c r="EH291" i="10"/>
  <c r="CA291" i="10"/>
  <c r="EJ437" i="10"/>
  <c r="CC437" i="10"/>
  <c r="U30" i="10"/>
  <c r="BP29" i="12"/>
  <c r="C42" i="1" s="1"/>
  <c r="B126" i="1"/>
  <c r="D126" i="1" s="1"/>
  <c r="EH282" i="10"/>
  <c r="CA282" i="10"/>
  <c r="EK429" i="10"/>
  <c r="CD429" i="10"/>
  <c r="BU264" i="12"/>
  <c r="R265" i="10"/>
  <c r="BL264" i="12"/>
  <c r="B277" i="1" s="1"/>
  <c r="D277" i="1" s="1"/>
  <c r="EH67" i="10"/>
  <c r="CA67" i="10"/>
  <c r="EH131" i="10"/>
  <c r="CA131" i="10"/>
  <c r="EJ196" i="10"/>
  <c r="CC196" i="10"/>
  <c r="EK29" i="10"/>
  <c r="CD29" i="10"/>
  <c r="U93" i="10"/>
  <c r="BP92" i="12"/>
  <c r="C105" i="1" s="1"/>
  <c r="C170" i="1"/>
  <c r="B170" i="1"/>
  <c r="D170" i="1" s="1"/>
  <c r="C235" i="1"/>
  <c r="B235" i="1"/>
  <c r="D235" i="1" s="1"/>
  <c r="EC223" i="10"/>
  <c r="ED223" i="10" s="1"/>
  <c r="BV223" i="10"/>
  <c r="BW223" i="10" s="1"/>
  <c r="BX223" i="10" s="1"/>
  <c r="BU223" i="10" s="1"/>
  <c r="P223" i="10"/>
  <c r="Q223" i="10" s="1"/>
  <c r="N223" i="10" s="1"/>
  <c r="M223" i="10"/>
  <c r="EH290" i="10"/>
  <c r="CA290" i="10"/>
  <c r="EK354" i="10"/>
  <c r="CD354" i="10"/>
  <c r="U418" i="10"/>
  <c r="BP417" i="12"/>
  <c r="C430" i="1" s="1"/>
  <c r="EK482" i="10"/>
  <c r="CD482" i="10"/>
  <c r="CA546" i="10"/>
  <c r="EH546" i="10"/>
  <c r="EK39" i="10"/>
  <c r="CD39" i="10"/>
  <c r="B136" i="1"/>
  <c r="D136" i="1" s="1"/>
  <c r="EC210" i="10"/>
  <c r="ED210" i="10" s="1"/>
  <c r="P210" i="10"/>
  <c r="Q210" i="10" s="1"/>
  <c r="N210" i="10" s="1"/>
  <c r="BV210" i="10"/>
  <c r="BW210" i="10" s="1"/>
  <c r="BX210" i="10" s="1"/>
  <c r="BU210" i="10" s="1"/>
  <c r="M210" i="10"/>
  <c r="EG291" i="10"/>
  <c r="BZ291" i="10"/>
  <c r="EJ364" i="10"/>
  <c r="CC364" i="10"/>
  <c r="BU436" i="12"/>
  <c r="M437" i="10" s="1"/>
  <c r="R437" i="10"/>
  <c r="BL436" i="12"/>
  <c r="B449" i="1" s="1"/>
  <c r="D449" i="1" s="1"/>
  <c r="EG510" i="10"/>
  <c r="BZ510" i="10"/>
  <c r="EJ30" i="10"/>
  <c r="CC30" i="10"/>
  <c r="EJ114" i="10"/>
  <c r="CC114" i="10"/>
  <c r="C213" i="1"/>
  <c r="B294" i="1"/>
  <c r="D294" i="1" s="1"/>
  <c r="C294" i="1"/>
  <c r="EC282" i="10"/>
  <c r="ED282" i="10" s="1"/>
  <c r="BV282" i="10"/>
  <c r="BW282" i="10" s="1"/>
  <c r="BX282" i="10" s="1"/>
  <c r="BU282" i="10" s="1"/>
  <c r="P282" i="10"/>
  <c r="Q282" i="10" s="1"/>
  <c r="N282" i="10" s="1"/>
  <c r="M282" i="10"/>
  <c r="BU355" i="12"/>
  <c r="R356" i="10"/>
  <c r="BL355" i="12"/>
  <c r="U429" i="10"/>
  <c r="BP428" i="12"/>
  <c r="C441" i="1" s="1"/>
  <c r="EJ502" i="10"/>
  <c r="CC502" i="10"/>
  <c r="EK20" i="10"/>
  <c r="CD20" i="10"/>
  <c r="EG105" i="10"/>
  <c r="BZ105" i="10"/>
  <c r="U192" i="10"/>
  <c r="BP191" i="12"/>
  <c r="C204" i="1" s="1"/>
  <c r="EC348" i="10"/>
  <c r="ED348" i="10" s="1"/>
  <c r="P348" i="10"/>
  <c r="Q348" i="10" s="1"/>
  <c r="N348" i="10" s="1"/>
  <c r="BV348" i="10"/>
  <c r="BW348" i="10" s="1"/>
  <c r="BX348" i="10" s="1"/>
  <c r="BU348" i="10" s="1"/>
  <c r="M348" i="10"/>
  <c r="BU420" i="12"/>
  <c r="R421" i="10"/>
  <c r="BL420" i="12"/>
  <c r="B433" i="1" s="1"/>
  <c r="D433" i="1" s="1"/>
  <c r="BU493" i="12"/>
  <c r="M494" i="10" s="1"/>
  <c r="R494" i="10"/>
  <c r="BL493" i="12"/>
  <c r="B506" i="1" s="1"/>
  <c r="D506" i="1" s="1"/>
  <c r="CA9" i="10"/>
  <c r="EH9" i="10"/>
  <c r="BU95" i="12"/>
  <c r="M96" i="10" s="1"/>
  <c r="R96" i="10"/>
  <c r="BL95" i="12"/>
  <c r="B108" i="1" s="1"/>
  <c r="D108" i="1" s="1"/>
  <c r="EH183" i="10"/>
  <c r="CA183" i="10"/>
  <c r="EG266" i="10"/>
  <c r="BZ266" i="10"/>
  <c r="C352" i="1"/>
  <c r="B425" i="1"/>
  <c r="D425" i="1" s="1"/>
  <c r="C425" i="1"/>
  <c r="EC413" i="10"/>
  <c r="ED413" i="10" s="1"/>
  <c r="P413" i="10"/>
  <c r="Q413" i="10" s="1"/>
  <c r="N413" i="10" s="1"/>
  <c r="BV413" i="10"/>
  <c r="BW413" i="10" s="1"/>
  <c r="BX413" i="10" s="1"/>
  <c r="BU413" i="10" s="1"/>
  <c r="M413" i="10"/>
  <c r="EH23" i="10"/>
  <c r="CA23" i="10"/>
  <c r="EJ108" i="10"/>
  <c r="CC108" i="10"/>
  <c r="EG152" i="10"/>
  <c r="BZ152" i="10"/>
  <c r="EK313" i="10"/>
  <c r="CD313" i="10"/>
  <c r="EG460" i="10"/>
  <c r="BZ460" i="10"/>
  <c r="EK15" i="10"/>
  <c r="CD15" i="10"/>
  <c r="C230" i="1"/>
  <c r="B230" i="1"/>
  <c r="D230" i="1" s="1"/>
  <c r="C381" i="1"/>
  <c r="B381" i="1"/>
  <c r="D381" i="1" s="1"/>
  <c r="EC369" i="10"/>
  <c r="ED369" i="10" s="1"/>
  <c r="BV369" i="10"/>
  <c r="BW369" i="10" s="1"/>
  <c r="BX369" i="10" s="1"/>
  <c r="BU369" i="10" s="1"/>
  <c r="P369" i="10"/>
  <c r="Q369" i="10" s="1"/>
  <c r="N369" i="10" s="1"/>
  <c r="M369" i="10"/>
  <c r="U505" i="10"/>
  <c r="BP504" i="12"/>
  <c r="U102" i="10"/>
  <c r="BP101" i="12"/>
  <c r="C114" i="1" s="1"/>
  <c r="EG278" i="10"/>
  <c r="BZ278" i="10"/>
  <c r="EK425" i="10"/>
  <c r="CD425" i="10"/>
  <c r="EJ551" i="10"/>
  <c r="CC551" i="10"/>
  <c r="EG199" i="10"/>
  <c r="BZ199" i="10"/>
  <c r="C507" i="1"/>
  <c r="B507" i="1"/>
  <c r="D507" i="1" s="1"/>
  <c r="EC495" i="10"/>
  <c r="ED495" i="10" s="1"/>
  <c r="P495" i="10"/>
  <c r="Q495" i="10" s="1"/>
  <c r="N495" i="10" s="1"/>
  <c r="BV495" i="10"/>
  <c r="BW495" i="10" s="1"/>
  <c r="BX495" i="10" s="1"/>
  <c r="BU495" i="10" s="1"/>
  <c r="M495" i="10"/>
  <c r="BU110" i="12"/>
  <c r="R111" i="10"/>
  <c r="BL110" i="12"/>
  <c r="B123" i="1" s="1"/>
  <c r="D123" i="1" s="1"/>
  <c r="EJ286" i="10"/>
  <c r="CC286" i="10"/>
  <c r="EJ432" i="10"/>
  <c r="CC432" i="10"/>
  <c r="BU552" i="12"/>
  <c r="R553" i="10"/>
  <c r="BL552" i="12"/>
  <c r="B565" i="1" s="1"/>
  <c r="D565" i="1" s="1"/>
  <c r="EK399" i="10"/>
  <c r="CD399" i="10"/>
  <c r="EK268" i="10"/>
  <c r="CD268" i="10"/>
  <c r="C101" i="1"/>
  <c r="B101" i="1"/>
  <c r="D101" i="1" s="1"/>
  <c r="B512" i="1"/>
  <c r="D512" i="1" s="1"/>
  <c r="C512" i="1"/>
  <c r="EC500" i="10"/>
  <c r="ED500" i="10" s="1"/>
  <c r="P500" i="10"/>
  <c r="Q500" i="10" s="1"/>
  <c r="N500" i="10" s="1"/>
  <c r="BV500" i="10"/>
  <c r="BW500" i="10" s="1"/>
  <c r="BX500" i="10" s="1"/>
  <c r="BU500" i="10" s="1"/>
  <c r="M500" i="10"/>
  <c r="U379" i="10"/>
  <c r="BP378" i="12"/>
  <c r="EJ230" i="10"/>
  <c r="CC230" i="10"/>
  <c r="EJ121" i="10"/>
  <c r="CC121" i="10"/>
  <c r="U185" i="10"/>
  <c r="BP184" i="12"/>
  <c r="C197" i="1" s="1"/>
  <c r="EJ36" i="10"/>
  <c r="CC36" i="10"/>
  <c r="EK57" i="10"/>
  <c r="CD57" i="10"/>
  <c r="C361" i="1"/>
  <c r="B361" i="1"/>
  <c r="D361" i="1" s="1"/>
  <c r="C131" i="1"/>
  <c r="B131" i="1"/>
  <c r="D131" i="1" s="1"/>
  <c r="EC119" i="10"/>
  <c r="ED119" i="10" s="1"/>
  <c r="BV119" i="10"/>
  <c r="BW119" i="10" s="1"/>
  <c r="BX119" i="10" s="1"/>
  <c r="BU119" i="10" s="1"/>
  <c r="P119" i="10"/>
  <c r="Q119" i="10" s="1"/>
  <c r="N119" i="10" s="1"/>
  <c r="M119" i="10"/>
  <c r="EH332" i="10"/>
  <c r="CA332" i="10"/>
  <c r="EK46" i="10"/>
  <c r="CD46" i="10"/>
  <c r="U388" i="10"/>
  <c r="BP387" i="12"/>
  <c r="EK132" i="10"/>
  <c r="CD132" i="10"/>
  <c r="CA444" i="10"/>
  <c r="EH444" i="10"/>
  <c r="BU219" i="12"/>
  <c r="M220" i="10" s="1"/>
  <c r="R220" i="10"/>
  <c r="BL219" i="12"/>
  <c r="B232" i="1" s="1"/>
  <c r="D232" i="1" s="1"/>
  <c r="EC304" i="10"/>
  <c r="ED304" i="10" s="1"/>
  <c r="BV304" i="10"/>
  <c r="BW304" i="10" s="1"/>
  <c r="BX304" i="10" s="1"/>
  <c r="BU304" i="10" s="1"/>
  <c r="P304" i="10"/>
  <c r="Q304" i="10" s="1"/>
  <c r="N304" i="10" s="1"/>
  <c r="M304" i="10"/>
  <c r="BU142" i="12"/>
  <c r="R143" i="10"/>
  <c r="BL142" i="12"/>
  <c r="B155" i="1" s="1"/>
  <c r="D155" i="1" s="1"/>
  <c r="EK308" i="10"/>
  <c r="CD308" i="10"/>
  <c r="BZ543" i="10"/>
  <c r="EG543" i="10"/>
  <c r="BU286" i="12"/>
  <c r="M287" i="10" s="1"/>
  <c r="R287" i="10"/>
  <c r="BL286" i="12"/>
  <c r="B299" i="1" s="1"/>
  <c r="D299" i="1" s="1"/>
  <c r="U305" i="10"/>
  <c r="BP304" i="12"/>
  <c r="C317" i="1" s="1"/>
  <c r="U187" i="10"/>
  <c r="BP186" i="12"/>
  <c r="C199" i="1" s="1"/>
  <c r="B394" i="1"/>
  <c r="D394" i="1" s="1"/>
  <c r="C394" i="1"/>
  <c r="B540" i="1"/>
  <c r="D540" i="1" s="1"/>
  <c r="C540" i="1"/>
  <c r="EC528" i="10"/>
  <c r="ED528" i="10" s="1"/>
  <c r="BV528" i="10"/>
  <c r="BW528" i="10" s="1"/>
  <c r="BX528" i="10" s="1"/>
  <c r="BU528" i="10" s="1"/>
  <c r="P528" i="10"/>
  <c r="Q528" i="10" s="1"/>
  <c r="N528" i="10" s="1"/>
  <c r="M528" i="10"/>
  <c r="BU135" i="12"/>
  <c r="R136" i="10"/>
  <c r="BL135" i="12"/>
  <c r="B148" i="1" s="1"/>
  <c r="D148" i="1" s="1"/>
  <c r="U301" i="10"/>
  <c r="BP300" i="12"/>
  <c r="C313" i="1" s="1"/>
  <c r="EJ447" i="10"/>
  <c r="CC447" i="10"/>
  <c r="EJ41" i="10"/>
  <c r="CC41" i="10"/>
  <c r="EJ214" i="10"/>
  <c r="CC214" i="10"/>
  <c r="EJ366" i="10"/>
  <c r="CC366" i="10"/>
  <c r="EC118" i="10"/>
  <c r="ED118" i="10" s="1"/>
  <c r="P118" i="10"/>
  <c r="Q118" i="10" s="1"/>
  <c r="N118" i="10" s="1"/>
  <c r="BV118" i="10"/>
  <c r="BW118" i="10" s="1"/>
  <c r="BX118" i="10" s="1"/>
  <c r="BU118" i="10" s="1"/>
  <c r="M118" i="10"/>
  <c r="EH285" i="10"/>
  <c r="CA285" i="10"/>
  <c r="EK431" i="10"/>
  <c r="CD431" i="10"/>
  <c r="BU128" i="12"/>
  <c r="M129" i="10" s="1"/>
  <c r="R129" i="10"/>
  <c r="BL128" i="12"/>
  <c r="B141" i="1" s="1"/>
  <c r="D141" i="1" s="1"/>
  <c r="U350" i="10"/>
  <c r="BP349" i="12"/>
  <c r="C362" i="1" s="1"/>
  <c r="EK70" i="10"/>
  <c r="CD70" i="10"/>
  <c r="EK154" i="10"/>
  <c r="CD154" i="10"/>
  <c r="C60" i="1"/>
  <c r="B60" i="1"/>
  <c r="D60" i="1" s="1"/>
  <c r="EC323" i="10"/>
  <c r="ED323" i="10" s="1"/>
  <c r="P323" i="10"/>
  <c r="Q323" i="10" s="1"/>
  <c r="N323" i="10" s="1"/>
  <c r="BV323" i="10"/>
  <c r="BW323" i="10" s="1"/>
  <c r="BX323" i="10" s="1"/>
  <c r="BU323" i="10" s="1"/>
  <c r="M323" i="10"/>
  <c r="EG209" i="10"/>
  <c r="BZ209" i="10"/>
  <c r="U343" i="10"/>
  <c r="BP342" i="12"/>
  <c r="C355" i="1" s="1"/>
  <c r="EG11" i="10"/>
  <c r="BZ11" i="10"/>
  <c r="EJ75" i="10"/>
  <c r="CC75" i="10"/>
  <c r="U139" i="10"/>
  <c r="BP138" i="12"/>
  <c r="C151" i="1" s="1"/>
  <c r="EJ204" i="10"/>
  <c r="CC204" i="10"/>
  <c r="C49" i="1"/>
  <c r="B49" i="1"/>
  <c r="D49" i="1" s="1"/>
  <c r="EC101" i="10"/>
  <c r="ED101" i="10" s="1"/>
  <c r="P101" i="10"/>
  <c r="Q101" i="10" s="1"/>
  <c r="N101" i="10" s="1"/>
  <c r="BV101" i="10"/>
  <c r="BW101" i="10" s="1"/>
  <c r="BX101" i="10" s="1"/>
  <c r="BU101" i="10" s="1"/>
  <c r="M101" i="10"/>
  <c r="U166" i="10"/>
  <c r="BP165" i="12"/>
  <c r="C178" i="1" s="1"/>
  <c r="EK231" i="10"/>
  <c r="CD231" i="10"/>
  <c r="R298" i="10"/>
  <c r="BU297" i="12"/>
  <c r="M298" i="10" s="1"/>
  <c r="BL297" i="12"/>
  <c r="CA362" i="10"/>
  <c r="EH362" i="10"/>
  <c r="EK426" i="10"/>
  <c r="CD426" i="10"/>
  <c r="BU489" i="12"/>
  <c r="M490" i="10" s="1"/>
  <c r="R490" i="10"/>
  <c r="BL489" i="12"/>
  <c r="B502" i="1" s="1"/>
  <c r="D502" i="1" s="1"/>
  <c r="C566" i="1"/>
  <c r="B566" i="1"/>
  <c r="D566" i="1" s="1"/>
  <c r="EC49" i="10"/>
  <c r="ED49" i="10" s="1"/>
  <c r="BV49" i="10"/>
  <c r="BW49" i="10" s="1"/>
  <c r="BX49" i="10" s="1"/>
  <c r="BU49" i="10" s="1"/>
  <c r="P49" i="10"/>
  <c r="Q49" i="10" s="1"/>
  <c r="N49" i="10" s="1"/>
  <c r="M49" i="10"/>
  <c r="U135" i="10"/>
  <c r="BP134" i="12"/>
  <c r="EJ222" i="10"/>
  <c r="CC222" i="10"/>
  <c r="EJ300" i="10"/>
  <c r="CC300" i="10"/>
  <c r="EK373" i="10"/>
  <c r="CD373" i="10"/>
  <c r="EK446" i="10"/>
  <c r="CD446" i="10"/>
  <c r="U519" i="10"/>
  <c r="BP518" i="12"/>
  <c r="C531" i="1" s="1"/>
  <c r="C52" i="1"/>
  <c r="B52" i="1"/>
  <c r="D52" i="1" s="1"/>
  <c r="C138" i="1"/>
  <c r="B138" i="1"/>
  <c r="D138" i="1" s="1"/>
  <c r="EC126" i="10"/>
  <c r="ED126" i="10" s="1"/>
  <c r="P126" i="10"/>
  <c r="Q126" i="10" s="1"/>
  <c r="N126" i="10" s="1"/>
  <c r="BV126" i="10"/>
  <c r="BW126" i="10" s="1"/>
  <c r="BX126" i="10" s="1"/>
  <c r="BU126" i="10" s="1"/>
  <c r="M126" i="10"/>
  <c r="EJ211" i="10"/>
  <c r="CC211" i="10"/>
  <c r="EH292" i="10"/>
  <c r="CA292" i="10"/>
  <c r="EH365" i="10"/>
  <c r="CA365" i="10"/>
  <c r="EK438" i="10"/>
  <c r="CD438" i="10"/>
  <c r="U511" i="10"/>
  <c r="BP510" i="12"/>
  <c r="C523" i="1" s="1"/>
  <c r="EC31" i="10"/>
  <c r="ED31" i="10" s="1"/>
  <c r="BV31" i="10"/>
  <c r="BW31" i="10" s="1"/>
  <c r="BX31" i="10" s="1"/>
  <c r="BU31" i="10" s="1"/>
  <c r="P31" i="10"/>
  <c r="Q31" i="10" s="1"/>
  <c r="N31" i="10" s="1"/>
  <c r="M31" i="10"/>
  <c r="C128" i="1"/>
  <c r="B128" i="1"/>
  <c r="D128" i="1" s="1"/>
  <c r="C214" i="1"/>
  <c r="B214" i="1"/>
  <c r="D214" i="1" s="1"/>
  <c r="EC202" i="10"/>
  <c r="ED202" i="10" s="1"/>
  <c r="P202" i="10"/>
  <c r="Q202" i="10" s="1"/>
  <c r="N202" i="10" s="1"/>
  <c r="BV202" i="10"/>
  <c r="BW202" i="10" s="1"/>
  <c r="BX202" i="10" s="1"/>
  <c r="BU202" i="10" s="1"/>
  <c r="M202" i="10"/>
  <c r="EG284" i="10"/>
  <c r="BZ284" i="10"/>
  <c r="EK357" i="10"/>
  <c r="CD357" i="10"/>
  <c r="EG430" i="10"/>
  <c r="BZ430" i="10"/>
  <c r="EK503" i="10"/>
  <c r="CD503" i="10"/>
  <c r="EJ22" i="10"/>
  <c r="CC22" i="10"/>
  <c r="CA106" i="10"/>
  <c r="EH106" i="10"/>
  <c r="C205" i="1"/>
  <c r="C287" i="1"/>
  <c r="B287" i="1"/>
  <c r="D287" i="1" s="1"/>
  <c r="U275" i="10"/>
  <c r="BP274" i="12"/>
  <c r="EH422" i="10"/>
  <c r="CA422" i="10"/>
  <c r="EK33" i="10"/>
  <c r="CD33" i="10"/>
  <c r="EH173" i="10"/>
  <c r="CA173" i="10"/>
  <c r="EK472" i="10"/>
  <c r="CD472" i="10"/>
  <c r="U238" i="10"/>
  <c r="BP237" i="12"/>
  <c r="C250" i="1" s="1"/>
  <c r="EH518" i="10"/>
  <c r="CA518" i="10"/>
  <c r="EC24" i="10"/>
  <c r="ED24" i="10" s="1"/>
  <c r="BV24" i="10"/>
  <c r="BW24" i="10" s="1"/>
  <c r="BX24" i="10" s="1"/>
  <c r="BU24" i="10" s="1"/>
  <c r="P24" i="10"/>
  <c r="Q24" i="10" s="1"/>
  <c r="N24" i="10" s="1"/>
  <c r="M24" i="10"/>
  <c r="BU371" i="12"/>
  <c r="R372" i="10"/>
  <c r="BL371" i="12"/>
  <c r="BU139" i="12"/>
  <c r="M140" i="10" s="1"/>
  <c r="R140" i="10"/>
  <c r="BL139" i="12"/>
  <c r="B152" i="1" s="1"/>
  <c r="D152" i="1" s="1"/>
  <c r="CD451" i="10"/>
  <c r="EK451" i="10"/>
  <c r="U453" i="10"/>
  <c r="BP452" i="12"/>
  <c r="C465" i="1" s="1"/>
  <c r="EG163" i="10"/>
  <c r="BZ163" i="10"/>
  <c r="EH417" i="10"/>
  <c r="CA417" i="10"/>
  <c r="C300" i="1"/>
  <c r="B300" i="1"/>
  <c r="D300" i="1" s="1"/>
  <c r="B70" i="1"/>
  <c r="D70" i="1" s="1"/>
  <c r="C70" i="1"/>
  <c r="EC58" i="10"/>
  <c r="ED58" i="10" s="1"/>
  <c r="P58" i="10"/>
  <c r="Q58" i="10" s="1"/>
  <c r="N58" i="10" s="1"/>
  <c r="BV58" i="10"/>
  <c r="BW58" i="10" s="1"/>
  <c r="BX58" i="10" s="1"/>
  <c r="BU58" i="10" s="1"/>
  <c r="M58" i="10"/>
  <c r="EG309" i="10"/>
  <c r="BZ309" i="10"/>
  <c r="U455" i="10"/>
  <c r="BP454" i="12"/>
  <c r="C467" i="1" s="1"/>
  <c r="EJ50" i="10"/>
  <c r="CC50" i="10"/>
  <c r="EK224" i="10"/>
  <c r="CD224" i="10"/>
  <c r="EK374" i="10"/>
  <c r="CD374" i="10"/>
  <c r="EK520" i="10"/>
  <c r="CD520" i="10"/>
  <c r="C139" i="1"/>
  <c r="B139" i="1"/>
  <c r="D139" i="1" s="1"/>
  <c r="B305" i="1"/>
  <c r="D305" i="1" s="1"/>
  <c r="C305" i="1"/>
  <c r="EC293" i="10"/>
  <c r="ED293" i="10" s="1"/>
  <c r="P293" i="10"/>
  <c r="Q293" i="10" s="1"/>
  <c r="N293" i="10" s="1"/>
  <c r="BV293" i="10"/>
  <c r="BW293" i="10" s="1"/>
  <c r="BX293" i="10" s="1"/>
  <c r="BU293" i="10" s="1"/>
  <c r="M293" i="10"/>
  <c r="EG439" i="10"/>
  <c r="BZ439" i="10"/>
  <c r="EJ32" i="10"/>
  <c r="CC32" i="10"/>
  <c r="EG203" i="10"/>
  <c r="BZ203" i="10"/>
  <c r="CA358" i="10"/>
  <c r="EH358" i="10"/>
  <c r="EK44" i="10"/>
  <c r="CD44" i="10"/>
  <c r="EK194" i="10"/>
  <c r="CD194" i="10"/>
  <c r="C500" i="1"/>
  <c r="B500" i="1"/>
  <c r="D500" i="1" s="1"/>
  <c r="C270" i="1"/>
  <c r="B270" i="1"/>
  <c r="D270" i="1" s="1"/>
  <c r="EC258" i="10"/>
  <c r="ED258" i="10" s="1"/>
  <c r="BV258" i="10"/>
  <c r="BW258" i="10" s="1"/>
  <c r="BX258" i="10" s="1"/>
  <c r="BU258" i="10" s="1"/>
  <c r="P258" i="10"/>
  <c r="Q258" i="10" s="1"/>
  <c r="N258" i="10" s="1"/>
  <c r="M258" i="10"/>
  <c r="EG462" i="10"/>
  <c r="BZ462" i="10"/>
  <c r="EJ524" i="10"/>
  <c r="CC524" i="10"/>
  <c r="BU65" i="12"/>
  <c r="M66" i="10" s="1"/>
  <c r="R66" i="10"/>
  <c r="BL65" i="12"/>
  <c r="B78" i="1" s="1"/>
  <c r="D78" i="1" s="1"/>
  <c r="U470" i="10"/>
  <c r="BP469" i="12"/>
  <c r="C482" i="1" s="1"/>
  <c r="EH19" i="10"/>
  <c r="CA19" i="10"/>
  <c r="EJ83" i="10"/>
  <c r="CC83" i="10"/>
  <c r="B160" i="1"/>
  <c r="D160" i="1" s="1"/>
  <c r="C160" i="1"/>
  <c r="EC212" i="10"/>
  <c r="ED212" i="10" s="1"/>
  <c r="P212" i="10"/>
  <c r="Q212" i="10" s="1"/>
  <c r="N212" i="10" s="1"/>
  <c r="BV212" i="10"/>
  <c r="BW212" i="10" s="1"/>
  <c r="BX212" i="10" s="1"/>
  <c r="BU212" i="10" s="1"/>
  <c r="M212" i="10"/>
  <c r="BU44" i="12"/>
  <c r="R45" i="10"/>
  <c r="BL44" i="12"/>
  <c r="B57" i="1" s="1"/>
  <c r="D57" i="1" s="1"/>
  <c r="EK109" i="10"/>
  <c r="CD109" i="10"/>
  <c r="EJ174" i="10"/>
  <c r="CC174" i="10"/>
  <c r="U239" i="10"/>
  <c r="BP238" i="12"/>
  <c r="C251" i="1" s="1"/>
  <c r="EJ306" i="10"/>
  <c r="CC306" i="10"/>
  <c r="BU369" i="12"/>
  <c r="M370" i="10" s="1"/>
  <c r="R370" i="10"/>
  <c r="BL369" i="12"/>
  <c r="B382" i="1" s="1"/>
  <c r="D382" i="1" s="1"/>
  <c r="C446" i="1"/>
  <c r="EC498" i="10"/>
  <c r="ED498" i="10" s="1"/>
  <c r="BV498" i="10"/>
  <c r="BW498" i="10" s="1"/>
  <c r="BX498" i="10" s="1"/>
  <c r="BU498" i="10" s="1"/>
  <c r="P498" i="10"/>
  <c r="Q498" i="10" s="1"/>
  <c r="N498" i="10" s="1"/>
  <c r="M498" i="10"/>
  <c r="EG562" i="10"/>
  <c r="BZ562" i="10"/>
  <c r="U60" i="10"/>
  <c r="BP59" i="12"/>
  <c r="C72" i="1" s="1"/>
  <c r="EJ146" i="10"/>
  <c r="CC146" i="10"/>
  <c r="EK233" i="10"/>
  <c r="CD233" i="10"/>
  <c r="EH27" i="10"/>
  <c r="CA27" i="10"/>
  <c r="BU90" i="12"/>
  <c r="M91" i="10" s="1"/>
  <c r="R91" i="10"/>
  <c r="BL90" i="12"/>
  <c r="B103" i="1" s="1"/>
  <c r="D103" i="1" s="1"/>
  <c r="C168" i="1"/>
  <c r="B168" i="1"/>
  <c r="D168" i="1" s="1"/>
  <c r="C233" i="1"/>
  <c r="B233" i="1"/>
  <c r="D233" i="1" s="1"/>
  <c r="EC221" i="10"/>
  <c r="ED221" i="10" s="1"/>
  <c r="P221" i="10"/>
  <c r="Q221" i="10" s="1"/>
  <c r="N221" i="10" s="1"/>
  <c r="BV221" i="10"/>
  <c r="BW221" i="10" s="1"/>
  <c r="BX221" i="10" s="1"/>
  <c r="BU221" i="10" s="1"/>
  <c r="M221" i="10"/>
  <c r="BU52" i="12"/>
  <c r="R53" i="10"/>
  <c r="BL52" i="12"/>
  <c r="B65" i="1" s="1"/>
  <c r="D65" i="1" s="1"/>
  <c r="EK117" i="10"/>
  <c r="CD117" i="10"/>
  <c r="EJ182" i="10"/>
  <c r="CC182" i="10"/>
  <c r="U247" i="10"/>
  <c r="BP246" i="12"/>
  <c r="C259" i="1" s="1"/>
  <c r="EH314" i="10"/>
  <c r="CA314" i="10"/>
  <c r="EH378" i="10"/>
  <c r="CA378" i="10"/>
  <c r="B454" i="1"/>
  <c r="D454" i="1" s="1"/>
  <c r="C454" i="1"/>
  <c r="EC506" i="10"/>
  <c r="ED506" i="10" s="1"/>
  <c r="BV506" i="10"/>
  <c r="BW506" i="10" s="1"/>
  <c r="BX506" i="10" s="1"/>
  <c r="BU506" i="10" s="1"/>
  <c r="P506" i="10"/>
  <c r="Q506" i="10" s="1"/>
  <c r="N506" i="10" s="1"/>
  <c r="M506" i="10"/>
  <c r="BU5" i="12"/>
  <c r="R6" i="10"/>
  <c r="BL5" i="12"/>
  <c r="U71" i="10"/>
  <c r="BP70" i="12"/>
  <c r="C83" i="1" s="1"/>
  <c r="EJ157" i="10"/>
  <c r="CC157" i="10"/>
  <c r="EG242" i="10"/>
  <c r="BZ242" i="10"/>
  <c r="U318" i="10"/>
  <c r="BP317" i="12"/>
  <c r="C330" i="1" s="1"/>
  <c r="R391" i="10"/>
  <c r="BU390" i="12"/>
  <c r="M391" i="10" s="1"/>
  <c r="BL390" i="12"/>
  <c r="B403" i="1" s="1"/>
  <c r="D403" i="1" s="1"/>
  <c r="EC537" i="10"/>
  <c r="ED537" i="10" s="1"/>
  <c r="BV537" i="10"/>
  <c r="BW537" i="10" s="1"/>
  <c r="BX537" i="10" s="1"/>
  <c r="BU537" i="10" s="1"/>
  <c r="P537" i="10"/>
  <c r="Q537" i="10" s="1"/>
  <c r="N537" i="10" s="1"/>
  <c r="M537" i="10"/>
  <c r="EG62" i="10"/>
  <c r="BZ62" i="10"/>
  <c r="BU146" i="12"/>
  <c r="M147" i="10" s="1"/>
  <c r="R147" i="10"/>
  <c r="BL146" i="12"/>
  <c r="B159" i="1" s="1"/>
  <c r="D159" i="1" s="1"/>
  <c r="EJ234" i="10"/>
  <c r="CC234" i="10"/>
  <c r="EK310" i="10"/>
  <c r="CD310" i="10"/>
  <c r="BU382" i="12"/>
  <c r="M383" i="10" s="1"/>
  <c r="R383" i="10"/>
  <c r="BL382" i="12"/>
  <c r="B395" i="1" s="1"/>
  <c r="D395" i="1" s="1"/>
  <c r="U456" i="10"/>
  <c r="BP455" i="12"/>
  <c r="C468" i="1" s="1"/>
  <c r="B541" i="1"/>
  <c r="D541" i="1" s="1"/>
  <c r="C541" i="1"/>
  <c r="EC52" i="10"/>
  <c r="ED52" i="10" s="1"/>
  <c r="BV52" i="10"/>
  <c r="BW52" i="10" s="1"/>
  <c r="BX52" i="10" s="1"/>
  <c r="BU52" i="10" s="1"/>
  <c r="P52" i="10"/>
  <c r="Q52" i="10" s="1"/>
  <c r="N52" i="10" s="1"/>
  <c r="M52" i="10"/>
  <c r="BU136" i="12"/>
  <c r="R137" i="10"/>
  <c r="BL136" i="12"/>
  <c r="B149" i="1" s="1"/>
  <c r="D149" i="1" s="1"/>
  <c r="EJ225" i="10"/>
  <c r="CC225" i="10"/>
  <c r="EG302" i="10"/>
  <c r="BZ302" i="10"/>
  <c r="EH375" i="10"/>
  <c r="CA375" i="10"/>
  <c r="U448" i="10"/>
  <c r="BP447" i="12"/>
  <c r="C460" i="1" s="1"/>
  <c r="EG521" i="10"/>
  <c r="BZ521" i="10"/>
  <c r="C54" i="1"/>
  <c r="B54" i="1"/>
  <c r="D54" i="1" s="1"/>
  <c r="EC128" i="10"/>
  <c r="ED128" i="10" s="1"/>
  <c r="BV128" i="10"/>
  <c r="BW128" i="10" s="1"/>
  <c r="BX128" i="10" s="1"/>
  <c r="BU128" i="10" s="1"/>
  <c r="P128" i="10"/>
  <c r="Q128" i="10" s="1"/>
  <c r="N128" i="10" s="1"/>
  <c r="M128" i="10"/>
  <c r="BU215" i="12"/>
  <c r="R216" i="10"/>
  <c r="BL215" i="12"/>
  <c r="B228" i="1" s="1"/>
  <c r="D228" i="1" s="1"/>
  <c r="EG294" i="10"/>
  <c r="BZ294" i="10"/>
  <c r="EG367" i="10"/>
  <c r="BZ367" i="10"/>
  <c r="EG440" i="10"/>
  <c r="BZ440" i="10"/>
  <c r="EH55" i="10"/>
  <c r="CA55" i="10"/>
  <c r="BU11" i="12"/>
  <c r="M12" i="10" s="1"/>
  <c r="R12" i="10"/>
  <c r="BL11" i="12"/>
  <c r="B24" i="1" s="1"/>
  <c r="D24" i="1" s="1"/>
  <c r="EC368" i="10"/>
  <c r="ED368" i="10" s="1"/>
  <c r="P368" i="10"/>
  <c r="Q368" i="10" s="1"/>
  <c r="BV368" i="10"/>
  <c r="BW368" i="10" s="1"/>
  <c r="BX368" i="10" s="1"/>
  <c r="BU368" i="10" s="1"/>
  <c r="M368" i="10"/>
  <c r="CA504" i="10"/>
  <c r="EH504" i="10"/>
  <c r="BU99" i="12"/>
  <c r="M100" i="10" s="1"/>
  <c r="R100" i="10"/>
  <c r="BL99" i="12"/>
  <c r="B112" i="1" s="1"/>
  <c r="D112" i="1" s="1"/>
  <c r="BU276" i="12"/>
  <c r="M277" i="10" s="1"/>
  <c r="R277" i="10"/>
  <c r="BL276" i="12"/>
  <c r="B289" i="1" s="1"/>
  <c r="D289" i="1" s="1"/>
  <c r="EK424" i="10"/>
  <c r="CD424" i="10"/>
  <c r="EJ550" i="10"/>
  <c r="CC550" i="10"/>
  <c r="EG176" i="10"/>
  <c r="BZ176" i="10"/>
  <c r="C346" i="1"/>
  <c r="EC478" i="10"/>
  <c r="ED478" i="10" s="1"/>
  <c r="BV478" i="10"/>
  <c r="BW478" i="10" s="1"/>
  <c r="BX478" i="10" s="1"/>
  <c r="BU478" i="10" s="1"/>
  <c r="P478" i="10"/>
  <c r="Q478" i="10" s="1"/>
  <c r="N478" i="10" s="1"/>
  <c r="M478" i="10"/>
  <c r="U79" i="10"/>
  <c r="BP78" i="12"/>
  <c r="C91" i="1" s="1"/>
  <c r="EK260" i="10"/>
  <c r="CD260" i="10"/>
  <c r="EH408" i="10"/>
  <c r="CA408" i="10"/>
  <c r="U536" i="10"/>
  <c r="BP535" i="12"/>
  <c r="C548" i="1" s="1"/>
  <c r="EJ184" i="10"/>
  <c r="CC184" i="10"/>
  <c r="EK341" i="10"/>
  <c r="CD341" i="10"/>
  <c r="EC144" i="10"/>
  <c r="ED144" i="10" s="1"/>
  <c r="BV144" i="10"/>
  <c r="BW144" i="10" s="1"/>
  <c r="BX144" i="10" s="1"/>
  <c r="BU144" i="10" s="1"/>
  <c r="P144" i="10"/>
  <c r="Q144" i="10" s="1"/>
  <c r="N144" i="10" s="1"/>
  <c r="M144" i="10"/>
  <c r="BU531" i="12"/>
  <c r="R532" i="10"/>
  <c r="BL531" i="12"/>
  <c r="B544" i="1" s="1"/>
  <c r="D544" i="1" s="1"/>
  <c r="BU414" i="12"/>
  <c r="M415" i="10" s="1"/>
  <c r="R415" i="10"/>
  <c r="BL414" i="12"/>
  <c r="B427" i="1" s="1"/>
  <c r="D427" i="1" s="1"/>
  <c r="EH269" i="10"/>
  <c r="CA269" i="10"/>
  <c r="EK90" i="10"/>
  <c r="CD90" i="10"/>
  <c r="EH513" i="10"/>
  <c r="CA513" i="10"/>
  <c r="U380" i="10"/>
  <c r="BP379" i="12"/>
  <c r="C392" i="1" s="1"/>
  <c r="B571" i="1"/>
  <c r="D571" i="1" s="1"/>
  <c r="C571" i="1"/>
  <c r="EC559" i="10"/>
  <c r="ED559" i="10" s="1"/>
  <c r="P559" i="10"/>
  <c r="Q559" i="10" s="1"/>
  <c r="N559" i="10" s="1"/>
  <c r="BV559" i="10"/>
  <c r="BW559" i="10" s="1"/>
  <c r="BX559" i="10" s="1"/>
  <c r="BU559" i="10" s="1"/>
  <c r="M559" i="10"/>
  <c r="BZ481" i="10"/>
  <c r="EG481" i="10"/>
  <c r="EJ249" i="10"/>
  <c r="CC249" i="10"/>
  <c r="EJ197" i="10"/>
  <c r="CC197" i="10"/>
  <c r="EG352" i="10"/>
  <c r="BZ352" i="10"/>
  <c r="EG491" i="10"/>
  <c r="BZ491" i="10"/>
  <c r="EG110" i="10"/>
  <c r="BZ110" i="10"/>
  <c r="C291" i="1"/>
  <c r="B439" i="1"/>
  <c r="D439" i="1" s="1"/>
  <c r="C439" i="1"/>
  <c r="EC427" i="10"/>
  <c r="ED427" i="10" s="1"/>
  <c r="P427" i="10"/>
  <c r="Q427" i="10" s="1"/>
  <c r="N427" i="10" s="1"/>
  <c r="BV427" i="10"/>
  <c r="BW427" i="10" s="1"/>
  <c r="BX427" i="10" s="1"/>
  <c r="BU427" i="10" s="1"/>
  <c r="M427" i="10"/>
  <c r="BU551" i="12"/>
  <c r="R552" i="10"/>
  <c r="BL551" i="12"/>
  <c r="B564" i="1" s="1"/>
  <c r="D564" i="1" s="1"/>
  <c r="BU204" i="12"/>
  <c r="M205" i="10" s="1"/>
  <c r="R205" i="10"/>
  <c r="BL204" i="12"/>
  <c r="B217" i="1" s="1"/>
  <c r="D217" i="1" s="1"/>
  <c r="BZ359" i="10"/>
  <c r="EG359" i="10"/>
  <c r="EK496" i="10"/>
  <c r="CD496" i="10"/>
  <c r="EG207" i="10"/>
  <c r="BZ207" i="10"/>
  <c r="EK213" i="10"/>
  <c r="CD213" i="10"/>
  <c r="C336" i="1"/>
  <c r="B336" i="1"/>
  <c r="D336" i="1" s="1"/>
  <c r="EC165" i="10"/>
  <c r="ED165" i="10" s="1"/>
  <c r="P165" i="10"/>
  <c r="Q165" i="10" s="1"/>
  <c r="N165" i="10" s="1"/>
  <c r="BV165" i="10"/>
  <c r="BW165" i="10" s="1"/>
  <c r="BX165" i="10" s="1"/>
  <c r="BU165" i="10" s="1"/>
  <c r="M165" i="10"/>
  <c r="BU432" i="12"/>
  <c r="R433" i="10"/>
  <c r="BL432" i="12"/>
  <c r="BU185" i="12"/>
  <c r="M186" i="10" s="1"/>
  <c r="R186" i="10"/>
  <c r="BL185" i="12"/>
  <c r="B198" i="1" s="1"/>
  <c r="D198" i="1" s="1"/>
  <c r="EH344" i="10"/>
  <c r="CA344" i="10"/>
  <c r="BZ232" i="10"/>
  <c r="EG232" i="10"/>
  <c r="EH35" i="10"/>
  <c r="CA35" i="10"/>
  <c r="BU98" i="12"/>
  <c r="M99" i="10" s="1"/>
  <c r="R99" i="10"/>
  <c r="BL98" i="12"/>
  <c r="B111" i="1" s="1"/>
  <c r="D111" i="1" s="1"/>
  <c r="B176" i="1"/>
  <c r="D176" i="1" s="1"/>
  <c r="C176" i="1"/>
  <c r="EC229" i="10"/>
  <c r="ED229" i="10" s="1"/>
  <c r="P229" i="10"/>
  <c r="Q229" i="10" s="1"/>
  <c r="N229" i="10" s="1"/>
  <c r="BV229" i="10"/>
  <c r="BW229" i="10" s="1"/>
  <c r="BX229" i="10" s="1"/>
  <c r="BU229" i="10" s="1"/>
  <c r="M229" i="10"/>
  <c r="BU60" i="12"/>
  <c r="R61" i="10"/>
  <c r="BL60" i="12"/>
  <c r="B73" i="1" s="1"/>
  <c r="D73" i="1" s="1"/>
  <c r="EJ125" i="10"/>
  <c r="CC125" i="10"/>
  <c r="EH190" i="10"/>
  <c r="CA190" i="10"/>
  <c r="CA256" i="10"/>
  <c r="EH256" i="10"/>
  <c r="EK322" i="10"/>
  <c r="CD322" i="10"/>
  <c r="CA386" i="10"/>
  <c r="EH386" i="10"/>
  <c r="C462" i="1"/>
  <c r="EC514" i="10"/>
  <c r="ED514" i="10" s="1"/>
  <c r="BV514" i="10"/>
  <c r="BW514" i="10" s="1"/>
  <c r="BX514" i="10" s="1"/>
  <c r="BU514" i="10" s="1"/>
  <c r="P514" i="10"/>
  <c r="Q514" i="10" s="1"/>
  <c r="N514" i="10" s="1"/>
  <c r="M514" i="10"/>
  <c r="EG14" i="10"/>
  <c r="BZ14" i="10"/>
  <c r="U81" i="10"/>
  <c r="BP80" i="12"/>
  <c r="C93" i="1" s="1"/>
  <c r="EK168" i="10"/>
  <c r="CD168" i="10"/>
  <c r="BU251" i="12"/>
  <c r="M252" i="10" s="1"/>
  <c r="R252" i="10"/>
  <c r="BL251" i="12"/>
  <c r="B264" i="1" s="1"/>
  <c r="D264" i="1" s="1"/>
  <c r="BU326" i="12"/>
  <c r="M327" i="10" s="1"/>
  <c r="R327" i="10"/>
  <c r="BL326" i="12"/>
  <c r="B339" i="1" s="1"/>
  <c r="D339" i="1" s="1"/>
  <c r="BU399" i="12"/>
  <c r="M400" i="10" s="1"/>
  <c r="R400" i="10"/>
  <c r="BL399" i="12"/>
  <c r="B412" i="1" s="1"/>
  <c r="D412" i="1" s="1"/>
  <c r="C485" i="1"/>
  <c r="B485" i="1"/>
  <c r="D485" i="1" s="1"/>
  <c r="EC547" i="10"/>
  <c r="ED547" i="10" s="1"/>
  <c r="P547" i="10"/>
  <c r="Q547" i="10" s="1"/>
  <c r="N547" i="10" s="1"/>
  <c r="BV547" i="10"/>
  <c r="BW547" i="10" s="1"/>
  <c r="BX547" i="10" s="1"/>
  <c r="BU547" i="10" s="1"/>
  <c r="M547" i="10"/>
  <c r="EG72" i="10"/>
  <c r="BZ72" i="10"/>
  <c r="U159" i="10"/>
  <c r="BP158" i="12"/>
  <c r="C171" i="1" s="1"/>
  <c r="EJ243" i="10"/>
  <c r="CC243" i="10"/>
  <c r="EK319" i="10"/>
  <c r="CD319" i="10"/>
  <c r="CD392" i="10"/>
  <c r="EK392" i="10"/>
  <c r="BU464" i="12"/>
  <c r="M465" i="10" s="1"/>
  <c r="R465" i="10"/>
  <c r="BL464" i="12"/>
  <c r="B477" i="1" s="1"/>
  <c r="D477" i="1" s="1"/>
  <c r="EC63" i="10"/>
  <c r="ED63" i="10" s="1"/>
  <c r="BV63" i="10"/>
  <c r="BW63" i="10" s="1"/>
  <c r="BX63" i="10" s="1"/>
  <c r="BU63" i="10" s="1"/>
  <c r="P63" i="10"/>
  <c r="Q63" i="10" s="1"/>
  <c r="N63" i="10" s="1"/>
  <c r="M63" i="10"/>
  <c r="BU148" i="12"/>
  <c r="R149" i="10"/>
  <c r="BL148" i="12"/>
  <c r="B161" i="1" s="1"/>
  <c r="D161" i="1" s="1"/>
  <c r="BU234" i="12"/>
  <c r="M235" i="10" s="1"/>
  <c r="R235" i="10"/>
  <c r="BL234" i="12"/>
  <c r="B247" i="1" s="1"/>
  <c r="D247" i="1" s="1"/>
  <c r="EK311" i="10"/>
  <c r="CD311" i="10"/>
  <c r="EK384" i="10"/>
  <c r="CD384" i="10"/>
  <c r="U457" i="10"/>
  <c r="BP456" i="12"/>
  <c r="C469" i="1" s="1"/>
  <c r="EK531" i="10"/>
  <c r="CD531" i="10"/>
  <c r="B66" i="1"/>
  <c r="D66" i="1" s="1"/>
  <c r="C150" i="1"/>
  <c r="B150" i="1"/>
  <c r="D150" i="1" s="1"/>
  <c r="EC138" i="10"/>
  <c r="ED138" i="10" s="1"/>
  <c r="P138" i="10"/>
  <c r="Q138" i="10" s="1"/>
  <c r="N138" i="10" s="1"/>
  <c r="BV138" i="10"/>
  <c r="BW138" i="10" s="1"/>
  <c r="BX138" i="10" s="1"/>
  <c r="BU138" i="10" s="1"/>
  <c r="M138" i="10"/>
  <c r="CA226" i="10"/>
  <c r="EH226" i="10"/>
  <c r="EK303" i="10"/>
  <c r="CD303" i="10"/>
  <c r="EK376" i="10"/>
  <c r="CD376" i="10"/>
  <c r="EH449" i="10"/>
  <c r="CA449" i="10"/>
  <c r="EK65" i="10"/>
  <c r="CD65" i="10"/>
  <c r="U38" i="10"/>
  <c r="BP37" i="12"/>
  <c r="C50" i="1" s="1"/>
  <c r="B249" i="1"/>
  <c r="D249" i="1" s="1"/>
  <c r="EC387" i="10"/>
  <c r="ED387" i="10" s="1"/>
  <c r="P387" i="10"/>
  <c r="Q387" i="10" s="1"/>
  <c r="N387" i="10" s="1"/>
  <c r="BV387" i="10"/>
  <c r="BW387" i="10" s="1"/>
  <c r="BX387" i="10" s="1"/>
  <c r="BU387" i="10" s="1"/>
  <c r="M387" i="10"/>
  <c r="EG517" i="10"/>
  <c r="BZ517" i="10"/>
  <c r="EJ130" i="10"/>
  <c r="CC130" i="10"/>
  <c r="BZ296" i="10"/>
  <c r="EG296" i="10"/>
  <c r="EJ443" i="10"/>
  <c r="CC443" i="10"/>
  <c r="BU562" i="12"/>
  <c r="M563" i="10" s="1"/>
  <c r="R563" i="10"/>
  <c r="BL562" i="12"/>
  <c r="B575" i="1" s="1"/>
  <c r="D575" i="1" s="1"/>
  <c r="BU453" i="12"/>
  <c r="M454" i="10" s="1"/>
  <c r="R454" i="10"/>
  <c r="BL453" i="12"/>
  <c r="B466" i="1" s="1"/>
  <c r="D466" i="1" s="1"/>
  <c r="EC142" i="10"/>
  <c r="ED142" i="10" s="1"/>
  <c r="P142" i="10"/>
  <c r="Q142" i="10" s="1"/>
  <c r="N142" i="10" s="1"/>
  <c r="BV142" i="10"/>
  <c r="BW142" i="10" s="1"/>
  <c r="BX142" i="10" s="1"/>
  <c r="BU142" i="10" s="1"/>
  <c r="M142" i="10"/>
  <c r="EH120" i="10"/>
  <c r="CA120" i="10"/>
  <c r="BU397" i="12"/>
  <c r="M398" i="10" s="1"/>
  <c r="R398" i="10"/>
  <c r="BL397" i="12"/>
  <c r="B410" i="1" s="1"/>
  <c r="D410" i="1" s="1"/>
  <c r="EH43" i="10"/>
  <c r="CA43" i="10"/>
  <c r="EJ107" i="10"/>
  <c r="CC107" i="10"/>
  <c r="CA172" i="10"/>
  <c r="EH172" i="10"/>
  <c r="BU4" i="12"/>
  <c r="M5" i="10" s="1"/>
  <c r="R5" i="10"/>
  <c r="BL4" i="12"/>
  <c r="B17" i="1" s="1"/>
  <c r="D17" i="1" s="1"/>
  <c r="B81" i="1"/>
  <c r="D81" i="1" s="1"/>
  <c r="C81" i="1"/>
  <c r="EC133" i="10"/>
  <c r="ED133" i="10" s="1"/>
  <c r="P133" i="10"/>
  <c r="Q133" i="10" s="1"/>
  <c r="N133" i="10" s="1"/>
  <c r="BV133" i="10"/>
  <c r="BW133" i="10" s="1"/>
  <c r="BX133" i="10" s="1"/>
  <c r="BU133" i="10" s="1"/>
  <c r="M133" i="10"/>
  <c r="EG198" i="10"/>
  <c r="BZ198" i="10"/>
  <c r="BU263" i="12"/>
  <c r="M264" i="10" s="1"/>
  <c r="R264" i="10"/>
  <c r="BL263" i="12"/>
  <c r="B276" i="1" s="1"/>
  <c r="D276" i="1" s="1"/>
  <c r="EJ330" i="10"/>
  <c r="CC330" i="10"/>
  <c r="EG394" i="10"/>
  <c r="BZ394" i="10"/>
  <c r="EH458" i="10"/>
  <c r="CA458" i="10"/>
  <c r="BU521" i="12"/>
  <c r="M522" i="10" s="1"/>
  <c r="R522" i="10"/>
  <c r="BL521" i="12"/>
  <c r="B534" i="1" s="1"/>
  <c r="D534" i="1" s="1"/>
  <c r="C16" i="1"/>
  <c r="B16" i="1"/>
  <c r="D16" i="1" s="1"/>
  <c r="EC92" i="10"/>
  <c r="ED92" i="10" s="1"/>
  <c r="P92" i="10"/>
  <c r="Q92" i="10" s="1"/>
  <c r="N92" i="10" s="1"/>
  <c r="BV92" i="10"/>
  <c r="BW92" i="10" s="1"/>
  <c r="BX92" i="10" s="1"/>
  <c r="BU92" i="10" s="1"/>
  <c r="M92" i="10"/>
  <c r="EG178" i="10"/>
  <c r="BZ178" i="10"/>
  <c r="U261" i="10"/>
  <c r="BP260" i="12"/>
  <c r="C273" i="1" s="1"/>
  <c r="EG336" i="10"/>
  <c r="BZ336" i="10"/>
  <c r="BU408" i="12"/>
  <c r="M409" i="10" s="1"/>
  <c r="R409" i="10"/>
  <c r="BL408" i="12"/>
  <c r="B421" i="1" s="1"/>
  <c r="D421" i="1" s="1"/>
  <c r="EK556" i="10"/>
  <c r="CD556" i="10"/>
  <c r="B94" i="1"/>
  <c r="D94" i="1" s="1"/>
  <c r="C94" i="1"/>
  <c r="EC169" i="10"/>
  <c r="ED169" i="10" s="1"/>
  <c r="P169" i="10"/>
  <c r="Q169" i="10" s="1"/>
  <c r="N169" i="10" s="1"/>
  <c r="BV169" i="10"/>
  <c r="BW169" i="10" s="1"/>
  <c r="BX169" i="10" s="1"/>
  <c r="BU169" i="10" s="1"/>
  <c r="M169" i="10"/>
  <c r="EH253" i="10"/>
  <c r="CA253" i="10"/>
  <c r="EJ328" i="10"/>
  <c r="CC328" i="10"/>
  <c r="EG401" i="10"/>
  <c r="BZ401" i="10"/>
  <c r="EK475" i="10"/>
  <c r="CD475" i="10"/>
  <c r="EK548" i="10"/>
  <c r="CD548" i="10"/>
  <c r="EH73" i="10"/>
  <c r="CA73" i="10"/>
  <c r="B172" i="1"/>
  <c r="D172" i="1" s="1"/>
  <c r="C172" i="1"/>
  <c r="EC244" i="10"/>
  <c r="ED244" i="10" s="1"/>
  <c r="P244" i="10"/>
  <c r="Q244" i="10" s="1"/>
  <c r="N244" i="10" s="1"/>
  <c r="BV244" i="10"/>
  <c r="BW244" i="10" s="1"/>
  <c r="BX244" i="10" s="1"/>
  <c r="BU244" i="10" s="1"/>
  <c r="M244" i="10"/>
  <c r="BU319" i="12"/>
  <c r="R320" i="10"/>
  <c r="BL319" i="12"/>
  <c r="B332" i="1" s="1"/>
  <c r="D332" i="1" s="1"/>
  <c r="BU392" i="12"/>
  <c r="M393" i="10" s="1"/>
  <c r="R393" i="10"/>
  <c r="BL392" i="12"/>
  <c r="B405" i="1" s="1"/>
  <c r="D405" i="1" s="1"/>
  <c r="EG467" i="10"/>
  <c r="BZ467" i="10"/>
  <c r="EG540" i="10"/>
  <c r="BZ540" i="10"/>
  <c r="EJ64" i="10"/>
  <c r="CC64" i="10"/>
  <c r="EH151" i="10"/>
  <c r="CA151" i="10"/>
  <c r="B248" i="1"/>
  <c r="D248" i="1" s="1"/>
  <c r="C248" i="1"/>
  <c r="BU311" i="12"/>
  <c r="M312" i="10" s="1"/>
  <c r="R312" i="10"/>
  <c r="BL311" i="12"/>
  <c r="CA385" i="10"/>
  <c r="EH385" i="10"/>
  <c r="EJ459" i="10"/>
  <c r="CC459" i="10"/>
  <c r="BU75" i="12"/>
  <c r="M76" i="10" s="1"/>
  <c r="R76" i="10"/>
  <c r="BL75" i="12"/>
  <c r="B88" i="1" s="1"/>
  <c r="D88" i="1" s="1"/>
  <c r="EH68" i="10"/>
  <c r="CA68" i="10"/>
  <c r="EH257" i="10"/>
  <c r="CA257" i="10"/>
  <c r="U405" i="10"/>
  <c r="BP404" i="12"/>
  <c r="C417" i="1" s="1"/>
  <c r="B545" i="1"/>
  <c r="D545" i="1" s="1"/>
  <c r="EC153" i="10"/>
  <c r="ED153" i="10" s="1"/>
  <c r="P153" i="10"/>
  <c r="Q153" i="10" s="1"/>
  <c r="N153" i="10" s="1"/>
  <c r="BV153" i="10"/>
  <c r="BW153" i="10" s="1"/>
  <c r="BX153" i="10" s="1"/>
  <c r="BU153" i="10" s="1"/>
  <c r="M153" i="10"/>
  <c r="BU314" i="12"/>
  <c r="R315" i="10"/>
  <c r="BL314" i="12"/>
  <c r="B327" i="1" s="1"/>
  <c r="D327" i="1" s="1"/>
  <c r="BU460" i="12"/>
  <c r="M461" i="10" s="1"/>
  <c r="R461" i="10"/>
  <c r="BL460" i="12"/>
  <c r="B473" i="1" s="1"/>
  <c r="D473" i="1" s="1"/>
  <c r="EG16" i="10"/>
  <c r="BZ16" i="10"/>
  <c r="EG219" i="10"/>
  <c r="BZ219" i="10"/>
  <c r="EJ371" i="10"/>
  <c r="CC371" i="10"/>
  <c r="EG507" i="10"/>
  <c r="BZ507" i="10"/>
  <c r="EC299" i="10"/>
  <c r="ED299" i="10" s="1"/>
  <c r="P299" i="10"/>
  <c r="Q299" i="10" s="1"/>
  <c r="N299" i="10" s="1"/>
  <c r="BV299" i="10"/>
  <c r="BW299" i="10" s="1"/>
  <c r="BX299" i="10" s="1"/>
  <c r="BU299" i="10" s="1"/>
  <c r="M299" i="10"/>
  <c r="BU444" i="12"/>
  <c r="R445" i="10"/>
  <c r="BL444" i="12"/>
  <c r="EK25" i="10"/>
  <c r="CD25" i="10"/>
  <c r="EG227" i="10"/>
  <c r="BZ227" i="10"/>
  <c r="EK377" i="10"/>
  <c r="CD377" i="10"/>
  <c r="U509" i="10"/>
  <c r="BP508" i="12"/>
  <c r="C521" i="1" s="1"/>
  <c r="EH251" i="10"/>
  <c r="CA251" i="10"/>
  <c r="B100" i="1"/>
  <c r="D100" i="1" s="1"/>
  <c r="C100" i="1"/>
  <c r="B511" i="1"/>
  <c r="D511" i="1" s="1"/>
  <c r="C511" i="1"/>
  <c r="EC499" i="10"/>
  <c r="ED499" i="10" s="1"/>
  <c r="P499" i="10"/>
  <c r="Q499" i="10" s="1"/>
  <c r="N499" i="10" s="1"/>
  <c r="BV499" i="10"/>
  <c r="BW499" i="10" s="1"/>
  <c r="BX499" i="10" s="1"/>
  <c r="BU499" i="10" s="1"/>
  <c r="M499" i="10"/>
  <c r="EH363" i="10"/>
  <c r="CA363" i="10"/>
  <c r="EK228" i="10"/>
  <c r="CD228" i="10"/>
  <c r="EJ34" i="10"/>
  <c r="CC34" i="10"/>
  <c r="BU470" i="12"/>
  <c r="R471" i="10"/>
  <c r="BL470" i="12"/>
  <c r="B483" i="1" s="1"/>
  <c r="D483" i="1" s="1"/>
  <c r="EK289" i="10"/>
  <c r="CD289" i="10"/>
  <c r="U342" i="10"/>
  <c r="BP341" i="12"/>
  <c r="C354" i="1" s="1"/>
  <c r="C262" i="1"/>
  <c r="EC381" i="10"/>
  <c r="ED381" i="10" s="1"/>
  <c r="P381" i="10"/>
  <c r="Q381" i="10" s="1"/>
  <c r="N381" i="10" s="1"/>
  <c r="BV381" i="10"/>
  <c r="BW381" i="10" s="1"/>
  <c r="BX381" i="10" s="1"/>
  <c r="BU381" i="10" s="1"/>
  <c r="M381" i="10"/>
  <c r="U267" i="10"/>
  <c r="BP266" i="12"/>
  <c r="EJ208" i="10"/>
  <c r="CC208" i="10"/>
  <c r="EJ325" i="10"/>
  <c r="CC325" i="10"/>
  <c r="EK527" i="10"/>
  <c r="CD527" i="10"/>
  <c r="EH487" i="10"/>
  <c r="CA487" i="10"/>
  <c r="EH316" i="10"/>
  <c r="CA316" i="10"/>
  <c r="B174" i="1"/>
  <c r="D174" i="1" s="1"/>
  <c r="C174" i="1"/>
  <c r="EC361" i="10"/>
  <c r="ED361" i="10" s="1"/>
  <c r="P361" i="10"/>
  <c r="Q361" i="10" s="1"/>
  <c r="N361" i="10" s="1"/>
  <c r="BV361" i="10"/>
  <c r="BW361" i="10" s="1"/>
  <c r="BX361" i="10" s="1"/>
  <c r="BU361" i="10" s="1"/>
  <c r="M361" i="10"/>
  <c r="EG326" i="10"/>
  <c r="BZ326" i="10"/>
  <c r="CD51" i="10"/>
  <c r="EK51" i="10"/>
  <c r="BU114" i="12"/>
  <c r="M115" i="10" s="1"/>
  <c r="R115" i="10"/>
  <c r="BL114" i="12"/>
  <c r="B127" i="1" s="1"/>
  <c r="D127" i="1" s="1"/>
  <c r="EK180" i="10"/>
  <c r="CD180" i="10"/>
  <c r="EK13" i="10"/>
  <c r="CD13" i="10"/>
  <c r="B89" i="1"/>
  <c r="D89" i="1" s="1"/>
  <c r="C89" i="1"/>
  <c r="C153" i="1"/>
  <c r="B153" i="1"/>
  <c r="D153" i="1" s="1"/>
  <c r="C218" i="1"/>
  <c r="B218" i="1"/>
  <c r="D218" i="1" s="1"/>
  <c r="EC206" i="10"/>
  <c r="ED206" i="10" s="1"/>
  <c r="P206" i="10"/>
  <c r="Q206" i="10" s="1"/>
  <c r="N206" i="10" s="1"/>
  <c r="BV206" i="10"/>
  <c r="BW206" i="10" s="1"/>
  <c r="BX206" i="10" s="1"/>
  <c r="BU206" i="10" s="1"/>
  <c r="M206" i="10"/>
  <c r="BU272" i="12"/>
  <c r="R273" i="10"/>
  <c r="BL272" i="12"/>
  <c r="B285" i="1" s="1"/>
  <c r="D285" i="1" s="1"/>
  <c r="BU337" i="12"/>
  <c r="M338" i="10" s="1"/>
  <c r="R338" i="10"/>
  <c r="BL337" i="12"/>
  <c r="B350" i="1" s="1"/>
  <c r="D350" i="1" s="1"/>
  <c r="EG402" i="10"/>
  <c r="BZ402" i="10"/>
  <c r="EK466" i="10"/>
  <c r="CD466" i="10"/>
  <c r="U530" i="10"/>
  <c r="BP529" i="12"/>
  <c r="C542" i="1" s="1"/>
  <c r="EJ17" i="10"/>
  <c r="CC17" i="10"/>
  <c r="C115" i="1"/>
  <c r="B115" i="1"/>
  <c r="D115" i="1" s="1"/>
  <c r="C201" i="1"/>
  <c r="B201" i="1"/>
  <c r="D201" i="1" s="1"/>
  <c r="EC189" i="10"/>
  <c r="ED189" i="10" s="1"/>
  <c r="P189" i="10"/>
  <c r="Q189" i="10" s="1"/>
  <c r="N189" i="10" s="1"/>
  <c r="BV189" i="10"/>
  <c r="BW189" i="10" s="1"/>
  <c r="BX189" i="10" s="1"/>
  <c r="BU189" i="10" s="1"/>
  <c r="M189" i="10"/>
  <c r="EG271" i="10"/>
  <c r="BZ271" i="10"/>
  <c r="BU344" i="12"/>
  <c r="M345" i="10" s="1"/>
  <c r="R345" i="10"/>
  <c r="BL344" i="12"/>
  <c r="B357" i="1" s="1"/>
  <c r="D357" i="1" s="1"/>
  <c r="EH419" i="10"/>
  <c r="CA419" i="10"/>
  <c r="EK492" i="10"/>
  <c r="CD492" i="10"/>
  <c r="EH7" i="10"/>
  <c r="CA7" i="10"/>
  <c r="EG94" i="10"/>
  <c r="BZ94" i="10"/>
  <c r="B191" i="1"/>
  <c r="D191" i="1" s="1"/>
  <c r="C191" i="1"/>
  <c r="EC262" i="10"/>
  <c r="ED262" i="10" s="1"/>
  <c r="BV262" i="10"/>
  <c r="BW262" i="10" s="1"/>
  <c r="BX262" i="10" s="1"/>
  <c r="BU262" i="10" s="1"/>
  <c r="P262" i="10"/>
  <c r="Q262" i="10" s="1"/>
  <c r="N262" i="10" s="1"/>
  <c r="M262" i="10"/>
  <c r="EG337" i="10"/>
  <c r="BZ337" i="10"/>
  <c r="CD411" i="10"/>
  <c r="EK411" i="10"/>
  <c r="BU483" i="12"/>
  <c r="M484" i="10" s="1"/>
  <c r="R484" i="10"/>
  <c r="BL483" i="12"/>
  <c r="B496" i="1" s="1"/>
  <c r="D496" i="1" s="1"/>
  <c r="EK557" i="10"/>
  <c r="CD557" i="10"/>
  <c r="EG84" i="10"/>
  <c r="BZ84" i="10"/>
  <c r="BU169" i="12"/>
  <c r="M170" i="10" s="1"/>
  <c r="R170" i="10"/>
  <c r="BL169" i="12"/>
  <c r="B182" i="1" s="1"/>
  <c r="D182" i="1" s="1"/>
  <c r="EC329" i="10"/>
  <c r="ED329" i="10" s="1"/>
  <c r="P329" i="10"/>
  <c r="Q329" i="10" s="1"/>
  <c r="N329" i="10" s="1"/>
  <c r="BV329" i="10"/>
  <c r="BW329" i="10" s="1"/>
  <c r="BX329" i="10" s="1"/>
  <c r="BU329" i="10" s="1"/>
  <c r="M329" i="10"/>
  <c r="EG403" i="10"/>
  <c r="BZ403" i="10"/>
  <c r="U476" i="10"/>
  <c r="BP475" i="12"/>
  <c r="C488" i="1" s="1"/>
  <c r="EJ549" i="10"/>
  <c r="CC549" i="10"/>
  <c r="EK74" i="10"/>
  <c r="CD74" i="10"/>
  <c r="BU160" i="12"/>
  <c r="M161" i="10" s="1"/>
  <c r="R161" i="10"/>
  <c r="BL160" i="12"/>
  <c r="B173" i="1" s="1"/>
  <c r="D173" i="1" s="1"/>
  <c r="EK245" i="10"/>
  <c r="CD245" i="10"/>
  <c r="P395" i="10"/>
  <c r="Q395" i="10" s="1"/>
  <c r="N395" i="10" s="1"/>
  <c r="BV395" i="10"/>
  <c r="BW395" i="10" s="1"/>
  <c r="BX395" i="10" s="1"/>
  <c r="BU395" i="10" s="1"/>
  <c r="EC395" i="10"/>
  <c r="ED395" i="10" s="1"/>
  <c r="M395" i="10"/>
  <c r="U283" i="10"/>
  <c r="BP282" i="12"/>
  <c r="C295" i="1" s="1"/>
  <c r="EJ87" i="10"/>
  <c r="CC87" i="10"/>
  <c r="EK98" i="10"/>
  <c r="CD98" i="10"/>
  <c r="U276" i="10"/>
  <c r="BP275" i="12"/>
  <c r="C288" i="1" s="1"/>
  <c r="U423" i="10"/>
  <c r="BP422" i="12"/>
  <c r="C435" i="1" s="1"/>
  <c r="B557" i="1"/>
  <c r="D557" i="1" s="1"/>
  <c r="B187" i="1"/>
  <c r="D187" i="1" s="1"/>
  <c r="C187" i="1"/>
  <c r="EC175" i="10"/>
  <c r="ED175" i="10" s="1"/>
  <c r="BV175" i="10"/>
  <c r="BW175" i="10" s="1"/>
  <c r="BX175" i="10" s="1"/>
  <c r="BU175" i="10" s="1"/>
  <c r="P175" i="10"/>
  <c r="Q175" i="10" s="1"/>
  <c r="N175" i="10" s="1"/>
  <c r="M175" i="10"/>
  <c r="U333" i="10"/>
  <c r="BP332" i="12"/>
  <c r="BU476" i="12"/>
  <c r="M477" i="10" s="1"/>
  <c r="R477" i="10"/>
  <c r="BL476" i="12"/>
  <c r="B489" i="1" s="1"/>
  <c r="D489" i="1" s="1"/>
  <c r="EJ47" i="10"/>
  <c r="CC47" i="10"/>
  <c r="EG240" i="10"/>
  <c r="BZ240" i="10"/>
  <c r="U389" i="10"/>
  <c r="BP388" i="12"/>
  <c r="C401" i="1" s="1"/>
  <c r="EJ523" i="10"/>
  <c r="CC523" i="10"/>
  <c r="B167" i="1"/>
  <c r="D167" i="1" s="1"/>
  <c r="EC317" i="10"/>
  <c r="ED317" i="10" s="1"/>
  <c r="P317" i="10"/>
  <c r="Q317" i="10" s="1"/>
  <c r="N317" i="10" s="1"/>
  <c r="BV317" i="10"/>
  <c r="BW317" i="10" s="1"/>
  <c r="BX317" i="10" s="1"/>
  <c r="BU317" i="10" s="1"/>
  <c r="M317" i="10"/>
  <c r="EH463" i="10"/>
  <c r="CA463" i="10"/>
  <c r="EJ56" i="10"/>
  <c r="CC56" i="10"/>
  <c r="BU245" i="12"/>
  <c r="M246" i="10" s="1"/>
  <c r="R246" i="10"/>
  <c r="BL245" i="12"/>
  <c r="B258" i="1" s="1"/>
  <c r="D258" i="1" s="1"/>
  <c r="BU395" i="12"/>
  <c r="M396" i="10" s="1"/>
  <c r="R396" i="10"/>
  <c r="BL395" i="12"/>
  <c r="B408" i="1" s="1"/>
  <c r="D408" i="1" s="1"/>
  <c r="U525" i="10"/>
  <c r="BP524" i="12"/>
  <c r="C537" i="1" s="1"/>
  <c r="EG307" i="10"/>
  <c r="BZ307" i="10"/>
  <c r="B157" i="1"/>
  <c r="D157" i="1" s="1"/>
  <c r="C157" i="1"/>
  <c r="EC542" i="10"/>
  <c r="ED542" i="10" s="1"/>
  <c r="P542" i="10"/>
  <c r="Q542" i="10" s="1"/>
  <c r="N542" i="10" s="1"/>
  <c r="BV542" i="10"/>
  <c r="BW542" i="10" s="1"/>
  <c r="BX542" i="10" s="1"/>
  <c r="BU542" i="10" s="1"/>
  <c r="M542" i="10"/>
  <c r="EG416" i="10"/>
  <c r="BZ416" i="10"/>
  <c r="EJ270" i="10"/>
  <c r="CC270" i="10"/>
  <c r="EG112" i="10"/>
  <c r="BZ112" i="10"/>
  <c r="EJ515" i="10"/>
  <c r="CC515" i="10"/>
  <c r="CA435" i="10"/>
  <c r="EH435" i="10"/>
  <c r="CA452" i="10"/>
  <c r="EH452" i="10"/>
  <c r="C498" i="1"/>
  <c r="B498" i="1"/>
  <c r="D498" i="1" s="1"/>
  <c r="EC486" i="10"/>
  <c r="ED486" i="10" s="1"/>
  <c r="BV486" i="10"/>
  <c r="BW486" i="10" s="1"/>
  <c r="BX486" i="10" s="1"/>
  <c r="BU486" i="10" s="1"/>
  <c r="P486" i="10"/>
  <c r="Q486" i="10" s="1"/>
  <c r="N486" i="10" s="1"/>
  <c r="M486" i="10"/>
  <c r="BU350" i="12"/>
  <c r="R351" i="10"/>
  <c r="BL350" i="12"/>
  <c r="BU258" i="12"/>
  <c r="M259" i="10" s="1"/>
  <c r="R259" i="10"/>
  <c r="BL258" i="12"/>
  <c r="B271" i="1" s="1"/>
  <c r="D271" i="1" s="1"/>
  <c r="CA535" i="10"/>
  <c r="EH535" i="10"/>
  <c r="EK335" i="10"/>
  <c r="CD335" i="10"/>
  <c r="U80" i="10"/>
  <c r="BP79" i="12"/>
  <c r="C92" i="1" s="1"/>
  <c r="EG414" i="10"/>
  <c r="BZ414" i="10"/>
  <c r="B372" i="1"/>
  <c r="D372" i="1" s="1"/>
  <c r="C372" i="1"/>
  <c r="EC469" i="10"/>
  <c r="ED469" i="10" s="1"/>
  <c r="BV469" i="10"/>
  <c r="BW469" i="10" s="1"/>
  <c r="BX469" i="10" s="1"/>
  <c r="BU469" i="10" s="1"/>
  <c r="P469" i="10"/>
  <c r="Q469" i="10" s="1"/>
  <c r="N469" i="10" s="1"/>
  <c r="M469" i="10"/>
  <c r="EG555" i="10"/>
  <c r="BZ555" i="10"/>
  <c r="EJ516" i="10"/>
  <c r="CC516" i="10"/>
  <c r="BU405" i="12"/>
  <c r="M406" i="10" s="1"/>
  <c r="R406" i="10"/>
  <c r="BL405" i="12"/>
  <c r="B418" i="1" s="1"/>
  <c r="D418" i="1" s="1"/>
  <c r="EK241" i="10"/>
  <c r="CD241" i="10"/>
  <c r="EJ468" i="10"/>
  <c r="CC468" i="10"/>
  <c r="EG26" i="10"/>
  <c r="BZ26" i="10"/>
  <c r="C71" i="1"/>
  <c r="B71" i="1"/>
  <c r="D71" i="1" s="1"/>
  <c r="EC123" i="10"/>
  <c r="ED123" i="10" s="1"/>
  <c r="P123" i="10"/>
  <c r="Q123" i="10" s="1"/>
  <c r="BV123" i="10"/>
  <c r="BW123" i="10" s="1"/>
  <c r="BX123" i="10" s="1"/>
  <c r="BU123" i="10" s="1"/>
  <c r="M123" i="10"/>
  <c r="EH188" i="10"/>
  <c r="CA188" i="10"/>
  <c r="EJ21" i="10"/>
  <c r="CC21" i="10"/>
  <c r="EG85" i="10"/>
  <c r="BZ85" i="10"/>
  <c r="EK150" i="10"/>
  <c r="CD150" i="10"/>
  <c r="EJ215" i="10"/>
  <c r="CC215" i="10"/>
  <c r="EH281" i="10"/>
  <c r="CA281" i="10"/>
  <c r="C358" i="1"/>
  <c r="EC410" i="10"/>
  <c r="ED410" i="10" s="1"/>
  <c r="BV410" i="10"/>
  <c r="BW410" i="10" s="1"/>
  <c r="BX410" i="10" s="1"/>
  <c r="BU410" i="10" s="1"/>
  <c r="P410" i="10"/>
  <c r="Q410" i="10" s="1"/>
  <c r="N410" i="10" s="1"/>
  <c r="M410" i="10"/>
  <c r="U474" i="10"/>
  <c r="BP473" i="12"/>
  <c r="EK538" i="10"/>
  <c r="CD538" i="10"/>
  <c r="EG28" i="10"/>
  <c r="BZ28" i="10"/>
  <c r="EG113" i="10"/>
  <c r="BZ113" i="10"/>
  <c r="CA200" i="10"/>
  <c r="EH200" i="10"/>
  <c r="CD280" i="10"/>
  <c r="EK280" i="10"/>
  <c r="B367" i="1"/>
  <c r="D367" i="1" s="1"/>
  <c r="C367" i="1"/>
  <c r="B440" i="1"/>
  <c r="D440" i="1" s="1"/>
  <c r="C440" i="1"/>
  <c r="EC428" i="10"/>
  <c r="ED428" i="10" s="1"/>
  <c r="P428" i="10"/>
  <c r="Q428" i="10" s="1"/>
  <c r="N428" i="10" s="1"/>
  <c r="BV428" i="10"/>
  <c r="BW428" i="10" s="1"/>
  <c r="BX428" i="10" s="1"/>
  <c r="BU428" i="10" s="1"/>
  <c r="M428" i="10"/>
  <c r="EG501" i="10"/>
  <c r="BZ501" i="10"/>
  <c r="BU17" i="12"/>
  <c r="M18" i="10" s="1"/>
  <c r="R18" i="10"/>
  <c r="BL17" i="12"/>
  <c r="B30" i="1" s="1"/>
  <c r="D30" i="1" s="1"/>
  <c r="EH104" i="10"/>
  <c r="CA104" i="10"/>
  <c r="EJ191" i="10"/>
  <c r="CC191" i="10"/>
  <c r="EH272" i="10"/>
  <c r="CA272" i="10"/>
  <c r="EG347" i="10"/>
  <c r="BZ347" i="10"/>
  <c r="C432" i="1"/>
  <c r="B432" i="1"/>
  <c r="D432" i="1" s="1"/>
  <c r="EC493" i="10"/>
  <c r="ED493" i="10" s="1"/>
  <c r="BV493" i="10"/>
  <c r="BW493" i="10" s="1"/>
  <c r="BX493" i="10" s="1"/>
  <c r="BU493" i="10" s="1"/>
  <c r="P493" i="10"/>
  <c r="Q493" i="10" s="1"/>
  <c r="N493" i="10" s="1"/>
  <c r="M493" i="10"/>
  <c r="BU7" i="12"/>
  <c r="R8" i="10"/>
  <c r="BL7" i="12"/>
  <c r="BU94" i="12"/>
  <c r="M95" i="10" s="1"/>
  <c r="R95" i="10"/>
  <c r="BL94" i="12"/>
  <c r="B107" i="1" s="1"/>
  <c r="D107" i="1" s="1"/>
  <c r="EH181" i="10"/>
  <c r="CA181" i="10"/>
  <c r="U263" i="10"/>
  <c r="BP262" i="12"/>
  <c r="C275" i="1" s="1"/>
  <c r="EC339" i="10"/>
  <c r="ED339" i="10" s="1"/>
  <c r="P339" i="10"/>
  <c r="Q339" i="10" s="1"/>
  <c r="N339" i="10" s="1"/>
  <c r="BV339" i="10"/>
  <c r="BW339" i="10" s="1"/>
  <c r="BX339" i="10" s="1"/>
  <c r="BU339" i="10" s="1"/>
  <c r="M339" i="10"/>
  <c r="EK412" i="10"/>
  <c r="CD412" i="10"/>
  <c r="C497" i="1"/>
  <c r="EC558" i="10"/>
  <c r="ED558" i="10" s="1"/>
  <c r="P558" i="10"/>
  <c r="Q558" i="10" s="1"/>
  <c r="N558" i="10" s="1"/>
  <c r="BV558" i="10"/>
  <c r="BW558" i="10" s="1"/>
  <c r="BX558" i="10" s="1"/>
  <c r="BU558" i="10" s="1"/>
  <c r="M558" i="10"/>
  <c r="EH86" i="10"/>
  <c r="CA86" i="10"/>
  <c r="U171" i="10"/>
  <c r="BP170" i="12"/>
  <c r="C183" i="1" s="1"/>
  <c r="EH255" i="10"/>
  <c r="CA255" i="10"/>
  <c r="EK331" i="10"/>
  <c r="CD331" i="10"/>
  <c r="EG404" i="10"/>
  <c r="BZ404" i="10"/>
  <c r="EG10" i="10"/>
  <c r="BZ10" i="10"/>
  <c r="B109" i="1"/>
  <c r="D109" i="1" s="1"/>
  <c r="C109" i="1"/>
  <c r="B134" i="1"/>
  <c r="D134" i="1" s="1"/>
  <c r="C134" i="1"/>
  <c r="EC122" i="10"/>
  <c r="ED122" i="10" s="1"/>
  <c r="P122" i="10"/>
  <c r="Q122" i="10" s="1"/>
  <c r="N122" i="10" s="1"/>
  <c r="BV122" i="10"/>
  <c r="BW122" i="10" s="1"/>
  <c r="BX122" i="10" s="1"/>
  <c r="BU122" i="10" s="1"/>
  <c r="U295" i="10"/>
  <c r="BP294" i="12"/>
  <c r="EG441" i="10"/>
  <c r="BZ441" i="10"/>
  <c r="EJ561" i="10"/>
  <c r="CC561" i="10"/>
  <c r="EC195" i="10"/>
  <c r="ED195" i="10" s="1"/>
  <c r="P195" i="10"/>
  <c r="Q195" i="10" s="1"/>
  <c r="N195" i="10" s="1"/>
  <c r="BV195" i="10"/>
  <c r="BW195" i="10" s="1"/>
  <c r="BX195" i="10" s="1"/>
  <c r="BU195" i="10" s="1"/>
  <c r="M195" i="10"/>
  <c r="EK489" i="10"/>
  <c r="CD489" i="10"/>
  <c r="BU77" i="12"/>
  <c r="M78" i="10" s="1"/>
  <c r="R78" i="10"/>
  <c r="BL77" i="12"/>
  <c r="B90" i="1" s="1"/>
  <c r="D90" i="1" s="1"/>
  <c r="C419" i="1"/>
  <c r="B419" i="1"/>
  <c r="D419" i="1" s="1"/>
  <c r="EC177" i="10"/>
  <c r="ED177" i="10" s="1"/>
  <c r="BV177" i="10"/>
  <c r="BW177" i="10" s="1"/>
  <c r="BX177" i="10" s="1"/>
  <c r="BU177" i="10" s="1"/>
  <c r="P177" i="10"/>
  <c r="Q177" i="10" s="1"/>
  <c r="N177" i="10" s="1"/>
  <c r="M177" i="10"/>
  <c r="EH479" i="10"/>
  <c r="CA479" i="10"/>
  <c r="U541" i="10"/>
  <c r="BP540" i="12"/>
  <c r="C553" i="1" s="1"/>
  <c r="EJ248" i="10"/>
  <c r="CC248" i="10"/>
  <c r="EK167" i="10"/>
  <c r="CD167" i="10"/>
  <c r="EG560" i="10"/>
  <c r="BZ560" i="10"/>
  <c r="EG534" i="10"/>
  <c r="BZ534" i="10"/>
  <c r="B402" i="1"/>
  <c r="D402" i="1" s="1"/>
  <c r="B509" i="1"/>
  <c r="D509" i="1" s="1"/>
  <c r="C509" i="1"/>
  <c r="EC497" i="10"/>
  <c r="ED497" i="10" s="1"/>
  <c r="BV497" i="10"/>
  <c r="BW497" i="10" s="1"/>
  <c r="BX497" i="10" s="1"/>
  <c r="BU497" i="10" s="1"/>
  <c r="P497" i="10"/>
  <c r="Q497" i="10" s="1"/>
  <c r="N497" i="10" s="1"/>
  <c r="M497" i="10"/>
  <c r="EG436" i="10"/>
  <c r="BZ436" i="10"/>
  <c r="EG282" i="10"/>
  <c r="BZ282" i="10"/>
  <c r="EH274" i="10"/>
  <c r="CA274" i="10"/>
  <c r="BU339" i="12"/>
  <c r="M340" i="10" s="1"/>
  <c r="R340" i="10"/>
  <c r="BL339" i="12"/>
  <c r="B352" i="1" s="1"/>
  <c r="D352" i="1" s="1"/>
  <c r="EC313" i="10"/>
  <c r="ED313" i="10" s="1"/>
  <c r="P313" i="10"/>
  <c r="Q313" i="10" s="1"/>
  <c r="N313" i="10" s="1"/>
  <c r="BV313" i="10"/>
  <c r="BW313" i="10" s="1"/>
  <c r="BX313" i="10" s="1"/>
  <c r="BU313" i="10" s="1"/>
  <c r="M313" i="10"/>
  <c r="B437" i="1"/>
  <c r="D437" i="1" s="1"/>
  <c r="C437" i="1"/>
  <c r="EH286" i="10"/>
  <c r="CA286" i="10"/>
  <c r="EC553" i="10"/>
  <c r="ED553" i="10" s="1"/>
  <c r="BV553" i="10"/>
  <c r="BW553" i="10" s="1"/>
  <c r="BX553" i="10" s="1"/>
  <c r="BU553" i="10" s="1"/>
  <c r="P553" i="10"/>
  <c r="Q553" i="10" s="1"/>
  <c r="N553" i="10" s="1"/>
  <c r="M553" i="10"/>
  <c r="EC185" i="10"/>
  <c r="ED185" i="10" s="1"/>
  <c r="P185" i="10"/>
  <c r="Q185" i="10" s="1"/>
  <c r="N185" i="10" s="1"/>
  <c r="BV185" i="10"/>
  <c r="BW185" i="10" s="1"/>
  <c r="BX185" i="10" s="1"/>
  <c r="BU185" i="10" s="1"/>
  <c r="M185" i="10"/>
  <c r="EG304" i="10"/>
  <c r="BZ304" i="10"/>
  <c r="CA136" i="10"/>
  <c r="EH136" i="10"/>
  <c r="EH118" i="10"/>
  <c r="CA118" i="10"/>
  <c r="CD323" i="10"/>
  <c r="EK323" i="10"/>
  <c r="EJ37" i="10"/>
  <c r="CC37" i="10"/>
  <c r="EK490" i="10"/>
  <c r="CD490" i="10"/>
  <c r="U222" i="10"/>
  <c r="BP221" i="12"/>
  <c r="C234" i="1" s="1"/>
  <c r="B312" i="1"/>
  <c r="D312" i="1" s="1"/>
  <c r="C312" i="1"/>
  <c r="EC373" i="10"/>
  <c r="ED373" i="10" s="1"/>
  <c r="P373" i="10"/>
  <c r="Q373" i="10" s="1"/>
  <c r="N373" i="10" s="1"/>
  <c r="BV373" i="10"/>
  <c r="BW373" i="10" s="1"/>
  <c r="BX373" i="10" s="1"/>
  <c r="BU373" i="10" s="1"/>
  <c r="EG202" i="10"/>
  <c r="BZ202" i="10"/>
  <c r="EC503" i="10"/>
  <c r="ED503" i="10" s="1"/>
  <c r="P503" i="10"/>
  <c r="Q503" i="10" s="1"/>
  <c r="N503" i="10" s="1"/>
  <c r="BV503" i="10"/>
  <c r="BW503" i="10" s="1"/>
  <c r="BX503" i="10" s="1"/>
  <c r="BU503" i="10" s="1"/>
  <c r="M503" i="10"/>
  <c r="EK275" i="10"/>
  <c r="CD275" i="10"/>
  <c r="EG297" i="10"/>
  <c r="BZ297" i="10"/>
  <c r="EG455" i="10"/>
  <c r="BZ455" i="10"/>
  <c r="CA32" i="10"/>
  <c r="EH32" i="10"/>
  <c r="BU18" i="12"/>
  <c r="M19" i="10" s="1"/>
  <c r="R19" i="10"/>
  <c r="BL18" i="12"/>
  <c r="B31" i="1" s="1"/>
  <c r="D31" i="1" s="1"/>
  <c r="EH306" i="10"/>
  <c r="CA306" i="10"/>
  <c r="EJ221" i="10"/>
  <c r="CC221" i="10"/>
  <c r="C194" i="1"/>
  <c r="EG6" i="10"/>
  <c r="BZ6" i="10"/>
  <c r="EG318" i="10"/>
  <c r="BZ318" i="10"/>
  <c r="EC310" i="10"/>
  <c r="ED310" i="10" s="1"/>
  <c r="BV310" i="10"/>
  <c r="BW310" i="10" s="1"/>
  <c r="BX310" i="10" s="1"/>
  <c r="BU310" i="10" s="1"/>
  <c r="P310" i="10"/>
  <c r="Q310" i="10" s="1"/>
  <c r="N310" i="10" s="1"/>
  <c r="M310" i="10"/>
  <c r="BU520" i="12"/>
  <c r="M521" i="10" s="1"/>
  <c r="R521" i="10"/>
  <c r="BL520" i="12"/>
  <c r="B533" i="1" s="1"/>
  <c r="D533" i="1" s="1"/>
  <c r="U217" i="10"/>
  <c r="BP216" i="12"/>
  <c r="C229" i="1" s="1"/>
  <c r="EH334" i="10"/>
  <c r="CA334" i="10"/>
  <c r="CA184" i="10"/>
  <c r="EH184" i="10"/>
  <c r="EJ380" i="10"/>
  <c r="CC380" i="10"/>
  <c r="EH491" i="10"/>
  <c r="CA491" i="10"/>
  <c r="EH186" i="10"/>
  <c r="CA186" i="10"/>
  <c r="EC232" i="10"/>
  <c r="ED232" i="10" s="1"/>
  <c r="BV232" i="10"/>
  <c r="BW232" i="10" s="1"/>
  <c r="BX232" i="10" s="1"/>
  <c r="BU232" i="10" s="1"/>
  <c r="P232" i="10"/>
  <c r="Q232" i="10" s="1"/>
  <c r="N232" i="10" s="1"/>
  <c r="M232" i="10"/>
  <c r="EG81" i="10"/>
  <c r="BZ81" i="10"/>
  <c r="EG149" i="10"/>
  <c r="BZ149" i="10"/>
  <c r="C396" i="1"/>
  <c r="B396" i="1"/>
  <c r="D396" i="1" s="1"/>
  <c r="EH237" i="10"/>
  <c r="CA237" i="10"/>
  <c r="EG120" i="10"/>
  <c r="BZ120" i="10"/>
  <c r="EH69" i="10"/>
  <c r="CA69" i="10"/>
  <c r="BU177" i="12"/>
  <c r="R178" i="10"/>
  <c r="BL177" i="12"/>
  <c r="B190" i="1" s="1"/>
  <c r="D190" i="1" s="1"/>
  <c r="BU72" i="12"/>
  <c r="M73" i="10" s="1"/>
  <c r="R73" i="10"/>
  <c r="BL72" i="12"/>
  <c r="B85" i="1" s="1"/>
  <c r="D85" i="1" s="1"/>
  <c r="EH64" i="10"/>
  <c r="CA64" i="10"/>
  <c r="EC68" i="10"/>
  <c r="ED68" i="10" s="1"/>
  <c r="BV68" i="10"/>
  <c r="BW68" i="10" s="1"/>
  <c r="BX68" i="10" s="1"/>
  <c r="BU68" i="10" s="1"/>
  <c r="P68" i="10"/>
  <c r="Q68" i="10" s="1"/>
  <c r="N68" i="10" s="1"/>
  <c r="M68" i="10"/>
  <c r="EH445" i="10"/>
  <c r="CA445" i="10"/>
  <c r="EG363" i="10"/>
  <c r="BZ363" i="10"/>
  <c r="EC471" i="10"/>
  <c r="ED471" i="10" s="1"/>
  <c r="BV471" i="10"/>
  <c r="BW471" i="10" s="1"/>
  <c r="BX471" i="10" s="1"/>
  <c r="BU471" i="10" s="1"/>
  <c r="P471" i="10"/>
  <c r="Q471" i="10" s="1"/>
  <c r="N471" i="10" s="1"/>
  <c r="M471" i="10"/>
  <c r="EG316" i="10"/>
  <c r="BZ316" i="10"/>
  <c r="EJ206" i="10"/>
  <c r="CC206" i="10"/>
  <c r="EG530" i="10"/>
  <c r="BZ530" i="10"/>
  <c r="EJ337" i="10"/>
  <c r="CC337" i="10"/>
  <c r="U403" i="10"/>
  <c r="BP402" i="12"/>
  <c r="EK175" i="10"/>
  <c r="CD175" i="10"/>
  <c r="EH56" i="10"/>
  <c r="CA56" i="10"/>
  <c r="EJ145" i="10"/>
  <c r="CC145" i="10"/>
  <c r="U397" i="10"/>
  <c r="BP396" i="12"/>
  <c r="C409" i="1" s="1"/>
  <c r="EJ281" i="10"/>
  <c r="CC281" i="10"/>
  <c r="BU279" i="12"/>
  <c r="M280" i="10" s="1"/>
  <c r="R280" i="10"/>
  <c r="BL279" i="12"/>
  <c r="B292" i="1" s="1"/>
  <c r="D292" i="1" s="1"/>
  <c r="U272" i="10"/>
  <c r="BP271" i="12"/>
  <c r="C284" i="1" s="1"/>
  <c r="CA485" i="10"/>
  <c r="EH485" i="10"/>
  <c r="BU121" i="12"/>
  <c r="M122" i="10" s="1"/>
  <c r="R122" i="10"/>
  <c r="BL121" i="12"/>
  <c r="EJ295" i="10"/>
  <c r="CC295" i="10"/>
  <c r="U265" i="10"/>
  <c r="BP264" i="12"/>
  <c r="C277" i="1" s="1"/>
  <c r="B41" i="1"/>
  <c r="D41" i="1" s="1"/>
  <c r="C41" i="1"/>
  <c r="EG482" i="10"/>
  <c r="BZ482" i="10"/>
  <c r="EC265" i="10"/>
  <c r="ED265" i="10" s="1"/>
  <c r="P265" i="10"/>
  <c r="Q265" i="10" s="1"/>
  <c r="N265" i="10" s="1"/>
  <c r="BV265" i="10"/>
  <c r="BW265" i="10" s="1"/>
  <c r="BX265" i="10" s="1"/>
  <c r="BU265" i="10" s="1"/>
  <c r="M265" i="10"/>
  <c r="EK131" i="10"/>
  <c r="CD131" i="10"/>
  <c r="EK196" i="10"/>
  <c r="CD196" i="10"/>
  <c r="EG29" i="10"/>
  <c r="BZ29" i="10"/>
  <c r="EH93" i="10"/>
  <c r="CA93" i="10"/>
  <c r="EJ158" i="10"/>
  <c r="CC158" i="10"/>
  <c r="C302" i="1"/>
  <c r="B302" i="1"/>
  <c r="D302" i="1" s="1"/>
  <c r="EC290" i="10"/>
  <c r="ED290" i="10" s="1"/>
  <c r="BV290" i="10"/>
  <c r="BW290" i="10" s="1"/>
  <c r="BX290" i="10" s="1"/>
  <c r="BU290" i="10" s="1"/>
  <c r="P290" i="10"/>
  <c r="Q290" i="10" s="1"/>
  <c r="N290" i="10" s="1"/>
  <c r="M290" i="10"/>
  <c r="EG354" i="10"/>
  <c r="BZ354" i="10"/>
  <c r="EG418" i="10"/>
  <c r="BZ418" i="10"/>
  <c r="EJ482" i="10"/>
  <c r="CC482" i="10"/>
  <c r="EK546" i="10"/>
  <c r="CD546" i="10"/>
  <c r="EH39" i="10"/>
  <c r="CA39" i="10"/>
  <c r="U124" i="10"/>
  <c r="BP123" i="12"/>
  <c r="C136" i="1" s="1"/>
  <c r="B222" i="1"/>
  <c r="D222" i="1" s="1"/>
  <c r="C222" i="1"/>
  <c r="EC291" i="10"/>
  <c r="ED291" i="10" s="1"/>
  <c r="P291" i="10"/>
  <c r="Q291" i="10" s="1"/>
  <c r="N291" i="10" s="1"/>
  <c r="BV291" i="10"/>
  <c r="BW291" i="10" s="1"/>
  <c r="BX291" i="10" s="1"/>
  <c r="BU291" i="10" s="1"/>
  <c r="M291" i="10"/>
  <c r="BU363" i="12"/>
  <c r="M364" i="10" s="1"/>
  <c r="R364" i="10"/>
  <c r="BL363" i="12"/>
  <c r="B376" i="1" s="1"/>
  <c r="D376" i="1" s="1"/>
  <c r="U437" i="10"/>
  <c r="BP436" i="12"/>
  <c r="C449" i="1" s="1"/>
  <c r="EJ510" i="10"/>
  <c r="CC510" i="10"/>
  <c r="BU29" i="12"/>
  <c r="M30" i="10" s="1"/>
  <c r="R30" i="10"/>
  <c r="BL29" i="12"/>
  <c r="B42" i="1" s="1"/>
  <c r="D42" i="1" s="1"/>
  <c r="U114" i="10"/>
  <c r="BP113" i="12"/>
  <c r="C126" i="1" s="1"/>
  <c r="BU200" i="12"/>
  <c r="M201" i="10" s="1"/>
  <c r="R201" i="10"/>
  <c r="BL200" i="12"/>
  <c r="B213" i="1" s="1"/>
  <c r="D213" i="1" s="1"/>
  <c r="B368" i="1"/>
  <c r="D368" i="1" s="1"/>
  <c r="C368" i="1"/>
  <c r="EC356" i="10"/>
  <c r="ED356" i="10" s="1"/>
  <c r="P356" i="10"/>
  <c r="Q356" i="10" s="1"/>
  <c r="N356" i="10" s="1"/>
  <c r="BV356" i="10"/>
  <c r="BW356" i="10" s="1"/>
  <c r="BX356" i="10" s="1"/>
  <c r="BU356" i="10" s="1"/>
  <c r="M356" i="10"/>
  <c r="EH429" i="10"/>
  <c r="CA429" i="10"/>
  <c r="BU501" i="12"/>
  <c r="M502" i="10" s="1"/>
  <c r="R502" i="10"/>
  <c r="BL501" i="12"/>
  <c r="B514" i="1" s="1"/>
  <c r="D514" i="1" s="1"/>
  <c r="EG20" i="10"/>
  <c r="BZ20" i="10"/>
  <c r="EJ105" i="10"/>
  <c r="CC105" i="10"/>
  <c r="CA192" i="10"/>
  <c r="EH192" i="10"/>
  <c r="EK274" i="10"/>
  <c r="CD274" i="10"/>
  <c r="B360" i="1"/>
  <c r="D360" i="1" s="1"/>
  <c r="C360" i="1"/>
  <c r="EC421" i="10"/>
  <c r="ED421" i="10" s="1"/>
  <c r="P421" i="10"/>
  <c r="Q421" i="10" s="1"/>
  <c r="N421" i="10" s="1"/>
  <c r="BV421" i="10"/>
  <c r="BW421" i="10" s="1"/>
  <c r="BX421" i="10" s="1"/>
  <c r="BU421" i="10" s="1"/>
  <c r="M421" i="10"/>
  <c r="U494" i="10"/>
  <c r="BP493" i="12"/>
  <c r="C506" i="1" s="1"/>
  <c r="EK9" i="10"/>
  <c r="CD9" i="10"/>
  <c r="EH96" i="10"/>
  <c r="CA96" i="10"/>
  <c r="EK183" i="10"/>
  <c r="CD183" i="10"/>
  <c r="EK266" i="10"/>
  <c r="CD266" i="10"/>
  <c r="EK340" i="10"/>
  <c r="CD340" i="10"/>
  <c r="EC23" i="10"/>
  <c r="ED23" i="10" s="1"/>
  <c r="BV23" i="10"/>
  <c r="BW23" i="10" s="1"/>
  <c r="BX23" i="10" s="1"/>
  <c r="BU23" i="10" s="1"/>
  <c r="P23" i="10"/>
  <c r="Q23" i="10" s="1"/>
  <c r="N23" i="10" s="1"/>
  <c r="M23" i="10"/>
  <c r="BU107" i="12"/>
  <c r="M108" i="10" s="1"/>
  <c r="R108" i="10"/>
  <c r="BL107" i="12"/>
  <c r="B120" i="1" s="1"/>
  <c r="D120" i="1" s="1"/>
  <c r="EJ152" i="10"/>
  <c r="CC152" i="10"/>
  <c r="EJ313" i="10"/>
  <c r="CC313" i="10"/>
  <c r="EK460" i="10"/>
  <c r="CD460" i="10"/>
  <c r="EJ15" i="10"/>
  <c r="CC15" i="10"/>
  <c r="EH218" i="10"/>
  <c r="CA218" i="10"/>
  <c r="C517" i="1"/>
  <c r="B517" i="1"/>
  <c r="D517" i="1" s="1"/>
  <c r="EC505" i="10"/>
  <c r="ED505" i="10" s="1"/>
  <c r="BV505" i="10"/>
  <c r="BW505" i="10" s="1"/>
  <c r="BX505" i="10" s="1"/>
  <c r="BU505" i="10" s="1"/>
  <c r="P505" i="10"/>
  <c r="Q505" i="10" s="1"/>
  <c r="N505" i="10" s="1"/>
  <c r="M505" i="10"/>
  <c r="EH102" i="10"/>
  <c r="CA102" i="10"/>
  <c r="EJ278" i="10"/>
  <c r="CC278" i="10"/>
  <c r="EG425" i="10"/>
  <c r="BZ425" i="10"/>
  <c r="BU550" i="12"/>
  <c r="M551" i="10" s="1"/>
  <c r="R551" i="10"/>
  <c r="BL550" i="12"/>
  <c r="B563" i="1" s="1"/>
  <c r="D563" i="1" s="1"/>
  <c r="EK199" i="10"/>
  <c r="CD199" i="10"/>
  <c r="EK353" i="10"/>
  <c r="CD353" i="10"/>
  <c r="EC111" i="10"/>
  <c r="ED111" i="10" s="1"/>
  <c r="BV111" i="10"/>
  <c r="BW111" i="10" s="1"/>
  <c r="BX111" i="10" s="1"/>
  <c r="BU111" i="10" s="1"/>
  <c r="P111" i="10"/>
  <c r="Q111" i="10" s="1"/>
  <c r="N111" i="10" s="1"/>
  <c r="M111" i="10"/>
  <c r="BU285" i="12"/>
  <c r="M286" i="10" s="1"/>
  <c r="R286" i="10"/>
  <c r="BL285" i="12"/>
  <c r="B298" i="1" s="1"/>
  <c r="D298" i="1" s="1"/>
  <c r="BU431" i="12"/>
  <c r="M432" i="10" s="1"/>
  <c r="R432" i="10"/>
  <c r="BL431" i="12"/>
  <c r="B444" i="1" s="1"/>
  <c r="D444" i="1" s="1"/>
  <c r="EK553" i="10"/>
  <c r="CD553" i="10"/>
  <c r="EJ399" i="10"/>
  <c r="CC399" i="10"/>
  <c r="EH268" i="10"/>
  <c r="CA268" i="10"/>
  <c r="EG89" i="10"/>
  <c r="BZ89" i="10"/>
  <c r="B391" i="1"/>
  <c r="D391" i="1" s="1"/>
  <c r="C391" i="1"/>
  <c r="EC379" i="10"/>
  <c r="ED379" i="10" s="1"/>
  <c r="P379" i="10"/>
  <c r="Q379" i="10" s="1"/>
  <c r="BV379" i="10"/>
  <c r="BW379" i="10" s="1"/>
  <c r="BX379" i="10" s="1"/>
  <c r="M379" i="10"/>
  <c r="BU229" i="12"/>
  <c r="M230" i="10" s="1"/>
  <c r="R230" i="10"/>
  <c r="BL229" i="12"/>
  <c r="B242" i="1" s="1"/>
  <c r="D242" i="1" s="1"/>
  <c r="BU120" i="12"/>
  <c r="M121" i="10" s="1"/>
  <c r="R121" i="10"/>
  <c r="BL120" i="12"/>
  <c r="B133" i="1" s="1"/>
  <c r="D133" i="1" s="1"/>
  <c r="EH185" i="10"/>
  <c r="CA185" i="10"/>
  <c r="EK36" i="10"/>
  <c r="CD36" i="10"/>
  <c r="EJ57" i="10"/>
  <c r="CC57" i="10"/>
  <c r="EJ349" i="10"/>
  <c r="CC349" i="10"/>
  <c r="EC332" i="10"/>
  <c r="ED332" i="10" s="1"/>
  <c r="P332" i="10"/>
  <c r="Q332" i="10" s="1"/>
  <c r="N332" i="10" s="1"/>
  <c r="BV332" i="10"/>
  <c r="BW332" i="10" s="1"/>
  <c r="BX332" i="10" s="1"/>
  <c r="BU332" i="10" s="1"/>
  <c r="M332" i="10"/>
  <c r="EG46" i="10"/>
  <c r="BZ46" i="10"/>
  <c r="EG388" i="10"/>
  <c r="BZ388" i="10"/>
  <c r="EJ132" i="10"/>
  <c r="CC132" i="10"/>
  <c r="EK444" i="10"/>
  <c r="CD444" i="10"/>
  <c r="U220" i="10"/>
  <c r="BP219" i="12"/>
  <c r="C232" i="1" s="1"/>
  <c r="U508" i="10"/>
  <c r="BP507" i="12"/>
  <c r="C520" i="1" s="1"/>
  <c r="B316" i="1"/>
  <c r="D316" i="1" s="1"/>
  <c r="C316" i="1"/>
  <c r="EG143" i="10"/>
  <c r="BZ143" i="10"/>
  <c r="EC143" i="10"/>
  <c r="ED143" i="10" s="1"/>
  <c r="BV143" i="10"/>
  <c r="BW143" i="10" s="1"/>
  <c r="BX143" i="10" s="1"/>
  <c r="BU143" i="10" s="1"/>
  <c r="P143" i="10"/>
  <c r="Q143" i="10" s="1"/>
  <c r="N143" i="10" s="1"/>
  <c r="M143" i="10"/>
  <c r="EG308" i="10"/>
  <c r="BZ308" i="10"/>
  <c r="U543" i="10"/>
  <c r="BP542" i="12"/>
  <c r="C555" i="1" s="1"/>
  <c r="EH287" i="10"/>
  <c r="CA287" i="10"/>
  <c r="EK305" i="10"/>
  <c r="CD305" i="10"/>
  <c r="EH187" i="10"/>
  <c r="CA187" i="10"/>
  <c r="EH382" i="10"/>
  <c r="CA382" i="10"/>
  <c r="EC136" i="10"/>
  <c r="ED136" i="10" s="1"/>
  <c r="BV136" i="10"/>
  <c r="BW136" i="10" s="1"/>
  <c r="BX136" i="10" s="1"/>
  <c r="BU136" i="10" s="1"/>
  <c r="P136" i="10"/>
  <c r="Q136" i="10" s="1"/>
  <c r="N136" i="10" s="1"/>
  <c r="M136" i="10"/>
  <c r="CA301" i="10"/>
  <c r="EH301" i="10"/>
  <c r="BU446" i="12"/>
  <c r="M447" i="10" s="1"/>
  <c r="R447" i="10"/>
  <c r="BL446" i="12"/>
  <c r="B459" i="1" s="1"/>
  <c r="D459" i="1" s="1"/>
  <c r="U41" i="10"/>
  <c r="BP40" i="12"/>
  <c r="C53" i="1" s="1"/>
  <c r="U214" i="10"/>
  <c r="BP213" i="12"/>
  <c r="C226" i="1" s="1"/>
  <c r="EH366" i="10"/>
  <c r="CA366" i="10"/>
  <c r="BU511" i="12"/>
  <c r="M512" i="10" s="1"/>
  <c r="R512" i="10"/>
  <c r="BL511" i="12"/>
  <c r="B524" i="1" s="1"/>
  <c r="D524" i="1" s="1"/>
  <c r="B130" i="1"/>
  <c r="D130" i="1" s="1"/>
  <c r="C130" i="1"/>
  <c r="EC285" i="10"/>
  <c r="ED285" i="10" s="1"/>
  <c r="P285" i="10"/>
  <c r="Q285" i="10" s="1"/>
  <c r="N285" i="10" s="1"/>
  <c r="BV285" i="10"/>
  <c r="BW285" i="10" s="1"/>
  <c r="BX285" i="10" s="1"/>
  <c r="BU285" i="10" s="1"/>
  <c r="M285" i="10"/>
  <c r="EG431" i="10"/>
  <c r="BZ431" i="10"/>
  <c r="U129" i="10"/>
  <c r="BP128" i="12"/>
  <c r="C141" i="1" s="1"/>
  <c r="EK350" i="10"/>
  <c r="CD350" i="10"/>
  <c r="EG70" i="10"/>
  <c r="BZ70" i="10"/>
  <c r="EH154" i="10"/>
  <c r="CA154" i="10"/>
  <c r="EH48" i="10"/>
  <c r="CA48" i="10"/>
  <c r="C335" i="1"/>
  <c r="B335" i="1"/>
  <c r="D335" i="1" s="1"/>
  <c r="EC209" i="10"/>
  <c r="ED209" i="10" s="1"/>
  <c r="BV209" i="10"/>
  <c r="BW209" i="10" s="1"/>
  <c r="BX209" i="10" s="1"/>
  <c r="BU209" i="10" s="1"/>
  <c r="P209" i="10"/>
  <c r="Q209" i="10" s="1"/>
  <c r="N209" i="10" s="1"/>
  <c r="M209" i="10"/>
  <c r="EH343" i="10"/>
  <c r="CA343" i="10"/>
  <c r="EJ11" i="10"/>
  <c r="CC11" i="10"/>
  <c r="EG75" i="10"/>
  <c r="BZ75" i="10"/>
  <c r="EK139" i="10"/>
  <c r="CD139" i="10"/>
  <c r="EG204" i="10"/>
  <c r="BZ204" i="10"/>
  <c r="EH37" i="10"/>
  <c r="CA37" i="10"/>
  <c r="C113" i="1"/>
  <c r="B113" i="1"/>
  <c r="D113" i="1" s="1"/>
  <c r="EC166" i="10"/>
  <c r="ED166" i="10" s="1"/>
  <c r="P166" i="10"/>
  <c r="Q166" i="10" s="1"/>
  <c r="N166" i="10" s="1"/>
  <c r="BV166" i="10"/>
  <c r="BW166" i="10" s="1"/>
  <c r="BX166" i="10" s="1"/>
  <c r="BU166" i="10" s="1"/>
  <c r="M166" i="10"/>
  <c r="EG231" i="10"/>
  <c r="BZ231" i="10"/>
  <c r="U298" i="10"/>
  <c r="BP297" i="12"/>
  <c r="C310" i="1" s="1"/>
  <c r="BU361" i="12"/>
  <c r="M362" i="10" s="1"/>
  <c r="R362" i="10"/>
  <c r="BL361" i="12"/>
  <c r="B374" i="1" s="1"/>
  <c r="D374" i="1" s="1"/>
  <c r="EG426" i="10"/>
  <c r="BZ426" i="10"/>
  <c r="EJ490" i="10"/>
  <c r="CC490" i="10"/>
  <c r="CA554" i="10"/>
  <c r="EH554" i="10"/>
  <c r="C61" i="1"/>
  <c r="B61" i="1"/>
  <c r="D61" i="1" s="1"/>
  <c r="C147" i="1"/>
  <c r="B147" i="1"/>
  <c r="D147" i="1" s="1"/>
  <c r="EC135" i="10"/>
  <c r="ED135" i="10" s="1"/>
  <c r="BV135" i="10"/>
  <c r="BW135" i="10" s="1"/>
  <c r="BX135" i="10" s="1"/>
  <c r="BU135" i="10" s="1"/>
  <c r="P135" i="10"/>
  <c r="Q135" i="10" s="1"/>
  <c r="N135" i="10" s="1"/>
  <c r="M135" i="10"/>
  <c r="BU221" i="12"/>
  <c r="M222" i="10" s="1"/>
  <c r="R222" i="10"/>
  <c r="BL221" i="12"/>
  <c r="B234" i="1" s="1"/>
  <c r="D234" i="1" s="1"/>
  <c r="BU299" i="12"/>
  <c r="M300" i="10" s="1"/>
  <c r="R300" i="10"/>
  <c r="BL299" i="12"/>
  <c r="BU372" i="12"/>
  <c r="M373" i="10" s="1"/>
  <c r="R373" i="10"/>
  <c r="BL372" i="12"/>
  <c r="B385" i="1" s="1"/>
  <c r="D385" i="1" s="1"/>
  <c r="EG446" i="10"/>
  <c r="BZ446" i="10"/>
  <c r="EH519" i="10"/>
  <c r="CA519" i="10"/>
  <c r="EH40" i="10"/>
  <c r="CA40" i="10"/>
  <c r="C223" i="1"/>
  <c r="BU210" i="12"/>
  <c r="M211" i="10" s="1"/>
  <c r="R211" i="10"/>
  <c r="BL210" i="12"/>
  <c r="B223" i="1" s="1"/>
  <c r="D223" i="1" s="1"/>
  <c r="EG292" i="10"/>
  <c r="BZ292" i="10"/>
  <c r="EK365" i="10"/>
  <c r="CD365" i="10"/>
  <c r="EG438" i="10"/>
  <c r="BZ438" i="10"/>
  <c r="EK511" i="10"/>
  <c r="CD511" i="10"/>
  <c r="EK31" i="10"/>
  <c r="CD31" i="10"/>
  <c r="EH116" i="10"/>
  <c r="CA116" i="10"/>
  <c r="EC284" i="10"/>
  <c r="ED284" i="10" s="1"/>
  <c r="P284" i="10"/>
  <c r="Q284" i="10" s="1"/>
  <c r="N284" i="10" s="1"/>
  <c r="BV284" i="10"/>
  <c r="BW284" i="10" s="1"/>
  <c r="BX284" i="10" s="1"/>
  <c r="BU284" i="10" s="1"/>
  <c r="M284" i="10"/>
  <c r="EG357" i="10"/>
  <c r="BZ357" i="10"/>
  <c r="EJ430" i="10"/>
  <c r="CC430" i="10"/>
  <c r="EG503" i="10"/>
  <c r="BZ503" i="10"/>
  <c r="BU21" i="12"/>
  <c r="M22" i="10" s="1"/>
  <c r="R22" i="10"/>
  <c r="BL21" i="12"/>
  <c r="B34" i="1" s="1"/>
  <c r="D34" i="1" s="1"/>
  <c r="U106" i="10"/>
  <c r="BP105" i="12"/>
  <c r="C118" i="1" s="1"/>
  <c r="BU192" i="12"/>
  <c r="M193" i="10" s="1"/>
  <c r="R193" i="10"/>
  <c r="BL192" i="12"/>
  <c r="B205" i="1" s="1"/>
  <c r="D205" i="1" s="1"/>
  <c r="C434" i="1"/>
  <c r="B434" i="1"/>
  <c r="D434" i="1" s="1"/>
  <c r="EC422" i="10"/>
  <c r="ED422" i="10" s="1"/>
  <c r="BV422" i="10"/>
  <c r="BW422" i="10" s="1"/>
  <c r="BX422" i="10" s="1"/>
  <c r="BU422" i="10" s="1"/>
  <c r="P422" i="10"/>
  <c r="Q422" i="10" s="1"/>
  <c r="N422" i="10" s="1"/>
  <c r="M422" i="10"/>
  <c r="EG33" i="10"/>
  <c r="BZ33" i="10"/>
  <c r="EK173" i="10"/>
  <c r="CD173" i="10"/>
  <c r="EG472" i="10"/>
  <c r="BZ472" i="10"/>
  <c r="EK238" i="10"/>
  <c r="CD238" i="10"/>
  <c r="EG518" i="10"/>
  <c r="BZ518" i="10"/>
  <c r="EK297" i="10"/>
  <c r="CD297" i="10"/>
  <c r="C36" i="1"/>
  <c r="B36" i="1"/>
  <c r="D36" i="1" s="1"/>
  <c r="C384" i="1"/>
  <c r="B384" i="1"/>
  <c r="D384" i="1" s="1"/>
  <c r="EC372" i="10"/>
  <c r="ED372" i="10" s="1"/>
  <c r="P372" i="10"/>
  <c r="Q372" i="10" s="1"/>
  <c r="N372" i="10" s="1"/>
  <c r="BV372" i="10"/>
  <c r="BW372" i="10" s="1"/>
  <c r="BX372" i="10" s="1"/>
  <c r="BU372" i="10" s="1"/>
  <c r="M372" i="10"/>
  <c r="EG140" i="10"/>
  <c r="BZ140" i="10"/>
  <c r="U451" i="10"/>
  <c r="BP450" i="12"/>
  <c r="C463" i="1" s="1"/>
  <c r="BU452" i="12"/>
  <c r="M453" i="10" s="1"/>
  <c r="R453" i="10"/>
  <c r="BL452" i="12"/>
  <c r="B465" i="1" s="1"/>
  <c r="D465" i="1" s="1"/>
  <c r="EK163" i="10"/>
  <c r="CD163" i="10"/>
  <c r="EJ417" i="10"/>
  <c r="CC417" i="10"/>
  <c r="EK288" i="10"/>
  <c r="CD288" i="10"/>
  <c r="B321" i="1"/>
  <c r="D321" i="1" s="1"/>
  <c r="C321" i="1"/>
  <c r="EC309" i="10"/>
  <c r="ED309" i="10" s="1"/>
  <c r="P309" i="10"/>
  <c r="Q309" i="10" s="1"/>
  <c r="N309" i="10" s="1"/>
  <c r="BV309" i="10"/>
  <c r="BW309" i="10" s="1"/>
  <c r="BX309" i="10" s="1"/>
  <c r="BU309" i="10" s="1"/>
  <c r="M309" i="10"/>
  <c r="EH455" i="10"/>
  <c r="CA455" i="10"/>
  <c r="BU49" i="12"/>
  <c r="M50" i="10" s="1"/>
  <c r="R50" i="10"/>
  <c r="BL49" i="12"/>
  <c r="B62" i="1" s="1"/>
  <c r="D62" i="1" s="1"/>
  <c r="EJ224" i="10"/>
  <c r="CC224" i="10"/>
  <c r="U374" i="10"/>
  <c r="BP373" i="12"/>
  <c r="C386" i="1" s="1"/>
  <c r="EJ520" i="10"/>
  <c r="CC520" i="10"/>
  <c r="EH127" i="10"/>
  <c r="CA127" i="10"/>
  <c r="B451" i="1"/>
  <c r="D451" i="1" s="1"/>
  <c r="C451" i="1"/>
  <c r="EC439" i="10"/>
  <c r="ED439" i="10" s="1"/>
  <c r="BV439" i="10"/>
  <c r="BW439" i="10" s="1"/>
  <c r="BX439" i="10" s="1"/>
  <c r="BU439" i="10" s="1"/>
  <c r="P439" i="10"/>
  <c r="Q439" i="10" s="1"/>
  <c r="N439" i="10" s="1"/>
  <c r="M439" i="10"/>
  <c r="BU31" i="12"/>
  <c r="M32" i="10" s="1"/>
  <c r="R32" i="10"/>
  <c r="BL31" i="12"/>
  <c r="B44" i="1" s="1"/>
  <c r="D44" i="1" s="1"/>
  <c r="EJ203" i="10"/>
  <c r="CC203" i="10"/>
  <c r="EG358" i="10"/>
  <c r="BZ358" i="10"/>
  <c r="EJ44" i="10"/>
  <c r="CC44" i="10"/>
  <c r="EH194" i="10"/>
  <c r="CA194" i="10"/>
  <c r="EK488" i="10"/>
  <c r="CD488" i="10"/>
  <c r="B474" i="1"/>
  <c r="D474" i="1" s="1"/>
  <c r="C474" i="1"/>
  <c r="EC462" i="10"/>
  <c r="ED462" i="10" s="1"/>
  <c r="BV462" i="10"/>
  <c r="BW462" i="10" s="1"/>
  <c r="BX462" i="10" s="1"/>
  <c r="BU462" i="10" s="1"/>
  <c r="P462" i="10"/>
  <c r="Q462" i="10" s="1"/>
  <c r="N462" i="10" s="1"/>
  <c r="M462" i="10"/>
  <c r="BU523" i="12"/>
  <c r="M524" i="10" s="1"/>
  <c r="R524" i="10"/>
  <c r="BL523" i="12"/>
  <c r="B536" i="1" s="1"/>
  <c r="D536" i="1" s="1"/>
  <c r="EH66" i="10"/>
  <c r="CA66" i="10"/>
  <c r="CA470" i="10"/>
  <c r="EH470" i="10"/>
  <c r="EK19" i="10"/>
  <c r="CD19" i="10"/>
  <c r="BU82" i="12"/>
  <c r="M83" i="10" s="1"/>
  <c r="R83" i="10"/>
  <c r="BL82" i="12"/>
  <c r="B95" i="1" s="1"/>
  <c r="D95" i="1" s="1"/>
  <c r="CA148" i="10"/>
  <c r="EH148" i="10"/>
  <c r="C224" i="1"/>
  <c r="B224" i="1"/>
  <c r="D224" i="1" s="1"/>
  <c r="EC45" i="10"/>
  <c r="ED45" i="10" s="1"/>
  <c r="P45" i="10"/>
  <c r="Q45" i="10" s="1"/>
  <c r="N45" i="10" s="1"/>
  <c r="BV45" i="10"/>
  <c r="BW45" i="10" s="1"/>
  <c r="BX45" i="10" s="1"/>
  <c r="BU45" i="10" s="1"/>
  <c r="M45" i="10"/>
  <c r="EG109" i="10"/>
  <c r="BZ109" i="10"/>
  <c r="BU173" i="12"/>
  <c r="M174" i="10" s="1"/>
  <c r="R174" i="10"/>
  <c r="BL173" i="12"/>
  <c r="B186" i="1" s="1"/>
  <c r="D186" i="1" s="1"/>
  <c r="EH239" i="10"/>
  <c r="CA239" i="10"/>
  <c r="EG306" i="10"/>
  <c r="BZ306" i="10"/>
  <c r="CA370" i="10"/>
  <c r="EH370" i="10"/>
  <c r="BU433" i="12"/>
  <c r="M434" i="10" s="1"/>
  <c r="R434" i="10"/>
  <c r="BL433" i="12"/>
  <c r="B446" i="1" s="1"/>
  <c r="D446" i="1" s="1"/>
  <c r="B510" i="1"/>
  <c r="D510" i="1" s="1"/>
  <c r="C510" i="1"/>
  <c r="EC562" i="10"/>
  <c r="ED562" i="10" s="1"/>
  <c r="BV562" i="10"/>
  <c r="BW562" i="10" s="1"/>
  <c r="BX562" i="10" s="1"/>
  <c r="P562" i="10"/>
  <c r="Q562" i="10" s="1"/>
  <c r="N562" i="10" s="1"/>
  <c r="M562" i="10"/>
  <c r="EH60" i="10"/>
  <c r="CA60" i="10"/>
  <c r="U146" i="10"/>
  <c r="BP145" i="12"/>
  <c r="C158" i="1" s="1"/>
  <c r="EG233" i="10"/>
  <c r="BZ233" i="10"/>
  <c r="EK27" i="10"/>
  <c r="CD27" i="10"/>
  <c r="EJ91" i="10"/>
  <c r="CC91" i="10"/>
  <c r="EG156" i="10"/>
  <c r="BZ156" i="10"/>
  <c r="EC53" i="10"/>
  <c r="ED53" i="10" s="1"/>
  <c r="P53" i="10"/>
  <c r="Q53" i="10" s="1"/>
  <c r="N53" i="10" s="1"/>
  <c r="BV53" i="10"/>
  <c r="BW53" i="10" s="1"/>
  <c r="BX53" i="10" s="1"/>
  <c r="BU53" i="10" s="1"/>
  <c r="M53" i="10"/>
  <c r="EG117" i="10"/>
  <c r="BZ117" i="10"/>
  <c r="BU181" i="12"/>
  <c r="M182" i="10" s="1"/>
  <c r="R182" i="10"/>
  <c r="BL181" i="12"/>
  <c r="B194" i="1" s="1"/>
  <c r="D194" i="1" s="1"/>
  <c r="EH247" i="10"/>
  <c r="CA247" i="10"/>
  <c r="EG314" i="10"/>
  <c r="BZ314" i="10"/>
  <c r="BU377" i="12"/>
  <c r="M378" i="10" s="1"/>
  <c r="R378" i="10"/>
  <c r="BL377" i="12"/>
  <c r="B390" i="1" s="1"/>
  <c r="D390" i="1" s="1"/>
  <c r="EH442" i="10"/>
  <c r="CA442" i="10"/>
  <c r="B518" i="1"/>
  <c r="D518" i="1" s="1"/>
  <c r="C518" i="1"/>
  <c r="B18" i="1"/>
  <c r="D18" i="1" s="1"/>
  <c r="C18" i="1"/>
  <c r="EC6" i="10"/>
  <c r="ED6" i="10" s="1"/>
  <c r="P6" i="10"/>
  <c r="Q6" i="10" s="1"/>
  <c r="N6" i="10" s="1"/>
  <c r="BV6" i="10"/>
  <c r="BW6" i="10" s="1"/>
  <c r="BX6" i="10" s="1"/>
  <c r="BU6" i="10" s="1"/>
  <c r="M6" i="10"/>
  <c r="BU70" i="12"/>
  <c r="M71" i="10" s="1"/>
  <c r="R71" i="10"/>
  <c r="BL70" i="12"/>
  <c r="B83" i="1" s="1"/>
  <c r="D83" i="1" s="1"/>
  <c r="BU156" i="12"/>
  <c r="M157" i="10" s="1"/>
  <c r="R157" i="10"/>
  <c r="BL156" i="12"/>
  <c r="B169" i="1" s="1"/>
  <c r="D169" i="1" s="1"/>
  <c r="BU241" i="12"/>
  <c r="M242" i="10" s="1"/>
  <c r="R242" i="10"/>
  <c r="BL241" i="12"/>
  <c r="B254" i="1" s="1"/>
  <c r="D254" i="1" s="1"/>
  <c r="BU317" i="12"/>
  <c r="M318" i="10" s="1"/>
  <c r="R318" i="10"/>
  <c r="BL317" i="12"/>
  <c r="B330" i="1" s="1"/>
  <c r="D330" i="1" s="1"/>
  <c r="EK391" i="10"/>
  <c r="CD391" i="10"/>
  <c r="U464" i="10"/>
  <c r="BP463" i="12"/>
  <c r="C476" i="1" s="1"/>
  <c r="C549" i="1"/>
  <c r="B549" i="1"/>
  <c r="D549" i="1" s="1"/>
  <c r="B74" i="1"/>
  <c r="D74" i="1" s="1"/>
  <c r="C74" i="1"/>
  <c r="EC62" i="10"/>
  <c r="ED62" i="10" s="1"/>
  <c r="P62" i="10"/>
  <c r="Q62" i="10" s="1"/>
  <c r="N62" i="10" s="1"/>
  <c r="BV62" i="10"/>
  <c r="BW62" i="10" s="1"/>
  <c r="BX62" i="10" s="1"/>
  <c r="BU62" i="10" s="1"/>
  <c r="M62" i="10"/>
  <c r="EG147" i="10"/>
  <c r="BZ147" i="10"/>
  <c r="U234" i="10"/>
  <c r="BP233" i="12"/>
  <c r="C246" i="1" s="1"/>
  <c r="EG310" i="10"/>
  <c r="BZ310" i="10"/>
  <c r="CD383" i="10"/>
  <c r="EK383" i="10"/>
  <c r="CA456" i="10"/>
  <c r="EH456" i="10"/>
  <c r="CA529" i="10"/>
  <c r="EH529" i="10"/>
  <c r="C64" i="1"/>
  <c r="B64" i="1"/>
  <c r="D64" i="1" s="1"/>
  <c r="EC137" i="10"/>
  <c r="ED137" i="10" s="1"/>
  <c r="P137" i="10"/>
  <c r="Q137" i="10" s="1"/>
  <c r="N137" i="10" s="1"/>
  <c r="BV137" i="10"/>
  <c r="BW137" i="10" s="1"/>
  <c r="BX137" i="10" s="1"/>
  <c r="BU137" i="10" s="1"/>
  <c r="M137" i="10"/>
  <c r="BU224" i="12"/>
  <c r="M225" i="10" s="1"/>
  <c r="R225" i="10"/>
  <c r="BL224" i="12"/>
  <c r="B237" i="1" s="1"/>
  <c r="D237" i="1" s="1"/>
  <c r="EJ302" i="10"/>
  <c r="CC302" i="10"/>
  <c r="BU374" i="12"/>
  <c r="M375" i="10" s="1"/>
  <c r="R375" i="10"/>
  <c r="BL374" i="12"/>
  <c r="B387" i="1" s="1"/>
  <c r="D387" i="1" s="1"/>
  <c r="EG448" i="10"/>
  <c r="BZ448" i="10"/>
  <c r="EK521" i="10"/>
  <c r="CD521" i="10"/>
  <c r="EK42" i="10"/>
  <c r="CD42" i="10"/>
  <c r="B140" i="1"/>
  <c r="D140" i="1" s="1"/>
  <c r="C140" i="1"/>
  <c r="EC216" i="10"/>
  <c r="ED216" i="10" s="1"/>
  <c r="BV216" i="10"/>
  <c r="BW216" i="10" s="1"/>
  <c r="BX216" i="10" s="1"/>
  <c r="BU216" i="10" s="1"/>
  <c r="P216" i="10"/>
  <c r="Q216" i="10" s="1"/>
  <c r="N216" i="10" s="1"/>
  <c r="M216" i="10"/>
  <c r="BU293" i="12"/>
  <c r="M294" i="10" s="1"/>
  <c r="R294" i="10"/>
  <c r="BL293" i="12"/>
  <c r="B306" i="1" s="1"/>
  <c r="D306" i="1" s="1"/>
  <c r="EJ367" i="10"/>
  <c r="CC367" i="10"/>
  <c r="EJ440" i="10"/>
  <c r="CC440" i="10"/>
  <c r="EG55" i="10"/>
  <c r="BZ55" i="10"/>
  <c r="EJ12" i="10"/>
  <c r="CC12" i="10"/>
  <c r="EH217" i="10"/>
  <c r="CA217" i="10"/>
  <c r="C380" i="1"/>
  <c r="B380" i="1"/>
  <c r="D380" i="1" s="1"/>
  <c r="C516" i="1"/>
  <c r="B516" i="1"/>
  <c r="D516" i="1" s="1"/>
  <c r="EC504" i="10"/>
  <c r="ED504" i="10" s="1"/>
  <c r="P504" i="10"/>
  <c r="Q504" i="10" s="1"/>
  <c r="N504" i="10" s="1"/>
  <c r="BV504" i="10"/>
  <c r="BW504" i="10" s="1"/>
  <c r="BX504" i="10" s="1"/>
  <c r="BU504" i="10" s="1"/>
  <c r="M504" i="10"/>
  <c r="U100" i="10"/>
  <c r="BP99" i="12"/>
  <c r="C112" i="1" s="1"/>
  <c r="U277" i="10"/>
  <c r="BP276" i="12"/>
  <c r="C289" i="1" s="1"/>
  <c r="EJ424" i="10"/>
  <c r="CC424" i="10"/>
  <c r="U550" i="10"/>
  <c r="BP549" i="12"/>
  <c r="C562" i="1" s="1"/>
  <c r="BU175" i="12"/>
  <c r="M176" i="10" s="1"/>
  <c r="R176" i="10"/>
  <c r="BL175" i="12"/>
  <c r="B188" i="1" s="1"/>
  <c r="D188" i="1" s="1"/>
  <c r="BU333" i="12"/>
  <c r="M334" i="10" s="1"/>
  <c r="R334" i="10"/>
  <c r="BL333" i="12"/>
  <c r="B346" i="1" s="1"/>
  <c r="D346" i="1" s="1"/>
  <c r="B490" i="1"/>
  <c r="D490" i="1" s="1"/>
  <c r="C490" i="1"/>
  <c r="EC79" i="10"/>
  <c r="ED79" i="10" s="1"/>
  <c r="BV79" i="10"/>
  <c r="BW79" i="10" s="1"/>
  <c r="BX79" i="10" s="1"/>
  <c r="BU79" i="10" s="1"/>
  <c r="P79" i="10"/>
  <c r="Q79" i="10" s="1"/>
  <c r="N79" i="10" s="1"/>
  <c r="M79" i="10"/>
  <c r="EG260" i="10"/>
  <c r="BZ260" i="10"/>
  <c r="EK408" i="10"/>
  <c r="CD408" i="10"/>
  <c r="CA536" i="10"/>
  <c r="EH536" i="10"/>
  <c r="EG184" i="10"/>
  <c r="BZ184" i="10"/>
  <c r="EG341" i="10"/>
  <c r="BZ341" i="10"/>
  <c r="U480" i="10"/>
  <c r="BP479" i="12"/>
  <c r="C492" i="1" s="1"/>
  <c r="B156" i="1"/>
  <c r="D156" i="1" s="1"/>
  <c r="C156" i="1"/>
  <c r="EC532" i="10"/>
  <c r="ED532" i="10" s="1"/>
  <c r="P532" i="10"/>
  <c r="Q532" i="10" s="1"/>
  <c r="N532" i="10" s="1"/>
  <c r="BV532" i="10"/>
  <c r="BW532" i="10" s="1"/>
  <c r="BX532" i="10" s="1"/>
  <c r="BU532" i="10" s="1"/>
  <c r="M532" i="10"/>
  <c r="U415" i="10"/>
  <c r="BP414" i="12"/>
  <c r="C427" i="1" s="1"/>
  <c r="EG269" i="10"/>
  <c r="BZ269" i="10"/>
  <c r="EG90" i="10"/>
  <c r="BZ90" i="10"/>
  <c r="BZ513" i="10"/>
  <c r="EG513" i="10"/>
  <c r="EK380" i="10"/>
  <c r="CD380" i="10"/>
  <c r="EK526" i="10"/>
  <c r="CD526" i="10"/>
  <c r="EC481" i="10"/>
  <c r="ED481" i="10" s="1"/>
  <c r="BV481" i="10"/>
  <c r="BW481" i="10" s="1"/>
  <c r="BX481" i="10" s="1"/>
  <c r="BU481" i="10" s="1"/>
  <c r="P481" i="10"/>
  <c r="Q481" i="10" s="1"/>
  <c r="N481" i="10" s="1"/>
  <c r="M481" i="10"/>
  <c r="BU248" i="12"/>
  <c r="M249" i="10" s="1"/>
  <c r="R249" i="10"/>
  <c r="BL248" i="12"/>
  <c r="B261" i="1" s="1"/>
  <c r="D261" i="1" s="1"/>
  <c r="BU196" i="12"/>
  <c r="M197" i="10" s="1"/>
  <c r="R197" i="10"/>
  <c r="BL196" i="12"/>
  <c r="B209" i="1" s="1"/>
  <c r="D209" i="1" s="1"/>
  <c r="BU351" i="12"/>
  <c r="M352" i="10" s="1"/>
  <c r="R352" i="10"/>
  <c r="BL351" i="12"/>
  <c r="B364" i="1" s="1"/>
  <c r="D364" i="1" s="1"/>
  <c r="BU490" i="12"/>
  <c r="M491" i="10" s="1"/>
  <c r="R491" i="10"/>
  <c r="BL490" i="12"/>
  <c r="B503" i="1" s="1"/>
  <c r="D503" i="1" s="1"/>
  <c r="EH110" i="10"/>
  <c r="CA110" i="10"/>
  <c r="BU278" i="12"/>
  <c r="M279" i="10" s="1"/>
  <c r="R279" i="10"/>
  <c r="BL278" i="12"/>
  <c r="B291" i="1" s="1"/>
  <c r="D291" i="1" s="1"/>
  <c r="CA552" i="10"/>
  <c r="EH552" i="10"/>
  <c r="EC552" i="10"/>
  <c r="ED552" i="10" s="1"/>
  <c r="BV552" i="10"/>
  <c r="BW552" i="10" s="1"/>
  <c r="BX552" i="10" s="1"/>
  <c r="BU552" i="10" s="1"/>
  <c r="P552" i="10"/>
  <c r="Q552" i="10" s="1"/>
  <c r="N552" i="10" s="1"/>
  <c r="M552" i="10"/>
  <c r="U205" i="10"/>
  <c r="BP204" i="12"/>
  <c r="C217" i="1" s="1"/>
  <c r="EJ359" i="10"/>
  <c r="CC359" i="10"/>
  <c r="EJ496" i="10"/>
  <c r="CC496" i="10"/>
  <c r="EJ207" i="10"/>
  <c r="CC207" i="10"/>
  <c r="EJ213" i="10"/>
  <c r="CC213" i="10"/>
  <c r="EG324" i="10"/>
  <c r="BZ324" i="10"/>
  <c r="C177" i="1"/>
  <c r="B177" i="1"/>
  <c r="D177" i="1" s="1"/>
  <c r="B445" i="1"/>
  <c r="D445" i="1" s="1"/>
  <c r="C445" i="1"/>
  <c r="EC433" i="10"/>
  <c r="ED433" i="10" s="1"/>
  <c r="BV433" i="10"/>
  <c r="BW433" i="10" s="1"/>
  <c r="BX433" i="10" s="1"/>
  <c r="BU433" i="10" s="1"/>
  <c r="P433" i="10"/>
  <c r="Q433" i="10" s="1"/>
  <c r="N433" i="10" s="1"/>
  <c r="M433" i="10"/>
  <c r="U186" i="10"/>
  <c r="BP185" i="12"/>
  <c r="C198" i="1" s="1"/>
  <c r="EG344" i="10"/>
  <c r="BZ344" i="10"/>
  <c r="EJ232" i="10"/>
  <c r="CC232" i="10"/>
  <c r="EK35" i="10"/>
  <c r="CD35" i="10"/>
  <c r="EJ99" i="10"/>
  <c r="CC99" i="10"/>
  <c r="EG164" i="10"/>
  <c r="BZ164" i="10"/>
  <c r="B241" i="1"/>
  <c r="D241" i="1" s="1"/>
  <c r="C241" i="1"/>
  <c r="EC61" i="10"/>
  <c r="ED61" i="10" s="1"/>
  <c r="P61" i="10"/>
  <c r="Q61" i="10" s="1"/>
  <c r="N61" i="10" s="1"/>
  <c r="BV61" i="10"/>
  <c r="BW61" i="10" s="1"/>
  <c r="BX61" i="10" s="1"/>
  <c r="BU61" i="10" s="1"/>
  <c r="M61" i="10"/>
  <c r="BU124" i="12"/>
  <c r="M125" i="10" s="1"/>
  <c r="R125" i="10"/>
  <c r="BL124" i="12"/>
  <c r="B137" i="1" s="1"/>
  <c r="D137" i="1" s="1"/>
  <c r="EK190" i="10"/>
  <c r="CD190" i="10"/>
  <c r="EJ256" i="10"/>
  <c r="CC256" i="10"/>
  <c r="EH322" i="10"/>
  <c r="CA322" i="10"/>
  <c r="EG386" i="10"/>
  <c r="BZ386" i="10"/>
  <c r="BU449" i="12"/>
  <c r="M450" i="10" s="1"/>
  <c r="R450" i="10"/>
  <c r="BL449" i="12"/>
  <c r="B462" i="1" s="1"/>
  <c r="D462" i="1" s="1"/>
  <c r="B526" i="1"/>
  <c r="D526" i="1" s="1"/>
  <c r="C526" i="1"/>
  <c r="EC14" i="10"/>
  <c r="ED14" i="10" s="1"/>
  <c r="P14" i="10"/>
  <c r="Q14" i="10" s="1"/>
  <c r="N14" i="10" s="1"/>
  <c r="BV14" i="10"/>
  <c r="BW14" i="10" s="1"/>
  <c r="BX14" i="10" s="1"/>
  <c r="BU14" i="10" s="1"/>
  <c r="M14" i="10"/>
  <c r="EH81" i="10"/>
  <c r="CA81" i="10"/>
  <c r="U168" i="10"/>
  <c r="BP167" i="12"/>
  <c r="C180" i="1" s="1"/>
  <c r="EH252" i="10"/>
  <c r="CA252" i="10"/>
  <c r="EK327" i="10"/>
  <c r="CD327" i="10"/>
  <c r="EJ400" i="10"/>
  <c r="CC400" i="10"/>
  <c r="EJ473" i="10"/>
  <c r="CC473" i="10"/>
  <c r="B559" i="1"/>
  <c r="D559" i="1" s="1"/>
  <c r="C559" i="1"/>
  <c r="EC72" i="10"/>
  <c r="ED72" i="10" s="1"/>
  <c r="BV72" i="10"/>
  <c r="BW72" i="10" s="1"/>
  <c r="BX72" i="10" s="1"/>
  <c r="BU72" i="10" s="1"/>
  <c r="P72" i="10"/>
  <c r="Q72" i="10" s="1"/>
  <c r="N72" i="10" s="1"/>
  <c r="M72" i="10"/>
  <c r="EH159" i="10"/>
  <c r="CA159" i="10"/>
  <c r="BU242" i="12"/>
  <c r="M243" i="10" s="1"/>
  <c r="R243" i="10"/>
  <c r="BL242" i="12"/>
  <c r="B255" i="1" s="1"/>
  <c r="D255" i="1" s="1"/>
  <c r="EG319" i="10"/>
  <c r="BZ319" i="10"/>
  <c r="U392" i="10"/>
  <c r="BP391" i="12"/>
  <c r="C404" i="1" s="1"/>
  <c r="U465" i="10"/>
  <c r="BP464" i="12"/>
  <c r="C477" i="1" s="1"/>
  <c r="EK539" i="10"/>
  <c r="CD539" i="10"/>
  <c r="B75" i="1"/>
  <c r="D75" i="1" s="1"/>
  <c r="C75" i="1"/>
  <c r="EC149" i="10"/>
  <c r="ED149" i="10" s="1"/>
  <c r="P149" i="10"/>
  <c r="Q149" i="10" s="1"/>
  <c r="N149" i="10" s="1"/>
  <c r="BV149" i="10"/>
  <c r="BW149" i="10" s="1"/>
  <c r="BX149" i="10" s="1"/>
  <c r="BU149" i="10" s="1"/>
  <c r="M149" i="10"/>
  <c r="U235" i="10"/>
  <c r="BP234" i="12"/>
  <c r="C247" i="1" s="1"/>
  <c r="U311" i="10"/>
  <c r="BP310" i="12"/>
  <c r="C323" i="1" s="1"/>
  <c r="EJ384" i="10"/>
  <c r="CC384" i="10"/>
  <c r="BU456" i="12"/>
  <c r="M457" i="10" s="1"/>
  <c r="R457" i="10"/>
  <c r="BL456" i="12"/>
  <c r="B469" i="1" s="1"/>
  <c r="D469" i="1" s="1"/>
  <c r="BU530" i="12"/>
  <c r="M531" i="10" s="1"/>
  <c r="R531" i="10"/>
  <c r="BL530" i="12"/>
  <c r="B543" i="1" s="1"/>
  <c r="D543" i="1" s="1"/>
  <c r="U54" i="10"/>
  <c r="BP53" i="12"/>
  <c r="C66" i="1" s="1"/>
  <c r="EH138" i="10"/>
  <c r="CA138" i="10"/>
  <c r="EC226" i="10"/>
  <c r="ED226" i="10" s="1"/>
  <c r="BV226" i="10"/>
  <c r="BW226" i="10" s="1"/>
  <c r="BX226" i="10" s="1"/>
  <c r="BU226" i="10" s="1"/>
  <c r="P226" i="10"/>
  <c r="Q226" i="10" s="1"/>
  <c r="N226" i="10" s="1"/>
  <c r="M226" i="10"/>
  <c r="EG303" i="10"/>
  <c r="BZ303" i="10"/>
  <c r="BU375" i="12"/>
  <c r="M376" i="10" s="1"/>
  <c r="R376" i="10"/>
  <c r="BL375" i="12"/>
  <c r="B388" i="1" s="1"/>
  <c r="D388" i="1" s="1"/>
  <c r="EJ449" i="10"/>
  <c r="CC449" i="10"/>
  <c r="EG65" i="10"/>
  <c r="BZ65" i="10"/>
  <c r="EJ38" i="10"/>
  <c r="CC38" i="10"/>
  <c r="U237" i="10"/>
  <c r="BP236" i="12"/>
  <c r="C249" i="1" s="1"/>
  <c r="C399" i="1"/>
  <c r="B399" i="1"/>
  <c r="D399" i="1" s="1"/>
  <c r="C529" i="1"/>
  <c r="B529" i="1"/>
  <c r="D529" i="1" s="1"/>
  <c r="EC517" i="10"/>
  <c r="ED517" i="10" s="1"/>
  <c r="BV517" i="10"/>
  <c r="BW517" i="10" s="1"/>
  <c r="BX517" i="10" s="1"/>
  <c r="BU517" i="10" s="1"/>
  <c r="P517" i="10"/>
  <c r="Q517" i="10" s="1"/>
  <c r="N517" i="10" s="1"/>
  <c r="M517" i="10"/>
  <c r="BU129" i="12"/>
  <c r="M130" i="10" s="1"/>
  <c r="R130" i="10"/>
  <c r="BL129" i="12"/>
  <c r="B142" i="1" s="1"/>
  <c r="D142" i="1" s="1"/>
  <c r="BU295" i="12"/>
  <c r="M296" i="10" s="1"/>
  <c r="R296" i="10"/>
  <c r="BL295" i="12"/>
  <c r="B308" i="1" s="1"/>
  <c r="D308" i="1" s="1"/>
  <c r="U443" i="10"/>
  <c r="BP442" i="12"/>
  <c r="C455" i="1" s="1"/>
  <c r="EJ563" i="10"/>
  <c r="CC563" i="10"/>
  <c r="EJ454" i="10"/>
  <c r="CC454" i="10"/>
  <c r="U544" i="10"/>
  <c r="BP543" i="12"/>
  <c r="C556" i="1" s="1"/>
  <c r="C154" i="1"/>
  <c r="B154" i="1"/>
  <c r="D154" i="1" s="1"/>
  <c r="EC120" i="10"/>
  <c r="ED120" i="10" s="1"/>
  <c r="BV120" i="10"/>
  <c r="BW120" i="10" s="1"/>
  <c r="BX120" i="10" s="1"/>
  <c r="BU120" i="10" s="1"/>
  <c r="P120" i="10"/>
  <c r="Q120" i="10" s="1"/>
  <c r="N120" i="10" s="1"/>
  <c r="M120" i="10"/>
  <c r="EH398" i="10"/>
  <c r="CA398" i="10"/>
  <c r="EK43" i="10"/>
  <c r="CD43" i="10"/>
  <c r="EK107" i="10"/>
  <c r="CD107" i="10"/>
  <c r="EK172" i="10"/>
  <c r="CD172" i="10"/>
  <c r="U5" i="10"/>
  <c r="BP4" i="12"/>
  <c r="C17" i="1" s="1"/>
  <c r="EK69" i="10"/>
  <c r="CD69" i="10"/>
  <c r="C145" i="1"/>
  <c r="B145" i="1"/>
  <c r="D145" i="1" s="1"/>
  <c r="EC198" i="10"/>
  <c r="ED198" i="10" s="1"/>
  <c r="P198" i="10"/>
  <c r="Q198" i="10" s="1"/>
  <c r="N198" i="10" s="1"/>
  <c r="BV198" i="10"/>
  <c r="BW198" i="10" s="1"/>
  <c r="BX198" i="10" s="1"/>
  <c r="BU198" i="10" s="1"/>
  <c r="M198" i="10"/>
  <c r="U264" i="10"/>
  <c r="BP263" i="12"/>
  <c r="C276" i="1" s="1"/>
  <c r="BU329" i="12"/>
  <c r="M330" i="10" s="1"/>
  <c r="R330" i="10"/>
  <c r="BL329" i="12"/>
  <c r="B342" i="1" s="1"/>
  <c r="D342" i="1" s="1"/>
  <c r="EK394" i="10"/>
  <c r="CD394" i="10"/>
  <c r="EG458" i="10"/>
  <c r="BZ458" i="10"/>
  <c r="EJ522" i="10"/>
  <c r="CC522" i="10"/>
  <c r="EH4" i="10"/>
  <c r="CA4" i="10"/>
  <c r="B104" i="1"/>
  <c r="D104" i="1" s="1"/>
  <c r="C104" i="1"/>
  <c r="EC178" i="10"/>
  <c r="ED178" i="10" s="1"/>
  <c r="P178" i="10"/>
  <c r="Q178" i="10" s="1"/>
  <c r="N178" i="10" s="1"/>
  <c r="BV178" i="10"/>
  <c r="BW178" i="10" s="1"/>
  <c r="BX178" i="10" s="1"/>
  <c r="BU178" i="10" s="1"/>
  <c r="M178" i="10"/>
  <c r="EH261" i="10"/>
  <c r="CA261" i="10"/>
  <c r="CC336" i="10"/>
  <c r="EJ336" i="10"/>
  <c r="EK409" i="10"/>
  <c r="CD409" i="10"/>
  <c r="EK483" i="10"/>
  <c r="CD483" i="10"/>
  <c r="EH556" i="10"/>
  <c r="CA556" i="10"/>
  <c r="EH82" i="10"/>
  <c r="CA82" i="10"/>
  <c r="C181" i="1"/>
  <c r="B181" i="1"/>
  <c r="D181" i="1" s="1"/>
  <c r="EC253" i="10"/>
  <c r="ED253" i="10" s="1"/>
  <c r="P253" i="10"/>
  <c r="Q253" i="10" s="1"/>
  <c r="N253" i="10" s="1"/>
  <c r="BV253" i="10"/>
  <c r="BW253" i="10" s="1"/>
  <c r="BX253" i="10" s="1"/>
  <c r="BU253" i="10" s="1"/>
  <c r="M253" i="10"/>
  <c r="BU327" i="12"/>
  <c r="M328" i="10" s="1"/>
  <c r="R328" i="10"/>
  <c r="BL327" i="12"/>
  <c r="B340" i="1" s="1"/>
  <c r="D340" i="1" s="1"/>
  <c r="EJ401" i="10"/>
  <c r="CC401" i="10"/>
  <c r="EG475" i="10"/>
  <c r="BZ475" i="10"/>
  <c r="EG548" i="10"/>
  <c r="BZ548" i="10"/>
  <c r="EG73" i="10"/>
  <c r="BZ73" i="10"/>
  <c r="EH160" i="10"/>
  <c r="CA160" i="10"/>
  <c r="C256" i="1"/>
  <c r="B256" i="1"/>
  <c r="D256" i="1" s="1"/>
  <c r="EC320" i="10"/>
  <c r="ED320" i="10" s="1"/>
  <c r="P320" i="10"/>
  <c r="Q320" i="10" s="1"/>
  <c r="N320" i="10" s="1"/>
  <c r="BV320" i="10"/>
  <c r="BW320" i="10" s="1"/>
  <c r="BX320" i="10" s="1"/>
  <c r="BU320" i="10" s="1"/>
  <c r="M320" i="10"/>
  <c r="EH393" i="10"/>
  <c r="CA393" i="10"/>
  <c r="EJ467" i="10"/>
  <c r="CC467" i="10"/>
  <c r="EJ540" i="10"/>
  <c r="CC540" i="10"/>
  <c r="BU63" i="12"/>
  <c r="M64" i="10" s="1"/>
  <c r="R64" i="10"/>
  <c r="BL63" i="12"/>
  <c r="B76" i="1" s="1"/>
  <c r="D76" i="1" s="1"/>
  <c r="EG151" i="10"/>
  <c r="BZ151" i="10"/>
  <c r="EK236" i="10"/>
  <c r="CD236" i="10"/>
  <c r="B324" i="1"/>
  <c r="D324" i="1" s="1"/>
  <c r="C324" i="1"/>
  <c r="C397" i="1"/>
  <c r="B397" i="1"/>
  <c r="D397" i="1" s="1"/>
  <c r="EC385" i="10"/>
  <c r="ED385" i="10" s="1"/>
  <c r="BV385" i="10"/>
  <c r="BW385" i="10" s="1"/>
  <c r="BX385" i="10" s="1"/>
  <c r="BU385" i="10" s="1"/>
  <c r="P385" i="10"/>
  <c r="Q385" i="10" s="1"/>
  <c r="N385" i="10" s="1"/>
  <c r="M385" i="10"/>
  <c r="BU458" i="12"/>
  <c r="M459" i="10" s="1"/>
  <c r="R459" i="10"/>
  <c r="BL458" i="12"/>
  <c r="B471" i="1" s="1"/>
  <c r="D471" i="1" s="1"/>
  <c r="U76" i="10"/>
  <c r="BP75" i="12"/>
  <c r="C88" i="1" s="1"/>
  <c r="U68" i="10"/>
  <c r="BP67" i="12"/>
  <c r="C80" i="1" s="1"/>
  <c r="EK257" i="10"/>
  <c r="CD257" i="10"/>
  <c r="EH405" i="10"/>
  <c r="CA405" i="10"/>
  <c r="U533" i="10"/>
  <c r="BP532" i="12"/>
  <c r="C545" i="1" s="1"/>
  <c r="B165" i="1"/>
  <c r="D165" i="1" s="1"/>
  <c r="C165" i="1"/>
  <c r="EC315" i="10"/>
  <c r="ED315" i="10" s="1"/>
  <c r="P315" i="10"/>
  <c r="Q315" i="10" s="1"/>
  <c r="N315" i="10" s="1"/>
  <c r="BV315" i="10"/>
  <c r="BW315" i="10" s="1"/>
  <c r="BX315" i="10" s="1"/>
  <c r="BU315" i="10" s="1"/>
  <c r="M315" i="10"/>
  <c r="U461" i="10"/>
  <c r="BP460" i="12"/>
  <c r="C473" i="1" s="1"/>
  <c r="U16" i="10"/>
  <c r="BP15" i="12"/>
  <c r="C28" i="1" s="1"/>
  <c r="EJ219" i="10"/>
  <c r="CC219" i="10"/>
  <c r="BU370" i="12"/>
  <c r="M371" i="10" s="1"/>
  <c r="R371" i="10"/>
  <c r="BL370" i="12"/>
  <c r="B383" i="1" s="1"/>
  <c r="D383" i="1" s="1"/>
  <c r="EJ507" i="10"/>
  <c r="CC507" i="10"/>
  <c r="EH134" i="10"/>
  <c r="CA134" i="10"/>
  <c r="B311" i="1"/>
  <c r="D311" i="1" s="1"/>
  <c r="C311" i="1"/>
  <c r="C457" i="1"/>
  <c r="B457" i="1"/>
  <c r="D457" i="1" s="1"/>
  <c r="EC445" i="10"/>
  <c r="ED445" i="10" s="1"/>
  <c r="BV445" i="10"/>
  <c r="BW445" i="10" s="1"/>
  <c r="BX445" i="10" s="1"/>
  <c r="BU445" i="10" s="1"/>
  <c r="P445" i="10"/>
  <c r="Q445" i="10" s="1"/>
  <c r="N445" i="10" s="1"/>
  <c r="M445" i="10"/>
  <c r="EG25" i="10"/>
  <c r="BZ25" i="10"/>
  <c r="EJ227" i="10"/>
  <c r="CC227" i="10"/>
  <c r="U377" i="10"/>
  <c r="BP376" i="12"/>
  <c r="C389" i="1" s="1"/>
  <c r="BU508" i="12"/>
  <c r="M509" i="10" s="1"/>
  <c r="R509" i="10"/>
  <c r="BL508" i="12"/>
  <c r="B521" i="1" s="1"/>
  <c r="D521" i="1" s="1"/>
  <c r="EK251" i="10"/>
  <c r="CD251" i="10"/>
  <c r="EJ88" i="10"/>
  <c r="CC88" i="10"/>
  <c r="EC363" i="10"/>
  <c r="ED363" i="10" s="1"/>
  <c r="P363" i="10"/>
  <c r="Q363" i="10" s="1"/>
  <c r="N363" i="10" s="1"/>
  <c r="BV363" i="10"/>
  <c r="BW363" i="10" s="1"/>
  <c r="BX363" i="10" s="1"/>
  <c r="BU363" i="10" s="1"/>
  <c r="M363" i="10"/>
  <c r="EG228" i="10"/>
  <c r="BZ228" i="10"/>
  <c r="BU33" i="12"/>
  <c r="M34" i="10" s="1"/>
  <c r="R34" i="10"/>
  <c r="BL33" i="12"/>
  <c r="B46" i="1" s="1"/>
  <c r="D46" i="1" s="1"/>
  <c r="EK471" i="10"/>
  <c r="CD471" i="10"/>
  <c r="U289" i="10"/>
  <c r="BP288" i="12"/>
  <c r="C301" i="1" s="1"/>
  <c r="BU341" i="12"/>
  <c r="M342" i="10" s="1"/>
  <c r="R342" i="10"/>
  <c r="BL341" i="12"/>
  <c r="B354" i="1" s="1"/>
  <c r="D354" i="1" s="1"/>
  <c r="BU249" i="12"/>
  <c r="M250" i="10" s="1"/>
  <c r="R250" i="10"/>
  <c r="BL249" i="12"/>
  <c r="B262" i="1" s="1"/>
  <c r="D262" i="1" s="1"/>
  <c r="B393" i="1"/>
  <c r="D393" i="1" s="1"/>
  <c r="C393" i="1"/>
  <c r="B279" i="1"/>
  <c r="D279" i="1" s="1"/>
  <c r="C279" i="1"/>
  <c r="EC267" i="10"/>
  <c r="ED267" i="10" s="1"/>
  <c r="P267" i="10"/>
  <c r="Q267" i="10" s="1"/>
  <c r="N267" i="10" s="1"/>
  <c r="BV267" i="10"/>
  <c r="BW267" i="10" s="1"/>
  <c r="BX267" i="10" s="1"/>
  <c r="BU267" i="10" s="1"/>
  <c r="M267" i="10"/>
  <c r="BU207" i="12"/>
  <c r="M208" i="10" s="1"/>
  <c r="R208" i="10"/>
  <c r="BL207" i="12"/>
  <c r="B220" i="1" s="1"/>
  <c r="D220" i="1" s="1"/>
  <c r="BU324" i="12"/>
  <c r="M325" i="10" s="1"/>
  <c r="R325" i="10"/>
  <c r="BL324" i="12"/>
  <c r="B337" i="1" s="1"/>
  <c r="D337" i="1" s="1"/>
  <c r="EG527" i="10"/>
  <c r="BZ527" i="10"/>
  <c r="EK487" i="10"/>
  <c r="CD487" i="10"/>
  <c r="U316" i="10"/>
  <c r="BP315" i="12"/>
  <c r="C328" i="1" s="1"/>
  <c r="EG162" i="10"/>
  <c r="BZ162" i="10"/>
  <c r="B373" i="1"/>
  <c r="D373" i="1" s="1"/>
  <c r="C373" i="1"/>
  <c r="EC326" i="10"/>
  <c r="ED326" i="10" s="1"/>
  <c r="BV326" i="10"/>
  <c r="BW326" i="10" s="1"/>
  <c r="BX326" i="10" s="1"/>
  <c r="BU326" i="10" s="1"/>
  <c r="P326" i="10"/>
  <c r="Q326" i="10" s="1"/>
  <c r="N326" i="10" s="1"/>
  <c r="M326" i="10"/>
  <c r="EG51" i="10"/>
  <c r="BZ51" i="10"/>
  <c r="U115" i="10"/>
  <c r="BP114" i="12"/>
  <c r="C127" i="1" s="1"/>
  <c r="EG180" i="10"/>
  <c r="BZ180" i="10"/>
  <c r="EG13" i="10"/>
  <c r="BZ13" i="10"/>
  <c r="EH77" i="10"/>
  <c r="CA77" i="10"/>
  <c r="EH141" i="10"/>
  <c r="CA141" i="10"/>
  <c r="EC273" i="10"/>
  <c r="ED273" i="10" s="1"/>
  <c r="P273" i="10"/>
  <c r="Q273" i="10" s="1"/>
  <c r="N273" i="10" s="1"/>
  <c r="BV273" i="10"/>
  <c r="BW273" i="10" s="1"/>
  <c r="BX273" i="10" s="1"/>
  <c r="BU273" i="10" s="1"/>
  <c r="M273" i="10"/>
  <c r="U338" i="10"/>
  <c r="BP337" i="12"/>
  <c r="C350" i="1" s="1"/>
  <c r="EJ402" i="10"/>
  <c r="CC402" i="10"/>
  <c r="EJ466" i="10"/>
  <c r="CC466" i="10"/>
  <c r="BU529" i="12"/>
  <c r="M530" i="10" s="1"/>
  <c r="R530" i="10"/>
  <c r="BL529" i="12"/>
  <c r="B542" i="1" s="1"/>
  <c r="D542" i="1" s="1"/>
  <c r="BU16" i="12"/>
  <c r="M17" i="10" s="1"/>
  <c r="R17" i="10"/>
  <c r="BL16" i="12"/>
  <c r="B29" i="1" s="1"/>
  <c r="D29" i="1" s="1"/>
  <c r="EH103" i="10"/>
  <c r="CA103" i="10"/>
  <c r="EC271" i="10"/>
  <c r="ED271" i="10" s="1"/>
  <c r="BV271" i="10"/>
  <c r="BW271" i="10" s="1"/>
  <c r="BX271" i="10" s="1"/>
  <c r="BU271" i="10" s="1"/>
  <c r="P271" i="10"/>
  <c r="Q271" i="10" s="1"/>
  <c r="N271" i="10" s="1"/>
  <c r="M271" i="10"/>
  <c r="U345" i="10"/>
  <c r="BP344" i="12"/>
  <c r="C357" i="1" s="1"/>
  <c r="BU418" i="12"/>
  <c r="M419" i="10" s="1"/>
  <c r="R419" i="10"/>
  <c r="BL418" i="12"/>
  <c r="B431" i="1" s="1"/>
  <c r="D431" i="1" s="1"/>
  <c r="EG492" i="10"/>
  <c r="BZ492" i="10"/>
  <c r="EK7" i="10"/>
  <c r="CD7" i="10"/>
  <c r="BU93" i="12"/>
  <c r="M94" i="10" s="1"/>
  <c r="R94" i="10"/>
  <c r="BL93" i="12"/>
  <c r="B106" i="1" s="1"/>
  <c r="D106" i="1" s="1"/>
  <c r="EG179" i="10"/>
  <c r="BZ179" i="10"/>
  <c r="C274" i="1"/>
  <c r="B274" i="1"/>
  <c r="D274" i="1" s="1"/>
  <c r="B349" i="1"/>
  <c r="D349" i="1" s="1"/>
  <c r="C349" i="1"/>
  <c r="EC337" i="10"/>
  <c r="ED337" i="10" s="1"/>
  <c r="BV337" i="10"/>
  <c r="BW337" i="10" s="1"/>
  <c r="BX337" i="10" s="1"/>
  <c r="BU337" i="10" s="1"/>
  <c r="P337" i="10"/>
  <c r="Q337" i="10" s="1"/>
  <c r="N337" i="10" s="1"/>
  <c r="M337" i="10"/>
  <c r="EG411" i="10"/>
  <c r="BZ411" i="10"/>
  <c r="U484" i="10"/>
  <c r="BP483" i="12"/>
  <c r="C496" i="1" s="1"/>
  <c r="EG557" i="10"/>
  <c r="BZ557" i="10"/>
  <c r="EK84" i="10"/>
  <c r="CD84" i="10"/>
  <c r="EJ170" i="10"/>
  <c r="CC170" i="10"/>
  <c r="U254" i="10"/>
  <c r="BP253" i="12"/>
  <c r="C266" i="1" s="1"/>
  <c r="B341" i="1"/>
  <c r="D341" i="1" s="1"/>
  <c r="C341" i="1"/>
  <c r="B415" i="1"/>
  <c r="D415" i="1" s="1"/>
  <c r="C415" i="1"/>
  <c r="EC403" i="10"/>
  <c r="ED403" i="10" s="1"/>
  <c r="P403" i="10"/>
  <c r="Q403" i="10" s="1"/>
  <c r="N403" i="10" s="1"/>
  <c r="BV403" i="10"/>
  <c r="BW403" i="10" s="1"/>
  <c r="BX403" i="10" s="1"/>
  <c r="BU403" i="10" s="1"/>
  <c r="M403" i="10"/>
  <c r="EH476" i="10"/>
  <c r="CA476" i="10"/>
  <c r="BU548" i="12"/>
  <c r="M549" i="10" s="1"/>
  <c r="R549" i="10"/>
  <c r="BL548" i="12"/>
  <c r="B561" i="1" s="1"/>
  <c r="D561" i="1" s="1"/>
  <c r="EG74" i="10"/>
  <c r="BZ74" i="10"/>
  <c r="U161" i="10"/>
  <c r="BP160" i="12"/>
  <c r="C173" i="1" s="1"/>
  <c r="EJ245" i="10"/>
  <c r="CC245" i="10"/>
  <c r="U321" i="10"/>
  <c r="BP320" i="12"/>
  <c r="C333" i="1" s="1"/>
  <c r="B407" i="1"/>
  <c r="D407" i="1" s="1"/>
  <c r="C407" i="1"/>
  <c r="EC283" i="10"/>
  <c r="ED283" i="10" s="1"/>
  <c r="P283" i="10"/>
  <c r="Q283" i="10" s="1"/>
  <c r="BV283" i="10"/>
  <c r="BW283" i="10" s="1"/>
  <c r="BX283" i="10" s="1"/>
  <c r="BU283" i="10" s="1"/>
  <c r="M283" i="10"/>
  <c r="BU86" i="12"/>
  <c r="M87" i="10" s="1"/>
  <c r="R87" i="10"/>
  <c r="BL86" i="12"/>
  <c r="B99" i="1" s="1"/>
  <c r="D99" i="1" s="1"/>
  <c r="EG98" i="10"/>
  <c r="BZ98" i="10"/>
  <c r="BU275" i="12"/>
  <c r="M276" i="10" s="1"/>
  <c r="R276" i="10"/>
  <c r="BL275" i="12"/>
  <c r="B288" i="1" s="1"/>
  <c r="D288" i="1" s="1"/>
  <c r="BU422" i="12"/>
  <c r="M423" i="10" s="1"/>
  <c r="R423" i="10"/>
  <c r="BL422" i="12"/>
  <c r="B435" i="1" s="1"/>
  <c r="D435" i="1" s="1"/>
  <c r="U545" i="10"/>
  <c r="BP544" i="12"/>
  <c r="C557" i="1" s="1"/>
  <c r="C345" i="1"/>
  <c r="B345" i="1"/>
  <c r="D345" i="1" s="1"/>
  <c r="EC333" i="10"/>
  <c r="ED333" i="10" s="1"/>
  <c r="P333" i="10"/>
  <c r="Q333" i="10" s="1"/>
  <c r="N333" i="10" s="1"/>
  <c r="BV333" i="10"/>
  <c r="BW333" i="10" s="1"/>
  <c r="BX333" i="10" s="1"/>
  <c r="BU333" i="10" s="1"/>
  <c r="M333" i="10"/>
  <c r="U477" i="10"/>
  <c r="BP476" i="12"/>
  <c r="C489" i="1" s="1"/>
  <c r="BU46" i="12"/>
  <c r="M47" i="10" s="1"/>
  <c r="R47" i="10"/>
  <c r="BL46" i="12"/>
  <c r="B59" i="1" s="1"/>
  <c r="D59" i="1" s="1"/>
  <c r="EJ240" i="10"/>
  <c r="CC240" i="10"/>
  <c r="BZ389" i="10"/>
  <c r="EG389" i="10"/>
  <c r="EG523" i="10"/>
  <c r="BZ523" i="10"/>
  <c r="U155" i="10"/>
  <c r="BP154" i="12"/>
  <c r="C167" i="1" s="1"/>
  <c r="C329" i="1"/>
  <c r="B329" i="1"/>
  <c r="D329" i="1" s="1"/>
  <c r="C475" i="1"/>
  <c r="B475" i="1"/>
  <c r="D475" i="1" s="1"/>
  <c r="EC463" i="10"/>
  <c r="ED463" i="10" s="1"/>
  <c r="P463" i="10"/>
  <c r="Q463" i="10" s="1"/>
  <c r="N463" i="10" s="1"/>
  <c r="BV463" i="10"/>
  <c r="BW463" i="10" s="1"/>
  <c r="BX463" i="10" s="1"/>
  <c r="BU463" i="10" s="1"/>
  <c r="M463" i="10"/>
  <c r="BU55" i="12"/>
  <c r="M56" i="10" s="1"/>
  <c r="R56" i="10"/>
  <c r="BL55" i="12"/>
  <c r="B68" i="1" s="1"/>
  <c r="D68" i="1" s="1"/>
  <c r="U246" i="10"/>
  <c r="BP245" i="12"/>
  <c r="C258" i="1" s="1"/>
  <c r="EJ396" i="10"/>
  <c r="CC396" i="10"/>
  <c r="BU524" i="12"/>
  <c r="M525" i="10" s="1"/>
  <c r="R525" i="10"/>
  <c r="BL524" i="12"/>
  <c r="B537" i="1" s="1"/>
  <c r="D537" i="1" s="1"/>
  <c r="EK307" i="10"/>
  <c r="CD307" i="10"/>
  <c r="EH145" i="10"/>
  <c r="CA145" i="10"/>
  <c r="B554" i="1"/>
  <c r="D554" i="1" s="1"/>
  <c r="C554" i="1"/>
  <c r="C428" i="1"/>
  <c r="B428" i="1"/>
  <c r="D428" i="1" s="1"/>
  <c r="EC416" i="10"/>
  <c r="ED416" i="10" s="1"/>
  <c r="P416" i="10"/>
  <c r="Q416" i="10" s="1"/>
  <c r="N416" i="10" s="1"/>
  <c r="BV416" i="10"/>
  <c r="BW416" i="10" s="1"/>
  <c r="BX416" i="10" s="1"/>
  <c r="BU416" i="10" s="1"/>
  <c r="M416" i="10"/>
  <c r="BU269" i="12"/>
  <c r="M270" i="10" s="1"/>
  <c r="R270" i="10"/>
  <c r="BL269" i="12"/>
  <c r="B282" i="1" s="1"/>
  <c r="D282" i="1" s="1"/>
  <c r="U112" i="10"/>
  <c r="BP111" i="12"/>
  <c r="C124" i="1" s="1"/>
  <c r="EG515" i="10"/>
  <c r="BZ515" i="10"/>
  <c r="EG435" i="10"/>
  <c r="BZ435" i="10"/>
  <c r="U452" i="10"/>
  <c r="BP451" i="12"/>
  <c r="C464" i="1" s="1"/>
  <c r="EG397" i="10"/>
  <c r="BZ397" i="10"/>
  <c r="C363" i="1"/>
  <c r="B363" i="1"/>
  <c r="D363" i="1" s="1"/>
  <c r="EC351" i="10"/>
  <c r="ED351" i="10" s="1"/>
  <c r="BV351" i="10"/>
  <c r="BW351" i="10" s="1"/>
  <c r="BX351" i="10" s="1"/>
  <c r="BU351" i="10" s="1"/>
  <c r="P351" i="10"/>
  <c r="Q351" i="10" s="1"/>
  <c r="N351" i="10" s="1"/>
  <c r="M351" i="10"/>
  <c r="U259" i="10"/>
  <c r="BP258" i="12"/>
  <c r="C271" i="1" s="1"/>
  <c r="EG535" i="10"/>
  <c r="BZ535" i="10"/>
  <c r="EG335" i="10"/>
  <c r="BZ335" i="10"/>
  <c r="BU79" i="12"/>
  <c r="M80" i="10" s="1"/>
  <c r="R80" i="10"/>
  <c r="BL79" i="12"/>
  <c r="B92" i="1" s="1"/>
  <c r="D92" i="1" s="1"/>
  <c r="BU413" i="12"/>
  <c r="M414" i="10" s="1"/>
  <c r="R414" i="10"/>
  <c r="BL413" i="12"/>
  <c r="B426" i="1" s="1"/>
  <c r="D426" i="1" s="1"/>
  <c r="EJ360" i="10"/>
  <c r="CC360" i="10"/>
  <c r="C481" i="1"/>
  <c r="B481" i="1"/>
  <c r="D481" i="1" s="1"/>
  <c r="EC555" i="10"/>
  <c r="ED555" i="10" s="1"/>
  <c r="P555" i="10"/>
  <c r="Q555" i="10" s="1"/>
  <c r="N555" i="10" s="1"/>
  <c r="BV555" i="10"/>
  <c r="BW555" i="10" s="1"/>
  <c r="BX555" i="10" s="1"/>
  <c r="BU555" i="10" s="1"/>
  <c r="M555" i="10"/>
  <c r="BU515" i="12"/>
  <c r="M516" i="10" s="1"/>
  <c r="R516" i="10"/>
  <c r="BL515" i="12"/>
  <c r="B528" i="1" s="1"/>
  <c r="D528" i="1" s="1"/>
  <c r="U406" i="10"/>
  <c r="BP405" i="12"/>
  <c r="C418" i="1" s="1"/>
  <c r="EG241" i="10"/>
  <c r="BZ241" i="10"/>
  <c r="EG468" i="10"/>
  <c r="BZ468" i="10"/>
  <c r="EK26" i="10"/>
  <c r="CD26" i="10"/>
  <c r="EJ59" i="10"/>
  <c r="CC59" i="10"/>
  <c r="C135" i="1"/>
  <c r="B135" i="1"/>
  <c r="D135" i="1" s="1"/>
  <c r="EC188" i="10"/>
  <c r="ED188" i="10" s="1"/>
  <c r="P188" i="10"/>
  <c r="Q188" i="10" s="1"/>
  <c r="N188" i="10" s="1"/>
  <c r="BV188" i="10"/>
  <c r="BW188" i="10" s="1"/>
  <c r="BX188" i="10" s="1"/>
  <c r="BU188" i="10" s="1"/>
  <c r="M188" i="10"/>
  <c r="BU20" i="12"/>
  <c r="M21" i="10" s="1"/>
  <c r="R21" i="10"/>
  <c r="BL20" i="12"/>
  <c r="B33" i="1" s="1"/>
  <c r="D33" i="1" s="1"/>
  <c r="EJ85" i="10"/>
  <c r="CC85" i="10"/>
  <c r="EG150" i="10"/>
  <c r="BZ150" i="10"/>
  <c r="U215" i="10"/>
  <c r="BP214" i="12"/>
  <c r="C227" i="1" s="1"/>
  <c r="U281" i="10"/>
  <c r="BP280" i="12"/>
  <c r="C293" i="1" s="1"/>
  <c r="BU345" i="12"/>
  <c r="M346" i="10" s="1"/>
  <c r="R346" i="10"/>
  <c r="BL345" i="12"/>
  <c r="B358" i="1" s="1"/>
  <c r="D358" i="1" s="1"/>
  <c r="C422" i="1"/>
  <c r="B422" i="1"/>
  <c r="D422" i="1" s="1"/>
  <c r="B486" i="1"/>
  <c r="D486" i="1" s="1"/>
  <c r="C486" i="1"/>
  <c r="EC474" i="10"/>
  <c r="ED474" i="10" s="1"/>
  <c r="BV474" i="10"/>
  <c r="BW474" i="10" s="1"/>
  <c r="BX474" i="10" s="1"/>
  <c r="BU474" i="10" s="1"/>
  <c r="P474" i="10"/>
  <c r="Q474" i="10" s="1"/>
  <c r="N474" i="10" s="1"/>
  <c r="M474" i="10"/>
  <c r="EG538" i="10"/>
  <c r="BZ538" i="10"/>
  <c r="U28" i="10"/>
  <c r="BP27" i="12"/>
  <c r="C40" i="1" s="1"/>
  <c r="EJ113" i="10"/>
  <c r="CC113" i="10"/>
  <c r="EK200" i="10"/>
  <c r="CD200" i="10"/>
  <c r="EH280" i="10"/>
  <c r="CA280" i="10"/>
  <c r="EK355" i="10"/>
  <c r="CD355" i="10"/>
  <c r="EC501" i="10"/>
  <c r="ED501" i="10" s="1"/>
  <c r="BV501" i="10"/>
  <c r="BW501" i="10" s="1"/>
  <c r="BX501" i="10" s="1"/>
  <c r="BU501" i="10" s="1"/>
  <c r="P501" i="10"/>
  <c r="Q501" i="10" s="1"/>
  <c r="N501" i="10" s="1"/>
  <c r="M501" i="10"/>
  <c r="U18" i="10"/>
  <c r="BP17" i="12"/>
  <c r="C30" i="1" s="1"/>
  <c r="EK104" i="10"/>
  <c r="CD104" i="10"/>
  <c r="BU190" i="12"/>
  <c r="M191" i="10" s="1"/>
  <c r="R191" i="10"/>
  <c r="BL190" i="12"/>
  <c r="B203" i="1" s="1"/>
  <c r="D203" i="1" s="1"/>
  <c r="EG272" i="10"/>
  <c r="BZ272" i="10"/>
  <c r="BU346" i="12"/>
  <c r="M347" i="10" s="1"/>
  <c r="R347" i="10"/>
  <c r="BL346" i="12"/>
  <c r="B359" i="1" s="1"/>
  <c r="D359" i="1" s="1"/>
  <c r="CA420" i="10"/>
  <c r="EH420" i="10"/>
  <c r="B505" i="1"/>
  <c r="D505" i="1" s="1"/>
  <c r="C505" i="1"/>
  <c r="B20" i="1"/>
  <c r="D20" i="1" s="1"/>
  <c r="C20" i="1"/>
  <c r="EC8" i="10"/>
  <c r="ED8" i="10" s="1"/>
  <c r="BV8" i="10"/>
  <c r="BW8" i="10" s="1"/>
  <c r="BX8" i="10" s="1"/>
  <c r="BU8" i="10" s="1"/>
  <c r="P8" i="10"/>
  <c r="Q8" i="10" s="1"/>
  <c r="N8" i="10" s="1"/>
  <c r="M8" i="10"/>
  <c r="U95" i="10"/>
  <c r="BP94" i="12"/>
  <c r="C107" i="1" s="1"/>
  <c r="EK181" i="10"/>
  <c r="CD181" i="10"/>
  <c r="EH263" i="10"/>
  <c r="CA263" i="10"/>
  <c r="U339" i="10"/>
  <c r="BP338" i="12"/>
  <c r="C351" i="1" s="1"/>
  <c r="CA412" i="10"/>
  <c r="EH412" i="10"/>
  <c r="BU484" i="12"/>
  <c r="M485" i="10" s="1"/>
  <c r="R485" i="10"/>
  <c r="BL484" i="12"/>
  <c r="B497" i="1" s="1"/>
  <c r="D497" i="1" s="1"/>
  <c r="B570" i="1"/>
  <c r="D570" i="1" s="1"/>
  <c r="C570" i="1"/>
  <c r="EC86" i="10"/>
  <c r="ED86" i="10" s="1"/>
  <c r="P86" i="10"/>
  <c r="Q86" i="10" s="1"/>
  <c r="N86" i="10" s="1"/>
  <c r="BV86" i="10"/>
  <c r="BW86" i="10" s="1"/>
  <c r="BX86" i="10" s="1"/>
  <c r="BU86" i="10" s="1"/>
  <c r="M86" i="10"/>
  <c r="EH171" i="10"/>
  <c r="CA171" i="10"/>
  <c r="EK255" i="10"/>
  <c r="CD255" i="10"/>
  <c r="EG331" i="10"/>
  <c r="BZ331" i="10"/>
  <c r="EK404" i="10"/>
  <c r="CD404" i="10"/>
  <c r="CD10" i="10"/>
  <c r="EK10" i="10"/>
  <c r="EG97" i="10"/>
  <c r="BZ97" i="10"/>
  <c r="B307" i="1"/>
  <c r="D307" i="1" s="1"/>
  <c r="C307" i="1"/>
  <c r="EC295" i="10"/>
  <c r="ED295" i="10" s="1"/>
  <c r="BV295" i="10"/>
  <c r="BW295" i="10" s="1"/>
  <c r="BX295" i="10" s="1"/>
  <c r="BU295" i="10" s="1"/>
  <c r="P295" i="10"/>
  <c r="Q295" i="10" s="1"/>
  <c r="N295" i="10" s="1"/>
  <c r="M295" i="10"/>
  <c r="BU440" i="12"/>
  <c r="M441" i="10" s="1"/>
  <c r="R441" i="10"/>
  <c r="BL440" i="12"/>
  <c r="B453" i="1" s="1"/>
  <c r="D453" i="1" s="1"/>
  <c r="BU560" i="12"/>
  <c r="M561" i="10" s="1"/>
  <c r="R561" i="10"/>
  <c r="BL560" i="12"/>
  <c r="B573" i="1" s="1"/>
  <c r="D573" i="1" s="1"/>
  <c r="EK195" i="10"/>
  <c r="CD195" i="10"/>
  <c r="CA489" i="10"/>
  <c r="EH489" i="10"/>
  <c r="EK78" i="10"/>
  <c r="CD78" i="10"/>
  <c r="EG407" i="10"/>
  <c r="BZ407" i="10"/>
  <c r="B189" i="1"/>
  <c r="D189" i="1" s="1"/>
  <c r="C189" i="1"/>
  <c r="B491" i="1"/>
  <c r="D491" i="1" s="1"/>
  <c r="C491" i="1"/>
  <c r="EC479" i="10"/>
  <c r="ED479" i="10" s="1"/>
  <c r="P479" i="10"/>
  <c r="Q479" i="10" s="1"/>
  <c r="N479" i="10" s="1"/>
  <c r="BV479" i="10"/>
  <c r="BW479" i="10" s="1"/>
  <c r="BX479" i="10" s="1"/>
  <c r="BU479" i="10" s="1"/>
  <c r="M479" i="10"/>
  <c r="BU540" i="12"/>
  <c r="M541" i="10" s="1"/>
  <c r="R541" i="10"/>
  <c r="BL540" i="12"/>
  <c r="B553" i="1" s="1"/>
  <c r="D553" i="1" s="1"/>
  <c r="BU247" i="12"/>
  <c r="M248" i="10" s="1"/>
  <c r="R248" i="10"/>
  <c r="BL247" i="12"/>
  <c r="B260" i="1" s="1"/>
  <c r="D260" i="1" s="1"/>
  <c r="EG167" i="10"/>
  <c r="BZ167" i="10"/>
  <c r="EK560" i="10"/>
  <c r="CD560" i="10"/>
  <c r="CA534" i="10"/>
  <c r="EH534" i="10"/>
  <c r="U390" i="10"/>
  <c r="BP389" i="12"/>
  <c r="C402" i="1" s="1"/>
  <c r="EC436" i="10"/>
  <c r="ED436" i="10" s="1"/>
  <c r="P436" i="10"/>
  <c r="Q436" i="10" s="1"/>
  <c r="N436" i="10" s="1"/>
  <c r="BV436" i="10"/>
  <c r="BW436" i="10" s="1"/>
  <c r="BX436" i="10" s="1"/>
  <c r="BU436" i="10" s="1"/>
  <c r="M436" i="10"/>
  <c r="N440" i="10" l="1"/>
  <c r="N368" i="10"/>
  <c r="BT191" i="10"/>
  <c r="EA191" i="10"/>
  <c r="E124" i="1"/>
  <c r="F124" i="1"/>
  <c r="EA17" i="10"/>
  <c r="BT17" i="10"/>
  <c r="F350" i="1"/>
  <c r="E350" i="1"/>
  <c r="EA250" i="10"/>
  <c r="BT250" i="10"/>
  <c r="F389" i="1"/>
  <c r="E389" i="1"/>
  <c r="BT330" i="10"/>
  <c r="EA330" i="10"/>
  <c r="EA130" i="10"/>
  <c r="BT130" i="10"/>
  <c r="EA531" i="10"/>
  <c r="BT531" i="10"/>
  <c r="F247" i="1"/>
  <c r="E247" i="1"/>
  <c r="EA71" i="10"/>
  <c r="BT71" i="10"/>
  <c r="EA174" i="10"/>
  <c r="BT174" i="10"/>
  <c r="F141" i="1"/>
  <c r="E141" i="1"/>
  <c r="F520" i="1"/>
  <c r="E520" i="1"/>
  <c r="F277" i="1"/>
  <c r="E277" i="1"/>
  <c r="E409" i="1"/>
  <c r="F409" i="1"/>
  <c r="E229" i="1"/>
  <c r="F229" i="1"/>
  <c r="F234" i="1"/>
  <c r="E234" i="1"/>
  <c r="EA340" i="10"/>
  <c r="BT340" i="10"/>
  <c r="E537" i="1"/>
  <c r="F537" i="1"/>
  <c r="F417" i="1"/>
  <c r="E417" i="1"/>
  <c r="EA76" i="10"/>
  <c r="BT76" i="10"/>
  <c r="EA398" i="10"/>
  <c r="BT398" i="10"/>
  <c r="F171" i="1"/>
  <c r="E171" i="1"/>
  <c r="EA205" i="10"/>
  <c r="BT205" i="10"/>
  <c r="EA277" i="10"/>
  <c r="BT277" i="10"/>
  <c r="F460" i="1"/>
  <c r="E460" i="1"/>
  <c r="EA370" i="10"/>
  <c r="BT370" i="10"/>
  <c r="BT490" i="10"/>
  <c r="EA490" i="10"/>
  <c r="E362" i="1"/>
  <c r="F362" i="1"/>
  <c r="EA287" i="10"/>
  <c r="BT287" i="10"/>
  <c r="F343" i="1"/>
  <c r="E343" i="1"/>
  <c r="BT335" i="10"/>
  <c r="EA335" i="10"/>
  <c r="E499" i="1"/>
  <c r="F499" i="1"/>
  <c r="F34" i="1"/>
  <c r="E34" i="1"/>
  <c r="BT365" i="10"/>
  <c r="EA365" i="10"/>
  <c r="EA289" i="10"/>
  <c r="BT289" i="10"/>
  <c r="BT411" i="10"/>
  <c r="EA411" i="10"/>
  <c r="F37" i="1"/>
  <c r="E37" i="1"/>
  <c r="F388" i="1"/>
  <c r="E388" i="1"/>
  <c r="E379" i="1"/>
  <c r="F379" i="1"/>
  <c r="E245" i="1"/>
  <c r="F245" i="1"/>
  <c r="EA357" i="10"/>
  <c r="BT357" i="10"/>
  <c r="EA374" i="10"/>
  <c r="BT374" i="10"/>
  <c r="BT10" i="10"/>
  <c r="EA10" i="10"/>
  <c r="E550" i="1"/>
  <c r="F550" i="1"/>
  <c r="E371" i="1"/>
  <c r="F371" i="1"/>
  <c r="F23" i="1"/>
  <c r="E23" i="1"/>
  <c r="E298" i="1"/>
  <c r="F298" i="1"/>
  <c r="BT180" i="10"/>
  <c r="EA180" i="10"/>
  <c r="EA438" i="10"/>
  <c r="BT438" i="10"/>
  <c r="BT224" i="10"/>
  <c r="EA224" i="10"/>
  <c r="F444" i="1"/>
  <c r="E444" i="1"/>
  <c r="EA441" i="10"/>
  <c r="BT441" i="10"/>
  <c r="F40" i="1"/>
  <c r="E40" i="1"/>
  <c r="E418" i="1"/>
  <c r="F418" i="1"/>
  <c r="F333" i="1"/>
  <c r="E333" i="1"/>
  <c r="F473" i="1"/>
  <c r="E473" i="1"/>
  <c r="F545" i="1"/>
  <c r="E545" i="1"/>
  <c r="F88" i="1"/>
  <c r="E88" i="1"/>
  <c r="E276" i="1"/>
  <c r="F276" i="1"/>
  <c r="E455" i="1"/>
  <c r="F455" i="1"/>
  <c r="F249" i="1"/>
  <c r="E249" i="1"/>
  <c r="EA279" i="10"/>
  <c r="BT279" i="10"/>
  <c r="BT352" i="10"/>
  <c r="EA352" i="10"/>
  <c r="EA375" i="10"/>
  <c r="BT375" i="10"/>
  <c r="F476" i="1"/>
  <c r="E476" i="1"/>
  <c r="EA32" i="10"/>
  <c r="BT32" i="10"/>
  <c r="BT22" i="10"/>
  <c r="EA22" i="10"/>
  <c r="F53" i="1"/>
  <c r="E53" i="1"/>
  <c r="EA286" i="10"/>
  <c r="BT286" i="10"/>
  <c r="EA201" i="10"/>
  <c r="BT201" i="10"/>
  <c r="F449" i="1"/>
  <c r="E449" i="1"/>
  <c r="F284" i="1"/>
  <c r="E284" i="1"/>
  <c r="EA454" i="10"/>
  <c r="BT454" i="10"/>
  <c r="BT465" i="10"/>
  <c r="EA465" i="10"/>
  <c r="E91" i="1"/>
  <c r="F91" i="1"/>
  <c r="F468" i="1"/>
  <c r="E468" i="1"/>
  <c r="BT140" i="10"/>
  <c r="EA140" i="10"/>
  <c r="F114" i="1"/>
  <c r="E114" i="1"/>
  <c r="BT9" i="10"/>
  <c r="EA9" i="10"/>
  <c r="BT412" i="10"/>
  <c r="EA412" i="10"/>
  <c r="BT27" i="10"/>
  <c r="EA27" i="10"/>
  <c r="E375" i="1"/>
  <c r="F375" i="1"/>
  <c r="E265" i="1"/>
  <c r="F265" i="1"/>
  <c r="EA261" i="10"/>
  <c r="BT261" i="10"/>
  <c r="F238" i="1"/>
  <c r="E238" i="1"/>
  <c r="F161" i="1"/>
  <c r="E161" i="1"/>
  <c r="F264" i="1"/>
  <c r="E264" i="1"/>
  <c r="BT451" i="10"/>
  <c r="EA451" i="10"/>
  <c r="F484" i="1"/>
  <c r="E484" i="1"/>
  <c r="E304" i="1"/>
  <c r="F304" i="1"/>
  <c r="EA556" i="10"/>
  <c r="BT556" i="10"/>
  <c r="BT538" i="10"/>
  <c r="EA538" i="10"/>
  <c r="F272" i="1"/>
  <c r="E272" i="1"/>
  <c r="EA470" i="10"/>
  <c r="BT470" i="10"/>
  <c r="BT455" i="10"/>
  <c r="EA455" i="10"/>
  <c r="E374" i="1"/>
  <c r="F374" i="1"/>
  <c r="EA59" i="10"/>
  <c r="BT59" i="10"/>
  <c r="BT255" i="10"/>
  <c r="EA255" i="10"/>
  <c r="E285" i="1"/>
  <c r="F285" i="1"/>
  <c r="F240" i="1"/>
  <c r="E240" i="1"/>
  <c r="BT190" i="10"/>
  <c r="EA190" i="10"/>
  <c r="EA60" i="10"/>
  <c r="BT60" i="10"/>
  <c r="BT231" i="10"/>
  <c r="EA231" i="10"/>
  <c r="F120" i="1"/>
  <c r="E120" i="1"/>
  <c r="F73" i="1"/>
  <c r="E73" i="1"/>
  <c r="BT167" i="10"/>
  <c r="EA167" i="10"/>
  <c r="F332" i="1"/>
  <c r="E332" i="1"/>
  <c r="F544" i="1"/>
  <c r="E544" i="1"/>
  <c r="F62" i="1"/>
  <c r="E62" i="1"/>
  <c r="E459" i="1"/>
  <c r="F459" i="1"/>
  <c r="F271" i="1"/>
  <c r="E271" i="1"/>
  <c r="EA423" i="10"/>
  <c r="BT423" i="10"/>
  <c r="E328" i="1"/>
  <c r="F328" i="1"/>
  <c r="EA325" i="10"/>
  <c r="BT325" i="10"/>
  <c r="EA34" i="10"/>
  <c r="BT34" i="10"/>
  <c r="F477" i="1"/>
  <c r="E477" i="1"/>
  <c r="EA243" i="10"/>
  <c r="BT243" i="10"/>
  <c r="BT125" i="10"/>
  <c r="EA125" i="10"/>
  <c r="BT334" i="10"/>
  <c r="EA334" i="10"/>
  <c r="F289" i="1"/>
  <c r="E289" i="1"/>
  <c r="EA294" i="10"/>
  <c r="BT294" i="10"/>
  <c r="BT242" i="10"/>
  <c r="EA242" i="10"/>
  <c r="BT50" i="10"/>
  <c r="EA50" i="10"/>
  <c r="EA211" i="10"/>
  <c r="BT211" i="10"/>
  <c r="BT222" i="10"/>
  <c r="EA222" i="10"/>
  <c r="F232" i="1"/>
  <c r="E232" i="1"/>
  <c r="BT121" i="10"/>
  <c r="EA121" i="10"/>
  <c r="F126" i="1"/>
  <c r="E126" i="1"/>
  <c r="EA73" i="10"/>
  <c r="BT73" i="10"/>
  <c r="EA78" i="10"/>
  <c r="BT78" i="10"/>
  <c r="E92" i="1"/>
  <c r="F92" i="1"/>
  <c r="EA259" i="10"/>
  <c r="BT259" i="10"/>
  <c r="EA345" i="10"/>
  <c r="BT345" i="10"/>
  <c r="F50" i="1"/>
  <c r="E50" i="1"/>
  <c r="EA252" i="10"/>
  <c r="BT252" i="10"/>
  <c r="BT66" i="10"/>
  <c r="EA66" i="10"/>
  <c r="E523" i="1"/>
  <c r="F523" i="1"/>
  <c r="E178" i="1"/>
  <c r="F178" i="1"/>
  <c r="E355" i="1"/>
  <c r="F355" i="1"/>
  <c r="E199" i="1"/>
  <c r="F199" i="1"/>
  <c r="BT26" i="10"/>
  <c r="EA26" i="10"/>
  <c r="BT236" i="10"/>
  <c r="EA236" i="10"/>
  <c r="BT194" i="10"/>
  <c r="EA194" i="10"/>
  <c r="EA511" i="10"/>
  <c r="BT511" i="10"/>
  <c r="E267" i="1"/>
  <c r="F267" i="1"/>
  <c r="E212" i="1"/>
  <c r="F212" i="1"/>
  <c r="E47" i="1"/>
  <c r="F47" i="1"/>
  <c r="F39" i="1"/>
  <c r="E39" i="1"/>
  <c r="E152" i="1"/>
  <c r="F152" i="1"/>
  <c r="EA20" i="10"/>
  <c r="BT20" i="10"/>
  <c r="E290" i="1"/>
  <c r="F290" i="1"/>
  <c r="E79" i="1"/>
  <c r="F79" i="1"/>
  <c r="EA392" i="10"/>
  <c r="BT392" i="10"/>
  <c r="EA341" i="10"/>
  <c r="BT341" i="10"/>
  <c r="E320" i="1"/>
  <c r="F320" i="1"/>
  <c r="BT399" i="10"/>
  <c r="EA399" i="10"/>
  <c r="E306" i="1"/>
  <c r="F306" i="1"/>
  <c r="E515" i="1"/>
  <c r="F515" i="1"/>
  <c r="BT308" i="10"/>
  <c r="EA308" i="10"/>
  <c r="EA35" i="10"/>
  <c r="BT35" i="10"/>
  <c r="EA139" i="10"/>
  <c r="BT139" i="10"/>
  <c r="EA181" i="10"/>
  <c r="BT181" i="10"/>
  <c r="BT51" i="10"/>
  <c r="EA51" i="10"/>
  <c r="F220" i="1"/>
  <c r="E220" i="1"/>
  <c r="EA150" i="10"/>
  <c r="BT150" i="10"/>
  <c r="E190" i="1"/>
  <c r="F190" i="1"/>
  <c r="F210" i="1"/>
  <c r="E210" i="1"/>
  <c r="F65" i="1"/>
  <c r="E65" i="1"/>
  <c r="F57" i="1"/>
  <c r="E57" i="1"/>
  <c r="E433" i="1"/>
  <c r="F433" i="1"/>
  <c r="BT525" i="10"/>
  <c r="EA525" i="10"/>
  <c r="EA530" i="10"/>
  <c r="BT530" i="10"/>
  <c r="BT342" i="10"/>
  <c r="EA342" i="10"/>
  <c r="E17" i="1"/>
  <c r="F17" i="1"/>
  <c r="F556" i="1"/>
  <c r="E556" i="1"/>
  <c r="EA376" i="10"/>
  <c r="BT376" i="10"/>
  <c r="EA457" i="10"/>
  <c r="BT457" i="10"/>
  <c r="F180" i="1"/>
  <c r="E180" i="1"/>
  <c r="E198" i="1"/>
  <c r="F198" i="1"/>
  <c r="F158" i="1"/>
  <c r="E158" i="1"/>
  <c r="EA453" i="10"/>
  <c r="BT453" i="10"/>
  <c r="EA362" i="10"/>
  <c r="BT362" i="10"/>
  <c r="BT95" i="10"/>
  <c r="EA95" i="10"/>
  <c r="E401" i="1"/>
  <c r="F401" i="1"/>
  <c r="EA477" i="10"/>
  <c r="BT477" i="10"/>
  <c r="EA115" i="10"/>
  <c r="BT115" i="10"/>
  <c r="EA522" i="10"/>
  <c r="BT522" i="10"/>
  <c r="BT99" i="10"/>
  <c r="EA99" i="10"/>
  <c r="F548" i="1"/>
  <c r="E548" i="1"/>
  <c r="BT100" i="10"/>
  <c r="EA100" i="10"/>
  <c r="F259" i="1"/>
  <c r="E259" i="1"/>
  <c r="F251" i="1"/>
  <c r="E251" i="1"/>
  <c r="E467" i="1"/>
  <c r="F467" i="1"/>
  <c r="E465" i="1"/>
  <c r="F465" i="1"/>
  <c r="E250" i="1"/>
  <c r="F250" i="1"/>
  <c r="EA494" i="10"/>
  <c r="BT494" i="10"/>
  <c r="F204" i="1"/>
  <c r="E204" i="1"/>
  <c r="E441" i="1"/>
  <c r="F441" i="1"/>
  <c r="F501" i="1"/>
  <c r="E501" i="1"/>
  <c r="F24" i="1"/>
  <c r="E24" i="1"/>
  <c r="F193" i="1"/>
  <c r="E193" i="1"/>
  <c r="EA16" i="10"/>
  <c r="BT16" i="10"/>
  <c r="EA43" i="10"/>
  <c r="BT43" i="10"/>
  <c r="EA159" i="10"/>
  <c r="BT159" i="10"/>
  <c r="E564" i="1"/>
  <c r="F564" i="1"/>
  <c r="E281" i="1"/>
  <c r="F281" i="1"/>
  <c r="BT234" i="10"/>
  <c r="EA234" i="10"/>
  <c r="BT275" i="10"/>
  <c r="EA275" i="10"/>
  <c r="F179" i="1"/>
  <c r="E179" i="1"/>
  <c r="E207" i="1"/>
  <c r="F207" i="1"/>
  <c r="EA112" i="10"/>
  <c r="BT112" i="10"/>
  <c r="E495" i="1"/>
  <c r="F495" i="1"/>
  <c r="F121" i="1"/>
  <c r="E121" i="1"/>
  <c r="E450" i="1"/>
  <c r="F450" i="1"/>
  <c r="BT75" i="10"/>
  <c r="EA75" i="10"/>
  <c r="EA431" i="10"/>
  <c r="BT431" i="10"/>
  <c r="EA131" i="10"/>
  <c r="BT131" i="10"/>
  <c r="BT163" i="10"/>
  <c r="EA163" i="10"/>
  <c r="E68" i="1"/>
  <c r="F68" i="1"/>
  <c r="E338" i="1"/>
  <c r="F338" i="1"/>
  <c r="BT25" i="10"/>
  <c r="EA25" i="10"/>
  <c r="EA168" i="10"/>
  <c r="BT168" i="10"/>
  <c r="BT408" i="10"/>
  <c r="EA408" i="10"/>
  <c r="F228" i="1"/>
  <c r="E228" i="1"/>
  <c r="E443" i="1"/>
  <c r="F443" i="1"/>
  <c r="E376" i="1"/>
  <c r="F376" i="1"/>
  <c r="F366" i="1"/>
  <c r="E366" i="1"/>
  <c r="EA483" i="10"/>
  <c r="BT483" i="10"/>
  <c r="BT117" i="10"/>
  <c r="EA117" i="10"/>
  <c r="EA557" i="10"/>
  <c r="BT557" i="10"/>
  <c r="BT414" i="10"/>
  <c r="EA414" i="10"/>
  <c r="BT21" i="10"/>
  <c r="EA21" i="10"/>
  <c r="BT87" i="10"/>
  <c r="EA87" i="10"/>
  <c r="EA80" i="10"/>
  <c r="BT80" i="10"/>
  <c r="F167" i="1"/>
  <c r="E167" i="1"/>
  <c r="BT549" i="10"/>
  <c r="EA549" i="10"/>
  <c r="EA485" i="10"/>
  <c r="BT485" i="10"/>
  <c r="EA270" i="10"/>
  <c r="BT270" i="10"/>
  <c r="F301" i="1"/>
  <c r="E301" i="1"/>
  <c r="BT371" i="10"/>
  <c r="EA371" i="10"/>
  <c r="EA64" i="10"/>
  <c r="BT64" i="10"/>
  <c r="F66" i="1"/>
  <c r="E66" i="1"/>
  <c r="F404" i="1"/>
  <c r="E404" i="1"/>
  <c r="BT197" i="10"/>
  <c r="EA197" i="10"/>
  <c r="E112" i="1"/>
  <c r="F112" i="1"/>
  <c r="EA182" i="10"/>
  <c r="BT182" i="10"/>
  <c r="E386" i="1"/>
  <c r="F386" i="1"/>
  <c r="E463" i="1"/>
  <c r="F463" i="1"/>
  <c r="EA193" i="10"/>
  <c r="BT193" i="10"/>
  <c r="EA373" i="10"/>
  <c r="BT373" i="10"/>
  <c r="E310" i="1"/>
  <c r="F310" i="1"/>
  <c r="BT512" i="10"/>
  <c r="EA512" i="10"/>
  <c r="E555" i="1"/>
  <c r="F555" i="1"/>
  <c r="EA551" i="10"/>
  <c r="BT551" i="10"/>
  <c r="E506" i="1"/>
  <c r="F506" i="1"/>
  <c r="F136" i="1"/>
  <c r="E136" i="1"/>
  <c r="BT521" i="10"/>
  <c r="EA521" i="10"/>
  <c r="EA19" i="10"/>
  <c r="BT19" i="10"/>
  <c r="BT396" i="10"/>
  <c r="EA396" i="10"/>
  <c r="F488" i="1"/>
  <c r="E488" i="1"/>
  <c r="EA393" i="10"/>
  <c r="BT393" i="10"/>
  <c r="EA409" i="10"/>
  <c r="BT409" i="10"/>
  <c r="EA264" i="10"/>
  <c r="BT264" i="10"/>
  <c r="EA563" i="10"/>
  <c r="BT563" i="10"/>
  <c r="BT400" i="10"/>
  <c r="EA400" i="10"/>
  <c r="EA186" i="10"/>
  <c r="BT186" i="10"/>
  <c r="BT12" i="10"/>
  <c r="EA12" i="10"/>
  <c r="BT147" i="10"/>
  <c r="EA147" i="10"/>
  <c r="EA391" i="10"/>
  <c r="BT391" i="10"/>
  <c r="F83" i="1"/>
  <c r="E83" i="1"/>
  <c r="E531" i="1"/>
  <c r="F531" i="1"/>
  <c r="F151" i="1"/>
  <c r="E151" i="1"/>
  <c r="EA129" i="10"/>
  <c r="BT129" i="10"/>
  <c r="E317" i="1"/>
  <c r="F317" i="1"/>
  <c r="EA274" i="10"/>
  <c r="BT274" i="10"/>
  <c r="E383" i="1"/>
  <c r="F383" i="1"/>
  <c r="EA89" i="10"/>
  <c r="BT89" i="10"/>
  <c r="F86" i="1"/>
  <c r="E86" i="1"/>
  <c r="BT550" i="10"/>
  <c r="EA550" i="10"/>
  <c r="BT247" i="10"/>
  <c r="EA247" i="10"/>
  <c r="F31" i="1"/>
  <c r="E31" i="1"/>
  <c r="E297" i="1"/>
  <c r="F297" i="1"/>
  <c r="F148" i="1"/>
  <c r="E148" i="1"/>
  <c r="EA388" i="10"/>
  <c r="BT388" i="10"/>
  <c r="EA36" i="10"/>
  <c r="BT36" i="10"/>
  <c r="E567" i="1"/>
  <c r="F567" i="1"/>
  <c r="BT7" i="10"/>
  <c r="EA7" i="10"/>
  <c r="F456" i="1"/>
  <c r="E456" i="1"/>
  <c r="EA263" i="10"/>
  <c r="BT263" i="10"/>
  <c r="EA303" i="10"/>
  <c r="BT303" i="10"/>
  <c r="F137" i="1"/>
  <c r="E137" i="1"/>
  <c r="F299" i="1"/>
  <c r="E299" i="1"/>
  <c r="E282" i="1"/>
  <c r="F282" i="1"/>
  <c r="F237" i="1"/>
  <c r="E237" i="1"/>
  <c r="EA268" i="10"/>
  <c r="BT268" i="10"/>
  <c r="BT476" i="10"/>
  <c r="EA476" i="10"/>
  <c r="E423" i="1"/>
  <c r="F423" i="1"/>
  <c r="E479" i="1"/>
  <c r="F479" i="1"/>
  <c r="F536" i="1"/>
  <c r="E536" i="1"/>
  <c r="BT173" i="10"/>
  <c r="EA173" i="10"/>
  <c r="EA343" i="10"/>
  <c r="BT343" i="10"/>
  <c r="E315" i="1"/>
  <c r="F315" i="1"/>
  <c r="F448" i="1"/>
  <c r="E448" i="1"/>
  <c r="E574" i="1"/>
  <c r="F574" i="1"/>
  <c r="E296" i="1"/>
  <c r="F296" i="1"/>
  <c r="E494" i="1"/>
  <c r="F494" i="1"/>
  <c r="EA240" i="10"/>
  <c r="BT240" i="10"/>
  <c r="EA394" i="10"/>
  <c r="BT394" i="10"/>
  <c r="EA248" i="10"/>
  <c r="BT248" i="10"/>
  <c r="F227" i="1"/>
  <c r="E227" i="1"/>
  <c r="EA56" i="10"/>
  <c r="BT56" i="10"/>
  <c r="EA347" i="10"/>
  <c r="BT347" i="10"/>
  <c r="BT47" i="10"/>
  <c r="EA47" i="10"/>
  <c r="F173" i="1"/>
  <c r="E173" i="1"/>
  <c r="BT419" i="10"/>
  <c r="EA419" i="10"/>
  <c r="EA208" i="10"/>
  <c r="BT208" i="10"/>
  <c r="BT459" i="10"/>
  <c r="EA459" i="10"/>
  <c r="BT328" i="10"/>
  <c r="EA328" i="10"/>
  <c r="EA296" i="10"/>
  <c r="BT296" i="10"/>
  <c r="EA176" i="10"/>
  <c r="BT176" i="10"/>
  <c r="F246" i="1"/>
  <c r="E246" i="1"/>
  <c r="EA157" i="10"/>
  <c r="BT157" i="10"/>
  <c r="BT378" i="10"/>
  <c r="EA378" i="10"/>
  <c r="BT83" i="10"/>
  <c r="EA83" i="10"/>
  <c r="F118" i="1"/>
  <c r="E118" i="1"/>
  <c r="EA447" i="10"/>
  <c r="BT447" i="10"/>
  <c r="BT230" i="10"/>
  <c r="EA230" i="10"/>
  <c r="EA108" i="10"/>
  <c r="BT108" i="10"/>
  <c r="EA364" i="10"/>
  <c r="BT364" i="10"/>
  <c r="BT280" i="10"/>
  <c r="EA280" i="10"/>
  <c r="F275" i="1"/>
  <c r="E275" i="1"/>
  <c r="BT406" i="10"/>
  <c r="EA406" i="10"/>
  <c r="E435" i="1"/>
  <c r="F435" i="1"/>
  <c r="E295" i="1"/>
  <c r="F295" i="1"/>
  <c r="EA484" i="10"/>
  <c r="BT484" i="10"/>
  <c r="F93" i="1"/>
  <c r="E93" i="1"/>
  <c r="F392" i="1"/>
  <c r="E392" i="1"/>
  <c r="BT383" i="10"/>
  <c r="EA383" i="10"/>
  <c r="E72" i="1"/>
  <c r="F72" i="1"/>
  <c r="E313" i="1"/>
  <c r="F313" i="1"/>
  <c r="E197" i="1"/>
  <c r="F197" i="1"/>
  <c r="F105" i="1"/>
  <c r="E105" i="1"/>
  <c r="EA354" i="10"/>
  <c r="BT354" i="10"/>
  <c r="F416" i="1"/>
  <c r="E416" i="1"/>
  <c r="F326" i="1"/>
  <c r="E326" i="1"/>
  <c r="F211" i="1"/>
  <c r="E211" i="1"/>
  <c r="EA560" i="10"/>
  <c r="BT560" i="10"/>
  <c r="F200" i="1"/>
  <c r="E200" i="1"/>
  <c r="F569" i="1"/>
  <c r="E569" i="1"/>
  <c r="F413" i="1"/>
  <c r="E413" i="1"/>
  <c r="F184" i="1"/>
  <c r="E184" i="1"/>
  <c r="F202" i="1"/>
  <c r="E202" i="1"/>
  <c r="F420" i="1"/>
  <c r="E420" i="1"/>
  <c r="F149" i="1"/>
  <c r="E149" i="1"/>
  <c r="F155" i="1"/>
  <c r="E155" i="1"/>
  <c r="E35" i="1"/>
  <c r="F35" i="1"/>
  <c r="E195" i="1"/>
  <c r="F195" i="1"/>
  <c r="EA487" i="10"/>
  <c r="BT487" i="10"/>
  <c r="E67" i="1"/>
  <c r="F67" i="1"/>
  <c r="F162" i="1"/>
  <c r="E162" i="1"/>
  <c r="F253" i="1"/>
  <c r="E253" i="1"/>
  <c r="E192" i="1"/>
  <c r="F192" i="1"/>
  <c r="EA228" i="10"/>
  <c r="BT228" i="10"/>
  <c r="F129" i="1"/>
  <c r="E129" i="1"/>
  <c r="E45" i="1"/>
  <c r="F45" i="1"/>
  <c r="F377" i="1"/>
  <c r="E377" i="1"/>
  <c r="F243" i="1"/>
  <c r="E243" i="1"/>
  <c r="EA46" i="10"/>
  <c r="BT46" i="10"/>
  <c r="EA257" i="10"/>
  <c r="BT257" i="10"/>
  <c r="E414" i="1"/>
  <c r="F414" i="1"/>
  <c r="E410" i="1"/>
  <c r="F410" i="1"/>
  <c r="F159" i="1"/>
  <c r="E159" i="1"/>
  <c r="BT109" i="10"/>
  <c r="EA109" i="10"/>
  <c r="F215" i="1"/>
  <c r="E215" i="1"/>
  <c r="E221" i="1"/>
  <c r="F221" i="1"/>
  <c r="E303" i="1"/>
  <c r="F303" i="1"/>
  <c r="F84" i="1"/>
  <c r="E84" i="1"/>
  <c r="E239" i="1"/>
  <c r="F239" i="1"/>
  <c r="BT475" i="10"/>
  <c r="EA475" i="10"/>
  <c r="E342" i="1"/>
  <c r="F342" i="1"/>
  <c r="F293" i="1"/>
  <c r="E293" i="1"/>
  <c r="F464" i="1"/>
  <c r="E464" i="1"/>
  <c r="EA541" i="10"/>
  <c r="BT541" i="10"/>
  <c r="BT276" i="10"/>
  <c r="EA276" i="10"/>
  <c r="F258" i="1"/>
  <c r="E258" i="1"/>
  <c r="F489" i="1"/>
  <c r="E489" i="1"/>
  <c r="F557" i="1"/>
  <c r="E557" i="1"/>
  <c r="E266" i="1"/>
  <c r="F266" i="1"/>
  <c r="F496" i="1"/>
  <c r="E496" i="1"/>
  <c r="EA94" i="10"/>
  <c r="BT94" i="10"/>
  <c r="F357" i="1"/>
  <c r="E357" i="1"/>
  <c r="F127" i="1"/>
  <c r="E127" i="1"/>
  <c r="E323" i="1"/>
  <c r="F323" i="1"/>
  <c r="EA491" i="10"/>
  <c r="BT491" i="10"/>
  <c r="E427" i="1"/>
  <c r="F427" i="1"/>
  <c r="F492" i="1"/>
  <c r="E492" i="1"/>
  <c r="E562" i="1"/>
  <c r="F562" i="1"/>
  <c r="BT225" i="10"/>
  <c r="EA225" i="10"/>
  <c r="EA524" i="10"/>
  <c r="BT524" i="10"/>
  <c r="BT432" i="10"/>
  <c r="EA432" i="10"/>
  <c r="BT502" i="10"/>
  <c r="EA502" i="10"/>
  <c r="EA30" i="10"/>
  <c r="BT30" i="10"/>
  <c r="BT122" i="10"/>
  <c r="EA122" i="10"/>
  <c r="E553" i="1"/>
  <c r="F553" i="1"/>
  <c r="E183" i="1"/>
  <c r="F183" i="1"/>
  <c r="BT170" i="10"/>
  <c r="EA170" i="10"/>
  <c r="E521" i="1"/>
  <c r="F521" i="1"/>
  <c r="E330" i="1"/>
  <c r="F330" i="1"/>
  <c r="EA91" i="10"/>
  <c r="BT91" i="10"/>
  <c r="E482" i="1"/>
  <c r="F482" i="1"/>
  <c r="EA298" i="10"/>
  <c r="BT298" i="10"/>
  <c r="EA220" i="10"/>
  <c r="BT220" i="10"/>
  <c r="EA96" i="10"/>
  <c r="BT96" i="10"/>
  <c r="EA67" i="10"/>
  <c r="BT67" i="10"/>
  <c r="F58" i="1"/>
  <c r="E58" i="1"/>
  <c r="EA171" i="10"/>
  <c r="BT171" i="10"/>
  <c r="EA104" i="10"/>
  <c r="BT104" i="10"/>
  <c r="F132" i="1"/>
  <c r="E132" i="1"/>
  <c r="EA496" i="10"/>
  <c r="BT496" i="10"/>
  <c r="EA239" i="10"/>
  <c r="BT239" i="10"/>
  <c r="BT460" i="10"/>
  <c r="EA460" i="10"/>
  <c r="F143" i="1"/>
  <c r="E143" i="1"/>
  <c r="E543" i="1"/>
  <c r="F543" i="1"/>
  <c r="BT28" i="10"/>
  <c r="EA28" i="10"/>
  <c r="F385" i="1"/>
  <c r="E385" i="1"/>
  <c r="E30" i="11"/>
  <c r="BT33" i="10"/>
  <c r="EA33" i="10"/>
  <c r="E453" i="1"/>
  <c r="F453" i="1"/>
  <c r="E471" i="1"/>
  <c r="F471" i="1"/>
  <c r="F405" i="1"/>
  <c r="E405" i="1"/>
  <c r="F142" i="1"/>
  <c r="E142" i="1"/>
  <c r="EA260" i="10"/>
  <c r="BT260" i="10"/>
  <c r="EA301" i="10"/>
  <c r="BT301" i="10"/>
  <c r="EA543" i="10"/>
  <c r="BT543" i="10"/>
  <c r="BT241" i="10"/>
  <c r="EA241" i="10"/>
  <c r="E286" i="1"/>
  <c r="F286" i="1"/>
  <c r="E30" i="1"/>
  <c r="F30" i="1"/>
  <c r="F107" i="1"/>
  <c r="E107" i="1"/>
  <c r="EA516" i="10"/>
  <c r="BT516" i="10"/>
  <c r="E402" i="1"/>
  <c r="F402" i="1"/>
  <c r="BT561" i="10"/>
  <c r="EA561" i="10"/>
  <c r="E351" i="1"/>
  <c r="F351" i="1"/>
  <c r="EA346" i="10"/>
  <c r="BT346" i="10"/>
  <c r="EA509" i="10"/>
  <c r="BT509" i="10"/>
  <c r="F28" i="1"/>
  <c r="E28" i="1"/>
  <c r="F80" i="1"/>
  <c r="E80" i="1"/>
  <c r="EA450" i="10"/>
  <c r="BT450" i="10"/>
  <c r="E217" i="1"/>
  <c r="F217" i="1"/>
  <c r="BT249" i="10"/>
  <c r="EA249" i="10"/>
  <c r="EA318" i="10"/>
  <c r="BT318" i="10"/>
  <c r="BT434" i="10"/>
  <c r="EA434" i="10"/>
  <c r="BT300" i="10"/>
  <c r="EA300" i="10"/>
  <c r="E226" i="1"/>
  <c r="F226" i="1"/>
  <c r="EA18" i="10"/>
  <c r="BT18" i="10"/>
  <c r="BT246" i="10"/>
  <c r="EA246" i="10"/>
  <c r="F288" i="1"/>
  <c r="E288" i="1"/>
  <c r="EA161" i="10"/>
  <c r="BT161" i="10"/>
  <c r="E542" i="1"/>
  <c r="F542" i="1"/>
  <c r="EA338" i="10"/>
  <c r="BT338" i="10"/>
  <c r="E354" i="1"/>
  <c r="F354" i="1"/>
  <c r="EA461" i="10"/>
  <c r="BT461" i="10"/>
  <c r="EA312" i="10"/>
  <c r="BT312" i="10"/>
  <c r="F273" i="1"/>
  <c r="E273" i="1"/>
  <c r="EA5" i="10"/>
  <c r="BT5" i="10"/>
  <c r="F469" i="1"/>
  <c r="E469" i="1"/>
  <c r="BT235" i="10"/>
  <c r="EA235" i="10"/>
  <c r="EA327" i="10"/>
  <c r="BT327" i="10"/>
  <c r="EA415" i="10"/>
  <c r="BT415" i="10"/>
  <c r="BT437" i="10"/>
  <c r="EA437" i="10"/>
  <c r="E430" i="1"/>
  <c r="F430" i="1"/>
  <c r="E42" i="1"/>
  <c r="F42" i="1"/>
  <c r="E340" i="1"/>
  <c r="F340" i="1"/>
  <c r="E261" i="1"/>
  <c r="F261" i="1"/>
  <c r="E558" i="1"/>
  <c r="F558" i="1"/>
  <c r="F98" i="1"/>
  <c r="E98" i="1"/>
  <c r="F504" i="1"/>
  <c r="E504" i="1"/>
  <c r="F269" i="1"/>
  <c r="E269" i="1"/>
  <c r="BT81" i="10"/>
  <c r="EA81" i="10"/>
  <c r="E387" i="1"/>
  <c r="F387" i="1"/>
  <c r="E322" i="1"/>
  <c r="F322" i="1"/>
  <c r="F344" i="1"/>
  <c r="E344" i="1"/>
  <c r="EA102" i="10"/>
  <c r="BT102" i="10"/>
  <c r="E325" i="1"/>
  <c r="F325" i="1"/>
  <c r="E108" i="1"/>
  <c r="F108" i="1"/>
  <c r="BT389" i="10"/>
  <c r="EA389" i="10"/>
  <c r="F327" i="1"/>
  <c r="E327" i="1"/>
  <c r="E547" i="1"/>
  <c r="F547" i="1"/>
  <c r="F110" i="1"/>
  <c r="E110" i="1"/>
  <c r="EA429" i="10"/>
  <c r="BT429" i="10"/>
  <c r="E283" i="1"/>
  <c r="F283" i="1"/>
  <c r="F44" i="1"/>
  <c r="E44" i="1"/>
  <c r="E513" i="1"/>
  <c r="F513" i="1"/>
  <c r="F26" i="1"/>
  <c r="E26" i="1"/>
  <c r="F493" i="1"/>
  <c r="E493" i="1"/>
  <c r="F123" i="1"/>
  <c r="E123" i="1"/>
  <c r="EE555" i="10"/>
  <c r="EB555" i="10"/>
  <c r="EI259" i="10"/>
  <c r="CB259" i="10"/>
  <c r="EI112" i="10"/>
  <c r="CB112" i="10"/>
  <c r="EF56" i="10"/>
  <c r="BY56" i="10"/>
  <c r="EF423" i="10"/>
  <c r="BY423" i="10"/>
  <c r="EF87" i="10"/>
  <c r="BY87" i="10"/>
  <c r="EI338" i="10"/>
  <c r="CB338" i="10"/>
  <c r="EF325" i="10"/>
  <c r="BY325" i="10"/>
  <c r="EE226" i="10"/>
  <c r="EB226" i="10"/>
  <c r="EI235" i="10"/>
  <c r="CB235" i="10"/>
  <c r="EA552" i="10"/>
  <c r="BT552" i="10"/>
  <c r="EA436" i="10"/>
  <c r="BT436" i="10"/>
  <c r="EF541" i="10"/>
  <c r="BY541" i="10"/>
  <c r="EF347" i="10"/>
  <c r="BY347" i="10"/>
  <c r="EI28" i="10"/>
  <c r="CB28" i="10"/>
  <c r="EI406" i="10"/>
  <c r="CB406" i="10"/>
  <c r="F428" i="1"/>
  <c r="E428" i="1"/>
  <c r="E415" i="1"/>
  <c r="F415" i="1"/>
  <c r="EF516" i="10"/>
  <c r="BY516" i="10"/>
  <c r="EI155" i="10"/>
  <c r="CB155" i="10"/>
  <c r="EI390" i="10"/>
  <c r="CB390" i="10"/>
  <c r="EF248" i="10"/>
  <c r="BY248" i="10"/>
  <c r="EE479" i="10"/>
  <c r="EB479" i="10"/>
  <c r="EE86" i="10"/>
  <c r="EB86" i="10"/>
  <c r="EA8" i="10"/>
  <c r="BT8" i="10"/>
  <c r="EF191" i="10"/>
  <c r="BY191" i="10"/>
  <c r="EF414" i="10"/>
  <c r="BY414" i="10"/>
  <c r="E363" i="1"/>
  <c r="F363" i="1"/>
  <c r="EI246" i="10"/>
  <c r="CB246" i="10"/>
  <c r="EI477" i="10"/>
  <c r="CB477" i="10"/>
  <c r="EI545" i="10"/>
  <c r="CB545" i="10"/>
  <c r="E407" i="1"/>
  <c r="F407" i="1"/>
  <c r="EI254" i="10"/>
  <c r="CB254" i="10"/>
  <c r="EI484" i="10"/>
  <c r="CB484" i="10"/>
  <c r="EI345" i="10"/>
  <c r="CB345" i="10"/>
  <c r="EF17" i="10"/>
  <c r="BY17" i="10"/>
  <c r="EI115" i="10"/>
  <c r="CB115" i="10"/>
  <c r="EF250" i="10"/>
  <c r="BY250" i="10"/>
  <c r="F165" i="1"/>
  <c r="E165" i="1"/>
  <c r="EF330" i="10"/>
  <c r="BY330" i="10"/>
  <c r="EF130" i="10"/>
  <c r="BY130" i="10"/>
  <c r="EF531" i="10"/>
  <c r="BY531" i="10"/>
  <c r="EI311" i="10"/>
  <c r="CB311" i="10"/>
  <c r="BT14" i="10"/>
  <c r="EA14" i="10"/>
  <c r="F241" i="1"/>
  <c r="E241" i="1"/>
  <c r="EI415" i="10"/>
  <c r="CB415" i="10"/>
  <c r="EI480" i="10"/>
  <c r="CB480" i="10"/>
  <c r="EI550" i="10"/>
  <c r="CB550" i="10"/>
  <c r="E140" i="1"/>
  <c r="F140" i="1"/>
  <c r="BT137" i="10"/>
  <c r="EA137" i="10"/>
  <c r="EF71" i="10"/>
  <c r="BY71" i="10"/>
  <c r="E518" i="1"/>
  <c r="F518" i="1"/>
  <c r="EA53" i="10"/>
  <c r="BT53" i="10"/>
  <c r="EA562" i="10"/>
  <c r="BT562" i="10"/>
  <c r="EF174" i="10"/>
  <c r="BY174" i="10"/>
  <c r="BT462" i="10"/>
  <c r="EA462" i="10"/>
  <c r="F36" i="1"/>
  <c r="E36" i="1"/>
  <c r="EE422" i="10"/>
  <c r="EB422" i="10"/>
  <c r="EF300" i="10"/>
  <c r="BY300" i="10"/>
  <c r="EE135" i="10"/>
  <c r="EB135" i="10"/>
  <c r="F316" i="1"/>
  <c r="E316" i="1"/>
  <c r="EA379" i="10"/>
  <c r="BT379" i="10"/>
  <c r="EE505" i="10"/>
  <c r="EB505" i="10"/>
  <c r="EA23" i="10"/>
  <c r="BT23" i="10"/>
  <c r="EA421" i="10"/>
  <c r="BT421" i="10"/>
  <c r="EA291" i="10"/>
  <c r="BT291" i="10"/>
  <c r="E41" i="1"/>
  <c r="F41" i="1"/>
  <c r="F194" i="1"/>
  <c r="E194" i="1"/>
  <c r="EA503" i="10"/>
  <c r="BT503" i="10"/>
  <c r="F134" i="1"/>
  <c r="E134" i="1"/>
  <c r="BT558" i="10"/>
  <c r="EA558" i="10"/>
  <c r="BT339" i="10"/>
  <c r="EA339" i="10"/>
  <c r="EE410" i="10"/>
  <c r="EB410" i="10"/>
  <c r="BT542" i="10"/>
  <c r="EA542" i="10"/>
  <c r="EI423" i="10"/>
  <c r="CB423" i="10"/>
  <c r="EI283" i="10"/>
  <c r="CB283" i="10"/>
  <c r="EF161" i="10"/>
  <c r="BY161" i="10"/>
  <c r="F191" i="1"/>
  <c r="E191" i="1"/>
  <c r="EF338" i="10"/>
  <c r="BY338" i="10"/>
  <c r="EE206" i="10"/>
  <c r="EB206" i="10"/>
  <c r="F262" i="1"/>
  <c r="E262" i="1"/>
  <c r="F172" i="1"/>
  <c r="E172" i="1"/>
  <c r="EI38" i="10"/>
  <c r="CB38" i="10"/>
  <c r="F150" i="1"/>
  <c r="E150" i="1"/>
  <c r="EF61" i="10"/>
  <c r="BY61" i="10"/>
  <c r="EF277" i="10"/>
  <c r="BY277" i="10"/>
  <c r="F541" i="1"/>
  <c r="E541" i="1"/>
  <c r="BT537" i="10"/>
  <c r="EA537" i="10"/>
  <c r="EI318" i="10"/>
  <c r="CB318" i="10"/>
  <c r="EF6" i="10"/>
  <c r="BY6" i="10"/>
  <c r="EE221" i="10"/>
  <c r="EB221" i="10"/>
  <c r="F500" i="1"/>
  <c r="E500" i="1"/>
  <c r="EE293" i="10"/>
  <c r="EB293" i="10"/>
  <c r="F300" i="1"/>
  <c r="E300" i="1"/>
  <c r="EI275" i="10"/>
  <c r="CB275" i="10"/>
  <c r="E128" i="1"/>
  <c r="F128" i="1"/>
  <c r="EI519" i="10"/>
  <c r="CB519" i="10"/>
  <c r="F566" i="1"/>
  <c r="E566" i="1"/>
  <c r="EI139" i="10"/>
  <c r="CB139" i="10"/>
  <c r="EE528" i="10"/>
  <c r="EB528" i="10"/>
  <c r="EI305" i="10"/>
  <c r="CB305" i="10"/>
  <c r="EF220" i="10"/>
  <c r="BY220" i="10"/>
  <c r="BT500" i="10"/>
  <c r="EA500" i="10"/>
  <c r="EA369" i="10"/>
  <c r="BT369" i="10"/>
  <c r="E425" i="1"/>
  <c r="F425" i="1"/>
  <c r="EE282" i="10"/>
  <c r="EB282" i="10"/>
  <c r="EI30" i="10"/>
  <c r="CB30" i="10"/>
  <c r="EE124" i="10"/>
  <c r="EB124" i="10"/>
  <c r="BT93" i="10"/>
  <c r="EA93" i="10"/>
  <c r="EA515" i="10"/>
  <c r="BT515" i="10"/>
  <c r="E406" i="1"/>
  <c r="F406" i="1"/>
  <c r="F356" i="1"/>
  <c r="E356" i="1"/>
  <c r="EI249" i="10"/>
  <c r="CB249" i="10"/>
  <c r="EF27" i="10"/>
  <c r="BY27" i="10"/>
  <c r="E78" i="1"/>
  <c r="F78" i="1"/>
  <c r="EI546" i="10"/>
  <c r="CB546" i="10"/>
  <c r="EE390" i="10"/>
  <c r="EB390" i="10"/>
  <c r="EA407" i="10"/>
  <c r="BT407" i="10"/>
  <c r="EI200" i="10"/>
  <c r="CB200" i="10"/>
  <c r="EF474" i="10"/>
  <c r="BY474" i="10"/>
  <c r="EE346" i="10"/>
  <c r="EB346" i="10"/>
  <c r="EF335" i="10"/>
  <c r="BY335" i="10"/>
  <c r="EA321" i="10"/>
  <c r="BT321" i="10"/>
  <c r="EE179" i="10"/>
  <c r="EB179" i="10"/>
  <c r="EI487" i="10"/>
  <c r="CB487" i="10"/>
  <c r="EF267" i="10"/>
  <c r="BY267" i="10"/>
  <c r="EE250" i="10"/>
  <c r="EB250" i="10"/>
  <c r="EE88" i="10"/>
  <c r="EB88" i="10"/>
  <c r="EE134" i="10"/>
  <c r="EB134" i="10"/>
  <c r="EA82" i="10"/>
  <c r="BT82" i="10"/>
  <c r="EI92" i="10"/>
  <c r="CB92" i="10"/>
  <c r="EF133" i="10"/>
  <c r="BY133" i="10"/>
  <c r="EA237" i="10"/>
  <c r="BT237" i="10"/>
  <c r="EF547" i="10"/>
  <c r="BY547" i="10"/>
  <c r="E398" i="1"/>
  <c r="F398" i="1"/>
  <c r="BT324" i="10"/>
  <c r="EA324" i="10"/>
  <c r="EI427" i="10"/>
  <c r="CB427" i="10"/>
  <c r="E538" i="1"/>
  <c r="F538" i="1"/>
  <c r="EE217" i="10"/>
  <c r="EB217" i="10"/>
  <c r="EI137" i="10"/>
  <c r="CB137" i="10"/>
  <c r="EI27" i="10"/>
  <c r="CB27" i="10"/>
  <c r="F382" i="1"/>
  <c r="E382" i="1"/>
  <c r="BT488" i="10"/>
  <c r="EA488" i="10"/>
  <c r="EF24" i="10"/>
  <c r="BY24" i="10"/>
  <c r="EE193" i="10"/>
  <c r="EB193" i="10"/>
  <c r="EF323" i="10"/>
  <c r="BY323" i="10"/>
  <c r="EA508" i="10"/>
  <c r="BT508" i="10"/>
  <c r="EF500" i="10"/>
  <c r="BY500" i="10"/>
  <c r="EF369" i="10"/>
  <c r="BY369" i="10"/>
  <c r="EF20" i="10"/>
  <c r="BY20" i="10"/>
  <c r="F51" i="1"/>
  <c r="E51" i="1"/>
  <c r="EA158" i="10"/>
  <c r="BT158" i="10"/>
  <c r="F472" i="1"/>
  <c r="E472" i="1"/>
  <c r="EE331" i="10"/>
  <c r="EB331" i="10"/>
  <c r="EF501" i="10"/>
  <c r="BY501" i="10"/>
  <c r="EE98" i="10"/>
  <c r="EB98" i="10"/>
  <c r="EE472" i="10"/>
  <c r="EB472" i="10"/>
  <c r="EF399" i="10"/>
  <c r="BY399" i="10"/>
  <c r="EI420" i="10"/>
  <c r="CB420" i="10"/>
  <c r="EI104" i="10"/>
  <c r="CB104" i="10"/>
  <c r="EE281" i="10"/>
  <c r="EB281" i="10"/>
  <c r="EF317" i="10"/>
  <c r="BY317" i="10"/>
  <c r="EE523" i="10"/>
  <c r="EB523" i="10"/>
  <c r="E257" i="1"/>
  <c r="F257" i="1"/>
  <c r="EE94" i="10"/>
  <c r="EB94" i="10"/>
  <c r="EI25" i="10"/>
  <c r="CB25" i="10"/>
  <c r="EF4" i="10"/>
  <c r="BY4" i="10"/>
  <c r="AG15" i="10"/>
  <c r="AE15" i="10" s="1"/>
  <c r="AG34" i="10"/>
  <c r="AE34" i="10" s="1"/>
  <c r="AG53" i="10"/>
  <c r="AE53" i="10" s="1"/>
  <c r="AG5" i="10"/>
  <c r="AE5" i="10" s="1"/>
  <c r="AG20" i="10"/>
  <c r="AE20" i="10" s="1"/>
  <c r="AG38" i="10"/>
  <c r="AE38" i="10" s="1"/>
  <c r="AG56" i="10"/>
  <c r="AE56" i="10" s="1"/>
  <c r="AG7" i="10"/>
  <c r="AG21" i="10"/>
  <c r="AE21" i="10" s="1"/>
  <c r="AG39" i="10"/>
  <c r="AE39" i="10" s="1"/>
  <c r="AG60" i="10"/>
  <c r="AE60" i="10" s="1"/>
  <c r="AG9" i="10"/>
  <c r="AE9" i="10" s="1"/>
  <c r="AG25" i="10"/>
  <c r="AE25" i="10" s="1"/>
  <c r="AG42" i="10"/>
  <c r="AE42" i="10" s="1"/>
  <c r="AG63" i="10"/>
  <c r="AE63" i="10" s="1"/>
  <c r="AG12" i="10"/>
  <c r="AE12" i="10" s="1"/>
  <c r="AG30" i="10"/>
  <c r="AE30" i="10" s="1"/>
  <c r="AG49" i="10"/>
  <c r="AE49" i="10" s="1"/>
  <c r="AG13" i="10"/>
  <c r="AE13" i="10" s="1"/>
  <c r="AG31" i="10"/>
  <c r="AE31" i="10" s="1"/>
  <c r="AG51" i="10"/>
  <c r="AE51" i="10" s="1"/>
  <c r="AG10" i="10"/>
  <c r="AE10" i="10" s="1"/>
  <c r="AG16" i="10"/>
  <c r="AE16" i="10" s="1"/>
  <c r="AG29" i="10"/>
  <c r="AE29" i="10" s="1"/>
  <c r="AG35" i="10"/>
  <c r="AE35" i="10" s="1"/>
  <c r="AG55" i="10"/>
  <c r="AE55" i="10" s="1"/>
  <c r="AG64" i="10"/>
  <c r="AE64" i="10" s="1"/>
  <c r="AG43" i="10"/>
  <c r="AE43" i="10" s="1"/>
  <c r="AG36" i="10"/>
  <c r="AG54" i="10"/>
  <c r="AE54" i="10" s="1"/>
  <c r="AG62" i="10"/>
  <c r="AE62" i="10" s="1"/>
  <c r="AG22" i="10"/>
  <c r="AG4" i="10"/>
  <c r="AE4" i="10" s="1"/>
  <c r="AG19" i="10"/>
  <c r="AE19" i="10" s="1"/>
  <c r="AG47" i="10"/>
  <c r="AE47" i="10" s="1"/>
  <c r="AG45" i="10"/>
  <c r="AE45" i="10" s="1"/>
  <c r="AG33" i="10"/>
  <c r="AE33" i="10" s="1"/>
  <c r="AG17" i="10"/>
  <c r="AE17" i="10" s="1"/>
  <c r="AG37" i="10"/>
  <c r="AE37" i="10" s="1"/>
  <c r="AG46" i="10"/>
  <c r="AE46" i="10" s="1"/>
  <c r="AG26" i="10"/>
  <c r="AE26" i="10" s="1"/>
  <c r="AG11" i="10"/>
  <c r="AE11" i="10" s="1"/>
  <c r="AG27" i="10"/>
  <c r="AE27" i="10" s="1"/>
  <c r="AG18" i="10"/>
  <c r="AE18" i="10" s="1"/>
  <c r="F119" i="1"/>
  <c r="E119" i="1"/>
  <c r="EI142" i="10"/>
  <c r="CB142" i="10"/>
  <c r="EF303" i="10"/>
  <c r="BY303" i="10"/>
  <c r="EF164" i="10"/>
  <c r="BY164" i="10"/>
  <c r="F395" i="1"/>
  <c r="E395" i="1"/>
  <c r="EE378" i="10"/>
  <c r="EB378" i="10"/>
  <c r="EE91" i="10"/>
  <c r="EB91" i="10"/>
  <c r="EI109" i="10"/>
  <c r="CB109" i="10"/>
  <c r="EI258" i="10"/>
  <c r="CB258" i="10"/>
  <c r="EE519" i="10"/>
  <c r="EB519" i="10"/>
  <c r="EA154" i="10"/>
  <c r="BT154" i="10"/>
  <c r="EF118" i="10"/>
  <c r="BY118" i="10"/>
  <c r="E378" i="1"/>
  <c r="F378" i="1"/>
  <c r="EI287" i="10"/>
  <c r="CB287" i="10"/>
  <c r="EF185" i="10"/>
  <c r="BY185" i="10"/>
  <c r="F280" i="1"/>
  <c r="E280" i="1"/>
  <c r="EA199" i="10"/>
  <c r="BT199" i="10"/>
  <c r="EF59" i="10"/>
  <c r="BY59" i="10"/>
  <c r="EF257" i="10"/>
  <c r="BY257" i="10"/>
  <c r="E331" i="1"/>
  <c r="F331" i="1"/>
  <c r="EF163" i="10"/>
  <c r="BY163" i="10"/>
  <c r="EF31" i="10"/>
  <c r="BY31" i="10"/>
  <c r="F133" i="1"/>
  <c r="E133" i="1"/>
  <c r="EE560" i="10"/>
  <c r="EB560" i="10"/>
  <c r="EF255" i="10"/>
  <c r="BY255" i="10"/>
  <c r="E203" i="1"/>
  <c r="F203" i="1"/>
  <c r="EE200" i="10"/>
  <c r="EB200" i="10"/>
  <c r="BT215" i="10"/>
  <c r="EA215" i="10"/>
  <c r="EF555" i="10"/>
  <c r="BY555" i="10"/>
  <c r="EI416" i="10"/>
  <c r="CB416" i="10"/>
  <c r="F252" i="1"/>
  <c r="E252" i="1"/>
  <c r="EE276" i="10"/>
  <c r="EB276" i="10"/>
  <c r="EI395" i="10"/>
  <c r="CB395" i="10"/>
  <c r="EE161" i="10"/>
  <c r="EB161" i="10"/>
  <c r="BT84" i="10"/>
  <c r="EA84" i="10"/>
  <c r="EI179" i="10"/>
  <c r="CB179" i="10"/>
  <c r="E19" i="1"/>
  <c r="F19" i="1"/>
  <c r="EI251" i="10"/>
  <c r="CB251" i="10"/>
  <c r="EF25" i="10"/>
  <c r="BY25" i="10"/>
  <c r="EF134" i="10"/>
  <c r="BY134" i="10"/>
  <c r="F231" i="1"/>
  <c r="E231" i="1"/>
  <c r="EI459" i="10"/>
  <c r="CB459" i="10"/>
  <c r="EF151" i="10"/>
  <c r="BY151" i="10"/>
  <c r="EA458" i="10"/>
  <c r="BT458" i="10"/>
  <c r="AG58" i="10"/>
  <c r="AE58" i="10" s="1"/>
  <c r="N563" i="10"/>
  <c r="EF14" i="10"/>
  <c r="BY14" i="10"/>
  <c r="BT322" i="10"/>
  <c r="EA322" i="10"/>
  <c r="EF229" i="10"/>
  <c r="BY229" i="10"/>
  <c r="EA513" i="10"/>
  <c r="BT513" i="10"/>
  <c r="BT184" i="10"/>
  <c r="EA184" i="10"/>
  <c r="EF260" i="10"/>
  <c r="BY260" i="10"/>
  <c r="EE55" i="10"/>
  <c r="EB55" i="10"/>
  <c r="EI216" i="10"/>
  <c r="CB216" i="10"/>
  <c r="EA448" i="10"/>
  <c r="BT448" i="10"/>
  <c r="EI391" i="10"/>
  <c r="CB391" i="10"/>
  <c r="EI442" i="10"/>
  <c r="CB442" i="10"/>
  <c r="EF212" i="10"/>
  <c r="BY212" i="10"/>
  <c r="EI194" i="10"/>
  <c r="CB194" i="10"/>
  <c r="EI203" i="10"/>
  <c r="CB203" i="10"/>
  <c r="BT238" i="10"/>
  <c r="EA238" i="10"/>
  <c r="BT446" i="10"/>
  <c r="EA446" i="10"/>
  <c r="EI512" i="10"/>
  <c r="CB512" i="10"/>
  <c r="BT444" i="10"/>
  <c r="EA444" i="10"/>
  <c r="E565" i="1"/>
  <c r="F565" i="1"/>
  <c r="AG50" i="10"/>
  <c r="AE50" i="10" s="1"/>
  <c r="N551" i="10"/>
  <c r="EI340" i="10"/>
  <c r="CB340" i="10"/>
  <c r="E208" i="1"/>
  <c r="F208" i="1"/>
  <c r="EE263" i="10"/>
  <c r="EB263" i="10"/>
  <c r="F59" i="1"/>
  <c r="E59" i="1"/>
  <c r="BT536" i="10"/>
  <c r="EA536" i="10"/>
  <c r="EF258" i="10"/>
  <c r="BY258" i="10"/>
  <c r="EI15" i="10"/>
  <c r="CB15" i="10"/>
  <c r="EF534" i="10"/>
  <c r="BY534" i="10"/>
  <c r="EF489" i="10"/>
  <c r="BY489" i="10"/>
  <c r="EI501" i="10"/>
  <c r="CB501" i="10"/>
  <c r="F33" i="1"/>
  <c r="E33" i="1"/>
  <c r="EF241" i="10"/>
  <c r="BY241" i="10"/>
  <c r="EI542" i="10"/>
  <c r="CB542" i="10"/>
  <c r="EI337" i="10"/>
  <c r="CB337" i="10"/>
  <c r="EI7" i="10"/>
  <c r="CB7" i="10"/>
  <c r="EF206" i="10"/>
  <c r="BY206" i="10"/>
  <c r="E63" i="1"/>
  <c r="F63" i="1"/>
  <c r="EF88" i="10"/>
  <c r="BY88" i="10"/>
  <c r="EI445" i="10"/>
  <c r="CB445" i="10"/>
  <c r="EE467" i="10"/>
  <c r="EB467" i="10"/>
  <c r="EF475" i="10"/>
  <c r="BY475" i="10"/>
  <c r="EE330" i="10"/>
  <c r="EB330" i="10"/>
  <c r="EI69" i="10"/>
  <c r="CB69" i="10"/>
  <c r="EF443" i="10"/>
  <c r="BY443" i="10"/>
  <c r="EA38" i="10"/>
  <c r="BT38" i="10"/>
  <c r="EI14" i="10"/>
  <c r="CB14" i="10"/>
  <c r="EE190" i="10"/>
  <c r="EB190" i="10"/>
  <c r="EI232" i="10"/>
  <c r="CB232" i="10"/>
  <c r="EI207" i="10"/>
  <c r="CB207" i="10"/>
  <c r="EE197" i="10"/>
  <c r="EB197" i="10"/>
  <c r="EI559" i="10"/>
  <c r="CB559" i="10"/>
  <c r="EE367" i="10"/>
  <c r="EB367" i="10"/>
  <c r="EE182" i="10"/>
  <c r="EB182" i="10"/>
  <c r="BT146" i="10"/>
  <c r="EA146" i="10"/>
  <c r="EF503" i="10"/>
  <c r="BY503" i="10"/>
  <c r="EE365" i="10"/>
  <c r="EB365" i="10"/>
  <c r="EI426" i="10"/>
  <c r="CB426" i="10"/>
  <c r="EF204" i="10"/>
  <c r="BY204" i="10"/>
  <c r="EE447" i="10"/>
  <c r="EB447" i="10"/>
  <c r="EI132" i="10"/>
  <c r="CB132" i="10"/>
  <c r="EF332" i="10"/>
  <c r="BY332" i="10"/>
  <c r="EF57" i="10"/>
  <c r="BY57" i="10"/>
  <c r="EI551" i="10"/>
  <c r="CB551" i="10"/>
  <c r="EI413" i="10"/>
  <c r="CB413" i="10"/>
  <c r="EF223" i="10"/>
  <c r="BY223" i="10"/>
  <c r="EF29" i="10"/>
  <c r="BY29" i="10"/>
  <c r="EA113" i="10"/>
  <c r="BT113" i="10"/>
  <c r="EE180" i="10"/>
  <c r="EB180" i="10"/>
  <c r="BT219" i="10"/>
  <c r="EA219" i="10"/>
  <c r="EE375" i="10"/>
  <c r="EB375" i="10"/>
  <c r="EI59" i="10"/>
  <c r="CB59" i="10"/>
  <c r="EE259" i="10"/>
  <c r="EB259" i="10"/>
  <c r="EF523" i="10"/>
  <c r="BY523" i="10"/>
  <c r="EI47" i="10"/>
  <c r="CB47" i="10"/>
  <c r="EI175" i="10"/>
  <c r="CB175" i="10"/>
  <c r="EA592" i="10"/>
  <c r="BT592" i="10"/>
  <c r="BT598" i="10"/>
  <c r="EA598" i="10"/>
  <c r="EA580" i="10"/>
  <c r="BT580" i="10"/>
  <c r="BT578" i="10"/>
  <c r="EA578" i="10"/>
  <c r="BT568" i="10"/>
  <c r="EA568" i="10"/>
  <c r="EF402" i="10"/>
  <c r="BY402" i="10"/>
  <c r="AG6" i="10"/>
  <c r="AE6" i="10" s="1"/>
  <c r="N51" i="10"/>
  <c r="EE461" i="10"/>
  <c r="EB461" i="10"/>
  <c r="EF401" i="10"/>
  <c r="BY401" i="10"/>
  <c r="EE261" i="10"/>
  <c r="EB261" i="10"/>
  <c r="EI4" i="10"/>
  <c r="CB4" i="10"/>
  <c r="AO6" i="10"/>
  <c r="AM6" i="10" s="1"/>
  <c r="AO15" i="10"/>
  <c r="AM15" i="10" s="1"/>
  <c r="AO9" i="10"/>
  <c r="AM9" i="10" s="1"/>
  <c r="AO19" i="10"/>
  <c r="AM19" i="10" s="1"/>
  <c r="AO14" i="10"/>
  <c r="AM14" i="10" s="1"/>
  <c r="AO16" i="10"/>
  <c r="AM16" i="10" s="1"/>
  <c r="AO8" i="10"/>
  <c r="AM8" i="10" s="1"/>
  <c r="AO11" i="10"/>
  <c r="AM11" i="10" s="1"/>
  <c r="AO12" i="10"/>
  <c r="AO17" i="10"/>
  <c r="AM17" i="10" s="1"/>
  <c r="AO4" i="10"/>
  <c r="AM4" i="10" s="1"/>
  <c r="AO18" i="10"/>
  <c r="AM18" i="10" s="1"/>
  <c r="AO5" i="10"/>
  <c r="AO13" i="10"/>
  <c r="AM13" i="10" s="1"/>
  <c r="AO10" i="10"/>
  <c r="AM10" i="10" s="1"/>
  <c r="AO7" i="10"/>
  <c r="AM7" i="10" s="1"/>
  <c r="EI473" i="10"/>
  <c r="CB473" i="10"/>
  <c r="EI514" i="10"/>
  <c r="CB514" i="10"/>
  <c r="BY256" i="10"/>
  <c r="EF256" i="10"/>
  <c r="EF324" i="10"/>
  <c r="BY324" i="10"/>
  <c r="EE205" i="10"/>
  <c r="EB205" i="10"/>
  <c r="EF269" i="10"/>
  <c r="BY269" i="10"/>
  <c r="EE260" i="10"/>
  <c r="EB260" i="10"/>
  <c r="EF367" i="10"/>
  <c r="BY367" i="10"/>
  <c r="EI242" i="10"/>
  <c r="CB242" i="10"/>
  <c r="EF506" i="10"/>
  <c r="BY506" i="10"/>
  <c r="EI50" i="10"/>
  <c r="CB50" i="10"/>
  <c r="EI116" i="10"/>
  <c r="CB116" i="10"/>
  <c r="EE301" i="10"/>
  <c r="EB301" i="10"/>
  <c r="EF313" i="10"/>
  <c r="BY313" i="10"/>
  <c r="EE108" i="10"/>
  <c r="EB108" i="10"/>
  <c r="EI348" i="10"/>
  <c r="CB348" i="10"/>
  <c r="EE241" i="10"/>
  <c r="EB241" i="10"/>
  <c r="EF307" i="10"/>
  <c r="BY307" i="10"/>
  <c r="EF110" i="10"/>
  <c r="BY110" i="10"/>
  <c r="EF518" i="10"/>
  <c r="BY518" i="10"/>
  <c r="EE474" i="10"/>
  <c r="EB474" i="10"/>
  <c r="EE363" i="10"/>
  <c r="EB363" i="10"/>
  <c r="EI16" i="10"/>
  <c r="CB16" i="10"/>
  <c r="EI68" i="10"/>
  <c r="CB68" i="10"/>
  <c r="E256" i="1"/>
  <c r="F256" i="1"/>
  <c r="EA178" i="10"/>
  <c r="BT178" i="10"/>
  <c r="F145" i="1"/>
  <c r="E145" i="1"/>
  <c r="EE120" i="10"/>
  <c r="EB120" i="10"/>
  <c r="E399" i="1"/>
  <c r="F399" i="1"/>
  <c r="EE72" i="10"/>
  <c r="EB72" i="10"/>
  <c r="EE433" i="10"/>
  <c r="EB433" i="10"/>
  <c r="EI205" i="10"/>
  <c r="CB205" i="10"/>
  <c r="EF279" i="10"/>
  <c r="BY279" i="10"/>
  <c r="BY352" i="10"/>
  <c r="EF352" i="10"/>
  <c r="EA481" i="10"/>
  <c r="BT481" i="10"/>
  <c r="EA532" i="10"/>
  <c r="BT532" i="10"/>
  <c r="EF375" i="10"/>
  <c r="BY375" i="10"/>
  <c r="F549" i="1"/>
  <c r="E549" i="1"/>
  <c r="E224" i="1"/>
  <c r="F224" i="1"/>
  <c r="BY32" i="10"/>
  <c r="EF32" i="10"/>
  <c r="EE309" i="10"/>
  <c r="EB309" i="10"/>
  <c r="BT372" i="10"/>
  <c r="EA372" i="10"/>
  <c r="EF22" i="10"/>
  <c r="BY22" i="10"/>
  <c r="EA284" i="10"/>
  <c r="BT284" i="10"/>
  <c r="F335" i="1"/>
  <c r="E335" i="1"/>
  <c r="EE285" i="10"/>
  <c r="EB285" i="10"/>
  <c r="EE332" i="10"/>
  <c r="EB332" i="10"/>
  <c r="BU379" i="10"/>
  <c r="EE373" i="10"/>
  <c r="EB373" i="10"/>
  <c r="EE553" i="10"/>
  <c r="EB553" i="10"/>
  <c r="EE313" i="10"/>
  <c r="EB313" i="10"/>
  <c r="EF95" i="10"/>
  <c r="BY95" i="10"/>
  <c r="EE493" i="10"/>
  <c r="EB493" i="10"/>
  <c r="EA428" i="10"/>
  <c r="BT428" i="10"/>
  <c r="E358" i="1"/>
  <c r="F358" i="1"/>
  <c r="AG14" i="10"/>
  <c r="AE14" i="10" s="1"/>
  <c r="N123" i="10"/>
  <c r="EF259" i="10"/>
  <c r="BY259" i="10"/>
  <c r="EE486" i="10"/>
  <c r="EB486" i="10"/>
  <c r="EI525" i="10"/>
  <c r="CB525" i="10"/>
  <c r="BT395" i="10"/>
  <c r="EA395" i="10"/>
  <c r="EF461" i="10"/>
  <c r="BY461" i="10"/>
  <c r="EE153" i="10"/>
  <c r="EB153" i="10"/>
  <c r="EE169" i="10"/>
  <c r="EB169" i="10"/>
  <c r="BT387" i="10"/>
  <c r="EA387" i="10"/>
  <c r="EA63" i="10"/>
  <c r="BT63" i="10"/>
  <c r="EF400" i="10"/>
  <c r="BY400" i="10"/>
  <c r="EF99" i="10"/>
  <c r="BY99" i="10"/>
  <c r="BY552" i="10"/>
  <c r="EF552" i="10"/>
  <c r="EF532" i="10"/>
  <c r="BY532" i="10"/>
  <c r="BT128" i="10"/>
  <c r="EA128" i="10"/>
  <c r="EF370" i="10"/>
  <c r="BY370" i="10"/>
  <c r="EE212" i="10"/>
  <c r="EB212" i="10"/>
  <c r="EI470" i="10"/>
  <c r="CB470" i="10"/>
  <c r="BT258" i="10"/>
  <c r="EA258" i="10"/>
  <c r="E305" i="1"/>
  <c r="F305" i="1"/>
  <c r="EA58" i="10"/>
  <c r="BT58" i="10"/>
  <c r="EA202" i="10"/>
  <c r="BT202" i="10"/>
  <c r="EA31" i="10"/>
  <c r="BT31" i="10"/>
  <c r="BT323" i="10"/>
  <c r="EA323" i="10"/>
  <c r="CB301" i="10"/>
  <c r="EI301" i="10"/>
  <c r="F540" i="1"/>
  <c r="E540" i="1"/>
  <c r="EF143" i="10"/>
  <c r="BY143" i="10"/>
  <c r="F131" i="1"/>
  <c r="E131" i="1"/>
  <c r="EI185" i="10"/>
  <c r="CB185" i="10"/>
  <c r="EE495" i="10"/>
  <c r="EB495" i="10"/>
  <c r="BY96" i="10"/>
  <c r="EF96" i="10"/>
  <c r="EF421" i="10"/>
  <c r="BY421" i="10"/>
  <c r="EI192" i="10"/>
  <c r="CB192" i="10"/>
  <c r="EI429" i="10"/>
  <c r="CB429" i="10"/>
  <c r="F294" i="1"/>
  <c r="E294" i="1"/>
  <c r="E235" i="1"/>
  <c r="F235" i="1"/>
  <c r="EF9" i="10"/>
  <c r="BY9" i="10"/>
  <c r="EF412" i="10"/>
  <c r="BY412" i="10"/>
  <c r="EE74" i="10"/>
  <c r="EB74" i="10"/>
  <c r="E539" i="1"/>
  <c r="F539" i="1"/>
  <c r="EI299" i="10"/>
  <c r="CB299" i="10"/>
  <c r="EA319" i="10"/>
  <c r="BT319" i="10"/>
  <c r="BT90" i="10"/>
  <c r="EA90" i="10"/>
  <c r="EE132" i="10"/>
  <c r="EB132" i="10"/>
  <c r="EF89" i="10"/>
  <c r="BY89" i="10"/>
  <c r="E546" i="1"/>
  <c r="F546" i="1"/>
  <c r="EI86" i="10"/>
  <c r="CB86" i="10"/>
  <c r="F424" i="1"/>
  <c r="E424" i="1"/>
  <c r="EE420" i="10"/>
  <c r="EB420" i="10"/>
  <c r="BY104" i="10"/>
  <c r="EF104" i="10"/>
  <c r="BT355" i="10"/>
  <c r="EA355" i="10"/>
  <c r="EI486" i="10"/>
  <c r="CB486" i="10"/>
  <c r="EA545" i="10"/>
  <c r="BT545" i="10"/>
  <c r="EI74" i="10"/>
  <c r="CB74" i="10"/>
  <c r="EA141" i="10"/>
  <c r="BT141" i="10"/>
  <c r="E146" i="1"/>
  <c r="F146" i="1"/>
  <c r="EI257" i="10"/>
  <c r="CB257" i="10"/>
  <c r="F163" i="1"/>
  <c r="E163" i="1"/>
  <c r="EE160" i="10"/>
  <c r="EB160" i="10"/>
  <c r="EI401" i="10"/>
  <c r="CB401" i="10"/>
  <c r="EA4" i="10"/>
  <c r="BT4" i="10"/>
  <c r="EI172" i="10"/>
  <c r="CB172" i="10"/>
  <c r="EE544" i="10"/>
  <c r="EB544" i="10"/>
  <c r="EI63" i="10"/>
  <c r="CB63" i="10"/>
  <c r="EF159" i="10"/>
  <c r="BY159" i="10"/>
  <c r="BT473" i="10"/>
  <c r="EA473" i="10"/>
  <c r="EE164" i="10"/>
  <c r="EB164" i="10"/>
  <c r="EI344" i="10"/>
  <c r="CB344" i="10"/>
  <c r="EF550" i="10"/>
  <c r="BY550" i="10"/>
  <c r="BT42" i="10"/>
  <c r="EA42" i="10"/>
  <c r="EE442" i="10"/>
  <c r="EB442" i="10"/>
  <c r="BT156" i="10"/>
  <c r="EA156" i="10"/>
  <c r="EE148" i="10"/>
  <c r="EB148" i="10"/>
  <c r="EI66" i="10"/>
  <c r="CB66" i="10"/>
  <c r="EF293" i="10"/>
  <c r="BY293" i="10"/>
  <c r="EE288" i="10"/>
  <c r="EB288" i="10"/>
  <c r="EF451" i="10"/>
  <c r="BY451" i="10"/>
  <c r="EI422" i="10"/>
  <c r="CB422" i="10"/>
  <c r="EF126" i="10"/>
  <c r="BY126" i="10"/>
  <c r="EE554" i="10"/>
  <c r="EB554" i="10"/>
  <c r="EI285" i="10"/>
  <c r="CB285" i="10"/>
  <c r="F524" i="1"/>
  <c r="E524" i="1"/>
  <c r="EE382" i="10"/>
  <c r="EB382" i="10"/>
  <c r="EE349" i="10"/>
  <c r="EB349" i="10"/>
  <c r="EF495" i="10"/>
  <c r="BY495" i="10"/>
  <c r="EF460" i="10"/>
  <c r="BY460" i="10"/>
  <c r="EE340" i="10"/>
  <c r="EB340" i="10"/>
  <c r="EE201" i="10"/>
  <c r="EB201" i="10"/>
  <c r="EI555" i="10"/>
  <c r="CB555" i="10"/>
  <c r="EF7" i="10"/>
  <c r="BY7" i="10"/>
  <c r="EA350" i="10"/>
  <c r="BT350" i="10"/>
  <c r="EI10" i="10"/>
  <c r="CB10" i="10"/>
  <c r="EF486" i="10"/>
  <c r="BY486" i="10"/>
  <c r="EE452" i="10"/>
  <c r="EB452" i="10"/>
  <c r="BT307" i="10"/>
  <c r="EA307" i="10"/>
  <c r="E535" i="1"/>
  <c r="F535" i="1"/>
  <c r="EE17" i="10"/>
  <c r="EB17" i="10"/>
  <c r="EI162" i="10"/>
  <c r="CB162" i="10"/>
  <c r="EF228" i="10"/>
  <c r="BY228" i="10"/>
  <c r="BT251" i="10"/>
  <c r="EA251" i="10"/>
  <c r="EA405" i="10"/>
  <c r="BT405" i="10"/>
  <c r="EE151" i="10"/>
  <c r="EB151" i="10"/>
  <c r="E568" i="1"/>
  <c r="F568" i="1"/>
  <c r="E466" i="1"/>
  <c r="F466" i="1"/>
  <c r="F77" i="1"/>
  <c r="E77" i="1"/>
  <c r="EE465" i="10"/>
  <c r="EB465" i="10"/>
  <c r="EA386" i="10"/>
  <c r="BT386" i="10"/>
  <c r="F225" i="1"/>
  <c r="E225" i="1"/>
  <c r="EA110" i="10"/>
  <c r="BT110" i="10"/>
  <c r="EF504" i="10"/>
  <c r="BY504" i="10"/>
  <c r="EI367" i="10"/>
  <c r="CB367" i="10"/>
  <c r="EI42" i="10"/>
  <c r="CB42" i="10"/>
  <c r="EI529" i="10"/>
  <c r="CB529" i="10"/>
  <c r="EE520" i="10"/>
  <c r="EB520" i="10"/>
  <c r="EF455" i="10"/>
  <c r="BY455" i="10"/>
  <c r="EI288" i="10"/>
  <c r="CB288" i="10"/>
  <c r="E530" i="1"/>
  <c r="F530" i="1"/>
  <c r="EF422" i="10"/>
  <c r="BY422" i="10"/>
  <c r="EI438" i="10"/>
  <c r="CB438" i="10"/>
  <c r="EI126" i="10"/>
  <c r="CB126" i="10"/>
  <c r="E458" i="1"/>
  <c r="F458" i="1"/>
  <c r="EI362" i="10"/>
  <c r="CB362" i="10"/>
  <c r="CB101" i="10"/>
  <c r="EI101" i="10"/>
  <c r="EA187" i="10"/>
  <c r="BT187" i="10"/>
  <c r="EF304" i="10"/>
  <c r="BY304" i="10"/>
  <c r="EE220" i="10"/>
  <c r="EB220" i="10"/>
  <c r="EF46" i="10"/>
  <c r="BY46" i="10"/>
  <c r="BT57" i="10"/>
  <c r="EA57" i="10"/>
  <c r="EF218" i="10"/>
  <c r="BY218" i="10"/>
  <c r="EA192" i="10"/>
  <c r="BT192" i="10"/>
  <c r="EF463" i="10"/>
  <c r="BY463" i="10"/>
  <c r="BT492" i="10"/>
  <c r="EA492" i="10"/>
  <c r="BT449" i="10"/>
  <c r="EA449" i="10"/>
  <c r="EE470" i="10"/>
  <c r="EB470" i="10"/>
  <c r="EA272" i="10"/>
  <c r="BT272" i="10"/>
  <c r="F125" i="1"/>
  <c r="E125" i="1"/>
  <c r="AG24" i="10"/>
  <c r="AE24" i="10" s="1"/>
  <c r="N215" i="10"/>
  <c r="EF452" i="10"/>
  <c r="BY452" i="10"/>
  <c r="EI411" i="10"/>
  <c r="CB411" i="10"/>
  <c r="EE530" i="10"/>
  <c r="EB530" i="10"/>
  <c r="EF77" i="10"/>
  <c r="BY77" i="10"/>
  <c r="EF162" i="10"/>
  <c r="BY162" i="10"/>
  <c r="EE487" i="10"/>
  <c r="EB487" i="10"/>
  <c r="EF363" i="10"/>
  <c r="BY363" i="10"/>
  <c r="EI393" i="10"/>
  <c r="CB393" i="10"/>
  <c r="EI73" i="10"/>
  <c r="CB73" i="10"/>
  <c r="EE563" i="10"/>
  <c r="EB563" i="10"/>
  <c r="EI130" i="10"/>
  <c r="CB130" i="10"/>
  <c r="EF190" i="10"/>
  <c r="BY190" i="10"/>
  <c r="EE35" i="10"/>
  <c r="EB35" i="10"/>
  <c r="EE207" i="10"/>
  <c r="EB207" i="10"/>
  <c r="EE491" i="10"/>
  <c r="EB491" i="10"/>
  <c r="F452" i="1"/>
  <c r="E452" i="1"/>
  <c r="EI302" i="10"/>
  <c r="CB302" i="10"/>
  <c r="EF529" i="10"/>
  <c r="BY529" i="10"/>
  <c r="EE383" i="10"/>
  <c r="EB383" i="10"/>
  <c r="EF62" i="10"/>
  <c r="BY62" i="10"/>
  <c r="EE19" i="10"/>
  <c r="EB19" i="10"/>
  <c r="EF462" i="10"/>
  <c r="BY462" i="10"/>
  <c r="EA44" i="10"/>
  <c r="BT44" i="10"/>
  <c r="EI127" i="10"/>
  <c r="CB127" i="10"/>
  <c r="F236" i="1"/>
  <c r="E236" i="1"/>
  <c r="EF173" i="10"/>
  <c r="BY173" i="10"/>
  <c r="EE22" i="10"/>
  <c r="EB22" i="10"/>
  <c r="EF101" i="10"/>
  <c r="BY101" i="10"/>
  <c r="EF343" i="10"/>
  <c r="BY343" i="10"/>
  <c r="EI89" i="10"/>
  <c r="CB89" i="10"/>
  <c r="EE105" i="10"/>
  <c r="EB105" i="10"/>
  <c r="EI78" i="10"/>
  <c r="CB78" i="10"/>
  <c r="EF215" i="10"/>
  <c r="BY215" i="10"/>
  <c r="EI435" i="10"/>
  <c r="CB435" i="10"/>
  <c r="EF179" i="10"/>
  <c r="BY179" i="10"/>
  <c r="EF483" i="10"/>
  <c r="BY483" i="10"/>
  <c r="F308" i="1"/>
  <c r="E308" i="1"/>
  <c r="EE384" i="10"/>
  <c r="EB384" i="10"/>
  <c r="EI322" i="10"/>
  <c r="CB322" i="10"/>
  <c r="EE440" i="10"/>
  <c r="EB440" i="10"/>
  <c r="E169" i="1"/>
  <c r="F169" i="1"/>
  <c r="EF117" i="10"/>
  <c r="BY117" i="10"/>
  <c r="EE211" i="10"/>
  <c r="EB211" i="10"/>
  <c r="EF154" i="10"/>
  <c r="BY154" i="10"/>
  <c r="EA482" i="10"/>
  <c r="BT482" i="10"/>
  <c r="EE10" i="10"/>
  <c r="EB10" i="10"/>
  <c r="EF245" i="10"/>
  <c r="BY245" i="10"/>
  <c r="EF557" i="10"/>
  <c r="BY557" i="10"/>
  <c r="E431" i="1"/>
  <c r="F431" i="1"/>
  <c r="EI385" i="10"/>
  <c r="CB385" i="10"/>
  <c r="EI64" i="10"/>
  <c r="CB64" i="10"/>
  <c r="EI178" i="10"/>
  <c r="CB178" i="10"/>
  <c r="EF458" i="10"/>
  <c r="BY458" i="10"/>
  <c r="EF517" i="10"/>
  <c r="BY517" i="10"/>
  <c r="EF322" i="10"/>
  <c r="BY322" i="10"/>
  <c r="BT344" i="10"/>
  <c r="EA344" i="10"/>
  <c r="EF90" i="10"/>
  <c r="BY90" i="10"/>
  <c r="EE408" i="10"/>
  <c r="EB408" i="10"/>
  <c r="EI334" i="10"/>
  <c r="CB334" i="10"/>
  <c r="EF55" i="10"/>
  <c r="BY55" i="10"/>
  <c r="EE302" i="10"/>
  <c r="EB302" i="10"/>
  <c r="EF314" i="10"/>
  <c r="BY314" i="10"/>
  <c r="EI562" i="10"/>
  <c r="CB562" i="10"/>
  <c r="EI306" i="10"/>
  <c r="CB306" i="10"/>
  <c r="EI45" i="10"/>
  <c r="CB45" i="10"/>
  <c r="AG61" i="10"/>
  <c r="AE61" i="10" s="1"/>
  <c r="N203" i="10"/>
  <c r="EI163" i="10"/>
  <c r="CB163" i="10"/>
  <c r="EI284" i="10"/>
  <c r="CB284" i="10"/>
  <c r="EE11" i="10"/>
  <c r="EB11" i="10"/>
  <c r="EE121" i="10"/>
  <c r="EB121" i="10"/>
  <c r="EI495" i="10"/>
  <c r="CB495" i="10"/>
  <c r="EF15" i="10"/>
  <c r="BY15" i="10"/>
  <c r="EE437" i="10"/>
  <c r="EB437" i="10"/>
  <c r="EF226" i="10"/>
  <c r="BY226" i="10"/>
  <c r="EA358" i="10"/>
  <c r="BT358" i="10"/>
  <c r="EE41" i="10"/>
  <c r="EB41" i="10"/>
  <c r="EE541" i="10"/>
  <c r="EB541" i="10"/>
  <c r="EE441" i="10"/>
  <c r="EB441" i="10"/>
  <c r="EI485" i="10"/>
  <c r="CB485" i="10"/>
  <c r="EF428" i="10"/>
  <c r="BY428" i="10"/>
  <c r="EE538" i="10"/>
  <c r="EB538" i="10"/>
  <c r="EI335" i="10"/>
  <c r="CB335" i="10"/>
  <c r="EA590" i="10"/>
  <c r="BT590" i="10"/>
  <c r="BT583" i="10"/>
  <c r="EA583" i="10"/>
  <c r="EA576" i="10"/>
  <c r="BT576" i="10"/>
  <c r="BT564" i="10"/>
  <c r="EA564" i="10"/>
  <c r="EI262" i="10"/>
  <c r="CB262" i="10"/>
  <c r="EI17" i="10"/>
  <c r="CB17" i="10"/>
  <c r="EE51" i="10"/>
  <c r="EB51" i="10"/>
  <c r="EI88" i="10"/>
  <c r="CB88" i="10"/>
  <c r="EF227" i="10"/>
  <c r="BY227" i="10"/>
  <c r="EF219" i="10"/>
  <c r="BY219" i="10"/>
  <c r="EF533" i="10"/>
  <c r="BY533" i="10"/>
  <c r="EE393" i="10"/>
  <c r="EB393" i="10"/>
  <c r="EI409" i="10"/>
  <c r="CB409" i="10"/>
  <c r="EI330" i="10"/>
  <c r="CB330" i="10"/>
  <c r="EI133" i="10"/>
  <c r="CB133" i="10"/>
  <c r="EI107" i="10"/>
  <c r="CB107" i="10"/>
  <c r="EI454" i="10"/>
  <c r="CB454" i="10"/>
  <c r="EF38" i="10"/>
  <c r="BY38" i="10"/>
  <c r="EI496" i="10"/>
  <c r="CB496" i="10"/>
  <c r="EE524" i="10"/>
  <c r="EB524" i="10"/>
  <c r="EI44" i="10"/>
  <c r="CB44" i="10"/>
  <c r="EA292" i="10"/>
  <c r="BT292" i="10"/>
  <c r="EI554" i="10"/>
  <c r="CB554" i="10"/>
  <c r="EE343" i="10"/>
  <c r="EB343" i="10"/>
  <c r="EI48" i="10"/>
  <c r="CB48" i="10"/>
  <c r="EE46" i="10"/>
  <c r="EB46" i="10"/>
  <c r="EF278" i="10"/>
  <c r="BY278" i="10"/>
  <c r="EI20" i="10"/>
  <c r="CB20" i="10"/>
  <c r="EE364" i="10"/>
  <c r="EB364" i="10"/>
  <c r="EI196" i="10"/>
  <c r="CB196" i="10"/>
  <c r="EI151" i="10"/>
  <c r="CB151" i="10"/>
  <c r="EE394" i="10"/>
  <c r="EB394" i="10"/>
  <c r="EF514" i="10"/>
  <c r="BY514" i="10"/>
  <c r="EE239" i="10"/>
  <c r="EB239" i="10"/>
  <c r="EF292" i="10"/>
  <c r="BY292" i="10"/>
  <c r="E274" i="1"/>
  <c r="F274" i="1"/>
  <c r="E559" i="1"/>
  <c r="F559" i="1"/>
  <c r="EA6" i="10"/>
  <c r="BT6" i="10"/>
  <c r="BU562" i="10"/>
  <c r="EF50" i="10"/>
  <c r="BY50" i="10"/>
  <c r="F321" i="1"/>
  <c r="E321" i="1"/>
  <c r="E434" i="1"/>
  <c r="F434" i="1"/>
  <c r="EF211" i="10"/>
  <c r="BY211" i="10"/>
  <c r="F147" i="1"/>
  <c r="E147" i="1"/>
  <c r="EA166" i="10"/>
  <c r="BT166" i="10"/>
  <c r="F130" i="1"/>
  <c r="E130" i="1"/>
  <c r="EI214" i="10"/>
  <c r="CB214" i="10"/>
  <c r="BT136" i="10"/>
  <c r="EA136" i="10"/>
  <c r="BT143" i="10"/>
  <c r="EA143" i="10"/>
  <c r="AG41" i="10"/>
  <c r="AE41" i="10" s="1"/>
  <c r="N379" i="10"/>
  <c r="EF286" i="10"/>
  <c r="BY286" i="10"/>
  <c r="F517" i="1"/>
  <c r="E517" i="1"/>
  <c r="EF201" i="10"/>
  <c r="BY201" i="10"/>
  <c r="EA290" i="10"/>
  <c r="BT290" i="10"/>
  <c r="BT265" i="10"/>
  <c r="EA265" i="10"/>
  <c r="EE310" i="10"/>
  <c r="EB310" i="10"/>
  <c r="E312" i="1"/>
  <c r="F312" i="1"/>
  <c r="EA185" i="10"/>
  <c r="BT185" i="10"/>
  <c r="EE177" i="10"/>
  <c r="EB177" i="10"/>
  <c r="EA195" i="10"/>
  <c r="BT195" i="10"/>
  <c r="F109" i="1"/>
  <c r="E109" i="1"/>
  <c r="EE123" i="10"/>
  <c r="EB123" i="10"/>
  <c r="EA469" i="10"/>
  <c r="BT469" i="10"/>
  <c r="EE175" i="10"/>
  <c r="EB175" i="10"/>
  <c r="EI276" i="10"/>
  <c r="CB276" i="10"/>
  <c r="EE395" i="10"/>
  <c r="EB395" i="10"/>
  <c r="EA329" i="10"/>
  <c r="BT329" i="10"/>
  <c r="EE189" i="10"/>
  <c r="EB189" i="10"/>
  <c r="EI530" i="10"/>
  <c r="CB530" i="10"/>
  <c r="E218" i="1"/>
  <c r="F218" i="1"/>
  <c r="BT361" i="10"/>
  <c r="EA361" i="10"/>
  <c r="EE499" i="10"/>
  <c r="EB499" i="10"/>
  <c r="EI509" i="10"/>
  <c r="CB509" i="10"/>
  <c r="EF445" i="10"/>
  <c r="BY445" i="10"/>
  <c r="EF312" i="10"/>
  <c r="BY312" i="10"/>
  <c r="BY320" i="10"/>
  <c r="EF320" i="10"/>
  <c r="F94" i="1"/>
  <c r="E94" i="1"/>
  <c r="EE92" i="10"/>
  <c r="EB92" i="10"/>
  <c r="EF5" i="10"/>
  <c r="BY5" i="10"/>
  <c r="EE142" i="10"/>
  <c r="EB142" i="10"/>
  <c r="BT547" i="10"/>
  <c r="EA547" i="10"/>
  <c r="EE514" i="10"/>
  <c r="EB514" i="10"/>
  <c r="EA229" i="10"/>
  <c r="BT229" i="10"/>
  <c r="EF186" i="10"/>
  <c r="BY186" i="10"/>
  <c r="EE165" i="10"/>
  <c r="EB165" i="10"/>
  <c r="F291" i="1"/>
  <c r="E291" i="1"/>
  <c r="EE559" i="10"/>
  <c r="EB559" i="10"/>
  <c r="EI79" i="10"/>
  <c r="CB79" i="10"/>
  <c r="EE368" i="10"/>
  <c r="EB368" i="10"/>
  <c r="EI448" i="10"/>
  <c r="CB448" i="10"/>
  <c r="EF137" i="10"/>
  <c r="BY137" i="10"/>
  <c r="BT506" i="10"/>
  <c r="EA506" i="10"/>
  <c r="F233" i="1"/>
  <c r="E233" i="1"/>
  <c r="EA498" i="10"/>
  <c r="BT498" i="10"/>
  <c r="E160" i="1"/>
  <c r="F160" i="1"/>
  <c r="EF140" i="10"/>
  <c r="BY140" i="10"/>
  <c r="EE24" i="10"/>
  <c r="EB24" i="10"/>
  <c r="F287" i="1"/>
  <c r="E287" i="1"/>
  <c r="EE126" i="10"/>
  <c r="EB126" i="10"/>
  <c r="EI135" i="10"/>
  <c r="CB135" i="10"/>
  <c r="EF490" i="10"/>
  <c r="BY490" i="10"/>
  <c r="EF298" i="10"/>
  <c r="BY298" i="10"/>
  <c r="EE101" i="10"/>
  <c r="EB101" i="10"/>
  <c r="EF287" i="10"/>
  <c r="BY287" i="10"/>
  <c r="EA210" i="10"/>
  <c r="BT210" i="10"/>
  <c r="BT114" i="10"/>
  <c r="EA114" i="10"/>
  <c r="BT39" i="10"/>
  <c r="EA39" i="10"/>
  <c r="EF26" i="10"/>
  <c r="BY26" i="10"/>
  <c r="EE409" i="10"/>
  <c r="EB409" i="10"/>
  <c r="EE443" i="10"/>
  <c r="EB443" i="10"/>
  <c r="EE252" i="10"/>
  <c r="EB252" i="10"/>
  <c r="EI433" i="10"/>
  <c r="CB433" i="10"/>
  <c r="EI223" i="10"/>
  <c r="CB223" i="10"/>
  <c r="EI331" i="10"/>
  <c r="CB331" i="10"/>
  <c r="E359" i="1"/>
  <c r="F359" i="1"/>
  <c r="EE360" i="10"/>
  <c r="EB360" i="10"/>
  <c r="EA397" i="10"/>
  <c r="BT397" i="10"/>
  <c r="EE145" i="10"/>
  <c r="EB145" i="10"/>
  <c r="EE155" i="10"/>
  <c r="EB155" i="10"/>
  <c r="EA254" i="10"/>
  <c r="BT254" i="10"/>
  <c r="E106" i="1"/>
  <c r="F106" i="1"/>
  <c r="EE103" i="10"/>
  <c r="EB103" i="10"/>
  <c r="EI361" i="10"/>
  <c r="CB361" i="10"/>
  <c r="EI527" i="10"/>
  <c r="CB527" i="10"/>
  <c r="EI363" i="10"/>
  <c r="CB363" i="10"/>
  <c r="EF16" i="10"/>
  <c r="BY16" i="10"/>
  <c r="BT533" i="10"/>
  <c r="EA533" i="10"/>
  <c r="F85" i="1"/>
  <c r="E85" i="1"/>
  <c r="BU4" i="10"/>
  <c r="E29" i="13"/>
  <c r="BT69" i="10"/>
  <c r="EA69" i="10"/>
  <c r="EI120" i="10"/>
  <c r="CB120" i="10"/>
  <c r="BT54" i="10"/>
  <c r="EA54" i="10"/>
  <c r="BT539" i="10"/>
  <c r="EA539" i="10"/>
  <c r="EI252" i="10"/>
  <c r="CB252" i="10"/>
  <c r="EF559" i="10"/>
  <c r="BY559" i="10"/>
  <c r="EE480" i="10"/>
  <c r="EB480" i="10"/>
  <c r="EI408" i="10"/>
  <c r="CB408" i="10"/>
  <c r="EI504" i="10"/>
  <c r="CB504" i="10"/>
  <c r="EI375" i="10"/>
  <c r="CB375" i="10"/>
  <c r="EI310" i="10"/>
  <c r="CB310" i="10"/>
  <c r="EF309" i="10"/>
  <c r="BY309" i="10"/>
  <c r="F429" i="1"/>
  <c r="E429" i="1"/>
  <c r="BT297" i="10"/>
  <c r="EA297" i="10"/>
  <c r="EE116" i="10"/>
  <c r="EB116" i="10"/>
  <c r="EF365" i="10"/>
  <c r="BY365" i="10"/>
  <c r="EF135" i="10"/>
  <c r="BY135" i="10"/>
  <c r="EE37" i="10"/>
  <c r="EB37" i="10"/>
  <c r="BT48" i="10"/>
  <c r="EA48" i="10"/>
  <c r="EI332" i="10"/>
  <c r="CB332" i="10"/>
  <c r="F69" i="1"/>
  <c r="E69" i="1"/>
  <c r="EF102" i="10"/>
  <c r="BY102" i="10"/>
  <c r="BT218" i="10"/>
  <c r="EA218" i="10"/>
  <c r="EI23" i="10"/>
  <c r="CB23" i="10"/>
  <c r="EE274" i="10"/>
  <c r="EB274" i="10"/>
  <c r="EI282" i="10"/>
  <c r="CB282" i="10"/>
  <c r="F97" i="1"/>
  <c r="E97" i="1"/>
  <c r="EF487" i="10"/>
  <c r="BY487" i="10"/>
  <c r="EE377" i="10"/>
  <c r="EB377" i="10"/>
  <c r="F552" i="1"/>
  <c r="E552" i="1"/>
  <c r="EA107" i="10"/>
  <c r="BT107" i="10"/>
  <c r="EI279" i="10"/>
  <c r="CB279" i="10"/>
  <c r="EE453" i="10"/>
  <c r="EB453" i="10"/>
  <c r="EI308" i="10"/>
  <c r="CB308" i="10"/>
  <c r="EE534" i="10"/>
  <c r="EB534" i="10"/>
  <c r="EF28" i="10"/>
  <c r="BY28" i="10"/>
  <c r="EE26" i="10"/>
  <c r="EB26" i="10"/>
  <c r="BY416" i="10"/>
  <c r="EF416" i="10"/>
  <c r="EI98" i="10"/>
  <c r="CB98" i="10"/>
  <c r="EF189" i="10"/>
  <c r="BY189" i="10"/>
  <c r="EE77" i="10"/>
  <c r="EB77" i="10"/>
  <c r="EA316" i="10"/>
  <c r="BT316" i="10"/>
  <c r="EE507" i="10"/>
  <c r="EB507" i="10"/>
  <c r="E76" i="1"/>
  <c r="F76" i="1"/>
  <c r="EF82" i="10"/>
  <c r="BY82" i="10"/>
  <c r="EI43" i="10"/>
  <c r="CB43" i="10"/>
  <c r="BY544" i="10"/>
  <c r="EF544" i="10"/>
  <c r="EF63" i="10"/>
  <c r="BY63" i="10"/>
  <c r="EE400" i="10"/>
  <c r="EB400" i="10"/>
  <c r="EI125" i="10"/>
  <c r="CB125" i="10"/>
  <c r="F219" i="1"/>
  <c r="E219" i="1"/>
  <c r="EI526" i="10"/>
  <c r="CB526" i="10"/>
  <c r="F525" i="1"/>
  <c r="E525" i="1"/>
  <c r="EA456" i="10"/>
  <c r="BT456" i="10"/>
  <c r="EI221" i="10"/>
  <c r="CB221" i="10"/>
  <c r="EE370" i="10"/>
  <c r="EB370" i="10"/>
  <c r="BT417" i="10"/>
  <c r="EA417" i="10"/>
  <c r="EE106" i="10"/>
  <c r="EB106" i="10"/>
  <c r="EF357" i="10"/>
  <c r="BY357" i="10"/>
  <c r="EF116" i="10"/>
  <c r="BY116" i="10"/>
  <c r="EE266" i="10"/>
  <c r="EB266" i="10"/>
  <c r="EF131" i="10"/>
  <c r="BY131" i="10"/>
  <c r="CB13" i="10"/>
  <c r="EI13" i="10"/>
  <c r="EA540" i="10"/>
  <c r="BT540" i="10"/>
  <c r="BT233" i="10"/>
  <c r="EA233" i="10"/>
  <c r="EI70" i="10"/>
  <c r="CB70" i="10"/>
  <c r="EF268" i="10"/>
  <c r="BY268" i="10"/>
  <c r="F572" i="1"/>
  <c r="E572" i="1"/>
  <c r="EA489" i="10"/>
  <c r="BT489" i="10"/>
  <c r="EE404" i="10"/>
  <c r="EB404" i="10"/>
  <c r="EI355" i="10"/>
  <c r="CB355" i="10"/>
  <c r="EI26" i="10"/>
  <c r="CB26" i="10"/>
  <c r="E527" i="1"/>
  <c r="F527" i="1"/>
  <c r="EE525" i="10"/>
  <c r="EB525" i="10"/>
  <c r="EI56" i="10"/>
  <c r="CB56" i="10"/>
  <c r="EF103" i="10"/>
  <c r="BY103" i="10"/>
  <c r="EF51" i="10"/>
  <c r="BY51" i="10"/>
  <c r="EE257" i="10"/>
  <c r="EB257" i="10"/>
  <c r="BT548" i="10"/>
  <c r="EA548" i="10"/>
  <c r="EA65" i="10"/>
  <c r="BT65" i="10"/>
  <c r="EF221" i="10"/>
  <c r="BY221" i="10"/>
  <c r="EF562" i="10"/>
  <c r="BY562" i="10"/>
  <c r="BT306" i="10"/>
  <c r="EA306" i="10"/>
  <c r="EI32" i="10"/>
  <c r="CB32" i="10"/>
  <c r="EE511" i="10"/>
  <c r="EB511" i="10"/>
  <c r="EI154" i="10"/>
  <c r="CB154" i="10"/>
  <c r="EI431" i="10"/>
  <c r="CB431" i="10"/>
  <c r="EI366" i="10"/>
  <c r="CB366" i="10"/>
  <c r="EE305" i="10"/>
  <c r="EB305" i="10"/>
  <c r="EE551" i="10"/>
  <c r="EB551" i="10"/>
  <c r="EI108" i="10"/>
  <c r="CB108" i="10"/>
  <c r="E32" i="1"/>
  <c r="F32" i="1"/>
  <c r="EI364" i="10"/>
  <c r="CB364" i="10"/>
  <c r="EI39" i="10"/>
  <c r="CB39" i="10"/>
  <c r="EI354" i="10"/>
  <c r="CB354" i="10"/>
  <c r="EF93" i="10"/>
  <c r="BY93" i="10"/>
  <c r="EA424" i="10"/>
  <c r="BT424" i="10"/>
  <c r="EI436" i="10"/>
  <c r="CB436" i="10"/>
  <c r="EE248" i="10"/>
  <c r="EB248" i="10"/>
  <c r="EI113" i="10"/>
  <c r="CB113" i="10"/>
  <c r="EI410" i="10"/>
  <c r="CB410" i="10"/>
  <c r="EF150" i="10"/>
  <c r="BY150" i="10"/>
  <c r="EE59" i="10"/>
  <c r="EB59" i="10"/>
  <c r="EE112" i="10"/>
  <c r="EB112" i="10"/>
  <c r="EI240" i="10"/>
  <c r="CB240" i="10"/>
  <c r="EF98" i="10"/>
  <c r="BY98" i="10"/>
  <c r="EF492" i="10"/>
  <c r="BY492" i="10"/>
  <c r="EE402" i="10"/>
  <c r="EB402" i="10"/>
  <c r="EF180" i="10"/>
  <c r="BY180" i="10"/>
  <c r="EI227" i="10"/>
  <c r="CB227" i="10"/>
  <c r="EI219" i="10"/>
  <c r="CB219" i="10"/>
  <c r="EF68" i="10"/>
  <c r="BY68" i="10"/>
  <c r="EA401" i="10"/>
  <c r="BT401" i="10"/>
  <c r="BY384" i="10"/>
  <c r="EF384" i="10"/>
  <c r="EE168" i="10"/>
  <c r="EB168" i="10"/>
  <c r="EI491" i="10"/>
  <c r="CB491" i="10"/>
  <c r="F209" i="1"/>
  <c r="E209" i="1"/>
  <c r="EI532" i="10"/>
  <c r="CB532" i="10"/>
  <c r="EI184" i="10"/>
  <c r="CB184" i="10"/>
  <c r="BY448" i="10"/>
  <c r="EF448" i="10"/>
  <c r="EE203" i="10"/>
  <c r="EB203" i="10"/>
  <c r="EE173" i="10"/>
  <c r="EB173" i="10"/>
  <c r="EI193" i="10"/>
  <c r="CB193" i="10"/>
  <c r="EA430" i="10"/>
  <c r="BT430" i="10"/>
  <c r="EF425" i="10"/>
  <c r="BY425" i="10"/>
  <c r="EE152" i="10"/>
  <c r="EB152" i="10"/>
  <c r="EE418" i="10"/>
  <c r="EB418" i="10"/>
  <c r="EE256" i="10"/>
  <c r="EB256" i="10"/>
  <c r="EF156" i="10"/>
  <c r="BY156" i="10"/>
  <c r="EF238" i="10"/>
  <c r="BY238" i="10"/>
  <c r="EF113" i="10"/>
  <c r="BY113" i="10"/>
  <c r="EI21" i="10"/>
  <c r="CB21" i="10"/>
  <c r="EE270" i="10"/>
  <c r="EB270" i="10"/>
  <c r="EE56" i="10"/>
  <c r="EB56" i="10"/>
  <c r="EF545" i="10"/>
  <c r="BY545" i="10"/>
  <c r="EA589" i="10"/>
  <c r="BT589" i="10"/>
  <c r="BT582" i="10"/>
  <c r="EA582" i="10"/>
  <c r="BT587" i="10"/>
  <c r="EA587" i="10"/>
  <c r="BT594" i="10"/>
  <c r="EA594" i="10"/>
  <c r="EI312" i="10"/>
  <c r="CB312" i="10"/>
  <c r="EI540" i="10"/>
  <c r="CB540" i="10"/>
  <c r="EI522" i="10"/>
  <c r="CB522" i="10"/>
  <c r="EI319" i="10"/>
  <c r="CB319" i="10"/>
  <c r="EE159" i="10"/>
  <c r="EB159" i="10"/>
  <c r="EI400" i="10"/>
  <c r="CB400" i="10"/>
  <c r="EE249" i="10"/>
  <c r="EB249" i="10"/>
  <c r="EE225" i="10"/>
  <c r="EB225" i="10"/>
  <c r="EI157" i="10"/>
  <c r="CB157" i="10"/>
  <c r="EE60" i="10"/>
  <c r="EB60" i="10"/>
  <c r="AG57" i="10"/>
  <c r="AE57" i="10" s="1"/>
  <c r="N455" i="10"/>
  <c r="EF297" i="10"/>
  <c r="BY297" i="10"/>
  <c r="AG48" i="10"/>
  <c r="AE48" i="10" s="1"/>
  <c r="N275" i="10"/>
  <c r="EE357" i="10"/>
  <c r="EB357" i="10"/>
  <c r="EI75" i="10"/>
  <c r="CB75" i="10"/>
  <c r="EF132" i="10"/>
  <c r="BY132" i="10"/>
  <c r="EE494" i="10"/>
  <c r="EB494" i="10"/>
  <c r="EF510" i="10"/>
  <c r="BY510" i="10"/>
  <c r="EF418" i="10"/>
  <c r="BY418" i="10"/>
  <c r="EI8" i="10"/>
  <c r="CB8" i="10"/>
  <c r="EE150" i="10"/>
  <c r="EB150" i="10"/>
  <c r="EI516" i="10"/>
  <c r="CB516" i="10"/>
  <c r="EE224" i="10"/>
  <c r="EB224" i="10"/>
  <c r="EF285" i="10"/>
  <c r="BY285" i="10"/>
  <c r="EE416" i="10"/>
  <c r="EB416" i="10"/>
  <c r="E486" i="1"/>
  <c r="F486" i="1"/>
  <c r="EE253" i="10"/>
  <c r="EB253" i="10"/>
  <c r="EE504" i="10"/>
  <c r="EB504" i="10"/>
  <c r="EF294" i="10"/>
  <c r="BY294" i="10"/>
  <c r="EF242" i="10"/>
  <c r="BY242" i="10"/>
  <c r="F329" i="1"/>
  <c r="E329" i="1"/>
  <c r="EI321" i="10"/>
  <c r="CB321" i="10"/>
  <c r="EA326" i="10"/>
  <c r="BT326" i="10"/>
  <c r="EI264" i="10"/>
  <c r="CB264" i="10"/>
  <c r="F154" i="1"/>
  <c r="E154" i="1"/>
  <c r="EI443" i="10"/>
  <c r="CB443" i="10"/>
  <c r="CB237" i="10"/>
  <c r="EI237" i="10"/>
  <c r="EF376" i="10"/>
  <c r="BY376" i="10"/>
  <c r="EF457" i="10"/>
  <c r="BY457" i="10"/>
  <c r="EA149" i="10"/>
  <c r="BT149" i="10"/>
  <c r="EA79" i="10"/>
  <c r="BT79" i="10"/>
  <c r="EE137" i="10"/>
  <c r="EB137" i="10"/>
  <c r="EI464" i="10"/>
  <c r="CB464" i="10"/>
  <c r="EE53" i="10"/>
  <c r="EB53" i="10"/>
  <c r="EE562" i="10"/>
  <c r="EB562" i="10"/>
  <c r="EE462" i="10"/>
  <c r="EB462" i="10"/>
  <c r="BT439" i="10"/>
  <c r="EA439" i="10"/>
  <c r="EF453" i="10"/>
  <c r="BY453" i="10"/>
  <c r="EF222" i="10"/>
  <c r="BY222" i="10"/>
  <c r="EI129" i="10"/>
  <c r="CB129" i="10"/>
  <c r="EI508" i="10"/>
  <c r="CB508" i="10"/>
  <c r="EF121" i="10"/>
  <c r="BY121" i="10"/>
  <c r="EE379" i="10"/>
  <c r="EB379" i="10"/>
  <c r="EE23" i="10"/>
  <c r="EB23" i="10"/>
  <c r="EE421" i="10"/>
  <c r="EB421" i="10"/>
  <c r="BT356" i="10"/>
  <c r="EA356" i="10"/>
  <c r="EE291" i="10"/>
  <c r="EB291" i="10"/>
  <c r="EI265" i="10"/>
  <c r="CB265" i="10"/>
  <c r="EI397" i="10"/>
  <c r="CB397" i="10"/>
  <c r="EI403" i="10"/>
  <c r="CB403" i="10"/>
  <c r="EF73" i="10"/>
  <c r="BY73" i="10"/>
  <c r="EI217" i="10"/>
  <c r="CB217" i="10"/>
  <c r="EE503" i="10"/>
  <c r="EB503" i="10"/>
  <c r="EF340" i="10"/>
  <c r="BY340" i="10"/>
  <c r="EA497" i="10"/>
  <c r="BT497" i="10"/>
  <c r="EI295" i="10"/>
  <c r="CB295" i="10"/>
  <c r="EE558" i="10"/>
  <c r="EB558" i="10"/>
  <c r="EE339" i="10"/>
  <c r="EB339" i="10"/>
  <c r="F432" i="1"/>
  <c r="E432" i="1"/>
  <c r="EI80" i="10"/>
  <c r="CB80" i="10"/>
  <c r="E498" i="1"/>
  <c r="F498" i="1"/>
  <c r="EE542" i="10"/>
  <c r="EB542" i="10"/>
  <c r="EF396" i="10"/>
  <c r="BY396" i="10"/>
  <c r="EF477" i="10"/>
  <c r="BY477" i="10"/>
  <c r="E187" i="1"/>
  <c r="F187" i="1"/>
  <c r="EF345" i="10"/>
  <c r="BY345" i="10"/>
  <c r="EF273" i="10"/>
  <c r="BY273" i="10"/>
  <c r="EI267" i="10"/>
  <c r="CB267" i="10"/>
  <c r="EI342" i="10"/>
  <c r="CB342" i="10"/>
  <c r="E511" i="1"/>
  <c r="F511" i="1"/>
  <c r="EF76" i="10"/>
  <c r="BY76" i="10"/>
  <c r="BT133" i="10"/>
  <c r="EA133" i="10"/>
  <c r="EF398" i="10"/>
  <c r="BY398" i="10"/>
  <c r="EA138" i="10"/>
  <c r="BT138" i="10"/>
  <c r="E462" i="1"/>
  <c r="F462" i="1"/>
  <c r="BT427" i="10"/>
  <c r="EA427" i="10"/>
  <c r="E571" i="1"/>
  <c r="F571" i="1"/>
  <c r="EA144" i="10"/>
  <c r="BT144" i="10"/>
  <c r="EA478" i="10"/>
  <c r="BT478" i="10"/>
  <c r="EF100" i="10"/>
  <c r="BY100" i="10"/>
  <c r="EI456" i="10"/>
  <c r="CB456" i="10"/>
  <c r="EE537" i="10"/>
  <c r="EB537" i="10"/>
  <c r="EF53" i="10"/>
  <c r="BY53" i="10"/>
  <c r="EF66" i="10"/>
  <c r="BY66" i="10"/>
  <c r="EA49" i="10"/>
  <c r="BT49" i="10"/>
  <c r="BY136" i="10"/>
  <c r="EF136" i="10"/>
  <c r="E394" i="1"/>
  <c r="F394" i="1"/>
  <c r="BT304" i="10"/>
  <c r="EA304" i="10"/>
  <c r="E361" i="1"/>
  <c r="F361" i="1"/>
  <c r="EE500" i="10"/>
  <c r="EB500" i="10"/>
  <c r="F507" i="1"/>
  <c r="E507" i="1"/>
  <c r="EE369" i="10"/>
  <c r="EB369" i="10"/>
  <c r="F352" i="1"/>
  <c r="E352" i="1"/>
  <c r="EA348" i="10"/>
  <c r="BT348" i="10"/>
  <c r="EF356" i="10"/>
  <c r="BY356" i="10"/>
  <c r="E213" i="1"/>
  <c r="F213" i="1"/>
  <c r="F170" i="1"/>
  <c r="E170" i="1"/>
  <c r="EF196" i="10"/>
  <c r="BY196" i="10"/>
  <c r="EE93" i="10"/>
  <c r="EB93" i="10"/>
  <c r="EE515" i="10"/>
  <c r="EB515" i="10"/>
  <c r="EI371" i="10"/>
  <c r="CB371" i="10"/>
  <c r="E508" i="1"/>
  <c r="F508" i="1"/>
  <c r="EF194" i="10"/>
  <c r="BY194" i="10"/>
  <c r="F400" i="1"/>
  <c r="E400" i="1"/>
  <c r="BT196" i="10"/>
  <c r="EA196" i="10"/>
  <c r="EE407" i="10"/>
  <c r="EB407" i="10"/>
  <c r="EA97" i="10"/>
  <c r="BT97" i="10"/>
  <c r="EF410" i="10"/>
  <c r="BY410" i="10"/>
  <c r="EE321" i="10"/>
  <c r="EB321" i="10"/>
  <c r="EI557" i="10"/>
  <c r="CB557" i="10"/>
  <c r="EF262" i="10"/>
  <c r="BY262" i="10"/>
  <c r="EA162" i="10"/>
  <c r="BT162" i="10"/>
  <c r="EF381" i="10"/>
  <c r="BY381" i="10"/>
  <c r="EE82" i="10"/>
  <c r="EB82" i="10"/>
  <c r="EF261" i="10"/>
  <c r="BY261" i="10"/>
  <c r="EE237" i="10"/>
  <c r="EB237" i="10"/>
  <c r="F111" i="1"/>
  <c r="E111" i="1"/>
  <c r="EE324" i="10"/>
  <c r="EB324" i="10"/>
  <c r="EA529" i="10"/>
  <c r="BT529" i="10"/>
  <c r="EI537" i="10"/>
  <c r="CB537" i="10"/>
  <c r="EI6" i="10"/>
  <c r="CB6" i="10"/>
  <c r="E390" i="1"/>
  <c r="F390" i="1"/>
  <c r="E95" i="1"/>
  <c r="F95" i="1"/>
  <c r="EE488" i="10"/>
  <c r="EB488" i="10"/>
  <c r="EA127" i="10"/>
  <c r="BT127" i="10"/>
  <c r="EI472" i="10"/>
  <c r="CB472" i="10"/>
  <c r="EF275" i="10"/>
  <c r="BY275" i="10"/>
  <c r="F43" i="1"/>
  <c r="E43" i="1"/>
  <c r="BT40" i="10"/>
  <c r="EA40" i="10"/>
  <c r="EF166" i="10"/>
  <c r="BY166" i="10"/>
  <c r="F216" i="1"/>
  <c r="E216" i="1"/>
  <c r="EI118" i="10"/>
  <c r="CB118" i="10"/>
  <c r="EI136" i="10"/>
  <c r="CB136" i="10"/>
  <c r="EE508" i="10"/>
  <c r="EB508" i="10"/>
  <c r="EA353" i="10"/>
  <c r="BT353" i="10"/>
  <c r="EI183" i="10"/>
  <c r="CB183" i="10"/>
  <c r="EE158" i="10"/>
  <c r="EB158" i="10"/>
  <c r="EI278" i="10"/>
  <c r="CB278" i="10"/>
  <c r="EI152" i="10"/>
  <c r="CB152" i="10"/>
  <c r="EF389" i="10"/>
  <c r="BY389" i="10"/>
  <c r="BT466" i="10"/>
  <c r="EA466" i="10"/>
  <c r="EF497" i="10"/>
  <c r="BY497" i="10"/>
  <c r="EE78" i="10"/>
  <c r="EB78" i="10"/>
  <c r="E22" i="1"/>
  <c r="F22" i="1"/>
  <c r="EE412" i="10"/>
  <c r="EB412" i="10"/>
  <c r="EI535" i="10"/>
  <c r="CB535" i="10"/>
  <c r="EF155" i="10"/>
  <c r="BY155" i="10"/>
  <c r="BT245" i="10"/>
  <c r="EA245" i="10"/>
  <c r="EE170" i="10"/>
  <c r="EB170" i="10"/>
  <c r="E25" i="1"/>
  <c r="F25" i="1"/>
  <c r="BT227" i="10"/>
  <c r="EA227" i="10"/>
  <c r="EE312" i="10"/>
  <c r="EB312" i="10"/>
  <c r="EI483" i="10"/>
  <c r="CB483" i="10"/>
  <c r="EF69" i="10"/>
  <c r="BY69" i="10"/>
  <c r="EF319" i="10"/>
  <c r="BY319" i="10"/>
  <c r="BT380" i="10"/>
  <c r="EA380" i="10"/>
  <c r="EE341" i="10"/>
  <c r="EB341" i="10"/>
  <c r="EE12" i="10"/>
  <c r="EB12" i="10"/>
  <c r="EI294" i="10"/>
  <c r="CB294" i="10"/>
  <c r="EF537" i="10"/>
  <c r="BY537" i="10"/>
  <c r="EE391" i="10"/>
  <c r="EB391" i="10"/>
  <c r="EF442" i="10"/>
  <c r="BY442" i="10"/>
  <c r="EE83" i="10"/>
  <c r="EB83" i="10"/>
  <c r="EI365" i="10"/>
  <c r="CB365" i="10"/>
  <c r="BY40" i="10"/>
  <c r="EF40" i="10"/>
  <c r="EE490" i="10"/>
  <c r="EB490" i="10"/>
  <c r="EI37" i="10"/>
  <c r="CB37" i="10"/>
  <c r="EF75" i="10"/>
  <c r="BY75" i="10"/>
  <c r="EE154" i="10"/>
  <c r="EB154" i="10"/>
  <c r="EF431" i="10"/>
  <c r="BY431" i="10"/>
  <c r="AG32" i="10"/>
  <c r="AE32" i="10" s="1"/>
  <c r="N187" i="10"/>
  <c r="F411" i="1"/>
  <c r="E411" i="1"/>
  <c r="EE199" i="10"/>
  <c r="EB199" i="10"/>
  <c r="EF355" i="10"/>
  <c r="BY355" i="10"/>
  <c r="EE496" i="10"/>
  <c r="EB496" i="10"/>
  <c r="EF33" i="10"/>
  <c r="BY33" i="10"/>
  <c r="EE20" i="10"/>
  <c r="EB20" i="10"/>
  <c r="EI97" i="10"/>
  <c r="CB97" i="10"/>
  <c r="EI412" i="10"/>
  <c r="CB412" i="10"/>
  <c r="EE215" i="10"/>
  <c r="EB215" i="10"/>
  <c r="EA468" i="10"/>
  <c r="BT468" i="10"/>
  <c r="EE80" i="10"/>
  <c r="EB80" i="10"/>
  <c r="BT435" i="10"/>
  <c r="EA435" i="10"/>
  <c r="EE84" i="10"/>
  <c r="EB84" i="10"/>
  <c r="EF337" i="10"/>
  <c r="BY337" i="10"/>
  <c r="EI273" i="10"/>
  <c r="CB273" i="10"/>
  <c r="EA13" i="10"/>
  <c r="BT13" i="10"/>
  <c r="EI381" i="10"/>
  <c r="CB381" i="10"/>
  <c r="EE289" i="10"/>
  <c r="EB289" i="10"/>
  <c r="EI556" i="10"/>
  <c r="CB556" i="10"/>
  <c r="F421" i="1"/>
  <c r="E421" i="1"/>
  <c r="EE458" i="10"/>
  <c r="EB458" i="10"/>
  <c r="EE5" i="10"/>
  <c r="EB5" i="10"/>
  <c r="F575" i="1"/>
  <c r="E575" i="1"/>
  <c r="BY168" i="10"/>
  <c r="EF168" i="10"/>
  <c r="EE322" i="10"/>
  <c r="EB322" i="10"/>
  <c r="EI164" i="10"/>
  <c r="CB164" i="10"/>
  <c r="EI324" i="10"/>
  <c r="CB324" i="10"/>
  <c r="EI359" i="10"/>
  <c r="CB359" i="10"/>
  <c r="EF526" i="10"/>
  <c r="BY526" i="10"/>
  <c r="EE513" i="10"/>
  <c r="EB513" i="10"/>
  <c r="EE184" i="10"/>
  <c r="EB184" i="10"/>
  <c r="EE448" i="10"/>
  <c r="EB448" i="10"/>
  <c r="EA314" i="10"/>
  <c r="BT314" i="10"/>
  <c r="EE27" i="10"/>
  <c r="EB27" i="10"/>
  <c r="EF109" i="10"/>
  <c r="BY109" i="10"/>
  <c r="EI148" i="10"/>
  <c r="CB148" i="10"/>
  <c r="BY288" i="10"/>
  <c r="EF288" i="10"/>
  <c r="EE163" i="10"/>
  <c r="EB163" i="10"/>
  <c r="EI24" i="10"/>
  <c r="CB24" i="10"/>
  <c r="EE238" i="10"/>
  <c r="EB238" i="10"/>
  <c r="EI430" i="10"/>
  <c r="CB430" i="10"/>
  <c r="EE446" i="10"/>
  <c r="EB446" i="10"/>
  <c r="BT426" i="10"/>
  <c r="EA426" i="10"/>
  <c r="EE139" i="10"/>
  <c r="EB139" i="10"/>
  <c r="EA70" i="10"/>
  <c r="BT70" i="10"/>
  <c r="BT214" i="10"/>
  <c r="EA214" i="10"/>
  <c r="EE444" i="10"/>
  <c r="EB444" i="10"/>
  <c r="EI268" i="10"/>
  <c r="CB268" i="10"/>
  <c r="EF353" i="10"/>
  <c r="BY353" i="10"/>
  <c r="E563" i="1"/>
  <c r="F563" i="1"/>
  <c r="BT183" i="10"/>
  <c r="EA183" i="10"/>
  <c r="EF282" i="10"/>
  <c r="BY282" i="10"/>
  <c r="EA546" i="10"/>
  <c r="BT546" i="10"/>
  <c r="EF97" i="10"/>
  <c r="BY97" i="10"/>
  <c r="EI61" i="10"/>
  <c r="CB61" i="10"/>
  <c r="EE536" i="10"/>
  <c r="EB536" i="10"/>
  <c r="EI506" i="10"/>
  <c r="CB506" i="10"/>
  <c r="EI520" i="10"/>
  <c r="CB520" i="10"/>
  <c r="EF379" i="10"/>
  <c r="BY379" i="10"/>
  <c r="EE482" i="10"/>
  <c r="EB482" i="10"/>
  <c r="EF479" i="10"/>
  <c r="BY479" i="10"/>
  <c r="EI560" i="10"/>
  <c r="CB560" i="10"/>
  <c r="EI122" i="10"/>
  <c r="CB122" i="10"/>
  <c r="EF404" i="10"/>
  <c r="BY404" i="10"/>
  <c r="EE255" i="10"/>
  <c r="EB255" i="10"/>
  <c r="EF188" i="10"/>
  <c r="BY188" i="10"/>
  <c r="EF435" i="10"/>
  <c r="BY435" i="10"/>
  <c r="EF395" i="10"/>
  <c r="BY395" i="10"/>
  <c r="EE549" i="10"/>
  <c r="EB549" i="10"/>
  <c r="EF271" i="10"/>
  <c r="BY271" i="10"/>
  <c r="EF326" i="10"/>
  <c r="BY326" i="10"/>
  <c r="EE325" i="10"/>
  <c r="EB325" i="10"/>
  <c r="EF540" i="10"/>
  <c r="BY540" i="10"/>
  <c r="EE43" i="10"/>
  <c r="EB43" i="10"/>
  <c r="EE38" i="10"/>
  <c r="EB38" i="10"/>
  <c r="EE376" i="10"/>
  <c r="EB376" i="10"/>
  <c r="EF54" i="10"/>
  <c r="BY54" i="10"/>
  <c r="BT359" i="10"/>
  <c r="EA359" i="10"/>
  <c r="BT269" i="10"/>
  <c r="EA269" i="10"/>
  <c r="EE277" i="10"/>
  <c r="EB277" i="10"/>
  <c r="EI368" i="10"/>
  <c r="CB368" i="10"/>
  <c r="EE234" i="10"/>
  <c r="EB234" i="10"/>
  <c r="EE146" i="10"/>
  <c r="EB146" i="10"/>
  <c r="EI498" i="10"/>
  <c r="CB498" i="10"/>
  <c r="EI462" i="10"/>
  <c r="CB462" i="10"/>
  <c r="EF44" i="10"/>
  <c r="BY44" i="10"/>
  <c r="EI224" i="10"/>
  <c r="CB224" i="10"/>
  <c r="EF438" i="10"/>
  <c r="BY438" i="10"/>
  <c r="EF209" i="10"/>
  <c r="BY209" i="10"/>
  <c r="EF41" i="10"/>
  <c r="BY41" i="10"/>
  <c r="EE543" i="10"/>
  <c r="EB543" i="10"/>
  <c r="EI36" i="10"/>
  <c r="CB36" i="10"/>
  <c r="E242" i="1"/>
  <c r="F242" i="1"/>
  <c r="EE432" i="10"/>
  <c r="EB432" i="10"/>
  <c r="EI274" i="10"/>
  <c r="CB274" i="10"/>
  <c r="EF546" i="10"/>
  <c r="BY546" i="10"/>
  <c r="EF158" i="10"/>
  <c r="BY158" i="10"/>
  <c r="EF86" i="10"/>
  <c r="BY86" i="10"/>
  <c r="EE113" i="10"/>
  <c r="EB113" i="10"/>
  <c r="EE219" i="10"/>
  <c r="EB219" i="10"/>
  <c r="EE475" i="10"/>
  <c r="EB475" i="10"/>
  <c r="EE171" i="10"/>
  <c r="EB171" i="10"/>
  <c r="EI360" i="10"/>
  <c r="CB360" i="10"/>
  <c r="EF535" i="10"/>
  <c r="BY535" i="10"/>
  <c r="EI87" i="10"/>
  <c r="CB87" i="10"/>
  <c r="EA575" i="10"/>
  <c r="BT575" i="10"/>
  <c r="EA595" i="10"/>
  <c r="BT595" i="10"/>
  <c r="EA569" i="10"/>
  <c r="BT569" i="10"/>
  <c r="EA571" i="10"/>
  <c r="BT571" i="10"/>
  <c r="EE476" i="10"/>
  <c r="EB476" i="10"/>
  <c r="EI170" i="10"/>
  <c r="CB170" i="10"/>
  <c r="EI419" i="10"/>
  <c r="CB419" i="10"/>
  <c r="EI206" i="10"/>
  <c r="CB206" i="10"/>
  <c r="EE208" i="10"/>
  <c r="EB208" i="10"/>
  <c r="EE228" i="10"/>
  <c r="EB228" i="10"/>
  <c r="EF548" i="10"/>
  <c r="BY548" i="10"/>
  <c r="EI82" i="10"/>
  <c r="CB82" i="10"/>
  <c r="EF336" i="10"/>
  <c r="BY336" i="10"/>
  <c r="EE130" i="10"/>
  <c r="EB130" i="10"/>
  <c r="EE235" i="10"/>
  <c r="EB235" i="10"/>
  <c r="EF539" i="10"/>
  <c r="BY539" i="10"/>
  <c r="BY232" i="10"/>
  <c r="EF232" i="10"/>
  <c r="EE186" i="10"/>
  <c r="EB186" i="10"/>
  <c r="EF213" i="10"/>
  <c r="BY213" i="10"/>
  <c r="EF359" i="10"/>
  <c r="BY359" i="10"/>
  <c r="EE100" i="10"/>
  <c r="EB100" i="10"/>
  <c r="EI182" i="10"/>
  <c r="CB182" i="10"/>
  <c r="EE174" i="10"/>
  <c r="EB174" i="10"/>
  <c r="EF358" i="10"/>
  <c r="BY358" i="10"/>
  <c r="EE32" i="10"/>
  <c r="EB32" i="10"/>
  <c r="EE275" i="10"/>
  <c r="EB275" i="10"/>
  <c r="EI490" i="10"/>
  <c r="CB490" i="10"/>
  <c r="EE230" i="10"/>
  <c r="EB230" i="10"/>
  <c r="EE286" i="10"/>
  <c r="EB286" i="10"/>
  <c r="EF152" i="10"/>
  <c r="BY152" i="10"/>
  <c r="EI502" i="10"/>
  <c r="CB502" i="10"/>
  <c r="EI158" i="10"/>
  <c r="CB158" i="10"/>
  <c r="EI357" i="10"/>
  <c r="CB357" i="10"/>
  <c r="EI57" i="10"/>
  <c r="CB57" i="10"/>
  <c r="F135" i="1"/>
  <c r="E135" i="1"/>
  <c r="EA333" i="10"/>
  <c r="BT333" i="10"/>
  <c r="EA271" i="10"/>
  <c r="BT271" i="10"/>
  <c r="BT517" i="10"/>
  <c r="EA517" i="10"/>
  <c r="BT295" i="10"/>
  <c r="EA295" i="10"/>
  <c r="F279" i="1"/>
  <c r="E279" i="1"/>
  <c r="EF342" i="10"/>
  <c r="BY342" i="10"/>
  <c r="EE14" i="10"/>
  <c r="EB14" i="10"/>
  <c r="EF485" i="10"/>
  <c r="BY485" i="10"/>
  <c r="E20" i="1"/>
  <c r="F20" i="1"/>
  <c r="EI215" i="10"/>
  <c r="CB215" i="10"/>
  <c r="EA188" i="10"/>
  <c r="BT188" i="10"/>
  <c r="E481" i="1"/>
  <c r="F481" i="1"/>
  <c r="EI452" i="10"/>
  <c r="CB452" i="10"/>
  <c r="EF270" i="10"/>
  <c r="BY270" i="10"/>
  <c r="E554" i="1"/>
  <c r="F554" i="1"/>
  <c r="BT463" i="10"/>
  <c r="EA463" i="10"/>
  <c r="EE333" i="10"/>
  <c r="EB333" i="10"/>
  <c r="EA283" i="10"/>
  <c r="BT283" i="10"/>
  <c r="EE271" i="10"/>
  <c r="EB271" i="10"/>
  <c r="EI316" i="10"/>
  <c r="CB316" i="10"/>
  <c r="F457" i="1"/>
  <c r="E457" i="1"/>
  <c r="EF371" i="10"/>
  <c r="BY371" i="10"/>
  <c r="BT315" i="10"/>
  <c r="EA315" i="10"/>
  <c r="F397" i="1"/>
  <c r="E397" i="1"/>
  <c r="BY64" i="10"/>
  <c r="EF64" i="10"/>
  <c r="BT320" i="10"/>
  <c r="EA320" i="10"/>
  <c r="E181" i="1"/>
  <c r="F181" i="1"/>
  <c r="EE178" i="10"/>
  <c r="EB178" i="10"/>
  <c r="BT198" i="10"/>
  <c r="EA198" i="10"/>
  <c r="EI465" i="10"/>
  <c r="CB465" i="10"/>
  <c r="E526" i="1"/>
  <c r="F526" i="1"/>
  <c r="BT61" i="10"/>
  <c r="EA61" i="10"/>
  <c r="EF197" i="10"/>
  <c r="BY197" i="10"/>
  <c r="EE481" i="10"/>
  <c r="EB481" i="10"/>
  <c r="EE532" i="10"/>
  <c r="EB532" i="10"/>
  <c r="EI277" i="10"/>
  <c r="CB277" i="10"/>
  <c r="F516" i="1"/>
  <c r="E516" i="1"/>
  <c r="EA216" i="10"/>
  <c r="BT216" i="10"/>
  <c r="EF182" i="10"/>
  <c r="BY182" i="10"/>
  <c r="E510" i="1"/>
  <c r="F510" i="1"/>
  <c r="EA45" i="10"/>
  <c r="BT45" i="10"/>
  <c r="E474" i="1"/>
  <c r="F474" i="1"/>
  <c r="EE372" i="10"/>
  <c r="EB372" i="10"/>
  <c r="EF193" i="10"/>
  <c r="BY193" i="10"/>
  <c r="EE284" i="10"/>
  <c r="EB284" i="10"/>
  <c r="F223" i="1"/>
  <c r="E223" i="1"/>
  <c r="F61" i="1"/>
  <c r="E61" i="1"/>
  <c r="EF362" i="10"/>
  <c r="BY362" i="10"/>
  <c r="EA209" i="10"/>
  <c r="BT209" i="10"/>
  <c r="EI41" i="10"/>
  <c r="CB41" i="10"/>
  <c r="E391" i="1"/>
  <c r="F391" i="1"/>
  <c r="EA111" i="10"/>
  <c r="BT111" i="10"/>
  <c r="F360" i="1"/>
  <c r="E360" i="1"/>
  <c r="EI437" i="10"/>
  <c r="CB437" i="10"/>
  <c r="F222" i="1"/>
  <c r="E222" i="1"/>
  <c r="EI272" i="10"/>
  <c r="CB272" i="10"/>
  <c r="EA471" i="10"/>
  <c r="BT471" i="10"/>
  <c r="BT68" i="10"/>
  <c r="EA68" i="10"/>
  <c r="BT232" i="10"/>
  <c r="EA232" i="10"/>
  <c r="F437" i="1"/>
  <c r="E437" i="1"/>
  <c r="EI541" i="10"/>
  <c r="CB541" i="10"/>
  <c r="E419" i="1"/>
  <c r="F419" i="1"/>
  <c r="BY8" i="10"/>
  <c r="CN58" i="10" s="1"/>
  <c r="CL58" i="10" s="1"/>
  <c r="EF8" i="10"/>
  <c r="EE428" i="10"/>
  <c r="EB428" i="10"/>
  <c r="EI474" i="10"/>
  <c r="CB474" i="10"/>
  <c r="F71" i="1"/>
  <c r="E71" i="1"/>
  <c r="EF406" i="10"/>
  <c r="BY406" i="10"/>
  <c r="EF351" i="10"/>
  <c r="BY351" i="10"/>
  <c r="F157" i="1"/>
  <c r="E157" i="1"/>
  <c r="EA317" i="10"/>
  <c r="BT317" i="10"/>
  <c r="EA262" i="10"/>
  <c r="BT262" i="10"/>
  <c r="E201" i="1"/>
  <c r="F201" i="1"/>
  <c r="F153" i="1"/>
  <c r="E153" i="1"/>
  <c r="EF115" i="10"/>
  <c r="BY115" i="10"/>
  <c r="EA381" i="10"/>
  <c r="BT381" i="10"/>
  <c r="BT299" i="10"/>
  <c r="EA299" i="10"/>
  <c r="EF315" i="10"/>
  <c r="BY315" i="10"/>
  <c r="F248" i="1"/>
  <c r="E248" i="1"/>
  <c r="EA244" i="10"/>
  <c r="BT244" i="10"/>
  <c r="EI261" i="10"/>
  <c r="CB261" i="10"/>
  <c r="E16" i="1"/>
  <c r="F16" i="1"/>
  <c r="EF454" i="10"/>
  <c r="BY454" i="10"/>
  <c r="EE387" i="10"/>
  <c r="EB387" i="10"/>
  <c r="EF235" i="10"/>
  <c r="BY235" i="10"/>
  <c r="EE63" i="10"/>
  <c r="EB63" i="10"/>
  <c r="EF327" i="10"/>
  <c r="BY327" i="10"/>
  <c r="EI81" i="10"/>
  <c r="CB81" i="10"/>
  <c r="E336" i="1"/>
  <c r="F336" i="1"/>
  <c r="EI536" i="10"/>
  <c r="CB536" i="10"/>
  <c r="EF12" i="10"/>
  <c r="BY12" i="10"/>
  <c r="EE128" i="10"/>
  <c r="EB128" i="10"/>
  <c r="BT52" i="10"/>
  <c r="EA52" i="10"/>
  <c r="EF147" i="10"/>
  <c r="BY147" i="10"/>
  <c r="E168" i="1"/>
  <c r="F168" i="1"/>
  <c r="EF45" i="10"/>
  <c r="BY45" i="10"/>
  <c r="EE258" i="10"/>
  <c r="EB258" i="10"/>
  <c r="F139" i="1"/>
  <c r="E139" i="1"/>
  <c r="EE58" i="10"/>
  <c r="EB58" i="10"/>
  <c r="E205" i="1"/>
  <c r="F205" i="1"/>
  <c r="EE202" i="10"/>
  <c r="EB202" i="10"/>
  <c r="EE31" i="10"/>
  <c r="EB31" i="10"/>
  <c r="E138" i="1"/>
  <c r="F138" i="1"/>
  <c r="F49" i="1"/>
  <c r="E49" i="1"/>
  <c r="EE323" i="10"/>
  <c r="EB323" i="10"/>
  <c r="EI350" i="10"/>
  <c r="CB350" i="10"/>
  <c r="BT118" i="10"/>
  <c r="EA118" i="10"/>
  <c r="EA119" i="10"/>
  <c r="BT119" i="10"/>
  <c r="F512" i="1"/>
  <c r="E512" i="1"/>
  <c r="EF111" i="10"/>
  <c r="BY111" i="10"/>
  <c r="EA413" i="10"/>
  <c r="BT413" i="10"/>
  <c r="EF437" i="10"/>
  <c r="BY437" i="10"/>
  <c r="EA223" i="10"/>
  <c r="BT223" i="10"/>
  <c r="EF354" i="10"/>
  <c r="BY354" i="10"/>
  <c r="EF274" i="10"/>
  <c r="BY274" i="10"/>
  <c r="EI347" i="10"/>
  <c r="CB347" i="10"/>
  <c r="EA527" i="10"/>
  <c r="BT527" i="10"/>
  <c r="F46" i="1"/>
  <c r="E46" i="1"/>
  <c r="E487" i="1"/>
  <c r="F487" i="1"/>
  <c r="F348" i="1"/>
  <c r="E348" i="1"/>
  <c r="F55" i="1"/>
  <c r="E55" i="1"/>
  <c r="EI517" i="10"/>
  <c r="CB517" i="10"/>
  <c r="EE319" i="10"/>
  <c r="EB319" i="10"/>
  <c r="EE90" i="10"/>
  <c r="EB90" i="10"/>
  <c r="EI12" i="10"/>
  <c r="CB12" i="10"/>
  <c r="EI372" i="10"/>
  <c r="CB372" i="10"/>
  <c r="EF511" i="10"/>
  <c r="BY511" i="10"/>
  <c r="EI199" i="10"/>
  <c r="CB199" i="10"/>
  <c r="EI497" i="10"/>
  <c r="CB497" i="10"/>
  <c r="EF560" i="10"/>
  <c r="BY560" i="10"/>
  <c r="F90" i="1"/>
  <c r="E90" i="1"/>
  <c r="EI255" i="10"/>
  <c r="CB255" i="10"/>
  <c r="EE355" i="10"/>
  <c r="EB355" i="10"/>
  <c r="EE21" i="10"/>
  <c r="EB21" i="10"/>
  <c r="E426" i="1"/>
  <c r="F426" i="1"/>
  <c r="EI463" i="10"/>
  <c r="CB463" i="10"/>
  <c r="EF333" i="10"/>
  <c r="BY333" i="10"/>
  <c r="EE545" i="10"/>
  <c r="EB545" i="10"/>
  <c r="EF283" i="10"/>
  <c r="BY283" i="10"/>
  <c r="F29" i="1"/>
  <c r="E29" i="1"/>
  <c r="EE141" i="10"/>
  <c r="EB141" i="10"/>
  <c r="E519" i="1"/>
  <c r="F519" i="1"/>
  <c r="EE4" i="10"/>
  <c r="EB4" i="10"/>
  <c r="EF142" i="10"/>
  <c r="BY142" i="10"/>
  <c r="AG28" i="10"/>
  <c r="AE28" i="10" s="1"/>
  <c r="N539" i="10"/>
  <c r="BY72" i="10"/>
  <c r="EF72" i="10"/>
  <c r="EE473" i="10"/>
  <c r="EB473" i="10"/>
  <c r="EE279" i="10"/>
  <c r="EB279" i="10"/>
  <c r="BT526" i="10"/>
  <c r="EA526" i="10"/>
  <c r="EE42" i="10"/>
  <c r="EB42" i="10"/>
  <c r="EF234" i="10"/>
  <c r="BY234" i="10"/>
  <c r="BT464" i="10"/>
  <c r="EA464" i="10"/>
  <c r="EE156" i="10"/>
  <c r="EB156" i="10"/>
  <c r="EF239" i="10"/>
  <c r="BY239" i="10"/>
  <c r="EI140" i="10"/>
  <c r="CB140" i="10"/>
  <c r="EI22" i="10"/>
  <c r="CB22" i="10"/>
  <c r="EF119" i="10"/>
  <c r="BY119" i="10"/>
  <c r="EI313" i="10"/>
  <c r="CB313" i="10"/>
  <c r="EF413" i="10"/>
  <c r="BY413" i="10"/>
  <c r="EA15" i="10"/>
  <c r="BT15" i="10"/>
  <c r="EF291" i="10"/>
  <c r="BY291" i="10"/>
  <c r="EI67" i="10"/>
  <c r="CB67" i="10"/>
  <c r="E561" i="1"/>
  <c r="F561" i="1"/>
  <c r="EI134" i="10"/>
  <c r="CB134" i="10"/>
  <c r="EF481" i="10"/>
  <c r="BY481" i="10"/>
  <c r="EI55" i="10"/>
  <c r="CB55" i="10"/>
  <c r="EE350" i="10"/>
  <c r="EB350" i="10"/>
  <c r="EI444" i="10"/>
  <c r="CB444" i="10"/>
  <c r="EI167" i="10"/>
  <c r="CB167" i="10"/>
  <c r="EF177" i="10"/>
  <c r="BY177" i="10"/>
  <c r="EE347" i="10"/>
  <c r="EB347" i="10"/>
  <c r="EE280" i="10"/>
  <c r="EB280" i="10"/>
  <c r="EI150" i="10"/>
  <c r="CB150" i="10"/>
  <c r="EI123" i="10"/>
  <c r="CB123" i="10"/>
  <c r="E38" i="1"/>
  <c r="F38" i="1"/>
  <c r="EF397" i="10"/>
  <c r="BY397" i="10"/>
  <c r="EE307" i="10"/>
  <c r="EB307" i="10"/>
  <c r="EE423" i="10"/>
  <c r="EB423" i="10"/>
  <c r="EE251" i="10"/>
  <c r="EB251" i="10"/>
  <c r="EE405" i="10"/>
  <c r="EB405" i="10"/>
  <c r="EE73" i="10"/>
  <c r="EB73" i="10"/>
  <c r="EF253" i="10"/>
  <c r="BY253" i="10"/>
  <c r="EE531" i="10"/>
  <c r="EB531" i="10"/>
  <c r="E339" i="1"/>
  <c r="F339" i="1"/>
  <c r="EE386" i="10"/>
  <c r="EB386" i="10"/>
  <c r="EA213" i="10"/>
  <c r="BT213" i="10"/>
  <c r="EE110" i="10"/>
  <c r="EB110" i="10"/>
  <c r="EI90" i="10"/>
  <c r="CB90" i="10"/>
  <c r="EI144" i="10"/>
  <c r="CB144" i="10"/>
  <c r="EI233" i="10"/>
  <c r="CB233" i="10"/>
  <c r="EI212" i="10"/>
  <c r="CB212" i="10"/>
  <c r="EF127" i="10"/>
  <c r="BY127" i="10"/>
  <c r="EI309" i="10"/>
  <c r="CB309" i="10"/>
  <c r="BT518" i="10"/>
  <c r="EA518" i="10"/>
  <c r="EI373" i="10"/>
  <c r="CB373" i="10"/>
  <c r="EI49" i="10"/>
  <c r="CB49" i="10"/>
  <c r="BT204" i="10"/>
  <c r="EA204" i="10"/>
  <c r="EA366" i="10"/>
  <c r="BT366" i="10"/>
  <c r="EE187" i="10"/>
  <c r="EB187" i="10"/>
  <c r="EF308" i="10"/>
  <c r="BY308" i="10"/>
  <c r="EF508" i="10"/>
  <c r="BY508" i="10"/>
  <c r="EE57" i="10"/>
  <c r="EB57" i="10"/>
  <c r="F278" i="1"/>
  <c r="E278" i="1"/>
  <c r="EE192" i="10"/>
  <c r="EB192" i="10"/>
  <c r="EE492" i="10"/>
  <c r="EB492" i="10"/>
  <c r="EE449" i="10"/>
  <c r="EB449" i="10"/>
  <c r="BT425" i="10"/>
  <c r="EA425" i="10"/>
  <c r="EI534" i="10"/>
  <c r="CB534" i="10"/>
  <c r="EF181" i="10"/>
  <c r="BY181" i="10"/>
  <c r="EE272" i="10"/>
  <c r="EB272" i="10"/>
  <c r="EI280" i="10"/>
  <c r="CB280" i="10"/>
  <c r="E347" i="1"/>
  <c r="F347" i="1"/>
  <c r="EI145" i="10"/>
  <c r="CB145" i="10"/>
  <c r="EF316" i="10"/>
  <c r="BY316" i="10"/>
  <c r="EE509" i="10"/>
  <c r="EB509" i="10"/>
  <c r="EA172" i="10"/>
  <c r="BT172" i="10"/>
  <c r="EF42" i="10"/>
  <c r="BY42" i="10"/>
  <c r="BY456" i="10"/>
  <c r="EF456" i="10"/>
  <c r="EE318" i="10"/>
  <c r="EB318" i="10"/>
  <c r="EE44" i="10"/>
  <c r="EB44" i="10"/>
  <c r="EF439" i="10"/>
  <c r="BY439" i="10"/>
  <c r="EF106" i="10"/>
  <c r="BY106" i="10"/>
  <c r="EF231" i="10"/>
  <c r="BY231" i="10"/>
  <c r="EF37" i="10"/>
  <c r="BY37" i="10"/>
  <c r="EI209" i="10"/>
  <c r="CB209" i="10"/>
  <c r="EF301" i="10"/>
  <c r="BY301" i="10"/>
  <c r="EF543" i="10"/>
  <c r="BY543" i="10"/>
  <c r="E144" i="1"/>
  <c r="F144" i="1"/>
  <c r="EI369" i="10"/>
  <c r="CB369" i="10"/>
  <c r="EE460" i="10"/>
  <c r="EB460" i="10"/>
  <c r="BY192" i="10"/>
  <c r="EF192" i="10"/>
  <c r="EE30" i="10"/>
  <c r="EB30" i="10"/>
  <c r="EI291" i="10"/>
  <c r="CB291" i="10"/>
  <c r="EA29" i="10"/>
  <c r="BT29" i="10"/>
  <c r="EE191" i="10"/>
  <c r="EB191" i="10"/>
  <c r="E483" i="1"/>
  <c r="F483" i="1"/>
  <c r="EI458" i="10"/>
  <c r="CB458" i="10"/>
  <c r="E244" i="1"/>
  <c r="F244" i="1"/>
  <c r="E260" i="1"/>
  <c r="F260" i="1"/>
  <c r="EE104" i="10"/>
  <c r="EB104" i="10"/>
  <c r="EI346" i="10"/>
  <c r="CB346" i="10"/>
  <c r="EA85" i="10"/>
  <c r="BT85" i="10"/>
  <c r="BT535" i="10"/>
  <c r="EA535" i="10"/>
  <c r="EE246" i="10"/>
  <c r="EB246" i="10"/>
  <c r="E337" i="1"/>
  <c r="F337" i="1"/>
  <c r="EA336" i="10"/>
  <c r="BT336" i="10"/>
  <c r="EI394" i="10"/>
  <c r="CB394" i="10"/>
  <c r="EI198" i="10"/>
  <c r="CB198" i="10"/>
  <c r="EF387" i="10"/>
  <c r="BY387" i="10"/>
  <c r="EA311" i="10"/>
  <c r="BT311" i="10"/>
  <c r="EI327" i="10"/>
  <c r="CB327" i="10"/>
  <c r="EI450" i="10"/>
  <c r="CB450" i="10"/>
  <c r="EI256" i="10"/>
  <c r="CB256" i="10"/>
  <c r="EE344" i="10"/>
  <c r="EB344" i="10"/>
  <c r="EF536" i="10"/>
  <c r="BY536" i="10"/>
  <c r="EI440" i="10"/>
  <c r="CB440" i="10"/>
  <c r="EI128" i="10"/>
  <c r="CB128" i="10"/>
  <c r="EI53" i="10"/>
  <c r="CB53" i="10"/>
  <c r="EE300" i="10"/>
  <c r="EB300" i="10"/>
  <c r="EF70" i="10"/>
  <c r="BY70" i="10"/>
  <c r="EE129" i="10"/>
  <c r="EB129" i="10"/>
  <c r="EE388" i="10"/>
  <c r="EB388" i="10"/>
  <c r="EA278" i="10"/>
  <c r="BT278" i="10"/>
  <c r="EI460" i="10"/>
  <c r="CB460" i="10"/>
  <c r="EF266" i="10"/>
  <c r="BY266" i="10"/>
  <c r="EI77" i="10"/>
  <c r="CB77" i="10"/>
  <c r="EE358" i="10"/>
  <c r="EB358" i="10"/>
  <c r="EA510" i="10"/>
  <c r="BT510" i="10"/>
  <c r="EF468" i="10"/>
  <c r="BY468" i="10"/>
  <c r="EI515" i="10"/>
  <c r="CB515" i="10"/>
  <c r="EI396" i="10"/>
  <c r="CB396" i="10"/>
  <c r="EE477" i="10"/>
  <c r="EB477" i="10"/>
  <c r="BT577" i="10"/>
  <c r="EA577" i="10"/>
  <c r="EA584" i="10"/>
  <c r="BT584" i="10"/>
  <c r="EA572" i="10"/>
  <c r="BT572" i="10"/>
  <c r="BT574" i="10"/>
  <c r="EA574" i="10"/>
  <c r="EA579" i="10"/>
  <c r="BT579" i="10"/>
  <c r="AG59" i="10"/>
  <c r="AE59" i="10" s="1"/>
  <c r="N411" i="10"/>
  <c r="EF507" i="10"/>
  <c r="BY507" i="10"/>
  <c r="EF467" i="10"/>
  <c r="BY467" i="10"/>
  <c r="EF65" i="10"/>
  <c r="BY65" i="10"/>
  <c r="EI384" i="10"/>
  <c r="CB384" i="10"/>
  <c r="EE81" i="10"/>
  <c r="EB81" i="10"/>
  <c r="EI352" i="10"/>
  <c r="CB352" i="10"/>
  <c r="BY424" i="10"/>
  <c r="EF424" i="10"/>
  <c r="EF306" i="10"/>
  <c r="BY306" i="10"/>
  <c r="EE455" i="10"/>
  <c r="EB455" i="10"/>
  <c r="EE292" i="10"/>
  <c r="EB292" i="10"/>
  <c r="EF446" i="10"/>
  <c r="BY446" i="10"/>
  <c r="EF11" i="10"/>
  <c r="BY11" i="10"/>
  <c r="EI447" i="10"/>
  <c r="CB447" i="10"/>
  <c r="EE308" i="10"/>
  <c r="EB308" i="10"/>
  <c r="EF195" i="10"/>
  <c r="BY195" i="10"/>
  <c r="EI414" i="10"/>
  <c r="CB414" i="10"/>
  <c r="BY128" i="10"/>
  <c r="EF128" i="10"/>
  <c r="EE75" i="10"/>
  <c r="EB75" i="10"/>
  <c r="EF39" i="10"/>
  <c r="BY39" i="10"/>
  <c r="EE403" i="10"/>
  <c r="EB403" i="10"/>
  <c r="EE385" i="10"/>
  <c r="EB385" i="10"/>
  <c r="F189" i="1"/>
  <c r="E189" i="1"/>
  <c r="BT337" i="10"/>
  <c r="EA337" i="10"/>
  <c r="EF47" i="10"/>
  <c r="BY47" i="10"/>
  <c r="EF276" i="10"/>
  <c r="BY276" i="10"/>
  <c r="EF419" i="10"/>
  <c r="BY419" i="10"/>
  <c r="EF208" i="10"/>
  <c r="BY208" i="10"/>
  <c r="E393" i="1"/>
  <c r="F393" i="1"/>
  <c r="E311" i="1"/>
  <c r="F311" i="1"/>
  <c r="EF459" i="10"/>
  <c r="BY459" i="10"/>
  <c r="F324" i="1"/>
  <c r="E324" i="1"/>
  <c r="BY328" i="10"/>
  <c r="EF328" i="10"/>
  <c r="F104" i="1"/>
  <c r="E104" i="1"/>
  <c r="EI5" i="10"/>
  <c r="CB5" i="10"/>
  <c r="EI544" i="10"/>
  <c r="CB544" i="10"/>
  <c r="BY296" i="10"/>
  <c r="EF296" i="10"/>
  <c r="EE517" i="10"/>
  <c r="EB517" i="10"/>
  <c r="EI168" i="10"/>
  <c r="CB168" i="10"/>
  <c r="EI186" i="10"/>
  <c r="CB186" i="10"/>
  <c r="E177" i="1"/>
  <c r="F177" i="1"/>
  <c r="EE552" i="10"/>
  <c r="EB552" i="10"/>
  <c r="E156" i="1"/>
  <c r="F156" i="1"/>
  <c r="EF176" i="10"/>
  <c r="BY176" i="10"/>
  <c r="F64" i="1"/>
  <c r="E64" i="1"/>
  <c r="EE62" i="10"/>
  <c r="EB62" i="10"/>
  <c r="EF157" i="10"/>
  <c r="BY157" i="10"/>
  <c r="EE6" i="10"/>
  <c r="EB6" i="10"/>
  <c r="EF378" i="10"/>
  <c r="BY378" i="10"/>
  <c r="EI146" i="10"/>
  <c r="CB146" i="10"/>
  <c r="EF83" i="10"/>
  <c r="BY83" i="10"/>
  <c r="EA422" i="10"/>
  <c r="BT422" i="10"/>
  <c r="EF373" i="10"/>
  <c r="BY373" i="10"/>
  <c r="BT135" i="10"/>
  <c r="EA135" i="10"/>
  <c r="EE166" i="10"/>
  <c r="EB166" i="10"/>
  <c r="BY512" i="10"/>
  <c r="EF512" i="10"/>
  <c r="EE136" i="10"/>
  <c r="EB136" i="10"/>
  <c r="EE143" i="10"/>
  <c r="EB143" i="10"/>
  <c r="EI220" i="10"/>
  <c r="CB220" i="10"/>
  <c r="EF551" i="10"/>
  <c r="BY551" i="10"/>
  <c r="EA505" i="10"/>
  <c r="BT505" i="10"/>
  <c r="EI114" i="10"/>
  <c r="CB114" i="10"/>
  <c r="EE290" i="10"/>
  <c r="EB290" i="10"/>
  <c r="EE265" i="10"/>
  <c r="EB265" i="10"/>
  <c r="EF521" i="10"/>
  <c r="BY521" i="10"/>
  <c r="EI222" i="10"/>
  <c r="CB222" i="10"/>
  <c r="EE185" i="10"/>
  <c r="EB185" i="10"/>
  <c r="EE195" i="10"/>
  <c r="EB195" i="10"/>
  <c r="EI171" i="10"/>
  <c r="CB171" i="10"/>
  <c r="E497" i="1"/>
  <c r="F497" i="1"/>
  <c r="EI263" i="10"/>
  <c r="CB263" i="10"/>
  <c r="EF18" i="10"/>
  <c r="BY18" i="10"/>
  <c r="F440" i="1"/>
  <c r="E440" i="1"/>
  <c r="EA410" i="10"/>
  <c r="BT410" i="10"/>
  <c r="EE469" i="10"/>
  <c r="EB469" i="10"/>
  <c r="EI389" i="10"/>
  <c r="CB389" i="10"/>
  <c r="EE329" i="10"/>
  <c r="EB329" i="10"/>
  <c r="EA206" i="10"/>
  <c r="BT206" i="10"/>
  <c r="F89" i="1"/>
  <c r="E89" i="1"/>
  <c r="EE361" i="10"/>
  <c r="EB361" i="10"/>
  <c r="F100" i="1"/>
  <c r="E100" i="1"/>
  <c r="EI405" i="10"/>
  <c r="CB405" i="10"/>
  <c r="EE547" i="10"/>
  <c r="EB547" i="10"/>
  <c r="EE229" i="10"/>
  <c r="EB229" i="10"/>
  <c r="EF433" i="10"/>
  <c r="BY433" i="10"/>
  <c r="EF383" i="10"/>
  <c r="BY383" i="10"/>
  <c r="EE506" i="10"/>
  <c r="EB506" i="10"/>
  <c r="EI247" i="10"/>
  <c r="CB247" i="10"/>
  <c r="EA221" i="10"/>
  <c r="BT221" i="10"/>
  <c r="EE498" i="10"/>
  <c r="EB498" i="10"/>
  <c r="EA293" i="10"/>
  <c r="BT293" i="10"/>
  <c r="F70" i="1"/>
  <c r="E70" i="1"/>
  <c r="EF372" i="10"/>
  <c r="BY372" i="10"/>
  <c r="EA528" i="10"/>
  <c r="BT528" i="10"/>
  <c r="EF553" i="10"/>
  <c r="BY553" i="10"/>
  <c r="EI102" i="10"/>
  <c r="CB102" i="10"/>
  <c r="F381" i="1"/>
  <c r="E381" i="1"/>
  <c r="BT282" i="10"/>
  <c r="EA282" i="10"/>
  <c r="EE210" i="10"/>
  <c r="EB210" i="10"/>
  <c r="EI93" i="10"/>
  <c r="CB93" i="10"/>
  <c r="BT124" i="10"/>
  <c r="EA124" i="10"/>
  <c r="EE114" i="10"/>
  <c r="EB114" i="10"/>
  <c r="EE39" i="10"/>
  <c r="EB39" i="10"/>
  <c r="EI489" i="10"/>
  <c r="CB489" i="10"/>
  <c r="E99" i="1"/>
  <c r="F99" i="1"/>
  <c r="EI94" i="10"/>
  <c r="CB94" i="10"/>
  <c r="E186" i="1"/>
  <c r="F186" i="1"/>
  <c r="E185" i="1"/>
  <c r="F185" i="1"/>
  <c r="EI46" i="10"/>
  <c r="CB46" i="10"/>
  <c r="EA390" i="10"/>
  <c r="BT390" i="10"/>
  <c r="EI479" i="10"/>
  <c r="CB479" i="10"/>
  <c r="EE397" i="10"/>
  <c r="EB397" i="10"/>
  <c r="EF515" i="10"/>
  <c r="BY515" i="10"/>
  <c r="EE254" i="10"/>
  <c r="EB254" i="10"/>
  <c r="BT179" i="10"/>
  <c r="EA179" i="10"/>
  <c r="BT88" i="10"/>
  <c r="EA88" i="10"/>
  <c r="EA134" i="10"/>
  <c r="BT134" i="10"/>
  <c r="EE533" i="10"/>
  <c r="EB533" i="10"/>
  <c r="EI253" i="10"/>
  <c r="CB253" i="10"/>
  <c r="EE69" i="10"/>
  <c r="EB69" i="10"/>
  <c r="EF43" i="10"/>
  <c r="BY43" i="10"/>
  <c r="EE54" i="10"/>
  <c r="EB54" i="10"/>
  <c r="EE539" i="10"/>
  <c r="EB539" i="10"/>
  <c r="E412" i="1"/>
  <c r="F412" i="1"/>
  <c r="EI35" i="10"/>
  <c r="CB35" i="10"/>
  <c r="EF144" i="10"/>
  <c r="BY144" i="10"/>
  <c r="EE334" i="10"/>
  <c r="EB334" i="10"/>
  <c r="BT217" i="10"/>
  <c r="EA217" i="10"/>
  <c r="F533" i="1"/>
  <c r="E533" i="1"/>
  <c r="EI19" i="10"/>
  <c r="CB19" i="10"/>
  <c r="E206" i="1"/>
  <c r="F206" i="1"/>
  <c r="EI58" i="10"/>
  <c r="CB58" i="10"/>
  <c r="EE297" i="10"/>
  <c r="EB297" i="10"/>
  <c r="EI173" i="10"/>
  <c r="CB173" i="10"/>
  <c r="EI292" i="10"/>
  <c r="CB292" i="10"/>
  <c r="EE48" i="10"/>
  <c r="EB48" i="10"/>
  <c r="EI143" i="10"/>
  <c r="CB143" i="10"/>
  <c r="EF388" i="10"/>
  <c r="BY388" i="10"/>
  <c r="EF36" i="10"/>
  <c r="BY36" i="10"/>
  <c r="EE89" i="10"/>
  <c r="EB89" i="10"/>
  <c r="EF505" i="10"/>
  <c r="BY505" i="10"/>
  <c r="EE218" i="10"/>
  <c r="EB218" i="10"/>
  <c r="EI96" i="10"/>
  <c r="CB96" i="10"/>
  <c r="EF348" i="10"/>
  <c r="BY348" i="10"/>
  <c r="EF23" i="10"/>
  <c r="BY23" i="10"/>
  <c r="BT331" i="10"/>
  <c r="EA331" i="10"/>
  <c r="EE335" i="10"/>
  <c r="EB335" i="10"/>
  <c r="EA98" i="10"/>
  <c r="BT98" i="10"/>
  <c r="BU466" i="10"/>
  <c r="EF289" i="10"/>
  <c r="BY289" i="10"/>
  <c r="EE107" i="10"/>
  <c r="EB107" i="10"/>
  <c r="EI531" i="10"/>
  <c r="CB531" i="10"/>
  <c r="BT472" i="10"/>
  <c r="EA472" i="10"/>
  <c r="EI195" i="10"/>
  <c r="CB195" i="10"/>
  <c r="EF263" i="10"/>
  <c r="BY263" i="10"/>
  <c r="EF538" i="10"/>
  <c r="BY538" i="10"/>
  <c r="EA281" i="10"/>
  <c r="BT281" i="10"/>
  <c r="EE414" i="10"/>
  <c r="EB414" i="10"/>
  <c r="EF112" i="10"/>
  <c r="BY112" i="10"/>
  <c r="BT523" i="10"/>
  <c r="EA523" i="10"/>
  <c r="E182" i="1"/>
  <c r="F182" i="1"/>
  <c r="EF411" i="10"/>
  <c r="BY411" i="10"/>
  <c r="EI103" i="10"/>
  <c r="CB103" i="10"/>
  <c r="EF141" i="10"/>
  <c r="BY141" i="10"/>
  <c r="EE316" i="10"/>
  <c r="EB316" i="10"/>
  <c r="E263" i="1"/>
  <c r="F263" i="1"/>
  <c r="EF92" i="10"/>
  <c r="BY92" i="10"/>
  <c r="EE522" i="10"/>
  <c r="EB522" i="10"/>
  <c r="EF237" i="10"/>
  <c r="BY237" i="10"/>
  <c r="EF138" i="10"/>
  <c r="BY138" i="10"/>
  <c r="EE99" i="10"/>
  <c r="EB99" i="10"/>
  <c r="EF427" i="10"/>
  <c r="BY427" i="10"/>
  <c r="E503" i="1"/>
  <c r="F503" i="1"/>
  <c r="F353" i="1"/>
  <c r="E353" i="1"/>
  <c r="EI260" i="10"/>
  <c r="CB260" i="10"/>
  <c r="EE521" i="10"/>
  <c r="EB521" i="10"/>
  <c r="EE456" i="10"/>
  <c r="EB456" i="10"/>
  <c r="F403" i="1"/>
  <c r="E403" i="1"/>
  <c r="EE417" i="10"/>
  <c r="EB417" i="10"/>
  <c r="BT519" i="10"/>
  <c r="EA519" i="10"/>
  <c r="E502" i="1"/>
  <c r="F502" i="1"/>
  <c r="EI231" i="10"/>
  <c r="CB231" i="10"/>
  <c r="E82" i="1"/>
  <c r="F82" i="1"/>
  <c r="EI528" i="10"/>
  <c r="CB528" i="10"/>
  <c r="EI425" i="10"/>
  <c r="CB425" i="10"/>
  <c r="EF210" i="10"/>
  <c r="BY210" i="10"/>
  <c r="EI270" i="10"/>
  <c r="CB270" i="10"/>
  <c r="EE540" i="10"/>
  <c r="EB540" i="10"/>
  <c r="EF198" i="10"/>
  <c r="BY198" i="10"/>
  <c r="EI225" i="10"/>
  <c r="CB225" i="10"/>
  <c r="EE233" i="10"/>
  <c r="EB233" i="10"/>
  <c r="EF374" i="10"/>
  <c r="BY374" i="10"/>
  <c r="EI266" i="10"/>
  <c r="CB266" i="10"/>
  <c r="EF436" i="10"/>
  <c r="BY436" i="10"/>
  <c r="EE489" i="10"/>
  <c r="EB489" i="10"/>
  <c r="EI441" i="10"/>
  <c r="CB441" i="10"/>
  <c r="EF10" i="10"/>
  <c r="BY10" i="10"/>
  <c r="EF339" i="10"/>
  <c r="BY339" i="10"/>
  <c r="EF420" i="10"/>
  <c r="BY420" i="10"/>
  <c r="EA200" i="10"/>
  <c r="BT200" i="10"/>
  <c r="EF123" i="10"/>
  <c r="BY123" i="10"/>
  <c r="F408" i="1"/>
  <c r="E408" i="1"/>
  <c r="E478" i="1"/>
  <c r="F478" i="1"/>
  <c r="EI326" i="10"/>
  <c r="CB326" i="10"/>
  <c r="EI250" i="10"/>
  <c r="CB250" i="10"/>
  <c r="EF299" i="10"/>
  <c r="BY299" i="10"/>
  <c r="EF405" i="10"/>
  <c r="BY405" i="10"/>
  <c r="EE64" i="10"/>
  <c r="EB64" i="10"/>
  <c r="EE548" i="10"/>
  <c r="EB548" i="10"/>
  <c r="EI336" i="10"/>
  <c r="CB336" i="10"/>
  <c r="E470" i="1"/>
  <c r="F470" i="1"/>
  <c r="EI398" i="10"/>
  <c r="CB398" i="10"/>
  <c r="EE65" i="10"/>
  <c r="EB65" i="10"/>
  <c r="EE457" i="10"/>
  <c r="EB457" i="10"/>
  <c r="EE392" i="10"/>
  <c r="EB392" i="10"/>
  <c r="F334" i="1"/>
  <c r="E334" i="1"/>
  <c r="EI110" i="10"/>
  <c r="CB110" i="10"/>
  <c r="EF408" i="10"/>
  <c r="BY408" i="10"/>
  <c r="EE550" i="10"/>
  <c r="EB550" i="10"/>
  <c r="EA55" i="10"/>
  <c r="BT55" i="10"/>
  <c r="E254" i="1"/>
  <c r="F254" i="1"/>
  <c r="EI156" i="10"/>
  <c r="CB156" i="10"/>
  <c r="EE306" i="10"/>
  <c r="EB306" i="10"/>
  <c r="F370" i="1"/>
  <c r="E370" i="1"/>
  <c r="EI297" i="10"/>
  <c r="CB297" i="10"/>
  <c r="EF49" i="10"/>
  <c r="BY49" i="10"/>
  <c r="F87" i="1"/>
  <c r="E87" i="1"/>
  <c r="EF187" i="10"/>
  <c r="BY187" i="10"/>
  <c r="EE36" i="10"/>
  <c r="EB36" i="10"/>
  <c r="EI286" i="10"/>
  <c r="CB286" i="10"/>
  <c r="EE396" i="10"/>
  <c r="EB396" i="10"/>
  <c r="EI245" i="10"/>
  <c r="CB245" i="10"/>
  <c r="EI303" i="10"/>
  <c r="CB303" i="10"/>
  <c r="EE352" i="10"/>
  <c r="EB352" i="10"/>
  <c r="EE424" i="10"/>
  <c r="EB424" i="10"/>
  <c r="EF167" i="10"/>
  <c r="BY167" i="10"/>
  <c r="EF272" i="10"/>
  <c r="BY272" i="10"/>
  <c r="EE406" i="10"/>
  <c r="EB406" i="10"/>
  <c r="EF403" i="10"/>
  <c r="BY403" i="10"/>
  <c r="EF499" i="10"/>
  <c r="BY499" i="10"/>
  <c r="EI236" i="10"/>
  <c r="CB236" i="10"/>
  <c r="EA467" i="10"/>
  <c r="BT467" i="10"/>
  <c r="EE401" i="10"/>
  <c r="EB401" i="10"/>
  <c r="EF120" i="10"/>
  <c r="BY120" i="10"/>
  <c r="EE296" i="10"/>
  <c r="EB296" i="10"/>
  <c r="EI65" i="10"/>
  <c r="CB65" i="10"/>
  <c r="EI243" i="10"/>
  <c r="CB243" i="10"/>
  <c r="EA367" i="10"/>
  <c r="BT367" i="10"/>
  <c r="EF52" i="10"/>
  <c r="BY52" i="10"/>
  <c r="EE157" i="10"/>
  <c r="EB157" i="10"/>
  <c r="EI174" i="10"/>
  <c r="CB174" i="10"/>
  <c r="EF472" i="10"/>
  <c r="BY472" i="10"/>
  <c r="EE430" i="10"/>
  <c r="EB430" i="10"/>
  <c r="EF444" i="10"/>
  <c r="BY444" i="10"/>
  <c r="EF349" i="10"/>
  <c r="BY349" i="10"/>
  <c r="EI399" i="10"/>
  <c r="CB399" i="10"/>
  <c r="EF199" i="10"/>
  <c r="BY199" i="10"/>
  <c r="EE9" i="10"/>
  <c r="EB9" i="10"/>
  <c r="EE502" i="10"/>
  <c r="EB502" i="10"/>
  <c r="EI510" i="10"/>
  <c r="CB510" i="10"/>
  <c r="EF542" i="10"/>
  <c r="BY542" i="10"/>
  <c r="EI153" i="10"/>
  <c r="CB153" i="10"/>
  <c r="EF498" i="10"/>
  <c r="BY498" i="10"/>
  <c r="EE287" i="10"/>
  <c r="EB287" i="10"/>
  <c r="EI230" i="10"/>
  <c r="CB230" i="10"/>
  <c r="EI248" i="10"/>
  <c r="CB248" i="10"/>
  <c r="EI561" i="10"/>
  <c r="CB561" i="10"/>
  <c r="EE95" i="10"/>
  <c r="EB95" i="10"/>
  <c r="EE18" i="10"/>
  <c r="EB18" i="10"/>
  <c r="EE516" i="10"/>
  <c r="EB516" i="10"/>
  <c r="EF240" i="10"/>
  <c r="BY240" i="10"/>
  <c r="EA588" i="10"/>
  <c r="BT588" i="10"/>
  <c r="EA573" i="10"/>
  <c r="BT573" i="10"/>
  <c r="EA581" i="10"/>
  <c r="BT581" i="10"/>
  <c r="EA566" i="10"/>
  <c r="BT566" i="10"/>
  <c r="EA570" i="10"/>
  <c r="BT570" i="10"/>
  <c r="EE411" i="10"/>
  <c r="EB411" i="10"/>
  <c r="EF466" i="10"/>
  <c r="BY466" i="10"/>
  <c r="EE338" i="10"/>
  <c r="EB338" i="10"/>
  <c r="EI471" i="10"/>
  <c r="CB471" i="10"/>
  <c r="EI244" i="10"/>
  <c r="CB244" i="10"/>
  <c r="EE328" i="10"/>
  <c r="EB328" i="10"/>
  <c r="EE264" i="10"/>
  <c r="EB264" i="10"/>
  <c r="EF165" i="10"/>
  <c r="BY165" i="10"/>
  <c r="EE415" i="10"/>
  <c r="EB415" i="10"/>
  <c r="EF440" i="10"/>
  <c r="BY440" i="10"/>
  <c r="EE294" i="10"/>
  <c r="EB294" i="10"/>
  <c r="EF302" i="10"/>
  <c r="BY302" i="10"/>
  <c r="EF146" i="10"/>
  <c r="BY146" i="10"/>
  <c r="BY224" i="10"/>
  <c r="EF224" i="10"/>
  <c r="EF430" i="10"/>
  <c r="BY430" i="10"/>
  <c r="EE222" i="10"/>
  <c r="EB222" i="10"/>
  <c r="EF426" i="10"/>
  <c r="BY426" i="10"/>
  <c r="EE431" i="10"/>
  <c r="EB431" i="10"/>
  <c r="EI119" i="10"/>
  <c r="CB119" i="10"/>
  <c r="EI500" i="10"/>
  <c r="CB500" i="10"/>
  <c r="EI553" i="10"/>
  <c r="CB553" i="10"/>
  <c r="EF114" i="10"/>
  <c r="BY114" i="10"/>
  <c r="EE240" i="10"/>
  <c r="EB240" i="10"/>
  <c r="EE557" i="10"/>
  <c r="EB557" i="10"/>
  <c r="EI51" i="10"/>
  <c r="CB51" i="10"/>
  <c r="EF478" i="10"/>
  <c r="BY478" i="10"/>
  <c r="BY488" i="10"/>
  <c r="EF488" i="10"/>
  <c r="EF183" i="10"/>
  <c r="BY183" i="10"/>
  <c r="F491" i="1"/>
  <c r="E491" i="1"/>
  <c r="EF441" i="10"/>
  <c r="BY441" i="10"/>
  <c r="E570" i="1"/>
  <c r="F570" i="1"/>
  <c r="EI339" i="10"/>
  <c r="CB339" i="10"/>
  <c r="E475" i="1"/>
  <c r="F475" i="1"/>
  <c r="EI281" i="10"/>
  <c r="CB281" i="10"/>
  <c r="EE445" i="10"/>
  <c r="EB445" i="10"/>
  <c r="EF243" i="10"/>
  <c r="BY243" i="10"/>
  <c r="EF125" i="10"/>
  <c r="BY125" i="10"/>
  <c r="EF334" i="10"/>
  <c r="BY334" i="10"/>
  <c r="EE8" i="10"/>
  <c r="EB8" i="10"/>
  <c r="EF80" i="10"/>
  <c r="BY80" i="10"/>
  <c r="EF525" i="10"/>
  <c r="BY525" i="10"/>
  <c r="BT273" i="10"/>
  <c r="EA273" i="10"/>
  <c r="EI461" i="10"/>
  <c r="CB461" i="10"/>
  <c r="CB533" i="10"/>
  <c r="EI533" i="10"/>
  <c r="EI76" i="10"/>
  <c r="CB76" i="10"/>
  <c r="EA86" i="10"/>
  <c r="BT86" i="10"/>
  <c r="EI18" i="10"/>
  <c r="CB18" i="10"/>
  <c r="E422" i="1"/>
  <c r="F422" i="1"/>
  <c r="F341" i="1"/>
  <c r="E341" i="1"/>
  <c r="EE436" i="10"/>
  <c r="EB436" i="10"/>
  <c r="EF561" i="10"/>
  <c r="BY561" i="10"/>
  <c r="EE295" i="10"/>
  <c r="EB295" i="10"/>
  <c r="E505" i="1"/>
  <c r="F505" i="1"/>
  <c r="EA501" i="10"/>
  <c r="BT501" i="10"/>
  <c r="EA474" i="10"/>
  <c r="BT474" i="10"/>
  <c r="EE351" i="10"/>
  <c r="EB351" i="10"/>
  <c r="BT416" i="10"/>
  <c r="EA416" i="10"/>
  <c r="F345" i="1"/>
  <c r="E345" i="1"/>
  <c r="AG44" i="10"/>
  <c r="AE44" i="10" s="1"/>
  <c r="N283" i="10"/>
  <c r="EE337" i="10"/>
  <c r="EB337" i="10"/>
  <c r="EF94" i="10"/>
  <c r="BY94" i="10"/>
  <c r="EE273" i="10"/>
  <c r="EB273" i="10"/>
  <c r="EE326" i="10"/>
  <c r="EB326" i="10"/>
  <c r="EI289" i="10"/>
  <c r="CB289" i="10"/>
  <c r="BT363" i="10"/>
  <c r="EA363" i="10"/>
  <c r="BT120" i="10"/>
  <c r="EA120" i="10"/>
  <c r="EI54" i="10"/>
  <c r="CB54" i="10"/>
  <c r="EE149" i="10"/>
  <c r="EB149" i="10"/>
  <c r="EI392" i="10"/>
  <c r="CB392" i="10"/>
  <c r="EA72" i="10"/>
  <c r="BT72" i="10"/>
  <c r="EA433" i="10"/>
  <c r="BT433" i="10"/>
  <c r="EF491" i="10"/>
  <c r="BY491" i="10"/>
  <c r="EE79" i="10"/>
  <c r="EB79" i="10"/>
  <c r="EI100" i="10"/>
  <c r="CB100" i="10"/>
  <c r="F380" i="1"/>
  <c r="E380" i="1"/>
  <c r="EF225" i="10"/>
  <c r="BY225" i="10"/>
  <c r="F74" i="1"/>
  <c r="E74" i="1"/>
  <c r="F18" i="1"/>
  <c r="E18" i="1"/>
  <c r="EF524" i="10"/>
  <c r="BY524" i="10"/>
  <c r="EE439" i="10"/>
  <c r="EB439" i="10"/>
  <c r="EI374" i="10"/>
  <c r="CB374" i="10"/>
  <c r="BT309" i="10"/>
  <c r="EA309" i="10"/>
  <c r="EI451" i="10"/>
  <c r="CB451" i="10"/>
  <c r="F384" i="1"/>
  <c r="E384" i="1"/>
  <c r="BT285" i="10"/>
  <c r="EA285" i="10"/>
  <c r="EF447" i="10"/>
  <c r="BY447" i="10"/>
  <c r="BT332" i="10"/>
  <c r="EA332" i="10"/>
  <c r="EF230" i="10"/>
  <c r="BY230" i="10"/>
  <c r="EF108" i="10"/>
  <c r="BY108" i="10"/>
  <c r="EE356" i="10"/>
  <c r="EB356" i="10"/>
  <c r="EF364" i="10"/>
  <c r="BY364" i="10"/>
  <c r="EF280" i="10"/>
  <c r="BY280" i="10"/>
  <c r="EF178" i="10"/>
  <c r="BY178" i="10"/>
  <c r="EF19" i="10"/>
  <c r="BY19" i="10"/>
  <c r="EA553" i="10"/>
  <c r="BT553" i="10"/>
  <c r="EA313" i="10"/>
  <c r="BT313" i="10"/>
  <c r="EE497" i="10"/>
  <c r="EB497" i="10"/>
  <c r="EF78" i="10"/>
  <c r="BY78" i="10"/>
  <c r="EA493" i="10"/>
  <c r="BT493" i="10"/>
  <c r="F372" i="1"/>
  <c r="E372" i="1"/>
  <c r="BT486" i="10"/>
  <c r="EA486" i="10"/>
  <c r="EF246" i="10"/>
  <c r="BY246" i="10"/>
  <c r="EI333" i="10"/>
  <c r="CB333" i="10"/>
  <c r="EF484" i="10"/>
  <c r="BY484" i="10"/>
  <c r="F115" i="1"/>
  <c r="E115" i="1"/>
  <c r="F174" i="1"/>
  <c r="E174" i="1"/>
  <c r="EA153" i="10"/>
  <c r="BT153" i="10"/>
  <c r="EA169" i="10"/>
  <c r="BT169" i="10"/>
  <c r="EF522" i="10"/>
  <c r="BY522" i="10"/>
  <c r="EE133" i="10"/>
  <c r="EB133" i="10"/>
  <c r="EE138" i="10"/>
  <c r="EB138" i="10"/>
  <c r="EI457" i="10"/>
  <c r="CB457" i="10"/>
  <c r="EF465" i="10"/>
  <c r="BY465" i="10"/>
  <c r="F176" i="1"/>
  <c r="E176" i="1"/>
  <c r="EF205" i="10"/>
  <c r="BY205" i="10"/>
  <c r="EE427" i="10"/>
  <c r="EB427" i="10"/>
  <c r="EI380" i="10"/>
  <c r="CB380" i="10"/>
  <c r="EF415" i="10"/>
  <c r="BY415" i="10"/>
  <c r="EE144" i="10"/>
  <c r="EB144" i="10"/>
  <c r="EE478" i="10"/>
  <c r="EB478" i="10"/>
  <c r="E54" i="1"/>
  <c r="F54" i="1"/>
  <c r="EF391" i="10"/>
  <c r="BY391" i="10"/>
  <c r="EI71" i="10"/>
  <c r="CB71" i="10"/>
  <c r="E454" i="1"/>
  <c r="F454" i="1"/>
  <c r="EF91" i="10"/>
  <c r="BY91" i="10"/>
  <c r="EI239" i="10"/>
  <c r="CB239" i="10"/>
  <c r="EA212" i="10"/>
  <c r="BT212" i="10"/>
  <c r="F270" i="1"/>
  <c r="E270" i="1"/>
  <c r="EI455" i="10"/>
  <c r="CB455" i="10"/>
  <c r="EI453" i="10"/>
  <c r="CB453" i="10"/>
  <c r="EI238" i="10"/>
  <c r="CB238" i="10"/>
  <c r="E214" i="1"/>
  <c r="F214" i="1"/>
  <c r="EI511" i="10"/>
  <c r="CB511" i="10"/>
  <c r="F52" i="1"/>
  <c r="E52" i="1"/>
  <c r="EE49" i="10"/>
  <c r="EB49" i="10"/>
  <c r="EI166" i="10"/>
  <c r="CB166" i="10"/>
  <c r="EI343" i="10"/>
  <c r="CB343" i="10"/>
  <c r="F60" i="1"/>
  <c r="E60" i="1"/>
  <c r="EF129" i="10"/>
  <c r="BY129" i="10"/>
  <c r="EI187" i="10"/>
  <c r="CB187" i="10"/>
  <c r="EE304" i="10"/>
  <c r="EB304" i="10"/>
  <c r="EA495" i="10"/>
  <c r="BT495" i="10"/>
  <c r="EF494" i="10"/>
  <c r="BY494" i="10"/>
  <c r="EE348" i="10"/>
  <c r="EB348" i="10"/>
  <c r="EF67" i="10"/>
  <c r="BY67" i="10"/>
  <c r="EI428" i="10"/>
  <c r="CB428" i="10"/>
  <c r="EA74" i="10"/>
  <c r="BT74" i="10"/>
  <c r="EI328" i="10"/>
  <c r="CB328" i="10"/>
  <c r="EI138" i="10"/>
  <c r="CB138" i="10"/>
  <c r="F102" i="1"/>
  <c r="E102" i="1"/>
  <c r="EI314" i="10"/>
  <c r="CB314" i="10"/>
  <c r="EI439" i="10"/>
  <c r="CB439" i="10"/>
  <c r="EA132" i="10"/>
  <c r="BT132" i="10"/>
  <c r="EE96" i="10"/>
  <c r="EB96" i="10"/>
  <c r="EE196" i="10"/>
  <c r="EB196" i="10"/>
  <c r="EE97" i="10"/>
  <c r="EB97" i="10"/>
  <c r="EF171" i="10"/>
  <c r="BY171" i="10"/>
  <c r="EA420" i="10"/>
  <c r="BT420" i="10"/>
  <c r="F292" i="1"/>
  <c r="E292" i="1"/>
  <c r="EI188" i="10"/>
  <c r="CB188" i="10"/>
  <c r="EI469" i="10"/>
  <c r="CB469" i="10"/>
  <c r="EI317" i="10"/>
  <c r="CB317" i="10"/>
  <c r="EI492" i="10"/>
  <c r="CB492" i="10"/>
  <c r="EI189" i="10"/>
  <c r="CB189" i="10"/>
  <c r="EE162" i="10"/>
  <c r="EB162" i="10"/>
  <c r="EA160" i="10"/>
  <c r="BT160" i="10"/>
  <c r="BT544" i="10"/>
  <c r="EA544" i="10"/>
  <c r="EF81" i="10"/>
  <c r="BY81" i="10"/>
  <c r="BT164" i="10"/>
  <c r="EA164" i="10"/>
  <c r="EI552" i="10"/>
  <c r="CB552" i="10"/>
  <c r="F122" i="1"/>
  <c r="E122" i="1"/>
  <c r="EF79" i="10"/>
  <c r="BY79" i="10"/>
  <c r="EE529" i="10"/>
  <c r="EB529" i="10"/>
  <c r="EA442" i="10"/>
  <c r="BT442" i="10"/>
  <c r="F103" i="1"/>
  <c r="E103" i="1"/>
  <c r="EE434" i="10"/>
  <c r="EB434" i="10"/>
  <c r="EA148" i="10"/>
  <c r="BT148" i="10"/>
  <c r="EE127" i="10"/>
  <c r="EB127" i="10"/>
  <c r="EA288" i="10"/>
  <c r="BT288" i="10"/>
  <c r="EI202" i="10"/>
  <c r="CB202" i="10"/>
  <c r="EE40" i="10"/>
  <c r="EB40" i="10"/>
  <c r="EA554" i="10"/>
  <c r="BT554" i="10"/>
  <c r="F166" i="1"/>
  <c r="E166" i="1"/>
  <c r="BT382" i="10"/>
  <c r="EA382" i="10"/>
  <c r="BT349" i="10"/>
  <c r="EA349" i="10"/>
  <c r="EE353" i="10"/>
  <c r="EB353" i="10"/>
  <c r="E27" i="1"/>
  <c r="F27" i="1"/>
  <c r="F117" i="1"/>
  <c r="E117" i="1"/>
  <c r="E116" i="1"/>
  <c r="F116" i="1"/>
  <c r="EF329" i="10"/>
  <c r="BY329" i="10"/>
  <c r="EE466" i="10"/>
  <c r="EB466" i="10"/>
  <c r="EI315" i="10"/>
  <c r="CB315" i="10"/>
  <c r="EF556" i="10"/>
  <c r="BY556" i="10"/>
  <c r="EI241" i="10"/>
  <c r="CB241" i="10"/>
  <c r="EF469" i="10"/>
  <c r="BY469" i="10"/>
  <c r="BT452" i="10"/>
  <c r="EA452" i="10"/>
  <c r="E319" i="1"/>
  <c r="F319" i="1"/>
  <c r="EE245" i="10"/>
  <c r="EB245" i="10"/>
  <c r="EF254" i="10"/>
  <c r="BY254" i="10"/>
  <c r="E96" i="1"/>
  <c r="F96" i="1"/>
  <c r="EI180" i="10"/>
  <c r="CB180" i="10"/>
  <c r="EF361" i="10"/>
  <c r="BY361" i="10"/>
  <c r="EI499" i="10"/>
  <c r="CB499" i="10"/>
  <c r="EE227" i="10"/>
  <c r="EB227" i="10"/>
  <c r="EF385" i="10"/>
  <c r="BY385" i="10"/>
  <c r="EA151" i="10"/>
  <c r="BT151" i="10"/>
  <c r="EI376" i="10"/>
  <c r="CB376" i="10"/>
  <c r="EI229" i="10"/>
  <c r="CB229" i="10"/>
  <c r="EE380" i="10"/>
  <c r="EB380" i="10"/>
  <c r="BY480" i="10"/>
  <c r="EF480" i="10"/>
  <c r="F196" i="1"/>
  <c r="E196" i="1"/>
  <c r="EF217" i="10"/>
  <c r="BY217" i="10"/>
  <c r="EF464" i="10"/>
  <c r="BY464" i="10"/>
  <c r="EI117" i="10"/>
  <c r="CB117" i="10"/>
  <c r="EF148" i="10"/>
  <c r="BY148" i="10"/>
  <c r="EE194" i="10"/>
  <c r="EB194" i="10"/>
  <c r="EA520" i="10"/>
  <c r="BT520" i="10"/>
  <c r="EF58" i="10"/>
  <c r="BY58" i="10"/>
  <c r="EI503" i="10"/>
  <c r="CB503" i="10"/>
  <c r="EI300" i="10"/>
  <c r="CB300" i="10"/>
  <c r="EF554" i="10"/>
  <c r="BY554" i="10"/>
  <c r="EF48" i="10"/>
  <c r="BY48" i="10"/>
  <c r="E48" i="1"/>
  <c r="F48" i="1"/>
  <c r="EF429" i="10"/>
  <c r="BY429" i="10"/>
  <c r="EI507" i="10"/>
  <c r="CB507" i="10"/>
  <c r="EF35" i="10"/>
  <c r="BY35" i="10"/>
  <c r="E442" i="1"/>
  <c r="F442" i="1"/>
  <c r="E522" i="1"/>
  <c r="F522" i="1"/>
  <c r="EI538" i="10"/>
  <c r="CB538" i="10"/>
  <c r="EF281" i="10"/>
  <c r="BY281" i="10"/>
  <c r="EE468" i="10"/>
  <c r="EB468" i="10"/>
  <c r="EE435" i="10"/>
  <c r="EB435" i="10"/>
  <c r="EI307" i="10"/>
  <c r="CB307" i="10"/>
  <c r="EE389" i="10"/>
  <c r="EB389" i="10"/>
  <c r="EF476" i="10"/>
  <c r="BY476" i="10"/>
  <c r="EE7" i="10"/>
  <c r="EB7" i="10"/>
  <c r="EI271" i="10"/>
  <c r="CB271" i="10"/>
  <c r="EE13" i="10"/>
  <c r="EB13" i="10"/>
  <c r="F560" i="1"/>
  <c r="E560" i="1"/>
  <c r="EA207" i="10"/>
  <c r="BT207" i="10"/>
  <c r="EF380" i="10"/>
  <c r="BY380" i="10"/>
  <c r="EE314" i="10"/>
  <c r="EB314" i="10"/>
  <c r="EI488" i="10"/>
  <c r="CB488" i="10"/>
  <c r="EF417" i="10"/>
  <c r="BY417" i="10"/>
  <c r="EI31" i="10"/>
  <c r="CB31" i="10"/>
  <c r="EF519" i="10"/>
  <c r="BY519" i="10"/>
  <c r="EE426" i="10"/>
  <c r="EB426" i="10"/>
  <c r="EE70" i="10"/>
  <c r="EB70" i="10"/>
  <c r="EE214" i="10"/>
  <c r="EB214" i="10"/>
  <c r="EI218" i="10"/>
  <c r="CB218" i="10"/>
  <c r="EE183" i="10"/>
  <c r="EB183" i="10"/>
  <c r="EA105" i="10"/>
  <c r="BT105" i="10"/>
  <c r="EE546" i="10"/>
  <c r="EB546" i="10"/>
  <c r="BY200" i="10"/>
  <c r="EF200" i="10"/>
  <c r="BY360" i="10"/>
  <c r="EF360" i="10"/>
  <c r="EF244" i="10"/>
  <c r="BY244" i="10"/>
  <c r="EF172" i="10"/>
  <c r="BY172" i="10"/>
  <c r="BT384" i="10"/>
  <c r="EA384" i="10"/>
  <c r="EA440" i="10"/>
  <c r="BT440" i="10"/>
  <c r="EF305" i="10"/>
  <c r="BY305" i="10"/>
  <c r="EI356" i="10"/>
  <c r="CB356" i="10"/>
  <c r="EF390" i="10"/>
  <c r="BY390" i="10"/>
  <c r="EF331" i="10"/>
  <c r="BY331" i="10"/>
  <c r="EE28" i="10"/>
  <c r="EB28" i="10"/>
  <c r="EI468" i="10"/>
  <c r="CB468" i="10"/>
  <c r="EE47" i="10"/>
  <c r="EB47" i="10"/>
  <c r="EF321" i="10"/>
  <c r="BY321" i="10"/>
  <c r="EF74" i="10"/>
  <c r="BY74" i="10"/>
  <c r="EF84" i="10"/>
  <c r="BY84" i="10"/>
  <c r="EE484" i="10"/>
  <c r="EB484" i="10"/>
  <c r="EI466" i="10"/>
  <c r="CB466" i="10"/>
  <c r="EF527" i="10"/>
  <c r="BY527" i="10"/>
  <c r="EE16" i="10"/>
  <c r="EB16" i="10"/>
  <c r="EI320" i="10"/>
  <c r="CB320" i="10"/>
  <c r="EI548" i="10"/>
  <c r="CB548" i="10"/>
  <c r="EF107" i="10"/>
  <c r="BY107" i="10"/>
  <c r="EI563" i="10"/>
  <c r="CB563" i="10"/>
  <c r="E255" i="1"/>
  <c r="F255" i="1"/>
  <c r="EF386" i="10"/>
  <c r="BY386" i="10"/>
  <c r="EI213" i="10"/>
  <c r="CB213" i="10"/>
  <c r="EE359" i="10"/>
  <c r="EB359" i="10"/>
  <c r="EI481" i="10"/>
  <c r="CB481" i="10"/>
  <c r="EF513" i="10"/>
  <c r="BY513" i="10"/>
  <c r="EE269" i="10"/>
  <c r="EB269" i="10"/>
  <c r="AG40" i="10"/>
  <c r="AE40" i="10" s="1"/>
  <c r="N367" i="10"/>
  <c r="EA302" i="10"/>
  <c r="BT302" i="10"/>
  <c r="EF310" i="10"/>
  <c r="BY310" i="10"/>
  <c r="EF233" i="10"/>
  <c r="BY233" i="10"/>
  <c r="EI358" i="10"/>
  <c r="CB358" i="10"/>
  <c r="BY520" i="10"/>
  <c r="EF520" i="10"/>
  <c r="F369" i="1"/>
  <c r="E369" i="1"/>
  <c r="EI211" i="10"/>
  <c r="CB211" i="10"/>
  <c r="EI446" i="10"/>
  <c r="CB446" i="10"/>
  <c r="EE298" i="10"/>
  <c r="EB298" i="10"/>
  <c r="BT11" i="10"/>
  <c r="EA11" i="10"/>
  <c r="EI323" i="10"/>
  <c r="CB323" i="10"/>
  <c r="EF366" i="10"/>
  <c r="BY366" i="10"/>
  <c r="EF528" i="10"/>
  <c r="BY528" i="10"/>
  <c r="E514" i="1"/>
  <c r="F514" i="1"/>
  <c r="EI482" i="10"/>
  <c r="CB482" i="10"/>
  <c r="EF493" i="10"/>
  <c r="BY493" i="10"/>
  <c r="EI84" i="10"/>
  <c r="CB84" i="10"/>
  <c r="EF251" i="10"/>
  <c r="BY251" i="10"/>
  <c r="EE242" i="10"/>
  <c r="EB242" i="10"/>
  <c r="BT41" i="10"/>
  <c r="EA41" i="10"/>
  <c r="EA597" i="10"/>
  <c r="BT597" i="10"/>
  <c r="EA567" i="10"/>
  <c r="BT567" i="10"/>
  <c r="EA593" i="10"/>
  <c r="BT593" i="10"/>
  <c r="BT585" i="10"/>
  <c r="EA585" i="10"/>
  <c r="EA591" i="10"/>
  <c r="BT591" i="10"/>
  <c r="EE25" i="10"/>
  <c r="EB25" i="10"/>
  <c r="EF153" i="10"/>
  <c r="BY153" i="10"/>
  <c r="EE459" i="10"/>
  <c r="EB459" i="10"/>
  <c r="EF394" i="10"/>
  <c r="BY394" i="10"/>
  <c r="EE303" i="10"/>
  <c r="EB303" i="10"/>
  <c r="EF311" i="10"/>
  <c r="BY311" i="10"/>
  <c r="EE243" i="10"/>
  <c r="EB243" i="10"/>
  <c r="EI547" i="10"/>
  <c r="CB547" i="10"/>
  <c r="EF344" i="10"/>
  <c r="BY344" i="10"/>
  <c r="EF207" i="10"/>
  <c r="BY207" i="10"/>
  <c r="EI197" i="10"/>
  <c r="CB197" i="10"/>
  <c r="EI383" i="10"/>
  <c r="CB383" i="10"/>
  <c r="EE147" i="10"/>
  <c r="EB147" i="10"/>
  <c r="EE71" i="10"/>
  <c r="EB71" i="10"/>
  <c r="EF203" i="10"/>
  <c r="BY203" i="10"/>
  <c r="EE140" i="10"/>
  <c r="EB140" i="10"/>
  <c r="EE231" i="10"/>
  <c r="EB231" i="10"/>
  <c r="EE102" i="10"/>
  <c r="EB102" i="10"/>
  <c r="EF105" i="10"/>
  <c r="BY105" i="10"/>
  <c r="EE362" i="10"/>
  <c r="EB362" i="10"/>
  <c r="EE501" i="10"/>
  <c r="EB501" i="10"/>
  <c r="EF21" i="10"/>
  <c r="BY21" i="10"/>
  <c r="EE267" i="10"/>
  <c r="EB267" i="10"/>
  <c r="EF34" i="10"/>
  <c r="BY34" i="10"/>
  <c r="EI377" i="10"/>
  <c r="CB377" i="10"/>
  <c r="F445" i="1"/>
  <c r="E445" i="1"/>
  <c r="EA62" i="10"/>
  <c r="BT62" i="10"/>
  <c r="EA351" i="10"/>
  <c r="BT351" i="10"/>
  <c r="EF549" i="10"/>
  <c r="BY549" i="10"/>
  <c r="EF530" i="10"/>
  <c r="BY530" i="10"/>
  <c r="EA479" i="10"/>
  <c r="BT479" i="10"/>
  <c r="E307" i="1"/>
  <c r="F307" i="1"/>
  <c r="EI95" i="10"/>
  <c r="CB95" i="10"/>
  <c r="EF346" i="10"/>
  <c r="BY346" i="10"/>
  <c r="EE188" i="10"/>
  <c r="EB188" i="10"/>
  <c r="EA555" i="10"/>
  <c r="BT555" i="10"/>
  <c r="EE463" i="10"/>
  <c r="EB463" i="10"/>
  <c r="EE283" i="10"/>
  <c r="EB283" i="10"/>
  <c r="EI161" i="10"/>
  <c r="CB161" i="10"/>
  <c r="BT403" i="10"/>
  <c r="EA403" i="10"/>
  <c r="F349" i="1"/>
  <c r="E349" i="1"/>
  <c r="F373" i="1"/>
  <c r="E373" i="1"/>
  <c r="BT267" i="10"/>
  <c r="EA267" i="10"/>
  <c r="EF509" i="10"/>
  <c r="BY509" i="10"/>
  <c r="EA445" i="10"/>
  <c r="BT445" i="10"/>
  <c r="EE315" i="10"/>
  <c r="EB315" i="10"/>
  <c r="BT385" i="10"/>
  <c r="EA385" i="10"/>
  <c r="EE320" i="10"/>
  <c r="EB320" i="10"/>
  <c r="EA253" i="10"/>
  <c r="BT253" i="10"/>
  <c r="EE198" i="10"/>
  <c r="EB198" i="10"/>
  <c r="F529" i="1"/>
  <c r="E529" i="1"/>
  <c r="EA226" i="10"/>
  <c r="BT226" i="10"/>
  <c r="F75" i="1"/>
  <c r="E75" i="1"/>
  <c r="EF450" i="10"/>
  <c r="BY450" i="10"/>
  <c r="EE61" i="10"/>
  <c r="EB61" i="10"/>
  <c r="EF249" i="10"/>
  <c r="BY249" i="10"/>
  <c r="E490" i="1"/>
  <c r="F490" i="1"/>
  <c r="EA504" i="10"/>
  <c r="BT504" i="10"/>
  <c r="EE216" i="10"/>
  <c r="EB216" i="10"/>
  <c r="EI234" i="10"/>
  <c r="CB234" i="10"/>
  <c r="EF318" i="10"/>
  <c r="BY318" i="10"/>
  <c r="EF434" i="10"/>
  <c r="BY434" i="10"/>
  <c r="EE45" i="10"/>
  <c r="EB45" i="10"/>
  <c r="E451" i="1"/>
  <c r="F451" i="1"/>
  <c r="EI106" i="10"/>
  <c r="CB106" i="10"/>
  <c r="EI298" i="10"/>
  <c r="CB298" i="10"/>
  <c r="F113" i="1"/>
  <c r="E113" i="1"/>
  <c r="EE209" i="10"/>
  <c r="EB209" i="10"/>
  <c r="EI543" i="10"/>
  <c r="CB543" i="10"/>
  <c r="EF432" i="10"/>
  <c r="BY432" i="10"/>
  <c r="EE111" i="10"/>
  <c r="EB111" i="10"/>
  <c r="EI494" i="10"/>
  <c r="CB494" i="10"/>
  <c r="EF502" i="10"/>
  <c r="BY502" i="10"/>
  <c r="F368" i="1"/>
  <c r="E368" i="1"/>
  <c r="EF30" i="10"/>
  <c r="BY30" i="10"/>
  <c r="EI124" i="10"/>
  <c r="CB124" i="10"/>
  <c r="F302" i="1"/>
  <c r="E302" i="1"/>
  <c r="EF122" i="10"/>
  <c r="BY122" i="10"/>
  <c r="EE471" i="10"/>
  <c r="EB471" i="10"/>
  <c r="EE68" i="10"/>
  <c r="EB68" i="10"/>
  <c r="F396" i="1"/>
  <c r="E396" i="1"/>
  <c r="EE232" i="10"/>
  <c r="EB232" i="10"/>
  <c r="BT310" i="10"/>
  <c r="EA310" i="10"/>
  <c r="F509" i="1"/>
  <c r="E509" i="1"/>
  <c r="EA177" i="10"/>
  <c r="BT177" i="10"/>
  <c r="EE122" i="10"/>
  <c r="EB122" i="10"/>
  <c r="E367" i="1"/>
  <c r="F367" i="1"/>
  <c r="EA123" i="10"/>
  <c r="BT123" i="10"/>
  <c r="EE317" i="10"/>
  <c r="EB317" i="10"/>
  <c r="BT175" i="10"/>
  <c r="EA175" i="10"/>
  <c r="EI476" i="10"/>
  <c r="CB476" i="10"/>
  <c r="EF170" i="10"/>
  <c r="BY170" i="10"/>
  <c r="EE262" i="10"/>
  <c r="EB262" i="10"/>
  <c r="EA189" i="10"/>
  <c r="BT189" i="10"/>
  <c r="EE381" i="10"/>
  <c r="EB381" i="10"/>
  <c r="EF471" i="10"/>
  <c r="BY471" i="10"/>
  <c r="EA499" i="10"/>
  <c r="BT499" i="10"/>
  <c r="EE299" i="10"/>
  <c r="EB299" i="10"/>
  <c r="EF393" i="10"/>
  <c r="BY393" i="10"/>
  <c r="EE244" i="10"/>
  <c r="EB244" i="10"/>
  <c r="EF409" i="10"/>
  <c r="BY409" i="10"/>
  <c r="EA92" i="10"/>
  <c r="BT92" i="10"/>
  <c r="BY264" i="10"/>
  <c r="EF264" i="10"/>
  <c r="F81" i="1"/>
  <c r="E81" i="1"/>
  <c r="EA142" i="10"/>
  <c r="BT142" i="10"/>
  <c r="EF563" i="10"/>
  <c r="BY563" i="10"/>
  <c r="EF149" i="10"/>
  <c r="BY149" i="10"/>
  <c r="EI159" i="10"/>
  <c r="CB159" i="10"/>
  <c r="E485" i="1"/>
  <c r="F485" i="1"/>
  <c r="EF252" i="10"/>
  <c r="BY252" i="10"/>
  <c r="EA514" i="10"/>
  <c r="BT514" i="10"/>
  <c r="EA165" i="10"/>
  <c r="BT165" i="10"/>
  <c r="E439" i="1"/>
  <c r="F439" i="1"/>
  <c r="BT559" i="10"/>
  <c r="EA559" i="10"/>
  <c r="E346" i="1"/>
  <c r="F346" i="1"/>
  <c r="BT368" i="10"/>
  <c r="EA368" i="10"/>
  <c r="EF216" i="10"/>
  <c r="BY216" i="10"/>
  <c r="EE52" i="10"/>
  <c r="EB52" i="10"/>
  <c r="EI60" i="10"/>
  <c r="CB60" i="10"/>
  <c r="E446" i="1"/>
  <c r="F446" i="1"/>
  <c r="BT24" i="10"/>
  <c r="EA24" i="10"/>
  <c r="EA126" i="10"/>
  <c r="BT126" i="10"/>
  <c r="EA101" i="10"/>
  <c r="BT101" i="10"/>
  <c r="EE118" i="10"/>
  <c r="EB118" i="10"/>
  <c r="EI388" i="10"/>
  <c r="CB388" i="10"/>
  <c r="EE119" i="10"/>
  <c r="EB119" i="10"/>
  <c r="EI379" i="10"/>
  <c r="CB379" i="10"/>
  <c r="F101" i="1"/>
  <c r="E101" i="1"/>
  <c r="EI505" i="10"/>
  <c r="CB505" i="10"/>
  <c r="E230" i="1"/>
  <c r="F230" i="1"/>
  <c r="EE413" i="10"/>
  <c r="EB413" i="10"/>
  <c r="EI418" i="10"/>
  <c r="CB418" i="10"/>
  <c r="EE223" i="10"/>
  <c r="EB223" i="10"/>
  <c r="EF265" i="10"/>
  <c r="BY265" i="10"/>
  <c r="EI404" i="10"/>
  <c r="CB404" i="10"/>
  <c r="EE527" i="10"/>
  <c r="EB527" i="10"/>
  <c r="EF236" i="10"/>
  <c r="BY236" i="10"/>
  <c r="EA443" i="10"/>
  <c r="BT443" i="10"/>
  <c r="EI40" i="10"/>
  <c r="CB40" i="10"/>
  <c r="F164" i="1"/>
  <c r="E164" i="1"/>
  <c r="E21" i="1"/>
  <c r="F21" i="1"/>
  <c r="EI177" i="10"/>
  <c r="CB177" i="10"/>
  <c r="EF295" i="10"/>
  <c r="BY295" i="10"/>
  <c r="EE485" i="10"/>
  <c r="EB485" i="10"/>
  <c r="EI181" i="10"/>
  <c r="CB181" i="10"/>
  <c r="EA360" i="10"/>
  <c r="BT360" i="10"/>
  <c r="BT145" i="10"/>
  <c r="EA145" i="10"/>
  <c r="BT155" i="10"/>
  <c r="EA155" i="10"/>
  <c r="EF175" i="10"/>
  <c r="BY175" i="10"/>
  <c r="AG23" i="10"/>
  <c r="AE23" i="10" s="1"/>
  <c r="N179" i="10"/>
  <c r="EA103" i="10"/>
  <c r="BT103" i="10"/>
  <c r="EE236" i="10"/>
  <c r="EB236" i="10"/>
  <c r="EI475" i="10"/>
  <c r="CB475" i="10"/>
  <c r="EI169" i="10"/>
  <c r="CB169" i="10"/>
  <c r="EI226" i="10"/>
  <c r="CB226" i="10"/>
  <c r="EI149" i="10"/>
  <c r="CB149" i="10"/>
  <c r="E551" i="1"/>
  <c r="F551" i="1"/>
  <c r="EE450" i="10"/>
  <c r="EB450" i="10"/>
  <c r="EI190" i="10"/>
  <c r="CB190" i="10"/>
  <c r="EF496" i="10"/>
  <c r="BY496" i="10"/>
  <c r="EE526" i="10"/>
  <c r="EB526" i="10"/>
  <c r="EI269" i="10"/>
  <c r="CB269" i="10"/>
  <c r="EA480" i="10"/>
  <c r="BT480" i="10"/>
  <c r="F188" i="1"/>
  <c r="E188" i="1"/>
  <c r="EE464" i="10"/>
  <c r="EB464" i="10"/>
  <c r="EF247" i="10"/>
  <c r="BY247" i="10"/>
  <c r="F532" i="1"/>
  <c r="E532" i="1"/>
  <c r="E309" i="1"/>
  <c r="F309" i="1"/>
  <c r="EA116" i="10"/>
  <c r="BT116" i="10"/>
  <c r="EA37" i="10"/>
  <c r="BT37" i="10"/>
  <c r="EE512" i="10"/>
  <c r="EB512" i="10"/>
  <c r="EI304" i="10"/>
  <c r="CB304" i="10"/>
  <c r="F365" i="1"/>
  <c r="E365" i="1"/>
  <c r="EI9" i="10"/>
  <c r="CB9" i="10"/>
  <c r="EI210" i="10"/>
  <c r="CB210" i="10"/>
  <c r="EI290" i="10"/>
  <c r="CB290" i="10"/>
  <c r="EI131" i="10"/>
  <c r="CB131" i="10"/>
  <c r="EE15" i="10"/>
  <c r="EB15" i="10"/>
  <c r="EF124" i="10"/>
  <c r="BY124" i="10"/>
  <c r="EI351" i="10"/>
  <c r="CB351" i="10"/>
  <c r="EA377" i="10"/>
  <c r="BT377" i="10"/>
  <c r="BY392" i="10"/>
  <c r="EF392" i="10"/>
  <c r="EF341" i="10"/>
  <c r="BY341" i="10"/>
  <c r="F314" i="1"/>
  <c r="E314" i="1"/>
  <c r="BT534" i="10"/>
  <c r="EA534" i="10"/>
  <c r="EI407" i="10"/>
  <c r="CB407" i="10"/>
  <c r="EF145" i="10"/>
  <c r="BY145" i="10"/>
  <c r="BT77" i="10"/>
  <c r="EA77" i="10"/>
  <c r="EE342" i="10"/>
  <c r="EB342" i="10"/>
  <c r="EA507" i="10"/>
  <c r="BT507" i="10"/>
  <c r="BY160" i="10"/>
  <c r="EF160" i="10"/>
  <c r="EF169" i="10"/>
  <c r="BY169" i="10"/>
  <c r="EE556" i="10"/>
  <c r="EB556" i="10"/>
  <c r="E534" i="1"/>
  <c r="F534" i="1"/>
  <c r="EE454" i="10"/>
  <c r="EB454" i="10"/>
  <c r="EE213" i="10"/>
  <c r="EB213" i="10"/>
  <c r="EE176" i="10"/>
  <c r="EB176" i="10"/>
  <c r="EI52" i="10"/>
  <c r="CB52" i="10"/>
  <c r="EF470" i="10"/>
  <c r="BY470" i="10"/>
  <c r="E56" i="1"/>
  <c r="F56" i="1"/>
  <c r="E175" i="1"/>
  <c r="F175" i="1"/>
  <c r="EE518" i="10"/>
  <c r="EB518" i="10"/>
  <c r="EI33" i="10"/>
  <c r="CB33" i="10"/>
  <c r="BT106" i="10"/>
  <c r="EA106" i="10"/>
  <c r="EF202" i="10"/>
  <c r="BY202" i="10"/>
  <c r="E438" i="1"/>
  <c r="F438" i="1"/>
  <c r="EE204" i="10"/>
  <c r="EB204" i="10"/>
  <c r="EE366" i="10"/>
  <c r="EB366" i="10"/>
  <c r="EF382" i="10"/>
  <c r="BY382" i="10"/>
  <c r="EE268" i="10"/>
  <c r="EB268" i="10"/>
  <c r="EI353" i="10"/>
  <c r="CB353" i="10"/>
  <c r="EA266" i="10"/>
  <c r="BT266" i="10"/>
  <c r="F364" i="1"/>
  <c r="E364" i="1"/>
  <c r="EI176" i="10"/>
  <c r="CB176" i="10"/>
  <c r="EF139" i="10"/>
  <c r="BY139" i="10"/>
  <c r="EE425" i="10"/>
  <c r="EB425" i="10"/>
  <c r="EF407" i="10"/>
  <c r="BY407" i="10"/>
  <c r="EA404" i="10"/>
  <c r="BT404" i="10"/>
  <c r="EI558" i="10"/>
  <c r="CB558" i="10"/>
  <c r="EI85" i="10"/>
  <c r="CB85" i="10"/>
  <c r="F480" i="1"/>
  <c r="E480" i="1"/>
  <c r="E447" i="1"/>
  <c r="F447" i="1"/>
  <c r="EI402" i="10"/>
  <c r="CB402" i="10"/>
  <c r="EI141" i="10"/>
  <c r="CB141" i="10"/>
  <c r="EI208" i="10"/>
  <c r="CB208" i="10"/>
  <c r="EI228" i="10"/>
  <c r="CB228" i="10"/>
  <c r="EE371" i="10"/>
  <c r="EB371" i="10"/>
  <c r="EI467" i="10"/>
  <c r="CB467" i="10"/>
  <c r="EE483" i="10"/>
  <c r="EB483" i="10"/>
  <c r="EE172" i="10"/>
  <c r="EB172" i="10"/>
  <c r="F461" i="1"/>
  <c r="E461" i="1"/>
  <c r="EI539" i="10"/>
  <c r="CB539" i="10"/>
  <c r="EE327" i="10"/>
  <c r="EB327" i="10"/>
  <c r="EI386" i="10"/>
  <c r="CB386" i="10"/>
  <c r="F268" i="1"/>
  <c r="E268" i="1"/>
  <c r="AG8" i="10"/>
  <c r="N207" i="10"/>
  <c r="EI341" i="10"/>
  <c r="CB341" i="10"/>
  <c r="F436" i="1"/>
  <c r="E436" i="1"/>
  <c r="EF368" i="10"/>
  <c r="BY368" i="10"/>
  <c r="EI521" i="10"/>
  <c r="CB521" i="10"/>
  <c r="EI147" i="10"/>
  <c r="CB147" i="10"/>
  <c r="EF60" i="10"/>
  <c r="BY60" i="10"/>
  <c r="EI434" i="10"/>
  <c r="CB434" i="10"/>
  <c r="E318" i="1"/>
  <c r="F318" i="1"/>
  <c r="EI524" i="10"/>
  <c r="CB524" i="10"/>
  <c r="EI293" i="10"/>
  <c r="CB293" i="10"/>
  <c r="EE374" i="10"/>
  <c r="EB374" i="10"/>
  <c r="EI518" i="10"/>
  <c r="CB518" i="10"/>
  <c r="EF284" i="10"/>
  <c r="BY284" i="10"/>
  <c r="EI11" i="10"/>
  <c r="CB11" i="10"/>
  <c r="EA305" i="10"/>
  <c r="BT305" i="10"/>
  <c r="EE399" i="10"/>
  <c r="EB399" i="10"/>
  <c r="EE29" i="10"/>
  <c r="EB29" i="10"/>
  <c r="EI523" i="10"/>
  <c r="CB523" i="10"/>
  <c r="EI72" i="10"/>
  <c r="CB72" i="10"/>
  <c r="EI165" i="10"/>
  <c r="CB165" i="10"/>
  <c r="EI513" i="10"/>
  <c r="CB513" i="10"/>
  <c r="EE247" i="10"/>
  <c r="EB247" i="10"/>
  <c r="EI204" i="10"/>
  <c r="CB204" i="10"/>
  <c r="EE167" i="10"/>
  <c r="EB167" i="10"/>
  <c r="EE561" i="10"/>
  <c r="EB561" i="10"/>
  <c r="EE181" i="10"/>
  <c r="EB181" i="10"/>
  <c r="EI493" i="10"/>
  <c r="CB493" i="10"/>
  <c r="EE85" i="10"/>
  <c r="EB85" i="10"/>
  <c r="F528" i="1"/>
  <c r="E528" i="1"/>
  <c r="EE535" i="10"/>
  <c r="EB535" i="10"/>
  <c r="EE87" i="10"/>
  <c r="EB87" i="10"/>
  <c r="EE419" i="10"/>
  <c r="EB419" i="10"/>
  <c r="EA402" i="10"/>
  <c r="BT402" i="10"/>
  <c r="EF13" i="10"/>
  <c r="BY13" i="10"/>
  <c r="EE115" i="10"/>
  <c r="EB115" i="10"/>
  <c r="EE34" i="10"/>
  <c r="EB34" i="10"/>
  <c r="EF377" i="10"/>
  <c r="BY377" i="10"/>
  <c r="EE76" i="10"/>
  <c r="EB76" i="10"/>
  <c r="AG52" i="10"/>
  <c r="AE52" i="10" s="1"/>
  <c r="N467" i="10"/>
  <c r="EE336" i="10"/>
  <c r="EB336" i="10"/>
  <c r="EI449" i="10"/>
  <c r="CB449" i="10"/>
  <c r="EE311" i="10"/>
  <c r="EB311" i="10"/>
  <c r="EF473" i="10"/>
  <c r="BY473" i="10"/>
  <c r="EI478" i="10"/>
  <c r="CB478" i="10"/>
  <c r="EI424" i="10"/>
  <c r="CB424" i="10"/>
  <c r="EI62" i="10"/>
  <c r="CB62" i="10"/>
  <c r="EI378" i="10"/>
  <c r="CB378" i="10"/>
  <c r="EI370" i="10"/>
  <c r="CB370" i="10"/>
  <c r="EE66" i="10"/>
  <c r="EB66" i="10"/>
  <c r="EA203" i="10"/>
  <c r="BT203" i="10"/>
  <c r="EE50" i="10"/>
  <c r="EB50" i="10"/>
  <c r="EI417" i="10"/>
  <c r="CB417" i="10"/>
  <c r="EE451" i="10"/>
  <c r="EB451" i="10"/>
  <c r="EF350" i="10"/>
  <c r="BY350" i="10"/>
  <c r="EI111" i="10"/>
  <c r="CB111" i="10"/>
  <c r="EE278" i="10"/>
  <c r="EB278" i="10"/>
  <c r="EA152" i="10"/>
  <c r="BT152" i="10"/>
  <c r="EI421" i="10"/>
  <c r="CB421" i="10"/>
  <c r="EI105" i="10"/>
  <c r="CB105" i="10"/>
  <c r="EI201" i="10"/>
  <c r="CB201" i="10"/>
  <c r="BT418" i="10"/>
  <c r="EA418" i="10"/>
  <c r="EE131" i="10"/>
  <c r="EB131" i="10"/>
  <c r="E573" i="1"/>
  <c r="F573" i="1"/>
  <c r="EI387" i="10"/>
  <c r="CB387" i="10"/>
  <c r="BT256" i="10"/>
  <c r="EA256" i="10"/>
  <c r="EE510" i="10"/>
  <c r="EB510" i="10"/>
  <c r="EI29" i="10"/>
  <c r="CB29" i="10"/>
  <c r="EI191" i="10"/>
  <c r="CB191" i="10"/>
  <c r="EF85" i="10"/>
  <c r="BY85" i="10"/>
  <c r="CN50" i="10" s="1"/>
  <c r="CL50" i="10" s="1"/>
  <c r="BT565" i="10"/>
  <c r="EA565" i="10"/>
  <c r="EA599" i="10"/>
  <c r="BT599" i="10"/>
  <c r="EA586" i="10"/>
  <c r="BT586" i="10"/>
  <c r="EA596" i="10"/>
  <c r="BT596" i="10"/>
  <c r="EA600" i="10"/>
  <c r="BT600" i="10"/>
  <c r="EI549" i="10"/>
  <c r="CB549" i="10"/>
  <c r="EI329" i="10"/>
  <c r="CB329" i="10"/>
  <c r="EE345" i="10"/>
  <c r="EB345" i="10"/>
  <c r="EI325" i="10"/>
  <c r="CB325" i="10"/>
  <c r="EI34" i="10"/>
  <c r="CB34" i="10"/>
  <c r="EI160" i="10"/>
  <c r="CB160" i="10"/>
  <c r="EE398" i="10"/>
  <c r="EB398" i="10"/>
  <c r="EI296" i="10"/>
  <c r="CB296" i="10"/>
  <c r="EF449" i="10"/>
  <c r="BY449" i="10"/>
  <c r="EE125" i="10"/>
  <c r="EB125" i="10"/>
  <c r="EI99" i="10"/>
  <c r="CB99" i="10"/>
  <c r="EF184" i="10"/>
  <c r="BY184" i="10"/>
  <c r="EE117" i="10"/>
  <c r="EB117" i="10"/>
  <c r="EI91" i="10"/>
  <c r="CB91" i="10"/>
  <c r="EE109" i="10"/>
  <c r="EB109" i="10"/>
  <c r="EI83" i="10"/>
  <c r="CB83" i="10"/>
  <c r="EE33" i="10"/>
  <c r="EB33" i="10"/>
  <c r="EF214" i="10"/>
  <c r="BY214" i="10"/>
  <c r="EI349" i="10"/>
  <c r="CB349" i="10"/>
  <c r="EI121" i="10"/>
  <c r="CB121" i="10"/>
  <c r="EI432" i="10"/>
  <c r="CB432" i="10"/>
  <c r="EE429" i="10"/>
  <c r="EB429" i="10"/>
  <c r="EF482" i="10"/>
  <c r="BY482" i="10"/>
  <c r="EE354" i="10"/>
  <c r="EB354" i="10"/>
  <c r="EE67" i="10"/>
  <c r="EB67" i="10"/>
  <c r="EF290" i="10"/>
  <c r="BY290" i="10"/>
  <c r="EF558" i="10"/>
  <c r="BY558" i="10"/>
  <c r="EE438" i="10"/>
  <c r="EB438" i="10"/>
  <c r="EI382" i="10"/>
  <c r="CB382" i="10"/>
  <c r="AM12" i="10" l="1"/>
  <c r="AE8" i="10"/>
  <c r="AE22" i="10"/>
  <c r="AM5" i="10"/>
  <c r="EU4" i="10"/>
  <c r="ES4" i="10" s="1"/>
  <c r="AA577" i="10"/>
  <c r="EU11" i="10"/>
  <c r="ES11" i="10" s="1"/>
  <c r="EU22" i="10"/>
  <c r="ES22" i="10" s="1"/>
  <c r="FC16" i="10"/>
  <c r="FA16" i="10" s="1"/>
  <c r="FC10" i="10"/>
  <c r="FA10" i="10" s="1"/>
  <c r="AA598" i="10"/>
  <c r="AA226" i="10"/>
  <c r="AB599" i="10"/>
  <c r="AA429" i="10"/>
  <c r="AB101" i="10"/>
  <c r="AB366" i="10"/>
  <c r="AB532" i="10"/>
  <c r="AA295" i="10"/>
  <c r="AA330" i="10"/>
  <c r="AB521" i="10"/>
  <c r="AB536" i="10"/>
  <c r="AB266" i="10"/>
  <c r="AA140" i="10"/>
  <c r="AA249" i="10"/>
  <c r="AB503" i="10"/>
  <c r="AB334" i="10"/>
  <c r="AB128" i="10"/>
  <c r="AB287" i="10"/>
  <c r="AA13" i="10"/>
  <c r="AA465" i="10"/>
  <c r="AA280" i="10"/>
  <c r="AA28" i="10"/>
  <c r="AA212" i="10"/>
  <c r="AA473" i="10"/>
  <c r="AA118" i="10"/>
  <c r="AB387" i="10"/>
  <c r="AB432" i="10"/>
  <c r="AB230" i="10"/>
  <c r="AB26" i="10"/>
  <c r="AA181" i="10"/>
  <c r="AB421" i="10"/>
  <c r="AA578" i="10"/>
  <c r="AA455" i="10"/>
  <c r="AA491" i="10"/>
  <c r="AB33" i="10"/>
  <c r="AA463" i="10"/>
  <c r="AA225" i="10"/>
  <c r="AB481" i="10"/>
  <c r="AB352" i="10"/>
  <c r="AB150" i="10"/>
  <c r="AA349" i="10"/>
  <c r="AA74" i="10"/>
  <c r="AA200" i="10"/>
  <c r="AB433" i="10"/>
  <c r="AA192" i="10"/>
  <c r="AA335" i="10"/>
  <c r="AB498" i="10"/>
  <c r="AA89" i="10"/>
  <c r="AA361" i="10"/>
  <c r="AB587" i="10"/>
  <c r="AB250" i="10"/>
  <c r="AB44" i="10"/>
  <c r="AA205" i="10"/>
  <c r="AB293" i="10"/>
  <c r="AB554" i="10"/>
  <c r="AA60" i="10"/>
  <c r="AA515" i="10"/>
  <c r="AA47" i="10"/>
  <c r="AB5" i="10"/>
  <c r="AA230" i="10"/>
  <c r="AB489" i="10"/>
  <c r="AB348" i="10"/>
  <c r="AB142" i="10"/>
  <c r="AA341" i="10"/>
  <c r="AA69" i="10"/>
  <c r="AB229" i="10"/>
  <c r="AA323" i="10"/>
  <c r="AB77" i="10"/>
  <c r="AB249" i="10"/>
  <c r="AA575" i="10"/>
  <c r="AB99" i="10"/>
  <c r="AA374" i="10"/>
  <c r="AB593" i="10"/>
  <c r="AB240" i="10"/>
  <c r="AB38" i="10"/>
  <c r="AB199" i="10"/>
  <c r="AA472" i="10"/>
  <c r="AA594" i="10"/>
  <c r="AA39" i="10"/>
  <c r="AA510" i="10"/>
  <c r="AA36" i="10"/>
  <c r="AB97" i="10"/>
  <c r="AA174" i="10"/>
  <c r="AB445" i="10"/>
  <c r="AB414" i="10"/>
  <c r="AB208" i="10"/>
  <c r="AB6" i="10"/>
  <c r="AA157" i="10"/>
  <c r="AA481" i="10"/>
  <c r="AB588" i="10"/>
  <c r="AA11" i="10"/>
  <c r="AB496" i="10"/>
  <c r="AA20" i="10"/>
  <c r="AA497" i="10"/>
  <c r="AA129" i="10"/>
  <c r="AB299" i="10"/>
  <c r="AB463" i="10"/>
  <c r="AB591" i="10"/>
  <c r="AB328" i="10"/>
  <c r="AB200" i="10"/>
  <c r="AB72" i="10"/>
  <c r="AB343" i="10"/>
  <c r="AA173" i="10"/>
  <c r="AA108" i="10"/>
  <c r="AB29" i="10"/>
  <c r="AA581" i="10"/>
  <c r="AB273" i="10"/>
  <c r="AA299" i="10"/>
  <c r="AB528" i="10"/>
  <c r="AB281" i="10"/>
  <c r="AB189" i="10"/>
  <c r="AA492" i="10"/>
  <c r="AB27" i="10"/>
  <c r="AA198" i="10"/>
  <c r="AA369" i="10"/>
  <c r="AB515" i="10"/>
  <c r="AB404" i="10"/>
  <c r="AB276" i="10"/>
  <c r="AB148" i="10"/>
  <c r="AB20" i="10"/>
  <c r="AA274" i="10"/>
  <c r="AB103" i="10"/>
  <c r="AA364" i="10"/>
  <c r="AA400" i="10"/>
  <c r="AA517" i="10"/>
  <c r="AB145" i="10"/>
  <c r="AA171" i="10"/>
  <c r="AB480" i="10"/>
  <c r="AB185" i="10"/>
  <c r="AA439" i="10"/>
  <c r="AB253" i="10"/>
  <c r="AA94" i="10"/>
  <c r="AA265" i="10"/>
  <c r="AB435" i="10"/>
  <c r="AB565" i="10"/>
  <c r="AB354" i="10"/>
  <c r="AB226" i="10"/>
  <c r="AB98" i="10"/>
  <c r="AA378" i="10"/>
  <c r="AB207" i="10"/>
  <c r="AA37" i="10"/>
  <c r="AA538" i="10"/>
  <c r="AB550" i="10"/>
  <c r="AA423" i="10"/>
  <c r="AA440" i="10"/>
  <c r="AB584" i="10"/>
  <c r="AB393" i="10"/>
  <c r="AA52" i="10"/>
  <c r="AA565" i="10"/>
  <c r="AA396" i="10"/>
  <c r="CN41" i="10"/>
  <c r="CL41" i="10" s="1"/>
  <c r="FC4" i="10"/>
  <c r="FA4" i="10" s="1"/>
  <c r="FC9" i="10"/>
  <c r="FA9" i="10" s="1"/>
  <c r="FC12" i="10"/>
  <c r="FA12" i="10" s="1"/>
  <c r="FC6" i="10"/>
  <c r="FA6" i="10" s="1"/>
  <c r="FC18" i="10"/>
  <c r="FA18" i="10" s="1"/>
  <c r="FC13" i="10"/>
  <c r="FA13" i="10" s="1"/>
  <c r="FC17" i="10"/>
  <c r="FA17" i="10" s="1"/>
  <c r="FC11" i="10"/>
  <c r="FA11" i="10" s="1"/>
  <c r="FC15" i="10"/>
  <c r="FA15" i="10" s="1"/>
  <c r="AA525" i="10"/>
  <c r="AA543" i="10"/>
  <c r="AB416" i="10"/>
  <c r="AB317" i="10"/>
  <c r="AA453" i="10"/>
  <c r="AB160" i="10"/>
  <c r="AA206" i="10"/>
  <c r="AA43" i="10"/>
  <c r="AB55" i="10"/>
  <c r="AB288" i="10"/>
  <c r="AB89" i="10"/>
  <c r="AB60" i="10"/>
  <c r="AB11" i="10"/>
  <c r="AA281" i="10"/>
  <c r="AB525" i="10"/>
  <c r="AB310" i="10"/>
  <c r="AB106" i="10"/>
  <c r="AB255" i="10"/>
  <c r="AA51" i="10"/>
  <c r="AB526" i="10"/>
  <c r="AB181" i="10"/>
  <c r="AB560" i="10"/>
  <c r="AA148" i="10"/>
  <c r="AA477" i="10"/>
  <c r="AB147" i="10"/>
  <c r="AA422" i="10"/>
  <c r="AB410" i="10"/>
  <c r="AB204" i="10"/>
  <c r="AA418" i="10"/>
  <c r="AA149" i="10"/>
  <c r="AA505" i="10"/>
  <c r="AA532" i="10"/>
  <c r="AA376" i="10"/>
  <c r="AA454" i="10"/>
  <c r="AA204" i="10"/>
  <c r="AA487" i="10"/>
  <c r="AA254" i="10"/>
  <c r="AB507" i="10"/>
  <c r="AB330" i="10"/>
  <c r="AB124" i="10"/>
  <c r="AB311" i="10"/>
  <c r="AA42" i="10"/>
  <c r="AB357" i="10"/>
  <c r="AA344" i="10"/>
  <c r="AA92" i="10"/>
  <c r="AA260" i="10"/>
  <c r="AA556" i="10"/>
  <c r="AB123" i="10"/>
  <c r="AA398" i="10"/>
  <c r="AB428" i="10"/>
  <c r="AB222" i="10"/>
  <c r="AB16" i="10"/>
  <c r="AB175" i="10"/>
  <c r="AA449" i="10"/>
  <c r="AA564" i="10"/>
  <c r="AA435" i="10"/>
  <c r="AA483" i="10"/>
  <c r="AB61" i="10"/>
  <c r="AA501" i="10"/>
  <c r="AB267" i="10"/>
  <c r="AB513" i="10"/>
  <c r="AB320" i="10"/>
  <c r="AB118" i="10"/>
  <c r="AA306" i="10"/>
  <c r="AB31" i="10"/>
  <c r="AA427" i="10"/>
  <c r="AA231" i="10"/>
  <c r="AA579" i="10"/>
  <c r="AA175" i="10"/>
  <c r="AA183" i="10"/>
  <c r="AB131" i="10"/>
  <c r="AB403" i="10"/>
  <c r="AB422" i="10"/>
  <c r="AB218" i="10"/>
  <c r="AB12" i="10"/>
  <c r="AA162" i="10"/>
  <c r="AA529" i="10"/>
  <c r="AB556" i="10"/>
  <c r="AA426" i="10"/>
  <c r="AB472" i="10"/>
  <c r="AB133" i="10"/>
  <c r="AB594" i="10"/>
  <c r="AA209" i="10"/>
  <c r="AB473" i="10"/>
  <c r="AB390" i="10"/>
  <c r="AB186" i="10"/>
  <c r="AA394" i="10"/>
  <c r="AB119" i="10"/>
  <c r="AA548" i="10"/>
  <c r="AB538" i="10"/>
  <c r="AB405" i="10"/>
  <c r="AA467" i="10"/>
  <c r="AB161" i="10"/>
  <c r="AA268" i="10"/>
  <c r="AA150" i="10"/>
  <c r="AA321" i="10"/>
  <c r="AB479" i="10"/>
  <c r="AB440" i="10"/>
  <c r="AB312" i="10"/>
  <c r="AB184" i="10"/>
  <c r="AB56" i="10"/>
  <c r="AA322" i="10"/>
  <c r="AB151" i="10"/>
  <c r="AB221" i="10"/>
  <c r="AA144" i="10"/>
  <c r="AA553" i="10"/>
  <c r="AA216" i="10"/>
  <c r="AB241" i="10"/>
  <c r="AA507" i="10"/>
  <c r="AA239" i="10"/>
  <c r="AA304" i="10"/>
  <c r="AA83" i="10"/>
  <c r="AA49" i="10"/>
  <c r="AB219" i="10"/>
  <c r="AA390" i="10"/>
  <c r="AB531" i="10"/>
  <c r="AB388" i="10"/>
  <c r="AB260" i="10"/>
  <c r="AB132" i="10"/>
  <c r="AB423" i="10"/>
  <c r="AA253" i="10"/>
  <c r="AA82" i="10"/>
  <c r="AA456" i="10"/>
  <c r="AA469" i="10"/>
  <c r="AA489" i="10"/>
  <c r="AA88" i="10"/>
  <c r="AB113" i="10"/>
  <c r="AA459" i="10"/>
  <c r="AA143" i="10"/>
  <c r="AB484" i="10"/>
  <c r="AB325" i="10"/>
  <c r="AB115" i="10"/>
  <c r="AA286" i="10"/>
  <c r="AB453" i="10"/>
  <c r="AB581" i="10"/>
  <c r="AB338" i="10"/>
  <c r="AB210" i="10"/>
  <c r="AB82" i="10"/>
  <c r="AA357" i="10"/>
  <c r="AA186" i="10"/>
  <c r="AB15" i="10"/>
  <c r="AA576" i="10"/>
  <c r="AA588" i="10"/>
  <c r="AB365" i="10"/>
  <c r="AA391" i="10"/>
  <c r="AA563" i="10"/>
  <c r="AA351" i="10"/>
  <c r="AB9" i="10"/>
  <c r="AA600" i="10"/>
  <c r="CN7" i="10"/>
  <c r="CL7" i="10" s="1"/>
  <c r="CN20" i="10"/>
  <c r="CL20" i="10" s="1"/>
  <c r="CN39" i="10"/>
  <c r="CL39" i="10" s="1"/>
  <c r="CN34" i="10"/>
  <c r="CL34" i="10" s="1"/>
  <c r="CN48" i="10"/>
  <c r="CL48" i="10" s="1"/>
  <c r="CN35" i="10"/>
  <c r="CL35" i="10" s="1"/>
  <c r="CN12" i="10"/>
  <c r="CL12" i="10" s="1"/>
  <c r="CN31" i="10"/>
  <c r="CL31" i="10" s="1"/>
  <c r="CN43" i="10"/>
  <c r="CL43" i="10" s="1"/>
  <c r="CN13" i="10"/>
  <c r="CL13" i="10" s="1"/>
  <c r="CN53" i="10"/>
  <c r="CL53" i="10" s="1"/>
  <c r="CN63" i="10"/>
  <c r="CL63" i="10" s="1"/>
  <c r="CN62" i="10"/>
  <c r="CL62" i="10" s="1"/>
  <c r="CN46" i="10"/>
  <c r="CL46" i="10" s="1"/>
  <c r="CN45" i="10"/>
  <c r="CL45" i="10" s="1"/>
  <c r="CN30" i="10"/>
  <c r="CL30" i="10" s="1"/>
  <c r="CN11" i="10"/>
  <c r="CL11" i="10" s="1"/>
  <c r="CN19" i="10"/>
  <c r="CL19" i="10" s="1"/>
  <c r="CN25" i="10"/>
  <c r="CL25" i="10" s="1"/>
  <c r="CN4" i="10"/>
  <c r="CL4" i="10" s="1"/>
  <c r="CN37" i="10"/>
  <c r="CL37" i="10" s="1"/>
  <c r="CN18" i="10"/>
  <c r="CL18" i="10" s="1"/>
  <c r="CN33" i="10"/>
  <c r="CL33" i="10" s="1"/>
  <c r="CN22" i="10"/>
  <c r="CL22" i="10" s="1"/>
  <c r="CN44" i="10"/>
  <c r="CL44" i="10" s="1"/>
  <c r="CN42" i="10"/>
  <c r="CL42" i="10" s="1"/>
  <c r="CN6" i="10"/>
  <c r="CL6" i="10" s="1"/>
  <c r="CN47" i="10"/>
  <c r="CL47" i="10" s="1"/>
  <c r="CN16" i="10"/>
  <c r="CL16" i="10" s="1"/>
  <c r="CN49" i="10"/>
  <c r="CL49" i="10" s="1"/>
  <c r="CN8" i="10"/>
  <c r="CL8" i="10" s="1"/>
  <c r="CN54" i="10"/>
  <c r="CL54" i="10" s="1"/>
  <c r="CN14" i="10"/>
  <c r="CL14" i="10" s="1"/>
  <c r="CN32" i="10"/>
  <c r="CL32" i="10" s="1"/>
  <c r="CN29" i="10"/>
  <c r="CL29" i="10" s="1"/>
  <c r="CN10" i="10"/>
  <c r="CL10" i="10" s="1"/>
  <c r="CN36" i="10"/>
  <c r="CL36" i="10" s="1"/>
  <c r="CN24" i="10"/>
  <c r="CL24" i="10" s="1"/>
  <c r="CN21" i="10"/>
  <c r="CL21" i="10" s="1"/>
  <c r="CN59" i="10"/>
  <c r="CL59" i="10" s="1"/>
  <c r="CN40" i="10"/>
  <c r="CL40" i="10" s="1"/>
  <c r="CN17" i="10"/>
  <c r="CL17" i="10" s="1"/>
  <c r="CN26" i="10"/>
  <c r="CL26" i="10" s="1"/>
  <c r="CN57" i="10"/>
  <c r="CL57" i="10" s="1"/>
  <c r="CN38" i="10"/>
  <c r="CL38" i="10" s="1"/>
  <c r="CN28" i="10"/>
  <c r="CL28" i="10" s="1"/>
  <c r="CN15" i="10"/>
  <c r="CL15" i="10" s="1"/>
  <c r="CN52" i="10"/>
  <c r="CL52" i="10" s="1"/>
  <c r="CN60" i="10"/>
  <c r="CL60" i="10" s="1"/>
  <c r="CN5" i="10"/>
  <c r="CL5" i="10" s="1"/>
  <c r="CN23" i="10"/>
  <c r="CL23" i="10" s="1"/>
  <c r="CN61" i="10"/>
  <c r="CL61" i="10" s="1"/>
  <c r="CN55" i="10"/>
  <c r="CL55" i="10" s="1"/>
  <c r="CN27" i="10"/>
  <c r="CL27" i="10" s="1"/>
  <c r="CN56" i="10"/>
  <c r="CL56" i="10" s="1"/>
  <c r="CN51" i="10"/>
  <c r="CL51" i="10" s="1"/>
  <c r="CN9" i="10"/>
  <c r="CL9" i="10" s="1"/>
  <c r="CN64" i="10"/>
  <c r="CL64" i="10" s="1"/>
  <c r="AA444" i="10"/>
  <c r="AA549" i="10"/>
  <c r="AB214" i="10"/>
  <c r="AA458" i="10"/>
  <c r="AA235" i="10"/>
  <c r="AA397" i="10"/>
  <c r="AB471" i="10"/>
  <c r="AB233" i="10"/>
  <c r="AA179" i="10"/>
  <c r="AB86" i="10"/>
  <c r="AA411" i="10"/>
  <c r="AB263" i="10"/>
  <c r="AA41" i="10"/>
  <c r="AB315" i="10"/>
  <c r="AB553" i="10"/>
  <c r="AB284" i="10"/>
  <c r="AB78" i="10"/>
  <c r="AA221" i="10"/>
  <c r="AA208" i="10"/>
  <c r="AA592" i="10"/>
  <c r="AA96" i="10"/>
  <c r="AA531" i="10"/>
  <c r="AA79" i="10"/>
  <c r="AB534" i="10"/>
  <c r="AA185" i="10"/>
  <c r="AB455" i="10"/>
  <c r="AB382" i="10"/>
  <c r="AB176" i="10"/>
  <c r="AA389" i="10"/>
  <c r="AA114" i="10"/>
  <c r="AA557" i="10"/>
  <c r="AA482" i="10"/>
  <c r="AA291" i="10"/>
  <c r="AA415" i="10"/>
  <c r="AB389" i="10"/>
  <c r="AA17" i="10"/>
  <c r="AB291" i="10"/>
  <c r="AB535" i="10"/>
  <c r="AB302" i="10"/>
  <c r="AB96" i="10"/>
  <c r="AA282" i="10"/>
  <c r="AB7" i="10"/>
  <c r="AA484" i="10"/>
  <c r="AB245" i="10"/>
  <c r="AA7" i="10"/>
  <c r="AB201" i="10"/>
  <c r="AA568" i="10"/>
  <c r="AA161" i="10"/>
  <c r="AA430" i="10"/>
  <c r="AB400" i="10"/>
  <c r="AB198" i="10"/>
  <c r="AA413" i="10"/>
  <c r="AA138" i="10"/>
  <c r="AB514" i="10"/>
  <c r="AA521" i="10"/>
  <c r="AA363" i="10"/>
  <c r="AB448" i="10"/>
  <c r="AB261" i="10"/>
  <c r="AA25" i="10"/>
  <c r="AA297" i="10"/>
  <c r="AB539" i="10"/>
  <c r="AB298" i="10"/>
  <c r="AB92" i="10"/>
  <c r="AA269" i="10"/>
  <c r="AA123" i="10"/>
  <c r="AA493" i="10"/>
  <c r="AA131" i="10"/>
  <c r="AA547" i="10"/>
  <c r="AA116" i="10"/>
  <c r="AB4" i="10"/>
  <c r="AA166" i="10"/>
  <c r="AA441" i="10"/>
  <c r="AB396" i="10"/>
  <c r="AB190" i="10"/>
  <c r="AA405" i="10"/>
  <c r="AA133" i="10"/>
  <c r="AA590" i="10"/>
  <c r="AB506" i="10"/>
  <c r="AA327" i="10"/>
  <c r="AB439" i="10"/>
  <c r="AB289" i="10"/>
  <c r="AA283" i="10"/>
  <c r="AA246" i="10"/>
  <c r="AB497" i="10"/>
  <c r="AB364" i="10"/>
  <c r="AB158" i="10"/>
  <c r="AA362" i="10"/>
  <c r="AA90" i="10"/>
  <c r="AB600" i="10"/>
  <c r="AA500" i="10"/>
  <c r="AA312" i="10"/>
  <c r="AB425" i="10"/>
  <c r="AA360" i="10"/>
  <c r="AA112" i="10"/>
  <c r="AB171" i="10"/>
  <c r="AA342" i="10"/>
  <c r="AB495" i="10"/>
  <c r="AB424" i="10"/>
  <c r="AB296" i="10"/>
  <c r="AB168" i="10"/>
  <c r="AB40" i="10"/>
  <c r="AA301" i="10"/>
  <c r="AA130" i="10"/>
  <c r="AA336" i="10"/>
  <c r="AB257" i="10"/>
  <c r="AB524" i="10"/>
  <c r="AA160" i="10"/>
  <c r="AA184" i="10"/>
  <c r="AA486" i="10"/>
  <c r="AA196" i="10"/>
  <c r="AB417" i="10"/>
  <c r="AB590" i="10"/>
  <c r="AA70" i="10"/>
  <c r="AA241" i="10"/>
  <c r="AB411" i="10"/>
  <c r="AB547" i="10"/>
  <c r="AB372" i="10"/>
  <c r="AB244" i="10"/>
  <c r="AB116" i="10"/>
  <c r="AA402" i="10"/>
  <c r="AB231" i="10"/>
  <c r="AA61" i="10"/>
  <c r="AA495" i="10"/>
  <c r="AA508" i="10"/>
  <c r="AB460" i="10"/>
  <c r="AA32" i="10"/>
  <c r="AA56" i="10"/>
  <c r="AA436" i="10"/>
  <c r="AA100" i="10"/>
  <c r="AB522" i="10"/>
  <c r="AB558" i="10"/>
  <c r="AA137" i="10"/>
  <c r="AB307" i="10"/>
  <c r="AB469" i="10"/>
  <c r="AB597" i="10"/>
  <c r="AB322" i="10"/>
  <c r="AB194" i="10"/>
  <c r="AB66" i="10"/>
  <c r="AB335" i="10"/>
  <c r="AA165" i="10"/>
  <c r="AB37" i="10"/>
  <c r="AA72" i="10"/>
  <c r="AB596" i="10"/>
  <c r="AB309" i="10"/>
  <c r="AB333" i="10"/>
  <c r="AA542" i="10"/>
  <c r="AA308" i="10"/>
  <c r="AA119" i="10"/>
  <c r="AA296" i="10"/>
  <c r="EU58" i="10"/>
  <c r="ES58" i="10" s="1"/>
  <c r="CH502" i="10"/>
  <c r="CH374" i="10"/>
  <c r="CH246" i="10"/>
  <c r="CH118" i="10"/>
  <c r="CH557" i="10"/>
  <c r="CH429" i="10"/>
  <c r="CH357" i="10"/>
  <c r="CH317" i="10"/>
  <c r="CH273" i="10"/>
  <c r="CH229" i="10"/>
  <c r="CH189" i="10"/>
  <c r="CH145" i="10"/>
  <c r="CH113" i="10"/>
  <c r="CH81" i="10"/>
  <c r="CH49" i="10"/>
  <c r="CI17" i="10"/>
  <c r="CI33" i="10"/>
  <c r="CI49" i="10"/>
  <c r="CI65" i="10"/>
  <c r="CI81" i="10"/>
  <c r="CI97" i="10"/>
  <c r="CI113" i="10"/>
  <c r="CI129" i="10"/>
  <c r="CI145" i="10"/>
  <c r="CI161" i="10"/>
  <c r="CI177" i="10"/>
  <c r="CI193" i="10"/>
  <c r="CI209" i="10"/>
  <c r="CI225" i="10"/>
  <c r="CI241" i="10"/>
  <c r="CI257" i="10"/>
  <c r="CI273" i="10"/>
  <c r="CI289" i="10"/>
  <c r="CI305" i="10"/>
  <c r="CI321" i="10"/>
  <c r="CI337" i="10"/>
  <c r="CI353" i="10"/>
  <c r="CI369" i="10"/>
  <c r="CI385" i="10"/>
  <c r="CI401" i="10"/>
  <c r="CI417" i="10"/>
  <c r="CI433" i="10"/>
  <c r="CI449" i="10"/>
  <c r="CI465" i="10"/>
  <c r="CI481" i="10"/>
  <c r="CI497" i="10"/>
  <c r="CI513" i="10"/>
  <c r="CI529" i="10"/>
  <c r="CI545" i="10"/>
  <c r="CI561" i="10"/>
  <c r="CI577" i="10"/>
  <c r="CI593" i="10"/>
  <c r="CI13" i="10"/>
  <c r="CI28" i="10"/>
  <c r="CI44" i="10"/>
  <c r="CI60" i="10"/>
  <c r="CI76" i="10"/>
  <c r="CI92" i="10"/>
  <c r="CI108" i="10"/>
  <c r="CI124" i="10"/>
  <c r="CI140" i="10"/>
  <c r="CI156" i="10"/>
  <c r="CI172" i="10"/>
  <c r="CI188" i="10"/>
  <c r="CI204" i="10"/>
  <c r="CI220" i="10"/>
  <c r="CI236" i="10"/>
  <c r="CI252" i="10"/>
  <c r="CI268" i="10"/>
  <c r="CI284" i="10"/>
  <c r="CI300" i="10"/>
  <c r="CI316" i="10"/>
  <c r="CI332" i="10"/>
  <c r="CI348" i="10"/>
  <c r="CI364" i="10"/>
  <c r="CI380" i="10"/>
  <c r="CI396" i="10"/>
  <c r="CI412" i="10"/>
  <c r="CI428" i="10"/>
  <c r="CI444" i="10"/>
  <c r="CI460" i="10"/>
  <c r="CI476" i="10"/>
  <c r="CI492" i="10"/>
  <c r="CI508" i="10"/>
  <c r="CI524" i="10"/>
  <c r="CI540" i="10"/>
  <c r="CI556" i="10"/>
  <c r="CI572" i="10"/>
  <c r="CI588" i="10"/>
  <c r="CI8" i="10"/>
  <c r="CH596" i="10"/>
  <c r="CH564" i="10"/>
  <c r="CH532" i="10"/>
  <c r="CH500" i="10"/>
  <c r="CH468" i="10"/>
  <c r="CH436" i="10"/>
  <c r="CH404" i="10"/>
  <c r="CH372" i="10"/>
  <c r="CH340" i="10"/>
  <c r="CH308" i="10"/>
  <c r="CH276" i="10"/>
  <c r="CH244" i="10"/>
  <c r="CH212" i="10"/>
  <c r="CH180" i="10"/>
  <c r="CH148" i="10"/>
  <c r="CH116" i="10"/>
  <c r="CH84" i="10"/>
  <c r="CH52" i="10"/>
  <c r="CH20" i="10"/>
  <c r="CH486" i="10"/>
  <c r="CH358" i="10"/>
  <c r="CH230" i="10"/>
  <c r="CH102" i="10"/>
  <c r="CH541" i="10"/>
  <c r="CH413" i="10"/>
  <c r="CH353" i="10"/>
  <c r="CH309" i="10"/>
  <c r="CH269" i="10"/>
  <c r="CH225" i="10"/>
  <c r="CH181" i="10"/>
  <c r="CH141" i="10"/>
  <c r="CH109" i="10"/>
  <c r="CH77" i="10"/>
  <c r="CH45" i="10"/>
  <c r="CI19" i="10"/>
  <c r="CI35" i="10"/>
  <c r="CI51" i="10"/>
  <c r="CI67" i="10"/>
  <c r="CI83" i="10"/>
  <c r="CI99" i="10"/>
  <c r="CI115" i="10"/>
  <c r="CI131" i="10"/>
  <c r="CI147" i="10"/>
  <c r="CI163" i="10"/>
  <c r="CI179" i="10"/>
  <c r="CI195" i="10"/>
  <c r="CI211" i="10"/>
  <c r="CI227" i="10"/>
  <c r="CI243" i="10"/>
  <c r="CI259" i="10"/>
  <c r="CI275" i="10"/>
  <c r="CI291" i="10"/>
  <c r="CI307" i="10"/>
  <c r="CI323" i="10"/>
  <c r="CI339" i="10"/>
  <c r="CI355" i="10"/>
  <c r="CI371" i="10"/>
  <c r="CI387" i="10"/>
  <c r="CI403" i="10"/>
  <c r="CI419" i="10"/>
  <c r="CI435" i="10"/>
  <c r="CI451" i="10"/>
  <c r="CI467" i="10"/>
  <c r="CI483" i="10"/>
  <c r="CI499" i="10"/>
  <c r="CI515" i="10"/>
  <c r="CI531" i="10"/>
  <c r="CI547" i="10"/>
  <c r="CI563" i="10"/>
  <c r="CI579" i="10"/>
  <c r="CI595" i="10"/>
  <c r="CI15" i="10"/>
  <c r="CI30" i="10"/>
  <c r="CI46" i="10"/>
  <c r="CI62" i="10"/>
  <c r="CI78" i="10"/>
  <c r="CI94" i="10"/>
  <c r="CI110" i="10"/>
  <c r="CI126" i="10"/>
  <c r="CI142" i="10"/>
  <c r="CI158" i="10"/>
  <c r="CI174" i="10"/>
  <c r="CI190" i="10"/>
  <c r="CI206" i="10"/>
  <c r="CI222" i="10"/>
  <c r="CI238" i="10"/>
  <c r="CI254" i="10"/>
  <c r="CI270" i="10"/>
  <c r="CI286" i="10"/>
  <c r="CI302" i="10"/>
  <c r="CI318" i="10"/>
  <c r="CI334" i="10"/>
  <c r="CI350" i="10"/>
  <c r="CI366" i="10"/>
  <c r="CI382" i="10"/>
  <c r="CI398" i="10"/>
  <c r="CI414" i="10"/>
  <c r="CI430" i="10"/>
  <c r="CI446" i="10"/>
  <c r="CI462" i="10"/>
  <c r="CI478" i="10"/>
  <c r="CI494" i="10"/>
  <c r="CI510" i="10"/>
  <c r="CI526" i="10"/>
  <c r="CI542" i="10"/>
  <c r="CI558" i="10"/>
  <c r="CI574" i="10"/>
  <c r="CI590" i="10"/>
  <c r="CI10" i="10"/>
  <c r="CH592" i="10"/>
  <c r="CH560" i="10"/>
  <c r="CH528" i="10"/>
  <c r="CH496" i="10"/>
  <c r="CH464" i="10"/>
  <c r="CH432" i="10"/>
  <c r="CH400" i="10"/>
  <c r="CH368" i="10"/>
  <c r="CH336" i="10"/>
  <c r="CH304" i="10"/>
  <c r="CH272" i="10"/>
  <c r="CH240" i="10"/>
  <c r="CH208" i="10"/>
  <c r="CH176" i="10"/>
  <c r="CH144" i="10"/>
  <c r="CH112" i="10"/>
  <c r="CH80" i="10"/>
  <c r="CH48" i="10"/>
  <c r="CH582" i="10"/>
  <c r="CH454" i="10"/>
  <c r="CH326" i="10"/>
  <c r="CH198" i="10"/>
  <c r="CH70" i="10"/>
  <c r="CH509" i="10"/>
  <c r="CH385" i="10"/>
  <c r="CH341" i="10"/>
  <c r="CH301" i="10"/>
  <c r="CH257" i="10"/>
  <c r="CH213" i="10"/>
  <c r="CH173" i="10"/>
  <c r="CH133" i="10"/>
  <c r="CH101" i="10"/>
  <c r="CH69" i="10"/>
  <c r="CH37" i="10"/>
  <c r="CI23" i="10"/>
  <c r="CI39" i="10"/>
  <c r="CI55" i="10"/>
  <c r="CI71" i="10"/>
  <c r="CI87" i="10"/>
  <c r="CI103" i="10"/>
  <c r="CI119" i="10"/>
  <c r="CI135" i="10"/>
  <c r="CI151" i="10"/>
  <c r="CI167" i="10"/>
  <c r="CI183" i="10"/>
  <c r="CI199" i="10"/>
  <c r="CI215" i="10"/>
  <c r="CI231" i="10"/>
  <c r="CI247" i="10"/>
  <c r="CI263" i="10"/>
  <c r="CI279" i="10"/>
  <c r="CI295" i="10"/>
  <c r="CI311" i="10"/>
  <c r="CI327" i="10"/>
  <c r="CI343" i="10"/>
  <c r="CI359" i="10"/>
  <c r="CI375" i="10"/>
  <c r="CI391" i="10"/>
  <c r="CI407" i="10"/>
  <c r="CI423" i="10"/>
  <c r="CI439" i="10"/>
  <c r="CI455" i="10"/>
  <c r="CI471" i="10"/>
  <c r="CI487" i="10"/>
  <c r="CI503" i="10"/>
  <c r="CI519" i="10"/>
  <c r="CI535" i="10"/>
  <c r="CI551" i="10"/>
  <c r="CI567" i="10"/>
  <c r="CI583" i="10"/>
  <c r="CI599" i="10"/>
  <c r="CI18" i="10"/>
  <c r="CI34" i="10"/>
  <c r="CI50" i="10"/>
  <c r="CI66" i="10"/>
  <c r="CI82" i="10"/>
  <c r="CI98" i="10"/>
  <c r="CI114" i="10"/>
  <c r="CI130" i="10"/>
  <c r="CI146" i="10"/>
  <c r="CI162" i="10"/>
  <c r="CI178" i="10"/>
  <c r="CI194" i="10"/>
  <c r="CI210" i="10"/>
  <c r="CI226" i="10"/>
  <c r="CI242" i="10"/>
  <c r="CI258" i="10"/>
  <c r="CI274" i="10"/>
  <c r="CI290" i="10"/>
  <c r="CI306" i="10"/>
  <c r="CI322" i="10"/>
  <c r="CI338" i="10"/>
  <c r="CI354" i="10"/>
  <c r="CI370" i="10"/>
  <c r="CI386" i="10"/>
  <c r="CI402" i="10"/>
  <c r="CI418" i="10"/>
  <c r="CI434" i="10"/>
  <c r="CI450" i="10"/>
  <c r="CI466" i="10"/>
  <c r="CI482" i="10"/>
  <c r="CI498" i="10"/>
  <c r="CI514" i="10"/>
  <c r="CI530" i="10"/>
  <c r="CI546" i="10"/>
  <c r="CI562" i="10"/>
  <c r="CI578" i="10"/>
  <c r="CI594" i="10"/>
  <c r="CI14" i="10"/>
  <c r="CH584" i="10"/>
  <c r="CH552" i="10"/>
  <c r="CH520" i="10"/>
  <c r="CH488" i="10"/>
  <c r="CH456" i="10"/>
  <c r="CH424" i="10"/>
  <c r="CH392" i="10"/>
  <c r="CH360" i="10"/>
  <c r="CH328" i="10"/>
  <c r="CH296" i="10"/>
  <c r="CH264" i="10"/>
  <c r="CH232" i="10"/>
  <c r="CH200" i="10"/>
  <c r="CH168" i="10"/>
  <c r="CH136" i="10"/>
  <c r="CH104" i="10"/>
  <c r="CH72" i="10"/>
  <c r="CH40" i="10"/>
  <c r="CH470" i="10"/>
  <c r="CH278" i="10"/>
  <c r="CH54" i="10"/>
  <c r="CH477" i="10"/>
  <c r="CH349" i="10"/>
  <c r="CH285" i="10"/>
  <c r="CH209" i="10"/>
  <c r="CH149" i="10"/>
  <c r="CH93" i="10"/>
  <c r="CH41" i="10"/>
  <c r="CI29" i="10"/>
  <c r="CI57" i="10"/>
  <c r="CI79" i="10"/>
  <c r="CI107" i="10"/>
  <c r="CI133" i="10"/>
  <c r="CI157" i="10"/>
  <c r="CI185" i="10"/>
  <c r="CI207" i="10"/>
  <c r="CI235" i="10"/>
  <c r="CI261" i="10"/>
  <c r="CI285" i="10"/>
  <c r="CI313" i="10"/>
  <c r="CI335" i="10"/>
  <c r="CI363" i="10"/>
  <c r="CI389" i="10"/>
  <c r="CI413" i="10"/>
  <c r="CI441" i="10"/>
  <c r="CI463" i="10"/>
  <c r="CI491" i="10"/>
  <c r="CI517" i="10"/>
  <c r="CI541" i="10"/>
  <c r="CI569" i="10"/>
  <c r="CI591" i="10"/>
  <c r="CI22" i="10"/>
  <c r="CI48" i="10"/>
  <c r="CI72" i="10"/>
  <c r="CI100" i="10"/>
  <c r="CI122" i="10"/>
  <c r="CI150" i="10"/>
  <c r="CI176" i="10"/>
  <c r="CI200" i="10"/>
  <c r="CI228" i="10"/>
  <c r="CI250" i="10"/>
  <c r="CI278" i="10"/>
  <c r="CI304" i="10"/>
  <c r="CI328" i="10"/>
  <c r="CI356" i="10"/>
  <c r="CI378" i="10"/>
  <c r="CI406" i="10"/>
  <c r="CI432" i="10"/>
  <c r="CI456" i="10"/>
  <c r="CI484" i="10"/>
  <c r="CI506" i="10"/>
  <c r="CI534" i="10"/>
  <c r="CI560" i="10"/>
  <c r="CI584" i="10"/>
  <c r="CI16" i="10"/>
  <c r="CH600" i="10"/>
  <c r="CH544" i="10"/>
  <c r="CH492" i="10"/>
  <c r="CH444" i="10"/>
  <c r="CH388" i="10"/>
  <c r="CH344" i="10"/>
  <c r="CH288" i="10"/>
  <c r="CH236" i="10"/>
  <c r="CH188" i="10"/>
  <c r="CH132" i="10"/>
  <c r="CH88" i="10"/>
  <c r="CH32" i="10"/>
  <c r="CH422" i="10"/>
  <c r="CH214" i="10"/>
  <c r="CH22" i="10"/>
  <c r="CH445" i="10"/>
  <c r="CH333" i="10"/>
  <c r="CH261" i="10"/>
  <c r="CH197" i="10"/>
  <c r="CH129" i="10"/>
  <c r="CH85" i="10"/>
  <c r="CH29" i="10"/>
  <c r="CI37" i="10"/>
  <c r="CI61" i="10"/>
  <c r="CI89" i="10"/>
  <c r="CI111" i="10"/>
  <c r="CI139" i="10"/>
  <c r="CI165" i="10"/>
  <c r="CI189" i="10"/>
  <c r="CI217" i="10"/>
  <c r="CI239" i="10"/>
  <c r="CI267" i="10"/>
  <c r="CI293" i="10"/>
  <c r="CI317" i="10"/>
  <c r="CI345" i="10"/>
  <c r="CI367" i="10"/>
  <c r="CI395" i="10"/>
  <c r="CI421" i="10"/>
  <c r="CI445" i="10"/>
  <c r="CI473" i="10"/>
  <c r="CI495" i="10"/>
  <c r="CI523" i="10"/>
  <c r="CI549" i="10"/>
  <c r="CI573" i="10"/>
  <c r="CI5" i="10"/>
  <c r="CI26" i="10"/>
  <c r="CI54" i="10"/>
  <c r="CI80" i="10"/>
  <c r="CI104" i="10"/>
  <c r="CI132" i="10"/>
  <c r="CI154" i="10"/>
  <c r="CI182" i="10"/>
  <c r="CI208" i="10"/>
  <c r="CI232" i="10"/>
  <c r="CI260" i="10"/>
  <c r="CI282" i="10"/>
  <c r="CI310" i="10"/>
  <c r="CI336" i="10"/>
  <c r="CI360" i="10"/>
  <c r="CI388" i="10"/>
  <c r="CI410" i="10"/>
  <c r="CI438" i="10"/>
  <c r="CI464" i="10"/>
  <c r="CI488" i="10"/>
  <c r="CI516" i="10"/>
  <c r="CI538" i="10"/>
  <c r="CI566" i="10"/>
  <c r="CI592" i="10"/>
  <c r="CH580" i="10"/>
  <c r="CH536" i="10"/>
  <c r="CH480" i="10"/>
  <c r="CH428" i="10"/>
  <c r="CH380" i="10"/>
  <c r="CH324" i="10"/>
  <c r="CH280" i="10"/>
  <c r="CH224" i="10"/>
  <c r="CH172" i="10"/>
  <c r="CH124" i="10"/>
  <c r="CH68" i="10"/>
  <c r="CH24" i="10"/>
  <c r="CH598" i="10"/>
  <c r="CH406" i="10"/>
  <c r="CH182" i="10"/>
  <c r="CH9" i="10"/>
  <c r="CH397" i="10"/>
  <c r="CH325" i="10"/>
  <c r="CH253" i="10"/>
  <c r="CH193" i="10"/>
  <c r="CH125" i="10"/>
  <c r="CH73" i="10"/>
  <c r="CH25" i="10"/>
  <c r="CI41" i="10"/>
  <c r="CI63" i="10"/>
  <c r="CI91" i="10"/>
  <c r="CI117" i="10"/>
  <c r="CI141" i="10"/>
  <c r="CI169" i="10"/>
  <c r="CI191" i="10"/>
  <c r="CI219" i="10"/>
  <c r="CI245" i="10"/>
  <c r="CI269" i="10"/>
  <c r="CI297" i="10"/>
  <c r="CI319" i="10"/>
  <c r="CI347" i="10"/>
  <c r="CI373" i="10"/>
  <c r="CI397" i="10"/>
  <c r="CI425" i="10"/>
  <c r="CI447" i="10"/>
  <c r="CI475" i="10"/>
  <c r="CI501" i="10"/>
  <c r="CI525" i="10"/>
  <c r="CI553" i="10"/>
  <c r="CI575" i="10"/>
  <c r="CI7" i="10"/>
  <c r="CI32" i="10"/>
  <c r="CI56" i="10"/>
  <c r="CI84" i="10"/>
  <c r="CI106" i="10"/>
  <c r="CI134" i="10"/>
  <c r="CI160" i="10"/>
  <c r="CI184" i="10"/>
  <c r="CI212" i="10"/>
  <c r="CI234" i="10"/>
  <c r="CI262" i="10"/>
  <c r="CI288" i="10"/>
  <c r="CI312" i="10"/>
  <c r="CI340" i="10"/>
  <c r="CI362" i="10"/>
  <c r="CI390" i="10"/>
  <c r="CI416" i="10"/>
  <c r="CI440" i="10"/>
  <c r="CI468" i="10"/>
  <c r="CI490" i="10"/>
  <c r="CI518" i="10"/>
  <c r="CI544" i="10"/>
  <c r="CI568" i="10"/>
  <c r="CI596" i="10"/>
  <c r="CH576" i="10"/>
  <c r="CH524" i="10"/>
  <c r="CH476" i="10"/>
  <c r="CH420" i="10"/>
  <c r="CH376" i="10"/>
  <c r="CH320" i="10"/>
  <c r="CH268" i="10"/>
  <c r="CH220" i="10"/>
  <c r="CH164" i="10"/>
  <c r="CH120" i="10"/>
  <c r="CH64" i="10"/>
  <c r="CH566" i="10"/>
  <c r="CH390" i="10"/>
  <c r="CH166" i="10"/>
  <c r="CH589" i="10"/>
  <c r="CH381" i="10"/>
  <c r="CH321" i="10"/>
  <c r="CH245" i="10"/>
  <c r="CH177" i="10"/>
  <c r="CH121" i="10"/>
  <c r="CH65" i="10"/>
  <c r="CH21" i="10"/>
  <c r="CI43" i="10"/>
  <c r="CI69" i="10"/>
  <c r="CI93" i="10"/>
  <c r="CI121" i="10"/>
  <c r="CI143" i="10"/>
  <c r="CI171" i="10"/>
  <c r="CI197" i="10"/>
  <c r="CI221" i="10"/>
  <c r="CI249" i="10"/>
  <c r="CI271" i="10"/>
  <c r="CI299" i="10"/>
  <c r="CI325" i="10"/>
  <c r="CI349" i="10"/>
  <c r="CI377" i="10"/>
  <c r="CI399" i="10"/>
  <c r="CI427" i="10"/>
  <c r="CI453" i="10"/>
  <c r="CI477" i="10"/>
  <c r="CI505" i="10"/>
  <c r="CI527" i="10"/>
  <c r="CI555" i="10"/>
  <c r="CI581" i="10"/>
  <c r="CI9" i="10"/>
  <c r="CI36" i="10"/>
  <c r="CI58" i="10"/>
  <c r="CI86" i="10"/>
  <c r="CI112" i="10"/>
  <c r="CI136" i="10"/>
  <c r="CI164" i="10"/>
  <c r="CI186" i="10"/>
  <c r="CI214" i="10"/>
  <c r="CI240" i="10"/>
  <c r="CI264" i="10"/>
  <c r="CI292" i="10"/>
  <c r="CI314" i="10"/>
  <c r="CI342" i="10"/>
  <c r="CI368" i="10"/>
  <c r="CI392" i="10"/>
  <c r="CI420" i="10"/>
  <c r="CI442" i="10"/>
  <c r="CI470" i="10"/>
  <c r="CI496" i="10"/>
  <c r="CI520" i="10"/>
  <c r="CI548" i="10"/>
  <c r="CI570" i="10"/>
  <c r="CI598" i="10"/>
  <c r="CH572" i="10"/>
  <c r="CH516" i="10"/>
  <c r="CH472" i="10"/>
  <c r="CH416" i="10"/>
  <c r="CH364" i="10"/>
  <c r="CH316" i="10"/>
  <c r="CH260" i="10"/>
  <c r="CH216" i="10"/>
  <c r="CH160" i="10"/>
  <c r="CH108" i="10"/>
  <c r="CH60" i="10"/>
  <c r="CH550" i="10"/>
  <c r="CH342" i="10"/>
  <c r="CH150" i="10"/>
  <c r="CH573" i="10"/>
  <c r="CH373" i="10"/>
  <c r="CH305" i="10"/>
  <c r="CH241" i="10"/>
  <c r="CH165" i="10"/>
  <c r="CH117" i="10"/>
  <c r="CH61" i="10"/>
  <c r="CI21" i="10"/>
  <c r="CI45" i="10"/>
  <c r="CI73" i="10"/>
  <c r="CI95" i="10"/>
  <c r="CI123" i="10"/>
  <c r="CI149" i="10"/>
  <c r="CI173" i="10"/>
  <c r="CI201" i="10"/>
  <c r="CI223" i="10"/>
  <c r="CI251" i="10"/>
  <c r="CI277" i="10"/>
  <c r="CI301" i="10"/>
  <c r="CH534" i="10"/>
  <c r="CH310" i="10"/>
  <c r="CH134" i="10"/>
  <c r="CH525" i="10"/>
  <c r="CH369" i="10"/>
  <c r="CH293" i="10"/>
  <c r="CH237" i="10"/>
  <c r="CH161" i="10"/>
  <c r="CH105" i="10"/>
  <c r="CH57" i="10"/>
  <c r="CI25" i="10"/>
  <c r="CI47" i="10"/>
  <c r="CI75" i="10"/>
  <c r="CI101" i="10"/>
  <c r="CI125" i="10"/>
  <c r="CI153" i="10"/>
  <c r="CI175" i="10"/>
  <c r="CI203" i="10"/>
  <c r="CI229" i="10"/>
  <c r="CI253" i="10"/>
  <c r="CI281" i="10"/>
  <c r="CI303" i="10"/>
  <c r="CI331" i="10"/>
  <c r="CI357" i="10"/>
  <c r="CI381" i="10"/>
  <c r="CI409" i="10"/>
  <c r="CI431" i="10"/>
  <c r="CI459" i="10"/>
  <c r="CI485" i="10"/>
  <c r="CI509" i="10"/>
  <c r="CI537" i="10"/>
  <c r="CI559" i="10"/>
  <c r="CI587" i="10"/>
  <c r="CH4" i="10"/>
  <c r="CI40" i="10"/>
  <c r="CI68" i="10"/>
  <c r="CI90" i="10"/>
  <c r="CI118" i="10"/>
  <c r="CI144" i="10"/>
  <c r="CI168" i="10"/>
  <c r="CI196" i="10"/>
  <c r="CI218" i="10"/>
  <c r="CI246" i="10"/>
  <c r="CI272" i="10"/>
  <c r="CI296" i="10"/>
  <c r="CI324" i="10"/>
  <c r="CI346" i="10"/>
  <c r="CI374" i="10"/>
  <c r="CI400" i="10"/>
  <c r="CI424" i="10"/>
  <c r="CH518" i="10"/>
  <c r="CH294" i="10"/>
  <c r="CH86" i="10"/>
  <c r="CH493" i="10"/>
  <c r="CH365" i="10"/>
  <c r="CH289" i="10"/>
  <c r="CH221" i="10"/>
  <c r="CH157" i="10"/>
  <c r="CH97" i="10"/>
  <c r="CH53" i="10"/>
  <c r="CI27" i="10"/>
  <c r="CI53" i="10"/>
  <c r="CI77" i="10"/>
  <c r="CI105" i="10"/>
  <c r="CI127" i="10"/>
  <c r="CI155" i="10"/>
  <c r="CI181" i="10"/>
  <c r="CI205" i="10"/>
  <c r="CI233" i="10"/>
  <c r="CI255" i="10"/>
  <c r="CI283" i="10"/>
  <c r="CI309" i="10"/>
  <c r="CI333" i="10"/>
  <c r="CI361" i="10"/>
  <c r="CI383" i="10"/>
  <c r="CI411" i="10"/>
  <c r="CI437" i="10"/>
  <c r="CI461" i="10"/>
  <c r="CI489" i="10"/>
  <c r="CI511" i="10"/>
  <c r="CI539" i="10"/>
  <c r="CI565" i="10"/>
  <c r="CI589" i="10"/>
  <c r="CI20" i="10"/>
  <c r="CI42" i="10"/>
  <c r="CI70" i="10"/>
  <c r="CI96" i="10"/>
  <c r="CI120" i="10"/>
  <c r="CI148" i="10"/>
  <c r="CI170" i="10"/>
  <c r="CI198" i="10"/>
  <c r="CI224" i="10"/>
  <c r="CI248" i="10"/>
  <c r="CI276" i="10"/>
  <c r="CI298" i="10"/>
  <c r="CI326" i="10"/>
  <c r="CI352" i="10"/>
  <c r="CI376" i="10"/>
  <c r="CI404" i="10"/>
  <c r="CI426" i="10"/>
  <c r="CI454" i="10"/>
  <c r="CI480" i="10"/>
  <c r="CI504" i="10"/>
  <c r="CI532" i="10"/>
  <c r="CI554" i="10"/>
  <c r="CI582" i="10"/>
  <c r="CI12" i="10"/>
  <c r="CH8" i="10"/>
  <c r="CH548" i="10"/>
  <c r="CH504" i="10"/>
  <c r="CH448" i="10"/>
  <c r="CH396" i="10"/>
  <c r="CH348" i="10"/>
  <c r="CH292" i="10"/>
  <c r="CH248" i="10"/>
  <c r="CH192" i="10"/>
  <c r="CH140" i="10"/>
  <c r="CH92" i="10"/>
  <c r="CH36" i="10"/>
  <c r="CH438" i="10"/>
  <c r="CH137" i="10"/>
  <c r="CI159" i="10"/>
  <c r="CI341" i="10"/>
  <c r="CI443" i="10"/>
  <c r="CI543" i="10"/>
  <c r="CI52" i="10"/>
  <c r="CI152" i="10"/>
  <c r="CI256" i="10"/>
  <c r="CI358" i="10"/>
  <c r="CI452" i="10"/>
  <c r="CI522" i="10"/>
  <c r="CI586" i="10"/>
  <c r="CH508" i="10"/>
  <c r="CH356" i="10"/>
  <c r="CH228" i="10"/>
  <c r="CH96" i="10"/>
  <c r="CH262" i="10"/>
  <c r="CH89" i="10"/>
  <c r="CI187" i="10"/>
  <c r="CI351" i="10"/>
  <c r="CI457" i="10"/>
  <c r="CI557" i="10"/>
  <c r="CI64" i="10"/>
  <c r="CI166" i="10"/>
  <c r="CI266" i="10"/>
  <c r="CI372" i="10"/>
  <c r="CI458" i="10"/>
  <c r="CI528" i="10"/>
  <c r="CI600" i="10"/>
  <c r="CH16" i="10"/>
  <c r="CH484" i="10"/>
  <c r="CH352" i="10"/>
  <c r="CH204" i="10"/>
  <c r="CH76" i="10"/>
  <c r="CH38" i="10"/>
  <c r="CH33" i="10"/>
  <c r="CI213" i="10"/>
  <c r="CI365" i="10"/>
  <c r="CI469" i="10"/>
  <c r="CI571" i="10"/>
  <c r="CI74" i="10"/>
  <c r="CI180" i="10"/>
  <c r="CI280" i="10"/>
  <c r="CI384" i="10"/>
  <c r="CI472" i="10"/>
  <c r="CI536" i="10"/>
  <c r="CI6" i="10"/>
  <c r="CH12" i="10"/>
  <c r="CH460" i="10"/>
  <c r="CH332" i="10"/>
  <c r="CH196" i="10"/>
  <c r="CH56" i="10"/>
  <c r="CI31" i="10"/>
  <c r="CI237" i="10"/>
  <c r="CI379" i="10"/>
  <c r="CI479" i="10"/>
  <c r="CI585" i="10"/>
  <c r="CI88" i="10"/>
  <c r="CI192" i="10"/>
  <c r="CI294" i="10"/>
  <c r="CI394" i="10"/>
  <c r="CI474" i="10"/>
  <c r="CI550" i="10"/>
  <c r="CH588" i="10"/>
  <c r="CH452" i="10"/>
  <c r="CH312" i="10"/>
  <c r="CH184" i="10"/>
  <c r="CH44" i="10"/>
  <c r="CH461" i="10"/>
  <c r="CI59" i="10"/>
  <c r="CI265" i="10"/>
  <c r="CI393" i="10"/>
  <c r="CI493" i="10"/>
  <c r="CI597" i="10"/>
  <c r="CI102" i="10"/>
  <c r="CI202" i="10"/>
  <c r="CI308" i="10"/>
  <c r="CI408" i="10"/>
  <c r="CI486" i="10"/>
  <c r="CI552" i="10"/>
  <c r="CH568" i="10"/>
  <c r="CH440" i="10"/>
  <c r="CH300" i="10"/>
  <c r="CH156" i="10"/>
  <c r="CH28" i="10"/>
  <c r="CH337" i="10"/>
  <c r="CI85" i="10"/>
  <c r="CI287" i="10"/>
  <c r="CI405" i="10"/>
  <c r="CI507" i="10"/>
  <c r="CI11" i="10"/>
  <c r="CI116" i="10"/>
  <c r="CI216" i="10"/>
  <c r="CI320" i="10"/>
  <c r="CI422" i="10"/>
  <c r="CI500" i="10"/>
  <c r="CI564" i="10"/>
  <c r="CH556" i="10"/>
  <c r="CH412" i="10"/>
  <c r="CH284" i="10"/>
  <c r="CH152" i="10"/>
  <c r="CH277" i="10"/>
  <c r="CI109" i="10"/>
  <c r="CI315" i="10"/>
  <c r="CI415" i="10"/>
  <c r="CI521" i="10"/>
  <c r="CI24" i="10"/>
  <c r="CI128" i="10"/>
  <c r="CI230" i="10"/>
  <c r="CI330" i="10"/>
  <c r="CI436" i="10"/>
  <c r="CI502" i="10"/>
  <c r="CI576" i="10"/>
  <c r="CH540" i="10"/>
  <c r="CH408" i="10"/>
  <c r="CH256" i="10"/>
  <c r="CH128" i="10"/>
  <c r="CH205" i="10"/>
  <c r="CI137" i="10"/>
  <c r="CI329" i="10"/>
  <c r="CI429" i="10"/>
  <c r="CI533" i="10"/>
  <c r="CI38" i="10"/>
  <c r="CI138" i="10"/>
  <c r="CI244" i="10"/>
  <c r="CI344" i="10"/>
  <c r="CI448" i="10"/>
  <c r="CI512" i="10"/>
  <c r="CI580" i="10"/>
  <c r="CH512" i="10"/>
  <c r="CH384" i="10"/>
  <c r="CH252" i="10"/>
  <c r="CH100" i="10"/>
  <c r="CH569" i="10"/>
  <c r="CH441" i="10"/>
  <c r="CH313" i="10"/>
  <c r="CH185" i="10"/>
  <c r="CH94" i="10"/>
  <c r="CH565" i="10"/>
  <c r="CH437" i="10"/>
  <c r="CH186" i="10"/>
  <c r="CH58" i="10"/>
  <c r="CH529" i="10"/>
  <c r="CH401" i="10"/>
  <c r="CH14" i="10"/>
  <c r="CH282" i="10"/>
  <c r="CH410" i="10"/>
  <c r="CH538" i="10"/>
  <c r="CH206" i="10"/>
  <c r="CH334" i="10"/>
  <c r="CH462" i="10"/>
  <c r="CH590" i="10"/>
  <c r="CH114" i="10"/>
  <c r="CH242" i="10"/>
  <c r="CH370" i="10"/>
  <c r="CH498" i="10"/>
  <c r="CH523" i="10"/>
  <c r="CH139" i="10"/>
  <c r="CH231" i="10"/>
  <c r="CH19" i="10"/>
  <c r="CH275" i="10"/>
  <c r="CH531" i="10"/>
  <c r="CH591" i="10"/>
  <c r="CH79" i="10"/>
  <c r="CH71" i="10"/>
  <c r="CH583" i="10"/>
  <c r="CH219" i="10"/>
  <c r="CH319" i="10"/>
  <c r="CH451" i="10"/>
  <c r="CH471" i="10"/>
  <c r="CH431" i="10"/>
  <c r="CH227" i="10"/>
  <c r="CH363" i="10"/>
  <c r="CH11" i="10"/>
  <c r="CH95" i="10"/>
  <c r="CH415" i="10"/>
  <c r="CH378" i="10"/>
  <c r="CH467" i="10"/>
  <c r="CH455" i="10"/>
  <c r="CH195" i="10"/>
  <c r="CH107" i="10"/>
  <c r="CH223" i="10"/>
  <c r="CH553" i="10"/>
  <c r="CH425" i="10"/>
  <c r="CH297" i="10"/>
  <c r="CH169" i="10"/>
  <c r="CH78" i="10"/>
  <c r="CH549" i="10"/>
  <c r="CH421" i="10"/>
  <c r="CH170" i="10"/>
  <c r="CH42" i="10"/>
  <c r="CH513" i="10"/>
  <c r="CH298" i="10"/>
  <c r="CH426" i="10"/>
  <c r="CH554" i="10"/>
  <c r="CH183" i="10"/>
  <c r="CH222" i="10"/>
  <c r="CH350" i="10"/>
  <c r="CH478" i="10"/>
  <c r="CH10" i="10"/>
  <c r="CH130" i="10"/>
  <c r="CH258" i="10"/>
  <c r="CH386" i="10"/>
  <c r="CH514" i="10"/>
  <c r="CH267" i="10"/>
  <c r="CH359" i="10"/>
  <c r="CH51" i="10"/>
  <c r="CH307" i="10"/>
  <c r="CH563" i="10"/>
  <c r="CH527" i="10"/>
  <c r="CH18" i="10"/>
  <c r="CH135" i="10"/>
  <c r="CH43" i="10"/>
  <c r="CH347" i="10"/>
  <c r="CH255" i="10"/>
  <c r="CH579" i="10"/>
  <c r="CH535" i="10"/>
  <c r="CH23" i="10"/>
  <c r="CH367" i="10"/>
  <c r="CH355" i="10"/>
  <c r="CH491" i="10"/>
  <c r="CH543" i="10"/>
  <c r="CH31" i="10"/>
  <c r="CH473" i="10"/>
  <c r="CH217" i="10"/>
  <c r="CH597" i="10"/>
  <c r="CH218" i="10"/>
  <c r="CH561" i="10"/>
  <c r="CH506" i="10"/>
  <c r="CH558" i="10"/>
  <c r="CH210" i="10"/>
  <c r="CH594" i="10"/>
  <c r="CH211" i="10"/>
  <c r="CH207" i="10"/>
  <c r="CH537" i="10"/>
  <c r="CH409" i="10"/>
  <c r="CH281" i="10"/>
  <c r="CH153" i="10"/>
  <c r="CH62" i="10"/>
  <c r="CH533" i="10"/>
  <c r="CH405" i="10"/>
  <c r="CH154" i="10"/>
  <c r="CH26" i="10"/>
  <c r="CH497" i="10"/>
  <c r="CH314" i="10"/>
  <c r="CH442" i="10"/>
  <c r="CH570" i="10"/>
  <c r="CH395" i="10"/>
  <c r="CH238" i="10"/>
  <c r="CH366" i="10"/>
  <c r="CH494" i="10"/>
  <c r="CH146" i="10"/>
  <c r="CH274" i="10"/>
  <c r="CH402" i="10"/>
  <c r="CH530" i="10"/>
  <c r="CH247" i="10"/>
  <c r="CH311" i="10"/>
  <c r="CH487" i="10"/>
  <c r="CH83" i="10"/>
  <c r="CH339" i="10"/>
  <c r="CH595" i="10"/>
  <c r="CH463" i="10"/>
  <c r="CH163" i="10"/>
  <c r="CH199" i="10"/>
  <c r="CH171" i="10"/>
  <c r="CH475" i="10"/>
  <c r="CH191" i="10"/>
  <c r="CH87" i="10"/>
  <c r="CH599" i="10"/>
  <c r="CH123" i="10"/>
  <c r="CH303" i="10"/>
  <c r="CH483" i="10"/>
  <c r="CH17" i="10"/>
  <c r="CH479" i="10"/>
  <c r="CH131" i="10"/>
  <c r="CH174" i="10"/>
  <c r="CH517" i="10"/>
  <c r="CH138" i="10"/>
  <c r="CH481" i="10"/>
  <c r="CH330" i="10"/>
  <c r="CH458" i="10"/>
  <c r="CH382" i="10"/>
  <c r="CH510" i="10"/>
  <c r="CH34" i="10"/>
  <c r="CH290" i="10"/>
  <c r="CH546" i="10"/>
  <c r="CH39" i="10"/>
  <c r="CH439" i="10"/>
  <c r="CH115" i="10"/>
  <c r="CH371" i="10"/>
  <c r="CH59" i="10"/>
  <c r="CH399" i="10"/>
  <c r="CH291" i="10"/>
  <c r="CH263" i="10"/>
  <c r="CH299" i="10"/>
  <c r="CH7" i="10"/>
  <c r="CH127" i="10"/>
  <c r="CH151" i="10"/>
  <c r="CH75" i="10"/>
  <c r="CH251" i="10"/>
  <c r="CH239" i="10"/>
  <c r="CH15" i="10"/>
  <c r="CH27" i="10"/>
  <c r="CH259" i="10"/>
  <c r="CH469" i="10"/>
  <c r="CH430" i="10"/>
  <c r="CH82" i="10"/>
  <c r="CH466" i="10"/>
  <c r="CH423" i="10"/>
  <c r="CH443" i="10"/>
  <c r="CH447" i="10"/>
  <c r="CH47" i="10"/>
  <c r="CH411" i="10"/>
  <c r="CH521" i="10"/>
  <c r="CH393" i="10"/>
  <c r="CH265" i="10"/>
  <c r="CH46" i="10"/>
  <c r="CH389" i="10"/>
  <c r="CH13" i="10"/>
  <c r="CH586" i="10"/>
  <c r="CH254" i="10"/>
  <c r="CH162" i="10"/>
  <c r="CH418" i="10"/>
  <c r="CH559" i="10"/>
  <c r="CH505" i="10"/>
  <c r="CH377" i="10"/>
  <c r="CH249" i="10"/>
  <c r="CH158" i="10"/>
  <c r="CH30" i="10"/>
  <c r="CH501" i="10"/>
  <c r="CH250" i="10"/>
  <c r="CH122" i="10"/>
  <c r="CH593" i="10"/>
  <c r="CH465" i="10"/>
  <c r="CH346" i="10"/>
  <c r="CH474" i="10"/>
  <c r="CH6" i="10"/>
  <c r="CH270" i="10"/>
  <c r="CH398" i="10"/>
  <c r="CH526" i="10"/>
  <c r="CH50" i="10"/>
  <c r="CH178" i="10"/>
  <c r="CH306" i="10"/>
  <c r="CH434" i="10"/>
  <c r="CH562" i="10"/>
  <c r="CH119" i="10"/>
  <c r="CH167" i="10"/>
  <c r="CH567" i="10"/>
  <c r="CH147" i="10"/>
  <c r="CH403" i="10"/>
  <c r="CH187" i="10"/>
  <c r="CH335" i="10"/>
  <c r="CH419" i="10"/>
  <c r="CH327" i="10"/>
  <c r="CH427" i="10"/>
  <c r="CH575" i="10"/>
  <c r="CH63" i="10"/>
  <c r="CH215" i="10"/>
  <c r="CH203" i="10"/>
  <c r="CH379" i="10"/>
  <c r="CH175" i="10"/>
  <c r="CH35" i="10"/>
  <c r="CH155" i="10"/>
  <c r="CH351" i="10"/>
  <c r="CH387" i="10"/>
  <c r="CH489" i="10"/>
  <c r="CH361" i="10"/>
  <c r="CH233" i="10"/>
  <c r="CH142" i="10"/>
  <c r="CI4" i="10"/>
  <c r="CH485" i="10"/>
  <c r="CH234" i="10"/>
  <c r="CH106" i="10"/>
  <c r="CH577" i="10"/>
  <c r="CH449" i="10"/>
  <c r="CH362" i="10"/>
  <c r="CH490" i="10"/>
  <c r="CH286" i="10"/>
  <c r="CH414" i="10"/>
  <c r="CH542" i="10"/>
  <c r="CH66" i="10"/>
  <c r="CH194" i="10"/>
  <c r="CH322" i="10"/>
  <c r="CH450" i="10"/>
  <c r="CH578" i="10"/>
  <c r="CH503" i="10"/>
  <c r="CH295" i="10"/>
  <c r="CH179" i="10"/>
  <c r="CH435" i="10"/>
  <c r="CH315" i="10"/>
  <c r="CH271" i="10"/>
  <c r="CH547" i="10"/>
  <c r="CH391" i="10"/>
  <c r="CH555" i="10"/>
  <c r="CH511" i="10"/>
  <c r="CH67" i="10"/>
  <c r="CH279" i="10"/>
  <c r="CH331" i="10"/>
  <c r="CH507" i="10"/>
  <c r="CH111" i="10"/>
  <c r="CH283" i="10"/>
  <c r="CH287" i="10"/>
  <c r="CH515" i="10"/>
  <c r="CH5" i="10"/>
  <c r="CH345" i="10"/>
  <c r="CH126" i="10"/>
  <c r="CH90" i="10"/>
  <c r="CH433" i="10"/>
  <c r="CH302" i="10"/>
  <c r="CH338" i="10"/>
  <c r="CH55" i="10"/>
  <c r="CH343" i="10"/>
  <c r="CH459" i="10"/>
  <c r="CH453" i="10"/>
  <c r="CH318" i="10"/>
  <c r="CH482" i="10"/>
  <c r="CH103" i="10"/>
  <c r="CH407" i="10"/>
  <c r="CH235" i="10"/>
  <c r="CH110" i="10"/>
  <c r="CH226" i="10"/>
  <c r="CH539" i="10"/>
  <c r="CH202" i="10"/>
  <c r="CH446" i="10"/>
  <c r="CH551" i="10"/>
  <c r="CH243" i="10"/>
  <c r="CH91" i="10"/>
  <c r="CH587" i="10"/>
  <c r="CH201" i="10"/>
  <c r="CH98" i="10"/>
  <c r="CH585" i="10"/>
  <c r="CH74" i="10"/>
  <c r="CH266" i="10"/>
  <c r="CH574" i="10"/>
  <c r="CH499" i="10"/>
  <c r="CH383" i="10"/>
  <c r="CH495" i="10"/>
  <c r="CH581" i="10"/>
  <c r="CH190" i="10"/>
  <c r="CH354" i="10"/>
  <c r="CH519" i="10"/>
  <c r="CH159" i="10"/>
  <c r="CH457" i="10"/>
  <c r="CH545" i="10"/>
  <c r="CH394" i="10"/>
  <c r="CH571" i="10"/>
  <c r="CH323" i="10"/>
  <c r="CH99" i="10"/>
  <c r="CH329" i="10"/>
  <c r="CH417" i="10"/>
  <c r="CH522" i="10"/>
  <c r="CH375" i="10"/>
  <c r="CH143" i="10"/>
  <c r="FC5" i="10"/>
  <c r="FA5" i="10" s="1"/>
  <c r="EU37" i="10"/>
  <c r="ES37" i="10" s="1"/>
  <c r="EU52" i="10"/>
  <c r="ES52" i="10" s="1"/>
  <c r="EU61" i="10"/>
  <c r="ES61" i="10" s="1"/>
  <c r="EU39" i="10"/>
  <c r="ES39" i="10" s="1"/>
  <c r="EU16" i="10"/>
  <c r="ES16" i="10" s="1"/>
  <c r="EU40" i="10"/>
  <c r="ES40" i="10" s="1"/>
  <c r="EU42" i="10"/>
  <c r="ES42" i="10" s="1"/>
  <c r="EU46" i="10"/>
  <c r="ES46" i="10" s="1"/>
  <c r="EU35" i="10"/>
  <c r="ES35" i="10" s="1"/>
  <c r="EU57" i="10"/>
  <c r="ES57" i="10" s="1"/>
  <c r="EU60" i="10"/>
  <c r="ES60" i="10" s="1"/>
  <c r="EU25" i="10"/>
  <c r="ES25" i="10" s="1"/>
  <c r="EU34" i="10"/>
  <c r="ES34" i="10" s="1"/>
  <c r="EU27" i="10"/>
  <c r="ES27" i="10" s="1"/>
  <c r="EU48" i="10"/>
  <c r="ES48" i="10" s="1"/>
  <c r="EU54" i="10"/>
  <c r="ES54" i="10" s="1"/>
  <c r="EU29" i="10"/>
  <c r="ES29" i="10" s="1"/>
  <c r="EU28" i="10"/>
  <c r="ES28" i="10" s="1"/>
  <c r="EU49" i="10"/>
  <c r="ES49" i="10" s="1"/>
  <c r="EU55" i="10"/>
  <c r="ES55" i="10" s="1"/>
  <c r="EU30" i="10"/>
  <c r="ES30" i="10" s="1"/>
  <c r="EU31" i="10"/>
  <c r="ES31" i="10" s="1"/>
  <c r="EU20" i="10"/>
  <c r="ES20" i="10" s="1"/>
  <c r="EU12" i="10"/>
  <c r="ES12" i="10" s="1"/>
  <c r="EU43" i="10"/>
  <c r="ES43" i="10" s="1"/>
  <c r="EU10" i="10"/>
  <c r="ES10" i="10" s="1"/>
  <c r="EU8" i="10"/>
  <c r="ES8" i="10" s="1"/>
  <c r="EU21" i="10"/>
  <c r="ES21" i="10" s="1"/>
  <c r="EU38" i="10"/>
  <c r="ES38" i="10" s="1"/>
  <c r="EU62" i="10"/>
  <c r="ES62" i="10" s="1"/>
  <c r="EU44" i="10"/>
  <c r="ES44" i="10" s="1"/>
  <c r="EU47" i="10"/>
  <c r="ES47" i="10" s="1"/>
  <c r="EU63" i="10"/>
  <c r="ES63" i="10" s="1"/>
  <c r="EU53" i="10"/>
  <c r="ES53" i="10" s="1"/>
  <c r="EU7" i="10"/>
  <c r="ES7" i="10" s="1"/>
  <c r="EU59" i="10"/>
  <c r="ES59" i="10" s="1"/>
  <c r="EU23" i="10"/>
  <c r="ES23" i="10" s="1"/>
  <c r="EU15" i="10"/>
  <c r="ES15" i="10" s="1"/>
  <c r="EU26" i="10"/>
  <c r="ES26" i="10" s="1"/>
  <c r="EU51" i="10"/>
  <c r="ES51" i="10" s="1"/>
  <c r="EU64" i="10"/>
  <c r="ES64" i="10" s="1"/>
  <c r="EU56" i="10"/>
  <c r="ES56" i="10" s="1"/>
  <c r="EU33" i="10"/>
  <c r="ES33" i="10" s="1"/>
  <c r="EU50" i="10"/>
  <c r="ES50" i="10" s="1"/>
  <c r="EU17" i="10"/>
  <c r="ES17" i="10" s="1"/>
  <c r="EU6" i="10"/>
  <c r="ES6" i="10" s="1"/>
  <c r="EP531" i="10"/>
  <c r="EO510" i="10"/>
  <c r="EP113" i="10"/>
  <c r="EP415" i="10"/>
  <c r="EP145" i="10"/>
  <c r="EP547" i="10"/>
  <c r="EP455" i="10"/>
  <c r="EP289" i="10"/>
  <c r="EP33" i="10"/>
  <c r="EP555" i="10"/>
  <c r="EP467" i="10"/>
  <c r="EP313" i="10"/>
  <c r="EP57" i="10"/>
  <c r="EP560" i="10"/>
  <c r="EP475" i="10"/>
  <c r="EP329" i="10"/>
  <c r="EP73" i="10"/>
  <c r="EO592" i="10"/>
  <c r="EP570" i="10"/>
  <c r="EP549" i="10"/>
  <c r="EO528" i="10"/>
  <c r="EP506" i="10"/>
  <c r="EP485" i="10"/>
  <c r="EP458" i="10"/>
  <c r="EP426" i="10"/>
  <c r="EP394" i="10"/>
  <c r="EP359" i="10"/>
  <c r="EP295" i="10"/>
  <c r="EP231" i="10"/>
  <c r="EP167" i="10"/>
  <c r="EP103" i="10"/>
  <c r="EP39" i="10"/>
  <c r="EP5" i="10"/>
  <c r="EP580" i="10"/>
  <c r="EP559" i="10"/>
  <c r="EO538" i="10"/>
  <c r="EP516" i="10"/>
  <c r="EP495" i="10"/>
  <c r="EP473" i="10"/>
  <c r="EP441" i="10"/>
  <c r="EP409" i="10"/>
  <c r="EP377" i="10"/>
  <c r="EP325" i="10"/>
  <c r="EP261" i="10"/>
  <c r="EP197" i="10"/>
  <c r="EP133" i="10"/>
  <c r="EP69" i="10"/>
  <c r="EP598" i="10"/>
  <c r="EP577" i="10"/>
  <c r="EO556" i="10"/>
  <c r="EP534" i="10"/>
  <c r="EP513" i="10"/>
  <c r="EO492" i="10"/>
  <c r="EP468" i="10"/>
  <c r="EP436" i="10"/>
  <c r="EP404" i="10"/>
  <c r="EP372" i="10"/>
  <c r="EP315" i="10"/>
  <c r="EP251" i="10"/>
  <c r="EP187" i="10"/>
  <c r="EP123" i="10"/>
  <c r="EP59" i="10"/>
  <c r="EP24" i="10"/>
  <c r="EP40" i="10"/>
  <c r="EP56" i="10"/>
  <c r="EP72" i="10"/>
  <c r="EP88" i="10"/>
  <c r="EP104" i="10"/>
  <c r="EP120" i="10"/>
  <c r="EP136" i="10"/>
  <c r="EP152" i="10"/>
  <c r="EP168" i="10"/>
  <c r="EP184" i="10"/>
  <c r="EP200" i="10"/>
  <c r="EP216" i="10"/>
  <c r="EP232" i="10"/>
  <c r="EP248" i="10"/>
  <c r="EP264" i="10"/>
  <c r="EP280" i="10"/>
  <c r="EP296" i="10"/>
  <c r="EP312" i="10"/>
  <c r="EP328" i="10"/>
  <c r="EP241" i="10"/>
  <c r="EP399" i="10"/>
  <c r="EP552" i="10"/>
  <c r="EP337" i="10"/>
  <c r="EP41" i="10"/>
  <c r="EP536" i="10"/>
  <c r="EP439" i="10"/>
  <c r="EP257" i="10"/>
  <c r="EP544" i="10"/>
  <c r="EP451" i="10"/>
  <c r="EP281" i="10"/>
  <c r="EP25" i="10"/>
  <c r="EO550" i="10"/>
  <c r="EP459" i="10"/>
  <c r="EP297" i="10"/>
  <c r="EP11" i="10"/>
  <c r="EP589" i="10"/>
  <c r="EO568" i="10"/>
  <c r="EP546" i="10"/>
  <c r="EP525" i="10"/>
  <c r="EO504" i="10"/>
  <c r="EP482" i="10"/>
  <c r="EP454" i="10"/>
  <c r="EP422" i="10"/>
  <c r="EP390" i="10"/>
  <c r="EP351" i="10"/>
  <c r="EP287" i="10"/>
  <c r="EP223" i="10"/>
  <c r="EP159" i="10"/>
  <c r="EP95" i="10"/>
  <c r="EP31" i="10"/>
  <c r="EP599" i="10"/>
  <c r="EO578" i="10"/>
  <c r="EP556" i="10"/>
  <c r="EP535" i="10"/>
  <c r="EO514" i="10"/>
  <c r="EP492" i="10"/>
  <c r="EP469" i="10"/>
  <c r="EP437" i="10"/>
  <c r="EP405" i="10"/>
  <c r="EP373" i="10"/>
  <c r="EP317" i="10"/>
  <c r="EP253" i="10"/>
  <c r="EP189" i="10"/>
  <c r="EP125" i="10"/>
  <c r="EP61" i="10"/>
  <c r="EO596" i="10"/>
  <c r="EP574" i="10"/>
  <c r="EP553" i="10"/>
  <c r="EO532" i="10"/>
  <c r="EP510" i="10"/>
  <c r="EP489" i="10"/>
  <c r="EP464" i="10"/>
  <c r="EP432" i="10"/>
  <c r="EP400" i="10"/>
  <c r="EP368" i="10"/>
  <c r="EP307" i="10"/>
  <c r="EP243" i="10"/>
  <c r="EP179" i="10"/>
  <c r="EP115" i="10"/>
  <c r="EP51" i="10"/>
  <c r="EP10" i="10"/>
  <c r="EP26" i="10"/>
  <c r="EP42" i="10"/>
  <c r="EP58" i="10"/>
  <c r="EP74" i="10"/>
  <c r="EP90" i="10"/>
  <c r="EP106" i="10"/>
  <c r="EP122" i="10"/>
  <c r="EP138" i="10"/>
  <c r="EP154" i="10"/>
  <c r="EP170" i="10"/>
  <c r="EP186" i="10"/>
  <c r="EP202" i="10"/>
  <c r="EP218" i="10"/>
  <c r="EP234" i="10"/>
  <c r="EP250" i="10"/>
  <c r="EP266" i="10"/>
  <c r="EP282" i="10"/>
  <c r="EP298" i="10"/>
  <c r="EP314" i="10"/>
  <c r="EP330" i="10"/>
  <c r="EP346" i="10"/>
  <c r="EP362" i="10"/>
  <c r="EO23" i="10"/>
  <c r="EO39" i="10"/>
  <c r="EO55" i="10"/>
  <c r="EO71" i="10"/>
  <c r="EO87" i="10"/>
  <c r="EO103" i="10"/>
  <c r="EO119" i="10"/>
  <c r="EO135" i="10"/>
  <c r="EO151" i="10"/>
  <c r="EO167" i="10"/>
  <c r="EO183" i="10"/>
  <c r="EO199" i="10"/>
  <c r="EO215" i="10"/>
  <c r="EO231" i="10"/>
  <c r="EO247" i="10"/>
  <c r="EO263" i="10"/>
  <c r="EO279" i="10"/>
  <c r="EO295" i="10"/>
  <c r="EO311" i="10"/>
  <c r="EO327" i="10"/>
  <c r="EO343" i="10"/>
  <c r="EO359" i="10"/>
  <c r="EO375" i="10"/>
  <c r="EO391" i="10"/>
  <c r="EO407" i="10"/>
  <c r="EO423" i="10"/>
  <c r="EO439" i="10"/>
  <c r="EO455" i="10"/>
  <c r="EO471" i="10"/>
  <c r="EO487" i="10"/>
  <c r="EO503" i="10"/>
  <c r="EO519" i="10"/>
  <c r="EO535" i="10"/>
  <c r="EO551" i="10"/>
  <c r="EO567" i="10"/>
  <c r="EO583" i="10"/>
  <c r="EO599" i="10"/>
  <c r="EO18" i="10"/>
  <c r="EO34" i="10"/>
  <c r="EO50" i="10"/>
  <c r="EO66" i="10"/>
  <c r="EO82" i="10"/>
  <c r="EO98" i="10"/>
  <c r="EO114" i="10"/>
  <c r="EO130" i="10"/>
  <c r="EO146" i="10"/>
  <c r="EO162" i="10"/>
  <c r="EO178" i="10"/>
  <c r="EO194" i="10"/>
  <c r="EO210" i="10"/>
  <c r="EO226" i="10"/>
  <c r="EO242" i="10"/>
  <c r="EO258" i="10"/>
  <c r="EO274" i="10"/>
  <c r="EO290" i="10"/>
  <c r="EO306" i="10"/>
  <c r="EO322" i="10"/>
  <c r="EO338" i="10"/>
  <c r="EO354" i="10"/>
  <c r="EO370" i="10"/>
  <c r="EO386" i="10"/>
  <c r="EO402" i="10"/>
  <c r="EO418" i="10"/>
  <c r="EO434" i="10"/>
  <c r="EO450" i="10"/>
  <c r="EO466" i="10"/>
  <c r="EP305" i="10"/>
  <c r="EP81" i="10"/>
  <c r="EO542" i="10"/>
  <c r="EP600" i="10"/>
  <c r="EP515" i="10"/>
  <c r="EP407" i="10"/>
  <c r="EP193" i="10"/>
  <c r="EP523" i="10"/>
  <c r="EP419" i="10"/>
  <c r="EP217" i="10"/>
  <c r="EP528" i="10"/>
  <c r="EP427" i="10"/>
  <c r="EP233" i="10"/>
  <c r="EO9" i="10"/>
  <c r="EO584" i="10"/>
  <c r="EP562" i="10"/>
  <c r="EP541" i="10"/>
  <c r="EO520" i="10"/>
  <c r="EP498" i="10"/>
  <c r="EP477" i="10"/>
  <c r="EP446" i="10"/>
  <c r="EP414" i="10"/>
  <c r="EP382" i="10"/>
  <c r="EP335" i="10"/>
  <c r="EP271" i="10"/>
  <c r="EP207" i="10"/>
  <c r="EP143" i="10"/>
  <c r="EP79" i="10"/>
  <c r="EP15" i="10"/>
  <c r="EO594" i="10"/>
  <c r="EP572" i="10"/>
  <c r="EP551" i="10"/>
  <c r="EO530" i="10"/>
  <c r="EP508" i="10"/>
  <c r="EP487" i="10"/>
  <c r="EP461" i="10"/>
  <c r="EP429" i="10"/>
  <c r="EP397" i="10"/>
  <c r="EP365" i="10"/>
  <c r="EP301" i="10"/>
  <c r="EP237" i="10"/>
  <c r="EP173" i="10"/>
  <c r="EP109" i="10"/>
  <c r="EP45" i="10"/>
  <c r="EP590" i="10"/>
  <c r="EP569" i="10"/>
  <c r="EO548" i="10"/>
  <c r="EP526" i="10"/>
  <c r="EP505" i="10"/>
  <c r="EO484" i="10"/>
  <c r="EP456" i="10"/>
  <c r="EP424" i="10"/>
  <c r="EP392" i="10"/>
  <c r="EP355" i="10"/>
  <c r="EP291" i="10"/>
  <c r="EP227" i="10"/>
  <c r="EP163" i="10"/>
  <c r="EP99" i="10"/>
  <c r="EP35" i="10"/>
  <c r="EP14" i="10"/>
  <c r="EP30" i="10"/>
  <c r="EP46" i="10"/>
  <c r="EP62" i="10"/>
  <c r="EP78" i="10"/>
  <c r="EP94" i="10"/>
  <c r="EP110" i="10"/>
  <c r="EP126" i="10"/>
  <c r="EP142" i="10"/>
  <c r="EP158" i="10"/>
  <c r="EP174" i="10"/>
  <c r="EP190" i="10"/>
  <c r="EP206" i="10"/>
  <c r="EP222" i="10"/>
  <c r="EP238" i="10"/>
  <c r="EP254" i="10"/>
  <c r="EP270" i="10"/>
  <c r="EP286" i="10"/>
  <c r="EP302" i="10"/>
  <c r="EP318" i="10"/>
  <c r="EP334" i="10"/>
  <c r="EP350" i="10"/>
  <c r="EO11" i="10"/>
  <c r="EO27" i="10"/>
  <c r="EO43" i="10"/>
  <c r="EO59" i="10"/>
  <c r="EO75" i="10"/>
  <c r="EO91" i="10"/>
  <c r="EO107" i="10"/>
  <c r="EO123" i="10"/>
  <c r="EO139" i="10"/>
  <c r="EO155" i="10"/>
  <c r="EO171" i="10"/>
  <c r="EO187" i="10"/>
  <c r="EO203" i="10"/>
  <c r="EO219" i="10"/>
  <c r="EO235" i="10"/>
  <c r="EO251" i="10"/>
  <c r="EO267" i="10"/>
  <c r="EO283" i="10"/>
  <c r="EO299" i="10"/>
  <c r="EO315" i="10"/>
  <c r="EO331" i="10"/>
  <c r="EO347" i="10"/>
  <c r="EO363" i="10"/>
  <c r="EO379" i="10"/>
  <c r="EO395" i="10"/>
  <c r="EO411" i="10"/>
  <c r="EO427" i="10"/>
  <c r="EO443" i="10"/>
  <c r="EO459" i="10"/>
  <c r="EO475" i="10"/>
  <c r="EO491" i="10"/>
  <c r="EO507" i="10"/>
  <c r="EO523" i="10"/>
  <c r="EO539" i="10"/>
  <c r="EO555" i="10"/>
  <c r="EO571" i="10"/>
  <c r="EO587" i="10"/>
  <c r="EP6" i="10"/>
  <c r="EO22" i="10"/>
  <c r="EO38" i="10"/>
  <c r="EO54" i="10"/>
  <c r="EO70" i="10"/>
  <c r="EO86" i="10"/>
  <c r="EO102" i="10"/>
  <c r="EO118" i="10"/>
  <c r="EO134" i="10"/>
  <c r="EO150" i="10"/>
  <c r="EO166" i="10"/>
  <c r="EO182" i="10"/>
  <c r="EO198" i="10"/>
  <c r="EO214" i="10"/>
  <c r="EO230" i="10"/>
  <c r="EO246" i="10"/>
  <c r="EO262" i="10"/>
  <c r="EO278" i="10"/>
  <c r="EO294" i="10"/>
  <c r="EO310" i="10"/>
  <c r="EO326" i="10"/>
  <c r="EO342" i="10"/>
  <c r="EO358" i="10"/>
  <c r="EO374" i="10"/>
  <c r="EO390" i="10"/>
  <c r="EO406" i="10"/>
  <c r="EO422" i="10"/>
  <c r="EO438" i="10"/>
  <c r="EO454" i="10"/>
  <c r="EO470" i="10"/>
  <c r="EP367" i="10"/>
  <c r="EP383" i="10"/>
  <c r="EO494" i="10"/>
  <c r="EP225" i="10"/>
  <c r="EO566" i="10"/>
  <c r="EP387" i="10"/>
  <c r="EO582" i="10"/>
  <c r="EP411" i="10"/>
  <c r="EP105" i="10"/>
  <c r="EP578" i="10"/>
  <c r="EO544" i="10"/>
  <c r="EO512" i="10"/>
  <c r="EP474" i="10"/>
  <c r="EP430" i="10"/>
  <c r="EP374" i="10"/>
  <c r="EP279" i="10"/>
  <c r="EP183" i="10"/>
  <c r="EP71" i="10"/>
  <c r="EP588" i="10"/>
  <c r="EO554" i="10"/>
  <c r="EO522" i="10"/>
  <c r="EP484" i="10"/>
  <c r="EP445" i="10"/>
  <c r="EP389" i="10"/>
  <c r="EP309" i="10"/>
  <c r="EP213" i="10"/>
  <c r="EP101" i="10"/>
  <c r="EP13" i="10"/>
  <c r="EP585" i="10"/>
  <c r="EP550" i="10"/>
  <c r="EP518" i="10"/>
  <c r="EP481" i="10"/>
  <c r="EP440" i="10"/>
  <c r="EP384" i="10"/>
  <c r="EP299" i="10"/>
  <c r="EP203" i="10"/>
  <c r="EP91" i="10"/>
  <c r="EP18" i="10"/>
  <c r="EP44" i="10"/>
  <c r="EP68" i="10"/>
  <c r="EP96" i="10"/>
  <c r="EP118" i="10"/>
  <c r="EP146" i="10"/>
  <c r="EP172" i="10"/>
  <c r="EP196" i="10"/>
  <c r="EP224" i="10"/>
  <c r="EP246" i="10"/>
  <c r="EP274" i="10"/>
  <c r="EP300" i="10"/>
  <c r="EP324" i="10"/>
  <c r="EP348" i="10"/>
  <c r="EO15" i="10"/>
  <c r="EO35" i="10"/>
  <c r="EO57" i="10"/>
  <c r="EO79" i="10"/>
  <c r="EO99" i="10"/>
  <c r="EO121" i="10"/>
  <c r="EO143" i="10"/>
  <c r="EO163" i="10"/>
  <c r="EO185" i="10"/>
  <c r="EO207" i="10"/>
  <c r="EO227" i="10"/>
  <c r="EO249" i="10"/>
  <c r="EO271" i="10"/>
  <c r="EO291" i="10"/>
  <c r="EO313" i="10"/>
  <c r="EO335" i="10"/>
  <c r="EO355" i="10"/>
  <c r="EO377" i="10"/>
  <c r="EO399" i="10"/>
  <c r="EO419" i="10"/>
  <c r="EO441" i="10"/>
  <c r="EO463" i="10"/>
  <c r="EO483" i="10"/>
  <c r="EO505" i="10"/>
  <c r="EO527" i="10"/>
  <c r="EO547" i="10"/>
  <c r="EO569" i="10"/>
  <c r="EO591" i="10"/>
  <c r="EO590" i="10"/>
  <c r="EP471" i="10"/>
  <c r="EP129" i="10"/>
  <c r="EP512" i="10"/>
  <c r="EP345" i="10"/>
  <c r="EP539" i="10"/>
  <c r="EP379" i="10"/>
  <c r="EO6" i="10"/>
  <c r="EP573" i="10"/>
  <c r="EO536" i="10"/>
  <c r="EP501" i="10"/>
  <c r="EP466" i="10"/>
  <c r="EP410" i="10"/>
  <c r="EP366" i="10"/>
  <c r="EP255" i="10"/>
  <c r="EP151" i="10"/>
  <c r="EP55" i="10"/>
  <c r="EP583" i="10"/>
  <c r="EO546" i="10"/>
  <c r="EP511" i="10"/>
  <c r="EP479" i="10"/>
  <c r="EP425" i="10"/>
  <c r="EP381" i="10"/>
  <c r="EP285" i="10"/>
  <c r="EP181" i="10"/>
  <c r="EP85" i="10"/>
  <c r="EO580" i="10"/>
  <c r="EP542" i="10"/>
  <c r="EO508" i="10"/>
  <c r="EO476" i="10"/>
  <c r="EP420" i="10"/>
  <c r="EP376" i="10"/>
  <c r="EP275" i="10"/>
  <c r="EP171" i="10"/>
  <c r="EP75" i="10"/>
  <c r="EP22" i="10"/>
  <c r="EP50" i="10"/>
  <c r="EP76" i="10"/>
  <c r="EP100" i="10"/>
  <c r="EP128" i="10"/>
  <c r="EP150" i="10"/>
  <c r="EP178" i="10"/>
  <c r="EP204" i="10"/>
  <c r="EP228" i="10"/>
  <c r="EP256" i="10"/>
  <c r="EP278" i="10"/>
  <c r="EP306" i="10"/>
  <c r="EP332" i="10"/>
  <c r="EP354" i="10"/>
  <c r="EO19" i="10"/>
  <c r="EO41" i="10"/>
  <c r="EO63" i="10"/>
  <c r="EO83" i="10"/>
  <c r="EO105" i="10"/>
  <c r="EO127" i="10"/>
  <c r="EO147" i="10"/>
  <c r="EO169" i="10"/>
  <c r="EO191" i="10"/>
  <c r="EO211" i="10"/>
  <c r="EO233" i="10"/>
  <c r="EO255" i="10"/>
  <c r="EO275" i="10"/>
  <c r="EO297" i="10"/>
  <c r="EO319" i="10"/>
  <c r="EO339" i="10"/>
  <c r="EO361" i="10"/>
  <c r="EO383" i="10"/>
  <c r="EO403" i="10"/>
  <c r="EO425" i="10"/>
  <c r="EO447" i="10"/>
  <c r="EO467" i="10"/>
  <c r="EO489" i="10"/>
  <c r="EO511" i="10"/>
  <c r="EO531" i="10"/>
  <c r="EO553" i="10"/>
  <c r="EO575" i="10"/>
  <c r="EO595" i="10"/>
  <c r="EO20" i="10"/>
  <c r="EO42" i="10"/>
  <c r="EO62" i="10"/>
  <c r="EO84" i="10"/>
  <c r="EO106" i="10"/>
  <c r="EO126" i="10"/>
  <c r="EO148" i="10"/>
  <c r="EO170" i="10"/>
  <c r="EO190" i="10"/>
  <c r="EO212" i="10"/>
  <c r="EO234" i="10"/>
  <c r="EO254" i="10"/>
  <c r="EO276" i="10"/>
  <c r="EO298" i="10"/>
  <c r="EO318" i="10"/>
  <c r="EO340" i="10"/>
  <c r="EP9" i="10"/>
  <c r="EP579" i="10"/>
  <c r="EP423" i="10"/>
  <c r="EP97" i="10"/>
  <c r="EO502" i="10"/>
  <c r="EP249" i="10"/>
  <c r="EO518" i="10"/>
  <c r="EP361" i="10"/>
  <c r="EO600" i="10"/>
  <c r="EP565" i="10"/>
  <c r="EP533" i="10"/>
  <c r="EO496" i="10"/>
  <c r="EP462" i="10"/>
  <c r="EP406" i="10"/>
  <c r="EP343" i="10"/>
  <c r="EP247" i="10"/>
  <c r="EP135" i="10"/>
  <c r="EP47" i="10"/>
  <c r="EP575" i="10"/>
  <c r="EP543" i="10"/>
  <c r="EO506" i="10"/>
  <c r="EP476" i="10"/>
  <c r="EP421" i="10"/>
  <c r="EP369" i="10"/>
  <c r="EP277" i="10"/>
  <c r="EP165" i="10"/>
  <c r="EP77" i="10"/>
  <c r="EP4" i="10"/>
  <c r="EO572" i="10"/>
  <c r="EO540" i="10"/>
  <c r="EP502" i="10"/>
  <c r="EP472" i="10"/>
  <c r="EP416" i="10"/>
  <c r="EP363" i="10"/>
  <c r="EP267" i="10"/>
  <c r="EP155" i="10"/>
  <c r="EP67" i="10"/>
  <c r="EP28" i="10"/>
  <c r="EP52" i="10"/>
  <c r="EP80" i="10"/>
  <c r="EP102" i="10"/>
  <c r="EP130" i="10"/>
  <c r="EP156" i="10"/>
  <c r="EP180" i="10"/>
  <c r="EP208" i="10"/>
  <c r="EP230" i="10"/>
  <c r="EP258" i="10"/>
  <c r="EP284" i="10"/>
  <c r="EP308" i="10"/>
  <c r="EP336" i="10"/>
  <c r="EP356" i="10"/>
  <c r="EO21" i="10"/>
  <c r="EO45" i="10"/>
  <c r="EO65" i="10"/>
  <c r="EO85" i="10"/>
  <c r="EO109" i="10"/>
  <c r="EO129" i="10"/>
  <c r="EO149" i="10"/>
  <c r="EO173" i="10"/>
  <c r="EO193" i="10"/>
  <c r="EO213" i="10"/>
  <c r="EO237" i="10"/>
  <c r="EO257" i="10"/>
  <c r="EO277" i="10"/>
  <c r="EO301" i="10"/>
  <c r="EO321" i="10"/>
  <c r="EO341" i="10"/>
  <c r="EO365" i="10"/>
  <c r="EO385" i="10"/>
  <c r="EO405" i="10"/>
  <c r="EO429" i="10"/>
  <c r="EO449" i="10"/>
  <c r="EO469" i="10"/>
  <c r="EO493" i="10"/>
  <c r="EO513" i="10"/>
  <c r="EO533" i="10"/>
  <c r="EO557" i="10"/>
  <c r="EO577" i="10"/>
  <c r="EO597" i="10"/>
  <c r="EO24" i="10"/>
  <c r="EO44" i="10"/>
  <c r="EO64" i="10"/>
  <c r="EO88" i="10"/>
  <c r="EO108" i="10"/>
  <c r="EO128" i="10"/>
  <c r="EO152" i="10"/>
  <c r="EO172" i="10"/>
  <c r="EO192" i="10"/>
  <c r="EO216" i="10"/>
  <c r="EO236" i="10"/>
  <c r="EO256" i="10"/>
  <c r="EO280" i="10"/>
  <c r="EO300" i="10"/>
  <c r="EO320" i="10"/>
  <c r="EO344" i="10"/>
  <c r="EO364" i="10"/>
  <c r="EP431" i="10"/>
  <c r="EP563" i="10"/>
  <c r="EP568" i="10"/>
  <c r="EP391" i="10"/>
  <c r="EP65" i="10"/>
  <c r="EP491" i="10"/>
  <c r="EP185" i="10"/>
  <c r="EP507" i="10"/>
  <c r="EP265" i="10"/>
  <c r="EP597" i="10"/>
  <c r="EO560" i="10"/>
  <c r="EP530" i="10"/>
  <c r="EP493" i="10"/>
  <c r="EP450" i="10"/>
  <c r="EP402" i="10"/>
  <c r="EP327" i="10"/>
  <c r="EP239" i="10"/>
  <c r="EP127" i="10"/>
  <c r="EP23" i="10"/>
  <c r="EO570" i="10"/>
  <c r="EP540" i="10"/>
  <c r="EP503" i="10"/>
  <c r="EP465" i="10"/>
  <c r="EP417" i="10"/>
  <c r="EP357" i="10"/>
  <c r="EP269" i="10"/>
  <c r="EP157" i="10"/>
  <c r="EP53" i="10"/>
  <c r="EP7" i="10"/>
  <c r="EP566" i="10"/>
  <c r="EP537" i="10"/>
  <c r="EO500" i="10"/>
  <c r="EP460" i="10"/>
  <c r="EP412" i="10"/>
  <c r="EP347" i="10"/>
  <c r="EP259" i="10"/>
  <c r="EP147" i="10"/>
  <c r="EP43" i="10"/>
  <c r="EP32" i="10"/>
  <c r="EP54" i="10"/>
  <c r="EP82" i="10"/>
  <c r="EP108" i="10"/>
  <c r="EP132" i="10"/>
  <c r="EP160" i="10"/>
  <c r="EP182" i="10"/>
  <c r="EP210" i="10"/>
  <c r="EP236" i="10"/>
  <c r="EP260" i="10"/>
  <c r="EP288" i="10"/>
  <c r="EP310" i="10"/>
  <c r="EP338" i="10"/>
  <c r="EP358" i="10"/>
  <c r="EO25" i="10"/>
  <c r="EO47" i="10"/>
  <c r="EO67" i="10"/>
  <c r="EO89" i="10"/>
  <c r="EO111" i="10"/>
  <c r="EO131" i="10"/>
  <c r="EO153" i="10"/>
  <c r="EO175" i="10"/>
  <c r="EO195" i="10"/>
  <c r="EO217" i="10"/>
  <c r="EO239" i="10"/>
  <c r="EO259" i="10"/>
  <c r="EO281" i="10"/>
  <c r="EO303" i="10"/>
  <c r="EO323" i="10"/>
  <c r="EO345" i="10"/>
  <c r="EO367" i="10"/>
  <c r="EO387" i="10"/>
  <c r="EO409" i="10"/>
  <c r="EO431" i="10"/>
  <c r="EO451" i="10"/>
  <c r="EO473" i="10"/>
  <c r="EO495" i="10"/>
  <c r="EO515" i="10"/>
  <c r="EO537" i="10"/>
  <c r="EO559" i="10"/>
  <c r="EO579" i="10"/>
  <c r="EO4" i="10"/>
  <c r="EO26" i="10"/>
  <c r="EO46" i="10"/>
  <c r="EO68" i="10"/>
  <c r="EO90" i="10"/>
  <c r="EO110" i="10"/>
  <c r="EO132" i="10"/>
  <c r="EO154" i="10"/>
  <c r="EO174" i="10"/>
  <c r="EO196" i="10"/>
  <c r="EO218" i="10"/>
  <c r="EO238" i="10"/>
  <c r="EO260" i="10"/>
  <c r="EO282" i="10"/>
  <c r="EO302" i="10"/>
  <c r="EO324" i="10"/>
  <c r="EO346" i="10"/>
  <c r="EO366" i="10"/>
  <c r="EP595" i="10"/>
  <c r="EP520" i="10"/>
  <c r="EP584" i="10"/>
  <c r="EO558" i="10"/>
  <c r="EP375" i="10"/>
  <c r="EO598" i="10"/>
  <c r="EP480" i="10"/>
  <c r="EP153" i="10"/>
  <c r="EP496" i="10"/>
  <c r="EP201" i="10"/>
  <c r="EP177" i="10"/>
  <c r="EO574" i="10"/>
  <c r="EP463" i="10"/>
  <c r="EO478" i="10"/>
  <c r="EP499" i="10"/>
  <c r="EO526" i="10"/>
  <c r="EP353" i="10"/>
  <c r="EP587" i="10"/>
  <c r="EP435" i="10"/>
  <c r="EP121" i="10"/>
  <c r="EO7" i="10"/>
  <c r="EO486" i="10"/>
  <c r="EP169" i="10"/>
  <c r="EP17" i="10"/>
  <c r="EP488" i="10"/>
  <c r="EP49" i="10"/>
  <c r="EP209" i="10"/>
  <c r="EP447" i="10"/>
  <c r="EP504" i="10"/>
  <c r="EP321" i="10"/>
  <c r="EP576" i="10"/>
  <c r="EP403" i="10"/>
  <c r="EP89" i="10"/>
  <c r="EP592" i="10"/>
  <c r="EP443" i="10"/>
  <c r="EP137" i="10"/>
  <c r="EP581" i="10"/>
  <c r="EO552" i="10"/>
  <c r="EP514" i="10"/>
  <c r="EO480" i="10"/>
  <c r="EP434" i="10"/>
  <c r="EP378" i="10"/>
  <c r="EP303" i="10"/>
  <c r="EP191" i="10"/>
  <c r="EP87" i="10"/>
  <c r="EP591" i="10"/>
  <c r="EO562" i="10"/>
  <c r="EP524" i="10"/>
  <c r="EO490" i="10"/>
  <c r="EP449" i="10"/>
  <c r="EP393" i="10"/>
  <c r="EP333" i="10"/>
  <c r="EP221" i="10"/>
  <c r="EP117" i="10"/>
  <c r="EP21" i="10"/>
  <c r="EO588" i="10"/>
  <c r="EP558" i="10"/>
  <c r="EP521" i="10"/>
  <c r="EP486" i="10"/>
  <c r="EP444" i="10"/>
  <c r="EP388" i="10"/>
  <c r="EP323" i="10"/>
  <c r="EP211" i="10"/>
  <c r="EP107" i="10"/>
  <c r="EP16" i="10"/>
  <c r="EP38" i="10"/>
  <c r="EP66" i="10"/>
  <c r="EP92" i="10"/>
  <c r="EP116" i="10"/>
  <c r="EP144" i="10"/>
  <c r="EP166" i="10"/>
  <c r="EP194" i="10"/>
  <c r="EP220" i="10"/>
  <c r="EP244" i="10"/>
  <c r="EP272" i="10"/>
  <c r="EP294" i="10"/>
  <c r="EP322" i="10"/>
  <c r="EP344" i="10"/>
  <c r="EO13" i="10"/>
  <c r="EO33" i="10"/>
  <c r="EO53" i="10"/>
  <c r="EO77" i="10"/>
  <c r="EO97" i="10"/>
  <c r="EO117" i="10"/>
  <c r="EO141" i="10"/>
  <c r="EO161" i="10"/>
  <c r="EO181" i="10"/>
  <c r="EO205" i="10"/>
  <c r="EO225" i="10"/>
  <c r="EO245" i="10"/>
  <c r="EO269" i="10"/>
  <c r="EO289" i="10"/>
  <c r="EO309" i="10"/>
  <c r="EO333" i="10"/>
  <c r="EO353" i="10"/>
  <c r="EO373" i="10"/>
  <c r="EO397" i="10"/>
  <c r="EO417" i="10"/>
  <c r="EO437" i="10"/>
  <c r="EO461" i="10"/>
  <c r="EO481" i="10"/>
  <c r="EO501" i="10"/>
  <c r="EO525" i="10"/>
  <c r="EO545" i="10"/>
  <c r="EO565" i="10"/>
  <c r="EO589" i="10"/>
  <c r="EO12" i="10"/>
  <c r="EO32" i="10"/>
  <c r="EO56" i="10"/>
  <c r="EO76" i="10"/>
  <c r="EO96" i="10"/>
  <c r="EO120" i="10"/>
  <c r="EO140" i="10"/>
  <c r="EO160" i="10"/>
  <c r="EO184" i="10"/>
  <c r="EO204" i="10"/>
  <c r="EO224" i="10"/>
  <c r="EO248" i="10"/>
  <c r="EO268" i="10"/>
  <c r="EO288" i="10"/>
  <c r="EO312" i="10"/>
  <c r="EO332" i="10"/>
  <c r="EO352" i="10"/>
  <c r="EO376" i="10"/>
  <c r="EP273" i="10"/>
  <c r="EP483" i="10"/>
  <c r="EP538" i="10"/>
  <c r="EP438" i="10"/>
  <c r="EP215" i="10"/>
  <c r="EP564" i="10"/>
  <c r="EP457" i="10"/>
  <c r="EP293" i="10"/>
  <c r="EP29" i="10"/>
  <c r="EO5" i="10"/>
  <c r="EO516" i="10"/>
  <c r="EP396" i="10"/>
  <c r="EP139" i="10"/>
  <c r="EP48" i="10"/>
  <c r="EP114" i="10"/>
  <c r="EP188" i="10"/>
  <c r="EP252" i="10"/>
  <c r="EP320" i="10"/>
  <c r="EO29" i="10"/>
  <c r="EO81" i="10"/>
  <c r="EO137" i="10"/>
  <c r="EO197" i="10"/>
  <c r="EO253" i="10"/>
  <c r="EO307" i="10"/>
  <c r="EO369" i="10"/>
  <c r="EO421" i="10"/>
  <c r="EO479" i="10"/>
  <c r="EO541" i="10"/>
  <c r="EO593" i="10"/>
  <c r="EO40" i="10"/>
  <c r="EO80" i="10"/>
  <c r="EO124" i="10"/>
  <c r="EO168" i="10"/>
  <c r="EO208" i="10"/>
  <c r="EO252" i="10"/>
  <c r="EO296" i="10"/>
  <c r="EO336" i="10"/>
  <c r="EO378" i="10"/>
  <c r="EO398" i="10"/>
  <c r="EO420" i="10"/>
  <c r="EO442" i="10"/>
  <c r="EO462" i="10"/>
  <c r="EP161" i="10"/>
  <c r="EO534" i="10"/>
  <c r="EP522" i="10"/>
  <c r="EP418" i="10"/>
  <c r="EP199" i="10"/>
  <c r="EP548" i="10"/>
  <c r="EP453" i="10"/>
  <c r="EP245" i="10"/>
  <c r="EP593" i="10"/>
  <c r="EP497" i="10"/>
  <c r="EP380" i="10"/>
  <c r="EP131" i="10"/>
  <c r="EP60" i="10"/>
  <c r="EP124" i="10"/>
  <c r="EP192" i="10"/>
  <c r="EP262" i="10"/>
  <c r="EP326" i="10"/>
  <c r="EO31" i="10"/>
  <c r="EO93" i="10"/>
  <c r="EO145" i="10"/>
  <c r="EO201" i="10"/>
  <c r="EO261" i="10"/>
  <c r="EO317" i="10"/>
  <c r="EO371" i="10"/>
  <c r="EO433" i="10"/>
  <c r="EO485" i="10"/>
  <c r="EO543" i="10"/>
  <c r="EP8" i="10"/>
  <c r="EO48" i="10"/>
  <c r="EO92" i="10"/>
  <c r="EO136" i="10"/>
  <c r="EO176" i="10"/>
  <c r="EO220" i="10"/>
  <c r="EO264" i="10"/>
  <c r="EO304" i="10"/>
  <c r="EO348" i="10"/>
  <c r="EO380" i="10"/>
  <c r="EO400" i="10"/>
  <c r="EO424" i="10"/>
  <c r="EO444" i="10"/>
  <c r="EO464" i="10"/>
  <c r="EP371" i="10"/>
  <c r="EP517" i="10"/>
  <c r="EP398" i="10"/>
  <c r="EP175" i="10"/>
  <c r="EP532" i="10"/>
  <c r="EP433" i="10"/>
  <c r="EP229" i="10"/>
  <c r="EP582" i="10"/>
  <c r="EP494" i="10"/>
  <c r="EP339" i="10"/>
  <c r="EP83" i="10"/>
  <c r="EP64" i="10"/>
  <c r="EP134" i="10"/>
  <c r="EP198" i="10"/>
  <c r="EP268" i="10"/>
  <c r="EP340" i="10"/>
  <c r="EO37" i="10"/>
  <c r="EO95" i="10"/>
  <c r="EO157" i="10"/>
  <c r="EO209" i="10"/>
  <c r="EO265" i="10"/>
  <c r="EO325" i="10"/>
  <c r="EO381" i="10"/>
  <c r="EO435" i="10"/>
  <c r="EO497" i="10"/>
  <c r="EO549" i="10"/>
  <c r="EO10" i="10"/>
  <c r="EO52" i="10"/>
  <c r="EO94" i="10"/>
  <c r="EO138" i="10"/>
  <c r="EO180" i="10"/>
  <c r="EO222" i="10"/>
  <c r="EO266" i="10"/>
  <c r="EO308" i="10"/>
  <c r="EO350" i="10"/>
  <c r="EO382" i="10"/>
  <c r="EO404" i="10"/>
  <c r="EO426" i="10"/>
  <c r="EO446" i="10"/>
  <c r="EO468" i="10"/>
  <c r="EP594" i="10"/>
  <c r="EP509" i="10"/>
  <c r="EP386" i="10"/>
  <c r="EP119" i="10"/>
  <c r="EP527" i="10"/>
  <c r="EP413" i="10"/>
  <c r="EP205" i="10"/>
  <c r="EO564" i="10"/>
  <c r="EP478" i="10"/>
  <c r="EP331" i="10"/>
  <c r="EP27" i="10"/>
  <c r="EP70" i="10"/>
  <c r="EP140" i="10"/>
  <c r="EP212" i="10"/>
  <c r="EP276" i="10"/>
  <c r="EP342" i="10"/>
  <c r="EO49" i="10"/>
  <c r="EO101" i="10"/>
  <c r="EO159" i="10"/>
  <c r="EO221" i="10"/>
  <c r="EO273" i="10"/>
  <c r="EO329" i="10"/>
  <c r="EO389" i="10"/>
  <c r="EO445" i="10"/>
  <c r="EO499" i="10"/>
  <c r="EO561" i="10"/>
  <c r="EO14" i="10"/>
  <c r="EO58" i="10"/>
  <c r="EO100" i="10"/>
  <c r="EO142" i="10"/>
  <c r="EO186" i="10"/>
  <c r="EO228" i="10"/>
  <c r="EO270" i="10"/>
  <c r="EO314" i="10"/>
  <c r="EO356" i="10"/>
  <c r="EO384" i="10"/>
  <c r="EO408" i="10"/>
  <c r="EO428" i="10"/>
  <c r="EO448" i="10"/>
  <c r="EO472" i="10"/>
  <c r="EP586" i="10"/>
  <c r="EP490" i="10"/>
  <c r="EP370" i="10"/>
  <c r="EP111" i="10"/>
  <c r="EO8" i="10"/>
  <c r="EP519" i="10"/>
  <c r="EP401" i="10"/>
  <c r="EP149" i="10"/>
  <c r="EP561" i="10"/>
  <c r="EP452" i="10"/>
  <c r="EP283" i="10"/>
  <c r="EP19" i="10"/>
  <c r="EP12" i="10"/>
  <c r="EP84" i="10"/>
  <c r="EP148" i="10"/>
  <c r="EP214" i="10"/>
  <c r="EP290" i="10"/>
  <c r="EP352" i="10"/>
  <c r="EO51" i="10"/>
  <c r="EO113" i="10"/>
  <c r="EO165" i="10"/>
  <c r="EO223" i="10"/>
  <c r="EO285" i="10"/>
  <c r="EO337" i="10"/>
  <c r="EO393" i="10"/>
  <c r="EO453" i="10"/>
  <c r="EO509" i="10"/>
  <c r="EO563" i="10"/>
  <c r="EO16" i="10"/>
  <c r="EO60" i="10"/>
  <c r="EO104" i="10"/>
  <c r="EO144" i="10"/>
  <c r="EO188" i="10"/>
  <c r="EO232" i="10"/>
  <c r="EO272" i="10"/>
  <c r="EO316" i="10"/>
  <c r="EO360" i="10"/>
  <c r="EO388" i="10"/>
  <c r="EO410" i="10"/>
  <c r="EO430" i="10"/>
  <c r="EO452" i="10"/>
  <c r="EO474" i="10"/>
  <c r="EO576" i="10"/>
  <c r="EO488" i="10"/>
  <c r="EP319" i="10"/>
  <c r="EP63" i="10"/>
  <c r="EP596" i="10"/>
  <c r="EP500" i="10"/>
  <c r="EP385" i="10"/>
  <c r="EP141" i="10"/>
  <c r="EP545" i="10"/>
  <c r="EP448" i="10"/>
  <c r="EP235" i="10"/>
  <c r="EP20" i="10"/>
  <c r="EP86" i="10"/>
  <c r="EP162" i="10"/>
  <c r="EP226" i="10"/>
  <c r="EP292" i="10"/>
  <c r="EP360" i="10"/>
  <c r="EO61" i="10"/>
  <c r="EO115" i="10"/>
  <c r="EO177" i="10"/>
  <c r="EO229" i="10"/>
  <c r="EO287" i="10"/>
  <c r="EO349" i="10"/>
  <c r="EO401" i="10"/>
  <c r="EO457" i="10"/>
  <c r="EO517" i="10"/>
  <c r="EO573" i="10"/>
  <c r="EO28" i="10"/>
  <c r="EO72" i="10"/>
  <c r="EO112" i="10"/>
  <c r="EO156" i="10"/>
  <c r="EO200" i="10"/>
  <c r="EO240" i="10"/>
  <c r="EO284" i="10"/>
  <c r="EO328" i="10"/>
  <c r="EO362" i="10"/>
  <c r="EO392" i="10"/>
  <c r="EO412" i="10"/>
  <c r="EO432" i="10"/>
  <c r="EO456" i="10"/>
  <c r="EP571" i="10"/>
  <c r="EP557" i="10"/>
  <c r="EP470" i="10"/>
  <c r="EP311" i="10"/>
  <c r="EO586" i="10"/>
  <c r="EO498" i="10"/>
  <c r="EP349" i="10"/>
  <c r="EP93" i="10"/>
  <c r="EP529" i="10"/>
  <c r="EP428" i="10"/>
  <c r="EP219" i="10"/>
  <c r="EP34" i="10"/>
  <c r="EP98" i="10"/>
  <c r="EP164" i="10"/>
  <c r="EP240" i="10"/>
  <c r="EP304" i="10"/>
  <c r="EP364" i="10"/>
  <c r="EO69" i="10"/>
  <c r="EO125" i="10"/>
  <c r="EO179" i="10"/>
  <c r="EO241" i="10"/>
  <c r="EO293" i="10"/>
  <c r="EO351" i="10"/>
  <c r="EO413" i="10"/>
  <c r="EO465" i="10"/>
  <c r="EO521" i="10"/>
  <c r="EO581" i="10"/>
  <c r="EO30" i="10"/>
  <c r="EO74" i="10"/>
  <c r="EO116" i="10"/>
  <c r="EO158" i="10"/>
  <c r="EO202" i="10"/>
  <c r="EO244" i="10"/>
  <c r="EO286" i="10"/>
  <c r="EO330" i="10"/>
  <c r="EO368" i="10"/>
  <c r="EO394" i="10"/>
  <c r="EO414" i="10"/>
  <c r="EO436" i="10"/>
  <c r="EO458" i="10"/>
  <c r="EP395" i="10"/>
  <c r="EP554" i="10"/>
  <c r="EP442" i="10"/>
  <c r="EP263" i="10"/>
  <c r="EP567" i="10"/>
  <c r="EO482" i="10"/>
  <c r="EP341" i="10"/>
  <c r="EP37" i="10"/>
  <c r="EO524" i="10"/>
  <c r="EP408" i="10"/>
  <c r="EP195" i="10"/>
  <c r="EP36" i="10"/>
  <c r="EP112" i="10"/>
  <c r="EP176" i="10"/>
  <c r="EP242" i="10"/>
  <c r="EP316" i="10"/>
  <c r="EO17" i="10"/>
  <c r="EO73" i="10"/>
  <c r="EO133" i="10"/>
  <c r="EO189" i="10"/>
  <c r="EO243" i="10"/>
  <c r="EO305" i="10"/>
  <c r="EO357" i="10"/>
  <c r="EO415" i="10"/>
  <c r="EO477" i="10"/>
  <c r="EO529" i="10"/>
  <c r="EO585" i="10"/>
  <c r="EO36" i="10"/>
  <c r="EO78" i="10"/>
  <c r="EO122" i="10"/>
  <c r="EO164" i="10"/>
  <c r="EO206" i="10"/>
  <c r="EO250" i="10"/>
  <c r="EO292" i="10"/>
  <c r="EO334" i="10"/>
  <c r="EO372" i="10"/>
  <c r="EO396" i="10"/>
  <c r="EO416" i="10"/>
  <c r="EO440" i="10"/>
  <c r="EO460" i="10"/>
  <c r="AB67" i="10"/>
  <c r="AA419" i="10"/>
  <c r="AB10" i="10"/>
  <c r="AB139" i="10"/>
  <c r="AA372" i="10"/>
  <c r="AB127" i="10"/>
  <c r="AB342" i="10"/>
  <c r="AA584" i="10"/>
  <c r="AB516" i="10"/>
  <c r="AA298" i="10"/>
  <c r="AA544" i="10"/>
  <c r="AB476" i="10"/>
  <c r="AA78" i="10"/>
  <c r="AA353" i="10"/>
  <c r="AB577" i="10"/>
  <c r="AB256" i="10"/>
  <c r="AB54" i="10"/>
  <c r="AB183" i="10"/>
  <c r="AA407" i="10"/>
  <c r="AA585" i="10"/>
  <c r="AB458" i="10"/>
  <c r="AA494" i="10"/>
  <c r="AA19" i="10"/>
  <c r="AA434" i="10"/>
  <c r="AA217" i="10"/>
  <c r="AB477" i="10"/>
  <c r="AB358" i="10"/>
  <c r="AB154" i="10"/>
  <c r="AB351" i="10"/>
  <c r="AA77" i="10"/>
  <c r="AB157" i="10"/>
  <c r="AA442" i="10"/>
  <c r="AA199" i="10"/>
  <c r="AA340" i="10"/>
  <c r="AB494" i="10"/>
  <c r="AA54" i="10"/>
  <c r="AB323" i="10"/>
  <c r="AB557" i="10"/>
  <c r="AB278" i="10"/>
  <c r="AB74" i="10"/>
  <c r="AA245" i="10"/>
  <c r="AA80" i="10"/>
  <c r="AB540" i="10"/>
  <c r="AA167" i="10"/>
  <c r="AA555" i="10"/>
  <c r="AA127" i="10"/>
  <c r="AA554" i="10"/>
  <c r="AA190" i="10"/>
  <c r="AB459" i="10"/>
  <c r="AB378" i="10"/>
  <c r="AB172" i="10"/>
  <c r="AB375" i="10"/>
  <c r="AA106" i="10"/>
  <c r="AB580" i="10"/>
  <c r="AB474" i="10"/>
  <c r="AA263" i="10"/>
  <c r="AA388" i="10"/>
  <c r="AB429" i="10"/>
  <c r="AB59" i="10"/>
  <c r="AA334" i="10"/>
  <c r="AB567" i="10"/>
  <c r="AB270" i="10"/>
  <c r="AB64" i="10"/>
  <c r="AB239" i="10"/>
  <c r="AA307" i="10"/>
  <c r="AA559" i="10"/>
  <c r="AB53" i="10"/>
  <c r="AB512" i="10"/>
  <c r="AB41" i="10"/>
  <c r="AA40" i="10"/>
  <c r="AB203" i="10"/>
  <c r="AB465" i="10"/>
  <c r="AB368" i="10"/>
  <c r="AB166" i="10"/>
  <c r="AA370" i="10"/>
  <c r="AB95" i="10"/>
  <c r="AA87" i="10"/>
  <c r="AA464" i="10"/>
  <c r="AA248" i="10"/>
  <c r="AB377" i="10"/>
  <c r="AA461" i="10"/>
  <c r="AA506" i="10"/>
  <c r="AB275" i="10"/>
  <c r="AB523" i="10"/>
  <c r="AB336" i="10"/>
  <c r="AB134" i="10"/>
  <c r="AB327" i="10"/>
  <c r="AA53" i="10"/>
  <c r="AA115" i="10"/>
  <c r="AA450" i="10"/>
  <c r="AB213" i="10"/>
  <c r="AB361" i="10"/>
  <c r="AB470" i="10"/>
  <c r="AA22" i="10"/>
  <c r="AA193" i="10"/>
  <c r="AB363" i="10"/>
  <c r="AB511" i="10"/>
  <c r="AB408" i="10"/>
  <c r="AB280" i="10"/>
  <c r="AB152" i="10"/>
  <c r="AB24" i="10"/>
  <c r="AB279" i="10"/>
  <c r="AA109" i="10"/>
  <c r="AB441" i="10"/>
  <c r="AA371" i="10"/>
  <c r="AA496" i="10"/>
  <c r="AA103" i="10"/>
  <c r="AA128" i="10"/>
  <c r="AB464" i="10"/>
  <c r="AB153" i="10"/>
  <c r="AA476" i="10"/>
  <c r="AA211" i="10"/>
  <c r="AB91" i="10"/>
  <c r="AA262" i="10"/>
  <c r="AA433" i="10"/>
  <c r="AB563" i="10"/>
  <c r="AB356" i="10"/>
  <c r="AB228" i="10"/>
  <c r="AB100" i="10"/>
  <c r="AA381" i="10"/>
  <c r="AA210" i="10"/>
  <c r="AB39" i="10"/>
  <c r="AA533" i="10"/>
  <c r="AA545" i="10"/>
  <c r="AA428" i="10"/>
  <c r="AB444" i="10"/>
  <c r="AA587" i="10"/>
  <c r="AA399" i="10"/>
  <c r="AB57" i="10"/>
  <c r="AA561" i="10"/>
  <c r="AA168" i="10"/>
  <c r="AA158" i="10"/>
  <c r="AA329" i="10"/>
  <c r="AB485" i="10"/>
  <c r="AB434" i="10"/>
  <c r="AB306" i="10"/>
  <c r="AB178" i="10"/>
  <c r="AB50" i="10"/>
  <c r="AA314" i="10"/>
  <c r="AB143" i="10"/>
  <c r="AA151" i="10"/>
  <c r="AA187" i="10"/>
  <c r="AB570" i="10"/>
  <c r="AA252" i="10"/>
  <c r="AB277" i="10"/>
  <c r="AB520" i="10"/>
  <c r="AB265" i="10"/>
  <c r="AA232" i="10"/>
  <c r="AB548" i="10"/>
  <c r="EU9" i="10"/>
  <c r="ES9" i="10" s="1"/>
  <c r="FC8" i="10"/>
  <c r="FA8" i="10" s="1"/>
  <c r="E29" i="15"/>
  <c r="EU18" i="10"/>
  <c r="ES18" i="10" s="1"/>
  <c r="AB339" i="10"/>
  <c r="AA470" i="10"/>
  <c r="AA197" i="10"/>
  <c r="AA409" i="10"/>
  <c r="AA466" i="10"/>
  <c r="AA272" i="10"/>
  <c r="AB138" i="10"/>
  <c r="AA238" i="10"/>
  <c r="AB209" i="10"/>
  <c r="AA26" i="10"/>
  <c r="AB582" i="10"/>
  <c r="AA591" i="10"/>
  <c r="AA110" i="10"/>
  <c r="AA382" i="10"/>
  <c r="AB438" i="10"/>
  <c r="AB234" i="10"/>
  <c r="AB28" i="10"/>
  <c r="AA154" i="10"/>
  <c r="AB490" i="10"/>
  <c r="AA535" i="10"/>
  <c r="AA384" i="10"/>
  <c r="AA462" i="10"/>
  <c r="AA176" i="10"/>
  <c r="AA339" i="10"/>
  <c r="AB251" i="10"/>
  <c r="AB505" i="10"/>
  <c r="AB332" i="10"/>
  <c r="AB126" i="10"/>
  <c r="AB319" i="10"/>
  <c r="AB47" i="10"/>
  <c r="AA343" i="10"/>
  <c r="AA352" i="10"/>
  <c r="AA99" i="10"/>
  <c r="AA276" i="10"/>
  <c r="AB546" i="10"/>
  <c r="AB83" i="10"/>
  <c r="AA358" i="10"/>
  <c r="AB585" i="10"/>
  <c r="AB252" i="10"/>
  <c r="AB46" i="10"/>
  <c r="AA213" i="10"/>
  <c r="AA279" i="10"/>
  <c r="AB598" i="10"/>
  <c r="AA67" i="10"/>
  <c r="AA518" i="10"/>
  <c r="AA63" i="10"/>
  <c r="AB482" i="10"/>
  <c r="AB227" i="10"/>
  <c r="AB487" i="10"/>
  <c r="AB350" i="10"/>
  <c r="AB144" i="10"/>
  <c r="AA346" i="10"/>
  <c r="AB71" i="10"/>
  <c r="AA16" i="10"/>
  <c r="AA416" i="10"/>
  <c r="AB177" i="10"/>
  <c r="AB329" i="10"/>
  <c r="AA504" i="10"/>
  <c r="AA97" i="10"/>
  <c r="AA366" i="10"/>
  <c r="AB589" i="10"/>
  <c r="AB246" i="10"/>
  <c r="AB42" i="10"/>
  <c r="AA202" i="10"/>
  <c r="AB466" i="10"/>
  <c r="AA560" i="10"/>
  <c r="AA431" i="10"/>
  <c r="AA475" i="10"/>
  <c r="AA91" i="10"/>
  <c r="AA540" i="10"/>
  <c r="AA233" i="10"/>
  <c r="AB491" i="10"/>
  <c r="AB346" i="10"/>
  <c r="AB140" i="10"/>
  <c r="AA333" i="10"/>
  <c r="AB63" i="10"/>
  <c r="AA243" i="10"/>
  <c r="AB401" i="10"/>
  <c r="AB149" i="10"/>
  <c r="AA303" i="10"/>
  <c r="AB518" i="10"/>
  <c r="AA38" i="10"/>
  <c r="AA313" i="10"/>
  <c r="AB551" i="10"/>
  <c r="AB314" i="10"/>
  <c r="AB108" i="10"/>
  <c r="AA290" i="10"/>
  <c r="AA21" i="10"/>
  <c r="AA315" i="10"/>
  <c r="AA380" i="10"/>
  <c r="AA135" i="10"/>
  <c r="AA292" i="10"/>
  <c r="AA537" i="10"/>
  <c r="AB43" i="10"/>
  <c r="AA214" i="10"/>
  <c r="AA385" i="10"/>
  <c r="AB527" i="10"/>
  <c r="AB392" i="10"/>
  <c r="AB264" i="10"/>
  <c r="AB136" i="10"/>
  <c r="AB8" i="10"/>
  <c r="AA258" i="10"/>
  <c r="AB87" i="10"/>
  <c r="AB486" i="10"/>
  <c r="AA460" i="10"/>
  <c r="AA468" i="10"/>
  <c r="AB45" i="10"/>
  <c r="AA71" i="10"/>
  <c r="AA443" i="10"/>
  <c r="AA111" i="10"/>
  <c r="AA513" i="10"/>
  <c r="AA520" i="10"/>
  <c r="AA113" i="10"/>
  <c r="AB283" i="10"/>
  <c r="AB451" i="10"/>
  <c r="AB579" i="10"/>
  <c r="AB340" i="10"/>
  <c r="AB212" i="10"/>
  <c r="AB84" i="10"/>
  <c r="AB359" i="10"/>
  <c r="AA189" i="10"/>
  <c r="AA18" i="10"/>
  <c r="AA572" i="10"/>
  <c r="AA583" i="10"/>
  <c r="AB373" i="10"/>
  <c r="AB397" i="10"/>
  <c r="AA566" i="10"/>
  <c r="AA356" i="10"/>
  <c r="AA15" i="10"/>
  <c r="AA596" i="10"/>
  <c r="AA9" i="10"/>
  <c r="AB179" i="10"/>
  <c r="AA350" i="10"/>
  <c r="AB501" i="10"/>
  <c r="AB418" i="10"/>
  <c r="AB290" i="10"/>
  <c r="AB162" i="10"/>
  <c r="AB34" i="10"/>
  <c r="AA293" i="10"/>
  <c r="AA122" i="10"/>
  <c r="AA264" i="10"/>
  <c r="AA300" i="10"/>
  <c r="AB542" i="10"/>
  <c r="AA195" i="10"/>
  <c r="AA220" i="10"/>
  <c r="AA499" i="10"/>
  <c r="AA223" i="10"/>
  <c r="AA347" i="10"/>
  <c r="AA311" i="10"/>
  <c r="EU32" i="10"/>
  <c r="ES32" i="10" s="1"/>
  <c r="FC7" i="10"/>
  <c r="FA7" i="10" s="1"/>
  <c r="EU14" i="10"/>
  <c r="ES14" i="10" s="1"/>
  <c r="FC19" i="10"/>
  <c r="FA19" i="10" s="1"/>
  <c r="AQ4" i="10"/>
  <c r="AR4" i="10"/>
  <c r="EU13" i="10"/>
  <c r="ES13" i="10" s="1"/>
  <c r="AE7" i="10"/>
  <c r="AE36" i="10"/>
  <c r="AB571" i="10"/>
  <c r="AA147" i="10"/>
  <c r="AA593" i="10"/>
  <c r="AB394" i="10"/>
  <c r="AA155" i="10"/>
  <c r="AA395" i="10"/>
  <c r="AB367" i="10"/>
  <c r="AB493" i="10"/>
  <c r="AA574" i="10"/>
  <c r="AB349" i="10"/>
  <c r="AB35" i="10"/>
  <c r="AB17" i="10"/>
  <c r="AA145" i="10"/>
  <c r="AB419" i="10"/>
  <c r="AB412" i="10"/>
  <c r="AB206" i="10"/>
  <c r="AB391" i="10"/>
  <c r="AA117" i="10"/>
  <c r="AA552" i="10"/>
  <c r="AB492" i="10"/>
  <c r="AB305" i="10"/>
  <c r="AA420" i="10"/>
  <c r="AA375" i="10"/>
  <c r="AA14" i="10"/>
  <c r="AA289" i="10"/>
  <c r="AB529" i="10"/>
  <c r="AB304" i="10"/>
  <c r="AB102" i="10"/>
  <c r="AA285" i="10"/>
  <c r="AA10" i="10"/>
  <c r="AA479" i="10"/>
  <c r="AA267" i="10"/>
  <c r="AB21" i="10"/>
  <c r="AA207" i="10"/>
  <c r="AA511" i="10"/>
  <c r="AA121" i="10"/>
  <c r="AB395" i="10"/>
  <c r="AB430" i="10"/>
  <c r="AB224" i="10"/>
  <c r="AB22" i="10"/>
  <c r="AA178" i="10"/>
  <c r="AB431" i="10"/>
  <c r="AA567" i="10"/>
  <c r="AA448" i="10"/>
  <c r="AB488" i="10"/>
  <c r="AA48" i="10"/>
  <c r="AB562" i="10"/>
  <c r="AB259" i="10"/>
  <c r="AB509" i="10"/>
  <c r="AB326" i="10"/>
  <c r="AB122" i="10"/>
  <c r="AA309" i="10"/>
  <c r="AA34" i="10"/>
  <c r="AA215" i="10"/>
  <c r="AB337" i="10"/>
  <c r="AB85" i="10"/>
  <c r="AA255" i="10"/>
  <c r="AA570" i="10"/>
  <c r="AA126" i="10"/>
  <c r="AA401" i="10"/>
  <c r="AB426" i="10"/>
  <c r="AB220" i="10"/>
  <c r="AB14" i="10"/>
  <c r="AA170" i="10"/>
  <c r="AA519" i="10"/>
  <c r="AB510" i="10"/>
  <c r="AA348" i="10"/>
  <c r="AA446" i="10"/>
  <c r="AA275" i="10"/>
  <c r="AA55" i="10"/>
  <c r="AA270" i="10"/>
  <c r="AB519" i="10"/>
  <c r="AB318" i="10"/>
  <c r="AB112" i="10"/>
  <c r="AB303" i="10"/>
  <c r="AA29" i="10"/>
  <c r="AA437" i="10"/>
  <c r="AB301" i="10"/>
  <c r="AA64" i="10"/>
  <c r="AA244" i="10"/>
  <c r="AA580" i="10"/>
  <c r="AB75" i="10"/>
  <c r="AA345" i="10"/>
  <c r="AB573" i="10"/>
  <c r="AB286" i="10"/>
  <c r="AB80" i="10"/>
  <c r="AA261" i="10"/>
  <c r="AA8" i="10"/>
  <c r="AB452" i="10"/>
  <c r="AA288" i="10"/>
  <c r="AA35" i="10"/>
  <c r="AB217" i="10"/>
  <c r="AB592" i="10"/>
  <c r="AA65" i="10"/>
  <c r="AB235" i="10"/>
  <c r="AA406" i="10"/>
  <c r="AB543" i="10"/>
  <c r="AB376" i="10"/>
  <c r="AB248" i="10"/>
  <c r="AB120" i="10"/>
  <c r="AB407" i="10"/>
  <c r="AA237" i="10"/>
  <c r="AA66" i="10"/>
  <c r="AA524" i="10"/>
  <c r="AA498" i="10"/>
  <c r="AB437" i="10"/>
  <c r="AA452" i="10"/>
  <c r="AB13" i="10"/>
  <c r="AB409" i="10"/>
  <c r="AA68" i="10"/>
  <c r="AA551" i="10"/>
  <c r="AB468" i="10"/>
  <c r="AA134" i="10"/>
  <c r="AA305" i="10"/>
  <c r="AB467" i="10"/>
  <c r="AB595" i="10"/>
  <c r="AB324" i="10"/>
  <c r="AB196" i="10"/>
  <c r="AB68" i="10"/>
  <c r="AA338" i="10"/>
  <c r="AB167" i="10"/>
  <c r="AA23" i="10"/>
  <c r="AA59" i="10"/>
  <c r="AA599" i="10"/>
  <c r="AA316" i="10"/>
  <c r="AB341" i="10"/>
  <c r="AB544" i="10"/>
  <c r="AB313" i="10"/>
  <c r="AA104" i="10"/>
  <c r="AA240" i="10"/>
  <c r="AA30" i="10"/>
  <c r="AA201" i="10"/>
  <c r="AB371" i="10"/>
  <c r="AB517" i="10"/>
  <c r="AB402" i="10"/>
  <c r="AB274" i="10"/>
  <c r="AB146" i="10"/>
  <c r="AB18" i="10"/>
  <c r="AB271" i="10"/>
  <c r="AA101" i="10"/>
  <c r="AA379" i="10"/>
  <c r="AB413" i="10"/>
  <c r="AA514" i="10"/>
  <c r="AA139" i="10"/>
  <c r="AA163" i="10"/>
  <c r="AA478" i="10"/>
  <c r="AA180" i="10"/>
  <c r="AA447" i="10"/>
  <c r="AA368" i="10"/>
  <c r="EU45" i="10"/>
  <c r="ES45" i="10" s="1"/>
  <c r="EU19" i="10"/>
  <c r="ES19" i="10" s="1"/>
  <c r="EU41" i="10"/>
  <c r="ES41" i="10" s="1"/>
  <c r="EU24" i="10"/>
  <c r="ES24" i="10" s="1"/>
  <c r="AB238" i="10"/>
  <c r="AA102" i="10"/>
  <c r="AA503" i="10"/>
  <c r="AB188" i="10"/>
  <c r="AA169" i="10"/>
  <c r="AB141" i="10"/>
  <c r="AA93" i="10"/>
  <c r="AB316" i="10"/>
  <c r="AA164" i="10"/>
  <c r="AA569" i="10"/>
  <c r="AA310" i="10"/>
  <c r="AB504" i="10"/>
  <c r="AA182" i="10"/>
  <c r="AB449" i="10"/>
  <c r="AB384" i="10"/>
  <c r="AB182" i="10"/>
  <c r="AA354" i="10"/>
  <c r="AA85" i="10"/>
  <c r="AB129" i="10"/>
  <c r="AB446" i="10"/>
  <c r="AB205" i="10"/>
  <c r="AB345" i="10"/>
  <c r="AA480" i="10"/>
  <c r="AA46" i="10"/>
  <c r="AA318" i="10"/>
  <c r="AB555" i="10"/>
  <c r="AB282" i="10"/>
  <c r="AB76" i="10"/>
  <c r="AB247" i="10"/>
  <c r="AB65" i="10"/>
  <c r="AB530" i="10"/>
  <c r="AB173" i="10"/>
  <c r="AA558" i="10"/>
  <c r="AA132" i="10"/>
  <c r="AA516" i="10"/>
  <c r="AA153" i="10"/>
  <c r="AA425" i="10"/>
  <c r="AB406" i="10"/>
  <c r="AB202" i="10"/>
  <c r="AB415" i="10"/>
  <c r="AA141" i="10"/>
  <c r="AA509" i="10"/>
  <c r="AA528" i="10"/>
  <c r="AB369" i="10"/>
  <c r="AA451" i="10"/>
  <c r="AA247" i="10"/>
  <c r="AB19" i="10"/>
  <c r="AA294" i="10"/>
  <c r="AB537" i="10"/>
  <c r="AB300" i="10"/>
  <c r="AB94" i="10"/>
  <c r="AA277" i="10"/>
  <c r="AA5" i="10"/>
  <c r="AB385" i="10"/>
  <c r="AB237" i="10"/>
  <c r="AA582" i="10"/>
  <c r="AA191" i="10"/>
  <c r="AB69" i="10"/>
  <c r="AB163" i="10"/>
  <c r="AA438" i="10"/>
  <c r="AB398" i="10"/>
  <c r="AB192" i="10"/>
  <c r="AA410" i="10"/>
  <c r="AB135" i="10"/>
  <c r="AA586" i="10"/>
  <c r="AA471" i="10"/>
  <c r="AA256" i="10"/>
  <c r="AA383" i="10"/>
  <c r="AB454" i="10"/>
  <c r="AA33" i="10"/>
  <c r="AA302" i="10"/>
  <c r="AB541" i="10"/>
  <c r="AB294" i="10"/>
  <c r="AB90" i="10"/>
  <c r="AA266" i="10"/>
  <c r="AB165" i="10"/>
  <c r="AB502" i="10"/>
  <c r="AA224" i="10"/>
  <c r="AB576" i="10"/>
  <c r="AB169" i="10"/>
  <c r="AB353" i="10"/>
  <c r="AA105" i="10"/>
  <c r="AB379" i="10"/>
  <c r="AA4" i="10"/>
  <c r="AB262" i="10"/>
  <c r="AB58" i="10"/>
  <c r="AB223" i="10"/>
  <c r="AB193" i="10"/>
  <c r="AA522" i="10"/>
  <c r="AA188" i="10"/>
  <c r="AB568" i="10"/>
  <c r="AA159" i="10"/>
  <c r="AB450" i="10"/>
  <c r="AA86" i="10"/>
  <c r="AA257" i="10"/>
  <c r="AB427" i="10"/>
  <c r="AB559" i="10"/>
  <c r="AB360" i="10"/>
  <c r="AB232" i="10"/>
  <c r="AB104" i="10"/>
  <c r="AA386" i="10"/>
  <c r="AB215" i="10"/>
  <c r="AA45" i="10"/>
  <c r="AA562" i="10"/>
  <c r="AA536" i="10"/>
  <c r="AA387" i="10"/>
  <c r="AA412" i="10"/>
  <c r="AA571" i="10"/>
  <c r="AA367" i="10"/>
  <c r="AB25" i="10"/>
  <c r="AA589" i="10"/>
  <c r="AA12" i="10"/>
  <c r="AB155" i="10"/>
  <c r="AA326" i="10"/>
  <c r="AB483" i="10"/>
  <c r="AB436" i="10"/>
  <c r="AB308" i="10"/>
  <c r="AB180" i="10"/>
  <c r="AB52" i="10"/>
  <c r="AA317" i="10"/>
  <c r="AA146" i="10"/>
  <c r="AA136" i="10"/>
  <c r="AA172" i="10"/>
  <c r="AB574" i="10"/>
  <c r="AA259" i="10"/>
  <c r="AA284" i="10"/>
  <c r="AA523" i="10"/>
  <c r="AA271" i="10"/>
  <c r="AA219" i="10"/>
  <c r="AA530" i="10"/>
  <c r="AB51" i="10"/>
  <c r="AA222" i="10"/>
  <c r="AA393" i="10"/>
  <c r="AB533" i="10"/>
  <c r="AB386" i="10"/>
  <c r="AB258" i="10"/>
  <c r="AB130" i="10"/>
  <c r="AA421" i="10"/>
  <c r="AA250" i="10"/>
  <c r="AB79" i="10"/>
  <c r="AB462" i="10"/>
  <c r="AA474" i="10"/>
  <c r="AA485" i="10"/>
  <c r="AB81" i="10"/>
  <c r="AA107" i="10"/>
  <c r="AB456" i="10"/>
  <c r="AB137" i="10"/>
  <c r="AA490" i="10"/>
  <c r="AB381" i="10"/>
  <c r="FC14" i="10"/>
  <c r="FA14" i="10" s="1"/>
  <c r="EU5" i="10"/>
  <c r="ES5" i="10" s="1"/>
  <c r="EU36" i="10"/>
  <c r="ES36" i="10" s="1"/>
  <c r="AB225" i="10"/>
  <c r="AB32" i="10"/>
  <c r="AA377" i="10"/>
  <c r="AA320" i="10"/>
  <c r="AB159" i="10"/>
  <c r="AB443" i="10"/>
  <c r="AB297" i="10"/>
  <c r="AA445" i="10"/>
  <c r="AB110" i="10"/>
  <c r="AA273" i="10"/>
  <c r="AB117" i="10"/>
  <c r="AB545" i="10"/>
  <c r="AA31" i="10"/>
  <c r="AB211" i="10"/>
  <c r="AB475" i="10"/>
  <c r="AB362" i="10"/>
  <c r="AB156" i="10"/>
  <c r="AA325" i="10"/>
  <c r="AA50" i="10"/>
  <c r="AA328" i="10"/>
  <c r="AA359" i="10"/>
  <c r="AA120" i="10"/>
  <c r="AA287" i="10"/>
  <c r="AA541" i="10"/>
  <c r="AA81" i="10"/>
  <c r="AB355" i="10"/>
  <c r="AB583" i="10"/>
  <c r="AB254" i="10"/>
  <c r="AB48" i="10"/>
  <c r="AA218" i="10"/>
  <c r="AA236" i="10"/>
  <c r="AA595" i="10"/>
  <c r="AA75" i="10"/>
  <c r="AA526" i="10"/>
  <c r="AB73" i="10"/>
  <c r="AB572" i="10"/>
  <c r="AB187" i="10"/>
  <c r="AB457" i="10"/>
  <c r="AB380" i="10"/>
  <c r="AB174" i="10"/>
  <c r="AB383" i="10"/>
  <c r="AB111" i="10"/>
  <c r="AB566" i="10"/>
  <c r="AB478" i="10"/>
  <c r="AB269" i="10"/>
  <c r="AA404" i="10"/>
  <c r="AA403" i="10"/>
  <c r="AA57" i="10"/>
  <c r="AB331" i="10"/>
  <c r="AB561" i="10"/>
  <c r="AB272" i="10"/>
  <c r="AB70" i="10"/>
  <c r="AA242" i="10"/>
  <c r="AB93" i="10"/>
  <c r="AA488" i="10"/>
  <c r="AA152" i="10"/>
  <c r="AB552" i="10"/>
  <c r="AB121" i="10"/>
  <c r="AB586" i="10"/>
  <c r="AB195" i="10"/>
  <c r="AB461" i="10"/>
  <c r="AB374" i="10"/>
  <c r="AB170" i="10"/>
  <c r="AA373" i="10"/>
  <c r="AA98" i="10"/>
  <c r="AA44" i="10"/>
  <c r="AA408" i="10"/>
  <c r="AA156" i="10"/>
  <c r="AA319" i="10"/>
  <c r="AB508" i="10"/>
  <c r="AA62" i="10"/>
  <c r="AA337" i="10"/>
  <c r="AB569" i="10"/>
  <c r="AB268" i="10"/>
  <c r="AB62" i="10"/>
  <c r="AA234" i="10"/>
  <c r="AB321" i="10"/>
  <c r="AB564" i="10"/>
  <c r="AA124" i="10"/>
  <c r="AA539" i="10"/>
  <c r="AB105" i="10"/>
  <c r="AA27" i="10"/>
  <c r="AA142" i="10"/>
  <c r="AA417" i="10"/>
  <c r="AB442" i="10"/>
  <c r="AB236" i="10"/>
  <c r="AB30" i="10"/>
  <c r="AB191" i="10"/>
  <c r="AA392" i="10"/>
  <c r="AB578" i="10"/>
  <c r="AB109" i="10"/>
  <c r="AA534" i="10"/>
  <c r="AA84" i="10"/>
  <c r="AA424" i="10"/>
  <c r="AB107" i="10"/>
  <c r="AA278" i="10"/>
  <c r="AB447" i="10"/>
  <c r="AB575" i="10"/>
  <c r="AB344" i="10"/>
  <c r="AB216" i="10"/>
  <c r="AB88" i="10"/>
  <c r="AA365" i="10"/>
  <c r="AA194" i="10"/>
  <c r="AB23" i="10"/>
  <c r="AA597" i="10"/>
  <c r="AA573" i="10"/>
  <c r="AA331" i="10"/>
  <c r="AA355" i="10"/>
  <c r="AA550" i="10"/>
  <c r="AA324" i="10"/>
  <c r="AA76" i="10"/>
  <c r="AB125" i="10"/>
  <c r="AA6" i="10"/>
  <c r="AA177" i="10"/>
  <c r="AB347" i="10"/>
  <c r="AB499" i="10"/>
  <c r="AB420" i="10"/>
  <c r="AB292" i="10"/>
  <c r="AB164" i="10"/>
  <c r="AB36" i="10"/>
  <c r="AB295" i="10"/>
  <c r="AA125" i="10"/>
  <c r="AA251" i="10"/>
  <c r="AB285" i="10"/>
  <c r="AA546" i="10"/>
  <c r="AA203" i="10"/>
  <c r="AA227" i="10"/>
  <c r="AA502" i="10"/>
  <c r="AA228" i="10"/>
  <c r="AA332" i="10"/>
  <c r="AB197" i="10"/>
  <c r="AA73" i="10"/>
  <c r="AB243" i="10"/>
  <c r="AA414" i="10"/>
  <c r="AB549" i="10"/>
  <c r="AB370" i="10"/>
  <c r="AB242" i="10"/>
  <c r="AB114" i="10"/>
  <c r="AB399" i="10"/>
  <c r="AA229" i="10"/>
  <c r="AA58" i="10"/>
  <c r="AB500" i="10"/>
  <c r="AA512" i="10"/>
  <c r="AA457" i="10"/>
  <c r="AA24" i="10"/>
  <c r="AB49" i="10"/>
  <c r="AA432" i="10"/>
  <c r="AA95" i="10"/>
  <c r="AA527" i="10"/>
  <c r="CV6" i="10"/>
  <c r="CT6" i="10" s="1"/>
  <c r="CV7" i="10"/>
  <c r="CT7" i="10" s="1"/>
  <c r="CV17" i="10"/>
  <c r="CT17" i="10" s="1"/>
  <c r="CV11" i="10"/>
  <c r="CT11" i="10" s="1"/>
  <c r="CV12" i="10"/>
  <c r="CT12" i="10" s="1"/>
  <c r="CV10" i="10"/>
  <c r="CT10" i="10" s="1"/>
  <c r="CV9" i="10"/>
  <c r="CT9" i="10" s="1"/>
  <c r="CV14" i="10"/>
  <c r="CT14" i="10" s="1"/>
  <c r="CV19" i="10"/>
  <c r="CT19" i="10" s="1"/>
  <c r="CV5" i="10"/>
  <c r="CT5" i="10" s="1"/>
  <c r="CV16" i="10"/>
  <c r="CT16" i="10" s="1"/>
  <c r="CV15" i="10"/>
  <c r="CT15" i="10" s="1"/>
  <c r="CV13" i="10"/>
  <c r="CT13" i="10" s="1"/>
  <c r="CV4" i="10"/>
  <c r="CT4" i="10" s="1"/>
  <c r="CV8" i="10"/>
  <c r="CT8" i="10" s="1"/>
  <c r="CV18" i="10"/>
  <c r="CT18" i="10" s="1"/>
  <c r="AR5" i="10" l="1"/>
  <c r="AQ7" i="10"/>
  <c r="AR16" i="10"/>
  <c r="AR8" i="10"/>
  <c r="AQ15" i="10"/>
  <c r="AR19" i="10"/>
  <c r="AQ11" i="10"/>
  <c r="AQ6" i="10"/>
  <c r="AR7" i="10"/>
  <c r="AR17" i="10"/>
  <c r="AQ14" i="10"/>
  <c r="AR15" i="10"/>
  <c r="AQ13" i="10"/>
  <c r="AQ19" i="10"/>
  <c r="AR11" i="10"/>
  <c r="AR18" i="10"/>
  <c r="N90" i="11" s="1" a="1"/>
  <c r="N90" i="11" s="1"/>
  <c r="AR10" i="10"/>
  <c r="AQ5" i="10"/>
  <c r="AR12" i="10"/>
  <c r="AQ17" i="10"/>
  <c r="AQ10" i="10"/>
  <c r="AR6" i="10"/>
  <c r="AQ9" i="10"/>
  <c r="AQ16" i="10"/>
  <c r="AQ18" i="10"/>
  <c r="AR13" i="10"/>
  <c r="AQ8" i="10"/>
  <c r="AQ12" i="10"/>
  <c r="AR14" i="10"/>
  <c r="AR9" i="10"/>
  <c r="AJ61" i="10"/>
  <c r="EW29" i="10"/>
  <c r="EX13" i="10"/>
  <c r="EX57" i="10"/>
  <c r="EW39" i="10"/>
  <c r="EX26" i="10"/>
  <c r="EW12" i="10"/>
  <c r="EW37" i="10"/>
  <c r="EW57" i="10"/>
  <c r="EX19" i="10"/>
  <c r="EX39" i="10"/>
  <c r="EX40" i="10"/>
  <c r="EW35" i="10"/>
  <c r="EX20" i="10"/>
  <c r="EW15" i="10"/>
  <c r="EX18" i="10"/>
  <c r="EW13" i="10"/>
  <c r="C94" i="15" a="1"/>
  <c r="C94" i="15" s="1"/>
  <c r="F94" i="15" s="1"/>
  <c r="C89" i="15" a="1"/>
  <c r="C89" i="15" s="1"/>
  <c r="F89" i="15" s="1"/>
  <c r="C88" i="15" a="1"/>
  <c r="C88" i="15" s="1"/>
  <c r="F88" i="15" s="1"/>
  <c r="C91" i="15" a="1"/>
  <c r="C91" i="15" s="1"/>
  <c r="F91" i="15" s="1"/>
  <c r="C92" i="15" a="1"/>
  <c r="C92" i="15" s="1"/>
  <c r="F92" i="15" s="1"/>
  <c r="C95" i="15" a="1"/>
  <c r="C95" i="15" s="1"/>
  <c r="F95" i="15" s="1"/>
  <c r="C86" i="15"/>
  <c r="F86" i="15" s="1"/>
  <c r="C93" i="15" a="1"/>
  <c r="C93" i="15" s="1"/>
  <c r="F93" i="15" s="1"/>
  <c r="C87" i="15" a="1"/>
  <c r="C87" i="15" s="1"/>
  <c r="F87" i="15" s="1"/>
  <c r="C90" i="15" a="1"/>
  <c r="C90" i="15" s="1"/>
  <c r="F90" i="15" s="1"/>
  <c r="AI51" i="10"/>
  <c r="AJ31" i="10"/>
  <c r="AI12" i="10"/>
  <c r="AJ10" i="10"/>
  <c r="AJ52" i="10"/>
  <c r="AI41" i="10"/>
  <c r="AI33" i="10"/>
  <c r="AI37" i="10"/>
  <c r="AJ53" i="10"/>
  <c r="AJ56" i="10"/>
  <c r="AJ22" i="10"/>
  <c r="AJ17" i="10"/>
  <c r="AJ40" i="10"/>
  <c r="AJ14" i="10"/>
  <c r="AI61" i="10"/>
  <c r="EW11" i="10"/>
  <c r="EW53" i="10"/>
  <c r="EW46" i="10"/>
  <c r="EX59" i="10"/>
  <c r="EW42" i="10"/>
  <c r="EW9" i="10"/>
  <c r="EW33" i="10"/>
  <c r="EW55" i="10"/>
  <c r="EX11" i="10"/>
  <c r="EX24" i="10"/>
  <c r="EW19" i="10"/>
  <c r="EW4" i="10"/>
  <c r="EW36" i="10"/>
  <c r="EX63" i="10"/>
  <c r="EW44" i="10"/>
  <c r="N94" i="11" a="1"/>
  <c r="N94" i="11" s="1"/>
  <c r="CP45" i="10"/>
  <c r="CQ51" i="10"/>
  <c r="CQ19" i="10"/>
  <c r="CQ34" i="10"/>
  <c r="CP61" i="10"/>
  <c r="CQ47" i="10"/>
  <c r="CQ15" i="10"/>
  <c r="CQ62" i="10"/>
  <c r="CQ30" i="10"/>
  <c r="CP56" i="10"/>
  <c r="CQ39" i="10"/>
  <c r="CQ54" i="10"/>
  <c r="CQ22" i="10"/>
  <c r="CQ23" i="10"/>
  <c r="CQ26" i="10"/>
  <c r="CQ59" i="10"/>
  <c r="CQ14" i="10"/>
  <c r="CQ52" i="10"/>
  <c r="CQ55" i="10"/>
  <c r="CQ58" i="10"/>
  <c r="CQ10" i="10"/>
  <c r="CQ41" i="10"/>
  <c r="CP42" i="10"/>
  <c r="CQ43" i="10"/>
  <c r="CQ50" i="10"/>
  <c r="CQ27" i="10"/>
  <c r="CQ38" i="10"/>
  <c r="CQ63" i="10"/>
  <c r="CQ35" i="10"/>
  <c r="CQ31" i="10"/>
  <c r="CQ46" i="10"/>
  <c r="CQ11" i="10"/>
  <c r="CQ42" i="10"/>
  <c r="CQ18" i="10"/>
  <c r="CQ13" i="10"/>
  <c r="CP10" i="10"/>
  <c r="CP39" i="10"/>
  <c r="CQ32" i="10"/>
  <c r="CP46" i="10"/>
  <c r="CQ45" i="10"/>
  <c r="CP62" i="10"/>
  <c r="CP37" i="10"/>
  <c r="CP52" i="10"/>
  <c r="CP49" i="10"/>
  <c r="CQ33" i="10"/>
  <c r="CQ7" i="10"/>
  <c r="CP21" i="10"/>
  <c r="CP59" i="10"/>
  <c r="CP4" i="10"/>
  <c r="CQ36" i="10"/>
  <c r="CP55" i="10"/>
  <c r="CP23" i="10"/>
  <c r="CQ48" i="10"/>
  <c r="CP32" i="10"/>
  <c r="CQ6" i="10"/>
  <c r="CP50" i="10"/>
  <c r="CP27" i="10"/>
  <c r="CP44" i="10"/>
  <c r="CP41" i="10"/>
  <c r="CP26" i="10"/>
  <c r="CQ60" i="10"/>
  <c r="CP14" i="10"/>
  <c r="CP43" i="10"/>
  <c r="CP64" i="10"/>
  <c r="CP11" i="10"/>
  <c r="CQ64" i="10"/>
  <c r="CP16" i="10"/>
  <c r="CP40" i="10"/>
  <c r="CP15" i="10"/>
  <c r="CP36" i="10"/>
  <c r="CP33" i="10"/>
  <c r="CP29" i="10"/>
  <c r="CQ12" i="10"/>
  <c r="CQ57" i="10"/>
  <c r="CP63" i="10"/>
  <c r="CP30" i="10"/>
  <c r="CP5" i="10"/>
  <c r="CP28" i="10"/>
  <c r="CP38" i="10"/>
  <c r="CQ9" i="10"/>
  <c r="CQ4" i="10"/>
  <c r="CQ8" i="10"/>
  <c r="CP48" i="10"/>
  <c r="CQ17" i="10"/>
  <c r="CP25" i="10"/>
  <c r="CQ24" i="10"/>
  <c r="CP13" i="10"/>
  <c r="CQ28" i="10"/>
  <c r="CP34" i="10"/>
  <c r="CQ25" i="10"/>
  <c r="CP51" i="10"/>
  <c r="CP18" i="10"/>
  <c r="CQ53" i="10"/>
  <c r="CP20" i="10"/>
  <c r="CP17" i="10"/>
  <c r="CQ20" i="10"/>
  <c r="CQ40" i="10"/>
  <c r="CP54" i="10"/>
  <c r="CQ61" i="10"/>
  <c r="CQ44" i="10"/>
  <c r="CP22" i="10"/>
  <c r="CP35" i="10"/>
  <c r="CP8" i="10"/>
  <c r="CQ29" i="10"/>
  <c r="CP12" i="10"/>
  <c r="CP9" i="10"/>
  <c r="CQ56" i="10"/>
  <c r="CQ37" i="10"/>
  <c r="CP6" i="10"/>
  <c r="CQ21" i="10"/>
  <c r="CP24" i="10"/>
  <c r="CP60" i="10"/>
  <c r="CQ5" i="10"/>
  <c r="CP57" i="10"/>
  <c r="CP31" i="10"/>
  <c r="CP58" i="10"/>
  <c r="CP7" i="10"/>
  <c r="CP47" i="10"/>
  <c r="CQ49" i="10"/>
  <c r="CP53" i="10"/>
  <c r="CQ16" i="10"/>
  <c r="AI13" i="10"/>
  <c r="AI43" i="10"/>
  <c r="AI56" i="10"/>
  <c r="AJ60" i="10"/>
  <c r="AI57" i="10"/>
  <c r="AI53" i="10"/>
  <c r="AI45" i="10"/>
  <c r="AJ15" i="10"/>
  <c r="AI29" i="10"/>
  <c r="AJ37" i="10"/>
  <c r="AI52" i="10"/>
  <c r="AI55" i="10"/>
  <c r="AI6" i="10"/>
  <c r="AJ42" i="10"/>
  <c r="AJ57" i="10"/>
  <c r="EW64" i="10"/>
  <c r="EX58" i="10"/>
  <c r="EX44" i="10"/>
  <c r="EX35" i="10"/>
  <c r="EX64" i="10"/>
  <c r="EW14" i="10"/>
  <c r="EW7" i="10"/>
  <c r="EW27" i="10"/>
  <c r="EW49" i="10"/>
  <c r="EX8" i="10"/>
  <c r="EW20" i="10"/>
  <c r="EX49" i="10"/>
  <c r="EW54" i="10"/>
  <c r="EX47" i="10"/>
  <c r="EW62" i="10"/>
  <c r="CP19" i="10"/>
  <c r="AJ55" i="10"/>
  <c r="AI8" i="10"/>
  <c r="AJ38" i="10"/>
  <c r="AJ13" i="10"/>
  <c r="AJ6" i="10"/>
  <c r="AJ29" i="10"/>
  <c r="AJ25" i="10"/>
  <c r="AI42" i="10"/>
  <c r="AJ51" i="10"/>
  <c r="AI31" i="10"/>
  <c r="AJ49" i="10"/>
  <c r="AI20" i="10"/>
  <c r="AI50" i="10"/>
  <c r="AJ9" i="10"/>
  <c r="AI5" i="10"/>
  <c r="AJ59" i="10"/>
  <c r="CX6" i="10"/>
  <c r="CY14" i="10"/>
  <c r="CX16" i="10"/>
  <c r="CX17" i="10"/>
  <c r="CY16" i="10"/>
  <c r="CY13" i="10"/>
  <c r="CY17" i="10"/>
  <c r="CX4" i="10"/>
  <c r="CX8" i="10"/>
  <c r="CY18" i="10"/>
  <c r="CX11" i="10"/>
  <c r="CX15" i="10"/>
  <c r="CX12" i="10"/>
  <c r="CX10" i="10"/>
  <c r="CX7" i="10"/>
  <c r="CY9" i="10"/>
  <c r="CY6" i="10"/>
  <c r="CY12" i="10"/>
  <c r="CX19" i="10"/>
  <c r="CY4" i="10"/>
  <c r="CY8" i="10"/>
  <c r="CY10" i="10"/>
  <c r="CY5" i="10"/>
  <c r="CY11" i="10"/>
  <c r="CX9" i="10"/>
  <c r="CX5" i="10"/>
  <c r="CX18" i="10"/>
  <c r="CY15" i="10"/>
  <c r="CX14" i="10"/>
  <c r="CY7" i="10"/>
  <c r="CX13" i="10"/>
  <c r="CY19" i="10"/>
  <c r="EX30" i="10"/>
  <c r="EX16" i="10"/>
  <c r="EX55" i="10"/>
  <c r="EX29" i="10"/>
  <c r="EX9" i="10"/>
  <c r="EX42" i="10"/>
  <c r="EX62" i="10"/>
  <c r="EW22" i="10"/>
  <c r="EW5" i="10"/>
  <c r="EW23" i="10"/>
  <c r="EX53" i="10"/>
  <c r="EW38" i="10"/>
  <c r="EX33" i="10"/>
  <c r="EW24" i="10"/>
  <c r="EX31" i="10"/>
  <c r="EW32" i="10"/>
  <c r="EW26" i="10"/>
  <c r="AJ47" i="10"/>
  <c r="AI19" i="10"/>
  <c r="AJ32" i="10"/>
  <c r="AI62" i="10"/>
  <c r="AJ44" i="10"/>
  <c r="AJ41" i="10"/>
  <c r="AI54" i="10"/>
  <c r="AJ58" i="10"/>
  <c r="AI38" i="10"/>
  <c r="AJ7" i="10"/>
  <c r="AI63" i="10"/>
  <c r="AJ48" i="10"/>
  <c r="AI18" i="10"/>
  <c r="AI15" i="10"/>
  <c r="AI40" i="10"/>
  <c r="AJ35" i="10"/>
  <c r="EW56" i="10"/>
  <c r="EX46" i="10"/>
  <c r="EW60" i="10"/>
  <c r="EX10" i="10"/>
  <c r="EX50" i="10"/>
  <c r="EX27" i="10"/>
  <c r="EX7" i="10"/>
  <c r="EW41" i="10"/>
  <c r="EW25" i="10"/>
  <c r="EW43" i="10"/>
  <c r="EX14" i="10"/>
  <c r="EX38" i="10"/>
  <c r="EX60" i="10"/>
  <c r="EW30" i="10"/>
  <c r="EW52" i="10"/>
  <c r="EX37" i="10"/>
  <c r="EW8" i="10"/>
  <c r="EX17" i="10"/>
  <c r="EW58" i="10"/>
  <c r="EX15" i="10"/>
  <c r="AJ27" i="10"/>
  <c r="AJ39" i="10"/>
  <c r="AJ26" i="10"/>
  <c r="AI32" i="10"/>
  <c r="AI16" i="10"/>
  <c r="AI17" i="10"/>
  <c r="AJ62" i="10"/>
  <c r="AI64" i="10"/>
  <c r="AJ50" i="10"/>
  <c r="AI7" i="10"/>
  <c r="AI39" i="10"/>
  <c r="AJ16" i="10"/>
  <c r="AJ46" i="10"/>
  <c r="AJ5" i="10"/>
  <c r="AJ8" i="10"/>
  <c r="FF12" i="10"/>
  <c r="FF11" i="10"/>
  <c r="FE15" i="10"/>
  <c r="FE10" i="10"/>
  <c r="FF16" i="10"/>
  <c r="FF15" i="10"/>
  <c r="FE11" i="10"/>
  <c r="FF14" i="10"/>
  <c r="FF19" i="10"/>
  <c r="FF18" i="10"/>
  <c r="FE19" i="10"/>
  <c r="FE4" i="10"/>
  <c r="FE17" i="10"/>
  <c r="FF4" i="10"/>
  <c r="FF5" i="10"/>
  <c r="FE13" i="10"/>
  <c r="FE18" i="10"/>
  <c r="FF13" i="10"/>
  <c r="FF7" i="10"/>
  <c r="FE9" i="10"/>
  <c r="FE16" i="10"/>
  <c r="FE12" i="10"/>
  <c r="FF6" i="10"/>
  <c r="FF9" i="10"/>
  <c r="FE7" i="10"/>
  <c r="FE14" i="10"/>
  <c r="FF8" i="10"/>
  <c r="FF10" i="10"/>
  <c r="FF17" i="10"/>
  <c r="FE8" i="10"/>
  <c r="FE5" i="10"/>
  <c r="FE6" i="10"/>
  <c r="C94" i="11" a="1"/>
  <c r="C94" i="11" s="1"/>
  <c r="F94" i="11" s="1"/>
  <c r="C88" i="11" a="1"/>
  <c r="C88" i="11" s="1"/>
  <c r="F88" i="11" s="1"/>
  <c r="C91" i="11" a="1"/>
  <c r="C91" i="11" s="1"/>
  <c r="F91" i="11" s="1"/>
  <c r="C92" i="11" a="1"/>
  <c r="C92" i="11" s="1"/>
  <c r="F92" i="11" s="1"/>
  <c r="C95" i="11" a="1"/>
  <c r="C95" i="11" s="1"/>
  <c r="F95" i="11" s="1"/>
  <c r="C90" i="11" a="1"/>
  <c r="C90" i="11" s="1"/>
  <c r="F90" i="11" s="1"/>
  <c r="C86" i="11" a="1"/>
  <c r="C86" i="11" s="1"/>
  <c r="F86" i="11" s="1"/>
  <c r="C87" i="11" a="1"/>
  <c r="C87" i="11" s="1"/>
  <c r="F87" i="11" s="1"/>
  <c r="C89" i="11" a="1"/>
  <c r="C89" i="11" s="1"/>
  <c r="F89" i="11" s="1"/>
  <c r="C93" i="11" a="1"/>
  <c r="C93" i="11" s="1"/>
  <c r="F93" i="11" s="1"/>
  <c r="AI35" i="10"/>
  <c r="AJ23" i="10"/>
  <c r="AJ18" i="10"/>
  <c r="AI34" i="10"/>
  <c r="AI22" i="10"/>
  <c r="AI49" i="10"/>
  <c r="AI14" i="10"/>
  <c r="AJ4" i="10"/>
  <c r="AI60" i="10"/>
  <c r="AI30" i="10"/>
  <c r="AI58" i="10"/>
  <c r="AI25" i="10"/>
  <c r="AI9" i="10"/>
  <c r="AJ43" i="10"/>
  <c r="AJ36" i="10"/>
  <c r="EW17" i="10"/>
  <c r="EW28" i="10"/>
  <c r="EW6" i="10"/>
  <c r="EW16" i="10"/>
  <c r="EW21" i="10"/>
  <c r="EX51" i="10"/>
  <c r="EX12" i="10"/>
  <c r="EX32" i="10"/>
  <c r="EX54" i="10"/>
  <c r="EW40" i="10"/>
  <c r="EX21" i="10"/>
  <c r="EW18" i="10"/>
  <c r="EW63" i="10"/>
  <c r="EW10" i="10"/>
  <c r="EW61" i="10"/>
  <c r="C90" i="13" a="1"/>
  <c r="C90" i="13" s="1"/>
  <c r="F90" i="13" s="1"/>
  <c r="C91" i="13" a="1"/>
  <c r="C91" i="13" s="1"/>
  <c r="F91" i="13" s="1"/>
  <c r="C94" i="13" a="1"/>
  <c r="C94" i="13" s="1"/>
  <c r="F94" i="13" s="1"/>
  <c r="C89" i="13" a="1"/>
  <c r="C89" i="13" s="1"/>
  <c r="F89" i="13" s="1"/>
  <c r="C92" i="13" a="1"/>
  <c r="C92" i="13" s="1"/>
  <c r="F92" i="13" s="1"/>
  <c r="C93" i="13" a="1"/>
  <c r="C93" i="13" s="1"/>
  <c r="F93" i="13" s="1"/>
  <c r="C86" i="13" a="1"/>
  <c r="C86" i="13" s="1"/>
  <c r="F86" i="13" s="1"/>
  <c r="C87" i="13" a="1"/>
  <c r="C87" i="13" s="1"/>
  <c r="F87" i="13" s="1"/>
  <c r="C95" i="13" a="1"/>
  <c r="C95" i="13" s="1"/>
  <c r="F95" i="13" s="1"/>
  <c r="C88" i="13" a="1"/>
  <c r="C88" i="13" s="1"/>
  <c r="F88" i="13" s="1"/>
  <c r="AI27" i="10"/>
  <c r="AI59" i="10"/>
  <c r="AJ45" i="10"/>
  <c r="AI28" i="10"/>
  <c r="AJ30" i="10"/>
  <c r="AI10" i="10"/>
  <c r="AI24" i="10"/>
  <c r="AJ24" i="10"/>
  <c r="AJ64" i="10"/>
  <c r="AJ34" i="10"/>
  <c r="AI26" i="10"/>
  <c r="AJ21" i="10"/>
  <c r="AI44" i="10"/>
  <c r="AJ19" i="10"/>
  <c r="AI11" i="10"/>
  <c r="EX6" i="10"/>
  <c r="EW34" i="10"/>
  <c r="EX25" i="10"/>
  <c r="EX45" i="10"/>
  <c r="EX28" i="10"/>
  <c r="EW50" i="10"/>
  <c r="EX5" i="10"/>
  <c r="EX52" i="10"/>
  <c r="EW47" i="10"/>
  <c r="EW45" i="10"/>
  <c r="EX22" i="10"/>
  <c r="EX4" i="10"/>
  <c r="EX41" i="10"/>
  <c r="EX48" i="10"/>
  <c r="EW48" i="10"/>
  <c r="EW59" i="10"/>
  <c r="EX23" i="10"/>
  <c r="EX43" i="10"/>
  <c r="EX61" i="10"/>
  <c r="EX56" i="10"/>
  <c r="EW51" i="10"/>
  <c r="EX36" i="10"/>
  <c r="EW31" i="10"/>
  <c r="EX34" i="10"/>
  <c r="AJ11" i="10"/>
  <c r="AJ63" i="10"/>
  <c r="AI23" i="10"/>
  <c r="AI47" i="10"/>
  <c r="AI36" i="10"/>
  <c r="AJ33" i="10"/>
  <c r="AJ28" i="10"/>
  <c r="AI4" i="10"/>
  <c r="AJ20" i="10"/>
  <c r="AI48" i="10"/>
  <c r="AJ54" i="10"/>
  <c r="AI21" i="10"/>
  <c r="AJ12" i="10"/>
  <c r="AI46" i="10"/>
  <c r="N92" i="11" l="1" a="1"/>
  <c r="N92" i="11" s="1"/>
  <c r="N91" i="11" a="1"/>
  <c r="N91" i="11" s="1"/>
  <c r="N95" i="11" a="1"/>
  <c r="N95" i="11" s="1"/>
  <c r="N93" i="11" a="1"/>
  <c r="N93" i="11" s="1"/>
  <c r="N89" i="11" a="1"/>
  <c r="N89" i="11" s="1"/>
  <c r="N87" i="11" a="1"/>
  <c r="N87" i="11" s="1"/>
  <c r="P87" i="11" s="1"/>
  <c r="N86" i="11" a="1"/>
  <c r="N86" i="11" s="1"/>
  <c r="P86" i="11" s="1"/>
  <c r="N88" i="11" a="1"/>
  <c r="N88" i="11" s="1"/>
  <c r="P88" i="11" s="1"/>
  <c r="P94" i="11"/>
  <c r="P91" i="11"/>
  <c r="P95" i="11"/>
  <c r="P92" i="11"/>
  <c r="P90" i="11"/>
  <c r="P93" i="11"/>
  <c r="P89" i="11"/>
  <c r="G87" i="15"/>
  <c r="G94" i="15"/>
  <c r="I95" i="11" a="1"/>
  <c r="I95" i="11" s="1"/>
  <c r="K95" i="11" s="1"/>
  <c r="I87" i="11" a="1"/>
  <c r="I87" i="11" s="1"/>
  <c r="K87" i="11" s="1"/>
  <c r="I93" i="11" a="1"/>
  <c r="I93" i="11" s="1"/>
  <c r="K93" i="11" s="1"/>
  <c r="I88" i="11" a="1"/>
  <c r="I88" i="11" s="1"/>
  <c r="K88" i="11" s="1"/>
  <c r="I91" i="11" a="1"/>
  <c r="I91" i="11" s="1"/>
  <c r="K91" i="11" s="1"/>
  <c r="I94" i="11" a="1"/>
  <c r="I94" i="11" s="1"/>
  <c r="K94" i="11" s="1"/>
  <c r="I89" i="11" a="1"/>
  <c r="I89" i="11" s="1"/>
  <c r="K89" i="11" s="1"/>
  <c r="I92" i="11" a="1"/>
  <c r="I92" i="11" s="1"/>
  <c r="K92" i="11" s="1"/>
  <c r="I86" i="11" a="1"/>
  <c r="I86" i="11" s="1"/>
  <c r="K86" i="11" s="1"/>
  <c r="I90" i="11" a="1"/>
  <c r="I90" i="11" s="1"/>
  <c r="K90" i="11" s="1"/>
  <c r="G93" i="15"/>
  <c r="G86" i="15"/>
  <c r="N88" i="13" a="1"/>
  <c r="N88" i="13" s="1"/>
  <c r="P88" i="13" s="1"/>
  <c r="N91" i="13" a="1"/>
  <c r="N91" i="13" s="1"/>
  <c r="P91" i="13" s="1"/>
  <c r="N92" i="13" a="1"/>
  <c r="N92" i="13" s="1"/>
  <c r="P92" i="13" s="1"/>
  <c r="N95" i="13" a="1"/>
  <c r="N95" i="13" s="1"/>
  <c r="P95" i="13" s="1"/>
  <c r="N89" i="13" a="1"/>
  <c r="N89" i="13" s="1"/>
  <c r="P89" i="13" s="1"/>
  <c r="N90" i="13" a="1"/>
  <c r="N90" i="13" s="1"/>
  <c r="P90" i="13" s="1"/>
  <c r="N87" i="13" a="1"/>
  <c r="N87" i="13" s="1"/>
  <c r="P87" i="13" s="1"/>
  <c r="N94" i="13" a="1"/>
  <c r="N94" i="13" s="1"/>
  <c r="P94" i="13" s="1"/>
  <c r="N86" i="13" a="1"/>
  <c r="N86" i="13" s="1"/>
  <c r="P86" i="13" s="1"/>
  <c r="N93" i="13" a="1"/>
  <c r="N93" i="13" s="1"/>
  <c r="P93" i="13" s="1"/>
  <c r="G95" i="15"/>
  <c r="G92" i="15"/>
  <c r="N88" i="15" a="1"/>
  <c r="N88" i="15" s="1"/>
  <c r="P88" i="15" s="1"/>
  <c r="N89" i="15" a="1"/>
  <c r="N89" i="15" s="1"/>
  <c r="P89" i="15" s="1"/>
  <c r="N95" i="15" a="1"/>
  <c r="N95" i="15" s="1"/>
  <c r="P95" i="15" s="1"/>
  <c r="N92" i="15" a="1"/>
  <c r="N92" i="15" s="1"/>
  <c r="P92" i="15" s="1"/>
  <c r="N93" i="15" a="1"/>
  <c r="N93" i="15" s="1"/>
  <c r="P93" i="15" s="1"/>
  <c r="N87" i="15" a="1"/>
  <c r="N87" i="15" s="1"/>
  <c r="P87" i="15" s="1"/>
  <c r="N94" i="15" a="1"/>
  <c r="N94" i="15" s="1"/>
  <c r="P94" i="15" s="1"/>
  <c r="N86" i="15" a="1"/>
  <c r="N86" i="15" s="1"/>
  <c r="P86" i="15" s="1"/>
  <c r="N90" i="15" a="1"/>
  <c r="N90" i="15" s="1"/>
  <c r="P90" i="15" s="1"/>
  <c r="N91" i="15" a="1"/>
  <c r="N91" i="15" s="1"/>
  <c r="P91" i="15" s="1"/>
  <c r="G91" i="15"/>
  <c r="I90" i="13" a="1"/>
  <c r="I90" i="13" s="1"/>
  <c r="K90" i="13" s="1"/>
  <c r="I94" i="13" a="1"/>
  <c r="I94" i="13" s="1"/>
  <c r="K94" i="13" s="1"/>
  <c r="I86" i="13" a="1"/>
  <c r="I86" i="13" s="1"/>
  <c r="K86" i="13" s="1"/>
  <c r="I95" i="13" a="1"/>
  <c r="I95" i="13" s="1"/>
  <c r="K95" i="13" s="1"/>
  <c r="I87" i="13" a="1"/>
  <c r="I87" i="13" s="1"/>
  <c r="K87" i="13" s="1"/>
  <c r="I91" i="13" a="1"/>
  <c r="I91" i="13" s="1"/>
  <c r="K91" i="13" s="1"/>
  <c r="I89" i="13" a="1"/>
  <c r="I89" i="13" s="1"/>
  <c r="K89" i="13" s="1"/>
  <c r="I88" i="13" a="1"/>
  <c r="I88" i="13" s="1"/>
  <c r="K88" i="13" s="1"/>
  <c r="I93" i="13" a="1"/>
  <c r="I93" i="13" s="1"/>
  <c r="K93" i="13" s="1"/>
  <c r="I92" i="13" a="1"/>
  <c r="I92" i="13" s="1"/>
  <c r="K92" i="13" s="1"/>
  <c r="G88" i="15"/>
  <c r="I87" i="15" a="1"/>
  <c r="I87" i="15" s="1"/>
  <c r="K87" i="15" s="1"/>
  <c r="I91" i="15" a="1"/>
  <c r="I91" i="15" s="1"/>
  <c r="K91" i="15" s="1"/>
  <c r="I95" i="15" a="1"/>
  <c r="I95" i="15" s="1"/>
  <c r="K95" i="15" s="1"/>
  <c r="I88" i="15" a="1"/>
  <c r="I88" i="15" s="1"/>
  <c r="K88" i="15" s="1"/>
  <c r="I86" i="15" a="1"/>
  <c r="I86" i="15" s="1"/>
  <c r="K86" i="15" s="1"/>
  <c r="I89" i="15" a="1"/>
  <c r="I89" i="15" s="1"/>
  <c r="K89" i="15" s="1"/>
  <c r="I90" i="15" a="1"/>
  <c r="I90" i="15" s="1"/>
  <c r="K90" i="15" s="1"/>
  <c r="I94" i="15" a="1"/>
  <c r="I94" i="15" s="1"/>
  <c r="K94" i="15" s="1"/>
  <c r="I93" i="15" a="1"/>
  <c r="I93" i="15" s="1"/>
  <c r="K93" i="15" s="1"/>
  <c r="I92" i="15" a="1"/>
  <c r="I92" i="15" s="1"/>
  <c r="K92" i="15" s="1"/>
  <c r="G90" i="15"/>
  <c r="G89" i="15"/>
  <c r="L90" i="15" l="1"/>
  <c r="Q90" i="15"/>
  <c r="L93" i="15"/>
  <c r="L87" i="15"/>
  <c r="Q94" i="15"/>
  <c r="L94" i="15"/>
  <c r="Q87" i="15"/>
  <c r="Q93" i="15"/>
  <c r="Q92" i="15"/>
  <c r="L89" i="15"/>
  <c r="L86" i="15"/>
  <c r="Q95" i="15"/>
  <c r="L88" i="15"/>
  <c r="Q91" i="15"/>
  <c r="Q89" i="15"/>
  <c r="L95" i="15"/>
  <c r="Q88" i="15"/>
  <c r="L92" i="15"/>
  <c r="L91" i="15"/>
  <c r="Q86" i="1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<sst xmlns="http://schemas.openxmlformats.org/spreadsheetml/2006/main" count="27941" uniqueCount="4792">
  <si>
    <t>Médicament</t>
  </si>
  <si>
    <t>Substance active</t>
  </si>
  <si>
    <t>Colistine</t>
  </si>
  <si>
    <t>Benzylpénicilline</t>
  </si>
  <si>
    <t>Dihydrostreptomycine</t>
  </si>
  <si>
    <t>Florfénicol</t>
  </si>
  <si>
    <t>Amoxicilline</t>
  </si>
  <si>
    <t>Néomycine</t>
  </si>
  <si>
    <t>Aminoglycosides</t>
  </si>
  <si>
    <t>Chlortétracycline</t>
  </si>
  <si>
    <t>Bacitracine</t>
  </si>
  <si>
    <t>Polypeptides</t>
  </si>
  <si>
    <t>Tétracycline</t>
  </si>
  <si>
    <t>Sulfaméthoxypyridazine</t>
  </si>
  <si>
    <t>Sulfamides</t>
  </si>
  <si>
    <t>Triméthoprime</t>
  </si>
  <si>
    <t>Marbofloxacine</t>
  </si>
  <si>
    <t>Oxytétracycline</t>
  </si>
  <si>
    <t>Tylosine</t>
  </si>
  <si>
    <t>Macrolides</t>
  </si>
  <si>
    <t>Ampicilline</t>
  </si>
  <si>
    <t>Erythromycine</t>
  </si>
  <si>
    <t>Cefquinome</t>
  </si>
  <si>
    <t>Kanamycine</t>
  </si>
  <si>
    <t>Cloxacilline</t>
  </si>
  <si>
    <t>Ceftiofur</t>
  </si>
  <si>
    <t>Céfapirine</t>
  </si>
  <si>
    <t>Céfalonium</t>
  </si>
  <si>
    <t>Rifaximine</t>
  </si>
  <si>
    <t>Sulfadoxine</t>
  </si>
  <si>
    <t>Nombre de traitements</t>
  </si>
  <si>
    <t>Famille d'antibiotique</t>
  </si>
  <si>
    <t xml:space="preserve">CARNET SANITAIRE et CALCUL DE TAUX DE TRAITEMENT </t>
  </si>
  <si>
    <t>METHODOLOGIE</t>
  </si>
  <si>
    <t>AMPHOPRIM</t>
  </si>
  <si>
    <t>CEPRAVIN</t>
  </si>
  <si>
    <t>CORTEXILINE</t>
  </si>
  <si>
    <t>FATROX</t>
  </si>
  <si>
    <t>HISTABIOSONE</t>
  </si>
  <si>
    <t>LONGAMOX</t>
  </si>
  <si>
    <t>LONGICINE</t>
  </si>
  <si>
    <t>MASTIJET</t>
  </si>
  <si>
    <t>MULTIBIO</t>
  </si>
  <si>
    <t>NUFLOR</t>
  </si>
  <si>
    <t>PANADIA</t>
  </si>
  <si>
    <t>PENIJECTYL</t>
  </si>
  <si>
    <t>SHOTAPEN</t>
  </si>
  <si>
    <t>SPIROVET</t>
  </si>
  <si>
    <t>Céfalexine</t>
  </si>
  <si>
    <t>Framycétine</t>
  </si>
  <si>
    <t>Gamithromycine</t>
  </si>
  <si>
    <t>Espèce traitée</t>
  </si>
  <si>
    <t>Espèce</t>
  </si>
  <si>
    <t>Autres</t>
  </si>
  <si>
    <t>Sulfadiméthoxine</t>
  </si>
  <si>
    <t>Tylvalosine</t>
  </si>
  <si>
    <t>Lincomycine</t>
  </si>
  <si>
    <t>Doxycycline</t>
  </si>
  <si>
    <t>AMIDURENE</t>
  </si>
  <si>
    <t>AMPICLOX</t>
  </si>
  <si>
    <t>AMPICOLINE</t>
  </si>
  <si>
    <t>AMPIDEXALONE</t>
  </si>
  <si>
    <t>AMPINA</t>
  </si>
  <si>
    <t>AMPISOL</t>
  </si>
  <si>
    <t>Apramycine</t>
  </si>
  <si>
    <t>AXILLIN</t>
  </si>
  <si>
    <t>Phénoxyméthylpénicilline</t>
  </si>
  <si>
    <t>Enrofloxacine</t>
  </si>
  <si>
    <t>BIAMULINE</t>
  </si>
  <si>
    <t>Tiamuline</t>
  </si>
  <si>
    <t>BIOAMOXI</t>
  </si>
  <si>
    <t>BIOREPAS</t>
  </si>
  <si>
    <t>Sulfadimidine</t>
  </si>
  <si>
    <t>Spiramycine</t>
  </si>
  <si>
    <t>CEFOVET</t>
  </si>
  <si>
    <t>Céfazoline</t>
  </si>
  <si>
    <t>CENTRAUREO</t>
  </si>
  <si>
    <t>Sulfadiazine</t>
  </si>
  <si>
    <t>COLIBOLUS</t>
  </si>
  <si>
    <t>COLICILLINE</t>
  </si>
  <si>
    <t>COLIVET</t>
  </si>
  <si>
    <t>Tilmicosine</t>
  </si>
  <si>
    <t>COVUNIL</t>
  </si>
  <si>
    <t>CUBARMIX</t>
  </si>
  <si>
    <t>DEPOCILLINE</t>
  </si>
  <si>
    <t>DIAZIPRIM</t>
  </si>
  <si>
    <t>DIPROXINE</t>
  </si>
  <si>
    <t>Tulathromycine</t>
  </si>
  <si>
    <t>DURACYKLINE</t>
  </si>
  <si>
    <t>ENTEROGRAM</t>
  </si>
  <si>
    <t>ERYTHROVET</t>
  </si>
  <si>
    <t>FINOXALINE</t>
  </si>
  <si>
    <t>Fluméquine</t>
  </si>
  <si>
    <t>Gentamicine</t>
  </si>
  <si>
    <t>Paromomycine</t>
  </si>
  <si>
    <t>GENTAMAM</t>
  </si>
  <si>
    <t>HISTACLINE</t>
  </si>
  <si>
    <t>Acide oxolinique</t>
  </si>
  <si>
    <t>INTRAMICINE</t>
  </si>
  <si>
    <t>Spectinomycine</t>
  </si>
  <si>
    <t>MAMMITEL</t>
  </si>
  <si>
    <t>MASTICOLI</t>
  </si>
  <si>
    <t>MASTI-PENI</t>
  </si>
  <si>
    <t>METOXYL</t>
  </si>
  <si>
    <t>METRICURE</t>
  </si>
  <si>
    <t>MILICOLI</t>
  </si>
  <si>
    <t>Nafcilline</t>
  </si>
  <si>
    <t>NEOMAY</t>
  </si>
  <si>
    <t>NEOXYNE</t>
  </si>
  <si>
    <t>OROSPRAY</t>
  </si>
  <si>
    <t>Sulfanilamide</t>
  </si>
  <si>
    <t>OXOMID</t>
  </si>
  <si>
    <t>PANAFUGE</t>
  </si>
  <si>
    <t>PATHOZONE</t>
  </si>
  <si>
    <t>Céfopérazone</t>
  </si>
  <si>
    <t>Pirlimycine</t>
  </si>
  <si>
    <t>PNEUMOBIOTIQUE</t>
  </si>
  <si>
    <t>POTENCIL</t>
  </si>
  <si>
    <t>PRIMOX</t>
  </si>
  <si>
    <t>SELECTAN</t>
  </si>
  <si>
    <t>SODIBIO</t>
  </si>
  <si>
    <t>SULFALON</t>
  </si>
  <si>
    <t>SULFALUTYL</t>
  </si>
  <si>
    <t>Sulfaguanidine</t>
  </si>
  <si>
    <t>Thiamphénicol</t>
  </si>
  <si>
    <t>TARIGERMEL</t>
  </si>
  <si>
    <t>TETRASOLUB</t>
  </si>
  <si>
    <t>TETRATIME</t>
  </si>
  <si>
    <t>TETRAVETO</t>
  </si>
  <si>
    <t>TRIMETHOX</t>
  </si>
  <si>
    <t>TYLMASIN</t>
  </si>
  <si>
    <t>TYLOLIDE</t>
  </si>
  <si>
    <t>TYLORAL</t>
  </si>
  <si>
    <t>VETRIGEN</t>
  </si>
  <si>
    <t>VIRBACTAN</t>
  </si>
  <si>
    <t>VIRGOCILLINE</t>
  </si>
  <si>
    <t>Sulfaquinoxaline</t>
  </si>
  <si>
    <t>Autre</t>
  </si>
  <si>
    <t>Global</t>
  </si>
  <si>
    <t>Lincosamides</t>
  </si>
  <si>
    <t>Fluoroquinolones</t>
  </si>
  <si>
    <t>Quinolones</t>
  </si>
  <si>
    <t>Commentaires</t>
  </si>
  <si>
    <t>1)</t>
  </si>
  <si>
    <t>2)</t>
  </si>
  <si>
    <t>3)</t>
  </si>
  <si>
    <t>Taux de traitement</t>
  </si>
  <si>
    <t>Commentaire</t>
  </si>
  <si>
    <t>FAMILLE</t>
  </si>
  <si>
    <t>Vers l'Etape 2</t>
  </si>
  <si>
    <t>Maladie traitée</t>
  </si>
  <si>
    <t>Rouget</t>
  </si>
  <si>
    <t>Arthrites, boiteries</t>
  </si>
  <si>
    <t>Abcès</t>
  </si>
  <si>
    <t>Infections produisant des tumeurs profondes</t>
  </si>
  <si>
    <t>Infections de la mamelle (mammite)</t>
  </si>
  <si>
    <t>Infections de l'utérus (métrite, non-délivrance)</t>
  </si>
  <si>
    <t>Danofloxacine</t>
  </si>
  <si>
    <t>DUPLOCILLINE</t>
  </si>
  <si>
    <t>Valnémuline</t>
  </si>
  <si>
    <t>Monensin</t>
  </si>
  <si>
    <t>Sulfaméthoxazole</t>
  </si>
  <si>
    <t>Tildipirosine</t>
  </si>
  <si>
    <t>Pleuromutilines</t>
  </si>
  <si>
    <t>Atelier</t>
  </si>
  <si>
    <t>Lait</t>
  </si>
  <si>
    <t>Catégorie d'âge</t>
  </si>
  <si>
    <t>Viande</t>
  </si>
  <si>
    <t>Non spécifié</t>
  </si>
  <si>
    <t>Veau</t>
  </si>
  <si>
    <t>Porcelet</t>
  </si>
  <si>
    <t>Agneau</t>
  </si>
  <si>
    <t>Chevreau</t>
  </si>
  <si>
    <t>Poulain</t>
  </si>
  <si>
    <t>Poussin</t>
  </si>
  <si>
    <t>Alevin</t>
  </si>
  <si>
    <t>Jeune</t>
  </si>
  <si>
    <t>Adulte</t>
  </si>
  <si>
    <t>Reproduction</t>
  </si>
  <si>
    <t>Loisir</t>
  </si>
  <si>
    <t>Œufs</t>
  </si>
  <si>
    <t>Vers le guide</t>
  </si>
  <si>
    <t>Nombre de traitement sur 12 mois</t>
  </si>
  <si>
    <t>Nombre d'animaux sur 12 mois</t>
  </si>
  <si>
    <t>Tarissement</t>
  </si>
  <si>
    <t>Janvier</t>
  </si>
  <si>
    <t>Février</t>
  </si>
  <si>
    <t>Mars</t>
  </si>
  <si>
    <t>Avril</t>
  </si>
  <si>
    <t>Mai</t>
  </si>
  <si>
    <t>Juin</t>
  </si>
  <si>
    <t>Juillet</t>
  </si>
  <si>
    <t>Août</t>
  </si>
  <si>
    <t>Septembre</t>
  </si>
  <si>
    <t>Octobre</t>
  </si>
  <si>
    <t>Novembre</t>
  </si>
  <si>
    <t>Décembre</t>
  </si>
  <si>
    <t>Combien de traitement utilisés</t>
  </si>
  <si>
    <t>Fièvre</t>
  </si>
  <si>
    <t>Démarrage</t>
  </si>
  <si>
    <t>Engraissement</t>
  </si>
  <si>
    <t>Post_sevrage</t>
  </si>
  <si>
    <t>Préventif</t>
  </si>
  <si>
    <t>NAFPENZAL T</t>
  </si>
  <si>
    <t>TOUTES SUBSTANCES</t>
  </si>
  <si>
    <t>Pénéthamate (ou pénéthacilline)</t>
  </si>
  <si>
    <t>Substances 1</t>
  </si>
  <si>
    <t>Substances 2</t>
  </si>
  <si>
    <t/>
  </si>
  <si>
    <t>Acide clavulanique</t>
  </si>
  <si>
    <t>Substances 3</t>
  </si>
  <si>
    <t>TOUTES FAMILLES</t>
  </si>
  <si>
    <t>Famille 1</t>
  </si>
  <si>
    <t>Famille 2</t>
  </si>
  <si>
    <t>Famille 3</t>
  </si>
  <si>
    <t>Actvités</t>
  </si>
  <si>
    <t>Nombre d'animaux sur l'exploitation</t>
  </si>
  <si>
    <t>Exploitation agricole</t>
  </si>
  <si>
    <t>ACTI COLI 2 MUI/ML</t>
  </si>
  <si>
    <t>ACTI COLI B</t>
  </si>
  <si>
    <t>ACTI DOXY 5</t>
  </si>
  <si>
    <t>ACTI-METHOXINE</t>
  </si>
  <si>
    <t>ACTI-STREPTO</t>
  </si>
  <si>
    <t>ACTI-TETRA B</t>
  </si>
  <si>
    <t>ACTI-TETRA I</t>
  </si>
  <si>
    <t>ADVOCINE 180, 180 MG/ML, SOLUTION INJECTABLE POUR BOVINS</t>
  </si>
  <si>
    <t>ADVOCINE 25</t>
  </si>
  <si>
    <t>AIVLOSIN 42,5 MG/G POUDRE ORALE POUR PORCS</t>
  </si>
  <si>
    <t>AIVLOSIN 42,5 MG/G PREMELANGE MEDICAMENTEUX POUR PORCS</t>
  </si>
  <si>
    <t>AIVLOSIN 625 MG/G GRANULES POUR EAU DE BOISSON POUR POULETS/DINDONS</t>
  </si>
  <si>
    <t>AIVLOSIN 625 MG/G GRANULES POUR L'EAU DE BOISSON POUR PORCS</t>
  </si>
  <si>
    <t>AIVLOSIN 8,5 MG/G PREMELANGE MEDICAMENTEUX POUR PORCS</t>
  </si>
  <si>
    <t>ALBIOTIC 330 MG /100 MG SOLUTION INTRAMAMMAIRE</t>
  </si>
  <si>
    <t>AMDOCYL 697 MG/G POUDRE ORALE POUR PORCS ET POULETS</t>
  </si>
  <si>
    <t>AMDOCYL CTD 697 MG/G POUDRE POUR ADMINISTRATION DANS L'EAU DE BOISSON POUR POULES, DINDES ET CANARDS</t>
  </si>
  <si>
    <t>AMOXICILLINE CALIER GLOBULIT 50 MG/G PREMELANGE MEDICAMENTEUX</t>
  </si>
  <si>
    <t>AMOXIPRO 10 % POUDRE POUR ADMINISTRATION DANS L’EAU DE BOISSON/ LE LAIT VEAU PORC POULET CANARD DINDE</t>
  </si>
  <si>
    <t>AMOXIPRO INJECTABLE</t>
  </si>
  <si>
    <t>AMOXIVAL 20 % POUDRE ORALE VOLAILLE</t>
  </si>
  <si>
    <t>AMOXIVAL AMOXICILLINE 40 PREMELANGE MEDICAMENTEUX VOLAILLES</t>
  </si>
  <si>
    <t>AMPIJECT 10 G</t>
  </si>
  <si>
    <t>ANIMEDAZON SPRAY</t>
  </si>
  <si>
    <t>APRALAN BUVABLE POUDRE POUR ADMINISTRATION DANS L’EAU DE BOISSON/LAIT DE REMPLACEMENT POUR PORCS, VEAUX, POULETS ET LAPINS</t>
  </si>
  <si>
    <t>APRAVET 100 000 UI/G PREMELANGE MEDICAMENTEUX POUR PORCS ET LAPINS</t>
  </si>
  <si>
    <t>APRAVET 552 UI / MG, POUDRE POUR ADMINISTRATION DANS L'EAU DE BOISSON / LE LAIT POUR PORCINS, VEAUX, POULETS ET LAPINS</t>
  </si>
  <si>
    <t>ARENTOR DC 250 MG SUSPENSION INTRAMAMMAIRE POUR VACHES TARIES</t>
  </si>
  <si>
    <t>AUREOMYCINE MERIAL</t>
  </si>
  <si>
    <t>AUROFAC CHLORTETRACYCLINE 93 PORC ET AGNEAU-CHEVREAU SEVRES</t>
  </si>
  <si>
    <t>AVEMIX N° 150</t>
  </si>
  <si>
    <t>AXENTYL 200 MG/ML SOLUTION INJECTABLE POUR BOVINS, OVINS, CAPRINS ET PORCINS</t>
  </si>
  <si>
    <t>BAYCUBIS 293 MG/G POUDRE POUR SOLUTION BUVABLE POUR POULETS</t>
  </si>
  <si>
    <t>BAYTRIL 10 % SOLUTION BUVABLE</t>
  </si>
  <si>
    <t>BAYTRIL 10 % SOLUTION INJECTABLE</t>
  </si>
  <si>
    <t>BAYTRIL 2,5 % SOLUTION BUVABLE</t>
  </si>
  <si>
    <t>BAYTRIL 5 % SOLUTION INJECTABLE</t>
  </si>
  <si>
    <t>BAYTRIL BOLUS</t>
  </si>
  <si>
    <t>BAYTRIL XM 100 MG/ML SOLUTION INJECTABLE POUR BOVINS ET PORCINS</t>
  </si>
  <si>
    <t>BELCOPENI 5</t>
  </si>
  <si>
    <t>BIAPRIM BUVABLE</t>
  </si>
  <si>
    <t>BIMOXYL LA 150 MG/ML SUSPENSION INJECTABLE POUR BOVINS OVINS ET PORCINS</t>
  </si>
  <si>
    <t>BORGAL 24 %</t>
  </si>
  <si>
    <t>CALFLOR 300 MG/ML SOLUTION INJECTABLE POUR BOVINS ET PORCINS</t>
  </si>
  <si>
    <t>CALF-MEAL</t>
  </si>
  <si>
    <t>CEFENIL 50 MG/ML</t>
  </si>
  <si>
    <t>CEFOVET HL</t>
  </si>
  <si>
    <t>CEFSHOT 250 MG SUSPENSION INTRAMAMMAIRE POUR VACHES AU TARISSEMENT</t>
  </si>
  <si>
    <t>CEFTIOCYL 50 MG/ML SUSPENSION INJECTABLE POUR BOVINS ET PORCINS</t>
  </si>
  <si>
    <t>CEMAY 50 MG/ML SUSPENSION INJECTABLE POUR PORCS ET BOVINS</t>
  </si>
  <si>
    <t>CEVAXEL 50 MG/ML</t>
  </si>
  <si>
    <t>CEVAXEL-RTU 50 MG/ML SUSPENSION INJECTABLE POUR BOVINS ET PORCINS</t>
  </si>
  <si>
    <t>CHANENRO 100 MG/ML SOLUTION INJECTABLE POUR BOVINS ET PORCINS</t>
  </si>
  <si>
    <t>CHANENRO 50 MG/ML SOLUTION INJECTABLE POUR BOVINS, PORCINS, CHIENS ET CHATS</t>
  </si>
  <si>
    <t>CHLORIDAZINE S</t>
  </si>
  <si>
    <t>CHLORTETRACYCLINE 100 PORC ET AGNEAU-CHEVREAU SEVRES SANTAMIX</t>
  </si>
  <si>
    <t>CHLORTETRACYCLINE 40 LAPIN-VOLAILLE-PORC ET AGNEAU-CHEVREAU SEVRES SANTAMIX</t>
  </si>
  <si>
    <t>CK 4 - DOXYCYCLINE 50 MG/G</t>
  </si>
  <si>
    <t>CK 5 - OXYTETRACYCLINE 500 MG/G</t>
  </si>
  <si>
    <t>CK 7 - TRIMETHOPRIME 16,65 MG/ML SULFADIAZINE 83,35 MG/ML</t>
  </si>
  <si>
    <t>CK 8 - TYLOSINE 100 MUI</t>
  </si>
  <si>
    <t>CK 9 - TYLOSINE 92 000 UI/G</t>
  </si>
  <si>
    <t>CK6 - SOLU OXYTETRACYCLINE 500 MG/G</t>
  </si>
  <si>
    <t>CLAMOXYL LA</t>
  </si>
  <si>
    <t>CLAMOXYL OBLET GYNECOLOGIQUE</t>
  </si>
  <si>
    <t>CLAMOXYL SUSPENSION</t>
  </si>
  <si>
    <t>CLAVOBAY SUSPENSION INJECTABLE</t>
  </si>
  <si>
    <t>CLOXAGEL HL 500</t>
  </si>
  <si>
    <t>CLOXINE HL</t>
  </si>
  <si>
    <t>COBACTAN 2,5 %</t>
  </si>
  <si>
    <t>COBACTAN LA 7,5 % SUSPENSION INJECTABLE POUR BOVINS</t>
  </si>
  <si>
    <t>COBACTAN LC POMMADE INTRAMAMMAIRE</t>
  </si>
  <si>
    <t>COFACOLI POUDRE</t>
  </si>
  <si>
    <t>COFACOLI SOLUTION</t>
  </si>
  <si>
    <t>COFAMIX AMOXICILLINE 100 PORC</t>
  </si>
  <si>
    <t>COFAMOX 10</t>
  </si>
  <si>
    <t>COFAMOX 15 L.A.</t>
  </si>
  <si>
    <t>COLAMPI I</t>
  </si>
  <si>
    <t>COLFIVE 5 000 000 UI/ML CONCENTRE POUR SOLUTION BUVABLE POUR VEAUX PORCINS AGNEAUX POULETS ET DINDES</t>
  </si>
  <si>
    <t>COLIPRO 2 MUI/ML CONCENTRE POUR SOLUTION BUVABLE POUR PORCINS ET VOLAILLES</t>
  </si>
  <si>
    <t>COLISTINE 200-CB LAPIN-VOLAILLE-PORC ET AGNEAU-CHEVREAU SEVRES FRANVET</t>
  </si>
  <si>
    <t>COLISTINE 400-CB PORC ET AGNEAU-CHEVREAU SEVRES FRANVET</t>
  </si>
  <si>
    <t>COLISTINE 400-F PORC ET AGNEAU-CHEVREAU SEVRES FRANVET</t>
  </si>
  <si>
    <t>COLISTINE SULFATE 2 000 000 UI/ML BUVABLE VIRBAC</t>
  </si>
  <si>
    <t>COLIVET SOLUTION</t>
  </si>
  <si>
    <t>COMPOMIX V AMPICILLINE</t>
  </si>
  <si>
    <t>COMPOMIX V NEOSTARTER</t>
  </si>
  <si>
    <t>COMPOMIX V SULFAPRIM</t>
  </si>
  <si>
    <t>CONCENTRAT V007 TYLAN 100</t>
  </si>
  <si>
    <t>CONCENTRAT VO 08 TILMICOSINE PORCIN-LAPIN</t>
  </si>
  <si>
    <t>CONCENTRAT VO 31-1 OXYTETRACYCLINE 100 PORC ET AGNEAU-CHEVREAU SEVRES</t>
  </si>
  <si>
    <t>CONCENTRAT VO 31-2 OXYTETRACYCLINE 40 LAPIN-VOLAILLE-PORC ET AGNEAU-CHEVREAU SEVRES</t>
  </si>
  <si>
    <t>CONCENTRAT VO 49-1 COLISTINE 400 PORC ET AGNEAU-CHEVREAU SEVRES</t>
  </si>
  <si>
    <t>CONCENTRAT VO 49-2 COLISTINE 200 LAPIN-VOLAILLE-PORC ET AGNEAU-CHEVREAU SEVRES</t>
  </si>
  <si>
    <t>CONCENTRAT VO 57 APRAMYCINE 20 PORC-LAPIN</t>
  </si>
  <si>
    <t>CONCENTRAT VO 59-1 NEOMYCINE 80 PORC</t>
  </si>
  <si>
    <t>CONCENTRAT VO 59-2 NEOMYCINE 40 LAPIN-VOLAILLE-PORC</t>
  </si>
  <si>
    <t>CRD 92</t>
  </si>
  <si>
    <t>CYCLO SPRAY</t>
  </si>
  <si>
    <t>CYCLOSOL 200 LA</t>
  </si>
  <si>
    <t>DENAGARD INJECTABLE 162,2</t>
  </si>
  <si>
    <t>DENAGARD SOLUTION BUVABLE</t>
  </si>
  <si>
    <t>DFV DOXIVET 200 MG/ML SOLUTION POUR ADMINISTRATION DANS L'EAU DE BOISSON POUR PORCS ET POULETS</t>
  </si>
  <si>
    <t>DHS 50 COOPHAVET</t>
  </si>
  <si>
    <t>DIMERAL TS PORCIN</t>
  </si>
  <si>
    <t>DOPHALIN 400 MG/G POUDRE POUR ADMINISTRATION DANS L'EAU DE BOISSON</t>
  </si>
  <si>
    <t>DOXX-SOL 433 MG/G POUDRE POUR ADMINISTRATION DANS L'EAU DE BOISSON/LE SUBSTITUT DE LAIT POUR LES VEAUX PRE-RUMINANTS LES PORCS ET LES POULES</t>
  </si>
  <si>
    <t>DOXY 2% PM</t>
  </si>
  <si>
    <t>DOXY 20 FRANVET</t>
  </si>
  <si>
    <t>DOXY 4% PM</t>
  </si>
  <si>
    <t>DOXY 5 FRANVET</t>
  </si>
  <si>
    <t>DOXYCYCLINE CALIER 500 MG/G POUDRE POUR ADMINISTRATION DANS L'EAU DE BOISSON POUR POULETS, DINDES ET PORCINS</t>
  </si>
  <si>
    <t>DOXYLIN 867 MG/G POUDRE POUR ADMINISTRATION DANS L’EAU DE BOISSON/LE LAIT POUR VEAUX ET PORCS</t>
  </si>
  <si>
    <t>DOXYPRO 200 MG / G POUDRE ORALE VEAUX</t>
  </si>
  <si>
    <t>DOXYSOL 10 %</t>
  </si>
  <si>
    <t>DOXYVAL 20 %</t>
  </si>
  <si>
    <t>DOXYVETO-C 433 MG/G POUDRE POUR ADMINISTRATION DANS L'EAU DE BOISSON / LE LAIT DE REMPLACEMENT POUR LES BOVINS, PORCINS ET POULETS</t>
  </si>
  <si>
    <t>DRAXXIN 100 MG/ML SOLUTION INJECTABLE POUR BOVINS, PORCINS ET OVINS</t>
  </si>
  <si>
    <t>DRAXXIN 25 MG/ML SOLUTION INJECTABLE POUR PORCINS</t>
  </si>
  <si>
    <t>DUPHACYCLINE LA</t>
  </si>
  <si>
    <t>DUPHAMOX LA</t>
  </si>
  <si>
    <t>EFICUR 50 MG/ML SUSPENSION INJECTABLE POUR PORCINS ET BOVINS</t>
  </si>
  <si>
    <t>EMERICID SULFADIMETHOXINE</t>
  </si>
  <si>
    <t>ENGEMYCINE 10 %</t>
  </si>
  <si>
    <t>ENROTRON 100 MG/ML SOLUTION BUVABLE POUR POULES, DINDES ET LAPINS</t>
  </si>
  <si>
    <t>EQUIBACTIN VET (333 MG/G + 67 MG/G) PATE ORALE POUR CHEVAUX</t>
  </si>
  <si>
    <t>EQUIBACTIN VET 250 MG/G + 50 MG/G POUDRE ORALE POUR CHEVAUX</t>
  </si>
  <si>
    <t>ERYTHROCINE 200</t>
  </si>
  <si>
    <t>EXCENEL 1 G</t>
  </si>
  <si>
    <t>EXCENEL 4 G</t>
  </si>
  <si>
    <t>EXCENEL FLOW 50 MG/ML SUSPENSION INJECTABLE POUR PORCINS ET BOVINS</t>
  </si>
  <si>
    <t>FACEL H.L.</t>
  </si>
  <si>
    <t>FLORDOFEN 300 MG/ML SOLUTION INJECTABLE POUR BOVINS ET PORCINS</t>
  </si>
  <si>
    <t>FLORFENIKEL 300 MG/ML SOLUTION INJECTABLE POUR BOVINS ET PORCINS</t>
  </si>
  <si>
    <t>FLORGANE 300 MG/ML SUSPENSION INJECTABLE POUR BOVINS ET PORCINS</t>
  </si>
  <si>
    <t>FLORKEM 300 MG/ML SOLUTION INJECTABLE POUR BOVINS ET PORCINS</t>
  </si>
  <si>
    <t>FLOXIBAC 100 MG/ML SOLUTION INJECTABLE POUR BOVINS ET PORCINS</t>
  </si>
  <si>
    <t>FLOXIBAC 50 MG/ML SOLUTION INJECTABLE POUR BOVINS, PORCINS, CHIENS ET CHATS</t>
  </si>
  <si>
    <t>FLOXYME 50 MG/ML SOLUTION POUR EAU DE BOISSON</t>
  </si>
  <si>
    <t>FLUMIQUIL POUDRE A 10 %</t>
  </si>
  <si>
    <t>FLUMIQUIL POUDRE A 3 %</t>
  </si>
  <si>
    <t>FLUMISOL 36 %</t>
  </si>
  <si>
    <t>FLUMIX FLUMEQUINE 160 SALMONIDES</t>
  </si>
  <si>
    <t>FORCYL 160 MG/ML SOLUTION INJECTABLE POUR BOVINS</t>
  </si>
  <si>
    <t>FORCYL SWINE 160 MG/ML SOLUTION INJECTABLE POUR PORCINS</t>
  </si>
  <si>
    <t>FORTICINE SOLUTION</t>
  </si>
  <si>
    <t>FRAMOX 50</t>
  </si>
  <si>
    <t>G.4</t>
  </si>
  <si>
    <t>GABBROVET 140 MG/ML SOLUTION POUR ADMINISTRATION DANS L’EAU DE BOISSON LE LAIT OU L’ALIMENT D’ALLAITEMENT POUR BOVINS PRE-RUMINANTS ET PORCS</t>
  </si>
  <si>
    <t>HYDRODOXX 500 MG/G POUDRE POUR ADMINISTRATION DANS L'EAU DE BOISSON POUR POULETS ET PORCS</t>
  </si>
  <si>
    <t>INOXYL ACIDE OXOLINIQUE 240 SALMONIDES</t>
  </si>
  <si>
    <t>INOXYL BOLUS</t>
  </si>
  <si>
    <t>INOXYL PATE ORALE</t>
  </si>
  <si>
    <t>INOXYL POUDRE ORALE</t>
  </si>
  <si>
    <t>INOXYL SOLUTION BUVABLE</t>
  </si>
  <si>
    <t>KEFLORIL 300 MG/ML SOLUTION INJECTABLE POUR BOVINS ET PORCINS</t>
  </si>
  <si>
    <t>K-VET DOXYCYCLINE 50 MG/G POUDRE</t>
  </si>
  <si>
    <t>K-VET OTC 500 MG/G POUDRE POUR ADMINISTRATION DANS L’EAU DE BOISSON, LE LAIT ET L’ALIMENT D’ALLAITEMENT</t>
  </si>
  <si>
    <t>K-VET TYLOSINE 92 000 UI/G POUDRE ORALE PORCS</t>
  </si>
  <si>
    <t>LANFLOX 100 MG/ML SOLUTION POUR UTILISATION DANS L'EAU DE BOISSON POUR POULETS ET DINDES</t>
  </si>
  <si>
    <t>LINCOCINE 400 MG/G POUDRE POUR ADMINISTRATION DANS L’EAU DE BOISSON</t>
  </si>
  <si>
    <t>LINCOCINE SOLUTION</t>
  </si>
  <si>
    <t>LINCOMYCINE 22 PNEUMONIE PORC FRANVET</t>
  </si>
  <si>
    <t>LINCOMYCINE 8.8 ENTERITE PORC FRANVET</t>
  </si>
  <si>
    <t>LINCO-SPECTIN 100, 222/444,7 MG/G POUDRE POUR ADMINISTRATION DANS L'EAU DE BOISSON POUR PORCINS ET POULETS</t>
  </si>
  <si>
    <t>LINCO-SPECTIN INJECTABLE</t>
  </si>
  <si>
    <t>LINSPEC 50/100 MG/ML SOLUTION INJECTABLE POUR CHIENS CHATS PORCINS ET VEAUX PRE-RUMINANTS</t>
  </si>
  <si>
    <t>MARBOCYL 10 %</t>
  </si>
  <si>
    <t>MARBOCYL 2 %</t>
  </si>
  <si>
    <t>MARBOCYL BOLUS</t>
  </si>
  <si>
    <t>MARBOX 100 MG/ML SOLUTION INJECTABLE POUR BOVINS ET PORCINS</t>
  </si>
  <si>
    <t>MARFLOQUIN 100 MG/ML SOLUTION INJECTABLE POUR BOVINS ET PORCINS (TRUIES)</t>
  </si>
  <si>
    <t>MARFLOQUIN 20 MG/ML SOLUTION INJECTABLE POUR BOVINS (VEAUX) ET PORCINS</t>
  </si>
  <si>
    <t>MASTIPLAN LC</t>
  </si>
  <si>
    <t>MASTITAR HL</t>
  </si>
  <si>
    <t>MAYLOSINE POUDRE POUR SOLUTION BUVABLE POUR VOLAILLES PORCINS ET VEAUX</t>
  </si>
  <si>
    <t>METHOXASOL 20/100 MG/ML, SOLUTION POUR UTILISATION DANS L'EAU DE BOISSON POUR PORCS ET POULETS</t>
  </si>
  <si>
    <t>MOXAPULVIS 500 MG/G POUDRE POUR ADMINISTRATION DANS L'EAU DE BOISSON</t>
  </si>
  <si>
    <t>MULTISHIELD DC SUSPENSION INTRAMAMMAIRE POUR VACHES</t>
  </si>
  <si>
    <t>MYCOFLOR 300 MG/ML SOLUTION INJECTABLE POUR BOVINS ET PORCINS</t>
  </si>
  <si>
    <t>NAXCEL 100 MG/ML SUSPENSION INJECTABLE POUR PORCINS</t>
  </si>
  <si>
    <t>NAXCEL 200 MG/ML SUSPENSION INJECTABLE POUR BOVINS</t>
  </si>
  <si>
    <t>NEO 50 FRANVET</t>
  </si>
  <si>
    <t>NEOMYCINE 50 COOPHAVET</t>
  </si>
  <si>
    <t>NIFENCOL 100 MG/ML SOLUTION POUR ADMINISTRATION DANS L'EAU DE BOISSONS POUR PORCINS</t>
  </si>
  <si>
    <t>NIFENCOL 300 MG/ML SOLUTION INJECTABLE POUR BOVINS ET PORCINS</t>
  </si>
  <si>
    <t>NOROCLAV SUSPENSION INTRAMAMMAIRE POUR VACHES EN LACTATION</t>
  </si>
  <si>
    <t>NUFLOR 300 MG/ML SOLUTION INJECTABLE POUR BOVINS ET OVINS</t>
  </si>
  <si>
    <t>NUFLOR 450 SOLUTION INJECTABLE POUR BOVINS</t>
  </si>
  <si>
    <t>OCTACILLIN 697 MG/G POUDRE POUR ADMINISTRATION DANS L'EAU DE BOISSON DES PORCS</t>
  </si>
  <si>
    <t>OCTACILLIN 697 MG/G POUDRE POUR ADMINISTRATION DANS L'EAU DE BOISSONS DES POULETS</t>
  </si>
  <si>
    <t>OPHTOCYCLINE POMMADE OPHTALMIQUE POUR CHIENS CHATS ET CHEVAUX</t>
  </si>
  <si>
    <t>ORBENIN HORS LACTATION</t>
  </si>
  <si>
    <t>ORBENIN LONGUE ACTION</t>
  </si>
  <si>
    <t>ORBENOR HORS LACTATION</t>
  </si>
  <si>
    <t>OTC 50 FRANVET</t>
  </si>
  <si>
    <t>OXOMID 20</t>
  </si>
  <si>
    <t>OXYTETRACYCLINE 10 % VETOQUINOL</t>
  </si>
  <si>
    <t>OXYTETRACYCLINE 100-CR PORC ET AGNEAU-CHEVREAU SEVRES FRANVET</t>
  </si>
  <si>
    <t>OXYTETRACYCLINE 40-CR LAPIN-VOLAILLE-PORC ET AGNEAU-CHEVREAU SEVRES FRANVET</t>
  </si>
  <si>
    <t>OXYTETRACYCLINE 5 % VETOQUINOL</t>
  </si>
  <si>
    <t>OXYTETRACYCLINE 50 % VIRBAC</t>
  </si>
  <si>
    <t>OXYTETRIN P</t>
  </si>
  <si>
    <t>PANGRAM 4 %</t>
  </si>
  <si>
    <t>PAROFOR 140 MG/ML SOLUTION POUR ADMINISTRATION DANS L'EAU DE BOISSON LE LAIT OU L'ALIMENT D'ALLAITEMENT POUR BOVINS PRERUMINANTS ET PORCS</t>
  </si>
  <si>
    <t>PAROFOR 70000 UI/G POUDRE POUR ADMINISTRATION DANS L'EAU DE BOISSON LE LAIT OU L'ALIMENT D'ALLAITEMENT POUR BOVINS PRERUMINANTS ET PORCS</t>
  </si>
  <si>
    <t>PEN-HISTA-STREP</t>
  </si>
  <si>
    <t>PENI DHS COOPHAVET</t>
  </si>
  <si>
    <t>PERLIUM AMOXIVAL AMOXICILLINE 100 PREMELANGE MEDICAMENTEUX PORC</t>
  </si>
  <si>
    <t>PERLIUM DOXYVAL DOXYCYCLINE 40 PREMELANGE MEDICAMENTEUX PORCS</t>
  </si>
  <si>
    <t>PHARMASIN 100 PREMELANGE MEDICAMENTEUX VOLAILLES PORCS</t>
  </si>
  <si>
    <t>PHARMASIN 20 G/KG PREMELANGE MEDICAMENTEUX VOLAILLES PORCS</t>
  </si>
  <si>
    <t>PHARMASIN 200 MG/ML SOLUTION INJECTABLE POUR BOVINS OVINS CAPRINS ET PORCINS</t>
  </si>
  <si>
    <t>PHENOCILLIN 800 MG/G POUDRE POUR ADMINISTRATION DANS L'EAU DE BOISSON POUR POULETS</t>
  </si>
  <si>
    <t>PHENOXYPEN WSP</t>
  </si>
  <si>
    <t>PIRSUE 5 MG/ML SOLUTION INTRAMAMMAIRE POUR BOVINS</t>
  </si>
  <si>
    <t>PM 113 C60/M30</t>
  </si>
  <si>
    <t>PM 113 LACT</t>
  </si>
  <si>
    <t>PM 11-B COLISTINE 400 PORC-AGNEAU ET CHEVREAU SEVRES</t>
  </si>
  <si>
    <t>PM 16-B CHLORTETRACYCLINE 100 PORC-AGNEAU ET CHEVREAU SEVRES</t>
  </si>
  <si>
    <t>PM 17-A OXYTETRACYCLINE 40 LAPIN-VOLAILLE-PORC-AGNEAU ET CHEVREAU SEVRES</t>
  </si>
  <si>
    <t>PNEUMOSPECTIN 50/100 MG/ML SOLUTION INJECTABLE</t>
  </si>
  <si>
    <t>PO 11 COLISTINE 100 LAPIN - VOLAILLE - PORC - VEAU</t>
  </si>
  <si>
    <t>PO 121 AMPICILLINE 10 VOLAILLE-PORC-VEAU-AGNEAU-CHEVREAU</t>
  </si>
  <si>
    <t>PREMELANGE MEDICAMENTEUX Z 27</t>
  </si>
  <si>
    <t>PREMELANGE MEDICAMENTEUX Z 29</t>
  </si>
  <si>
    <t>PREMELANGE MEDICAMENTEUX Z 30</t>
  </si>
  <si>
    <t>PROCACTIVE SUSPENSION INJECTABLE POUR BOVINS ET PORCINS</t>
  </si>
  <si>
    <t>PS OXYTETRACYCLINE AQUACULTURE</t>
  </si>
  <si>
    <t>PULMODOX DOXYCYCLINE 50 PORC</t>
  </si>
  <si>
    <t>PULMODOX P.O.S. 5 %</t>
  </si>
  <si>
    <t>PULMOTIL AC</t>
  </si>
  <si>
    <t>PULMOVAL CHLORTETRACYCLINE 100 PORC ET AGNEAU-CHEVREAU SEVRES</t>
  </si>
  <si>
    <t>PULMOVAL CHLORTETRACYCLINE 40 LAPIN-VOLAILLE-PORC ET AGNEAU-CHEVREAU SEVRES</t>
  </si>
  <si>
    <t>QUINOEX 2,5 % SOLUTION BUVABLE POUR VEAUX</t>
  </si>
  <si>
    <t>QUINOFLOX 10% SOLUTION BUVABLE</t>
  </si>
  <si>
    <t>QUINOTRYL 100 MG/ML SOLUTION INJECTABLE POUR BOVINS ET PORCINS</t>
  </si>
  <si>
    <t>QUINOTRYL 50 MG/ML SOLUTION INJECTABLE POUR BOVINS ET PORCINS</t>
  </si>
  <si>
    <t>READYCEF 50 MG/ML SUSPENSION INJECTABLE POUR PORCINS ET BOVINS</t>
  </si>
  <si>
    <t>RESFLOR SOLUTION INJECTABLE</t>
  </si>
  <si>
    <t>RILEXINE H.L.</t>
  </si>
  <si>
    <t>RILEXINE TRAITEMENT</t>
  </si>
  <si>
    <t>RONAXAN 500 MG/G</t>
  </si>
  <si>
    <t>RONAXAN CONCENTRE 20 %</t>
  </si>
  <si>
    <t>RONAXAN DOXYCYCLINE 20 POULET</t>
  </si>
  <si>
    <t>RONAXAN P.S. 5 %</t>
  </si>
  <si>
    <t>SANTAMIX OTC SDM 60</t>
  </si>
  <si>
    <t>SELECTAN ORAL 23 MG/ML SOLUTION A DILUER POUR ADMINISTRATION DANS L'EAU DE BOISSON</t>
  </si>
  <si>
    <t>SEPTOTRYL INJECTABLE</t>
  </si>
  <si>
    <t>SODICOLY INJECTABLE</t>
  </si>
  <si>
    <t>SOGECOLI 2 MILLIONS UI/ML SOLUTION BUVABLE</t>
  </si>
  <si>
    <t>SOGETYL 100 MUI POUDRE POUR SOLUTION BUVABLE POUR VEAUX PORCINS ET VOLAILLES</t>
  </si>
  <si>
    <t>SOLDOXIN 100 MG/ML SOLUTION BUVABLE POUR POULES POULETS ET PORCINS</t>
  </si>
  <si>
    <t>SOLUDOX 433 MG/G POUDRE POUR ADMINISTRATION DANS L'EAU DE BOISSON POUR PORCS ET POULETS</t>
  </si>
  <si>
    <t>SPECTAM SOLUTION INJECTABLE</t>
  </si>
  <si>
    <t>SPECTRON 100 MG/ML SOLUTION POUR UTILISATION DANS L'EAU DE BOISSON POUR POULES ET DINDES</t>
  </si>
  <si>
    <t>STRENZEN 500/125 MG/G POUDRE POUR EAU DE BOISSON POUR PORCS</t>
  </si>
  <si>
    <t>SUANOVIL 20</t>
  </si>
  <si>
    <t>SUANOVIL 50</t>
  </si>
  <si>
    <t>SULFADI 500</t>
  </si>
  <si>
    <t>SULFADIMERAZINE QALIAN</t>
  </si>
  <si>
    <t>SULFADIMETHOXINE 100-CR LAPIN-VOLAILLE-PORC ET AGNEAU-CHEVREAU SEVRES FRANVET</t>
  </si>
  <si>
    <t>SULFADIMETHOXINE-TRIMETHOPRIME 62,5-12,5 PORC ET VEAU-AGNEAU-CHEVREAU SEVRES SANTAMIX</t>
  </si>
  <si>
    <t>SULTRIVAL TRIMETHOPRIME/SULFADIAZINE 20/92 PORC</t>
  </si>
  <si>
    <t>SUNIX AC POUDRE</t>
  </si>
  <si>
    <t>SUNIX LIQUIDE</t>
  </si>
  <si>
    <t>SURAMOX 10 SUSPENSION INJECTABLE</t>
  </si>
  <si>
    <t>SURAMOX 15 % LA</t>
  </si>
  <si>
    <t>SURAMOX 50 POUDRE ORALE PORC</t>
  </si>
  <si>
    <t>SURAMOX 50 POUDRE ORALE VOLAILLE</t>
  </si>
  <si>
    <t>SURAMOX 50 PREMELANGE MEDICAMENTEUX</t>
  </si>
  <si>
    <t>SYNULOX 500 MG OGIVETTES</t>
  </si>
  <si>
    <t>SYNULOX INTRAMAMMAIRE</t>
  </si>
  <si>
    <t>SYNULOX SUSPENSION</t>
  </si>
  <si>
    <t>T.S.-SOL 20/100 MG/ML SOLUTION POUR ADMINISTRATION DANS L'EAU DE BOISSON POUR PORCS ET POULETS</t>
  </si>
  <si>
    <t>TAF SPRAY 28,5 MG/G SOLUTION POUR PULVERISATION CUTANEE</t>
  </si>
  <si>
    <t>TENALINE L.A.</t>
  </si>
  <si>
    <t>TERRALON 20 % LA</t>
  </si>
  <si>
    <t>TERRAMYCINE LONGUE ACTION</t>
  </si>
  <si>
    <t>TERRAMYCINE SOLUTION INJECTABLE</t>
  </si>
  <si>
    <t>TETRACYCLINE 50 COOPHAVET</t>
  </si>
  <si>
    <t>TETRAVAL 50 % POUDRE POUR SOLUTION BUVABLE POUR VEAUX PORCINS ET VOLAILLES</t>
  </si>
  <si>
    <t>TETROXY VET 200 MG/ML SOLUTION INJECTABLE POUR BOVINS OVINS ET PORCINS</t>
  </si>
  <si>
    <t>TIALIN 101,2 MG/ML SOLUTION POUR ADMINISTRATION DANS L'EAU DE BOISSON DES PORCINS, DES POULETS ET DES DINDES</t>
  </si>
  <si>
    <t>TIALIN 202,4 MG/ML SOLUTION POUR ADMINISTRATION DANS L'EAU DE BOISSON DES PORCINS, DES POULETS ET DES DINDES</t>
  </si>
  <si>
    <t>TIAMULINE 16,2 PNEUMONIE VOLAILLE PORC FRANVET</t>
  </si>
  <si>
    <t>TIAMULINE 6,5 ENTERITE PORC ENTEROCOLITE LAPIN FRANVET</t>
  </si>
  <si>
    <t>TIAMUVAL PREMELANGE MEDICAMENTEUX TIAMULINE 16,2 PNEUMONIE VOLAILLE-PORC</t>
  </si>
  <si>
    <t>TIAMUVAL PREMELANGE MEDICAMENTEUX TIAMULINE 6,5 ENTERITE PORC ENTEROCOLITE LAPIN</t>
  </si>
  <si>
    <t>TIAMVET SOLUTION</t>
  </si>
  <si>
    <t>TILDOSIN 250 MG/ML SOLUTION POUR ADMINISTRATION DANS L'EAU DE BOISSON OU LAIT DE REMPLACEMENT POUR BOVINS, PORCINS, POULETS ET DINDES</t>
  </si>
  <si>
    <t>TILMOVET 250 MG/ML SOLUTION BUVABLE</t>
  </si>
  <si>
    <t>TILMOVET 300 MG/ML SOLUTION INJECTABLE POUR BOVINS ET OVINS</t>
  </si>
  <si>
    <t>TILMOVET 40 G/KG PREMELANGE MEDICAMENTEUX POUR PORCS ET LAPINS</t>
  </si>
  <si>
    <t>TRANSGRAM ORAL</t>
  </si>
  <si>
    <t>TRIBRISSEN INJECTABLE</t>
  </si>
  <si>
    <t>TRIBRISSEN POISSONS</t>
  </si>
  <si>
    <t>TRIMEDOXYNE ORALE</t>
  </si>
  <si>
    <t>TRIMETHOSULFA V</t>
  </si>
  <si>
    <t>TRISULMIX INJECTABLE</t>
  </si>
  <si>
    <t>TRISULMIX LIQUIDE</t>
  </si>
  <si>
    <t>TRISULMIX POUDRE</t>
  </si>
  <si>
    <t>TRYMOX LA 150 MG/ML SUSPENSION INJECTABLE POUR BOVINS OVINS PORCINS CHIENS ET CHATS</t>
  </si>
  <si>
    <t>TULOXXIN 100 MG/ML SOLUTION INJECTABLE POUR BOVINS PORCINS ET OVINS</t>
  </si>
  <si>
    <t>TYLAN 100 PREMIX</t>
  </si>
  <si>
    <t>TYLAN SOLUBLE 100 %</t>
  </si>
  <si>
    <t>TYLOGRAN 100 %</t>
  </si>
  <si>
    <t>TYLOSOL 9,2</t>
  </si>
  <si>
    <t>TYLUCYL 200 MG/ML SOLUTION INJECTABLE POUR BOVINS ET PORCINS</t>
  </si>
  <si>
    <t>UBROLEXIN SUSPENSION INTRAMAMMAIRE POUR VACHES LAITIERES EN LACTATION</t>
  </si>
  <si>
    <t>UBROPEN SUSPENSION INTRAMAMMAIRE POUR VACHES EN LACTATION</t>
  </si>
  <si>
    <t>UBROSTAR SUSPENSION INTRAMAMMAIRE HORS LACTATION POUR BOVINS</t>
  </si>
  <si>
    <t>VETMULIN 101,2 MG/ML SOLUTION A DILUER DANS L'EAU DE BOISSON POUR PORCS</t>
  </si>
  <si>
    <t>VETMULIN 101,2 MG/ML SOLUTION POUR ADMINISTRATION DANS L'EAU DE BOISSON POUR PORCINS ET POULES PONDEUSES</t>
  </si>
  <si>
    <t>VETMULIN 16,2 MG/G PREMELANGE MEDICAMENTEUX POUR PORCS, POULETS, DINDES ET LAPINS</t>
  </si>
  <si>
    <t>VETMULIN 162 MG/ML SOLUTION INJECTABLE POUR PORCS</t>
  </si>
  <si>
    <t>VETMULIN 364 MG/G GRANULES POUR SOLUTION BUVABLE POUR PORCS POULETS ET DINDONS</t>
  </si>
  <si>
    <t>VETMULIN 81 MG/G PREMELANGE MEDICAMENTEUX POUR PORCS, POULETS, DINDES ET LAPINS</t>
  </si>
  <si>
    <t>VETO-ANTI-DIAR</t>
  </si>
  <si>
    <t>VETOCOLI POUDRE SOLUBLE</t>
  </si>
  <si>
    <t>VETRIMOXIN 48 HEURES</t>
  </si>
  <si>
    <t>VETRIMOXIN 50</t>
  </si>
  <si>
    <t>VETRIMOXIN P.O.</t>
  </si>
  <si>
    <t>VOLACRINE SULFA</t>
  </si>
  <si>
    <t>ZACTRAN 150 MG/ML SOLUTION INJECTABLE POUR BOVINS OVINS ET PORCINS</t>
  </si>
  <si>
    <t>ZELERIS SOLUTION INJECTABLE POUR BOVINS</t>
  </si>
  <si>
    <t>ZUPREVO 180 MG/ML SOLUTION INJECTABLE POUR BOVINS</t>
  </si>
  <si>
    <t>ZUPREVO 40 MG/ML SOLUTION INJECTABLE POUR PORCINS</t>
  </si>
  <si>
    <t>Antibiotiques critiques / à limiter</t>
  </si>
  <si>
    <t>STOP M</t>
  </si>
  <si>
    <t>PENETAVET</t>
  </si>
  <si>
    <t>PENETHAONE 182,5 MG/ML POUDRE ET SOLVANT POUR SUSPENSION INJECTABLE POUR BOVINS</t>
  </si>
  <si>
    <t>PERMACYL 182,5 MG/ML POUDRE ET SOLVANT POUR SUSPENSION INJECTABLE POUR BOVINS</t>
  </si>
  <si>
    <t>REVOZYN RTU 308,8 MG/ML SUSPENSION INJECTABLE POUR BOVINS</t>
  </si>
  <si>
    <t>Unité</t>
  </si>
  <si>
    <t>(facultatif) nomination du groupe d'animaux</t>
  </si>
  <si>
    <t>Antibiotique utilisé</t>
  </si>
  <si>
    <t>PAR ANIMAUX</t>
  </si>
  <si>
    <t>ATB utilisé</t>
  </si>
  <si>
    <t>Subst 2</t>
  </si>
  <si>
    <t>Subst 3</t>
  </si>
  <si>
    <t>Subst 1</t>
  </si>
  <si>
    <t>Fam 1</t>
  </si>
  <si>
    <t>Fam 2</t>
  </si>
  <si>
    <t>Fam 3</t>
  </si>
  <si>
    <t>Non trié</t>
  </si>
  <si>
    <t>Trié</t>
  </si>
  <si>
    <t>Non tiré</t>
  </si>
  <si>
    <t>ATB non trié</t>
  </si>
  <si>
    <t>ATB trié</t>
  </si>
  <si>
    <t xml:space="preserve">ATB </t>
  </si>
  <si>
    <t>nb traitement</t>
  </si>
  <si>
    <t>PAR LOTS</t>
  </si>
  <si>
    <t>PAR kg</t>
  </si>
  <si>
    <t>Traitements</t>
  </si>
  <si>
    <t>/!\</t>
  </si>
  <si>
    <t>Substance antibiotique</t>
  </si>
  <si>
    <t>Famille d'antibiotiques</t>
  </si>
  <si>
    <t>Médicament utilisé</t>
  </si>
  <si>
    <t>Résultats par lot</t>
  </si>
  <si>
    <t>Dans cet outil, le nombre de traitement aux antibiotiques par unité étudiée (animal, lot, kg, UGB) se calcule grâce à une formule qui nécessite de recenser le nombre de traitement réalisé sur un pas de temps déterminé.
La formule choisie dans cet outil permet de s’affranchir de la posologie du médicament et du poids des animaux traités. Simplifiée, elle peut s’utiliser uniquement à l’aide du carnet sanitaire de l’exploitation. À la fin du calcul, on obtient un résultat réel mais qui peut toutefois manquer de justesse quand il s’agît de le comparer. 
C’est la raison pour laquelle il est important de définir avec précision les termes de la formule afin qu’ils soient utilisés d’une manière constante. L’intérêt est d’obtenir des résultats qui puissent être comparés dans le temps :</t>
  </si>
  <si>
    <t>Mois</t>
  </si>
  <si>
    <t>Voie d'administration</t>
  </si>
  <si>
    <t>VOIE D'ADMINISTRATION</t>
  </si>
  <si>
    <t>Tous</t>
  </si>
  <si>
    <t>Filtrer par :</t>
  </si>
  <si>
    <t>Toutes</t>
  </si>
  <si>
    <t>GROUPE</t>
  </si>
  <si>
    <t>AGE</t>
  </si>
  <si>
    <t>ATELIER</t>
  </si>
  <si>
    <t>ESPECE</t>
  </si>
  <si>
    <t>Voie parentérale</t>
  </si>
  <si>
    <t>Voie orale  hors prémélanges médicamenteux</t>
  </si>
  <si>
    <t>Voie externe</t>
  </si>
  <si>
    <t>Voie intramammaire</t>
  </si>
  <si>
    <t>Prémélanges médicamenteux</t>
  </si>
  <si>
    <t>Voie intra-utérine</t>
  </si>
  <si>
    <t>Voies parentérale et orale</t>
  </si>
  <si>
    <t>ACIDE OXOLINIQUE 30 VOLAILLE FRANVET</t>
  </si>
  <si>
    <t>ACIDE OXOLINIQUE 60 PORC FRANVET</t>
  </si>
  <si>
    <t>ACTIONIS 50 MG/ML SUSPENSION INJECTABLE POUR PORCINS ET BOVINS</t>
  </si>
  <si>
    <t>AIVLOSIN 625 MG/G GRANULES POUR ADMINISTRATION DANS L'EAU DE BOISSON POUR FAISANS</t>
  </si>
  <si>
    <t>ALLEGROCINE</t>
  </si>
  <si>
    <t>AMPHEN 200 MG/G GRANULES POUR SOLUTION BUVABLE POUR PORCS</t>
  </si>
  <si>
    <t>AMPIDIAR</t>
  </si>
  <si>
    <t>AMPIMYCINE DEX</t>
  </si>
  <si>
    <t>ANTI CORYZA MOUREAU</t>
  </si>
  <si>
    <t>APRALAN APRAMYCINE 20-SJ PORC-LAPIN</t>
  </si>
  <si>
    <t>AXENTYL</t>
  </si>
  <si>
    <t>BAYTRIL 1NJECT PORC</t>
  </si>
  <si>
    <t>BELCOMYCINE S</t>
  </si>
  <si>
    <t>BIOTORNIS</t>
  </si>
  <si>
    <t>CAFMIX ACIDE OXOLINIQUE 80 PORC</t>
  </si>
  <si>
    <t>CAFMIX LINCOMYCINE 22 PNEUMONIE PORC</t>
  </si>
  <si>
    <t>CAFMIX LINCOMYCINE 8.8 ENTERITE PORC</t>
  </si>
  <si>
    <t>CAPTALIN</t>
  </si>
  <si>
    <t>CEFENIL RTU VET 50 MG/ML SUSPENSION INJECTABLE POUR PORCS ET BOVINS</t>
  </si>
  <si>
    <t>CEFOKEL 50 MG/ML SUSPENSION INJECTABLE POUR PORCINS ET BOVINS</t>
  </si>
  <si>
    <t>CHLORTERACYCLINE 0,50G VETOQUINOL</t>
  </si>
  <si>
    <t>CLOXAMAM</t>
  </si>
  <si>
    <t>COBACTAN 4,5 % PS</t>
  </si>
  <si>
    <t>COFALAC</t>
  </si>
  <si>
    <t>COFAMIX ACIDE OXOLINIQUE 40 VOLAILLE</t>
  </si>
  <si>
    <t>COFAMIX ACIDE OXOLINIQUE 80 porc</t>
  </si>
  <si>
    <t>COFOXYL PO</t>
  </si>
  <si>
    <t>COLFEN 300 MG/ML SOLUTION INJECTABLE POUR BOVINS ET PORCINS</t>
  </si>
  <si>
    <t>COLICLOX POMMADE</t>
  </si>
  <si>
    <t>COLIDIARYL</t>
  </si>
  <si>
    <t>COLIPATE</t>
  </si>
  <si>
    <t>COLISULTRIX POUDRE</t>
  </si>
  <si>
    <t>COMPOMIX V COLI 1.000</t>
  </si>
  <si>
    <t>CONCENTRAT V002 SPIRA 100</t>
  </si>
  <si>
    <t>CONCENTRAT V028</t>
  </si>
  <si>
    <t>CONCENTRAT V050 TS</t>
  </si>
  <si>
    <t>CONCENTRAT V061 LINCOMYCINE 4.4 SPECTINOMYCINE 4.4 PORC</t>
  </si>
  <si>
    <t>CONCENTRAT V069 ACIDE OXOLINIQUE 80 PORC</t>
  </si>
  <si>
    <t>DIATRIM 200 MG/ML + 40 MG/ML  SOLUTION INJECTABLE</t>
  </si>
  <si>
    <t>DICLOMAM TARISSEMENT</t>
  </si>
  <si>
    <t>DICURAL 100 MG/ML SOLUTION ORALE POUR POULES ET DINDES</t>
  </si>
  <si>
    <t>Difloxacine</t>
  </si>
  <si>
    <t>DUOPRIM</t>
  </si>
  <si>
    <t>ENROCARE 10 % INJECTABLE POUR BOVINS ET PORCINS</t>
  </si>
  <si>
    <t>ENROCARE 5 % INJECTABLE POUR BOVINS PORCINS CHIENS ET CHATS</t>
  </si>
  <si>
    <t>ENROVAL 10 % SOLUTION BUVABLE POUR VOLAILLES</t>
  </si>
  <si>
    <t>ENTEROGEL 30</t>
  </si>
  <si>
    <t>ENZOO-GROUP</t>
  </si>
  <si>
    <t>ERYTAVICOL</t>
  </si>
  <si>
    <t>FLUMIVAL 10% SOLUTION ORALE POUR VOLAILLES ET VEAUX</t>
  </si>
  <si>
    <t>FLUQUICK POUDRE A 50 %</t>
  </si>
  <si>
    <t>HEMODIARH</t>
  </si>
  <si>
    <t>INTESTIVO</t>
  </si>
  <si>
    <t>KARIFLOX 10 % SOLUTION BUVABLE POUR POULES ET DINDES</t>
  </si>
  <si>
    <t>KELACYL 100 MG/ML SOLUTION INJECTABLE POUR BOVINS ET PORCINS</t>
  </si>
  <si>
    <t>LANFLOX 2,5%</t>
  </si>
  <si>
    <t>LINCOMYCINE 4.4 SPECTINOMYCINE 4.4 PORC FRANVET</t>
  </si>
  <si>
    <t>MARBOCARE 100 MG/ML SOLUTION INJECTABLE POUR BOVINS ET PORCINS</t>
  </si>
  <si>
    <t>MARBOCARE 20 MG/ML SOLUTION INJECTABLE POUR BOVINS ET PORCINS</t>
  </si>
  <si>
    <t>MARBOCYL S</t>
  </si>
  <si>
    <t>MARBONOR 100 MG/ML SOLUTION INJECTABLE POUR BOVINS ET PORCINS</t>
  </si>
  <si>
    <t>METRIJECTYL</t>
  </si>
  <si>
    <t>N.P. 8</t>
  </si>
  <si>
    <t>NEGEROL AEROSOL</t>
  </si>
  <si>
    <t>NEOMYCINE 50 % VIRBAC</t>
  </si>
  <si>
    <t>NORFENICOL 300 MG/ML SOLUTION INJECTABLE POUR BOVINS ET PORCINS</t>
  </si>
  <si>
    <t>NOROTYL LA 150 MG/ML SUSPENSION INJECTABLE</t>
  </si>
  <si>
    <t>NUFLOR MONO SOLUTION INJECTABLE 450 MG/ML POUR PORCINS</t>
  </si>
  <si>
    <t>NUFLOR PORCINS SOLUTION INJECTABLE 300 MG/ML</t>
  </si>
  <si>
    <t>OXOMID ACIDE OXOLINIQUE 240 SALMONIDES</t>
  </si>
  <si>
    <t>OXYCOLI</t>
  </si>
  <si>
    <t>OXYTETRACYCLINE 10 % COOPHAVET</t>
  </si>
  <si>
    <t>OXYTETRACYCLINE 100-B PORC ET AGNEAU-CHEVREAU SEVRES FRANVET</t>
  </si>
  <si>
    <t>OXYTETRACYCLINE 200-D VEAU-AGNEAU-CHEVREAU FRANVET</t>
  </si>
  <si>
    <t>PHADILACT</t>
  </si>
  <si>
    <t>PM 11-2 COLISTINE 400 PORC ET AGNEAU SEVRE</t>
  </si>
  <si>
    <t>PM 16-2 CHLORTETRACYCLINE 100 PORC ET AGNEAU-CHEVREAU SEVRES</t>
  </si>
  <si>
    <t>PM 17-B OXYTETRACYCLINE 100 PORC-AGNEAU ET CHEVREAU SEVRES</t>
  </si>
  <si>
    <t>PM 18-3 TIAMULINE 6.5 DELTAVIT ENTERITE PORC ENTEROCOLITE LAPIN</t>
  </si>
  <si>
    <t>PM 20 TILMICOSINE 40 PORCS</t>
  </si>
  <si>
    <t>PM 21 TYLOSINE 20 PORC-VOLAILLE</t>
  </si>
  <si>
    <t>PM 23 APRAMYCINE 20 PORC</t>
  </si>
  <si>
    <t>PM 27 LINCOMYCINE 4.4 SPECTINOMYCINE 4.4 PORC</t>
  </si>
  <si>
    <t>PM 35-A ACIDE OXOLINIQUE 80 PORC</t>
  </si>
  <si>
    <t>PREMELANGE MEDICAMENTEUX CS FRANVET</t>
  </si>
  <si>
    <t>PULMODOX 500 MG/G GRANULES POUR SOLUTION BUVABLE POUR PORCS, POULETS ET DINDES</t>
  </si>
  <si>
    <t>PULMOTIL TILMICOSINE 40 PORC-LAPIN</t>
  </si>
  <si>
    <t>RESPYTRIL 100 MG/ML SOLUTION INJECTABLE POUR BOVINS</t>
  </si>
  <si>
    <t>SANTAMIX TILMICOSINE 40 PORCINS - LAPINS</t>
  </si>
  <si>
    <t>SANTAMIX TYLO 20</t>
  </si>
  <si>
    <t>SEPTOTRYL-COLISTINE</t>
  </si>
  <si>
    <t>SHOTAFLOR 300 MG/ML SOLUTION INJECTABLE POUR BOVINS</t>
  </si>
  <si>
    <t>SHOTAFLOR 300 MG/ML SOLUTION INJECTABLE POUR PORCS</t>
  </si>
  <si>
    <t>SOGESTART</t>
  </si>
  <si>
    <t>SOLUCOL</t>
  </si>
  <si>
    <t>SOLUDOX 433 MG/G POUDRE POUR ADMINISTRATION DANS L'EAU DE BOISSON POUR DINDES</t>
  </si>
  <si>
    <t>SPECIORLAC</t>
  </si>
  <si>
    <t>STALIMOX 364.2 MG/G GRANULES POUR SOLUTION ORALE POUR PORCS</t>
  </si>
  <si>
    <t>SULFADIMERAZINE CSI</t>
  </si>
  <si>
    <t>SULFAMETHOX</t>
  </si>
  <si>
    <t>SURAMOX 10 POUDRE ORALE</t>
  </si>
  <si>
    <t>TENOTRYL 10 % SOLUTION BUVABLE</t>
  </si>
  <si>
    <t>TRULEVA FLOW 50 MG/ML SUSPENSION INJECTABLE POUR PORCINS ET BOVINS</t>
  </si>
  <si>
    <t>TYLAN 20 PREMIX</t>
  </si>
  <si>
    <t>UBIFLOX 100 MG/ML SOLUTION INJECTABLE POUR BOVINS ET PORCINS (TRUIES)</t>
  </si>
  <si>
    <t>UBIFLOX 20 MG/ML SOLUTION INJECTABLE POUR BOVINS ET PORCINS</t>
  </si>
  <si>
    <t>UCAMIX V COLISTINE 200 LAPIN-VOLAILLE-PORC ET VEAU-AGNEAU-CHEVREAU SEVRES</t>
  </si>
  <si>
    <t>UCAMIX V COLISTINE 400 PORC</t>
  </si>
  <si>
    <t>UCAMIX V OXYTETRACYCLINE 100 PORC</t>
  </si>
  <si>
    <t>UCAMIX V OXYTETRACYCLINE 40 LAPIN-VOLAILLE-PORC ET VEAU-AGNEAU-CHEVREAU SEVRES</t>
  </si>
  <si>
    <t>Ionophores</t>
  </si>
  <si>
    <t>DRAXXIN KP 100 MG/ML + 120 MG/ML SOLUTION INJECTABLE POUR BOVINS</t>
  </si>
  <si>
    <t>INFORMATIONS MEDICAMENTS</t>
  </si>
  <si>
    <t>PREMIER PRINCIPE ACTIF</t>
  </si>
  <si>
    <t>SECOND PRINCIPE ACTIF</t>
  </si>
  <si>
    <t>TROISIEME PRINCIPE ACTIF</t>
  </si>
  <si>
    <t>OPEN DATA</t>
  </si>
  <si>
    <t>PACK_GTIN_COD</t>
  </si>
  <si>
    <t>PACK_NAM</t>
  </si>
  <si>
    <t>PACKSIZE</t>
  </si>
  <si>
    <t>PACKSIZEU</t>
  </si>
  <si>
    <t>NAME</t>
  </si>
  <si>
    <t>FORM</t>
  </si>
  <si>
    <t>SPECIES AMM</t>
  </si>
  <si>
    <t>VOIE</t>
  </si>
  <si>
    <t>FAM_ASSOC</t>
  </si>
  <si>
    <t>FAM1_NAM</t>
  </si>
  <si>
    <t>ING1_NAM</t>
  </si>
  <si>
    <t>SALT1_NAM</t>
  </si>
  <si>
    <t>STRENGTH1</t>
  </si>
  <si>
    <t>STRENGHT1U</t>
  </si>
  <si>
    <t>CONV FACT1</t>
  </si>
  <si>
    <t>INGR1 CONTENT</t>
  </si>
  <si>
    <t>Dose B</t>
  </si>
  <si>
    <t>Durée B</t>
  </si>
  <si>
    <t>Dose CK</t>
  </si>
  <si>
    <t>Durée CK</t>
  </si>
  <si>
    <t>Dose E</t>
  </si>
  <si>
    <t>Durée E</t>
  </si>
  <si>
    <t>Dose F</t>
  </si>
  <si>
    <t>Durée F</t>
  </si>
  <si>
    <t>Dose L</t>
  </si>
  <si>
    <t>Durée L</t>
  </si>
  <si>
    <t>Dose OG</t>
  </si>
  <si>
    <t>Durée OG</t>
  </si>
  <si>
    <t>Dose P</t>
  </si>
  <si>
    <t>Durée P</t>
  </si>
  <si>
    <t>Dose V</t>
  </si>
  <si>
    <t>Durée V</t>
  </si>
  <si>
    <t>Dose Z</t>
  </si>
  <si>
    <t>Durée Z</t>
  </si>
  <si>
    <t>FAM2_NAM</t>
  </si>
  <si>
    <t>ING2_NAM</t>
  </si>
  <si>
    <t>SALT2_NAM</t>
  </si>
  <si>
    <t>STRENGTH2</t>
  </si>
  <si>
    <t>STRENGHT2U</t>
  </si>
  <si>
    <t>CONV FACT2</t>
  </si>
  <si>
    <t>INGR2 CONTENT</t>
  </si>
  <si>
    <t>FAM3_NAM</t>
  </si>
  <si>
    <t>ING3_NAM</t>
  </si>
  <si>
    <t>SALT3_NAM</t>
  </si>
  <si>
    <t>STRENGTH3</t>
  </si>
  <si>
    <t>STRENGHT3U</t>
  </si>
  <si>
    <t>CONV FACT3</t>
  </si>
  <si>
    <t>INGR3 CONTENT</t>
  </si>
  <si>
    <t>0093830</t>
  </si>
  <si>
    <t>05414736003023</t>
  </si>
  <si>
    <t>Flacon de 100 ml</t>
  </si>
  <si>
    <t>100</t>
  </si>
  <si>
    <t>ML</t>
  </si>
  <si>
    <t>INJ</t>
  </si>
  <si>
    <t>Bovins, Caprins, Equins, Ovins, Porcins</t>
  </si>
  <si>
    <t>TETRACYCLINES</t>
  </si>
  <si>
    <t>oxytetracycline</t>
  </si>
  <si>
    <t>92,70</t>
  </si>
  <si>
    <t>MG/ML</t>
  </si>
  <si>
    <t>1</t>
  </si>
  <si>
    <t>9,27</t>
  </si>
  <si>
    <t>05414736003030</t>
  </si>
  <si>
    <t>Flacon de 250 ml</t>
  </si>
  <si>
    <t>250</t>
  </si>
  <si>
    <t>23,18</t>
  </si>
  <si>
    <t>0026820</t>
  </si>
  <si>
    <t>03661103002154</t>
  </si>
  <si>
    <t>50</t>
  </si>
  <si>
    <t>Bovins, Chat, Chien</t>
  </si>
  <si>
    <t>AMINOGLYCOSIDES + PENICILLINES</t>
  </si>
  <si>
    <t>AMINOGLYCOSIDES</t>
  </si>
  <si>
    <t>neomycin</t>
  </si>
  <si>
    <t>120</t>
  </si>
  <si>
    <t>6</t>
  </si>
  <si>
    <t>PENICILLINES</t>
  </si>
  <si>
    <t>benzylpenicillin</t>
  </si>
  <si>
    <t>114</t>
  </si>
  <si>
    <t>5,70</t>
  </si>
  <si>
    <t>03661103002147</t>
  </si>
  <si>
    <t>Boîte de 1 flacon de 100 mL</t>
  </si>
  <si>
    <t>12</t>
  </si>
  <si>
    <t>11,40</t>
  </si>
  <si>
    <t>03661103002628</t>
  </si>
  <si>
    <t>Boîte de 1 flacon de 250 mL</t>
  </si>
  <si>
    <t>30</t>
  </si>
  <si>
    <t>28,50</t>
  </si>
  <si>
    <t>0983800</t>
  </si>
  <si>
    <t>03661103002161</t>
  </si>
  <si>
    <t>Bovins</t>
  </si>
  <si>
    <t>MACROLIDES</t>
  </si>
  <si>
    <t>spiramycin</t>
  </si>
  <si>
    <t>600000</t>
  </si>
  <si>
    <t>IU/ML</t>
  </si>
  <si>
    <t>03661103001966</t>
  </si>
  <si>
    <t>flacon verre de 100 ml</t>
  </si>
  <si>
    <t>03661103002444</t>
  </si>
  <si>
    <t>flacon verre de 250 ml</t>
  </si>
  <si>
    <t>0870740</t>
  </si>
  <si>
    <t>03661103002819</t>
  </si>
  <si>
    <t>Boîte de 3 plaquettes thermoformées de 10 comprimés</t>
  </si>
  <si>
    <t>PIECE</t>
  </si>
  <si>
    <t>STOMORGYL P.A.</t>
  </si>
  <si>
    <t>TABL</t>
  </si>
  <si>
    <t>Chat, Chien</t>
  </si>
  <si>
    <t>ORAL</t>
  </si>
  <si>
    <t>AUTRES FAMILLES + MACROLIDES</t>
  </si>
  <si>
    <t>100000</t>
  </si>
  <si>
    <t>IU/PIECE</t>
  </si>
  <si>
    <t>AUTRES FAMILLES</t>
  </si>
  <si>
    <t>metronidazole</t>
  </si>
  <si>
    <t>16,67</t>
  </si>
  <si>
    <t>MG/PIECE</t>
  </si>
  <si>
    <t>0,50</t>
  </si>
  <si>
    <t>0868730</t>
  </si>
  <si>
    <t>03660144092704</t>
  </si>
  <si>
    <t>Boîte de 1 kg</t>
  </si>
  <si>
    <t>1000</t>
  </si>
  <si>
    <t>G</t>
  </si>
  <si>
    <t>ORAL POWD-HERD</t>
  </si>
  <si>
    <t>Porcins, Veau, Volailles</t>
  </si>
  <si>
    <t>1500000</t>
  </si>
  <si>
    <t>IU/G</t>
  </si>
  <si>
    <t>03660144092698</t>
  </si>
  <si>
    <t>Boîte de 100 g</t>
  </si>
  <si>
    <t>0860710</t>
  </si>
  <si>
    <t>08713184047052</t>
  </si>
  <si>
    <t>Boîte de 1 flacon pet de 100 ml</t>
  </si>
  <si>
    <t>Bovins, Chat, Chien, Equins, Ovins, Porcins</t>
  </si>
  <si>
    <t>170,41</t>
  </si>
  <si>
    <t>17,04</t>
  </si>
  <si>
    <t>0799800</t>
  </si>
  <si>
    <t>08713184047724</t>
  </si>
  <si>
    <t>Chat, Cheval, Chien</t>
  </si>
  <si>
    <t>177,15</t>
  </si>
  <si>
    <t>17,72</t>
  </si>
  <si>
    <t>0717800</t>
  </si>
  <si>
    <t>08713184045409</t>
  </si>
  <si>
    <t>Flacon PET de 100 ml</t>
  </si>
  <si>
    <t>Bovins, Caprins, Ovins, Porcins</t>
  </si>
  <si>
    <t>10</t>
  </si>
  <si>
    <t>08713184045416</t>
  </si>
  <si>
    <t>Flacon pet de 250 ml</t>
  </si>
  <si>
    <t>25</t>
  </si>
  <si>
    <t>0785760</t>
  </si>
  <si>
    <t>03700454501456</t>
  </si>
  <si>
    <t>Boîte de 2 plaquettes de 15 comprimés</t>
  </si>
  <si>
    <t>CANIDIARIX</t>
  </si>
  <si>
    <t>Chien</t>
  </si>
  <si>
    <t>AMINOGLYCOSIDES + SULFAMIDES</t>
  </si>
  <si>
    <t>SULFAMIDES</t>
  </si>
  <si>
    <t>sulfaguanidine</t>
  </si>
  <si>
    <t>200</t>
  </si>
  <si>
    <t>framycetin</t>
  </si>
  <si>
    <t>0747750</t>
  </si>
  <si>
    <t>03700454502507</t>
  </si>
  <si>
    <t>Boîte de 1 plaquette thermoformée de 20 comprimés</t>
  </si>
  <si>
    <t>20</t>
  </si>
  <si>
    <t>FELIDIARIX</t>
  </si>
  <si>
    <t>Chat</t>
  </si>
  <si>
    <t>8,3750</t>
  </si>
  <si>
    <t>0,17</t>
  </si>
  <si>
    <t>0735750</t>
  </si>
  <si>
    <t>03700454502750</t>
  </si>
  <si>
    <t>Boîte de 1 flacon de lyophilisat et de 1 flacon de solvant de 5 mL et 1 bouchon compte-goutte</t>
  </si>
  <si>
    <t>FRADEXAM COLLYRE</t>
  </si>
  <si>
    <t>OCULAR</t>
  </si>
  <si>
    <t>EXTERNE</t>
  </si>
  <si>
    <t>31500</t>
  </si>
  <si>
    <t>0,05</t>
  </si>
  <si>
    <t>0764750</t>
  </si>
  <si>
    <t>03700454502804</t>
  </si>
  <si>
    <t>Boîte de 1 tube de 5 g</t>
  </si>
  <si>
    <t>5</t>
  </si>
  <si>
    <t>FRADEXAM POMMADE</t>
  </si>
  <si>
    <t>3150</t>
  </si>
  <si>
    <t>0,02</t>
  </si>
  <si>
    <t>0792730</t>
  </si>
  <si>
    <t>03700454506857</t>
  </si>
  <si>
    <t>Pot de 1 kg</t>
  </si>
  <si>
    <t>Agneau, Chevreau, Equins, Porcins, Veau</t>
  </si>
  <si>
    <t>SULFAMIDES + SULFAMIDES</t>
  </si>
  <si>
    <t>MG/G</t>
  </si>
  <si>
    <t>sulfadimidine</t>
  </si>
  <si>
    <t>92</t>
  </si>
  <si>
    <t>03700454506758</t>
  </si>
  <si>
    <t>Boîte de 10 sachets de 20 g</t>
  </si>
  <si>
    <t>18,40</t>
  </si>
  <si>
    <t>03700454506802</t>
  </si>
  <si>
    <t>Boîte de 100 sachets de 20 g</t>
  </si>
  <si>
    <t>2000</t>
  </si>
  <si>
    <t>184</t>
  </si>
  <si>
    <t>03700454550102</t>
  </si>
  <si>
    <t>Pot de 500 g</t>
  </si>
  <si>
    <t>500</t>
  </si>
  <si>
    <t>46</t>
  </si>
  <si>
    <t>0751730</t>
  </si>
  <si>
    <t>03700454507151</t>
  </si>
  <si>
    <t>Boîte de 1 flacon de lyophilisat, 1 flacon de solvant de 5 mL et 1 bouchon compte-gouttes</t>
  </si>
  <si>
    <t>TEVEMYXINE COLLYRE</t>
  </si>
  <si>
    <t>AMINOGLYCOSIDES + POLYPEPTIDES</t>
  </si>
  <si>
    <t>17000</t>
  </si>
  <si>
    <t>POLYPEPTIDES</t>
  </si>
  <si>
    <t>polymyxin b</t>
  </si>
  <si>
    <t>50000</t>
  </si>
  <si>
    <t>0,000120</t>
  </si>
  <si>
    <t>0,01</t>
  </si>
  <si>
    <t>0780730</t>
  </si>
  <si>
    <t>03700454507205</t>
  </si>
  <si>
    <t>Etui de 1 tube de 5 g</t>
  </si>
  <si>
    <t>TEVEMYXINE POMMADE</t>
  </si>
  <si>
    <t>3400</t>
  </si>
  <si>
    <t>10000</t>
  </si>
  <si>
    <t>0693780</t>
  </si>
  <si>
    <t>05017363022698</t>
  </si>
  <si>
    <t>Bovins, Caprins, Chien, Equins, Ovins, Porcins</t>
  </si>
  <si>
    <t>SULFAMIDES + TRIMETHOPRIME</t>
  </si>
  <si>
    <t>sulfadoxine</t>
  </si>
  <si>
    <t>TRIMETHOPRIME</t>
  </si>
  <si>
    <t>trimethoprim</t>
  </si>
  <si>
    <t>40</t>
  </si>
  <si>
    <t>05017363022636</t>
  </si>
  <si>
    <t>4</t>
  </si>
  <si>
    <t>0609770</t>
  </si>
  <si>
    <t>05017363071665</t>
  </si>
  <si>
    <t>boite de 1 flacon verre de 50 ml</t>
  </si>
  <si>
    <t>sulfadiazine</t>
  </si>
  <si>
    <t>400</t>
  </si>
  <si>
    <t>80</t>
  </si>
  <si>
    <t>0605760</t>
  </si>
  <si>
    <t>05017363520552</t>
  </si>
  <si>
    <t>Flacon de 100 mL</t>
  </si>
  <si>
    <t>Bovins, Caprins, Porcins</t>
  </si>
  <si>
    <t>dihydrostreptomycin</t>
  </si>
  <si>
    <t>113,60</t>
  </si>
  <si>
    <t>11,36</t>
  </si>
  <si>
    <t>05017363520569</t>
  </si>
  <si>
    <t>Flacon de 250 mL</t>
  </si>
  <si>
    <t>62,50</t>
  </si>
  <si>
    <t>28,40</t>
  </si>
  <si>
    <t>0686740</t>
  </si>
  <si>
    <t>03660144018261</t>
  </si>
  <si>
    <t>Flacon de 5 l</t>
  </si>
  <si>
    <t>5000</t>
  </si>
  <si>
    <t>ORAL SOLU-HERD</t>
  </si>
  <si>
    <t>Lapins, Volailles</t>
  </si>
  <si>
    <t>920</t>
  </si>
  <si>
    <t>0681710</t>
  </si>
  <si>
    <t>03660132720268</t>
  </si>
  <si>
    <t>Tube de 7,5 ml</t>
  </si>
  <si>
    <t>7,50</t>
  </si>
  <si>
    <t>PANOLOG AURICULAIRE</t>
  </si>
  <si>
    <t>AURICULAR</t>
  </si>
  <si>
    <t>AMINOGLYCOSIDES + AUTRES FAMILLES</t>
  </si>
  <si>
    <t>2500</t>
  </si>
  <si>
    <t>thiostrepton</t>
  </si>
  <si>
    <t>2,78</t>
  </si>
  <si>
    <t>0528770</t>
  </si>
  <si>
    <t>05701170232301</t>
  </si>
  <si>
    <t>Boîte de 1 flacon de 15 ml</t>
  </si>
  <si>
    <t>15</t>
  </si>
  <si>
    <t>CANAURAL</t>
  </si>
  <si>
    <t>3,9560</t>
  </si>
  <si>
    <t>0,06</t>
  </si>
  <si>
    <t>fusidic acid</t>
  </si>
  <si>
    <t>3,8180</t>
  </si>
  <si>
    <t>05701170232318</t>
  </si>
  <si>
    <t>Boîte de 1 flacon de 25 ml</t>
  </si>
  <si>
    <t>0,10</t>
  </si>
  <si>
    <t>0557770</t>
  </si>
  <si>
    <t>05701170233186</t>
  </si>
  <si>
    <t>Boîte de 1 tube de 15 g</t>
  </si>
  <si>
    <t>FORUDINE POMMADE DERMIQUE</t>
  </si>
  <si>
    <t>CUTANEOUS</t>
  </si>
  <si>
    <t>19,18</t>
  </si>
  <si>
    <t>0,29</t>
  </si>
  <si>
    <t>0529720</t>
  </si>
  <si>
    <t>03660144016861</t>
  </si>
  <si>
    <t>Bovins, Equins, Porcins</t>
  </si>
  <si>
    <t>PENICILLINES + POLYPEPTIDES</t>
  </si>
  <si>
    <t>ampicillin</t>
  </si>
  <si>
    <t>87</t>
  </si>
  <si>
    <t>8,70</t>
  </si>
  <si>
    <t>colistin</t>
  </si>
  <si>
    <t>sulfate</t>
  </si>
  <si>
    <t>250000</t>
  </si>
  <si>
    <t>03660144016854</t>
  </si>
  <si>
    <t>21,75</t>
  </si>
  <si>
    <t>0432780</t>
  </si>
  <si>
    <t>03660176013586</t>
  </si>
  <si>
    <t>Flacon de 1 l</t>
  </si>
  <si>
    <t>sulfadimethoxine</t>
  </si>
  <si>
    <t>187</t>
  </si>
  <si>
    <t>03660176013609</t>
  </si>
  <si>
    <t>935</t>
  </si>
  <si>
    <t>0443760</t>
  </si>
  <si>
    <t>05017363520279</t>
  </si>
  <si>
    <t>05017363520286</t>
  </si>
  <si>
    <t>0487750</t>
  </si>
  <si>
    <t>03597132001984</t>
  </si>
  <si>
    <t>boite de 12 applicateurs et de 12 serviettes nettoyantes et de 3 bracelets marqueurs</t>
  </si>
  <si>
    <t>INTRAMAM</t>
  </si>
  <si>
    <t>cloxacillin</t>
  </si>
  <si>
    <t>2,40</t>
  </si>
  <si>
    <t>500000</t>
  </si>
  <si>
    <t>03597132001991</t>
  </si>
  <si>
    <t>boite de 36 applicateurs et de 36 serviettes nettoyantes et de 9 bracelets marqueurs</t>
  </si>
  <si>
    <t>36</t>
  </si>
  <si>
    <t>7,20</t>
  </si>
  <si>
    <t>0302790</t>
  </si>
  <si>
    <t>08713184085245</t>
  </si>
  <si>
    <t>Boîte de 1 sachet de 4 seringues intramammaires de 3 g et de 4 sachets de 1 serviette nettoyante</t>
  </si>
  <si>
    <t>INTRAMAM-DC</t>
  </si>
  <si>
    <t>Brebis, Chèvre, Vache</t>
  </si>
  <si>
    <t>AMINOGLYCOSIDES + PENICILLINES + PENICILLINES</t>
  </si>
  <si>
    <t>0,68</t>
  </si>
  <si>
    <t>0,40</t>
  </si>
  <si>
    <t>nafcillin</t>
  </si>
  <si>
    <t>08713184089182</t>
  </si>
  <si>
    <t>Boîte de 1 sachet de 20 seringues intramammaires de 3 g et de 20 sachets de 1 serviette nettoyante</t>
  </si>
  <si>
    <t>3,41</t>
  </si>
  <si>
    <t>2</t>
  </si>
  <si>
    <t>0387780</t>
  </si>
  <si>
    <t>03597132209021</t>
  </si>
  <si>
    <t>boite de 10 blisters PVC-alu de 10 comprimés</t>
  </si>
  <si>
    <t>Agneau, Chevreau, Veau</t>
  </si>
  <si>
    <t>POLYPEPTIDES + SULFAMIDES</t>
  </si>
  <si>
    <t>2500000</t>
  </si>
  <si>
    <t>03597132209038</t>
  </si>
  <si>
    <t>boite de 100 blisters PVC-alu de 10 comprimés</t>
  </si>
  <si>
    <t>03597132209014</t>
  </si>
  <si>
    <t>boite de 2 blisters PVC-alu de 10 comprimés</t>
  </si>
  <si>
    <t>0346780</t>
  </si>
  <si>
    <t>03597132203326</t>
  </si>
  <si>
    <t>Boîte de 60 seringues intramammaires avec embouts sécables de 8 g et de 60 serviettes nettoyantes</t>
  </si>
  <si>
    <t>60</t>
  </si>
  <si>
    <t>0342770</t>
  </si>
  <si>
    <t>03597132216029</t>
  </si>
  <si>
    <t>Boîte de 1 flacon (50 ml) de 4 g de poudre et de 1 flacon de 50 ml de solvant</t>
  </si>
  <si>
    <t>tetracycline</t>
  </si>
  <si>
    <t>0398760</t>
  </si>
  <si>
    <t>03597132319256</t>
  </si>
  <si>
    <t>boite de 10 sachets de 100 g</t>
  </si>
  <si>
    <t>amoxicillin</t>
  </si>
  <si>
    <t>03597132319263</t>
  </si>
  <si>
    <t>seau de 1 kg</t>
  </si>
  <si>
    <t>03597132319249</t>
  </si>
  <si>
    <t>sac de 5 kg</t>
  </si>
  <si>
    <t>0304760</t>
  </si>
  <si>
    <t>03661753002702</t>
  </si>
  <si>
    <t>Sac de 25 kg</t>
  </si>
  <si>
    <t>25000</t>
  </si>
  <si>
    <t>PREMIX</t>
  </si>
  <si>
    <t>Agneau, Lapins</t>
  </si>
  <si>
    <t>PM</t>
  </si>
  <si>
    <t>SULFAMIDES + TETRACYCLINES</t>
  </si>
  <si>
    <t>0362760</t>
  </si>
  <si>
    <t>03661753002733</t>
  </si>
  <si>
    <t>Agneau, Porcins, Veau, Volailles</t>
  </si>
  <si>
    <t>1562,50</t>
  </si>
  <si>
    <t>12,50</t>
  </si>
  <si>
    <t>312,50</t>
  </si>
  <si>
    <t>0319750</t>
  </si>
  <si>
    <t>03661753002672</t>
  </si>
  <si>
    <t>Agneau, Porcins, Veau</t>
  </si>
  <si>
    <t>112,50</t>
  </si>
  <si>
    <t>2812,50</t>
  </si>
  <si>
    <t>1500</t>
  </si>
  <si>
    <t>0312750</t>
  </si>
  <si>
    <t>03660176010868</t>
  </si>
  <si>
    <t>Agneau, Chevreau, Porcins</t>
  </si>
  <si>
    <t>0370750</t>
  </si>
  <si>
    <t>03660176010776</t>
  </si>
  <si>
    <t>sac polyéthylène-papier de 25 kg</t>
  </si>
  <si>
    <t>Agneau, Veau</t>
  </si>
  <si>
    <t>chlortetracycline</t>
  </si>
  <si>
    <t>0361740</t>
  </si>
  <si>
    <t>03660176010660</t>
  </si>
  <si>
    <t>sac papier-polyéthylène de 25 kg</t>
  </si>
  <si>
    <t>Porcins, Volailles</t>
  </si>
  <si>
    <t>tylosin</t>
  </si>
  <si>
    <t>0388730</t>
  </si>
  <si>
    <t>03660176010639</t>
  </si>
  <si>
    <t>sac  de 25 kg</t>
  </si>
  <si>
    <t>64000</t>
  </si>
  <si>
    <t>0322710</t>
  </si>
  <si>
    <t>03660176011094</t>
  </si>
  <si>
    <t>Agneau, Chevreau, Porcins, Veau</t>
  </si>
  <si>
    <t>0351710</t>
  </si>
  <si>
    <t>03660176011056</t>
  </si>
  <si>
    <t>Agneau, Caille, Canard, Chevreau, Dinde, Faisan, Lapins, Oie, Perdrix, Pintade, Porcins, Poules</t>
  </si>
  <si>
    <t>200000</t>
  </si>
  <si>
    <t>0278800</t>
  </si>
  <si>
    <t>03660176012503</t>
  </si>
  <si>
    <t>0208800</t>
  </si>
  <si>
    <t>03660176012961</t>
  </si>
  <si>
    <t>sac papier-polyéthylène de 10 kg</t>
  </si>
  <si>
    <t>78,90</t>
  </si>
  <si>
    <t>789</t>
  </si>
  <si>
    <t>78,80</t>
  </si>
  <si>
    <t>788</t>
  </si>
  <si>
    <t>0200780</t>
  </si>
  <si>
    <t>03661103002833</t>
  </si>
  <si>
    <t>boite de 4 seringues polyéthylènes de 5 g</t>
  </si>
  <si>
    <t>AMINOGLYCOSIDES + MACROLIDES</t>
  </si>
  <si>
    <t>1200000</t>
  </si>
  <si>
    <t>1,50</t>
  </si>
  <si>
    <t>0,53</t>
  </si>
  <si>
    <t>0239770</t>
  </si>
  <si>
    <t>03661103002383</t>
  </si>
  <si>
    <t>Boîte de 2 plaquettes de 10 comprimés</t>
  </si>
  <si>
    <t>STOMORGYL 10 KG</t>
  </si>
  <si>
    <t>750000</t>
  </si>
  <si>
    <t>125</t>
  </si>
  <si>
    <t>2,50</t>
  </si>
  <si>
    <t>03661103002826</t>
  </si>
  <si>
    <t>1,25</t>
  </si>
  <si>
    <t>0227770</t>
  </si>
  <si>
    <t>03661103006978</t>
  </si>
  <si>
    <t>Boîte de 12 plaquettes thermoformées de 2 comprimés</t>
  </si>
  <si>
    <t>24</t>
  </si>
  <si>
    <t>INTRAUT</t>
  </si>
  <si>
    <t>0190800</t>
  </si>
  <si>
    <t>03400767019913</t>
  </si>
  <si>
    <t>2 flacons verre de 20 mL</t>
  </si>
  <si>
    <t>ORNICORYL</t>
  </si>
  <si>
    <t>Pigeon</t>
  </si>
  <si>
    <t>93000</t>
  </si>
  <si>
    <t>0,001220</t>
  </si>
  <si>
    <t>4,54</t>
  </si>
  <si>
    <t>11,88</t>
  </si>
  <si>
    <t>0,48</t>
  </si>
  <si>
    <t>0120800</t>
  </si>
  <si>
    <t>03400768073532</t>
  </si>
  <si>
    <t>flacon verre de 100 dragées</t>
  </si>
  <si>
    <t>PIJOSAN</t>
  </si>
  <si>
    <t>AUTRES FAMILLES + SULFAMIDES</t>
  </si>
  <si>
    <t>dimetridazole</t>
  </si>
  <si>
    <t>03400768896582</t>
  </si>
  <si>
    <t>flacon verre de 500 dragées</t>
  </si>
  <si>
    <t>0958660</t>
  </si>
  <si>
    <t>03353239048907</t>
  </si>
  <si>
    <t>Flacon de 150 mL</t>
  </si>
  <si>
    <t>150</t>
  </si>
  <si>
    <t>Volailles</t>
  </si>
  <si>
    <t>2,76</t>
  </si>
  <si>
    <t>sulfaquinoxaline</t>
  </si>
  <si>
    <t>5,60</t>
  </si>
  <si>
    <t>0,84</t>
  </si>
  <si>
    <t>03353239048914</t>
  </si>
  <si>
    <t>Flacon de 300 mL</t>
  </si>
  <si>
    <t>300</t>
  </si>
  <si>
    <t>5,52</t>
  </si>
  <si>
    <t>1,68</t>
  </si>
  <si>
    <t>03353239048921</t>
  </si>
  <si>
    <t>Flacon de 500 mL</t>
  </si>
  <si>
    <t>9,20</t>
  </si>
  <si>
    <t>2,80</t>
  </si>
  <si>
    <t>0917660</t>
  </si>
  <si>
    <t>03353239048938</t>
  </si>
  <si>
    <t>LAPICRINE SULFA</t>
  </si>
  <si>
    <t>Lapins</t>
  </si>
  <si>
    <t>03353239048945</t>
  </si>
  <si>
    <t>03353239048952</t>
  </si>
  <si>
    <t>0916640</t>
  </si>
  <si>
    <t>05017363037289</t>
  </si>
  <si>
    <t>Boîte de 24 seringues intramammaires de 3 g et 24 sachets de 1 serviette nettoyante</t>
  </si>
  <si>
    <t>CEPHALOSPORINES 1&amp;2G</t>
  </si>
  <si>
    <t>cefalonium</t>
  </si>
  <si>
    <t>05017363037296</t>
  </si>
  <si>
    <t>Boîte de 72 seringues intramammaires de 3 g et 72 sachets de 1 serviette nettoyante</t>
  </si>
  <si>
    <t>72</t>
  </si>
  <si>
    <t>18</t>
  </si>
  <si>
    <t>08713184149138</t>
  </si>
  <si>
    <t>Boîte de 100 seringues intramammaires de 3 g</t>
  </si>
  <si>
    <t>08713184149121</t>
  </si>
  <si>
    <t>Boîte de 20 seringues intramammaires de 3 g</t>
  </si>
  <si>
    <t>0973620</t>
  </si>
  <si>
    <t>03411110036143</t>
  </si>
  <si>
    <t>Boîte de 50 sachets de 100 g</t>
  </si>
  <si>
    <t>Agneau, Chevreau, Veau, Volailles</t>
  </si>
  <si>
    <t>0821670</t>
  </si>
  <si>
    <t>08713184056580</t>
  </si>
  <si>
    <t>Boîte de 1 sachet de 4 seringues intramammaires de 8 g et de 4 sachets de 1 serviette nettoyante</t>
  </si>
  <si>
    <t>AMINOGLYCOSIDES + POLYPEPTIDES + TETRACYCLINES</t>
  </si>
  <si>
    <t>184,80</t>
  </si>
  <si>
    <t>0,74</t>
  </si>
  <si>
    <t>bacitracin</t>
  </si>
  <si>
    <t>0,11</t>
  </si>
  <si>
    <t>08713184056603</t>
  </si>
  <si>
    <t>Boîte de 5 sachets de 4 seringues intramammaires de 8 g et de 20 sachets de 1 serviette nettoyante</t>
  </si>
  <si>
    <t>3,70</t>
  </si>
  <si>
    <t>0,54</t>
  </si>
  <si>
    <t>0882660</t>
  </si>
  <si>
    <t>08713184065049</t>
  </si>
  <si>
    <t>Boîte de 1 flacon de 20 mL de solution et de 1 flacon de 30 mL de poudre</t>
  </si>
  <si>
    <t>AMINOGLYCOSIDES + TETRACYCLINES</t>
  </si>
  <si>
    <t>0815650</t>
  </si>
  <si>
    <t>03597132201186</t>
  </si>
  <si>
    <t>seau de 3 kg</t>
  </si>
  <si>
    <t>3000</t>
  </si>
  <si>
    <t>Porcins</t>
  </si>
  <si>
    <t>240</t>
  </si>
  <si>
    <t>0888640</t>
  </si>
  <si>
    <t>03597132303095</t>
  </si>
  <si>
    <t>flacon doseur de 100 ml</t>
  </si>
  <si>
    <t>ORAL PASTA</t>
  </si>
  <si>
    <t>225000</t>
  </si>
  <si>
    <t>0811640</t>
  </si>
  <si>
    <t>03661753002146</t>
  </si>
  <si>
    <t>sac de 25 kg</t>
  </si>
  <si>
    <t>210</t>
  </si>
  <si>
    <t>5250</t>
  </si>
  <si>
    <t>700000</t>
  </si>
  <si>
    <t>0777620</t>
  </si>
  <si>
    <t>03760161601214</t>
  </si>
  <si>
    <t>Flacon de 125 ml</t>
  </si>
  <si>
    <t>CUNICOXIL</t>
  </si>
  <si>
    <t>03760161601221</t>
  </si>
  <si>
    <t>Bidon de 500 ml</t>
  </si>
  <si>
    <t>03760161601245</t>
  </si>
  <si>
    <t>Bidon de 5 l</t>
  </si>
  <si>
    <t>03760161601238</t>
  </si>
  <si>
    <t>Bidon de 1 l</t>
  </si>
  <si>
    <t>0724620</t>
  </si>
  <si>
    <t>03760161601054</t>
  </si>
  <si>
    <t>Boîte de 1 flacon de 50 mL</t>
  </si>
  <si>
    <t>03760161601061</t>
  </si>
  <si>
    <t>03760161601078</t>
  </si>
  <si>
    <t>Flacon de 1 L</t>
  </si>
  <si>
    <t>03760161601085</t>
  </si>
  <si>
    <t>Flacon de 5 L</t>
  </si>
  <si>
    <t>1250</t>
  </si>
  <si>
    <t>0635700</t>
  </si>
  <si>
    <t>03760161602594</t>
  </si>
  <si>
    <t>Flacon de 130 g</t>
  </si>
  <si>
    <t>130</t>
  </si>
  <si>
    <t>ENTOCUNIMYCINE</t>
  </si>
  <si>
    <t>23</t>
  </si>
  <si>
    <t>2,99</t>
  </si>
  <si>
    <t>0611700</t>
  </si>
  <si>
    <t>03760161601191</t>
  </si>
  <si>
    <t>CORYLAP</t>
  </si>
  <si>
    <t>75</t>
  </si>
  <si>
    <t>4,50</t>
  </si>
  <si>
    <t>0,90</t>
  </si>
  <si>
    <t>03760161601207</t>
  </si>
  <si>
    <t>18,75</t>
  </si>
  <si>
    <t>3,75</t>
  </si>
  <si>
    <t>0699680</t>
  </si>
  <si>
    <t>05414736012346</t>
  </si>
  <si>
    <t>Bouteille de 150 g</t>
  </si>
  <si>
    <t>Porcins, Poulet de chair</t>
  </si>
  <si>
    <t>AMINOGLYCOSIDES + LINCOSAMIDES</t>
  </si>
  <si>
    <t>spectinomycin</t>
  </si>
  <si>
    <t>444,70</t>
  </si>
  <si>
    <t>66,71</t>
  </si>
  <si>
    <t>LINCOSAMIDES</t>
  </si>
  <si>
    <t>lincomycin</t>
  </si>
  <si>
    <t>222</t>
  </si>
  <si>
    <t>33,30</t>
  </si>
  <si>
    <t>05414736012353</t>
  </si>
  <si>
    <t>Bouteille de 1,5 kg</t>
  </si>
  <si>
    <t>667,05</t>
  </si>
  <si>
    <t>333</t>
  </si>
  <si>
    <t>0675680</t>
  </si>
  <si>
    <t>05414736005935</t>
  </si>
  <si>
    <t>Chat, Chien, Porcins</t>
  </si>
  <si>
    <t>05414736001685</t>
  </si>
  <si>
    <t>0666670</t>
  </si>
  <si>
    <t>05414736002972</t>
  </si>
  <si>
    <t>Caprins, Chat, Chien, Ovins, Porcins, Veau, Volailles</t>
  </si>
  <si>
    <t>05414736005300</t>
  </si>
  <si>
    <t>05414736001715</t>
  </si>
  <si>
    <t>0537630</t>
  </si>
  <si>
    <t>03660176013081</t>
  </si>
  <si>
    <t>Bovins, Caprins, Lapins, Ovins, Porcins, Volailles</t>
  </si>
  <si>
    <t>463,36</t>
  </si>
  <si>
    <t>03660176013098</t>
  </si>
  <si>
    <t>2316,80</t>
  </si>
  <si>
    <t>03660176013104</t>
  </si>
  <si>
    <t>Sac de 10 kg</t>
  </si>
  <si>
    <t>4633,60</t>
  </si>
  <si>
    <t>0394670</t>
  </si>
  <si>
    <t>03595896881200</t>
  </si>
  <si>
    <t>OPHTALKAN</t>
  </si>
  <si>
    <t>2300</t>
  </si>
  <si>
    <t>0,08</t>
  </si>
  <si>
    <t>0224630</t>
  </si>
  <si>
    <t>03595896952122</t>
  </si>
  <si>
    <t>OPODIARRHEE</t>
  </si>
  <si>
    <t>phthalylsulfathiazole</t>
  </si>
  <si>
    <t>3</t>
  </si>
  <si>
    <t>0273620</t>
  </si>
  <si>
    <t>03411110037096</t>
  </si>
  <si>
    <t>etui de 1 flacon verre de 100 ml</t>
  </si>
  <si>
    <t>BIESKADOG</t>
  </si>
  <si>
    <t>SUSP</t>
  </si>
  <si>
    <t>6400</t>
  </si>
  <si>
    <t>0037640</t>
  </si>
  <si>
    <t>03597132315227</t>
  </si>
  <si>
    <t>Sac de 5 kg</t>
  </si>
  <si>
    <t>03597132315050</t>
  </si>
  <si>
    <t>0001640</t>
  </si>
  <si>
    <t>03597132216098</t>
  </si>
  <si>
    <t>164</t>
  </si>
  <si>
    <t>16,40</t>
  </si>
  <si>
    <t>03597132216104</t>
  </si>
  <si>
    <t>41</t>
  </si>
  <si>
    <t>0033630</t>
  </si>
  <si>
    <t>03597132314015</t>
  </si>
  <si>
    <t>boite polyéthylène de 1 kg</t>
  </si>
  <si>
    <t>0039610</t>
  </si>
  <si>
    <t>03597132203272</t>
  </si>
  <si>
    <t>Bovins, Porcins</t>
  </si>
  <si>
    <t>03597132203289</t>
  </si>
  <si>
    <t>0044610</t>
  </si>
  <si>
    <t>03597132203128</t>
  </si>
  <si>
    <t>Boîte de 10 comprimés intra-utérins</t>
  </si>
  <si>
    <t>Jument, Vache</t>
  </si>
  <si>
    <t>03597132203135</t>
  </si>
  <si>
    <t>Boîte de 100 plaquettes de 1 comprimé intra-utérin</t>
  </si>
  <si>
    <t>0977550</t>
  </si>
  <si>
    <t>03597132219044</t>
  </si>
  <si>
    <t>0994550</t>
  </si>
  <si>
    <t>03597132219136</t>
  </si>
  <si>
    <t>03597132219143</t>
  </si>
  <si>
    <t>0924550</t>
  </si>
  <si>
    <t>03597132219037</t>
  </si>
  <si>
    <t>Flacon verre de 50 mL</t>
  </si>
  <si>
    <t>Bovins, Chat, Chien, Porcins</t>
  </si>
  <si>
    <t>8,20</t>
  </si>
  <si>
    <t>130,38</t>
  </si>
  <si>
    <t>6,52</t>
  </si>
  <si>
    <t>03597132219013</t>
  </si>
  <si>
    <t>Flacon verre de 100 mL</t>
  </si>
  <si>
    <t>13,04</t>
  </si>
  <si>
    <t>03597132219266</t>
  </si>
  <si>
    <t>Flacon verre de 250 mL</t>
  </si>
  <si>
    <t>32,60</t>
  </si>
  <si>
    <t>0953550</t>
  </si>
  <si>
    <t>03597132218030</t>
  </si>
  <si>
    <t>cefalexin</t>
  </si>
  <si>
    <t>0,80</t>
  </si>
  <si>
    <t>03597132218047</t>
  </si>
  <si>
    <t>03597132218054</t>
  </si>
  <si>
    <t>32</t>
  </si>
  <si>
    <t>6,40</t>
  </si>
  <si>
    <t>03597133082692</t>
  </si>
  <si>
    <t>4,80</t>
  </si>
  <si>
    <t>0982550</t>
  </si>
  <si>
    <t>03597132218023</t>
  </si>
  <si>
    <t>Boîte de 60 seringues intramammaires de 8 g et 60 serviettes nettoyantes</t>
  </si>
  <si>
    <t>375</t>
  </si>
  <si>
    <t>22,50</t>
  </si>
  <si>
    <t>0912550</t>
  </si>
  <si>
    <t>03597132118101</t>
  </si>
  <si>
    <t>Boîte de 1 flacon de 50 ml</t>
  </si>
  <si>
    <t>RILEXINE SUSPENSION INJECTABLE</t>
  </si>
  <si>
    <t>0941550</t>
  </si>
  <si>
    <t>03597132118118</t>
  </si>
  <si>
    <t>Boîte de 1 flacon (15 ml)de poudre et de 1 ampoule de 6,5 ml de solvant</t>
  </si>
  <si>
    <t>6,50</t>
  </si>
  <si>
    <t>RILEXINE POUDRE INJECTABLE 1 G</t>
  </si>
  <si>
    <t>154</t>
  </si>
  <si>
    <t>0891590</t>
  </si>
  <si>
    <t>03597132103404</t>
  </si>
  <si>
    <t>CORTIZEME</t>
  </si>
  <si>
    <t>0781520</t>
  </si>
  <si>
    <t>03661753002382</t>
  </si>
  <si>
    <t>Agneau, Caille, Chevreau, Dinde, Faisan, Lapins, Oie, Perdrix, Pintade, Porcins, Poules</t>
  </si>
  <si>
    <t>40000</t>
  </si>
  <si>
    <t>0499590</t>
  </si>
  <si>
    <t>05414736007618</t>
  </si>
  <si>
    <t>Boîte de 12 applicateurs avec embout sécable et de 12 serviettes nettoyantes</t>
  </si>
  <si>
    <t>Vache</t>
  </si>
  <si>
    <t>0429590</t>
  </si>
  <si>
    <t>05414736025544</t>
  </si>
  <si>
    <t>Boîte de 24 seringues intramammaires avec embouts sécables et de 24 serviettes nettoyantes</t>
  </si>
  <si>
    <t>05414736025551</t>
  </si>
  <si>
    <t>Boîte de 60 seringues intramammaires avec embouts sécables et de 60 serviettes nettoyantes</t>
  </si>
  <si>
    <t>0458590</t>
  </si>
  <si>
    <t>05414736007380</t>
  </si>
  <si>
    <t>Boîte de 12 seringues intramammaires avec embout sécable et de 12 serviettes nettoyantes</t>
  </si>
  <si>
    <t>PENICILLINES + PENICILLINES</t>
  </si>
  <si>
    <t>05414736007403</t>
  </si>
  <si>
    <t>Boîte de 24 seringues intramammaires avec embout sécable et de 24 serviettes nettoyantes</t>
  </si>
  <si>
    <t>1,80</t>
  </si>
  <si>
    <t>0448560</t>
  </si>
  <si>
    <t>03411110003435</t>
  </si>
  <si>
    <t>Boîte de 1 flacon verre de 100 mL</t>
  </si>
  <si>
    <t>03411110003459</t>
  </si>
  <si>
    <t>Boîte de 1 flacon verre de 250 mL</t>
  </si>
  <si>
    <t>0493540</t>
  </si>
  <si>
    <t>03605870000203</t>
  </si>
  <si>
    <t>Boîte de un sac de 1 kg</t>
  </si>
  <si>
    <t>Agneau, Lapins, Porcelet, Poulain, Veau, Volailles</t>
  </si>
  <si>
    <t>sulfamethoxypyridazine</t>
  </si>
  <si>
    <t>116,20</t>
  </si>
  <si>
    <t>03605870000197</t>
  </si>
  <si>
    <t>Boîte de 25 sachets de 50 g</t>
  </si>
  <si>
    <t>145,25</t>
  </si>
  <si>
    <t>31,25</t>
  </si>
  <si>
    <t>03605870000210</t>
  </si>
  <si>
    <t>Seau de un sac de 5 kg</t>
  </si>
  <si>
    <t>581</t>
  </si>
  <si>
    <t>0487520</t>
  </si>
  <si>
    <t>03605870000302</t>
  </si>
  <si>
    <t>etui de 1 bande aluminium de 50 oblets</t>
  </si>
  <si>
    <t>466,50</t>
  </si>
  <si>
    <t>23,33</t>
  </si>
  <si>
    <t>0410520</t>
  </si>
  <si>
    <t>03605870001637</t>
  </si>
  <si>
    <t>boite de 25 sachets aluminium papier de 30g</t>
  </si>
  <si>
    <t>750</t>
  </si>
  <si>
    <t>Agneau, Chevreau, Porcelet, Poulain, Veau</t>
  </si>
  <si>
    <t>MACROLIDES + POLYPEPTIDES</t>
  </si>
  <si>
    <t>erythromycin</t>
  </si>
  <si>
    <t>16600</t>
  </si>
  <si>
    <t>0,001087</t>
  </si>
  <si>
    <t>13,53</t>
  </si>
  <si>
    <t>83400</t>
  </si>
  <si>
    <t>0369600</t>
  </si>
  <si>
    <t>03605870001712</t>
  </si>
  <si>
    <t>boite de 4 applicateurs polyethylene de 3g</t>
  </si>
  <si>
    <t>03605870001729</t>
  </si>
  <si>
    <t>seau de 60 applicateurs polyethylene de 3g</t>
  </si>
  <si>
    <t>0365590</t>
  </si>
  <si>
    <t>03605870001743</t>
  </si>
  <si>
    <t>boite fer de 1kg</t>
  </si>
  <si>
    <t>180</t>
  </si>
  <si>
    <t>03605870001750</t>
  </si>
  <si>
    <t>seau polyethylene de 5kg</t>
  </si>
  <si>
    <t>900</t>
  </si>
  <si>
    <t>0373580</t>
  </si>
  <si>
    <t>03605870001767</t>
  </si>
  <si>
    <t>boite de 6 sachets polyethylene papier de 40g</t>
  </si>
  <si>
    <t>Porcelet, Poulain, Veau</t>
  </si>
  <si>
    <t>0320580</t>
  </si>
  <si>
    <t>03605870000739</t>
  </si>
  <si>
    <t>Flacon de 120 mL</t>
  </si>
  <si>
    <t>PREDNIDERM</t>
  </si>
  <si>
    <t>Chat, Chien, Equins</t>
  </si>
  <si>
    <t>3333,33</t>
  </si>
  <si>
    <t>03605870000722</t>
  </si>
  <si>
    <t>Flacon de 60 mL</t>
  </si>
  <si>
    <t>0,26</t>
  </si>
  <si>
    <t>0306570</t>
  </si>
  <si>
    <t>03605870000760</t>
  </si>
  <si>
    <t>etui de 3 blisters PVC aluminium de 10 comprimes</t>
  </si>
  <si>
    <t>INTESTIDOG CHIENS</t>
  </si>
  <si>
    <t>0366540</t>
  </si>
  <si>
    <t>03605870002092</t>
  </si>
  <si>
    <t>Bovins, Caprins, Chat, Chien, Equins, Ovins, Porcins</t>
  </si>
  <si>
    <t>sulfanilamide</t>
  </si>
  <si>
    <t>13000</t>
  </si>
  <si>
    <t>13</t>
  </si>
  <si>
    <t>740</t>
  </si>
  <si>
    <t>0383540</t>
  </si>
  <si>
    <t>03605870000166</t>
  </si>
  <si>
    <t>Bovins, Chat, Cheval, Chien, Ovins, Porcins</t>
  </si>
  <si>
    <t>03605870000791</t>
  </si>
  <si>
    <t>Boîte de 1 flacon de 250 ml</t>
  </si>
  <si>
    <t>0313540</t>
  </si>
  <si>
    <t>03605870000845</t>
  </si>
  <si>
    <t>Flacon de 50 mL</t>
  </si>
  <si>
    <t>Bovins, Caprins, Chat, Chien, Porcins</t>
  </si>
  <si>
    <t>03605870000852</t>
  </si>
  <si>
    <t>03605870000869</t>
  </si>
  <si>
    <t>0312520</t>
  </si>
  <si>
    <t>03605870001101</t>
  </si>
  <si>
    <t>Boîte de 1 flacon de 100 ml</t>
  </si>
  <si>
    <t>Bovins, Ovins, Porcins</t>
  </si>
  <si>
    <t>03605870001118</t>
  </si>
  <si>
    <t>0300520</t>
  </si>
  <si>
    <t>03605870001088</t>
  </si>
  <si>
    <t>Boîte de 2 plaquettes thermoformées de 10 comprimés</t>
  </si>
  <si>
    <t>SEPTOTRYL COMPRIMES CHATS-CHIENS NAINS</t>
  </si>
  <si>
    <t>0,20</t>
  </si>
  <si>
    <t>0339510</t>
  </si>
  <si>
    <t>03605870001095</t>
  </si>
  <si>
    <t>Boîte de 1 plaquette thermoformée de 16 comprimés</t>
  </si>
  <si>
    <t>16</t>
  </si>
  <si>
    <t>SEPTOTRYL COMPRIMES CHIENS</t>
  </si>
  <si>
    <t>0327510</t>
  </si>
  <si>
    <t>03605870001620</t>
  </si>
  <si>
    <t>seau de 160 blisters PVC aluminium de 6 bolus</t>
  </si>
  <si>
    <t>960</t>
  </si>
  <si>
    <t>Agneau, Chien, Poulain, Veau</t>
  </si>
  <si>
    <t>2000000</t>
  </si>
  <si>
    <t>03605870001606</t>
  </si>
  <si>
    <t>etui de 1 blister PVC aluminium de 6 bolus</t>
  </si>
  <si>
    <t>03605870001613</t>
  </si>
  <si>
    <t>etui de 16 blisters PVC aluminium de 6 bolus</t>
  </si>
  <si>
    <t>96</t>
  </si>
  <si>
    <t>0252600</t>
  </si>
  <si>
    <t>03605870001200</t>
  </si>
  <si>
    <t>flacon PVC de 500mL</t>
  </si>
  <si>
    <t>0202590</t>
  </si>
  <si>
    <t>03605870001422</t>
  </si>
  <si>
    <t>Boîte de 8 sachets de 12 g</t>
  </si>
  <si>
    <t>Poulain, Veau</t>
  </si>
  <si>
    <t>208,30</t>
  </si>
  <si>
    <t>0273540</t>
  </si>
  <si>
    <t>08713184043788</t>
  </si>
  <si>
    <t>Boîte de 1 tube de 100 g</t>
  </si>
  <si>
    <t>SULMIDOL</t>
  </si>
  <si>
    <t>sulfapyridine</t>
  </si>
  <si>
    <t>08713184043771</t>
  </si>
  <si>
    <t>Boîte de 1 tube de 30 g</t>
  </si>
  <si>
    <t>0251510</t>
  </si>
  <si>
    <t>03353239004385</t>
  </si>
  <si>
    <t>INJ &amp; ORAL</t>
  </si>
  <si>
    <t>308</t>
  </si>
  <si>
    <t>03353239004392</t>
  </si>
  <si>
    <t>1540</t>
  </si>
  <si>
    <t>03353239004415</t>
  </si>
  <si>
    <t>0189580</t>
  </si>
  <si>
    <t>03595896982396</t>
  </si>
  <si>
    <t>Boîte de 3 plaquettes thermoformées de 8 comprimés</t>
  </si>
  <si>
    <t>CORYZACHAT</t>
  </si>
  <si>
    <t>0196550</t>
  </si>
  <si>
    <t>05014602815141</t>
  </si>
  <si>
    <t>sac papier polyethylene de 25kg</t>
  </si>
  <si>
    <t>20000</t>
  </si>
  <si>
    <t>0,0010</t>
  </si>
  <si>
    <t>0184550</t>
  </si>
  <si>
    <t>05014602815035</t>
  </si>
  <si>
    <t>05014602815028</t>
  </si>
  <si>
    <t>0079580</t>
  </si>
  <si>
    <t>03700545300098</t>
  </si>
  <si>
    <t>flacon polyethylene de 90 g</t>
  </si>
  <si>
    <t>90</t>
  </si>
  <si>
    <t>Pigeon, Volailles</t>
  </si>
  <si>
    <t>255500</t>
  </si>
  <si>
    <t>0019540</t>
  </si>
  <si>
    <t>03661753018956</t>
  </si>
  <si>
    <t>55</t>
  </si>
  <si>
    <t>550</t>
  </si>
  <si>
    <t>03661753003549</t>
  </si>
  <si>
    <t>Pot de 4 kg</t>
  </si>
  <si>
    <t>4000</t>
  </si>
  <si>
    <t>220</t>
  </si>
  <si>
    <t>48</t>
  </si>
  <si>
    <t>0966420</t>
  </si>
  <si>
    <t>03597132315098</t>
  </si>
  <si>
    <t>Porcins, Veau</t>
  </si>
  <si>
    <t>QUINOLONES</t>
  </si>
  <si>
    <t>oxolinic acid</t>
  </si>
  <si>
    <t>0928410</t>
  </si>
  <si>
    <t>03597132213141</t>
  </si>
  <si>
    <t>0,61</t>
  </si>
  <si>
    <t>03597132213127</t>
  </si>
  <si>
    <t>03597132213226</t>
  </si>
  <si>
    <t>03597132213158</t>
  </si>
  <si>
    <t>Boîte de 1 flacon de 500 mL</t>
  </si>
  <si>
    <t>0957410</t>
  </si>
  <si>
    <t>03597132213080</t>
  </si>
  <si>
    <t>boite de 10 injecteurs polyéthylènes de 20 ml</t>
  </si>
  <si>
    <t>0,25</t>
  </si>
  <si>
    <t>03597132213097</t>
  </si>
  <si>
    <t>boite de 1 flacon verre de 200 ml</t>
  </si>
  <si>
    <t>0829460</t>
  </si>
  <si>
    <t>03660144056959</t>
  </si>
  <si>
    <t>Boîte polyéthylène de 1 kg</t>
  </si>
  <si>
    <t>Agneau, Chevreau, Lapins, Porcins, Veau, Volailles</t>
  </si>
  <si>
    <t>03660144057376</t>
  </si>
  <si>
    <t>Sac polyéthylène-papier de 5 kg</t>
  </si>
  <si>
    <t>03660144057086</t>
  </si>
  <si>
    <t>Boîte de 10 sachets polyéthylène papier de 100 g</t>
  </si>
  <si>
    <t>0737480</t>
  </si>
  <si>
    <t>03660144008675</t>
  </si>
  <si>
    <t>Agneau, Chevreau, Porcelet, Veau, Volailles</t>
  </si>
  <si>
    <t>03660144008705</t>
  </si>
  <si>
    <t>0725480</t>
  </si>
  <si>
    <t>03660144011552</t>
  </si>
  <si>
    <t>Boîte de 10 sachets de 100 g</t>
  </si>
  <si>
    <t>Agneau, Chevreau, Equins, Lapins, Porcins, Veau, Volailles</t>
  </si>
  <si>
    <t>03660144011545</t>
  </si>
  <si>
    <t>03660144011569</t>
  </si>
  <si>
    <t>0754480</t>
  </si>
  <si>
    <t>03660144010111</t>
  </si>
  <si>
    <t>Agneau, Chevreau, Lapins, Porcins, Veau</t>
  </si>
  <si>
    <t>03660144010128</t>
  </si>
  <si>
    <t>0783480</t>
  </si>
  <si>
    <t>03660144010753</t>
  </si>
  <si>
    <t>boite de 10 sachets papier aluminium polyethylene de 100g</t>
  </si>
  <si>
    <t>Agneau, Chevreau, Porcins, Veau, Volailles</t>
  </si>
  <si>
    <t>03660144010760</t>
  </si>
  <si>
    <t>boite polyethylene de 1kg</t>
  </si>
  <si>
    <t>03660144010746</t>
  </si>
  <si>
    <t>seau polypropylene de 2,5kg</t>
  </si>
  <si>
    <t>0742480</t>
  </si>
  <si>
    <t>03660144010555</t>
  </si>
  <si>
    <t>Agneau, Chevreau, Lapins, Porcelet, Veau, Volailles</t>
  </si>
  <si>
    <t>03661103054627</t>
  </si>
  <si>
    <t>0733470</t>
  </si>
  <si>
    <t>03660144008927</t>
  </si>
  <si>
    <t>MACROLIDES + TRIMETHOPRIME</t>
  </si>
  <si>
    <t>03660144008934</t>
  </si>
  <si>
    <t>03660144008910</t>
  </si>
  <si>
    <t>Seau de 2,5 kg</t>
  </si>
  <si>
    <t>0721470</t>
  </si>
  <si>
    <t>03660144010838</t>
  </si>
  <si>
    <t>Boîte de 4 flacons de 250 mL</t>
  </si>
  <si>
    <t>03660144010869</t>
  </si>
  <si>
    <t>Boîte de 10 flacons de 100 mL</t>
  </si>
  <si>
    <t>03661103049814</t>
  </si>
  <si>
    <t>03661103050414</t>
  </si>
  <si>
    <t>0719460</t>
  </si>
  <si>
    <t>03660144009245</t>
  </si>
  <si>
    <t>boite de 50 sachets polyethylene aluminium papier de 100g</t>
  </si>
  <si>
    <t>25500</t>
  </si>
  <si>
    <t>6,25</t>
  </si>
  <si>
    <t>0748460</t>
  </si>
  <si>
    <t>03660144097778</t>
  </si>
  <si>
    <t>467</t>
  </si>
  <si>
    <t>2335</t>
  </si>
  <si>
    <t>03660144011439</t>
  </si>
  <si>
    <t>03660144011422</t>
  </si>
  <si>
    <t>Seau de 1 sache de 2,5 kg</t>
  </si>
  <si>
    <t>1167,50</t>
  </si>
  <si>
    <t>0794460</t>
  </si>
  <si>
    <t>03660144011637</t>
  </si>
  <si>
    <t>186,80</t>
  </si>
  <si>
    <t>934</t>
  </si>
  <si>
    <t>03660144011651</t>
  </si>
  <si>
    <t>03660144011668</t>
  </si>
  <si>
    <t>0706440</t>
  </si>
  <si>
    <t>03700454503184</t>
  </si>
  <si>
    <t>Boîte de 1 flacon de 30 comprimés</t>
  </si>
  <si>
    <t>HISTACETYL P.M.</t>
  </si>
  <si>
    <t>117000</t>
  </si>
  <si>
    <t>0735440</t>
  </si>
  <si>
    <t>03700454503177</t>
  </si>
  <si>
    <t>Boîte de 1 plaquette thermoformée de 10 comprimés</t>
  </si>
  <si>
    <t>HISTACETYL G.M.</t>
  </si>
  <si>
    <t>507000</t>
  </si>
  <si>
    <t>70</t>
  </si>
  <si>
    <t>0,70</t>
  </si>
  <si>
    <t>03700454503146</t>
  </si>
  <si>
    <t>Boîte de 30 plaquettes thermoformées de 10 comprimés</t>
  </si>
  <si>
    <t>21</t>
  </si>
  <si>
    <t>0624490</t>
  </si>
  <si>
    <t>03597132119108</t>
  </si>
  <si>
    <t>SPIRAPHAR CHATS ET PETITS CHIENS</t>
  </si>
  <si>
    <t>150000</t>
  </si>
  <si>
    <t>0,64</t>
  </si>
  <si>
    <t>0653490</t>
  </si>
  <si>
    <t>03597132119085</t>
  </si>
  <si>
    <t>boite de 2 blisters pvc-alu de 6 comprimés</t>
  </si>
  <si>
    <t>SPIRAPHAR CHIENS</t>
  </si>
  <si>
    <t>900000</t>
  </si>
  <si>
    <t>03597132119092</t>
  </si>
  <si>
    <t>boite de 16 blisters pvc-alu de 6 comprimés</t>
  </si>
  <si>
    <t>03597132119078</t>
  </si>
  <si>
    <t>boite de 167 blisters pvc-alu de 6 comprimés</t>
  </si>
  <si>
    <t>1002</t>
  </si>
  <si>
    <t>125,25</t>
  </si>
  <si>
    <t>0632410</t>
  </si>
  <si>
    <t>03660144020882</t>
  </si>
  <si>
    <t>flacon polyethylene de 500mL</t>
  </si>
  <si>
    <t>Bovins, Caprins, Chien, Ovins, Porcins, Volailles</t>
  </si>
  <si>
    <t>304,70</t>
  </si>
  <si>
    <t>152,35</t>
  </si>
  <si>
    <t>03660144020905</t>
  </si>
  <si>
    <t>bidon polyethylene de 5L</t>
  </si>
  <si>
    <t>1523,50</t>
  </si>
  <si>
    <t>0453480</t>
  </si>
  <si>
    <t>03661753002429</t>
  </si>
  <si>
    <t>Bar, Daurade, Salmonidés, Turbot</t>
  </si>
  <si>
    <t>3750</t>
  </si>
  <si>
    <t>03661753043262</t>
  </si>
  <si>
    <t>18750</t>
  </si>
  <si>
    <t>0447460</t>
  </si>
  <si>
    <t>03353239019273</t>
  </si>
  <si>
    <t>Agneau, Caille, Canard, Chevreau, Dinde, Faisan, Lapins, Oie, Perdrix, Pintade, Porcins, Poules, Veau</t>
  </si>
  <si>
    <t>0426450</t>
  </si>
  <si>
    <t>03353239012304</t>
  </si>
  <si>
    <t>0454430</t>
  </si>
  <si>
    <t>03353231025852</t>
  </si>
  <si>
    <t>03353231025845</t>
  </si>
  <si>
    <t>0498420</t>
  </si>
  <si>
    <t>03353239053710</t>
  </si>
  <si>
    <t>seau de 5 kg</t>
  </si>
  <si>
    <t>Agneau, Lapins, Porcins, Veau, Volailles</t>
  </si>
  <si>
    <t>58</t>
  </si>
  <si>
    <t>290</t>
  </si>
  <si>
    <t>03353239001933</t>
  </si>
  <si>
    <t>sac de 10 kg</t>
  </si>
  <si>
    <t>580</t>
  </si>
  <si>
    <t>03353239001926</t>
  </si>
  <si>
    <t>0457420</t>
  </si>
  <si>
    <t>03353239001155</t>
  </si>
  <si>
    <t>Veau, Volailles</t>
  </si>
  <si>
    <t>188</t>
  </si>
  <si>
    <t>03353239001162</t>
  </si>
  <si>
    <t>940</t>
  </si>
  <si>
    <t>0474420</t>
  </si>
  <si>
    <t>03353239010232</t>
  </si>
  <si>
    <t>110</t>
  </si>
  <si>
    <t>77</t>
  </si>
  <si>
    <t>03353239010249</t>
  </si>
  <si>
    <t>385</t>
  </si>
  <si>
    <t>03353239001315</t>
  </si>
  <si>
    <t>1100</t>
  </si>
  <si>
    <t>770</t>
  </si>
  <si>
    <t>03353239053789</t>
  </si>
  <si>
    <t>Sachet de 100 g</t>
  </si>
  <si>
    <t>11</t>
  </si>
  <si>
    <t>7,70</t>
  </si>
  <si>
    <t>0404420</t>
  </si>
  <si>
    <t>03353239028640</t>
  </si>
  <si>
    <t>03353239028657</t>
  </si>
  <si>
    <t>03353239028701</t>
  </si>
  <si>
    <t>0433420</t>
  </si>
  <si>
    <t>03353239053826</t>
  </si>
  <si>
    <t>Seau de 5 kg</t>
  </si>
  <si>
    <t>92000</t>
  </si>
  <si>
    <t>460</t>
  </si>
  <si>
    <t>03353239002336</t>
  </si>
  <si>
    <t>03353239001605</t>
  </si>
  <si>
    <t>Sac de 5kg</t>
  </si>
  <si>
    <t>0315500</t>
  </si>
  <si>
    <t>03760161602730</t>
  </si>
  <si>
    <t>MACROLIDES + TETRACYCLINES</t>
  </si>
  <si>
    <t>03760161602754</t>
  </si>
  <si>
    <t>03760161602747</t>
  </si>
  <si>
    <t>Boîte de 300 g</t>
  </si>
  <si>
    <t>03760161602761</t>
  </si>
  <si>
    <t>Boîte de 3 kg</t>
  </si>
  <si>
    <t>03760161602723</t>
  </si>
  <si>
    <t>0316450</t>
  </si>
  <si>
    <t>03597132001946</t>
  </si>
  <si>
    <t>03597132001939</t>
  </si>
  <si>
    <t>03597133087734</t>
  </si>
  <si>
    <t>0331410</t>
  </si>
  <si>
    <t>08713184043764</t>
  </si>
  <si>
    <t>Boîte de 50 tubes de 5 g</t>
  </si>
  <si>
    <t>CORTANMYCETINE CREME</t>
  </si>
  <si>
    <t>PHENICOLES</t>
  </si>
  <si>
    <t>chloramphenicol</t>
  </si>
  <si>
    <t>0245480</t>
  </si>
  <si>
    <t>03660144086444</t>
  </si>
  <si>
    <t>186</t>
  </si>
  <si>
    <t>18,60</t>
  </si>
  <si>
    <t>03660144086451</t>
  </si>
  <si>
    <t>46,50</t>
  </si>
  <si>
    <t>0221480</t>
  </si>
  <si>
    <t>03660144072522</t>
  </si>
  <si>
    <t>boite de 48 applicateurs polyethylene de 9,1g et de 48 servietttes nettoyantes</t>
  </si>
  <si>
    <t>0250480</t>
  </si>
  <si>
    <t>03660144010586</t>
  </si>
  <si>
    <t>60000</t>
  </si>
  <si>
    <t>300000</t>
  </si>
  <si>
    <t>03660144010562</t>
  </si>
  <si>
    <t>03660144081968</t>
  </si>
  <si>
    <t>sac papier polyethylene de 5kg</t>
  </si>
  <si>
    <t>0277470</t>
  </si>
  <si>
    <t>03660144010043</t>
  </si>
  <si>
    <t>POLYPEPTIDES + TRIMETHOPRIME</t>
  </si>
  <si>
    <t>37,50</t>
  </si>
  <si>
    <t>03660144010012</t>
  </si>
  <si>
    <t>187,50</t>
  </si>
  <si>
    <t>03660144010036</t>
  </si>
  <si>
    <t>boite de 10 sachets polyethylene aluminium de 100g</t>
  </si>
  <si>
    <t>0224470</t>
  </si>
  <si>
    <t>03660144009160</t>
  </si>
  <si>
    <t>03660144009139</t>
  </si>
  <si>
    <t>0281450</t>
  </si>
  <si>
    <t>03411110100844</t>
  </si>
  <si>
    <t>0086470</t>
  </si>
  <si>
    <t>03760161602457</t>
  </si>
  <si>
    <t>0073450</t>
  </si>
  <si>
    <t>03353239004521</t>
  </si>
  <si>
    <t>Boîte de 60 seringues intramammaires de 10 mL</t>
  </si>
  <si>
    <t>0002430</t>
  </si>
  <si>
    <t>03661729237497</t>
  </si>
  <si>
    <t>GASTROENTERICANIS</t>
  </si>
  <si>
    <t>8</t>
  </si>
  <si>
    <t>0912320</t>
  </si>
  <si>
    <t>03760161600316</t>
  </si>
  <si>
    <t>Flacon de 500 ml</t>
  </si>
  <si>
    <t>0973310</t>
  </si>
  <si>
    <t>03760161600293</t>
  </si>
  <si>
    <t>Bovins, Caprins, Chat, Chien, Equins, Porcins</t>
  </si>
  <si>
    <t>03760161600309</t>
  </si>
  <si>
    <t>0836350</t>
  </si>
  <si>
    <t>03660144077411</t>
  </si>
  <si>
    <t>methane sulphonate</t>
  </si>
  <si>
    <t>0890340</t>
  </si>
  <si>
    <t>03660144077428</t>
  </si>
  <si>
    <t>etui de 1 flacon verre de 100 mL</t>
  </si>
  <si>
    <t>1000000</t>
  </si>
  <si>
    <t>0635390</t>
  </si>
  <si>
    <t>03660144110729</t>
  </si>
  <si>
    <t>Boîte de 12 seringues intramammaires et de 12 sachets de 1 serviette nettoyante</t>
  </si>
  <si>
    <t>340000</t>
  </si>
  <si>
    <t>03660144110217</t>
  </si>
  <si>
    <t>Seau de 60 seringues intramammaires et de 60 sachets de 1 serviette nettoyante</t>
  </si>
  <si>
    <t>0609380</t>
  </si>
  <si>
    <t>03660132764125</t>
  </si>
  <si>
    <t>boite de 1 sachet polyéthylène-aluminium-papier de 720 g</t>
  </si>
  <si>
    <t>720</t>
  </si>
  <si>
    <t>Agneau, Chevreau, Porcins, Poulain, Veau</t>
  </si>
  <si>
    <t>PENICILLINES + SULFAMIDES</t>
  </si>
  <si>
    <t>17,50</t>
  </si>
  <si>
    <t>12,60</t>
  </si>
  <si>
    <t>03660132759121</t>
  </si>
  <si>
    <t>boite de 100 sachets polyéthylène-aluminium-papier de 20 g</t>
  </si>
  <si>
    <t>35</t>
  </si>
  <si>
    <t>0643380</t>
  </si>
  <si>
    <t>03597132301213</t>
  </si>
  <si>
    <t>Seau de 1 sac polyéthylène de 5 kg</t>
  </si>
  <si>
    <t>Agneau, Porcelet, Veau, Volailles</t>
  </si>
  <si>
    <t>0526340</t>
  </si>
  <si>
    <t>03411110004364</t>
  </si>
  <si>
    <t>Bovins, Caprins, Equins, Ovins, Porcins, Volailles</t>
  </si>
  <si>
    <t>03411110101346</t>
  </si>
  <si>
    <t>0513320</t>
  </si>
  <si>
    <t>03411110030806</t>
  </si>
  <si>
    <t>0473390</t>
  </si>
  <si>
    <t>03411110101308</t>
  </si>
  <si>
    <t>Sac de 1 kg</t>
  </si>
  <si>
    <t>03411110101315</t>
  </si>
  <si>
    <t>0471350</t>
  </si>
  <si>
    <t>03411112176359</t>
  </si>
  <si>
    <t>Boîte de 1 flacon plastique de 100 mL</t>
  </si>
  <si>
    <t>Bovins, Caprins, Chat, Chien, Ovins, Porcins</t>
  </si>
  <si>
    <t>03411112176335</t>
  </si>
  <si>
    <t>Boîte de 1 flacon plastique de 250 mL</t>
  </si>
  <si>
    <t>0200390</t>
  </si>
  <si>
    <t>03661753002207</t>
  </si>
  <si>
    <t>0273380</t>
  </si>
  <si>
    <t>03661753002559</t>
  </si>
  <si>
    <t>Porcelet, Veau</t>
  </si>
  <si>
    <t>POLYPEPTIDES + TETRACYCLINES</t>
  </si>
  <si>
    <t>1750</t>
  </si>
  <si>
    <t>0223370</t>
  </si>
  <si>
    <t>03661753002023</t>
  </si>
  <si>
    <t>Agneau, Caille, Canard, Chevreau, Dinde, Lapins, Oie, Pintade, Porcins, Poules</t>
  </si>
  <si>
    <t>0279360</t>
  </si>
  <si>
    <t>03661753002467</t>
  </si>
  <si>
    <t>0260360</t>
  </si>
  <si>
    <t>03700454505706</t>
  </si>
  <si>
    <t>Tube de 5 g</t>
  </si>
  <si>
    <t>OPHTALON</t>
  </si>
  <si>
    <t>0085370</t>
  </si>
  <si>
    <t>03760161602334</t>
  </si>
  <si>
    <t>Lapins, Porcins, Veau</t>
  </si>
  <si>
    <t>0073370</t>
  </si>
  <si>
    <t>03760161600040</t>
  </si>
  <si>
    <t>Bovins, Caprins, Chat, Cheval, Chien, Ovins, Porcins</t>
  </si>
  <si>
    <t>0032370</t>
  </si>
  <si>
    <t>03760161602389</t>
  </si>
  <si>
    <t>03760161602372</t>
  </si>
  <si>
    <t>03760161602853</t>
  </si>
  <si>
    <t>0090370</t>
  </si>
  <si>
    <t>03760161602075</t>
  </si>
  <si>
    <t>Lapins, Porcins, Veau, Volailles</t>
  </si>
  <si>
    <t>03760161602082</t>
  </si>
  <si>
    <t>03760161602051</t>
  </si>
  <si>
    <t>03760161602068</t>
  </si>
  <si>
    <t>0018360</t>
  </si>
  <si>
    <t>03760161600217</t>
  </si>
  <si>
    <t>03760161600224</t>
  </si>
  <si>
    <t>0023360</t>
  </si>
  <si>
    <t>03760161602679</t>
  </si>
  <si>
    <t>03760161602686</t>
  </si>
  <si>
    <t>0081360</t>
  </si>
  <si>
    <t>03760161600033</t>
  </si>
  <si>
    <t>Bovins, Caprins, Ovins</t>
  </si>
  <si>
    <t>0060350</t>
  </si>
  <si>
    <t>03760161602464</t>
  </si>
  <si>
    <t>0932230</t>
  </si>
  <si>
    <t>05425008730851</t>
  </si>
  <si>
    <t>93</t>
  </si>
  <si>
    <t>2325</t>
  </si>
  <si>
    <t>0981220</t>
  </si>
  <si>
    <t>03661753037841</t>
  </si>
  <si>
    <t>0938210</t>
  </si>
  <si>
    <t>03661753037940</t>
  </si>
  <si>
    <t>0845280</t>
  </si>
  <si>
    <t>03597132213059</t>
  </si>
  <si>
    <t>Agneau, Chevreau, Lapins, Veau, Volailles</t>
  </si>
  <si>
    <t>232</t>
  </si>
  <si>
    <t>23,20</t>
  </si>
  <si>
    <t>03597132213066</t>
  </si>
  <si>
    <t>Bidon de 1 L</t>
  </si>
  <si>
    <t>03597132213073</t>
  </si>
  <si>
    <t>0789300</t>
  </si>
  <si>
    <t>03660144011750</t>
  </si>
  <si>
    <t>Bovins, Equins, Lapins, Ovins, Porcins, Volailles</t>
  </si>
  <si>
    <t>03660144110651</t>
  </si>
  <si>
    <t>03660144111955</t>
  </si>
  <si>
    <t>0772270</t>
  </si>
  <si>
    <t>03595896803332</t>
  </si>
  <si>
    <t>boite de 1 blister PVC aluminium de 12 comprimes</t>
  </si>
  <si>
    <t>CLEMYCINE COMPRIMES</t>
  </si>
  <si>
    <t>231</t>
  </si>
  <si>
    <t>2,77</t>
  </si>
  <si>
    <t>0641260</t>
  </si>
  <si>
    <t>05414736007427</t>
  </si>
  <si>
    <t>Boîte de 10 plaquettes thermoformées de 10 comprimés sécables</t>
  </si>
  <si>
    <t>CLAMOXYL COMPRIMES 200 MG</t>
  </si>
  <si>
    <t>05414736007410</t>
  </si>
  <si>
    <t>Boîte de 1 plaquette thermoformée de 10 comprimés sécables</t>
  </si>
  <si>
    <t>0639250</t>
  </si>
  <si>
    <t>05414736007465</t>
  </si>
  <si>
    <t>CLAMOXYL COMPRIMES 40 MG</t>
  </si>
  <si>
    <t>05414736007458</t>
  </si>
  <si>
    <t>0595240</t>
  </si>
  <si>
    <t>05414736013565</t>
  </si>
  <si>
    <t>flacon multidoses de 100ml</t>
  </si>
  <si>
    <t>Bovins, Ovins, Porcelet, Porcins</t>
  </si>
  <si>
    <t>05414736013572</t>
  </si>
  <si>
    <t>flacon multidoses de 250ml</t>
  </si>
  <si>
    <t>05414736013589</t>
  </si>
  <si>
    <t>flacon multidoses de 500ml</t>
  </si>
  <si>
    <t>05414736031538</t>
  </si>
  <si>
    <t>Flacon multidose de 100 mL</t>
  </si>
  <si>
    <t>05414736031545</t>
  </si>
  <si>
    <t>05414736031552</t>
  </si>
  <si>
    <t>0500220</t>
  </si>
  <si>
    <t>03411110107577</t>
  </si>
  <si>
    <t>Bovins, Caprins, Cheval, Lapins, Ovins, Poissons, Porcins, Volailles</t>
  </si>
  <si>
    <t>flumequine</t>
  </si>
  <si>
    <t>03411110107584</t>
  </si>
  <si>
    <t>0452300</t>
  </si>
  <si>
    <t>03660176013166</t>
  </si>
  <si>
    <t>SULTRIAN 100</t>
  </si>
  <si>
    <t>sulfamethoxazole</t>
  </si>
  <si>
    <t>1,60</t>
  </si>
  <si>
    <t>0,32</t>
  </si>
  <si>
    <t>03660176017058</t>
  </si>
  <si>
    <t>Boîte de 10 plaquettes thermoformées de 16 comprimés</t>
  </si>
  <si>
    <t>160</t>
  </si>
  <si>
    <t>3,20</t>
  </si>
  <si>
    <t>0455290</t>
  </si>
  <si>
    <t>05014602815097</t>
  </si>
  <si>
    <t>Lapins, Porcins, Poulet de chair, Veau</t>
  </si>
  <si>
    <t>apramycin</t>
  </si>
  <si>
    <t>552000</t>
  </si>
  <si>
    <t>05014602815080</t>
  </si>
  <si>
    <t>boite de 50 sachets de 2g</t>
  </si>
  <si>
    <t>0478270</t>
  </si>
  <si>
    <t>05014602815011</t>
  </si>
  <si>
    <t>Lapins, Porcins</t>
  </si>
  <si>
    <t>0419250</t>
  </si>
  <si>
    <t>03605870000807</t>
  </si>
  <si>
    <t>Bovins, Caprins, Cheval, Ovins, Porcins</t>
  </si>
  <si>
    <t>03605870000814</t>
  </si>
  <si>
    <t>0467220</t>
  </si>
  <si>
    <t>03411110033449</t>
  </si>
  <si>
    <t>Bovins, Caprins, Lapins, Ovins, Poissons, Porcins, Volailles</t>
  </si>
  <si>
    <t>0352260</t>
  </si>
  <si>
    <t>03597132216159</t>
  </si>
  <si>
    <t>Chat, Chien, Porcelet, Veau</t>
  </si>
  <si>
    <t>03597132216135</t>
  </si>
  <si>
    <t>03597132216142</t>
  </si>
  <si>
    <t>0381260</t>
  </si>
  <si>
    <t>03597132119276</t>
  </si>
  <si>
    <t>03597132119283</t>
  </si>
  <si>
    <t>0145210</t>
  </si>
  <si>
    <t>05414736007540</t>
  </si>
  <si>
    <t>Boîte de 6 flacons de 100 mL</t>
  </si>
  <si>
    <t>600</t>
  </si>
  <si>
    <t>Bovins, Chat, Chien, Ovins, Porcins</t>
  </si>
  <si>
    <t>05414736007526</t>
  </si>
  <si>
    <t>Boîte de 12 flacons de 50 mL</t>
  </si>
  <si>
    <t>05414736007533</t>
  </si>
  <si>
    <t>0012300</t>
  </si>
  <si>
    <t>03597132201094</t>
  </si>
  <si>
    <t>03597132201100</t>
  </si>
  <si>
    <t>0035280</t>
  </si>
  <si>
    <t>03661729238449</t>
  </si>
  <si>
    <t>Boîte de 1 plaquette thermoformée de 16 comprimés sécables</t>
  </si>
  <si>
    <t>PRIMAZOL 100 MG</t>
  </si>
  <si>
    <t>0034260</t>
  </si>
  <si>
    <t>03660144011484</t>
  </si>
  <si>
    <t>233,45</t>
  </si>
  <si>
    <t>03660144011460</t>
  </si>
  <si>
    <t>1167,25</t>
  </si>
  <si>
    <t>0063260</t>
  </si>
  <si>
    <t>03660144066033</t>
  </si>
  <si>
    <t>186,70</t>
  </si>
  <si>
    <t>18,67</t>
  </si>
  <si>
    <t>03660144011620</t>
  </si>
  <si>
    <t>03660144011606</t>
  </si>
  <si>
    <t>933,50</t>
  </si>
  <si>
    <t>03660144011613</t>
  </si>
  <si>
    <t>1867</t>
  </si>
  <si>
    <t>0057240</t>
  </si>
  <si>
    <t>03597132220224</t>
  </si>
  <si>
    <t>Pot de 50 g</t>
  </si>
  <si>
    <t>03597132320283</t>
  </si>
  <si>
    <t>Pot de 1 kg avec une cuillère (contenance de 10 g)</t>
  </si>
  <si>
    <t>03597132320290</t>
  </si>
  <si>
    <t>Sac de 5 kg avec une cuillère (contenance de 10 g)</t>
  </si>
  <si>
    <t>0903150</t>
  </si>
  <si>
    <t>08714015008969</t>
  </si>
  <si>
    <t>flacon verre de 40mL</t>
  </si>
  <si>
    <t>DUPHAPEN LA</t>
  </si>
  <si>
    <t>procaine</t>
  </si>
  <si>
    <t>85,20</t>
  </si>
  <si>
    <t>2,08</t>
  </si>
  <si>
    <t>benzathine</t>
  </si>
  <si>
    <t>102,26</t>
  </si>
  <si>
    <t>0,39</t>
  </si>
  <si>
    <t>08714015008907</t>
  </si>
  <si>
    <t>flacon verre de 100mL</t>
  </si>
  <si>
    <t>5,20</t>
  </si>
  <si>
    <t>3,99</t>
  </si>
  <si>
    <t>0975120</t>
  </si>
  <si>
    <t>254243 2</t>
  </si>
  <si>
    <t>Boite de 40 blisters de 10 comprimés</t>
  </si>
  <si>
    <t>03760161603034</t>
  </si>
  <si>
    <t>03760161603119</t>
  </si>
  <si>
    <t>Boîte de 50 plaquettes thermoformées de 10 comprimés</t>
  </si>
  <si>
    <t>0937110</t>
  </si>
  <si>
    <t>03660144056973</t>
  </si>
  <si>
    <t>03660144057208</t>
  </si>
  <si>
    <t>0805150</t>
  </si>
  <si>
    <t>03597132216067</t>
  </si>
  <si>
    <t>Chat, Chien, Veau</t>
  </si>
  <si>
    <t>gentamicin</t>
  </si>
  <si>
    <t>03597132216043</t>
  </si>
  <si>
    <t>03597132216050</t>
  </si>
  <si>
    <t>0839110</t>
  </si>
  <si>
    <t>03661321005272</t>
  </si>
  <si>
    <t>0776200</t>
  </si>
  <si>
    <t>03605870001590</t>
  </si>
  <si>
    <t>03605870002115</t>
  </si>
  <si>
    <t>0520200</t>
  </si>
  <si>
    <t>08714015008921</t>
  </si>
  <si>
    <t>boite de 1 flacon verre de 250mL</t>
  </si>
  <si>
    <t>08714015008976</t>
  </si>
  <si>
    <t>08714015008884</t>
  </si>
  <si>
    <t>05414736033563</t>
  </si>
  <si>
    <t>05414736033556</t>
  </si>
  <si>
    <t>05414736033570</t>
  </si>
  <si>
    <t>0575170</t>
  </si>
  <si>
    <t>03700545300173</t>
  </si>
  <si>
    <t>Boîte de 1 flacon de 125 ml</t>
  </si>
  <si>
    <t>COCCILYSE</t>
  </si>
  <si>
    <t>0551170</t>
  </si>
  <si>
    <t>03597132002004</t>
  </si>
  <si>
    <t>Boîte de 12 seringues intramammaires et de 12 serviettes nettoyantes</t>
  </si>
  <si>
    <t>0,97</t>
  </si>
  <si>
    <t>03597132002011</t>
  </si>
  <si>
    <t>Boîte de 36 seringues intramammaires et de 36 serviettes nettoyantes</t>
  </si>
  <si>
    <t>2,90</t>
  </si>
  <si>
    <t>03597133082623</t>
  </si>
  <si>
    <t>Boîte de 24 seringues intramammaires et de 24 serviettes nettoyantes</t>
  </si>
  <si>
    <t>0578160</t>
  </si>
  <si>
    <t>05414736007687</t>
  </si>
  <si>
    <t>Boîte de 25 plaquettes thermoformées de 10 comprimés</t>
  </si>
  <si>
    <t>SYNULOX 250</t>
  </si>
  <si>
    <t>ACIDE CLAVULANIQUE + PENICILLINES</t>
  </si>
  <si>
    <t>ACIDE CLAVULANIQUE</t>
  </si>
  <si>
    <t>clavulanic acid</t>
  </si>
  <si>
    <t>0</t>
  </si>
  <si>
    <t>05414736007670</t>
  </si>
  <si>
    <t>0508160</t>
  </si>
  <si>
    <t>05414736007724</t>
  </si>
  <si>
    <t>SYNULOX 50</t>
  </si>
  <si>
    <t>05414736007717</t>
  </si>
  <si>
    <t>0545150</t>
  </si>
  <si>
    <t>03660132021921</t>
  </si>
  <si>
    <t>PLEUROMUTILINES</t>
  </si>
  <si>
    <t>tiamulin</t>
  </si>
  <si>
    <t>162,20</t>
  </si>
  <si>
    <t>16,22</t>
  </si>
  <si>
    <t>0515130</t>
  </si>
  <si>
    <t>03597132320252</t>
  </si>
  <si>
    <t>Boîte de 1 sachet de 900 g et de 1 cuillère</t>
  </si>
  <si>
    <t>33,33</t>
  </si>
  <si>
    <t>0509110</t>
  </si>
  <si>
    <t>08714225151585</t>
  </si>
  <si>
    <t>08714225151592</t>
  </si>
  <si>
    <t>08714225162772</t>
  </si>
  <si>
    <t>08714225162789</t>
  </si>
  <si>
    <t>0497160</t>
  </si>
  <si>
    <t>05414736007731</t>
  </si>
  <si>
    <t>Boîte de 20 sachets de 1 comprimé</t>
  </si>
  <si>
    <t>05414736011301</t>
  </si>
  <si>
    <t>Boîte de 500 sachets de 1 comprimé</t>
  </si>
  <si>
    <t>0486110</t>
  </si>
  <si>
    <t>03597132115070</t>
  </si>
  <si>
    <t>flacon de 15 ml</t>
  </si>
  <si>
    <t>OCECOXIL</t>
  </si>
  <si>
    <t>Oiseaux de cage et de volière</t>
  </si>
  <si>
    <t>0,45</t>
  </si>
  <si>
    <t>pyriméthamine</t>
  </si>
  <si>
    <t>0,15</t>
  </si>
  <si>
    <t>03597132115384</t>
  </si>
  <si>
    <t>flacon de 50 ml</t>
  </si>
  <si>
    <t>0307200</t>
  </si>
  <si>
    <t>03760161602631</t>
  </si>
  <si>
    <t>03760161602648</t>
  </si>
  <si>
    <t>03760161602655</t>
  </si>
  <si>
    <t>0365200</t>
  </si>
  <si>
    <t>03660176011148</t>
  </si>
  <si>
    <t>0353200</t>
  </si>
  <si>
    <t>03411110107652</t>
  </si>
  <si>
    <t>03411110107669</t>
  </si>
  <si>
    <t>0393110</t>
  </si>
  <si>
    <t>03660144066453</t>
  </si>
  <si>
    <t>Dindon, Porcins, Poulet de chair, Veau</t>
  </si>
  <si>
    <t>doxycycline</t>
  </si>
  <si>
    <t>03660144066460</t>
  </si>
  <si>
    <t>03660144066477</t>
  </si>
  <si>
    <t>0323110</t>
  </si>
  <si>
    <t>03660144071839</t>
  </si>
  <si>
    <t>Poules</t>
  </si>
  <si>
    <t>0229190</t>
  </si>
  <si>
    <t>05414736007748</t>
  </si>
  <si>
    <t>SYNULOX GOUTTES</t>
  </si>
  <si>
    <t>43,20</t>
  </si>
  <si>
    <t>0,65</t>
  </si>
  <si>
    <t>10,80</t>
  </si>
  <si>
    <t>0283180</t>
  </si>
  <si>
    <t>03595896801499</t>
  </si>
  <si>
    <t>Flacon de 90 ml</t>
  </si>
  <si>
    <t>CORTIKAN LAIT</t>
  </si>
  <si>
    <t>1,17</t>
  </si>
  <si>
    <t>0230180</t>
  </si>
  <si>
    <t>03597132002448</t>
  </si>
  <si>
    <t>Boîte de 12 seringues intramammaires de 10 ml et de 12 serviettes nettoyantes</t>
  </si>
  <si>
    <t>570</t>
  </si>
  <si>
    <t>6,84</t>
  </si>
  <si>
    <t>410</t>
  </si>
  <si>
    <t>4,92</t>
  </si>
  <si>
    <t>03597132003278</t>
  </si>
  <si>
    <t>Boîte de 24 seringues intramammaires de 10 ml et de 24 serviettes nettoyantes</t>
  </si>
  <si>
    <t>13,68</t>
  </si>
  <si>
    <t>9,84</t>
  </si>
  <si>
    <t>0256150</t>
  </si>
  <si>
    <t>03660144008668</t>
  </si>
  <si>
    <t>flacon verre de 500mL</t>
  </si>
  <si>
    <t>Bovins, Ovins, Porcins, Volailles</t>
  </si>
  <si>
    <t>0215150</t>
  </si>
  <si>
    <t>03661321005364</t>
  </si>
  <si>
    <t>4,40</t>
  </si>
  <si>
    <t>0235140</t>
  </si>
  <si>
    <t>05014602815158</t>
  </si>
  <si>
    <t>0205120</t>
  </si>
  <si>
    <t>03760161602600</t>
  </si>
  <si>
    <t>Truite</t>
  </si>
  <si>
    <t>1200</t>
  </si>
  <si>
    <t>0222120</t>
  </si>
  <si>
    <t>05414736007663</t>
  </si>
  <si>
    <t>Boîte de 1 seringue intramammaire</t>
  </si>
  <si>
    <t>CEPHALOSPORINES 3&amp;4G</t>
  </si>
  <si>
    <t>cefoperazone</t>
  </si>
  <si>
    <t>0251120</t>
  </si>
  <si>
    <t>05414736007496</t>
  </si>
  <si>
    <t>05414736007502</t>
  </si>
  <si>
    <t>0249110</t>
  </si>
  <si>
    <t>03605870000609</t>
  </si>
  <si>
    <t>FLUIDIXINE COMPRIMES CHATS CHIENS NAINS</t>
  </si>
  <si>
    <t>0278110</t>
  </si>
  <si>
    <t>03605870000616</t>
  </si>
  <si>
    <t>Boîte de 2 plaquettes thermoformées de 8 comprimés</t>
  </si>
  <si>
    <t>FLUIDIXINE COMPRIMES CHIENS</t>
  </si>
  <si>
    <t>0121200</t>
  </si>
  <si>
    <t>05017363520323</t>
  </si>
  <si>
    <t>0139180</t>
  </si>
  <si>
    <t>03660144057499</t>
  </si>
  <si>
    <t>0190180</t>
  </si>
  <si>
    <t>03700545300647</t>
  </si>
  <si>
    <t>Flacon de 16 gélules</t>
  </si>
  <si>
    <t>DIARCAP</t>
  </si>
  <si>
    <t>0038190</t>
  </si>
  <si>
    <t>03661321005395</t>
  </si>
  <si>
    <t>57,40</t>
  </si>
  <si>
    <t>1435</t>
  </si>
  <si>
    <t>0067190</t>
  </si>
  <si>
    <t>03661321008556</t>
  </si>
  <si>
    <t>0017180</t>
  </si>
  <si>
    <t>03760161603133</t>
  </si>
  <si>
    <t>Boîte de 50 plaquettes thermoformées de 6 comprimés</t>
  </si>
  <si>
    <t>274</t>
  </si>
  <si>
    <t>82,20</t>
  </si>
  <si>
    <t>0013170</t>
  </si>
  <si>
    <t>03597132303224</t>
  </si>
  <si>
    <t>98</t>
  </si>
  <si>
    <t>03597132303231</t>
  </si>
  <si>
    <t>Flacon de 2 L</t>
  </si>
  <si>
    <t>03597132303248</t>
  </si>
  <si>
    <t>03597132303125</t>
  </si>
  <si>
    <t>03597132303132</t>
  </si>
  <si>
    <t>0062160</t>
  </si>
  <si>
    <t>03661103041900</t>
  </si>
  <si>
    <t>Boîte de 2 plaquettes thermoformées de 10 comprimés sécables</t>
  </si>
  <si>
    <t>03661103002611</t>
  </si>
  <si>
    <t>boite de 2 blisters de 10 comprimés</t>
  </si>
  <si>
    <t>0050160</t>
  </si>
  <si>
    <t>03661729238227</t>
  </si>
  <si>
    <t>AURIMYCINE</t>
  </si>
  <si>
    <t>0,03</t>
  </si>
  <si>
    <t>0015140</t>
  </si>
  <si>
    <t>05414736007700</t>
  </si>
  <si>
    <t>Boîte de 200 sachets de 1 comprimé sécable</t>
  </si>
  <si>
    <t>SYNULOX 500</t>
  </si>
  <si>
    <t>05414736007694</t>
  </si>
  <si>
    <t>Boîte de 10 sachets de 1 comprimé sécable</t>
  </si>
  <si>
    <t>0032140</t>
  </si>
  <si>
    <t>03597132220026</t>
  </si>
  <si>
    <t>03597132220033</t>
  </si>
  <si>
    <t>03597132220040</t>
  </si>
  <si>
    <t>Boîte de 1 flacon de 500 ml</t>
  </si>
  <si>
    <t>0059130</t>
  </si>
  <si>
    <t>03661103041894</t>
  </si>
  <si>
    <t>03661103002604</t>
  </si>
  <si>
    <t>boite de 1 blister de 10 comprimés</t>
  </si>
  <si>
    <t>0047130</t>
  </si>
  <si>
    <t>03597132207140</t>
  </si>
  <si>
    <t>03597132207133</t>
  </si>
  <si>
    <t>0017110</t>
  </si>
  <si>
    <t>03660176013531</t>
  </si>
  <si>
    <t>162,50</t>
  </si>
  <si>
    <t>0966100</t>
  </si>
  <si>
    <t>03660176013197</t>
  </si>
  <si>
    <t>SULTRIAN 400</t>
  </si>
  <si>
    <t>03660176017065</t>
  </si>
  <si>
    <t>Boîte de 10 plaquettes thermoformées de 10 comprimés</t>
  </si>
  <si>
    <t>0900080</t>
  </si>
  <si>
    <t>05414736007519</t>
  </si>
  <si>
    <t>Boîte de 1 plaquette thermoformée de 50 comprimés intra-utérins</t>
  </si>
  <si>
    <t>0915070</t>
  </si>
  <si>
    <t>673648 1</t>
  </si>
  <si>
    <t>sac papier-polyéthylène-papier de 25 kg</t>
  </si>
  <si>
    <t>Agneau, Porcins</t>
  </si>
  <si>
    <t>400000</t>
  </si>
  <si>
    <t>0940060</t>
  </si>
  <si>
    <t>03597132118125</t>
  </si>
  <si>
    <t>boite de 1 flacon verre de poudre et de 1 flacon verre de 6,5 ml de solvant</t>
  </si>
  <si>
    <t>RILEXINE POUDRE INJECTABLE 250 MG</t>
  </si>
  <si>
    <t>38,50</t>
  </si>
  <si>
    <t>0909050</t>
  </si>
  <si>
    <t>03660144066422</t>
  </si>
  <si>
    <t>03660144066439</t>
  </si>
  <si>
    <t>03660144066620</t>
  </si>
  <si>
    <t>0996050</t>
  </si>
  <si>
    <t>03597132213233</t>
  </si>
  <si>
    <t>Boîte de 12 seringues intramammaires avec embouts sécables</t>
  </si>
  <si>
    <t>03597132213240</t>
  </si>
  <si>
    <t>Boîte de 24 seringues intramammaires avec embouts sécables</t>
  </si>
  <si>
    <t>0949030</t>
  </si>
  <si>
    <t>03411110005095</t>
  </si>
  <si>
    <t>Sac de 20 kg</t>
  </si>
  <si>
    <t>03411110004982</t>
  </si>
  <si>
    <t>03411110101353</t>
  </si>
  <si>
    <t>0937030</t>
  </si>
  <si>
    <t>03760161601252</t>
  </si>
  <si>
    <t>0942030</t>
  </si>
  <si>
    <t>03700454505645</t>
  </si>
  <si>
    <t>Flacon de 10 ml</t>
  </si>
  <si>
    <t>OMNICOL COLLYRE</t>
  </si>
  <si>
    <t>7000</t>
  </si>
  <si>
    <t>0962020</t>
  </si>
  <si>
    <t>03411111885450</t>
  </si>
  <si>
    <t>Flacon pressurisé de 210 ml contenant 74,7 g de solution active</t>
  </si>
  <si>
    <t>Bovins, Caprins, Chien, Equins, Lapins, Ovins, Porcins, Toutes espèces</t>
  </si>
  <si>
    <t>thiamphenicol</t>
  </si>
  <si>
    <t>2,1290</t>
  </si>
  <si>
    <t>0919010</t>
  </si>
  <si>
    <t>03597132115186</t>
  </si>
  <si>
    <t>boite de 1 flacon (15ml) verre de 3 g</t>
  </si>
  <si>
    <t>OCEMYCINE</t>
  </si>
  <si>
    <t>333,50</t>
  </si>
  <si>
    <t>0977010</t>
  </si>
  <si>
    <t>03597132113045</t>
  </si>
  <si>
    <t>boite de 1 flacon verre de 15 ml</t>
  </si>
  <si>
    <t>MYCOLICINE O.C.</t>
  </si>
  <si>
    <t>1,20</t>
  </si>
  <si>
    <t>0815100</t>
  </si>
  <si>
    <t>03597132319164</t>
  </si>
  <si>
    <t>03597132319157</t>
  </si>
  <si>
    <t>1160</t>
  </si>
  <si>
    <t>0834070</t>
  </si>
  <si>
    <t>08713184073327</t>
  </si>
  <si>
    <t>Flacon pressurisé de 110 g contenant 50 g de solution</t>
  </si>
  <si>
    <t>Bovins, Caprins, Equins, Lapins, Ovins, Porcins</t>
  </si>
  <si>
    <t>08713184073334</t>
  </si>
  <si>
    <t>Flacon pressurisé de 220 g contenant 100 g de solution</t>
  </si>
  <si>
    <t>0868030</t>
  </si>
  <si>
    <t>03597132209106</t>
  </si>
  <si>
    <t>Boîte de 24 seringues intramammaires à capuchon amovible et sécable de 9 g</t>
  </si>
  <si>
    <t>849</t>
  </si>
  <si>
    <t>20,38</t>
  </si>
  <si>
    <t>03597132209113</t>
  </si>
  <si>
    <t>Boîte de 120 seringues intramammaires à capuchon amovible et sécable de 9 g</t>
  </si>
  <si>
    <t>101,88</t>
  </si>
  <si>
    <t>03597132104401</t>
  </si>
  <si>
    <t>Boîte de 60 seringues intramammaires à capuchon amovible et sécable de 9 g</t>
  </si>
  <si>
    <t>50,94</t>
  </si>
  <si>
    <t>0802010</t>
  </si>
  <si>
    <t>05420036902904</t>
  </si>
  <si>
    <t>Boîte de 1 flacon compte-gouttess de 15 ml</t>
  </si>
  <si>
    <t>SUROLAN</t>
  </si>
  <si>
    <t>5500</t>
  </si>
  <si>
    <t>05420036903048</t>
  </si>
  <si>
    <t>Boîte de 1 flacon compte-gouttess de 30 ml</t>
  </si>
  <si>
    <t>0705100</t>
  </si>
  <si>
    <t>03597132201056</t>
  </si>
  <si>
    <t>83,35</t>
  </si>
  <si>
    <t>8,34</t>
  </si>
  <si>
    <t>16,65</t>
  </si>
  <si>
    <t>1,67</t>
  </si>
  <si>
    <t>03597132201063</t>
  </si>
  <si>
    <t>20,84</t>
  </si>
  <si>
    <t>4,16</t>
  </si>
  <si>
    <t>03597132301077</t>
  </si>
  <si>
    <t>Bidon de 2 L</t>
  </si>
  <si>
    <t>166,70</t>
  </si>
  <si>
    <t>03597132301084</t>
  </si>
  <si>
    <t>Bidon de 5 L</t>
  </si>
  <si>
    <t>416,75</t>
  </si>
  <si>
    <t>83,25</t>
  </si>
  <si>
    <t>0763100</t>
  </si>
  <si>
    <t>03597132315128</t>
  </si>
  <si>
    <t>03597132315111</t>
  </si>
  <si>
    <t>Seau de 1 sache de 5 kg</t>
  </si>
  <si>
    <t>0794070</t>
  </si>
  <si>
    <t>03661753020140</t>
  </si>
  <si>
    <t>0724070</t>
  </si>
  <si>
    <t>03597132315234</t>
  </si>
  <si>
    <t>0753070</t>
  </si>
  <si>
    <t>03661753020119</t>
  </si>
  <si>
    <t>0785060</t>
  </si>
  <si>
    <t>05414736007755</t>
  </si>
  <si>
    <t>Boîte de 12 seringues avec embouts sécables et de 12 serviettes nettoyantes</t>
  </si>
  <si>
    <t>05414736007762</t>
  </si>
  <si>
    <t>Boîte de 24 seringues avec embouts sécables et de 24 serviettes nettoyantes</t>
  </si>
  <si>
    <t>0709040</t>
  </si>
  <si>
    <t>05414736007625</t>
  </si>
  <si>
    <t>14,40</t>
  </si>
  <si>
    <t>05414736007632</t>
  </si>
  <si>
    <t>0702040</t>
  </si>
  <si>
    <t>03760161601269</t>
  </si>
  <si>
    <t>03760161601276</t>
  </si>
  <si>
    <t>03760161601283</t>
  </si>
  <si>
    <t>0763030</t>
  </si>
  <si>
    <t>03760161603232</t>
  </si>
  <si>
    <t>9,60</t>
  </si>
  <si>
    <t>0742020</t>
  </si>
  <si>
    <t>08714015008891</t>
  </si>
  <si>
    <t>Bovins, Caprins, Chat, Ovins, Porcins</t>
  </si>
  <si>
    <t>08714015008938</t>
  </si>
  <si>
    <t>08714015008983</t>
  </si>
  <si>
    <t>0750010</t>
  </si>
  <si>
    <t>04007221021445</t>
  </si>
  <si>
    <t>FLUOROQUINOLONES</t>
  </si>
  <si>
    <t>enrofloxacin</t>
  </si>
  <si>
    <t>04007221020103</t>
  </si>
  <si>
    <t>04007221032090</t>
  </si>
  <si>
    <t>0677100</t>
  </si>
  <si>
    <t>05017363032246</t>
  </si>
  <si>
    <t>Fut de 1 sac de 20 kg</t>
  </si>
  <si>
    <t>Poissons</t>
  </si>
  <si>
    <t>333,40</t>
  </si>
  <si>
    <t>6668</t>
  </si>
  <si>
    <t>66,60</t>
  </si>
  <si>
    <t>1332</t>
  </si>
  <si>
    <t>0697090</t>
  </si>
  <si>
    <t>04007221031291</t>
  </si>
  <si>
    <t>Dinde, Lapins, Poules</t>
  </si>
  <si>
    <t>04007221031284</t>
  </si>
  <si>
    <t>Flacon de 1000 mL</t>
  </si>
  <si>
    <t>04007221031307</t>
  </si>
  <si>
    <t>Flacon de 5000 mL</t>
  </si>
  <si>
    <t>0615090</t>
  </si>
  <si>
    <t>05414736011714</t>
  </si>
  <si>
    <t>Boîte de 8 plaquettes thermoformées de 10 gélules</t>
  </si>
  <si>
    <t>ANTIROBE 75 MG</t>
  </si>
  <si>
    <t>clindamycin</t>
  </si>
  <si>
    <t>05414736011707</t>
  </si>
  <si>
    <t>Boîte de 2 plaquettes thermoformées de 8 gélules</t>
  </si>
  <si>
    <t>0644090</t>
  </si>
  <si>
    <t>05414736011738</t>
  </si>
  <si>
    <t>ANTIROBE 150 MG</t>
  </si>
  <si>
    <t>05414736011721</t>
  </si>
  <si>
    <t>0690090</t>
  </si>
  <si>
    <t>08713184123060</t>
  </si>
  <si>
    <t>cefapirin</t>
  </si>
  <si>
    <t>0620090</t>
  </si>
  <si>
    <t>03660176011186</t>
  </si>
  <si>
    <t>Caille, Canard, Dinde, Faisan, Lapins, Oie, Perdrix, Pintade, Porcins, Poules</t>
  </si>
  <si>
    <t>0623080</t>
  </si>
  <si>
    <t>03660176011223</t>
  </si>
  <si>
    <t>0658060</t>
  </si>
  <si>
    <t>03605870001484</t>
  </si>
  <si>
    <t>03605870001491</t>
  </si>
  <si>
    <t>0675060</t>
  </si>
  <si>
    <t>03597132205078</t>
  </si>
  <si>
    <t>Boîte de 1 seringue graduée de 60 mL</t>
  </si>
  <si>
    <t>450000</t>
  </si>
  <si>
    <t>03597132205061</t>
  </si>
  <si>
    <t>Boîte de 30 seringues graduées de 60 mL</t>
  </si>
  <si>
    <t>1800</t>
  </si>
  <si>
    <t>0605060</t>
  </si>
  <si>
    <t>03605870000135</t>
  </si>
  <si>
    <t>Tube de 10 g</t>
  </si>
  <si>
    <t>ORIBIOTIC</t>
  </si>
  <si>
    <t>3500</t>
  </si>
  <si>
    <t>0666050</t>
  </si>
  <si>
    <t>05414736011691</t>
  </si>
  <si>
    <t>ANTIROBE 25 MG</t>
  </si>
  <si>
    <t>0607030</t>
  </si>
  <si>
    <t>05414736006857</t>
  </si>
  <si>
    <t>Boîte de 1 flacon de 20 mL</t>
  </si>
  <si>
    <t>ANTIROBE GOUTTES</t>
  </si>
  <si>
    <t>0682030</t>
  </si>
  <si>
    <t>03661103041917</t>
  </si>
  <si>
    <t>03661103002376</t>
  </si>
  <si>
    <t>0612030</t>
  </si>
  <si>
    <t>05414736004440</t>
  </si>
  <si>
    <t>Boîte de 1 flacon</t>
  </si>
  <si>
    <t>ceftiofur</t>
  </si>
  <si>
    <t>0526030</t>
  </si>
  <si>
    <t>03660176010516</t>
  </si>
  <si>
    <t>BUCCOVAL PETIT CHIEN</t>
  </si>
  <si>
    <t>375000</t>
  </si>
  <si>
    <t>03660176010547</t>
  </si>
  <si>
    <t>0558020</t>
  </si>
  <si>
    <t>03411110031056</t>
  </si>
  <si>
    <t>03411110094693</t>
  </si>
  <si>
    <t>0575020</t>
  </si>
  <si>
    <t>03411110033654</t>
  </si>
  <si>
    <t>Saumon, Truite</t>
  </si>
  <si>
    <t>800</t>
  </si>
  <si>
    <t>0537010</t>
  </si>
  <si>
    <t>05414736007434</t>
  </si>
  <si>
    <t>CLAMOXYL COMPRIMES A 400 MG</t>
  </si>
  <si>
    <t>05414736007441</t>
  </si>
  <si>
    <t>0498100</t>
  </si>
  <si>
    <t>03760161601146</t>
  </si>
  <si>
    <t>Boîte de 1 flacon de 125 mL</t>
  </si>
  <si>
    <t>23,38</t>
  </si>
  <si>
    <t>03760161601153</t>
  </si>
  <si>
    <t>46,75</t>
  </si>
  <si>
    <t>03760161601177</t>
  </si>
  <si>
    <t>03760161601184</t>
  </si>
  <si>
    <t>0489090</t>
  </si>
  <si>
    <t>05414736004563</t>
  </si>
  <si>
    <t>0435070</t>
  </si>
  <si>
    <t>03661103001997</t>
  </si>
  <si>
    <t>03661103001980</t>
  </si>
  <si>
    <t>boite de 1 flacon verre de 250 ml</t>
  </si>
  <si>
    <t>0446050</t>
  </si>
  <si>
    <t>03411110034620</t>
  </si>
  <si>
    <t>boite de 50 plaquettes thermoformées de 10 comprimés</t>
  </si>
  <si>
    <t>VETRIMOXIN 150 MG COMPRIMES</t>
  </si>
  <si>
    <t>0451050</t>
  </si>
  <si>
    <t>05014602815042</t>
  </si>
  <si>
    <t>Bovins, Ovins</t>
  </si>
  <si>
    <t>tilmicosin</t>
  </si>
  <si>
    <t>05014602815127</t>
  </si>
  <si>
    <t>0483040</t>
  </si>
  <si>
    <t>03661753002337</t>
  </si>
  <si>
    <t>0474030</t>
  </si>
  <si>
    <t>03605870001798</t>
  </si>
  <si>
    <t>boite aluminium de 200g</t>
  </si>
  <si>
    <t>Lapins, Vison, Volailles</t>
  </si>
  <si>
    <t>30000</t>
  </si>
  <si>
    <t>0491030</t>
  </si>
  <si>
    <t>03411111887348</t>
  </si>
  <si>
    <t>Boîte de 1 flacon polypropylène de 100 mL</t>
  </si>
  <si>
    <t>03411111887331</t>
  </si>
  <si>
    <t>Boîte de 1 flacon polypropylène de 250 mL</t>
  </si>
  <si>
    <t>03411111887324</t>
  </si>
  <si>
    <t>Boîte de 1 flacon polypropylène de 500 mL</t>
  </si>
  <si>
    <t>0364100</t>
  </si>
  <si>
    <t>04007221025337</t>
  </si>
  <si>
    <t>04007221025344</t>
  </si>
  <si>
    <t>0389050</t>
  </si>
  <si>
    <t>03353239003586</t>
  </si>
  <si>
    <t>5 KG</t>
  </si>
  <si>
    <t>0348050</t>
  </si>
  <si>
    <t>08007220405143</t>
  </si>
  <si>
    <t>Boîte de 1 plaquette thermoformée de 4 seringues intramammaires et de 4 serviettes nettoyantes</t>
  </si>
  <si>
    <t>rifaximin</t>
  </si>
  <si>
    <t>08007220405181</t>
  </si>
  <si>
    <t>Boîte de 15 plaquettes thermoformées de 4 seringues intramammaires et de 4 serviettes nettoyantes</t>
  </si>
  <si>
    <t>08007220405198</t>
  </si>
  <si>
    <t>Boîte de 30 plaquettes thermoformées de 4 seringues intramammaires et de 4 serviettes nettoyantes</t>
  </si>
  <si>
    <t>0396020</t>
  </si>
  <si>
    <t>03353239042509</t>
  </si>
  <si>
    <t>sac polyethylene de 25 kg</t>
  </si>
  <si>
    <t>22</t>
  </si>
  <si>
    <t>0343020</t>
  </si>
  <si>
    <t>03605870002009</t>
  </si>
  <si>
    <t>Agneau, Bovins, Porcins</t>
  </si>
  <si>
    <t>03605870002016</t>
  </si>
  <si>
    <t>0329010</t>
  </si>
  <si>
    <t>05017363520613</t>
  </si>
  <si>
    <t>boite de 1 flacon de 50 ml</t>
  </si>
  <si>
    <t>florfenicol</t>
  </si>
  <si>
    <t>05017363520637</t>
  </si>
  <si>
    <t>boite de1 flacon de 100 ml</t>
  </si>
  <si>
    <t>05017363520620</t>
  </si>
  <si>
    <t>boite de 1 flacon de 250 ml</t>
  </si>
  <si>
    <t>05017363520644</t>
  </si>
  <si>
    <t>boite de 1 flacon de 500 ml</t>
  </si>
  <si>
    <t>0208100</t>
  </si>
  <si>
    <t>04028691511045</t>
  </si>
  <si>
    <t>Boîte de 10 flacons de 5 g de poudre et de 10 flacons de 15 mL de solvant</t>
  </si>
  <si>
    <t>Equins</t>
  </si>
  <si>
    <t>penethamate hydriodide</t>
  </si>
  <si>
    <t>333,33</t>
  </si>
  <si>
    <t>0,60</t>
  </si>
  <si>
    <t>0298090</t>
  </si>
  <si>
    <t>03660176010219</t>
  </si>
  <si>
    <t>Boîte de 1 plaquette thermoformée de 12 comprimés sécables</t>
  </si>
  <si>
    <t>AMOXIVAL 40 FELIN COMPRIMES</t>
  </si>
  <si>
    <t>03660176010226</t>
  </si>
  <si>
    <t>Boîte de 10 plaquettes thermoformées de 12 comprimés sécables</t>
  </si>
  <si>
    <t>0286090</t>
  </si>
  <si>
    <t>03597132319225</t>
  </si>
  <si>
    <t>0241080</t>
  </si>
  <si>
    <t>05414736002521</t>
  </si>
  <si>
    <t>danofloxacin</t>
  </si>
  <si>
    <t>0239070</t>
  </si>
  <si>
    <t>03411111862185</t>
  </si>
  <si>
    <t>03411111862246</t>
  </si>
  <si>
    <t>03411111873976</t>
  </si>
  <si>
    <t>0243050</t>
  </si>
  <si>
    <t>03660176011032</t>
  </si>
  <si>
    <t>0231050</t>
  </si>
  <si>
    <t>03660176011162</t>
  </si>
  <si>
    <t>80000</t>
  </si>
  <si>
    <t>0299040</t>
  </si>
  <si>
    <t>03660176010882</t>
  </si>
  <si>
    <t>0217040</t>
  </si>
  <si>
    <t>03353239019389</t>
  </si>
  <si>
    <t>0292040</t>
  </si>
  <si>
    <t>03353239015701</t>
  </si>
  <si>
    <t>0257020</t>
  </si>
  <si>
    <t>03661753002054</t>
  </si>
  <si>
    <t>0274020</t>
  </si>
  <si>
    <t>03661753002535</t>
  </si>
  <si>
    <t>sac polyethylene papier aluminium de 25kg</t>
  </si>
  <si>
    <t>0233020</t>
  </si>
  <si>
    <t>03661753002085</t>
  </si>
  <si>
    <t>03661753067343</t>
  </si>
  <si>
    <t>Conteneur souple de 1000 kg</t>
  </si>
  <si>
    <t>0221020</t>
  </si>
  <si>
    <t>03661753002443</t>
  </si>
  <si>
    <t>0250020</t>
  </si>
  <si>
    <t>03661753002504</t>
  </si>
  <si>
    <t>0248010</t>
  </si>
  <si>
    <t>03661753002580</t>
  </si>
  <si>
    <t>Agneau, Chevreau, Lapins, Porcins, Volailles</t>
  </si>
  <si>
    <t>0143080</t>
  </si>
  <si>
    <t>04007221008507</t>
  </si>
  <si>
    <t>04007221018025</t>
  </si>
  <si>
    <t>0172080</t>
  </si>
  <si>
    <t>05414736012391</t>
  </si>
  <si>
    <t>05414736012407</t>
  </si>
  <si>
    <t>Pot de 1,5 kg</t>
  </si>
  <si>
    <t>0102080</t>
  </si>
  <si>
    <t>04007221017912</t>
  </si>
  <si>
    <t>04007221017806</t>
  </si>
  <si>
    <t>0175070</t>
  </si>
  <si>
    <t>03597132205047</t>
  </si>
  <si>
    <t>boite de 100 injecteurs de 30 g</t>
  </si>
  <si>
    <t>140</t>
  </si>
  <si>
    <t>420</t>
  </si>
  <si>
    <t>350000</t>
  </si>
  <si>
    <t>03597132205054</t>
  </si>
  <si>
    <t>boite de 1 injecteur polyéthylène de 30 g</t>
  </si>
  <si>
    <t>4,20</t>
  </si>
  <si>
    <t>0137060</t>
  </si>
  <si>
    <t>08713184045867</t>
  </si>
  <si>
    <t>cefquinome</t>
  </si>
  <si>
    <t>08713184045874</t>
  </si>
  <si>
    <t>boite de 1 flacon de 100 ml</t>
  </si>
  <si>
    <t>0145050</t>
  </si>
  <si>
    <t>05414736007779</t>
  </si>
  <si>
    <t>84</t>
  </si>
  <si>
    <t>0168030</t>
  </si>
  <si>
    <t>03660176013388</t>
  </si>
  <si>
    <t>THERIOS 60 FELIN</t>
  </si>
  <si>
    <t>0,72</t>
  </si>
  <si>
    <t>03660176013395</t>
  </si>
  <si>
    <t>0197030</t>
  </si>
  <si>
    <t>04007221009726</t>
  </si>
  <si>
    <t>Boîte de 1 plaquette thermosoudée de 10 comprimés</t>
  </si>
  <si>
    <t>BAYTRIL S 50 MG</t>
  </si>
  <si>
    <t>04007221009733</t>
  </si>
  <si>
    <t>Boîte de 10 plaquettes thermosoudées de 10 comprimés</t>
  </si>
  <si>
    <t>0127030</t>
  </si>
  <si>
    <t>04007221009740</t>
  </si>
  <si>
    <t>BAYTRIL S 150 MG</t>
  </si>
  <si>
    <t>04007221009757</t>
  </si>
  <si>
    <t>0115030</t>
  </si>
  <si>
    <t>03660176013364</t>
  </si>
  <si>
    <t>Boîte de 1 plaquette thermoformée de 10 comprimés quadrisécables</t>
  </si>
  <si>
    <t>THERIOS 300 MG QUADRI COMPRIMES POUR CHIEN</t>
  </si>
  <si>
    <t>03660176013371</t>
  </si>
  <si>
    <t>Boîte de 20 plaquettes thermoformées de 10 comprimés quadrisécables</t>
  </si>
  <si>
    <t>0144030</t>
  </si>
  <si>
    <t>03660176010448</t>
  </si>
  <si>
    <t>BUCCOVAL CHIEN NAIN</t>
  </si>
  <si>
    <t>75000</t>
  </si>
  <si>
    <t>0,47</t>
  </si>
  <si>
    <t>03660176010462</t>
  </si>
  <si>
    <t>Boîte de 16 plaquettes thermoformées de 10 comprimés enrobés</t>
  </si>
  <si>
    <t>0173030</t>
  </si>
  <si>
    <t>03660176010486</t>
  </si>
  <si>
    <t>BUCCOVAL GRAND CHIEN</t>
  </si>
  <si>
    <t>03660176010509</t>
  </si>
  <si>
    <t>128</t>
  </si>
  <si>
    <t>0193020</t>
  </si>
  <si>
    <t>03661103000693</t>
  </si>
  <si>
    <t>cefazolin</t>
  </si>
  <si>
    <t>03661103003861</t>
  </si>
  <si>
    <t>0029100</t>
  </si>
  <si>
    <t>08713184059079</t>
  </si>
  <si>
    <t>Boîte de 10 sachets contenant 1 seringue, 1 gant et 1 sonde</t>
  </si>
  <si>
    <t>0063100</t>
  </si>
  <si>
    <t>03661753037926</t>
  </si>
  <si>
    <t>0092100</t>
  </si>
  <si>
    <t>03661103000709</t>
  </si>
  <si>
    <t>03661103003878</t>
  </si>
  <si>
    <t>boite de 60 applicateurs avec embout sécable et de 60 sachets de 1 serviette nettoyante</t>
  </si>
  <si>
    <t>0098080</t>
  </si>
  <si>
    <t>03597132119115</t>
  </si>
  <si>
    <t>Boîte de 1 flacon multidose de 5 ml</t>
  </si>
  <si>
    <t>SOLIGENTAL</t>
  </si>
  <si>
    <t>03597133080759</t>
  </si>
  <si>
    <t>0077070</t>
  </si>
  <si>
    <t>03660176012466</t>
  </si>
  <si>
    <t>0027060</t>
  </si>
  <si>
    <t>03353239042493</t>
  </si>
  <si>
    <t>sac polyethylene-papier de 25 kg</t>
  </si>
  <si>
    <t>8,80</t>
  </si>
  <si>
    <t>0061060</t>
  </si>
  <si>
    <t>03660176013555</t>
  </si>
  <si>
    <t>Dinde, Porcins, Poules</t>
  </si>
  <si>
    <t>16,20</t>
  </si>
  <si>
    <t>405</t>
  </si>
  <si>
    <t>0029030</t>
  </si>
  <si>
    <t>03660144067078</t>
  </si>
  <si>
    <t>0087030</t>
  </si>
  <si>
    <t>08714015010351</t>
  </si>
  <si>
    <t>boite de 1 flacon de 1000mL</t>
  </si>
  <si>
    <t>Dinde, Poules</t>
  </si>
  <si>
    <t>difloxacin</t>
  </si>
  <si>
    <t>0046030</t>
  </si>
  <si>
    <t>03411110093139</t>
  </si>
  <si>
    <t>03411110002322</t>
  </si>
  <si>
    <t>0078020</t>
  </si>
  <si>
    <t>03660144068549</t>
  </si>
  <si>
    <t>03660144077268</t>
  </si>
  <si>
    <t>0037020</t>
  </si>
  <si>
    <t>03597132301336</t>
  </si>
  <si>
    <t>Seau de 1 kg</t>
  </si>
  <si>
    <t>03597132301343</t>
  </si>
  <si>
    <t>03597132201179</t>
  </si>
  <si>
    <t>0095020</t>
  </si>
  <si>
    <t>05014602815004</t>
  </si>
  <si>
    <t>0057010</t>
  </si>
  <si>
    <t>03353239048440</t>
  </si>
  <si>
    <t>0016010</t>
  </si>
  <si>
    <t>03660176011292</t>
  </si>
  <si>
    <t>0045010</t>
  </si>
  <si>
    <t>0074010</t>
  </si>
  <si>
    <t>03660144072348</t>
  </si>
  <si>
    <t>Poulet de chair</t>
  </si>
  <si>
    <t>0062010</t>
  </si>
  <si>
    <t>05414736014425</t>
  </si>
  <si>
    <t>05414736024721</t>
  </si>
  <si>
    <t>0091010</t>
  </si>
  <si>
    <t>03605870002214</t>
  </si>
  <si>
    <t>Bovins, Truie</t>
  </si>
  <si>
    <t>marbofloxacin</t>
  </si>
  <si>
    <t>03605870002221</t>
  </si>
  <si>
    <t>03605870002238</t>
  </si>
  <si>
    <t>03605874160286</t>
  </si>
  <si>
    <t>0919999</t>
  </si>
  <si>
    <t>03660176012831</t>
  </si>
  <si>
    <t>03660176012855</t>
  </si>
  <si>
    <t>0948999</t>
  </si>
  <si>
    <t>05701170140927</t>
  </si>
  <si>
    <t>Boîte de 1 tube de 3 g FUCITHALMIC 3 G</t>
  </si>
  <si>
    <t>ISATHAL</t>
  </si>
  <si>
    <t>05701170334814</t>
  </si>
  <si>
    <t>Boîte de 1 tube de 3 g</t>
  </si>
  <si>
    <t>0977999</t>
  </si>
  <si>
    <t>05017363520491</t>
  </si>
  <si>
    <t>Boîte de 1 flacon de 34 mL</t>
  </si>
  <si>
    <t>34</t>
  </si>
  <si>
    <t>OTOMAX GOUTTES AURICULAIRES</t>
  </si>
  <si>
    <t>2640</t>
  </si>
  <si>
    <t>0,14</t>
  </si>
  <si>
    <t>05017363520484</t>
  </si>
  <si>
    <t>Boîte de 1 flacon de 14 mL</t>
  </si>
  <si>
    <t>14</t>
  </si>
  <si>
    <t>0920989</t>
  </si>
  <si>
    <t>03661753035366</t>
  </si>
  <si>
    <t>Dindon, Porcins, Poules, Veau</t>
  </si>
  <si>
    <t>03661753003679</t>
  </si>
  <si>
    <t>03661753022410</t>
  </si>
  <si>
    <t>0906979</t>
  </si>
  <si>
    <t>03605870002276</t>
  </si>
  <si>
    <t>0964979</t>
  </si>
  <si>
    <t>03660176011711</t>
  </si>
  <si>
    <t>03660176011728</t>
  </si>
  <si>
    <t>03660176011735</t>
  </si>
  <si>
    <t>0909969</t>
  </si>
  <si>
    <t>03660176010042</t>
  </si>
  <si>
    <t>boite de 1 kg avec gobelet doseur</t>
  </si>
  <si>
    <t>Canard, Dinde, Porcins, Poulet de chair, Poulettes avant la ponte, Veau</t>
  </si>
  <si>
    <t>03660176010059</t>
  </si>
  <si>
    <t>03660176010035</t>
  </si>
  <si>
    <t>0967969</t>
  </si>
  <si>
    <t>03597132316286</t>
  </si>
  <si>
    <t>0984969</t>
  </si>
  <si>
    <t>03660176011681</t>
  </si>
  <si>
    <t>Boîte de 2 plaquettes thermoformées de 12 comprimés sécables</t>
  </si>
  <si>
    <t>DOXYVAL 20</t>
  </si>
  <si>
    <t>03660176011704</t>
  </si>
  <si>
    <t>Boîte de 24 plaquettes thermoformées de 12 comprimés sécables</t>
  </si>
  <si>
    <t>288</t>
  </si>
  <si>
    <t>5,76</t>
  </si>
  <si>
    <t>0902969</t>
  </si>
  <si>
    <t>03660144071662</t>
  </si>
  <si>
    <t>03660144071488</t>
  </si>
  <si>
    <t>03660144071679</t>
  </si>
  <si>
    <t>0931969</t>
  </si>
  <si>
    <t>03661753037766</t>
  </si>
  <si>
    <t>0960969</t>
  </si>
  <si>
    <t>03661753043422</t>
  </si>
  <si>
    <t>0971949</t>
  </si>
  <si>
    <t>03597132119238</t>
  </si>
  <si>
    <t>boite de 1 plaquette thermoformée de 10 comprimés sécables</t>
  </si>
  <si>
    <t>SURAMOX 40 COMPRIME</t>
  </si>
  <si>
    <t>0901949</t>
  </si>
  <si>
    <t>03597132119177</t>
  </si>
  <si>
    <t>SURAMOX 200 COMPRIME</t>
  </si>
  <si>
    <t>0969939</t>
  </si>
  <si>
    <t>03605870002344</t>
  </si>
  <si>
    <t>Boîte de 16 plaquettes thermoformées de 6 comprimés</t>
  </si>
  <si>
    <t>03605877058108</t>
  </si>
  <si>
    <t>Boîte de 40 plaquettes thermoformées de 6 comprimés</t>
  </si>
  <si>
    <t>0933939</t>
  </si>
  <si>
    <t>05414736011479</t>
  </si>
  <si>
    <t>330</t>
  </si>
  <si>
    <t>7,92</t>
  </si>
  <si>
    <t>05414916940063</t>
  </si>
  <si>
    <t>Boîte de 24 seringues intramammaires de 10 mL et 24 serviettes nettoyantes</t>
  </si>
  <si>
    <t>05414736028637</t>
  </si>
  <si>
    <t>0950939</t>
  </si>
  <si>
    <t>03605870002313</t>
  </si>
  <si>
    <t>Boîte de 1 flacon de 1008 mg de poudre et de 1 flacon de 20 mL de solvant</t>
  </si>
  <si>
    <t>MARBOCYL FD</t>
  </si>
  <si>
    <t>0977929</t>
  </si>
  <si>
    <t>03597132316262</t>
  </si>
  <si>
    <t>0965929</t>
  </si>
  <si>
    <t>04007221020264</t>
  </si>
  <si>
    <t>boite de 1 film thermosoude de 6 bolus secables</t>
  </si>
  <si>
    <t>04007221020271</t>
  </si>
  <si>
    <t>boite de 20 films thermosoudes de 6 bolus secables</t>
  </si>
  <si>
    <t>04007221020288</t>
  </si>
  <si>
    <t>boite de 40 films thermosoude de 6 bolus secables</t>
  </si>
  <si>
    <t>0994929</t>
  </si>
  <si>
    <t>03661753004218</t>
  </si>
  <si>
    <t>Bidon de 500 mL</t>
  </si>
  <si>
    <t>03661753004232</t>
  </si>
  <si>
    <t>03661753004225</t>
  </si>
  <si>
    <t>03661753021826</t>
  </si>
  <si>
    <t>03661753061976</t>
  </si>
  <si>
    <t>Bidon de 100 mL</t>
  </si>
  <si>
    <t>0927919</t>
  </si>
  <si>
    <t>04007221009702</t>
  </si>
  <si>
    <t>BAYTRIL S 15 MG</t>
  </si>
  <si>
    <t>04007221009719</t>
  </si>
  <si>
    <t>0961919</t>
  </si>
  <si>
    <t>676395 7</t>
  </si>
  <si>
    <t>0959909</t>
  </si>
  <si>
    <t>08713184046741</t>
  </si>
  <si>
    <t>Boîte de 15 seringues intramammaires et de 15 serviettes nettoyantes</t>
  </si>
  <si>
    <t>1,13</t>
  </si>
  <si>
    <t>08713184144584</t>
  </si>
  <si>
    <t>Boîte de 3 seringues intramammaires et de 3 serviettes nettoyantes</t>
  </si>
  <si>
    <t>0,23</t>
  </si>
  <si>
    <t>0906909</t>
  </si>
  <si>
    <t>05014602815066</t>
  </si>
  <si>
    <t>Dinde, Porcins, Poulet de chair, Veau</t>
  </si>
  <si>
    <t>0993909</t>
  </si>
  <si>
    <t>03597132319317</t>
  </si>
  <si>
    <t>pot de 200 g avec une cuillère mesure (5g)</t>
  </si>
  <si>
    <t>03597132319324</t>
  </si>
  <si>
    <t>pot de 500 g avec une cuillère mesure (8g)</t>
  </si>
  <si>
    <t>03597132213257</t>
  </si>
  <si>
    <t>0952909</t>
  </si>
  <si>
    <t>03661753019045</t>
  </si>
  <si>
    <t>03661753019069</t>
  </si>
  <si>
    <t>0981909</t>
  </si>
  <si>
    <t>03760161602426</t>
  </si>
  <si>
    <t>03760161602433</t>
  </si>
  <si>
    <t>Sac de 2 kg</t>
  </si>
  <si>
    <t>0816969</t>
  </si>
  <si>
    <t>03661321004824</t>
  </si>
  <si>
    <t>03661321004831</t>
  </si>
  <si>
    <t>0804969</t>
  </si>
  <si>
    <t>10 sachets de 100g</t>
  </si>
  <si>
    <t>03400767674068</t>
  </si>
  <si>
    <t>0819959</t>
  </si>
  <si>
    <t>03660144080534</t>
  </si>
  <si>
    <t>boite de 1kg</t>
  </si>
  <si>
    <t>03660144080619</t>
  </si>
  <si>
    <t>0853959</t>
  </si>
  <si>
    <t>03660176013265</t>
  </si>
  <si>
    <t>0897949</t>
  </si>
  <si>
    <t>03411110107041</t>
  </si>
  <si>
    <t>boite de 20 plaquettes thermoformées de 8 comprimés sécables</t>
  </si>
  <si>
    <t>VETRIMOXIN 450 MG COMPRIMES</t>
  </si>
  <si>
    <t>450</t>
  </si>
  <si>
    <t>0820949</t>
  </si>
  <si>
    <t>05414736004082</t>
  </si>
  <si>
    <t>Boîte de 24 seringues pré-remplies de 10 ml</t>
  </si>
  <si>
    <t>pirlimycin</t>
  </si>
  <si>
    <t>05414736037059</t>
  </si>
  <si>
    <t>0823939</t>
  </si>
  <si>
    <t>03760161601016</t>
  </si>
  <si>
    <t>03760161601030</t>
  </si>
  <si>
    <t>03760161601047</t>
  </si>
  <si>
    <t>0811939</t>
  </si>
  <si>
    <t>03760161602129</t>
  </si>
  <si>
    <t>0838929</t>
  </si>
  <si>
    <t>03660176010349</t>
  </si>
  <si>
    <t>0826929</t>
  </si>
  <si>
    <t>03660176010127</t>
  </si>
  <si>
    <t>0872929</t>
  </si>
  <si>
    <t>03661753002283</t>
  </si>
  <si>
    <t>0802929</t>
  </si>
  <si>
    <t>03661753002306</t>
  </si>
  <si>
    <t>0887919</t>
  </si>
  <si>
    <t>04028691511038</t>
  </si>
  <si>
    <t>Boîte de 10 flacons de 10 g de poudre et de 10 flacons de 30 mL de solvant</t>
  </si>
  <si>
    <t>Equins, Vache</t>
  </si>
  <si>
    <t>0834919</t>
  </si>
  <si>
    <t>03660176012343</t>
  </si>
  <si>
    <t>0863919</t>
  </si>
  <si>
    <t>03661753016877</t>
  </si>
  <si>
    <t>Flacon de 2 litres</t>
  </si>
  <si>
    <t>03661753016884</t>
  </si>
  <si>
    <t>Flacon de 5 litres</t>
  </si>
  <si>
    <t>03661753028993</t>
  </si>
  <si>
    <t>Flacon de 10 litres</t>
  </si>
  <si>
    <t>833,50</t>
  </si>
  <si>
    <t>166,50</t>
  </si>
  <si>
    <t>0810919</t>
  </si>
  <si>
    <t>05414736003054</t>
  </si>
  <si>
    <t>9</t>
  </si>
  <si>
    <t>05414736002477</t>
  </si>
  <si>
    <t>0837909</t>
  </si>
  <si>
    <t>03411110042632</t>
  </si>
  <si>
    <t>03411110101476</t>
  </si>
  <si>
    <t>Flacon de 2 l</t>
  </si>
  <si>
    <t>03411110087862</t>
  </si>
  <si>
    <t>0895909</t>
  </si>
  <si>
    <t>03661753022427</t>
  </si>
  <si>
    <t>03661753022434</t>
  </si>
  <si>
    <t>0825909</t>
  </si>
  <si>
    <t>03661753023783</t>
  </si>
  <si>
    <t>03661753026340</t>
  </si>
  <si>
    <t>03661753040858</t>
  </si>
  <si>
    <t>03661753023790</t>
  </si>
  <si>
    <t>0871909</t>
  </si>
  <si>
    <t>03411110107751</t>
  </si>
  <si>
    <t>360</t>
  </si>
  <si>
    <t>03411110094686</t>
  </si>
  <si>
    <t>0786999</t>
  </si>
  <si>
    <t>03661321005142</t>
  </si>
  <si>
    <t>03661321004893</t>
  </si>
  <si>
    <t>0724989</t>
  </si>
  <si>
    <t>03605877054063</t>
  </si>
  <si>
    <t>Boîte de 1 flacon de 10 mL et 1 canule</t>
  </si>
  <si>
    <t>AURIZON</t>
  </si>
  <si>
    <t>03605877054148</t>
  </si>
  <si>
    <t>Boîte de 1 flacon de 20 mL et 2 canules</t>
  </si>
  <si>
    <t>0739979</t>
  </si>
  <si>
    <t>03605877175621</t>
  </si>
  <si>
    <t>8 comprimés</t>
  </si>
  <si>
    <t>CEFASEPTIN 75 MG</t>
  </si>
  <si>
    <t>03605877175713</t>
  </si>
  <si>
    <t>160 comprimés</t>
  </si>
  <si>
    <t>0727979</t>
  </si>
  <si>
    <t>03760161602167</t>
  </si>
  <si>
    <t>03760161602174</t>
  </si>
  <si>
    <t>0720979</t>
  </si>
  <si>
    <t>05017363520941</t>
  </si>
  <si>
    <t>flacon de 100 ml</t>
  </si>
  <si>
    <t>05017363520958</t>
  </si>
  <si>
    <t>flacon de 250 ml</t>
  </si>
  <si>
    <t>0723969</t>
  </si>
  <si>
    <t>05060162990590</t>
  </si>
  <si>
    <t>tylvalosin</t>
  </si>
  <si>
    <t>42,50</t>
  </si>
  <si>
    <t>850</t>
  </si>
  <si>
    <t>0779959</t>
  </si>
  <si>
    <t>03597132219273</t>
  </si>
  <si>
    <t>Pot de 200 g</t>
  </si>
  <si>
    <t>03597132219280</t>
  </si>
  <si>
    <t>pot de 500 g avec une cuillère mesure (contenance 8 g)</t>
  </si>
  <si>
    <t>03597132213264</t>
  </si>
  <si>
    <t>03597132002608</t>
  </si>
  <si>
    <t>sachet de 1 kg</t>
  </si>
  <si>
    <t>03597132213271</t>
  </si>
  <si>
    <t>Poche de 500 g</t>
  </si>
  <si>
    <t>0796959</t>
  </si>
  <si>
    <t>08714225151608</t>
  </si>
  <si>
    <t>Flacon de 270 mL</t>
  </si>
  <si>
    <t>211</t>
  </si>
  <si>
    <t>14,14</t>
  </si>
  <si>
    <t>2,98</t>
  </si>
  <si>
    <t>08714225155293</t>
  </si>
  <si>
    <t>Flacon de 520 mL</t>
  </si>
  <si>
    <t>422</t>
  </si>
  <si>
    <t>5,97</t>
  </si>
  <si>
    <t>08714225162758</t>
  </si>
  <si>
    <t>08714225162765</t>
  </si>
  <si>
    <t>0787949</t>
  </si>
  <si>
    <t>03353239003661</t>
  </si>
  <si>
    <t>03353239003678</t>
  </si>
  <si>
    <t>0737939</t>
  </si>
  <si>
    <t>03605877175898</t>
  </si>
  <si>
    <t>10 comprimés</t>
  </si>
  <si>
    <t>CEFASEPTIN 300 MG</t>
  </si>
  <si>
    <t>03605877175973</t>
  </si>
  <si>
    <t>200 comprimés</t>
  </si>
  <si>
    <t>0701939</t>
  </si>
  <si>
    <t>03411111795919</t>
  </si>
  <si>
    <t>03411111842156</t>
  </si>
  <si>
    <t>Pot de 1 kg muni de 1 cuillère mesure</t>
  </si>
  <si>
    <t>0757929</t>
  </si>
  <si>
    <t>03660176010202</t>
  </si>
  <si>
    <t>Boîte de 20 plaquettes thermoformées de 10 comprimés sécables</t>
  </si>
  <si>
    <t>AMOXIVAL 200 MG COMPRIMES POUR CHIEN ET CHAT</t>
  </si>
  <si>
    <t>0745929</t>
  </si>
  <si>
    <t>05099299024892</t>
  </si>
  <si>
    <t>Boîte de 1 flacon de 10 comprimés sécables</t>
  </si>
  <si>
    <t>CLINDASEPTIN 75 MG COMPRIMES</t>
  </si>
  <si>
    <t>0,75</t>
  </si>
  <si>
    <t>05099299024908</t>
  </si>
  <si>
    <t>Boîte de 1 flacon de 20 comprimés sécables</t>
  </si>
  <si>
    <t>0774929</t>
  </si>
  <si>
    <t>05099299024922</t>
  </si>
  <si>
    <t>CLINDASEPTIN 150 MG COMPRIMES</t>
  </si>
  <si>
    <t>05099299024915</t>
  </si>
  <si>
    <t>0733929</t>
  </si>
  <si>
    <t>03411111958314</t>
  </si>
  <si>
    <t>Boîte de 1 flacon polypropylène de 50 ml</t>
  </si>
  <si>
    <t>03411111884927</t>
  </si>
  <si>
    <t>Boîte de 1 flacon polypropylène de 100 ml</t>
  </si>
  <si>
    <t>03411111884378</t>
  </si>
  <si>
    <t>Boîte de 1 flacon polypropylène de 250 ml</t>
  </si>
  <si>
    <t>0719919</t>
  </si>
  <si>
    <t>08713184029966</t>
  </si>
  <si>
    <t>boite de 1 applicateur pre-rempli de 15 ml</t>
  </si>
  <si>
    <t>IBAFLIN 3% GEL ORAL POUR CHIENS ET CHATS</t>
  </si>
  <si>
    <t>ibafloxacin</t>
  </si>
  <si>
    <t>30,90</t>
  </si>
  <si>
    <t>0,46</t>
  </si>
  <si>
    <t>0715909</t>
  </si>
  <si>
    <t>05414736011745</t>
  </si>
  <si>
    <t>ANTIROBE 300 MG</t>
  </si>
  <si>
    <t>05414736011752</t>
  </si>
  <si>
    <t>0693999</t>
  </si>
  <si>
    <t>03605877309606</t>
  </si>
  <si>
    <t>MARBOCYL P 5 MG</t>
  </si>
  <si>
    <t>03605877309941</t>
  </si>
  <si>
    <t>03605874124196</t>
  </si>
  <si>
    <t>Boîte de 25 plaquettes thermoformées de 10 comprimés sécables</t>
  </si>
  <si>
    <t>0623999</t>
  </si>
  <si>
    <t>03605877309781</t>
  </si>
  <si>
    <t>MARBOCYL P 20 MG</t>
  </si>
  <si>
    <t>03605877310060</t>
  </si>
  <si>
    <t>03605874124219</t>
  </si>
  <si>
    <t>0652999</t>
  </si>
  <si>
    <t>03605877309866</t>
  </si>
  <si>
    <t>Boîte de 2 plaquettes thermoformées de 6 comprimés sécables</t>
  </si>
  <si>
    <t>MARBOCYL P 80 MG</t>
  </si>
  <si>
    <t>0,96</t>
  </si>
  <si>
    <t>03605877310145</t>
  </si>
  <si>
    <t>Boîte de 12 plaquettes thermoformées de 6 comprimés sécables</t>
  </si>
  <si>
    <t>03605874124233</t>
  </si>
  <si>
    <t>Boîte de 40 plaquettes thermoformées de 6 comprimés sécables</t>
  </si>
  <si>
    <t>19,20</t>
  </si>
  <si>
    <t>0654969</t>
  </si>
  <si>
    <t>05414736003139</t>
  </si>
  <si>
    <t>tulathromycin</t>
  </si>
  <si>
    <t>05414736003177</t>
  </si>
  <si>
    <t>05414736003245</t>
  </si>
  <si>
    <t>05414736003306</t>
  </si>
  <si>
    <t>0671969</t>
  </si>
  <si>
    <t>05414736006796</t>
  </si>
  <si>
    <t>05414736004808</t>
  </si>
  <si>
    <t>0630969</t>
  </si>
  <si>
    <t>05023534015628</t>
  </si>
  <si>
    <t>0619949</t>
  </si>
  <si>
    <t>05425008730912</t>
  </si>
  <si>
    <t>BACIVET S</t>
  </si>
  <si>
    <t>4200</t>
  </si>
  <si>
    <t>05414916750105</t>
  </si>
  <si>
    <t>10 sachets de 100 g</t>
  </si>
  <si>
    <t>05414916751102</t>
  </si>
  <si>
    <t>0627939</t>
  </si>
  <si>
    <t>03660176012312</t>
  </si>
  <si>
    <t>0603939</t>
  </si>
  <si>
    <t>03597132001977</t>
  </si>
  <si>
    <t>Boîte de 15 sachets de 4 applicateurs et de 60 serviettes nettoyantes</t>
  </si>
  <si>
    <t>03597132002899</t>
  </si>
  <si>
    <t>Boîte de 30 sachets de 4 applicateurs et de 120 serviettes nettoyantes</t>
  </si>
  <si>
    <t>03597132002882</t>
  </si>
  <si>
    <t>Boîte de 6 sachets de 4 applicateurs et de 24 serviettes nettoyantes</t>
  </si>
  <si>
    <t>3,60</t>
  </si>
  <si>
    <t>0629909</t>
  </si>
  <si>
    <t>03660176011742</t>
  </si>
  <si>
    <t>DOXYVAL 250 MG COMPRIME QUADRISECABLE POUR CHIEN</t>
  </si>
  <si>
    <t>03660176011759</t>
  </si>
  <si>
    <t>0658909</t>
  </si>
  <si>
    <t>03660176011650</t>
  </si>
  <si>
    <t>DOXYVAL 100 MG COMPRIME QUADRISECABLE POUR CHIEN</t>
  </si>
  <si>
    <t>03660176011667</t>
  </si>
  <si>
    <t>0687909</t>
  </si>
  <si>
    <t>Sachet de 160 g</t>
  </si>
  <si>
    <t>6,80</t>
  </si>
  <si>
    <t>05060162990606</t>
  </si>
  <si>
    <t>Sac de 500 g</t>
  </si>
  <si>
    <t>21,25</t>
  </si>
  <si>
    <t>0646909</t>
  </si>
  <si>
    <t>03597132000710</t>
  </si>
  <si>
    <t>03597132000727</t>
  </si>
  <si>
    <t>0634909</t>
  </si>
  <si>
    <t>03661753033102</t>
  </si>
  <si>
    <t>Sachet de 100 000 000 UI</t>
  </si>
  <si>
    <t>Dindon, Porcins, Veau, Volailles</t>
  </si>
  <si>
    <t>03661753033119</t>
  </si>
  <si>
    <t>Pot de 100 000 000 UI</t>
  </si>
  <si>
    <t>03661753159666</t>
  </si>
  <si>
    <t>Pot de 1 000 000 000 UI</t>
  </si>
  <si>
    <t>0583999</t>
  </si>
  <si>
    <t>03661753035809</t>
  </si>
  <si>
    <t>SAC DE 25 KG</t>
  </si>
  <si>
    <t>0513999</t>
  </si>
  <si>
    <t>03661753035830</t>
  </si>
  <si>
    <t>0571999</t>
  </si>
  <si>
    <t>03661321005128</t>
  </si>
  <si>
    <t>25 KG</t>
  </si>
  <si>
    <t>0528989</t>
  </si>
  <si>
    <t>03760087151084</t>
  </si>
  <si>
    <t>NOROCLAV P COMPRIMES 50MG</t>
  </si>
  <si>
    <t>03760087151503</t>
  </si>
  <si>
    <t>Boîte de 50 plaquettes thermoformées de 10 comprimés sécables</t>
  </si>
  <si>
    <t>05023534015826</t>
  </si>
  <si>
    <t>0557989</t>
  </si>
  <si>
    <t>03760087151091</t>
  </si>
  <si>
    <t>Boîte de 4 plaquettes thermoformées de 5 comprimés sécables</t>
  </si>
  <si>
    <t>NOROCLAV P COMPRIMES 250 MG</t>
  </si>
  <si>
    <t>05023534015833</t>
  </si>
  <si>
    <t>Boîte de 50 plaquettes thermoformées de 5 comprimés sécables</t>
  </si>
  <si>
    <t>03760087151510</t>
  </si>
  <si>
    <t>250 comprimés</t>
  </si>
  <si>
    <t>0533989</t>
  </si>
  <si>
    <t>04007221025283</t>
  </si>
  <si>
    <t>boite de 10 plaquettes thermoformées de 10 comprimés sécables</t>
  </si>
  <si>
    <t>CLAVOBAY 50 MG COMPRIME</t>
  </si>
  <si>
    <t>05023534008767</t>
  </si>
  <si>
    <t>0562989</t>
  </si>
  <si>
    <t>04007221025306</t>
  </si>
  <si>
    <t>boite de 50 plaquettes thermoformées de 5 comprimés sécables</t>
  </si>
  <si>
    <t>CLAVOBAY 250 MG COMPRIME</t>
  </si>
  <si>
    <t>05023534008880</t>
  </si>
  <si>
    <t>0550989</t>
  </si>
  <si>
    <t>03660176011902</t>
  </si>
  <si>
    <t>Bidon de 1 litre</t>
  </si>
  <si>
    <t>03660176011926</t>
  </si>
  <si>
    <t>Bidon de 5 litres</t>
  </si>
  <si>
    <t>0524979</t>
  </si>
  <si>
    <t>03660176010264</t>
  </si>
  <si>
    <t>AMOXIVAL 400 MG COMPRIMES POUR CHIEN</t>
  </si>
  <si>
    <t>0582979</t>
  </si>
  <si>
    <t>05023534015536</t>
  </si>
  <si>
    <t>Bovins, Chien</t>
  </si>
  <si>
    <t>7</t>
  </si>
  <si>
    <t>05023534015543</t>
  </si>
  <si>
    <t>03760087150834</t>
  </si>
  <si>
    <t>50 mL</t>
  </si>
  <si>
    <t>0500979</t>
  </si>
  <si>
    <t>03661753037889</t>
  </si>
  <si>
    <t>0556969</t>
  </si>
  <si>
    <t>03661321005326</t>
  </si>
  <si>
    <t>10 kg</t>
  </si>
  <si>
    <t>Porc charcutier, Porcelet</t>
  </si>
  <si>
    <t>0561969</t>
  </si>
  <si>
    <t>03660176010684</t>
  </si>
  <si>
    <t>0559959</t>
  </si>
  <si>
    <t>03660176013463</t>
  </si>
  <si>
    <t>THERIOS 750 MG QUADRI COMPRIMES POUR CHIEN</t>
  </si>
  <si>
    <t>03660176013470</t>
  </si>
  <si>
    <t>0552959</t>
  </si>
  <si>
    <t>03353239040932</t>
  </si>
  <si>
    <t>Flacon de 1 litre</t>
  </si>
  <si>
    <t>03353239040949</t>
  </si>
  <si>
    <t>0511959</t>
  </si>
  <si>
    <t>05023534013020</t>
  </si>
  <si>
    <t>05023534013037</t>
  </si>
  <si>
    <t>05023534007487</t>
  </si>
  <si>
    <t>0557919</t>
  </si>
  <si>
    <t>05414736007786</t>
  </si>
  <si>
    <t>Boîte de 1 flacon de 852 mg de lyophilisat et de 1 flacon de 10 ml de solvant</t>
  </si>
  <si>
    <t>CONVENIA 80 MG/ML POUDRE ET SOLVANT POUR SOLUTION INJECTABLE POUR CHIENS ET CHATS</t>
  </si>
  <si>
    <t>cefovecin</t>
  </si>
  <si>
    <t>05414736022574</t>
  </si>
  <si>
    <t>Boîte de 1 flacon de 340 mg de lyophilisat et de 1 flacon de 4 ml de solvant</t>
  </si>
  <si>
    <t>0533919</t>
  </si>
  <si>
    <t>03411111806448</t>
  </si>
  <si>
    <t>101,20</t>
  </si>
  <si>
    <t>03411111806455</t>
  </si>
  <si>
    <t>506</t>
  </si>
  <si>
    <t>0591919</t>
  </si>
  <si>
    <t>03660176013289</t>
  </si>
  <si>
    <t>03660176013296</t>
  </si>
  <si>
    <t>0589909</t>
  </si>
  <si>
    <t>03661753031221</t>
  </si>
  <si>
    <t>03661753031238</t>
  </si>
  <si>
    <t>Sac de 2,5 kg</t>
  </si>
  <si>
    <t>03661753031245</t>
  </si>
  <si>
    <t>0541909</t>
  </si>
  <si>
    <t>05017363026443</t>
  </si>
  <si>
    <t>05017363026450</t>
  </si>
  <si>
    <t>0411989</t>
  </si>
  <si>
    <t>03597132001069</t>
  </si>
  <si>
    <t>Boîte de 2 plaquettes thermoformées de 7 comprimés sécables</t>
  </si>
  <si>
    <t>RILEXINE COMPRIMES 75 MG</t>
  </si>
  <si>
    <t>1,05</t>
  </si>
  <si>
    <t>03597132001588</t>
  </si>
  <si>
    <t>Boîte de 30 plaquettes thermoformées de 7 comprimés sécables</t>
  </si>
  <si>
    <t>15,75</t>
  </si>
  <si>
    <t>0440989</t>
  </si>
  <si>
    <t>03597132001083</t>
  </si>
  <si>
    <t>RILEXINE COMPRIMES 300 MG</t>
  </si>
  <si>
    <t>03597132001595</t>
  </si>
  <si>
    <t>63</t>
  </si>
  <si>
    <t>0479979</t>
  </si>
  <si>
    <t>03597132001106</t>
  </si>
  <si>
    <t>RILEXINE COMPRIMES 600 MG</t>
  </si>
  <si>
    <t>8,40</t>
  </si>
  <si>
    <t>03597132001656</t>
  </si>
  <si>
    <t>126</t>
  </si>
  <si>
    <t>0409979</t>
  </si>
  <si>
    <t>08713184073945</t>
  </si>
  <si>
    <t>08713184073921</t>
  </si>
  <si>
    <t>08713184073938</t>
  </si>
  <si>
    <t>0438979</t>
  </si>
  <si>
    <t>03353239041922</t>
  </si>
  <si>
    <t>03353239041939</t>
  </si>
  <si>
    <t>Flacon de 10 L</t>
  </si>
  <si>
    <t>0455979</t>
  </si>
  <si>
    <t>05060162990323</t>
  </si>
  <si>
    <t>8,50</t>
  </si>
  <si>
    <t>170</t>
  </si>
  <si>
    <t>0484979</t>
  </si>
  <si>
    <t>03605877545073</t>
  </si>
  <si>
    <t>Boîte de 10 plaquettes de 10 comprimés sécables</t>
  </si>
  <si>
    <t>CLAVASEPTIN P 50 MG COMPRIMES POUR CHIENS ET CHATS</t>
  </si>
  <si>
    <t>03605877546896</t>
  </si>
  <si>
    <t>Boîte de 25 plaquettes de 10 comprimés sécables</t>
  </si>
  <si>
    <t>03605874415669</t>
  </si>
  <si>
    <t>Boîte de 50 plaquettes de 10 comprimés sécables</t>
  </si>
  <si>
    <t>0414979</t>
  </si>
  <si>
    <t>03605877545745</t>
  </si>
  <si>
    <t>CLAVASEPTIN P 250 MG COMPRIMES POUR CHIENS</t>
  </si>
  <si>
    <t>03605877546469</t>
  </si>
  <si>
    <t>03605874415577</t>
  </si>
  <si>
    <t>Boîte de 60 plaquettes de 10 comprimés sécables</t>
  </si>
  <si>
    <t>0443979</t>
  </si>
  <si>
    <t>03605877546209</t>
  </si>
  <si>
    <t>CLAVASEPTIN P 500 MG COMPRIMES POUR CHIENS</t>
  </si>
  <si>
    <t>03605877547008</t>
  </si>
  <si>
    <t>03605874415591</t>
  </si>
  <si>
    <t>0431979</t>
  </si>
  <si>
    <t>03605877571935</t>
  </si>
  <si>
    <t>03605874073531</t>
  </si>
  <si>
    <t>250 mL</t>
  </si>
  <si>
    <t>0494939</t>
  </si>
  <si>
    <t>03605874121645</t>
  </si>
  <si>
    <t>KESIUM 50 MG</t>
  </si>
  <si>
    <t>0424939</t>
  </si>
  <si>
    <t>03605874121652</t>
  </si>
  <si>
    <t>KESIUM 250 MG</t>
  </si>
  <si>
    <t>0453939</t>
  </si>
  <si>
    <t>03605874121669</t>
  </si>
  <si>
    <t>KESIUM 500 MG</t>
  </si>
  <si>
    <t>0412939</t>
  </si>
  <si>
    <t>03597132001335</t>
  </si>
  <si>
    <t>Dinde, Poule reproductrice, Poules, Poulet de chair</t>
  </si>
  <si>
    <t>03597132001328</t>
  </si>
  <si>
    <t>0435919</t>
  </si>
  <si>
    <t>03411111864776</t>
  </si>
  <si>
    <t>CEVAMULINE SOLUTION LAPIN</t>
  </si>
  <si>
    <t>03411111864820</t>
  </si>
  <si>
    <t>03411111956433</t>
  </si>
  <si>
    <t>Boîte de 1 flacon de 100 mL et de 1 seringue graduée de 5 mL</t>
  </si>
  <si>
    <t>10,12</t>
  </si>
  <si>
    <t>0484909</t>
  </si>
  <si>
    <t>03660132761568</t>
  </si>
  <si>
    <t>Boîte de 1 flacon de 1 litre</t>
  </si>
  <si>
    <t>03660132761575</t>
  </si>
  <si>
    <t>Boîte de 1 flacon de 5 litres et de 1 dispositif doseur de 1 litre</t>
  </si>
  <si>
    <t>03660132159433</t>
  </si>
  <si>
    <t>Boîte de 1 flacon de 10 litres et de 1 dispositif doseur de 1 litre</t>
  </si>
  <si>
    <t>1012</t>
  </si>
  <si>
    <t>0431909</t>
  </si>
  <si>
    <t>03661753059744</t>
  </si>
  <si>
    <t>0305999</t>
  </si>
  <si>
    <t>08422320304972</t>
  </si>
  <si>
    <t>0320959</t>
  </si>
  <si>
    <t>03597132001519</t>
  </si>
  <si>
    <t>pot de 1 sache de 1 kg</t>
  </si>
  <si>
    <t>364,20</t>
  </si>
  <si>
    <t>0388949</t>
  </si>
  <si>
    <t>03760161602815</t>
  </si>
  <si>
    <t>03760161602822</t>
  </si>
  <si>
    <t>03760161602839</t>
  </si>
  <si>
    <t>0306949</t>
  </si>
  <si>
    <t>03760161602846</t>
  </si>
  <si>
    <t>Flacon de 100 000 000 UI</t>
  </si>
  <si>
    <t>0393949</t>
  </si>
  <si>
    <t>04007221029724</t>
  </si>
  <si>
    <t>BAYTRIL 2,5 % SOLUTION INJECTABLE</t>
  </si>
  <si>
    <t>Chat, Chien, Lapins, NAC, Oiseaux de cage et de volière, Porcins, Rongeurs</t>
  </si>
  <si>
    <t>0343939</t>
  </si>
  <si>
    <t>08714377091029</t>
  </si>
  <si>
    <t>phenoxymethylpenicillin</t>
  </si>
  <si>
    <t>293</t>
  </si>
  <si>
    <t>08714377291214</t>
  </si>
  <si>
    <t>Boîte de 1 pot de 1 kg</t>
  </si>
  <si>
    <t>0331939</t>
  </si>
  <si>
    <t>03411112256884</t>
  </si>
  <si>
    <t>03411112931026</t>
  </si>
  <si>
    <t>0399929</t>
  </si>
  <si>
    <t>03661753037650</t>
  </si>
  <si>
    <t>0329929</t>
  </si>
  <si>
    <t>03661753037636</t>
  </si>
  <si>
    <t>0375929</t>
  </si>
  <si>
    <t>08717973560371</t>
  </si>
  <si>
    <t>Boîte de 1 seringue pour administration orale contenant 45 g de pâte</t>
  </si>
  <si>
    <t>45</t>
  </si>
  <si>
    <t>Cheval</t>
  </si>
  <si>
    <t>66,70</t>
  </si>
  <si>
    <t>08718469449149</t>
  </si>
  <si>
    <t>Boîte de 5 seringues pour administration orale contenant 45 g de pâte</t>
  </si>
  <si>
    <t>225</t>
  </si>
  <si>
    <t>15,01</t>
  </si>
  <si>
    <t>0305929</t>
  </si>
  <si>
    <t>05014602815981</t>
  </si>
  <si>
    <t>Flacon de 100 g</t>
  </si>
  <si>
    <t>05014602803865</t>
  </si>
  <si>
    <t>Sac de 1 000 000 000 UI</t>
  </si>
  <si>
    <t>05014602815073</t>
  </si>
  <si>
    <t>0392929</t>
  </si>
  <si>
    <t>03660176015139</t>
  </si>
  <si>
    <t>Pot de 100 000 000 ui</t>
  </si>
  <si>
    <t>0310929</t>
  </si>
  <si>
    <t>08713184110947</t>
  </si>
  <si>
    <t>Boîte de 1 flacon de 17,5 ml</t>
  </si>
  <si>
    <t>17</t>
  </si>
  <si>
    <t>POSATEX SUSPENSION AURICULAIRE POUR CHIENS</t>
  </si>
  <si>
    <t>orbifloxacine</t>
  </si>
  <si>
    <t>08713184099532</t>
  </si>
  <si>
    <t>Boîte de 1 flacon de 8,8 ml</t>
  </si>
  <si>
    <t>0,07</t>
  </si>
  <si>
    <t>0337919</t>
  </si>
  <si>
    <t>08427711114871</t>
  </si>
  <si>
    <t>Boîte de 1 flacon verre de 100 ml</t>
  </si>
  <si>
    <t>08427711114888</t>
  </si>
  <si>
    <t>08427711132813</t>
  </si>
  <si>
    <t>08427711133193</t>
  </si>
  <si>
    <t>0398909</t>
  </si>
  <si>
    <t>08713184090188</t>
  </si>
  <si>
    <t>Boîte de 1 sachet de 20 applicateurs intramammaires et 20 serviettes nettoyantes</t>
  </si>
  <si>
    <t>08713184144591</t>
  </si>
  <si>
    <t>Boîte de 1 sachet de 4 applicateurs intramammaires et 4 serviettes nettoyantes</t>
  </si>
  <si>
    <t>0328909</t>
  </si>
  <si>
    <t>03660144087939</t>
  </si>
  <si>
    <t>03660144091462</t>
  </si>
  <si>
    <t>0345909</t>
  </si>
  <si>
    <t>03411111889434</t>
  </si>
  <si>
    <t>Boîte de 1 flacon de 1 g de poudre</t>
  </si>
  <si>
    <t>03411111889441</t>
  </si>
  <si>
    <t>Boîte de 1 flacon de 4 g de poudre</t>
  </si>
  <si>
    <t>0289999</t>
  </si>
  <si>
    <t>08437009924020</t>
  </si>
  <si>
    <t>08437009924044</t>
  </si>
  <si>
    <t>08437009924037</t>
  </si>
  <si>
    <t>0219999</t>
  </si>
  <si>
    <t>08436047670142</t>
  </si>
  <si>
    <t>0293979</t>
  </si>
  <si>
    <t>08437009924051</t>
  </si>
  <si>
    <t>08437009924068</t>
  </si>
  <si>
    <t>0223979</t>
  </si>
  <si>
    <t>08436047670173</t>
  </si>
  <si>
    <t>0252979</t>
  </si>
  <si>
    <t>05414916310200</t>
  </si>
  <si>
    <t>0281979</t>
  </si>
  <si>
    <t>05414916210203</t>
  </si>
  <si>
    <t>Flacon de 960 mL</t>
  </si>
  <si>
    <t>05414916210210</t>
  </si>
  <si>
    <t>Flacon de 240 mL</t>
  </si>
  <si>
    <t>0211979</t>
  </si>
  <si>
    <t>03760087151107</t>
  </si>
  <si>
    <t>NOROCLAV P COMPRIMES 500 MG</t>
  </si>
  <si>
    <t>05023534015840</t>
  </si>
  <si>
    <t>Boîte de 20 plaquettes thermoformées de 5 comprimés sécables</t>
  </si>
  <si>
    <t>03760087151527</t>
  </si>
  <si>
    <t>100 comprimés</t>
  </si>
  <si>
    <t>0240979</t>
  </si>
  <si>
    <t>04007221025313</t>
  </si>
  <si>
    <t>boite de 20 plaquettes de 5 comprimés</t>
  </si>
  <si>
    <t>CLAVOBAY 500 MG COMPRIME</t>
  </si>
  <si>
    <t>05023534008897</t>
  </si>
  <si>
    <t>0272969</t>
  </si>
  <si>
    <t>03661103035718</t>
  </si>
  <si>
    <t>gamithromycin</t>
  </si>
  <si>
    <t>03661103035794</t>
  </si>
  <si>
    <t>03661103038443</t>
  </si>
  <si>
    <t>Boîte de 1 flacon verre de 50 mL</t>
  </si>
  <si>
    <t>0231969</t>
  </si>
  <si>
    <t>03597132002455</t>
  </si>
  <si>
    <t>boite de 1 sachet de 1 kg</t>
  </si>
  <si>
    <t>Dinde, Porcins, Poulet de chair</t>
  </si>
  <si>
    <t>0283949</t>
  </si>
  <si>
    <t>04050478495903</t>
  </si>
  <si>
    <t>Flacon de 211 mL</t>
  </si>
  <si>
    <t>2983</t>
  </si>
  <si>
    <t>0213949</t>
  </si>
  <si>
    <t>03411111906193</t>
  </si>
  <si>
    <t>03411111871033</t>
  </si>
  <si>
    <t>0294929</t>
  </si>
  <si>
    <t>05060162990576</t>
  </si>
  <si>
    <t>Sachet de 40 g</t>
  </si>
  <si>
    <t>Dindon, Poulet de chair</t>
  </si>
  <si>
    <t>625</t>
  </si>
  <si>
    <t>05060162990545</t>
  </si>
  <si>
    <t>Sachet de 400 g</t>
  </si>
  <si>
    <t>0224929</t>
  </si>
  <si>
    <t>03660176015146</t>
  </si>
  <si>
    <t>XEDEN 15 MG COMPRIME POUR CHATS</t>
  </si>
  <si>
    <t>03411112279043</t>
  </si>
  <si>
    <t>0,18</t>
  </si>
  <si>
    <t>0253929</t>
  </si>
  <si>
    <t>03660176015153</t>
  </si>
  <si>
    <t>Boîte de 10 plaquettes thermoformées de 10 comprimés quadrisécables</t>
  </si>
  <si>
    <t>XEDEN 50 MG COMPRIME POUR CHIENS</t>
  </si>
  <si>
    <t>03411112279067</t>
  </si>
  <si>
    <t>0282929</t>
  </si>
  <si>
    <t>03660176015160</t>
  </si>
  <si>
    <t>Boîte de 20 plaquettes thermoformées de 6 comprimés quadrisécables</t>
  </si>
  <si>
    <t>XEDEN 150 MG COMPRIME POUR CHIENS</t>
  </si>
  <si>
    <t>03411112279142</t>
  </si>
  <si>
    <t>Boîte de 2 plaquettes thermoformées de 6 comprimés quadrisécables</t>
  </si>
  <si>
    <t>0244919</t>
  </si>
  <si>
    <t>08713184108234</t>
  </si>
  <si>
    <t>Flacon de 20 ml</t>
  </si>
  <si>
    <t>ORBAX ORALE SUSPENSION</t>
  </si>
  <si>
    <t>0273919</t>
  </si>
  <si>
    <t>03760087151350</t>
  </si>
  <si>
    <t>CEPHACARE F 50 MG COMPRIMES POUR CHATS ET CHIENS</t>
  </si>
  <si>
    <t>0203919</t>
  </si>
  <si>
    <t>03760087151367</t>
  </si>
  <si>
    <t>CEPHACARE F 250 MG COMPRIMES POUR CHIENS</t>
  </si>
  <si>
    <t>0232919</t>
  </si>
  <si>
    <t>03760087151374</t>
  </si>
  <si>
    <t>CEPHACARE F 500 MG COMPRIMES POUR CHIENS</t>
  </si>
  <si>
    <t>0259909</t>
  </si>
  <si>
    <t>05414916210173</t>
  </si>
  <si>
    <t>Sac contenant 1 sac de 20 kg</t>
  </si>
  <si>
    <t>Lapins, Porc charcutier, Porcelet</t>
  </si>
  <si>
    <t>0288909</t>
  </si>
  <si>
    <t>05414916310170</t>
  </si>
  <si>
    <t>Dinde, Lapin de chair, Porcins, Poule pondeuse, Poule reproductrice, Poulet de chair</t>
  </si>
  <si>
    <t>81</t>
  </si>
  <si>
    <t>05414916310163</t>
  </si>
  <si>
    <t>324</t>
  </si>
  <si>
    <t>0218909</t>
  </si>
  <si>
    <t>08713184084040</t>
  </si>
  <si>
    <t>08713184084057</t>
  </si>
  <si>
    <t>08713184096883</t>
  </si>
  <si>
    <t>0114999</t>
  </si>
  <si>
    <t>08437009924112</t>
  </si>
  <si>
    <t>1L</t>
  </si>
  <si>
    <t>0172999</t>
  </si>
  <si>
    <t>08436047670098</t>
  </si>
  <si>
    <t>Flacon de 1 L muni de un dispositif doseur de 20 mL</t>
  </si>
  <si>
    <t>0102999</t>
  </si>
  <si>
    <t>03660176019014</t>
  </si>
  <si>
    <t>03660176019021</t>
  </si>
  <si>
    <t>flacon de 1 l</t>
  </si>
  <si>
    <t>0101979</t>
  </si>
  <si>
    <t>03760161601399</t>
  </si>
  <si>
    <t>Flacon de 1 Litre</t>
  </si>
  <si>
    <t>03760161601405</t>
  </si>
  <si>
    <t>Bidon de 5 Litres</t>
  </si>
  <si>
    <t>0198969</t>
  </si>
  <si>
    <t>08713184099976</t>
  </si>
  <si>
    <t>flacon de 1,35g de poudre + solvant</t>
  </si>
  <si>
    <t>Bovins, Cheval</t>
  </si>
  <si>
    <t>08713184099983</t>
  </si>
  <si>
    <t>flacon de 4,5g de poudre + solvant</t>
  </si>
  <si>
    <t>0174969</t>
  </si>
  <si>
    <t>03597132001854</t>
  </si>
  <si>
    <t>100 ML</t>
  </si>
  <si>
    <t>03597132001861</t>
  </si>
  <si>
    <t>250 ML</t>
  </si>
  <si>
    <t>0104969</t>
  </si>
  <si>
    <t>03597132001878</t>
  </si>
  <si>
    <t>03597132001847</t>
  </si>
  <si>
    <t>0191969</t>
  </si>
  <si>
    <t>03597133047790</t>
  </si>
  <si>
    <t>Boîte de 1 flacon multidoses de 10 ml</t>
  </si>
  <si>
    <t>EASOTIC SUSPENSION POUR INSTILLATION AURICULAIRE POUR CHIEN</t>
  </si>
  <si>
    <t>1505</t>
  </si>
  <si>
    <t>0115949</t>
  </si>
  <si>
    <t>08422320311055</t>
  </si>
  <si>
    <t>Fut de 25 sacs de 1 kg</t>
  </si>
  <si>
    <t>12500</t>
  </si>
  <si>
    <t>08422320306778</t>
  </si>
  <si>
    <t>Fut de 5 sacs de 1 kg</t>
  </si>
  <si>
    <t>08422320312373</t>
  </si>
  <si>
    <t>08422320321443</t>
  </si>
  <si>
    <t>08422320321444</t>
  </si>
  <si>
    <t>Boîte de 10 sacs de 1 kg</t>
  </si>
  <si>
    <t>0173949</t>
  </si>
  <si>
    <t>05414916405012</t>
  </si>
  <si>
    <t>0161949</t>
  </si>
  <si>
    <t>04028691518938</t>
  </si>
  <si>
    <t>Boîte de 10 seringues intramammaires a usage unique et de 10 lingettes pour trayons</t>
  </si>
  <si>
    <t>AMINOGLYCOSIDES + CEPHALOSPORINES 1&amp;2G</t>
  </si>
  <si>
    <t>kanamycin</t>
  </si>
  <si>
    <t>1,26</t>
  </si>
  <si>
    <t>04028691511274</t>
  </si>
  <si>
    <t>Boîte de 20 seringues intramammaires a usage unique et de 20 lingettes pour trayons</t>
  </si>
  <si>
    <t>0190949</t>
  </si>
  <si>
    <t>05023534015420</t>
  </si>
  <si>
    <t>05023534015437</t>
  </si>
  <si>
    <t>0118939</t>
  </si>
  <si>
    <t>03661753060856</t>
  </si>
  <si>
    <t>Porcins, Poules</t>
  </si>
  <si>
    <t>03661753060849</t>
  </si>
  <si>
    <t>03661753060832</t>
  </si>
  <si>
    <t>0176939</t>
  </si>
  <si>
    <t>03411111912323</t>
  </si>
  <si>
    <t>03411111912347</t>
  </si>
  <si>
    <t>0167929</t>
  </si>
  <si>
    <t>04007221025207</t>
  </si>
  <si>
    <t>BAYTRIL S 250 MG</t>
  </si>
  <si>
    <t>04007221025191</t>
  </si>
  <si>
    <t>0143929</t>
  </si>
  <si>
    <t>05414916310118</t>
  </si>
  <si>
    <t>162</t>
  </si>
  <si>
    <t>0102929</t>
  </si>
  <si>
    <t>05060162990552</t>
  </si>
  <si>
    <t>0105919</t>
  </si>
  <si>
    <t>0134919</t>
  </si>
  <si>
    <t>05099299024861</t>
  </si>
  <si>
    <t>0163919</t>
  </si>
  <si>
    <t>05099299030244</t>
  </si>
  <si>
    <t>0192919</t>
  </si>
  <si>
    <t>05099299030251</t>
  </si>
  <si>
    <t>0110919</t>
  </si>
  <si>
    <t>05099299024939</t>
  </si>
  <si>
    <t>Flacon de 10 comprimés sécables</t>
  </si>
  <si>
    <t>CLINDASEPTIN 300 MG COMPRIMES</t>
  </si>
  <si>
    <t>05099299024946</t>
  </si>
  <si>
    <t>Flacon de 20 comprimés sécables</t>
  </si>
  <si>
    <t>0149909</t>
  </si>
  <si>
    <t>08427711127680</t>
  </si>
  <si>
    <t>Boîte de 1 flacon verre de 50 ml</t>
  </si>
  <si>
    <t>08427711122326</t>
  </si>
  <si>
    <t>08427711122333</t>
  </si>
  <si>
    <t>Boîte de 1 flacon verre de 250 ml</t>
  </si>
  <si>
    <t>08427711157007</t>
  </si>
  <si>
    <t>Boîte de 1 flacon PET de 50 ml</t>
  </si>
  <si>
    <t>08427711157366</t>
  </si>
  <si>
    <t>Boîte de 1 flacon PET de 100 ml</t>
  </si>
  <si>
    <t>08427711157878</t>
  </si>
  <si>
    <t>Boîte de 1 flacon PET de 250 ml</t>
  </si>
  <si>
    <t>0195909</t>
  </si>
  <si>
    <t>05414736017457</t>
  </si>
  <si>
    <t>0125909</t>
  </si>
  <si>
    <t>03597133062434</t>
  </si>
  <si>
    <t>Boîte de 10 plaquettes de 10 comprimés</t>
  </si>
  <si>
    <t>TENOTRYL 15 MG COMPRIMES POUR CHATS</t>
  </si>
  <si>
    <t>0154909</t>
  </si>
  <si>
    <t>03597133062441</t>
  </si>
  <si>
    <t>TENOTRYL 50 MG COMPRIMES POUR CHIENS</t>
  </si>
  <si>
    <t>0183909</t>
  </si>
  <si>
    <t>03597133062458</t>
  </si>
  <si>
    <t>boite de 100 comprimes</t>
  </si>
  <si>
    <t>TENOTRYL 150 MG COMPRIMES POUR CHIENS</t>
  </si>
  <si>
    <t>0101909</t>
  </si>
  <si>
    <t>05414916310255</t>
  </si>
  <si>
    <t>0086999</t>
  </si>
  <si>
    <t>03605874094468</t>
  </si>
  <si>
    <t>Tube aluminium de 10 g</t>
  </si>
  <si>
    <t>ORIDERMYL</t>
  </si>
  <si>
    <t>03605874095847</t>
  </si>
  <si>
    <t>Tube aluminium de 30 g</t>
  </si>
  <si>
    <t>0039979</t>
  </si>
  <si>
    <t>03760087151688</t>
  </si>
  <si>
    <t>ENROCARE 2,5 % INJECTABLE POUR CHIENS CHATS ET NAC</t>
  </si>
  <si>
    <t>Chat, Chien, NAC</t>
  </si>
  <si>
    <t>0068979</t>
  </si>
  <si>
    <t>03760087151695</t>
  </si>
  <si>
    <t>BOITE DE 1 FLACON DE 100 ML</t>
  </si>
  <si>
    <t>Chat, Chien, Porcins, Veau</t>
  </si>
  <si>
    <t>0097979</t>
  </si>
  <si>
    <t>03760087151701</t>
  </si>
  <si>
    <t>0027979</t>
  </si>
  <si>
    <t>03660176016891</t>
  </si>
  <si>
    <t>03660176016907</t>
  </si>
  <si>
    <t>0076969</t>
  </si>
  <si>
    <t>08717973568919</t>
  </si>
  <si>
    <t>FLOXABACTIN 15 MG COMPRIME POUR CHAT ET CHIEN</t>
  </si>
  <si>
    <t>0006969</t>
  </si>
  <si>
    <t>08717973568940</t>
  </si>
  <si>
    <t>FLOXABACTIN 50 MG COMPRIME POUR CHIEN</t>
  </si>
  <si>
    <t>0035969</t>
  </si>
  <si>
    <t>08717973568971</t>
  </si>
  <si>
    <t>FLOXABACTIN 150 MG COMPRIME POUR CHIEN</t>
  </si>
  <si>
    <t>0067959</t>
  </si>
  <si>
    <t>05414916510143</t>
  </si>
  <si>
    <t>0096959</t>
  </si>
  <si>
    <t>05099299029798</t>
  </si>
  <si>
    <t>05099299029804</t>
  </si>
  <si>
    <t>0049939</t>
  </si>
  <si>
    <t>08714225155569</t>
  </si>
  <si>
    <t>Sachet de 1000 g</t>
  </si>
  <si>
    <t>433</t>
  </si>
  <si>
    <t>0008939</t>
  </si>
  <si>
    <t>03605874161573</t>
  </si>
  <si>
    <t>03605874285491</t>
  </si>
  <si>
    <t>0066939</t>
  </si>
  <si>
    <t>03660176016655</t>
  </si>
  <si>
    <t>THERIOS 75 MG COMPRIMES A CROQUER POUR CHATS</t>
  </si>
  <si>
    <t>0042939</t>
  </si>
  <si>
    <t>03660176016648</t>
  </si>
  <si>
    <t>XEDEN 200 MG COMPRIME POUR CHIENS</t>
  </si>
  <si>
    <t>03411112279173</t>
  </si>
  <si>
    <t>0030939</t>
  </si>
  <si>
    <t>04007221032052</t>
  </si>
  <si>
    <t>Boîte de 1 plaquette de 7 comprimés</t>
  </si>
  <si>
    <t>VERAFLOX 15 MG COMPRIMES POUR CHIENS ET CHATS</t>
  </si>
  <si>
    <t>pradofloxacin</t>
  </si>
  <si>
    <t>04007221032014</t>
  </si>
  <si>
    <t>Boîte de 10 plaquettes de 7 comprimés</t>
  </si>
  <si>
    <t>0069929</t>
  </si>
  <si>
    <t>04007221032021</t>
  </si>
  <si>
    <t>VERAFLOX 60 MG COMPRIMES POUR CHIENS</t>
  </si>
  <si>
    <t>0,42</t>
  </si>
  <si>
    <t>04007221032038</t>
  </si>
  <si>
    <t>0098929</t>
  </si>
  <si>
    <t>04007221032045</t>
  </si>
  <si>
    <t>VERAFLOX 120 MG COMPRIMES POUR CHIENS</t>
  </si>
  <si>
    <t>04007221032083</t>
  </si>
  <si>
    <t>0028929</t>
  </si>
  <si>
    <t>04007221032076</t>
  </si>
  <si>
    <t>VERAFLOX 25 MG/ML SUSPENSION BUVABLE POUR CHATS</t>
  </si>
  <si>
    <t>0,38</t>
  </si>
  <si>
    <t>0016929</t>
  </si>
  <si>
    <t>05023534012603</t>
  </si>
  <si>
    <t>flacon 100 mL</t>
  </si>
  <si>
    <t>05023534012610</t>
  </si>
  <si>
    <t>flacon  250 mL</t>
  </si>
  <si>
    <t>05023534012627</t>
  </si>
  <si>
    <t>flacon  500 mL</t>
  </si>
  <si>
    <t>0019919</t>
  </si>
  <si>
    <t>03411111959762</t>
  </si>
  <si>
    <t>03411111953197</t>
  </si>
  <si>
    <t>03411111957638</t>
  </si>
  <si>
    <t>0007919</t>
  </si>
  <si>
    <t>03605874250864</t>
  </si>
  <si>
    <t>03605874250871</t>
  </si>
  <si>
    <t>0094919</t>
  </si>
  <si>
    <t>08422320309014</t>
  </si>
  <si>
    <t>0053919</t>
  </si>
  <si>
    <t>08427711131335</t>
  </si>
  <si>
    <t>08427711129790</t>
  </si>
  <si>
    <t>08427711129806</t>
  </si>
  <si>
    <t>0020909</t>
  </si>
  <si>
    <t>08714225155613</t>
  </si>
  <si>
    <t>Sachet de 500 g</t>
  </si>
  <si>
    <t>697</t>
  </si>
  <si>
    <t>348,50</t>
  </si>
  <si>
    <t>08714225155576</t>
  </si>
  <si>
    <t>0964899</t>
  </si>
  <si>
    <t>03661753046164</t>
  </si>
  <si>
    <t>03661753046157</t>
  </si>
  <si>
    <t>0940899</t>
  </si>
  <si>
    <t>03661321007931</t>
  </si>
  <si>
    <t>0909889</t>
  </si>
  <si>
    <t>03661321007948</t>
  </si>
  <si>
    <t>0938889</t>
  </si>
  <si>
    <t>Sac de 10 KG</t>
  </si>
  <si>
    <t>03661321007924</t>
  </si>
  <si>
    <t>0967889</t>
  </si>
  <si>
    <t>03661321007955</t>
  </si>
  <si>
    <t>0999879</t>
  </si>
  <si>
    <t>03411112962938</t>
  </si>
  <si>
    <t>03411112053698</t>
  </si>
  <si>
    <t>0908869</t>
  </si>
  <si>
    <t>05060162990620</t>
  </si>
  <si>
    <t>Faisan</t>
  </si>
  <si>
    <t>0983869</t>
  </si>
  <si>
    <t>05414736025797</t>
  </si>
  <si>
    <t>flacon de 100 mL</t>
  </si>
  <si>
    <t>0913869</t>
  </si>
  <si>
    <t>03838989587239</t>
  </si>
  <si>
    <t>BOITE DE 1 FLACON DE 50 ML</t>
  </si>
  <si>
    <t>03838989587222</t>
  </si>
  <si>
    <t>03838989608712</t>
  </si>
  <si>
    <t>03838989606336</t>
  </si>
  <si>
    <t>0977849</t>
  </si>
  <si>
    <t>03605874271586</t>
  </si>
  <si>
    <t>03605874256590</t>
  </si>
  <si>
    <t>03605874256729</t>
  </si>
  <si>
    <t>0907849</t>
  </si>
  <si>
    <t>03760087151947</t>
  </si>
  <si>
    <t>Boîte de 25 plaquettes thermoformées de 10 comprimés quadrisécables</t>
  </si>
  <si>
    <t>CLAVUBACTIN 50/12,5 MG COMPRIMES POUR CHATS ET CHIENS</t>
  </si>
  <si>
    <t>08718469444366</t>
  </si>
  <si>
    <t>0936849</t>
  </si>
  <si>
    <t>03760087151954</t>
  </si>
  <si>
    <t>CLAVUBACTIN 250/62,5 MG COMPRIMES POUR CHIENS</t>
  </si>
  <si>
    <t>08718469444373</t>
  </si>
  <si>
    <t>0965849</t>
  </si>
  <si>
    <t>03760087151961</t>
  </si>
  <si>
    <t>CLAVUBACTIN 500/125 MG COMPRIMES POUR CHIENS</t>
  </si>
  <si>
    <t>08718469444397</t>
  </si>
  <si>
    <t>0924849</t>
  </si>
  <si>
    <t>03838989608736</t>
  </si>
  <si>
    <t>03838989587253</t>
  </si>
  <si>
    <t>0953849</t>
  </si>
  <si>
    <t>08713184112408</t>
  </si>
  <si>
    <t>tildiprosin</t>
  </si>
  <si>
    <t>08713184111302</t>
  </si>
  <si>
    <t>0982849</t>
  </si>
  <si>
    <t>08713184110527</t>
  </si>
  <si>
    <t>08713184110510</t>
  </si>
  <si>
    <t>Boîte de 1 flacon de 20 ml</t>
  </si>
  <si>
    <t>08713184110640</t>
  </si>
  <si>
    <t>08713184110664</t>
  </si>
  <si>
    <t>0912849</t>
  </si>
  <si>
    <t>08436529621914</t>
  </si>
  <si>
    <t>0900849</t>
  </si>
  <si>
    <t>08427711131632</t>
  </si>
  <si>
    <t>115</t>
  </si>
  <si>
    <t>0968839</t>
  </si>
  <si>
    <t>03838989590581</t>
  </si>
  <si>
    <t>FLACON 100ML</t>
  </si>
  <si>
    <t>0997839</t>
  </si>
  <si>
    <t>03838989590741</t>
  </si>
  <si>
    <t>03838989590796</t>
  </si>
  <si>
    <t>FLACON 250ML</t>
  </si>
  <si>
    <t>03838989615932</t>
  </si>
  <si>
    <t>FLACON DE 50ML</t>
  </si>
  <si>
    <t>0993829</t>
  </si>
  <si>
    <t>03661321007894</t>
  </si>
  <si>
    <t>0938819</t>
  </si>
  <si>
    <t>08430274135733</t>
  </si>
  <si>
    <t>08430274135757</t>
  </si>
  <si>
    <t>0830899</t>
  </si>
  <si>
    <t>05701170322385</t>
  </si>
  <si>
    <t>Boîte de 4 plaquettes thermoformées de 6 comprimés sécables</t>
  </si>
  <si>
    <t>CLAVUDALE 40 MG/10 MG COMPRIMES POUR CHATS ET CHIENS</t>
  </si>
  <si>
    <t>05701170422511</t>
  </si>
  <si>
    <t>0869889</t>
  </si>
  <si>
    <t>05701170322392</t>
  </si>
  <si>
    <t>CLAVUDALE 200 MG/50 MG COMPRIMES POUR CHIENS</t>
  </si>
  <si>
    <t>05701170422559</t>
  </si>
  <si>
    <t>0898889</t>
  </si>
  <si>
    <t>05701170322408</t>
  </si>
  <si>
    <t xml:space="preserve">Boîte de 4 plaquettes thermoformées de 6 comprimés sécables </t>
  </si>
  <si>
    <t>CLAVUDALE 400 MG/100 MG COMPRIMES POUR CHIENS</t>
  </si>
  <si>
    <t>05701170422597</t>
  </si>
  <si>
    <t>0886889</t>
  </si>
  <si>
    <t>03660176018109</t>
  </si>
  <si>
    <t>Boîte de 24 plaquettes thermoformées de 10 comprimés à croquer sécables</t>
  </si>
  <si>
    <t>0816889</t>
  </si>
  <si>
    <t>03660176018116</t>
  </si>
  <si>
    <t>0845889</t>
  </si>
  <si>
    <t>03660176018123</t>
  </si>
  <si>
    <t>Boîte de 30 plaquettes thermoformées de 8 comprimés à croquer sécables</t>
  </si>
  <si>
    <t>0874889</t>
  </si>
  <si>
    <t>03660176018130</t>
  </si>
  <si>
    <t>03660176018895</t>
  </si>
  <si>
    <t>38,40</t>
  </si>
  <si>
    <t>0807879</t>
  </si>
  <si>
    <t>03760087152197</t>
  </si>
  <si>
    <t>08435298601073</t>
  </si>
  <si>
    <t>0865879</t>
  </si>
  <si>
    <t>04028691531159</t>
  </si>
  <si>
    <t>Boîte de 20 seringues intramammaires de 4,5 g et de 20 lingettes pour trayons</t>
  </si>
  <si>
    <t>171,60</t>
  </si>
  <si>
    <t>3,43</t>
  </si>
  <si>
    <t>71</t>
  </si>
  <si>
    <t>1,42</t>
  </si>
  <si>
    <t>04028691531180</t>
  </si>
  <si>
    <t>Boîte de 60 seringues intramammaires de 4,5 g et de 60 lingettes pour trayons</t>
  </si>
  <si>
    <t>10,30</t>
  </si>
  <si>
    <t>4,26</t>
  </si>
  <si>
    <t>0894879</t>
  </si>
  <si>
    <t>03661321005265</t>
  </si>
  <si>
    <t>0824879</t>
  </si>
  <si>
    <t>04007221034445</t>
  </si>
  <si>
    <t>0853879</t>
  </si>
  <si>
    <t>08713184119438</t>
  </si>
  <si>
    <t>08713184119636</t>
  </si>
  <si>
    <t>08713184123107</t>
  </si>
  <si>
    <t>0870879</t>
  </si>
  <si>
    <t>08714225155583</t>
  </si>
  <si>
    <t>Sachet de 1 kg</t>
  </si>
  <si>
    <t>08714225155774</t>
  </si>
  <si>
    <t>0839869</t>
  </si>
  <si>
    <t>08435317200980</t>
  </si>
  <si>
    <t>08435317200997</t>
  </si>
  <si>
    <t>0827869</t>
  </si>
  <si>
    <t>05414897033761</t>
  </si>
  <si>
    <t>05414897033754</t>
  </si>
  <si>
    <t>0861869</t>
  </si>
  <si>
    <t>03660132102156</t>
  </si>
  <si>
    <t>ZOBUXA 50 MG</t>
  </si>
  <si>
    <t>0820869</t>
  </si>
  <si>
    <t>03660132102163</t>
  </si>
  <si>
    <t>ZOBUXA 150 MG</t>
  </si>
  <si>
    <t>0809849</t>
  </si>
  <si>
    <t>03660176017010</t>
  </si>
  <si>
    <t>20 plaquettes thermoformées de 10 comprimés sécables</t>
  </si>
  <si>
    <t>CEFALEXINE SOGEVAL 75 MG COMPRIMES CHATS</t>
  </si>
  <si>
    <t>0838849</t>
  </si>
  <si>
    <t>03660176017027</t>
  </si>
  <si>
    <t>20 plaquettes thermoformées de 10 comprimés quadrisécables</t>
  </si>
  <si>
    <t>CEFALEXINE SOGEVAL 300 MG COMPRIMES CHIENS</t>
  </si>
  <si>
    <t>0867849</t>
  </si>
  <si>
    <t>03660176017034</t>
  </si>
  <si>
    <t>CEFALEXINE SOGEVAL 750 MG COMPRIMES CHIENS</t>
  </si>
  <si>
    <t>0872849</t>
  </si>
  <si>
    <t>05414736020297</t>
  </si>
  <si>
    <t>05414736020303</t>
  </si>
  <si>
    <t>flacon de 250 mL</t>
  </si>
  <si>
    <t>0802849</t>
  </si>
  <si>
    <t>04007221036029</t>
  </si>
  <si>
    <t>Bidon de 1 kg</t>
  </si>
  <si>
    <t>08714377291160</t>
  </si>
  <si>
    <t>Flacon de 1 kg</t>
  </si>
  <si>
    <t>0817839</t>
  </si>
  <si>
    <t>08713184121936</t>
  </si>
  <si>
    <t>08713184121943</t>
  </si>
  <si>
    <t>0851839</t>
  </si>
  <si>
    <t>05037694149383</t>
  </si>
  <si>
    <t>Pot de 1 sachet de 500 g (polyéthylène basse densité)</t>
  </si>
  <si>
    <t>0819809</t>
  </si>
  <si>
    <t>03760232190012</t>
  </si>
  <si>
    <t>0848809</t>
  </si>
  <si>
    <t>03760232190005</t>
  </si>
  <si>
    <t>0877809</t>
  </si>
  <si>
    <t>05391510234166</t>
  </si>
  <si>
    <t>Boîte de 24 seringues de 4,5 g de suspension intramammaire</t>
  </si>
  <si>
    <t>227,20</t>
  </si>
  <si>
    <t>5,45</t>
  </si>
  <si>
    <t>70000</t>
  </si>
  <si>
    <t>1,44</t>
  </si>
  <si>
    <t>05391510234159</t>
  </si>
  <si>
    <t>Seau de 120 seringues de 4,5 g de suspension intramammaire</t>
  </si>
  <si>
    <t>27,26</t>
  </si>
  <si>
    <t>0812809</t>
  </si>
  <si>
    <t>05414916510228</t>
  </si>
  <si>
    <t>0841809</t>
  </si>
  <si>
    <t>05023534015505</t>
  </si>
  <si>
    <t>boite carton contenant 1 flacon pehd de 100 ml</t>
  </si>
  <si>
    <t>05023534015512</t>
  </si>
  <si>
    <t>boite carton contenant 1 flacon pehd de 250 ml</t>
  </si>
  <si>
    <t>05023534015529</t>
  </si>
  <si>
    <t>boite carton contenant 1 flacon pehd de 500 ml</t>
  </si>
  <si>
    <t>0797899</t>
  </si>
  <si>
    <t>05023534016960</t>
  </si>
  <si>
    <t>VECLAVAM P 50 MG COMPRIMES A CROQUER POUR CHATS ET CHIENS</t>
  </si>
  <si>
    <t>05023534016977</t>
  </si>
  <si>
    <t>0727899</t>
  </si>
  <si>
    <t>05023534016984</t>
  </si>
  <si>
    <t>VECLAVAM P 250 MG COMPRIMES A CROQUER POUR CHATS ET CHIENS</t>
  </si>
  <si>
    <t>05023534016991</t>
  </si>
  <si>
    <t>Boîte de 10 plaquettes thermoformées de 5 comprimés sécables</t>
  </si>
  <si>
    <t>0756899</t>
  </si>
  <si>
    <t>05023534017004</t>
  </si>
  <si>
    <t>VECLAVAM P 500 MG COMPRIMES A CROQUER POUR CHATS ET CHIENS</t>
  </si>
  <si>
    <t>05023534017011</t>
  </si>
  <si>
    <t>0744899</t>
  </si>
  <si>
    <t>05420041500638</t>
  </si>
  <si>
    <t>CLAVUCILL 40 MG/10 MG COMPRIMES POUR CHIENS ET CHATS</t>
  </si>
  <si>
    <t>05420041501734</t>
  </si>
  <si>
    <t>Boîte de 10 films thermosoudés de 10 comprimés sécables</t>
  </si>
  <si>
    <t>0773899</t>
  </si>
  <si>
    <t>05420041500645</t>
  </si>
  <si>
    <t>CLAVUCILL 200 MG/50 MG COMPRIMES POUR CHIENS</t>
  </si>
  <si>
    <t>05420041501741</t>
  </si>
  <si>
    <t>0703899</t>
  </si>
  <si>
    <t>05420041500652</t>
  </si>
  <si>
    <t>CLAVUCILL 400 MG/100 MG COMPRIMES POUR CHIENS</t>
  </si>
  <si>
    <t>05420041501758</t>
  </si>
  <si>
    <t>Boîte de 50 films thermosoudés de 2 comprimés sécables</t>
  </si>
  <si>
    <t>0747889</t>
  </si>
  <si>
    <t>05099299029125</t>
  </si>
  <si>
    <t>CLINDASEPTIN 25 MG/ML SOLUTION BUVABLE POUR CHATS ET CHIENS</t>
  </si>
  <si>
    <t>0,55</t>
  </si>
  <si>
    <t>0717869</t>
  </si>
  <si>
    <t>05023534015406</t>
  </si>
  <si>
    <t>boite de 1 flacon pehd de 100 ml</t>
  </si>
  <si>
    <t>05023534015413</t>
  </si>
  <si>
    <t>boite de 1 flacon pehd de 250 ml</t>
  </si>
  <si>
    <t>0734869</t>
  </si>
  <si>
    <t>08714225155514</t>
  </si>
  <si>
    <t>0749859</t>
  </si>
  <si>
    <t>08009722000512</t>
  </si>
  <si>
    <t>Boîte de 9 plaquettes thermoformées de 12 comprimés sécables</t>
  </si>
  <si>
    <t>108</t>
  </si>
  <si>
    <t>TSEFALEN 500 MG COMPRIMES PELLICULES POUR CHIENS</t>
  </si>
  <si>
    <t>54</t>
  </si>
  <si>
    <t>0778859</t>
  </si>
  <si>
    <t>08009722000543</t>
  </si>
  <si>
    <t>Boîte de 13 plaquettes thermoformées de 8 comprimés sécables</t>
  </si>
  <si>
    <t>104</t>
  </si>
  <si>
    <t>TSEFALEN 1000 MG COMPRIMES PELLICULES POUR CHIENS</t>
  </si>
  <si>
    <t>0737859</t>
  </si>
  <si>
    <t>03605874295858</t>
  </si>
  <si>
    <t>03605874285637</t>
  </si>
  <si>
    <t>03605874285767</t>
  </si>
  <si>
    <t>0765839</t>
  </si>
  <si>
    <t>08437011849120</t>
  </si>
  <si>
    <t>0794839</t>
  </si>
  <si>
    <t>03760087152159</t>
  </si>
  <si>
    <t>0724839</t>
  </si>
  <si>
    <t>03760087152166</t>
  </si>
  <si>
    <t>03760087152173</t>
  </si>
  <si>
    <t>0753839</t>
  </si>
  <si>
    <t>05023534017240</t>
  </si>
  <si>
    <t>boite de 1 flacon verre de 100 ml</t>
  </si>
  <si>
    <t>05023534017257</t>
  </si>
  <si>
    <t>0759819</t>
  </si>
  <si>
    <t>05414916510266</t>
  </si>
  <si>
    <t>05414916510273</t>
  </si>
  <si>
    <t>0706819</t>
  </si>
  <si>
    <t>05414916510280</t>
  </si>
  <si>
    <t>05414916510297</t>
  </si>
  <si>
    <t>05414916510310</t>
  </si>
  <si>
    <t>05414916510327</t>
  </si>
  <si>
    <t>0793819</t>
  </si>
  <si>
    <t>04050478870113</t>
  </si>
  <si>
    <t>04050478870106</t>
  </si>
  <si>
    <t>0752819</t>
  </si>
  <si>
    <t>08714225155552</t>
  </si>
  <si>
    <t>Dinde</t>
  </si>
  <si>
    <t>0740819</t>
  </si>
  <si>
    <t>05023534016199</t>
  </si>
  <si>
    <t>Boîte de 1 plaquette thermoformée de 14 comprimés a croquer sécables</t>
  </si>
  <si>
    <t>SOFTIFLOX P 5 MG COMPRIMES A CROQUER POUR CHATS ET CHIENS</t>
  </si>
  <si>
    <t>05023534016205</t>
  </si>
  <si>
    <t>Boîte de 7 plaquettes thermoformées de 14 comprimés a croquer sécables</t>
  </si>
  <si>
    <t>0,49</t>
  </si>
  <si>
    <t>0779809</t>
  </si>
  <si>
    <t>05023534016212</t>
  </si>
  <si>
    <t>Boîte de 2 plaquettes thermoformées de 7 comprimés a croquer sécables</t>
  </si>
  <si>
    <t>SOFTIFLOX P 20 MG COMPRIMES A CROQUER POUR CHIENS</t>
  </si>
  <si>
    <t>0,28</t>
  </si>
  <si>
    <t>05023534016229</t>
  </si>
  <si>
    <t>Boîte de 14 plaquettes thermoformées de 7 comprimés a croquer sécables</t>
  </si>
  <si>
    <t>1,96</t>
  </si>
  <si>
    <t>0709809</t>
  </si>
  <si>
    <t>05023534016236</t>
  </si>
  <si>
    <t>SOFTIFLOX P 80 MG COMPRIMES A CROQUER POUR CHIENS</t>
  </si>
  <si>
    <t>1,12</t>
  </si>
  <si>
    <t>05023534016243</t>
  </si>
  <si>
    <t>Boîte de 10 plaquettes thermoformées de 7 comprimés a croquer sécables</t>
  </si>
  <si>
    <t>0714809</t>
  </si>
  <si>
    <t>04007221040545</t>
  </si>
  <si>
    <t>0692899</t>
  </si>
  <si>
    <t>03838989617172</t>
  </si>
  <si>
    <t>boite de 10 plaquettes thermoformees de 10 comprimes secables</t>
  </si>
  <si>
    <t>UBIFLOX 5 MG COMPRIMES POUR CHATS ET CHIENS</t>
  </si>
  <si>
    <t>0622899</t>
  </si>
  <si>
    <t>03838989617158</t>
  </si>
  <si>
    <t>UBIFLOX 20 MG COMPRIMES POUR CHIENS</t>
  </si>
  <si>
    <t>0651899</t>
  </si>
  <si>
    <t>03838989617134</t>
  </si>
  <si>
    <t>boite de 12 plaquettes thermoformees de 6 comprimes secables</t>
  </si>
  <si>
    <t>UBIFLOX 80 MG COMPRIMES POUR CHIENS</t>
  </si>
  <si>
    <t>0680899</t>
  </si>
  <si>
    <t>03838989617035</t>
  </si>
  <si>
    <t>MARFLOQUIN 5 MG COMPRIMES POUR CHATS ET CHIENS</t>
  </si>
  <si>
    <t>03838989628468</t>
  </si>
  <si>
    <t>0610899</t>
  </si>
  <si>
    <t>03838989628475</t>
  </si>
  <si>
    <t>MARFLOQUIN 20 MG COMPRIMES POUR CHIENS</t>
  </si>
  <si>
    <t>0649889</t>
  </si>
  <si>
    <t>03838989628482</t>
  </si>
  <si>
    <t>MARFLOQUIN 80 MG COMPRIMES POUR CHIENS</t>
  </si>
  <si>
    <t>0671889</t>
  </si>
  <si>
    <t>05414897034607</t>
  </si>
  <si>
    <t>05414897034614</t>
  </si>
  <si>
    <t>0669879</t>
  </si>
  <si>
    <t>03660176019120</t>
  </si>
  <si>
    <t>Boîte de 12 plaquettes thermoformées de 10 comprimés à croquer sécables</t>
  </si>
  <si>
    <t>EFEX 10 MG COMPRIME A CROQUER POUR CHATS ET CHIENS</t>
  </si>
  <si>
    <t>03411112279234</t>
  </si>
  <si>
    <t>Boîte de 1 plaquette thermoformée de 10 comprimés à croquer sécables</t>
  </si>
  <si>
    <t>0698879</t>
  </si>
  <si>
    <t>03660176019137</t>
  </si>
  <si>
    <t>Boîte de 15 plaquettes thermoformées de 8 comprimés à croquer quadrisécables</t>
  </si>
  <si>
    <t>EFEX 40 MG COMPRIME A CROQUER POUR CHIENS</t>
  </si>
  <si>
    <t>03411112279210</t>
  </si>
  <si>
    <t>Boîte de 1 plaquette thermoformée de 8 comprimés à croquer quadrisécables</t>
  </si>
  <si>
    <t>0628879</t>
  </si>
  <si>
    <t>03660176019144</t>
  </si>
  <si>
    <t>Boîte de 20 plaquettes thermoformées de 6 comprimés à croquer quadrisécables</t>
  </si>
  <si>
    <t>EFEX 100 MG COMPRIME A CROQUER POUR CHIENS</t>
  </si>
  <si>
    <t>03411112279425</t>
  </si>
  <si>
    <t>Boîte de 2 plaquettes thermoformées de 6 comprimés à croquer quadrisécables</t>
  </si>
  <si>
    <t>0689869</t>
  </si>
  <si>
    <t>05414916101013</t>
  </si>
  <si>
    <t>0694869</t>
  </si>
  <si>
    <t>03605874325616</t>
  </si>
  <si>
    <t>CLAVASEPTIN P 62,5 MG COMPRIMES POUR CHIENS ET CHATS</t>
  </si>
  <si>
    <t>03605874325623</t>
  </si>
  <si>
    <t>03605874415683</t>
  </si>
  <si>
    <t>0682869</t>
  </si>
  <si>
    <t>05414897035543</t>
  </si>
  <si>
    <t>Flacon 100 ML</t>
  </si>
  <si>
    <t>0639859</t>
  </si>
  <si>
    <t>03661103048794</t>
  </si>
  <si>
    <t>03661103048800</t>
  </si>
  <si>
    <t>0627859</t>
  </si>
  <si>
    <t>03595890204937</t>
  </si>
  <si>
    <t>Boîte de 1 tube de 7,5 ml et de 1 canule</t>
  </si>
  <si>
    <t>ORIKAN</t>
  </si>
  <si>
    <t>0676849</t>
  </si>
  <si>
    <t>08422320318108</t>
  </si>
  <si>
    <t>0606849</t>
  </si>
  <si>
    <t>08437009924907</t>
  </si>
  <si>
    <t>08437009924891</t>
  </si>
  <si>
    <t>0679839</t>
  </si>
  <si>
    <t>03660176019250</t>
  </si>
  <si>
    <t>Boîte de 40 plaquettes thermoformées de 6 comprimés à croquer quadrisécables</t>
  </si>
  <si>
    <t>0699829</t>
  </si>
  <si>
    <t>08433792000248</t>
  </si>
  <si>
    <t>Bovins, Caprins, Chat, Chien, Ovins, Porcins, Volailles</t>
  </si>
  <si>
    <t>08433792000255</t>
  </si>
  <si>
    <t>0617829</t>
  </si>
  <si>
    <t>05997377544464</t>
  </si>
  <si>
    <t>boite de 10 plaquettes thermoformees de 14 comprimes secables</t>
  </si>
  <si>
    <t>MARBOXIDIN 5 MG COMPRIMES A CROQUER POUR CHIENS ET CHATS</t>
  </si>
  <si>
    <t>0646829</t>
  </si>
  <si>
    <t>05997377544471</t>
  </si>
  <si>
    <t>MARBOXIDIN 20 MG COMPRIMES A CROQUER POUR CHIENS</t>
  </si>
  <si>
    <t>0675829</t>
  </si>
  <si>
    <t>05997377534489</t>
  </si>
  <si>
    <t>boite de 10 plaquettes thermoformees de 7 comprimes secables</t>
  </si>
  <si>
    <t>MARBOXIDIN 80 MG COMPRIMES A CROQUER POUR CHIENS</t>
  </si>
  <si>
    <t>0550839</t>
  </si>
  <si>
    <t>08437009924563</t>
  </si>
  <si>
    <t>0577829</t>
  </si>
  <si>
    <t>03660176020553</t>
  </si>
  <si>
    <t>Boîte de 1 flacon de 20 mL et de 1 seringue de 3 mL</t>
  </si>
  <si>
    <t>ZODON 25 MG/ML SOLUTION BUVABLE POUR CHATS ET CHIENS</t>
  </si>
  <si>
    <t>0541829</t>
  </si>
  <si>
    <t>05414916626318</t>
  </si>
  <si>
    <t>paromomycine</t>
  </si>
  <si>
    <t>0479899</t>
  </si>
  <si>
    <t>07046265561842</t>
  </si>
  <si>
    <t>0496899</t>
  </si>
  <si>
    <t>08435298602018</t>
  </si>
  <si>
    <t>Bovins, Porcins, Volailles</t>
  </si>
  <si>
    <t>08435298608195</t>
  </si>
  <si>
    <t>0414899</t>
  </si>
  <si>
    <t>03660176020560</t>
  </si>
  <si>
    <t>Boîte de 20 plaquettes thermoformées de 6 comprimés à croquer sécables</t>
  </si>
  <si>
    <t>ZODON 264 MG COMPRIMES A CROQUER POUR CHIENS</t>
  </si>
  <si>
    <t>264</t>
  </si>
  <si>
    <t>31,68</t>
  </si>
  <si>
    <t>0472899</t>
  </si>
  <si>
    <t>03660176020577</t>
  </si>
  <si>
    <t>ZODON 88 MG COMPRIMES A CROQUER POUR CHIENS</t>
  </si>
  <si>
    <t>88</t>
  </si>
  <si>
    <t>10,56</t>
  </si>
  <si>
    <t>0454879</t>
  </si>
  <si>
    <t>05414916310125</t>
  </si>
  <si>
    <t>VETMULIN 101,2 MG/ML SOLUTION POUR LAPINS</t>
  </si>
  <si>
    <t>0498869</t>
  </si>
  <si>
    <t>03660132156685</t>
  </si>
  <si>
    <t>Boîte de 2 tubes de 2,05 g</t>
  </si>
  <si>
    <t>OSURNIA GEL AURICULAIRE POUR CHIENS</t>
  </si>
  <si>
    <t>8,333330</t>
  </si>
  <si>
    <t>03660132156692</t>
  </si>
  <si>
    <t>Boîte de 20 tubes de 2,05 g</t>
  </si>
  <si>
    <t>0,34</t>
  </si>
  <si>
    <t>0412859</t>
  </si>
  <si>
    <t>03661753107872</t>
  </si>
  <si>
    <t>03661753107896</t>
  </si>
  <si>
    <t>03661753107889</t>
  </si>
  <si>
    <t>0496829</t>
  </si>
  <si>
    <t>06430033030592</t>
  </si>
  <si>
    <t>Boîte de 20 seringues intramammaires et de 20 serviettes nettoyantes</t>
  </si>
  <si>
    <t>340,80</t>
  </si>
  <si>
    <t>6,82</t>
  </si>
  <si>
    <t>0426829</t>
  </si>
  <si>
    <t>08717973561637</t>
  </si>
  <si>
    <t>AMOXIBACTIN 50 MG COMPRIMES POUR CHIENS ET CHATS</t>
  </si>
  <si>
    <t>0455829</t>
  </si>
  <si>
    <t>08717973561644</t>
  </si>
  <si>
    <t>AMOXIBACTIN 250 MG COMPRIMES POUR CHIENS</t>
  </si>
  <si>
    <t>0484829</t>
  </si>
  <si>
    <t>08717973561651</t>
  </si>
  <si>
    <t>AMOXIBACTIN 500 MG COMPRIMES POUR CHIENS</t>
  </si>
  <si>
    <t>0414829</t>
  </si>
  <si>
    <t>CLINDASEPTIN 75 MG GELULES POUR CHIENS</t>
  </si>
  <si>
    <t>0443829</t>
  </si>
  <si>
    <t>05099299032170</t>
  </si>
  <si>
    <t>CLINDASEPTIN 150 MG GELULES POUR CHIENS</t>
  </si>
  <si>
    <t>0472829</t>
  </si>
  <si>
    <t>05099299032187</t>
  </si>
  <si>
    <t>CLINDASEPTIN 300 MG GELULES POUR CHIENS</t>
  </si>
  <si>
    <t>0417819</t>
  </si>
  <si>
    <t>08714225156931</t>
  </si>
  <si>
    <t>Flacon pressurisé de 150 mL</t>
  </si>
  <si>
    <t>Bovins, Caprins, Equins, Lapins, Ovins, Porcins, Vison</t>
  </si>
  <si>
    <t>2129</t>
  </si>
  <si>
    <t>2,13</t>
  </si>
  <si>
    <t>0475819</t>
  </si>
  <si>
    <t>05414916405203</t>
  </si>
  <si>
    <t>Porcins, Poulet de chair, Veau</t>
  </si>
  <si>
    <t>0413809</t>
  </si>
  <si>
    <t>05414916310132</t>
  </si>
  <si>
    <t>1620</t>
  </si>
  <si>
    <t>0374899</t>
  </si>
  <si>
    <t>03760087152623</t>
  </si>
  <si>
    <t>Boîte de 1 flacon compte-gouttes de 20 mL</t>
  </si>
  <si>
    <t>MITEX SUSPENSION POUR CHIENS ET CHATS</t>
  </si>
  <si>
    <t>0336889</t>
  </si>
  <si>
    <t>08436027619536</t>
  </si>
  <si>
    <t>Agneau, Dinde, Porcins, Poules, Veau</t>
  </si>
  <si>
    <t>5000000</t>
  </si>
  <si>
    <t>08436027619543</t>
  </si>
  <si>
    <t>0394889</t>
  </si>
  <si>
    <t>08714225158676</t>
  </si>
  <si>
    <t>Canard, Dinde, Poules</t>
  </si>
  <si>
    <t>0361879</t>
  </si>
  <si>
    <t>08714377300534</t>
  </si>
  <si>
    <t>Sécuritainer de 1 kg</t>
  </si>
  <si>
    <t>Dinde, Poule reproductrice, Poulet de chair</t>
  </si>
  <si>
    <t>433,30</t>
  </si>
  <si>
    <t>0320879</t>
  </si>
  <si>
    <t>05414736031149</t>
  </si>
  <si>
    <t>Boîte de 24 seringues intramammaires de 3 g</t>
  </si>
  <si>
    <t>05414736031156</t>
  </si>
  <si>
    <t>Seau de 120 seringues intramammaires de 3 g</t>
  </si>
  <si>
    <t>0388869</t>
  </si>
  <si>
    <t>08430274140485</t>
  </si>
  <si>
    <t>Boîte de 1 flacon de poudre de 10 000 000 UI et de 1 flacon de solvant de 36 mL</t>
  </si>
  <si>
    <t>236,30</t>
  </si>
  <si>
    <t>5,67</t>
  </si>
  <si>
    <t>0318869</t>
  </si>
  <si>
    <t>08430274140355</t>
  </si>
  <si>
    <t>Boîte de 10 flacons de poudre de 10 000 000 UI et de 10 flacons de solvant de 36 mL</t>
  </si>
  <si>
    <t>56,71</t>
  </si>
  <si>
    <t>0367859</t>
  </si>
  <si>
    <t>08717755000026</t>
  </si>
  <si>
    <t>Boîte de 1 flacon de 10 mL avec 1 seringue de 1 mL</t>
  </si>
  <si>
    <t>ORNIFLOX 25 MG/ML SOLUTION A DILUER POUR SOLUTION BUVABLE POUR LAPINS DE COMPAGNIE, RONGEURS, OISEAUX D'ORNEMENT ET REPTILES</t>
  </si>
  <si>
    <t>Lapins de compagnie, Oiseaux de cage et de volière, Reptiles, Rongeurs</t>
  </si>
  <si>
    <t>0331859</t>
  </si>
  <si>
    <t>08714377291481</t>
  </si>
  <si>
    <t>08714377291498</t>
  </si>
  <si>
    <t>0334849</t>
  </si>
  <si>
    <t>08718469449255</t>
  </si>
  <si>
    <t>ENROBACTIN 25 MG/ML SOLUTION A DILUER POUR SOLUTION BUVABLE POUR LAPINS DE COMPAGNIE, RONGEURS, OISEAUX ORNEMENTAUX ET REPTILES</t>
  </si>
  <si>
    <t>0363849</t>
  </si>
  <si>
    <t>08435298603022</t>
  </si>
  <si>
    <t>08435298603015</t>
  </si>
  <si>
    <t>Sac de 100 g</t>
  </si>
  <si>
    <t>0310849</t>
  </si>
  <si>
    <t>03605874393868</t>
  </si>
  <si>
    <t>CEFASEPTIN 75 MG COMPRIMES POUR CHIENS ET CHATS</t>
  </si>
  <si>
    <t>03605874433656</t>
  </si>
  <si>
    <t>0349839</t>
  </si>
  <si>
    <t>03605874393912</t>
  </si>
  <si>
    <t>CEFASEPTIN 300 MG COMPRIMES POUR CHIENS</t>
  </si>
  <si>
    <t>03605874433663</t>
  </si>
  <si>
    <t>0378839</t>
  </si>
  <si>
    <t>03605874394025</t>
  </si>
  <si>
    <t>Boîte de 12 plaquettes thermoformées de 6 comprimés</t>
  </si>
  <si>
    <t>CEFASEPTIN 750 MG COMPRIMES POUR CHIENS</t>
  </si>
  <si>
    <t>03605874433670</t>
  </si>
  <si>
    <t>Boîte de 25 plaquettes thermoformées de 6 comprimés</t>
  </si>
  <si>
    <t>0328829</t>
  </si>
  <si>
    <t>03838989676162</t>
  </si>
  <si>
    <t>Porcins, Poule reproductrice, Poulet de chair</t>
  </si>
  <si>
    <t>03838989676155</t>
  </si>
  <si>
    <t>0357829</t>
  </si>
  <si>
    <t>08714225158904</t>
  </si>
  <si>
    <t>08714225158911</t>
  </si>
  <si>
    <t>0319819</t>
  </si>
  <si>
    <t>08717973562139</t>
  </si>
  <si>
    <t>METROBACTIN 250 MG COMPRIMES POUR CHIENS ET CHATS</t>
  </si>
  <si>
    <t>08718469442089</t>
  </si>
  <si>
    <t>0348819</t>
  </si>
  <si>
    <t>08717973562160</t>
  </si>
  <si>
    <t>METROBACTIN 500 MG COMPRIMES POUR CHIENS ET CHATS</t>
  </si>
  <si>
    <t>08718469442119</t>
  </si>
  <si>
    <t>0377819</t>
  </si>
  <si>
    <t>08715885002552</t>
  </si>
  <si>
    <t>08715885002545</t>
  </si>
  <si>
    <t>08715885002569</t>
  </si>
  <si>
    <t>0373809</t>
  </si>
  <si>
    <t>05391510235033</t>
  </si>
  <si>
    <t>0264899</t>
  </si>
  <si>
    <t>03605874426023</t>
  </si>
  <si>
    <t>03605874426092</t>
  </si>
  <si>
    <t>0169819</t>
  </si>
  <si>
    <t>05410340805756</t>
  </si>
  <si>
    <t>Boîte de 8 sachets de 4 g</t>
  </si>
  <si>
    <t>ORNICURE POUDRE POUR ADMINISTRATION DANS L'EAU DE BOISSON DESTINEE AUX PIGEONS VOYAGEURS ET AUX OISEAUX D'ORNEMENT</t>
  </si>
  <si>
    <t>Oiseaux de cage et de volière, Pigeon</t>
  </si>
  <si>
    <t>05410340805763</t>
  </si>
  <si>
    <t>Pot de 1 sac de 200 g</t>
  </si>
  <si>
    <t>26</t>
  </si>
  <si>
    <t>0141809</t>
  </si>
  <si>
    <t>08436027619666</t>
  </si>
  <si>
    <t>Canard, Dinde, Porcins, Poules</t>
  </si>
  <si>
    <t>435,60</t>
  </si>
  <si>
    <t>0044899</t>
  </si>
  <si>
    <t>05414916510112</t>
  </si>
  <si>
    <t>05414916510129</t>
  </si>
  <si>
    <t>0092869</t>
  </si>
  <si>
    <t>05414916910578</t>
  </si>
  <si>
    <t>0098849</t>
  </si>
  <si>
    <t>08717973561897</t>
  </si>
  <si>
    <t>CEFABACTIN 50 MG COMPRIMES POUR CHIENS ET CHATS</t>
  </si>
  <si>
    <t>0028849</t>
  </si>
  <si>
    <t>08717973561927</t>
  </si>
  <si>
    <t>CEFABACTIN 250 MG COMPRIMES POUR CHIENS ET CHATS</t>
  </si>
  <si>
    <t>0057849</t>
  </si>
  <si>
    <t>08717973561934</t>
  </si>
  <si>
    <t>CEFABACTIN 500 MG COMPRIMES POUR CHIENS</t>
  </si>
  <si>
    <t>0086849</t>
  </si>
  <si>
    <t>08717973561941</t>
  </si>
  <si>
    <t>CEFABACTIN 1000 MG COMPRIMES POUR CHIENS</t>
  </si>
  <si>
    <t>0050849</t>
  </si>
  <si>
    <t>08714377380277</t>
  </si>
  <si>
    <t>0020829</t>
  </si>
  <si>
    <t>08714225159208</t>
  </si>
  <si>
    <t>Dinde, Porcins, Poule reproductrice, Poulet de chair</t>
  </si>
  <si>
    <t>0002809</t>
  </si>
  <si>
    <t>05414916940254</t>
  </si>
  <si>
    <t>05414916940247</t>
  </si>
  <si>
    <t>Sac contenant 1 811,6 g de sulfate d’apramycine ou 1 000 000 000 UI</t>
  </si>
  <si>
    <t>0975799</t>
  </si>
  <si>
    <t>03411112926442</t>
  </si>
  <si>
    <t>03411112926626</t>
  </si>
  <si>
    <t>03411112944538</t>
  </si>
  <si>
    <t>0949789</t>
  </si>
  <si>
    <t>05414916626325</t>
  </si>
  <si>
    <t>Flacon de 125 mL</t>
  </si>
  <si>
    <t>05414916626332</t>
  </si>
  <si>
    <t>05414916626349</t>
  </si>
  <si>
    <t>05414916626356</t>
  </si>
  <si>
    <t>0966789</t>
  </si>
  <si>
    <t>03760087153149</t>
  </si>
  <si>
    <t>CEPHACARE F 1000 MG COMPRIMES POUR CHIENS</t>
  </si>
  <si>
    <t>0995789</t>
  </si>
  <si>
    <t>05391510235538</t>
  </si>
  <si>
    <t>05391510235545</t>
  </si>
  <si>
    <t>0973759</t>
  </si>
  <si>
    <t>08718469441754</t>
  </si>
  <si>
    <t>Boîte de 1 tube de 5 g de pommade</t>
  </si>
  <si>
    <t>9,30</t>
  </si>
  <si>
    <t>0929729</t>
  </si>
  <si>
    <t>03760161602914</t>
  </si>
  <si>
    <t>03760161602921</t>
  </si>
  <si>
    <t>03760161602938</t>
  </si>
  <si>
    <t>0992729</t>
  </si>
  <si>
    <t>08714377300329</t>
  </si>
  <si>
    <t>0910729</t>
  </si>
  <si>
    <t>08717973562306</t>
  </si>
  <si>
    <t>DOXYBACTIN 50 MG COMPRIMES POUR CHIENS ET CHATS</t>
  </si>
  <si>
    <t>0949719</t>
  </si>
  <si>
    <t>08717973562313</t>
  </si>
  <si>
    <t>DOXYBACTIN 200 MG COMPRIMES POUR CHIENS</t>
  </si>
  <si>
    <t>0978719</t>
  </si>
  <si>
    <t>08717973562344</t>
  </si>
  <si>
    <t>DOXYBACTIN 400 MG COMPRIMES POUR CHIENS</t>
  </si>
  <si>
    <t>0971719</t>
  </si>
  <si>
    <t>08718469440214</t>
  </si>
  <si>
    <t>SPIZOBACTIN 750 000 UI / 125 MG COMPRIMES A CROQUER POUR CHIENS</t>
  </si>
  <si>
    <t>0901719</t>
  </si>
  <si>
    <t>08718469440221</t>
  </si>
  <si>
    <t>SPIZOBACTIN 1 500 000 UI / 250 MG COMPRIMES A CROQUER POUR CHIENS</t>
  </si>
  <si>
    <t>0930719</t>
  </si>
  <si>
    <t>08718469440245</t>
  </si>
  <si>
    <t>SPIZOBACTIN 3 000 000 UI / 500 MG COMPRIMES A CROQUER POUR CHIENS</t>
  </si>
  <si>
    <t>3000000</t>
  </si>
  <si>
    <t>0841799</t>
  </si>
  <si>
    <t>05420041501635</t>
  </si>
  <si>
    <t>Porcins, Poules, Veau</t>
  </si>
  <si>
    <t>0815789</t>
  </si>
  <si>
    <t>08714225161997</t>
  </si>
  <si>
    <t>0873789</t>
  </si>
  <si>
    <t>03760161602969</t>
  </si>
  <si>
    <t>Bovins, Lapins, Porcins, Volailles</t>
  </si>
  <si>
    <t>03760161602976</t>
  </si>
  <si>
    <t>03760161602983</t>
  </si>
  <si>
    <t>0888779</t>
  </si>
  <si>
    <t>08714377300947</t>
  </si>
  <si>
    <t>Bovins, Dinde, Porcins, Poules</t>
  </si>
  <si>
    <t>08714377380130</t>
  </si>
  <si>
    <t>Bidon de 5040 mL</t>
  </si>
  <si>
    <t>5040</t>
  </si>
  <si>
    <t>1260</t>
  </si>
  <si>
    <t>0896769</t>
  </si>
  <si>
    <t>05420041501628</t>
  </si>
  <si>
    <t>Canard, Dinde, Porcins, Poulet de chair</t>
  </si>
  <si>
    <t>0884769</t>
  </si>
  <si>
    <t>03411112963232</t>
  </si>
  <si>
    <t>Boîte de 1 flacon de 1000 mL</t>
  </si>
  <si>
    <t>03411112963706</t>
  </si>
  <si>
    <t>03411112963713</t>
  </si>
  <si>
    <t>0817759</t>
  </si>
  <si>
    <t>08714225162024</t>
  </si>
  <si>
    <t>0801749</t>
  </si>
  <si>
    <t>03597133082531</t>
  </si>
  <si>
    <t>Boîte de 1 flacon de 30 mL et de 1 seringue de 3 mL</t>
  </si>
  <si>
    <t>ERADIA 125 MG/ML SUSPENSION BUVABLE POUR CHIENS</t>
  </si>
  <si>
    <t>03597133082548</t>
  </si>
  <si>
    <t>Boîte de 1 flacon de 100 mL et de 1 seringue de 3 mL</t>
  </si>
  <si>
    <t>0857739</t>
  </si>
  <si>
    <t>0886739</t>
  </si>
  <si>
    <t>08714225163663</t>
  </si>
  <si>
    <t>202,40</t>
  </si>
  <si>
    <t>0821739</t>
  </si>
  <si>
    <t>03661753157112</t>
  </si>
  <si>
    <t>03661753157129</t>
  </si>
  <si>
    <t>0795779</t>
  </si>
  <si>
    <t>05414916310224</t>
  </si>
  <si>
    <t>Porcins, Poule pondeuse</t>
  </si>
  <si>
    <t>0725779</t>
  </si>
  <si>
    <t>08436529623468</t>
  </si>
  <si>
    <t>170,40</t>
  </si>
  <si>
    <t>08436529623475</t>
  </si>
  <si>
    <t>42,60</t>
  </si>
  <si>
    <t>0783779</t>
  </si>
  <si>
    <t>05391504732043</t>
  </si>
  <si>
    <t>Seau de 120 seringues de 3 g pour administration intramammaire et de 120 lingettes nettoyantes</t>
  </si>
  <si>
    <t>05391504732050</t>
  </si>
  <si>
    <t>Boîte de 20 seringues de 3 g pour administration intramammaire et de 20 lingettes nettoyantes</t>
  </si>
  <si>
    <t>0703749</t>
  </si>
  <si>
    <t>05414916210258</t>
  </si>
  <si>
    <t>Boîte de 1 flacon de 25 mL</t>
  </si>
  <si>
    <t>05414916210234</t>
  </si>
  <si>
    <t>0767729</t>
  </si>
  <si>
    <t>05997375300154</t>
  </si>
  <si>
    <t>Boîte de 1 flacon de 1000 mL et de 1 gobelet gradué polypropylène</t>
  </si>
  <si>
    <t>0795709</t>
  </si>
  <si>
    <t>08433792006448</t>
  </si>
  <si>
    <t>436</t>
  </si>
  <si>
    <t>0620709</t>
  </si>
  <si>
    <t>03411112988600</t>
  </si>
  <si>
    <t>Boîte de 1 flacon polypropylène de 50 mL</t>
  </si>
  <si>
    <t>03411112988648</t>
  </si>
  <si>
    <t>CORRESPONDANCE</t>
  </si>
  <si>
    <t>FAMILLE ATB</t>
  </si>
  <si>
    <t>Autres familles</t>
  </si>
  <si>
    <t>Penicillines</t>
  </si>
  <si>
    <t>Phenicoles</t>
  </si>
  <si>
    <t>Tetracyclines</t>
  </si>
  <si>
    <t>Trimethoprime</t>
  </si>
  <si>
    <t>Cephalosporines 1&amp;2G</t>
  </si>
  <si>
    <t>Cephalosporines 3&amp;4G</t>
  </si>
  <si>
    <t>Famille ATB</t>
  </si>
  <si>
    <t>Substance active (ENG)</t>
  </si>
  <si>
    <t>Substance active (FR)</t>
  </si>
  <si>
    <t>ATB critique</t>
  </si>
  <si>
    <t>Motif de traitement</t>
  </si>
  <si>
    <t>Famille correspondante</t>
  </si>
  <si>
    <t>Opération</t>
  </si>
  <si>
    <t>Pathologie digestive (diarrhées)</t>
  </si>
  <si>
    <t>Omphalite (gros nombril)</t>
  </si>
  <si>
    <t>Infections du pied (panaris)</t>
  </si>
  <si>
    <t>Pathologie de l’appareil urinaire</t>
  </si>
  <si>
    <t>Infections de l’œil (conjonctivites)</t>
  </si>
  <si>
    <t>Blessures diverses</t>
  </si>
  <si>
    <t>Septicémie hémorragiques</t>
  </si>
  <si>
    <t>Lésions (cutanées et/ou au niveau des branchies)</t>
  </si>
  <si>
    <t>Pathologie respiratoire (pneumonie)</t>
  </si>
  <si>
    <t>Motif du traitement</t>
  </si>
  <si>
    <t>x</t>
  </si>
  <si>
    <t>Fam1</t>
  </si>
  <si>
    <t>Fam2</t>
  </si>
  <si>
    <t>Fam3</t>
  </si>
  <si>
    <t>Subs1</t>
  </si>
  <si>
    <t>Subs2</t>
  </si>
  <si>
    <t>Subs3</t>
  </si>
  <si>
    <t>Famille(s) d'antibiotique(s)</t>
  </si>
  <si>
    <t>Substances active(s)</t>
  </si>
  <si>
    <t>Espèces retenues</t>
  </si>
  <si>
    <t>Mois de début de la campagne</t>
  </si>
  <si>
    <t>Campagne de production étudiée (année de 12 mois)</t>
  </si>
  <si>
    <r>
      <t xml:space="preserve">Effectif moyen 
</t>
    </r>
    <r>
      <rPr>
        <b/>
        <sz val="8"/>
        <color theme="9" tint="-0.499984740745262"/>
        <rFont val="Arial Narrow"/>
        <family val="2"/>
      </rPr>
      <t>durant la campagne</t>
    </r>
  </si>
  <si>
    <t>Catégorie traitée</t>
  </si>
  <si>
    <t>Catégorie d'animaux</t>
  </si>
  <si>
    <t>Mois du traitement</t>
  </si>
  <si>
    <t>valnemulin</t>
  </si>
  <si>
    <t>Croissance</t>
  </si>
  <si>
    <t>Résultats par animal</t>
  </si>
  <si>
    <t>espèce</t>
  </si>
  <si>
    <t>Age</t>
  </si>
  <si>
    <t>Catégorie</t>
  </si>
  <si>
    <t>CATEGORIE</t>
  </si>
  <si>
    <t>Résultats par kg</t>
  </si>
  <si>
    <r>
      <rPr>
        <b/>
        <u/>
        <sz val="14"/>
        <color theme="9" tint="-0.499984740745262"/>
        <rFont val="Arial Narrow"/>
        <family val="2"/>
      </rPr>
      <t xml:space="preserve">Étape 1 - à remplir : Le rescensement des données
</t>
    </r>
    <r>
      <rPr>
        <sz val="11"/>
        <color theme="1"/>
        <rFont val="Arial Narrow"/>
        <family val="2"/>
      </rPr>
      <t xml:space="preserve">
Les données doivent être recensées pour répertorier les traitements antibiotiques réalisés pour chaque type de maladies apparues sur le troupeau, dans le cadre d'un pas de temps déterminé (ici 365 jours, soit 12 mois, soit 1 année). Pour simplifier le recensement et permettre une meilleure exploitation des données, la saisie doit être réalisée par mois de l'année étudiée, à partir du mois de début de votre campagne.
Ex: "En janvier, sur mon troupeau de 75 vaches laitières en production (bovin_lait_adulte), j'ai réalisé 10 traitements au MASTIJET pour soigner les mammites apparues et 15 traitements au CEPRAVIN pour réaliser mes tarissements au mois de mars."</t>
    </r>
  </si>
  <si>
    <r>
      <rPr>
        <u/>
        <sz val="10"/>
        <rFont val="Arial Narrow"/>
        <family val="2"/>
      </rPr>
      <t>1)  Pas de temps</t>
    </r>
    <r>
      <rPr>
        <sz val="10"/>
        <rFont val="Arial Narrow"/>
        <family val="2"/>
      </rPr>
      <t xml:space="preserve">
Le pas de temps utilisé doit être de </t>
    </r>
    <r>
      <rPr>
        <b/>
        <sz val="10"/>
        <rFont val="Arial Narrow"/>
        <family val="2"/>
      </rPr>
      <t>12 mois</t>
    </r>
    <r>
      <rPr>
        <sz val="10"/>
        <rFont val="Arial Narrow"/>
        <family val="2"/>
      </rPr>
      <t xml:space="preserve">. Il permet de prendre du recul sur l’utilisation d’antibiotiques en incluant les différentes saisons d’activité liées à l’élevage. Afin de pouvoir comparer les résultats entre eux, ce pas de temps doit rester le même quelque soit l’exploitation ou l’année étudiée. Vous avez toutefois la possibilité de modifier le premier mois de votre campagne de production. 
</t>
    </r>
    <r>
      <rPr>
        <u/>
        <sz val="10"/>
        <rFont val="Arial Narrow"/>
        <family val="2"/>
      </rPr>
      <t xml:space="preserve">2)  Nombre de traitement
</t>
    </r>
    <r>
      <rPr>
        <b/>
        <sz val="10"/>
        <rFont val="Arial Narrow"/>
        <family val="2"/>
      </rPr>
      <t xml:space="preserve">Un traitement correspond à une prescription d’une substance active par le vétérinaire pour une maladie traitée sur un animal (ou sur un lot d'animaux, ou sur un kg ), sachant qu'un médicament prescrit peut être composé de plusieurs substances actives. 
</t>
    </r>
    <r>
      <rPr>
        <sz val="10"/>
        <rFont val="Arial Narrow"/>
        <family val="2"/>
      </rPr>
      <t xml:space="preserve">
Les traitements sous-dosés ou arrêtés prématurément par rapport à l’ordonnance du vétérinaire ne sont pas recommandés. L’animal traité risque de contracter de nouveau la maladie étant donné que les bactéries n’auront pas toutes été éliminées. Par ailleurs, les bactéries restantes pourront plus facilement développer des résistances contre l’antibiotique utilisé. Dans ce cas, et quelque soit le sous-dosage, un traitement correspond toujours à la prescription d’une substance active par le vétérinaire.
</t>
    </r>
    <r>
      <rPr>
        <u/>
        <sz val="10"/>
        <rFont val="Arial Narrow"/>
        <family val="2"/>
      </rPr>
      <t>3)  Nombre d’animaux</t>
    </r>
    <r>
      <rPr>
        <sz val="10"/>
        <rFont val="Arial Narrow"/>
        <family val="2"/>
      </rPr>
      <t xml:space="preserve">
Le </t>
    </r>
    <r>
      <rPr>
        <b/>
        <sz val="10"/>
        <rFont val="Arial Narrow"/>
        <family val="2"/>
      </rPr>
      <t>nombre d’animaux correspond à l’effectif moyen présent sur l’exploitation durant l'année étudiée.</t>
    </r>
    <r>
      <rPr>
        <sz val="10"/>
        <rFont val="Arial Narrow"/>
        <family val="2"/>
      </rPr>
      <t xml:space="preserve"> Il est possible de calculer le taux de traitement en fonction de plusieurs unités : par animal, par lot ou par kg (ex. généralement en kg pour les poissons, en lot pour les volailles). Il est également possible de différencier ces animaux en fonction de l’espèce, de l’activité auxquels ils sont dédiés ainsi que de la catégorie d’âge. 
 Le tableau définissant les catégories d’âge est présenté ci-dessous :</t>
    </r>
  </si>
  <si>
    <r>
      <t>Ce fichier est un</t>
    </r>
    <r>
      <rPr>
        <b/>
        <sz val="12"/>
        <color theme="1"/>
        <rFont val="Arial Narrow"/>
        <family val="2"/>
      </rPr>
      <t xml:space="preserve"> outil de travail pour comprendre et analyser l'utilisation d'antibiotiques dans son exploitation agricole</t>
    </r>
    <r>
      <rPr>
        <sz val="12"/>
        <color theme="1"/>
        <rFont val="Arial Narrow"/>
        <family val="2"/>
      </rPr>
      <t>. Conformément à l'article L234-1 du Code rural et de la pêche maritime, "</t>
    </r>
    <r>
      <rPr>
        <i/>
        <sz val="12"/>
        <color theme="1"/>
        <rFont val="Arial Narrow"/>
        <family val="2"/>
      </rPr>
      <t xml:space="preserve">Tout propriétaire ou détenteur d'animaux appartenant à des espèces dont la chair ou les produits doivent être cédés en vue de la consommation doit tenir un registre d'élevage régulièrement mis à jour sur lequel il recense chronologiquement les données sanitaires, zootechniques et médicales relatives aux animaux élevés". </t>
    </r>
    <r>
      <rPr>
        <sz val="12"/>
        <color theme="1"/>
        <rFont val="Arial Narrow"/>
        <family val="2"/>
      </rPr>
      <t>C'est grâce à ce registre d'élevage qu'il est possible de remplir cet outil. Vous y trouverez  :
- Guide d'utilisation - la méthodologie du calcul des taux de traitements aux antibiotiques et son application dans l'outil.
- Table médicament - Elle associe les médicaments avec leur(s) substance(s) active(s) et leur(s) famille(s) d'antibiotique(s). 
- Les onglets Étape - ils répertorient vos traitements antibiotiques afin de générer le nombre de traitement par unité étudiée (animal, lot, kg).</t>
    </r>
  </si>
  <si>
    <t>COMMENT CALCULER LE NOMBRE DE TRAITEMENT PAR UNITÉ ÉTUDIÉE (animal, lot, kg)?</t>
  </si>
  <si>
    <t>ORDRE</t>
  </si>
  <si>
    <t>ATB CRITIQUE</t>
  </si>
  <si>
    <t>ORDRE TRI</t>
  </si>
  <si>
    <t>ORDRE TRIE</t>
  </si>
  <si>
    <t>TABLEAU DETAILLE PAR CATEGORIE</t>
  </si>
  <si>
    <t>EFFECTIF</t>
  </si>
  <si>
    <t>NB Traitement</t>
  </si>
  <si>
    <t>Pourcentage</t>
  </si>
  <si>
    <t>Nombre de Traitement</t>
  </si>
  <si>
    <t>UNITE</t>
  </si>
  <si>
    <r>
      <t xml:space="preserve">TAUX DE TRAITEMENT aux antibiotiques
</t>
    </r>
    <r>
      <rPr>
        <i/>
        <sz val="14"/>
        <color rgb="FF000000"/>
        <rFont val="Arial Narrow"/>
        <family val="2"/>
      </rPr>
      <t>Version 2 de l'outil</t>
    </r>
  </si>
  <si>
    <r>
      <t xml:space="preserve">Guide d'utilisation
</t>
    </r>
    <r>
      <rPr>
        <i/>
        <sz val="16"/>
        <color theme="1"/>
        <rFont val="Lucida Sans"/>
        <family val="2"/>
      </rPr>
      <t>Version 2 de l'outil</t>
    </r>
    <r>
      <rPr>
        <sz val="28"/>
        <color theme="1"/>
        <rFont val="Lucida Sans"/>
        <family val="2"/>
      </rPr>
      <t xml:space="preserve"> </t>
    </r>
  </si>
  <si>
    <r>
      <rPr>
        <sz val="28"/>
        <color indexed="8"/>
        <rFont val="Lucida Sans"/>
        <family val="2"/>
      </rPr>
      <t xml:space="preserve">Table 
de correspondance 
</t>
    </r>
    <r>
      <rPr>
        <i/>
        <sz val="16"/>
        <color rgb="FF000000"/>
        <rFont val="Lucida Sans"/>
        <family val="2"/>
      </rPr>
      <t>(Médicaments autorisés pour les animaux de rente uniquement)</t>
    </r>
    <r>
      <rPr>
        <i/>
        <sz val="16"/>
        <color rgb="FF000000"/>
        <rFont val="Lucida Bright"/>
        <family val="1"/>
      </rPr>
      <t xml:space="preserve"> 
</t>
    </r>
    <r>
      <rPr>
        <i/>
        <sz val="12"/>
        <color rgb="FF000000"/>
        <rFont val="Lucida Sans"/>
        <family val="2"/>
      </rPr>
      <t>Dernière mise à jour le 24/11/2022</t>
    </r>
  </si>
  <si>
    <t>Flacon de 50 ml</t>
  </si>
  <si>
    <t>0,000310</t>
  </si>
  <si>
    <t>0,93</t>
  </si>
  <si>
    <t>465</t>
  </si>
  <si>
    <t>33500</t>
  </si>
  <si>
    <t>0,001420</t>
  </si>
  <si>
    <t>1,43</t>
  </si>
  <si>
    <t>0,04</t>
  </si>
  <si>
    <t>0,001310</t>
  </si>
  <si>
    <t>0,000050</t>
  </si>
  <si>
    <t>3,13</t>
  </si>
  <si>
    <t>03660144115717</t>
  </si>
  <si>
    <t>0,30</t>
  </si>
  <si>
    <t>03597133093087</t>
  </si>
  <si>
    <t>496</t>
  </si>
  <si>
    <t>1,49</t>
  </si>
  <si>
    <t>0,52</t>
  </si>
  <si>
    <t>Boîte de 2 plaquettes thermoformées de 10 comprimés pelliculés</t>
  </si>
  <si>
    <t>4,65</t>
  </si>
  <si>
    <t>Boîte de 1 plaquette thermoformée de 10 comprimés pelliculés</t>
  </si>
  <si>
    <t>2,33</t>
  </si>
  <si>
    <t>0,013510</t>
  </si>
  <si>
    <t>875</t>
  </si>
  <si>
    <t>Boîte de 1 flacon de 60 mL</t>
  </si>
  <si>
    <t>Boîte de 1 kg munie d'un gobelet doseur de 100 g</t>
  </si>
  <si>
    <t>Seau de 5 kg muni d'un gobelet doseur de 100 g</t>
  </si>
  <si>
    <t>Flacon de 25 mL</t>
  </si>
  <si>
    <t>0,91</t>
  </si>
  <si>
    <t>Bovins, Chat, Cheval, Chien, Porcins, Volailles</t>
  </si>
  <si>
    <t>Boîte de 4 seringues intramammaires de 9,4 g et de 4 serviettes nettoyantes</t>
  </si>
  <si>
    <t>Boîte de 12 seringues intramammaires de 9,4 g et de 12 serviettes nettoyantes</t>
  </si>
  <si>
    <t>Boîte de 32 seringues intramammaires de 9,4 g et de 32 serviettes nettoyantes</t>
  </si>
  <si>
    <t>Boîte de 24 seringues intramammaires de 9,4 g et de 24 serviettes nettoyantes</t>
  </si>
  <si>
    <t>0,82</t>
  </si>
  <si>
    <t>NEOMYCINE 40 LAPIN-VOLAILLE-PORC ET AGNEAU-CHEVREAU SEVRES</t>
  </si>
  <si>
    <t>1310</t>
  </si>
  <si>
    <t>03411112176410</t>
  </si>
  <si>
    <t>03411112176458</t>
  </si>
  <si>
    <t>Flacon pressurisé de 210 mL</t>
  </si>
  <si>
    <t>TYLAN 200 000 UI/ML SOLUTION INJECTABLE</t>
  </si>
  <si>
    <t>7,13</t>
  </si>
  <si>
    <t>0,63</t>
  </si>
  <si>
    <t>655</t>
  </si>
  <si>
    <t>3275</t>
  </si>
  <si>
    <t>155</t>
  </si>
  <si>
    <t>387,50</t>
  </si>
  <si>
    <t>03660144116059</t>
  </si>
  <si>
    <t>6,38</t>
  </si>
  <si>
    <t>1,09</t>
  </si>
  <si>
    <t>1,57</t>
  </si>
  <si>
    <t>47,15</t>
  </si>
  <si>
    <t>boite de 4 blisters pvc-alu de 8 comprimés</t>
  </si>
  <si>
    <t>3,35</t>
  </si>
  <si>
    <t>26,78</t>
  </si>
  <si>
    <t>279,56</t>
  </si>
  <si>
    <t>77,50</t>
  </si>
  <si>
    <t>23,25</t>
  </si>
  <si>
    <t>232,50</t>
  </si>
  <si>
    <t>7,75</t>
  </si>
  <si>
    <t>03660144118831</t>
  </si>
  <si>
    <t>78,60</t>
  </si>
  <si>
    <t>196,50</t>
  </si>
  <si>
    <t>393</t>
  </si>
  <si>
    <t>0,13</t>
  </si>
  <si>
    <t>boite de 10 flacon verrre de 10mL de poudre et de 10 ampoules verre de 10 mL de solvant</t>
  </si>
  <si>
    <t>0,000080</t>
  </si>
  <si>
    <t>5,34</t>
  </si>
  <si>
    <t>26,72</t>
  </si>
  <si>
    <t>boite de 10 blisters de 10 comprimes</t>
  </si>
  <si>
    <t>boite de 1 blister de 10 comprimes</t>
  </si>
  <si>
    <t>Seau de 1 sachet de 1 kg et de une cuillère de prélèvement</t>
  </si>
  <si>
    <t>Flacon de 91 g (50 000 000 UI)</t>
  </si>
  <si>
    <t>0,001810</t>
  </si>
  <si>
    <t>89,92</t>
  </si>
  <si>
    <t>99,91</t>
  </si>
  <si>
    <t>05420036951155</t>
  </si>
  <si>
    <t>90,50</t>
  </si>
  <si>
    <t>90,42</t>
  </si>
  <si>
    <t>0,001610</t>
  </si>
  <si>
    <t>3,22</t>
  </si>
  <si>
    <t>6,44</t>
  </si>
  <si>
    <t>16,10</t>
  </si>
  <si>
    <t>boite de 1 flacon verre de 500mL</t>
  </si>
  <si>
    <t>boite de 1 flacon verre de 100mL</t>
  </si>
  <si>
    <t>1,93</t>
  </si>
  <si>
    <t>905</t>
  </si>
  <si>
    <t>Boîte de 1 flacon de 15 mL et de 1 compte-gouttes gradué</t>
  </si>
  <si>
    <t>2,10</t>
  </si>
  <si>
    <t>RONAXAN 20 MG COMPRIMES POUR CHIENS ET CHATS</t>
  </si>
  <si>
    <t>RONAXAN 100 MG COMPRIMES POUR CHIENS ET CHATS</t>
  </si>
  <si>
    <t>Boîte de 1 flacon de 150 ml, de 1 seringue pour administration orale et d'un adaptateur</t>
  </si>
  <si>
    <t>15,72</t>
  </si>
  <si>
    <t>39,30</t>
  </si>
  <si>
    <t>ADJUSOL TMP SULFA LIQUIDE 16,65 MG/ML + 83,35 MG/ML SOLUTION POUR ADMINISTRATION DANS L’EAU DE BOISSON/LAIT</t>
  </si>
  <si>
    <t>Agneau, Lapins, Porcins, Poules, Veau</t>
  </si>
  <si>
    <t>Boîte de 48 seringues intramammaires de 10 mL</t>
  </si>
  <si>
    <t>Boîte de 20 seringues pour administration intramammaire de 9,3 g et de 20 serviettes nettoyantes</t>
  </si>
  <si>
    <t>1,35</t>
  </si>
  <si>
    <t>40,50</t>
  </si>
  <si>
    <t>RONAXAN 250 MG COMPRIMES POUR CHIENS</t>
  </si>
  <si>
    <t>Boîte de 2 plaquettes thermoformées de 10 comprimés enrobés</t>
  </si>
  <si>
    <t>8,05</t>
  </si>
  <si>
    <t>20,13</t>
  </si>
  <si>
    <t>31</t>
  </si>
  <si>
    <t>MICOTIL 300 MG/ML SOLUTION INJECTABLE</t>
  </si>
  <si>
    <t>05420036926078</t>
  </si>
  <si>
    <t>Boîte de 1 flacon verre ambré type I de 100 mL</t>
  </si>
  <si>
    <t>05420036926122</t>
  </si>
  <si>
    <t>Boîte de 1 flacon verre ambré type I de 250 mL</t>
  </si>
  <si>
    <t>08007220405150</t>
  </si>
  <si>
    <t>Boîte de 2 plaquettes thermoformées de 4 seringues intramammaires et de 4 serviettes nettoyantes</t>
  </si>
  <si>
    <t>08007220405167</t>
  </si>
  <si>
    <t>Boîte de 3 plaquettes thermoformées de 4 seringues intramammaires et de 4 serviettes nettoyantes</t>
  </si>
  <si>
    <t>08007220405174</t>
  </si>
  <si>
    <t>Boîte de 6 plaquettes thermoformées de 4 seringues intramammaires et de 4 serviettes nettoyantes</t>
  </si>
  <si>
    <t>2620</t>
  </si>
  <si>
    <t>pot de 150 g</t>
  </si>
  <si>
    <t>52,50</t>
  </si>
  <si>
    <t>3,72</t>
  </si>
  <si>
    <t>Boîte de 2 plaquettes thermoformées de 8 comprimés enrobés</t>
  </si>
  <si>
    <t>Boîte de 16 plaquettes thermoformées de 8 comprimés enrobés</t>
  </si>
  <si>
    <t>29,76</t>
  </si>
  <si>
    <t>Boîte de 2 applicateurs avec embout sécable et de 2 sachets de 1 serviette nettoyante</t>
  </si>
  <si>
    <t>Boîte de 10 applicateurs avec embout sécable et de 10 sachets de 1 serviette nettoyante</t>
  </si>
  <si>
    <t>03660144116103</t>
  </si>
  <si>
    <t>Boîte de 4 seringues intramammaires avec embout sécable et de 4 sachets de 1 serviette nettoyante</t>
  </si>
  <si>
    <t>03660144116097</t>
  </si>
  <si>
    <t>Boîte de 60 seringues intramammaires avec embout sécable et de 60 sachets de 1 serviette nettoyante</t>
  </si>
  <si>
    <t>Pot de 1 kg muni d'un gobelet doseur de 100 g</t>
  </si>
  <si>
    <t>Pot de 2,5 kg muni d'un gobelet doseur de 100 g</t>
  </si>
  <si>
    <t>seau d''un sac de 5 kg avec gobelet doseur</t>
  </si>
  <si>
    <t>03411112980321</t>
  </si>
  <si>
    <t>03411112980307</t>
  </si>
  <si>
    <t>boite de 24 applicateurs de 10 mL et de 24 serviettes nettoyantes</t>
  </si>
  <si>
    <t>Flacon de 960 mL muni de 1 godet polypropylène gradué de 20 mL</t>
  </si>
  <si>
    <t>pot de 250g</t>
  </si>
  <si>
    <t>pot de 1kg</t>
  </si>
  <si>
    <t>boite de 24 applicateurs de 10 mL</t>
  </si>
  <si>
    <t>05414736045689</t>
  </si>
  <si>
    <t>05414736045696</t>
  </si>
  <si>
    <t>Seau d'une sache de 5 kg</t>
  </si>
  <si>
    <t>Pot de 1 sache de 1 kg</t>
  </si>
  <si>
    <t>03760161602990</t>
  </si>
  <si>
    <t>03760161605007</t>
  </si>
  <si>
    <t>Poche de 1 kg</t>
  </si>
  <si>
    <t>Boite de 1 flacon de 20 ml</t>
  </si>
  <si>
    <t>Boite de 1 flacon de 50 ml</t>
  </si>
  <si>
    <t>Boite de 1 flacon de 100 ml</t>
  </si>
  <si>
    <t>Boite de 1 flacon de 250 ml</t>
  </si>
  <si>
    <t>05414736043173</t>
  </si>
  <si>
    <t>05414736042466</t>
  </si>
  <si>
    <t>05414736042473</t>
  </si>
  <si>
    <t>05414736042404</t>
  </si>
  <si>
    <t>56,74</t>
  </si>
  <si>
    <t>03661753183364</t>
  </si>
  <si>
    <t>CK 2 - COLISTINE 2 000 000 UI/ML</t>
  </si>
  <si>
    <t>Sac de 1 kg muni d’un dispositif doseur de 100 g</t>
  </si>
  <si>
    <t>Sac de 5 kg muni d’un dispositif doseur de 100 g</t>
  </si>
  <si>
    <t>1 kg</t>
  </si>
  <si>
    <t>05420036938088</t>
  </si>
  <si>
    <t>05420036937883</t>
  </si>
  <si>
    <t>04028691564850</t>
  </si>
  <si>
    <t>04028691567493</t>
  </si>
  <si>
    <t>04028691564942</t>
  </si>
  <si>
    <t>0,001260</t>
  </si>
  <si>
    <t>2,52</t>
  </si>
  <si>
    <t>BOITE DE 1 FLACON DE 1 G DE POUDRE ET 1 FLACON DE 20 ML DE SOLVANT</t>
  </si>
  <si>
    <t>BOITE DE 1 FLACON DE 4 G DE POUDRE ET 1 FLACON DE 80 ML DE SOLVANT</t>
  </si>
  <si>
    <t>Boîte de 2 plaquettes thermoformées de 6 comprimés</t>
  </si>
  <si>
    <t>Boîte de 5 plaquettes thermoformées de 2 comprimés sécables</t>
  </si>
  <si>
    <t>Boîte de 10 plaquettes thermoformées de 2 comprimés sécables</t>
  </si>
  <si>
    <t>Boîte de 1 flacon de 15 ml muni d'un adaptateur et d'une fermeture de sécurité enfant avec 1 seringue de 3 ml</t>
  </si>
  <si>
    <t>25 kg</t>
  </si>
  <si>
    <t>Sac de 25kg</t>
  </si>
  <si>
    <t>05701170432169</t>
  </si>
  <si>
    <t>Boîte de 20 plaquettes thermoformées de 6 comprimés sécables</t>
  </si>
  <si>
    <t>05701170432176</t>
  </si>
  <si>
    <t>05701170432183</t>
  </si>
  <si>
    <t>KESIUM 40 MG / 10 MG COMPRIMES A CROQUER POUR CHATS ET CHIENS</t>
  </si>
  <si>
    <t>KESIUM 50 MG / 12,5 MG COMPRIMES A CROQUER POUR CHATS ET CHIENS</t>
  </si>
  <si>
    <t>KESIUM 200 MG / 50 MG COMPRIMES A CROQUER POUR CHIENS</t>
  </si>
  <si>
    <t>Boîte de 40 plaquettes thermoformées de 6 comprimés à croquer sécables</t>
  </si>
  <si>
    <t>KESIUM 400 MG / 100 MG COMPRIMES A CROQUER POUR CHIENS</t>
  </si>
  <si>
    <t>Boîte de 16 plaquettes thermoformées de 6 comprimés à croquer sécables</t>
  </si>
  <si>
    <t>2,20</t>
  </si>
  <si>
    <t>Boîte de 1 flacon de 22 mL en PET et de 1 pipette graduée polyéthylène basse densité</t>
  </si>
  <si>
    <t>05414916100511</t>
  </si>
  <si>
    <t>Sac de 0,5 kg</t>
  </si>
  <si>
    <t>03660144116035</t>
  </si>
  <si>
    <t>03660144116042</t>
  </si>
  <si>
    <t>KESIUM 500 MG / 125 MG COMPRIMES A CROQUER POUR CHIENS</t>
  </si>
  <si>
    <t>0518879</t>
  </si>
  <si>
    <t>08714377300305</t>
  </si>
  <si>
    <t>08714377380574</t>
  </si>
  <si>
    <t>paromomycin</t>
  </si>
  <si>
    <t>0,001330</t>
  </si>
  <si>
    <t>93,10</t>
  </si>
  <si>
    <t>08714377380741</t>
  </si>
  <si>
    <t>4,10</t>
  </si>
  <si>
    <t>05420036930624</t>
  </si>
  <si>
    <t>Boîte de 40 tubes de 2,05 g</t>
  </si>
  <si>
    <t>82</t>
  </si>
  <si>
    <t>0403849</t>
  </si>
  <si>
    <t>08714377380734</t>
  </si>
  <si>
    <t>867</t>
  </si>
  <si>
    <t>Boîte de 100 gélules</t>
  </si>
  <si>
    <t>0,4412</t>
  </si>
  <si>
    <t>SOLAMOCTA 697 MG/G POUDRE POUR ADMINISTRATION DANS L'EAU DE BOISSON DES POULES CANARDS ET DINDES</t>
  </si>
  <si>
    <t>DOXYLIN CT WSP 433 MG/G POUDRE POUR ADMINISTRATION DANS L'EAU DE BOISSON POUR POULES ET DINDES</t>
  </si>
  <si>
    <t>08714377380604</t>
  </si>
  <si>
    <t>0352869</t>
  </si>
  <si>
    <t>04260745010009</t>
  </si>
  <si>
    <t>Boîte de 6 flacons de poudre de 10 g et de 6 flacons de solvant de 30 mL</t>
  </si>
  <si>
    <t>LOHMASTITE 214,5 MG/ML POUDRE ET SOLVANT POUR SUSPENSION INJECTABLE POUR BOVINS</t>
  </si>
  <si>
    <t>08717755000033</t>
  </si>
  <si>
    <t>Boîte de 1 flacon de 50 mL avec 1 seringue de 5 mL</t>
  </si>
  <si>
    <t>Boîte de 1 flacon de 10 mL et de 1 seringue de 1 mL</t>
  </si>
  <si>
    <t>65,50</t>
  </si>
  <si>
    <t>AMATIB 697 MG/G POUDRE ORALE POUR PORCS ET POULES</t>
  </si>
  <si>
    <t>RHEMOX 435,6 MG/G POUDRE POUR ADMINISTRATION DANS L'EAU DE BOISSON POUR PORCINS, POULES, CANARDS, ET DINDES</t>
  </si>
  <si>
    <t>0020899</t>
  </si>
  <si>
    <t>08435317202922</t>
  </si>
  <si>
    <t>Sachet de 200 g</t>
  </si>
  <si>
    <t>DOXIPULVIS 500 MG/G POUDRE POUR ADMINISTRATION DANS  L’EAU DE BOISSON / LAIT DE REMPLACEMENT</t>
  </si>
  <si>
    <t>Dinde, Porcins, Poule reproductrice, Poulet de chair, Veau</t>
  </si>
  <si>
    <t>08435317202939</t>
  </si>
  <si>
    <t>3620</t>
  </si>
  <si>
    <t>ALTIDOX 433 MG/G POUDRE POUR ADMINISTRATION DANS L'EAU DE BOISSON POUR PORCS, POULES ET DINDES</t>
  </si>
  <si>
    <t>Flacon contenant 90,58 g de sulfate d’apramycine ou 50 000 000 UI</t>
  </si>
  <si>
    <t>1811</t>
  </si>
  <si>
    <t>1809,41</t>
  </si>
  <si>
    <t>03760087153415</t>
  </si>
  <si>
    <t>08714225163649</t>
  </si>
  <si>
    <t>08714225163632</t>
  </si>
  <si>
    <t>0845739</t>
  </si>
  <si>
    <t>08718469441679</t>
  </si>
  <si>
    <t>Boîte de 10 sachets de 60 g</t>
  </si>
  <si>
    <t>0877729</t>
  </si>
  <si>
    <t>03661753166824</t>
  </si>
  <si>
    <t>03661753166831</t>
  </si>
  <si>
    <t>0868719</t>
  </si>
  <si>
    <t>03661753175161</t>
  </si>
  <si>
    <t>0780789</t>
  </si>
  <si>
    <t>08436551571706</t>
  </si>
  <si>
    <t>NEOACTIVE</t>
  </si>
  <si>
    <t>0752739</t>
  </si>
  <si>
    <t>08714377380758</t>
  </si>
  <si>
    <t>0711739</t>
  </si>
  <si>
    <t>03838989727512</t>
  </si>
  <si>
    <t>03838989727505</t>
  </si>
  <si>
    <t>TILMOPRO 250 MG/ML SOLUTION BUVABLE POUR UTILISATION DANS L'EAU DE BOISSON / LAIT</t>
  </si>
  <si>
    <t>0702729</t>
  </si>
  <si>
    <t>08719874710664</t>
  </si>
  <si>
    <t>Boîte de 10 plaquettes thermoformées de 10 comprimés à croquer quadrisécables</t>
  </si>
  <si>
    <t>CLINDABACTIN 55 MG COMPRIMES A CROQUER POUR CHIENS ET CHATS</t>
  </si>
  <si>
    <t>5,50</t>
  </si>
  <si>
    <t>0731729</t>
  </si>
  <si>
    <t>08719874710671</t>
  </si>
  <si>
    <t>CLINDABACTIN 220 MG COMPRIMES A CROQUER POUR CHIENS</t>
  </si>
  <si>
    <t>0760729</t>
  </si>
  <si>
    <t>08719874710688</t>
  </si>
  <si>
    <t>Boîte de 10 plaquettes thermofomées de 10 comprimés à croquer quadrisécables</t>
  </si>
  <si>
    <t>CLINDABACTIN 440 MG COMPRIMES A CROQUER POUR CHIENS</t>
  </si>
  <si>
    <t>440</t>
  </si>
  <si>
    <t>44</t>
  </si>
  <si>
    <t>0717719</t>
  </si>
  <si>
    <t>03760087153224</t>
  </si>
  <si>
    <t>METROCARE 250 MG COMPRIMES POUR CHIENS ET CHATS</t>
  </si>
  <si>
    <t>0746719</t>
  </si>
  <si>
    <t>03760087153231</t>
  </si>
  <si>
    <t>METROCARE 500 MG COMPRIMES POUR CHIENS ET CHATS</t>
  </si>
  <si>
    <t>0751719</t>
  </si>
  <si>
    <t>05391504732593</t>
  </si>
  <si>
    <t>Boîte de 12 flacons de 100 mL</t>
  </si>
  <si>
    <t>05391504732609</t>
  </si>
  <si>
    <t>Boîte de 6 flacons de 250 mL</t>
  </si>
  <si>
    <t>05391504732500</t>
  </si>
  <si>
    <t>05391504732517</t>
  </si>
  <si>
    <t>AMOXICILLINE GLOBAL VET HEALTH 436 MG/G POUDRE POUR ADMINISTRATION DANS L'EAU DE BOISSON POUR POULES DINDES CANARDS ET PORCINS</t>
  </si>
  <si>
    <t>0771709</t>
  </si>
  <si>
    <t>08436565583764</t>
  </si>
  <si>
    <t>METROVIS 100 MG COMPRIMES POUR CHIENS ET CHATS</t>
  </si>
  <si>
    <t>0701709</t>
  </si>
  <si>
    <t>08436565583771</t>
  </si>
  <si>
    <t>METROVIS 250 MG COMPRIMES POUR CHIENS ET CHATS</t>
  </si>
  <si>
    <t>0730709</t>
  </si>
  <si>
    <t>08436565583788</t>
  </si>
  <si>
    <t>Boîte de 10 plaquettes thermoformées de 8 comprimés quadrisécables</t>
  </si>
  <si>
    <t>METROVIS 750 MG COMPRIMES POUR CHIENS</t>
  </si>
  <si>
    <t>0669799</t>
  </si>
  <si>
    <t>03760087153200</t>
  </si>
  <si>
    <t>DOXYCARE 40 MG COMPRIMES POUR CHATS ET CHIENS</t>
  </si>
  <si>
    <t>0698799</t>
  </si>
  <si>
    <t>03760087153217</t>
  </si>
  <si>
    <t>DOXYCARE 200 MG COMPRIMES POUR CHATS ET CHIENS</t>
  </si>
  <si>
    <t>0694789</t>
  </si>
  <si>
    <t>AMPHEN 200 MG/G GRANULES POUR ADMINISTRATION DANS L'EAU DE BOISSON POUR PORCS</t>
  </si>
  <si>
    <t>0685779</t>
  </si>
  <si>
    <t>04150156233275</t>
  </si>
  <si>
    <t>Boîte de 2 plaquettes thermoformées de 1 pipette de 1 mL</t>
  </si>
  <si>
    <t>NEPTRA SOLUTION EN GOUTTES AURICULAIRES POUR CHIENS</t>
  </si>
  <si>
    <t>16,70</t>
  </si>
  <si>
    <t>04150156233336</t>
  </si>
  <si>
    <t>Boîte de 10 plaquettes thermoformées de 1 pipette de 1 mL</t>
  </si>
  <si>
    <t>0698729</t>
  </si>
  <si>
    <t>08009722014311</t>
  </si>
  <si>
    <t>Boîte de 1 flacon contenant 66,6 g de poudre permettant d’obtenir 100 mL de suspension reconstituée et 1 seringue de 5 mL</t>
  </si>
  <si>
    <t>TSEFALEN 50 MG/ML POUDRE POUR SUSPENSION BUVABLE POUR CHIENS DE 20 KG MAXIMUM ET POUR CHATS</t>
  </si>
  <si>
    <t>0668709</t>
  </si>
  <si>
    <t>08714377382028</t>
  </si>
  <si>
    <t>BIOTILINA 100 MG/G PREMELANGE MEDICAMENTEUX POUR PORCINS ET LAPINS</t>
  </si>
  <si>
    <t>0656709</t>
  </si>
  <si>
    <t>03597133090222</t>
  </si>
  <si>
    <t>TULISSIN 25 MG/ML SOLUTION INJECTABLE POUR PORCINS</t>
  </si>
  <si>
    <t>03597133090239</t>
  </si>
  <si>
    <t>03597133090253</t>
  </si>
  <si>
    <t>Boîte de 1 flacon de 250 mL (sans gaine de protection)</t>
  </si>
  <si>
    <t>0685709</t>
  </si>
  <si>
    <t>03597133090017</t>
  </si>
  <si>
    <t>TULISSIN 100 MG/ML SOLUTION INJECTABLE POUR BOVINS PORCINS ET OVINS</t>
  </si>
  <si>
    <t>03597133090000</t>
  </si>
  <si>
    <t>03597133090048</t>
  </si>
  <si>
    <t>Boîte de 1 flacon de 250 mL avec gaine de protection</t>
  </si>
  <si>
    <t>03411113061289</t>
  </si>
  <si>
    <t>03411113078751</t>
  </si>
  <si>
    <t>0579789</t>
  </si>
  <si>
    <t>03605874596948</t>
  </si>
  <si>
    <t>LYDAXX 100 MG/ML SOLUTION INJECTABLE POUR BOVINS PORCINS ET OVINS</t>
  </si>
  <si>
    <t>03605874596955</t>
  </si>
  <si>
    <t>03605874596962</t>
  </si>
  <si>
    <t>0558779</t>
  </si>
  <si>
    <t>05414736050683</t>
  </si>
  <si>
    <t>05414736050690</t>
  </si>
  <si>
    <t>05414736050706</t>
  </si>
  <si>
    <t>0566769</t>
  </si>
  <si>
    <t>05023534033738</t>
  </si>
  <si>
    <t>Boîte de 24 seringues pour administration intramammaire et de 24 serviettes nettoyantes</t>
  </si>
  <si>
    <t>0542769</t>
  </si>
  <si>
    <t>03411113039547</t>
  </si>
  <si>
    <t>TULAVEN 25 MG/ML SOLUTION INJECTABLE POUR PORCINS</t>
  </si>
  <si>
    <t>03411113039585</t>
  </si>
  <si>
    <t>0571769</t>
  </si>
  <si>
    <t>03411113044312</t>
  </si>
  <si>
    <t>TULAVEN 100 MG/ML SOLUTION INJECTABLE POUR BOVINS PORCINS ET OVINS</t>
  </si>
  <si>
    <t>03411113044527</t>
  </si>
  <si>
    <t>03411113044541</t>
  </si>
  <si>
    <t>03411113044558</t>
  </si>
  <si>
    <t>Boîte de 1 flacon de 500 mL (Bovins uniquement)</t>
  </si>
  <si>
    <t>0557759</t>
  </si>
  <si>
    <t>05420041502977</t>
  </si>
  <si>
    <t>TULINOVET 100 MG/ML SOLUTION INJECTABLE POUR BOVINS PORCINS ET OVINS</t>
  </si>
  <si>
    <t>05420041502984</t>
  </si>
  <si>
    <t>05420041502991</t>
  </si>
  <si>
    <t>05420041503004</t>
  </si>
  <si>
    <t>0536749</t>
  </si>
  <si>
    <t>05391510236795</t>
  </si>
  <si>
    <t>MACROSYN 100 MG/ML SOLUTION INJECTABLE POUR BOVINS, PORCINS ET OVINS</t>
  </si>
  <si>
    <t>05391510236801</t>
  </si>
  <si>
    <t>0570749</t>
  </si>
  <si>
    <t>03760087153453</t>
  </si>
  <si>
    <t>CITRAMOX L.A. 150 MG/ML SUSPENSION INJECTABLE POUR BOVINS ET PORCINS</t>
  </si>
  <si>
    <t>03760087153460</t>
  </si>
  <si>
    <t>0518729</t>
  </si>
  <si>
    <t>03661729022864</t>
  </si>
  <si>
    <t>AURICULO-CANIS GOUTTES AURICULAIRES ET SUSPENSION CUTANEE POUR CHIENS ET CHATS</t>
  </si>
  <si>
    <t>0529709</t>
  </si>
  <si>
    <t>05420036952671</t>
  </si>
  <si>
    <t>INCREXXA 25 MG/ML SOLUTION INJECTABLE POUR PORCINS</t>
  </si>
  <si>
    <t>0558709</t>
  </si>
  <si>
    <t>05420036951773</t>
  </si>
  <si>
    <t>INCREXXA 100 MG/ML SOLUTION INJECTABLE POUR BOVINS PORCINS ET OVINS</t>
  </si>
  <si>
    <t>05420036952572</t>
  </si>
  <si>
    <t>0413799</t>
  </si>
  <si>
    <t>05907443486956</t>
  </si>
  <si>
    <t>FORESPIX 100 MG/ML, SOLUTION INJECTABLE POUR BOVINS, PORCINS ET OVINS</t>
  </si>
  <si>
    <t>05907443486963</t>
  </si>
  <si>
    <t>05907443486970</t>
  </si>
  <si>
    <t>0465779</t>
  </si>
  <si>
    <t>03760087153491</t>
  </si>
  <si>
    <t>BIOCLAMOX 50/12,5 MG COMPRIMES POUR CHIENS ET CHATS</t>
  </si>
  <si>
    <t>0494779</t>
  </si>
  <si>
    <t>03760087153507</t>
  </si>
  <si>
    <t>BIOCLAMOX 250/62,5 MG COMPRIMES POUR CHIENS ET CHATS</t>
  </si>
  <si>
    <t>0424779</t>
  </si>
  <si>
    <t>03760087153606</t>
  </si>
  <si>
    <t>BIOCLAMOX 500/125 MG COMPRIMES POUR CHIENS</t>
  </si>
  <si>
    <t>0461769</t>
  </si>
  <si>
    <t>03661753163984</t>
  </si>
  <si>
    <t>Sachet zippé de 1 kg</t>
  </si>
  <si>
    <t>HUVAMOX 697 MG/G POUDRE POUR ADMINISTRATION DANS L’EAU DE BOISSON POUR POULES, DINDES, CANARDS ET PORCS</t>
  </si>
  <si>
    <t>0422739</t>
  </si>
  <si>
    <t>08714377380987</t>
  </si>
  <si>
    <t>PULMOVET 250 MG/ML SOLUTION POUR ADMINISTRATION DANS L'EAU DE BOISSON OU LE LAIT DE REMPLACEMENT POUR BOVINS, PORCINS, POULETS ET DINDES</t>
  </si>
  <si>
    <t>Dinde, Porcins, Poules, Veau</t>
  </si>
  <si>
    <t>08714377380994</t>
  </si>
  <si>
    <t>0410739</t>
  </si>
  <si>
    <t>03838989735098</t>
  </si>
  <si>
    <t>Boîte de 10 plaquettes de 10 comprimés à croquer</t>
  </si>
  <si>
    <t>CLADAXXA 40 MG/10 MG COMPRIMES A CROQUER POUR CHATS ET CHIENS</t>
  </si>
  <si>
    <t>0449729</t>
  </si>
  <si>
    <t>03838989735128</t>
  </si>
  <si>
    <t>CLADAXXA 200 MG/50 MG COMPRIMES A CROQUER POUR CHATS ET CHIENS</t>
  </si>
  <si>
    <t>0478729</t>
  </si>
  <si>
    <t>03838989735135</t>
  </si>
  <si>
    <t>Boîte de 10 plaquettes de 6 comprimés à croquer</t>
  </si>
  <si>
    <t>CLADAXXA 400 MG/100 MG COMPRIMES A CROQUER POUR CHIENS</t>
  </si>
  <si>
    <t>0408729</t>
  </si>
  <si>
    <t>03838989732196</t>
  </si>
  <si>
    <t>TWINOX 40 MG/10 MG COMPRIMES A CROQUER POUR CHATS ET CHIENS</t>
  </si>
  <si>
    <t>0437729</t>
  </si>
  <si>
    <t>03838989732202</t>
  </si>
  <si>
    <t>TWINOX 200 MG/50 MG COMPRIMES A CROQUER POUR CHATS ET CHIENS</t>
  </si>
  <si>
    <t>0466729</t>
  </si>
  <si>
    <t>03838989732219</t>
  </si>
  <si>
    <t>TWINOX 400 MG/100 MG COMPRIMES A CROQUER POUR CHIENS</t>
  </si>
  <si>
    <t>0377739</t>
  </si>
  <si>
    <t>03411113071691</t>
  </si>
  <si>
    <t>TULAPRO 100 MG/ML SOLUTION INJECTABLE POUR BOVINS, PORCINS ET OVINS</t>
  </si>
  <si>
    <t>03411113071707</t>
  </si>
  <si>
    <t>03411113071714</t>
  </si>
  <si>
    <t>0307739</t>
  </si>
  <si>
    <t>03411113071721</t>
  </si>
  <si>
    <t>TULAPRO 25 MG/ML SOLUTION INJECTABLE POUR PORCINS</t>
  </si>
  <si>
    <t>0396709</t>
  </si>
  <si>
    <t>08714377382998</t>
  </si>
  <si>
    <t>AVIPEN</t>
  </si>
  <si>
    <t>Poule pondeuse, Poules</t>
  </si>
  <si>
    <t>1465</t>
  </si>
  <si>
    <t>08714377382882</t>
  </si>
  <si>
    <r>
      <rPr>
        <b/>
        <u/>
        <sz val="14"/>
        <color theme="9" tint="-0.499984740745262"/>
        <rFont val="Arial Narrow"/>
        <family val="2"/>
      </rPr>
      <t>Étape 2 - imprimer : Un récapitulatif global de l'utilisation des antibiotiques</t>
    </r>
    <r>
      <rPr>
        <sz val="11"/>
        <color theme="1"/>
        <rFont val="Arial Narrow"/>
        <family val="2"/>
      </rPr>
      <t xml:space="preserve">
L'Étape 2 se génère automatiquement. Cette étape est divisée en plusieurs onglets en fonction de l'unité renseignée dans la première étape. L'onglet 'Etape 2 - par animal' rassemblera la synthèse des traitements réalisés sur les animaux traités par animal. L'onglet 'Etape 2 - par lot' rassemblera la synthèse des traitements réalisés sur les animaux traités par lots. L'onglet 'Etape 2 - par kg' rassemblera la synthèse des traitements réalisés sur les animaux traités par kg. 
Ces onglets correspondent à la partie imprimable de l'outil. Les taux de traitement sont résumés en fonction de différents critères et peuvent être modulés grâce à des listes déroulantes. 
C'est maintenant à votre tour, analysez ces résultats en comparant d'autres données de votre exploitation afin de comprendre votre utilisation des antibiotiques (conditions météorologiques, évènement particulier sur l'exploitation... etc.).Il est vivement recommandé de réaliser un fichier par année étudiée. La comparaison pourra ainsi se faire plus précisémment. 
</t>
    </r>
    <r>
      <rPr>
        <b/>
        <sz val="8"/>
        <color theme="1"/>
        <rFont val="Arial Narrow"/>
        <family val="2"/>
      </rPr>
      <t xml:space="preserve">
</t>
    </r>
    <r>
      <rPr>
        <b/>
        <sz val="11"/>
        <color theme="1"/>
        <rFont val="Arial Narrow"/>
        <family val="2"/>
      </rPr>
      <t>Pour toute remarque sur cet outil,</t>
    </r>
    <r>
      <rPr>
        <sz val="11"/>
        <color theme="1"/>
        <rFont val="Arial Narrow"/>
        <family val="2"/>
      </rPr>
      <t xml:space="preserve"> n'hésitez pas à contacter: anne.maksud@bergerie-nationale.fr
</t>
    </r>
    <r>
      <rPr>
        <sz val="8"/>
        <color theme="1"/>
        <rFont val="Arial Narrow"/>
        <family val="2"/>
      </rPr>
      <t xml:space="preserve">
</t>
    </r>
    <r>
      <rPr>
        <sz val="10"/>
        <color theme="5" tint="-0.249977111117893"/>
        <rFont val="Arial Narrow"/>
        <family val="2"/>
      </rPr>
      <t xml:space="preserve">Outil initié par Marina Cholton (2018), construit et développé par Gwladys Estève (2019-2022) et déployé par Anne Masksud (2022-...).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</si>
</sst>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0.0000000"/>
  </numFmts>
  <fonts count="86" x14ac:knownFonts="1">
    <font>
      <sz val="11"/>
      <color theme="1"/>
      <name val="Calibri"/>
      <family val="2"/>
      <scheme val="minor"/>
    </font>
    <font>
      <sz val="8"/>
      <name val="Calibri"/>
      <family val="2"/>
    </font>
    <font>
      <b/>
      <sz val="11"/>
      <color indexed="8"/>
      <name val="Arial"/>
      <family val="2"/>
    </font>
    <font>
      <sz val="11"/>
      <color indexed="8"/>
      <name val="Arial"/>
      <family val="2"/>
    </font>
    <font>
      <b/>
      <sz val="11"/>
      <color indexed="8"/>
      <name val="Arial Narrow"/>
      <family val="2"/>
    </font>
    <font>
      <sz val="11"/>
      <color theme="1"/>
      <name val="Arial"/>
      <family val="2"/>
    </font>
    <font>
      <sz val="36"/>
      <color theme="1"/>
      <name val="Lucida Bright"/>
      <family val="1"/>
    </font>
    <font>
      <sz val="36"/>
      <color theme="1"/>
      <name val="Lucida Sans"/>
      <family val="2"/>
    </font>
    <font>
      <b/>
      <sz val="11"/>
      <color theme="9" tint="-0.499984740745262"/>
      <name val="Arial Narrow"/>
      <family val="2"/>
    </font>
    <font>
      <sz val="28"/>
      <color indexed="8"/>
      <name val="Lucida Sans"/>
      <family val="2"/>
    </font>
    <font>
      <sz val="28"/>
      <color theme="1"/>
      <name val="Lucida Bright"/>
      <family val="1"/>
    </font>
    <font>
      <b/>
      <sz val="11"/>
      <color theme="0"/>
      <name val="Calibri"/>
      <family val="2"/>
      <scheme val="minor"/>
    </font>
    <font>
      <sz val="11"/>
      <name val="Calibri"/>
      <family val="2"/>
      <scheme val="minor"/>
    </font>
    <font>
      <sz val="11"/>
      <color theme="1"/>
      <name val="Arial Narrow"/>
      <family val="2"/>
    </font>
    <font>
      <b/>
      <sz val="11"/>
      <color theme="0"/>
      <name val="Arial Narrow"/>
      <family val="2"/>
    </font>
    <font>
      <b/>
      <sz val="11"/>
      <color theme="1"/>
      <name val="Arial Narrow"/>
      <family val="2"/>
    </font>
    <font>
      <sz val="11"/>
      <name val="Arial Narrow"/>
      <family val="2"/>
    </font>
    <font>
      <b/>
      <sz val="11"/>
      <name val="Arial Narrow"/>
      <family val="2"/>
    </font>
    <font>
      <sz val="10"/>
      <name val="Arial Narrow"/>
      <family val="2"/>
    </font>
    <font>
      <sz val="11"/>
      <color theme="0"/>
      <name val="Arial Narrow"/>
      <family val="2"/>
    </font>
    <font>
      <sz val="32"/>
      <color indexed="8"/>
      <name val="Arial Narrow"/>
      <family val="2"/>
    </font>
    <font>
      <sz val="12"/>
      <color theme="1"/>
      <name val="Arial Narrow"/>
      <family val="2"/>
    </font>
    <font>
      <sz val="10"/>
      <color theme="1"/>
      <name val="Arial Narrow"/>
      <family val="2"/>
    </font>
    <font>
      <b/>
      <sz val="10"/>
      <name val="Arial Narrow"/>
      <family val="2"/>
    </font>
    <font>
      <sz val="48"/>
      <color indexed="8"/>
      <name val="Arial Narrow"/>
      <family val="2"/>
    </font>
    <font>
      <sz val="10"/>
      <color indexed="8"/>
      <name val="Arial Narrow"/>
      <family val="2"/>
    </font>
    <font>
      <i/>
      <sz val="11"/>
      <color theme="1"/>
      <name val="Arial Narrow"/>
      <family val="2"/>
    </font>
    <font>
      <b/>
      <sz val="12"/>
      <color theme="1"/>
      <name val="Arial Narrow"/>
      <family val="2"/>
    </font>
    <font>
      <b/>
      <sz val="11"/>
      <color theme="1"/>
      <name val="Calibri"/>
      <family val="2"/>
      <scheme val="minor"/>
    </font>
    <font>
      <i/>
      <sz val="16"/>
      <color theme="1"/>
      <name val="Lucida Sans"/>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u/>
      <sz val="14"/>
      <color theme="9" tint="-0.499984740745262"/>
      <name val="Arial Narrow"/>
      <family val="2"/>
    </font>
    <font>
      <sz val="32"/>
      <name val="Arial Narrow"/>
      <family val="2"/>
    </font>
    <font>
      <sz val="36"/>
      <name val="Arial Narrow"/>
      <family val="2"/>
    </font>
    <font>
      <b/>
      <sz val="22"/>
      <color theme="9" tint="-0.499984740745262"/>
      <name val="Calibri"/>
      <family val="2"/>
      <scheme val="minor"/>
    </font>
    <font>
      <u/>
      <sz val="10"/>
      <name val="Arial Narrow"/>
      <family val="2"/>
    </font>
    <font>
      <sz val="9"/>
      <color theme="1"/>
      <name val="Arial Narrow"/>
      <family val="2"/>
    </font>
    <font>
      <sz val="36"/>
      <color theme="0"/>
      <name val="Arial Narrow"/>
      <family val="2"/>
    </font>
    <font>
      <sz val="8"/>
      <name val="Calibri"/>
      <family val="2"/>
      <scheme val="minor"/>
    </font>
    <font>
      <b/>
      <sz val="10"/>
      <color theme="1"/>
      <name val="Arial Narrow"/>
      <family val="2"/>
    </font>
    <font>
      <sz val="14"/>
      <color theme="1"/>
      <name val="Arial Narrow"/>
      <family val="2"/>
    </font>
    <font>
      <sz val="28"/>
      <color indexed="8"/>
      <name val="Lucida Bright"/>
      <family val="2"/>
    </font>
    <font>
      <i/>
      <sz val="16"/>
      <color rgb="FF000000"/>
      <name val="Lucida Sans"/>
      <family val="2"/>
    </font>
    <font>
      <i/>
      <sz val="16"/>
      <color rgb="FF000000"/>
      <name val="Lucida Bright"/>
      <family val="1"/>
    </font>
    <font>
      <b/>
      <sz val="16"/>
      <color theme="1"/>
      <name val="Calibri"/>
      <family val="2"/>
      <scheme val="minor"/>
    </font>
    <font>
      <sz val="20"/>
      <color indexed="8"/>
      <name val="Arial Narrow"/>
      <family val="2"/>
    </font>
    <font>
      <i/>
      <sz val="14"/>
      <color rgb="FF000000"/>
      <name val="Arial Narrow"/>
      <family val="2"/>
    </font>
    <font>
      <b/>
      <sz val="10"/>
      <color theme="9" tint="-0.499984740745262"/>
      <name val="Arial Narrow"/>
      <family val="2"/>
    </font>
    <font>
      <sz val="9"/>
      <name val="Arial Narrow"/>
      <family val="2"/>
    </font>
    <font>
      <sz val="8"/>
      <color theme="1"/>
      <name val="Arial Narrow"/>
      <family val="2"/>
    </font>
    <font>
      <b/>
      <sz val="8"/>
      <color theme="0"/>
      <name val="Arial Narrow"/>
      <family val="2"/>
    </font>
    <font>
      <b/>
      <sz val="9"/>
      <color theme="0"/>
      <name val="Arial Narrow"/>
      <family val="2"/>
    </font>
    <font>
      <i/>
      <sz val="12"/>
      <color theme="1"/>
      <name val="Arial Narrow"/>
      <family val="2"/>
    </font>
    <font>
      <sz val="8"/>
      <color theme="1"/>
      <name val="Arial"/>
      <family val="2"/>
    </font>
    <font>
      <sz val="10"/>
      <name val="Arial"/>
      <family val="2"/>
    </font>
    <font>
      <b/>
      <sz val="14"/>
      <color theme="1"/>
      <name val="Calibri"/>
      <family val="2"/>
      <scheme val="minor"/>
    </font>
    <font>
      <b/>
      <i/>
      <sz val="11"/>
      <color theme="9" tint="-0.499984740745262"/>
      <name val="Arial Narrow"/>
      <family val="2"/>
    </font>
    <font>
      <b/>
      <sz val="8"/>
      <color theme="9" tint="-0.499984740745262"/>
      <name val="Arial Narrow"/>
      <family val="2"/>
    </font>
    <font>
      <u/>
      <sz val="14"/>
      <color theme="1"/>
      <name val="Arial Narrow"/>
      <family val="2"/>
    </font>
    <font>
      <i/>
      <sz val="12"/>
      <color rgb="FF000000"/>
      <name val="Lucida Sans"/>
      <family val="2"/>
    </font>
    <font>
      <b/>
      <sz val="16"/>
      <color theme="0"/>
      <name val="Arial Narrow"/>
      <family val="2"/>
    </font>
    <font>
      <b/>
      <sz val="8"/>
      <color indexed="8"/>
      <name val="Arial Narrow"/>
      <family val="2"/>
    </font>
    <font>
      <sz val="10.5"/>
      <color theme="1"/>
      <name val="Arial Narrow"/>
      <family val="2"/>
    </font>
    <font>
      <b/>
      <sz val="10"/>
      <color theme="0"/>
      <name val="Arial Narrow"/>
      <family val="2"/>
    </font>
    <font>
      <u/>
      <sz val="12"/>
      <color rgb="FFFF0000"/>
      <name val="Arial Narrow"/>
      <family val="2"/>
    </font>
    <font>
      <b/>
      <sz val="8"/>
      <color theme="1"/>
      <name val="Arial Narrow"/>
      <family val="2"/>
    </font>
    <font>
      <sz val="28"/>
      <color theme="1"/>
      <name val="Lucida Sans"/>
      <family val="2"/>
    </font>
    <font>
      <sz val="10"/>
      <color theme="5" tint="-0.249977111117893"/>
      <name val="Arial Narrow"/>
      <family val="2"/>
    </font>
    <font>
      <b/>
      <sz val="8"/>
      <color theme="0"/>
      <name val="Calibri"/>
      <family val="2"/>
      <scheme val="minor"/>
    </font>
    <font>
      <u/>
      <sz val="14"/>
      <color rgb="FFFF0000"/>
      <name val="Arial Narrow"/>
      <family val="2"/>
    </font>
    <font>
      <sz val="13"/>
      <color theme="1"/>
      <name val="Arial Narrow"/>
      <family val="2"/>
    </font>
    <font>
      <u/>
      <sz val="16"/>
      <color rgb="FFFF0000"/>
      <name val="Arial Narrow"/>
      <family val="2"/>
    </font>
  </fonts>
  <fills count="42">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lightUp">
        <fgColor theme="0" tint="-0.24994659260841701"/>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5" tint="-0.499984740745262"/>
        <bgColor indexed="64"/>
      </patternFill>
    </fill>
    <fill>
      <patternFill patternType="lightUp">
        <fgColor theme="0" tint="-0.14996795556505021"/>
        <bgColor theme="0"/>
      </patternFill>
    </fill>
    <fill>
      <patternFill patternType="solid">
        <fgColor theme="4"/>
        <bgColor indexed="64"/>
      </patternFill>
    </fill>
    <fill>
      <patternFill patternType="solid">
        <fgColor theme="2" tint="-0.749992370372631"/>
        <bgColor indexed="64"/>
      </patternFill>
    </fill>
    <fill>
      <patternFill patternType="solid">
        <fgColor theme="6" tint="-0.499984740745262"/>
        <bgColor indexed="64"/>
      </patternFill>
    </fill>
  </fills>
  <borders count="13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dotted">
        <color theme="9" tint="-0.499984740745262"/>
      </left>
      <right style="dotted">
        <color theme="9" tint="-0.499984740745262"/>
      </right>
      <top style="dotted">
        <color theme="9" tint="-0.499984740745262"/>
      </top>
      <bottom style="dotted">
        <color theme="9" tint="-0.499984740745262"/>
      </bottom>
      <diagonal/>
    </border>
    <border>
      <left/>
      <right/>
      <top style="medium">
        <color theme="9" tint="-0.499984740745262"/>
      </top>
      <bottom/>
      <diagonal/>
    </border>
    <border>
      <left/>
      <right/>
      <top style="medium">
        <color theme="9" tint="-0.499984740745262"/>
      </top>
      <bottom style="medium">
        <color theme="9" tint="-0.4999847407452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theme="9" tint="-0.499984740745262"/>
      </right>
      <top style="medium">
        <color theme="9" tint="-0.499984740745262"/>
      </top>
      <bottom style="dotted">
        <color theme="9" tint="-0.499984740745262"/>
      </bottom>
      <diagonal/>
    </border>
    <border>
      <left/>
      <right/>
      <top style="medium">
        <color theme="9" tint="-0.499984740745262"/>
      </top>
      <bottom style="dotted">
        <color theme="9" tint="-0.49998474074526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medium">
        <color theme="9" tint="-0.499984740745262"/>
      </right>
      <top style="medium">
        <color theme="9" tint="-0.499984740745262"/>
      </top>
      <bottom style="medium">
        <color theme="9" tint="-0.499984740745262"/>
      </bottom>
      <diagonal/>
    </border>
    <border>
      <left style="medium">
        <color theme="9" tint="-0.499984740745262"/>
      </left>
      <right/>
      <top style="medium">
        <color theme="9" tint="-0.499984740745262"/>
      </top>
      <bottom style="medium">
        <color theme="9" tint="-0.499984740745262"/>
      </bottom>
      <diagonal/>
    </border>
    <border>
      <left style="thin">
        <color indexed="64"/>
      </left>
      <right/>
      <top style="thin">
        <color indexed="64"/>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theme="5" tint="-0.499984740745262"/>
      </left>
      <right/>
      <top style="medium">
        <color theme="5" tint="-0.499984740745262"/>
      </top>
      <bottom style="dotted">
        <color auto="1"/>
      </bottom>
      <diagonal/>
    </border>
    <border>
      <left/>
      <right style="medium">
        <color theme="5" tint="-0.499984740745262"/>
      </right>
      <top style="medium">
        <color theme="5" tint="-0.499984740745262"/>
      </top>
      <bottom style="dotted">
        <color auto="1"/>
      </bottom>
      <diagonal/>
    </border>
    <border>
      <left style="medium">
        <color theme="5" tint="-0.499984740745262"/>
      </left>
      <right/>
      <top style="dotted">
        <color auto="1"/>
      </top>
      <bottom style="medium">
        <color theme="5" tint="-0.499984740745262"/>
      </bottom>
      <diagonal/>
    </border>
    <border>
      <left/>
      <right style="medium">
        <color theme="5" tint="-0.499984740745262"/>
      </right>
      <top style="dotted">
        <color auto="1"/>
      </top>
      <bottom style="medium">
        <color theme="5" tint="-0.499984740745262"/>
      </bottom>
      <diagonal/>
    </border>
    <border>
      <left style="dotted">
        <color theme="9" tint="-0.499984740745262"/>
      </left>
      <right style="dotted">
        <color theme="9" tint="-0.499984740745262"/>
      </right>
      <top style="thin">
        <color theme="5" tint="-0.499984740745262"/>
      </top>
      <bottom style="thin">
        <color theme="5" tint="-0.499984740745262"/>
      </bottom>
      <diagonal/>
    </border>
    <border>
      <left style="dotted">
        <color theme="9" tint="-0.499984740745262"/>
      </left>
      <right style="medium">
        <color theme="9" tint="-0.499984740745262"/>
      </right>
      <top style="thin">
        <color theme="5" tint="-0.499984740745262"/>
      </top>
      <bottom style="thin">
        <color theme="5" tint="-0.499984740745262"/>
      </bottom>
      <diagonal/>
    </border>
    <border>
      <left style="dotted">
        <color theme="9" tint="-0.499984740745262"/>
      </left>
      <right style="dotted">
        <color theme="9" tint="-0.499984740745262"/>
      </right>
      <top style="thin">
        <color theme="9" tint="-0.499984740745262"/>
      </top>
      <bottom style="thin">
        <color theme="5" tint="-0.499984740745262"/>
      </bottom>
      <diagonal/>
    </border>
    <border>
      <left style="dotted">
        <color theme="9" tint="-0.499984740745262"/>
      </left>
      <right/>
      <top style="thin">
        <color theme="5" tint="-0.499984740745262"/>
      </top>
      <bottom style="thin">
        <color theme="5" tint="-0.499984740745262"/>
      </bottom>
      <diagonal/>
    </border>
    <border>
      <left style="medium">
        <color theme="9" tint="-0.499984740745262"/>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style="thin">
        <color auto="1"/>
      </bottom>
      <diagonal/>
    </border>
    <border>
      <left style="medium">
        <color theme="9" tint="-0.499984740745262"/>
      </left>
      <right/>
      <top/>
      <bottom style="thin">
        <color indexed="64"/>
      </bottom>
      <diagonal/>
    </border>
    <border>
      <left/>
      <right/>
      <top/>
      <bottom style="thin">
        <color indexed="64"/>
      </bottom>
      <diagonal/>
    </border>
    <border>
      <left/>
      <right style="dotted">
        <color theme="9" tint="-0.499984740745262"/>
      </right>
      <top style="thin">
        <color theme="5" tint="-0.499984740745262"/>
      </top>
      <bottom style="thin">
        <color theme="5" tint="-0.499984740745262"/>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thin">
        <color indexed="64"/>
      </top>
      <bottom style="thin">
        <color auto="1"/>
      </bottom>
      <diagonal/>
    </border>
    <border>
      <left style="medium">
        <color theme="9" tint="-0.499984740745262"/>
      </left>
      <right/>
      <top style="medium">
        <color theme="9" tint="-0.499984740745262"/>
      </top>
      <bottom style="dotted">
        <color theme="9" tint="-0.499984740745262"/>
      </bottom>
      <diagonal/>
    </border>
    <border>
      <left style="medium">
        <color theme="9" tint="-0.499984740745262"/>
      </left>
      <right/>
      <top style="dotted">
        <color theme="9" tint="-0.499984740745262"/>
      </top>
      <bottom style="dotted">
        <color theme="9" tint="-0.499984740745262"/>
      </bottom>
      <diagonal/>
    </border>
    <border>
      <left/>
      <right/>
      <top style="dotted">
        <color theme="9" tint="-0.499984740745262"/>
      </top>
      <bottom style="dotted">
        <color theme="9" tint="-0.499984740745262"/>
      </bottom>
      <diagonal/>
    </border>
    <border>
      <left/>
      <right style="medium">
        <color theme="9" tint="-0.499984740745262"/>
      </right>
      <top style="dotted">
        <color theme="9" tint="-0.499984740745262"/>
      </top>
      <bottom style="dotted">
        <color theme="9" tint="-0.499984740745262"/>
      </bottom>
      <diagonal/>
    </border>
    <border>
      <left style="medium">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medium">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medium">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dotted">
        <color theme="9" tint="-0.499984740745262"/>
      </right>
      <top style="thin">
        <color theme="5" tint="-0.499984740745262"/>
      </top>
      <bottom style="medium">
        <color indexed="64"/>
      </bottom>
      <diagonal/>
    </border>
    <border>
      <left style="dotted">
        <color theme="9" tint="-0.499984740745262"/>
      </left>
      <right style="dotted">
        <color theme="9" tint="-0.499984740745262"/>
      </right>
      <top style="thin">
        <color theme="5" tint="-0.499984740745262"/>
      </top>
      <bottom style="medium">
        <color indexed="64"/>
      </bottom>
      <diagonal/>
    </border>
    <border>
      <left style="dotted">
        <color theme="9" tint="-0.499984740745262"/>
      </left>
      <right/>
      <top style="thin">
        <color theme="5" tint="-0.499984740745262"/>
      </top>
      <bottom style="medium">
        <color indexed="64"/>
      </bottom>
      <diagonal/>
    </border>
    <border>
      <left style="dotted">
        <color theme="9" tint="-0.499984740745262"/>
      </left>
      <right style="medium">
        <color theme="9" tint="-0.499984740745262"/>
      </right>
      <top style="thin">
        <color theme="5" tint="-0.499984740745262"/>
      </top>
      <bottom style="medium">
        <color indexed="64"/>
      </bottom>
      <diagonal/>
    </border>
    <border>
      <left style="medium">
        <color theme="9" tint="-0.499984740745262"/>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right style="dotted">
        <color theme="9" tint="-0.499984740745262"/>
      </right>
      <top/>
      <bottom style="thin">
        <color theme="5" tint="-0.499984740745262"/>
      </bottom>
      <diagonal/>
    </border>
    <border>
      <left style="dotted">
        <color theme="9" tint="-0.499984740745262"/>
      </left>
      <right style="dotted">
        <color theme="9" tint="-0.499984740745262"/>
      </right>
      <top/>
      <bottom style="thin">
        <color theme="5" tint="-0.499984740745262"/>
      </bottom>
      <diagonal/>
    </border>
    <border>
      <left style="dotted">
        <color theme="9" tint="-0.499984740745262"/>
      </left>
      <right/>
      <top/>
      <bottom style="thin">
        <color theme="5" tint="-0.499984740745262"/>
      </bottom>
      <diagonal/>
    </border>
    <border>
      <left style="dotted">
        <color theme="9" tint="-0.499984740745262"/>
      </left>
      <right style="medium">
        <color theme="9" tint="-0.499984740745262"/>
      </right>
      <top/>
      <bottom style="thin">
        <color theme="5" tint="-0.499984740745262"/>
      </bottom>
      <diagonal/>
    </border>
    <border>
      <left style="medium">
        <color indexed="64"/>
      </left>
      <right style="dotted">
        <color theme="9" tint="-0.499984740745262"/>
      </right>
      <top style="medium">
        <color indexed="64"/>
      </top>
      <bottom style="medium">
        <color indexed="64"/>
      </bottom>
      <diagonal/>
    </border>
    <border>
      <left style="dotted">
        <color theme="9" tint="-0.499984740745262"/>
      </left>
      <right style="dotted">
        <color theme="9" tint="-0.499984740745262"/>
      </right>
      <top style="medium">
        <color indexed="64"/>
      </top>
      <bottom style="medium">
        <color indexed="64"/>
      </bottom>
      <diagonal/>
    </border>
    <border>
      <left style="dotted">
        <color theme="9" tint="-0.499984740745262"/>
      </left>
      <right/>
      <top style="medium">
        <color indexed="64"/>
      </top>
      <bottom style="medium">
        <color indexed="64"/>
      </bottom>
      <diagonal/>
    </border>
    <border>
      <left style="dotted">
        <color theme="9" tint="-0.499984740745262"/>
      </left>
      <right style="medium">
        <color theme="9" tint="-0.499984740745262"/>
      </right>
      <top style="medium">
        <color indexed="64"/>
      </top>
      <bottom style="medium">
        <color indexed="64"/>
      </bottom>
      <diagonal/>
    </border>
    <border>
      <left style="medium">
        <color theme="9" tint="-0.499984740745262"/>
      </left>
      <right/>
      <top style="medium">
        <color indexed="64"/>
      </top>
      <bottom style="medium">
        <color indexed="64"/>
      </bottom>
      <diagonal/>
    </border>
    <border>
      <left style="medium">
        <color theme="5" tint="-0.499984740745262"/>
      </left>
      <right/>
      <top style="medium">
        <color theme="5" tint="-0.499984740745262"/>
      </top>
      <bottom style="dotted">
        <color theme="9" tint="-0.499984740745262"/>
      </bottom>
      <diagonal/>
    </border>
    <border>
      <left/>
      <right/>
      <top style="medium">
        <color theme="5" tint="-0.499984740745262"/>
      </top>
      <bottom style="dotted">
        <color theme="9" tint="-0.499984740745262"/>
      </bottom>
      <diagonal/>
    </border>
    <border>
      <left/>
      <right style="medium">
        <color theme="5" tint="-0.499984740745262"/>
      </right>
      <top style="medium">
        <color theme="5" tint="-0.499984740745262"/>
      </top>
      <bottom style="dotted">
        <color theme="9" tint="-0.499984740745262"/>
      </bottom>
      <diagonal/>
    </border>
    <border>
      <left style="medium">
        <color theme="5" tint="-0.499984740745262"/>
      </left>
      <right/>
      <top style="dotted">
        <color theme="9" tint="-0.499984740745262"/>
      </top>
      <bottom style="medium">
        <color theme="5" tint="-0.499984740745262"/>
      </bottom>
      <diagonal/>
    </border>
    <border>
      <left/>
      <right/>
      <top style="dotted">
        <color theme="9" tint="-0.499984740745262"/>
      </top>
      <bottom style="medium">
        <color theme="5" tint="-0.499984740745262"/>
      </bottom>
      <diagonal/>
    </border>
    <border>
      <left/>
      <right style="medium">
        <color theme="5" tint="-0.499984740745262"/>
      </right>
      <top style="dotted">
        <color theme="9" tint="-0.499984740745262"/>
      </top>
      <bottom style="medium">
        <color theme="5" tint="-0.499984740745262"/>
      </bottom>
      <diagonal/>
    </border>
    <border>
      <left style="dotted">
        <color indexed="64"/>
      </left>
      <right style="thin">
        <color indexed="64"/>
      </right>
      <top style="thin">
        <color indexed="64"/>
      </top>
      <bottom style="thin">
        <color indexed="64"/>
      </bottom>
      <diagonal/>
    </border>
    <border>
      <left style="dotted">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theme="9" tint="-0.499984740745262"/>
      </left>
      <right/>
      <top style="dotted">
        <color theme="9" tint="-0.499984740745262"/>
      </top>
      <bottom style="thin">
        <color indexed="64"/>
      </bottom>
      <diagonal/>
    </border>
    <border>
      <left/>
      <right/>
      <top style="dotted">
        <color theme="9" tint="-0.499984740745262"/>
      </top>
      <bottom style="thin">
        <color indexed="64"/>
      </bottom>
      <diagonal/>
    </border>
    <border>
      <left/>
      <right style="medium">
        <color theme="9" tint="-0.499984740745262"/>
      </right>
      <top style="dotted">
        <color theme="9" tint="-0.499984740745262"/>
      </top>
      <bottom style="thin">
        <color indexed="64"/>
      </bottom>
      <diagonal/>
    </border>
    <border>
      <left style="dotted">
        <color indexed="64"/>
      </left>
      <right style="dotted">
        <color indexed="64"/>
      </right>
      <top style="medium">
        <color indexed="64"/>
      </top>
      <bottom/>
      <diagonal/>
    </border>
    <border>
      <left style="medium">
        <color indexed="64"/>
      </left>
      <right/>
      <top style="thin">
        <color indexed="64"/>
      </top>
      <bottom style="thin">
        <color indexed="64"/>
      </bottom>
      <diagonal/>
    </border>
    <border>
      <left/>
      <right style="dotted">
        <color indexed="64"/>
      </right>
      <top style="thin">
        <color indexed="64"/>
      </top>
      <bottom style="thin">
        <color indexed="64"/>
      </bottom>
      <diagonal/>
    </border>
  </borders>
  <cellStyleXfs count="44">
    <xf numFmtId="0" fontId="0" fillId="0" borderId="0"/>
    <xf numFmtId="0" fontId="31" fillId="0" borderId="0" applyNumberFormat="0" applyFill="0" applyBorder="0" applyAlignment="0" applyProtection="0"/>
    <xf numFmtId="0" fontId="32" fillId="0" borderId="19" applyNumberFormat="0" applyFill="0" applyAlignment="0" applyProtection="0"/>
    <xf numFmtId="0" fontId="33" fillId="0" borderId="20" applyNumberFormat="0" applyFill="0" applyAlignment="0" applyProtection="0"/>
    <xf numFmtId="0" fontId="34" fillId="0" borderId="21" applyNumberFormat="0" applyFill="0" applyAlignment="0" applyProtection="0"/>
    <xf numFmtId="0" fontId="34" fillId="0" borderId="0" applyNumberFormat="0" applyFill="0" applyBorder="0" applyAlignment="0" applyProtection="0"/>
    <xf numFmtId="0" fontId="35" fillId="5" borderId="0" applyNumberFormat="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22" applyNumberFormat="0" applyAlignment="0" applyProtection="0"/>
    <xf numFmtId="0" fontId="39" fillId="9" borderId="23" applyNumberFormat="0" applyAlignment="0" applyProtection="0"/>
    <xf numFmtId="0" fontId="40" fillId="9" borderId="22" applyNumberFormat="0" applyAlignment="0" applyProtection="0"/>
    <xf numFmtId="0" fontId="41" fillId="0" borderId="24" applyNumberFormat="0" applyFill="0" applyAlignment="0" applyProtection="0"/>
    <xf numFmtId="0" fontId="11" fillId="10" borderId="25" applyNumberFormat="0" applyAlignment="0" applyProtection="0"/>
    <xf numFmtId="0" fontId="42" fillId="0" borderId="0" applyNumberFormat="0" applyFill="0" applyBorder="0" applyAlignment="0" applyProtection="0"/>
    <xf numFmtId="0" fontId="30" fillId="11" borderId="26" applyNumberFormat="0" applyFont="0" applyAlignment="0" applyProtection="0"/>
    <xf numFmtId="0" fontId="43" fillId="0" borderId="0" applyNumberFormat="0" applyFill="0" applyBorder="0" applyAlignment="0" applyProtection="0"/>
    <xf numFmtId="0" fontId="28" fillId="0" borderId="27" applyNumberFormat="0" applyFill="0" applyAlignment="0" applyProtection="0"/>
    <xf numFmtId="0" fontId="44"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30" fillId="33" borderId="0" applyNumberFormat="0" applyBorder="0" applyAlignment="0" applyProtection="0"/>
    <xf numFmtId="0" fontId="30" fillId="34" borderId="0" applyNumberFormat="0" applyBorder="0" applyAlignment="0" applyProtection="0"/>
    <xf numFmtId="0" fontId="44" fillId="35" borderId="0" applyNumberFormat="0" applyBorder="0" applyAlignment="0" applyProtection="0"/>
    <xf numFmtId="0" fontId="68" fillId="0" borderId="0"/>
    <xf numFmtId="9" fontId="30" fillId="0" borderId="0" applyFont="0" applyFill="0" applyBorder="0" applyAlignment="0" applyProtection="0"/>
  </cellStyleXfs>
  <cellXfs count="422">
    <xf numFmtId="0" fontId="0" fillId="0" borderId="0" xfId="0"/>
    <xf numFmtId="0" fontId="3" fillId="0" borderId="0" xfId="0" applyFont="1" applyAlignment="1">
      <alignment horizontal="center" vertical="center"/>
    </xf>
    <xf numFmtId="0" fontId="5" fillId="0" borderId="0" xfId="0" applyFont="1" applyAlignment="1">
      <alignment horizontal="center" vertical="center"/>
    </xf>
    <xf numFmtId="0" fontId="3" fillId="0" borderId="0" xfId="0" applyFont="1" applyAlignment="1">
      <alignment horizontal="center" vertical="center" wrapText="1"/>
    </xf>
    <xf numFmtId="0" fontId="5" fillId="0" borderId="0" xfId="0" applyFont="1" applyAlignment="1">
      <alignment horizontal="center"/>
    </xf>
    <xf numFmtId="0" fontId="6" fillId="0" borderId="0" xfId="0" applyFont="1" applyAlignment="1">
      <alignment vertical="center" wrapText="1"/>
    </xf>
    <xf numFmtId="0" fontId="0" fillId="2" borderId="0" xfId="0" applyFill="1"/>
    <xf numFmtId="0" fontId="0" fillId="0" borderId="0" xfId="0" applyAlignment="1">
      <alignment horizontal="center" vertical="center"/>
    </xf>
    <xf numFmtId="0" fontId="13" fillId="2" borderId="0" xfId="0" applyFont="1" applyFill="1"/>
    <xf numFmtId="0" fontId="13" fillId="2" borderId="0" xfId="0" applyFont="1" applyFill="1" applyAlignment="1">
      <alignment horizontal="center"/>
    </xf>
    <xf numFmtId="0" fontId="13" fillId="2" borderId="0" xfId="0" applyFont="1" applyFill="1" applyAlignment="1">
      <alignment wrapText="1"/>
    </xf>
    <xf numFmtId="0" fontId="15" fillId="2" borderId="0" xfId="0" applyFont="1" applyFill="1" applyAlignment="1">
      <alignment horizontal="center" vertical="center" wrapText="1"/>
    </xf>
    <xf numFmtId="0" fontId="15" fillId="2" borderId="0" xfId="0" applyFont="1" applyFill="1" applyAlignment="1" applyProtection="1">
      <alignment horizontal="center" vertical="center" wrapText="1"/>
      <protection hidden="1"/>
    </xf>
    <xf numFmtId="0" fontId="6" fillId="2" borderId="0" xfId="0" applyFont="1" applyFill="1" applyAlignment="1">
      <alignment vertical="center" wrapText="1"/>
    </xf>
    <xf numFmtId="0" fontId="0" fillId="0" borderId="0" xfId="0" applyAlignment="1">
      <alignment horizontal="right"/>
    </xf>
    <xf numFmtId="0" fontId="20" fillId="2" borderId="0" xfId="0" applyFont="1" applyFill="1" applyAlignment="1" applyProtection="1">
      <alignment horizontal="center" vertical="center" wrapText="1"/>
      <protection hidden="1"/>
    </xf>
    <xf numFmtId="0" fontId="13" fillId="2" borderId="0" xfId="0" applyFont="1" applyFill="1" applyAlignment="1" applyProtection="1">
      <alignment horizontal="center" vertical="center" wrapText="1"/>
      <protection hidden="1"/>
    </xf>
    <xf numFmtId="0" fontId="24" fillId="2" borderId="0" xfId="0" applyFont="1" applyFill="1" applyAlignment="1" applyProtection="1">
      <alignment horizontal="center" vertical="center" wrapText="1"/>
      <protection hidden="1"/>
    </xf>
    <xf numFmtId="2" fontId="15" fillId="2" borderId="0" xfId="0" applyNumberFormat="1" applyFont="1" applyFill="1" applyAlignment="1" applyProtection="1">
      <alignment horizontal="center" vertical="center" wrapText="1"/>
      <protection hidden="1"/>
    </xf>
    <xf numFmtId="0" fontId="22" fillId="2" borderId="0" xfId="0" applyFont="1" applyFill="1" applyAlignment="1" applyProtection="1">
      <alignment horizontal="center" vertical="center" wrapText="1"/>
      <protection hidden="1"/>
    </xf>
    <xf numFmtId="16" fontId="26" fillId="2" borderId="0" xfId="0" applyNumberFormat="1" applyFont="1" applyFill="1" applyAlignment="1" applyProtection="1">
      <alignment horizontal="center" vertical="center" wrapText="1"/>
      <protection hidden="1"/>
    </xf>
    <xf numFmtId="0" fontId="8" fillId="2" borderId="0" xfId="0" applyFont="1" applyFill="1" applyAlignment="1" applyProtection="1">
      <alignment horizontal="center" vertical="center" wrapText="1"/>
      <protection hidden="1"/>
    </xf>
    <xf numFmtId="2" fontId="16" fillId="2" borderId="0" xfId="0" applyNumberFormat="1" applyFont="1" applyFill="1" applyAlignment="1" applyProtection="1">
      <alignment horizontal="center" vertical="center" wrapText="1"/>
      <protection hidden="1"/>
    </xf>
    <xf numFmtId="0" fontId="8" fillId="2" borderId="0" xfId="0" applyFont="1" applyFill="1" applyAlignment="1">
      <alignment horizontal="center"/>
    </xf>
    <xf numFmtId="0" fontId="16" fillId="2" borderId="0" xfId="0" applyFont="1" applyFill="1"/>
    <xf numFmtId="0" fontId="16" fillId="2" borderId="0" xfId="0" applyFont="1" applyFill="1" applyAlignment="1">
      <alignment horizontal="center"/>
    </xf>
    <xf numFmtId="0" fontId="47" fillId="2" borderId="0" xfId="0" applyFont="1" applyFill="1" applyAlignment="1">
      <alignment vertical="center" wrapText="1"/>
    </xf>
    <xf numFmtId="0" fontId="47" fillId="2" borderId="0" xfId="0" applyFont="1" applyFill="1" applyAlignment="1">
      <alignment horizontal="center" vertical="center" wrapText="1"/>
    </xf>
    <xf numFmtId="0" fontId="18" fillId="2" borderId="0" xfId="0" applyFont="1" applyFill="1" applyAlignment="1">
      <alignment vertical="top" wrapText="1"/>
    </xf>
    <xf numFmtId="0" fontId="15" fillId="2" borderId="0" xfId="0" applyFont="1" applyFill="1" applyAlignment="1">
      <alignment horizontal="center" vertical="center"/>
    </xf>
    <xf numFmtId="0" fontId="8" fillId="2" borderId="0" xfId="0" applyFont="1" applyFill="1" applyAlignment="1" applyProtection="1">
      <alignment horizontal="center"/>
      <protection locked="0"/>
    </xf>
    <xf numFmtId="0" fontId="16" fillId="2" borderId="0" xfId="0" applyFont="1" applyFill="1" applyAlignment="1">
      <alignment wrapText="1"/>
    </xf>
    <xf numFmtId="0" fontId="8" fillId="2" borderId="0" xfId="0" applyFont="1" applyFill="1"/>
    <xf numFmtId="0" fontId="13" fillId="36" borderId="6" xfId="0" applyFont="1" applyFill="1" applyBorder="1" applyAlignment="1">
      <alignment vertical="center"/>
    </xf>
    <xf numFmtId="0" fontId="12" fillId="2" borderId="0" xfId="0" applyFont="1" applyFill="1"/>
    <xf numFmtId="0" fontId="0" fillId="0" borderId="28" xfId="0" applyBorder="1"/>
    <xf numFmtId="0" fontId="0" fillId="0" borderId="29" xfId="0" applyBorder="1"/>
    <xf numFmtId="0" fontId="0" fillId="36" borderId="28" xfId="0" applyFill="1" applyBorder="1"/>
    <xf numFmtId="0" fontId="0" fillId="36" borderId="29" xfId="0" applyFill="1" applyBorder="1"/>
    <xf numFmtId="0" fontId="19" fillId="2" borderId="0" xfId="0" applyFont="1" applyFill="1"/>
    <xf numFmtId="0" fontId="51" fillId="2" borderId="0" xfId="0" applyFont="1" applyFill="1" applyAlignment="1">
      <alignment horizontal="center" vertical="center" wrapText="1"/>
    </xf>
    <xf numFmtId="0" fontId="17" fillId="2" borderId="0" xfId="0" applyFont="1" applyFill="1" applyAlignment="1">
      <alignment vertical="top"/>
    </xf>
    <xf numFmtId="0" fontId="0" fillId="0" borderId="30" xfId="0" applyBorder="1"/>
    <xf numFmtId="0" fontId="11" fillId="0" borderId="0" xfId="0" applyFont="1"/>
    <xf numFmtId="0" fontId="13" fillId="38" borderId="1" xfId="0" applyFont="1" applyFill="1" applyBorder="1" applyAlignment="1" applyProtection="1">
      <alignment horizontal="center" vertical="center"/>
      <protection hidden="1"/>
    </xf>
    <xf numFmtId="0" fontId="16" fillId="2" borderId="1" xfId="0" applyFont="1" applyFill="1" applyBorder="1"/>
    <xf numFmtId="0" fontId="13" fillId="2" borderId="1" xfId="0" applyFont="1" applyFill="1" applyBorder="1"/>
    <xf numFmtId="0" fontId="16" fillId="2" borderId="41" xfId="0" applyFont="1" applyFill="1" applyBorder="1"/>
    <xf numFmtId="0" fontId="16" fillId="2" borderId="42" xfId="0" applyFont="1" applyFill="1" applyBorder="1"/>
    <xf numFmtId="0" fontId="16" fillId="2" borderId="43" xfId="0" applyFont="1" applyFill="1" applyBorder="1"/>
    <xf numFmtId="0" fontId="16" fillId="2" borderId="44" xfId="0" applyFont="1" applyFill="1" applyBorder="1"/>
    <xf numFmtId="0" fontId="19" fillId="2" borderId="44" xfId="0" applyFont="1" applyFill="1" applyBorder="1"/>
    <xf numFmtId="0" fontId="16" fillId="2" borderId="45" xfId="0" applyFont="1" applyFill="1" applyBorder="1"/>
    <xf numFmtId="0" fontId="16" fillId="2" borderId="1" xfId="0" applyFont="1" applyFill="1" applyBorder="1" applyAlignment="1">
      <alignment horizontal="center"/>
    </xf>
    <xf numFmtId="0" fontId="16" fillId="2" borderId="41" xfId="0" applyFont="1" applyFill="1" applyBorder="1" applyAlignment="1">
      <alignment horizontal="center"/>
    </xf>
    <xf numFmtId="0" fontId="16" fillId="2" borderId="42" xfId="0" applyFont="1" applyFill="1" applyBorder="1" applyAlignment="1">
      <alignment horizontal="center"/>
    </xf>
    <xf numFmtId="0" fontId="13" fillId="2" borderId="42" xfId="0" applyFont="1" applyFill="1" applyBorder="1"/>
    <xf numFmtId="0" fontId="16" fillId="2" borderId="44" xfId="0" applyFont="1" applyFill="1" applyBorder="1" applyAlignment="1">
      <alignment horizontal="center"/>
    </xf>
    <xf numFmtId="0" fontId="47" fillId="2" borderId="45" xfId="0" applyFont="1" applyFill="1" applyBorder="1" applyAlignment="1">
      <alignment horizontal="center" vertical="center" wrapText="1"/>
    </xf>
    <xf numFmtId="165" fontId="47" fillId="2" borderId="0" xfId="0" applyNumberFormat="1" applyFont="1" applyFill="1" applyAlignment="1">
      <alignment horizontal="center" vertical="center" wrapText="1"/>
    </xf>
    <xf numFmtId="0" fontId="8" fillId="0" borderId="0" xfId="0" applyFont="1"/>
    <xf numFmtId="0" fontId="8" fillId="2" borderId="53" xfId="0" applyFont="1" applyFill="1" applyBorder="1" applyAlignment="1" applyProtection="1">
      <alignment horizontal="center" vertical="center"/>
      <protection locked="0"/>
    </xf>
    <xf numFmtId="0" fontId="8" fillId="2" borderId="54" xfId="0" applyFont="1" applyFill="1" applyBorder="1" applyAlignment="1" applyProtection="1">
      <alignment horizontal="center" vertical="center"/>
      <protection locked="0"/>
    </xf>
    <xf numFmtId="0" fontId="0" fillId="0" borderId="31" xfId="0" applyBorder="1"/>
    <xf numFmtId="0" fontId="0" fillId="0" borderId="35" xfId="0" applyBorder="1"/>
    <xf numFmtId="0" fontId="0" fillId="0" borderId="33" xfId="0" applyBorder="1"/>
    <xf numFmtId="0" fontId="15" fillId="2" borderId="1" xfId="0" applyFont="1" applyFill="1" applyBorder="1" applyAlignment="1">
      <alignment horizontal="center" vertical="center"/>
    </xf>
    <xf numFmtId="0" fontId="0" fillId="2" borderId="18" xfId="0" applyFill="1" applyBorder="1" applyAlignment="1">
      <alignment horizontal="center"/>
    </xf>
    <xf numFmtId="0" fontId="0" fillId="2" borderId="0" xfId="0" applyFill="1" applyAlignment="1">
      <alignment horizontal="center"/>
    </xf>
    <xf numFmtId="1" fontId="13" fillId="38" borderId="1" xfId="0" applyNumberFormat="1" applyFont="1" applyFill="1" applyBorder="1" applyAlignment="1" applyProtection="1">
      <alignment horizontal="center" vertical="center"/>
      <protection hidden="1"/>
    </xf>
    <xf numFmtId="0" fontId="8" fillId="2" borderId="55" xfId="0" applyFont="1" applyFill="1" applyBorder="1" applyAlignment="1" applyProtection="1">
      <alignment horizontal="center" vertical="center"/>
      <protection locked="0"/>
    </xf>
    <xf numFmtId="0" fontId="8" fillId="2" borderId="56" xfId="0" applyFont="1" applyFill="1" applyBorder="1" applyAlignment="1" applyProtection="1">
      <alignment horizontal="left" vertical="center"/>
      <protection locked="0"/>
    </xf>
    <xf numFmtId="1" fontId="13" fillId="38" borderId="1" xfId="0" applyNumberFormat="1" applyFont="1" applyFill="1" applyBorder="1" applyAlignment="1">
      <alignment horizontal="left"/>
    </xf>
    <xf numFmtId="0" fontId="0" fillId="0" borderId="0" xfId="0" applyAlignment="1">
      <alignment horizontal="center"/>
    </xf>
    <xf numFmtId="0" fontId="0" fillId="0" borderId="32" xfId="0" applyBorder="1"/>
    <xf numFmtId="0" fontId="0" fillId="0" borderId="35" xfId="0" applyBorder="1" applyAlignment="1">
      <alignment horizontal="right"/>
    </xf>
    <xf numFmtId="0" fontId="0" fillId="0" borderId="62" xfId="0" applyBorder="1"/>
    <xf numFmtId="0" fontId="0" fillId="0" borderId="63" xfId="0" applyBorder="1"/>
    <xf numFmtId="0" fontId="14" fillId="2" borderId="0" xfId="0" applyFont="1" applyFill="1" applyAlignment="1" applyProtection="1">
      <alignment horizontal="center" vertical="center" wrapText="1"/>
      <protection hidden="1"/>
    </xf>
    <xf numFmtId="0" fontId="25" fillId="2" borderId="0" xfId="0" applyFont="1" applyFill="1" applyAlignment="1" applyProtection="1">
      <alignment vertical="center" wrapText="1"/>
      <protection hidden="1"/>
    </xf>
    <xf numFmtId="0" fontId="14" fillId="2" borderId="0" xfId="0" applyFont="1" applyFill="1" applyAlignment="1" applyProtection="1">
      <alignment vertical="center" wrapText="1"/>
      <protection hidden="1"/>
    </xf>
    <xf numFmtId="0" fontId="27" fillId="2" borderId="0" xfId="0" applyFont="1" applyFill="1" applyAlignment="1" applyProtection="1">
      <alignment vertical="center" wrapText="1"/>
      <protection hidden="1"/>
    </xf>
    <xf numFmtId="0" fontId="25" fillId="2" borderId="0" xfId="0" applyFont="1" applyFill="1" applyAlignment="1" applyProtection="1">
      <alignment horizontal="center" vertical="center" wrapText="1"/>
      <protection hidden="1"/>
    </xf>
    <xf numFmtId="0" fontId="61" fillId="2" borderId="0" xfId="0" applyFont="1" applyFill="1" applyAlignment="1" applyProtection="1">
      <alignment horizontal="center" vertical="center" wrapText="1"/>
      <protection hidden="1"/>
    </xf>
    <xf numFmtId="2" fontId="53" fillId="2" borderId="0" xfId="0" applyNumberFormat="1" applyFont="1" applyFill="1" applyAlignment="1" applyProtection="1">
      <alignment horizontal="center" vertical="center" wrapText="1"/>
      <protection hidden="1"/>
    </xf>
    <xf numFmtId="0" fontId="22" fillId="2" borderId="30" xfId="0" applyFont="1" applyFill="1" applyBorder="1" applyAlignment="1" applyProtection="1">
      <alignment horizontal="center" vertical="center" wrapText="1"/>
      <protection hidden="1"/>
    </xf>
    <xf numFmtId="0" fontId="63" fillId="2" borderId="30" xfId="0" applyFont="1" applyFill="1" applyBorder="1" applyAlignment="1" applyProtection="1">
      <alignment vertical="center" wrapText="1"/>
      <protection hidden="1"/>
    </xf>
    <xf numFmtId="0" fontId="63" fillId="2" borderId="0" xfId="0" applyFont="1" applyFill="1" applyAlignment="1" applyProtection="1">
      <alignment vertical="center" wrapText="1"/>
      <protection hidden="1"/>
    </xf>
    <xf numFmtId="0" fontId="63" fillId="2" borderId="0" xfId="0" applyFont="1" applyFill="1" applyAlignment="1" applyProtection="1">
      <alignment horizontal="center" vertical="center" wrapText="1"/>
      <protection hidden="1"/>
    </xf>
    <xf numFmtId="0" fontId="63" fillId="2" borderId="0" xfId="0" applyFont="1" applyFill="1" applyAlignment="1" applyProtection="1">
      <alignment wrapText="1"/>
      <protection hidden="1"/>
    </xf>
    <xf numFmtId="0" fontId="63" fillId="2" borderId="0" xfId="0" applyFont="1" applyFill="1" applyAlignment="1" applyProtection="1">
      <alignment horizontal="center" vertical="top" wrapText="1"/>
      <protection hidden="1"/>
    </xf>
    <xf numFmtId="0" fontId="63" fillId="2" borderId="30" xfId="0" applyFont="1" applyFill="1" applyBorder="1" applyAlignment="1" applyProtection="1">
      <alignment horizontal="center" vertical="center" wrapText="1"/>
      <protection hidden="1"/>
    </xf>
    <xf numFmtId="0" fontId="53" fillId="2" borderId="59" xfId="0" applyFont="1" applyFill="1" applyBorder="1" applyAlignment="1" applyProtection="1">
      <alignment vertical="center" wrapText="1"/>
      <protection hidden="1"/>
    </xf>
    <xf numFmtId="0" fontId="53" fillId="2" borderId="60" xfId="0" applyFont="1" applyFill="1" applyBorder="1" applyAlignment="1" applyProtection="1">
      <alignment vertical="center" wrapText="1"/>
      <protection hidden="1"/>
    </xf>
    <xf numFmtId="2" fontId="63" fillId="2" borderId="1" xfId="0" applyNumberFormat="1" applyFont="1" applyFill="1" applyBorder="1" applyAlignment="1" applyProtection="1">
      <alignment horizontal="center" vertical="center" wrapText="1"/>
      <protection hidden="1"/>
    </xf>
    <xf numFmtId="0" fontId="13" fillId="2" borderId="30" xfId="0" applyFont="1" applyFill="1" applyBorder="1" applyAlignment="1" applyProtection="1">
      <alignment horizontal="center" vertical="center" wrapText="1"/>
      <protection hidden="1"/>
    </xf>
    <xf numFmtId="0" fontId="27" fillId="2" borderId="30" xfId="0" applyFont="1" applyFill="1" applyBorder="1" applyAlignment="1" applyProtection="1">
      <alignment vertical="center" wrapText="1"/>
      <protection hidden="1"/>
    </xf>
    <xf numFmtId="0" fontId="8" fillId="2" borderId="30" xfId="0" applyFont="1" applyFill="1" applyBorder="1" applyAlignment="1" applyProtection="1">
      <alignment horizontal="center" vertical="center" wrapText="1"/>
      <protection hidden="1"/>
    </xf>
    <xf numFmtId="0" fontId="14" fillId="2" borderId="30" xfId="0" applyFont="1" applyFill="1" applyBorder="1" applyAlignment="1" applyProtection="1">
      <alignment horizontal="center" vertical="center" wrapText="1"/>
      <protection hidden="1"/>
    </xf>
    <xf numFmtId="0" fontId="16" fillId="2" borderId="30" xfId="0" applyFont="1" applyFill="1" applyBorder="1" applyAlignment="1" applyProtection="1">
      <alignment horizontal="center" vertical="center" wrapText="1"/>
      <protection hidden="1"/>
    </xf>
    <xf numFmtId="0" fontId="50" fillId="2" borderId="0" xfId="0" applyFont="1" applyFill="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63" fillId="2" borderId="31" xfId="0" applyFont="1" applyFill="1" applyBorder="1" applyAlignment="1" applyProtection="1">
      <alignment horizontal="center" vertical="center" wrapText="1"/>
      <protection hidden="1"/>
    </xf>
    <xf numFmtId="0" fontId="13" fillId="2" borderId="31" xfId="0" applyFont="1" applyFill="1" applyBorder="1" applyAlignment="1" applyProtection="1">
      <alignment horizontal="center" vertical="center" wrapText="1"/>
      <protection hidden="1"/>
    </xf>
    <xf numFmtId="0" fontId="62" fillId="2" borderId="0" xfId="0" applyFont="1" applyFill="1" applyAlignment="1" applyProtection="1">
      <alignment horizontal="center" vertical="center" wrapText="1"/>
      <protection hidden="1"/>
    </xf>
    <xf numFmtId="0" fontId="13" fillId="2" borderId="35" xfId="0" applyFont="1" applyFill="1" applyBorder="1" applyAlignment="1" applyProtection="1">
      <alignment horizontal="center" vertical="center" wrapText="1"/>
      <protection hidden="1"/>
    </xf>
    <xf numFmtId="0" fontId="13" fillId="2" borderId="33" xfId="0" applyFont="1" applyFill="1" applyBorder="1" applyAlignment="1" applyProtection="1">
      <alignment horizontal="center" vertical="center" wrapText="1"/>
      <protection hidden="1"/>
    </xf>
    <xf numFmtId="0" fontId="8" fillId="2" borderId="67" xfId="0" applyFont="1" applyFill="1" applyBorder="1" applyAlignment="1" applyProtection="1">
      <alignment horizontal="center" vertical="center"/>
      <protection locked="0"/>
    </xf>
    <xf numFmtId="0" fontId="0" fillId="0" borderId="14" xfId="0" applyBorder="1"/>
    <xf numFmtId="0" fontId="0" fillId="0" borderId="68" xfId="0" applyBorder="1"/>
    <xf numFmtId="0" fontId="0" fillId="0" borderId="3" xfId="0" applyBorder="1"/>
    <xf numFmtId="0" fontId="0" fillId="0" borderId="66" xfId="0" applyBorder="1"/>
    <xf numFmtId="0" fontId="13" fillId="2" borderId="0" xfId="0" applyFont="1" applyFill="1" applyAlignment="1" applyProtection="1">
      <alignment vertical="center" wrapText="1"/>
      <protection locked="0" hidden="1"/>
    </xf>
    <xf numFmtId="0" fontId="28" fillId="0" borderId="0" xfId="0" applyFont="1" applyAlignment="1">
      <alignment horizontal="center"/>
    </xf>
    <xf numFmtId="0" fontId="0" fillId="0" borderId="69" xfId="0" applyBorder="1"/>
    <xf numFmtId="0" fontId="0" fillId="0" borderId="70" xfId="0" applyBorder="1"/>
    <xf numFmtId="0" fontId="0" fillId="0" borderId="18" xfId="0" applyBorder="1"/>
    <xf numFmtId="0" fontId="0" fillId="0" borderId="17" xfId="0" applyBorder="1"/>
    <xf numFmtId="0" fontId="0" fillId="0" borderId="71" xfId="0" applyBorder="1"/>
    <xf numFmtId="0" fontId="0" fillId="0" borderId="4" xfId="0" applyBorder="1"/>
    <xf numFmtId="0" fontId="0" fillId="0" borderId="72" xfId="0" applyBorder="1"/>
    <xf numFmtId="0" fontId="0" fillId="0" borderId="73" xfId="0" applyBorder="1"/>
    <xf numFmtId="0" fontId="0" fillId="0" borderId="74" xfId="0" applyBorder="1"/>
    <xf numFmtId="0" fontId="0" fillId="0" borderId="75" xfId="0" applyBorder="1"/>
    <xf numFmtId="0" fontId="0" fillId="0" borderId="76" xfId="0" applyBorder="1"/>
    <xf numFmtId="0" fontId="0" fillId="0" borderId="77" xfId="0" applyBorder="1"/>
    <xf numFmtId="0" fontId="28" fillId="0" borderId="36" xfId="0" applyFont="1" applyBorder="1" applyAlignment="1">
      <alignment horizontal="center"/>
    </xf>
    <xf numFmtId="0" fontId="0" fillId="0" borderId="79" xfId="0" applyBorder="1"/>
    <xf numFmtId="0" fontId="0" fillId="0" borderId="37" xfId="0" applyBorder="1"/>
    <xf numFmtId="0" fontId="0" fillId="0" borderId="34" xfId="0" applyBorder="1"/>
    <xf numFmtId="0" fontId="0" fillId="0" borderId="58" xfId="0" applyBorder="1"/>
    <xf numFmtId="0" fontId="28" fillId="0" borderId="80" xfId="0" applyFont="1" applyBorder="1" applyAlignment="1">
      <alignment horizontal="center"/>
    </xf>
    <xf numFmtId="0" fontId="28" fillId="0" borderId="59" xfId="0" applyFont="1" applyBorder="1" applyAlignment="1">
      <alignment horizontal="center"/>
    </xf>
    <xf numFmtId="0" fontId="0" fillId="0" borderId="59" xfId="0" applyBorder="1"/>
    <xf numFmtId="0" fontId="0" fillId="0" borderId="60" xfId="0" applyBorder="1"/>
    <xf numFmtId="0" fontId="0" fillId="0" borderId="78" xfId="0" applyBorder="1"/>
    <xf numFmtId="0" fontId="0" fillId="0" borderId="82" xfId="0" applyBorder="1"/>
    <xf numFmtId="0" fontId="62" fillId="2" borderId="0" xfId="0" applyFont="1" applyFill="1" applyAlignment="1">
      <alignment horizontal="center" vertical="center" wrapText="1"/>
    </xf>
    <xf numFmtId="0" fontId="11" fillId="37" borderId="58" xfId="0" applyFont="1" applyFill="1" applyBorder="1"/>
    <xf numFmtId="0" fontId="11" fillId="37" borderId="59" xfId="0" applyFont="1" applyFill="1" applyBorder="1"/>
    <xf numFmtId="0" fontId="11" fillId="37" borderId="60" xfId="0" applyFont="1" applyFill="1" applyBorder="1"/>
    <xf numFmtId="0" fontId="11" fillId="37" borderId="0" xfId="0" applyFont="1" applyFill="1"/>
    <xf numFmtId="0" fontId="0" fillId="0" borderId="0" xfId="0" applyAlignment="1">
      <alignment wrapText="1"/>
    </xf>
    <xf numFmtId="2" fontId="0" fillId="0" borderId="0" xfId="0" applyNumberFormat="1" applyAlignment="1">
      <alignment wrapText="1"/>
    </xf>
    <xf numFmtId="2" fontId="0" fillId="0" borderId="0" xfId="0" applyNumberFormat="1"/>
    <xf numFmtId="0" fontId="42" fillId="0" borderId="0" xfId="0" applyFont="1"/>
    <xf numFmtId="0" fontId="0" fillId="0" borderId="71" xfId="0" applyBorder="1" applyAlignment="1">
      <alignment wrapText="1"/>
    </xf>
    <xf numFmtId="0" fontId="11" fillId="37" borderId="62" xfId="0" applyFont="1" applyFill="1" applyBorder="1"/>
    <xf numFmtId="0" fontId="0" fillId="39" borderId="14" xfId="0" applyFill="1" applyBorder="1" applyAlignment="1">
      <alignment vertical="center"/>
    </xf>
    <xf numFmtId="0" fontId="0" fillId="0" borderId="0" xfId="0" applyAlignment="1">
      <alignment vertical="center" wrapText="1"/>
    </xf>
    <xf numFmtId="0" fontId="0" fillId="39" borderId="17" xfId="0" applyFill="1" applyBorder="1" applyAlignment="1">
      <alignment vertical="center"/>
    </xf>
    <xf numFmtId="0" fontId="0" fillId="39" borderId="14" xfId="0" applyFill="1" applyBorder="1" applyAlignment="1">
      <alignment horizontal="center" vertical="center"/>
    </xf>
    <xf numFmtId="0" fontId="69" fillId="0" borderId="18" xfId="0" applyFont="1" applyBorder="1" applyAlignment="1">
      <alignment horizontal="center"/>
    </xf>
    <xf numFmtId="164" fontId="13" fillId="2" borderId="88" xfId="0" applyNumberFormat="1" applyFont="1" applyFill="1" applyBorder="1" applyAlignment="1" applyProtection="1">
      <alignment horizontal="center"/>
      <protection locked="0"/>
    </xf>
    <xf numFmtId="0" fontId="13" fillId="2" borderId="89" xfId="0" applyFont="1" applyFill="1" applyBorder="1" applyProtection="1">
      <protection locked="0"/>
    </xf>
    <xf numFmtId="164" fontId="13" fillId="2" borderId="90" xfId="0" applyNumberFormat="1" applyFont="1" applyFill="1" applyBorder="1" applyAlignment="1" applyProtection="1">
      <alignment horizontal="center"/>
      <protection locked="0"/>
    </xf>
    <xf numFmtId="0" fontId="13" fillId="2" borderId="91" xfId="0" applyFont="1" applyFill="1" applyBorder="1" applyProtection="1">
      <protection locked="0"/>
    </xf>
    <xf numFmtId="164" fontId="13" fillId="2" borderId="92" xfId="0" applyNumberFormat="1" applyFont="1" applyFill="1" applyBorder="1" applyAlignment="1" applyProtection="1">
      <alignment horizontal="center"/>
      <protection locked="0"/>
    </xf>
    <xf numFmtId="0" fontId="13" fillId="2" borderId="93" xfId="0" applyFont="1" applyFill="1" applyBorder="1" applyProtection="1">
      <protection locked="0"/>
    </xf>
    <xf numFmtId="1" fontId="13" fillId="38" borderId="39" xfId="0" applyNumberFormat="1" applyFont="1" applyFill="1" applyBorder="1" applyAlignment="1">
      <alignment horizontal="left"/>
    </xf>
    <xf numFmtId="14" fontId="13" fillId="38" borderId="40" xfId="0" applyNumberFormat="1" applyFont="1" applyFill="1" applyBorder="1" applyAlignment="1" applyProtection="1">
      <alignment horizontal="center" vertical="center"/>
      <protection hidden="1"/>
    </xf>
    <xf numFmtId="14" fontId="13" fillId="38" borderId="42" xfId="0" applyNumberFormat="1" applyFont="1" applyFill="1" applyBorder="1" applyAlignment="1" applyProtection="1">
      <alignment horizontal="center" vertical="center"/>
      <protection hidden="1"/>
    </xf>
    <xf numFmtId="1" fontId="13" fillId="38" borderId="44" xfId="0" applyNumberFormat="1" applyFont="1" applyFill="1" applyBorder="1" applyAlignment="1">
      <alignment horizontal="left"/>
    </xf>
    <xf numFmtId="14" fontId="13" fillId="38" borderId="45" xfId="0" applyNumberFormat="1" applyFont="1" applyFill="1" applyBorder="1" applyAlignment="1" applyProtection="1">
      <alignment horizontal="center" vertical="center"/>
      <protection hidden="1"/>
    </xf>
    <xf numFmtId="0" fontId="4" fillId="36" borderId="95" xfId="0" applyFont="1" applyFill="1" applyBorder="1" applyAlignment="1">
      <alignment horizontal="center" vertical="center" wrapText="1"/>
    </xf>
    <xf numFmtId="0" fontId="4" fillId="36" borderId="96" xfId="0" applyFont="1" applyFill="1" applyBorder="1" applyAlignment="1">
      <alignment horizontal="center" vertical="center" wrapText="1"/>
    </xf>
    <xf numFmtId="0" fontId="4" fillId="36" borderId="94" xfId="0" applyFont="1" applyFill="1" applyBorder="1" applyAlignment="1">
      <alignment horizontal="center" vertical="center" wrapText="1"/>
    </xf>
    <xf numFmtId="0" fontId="8" fillId="2" borderId="97" xfId="0" applyFont="1" applyFill="1" applyBorder="1" applyAlignment="1" applyProtection="1">
      <alignment horizontal="center" vertical="center"/>
      <protection locked="0"/>
    </xf>
    <xf numFmtId="0" fontId="8" fillId="2" borderId="98" xfId="0" applyFont="1" applyFill="1" applyBorder="1" applyAlignment="1" applyProtection="1">
      <alignment horizontal="center" vertical="center"/>
      <protection locked="0"/>
    </xf>
    <xf numFmtId="0" fontId="8" fillId="2" borderId="99" xfId="0" applyFont="1" applyFill="1" applyBorder="1" applyAlignment="1" applyProtection="1">
      <alignment horizontal="left" vertical="center"/>
      <protection locked="0"/>
    </xf>
    <xf numFmtId="0" fontId="8" fillId="2" borderId="100" xfId="0" applyFont="1" applyFill="1" applyBorder="1" applyAlignment="1" applyProtection="1">
      <alignment horizontal="center" vertical="center"/>
      <protection locked="0"/>
    </xf>
    <xf numFmtId="0" fontId="8" fillId="2" borderId="104" xfId="0" applyFont="1" applyFill="1" applyBorder="1" applyAlignment="1" applyProtection="1">
      <alignment horizontal="center" vertical="center"/>
      <protection locked="0"/>
    </xf>
    <xf numFmtId="0" fontId="8" fillId="2" borderId="105" xfId="0" applyFont="1" applyFill="1" applyBorder="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8" fillId="2" borderId="106" xfId="0" applyFont="1" applyFill="1" applyBorder="1" applyAlignment="1" applyProtection="1">
      <alignment horizontal="left" vertical="center"/>
      <protection locked="0"/>
    </xf>
    <xf numFmtId="0" fontId="8" fillId="2" borderId="107" xfId="0" applyFont="1" applyFill="1" applyBorder="1" applyAlignment="1" applyProtection="1">
      <alignment horizontal="center" vertical="center"/>
      <protection locked="0"/>
    </xf>
    <xf numFmtId="0" fontId="8" fillId="36" borderId="108" xfId="0" applyFont="1" applyFill="1" applyBorder="1" applyAlignment="1">
      <alignment horizontal="center" vertical="center"/>
    </xf>
    <xf numFmtId="0" fontId="8" fillId="36" borderId="109" xfId="0" applyFont="1" applyFill="1" applyBorder="1" applyAlignment="1">
      <alignment horizontal="center" vertical="center"/>
    </xf>
    <xf numFmtId="0" fontId="8" fillId="36" borderId="10" xfId="0" applyFont="1" applyFill="1" applyBorder="1" applyAlignment="1">
      <alignment horizontal="center" vertical="center"/>
    </xf>
    <xf numFmtId="0" fontId="8" fillId="36" borderId="110" xfId="0" applyFont="1" applyFill="1" applyBorder="1" applyAlignment="1">
      <alignment horizontal="center" vertical="center"/>
    </xf>
    <xf numFmtId="0" fontId="8" fillId="36" borderId="111" xfId="0" applyFont="1" applyFill="1" applyBorder="1" applyAlignment="1">
      <alignment horizontal="center" vertical="center" wrapText="1"/>
    </xf>
    <xf numFmtId="1" fontId="13" fillId="2" borderId="120" xfId="0" applyNumberFormat="1" applyFont="1" applyFill="1" applyBorder="1" applyAlignment="1" applyProtection="1">
      <alignment horizontal="center"/>
      <protection locked="0"/>
    </xf>
    <xf numFmtId="1" fontId="13" fillId="2" borderId="119" xfId="0" applyNumberFormat="1" applyFont="1" applyFill="1" applyBorder="1" applyAlignment="1" applyProtection="1">
      <alignment horizontal="center"/>
      <protection locked="0"/>
    </xf>
    <xf numFmtId="0" fontId="63" fillId="2" borderId="1" xfId="0" applyFont="1" applyFill="1" applyBorder="1" applyAlignment="1" applyProtection="1">
      <alignment horizontal="center" vertical="center" wrapText="1"/>
      <protection hidden="1"/>
    </xf>
    <xf numFmtId="0" fontId="64" fillId="37" borderId="14" xfId="0" applyFont="1" applyFill="1" applyBorder="1" applyAlignment="1" applyProtection="1">
      <alignment horizontal="center" vertical="center" wrapText="1"/>
      <protection hidden="1"/>
    </xf>
    <xf numFmtId="0" fontId="0" fillId="0" borderId="68" xfId="0" applyBorder="1" applyAlignment="1">
      <alignment horizontal="center"/>
    </xf>
    <xf numFmtId="0" fontId="70" fillId="2" borderId="4" xfId="0" applyFont="1" applyFill="1" applyBorder="1" applyAlignment="1" applyProtection="1">
      <alignment horizontal="right"/>
      <protection locked="0"/>
    </xf>
    <xf numFmtId="0" fontId="8" fillId="2" borderId="3" xfId="0" applyFont="1" applyFill="1" applyBorder="1" applyAlignment="1" applyProtection="1">
      <alignment horizontal="center"/>
      <protection locked="0"/>
    </xf>
    <xf numFmtId="0" fontId="0" fillId="0" borderId="0" xfId="0" applyAlignment="1">
      <alignment horizontal="left"/>
    </xf>
    <xf numFmtId="0" fontId="8" fillId="36" borderId="109" xfId="0" applyFont="1" applyFill="1" applyBorder="1" applyAlignment="1">
      <alignment horizontal="center" vertical="center" wrapText="1"/>
    </xf>
    <xf numFmtId="1" fontId="13" fillId="38" borderId="1" xfId="0" applyNumberFormat="1" applyFont="1" applyFill="1" applyBorder="1" applyAlignment="1">
      <alignment horizontal="center"/>
    </xf>
    <xf numFmtId="1" fontId="13" fillId="38" borderId="122" xfId="0" applyNumberFormat="1" applyFont="1" applyFill="1" applyBorder="1" applyAlignment="1">
      <alignment horizontal="center"/>
    </xf>
    <xf numFmtId="1" fontId="13" fillId="38" borderId="122" xfId="0" applyNumberFormat="1" applyFont="1" applyFill="1" applyBorder="1" applyAlignment="1" applyProtection="1">
      <alignment horizontal="center" vertical="center"/>
      <protection hidden="1"/>
    </xf>
    <xf numFmtId="0" fontId="13" fillId="38" borderId="122" xfId="0" applyFont="1" applyFill="1" applyBorder="1" applyAlignment="1" applyProtection="1">
      <alignment horizontal="center" vertical="center"/>
      <protection hidden="1"/>
    </xf>
    <xf numFmtId="0" fontId="0" fillId="0" borderId="30" xfId="0" applyBorder="1" applyAlignment="1">
      <alignment horizontal="right"/>
    </xf>
    <xf numFmtId="0" fontId="0" fillId="0" borderId="32" xfId="0" applyBorder="1" applyAlignment="1">
      <alignment horizontal="right"/>
    </xf>
    <xf numFmtId="0" fontId="0" fillId="0" borderId="14" xfId="0" applyBorder="1" applyAlignment="1">
      <alignment horizontal="center"/>
    </xf>
    <xf numFmtId="0" fontId="0" fillId="0" borderId="64" xfId="0" applyBorder="1"/>
    <xf numFmtId="0" fontId="0" fillId="0" borderId="1" xfId="0" applyBorder="1"/>
    <xf numFmtId="0" fontId="13" fillId="2" borderId="32" xfId="0" applyFont="1" applyFill="1" applyBorder="1" applyAlignment="1" applyProtection="1">
      <alignment horizontal="center" vertical="center" wrapText="1"/>
      <protection hidden="1"/>
    </xf>
    <xf numFmtId="0" fontId="17" fillId="2" borderId="0" xfId="0" applyFont="1" applyFill="1" applyAlignment="1">
      <alignment horizontal="center" vertical="center"/>
    </xf>
    <xf numFmtId="0" fontId="0" fillId="0" borderId="36" xfId="0" applyBorder="1" applyAlignment="1">
      <alignment horizontal="center" vertical="center"/>
    </xf>
    <xf numFmtId="0" fontId="0" fillId="0" borderId="34" xfId="0" applyBorder="1" applyAlignment="1">
      <alignment horizontal="center" vertical="center"/>
    </xf>
    <xf numFmtId="0" fontId="72" fillId="2" borderId="0" xfId="0" quotePrefix="1" applyFont="1" applyFill="1" applyAlignment="1" applyProtection="1">
      <alignment horizontal="right" wrapText="1"/>
      <protection hidden="1"/>
    </xf>
    <xf numFmtId="0" fontId="21" fillId="2" borderId="0" xfId="0" applyFont="1" applyFill="1" applyAlignment="1" applyProtection="1">
      <alignment horizontal="center" vertical="center" wrapText="1"/>
      <protection hidden="1"/>
    </xf>
    <xf numFmtId="0" fontId="0" fillId="36" borderId="14" xfId="0" applyFill="1" applyBorder="1"/>
    <xf numFmtId="0" fontId="0" fillId="0" borderId="58" xfId="0" applyBorder="1" applyAlignment="1">
      <alignment horizontal="center"/>
    </xf>
    <xf numFmtId="0" fontId="0" fillId="0" borderId="59" xfId="0" applyBorder="1" applyAlignment="1">
      <alignment horizontal="center"/>
    </xf>
    <xf numFmtId="0" fontId="0" fillId="0" borderId="30" xfId="0" applyBorder="1" applyAlignment="1">
      <alignment horizontal="center"/>
    </xf>
    <xf numFmtId="0" fontId="0" fillId="0" borderId="62" xfId="0" applyBorder="1" applyAlignment="1">
      <alignment horizontal="center"/>
    </xf>
    <xf numFmtId="0" fontId="21" fillId="2" borderId="0" xfId="0" applyFont="1" applyFill="1" applyAlignment="1" applyProtection="1">
      <alignment horizontal="left" wrapText="1"/>
      <protection hidden="1"/>
    </xf>
    <xf numFmtId="0" fontId="54" fillId="2" borderId="0" xfId="0" applyFont="1" applyFill="1" applyAlignment="1" applyProtection="1">
      <alignment horizontal="left" wrapText="1"/>
      <protection hidden="1"/>
    </xf>
    <xf numFmtId="0" fontId="11" fillId="0" borderId="0" xfId="0" applyFont="1" applyAlignment="1">
      <alignment horizontal="center"/>
    </xf>
    <xf numFmtId="0" fontId="0" fillId="0" borderId="58" xfId="0" applyBorder="1" applyAlignment="1">
      <alignment horizontal="right"/>
    </xf>
    <xf numFmtId="0" fontId="0" fillId="0" borderId="59" xfId="0" applyBorder="1" applyAlignment="1">
      <alignment horizontal="right"/>
    </xf>
    <xf numFmtId="0" fontId="0" fillId="0" borderId="8" xfId="0" applyBorder="1" applyAlignment="1">
      <alignment horizontal="right"/>
    </xf>
    <xf numFmtId="0" fontId="0" fillId="0" borderId="10" xfId="0" applyBorder="1" applyAlignment="1">
      <alignment horizontal="right"/>
    </xf>
    <xf numFmtId="0" fontId="0" fillId="0" borderId="9" xfId="0" applyBorder="1"/>
    <xf numFmtId="0" fontId="0" fillId="0" borderId="60" xfId="0" applyBorder="1" applyAlignment="1">
      <alignment horizontal="right"/>
    </xf>
    <xf numFmtId="0" fontId="0" fillId="0" borderId="31" xfId="0" applyBorder="1" applyAlignment="1">
      <alignment horizontal="right"/>
    </xf>
    <xf numFmtId="0" fontId="0" fillId="0" borderId="33" xfId="0" applyBorder="1" applyAlignment="1">
      <alignment horizontal="right"/>
    </xf>
    <xf numFmtId="0" fontId="28" fillId="0" borderId="60" xfId="0" applyFont="1" applyBorder="1" applyAlignment="1">
      <alignment horizontal="center"/>
    </xf>
    <xf numFmtId="0" fontId="0" fillId="0" borderId="124" xfId="0" applyBorder="1"/>
    <xf numFmtId="0" fontId="0" fillId="0" borderId="125" xfId="0" applyBorder="1"/>
    <xf numFmtId="0" fontId="0" fillId="0" borderId="0" xfId="0" applyAlignment="1">
      <alignment horizontal="left" vertical="center"/>
    </xf>
    <xf numFmtId="0" fontId="0" fillId="0" borderId="69" xfId="0" applyBorder="1" applyAlignment="1">
      <alignment horizontal="right"/>
    </xf>
    <xf numFmtId="0" fontId="0" fillId="0" borderId="62" xfId="0" applyBorder="1" applyAlignment="1">
      <alignment horizontal="right"/>
    </xf>
    <xf numFmtId="0" fontId="0" fillId="0" borderId="126" xfId="0" applyBorder="1" applyAlignment="1">
      <alignment horizontal="right"/>
    </xf>
    <xf numFmtId="0" fontId="0" fillId="0" borderId="63" xfId="0" applyBorder="1" applyAlignment="1">
      <alignment horizontal="right"/>
    </xf>
    <xf numFmtId="0" fontId="0" fillId="0" borderId="18" xfId="0" applyBorder="1" applyAlignment="1">
      <alignment horizontal="center"/>
    </xf>
    <xf numFmtId="0" fontId="0" fillId="0" borderId="71" xfId="0" applyBorder="1" applyAlignment="1">
      <alignment horizontal="right"/>
    </xf>
    <xf numFmtId="0" fontId="0" fillId="0" borderId="82" xfId="0" applyBorder="1" applyAlignment="1">
      <alignment horizontal="right"/>
    </xf>
    <xf numFmtId="0" fontId="0" fillId="0" borderId="37" xfId="0" applyBorder="1" applyAlignment="1">
      <alignment horizontal="center" vertical="center"/>
    </xf>
    <xf numFmtId="0" fontId="0" fillId="0" borderId="81" xfId="0" applyBorder="1" applyAlignment="1">
      <alignment horizontal="right"/>
    </xf>
    <xf numFmtId="0" fontId="28" fillId="0" borderId="59" xfId="0" applyFont="1" applyBorder="1"/>
    <xf numFmtId="0" fontId="28" fillId="0" borderId="60" xfId="0" applyFont="1" applyBorder="1"/>
    <xf numFmtId="0" fontId="50" fillId="2" borderId="0" xfId="0" applyFont="1" applyFill="1" applyAlignment="1" applyProtection="1">
      <alignment vertical="center" wrapText="1"/>
      <protection hidden="1"/>
    </xf>
    <xf numFmtId="0" fontId="50" fillId="2" borderId="1" xfId="0" applyFont="1" applyFill="1" applyBorder="1" applyAlignment="1" applyProtection="1">
      <alignment vertical="center" wrapText="1"/>
      <protection hidden="1"/>
    </xf>
    <xf numFmtId="0" fontId="50" fillId="2" borderId="14" xfId="0" applyFont="1" applyFill="1" applyBorder="1" applyAlignment="1" applyProtection="1">
      <alignment vertical="center" wrapText="1"/>
      <protection hidden="1"/>
    </xf>
    <xf numFmtId="0" fontId="65" fillId="37" borderId="1" xfId="0" applyFont="1" applyFill="1" applyBorder="1" applyAlignment="1" applyProtection="1">
      <alignment vertical="center" wrapText="1"/>
      <protection hidden="1"/>
    </xf>
    <xf numFmtId="0" fontId="64" fillId="37" borderId="1" xfId="0" applyFont="1" applyFill="1" applyBorder="1" applyAlignment="1" applyProtection="1">
      <alignment vertical="center" wrapText="1"/>
      <protection hidden="1"/>
    </xf>
    <xf numFmtId="10" fontId="50" fillId="2" borderId="1" xfId="43" applyNumberFormat="1" applyFont="1" applyFill="1" applyBorder="1" applyAlignment="1" applyProtection="1">
      <alignment vertical="center" wrapText="1"/>
      <protection hidden="1"/>
    </xf>
    <xf numFmtId="0" fontId="64" fillId="41" borderId="1" xfId="0" applyFont="1" applyFill="1" applyBorder="1" applyAlignment="1" applyProtection="1">
      <alignment horizontal="center" vertical="center" wrapText="1"/>
      <protection hidden="1"/>
    </xf>
    <xf numFmtId="0" fontId="76" fillId="2" borderId="0" xfId="0" applyFont="1" applyFill="1" applyAlignment="1" applyProtection="1">
      <alignment horizontal="center" vertical="center" wrapText="1"/>
      <protection hidden="1"/>
    </xf>
    <xf numFmtId="0" fontId="77" fillId="41" borderId="1" xfId="0" applyFont="1" applyFill="1" applyBorder="1" applyAlignment="1" applyProtection="1">
      <alignment horizontal="center" vertical="center" wrapText="1"/>
      <protection hidden="1"/>
    </xf>
    <xf numFmtId="0" fontId="22" fillId="2" borderId="0" xfId="0" applyFont="1" applyFill="1" applyAlignment="1" applyProtection="1">
      <alignment wrapText="1"/>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center" wrapText="1"/>
      <protection hidden="1"/>
    </xf>
    <xf numFmtId="0" fontId="0" fillId="3" borderId="5" xfId="0" applyFill="1" applyBorder="1" applyAlignment="1" applyProtection="1">
      <alignment horizontal="center" vertical="center"/>
      <protection hidden="1"/>
    </xf>
    <xf numFmtId="0" fontId="2" fillId="0" borderId="16" xfId="0" applyFont="1" applyBorder="1" applyAlignment="1" applyProtection="1">
      <alignment horizontal="center" vertical="center"/>
      <protection hidden="1"/>
    </xf>
    <xf numFmtId="0" fontId="2" fillId="0" borderId="7" xfId="0" applyFont="1" applyBorder="1" applyAlignment="1" applyProtection="1">
      <alignment horizontal="center" vertical="center" wrapText="1"/>
      <protection hidden="1"/>
    </xf>
    <xf numFmtId="0" fontId="2" fillId="0" borderId="15" xfId="0" applyFont="1" applyBorder="1" applyAlignment="1" applyProtection="1">
      <alignment horizontal="center" vertical="center" wrapText="1"/>
      <protection hidden="1"/>
    </xf>
    <xf numFmtId="0" fontId="67" fillId="0" borderId="84" xfId="0" applyFont="1" applyBorder="1" applyAlignment="1" applyProtection="1">
      <alignment horizontal="center" vertical="center" wrapText="1"/>
      <protection hidden="1"/>
    </xf>
    <xf numFmtId="0" fontId="67" fillId="0" borderId="12" xfId="0" applyFont="1" applyBorder="1" applyAlignment="1" applyProtection="1">
      <alignment horizontal="center" vertical="center" wrapText="1"/>
      <protection hidden="1"/>
    </xf>
    <xf numFmtId="0" fontId="67" fillId="0" borderId="11" xfId="0" applyFont="1" applyBorder="1" applyAlignment="1" applyProtection="1">
      <alignment horizontal="center" vertical="center" wrapText="1"/>
      <protection hidden="1"/>
    </xf>
    <xf numFmtId="0" fontId="67" fillId="0" borderId="85" xfId="0" applyFont="1" applyBorder="1" applyAlignment="1" applyProtection="1">
      <alignment horizontal="center" vertical="center" wrapText="1"/>
      <protection hidden="1"/>
    </xf>
    <xf numFmtId="0" fontId="67" fillId="0" borderId="86" xfId="0" applyFont="1" applyBorder="1" applyAlignment="1" applyProtection="1">
      <alignment horizontal="center" vertical="center" wrapText="1"/>
      <protection hidden="1"/>
    </xf>
    <xf numFmtId="0" fontId="67" fillId="0" borderId="87" xfId="0" applyFont="1" applyBorder="1" applyAlignment="1" applyProtection="1">
      <alignment horizontal="center" vertical="center" wrapText="1"/>
      <protection hidden="1"/>
    </xf>
    <xf numFmtId="0" fontId="67" fillId="0" borderId="0" xfId="0" applyFont="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0" xfId="0" applyAlignment="1" applyProtection="1">
      <alignment horizontal="center" wrapText="1"/>
      <protection hidden="1"/>
    </xf>
    <xf numFmtId="0" fontId="67" fillId="0" borderId="127" xfId="0" applyFont="1" applyBorder="1" applyAlignment="1" applyProtection="1">
      <alignment horizontal="center" vertical="center" wrapText="1"/>
      <protection hidden="1"/>
    </xf>
    <xf numFmtId="0" fontId="67" fillId="0" borderId="128" xfId="0" applyFont="1" applyBorder="1" applyAlignment="1" applyProtection="1">
      <alignment horizontal="center" vertical="center" wrapText="1"/>
      <protection hidden="1"/>
    </xf>
    <xf numFmtId="0" fontId="67" fillId="0" borderId="129" xfId="0" applyFont="1" applyBorder="1" applyAlignment="1" applyProtection="1">
      <alignment horizontal="center" vertical="center" wrapText="1"/>
      <protection hidden="1"/>
    </xf>
    <xf numFmtId="0" fontId="78" fillId="2" borderId="0" xfId="0" quotePrefix="1" applyFont="1" applyFill="1" applyAlignment="1" applyProtection="1">
      <alignment horizontal="right" vertical="top" wrapText="1"/>
      <protection hidden="1"/>
    </xf>
    <xf numFmtId="0" fontId="13" fillId="2" borderId="130" xfId="0" applyFont="1" applyFill="1" applyBorder="1" applyProtection="1">
      <protection locked="0"/>
    </xf>
    <xf numFmtId="164" fontId="13" fillId="2" borderId="131" xfId="0" applyNumberFormat="1" applyFont="1" applyFill="1" applyBorder="1" applyAlignment="1" applyProtection="1">
      <alignment horizontal="center"/>
      <protection locked="0"/>
    </xf>
    <xf numFmtId="0" fontId="13" fillId="2" borderId="132" xfId="0" applyFont="1" applyFill="1" applyBorder="1" applyProtection="1">
      <protection locked="0"/>
    </xf>
    <xf numFmtId="0" fontId="13" fillId="2" borderId="1" xfId="0" applyFont="1" applyFill="1" applyBorder="1" applyProtection="1">
      <protection locked="0"/>
    </xf>
    <xf numFmtId="0" fontId="62" fillId="2" borderId="64" xfId="0" applyFont="1" applyFill="1" applyBorder="1" applyAlignment="1" applyProtection="1">
      <alignment vertical="center" wrapText="1"/>
      <protection hidden="1"/>
    </xf>
    <xf numFmtId="0" fontId="64" fillId="2" borderId="0" xfId="0" applyFont="1" applyFill="1" applyAlignment="1" applyProtection="1">
      <alignment horizontal="center" vertical="center" wrapText="1"/>
      <protection hidden="1"/>
    </xf>
    <xf numFmtId="10" fontId="63" fillId="2" borderId="0" xfId="43" applyNumberFormat="1" applyFont="1" applyFill="1" applyBorder="1" applyAlignment="1" applyProtection="1">
      <alignment horizontal="center" vertical="center" wrapText="1"/>
      <protection hidden="1"/>
    </xf>
    <xf numFmtId="0" fontId="62" fillId="2" borderId="4" xfId="0" applyFont="1" applyFill="1" applyBorder="1" applyAlignment="1" applyProtection="1">
      <alignment vertical="center" wrapText="1"/>
      <protection hidden="1"/>
    </xf>
    <xf numFmtId="0" fontId="50" fillId="2" borderId="64" xfId="0" applyFont="1" applyFill="1" applyBorder="1" applyAlignment="1" applyProtection="1">
      <alignment vertical="center" wrapText="1"/>
      <protection hidden="1"/>
    </xf>
    <xf numFmtId="0" fontId="50" fillId="2" borderId="4" xfId="0" applyFont="1" applyFill="1" applyBorder="1" applyAlignment="1" applyProtection="1">
      <alignment vertical="center" wrapText="1"/>
      <protection hidden="1"/>
    </xf>
    <xf numFmtId="0" fontId="7" fillId="2" borderId="0" xfId="0" applyFont="1" applyFill="1" applyAlignment="1">
      <alignment horizontal="center" vertical="center" wrapText="1"/>
    </xf>
    <xf numFmtId="0" fontId="0" fillId="2" borderId="0" xfId="0" applyFill="1" applyAlignment="1">
      <alignment horizontal="center" wrapText="1"/>
    </xf>
    <xf numFmtId="0" fontId="0" fillId="2" borderId="0" xfId="0" applyFill="1" applyAlignment="1">
      <alignment horizontal="center"/>
    </xf>
    <xf numFmtId="0" fontId="21" fillId="2" borderId="0" xfId="0" applyFont="1" applyFill="1" applyAlignment="1">
      <alignment horizontal="left" vertical="center" wrapText="1"/>
    </xf>
    <xf numFmtId="0" fontId="0" fillId="2" borderId="0" xfId="0" applyFill="1"/>
    <xf numFmtId="0" fontId="80" fillId="2" borderId="0" xfId="0" applyFont="1" applyFill="1" applyAlignment="1">
      <alignment horizontal="center" vertical="center" wrapText="1"/>
    </xf>
    <xf numFmtId="0" fontId="13" fillId="2" borderId="0" xfId="0" applyFont="1" applyFill="1" applyAlignment="1">
      <alignment horizontal="left" vertical="top" wrapText="1"/>
    </xf>
    <xf numFmtId="0" fontId="18" fillId="2" borderId="0" xfId="0" applyFont="1" applyFill="1" applyAlignment="1">
      <alignment horizontal="left" vertical="top" wrapText="1"/>
    </xf>
    <xf numFmtId="0" fontId="48" fillId="2" borderId="0" xfId="0" applyFont="1" applyFill="1" applyAlignment="1">
      <alignment horizontal="center" vertical="center" wrapText="1"/>
    </xf>
    <xf numFmtId="0" fontId="18" fillId="2" borderId="0" xfId="0" applyFont="1" applyFill="1" applyAlignment="1">
      <alignment horizontal="center" vertical="top" wrapText="1"/>
    </xf>
    <xf numFmtId="0" fontId="18" fillId="2" borderId="18" xfId="0" applyFont="1" applyFill="1" applyBorder="1" applyAlignment="1">
      <alignment horizontal="center" vertical="top" wrapText="1"/>
    </xf>
    <xf numFmtId="0" fontId="55" fillId="0" borderId="0" xfId="0" applyFont="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5" fillId="0" borderId="0" xfId="0" applyFont="1" applyAlignment="1">
      <alignment horizontal="center" vertical="center"/>
    </xf>
    <xf numFmtId="0" fontId="15" fillId="2" borderId="14" xfId="0" applyFont="1" applyFill="1" applyBorder="1" applyAlignment="1">
      <alignment horizontal="center" vertical="center"/>
    </xf>
    <xf numFmtId="0" fontId="15" fillId="2" borderId="3" xfId="0" applyFont="1" applyFill="1" applyBorder="1" applyAlignment="1">
      <alignment horizontal="center" vertical="center"/>
    </xf>
    <xf numFmtId="0" fontId="14" fillId="37" borderId="48" xfId="0" applyFont="1" applyFill="1" applyBorder="1" applyAlignment="1">
      <alignment horizontal="center"/>
    </xf>
    <xf numFmtId="0" fontId="14" fillId="37" borderId="46" xfId="0" applyFont="1" applyFill="1" applyBorder="1" applyAlignment="1">
      <alignment horizontal="center"/>
    </xf>
    <xf numFmtId="0" fontId="14" fillId="37" borderId="47" xfId="0" applyFont="1" applyFill="1" applyBorder="1" applyAlignment="1">
      <alignment horizontal="center"/>
    </xf>
    <xf numFmtId="0" fontId="14" fillId="37" borderId="38" xfId="0" applyFont="1" applyFill="1" applyBorder="1" applyAlignment="1">
      <alignment horizontal="center"/>
    </xf>
    <xf numFmtId="0" fontId="14" fillId="37" borderId="39" xfId="0" applyFont="1" applyFill="1" applyBorder="1" applyAlignment="1">
      <alignment horizontal="center"/>
    </xf>
    <xf numFmtId="0" fontId="14" fillId="37" borderId="40" xfId="0" applyFont="1" applyFill="1" applyBorder="1" applyAlignment="1">
      <alignment horizontal="center"/>
    </xf>
    <xf numFmtId="0" fontId="15" fillId="2" borderId="0" xfId="0" applyFont="1" applyFill="1" applyAlignment="1">
      <alignment horizontal="center" vertical="center"/>
    </xf>
    <xf numFmtId="0" fontId="46" fillId="2" borderId="0" xfId="0" applyFont="1" applyFill="1" applyAlignment="1">
      <alignment horizontal="center" vertical="center" wrapText="1"/>
    </xf>
    <xf numFmtId="0" fontId="8" fillId="36" borderId="51" xfId="0" applyFont="1" applyFill="1" applyBorder="1" applyAlignment="1">
      <alignment horizontal="center"/>
    </xf>
    <xf numFmtId="0" fontId="8" fillId="36" borderId="52" xfId="0" applyFont="1" applyFill="1" applyBorder="1" applyAlignment="1">
      <alignment horizontal="center"/>
    </xf>
    <xf numFmtId="0" fontId="8" fillId="36" borderId="49" xfId="0" applyFont="1" applyFill="1" applyBorder="1" applyAlignment="1">
      <alignment horizontal="center"/>
    </xf>
    <xf numFmtId="0" fontId="8" fillId="36" borderId="50" xfId="0" applyFont="1" applyFill="1" applyBorder="1" applyAlignment="1">
      <alignment horizontal="center"/>
    </xf>
    <xf numFmtId="0" fontId="8" fillId="2" borderId="113" xfId="0" applyFont="1" applyFill="1" applyBorder="1" applyAlignment="1" applyProtection="1">
      <alignment horizontal="center"/>
      <protection locked="0"/>
    </xf>
    <xf numFmtId="0" fontId="8" fillId="2" borderId="114" xfId="0" applyFont="1" applyFill="1" applyBorder="1" applyAlignment="1" applyProtection="1">
      <alignment horizontal="center"/>
      <protection locked="0"/>
    </xf>
    <xf numFmtId="0" fontId="8" fillId="2" borderId="115" xfId="0" applyFont="1" applyFill="1" applyBorder="1" applyAlignment="1" applyProtection="1">
      <alignment horizontal="center"/>
      <protection locked="0"/>
    </xf>
    <xf numFmtId="0" fontId="8" fillId="2" borderId="116" xfId="0" applyFont="1" applyFill="1" applyBorder="1" applyAlignment="1" applyProtection="1">
      <alignment horizontal="center"/>
      <protection locked="0"/>
    </xf>
    <xf numFmtId="0" fontId="8" fillId="2" borderId="117" xfId="0" applyFont="1" applyFill="1" applyBorder="1" applyAlignment="1" applyProtection="1">
      <alignment horizontal="center"/>
      <protection locked="0"/>
    </xf>
    <xf numFmtId="0" fontId="8" fillId="2" borderId="118" xfId="0" applyFont="1" applyFill="1" applyBorder="1" applyAlignment="1" applyProtection="1">
      <alignment horizontal="center"/>
      <protection locked="0"/>
    </xf>
    <xf numFmtId="0" fontId="8" fillId="36" borderId="36" xfId="0" applyFont="1" applyFill="1" applyBorder="1" applyAlignment="1">
      <alignment horizontal="center" vertical="center" wrapText="1"/>
    </xf>
    <xf numFmtId="0" fontId="8" fillId="36" borderId="37" xfId="0" applyFont="1" applyFill="1" applyBorder="1" applyAlignment="1">
      <alignment horizontal="center" vertical="center" wrapText="1"/>
    </xf>
    <xf numFmtId="0" fontId="8" fillId="36" borderId="34" xfId="0" applyFont="1" applyFill="1" applyBorder="1" applyAlignment="1">
      <alignment horizontal="center" vertical="center" wrapText="1"/>
    </xf>
    <xf numFmtId="0" fontId="4" fillId="36" borderId="112" xfId="0" applyFont="1" applyFill="1" applyBorder="1" applyAlignment="1">
      <alignment horizontal="center" vertical="center" wrapText="1"/>
    </xf>
    <xf numFmtId="0" fontId="4" fillId="36" borderId="10" xfId="0" applyFont="1" applyFill="1" applyBorder="1" applyAlignment="1">
      <alignment horizontal="center" vertical="center" wrapText="1"/>
    </xf>
    <xf numFmtId="0" fontId="4" fillId="36" borderId="9" xfId="0" applyFont="1" applyFill="1" applyBorder="1" applyAlignment="1">
      <alignment horizontal="center" vertical="center" wrapText="1"/>
    </xf>
    <xf numFmtId="14" fontId="13" fillId="4" borderId="101" xfId="0" applyNumberFormat="1" applyFont="1" applyFill="1" applyBorder="1" applyAlignment="1" applyProtection="1">
      <alignment horizontal="center" vertical="center"/>
      <protection hidden="1"/>
    </xf>
    <xf numFmtId="14" fontId="13" fillId="4" borderId="102" xfId="0" applyNumberFormat="1" applyFont="1" applyFill="1" applyBorder="1" applyAlignment="1" applyProtection="1">
      <alignment horizontal="center" vertical="center"/>
      <protection hidden="1"/>
    </xf>
    <xf numFmtId="14" fontId="13" fillId="4" borderId="103" xfId="0" applyNumberFormat="1" applyFont="1" applyFill="1" applyBorder="1" applyAlignment="1" applyProtection="1">
      <alignment horizontal="center" vertical="center"/>
      <protection hidden="1"/>
    </xf>
    <xf numFmtId="14" fontId="13" fillId="4" borderId="57" xfId="0" applyNumberFormat="1" applyFont="1" applyFill="1" applyBorder="1" applyAlignment="1" applyProtection="1">
      <alignment horizontal="center" vertical="center"/>
      <protection hidden="1"/>
    </xf>
    <xf numFmtId="14" fontId="13" fillId="4" borderId="13" xfId="0" applyNumberFormat="1" applyFont="1" applyFill="1" applyBorder="1" applyAlignment="1" applyProtection="1">
      <alignment horizontal="center" vertical="center"/>
      <protection hidden="1"/>
    </xf>
    <xf numFmtId="14" fontId="13" fillId="4" borderId="83" xfId="0" applyNumberFormat="1" applyFont="1" applyFill="1" applyBorder="1" applyAlignment="1" applyProtection="1">
      <alignment horizontal="center" vertical="center"/>
      <protection hidden="1"/>
    </xf>
    <xf numFmtId="14" fontId="13" fillId="4" borderId="65" xfId="0" applyNumberFormat="1" applyFont="1" applyFill="1" applyBorder="1" applyAlignment="1" applyProtection="1">
      <alignment horizontal="center" vertical="center"/>
      <protection hidden="1"/>
    </xf>
    <xf numFmtId="14" fontId="13" fillId="4" borderId="66" xfId="0" applyNumberFormat="1" applyFont="1" applyFill="1" applyBorder="1" applyAlignment="1" applyProtection="1">
      <alignment horizontal="center" vertical="center"/>
      <protection hidden="1"/>
    </xf>
    <xf numFmtId="14" fontId="13" fillId="4" borderId="78" xfId="0" applyNumberFormat="1" applyFont="1" applyFill="1" applyBorder="1" applyAlignment="1" applyProtection="1">
      <alignment horizontal="center" vertical="center"/>
      <protection hidden="1"/>
    </xf>
    <xf numFmtId="0" fontId="69" fillId="0" borderId="17" xfId="0" applyFont="1" applyBorder="1" applyAlignment="1">
      <alignment horizontal="center"/>
    </xf>
    <xf numFmtId="0" fontId="69" fillId="0" borderId="18" xfId="0" applyFont="1" applyBorder="1" applyAlignment="1">
      <alignment horizontal="center"/>
    </xf>
    <xf numFmtId="0" fontId="0" fillId="39" borderId="17" xfId="0" applyFill="1" applyBorder="1" applyAlignment="1">
      <alignment horizontal="center" vertical="center"/>
    </xf>
    <xf numFmtId="0" fontId="0" fillId="39" borderId="69" xfId="0" applyFill="1" applyBorder="1" applyAlignment="1">
      <alignment horizontal="center" vertical="center"/>
    </xf>
    <xf numFmtId="0" fontId="28" fillId="0" borderId="121" xfId="0" applyFont="1" applyBorder="1" applyAlignment="1">
      <alignment horizontal="center"/>
    </xf>
    <xf numFmtId="0" fontId="28" fillId="0" borderId="122" xfId="0" applyFont="1" applyBorder="1" applyAlignment="1">
      <alignment horizontal="center"/>
    </xf>
    <xf numFmtId="0" fontId="28" fillId="0" borderId="123" xfId="0" applyFont="1" applyBorder="1" applyAlignment="1">
      <alignment horizontal="center"/>
    </xf>
    <xf numFmtId="0" fontId="11" fillId="37" borderId="58" xfId="0" applyFont="1" applyFill="1" applyBorder="1" applyAlignment="1">
      <alignment horizontal="center"/>
    </xf>
    <xf numFmtId="0" fontId="11" fillId="37" borderId="59" xfId="0" applyFont="1" applyFill="1" applyBorder="1" applyAlignment="1">
      <alignment horizontal="center"/>
    </xf>
    <xf numFmtId="0" fontId="11" fillId="37" borderId="60" xfId="0" applyFont="1" applyFill="1" applyBorder="1" applyAlignment="1">
      <alignment horizontal="center"/>
    </xf>
    <xf numFmtId="0" fontId="0" fillId="0" borderId="126" xfId="0" applyBorder="1" applyAlignment="1">
      <alignment horizontal="center"/>
    </xf>
    <xf numFmtId="0" fontId="0" fillId="0" borderId="18" xfId="0" applyBorder="1" applyAlignment="1">
      <alignment horizontal="center"/>
    </xf>
    <xf numFmtId="0" fontId="0" fillId="0" borderId="61" xfId="0" applyBorder="1" applyAlignment="1">
      <alignment horizontal="center"/>
    </xf>
    <xf numFmtId="0" fontId="0" fillId="0" borderId="17" xfId="0" applyBorder="1" applyAlignment="1">
      <alignment horizontal="center"/>
    </xf>
    <xf numFmtId="0" fontId="0" fillId="0" borderId="69" xfId="0" applyBorder="1" applyAlignment="1">
      <alignment horizontal="center"/>
    </xf>
    <xf numFmtId="0" fontId="28" fillId="0" borderId="126" xfId="0" applyFont="1" applyBorder="1" applyAlignment="1">
      <alignment horizontal="center"/>
    </xf>
    <xf numFmtId="0" fontId="28" fillId="0" borderId="18" xfId="0" applyFont="1" applyBorder="1" applyAlignment="1">
      <alignment horizontal="center"/>
    </xf>
    <xf numFmtId="0" fontId="28" fillId="0" borderId="69" xfId="0" applyFont="1" applyBorder="1" applyAlignment="1">
      <alignment horizontal="center"/>
    </xf>
    <xf numFmtId="0" fontId="0" fillId="0" borderId="59" xfId="0" applyBorder="1" applyAlignment="1">
      <alignment horizontal="center"/>
    </xf>
    <xf numFmtId="0" fontId="0" fillId="0" borderId="60" xfId="0" applyBorder="1" applyAlignment="1">
      <alignment horizontal="center"/>
    </xf>
    <xf numFmtId="0" fontId="0" fillId="0" borderId="81" xfId="0" applyBorder="1" applyAlignment="1">
      <alignment horizontal="center"/>
    </xf>
    <xf numFmtId="0" fontId="0" fillId="0" borderId="58" xfId="0" applyBorder="1" applyAlignment="1">
      <alignment horizontal="center"/>
    </xf>
    <xf numFmtId="0" fontId="28" fillId="0" borderId="48" xfId="0" applyFont="1" applyBorder="1" applyAlignment="1">
      <alignment horizontal="center"/>
    </xf>
    <xf numFmtId="0" fontId="28" fillId="0" borderId="46" xfId="0" applyFont="1" applyBorder="1" applyAlignment="1">
      <alignment horizontal="center"/>
    </xf>
    <xf numFmtId="0" fontId="28" fillId="0" borderId="47" xfId="0" applyFont="1" applyBorder="1" applyAlignment="1">
      <alignment horizontal="center"/>
    </xf>
    <xf numFmtId="0" fontId="28" fillId="0" borderId="58" xfId="0" applyFont="1" applyBorder="1" applyAlignment="1">
      <alignment horizontal="center"/>
    </xf>
    <xf numFmtId="0" fontId="28" fillId="0" borderId="59" xfId="0" applyFont="1" applyBorder="1" applyAlignment="1">
      <alignment horizontal="center"/>
    </xf>
    <xf numFmtId="0" fontId="28" fillId="0" borderId="60" xfId="0" applyFont="1" applyBorder="1" applyAlignment="1">
      <alignment horizontal="center"/>
    </xf>
    <xf numFmtId="0" fontId="0" fillId="0" borderId="80" xfId="0" applyBorder="1" applyAlignment="1">
      <alignment horizontal="center"/>
    </xf>
    <xf numFmtId="0" fontId="0" fillId="0" borderId="0" xfId="0" applyAlignment="1">
      <alignment horizontal="center"/>
    </xf>
    <xf numFmtId="0" fontId="0" fillId="0" borderId="62" xfId="0" applyBorder="1" applyAlignment="1">
      <alignment horizontal="center"/>
    </xf>
    <xf numFmtId="0" fontId="0" fillId="0" borderId="31" xfId="0" applyBorder="1" applyAlignment="1">
      <alignment horizontal="center"/>
    </xf>
    <xf numFmtId="0" fontId="58" fillId="0" borderId="0" xfId="0" applyFont="1" applyAlignment="1">
      <alignment horizontal="center"/>
    </xf>
    <xf numFmtId="0" fontId="58" fillId="0" borderId="31" xfId="0" applyFont="1" applyBorder="1" applyAlignment="1">
      <alignment horizontal="center"/>
    </xf>
    <xf numFmtId="0" fontId="28" fillId="36" borderId="4" xfId="0" applyFont="1" applyFill="1" applyBorder="1" applyAlignment="1">
      <alignment horizontal="center"/>
    </xf>
    <xf numFmtId="0" fontId="28" fillId="36" borderId="66" xfId="0" applyFont="1" applyFill="1" applyBorder="1" applyAlignment="1">
      <alignment horizontal="center"/>
    </xf>
    <xf numFmtId="0" fontId="28" fillId="36" borderId="78" xfId="0" applyFont="1" applyFill="1" applyBorder="1" applyAlignment="1">
      <alignment horizontal="center"/>
    </xf>
    <xf numFmtId="0" fontId="11" fillId="37" borderId="35" xfId="0" applyFont="1" applyFill="1" applyBorder="1" applyAlignment="1">
      <alignment horizontal="center"/>
    </xf>
    <xf numFmtId="0" fontId="11" fillId="37" borderId="33" xfId="0" applyFont="1" applyFill="1" applyBorder="1" applyAlignment="1">
      <alignment horizontal="center"/>
    </xf>
    <xf numFmtId="0" fontId="0" fillId="0" borderId="71" xfId="0" applyBorder="1" applyAlignment="1">
      <alignment horizontal="center"/>
    </xf>
    <xf numFmtId="0" fontId="28" fillId="36" borderId="17" xfId="0" applyFont="1" applyFill="1" applyBorder="1" applyAlignment="1">
      <alignment horizontal="center"/>
    </xf>
    <xf numFmtId="0" fontId="28" fillId="36" borderId="18" xfId="0" applyFont="1" applyFill="1" applyBorder="1" applyAlignment="1">
      <alignment horizontal="center"/>
    </xf>
    <xf numFmtId="0" fontId="28" fillId="36" borderId="61" xfId="0" applyFont="1" applyFill="1" applyBorder="1" applyAlignment="1">
      <alignment horizontal="center"/>
    </xf>
    <xf numFmtId="0" fontId="58" fillId="0" borderId="59" xfId="0" applyFont="1" applyBorder="1" applyAlignment="1">
      <alignment horizontal="center"/>
    </xf>
    <xf numFmtId="0" fontId="58" fillId="0" borderId="60" xfId="0" applyFont="1" applyBorder="1" applyAlignment="1">
      <alignment horizontal="center"/>
    </xf>
    <xf numFmtId="0" fontId="28" fillId="36" borderId="64" xfId="0" applyFont="1" applyFill="1" applyBorder="1" applyAlignment="1">
      <alignment horizontal="center"/>
    </xf>
    <xf numFmtId="0" fontId="28" fillId="36" borderId="13" xfId="0" applyFont="1" applyFill="1" applyBorder="1" applyAlignment="1">
      <alignment horizontal="center"/>
    </xf>
    <xf numFmtId="0" fontId="28" fillId="36" borderId="83" xfId="0" applyFont="1" applyFill="1" applyBorder="1" applyAlignment="1">
      <alignment horizontal="center"/>
    </xf>
    <xf numFmtId="0" fontId="11" fillId="37" borderId="0" xfId="0" applyFont="1" applyFill="1" applyAlignment="1">
      <alignment horizontal="center"/>
    </xf>
    <xf numFmtId="0" fontId="11" fillId="37" borderId="31" xfId="0" applyFont="1" applyFill="1" applyBorder="1" applyAlignment="1">
      <alignment horizontal="center"/>
    </xf>
    <xf numFmtId="0" fontId="0" fillId="0" borderId="10" xfId="0" applyBorder="1" applyAlignment="1">
      <alignment horizontal="center"/>
    </xf>
    <xf numFmtId="0" fontId="11" fillId="37" borderId="30" xfId="0" applyFont="1" applyFill="1" applyBorder="1" applyAlignment="1">
      <alignment horizontal="center"/>
    </xf>
    <xf numFmtId="0" fontId="11" fillId="37" borderId="62" xfId="0" applyFont="1" applyFill="1" applyBorder="1" applyAlignment="1">
      <alignment horizontal="center"/>
    </xf>
    <xf numFmtId="0" fontId="28" fillId="0" borderId="30" xfId="0" applyFont="1" applyBorder="1" applyAlignment="1">
      <alignment horizontal="center"/>
    </xf>
    <xf numFmtId="0" fontId="28" fillId="0" borderId="0" xfId="0" applyFont="1" applyAlignment="1">
      <alignment horizontal="center"/>
    </xf>
    <xf numFmtId="0" fontId="28" fillId="0" borderId="31" xfId="0" applyFont="1" applyBorder="1" applyAlignment="1">
      <alignment horizontal="center"/>
    </xf>
    <xf numFmtId="0" fontId="11" fillId="37" borderId="10" xfId="0" applyFont="1" applyFill="1" applyBorder="1" applyAlignment="1">
      <alignment horizontal="center"/>
    </xf>
    <xf numFmtId="0" fontId="11" fillId="37" borderId="9" xfId="0" applyFont="1" applyFill="1" applyBorder="1" applyAlignment="1">
      <alignment horizontal="center"/>
    </xf>
    <xf numFmtId="0" fontId="50" fillId="2" borderId="1" xfId="0" applyFont="1" applyFill="1" applyBorder="1" applyAlignment="1" applyProtection="1">
      <alignment horizontal="center" vertical="center" wrapText="1"/>
      <protection hidden="1"/>
    </xf>
    <xf numFmtId="0" fontId="63" fillId="2" borderId="1" xfId="0" applyFont="1" applyFill="1" applyBorder="1" applyAlignment="1" applyProtection="1">
      <alignment horizontal="center" vertical="center" wrapText="1"/>
      <protection hidden="1"/>
    </xf>
    <xf numFmtId="0" fontId="65" fillId="37" borderId="1" xfId="0" applyFont="1" applyFill="1" applyBorder="1" applyAlignment="1" applyProtection="1">
      <alignment horizontal="center" vertical="center" wrapText="1"/>
      <protection hidden="1"/>
    </xf>
    <xf numFmtId="0" fontId="63" fillId="2" borderId="0" xfId="0" applyFont="1" applyFill="1" applyAlignment="1" applyProtection="1">
      <alignment horizontal="center" vertical="center" wrapText="1"/>
      <protection hidden="1"/>
    </xf>
    <xf numFmtId="0" fontId="59" fillId="2" borderId="0" xfId="0" applyFont="1" applyFill="1" applyAlignment="1" applyProtection="1">
      <alignment horizontal="center" vertical="center" wrapText="1"/>
      <protection hidden="1"/>
    </xf>
    <xf numFmtId="0" fontId="53" fillId="2" borderId="8" xfId="0" applyFont="1" applyFill="1" applyBorder="1" applyAlignment="1" applyProtection="1">
      <alignment horizontal="center" vertical="center" wrapText="1"/>
      <protection hidden="1"/>
    </xf>
    <xf numFmtId="0" fontId="53" fillId="2" borderId="10" xfId="0" applyFont="1" applyFill="1" applyBorder="1" applyAlignment="1" applyProtection="1">
      <alignment horizontal="center" vertical="center" wrapText="1"/>
      <protection hidden="1"/>
    </xf>
    <xf numFmtId="0" fontId="53" fillId="2" borderId="9" xfId="0" applyFont="1" applyFill="1" applyBorder="1" applyAlignment="1" applyProtection="1">
      <alignment horizontal="center" vertical="center" wrapText="1"/>
      <protection hidden="1"/>
    </xf>
    <xf numFmtId="0" fontId="61" fillId="2" borderId="64" xfId="0" applyFont="1" applyFill="1" applyBorder="1" applyAlignment="1" applyProtection="1">
      <alignment horizontal="center" vertical="center" wrapText="1"/>
      <protection hidden="1"/>
    </xf>
    <xf numFmtId="0" fontId="61" fillId="2" borderId="13" xfId="0" applyFont="1" applyFill="1" applyBorder="1" applyAlignment="1" applyProtection="1">
      <alignment horizontal="center" vertical="center" wrapText="1"/>
      <protection hidden="1"/>
    </xf>
    <xf numFmtId="0" fontId="61" fillId="2" borderId="2" xfId="0" applyFont="1" applyFill="1" applyBorder="1" applyAlignment="1" applyProtection="1">
      <alignment horizontal="center" vertical="center" wrapText="1"/>
      <protection hidden="1"/>
    </xf>
    <xf numFmtId="0" fontId="64" fillId="37" borderId="30" xfId="0" applyFont="1" applyFill="1" applyBorder="1" applyAlignment="1" applyProtection="1">
      <alignment horizontal="center" vertical="center" wrapText="1"/>
      <protection hidden="1"/>
    </xf>
    <xf numFmtId="0" fontId="64" fillId="37" borderId="0" xfId="0" applyFont="1" applyFill="1" applyAlignment="1" applyProtection="1">
      <alignment horizontal="center" vertical="center" wrapText="1"/>
      <protection hidden="1"/>
    </xf>
    <xf numFmtId="0" fontId="64" fillId="37" borderId="62" xfId="0" applyFont="1" applyFill="1" applyBorder="1" applyAlignment="1" applyProtection="1">
      <alignment horizontal="center" vertical="center" wrapText="1"/>
      <protection hidden="1"/>
    </xf>
    <xf numFmtId="0" fontId="63" fillId="2" borderId="64" xfId="0" applyFont="1" applyFill="1" applyBorder="1" applyAlignment="1" applyProtection="1">
      <alignment horizontal="center" vertical="center" wrapText="1"/>
      <protection hidden="1"/>
    </xf>
    <xf numFmtId="0" fontId="63" fillId="2" borderId="13" xfId="0" applyFont="1" applyFill="1" applyBorder="1" applyAlignment="1" applyProtection="1">
      <alignment horizontal="center" vertical="center" wrapText="1"/>
      <protection hidden="1"/>
    </xf>
    <xf numFmtId="0" fontId="63" fillId="2" borderId="2" xfId="0" applyFont="1" applyFill="1" applyBorder="1" applyAlignment="1" applyProtection="1">
      <alignment horizontal="center" vertical="center" wrapText="1"/>
      <protection hidden="1"/>
    </xf>
    <xf numFmtId="0" fontId="13" fillId="2" borderId="0" xfId="0" applyFont="1" applyFill="1" applyAlignment="1" applyProtection="1">
      <alignment horizontal="center" vertical="center" wrapText="1"/>
      <protection hidden="1"/>
    </xf>
    <xf numFmtId="0" fontId="50" fillId="2" borderId="0" xfId="0" applyFont="1" applyFill="1" applyAlignment="1" applyProtection="1">
      <alignment horizontal="center" vertical="center" wrapText="1"/>
      <protection hidden="1"/>
    </xf>
    <xf numFmtId="0" fontId="50" fillId="2" borderId="14" xfId="0" applyFont="1" applyFill="1" applyBorder="1" applyAlignment="1" applyProtection="1">
      <alignment horizontal="center" vertical="center" wrapText="1"/>
      <protection hidden="1"/>
    </xf>
    <xf numFmtId="0" fontId="21" fillId="3" borderId="13" xfId="0" applyFont="1" applyFill="1" applyBorder="1" applyAlignment="1" applyProtection="1">
      <alignment horizontal="center" vertical="center" wrapText="1"/>
      <protection locked="0" hidden="1"/>
    </xf>
    <xf numFmtId="0" fontId="21" fillId="3" borderId="2" xfId="0" applyFont="1" applyFill="1" applyBorder="1" applyAlignment="1" applyProtection="1">
      <alignment horizontal="center" vertical="center" wrapText="1"/>
      <protection locked="0" hidden="1"/>
    </xf>
    <xf numFmtId="0" fontId="64" fillId="37" borderId="71" xfId="0" applyFont="1" applyFill="1" applyBorder="1" applyAlignment="1" applyProtection="1">
      <alignment horizontal="center" vertical="center" wrapText="1"/>
      <protection hidden="1"/>
    </xf>
    <xf numFmtId="0" fontId="21" fillId="2" borderId="64" xfId="0" applyFont="1" applyFill="1" applyBorder="1" applyAlignment="1" applyProtection="1">
      <alignment horizontal="center" vertical="center" wrapText="1"/>
      <protection hidden="1"/>
    </xf>
    <xf numFmtId="0" fontId="21" fillId="2" borderId="13" xfId="0" applyFont="1" applyFill="1" applyBorder="1" applyAlignment="1" applyProtection="1">
      <alignment horizontal="center" vertical="center" wrapText="1"/>
      <protection hidden="1"/>
    </xf>
    <xf numFmtId="0" fontId="76" fillId="2" borderId="0" xfId="0" applyFont="1" applyFill="1" applyAlignment="1" applyProtection="1">
      <alignment horizontal="center" vertical="center" wrapText="1"/>
      <protection hidden="1"/>
    </xf>
    <xf numFmtId="0" fontId="74" fillId="40" borderId="0" xfId="0" applyFont="1" applyFill="1" applyAlignment="1" applyProtection="1">
      <alignment horizontal="center" vertical="center" wrapText="1"/>
      <protection hidden="1"/>
    </xf>
    <xf numFmtId="0" fontId="77" fillId="41" borderId="1" xfId="0" applyFont="1" applyFill="1" applyBorder="1" applyAlignment="1" applyProtection="1">
      <alignment horizontal="center" vertical="center" wrapText="1"/>
      <protection hidden="1"/>
    </xf>
    <xf numFmtId="0" fontId="82" fillId="41" borderId="1" xfId="0" applyFont="1" applyFill="1" applyBorder="1" applyAlignment="1" applyProtection="1">
      <alignment horizontal="center" vertical="center" wrapText="1"/>
      <protection hidden="1"/>
    </xf>
    <xf numFmtId="0" fontId="64" fillId="41" borderId="1" xfId="0" applyFont="1" applyFill="1" applyBorder="1" applyAlignment="1" applyProtection="1">
      <alignment horizontal="center" vertical="center" wrapText="1"/>
      <protection hidden="1"/>
    </xf>
    <xf numFmtId="0" fontId="75" fillId="2" borderId="71" xfId="0" applyFont="1" applyFill="1" applyBorder="1" applyAlignment="1" applyProtection="1">
      <alignment horizontal="center" vertical="center" wrapText="1"/>
      <protection hidden="1"/>
    </xf>
    <xf numFmtId="0" fontId="75" fillId="2" borderId="0" xfId="0" applyFont="1" applyFill="1" applyAlignment="1" applyProtection="1">
      <alignment horizontal="center" vertical="center" wrapText="1"/>
      <protection hidden="1"/>
    </xf>
    <xf numFmtId="0" fontId="75" fillId="2" borderId="62" xfId="0" applyFont="1" applyFill="1" applyBorder="1" applyAlignment="1" applyProtection="1">
      <alignment horizontal="center" vertical="center" wrapText="1"/>
      <protection hidden="1"/>
    </xf>
    <xf numFmtId="0" fontId="84" fillId="2" borderId="0" xfId="0" applyFont="1" applyFill="1" applyAlignment="1" applyProtection="1">
      <alignment horizontal="justify" vertical="top" wrapText="1"/>
      <protection hidden="1"/>
    </xf>
    <xf numFmtId="0" fontId="85" fillId="2" borderId="0" xfId="0" quotePrefix="1" applyFont="1" applyFill="1" applyAlignment="1" applyProtection="1">
      <alignment horizontal="right" vertical="top" wrapText="1"/>
      <protection hidden="1"/>
    </xf>
    <xf numFmtId="0" fontId="21" fillId="2" borderId="0" xfId="0" applyFont="1" applyFill="1" applyAlignment="1" applyProtection="1">
      <alignment horizontal="left" vertical="justify" wrapText="1"/>
      <protection hidden="1"/>
    </xf>
    <xf numFmtId="0" fontId="83" fillId="2" borderId="0" xfId="0" quotePrefix="1" applyFont="1" applyFill="1" applyAlignment="1" applyProtection="1">
      <alignment horizontal="right" vertical="top" wrapText="1"/>
      <protection hidden="1"/>
    </xf>
    <xf numFmtId="0" fontId="13" fillId="2" borderId="0" xfId="0" applyFont="1" applyFill="1" applyAlignment="1" applyProtection="1">
      <alignment horizontal="left" vertical="top" wrapText="1"/>
      <protection hidden="1"/>
    </xf>
    <xf numFmtId="0" fontId="13" fillId="2" borderId="0" xfId="0" applyFont="1" applyFill="1" applyAlignment="1" applyProtection="1">
      <alignment horizontal="center" vertical="top" wrapText="1"/>
      <protection hidden="1"/>
    </xf>
    <xf numFmtId="0" fontId="21" fillId="3" borderId="1" xfId="0" applyFont="1" applyFill="1" applyBorder="1" applyAlignment="1" applyProtection="1">
      <alignment horizontal="center" vertical="center" wrapText="1"/>
      <protection locked="0" hidden="1"/>
    </xf>
  </cellXfs>
  <cellStyles count="44">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Neutre" xfId="8" builtinId="28" customBuiltin="1"/>
    <cellStyle name="Normal" xfId="0" builtinId="0"/>
    <cellStyle name="Normal 2" xfId="42" xr:uid="{C00198C1-ED41-432E-8EF9-A1BE5F718D86}"/>
    <cellStyle name="Note" xfId="15" builtinId="10" customBuiltin="1"/>
    <cellStyle name="Pourcentage" xfId="43" builtinId="5"/>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65">
    <dxf>
      <border>
        <left style="thin">
          <color theme="0"/>
        </left>
        <right style="thin">
          <color theme="0"/>
        </right>
        <top style="thin">
          <color theme="0"/>
        </top>
        <bottom style="thin">
          <color theme="0"/>
        </bottom>
        <vertical/>
        <horizontal/>
      </border>
    </dxf>
    <dxf>
      <border>
        <left style="thin">
          <color auto="1"/>
        </left>
        <right style="thin">
          <color auto="1"/>
        </right>
        <top style="thin">
          <color auto="1"/>
        </top>
        <bottom style="thin">
          <color auto="1"/>
        </bottom>
        <vertical/>
        <horizontal/>
      </border>
    </dxf>
    <dxf>
      <font>
        <b/>
        <i val="0"/>
      </font>
      <fill>
        <patternFill>
          <bgColor rgb="FFFF0000"/>
        </patternFill>
      </fill>
    </dxf>
    <dxf>
      <border>
        <left style="thin">
          <color theme="0"/>
        </left>
        <right style="thin">
          <color theme="0"/>
        </right>
        <top style="thin">
          <color theme="0"/>
        </top>
        <bottom style="thin">
          <color theme="0"/>
        </bottom>
        <vertical/>
        <horizontal/>
      </border>
    </dxf>
    <dxf>
      <border>
        <bottom style="thin">
          <color auto="1"/>
        </bottom>
        <vertical/>
        <horizontal/>
      </border>
    </dxf>
    <dxf>
      <border>
        <left style="thin">
          <color theme="0"/>
        </left>
        <right style="thin">
          <color theme="0"/>
        </right>
        <top style="thin">
          <color theme="0"/>
        </top>
        <bottom style="thin">
          <color theme="0"/>
        </bottom>
        <vertical/>
        <horizontal/>
      </border>
    </dxf>
    <dxf>
      <border>
        <left style="thin">
          <color auto="1"/>
        </left>
        <right style="thin">
          <color auto="1"/>
        </right>
        <top style="thin">
          <color auto="1"/>
        </top>
        <bottom style="thin">
          <color auto="1"/>
        </bottom>
        <vertical/>
        <horizontal/>
      </border>
    </dxf>
    <dxf>
      <font>
        <b/>
        <i val="0"/>
      </font>
      <fill>
        <patternFill>
          <bgColor rgb="FFFF0000"/>
        </patternFill>
      </fill>
    </dxf>
    <dxf>
      <border>
        <left style="thin">
          <color theme="0"/>
        </left>
        <right style="thin">
          <color theme="0"/>
        </right>
        <top style="thin">
          <color theme="0"/>
        </top>
        <bottom style="thin">
          <color theme="0"/>
        </bottom>
        <vertical/>
        <horizontal/>
      </border>
    </dxf>
    <dxf>
      <border>
        <left style="thin">
          <color theme="0"/>
        </left>
        <right style="thin">
          <color theme="0"/>
        </right>
        <top style="thin">
          <color theme="0"/>
        </top>
        <bottom style="thin">
          <color theme="0"/>
        </bottom>
        <vertical/>
        <horizontal/>
      </border>
    </dxf>
    <dxf>
      <border>
        <left style="thin">
          <color auto="1"/>
        </left>
        <right style="thin">
          <color auto="1"/>
        </right>
        <top style="thin">
          <color auto="1"/>
        </top>
        <bottom style="thin">
          <color auto="1"/>
        </bottom>
        <vertical/>
        <horizontal/>
      </border>
    </dxf>
    <dxf>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border>
        <left style="thin">
          <color auto="1"/>
        </left>
        <right style="thin">
          <color auto="1"/>
        </right>
        <top style="thin">
          <color auto="1"/>
        </top>
        <bottom style="thin">
          <color auto="1"/>
        </bottom>
        <vertical/>
        <horizontal/>
      </border>
    </dxf>
    <dxf>
      <border>
        <left style="thin">
          <color theme="0"/>
        </left>
        <right style="thin">
          <color theme="0"/>
        </right>
        <top style="thin">
          <color theme="0"/>
        </top>
        <bottom style="thin">
          <color theme="0"/>
        </bottom>
        <vertical/>
        <horizontal/>
      </border>
    </dxf>
    <dxf>
      <border>
        <left style="thin">
          <color auto="1"/>
        </left>
        <right style="thin">
          <color auto="1"/>
        </right>
        <top style="thin">
          <color auto="1"/>
        </top>
        <bottom style="thin">
          <color auto="1"/>
        </bottom>
        <vertical/>
        <horizontal/>
      </border>
    </dxf>
    <dxf>
      <border>
        <left style="thin">
          <color theme="0"/>
        </left>
        <right style="thin">
          <color theme="0"/>
        </right>
        <top style="thin">
          <color theme="0"/>
        </top>
        <bottom style="thin">
          <color theme="0"/>
        </bottom>
        <vertical/>
        <horizontal/>
      </border>
    </dxf>
    <dxf>
      <border>
        <left style="thin">
          <color auto="1"/>
        </left>
        <right style="thin">
          <color auto="1"/>
        </right>
        <top style="thin">
          <color auto="1"/>
        </top>
        <bottom style="thin">
          <color auto="1"/>
        </bottom>
        <vertical/>
        <horizontal/>
      </border>
    </dxf>
    <dxf>
      <font>
        <b/>
        <i val="0"/>
      </font>
      <fill>
        <patternFill>
          <bgColor rgb="FFFF0000"/>
        </patternFill>
      </fill>
    </dxf>
    <dxf>
      <border>
        <left style="thin">
          <color theme="0"/>
        </left>
        <right style="thin">
          <color theme="0"/>
        </right>
        <top style="thin">
          <color theme="0"/>
        </top>
        <bottom style="thin">
          <color theme="0"/>
        </bottom>
        <vertical/>
        <horizontal/>
      </border>
    </dxf>
    <dxf>
      <border>
        <left style="thin">
          <color auto="1"/>
        </left>
        <right style="thin">
          <color auto="1"/>
        </right>
        <top style="thin">
          <color auto="1"/>
        </top>
        <bottom style="thin">
          <color auto="1"/>
        </bottom>
        <vertical/>
        <horizontal/>
      </border>
    </dxf>
    <dxf>
      <font>
        <b/>
        <i val="0"/>
      </font>
      <fill>
        <patternFill>
          <bgColor rgb="FFFF0000"/>
        </patternFill>
      </fill>
    </dxf>
    <dxf>
      <border>
        <left style="thin">
          <color theme="0"/>
        </left>
        <right style="thin">
          <color theme="0"/>
        </right>
        <top style="thin">
          <color theme="0"/>
        </top>
        <bottom style="thin">
          <color theme="0"/>
        </bottom>
        <vertical/>
        <horizontal/>
      </border>
    </dxf>
    <dxf>
      <border>
        <left style="thin">
          <color auto="1"/>
        </left>
        <right style="thin">
          <color auto="1"/>
        </right>
        <top style="thin">
          <color auto="1"/>
        </top>
        <bottom style="thin">
          <color auto="1"/>
        </bottom>
        <vertical/>
        <horizontal/>
      </border>
    </dxf>
    <dxf>
      <border>
        <left style="thin">
          <color theme="0"/>
        </left>
        <right style="thin">
          <color theme="0"/>
        </right>
        <top style="thin">
          <color theme="0"/>
        </top>
        <bottom style="thin">
          <color theme="0"/>
        </bottom>
        <vertical/>
        <horizontal/>
      </border>
    </dxf>
    <dxf>
      <border>
        <left style="thin">
          <color auto="1"/>
        </left>
        <right style="thin">
          <color auto="1"/>
        </right>
        <top style="thin">
          <color auto="1"/>
        </top>
        <bottom style="thin">
          <color auto="1"/>
        </bottom>
        <vertical/>
        <horizontal/>
      </border>
    </dxf>
    <dxf>
      <font>
        <b/>
        <i val="0"/>
      </font>
      <fill>
        <patternFill>
          <bgColor rgb="FFFF0000"/>
        </patternFill>
      </fill>
    </dxf>
    <dxf>
      <border>
        <left style="thin">
          <color theme="0"/>
        </left>
        <right style="thin">
          <color theme="0"/>
        </right>
        <top style="thin">
          <color theme="0"/>
        </top>
        <bottom style="thin">
          <color theme="0"/>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border>
        <left style="thin">
          <color auto="1"/>
        </left>
        <right style="thin">
          <color auto="1"/>
        </right>
        <top style="thin">
          <color auto="1"/>
        </top>
        <bottom style="thin">
          <color auto="1"/>
        </bottom>
        <vertical/>
        <horizontal/>
      </border>
    </dxf>
    <dxf>
      <border>
        <left style="thin">
          <color theme="0"/>
        </left>
        <right style="thin">
          <color theme="0"/>
        </right>
        <top style="thin">
          <color theme="0"/>
        </top>
        <bottom style="thin">
          <color theme="0"/>
        </bottom>
        <vertical/>
        <horizontal/>
      </border>
    </dxf>
    <dxf>
      <border>
        <left style="thin">
          <color auto="1"/>
        </left>
        <right style="thin">
          <color auto="1"/>
        </right>
        <top style="thin">
          <color auto="1"/>
        </top>
        <bottom style="thin">
          <color auto="1"/>
        </bottom>
        <vertical/>
        <horizontal/>
      </border>
    </dxf>
    <dxf>
      <border>
        <left style="thin">
          <color theme="0"/>
        </left>
        <right style="thin">
          <color theme="0"/>
        </right>
        <top style="thin">
          <color theme="0"/>
        </top>
        <bottom style="thin">
          <color theme="0"/>
        </bottom>
        <vertical/>
        <horizontal/>
      </border>
    </dxf>
    <dxf>
      <border>
        <left style="thin">
          <color auto="1"/>
        </left>
        <right style="thin">
          <color auto="1"/>
        </right>
        <top style="thin">
          <color auto="1"/>
        </top>
        <bottom style="thin">
          <color auto="1"/>
        </bottom>
        <vertical/>
        <horizontal/>
      </border>
    </dxf>
    <dxf>
      <font>
        <b/>
        <i val="0"/>
      </font>
      <fill>
        <patternFill>
          <bgColor rgb="FFFF0000"/>
        </patternFill>
      </fill>
    </dxf>
    <dxf>
      <border>
        <left style="thin">
          <color theme="0"/>
        </left>
        <right style="thin">
          <color theme="0"/>
        </right>
        <top style="thin">
          <color theme="0"/>
        </top>
        <bottom style="thin">
          <color theme="0"/>
        </bottom>
        <vertical/>
        <horizontal/>
      </border>
    </dxf>
    <dxf>
      <border>
        <left style="thin">
          <color auto="1"/>
        </left>
        <right style="thin">
          <color auto="1"/>
        </right>
        <top style="thin">
          <color auto="1"/>
        </top>
        <bottom style="thin">
          <color auto="1"/>
        </bottom>
        <vertical/>
        <horizontal/>
      </border>
    </dxf>
    <dxf>
      <font>
        <b/>
        <i val="0"/>
      </font>
      <fill>
        <patternFill>
          <bgColor rgb="FFFF0000"/>
        </patternFill>
      </fill>
    </dxf>
    <dxf>
      <border>
        <left style="thin">
          <color theme="0"/>
        </left>
        <right style="thin">
          <color theme="0"/>
        </right>
        <top style="thin">
          <color theme="0"/>
        </top>
        <bottom style="thin">
          <color theme="0"/>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theme="0"/>
        </left>
        <right style="thin">
          <color theme="0"/>
        </right>
        <top style="thin">
          <color theme="0"/>
        </top>
        <bottom style="thin">
          <color theme="0"/>
        </bottom>
        <vertical/>
        <horizontal/>
      </border>
    </dxf>
    <dxf>
      <font>
        <b/>
        <i val="0"/>
      </font>
      <fill>
        <patternFill>
          <bgColor rgb="FFFF0000"/>
        </patternFill>
      </fill>
    </dxf>
    <dxf>
      <border>
        <left style="thin">
          <color theme="0"/>
        </left>
        <right style="thin">
          <color theme="0"/>
        </right>
        <top style="thin">
          <color theme="0"/>
        </top>
        <bottom style="thin">
          <color theme="0"/>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border>
        <left style="thin">
          <color auto="1"/>
        </left>
        <right style="thin">
          <color auto="1"/>
        </right>
        <top style="thin">
          <color auto="1"/>
        </top>
        <bottom style="thin">
          <color auto="1"/>
        </bottom>
        <vertical/>
        <horizontal/>
      </border>
    </dxf>
    <dxf>
      <border>
        <left style="thin">
          <color theme="0"/>
        </left>
        <right style="thin">
          <color theme="0"/>
        </right>
        <top style="thin">
          <color theme="0"/>
        </top>
        <bottom style="thin">
          <color theme="0"/>
        </bottom>
        <vertical/>
        <horizontal/>
      </border>
    </dxf>
    <dxf>
      <border>
        <left style="thin">
          <color auto="1"/>
        </left>
        <right style="thin">
          <color auto="1"/>
        </right>
        <top style="thin">
          <color auto="1"/>
        </top>
        <bottom style="thin">
          <color auto="1"/>
        </bottom>
        <vertical/>
        <horizontal/>
      </border>
    </dxf>
    <dxf>
      <border>
        <left style="thin">
          <color theme="0"/>
        </left>
        <right style="thin">
          <color theme="0"/>
        </right>
        <top style="thin">
          <color theme="0"/>
        </top>
        <bottom style="thin">
          <color theme="0"/>
        </bottom>
        <vertical/>
        <horizontal/>
      </border>
    </dxf>
    <dxf>
      <border>
        <left style="thin">
          <color auto="1"/>
        </left>
        <right style="thin">
          <color auto="1"/>
        </right>
        <top style="thin">
          <color auto="1"/>
        </top>
        <bottom style="thin">
          <color auto="1"/>
        </bottom>
        <vertical/>
        <horizontal/>
      </border>
    </dxf>
    <dxf>
      <font>
        <b/>
        <i val="0"/>
      </font>
      <fill>
        <patternFill>
          <bgColor rgb="FFFF0000"/>
        </patternFill>
      </fill>
    </dxf>
    <dxf>
      <font>
        <b/>
        <i val="0"/>
        <color auto="1"/>
      </font>
      <fill>
        <patternFill patternType="lightUp">
          <fgColor theme="9" tint="-0.24994659260841701"/>
          <bgColor rgb="FFFF0000"/>
        </patternFill>
      </fill>
    </dxf>
    <dxf>
      <font>
        <b/>
        <i val="0"/>
        <color auto="1"/>
      </font>
      <fill>
        <patternFill>
          <bgColor rgb="FF00B0F0"/>
        </patternFill>
      </fill>
    </dxf>
    <dxf>
      <font>
        <b/>
        <i val="0"/>
      </font>
      <fill>
        <patternFill>
          <bgColor rgb="FF00B0F0"/>
        </patternFill>
      </fill>
    </dxf>
    <dxf>
      <font>
        <b/>
        <i val="0"/>
        <color auto="1"/>
      </font>
      <fill>
        <patternFill patternType="lightUp">
          <fgColor theme="9" tint="-0.24994659260841701"/>
          <bgColor rgb="FFFF0000"/>
        </patternFill>
      </fill>
    </dxf>
    <dxf>
      <font>
        <b/>
        <i val="0"/>
        <color auto="1"/>
      </font>
      <fill>
        <patternFill>
          <bgColor rgb="FF00B0F0"/>
        </patternFill>
      </fill>
    </dxf>
    <dxf>
      <font>
        <b/>
        <i val="0"/>
      </font>
      <fill>
        <patternFill>
          <bgColor rgb="FF00B0F0"/>
        </patternFill>
      </fill>
    </dxf>
    <dxf>
      <font>
        <b/>
        <i/>
      </font>
      <fill>
        <patternFill>
          <bgColor rgb="FFFF0000"/>
        </patternFill>
      </fill>
    </dxf>
    <dxf>
      <fill>
        <patternFill>
          <bgColor rgb="FFFF0000"/>
        </patternFill>
      </fill>
    </dxf>
    <dxf>
      <fill>
        <patternFill>
          <bgColor rgb="FFFF0000"/>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9" defaultPivotStyle="PivotStyleLight16"/>
  <colors>
    <mruColors>
      <color rgb="FFFFE5EA"/>
      <color rgb="FFCC0000"/>
      <color rgb="FFD0CB00"/>
      <color rgb="FFEBE600"/>
      <color rgb="FFFF8181"/>
      <color rgb="FFFEF1E6"/>
      <color rgb="FFFF8F43"/>
      <color rgb="FFFF6600"/>
      <color rgb="FFEC7F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Arial Narrow" panose="020B0606020202030204" pitchFamily="34" charset="0"/>
                <a:ea typeface="+mn-ea"/>
                <a:cs typeface="+mn-cs"/>
              </a:defRPr>
            </a:pPr>
            <a:r>
              <a:rPr lang="fr-FR" sz="1050" b="1">
                <a:solidFill>
                  <a:schemeClr val="tx1"/>
                </a:solidFill>
                <a:latin typeface="Arial Narrow" panose="020B0606020202030204" pitchFamily="34" charset="0"/>
              </a:rPr>
              <a:t>Traitements par motif</a:t>
            </a:r>
          </a:p>
        </c:rich>
      </c:tx>
      <c:layout>
        <c:manualLayout>
          <c:xMode val="edge"/>
          <c:yMode val="edge"/>
          <c:x val="0.32784528249758255"/>
          <c:y val="5.4204313846244079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21093844908450771"/>
          <c:y val="0.24254678731993681"/>
          <c:w val="0.6483700676935561"/>
          <c:h val="0.59546455390208608"/>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E6E-4D7A-89B8-6938705E36A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E6E-4D7A-89B8-6938705E36A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E6E-4D7A-89B8-6938705E36A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E6E-4D7A-89B8-6938705E36A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E6E-4D7A-89B8-6938705E36A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E6E-4D7A-89B8-6938705E36A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E6E-4D7A-89B8-6938705E36A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E6E-4D7A-89B8-6938705E36A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0E6E-4D7A-89B8-6938705E36A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0E6E-4D7A-89B8-6938705E36AC}"/>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0E6E-4D7A-89B8-6938705E36AC}"/>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0E6E-4D7A-89B8-6938705E36AC}"/>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0E6E-4D7A-89B8-6938705E36AC}"/>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0E6E-4D7A-89B8-6938705E36AC}"/>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0E6E-4D7A-89B8-6938705E36AC}"/>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0E6E-4D7A-89B8-6938705E36AC}"/>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0E6E-4D7A-89B8-6938705E36AC}"/>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0E6E-4D7A-89B8-6938705E36AC}"/>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0E6E-4D7A-89B8-6938705E36AC}"/>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72FF-4575-A86C-BC5E2182200A}"/>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MASQ2!$J$4:$J$23</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cat>
          <c:val>
            <c:numRef>
              <c:f>MASQ2!$K$4:$K$23</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26-0E6E-4D7A-89B8-6938705E36AC}"/>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Narrow" panose="020B0606020202030204" pitchFamily="34" charset="0"/>
                <a:ea typeface="+mn-ea"/>
                <a:cs typeface="+mn-cs"/>
              </a:defRPr>
            </a:pPr>
            <a:r>
              <a:rPr lang="fr-FR" sz="1400" b="1" i="0" baseline="0">
                <a:effectLst/>
              </a:rPr>
              <a:t>Répartition du nombre de traitement par animal durant l'année étudiée</a:t>
            </a:r>
            <a:endParaRPr lang="fr-FR" sz="14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5.7183701723958313E-2"/>
          <c:y val="0.17202099737532808"/>
          <c:w val="0.70922739017316561"/>
          <c:h val="0.66006896596183207"/>
        </c:manualLayout>
      </c:layout>
      <c:barChart>
        <c:barDir val="col"/>
        <c:grouping val="stacked"/>
        <c:varyColors val="0"/>
        <c:ser>
          <c:idx val="0"/>
          <c:order val="0"/>
          <c:tx>
            <c:strRef>
              <c:f>MASQ2!$DA$5</c:f>
              <c:strCache>
                <c:ptCount val="1"/>
              </c:strCache>
            </c:strRef>
          </c:tx>
          <c:spPr>
            <a:solidFill>
              <a:schemeClr val="accent1"/>
            </a:solidFill>
            <a:ln>
              <a:noFill/>
            </a:ln>
            <a:effectLst/>
          </c:spPr>
          <c:invertIfNegative val="0"/>
          <c:cat>
            <c:strRef>
              <c:f>MASQ2!$DB$3:$DM$3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MASQ2!$DB$5:$DM$5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004-4FE2-A791-B5BF2C06EEC7}"/>
            </c:ext>
          </c:extLst>
        </c:ser>
        <c:ser>
          <c:idx val="1"/>
          <c:order val="1"/>
          <c:tx>
            <c:strRef>
              <c:f>MASQ2!$DA$6</c:f>
              <c:strCache>
                <c:ptCount val="1"/>
              </c:strCache>
            </c:strRef>
          </c:tx>
          <c:spPr>
            <a:solidFill>
              <a:schemeClr val="accent2"/>
            </a:solidFill>
            <a:ln>
              <a:noFill/>
            </a:ln>
            <a:effectLst/>
          </c:spPr>
          <c:invertIfNegative val="0"/>
          <c:cat>
            <c:strRef>
              <c:f>MASQ2!$DB$3:$DM$3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MASQ2!$DB$6:$DM$6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004-4FE2-A791-B5BF2C06EEC7}"/>
            </c:ext>
          </c:extLst>
        </c:ser>
        <c:ser>
          <c:idx val="2"/>
          <c:order val="2"/>
          <c:tx>
            <c:strRef>
              <c:f>MASQ2!$DA$7</c:f>
              <c:strCache>
                <c:ptCount val="1"/>
              </c:strCache>
            </c:strRef>
          </c:tx>
          <c:spPr>
            <a:solidFill>
              <a:schemeClr val="accent3"/>
            </a:solidFill>
            <a:ln>
              <a:noFill/>
            </a:ln>
            <a:effectLst/>
          </c:spPr>
          <c:invertIfNegative val="0"/>
          <c:cat>
            <c:strRef>
              <c:f>MASQ2!$DB$3:$DM$3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MASQ2!$DB$7:$DM$7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7004-4FE2-A791-B5BF2C06EEC7}"/>
            </c:ext>
          </c:extLst>
        </c:ser>
        <c:ser>
          <c:idx val="3"/>
          <c:order val="3"/>
          <c:tx>
            <c:strRef>
              <c:f>MASQ2!$DA$8</c:f>
              <c:strCache>
                <c:ptCount val="1"/>
              </c:strCache>
            </c:strRef>
          </c:tx>
          <c:spPr>
            <a:solidFill>
              <a:schemeClr val="accent4"/>
            </a:solidFill>
            <a:ln>
              <a:noFill/>
            </a:ln>
            <a:effectLst/>
          </c:spPr>
          <c:invertIfNegative val="0"/>
          <c:cat>
            <c:strRef>
              <c:f>MASQ2!$DB$3:$DM$3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MASQ2!$DB$8:$DM$8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7004-4FE2-A791-B5BF2C06EEC7}"/>
            </c:ext>
          </c:extLst>
        </c:ser>
        <c:ser>
          <c:idx val="4"/>
          <c:order val="4"/>
          <c:tx>
            <c:strRef>
              <c:f>MASQ2!$DA$9</c:f>
              <c:strCache>
                <c:ptCount val="1"/>
              </c:strCache>
            </c:strRef>
          </c:tx>
          <c:spPr>
            <a:solidFill>
              <a:schemeClr val="accent5"/>
            </a:solidFill>
            <a:ln>
              <a:noFill/>
            </a:ln>
            <a:effectLst/>
          </c:spPr>
          <c:invertIfNegative val="0"/>
          <c:cat>
            <c:strRef>
              <c:f>MASQ2!$DB$3:$DM$3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MASQ2!$DB$9:$DM$9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7004-4FE2-A791-B5BF2C06EEC7}"/>
            </c:ext>
          </c:extLst>
        </c:ser>
        <c:ser>
          <c:idx val="5"/>
          <c:order val="5"/>
          <c:tx>
            <c:strRef>
              <c:f>MASQ2!$DA$10</c:f>
              <c:strCache>
                <c:ptCount val="1"/>
              </c:strCache>
            </c:strRef>
          </c:tx>
          <c:spPr>
            <a:solidFill>
              <a:schemeClr val="accent6"/>
            </a:solidFill>
            <a:ln>
              <a:noFill/>
            </a:ln>
            <a:effectLst/>
          </c:spPr>
          <c:invertIfNegative val="0"/>
          <c:cat>
            <c:strRef>
              <c:f>MASQ2!$DB$3:$DM$3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MASQ2!$DB$10:$DM$10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7004-4FE2-A791-B5BF2C06EEC7}"/>
            </c:ext>
          </c:extLst>
        </c:ser>
        <c:ser>
          <c:idx val="6"/>
          <c:order val="6"/>
          <c:tx>
            <c:strRef>
              <c:f>MASQ2!$DA$11</c:f>
              <c:strCache>
                <c:ptCount val="1"/>
              </c:strCache>
            </c:strRef>
          </c:tx>
          <c:spPr>
            <a:solidFill>
              <a:schemeClr val="accent1">
                <a:lumMod val="60000"/>
              </a:schemeClr>
            </a:solidFill>
            <a:ln>
              <a:noFill/>
            </a:ln>
            <a:effectLst/>
          </c:spPr>
          <c:invertIfNegative val="0"/>
          <c:cat>
            <c:strRef>
              <c:f>MASQ2!$DB$3:$DM$3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MASQ2!$DB$11:$DM$11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7004-4FE2-A791-B5BF2C06EEC7}"/>
            </c:ext>
          </c:extLst>
        </c:ser>
        <c:ser>
          <c:idx val="7"/>
          <c:order val="7"/>
          <c:tx>
            <c:strRef>
              <c:f>MASQ2!$DA$12</c:f>
              <c:strCache>
                <c:ptCount val="1"/>
              </c:strCache>
            </c:strRef>
          </c:tx>
          <c:spPr>
            <a:solidFill>
              <a:schemeClr val="accent2">
                <a:lumMod val="60000"/>
              </a:schemeClr>
            </a:solidFill>
            <a:ln>
              <a:noFill/>
            </a:ln>
            <a:effectLst/>
          </c:spPr>
          <c:invertIfNegative val="0"/>
          <c:cat>
            <c:strRef>
              <c:f>MASQ2!$DB$3:$DM$3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MASQ2!$DB$12:$DM$12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7004-4FE2-A791-B5BF2C06EEC7}"/>
            </c:ext>
          </c:extLst>
        </c:ser>
        <c:ser>
          <c:idx val="8"/>
          <c:order val="8"/>
          <c:tx>
            <c:strRef>
              <c:f>MASQ2!$DA$13</c:f>
              <c:strCache>
                <c:ptCount val="1"/>
              </c:strCache>
            </c:strRef>
          </c:tx>
          <c:spPr>
            <a:solidFill>
              <a:schemeClr val="accent3">
                <a:lumMod val="60000"/>
              </a:schemeClr>
            </a:solidFill>
            <a:ln>
              <a:noFill/>
            </a:ln>
            <a:effectLst/>
          </c:spPr>
          <c:invertIfNegative val="0"/>
          <c:cat>
            <c:strRef>
              <c:f>MASQ2!$DB$3:$DM$3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MASQ2!$DB$13:$DM$13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7004-4FE2-A791-B5BF2C06EEC7}"/>
            </c:ext>
          </c:extLst>
        </c:ser>
        <c:ser>
          <c:idx val="9"/>
          <c:order val="9"/>
          <c:tx>
            <c:strRef>
              <c:f>MASQ2!$DA$14</c:f>
              <c:strCache>
                <c:ptCount val="1"/>
              </c:strCache>
            </c:strRef>
          </c:tx>
          <c:spPr>
            <a:solidFill>
              <a:schemeClr val="accent4">
                <a:lumMod val="60000"/>
              </a:schemeClr>
            </a:solidFill>
            <a:ln>
              <a:noFill/>
            </a:ln>
            <a:effectLst/>
          </c:spPr>
          <c:invertIfNegative val="0"/>
          <c:cat>
            <c:strRef>
              <c:f>MASQ2!$DB$3:$DM$3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MASQ2!$DB$14:$DM$14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7004-4FE2-A791-B5BF2C06EEC7}"/>
            </c:ext>
          </c:extLst>
        </c:ser>
        <c:dLbls>
          <c:showLegendKey val="0"/>
          <c:showVal val="0"/>
          <c:showCatName val="0"/>
          <c:showSerName val="0"/>
          <c:showPercent val="0"/>
          <c:showBubbleSize val="0"/>
        </c:dLbls>
        <c:gapWidth val="75"/>
        <c:overlap val="100"/>
        <c:axId val="657994160"/>
        <c:axId val="657991536"/>
      </c:barChart>
      <c:catAx>
        <c:axId val="6579941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657991536"/>
        <c:crosses val="autoZero"/>
        <c:auto val="1"/>
        <c:lblAlgn val="ctr"/>
        <c:lblOffset val="100"/>
        <c:noMultiLvlLbl val="0"/>
      </c:catAx>
      <c:valAx>
        <c:axId val="657991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657994160"/>
        <c:crosses val="autoZero"/>
        <c:crossBetween val="between"/>
      </c:valAx>
      <c:spPr>
        <a:noFill/>
        <a:ln>
          <a:noFill/>
        </a:ln>
        <a:effectLst/>
      </c:spPr>
    </c:plotArea>
    <c:legend>
      <c:legendPos val="r"/>
      <c:layout>
        <c:manualLayout>
          <c:xMode val="edge"/>
          <c:yMode val="edge"/>
          <c:x val="0.7815931019086102"/>
          <c:y val="7.2725442864949336E-2"/>
          <c:w val="0.20533500132108501"/>
          <c:h val="0.869347760533779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Arial Narrow" panose="020B0606020202030204" pitchFamily="34" charset="0"/>
                <a:ea typeface="+mn-ea"/>
                <a:cs typeface="+mn-cs"/>
              </a:defRPr>
            </a:pPr>
            <a:r>
              <a:rPr lang="fr-FR" sz="1200" b="1">
                <a:solidFill>
                  <a:schemeClr val="tx1"/>
                </a:solidFill>
                <a:latin typeface="Arial Narrow" panose="020B0606020202030204" pitchFamily="34" charset="0"/>
              </a:rPr>
              <a:t>Médicaments utilisés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942748406588215"/>
          <c:y val="0.18878005200708484"/>
          <c:w val="0.57463709441106858"/>
          <c:h val="0.7668247946989004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2CF-4AA6-9255-3D9F192EFA2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2CF-4AA6-9255-3D9F192EFA2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2CF-4AA6-9255-3D9F192EFA2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2CF-4AA6-9255-3D9F192EFA2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2CF-4AA6-9255-3D9F192EFA2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2CF-4AA6-9255-3D9F192EFA2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2CF-4AA6-9255-3D9F192EFA2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2CF-4AA6-9255-3D9F192EFA2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2CF-4AA6-9255-3D9F192EFA2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2CF-4AA6-9255-3D9F192EFA2C}"/>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52CF-4AA6-9255-3D9F192EFA2C}"/>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52CF-4AA6-9255-3D9F192EFA2C}"/>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52CF-4AA6-9255-3D9F192EFA2C}"/>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52CF-4AA6-9255-3D9F192EFA2C}"/>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52CF-4AA6-9255-3D9F192EFA2C}"/>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52CF-4AA6-9255-3D9F192EFA2C}"/>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52CF-4AA6-9255-3D9F192EFA2C}"/>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52CF-4AA6-9255-3D9F192EFA2C}"/>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52CF-4AA6-9255-3D9F192EFA2C}"/>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52CF-4AA6-9255-3D9F192EFA2C}"/>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52CF-4AA6-9255-3D9F192EFA2C}"/>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52CF-4AA6-9255-3D9F192EFA2C}"/>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52CF-4AA6-9255-3D9F192EFA2C}"/>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52CF-4AA6-9255-3D9F192EFA2C}"/>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52CF-4AA6-9255-3D9F192EFA2C}"/>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3-52CF-4AA6-9255-3D9F192EFA2C}"/>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35-52CF-4AA6-9255-3D9F192EFA2C}"/>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52CF-4AA6-9255-3D9F192EFA2C}"/>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39-52CF-4AA6-9255-3D9F192EFA2C}"/>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B-52CF-4AA6-9255-3D9F192EFA2C}"/>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3D-52CF-4AA6-9255-3D9F192EFA2C}"/>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3F-52CF-4AA6-9255-3D9F192EFA2C}"/>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1-52CF-4AA6-9255-3D9F192EFA2C}"/>
              </c:ext>
            </c:extLst>
          </c:dPt>
          <c:dPt>
            <c:idx val="3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43-52CF-4AA6-9255-3D9F192EFA2C}"/>
              </c:ext>
            </c:extLst>
          </c:dPt>
          <c:dPt>
            <c:idx val="3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45-52CF-4AA6-9255-3D9F192EFA2C}"/>
              </c:ext>
            </c:extLst>
          </c:dPt>
          <c:dPt>
            <c:idx val="3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47-52CF-4AA6-9255-3D9F192EFA2C}"/>
              </c:ext>
            </c:extLst>
          </c:dPt>
          <c:dPt>
            <c:idx val="3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49-52CF-4AA6-9255-3D9F192EFA2C}"/>
              </c:ext>
            </c:extLst>
          </c:dPt>
          <c:dPt>
            <c:idx val="3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4B-52CF-4AA6-9255-3D9F192EFA2C}"/>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4D-52CF-4AA6-9255-3D9F192EFA2C}"/>
              </c:ext>
            </c:extLst>
          </c:dPt>
          <c:dPt>
            <c:idx val="3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4F-52CF-4AA6-9255-3D9F192EFA2C}"/>
              </c:ext>
            </c:extLst>
          </c:dPt>
          <c:dPt>
            <c:idx val="4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51-52CF-4AA6-9255-3D9F192EFA2C}"/>
              </c:ext>
            </c:extLst>
          </c:dPt>
          <c:dPt>
            <c:idx val="4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53-52CF-4AA6-9255-3D9F192EFA2C}"/>
              </c:ext>
            </c:extLst>
          </c:dPt>
          <c:dPt>
            <c:idx val="4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55-52CF-4AA6-9255-3D9F192EFA2C}"/>
              </c:ext>
            </c:extLst>
          </c:dPt>
          <c:dPt>
            <c:idx val="4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57-52CF-4AA6-9255-3D9F192EFA2C}"/>
              </c:ext>
            </c:extLst>
          </c:dPt>
          <c:dPt>
            <c:idx val="4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59-52CF-4AA6-9255-3D9F192EFA2C}"/>
              </c:ext>
            </c:extLst>
          </c:dPt>
          <c:dPt>
            <c:idx val="4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5B-52CF-4AA6-9255-3D9F192EFA2C}"/>
              </c:ext>
            </c:extLst>
          </c:dPt>
          <c:dPt>
            <c:idx val="4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5D-52CF-4AA6-9255-3D9F192EFA2C}"/>
              </c:ext>
            </c:extLst>
          </c:dPt>
          <c:dPt>
            <c:idx val="4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5F-52CF-4AA6-9255-3D9F192EFA2C}"/>
              </c:ext>
            </c:extLst>
          </c:dPt>
          <c:dPt>
            <c:idx val="4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61-52CF-4AA6-9255-3D9F192EFA2C}"/>
              </c:ext>
            </c:extLst>
          </c:dPt>
          <c:dPt>
            <c:idx val="4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063-52CF-4AA6-9255-3D9F192EFA2C}"/>
              </c:ext>
            </c:extLst>
          </c:dPt>
          <c:dPt>
            <c:idx val="5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65-52CF-4AA6-9255-3D9F192EFA2C}"/>
              </c:ext>
            </c:extLst>
          </c:dPt>
          <c:dPt>
            <c:idx val="5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067-52CF-4AA6-9255-3D9F192EFA2C}"/>
              </c:ext>
            </c:extLst>
          </c:dPt>
          <c:dPt>
            <c:idx val="5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69-52CF-4AA6-9255-3D9F192EFA2C}"/>
              </c:ext>
            </c:extLst>
          </c:dPt>
          <c:dPt>
            <c:idx val="5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06B-52CF-4AA6-9255-3D9F192EFA2C}"/>
              </c:ext>
            </c:extLst>
          </c:dPt>
          <c:dPt>
            <c:idx val="54"/>
            <c:bubble3D val="0"/>
            <c:spPr>
              <a:solidFill>
                <a:schemeClr val="accent1"/>
              </a:solidFill>
              <a:ln w="19050">
                <a:solidFill>
                  <a:schemeClr val="lt1"/>
                </a:solidFill>
              </a:ln>
              <a:effectLst/>
            </c:spPr>
            <c:extLst>
              <c:ext xmlns:c16="http://schemas.microsoft.com/office/drawing/2014/chart" uri="{C3380CC4-5D6E-409C-BE32-E72D297353CC}">
                <c16:uniqueId val="{0000006D-52CF-4AA6-9255-3D9F192EFA2C}"/>
              </c:ext>
            </c:extLst>
          </c:dPt>
          <c:dPt>
            <c:idx val="55"/>
            <c:bubble3D val="0"/>
            <c:spPr>
              <a:solidFill>
                <a:schemeClr val="accent2"/>
              </a:solidFill>
              <a:ln w="19050">
                <a:solidFill>
                  <a:schemeClr val="lt1"/>
                </a:solidFill>
              </a:ln>
              <a:effectLst/>
            </c:spPr>
            <c:extLst>
              <c:ext xmlns:c16="http://schemas.microsoft.com/office/drawing/2014/chart" uri="{C3380CC4-5D6E-409C-BE32-E72D297353CC}">
                <c16:uniqueId val="{0000006F-52CF-4AA6-9255-3D9F192EFA2C}"/>
              </c:ext>
            </c:extLst>
          </c:dPt>
          <c:dPt>
            <c:idx val="56"/>
            <c:bubble3D val="0"/>
            <c:spPr>
              <a:solidFill>
                <a:schemeClr val="accent3"/>
              </a:solidFill>
              <a:ln w="19050">
                <a:solidFill>
                  <a:schemeClr val="lt1"/>
                </a:solidFill>
              </a:ln>
              <a:effectLst/>
            </c:spPr>
            <c:extLst>
              <c:ext xmlns:c16="http://schemas.microsoft.com/office/drawing/2014/chart" uri="{C3380CC4-5D6E-409C-BE32-E72D297353CC}">
                <c16:uniqueId val="{00000071-52CF-4AA6-9255-3D9F192EFA2C}"/>
              </c:ext>
            </c:extLst>
          </c:dPt>
          <c:dPt>
            <c:idx val="57"/>
            <c:bubble3D val="0"/>
            <c:spPr>
              <a:solidFill>
                <a:schemeClr val="accent4"/>
              </a:solidFill>
              <a:ln w="19050">
                <a:solidFill>
                  <a:schemeClr val="lt1"/>
                </a:solidFill>
              </a:ln>
              <a:effectLst/>
            </c:spPr>
            <c:extLst>
              <c:ext xmlns:c16="http://schemas.microsoft.com/office/drawing/2014/chart" uri="{C3380CC4-5D6E-409C-BE32-E72D297353CC}">
                <c16:uniqueId val="{00000073-52CF-4AA6-9255-3D9F192EFA2C}"/>
              </c:ext>
            </c:extLst>
          </c:dPt>
          <c:dPt>
            <c:idx val="58"/>
            <c:bubble3D val="0"/>
            <c:spPr>
              <a:solidFill>
                <a:schemeClr val="accent5"/>
              </a:solidFill>
              <a:ln w="19050">
                <a:solidFill>
                  <a:schemeClr val="lt1"/>
                </a:solidFill>
              </a:ln>
              <a:effectLst/>
            </c:spPr>
            <c:extLst>
              <c:ext xmlns:c16="http://schemas.microsoft.com/office/drawing/2014/chart" uri="{C3380CC4-5D6E-409C-BE32-E72D297353CC}">
                <c16:uniqueId val="{00000075-52CF-4AA6-9255-3D9F192EFA2C}"/>
              </c:ext>
            </c:extLst>
          </c:dPt>
          <c:dPt>
            <c:idx val="59"/>
            <c:bubble3D val="0"/>
            <c:spPr>
              <a:solidFill>
                <a:schemeClr val="accent6"/>
              </a:solidFill>
              <a:ln w="19050">
                <a:solidFill>
                  <a:schemeClr val="lt1"/>
                </a:solidFill>
              </a:ln>
              <a:effectLst/>
            </c:spPr>
            <c:extLst>
              <c:ext xmlns:c16="http://schemas.microsoft.com/office/drawing/2014/chart" uri="{C3380CC4-5D6E-409C-BE32-E72D297353CC}">
                <c16:uniqueId val="{00000077-52CF-4AA6-9255-3D9F192EFA2C}"/>
              </c:ext>
            </c:extLst>
          </c:dPt>
          <c:dPt>
            <c:idx val="6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79-52CF-4AA6-9255-3D9F192EFA2C}"/>
              </c:ext>
            </c:extLst>
          </c:dPt>
          <c:dPt>
            <c:idx val="61"/>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7B-52CF-4AA6-9255-3D9F192EFA2C}"/>
              </c:ext>
            </c:extLst>
          </c:dPt>
          <c:dPt>
            <c:idx val="62"/>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7D-52CF-4AA6-9255-3D9F192EFA2C}"/>
              </c:ext>
            </c:extLst>
          </c:dPt>
          <c:dPt>
            <c:idx val="63"/>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7F-52CF-4AA6-9255-3D9F192EFA2C}"/>
              </c:ext>
            </c:extLst>
          </c:dPt>
          <c:dPt>
            <c:idx val="6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81-52CF-4AA6-9255-3D9F192EFA2C}"/>
              </c:ext>
            </c:extLst>
          </c:dPt>
          <c:dPt>
            <c:idx val="6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83-52CF-4AA6-9255-3D9F192EFA2C}"/>
              </c:ext>
            </c:extLst>
          </c:dPt>
          <c:dPt>
            <c:idx val="6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85-52CF-4AA6-9255-3D9F192EFA2C}"/>
              </c:ext>
            </c:extLst>
          </c:dPt>
          <c:dPt>
            <c:idx val="67"/>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87-52CF-4AA6-9255-3D9F192EFA2C}"/>
              </c:ext>
            </c:extLst>
          </c:dPt>
          <c:dPt>
            <c:idx val="68"/>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89-52CF-4AA6-9255-3D9F192EFA2C}"/>
              </c:ext>
            </c:extLst>
          </c:dPt>
          <c:dPt>
            <c:idx val="69"/>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8B-52CF-4AA6-9255-3D9F192EFA2C}"/>
              </c:ext>
            </c:extLst>
          </c:dPt>
          <c:dPt>
            <c:idx val="70"/>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8D-52CF-4AA6-9255-3D9F192EFA2C}"/>
              </c:ext>
            </c:extLst>
          </c:dPt>
          <c:dPt>
            <c:idx val="71"/>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8F-52CF-4AA6-9255-3D9F192EFA2C}"/>
              </c:ext>
            </c:extLst>
          </c:dPt>
          <c:dPt>
            <c:idx val="72"/>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91-52CF-4AA6-9255-3D9F192EFA2C}"/>
              </c:ext>
            </c:extLst>
          </c:dPt>
          <c:dPt>
            <c:idx val="73"/>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93-52CF-4AA6-9255-3D9F192EFA2C}"/>
              </c:ext>
            </c:extLst>
          </c:dPt>
          <c:dPt>
            <c:idx val="74"/>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95-52CF-4AA6-9255-3D9F192EFA2C}"/>
              </c:ext>
            </c:extLst>
          </c:dPt>
          <c:dPt>
            <c:idx val="75"/>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97-52CF-4AA6-9255-3D9F192EFA2C}"/>
              </c:ext>
            </c:extLst>
          </c:dPt>
          <c:dPt>
            <c:idx val="76"/>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99-52CF-4AA6-9255-3D9F192EFA2C}"/>
              </c:ext>
            </c:extLst>
          </c:dPt>
          <c:dPt>
            <c:idx val="77"/>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9B-52CF-4AA6-9255-3D9F192EFA2C}"/>
              </c:ext>
            </c:extLst>
          </c:dPt>
          <c:dPt>
            <c:idx val="7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9D-52CF-4AA6-9255-3D9F192EFA2C}"/>
              </c:ext>
            </c:extLst>
          </c:dPt>
          <c:dPt>
            <c:idx val="79"/>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9F-52CF-4AA6-9255-3D9F192EFA2C}"/>
              </c:ext>
            </c:extLst>
          </c:dPt>
          <c:dPt>
            <c:idx val="8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A1-52CF-4AA6-9255-3D9F192EFA2C}"/>
              </c:ext>
            </c:extLst>
          </c:dPt>
          <c:dPt>
            <c:idx val="8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A3-52CF-4AA6-9255-3D9F192EFA2C}"/>
              </c:ext>
            </c:extLst>
          </c:dPt>
          <c:dPt>
            <c:idx val="82"/>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A5-52CF-4AA6-9255-3D9F192EFA2C}"/>
              </c:ext>
            </c:extLst>
          </c:dPt>
          <c:dPt>
            <c:idx val="8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A7-52CF-4AA6-9255-3D9F192EFA2C}"/>
              </c:ext>
            </c:extLst>
          </c:dPt>
          <c:dPt>
            <c:idx val="84"/>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A9-52CF-4AA6-9255-3D9F192EFA2C}"/>
              </c:ext>
            </c:extLst>
          </c:dPt>
          <c:dPt>
            <c:idx val="85"/>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AB-52CF-4AA6-9255-3D9F192EFA2C}"/>
              </c:ext>
            </c:extLst>
          </c:dPt>
          <c:dPt>
            <c:idx val="8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AD-52CF-4AA6-9255-3D9F192EFA2C}"/>
              </c:ext>
            </c:extLst>
          </c:dPt>
          <c:dPt>
            <c:idx val="87"/>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AF-52CF-4AA6-9255-3D9F192EFA2C}"/>
              </c:ext>
            </c:extLst>
          </c:dPt>
          <c:dPt>
            <c:idx val="8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B1-52CF-4AA6-9255-3D9F192EFA2C}"/>
              </c:ext>
            </c:extLst>
          </c:dPt>
          <c:dPt>
            <c:idx val="89"/>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B3-52CF-4AA6-9255-3D9F192EFA2C}"/>
              </c:ext>
            </c:extLst>
          </c:dPt>
          <c:dPt>
            <c:idx val="90"/>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B5-52CF-4AA6-9255-3D9F192EFA2C}"/>
              </c:ext>
            </c:extLst>
          </c:dPt>
          <c:dPt>
            <c:idx val="91"/>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B7-52CF-4AA6-9255-3D9F192EFA2C}"/>
              </c:ext>
            </c:extLst>
          </c:dPt>
          <c:dPt>
            <c:idx val="92"/>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B9-52CF-4AA6-9255-3D9F192EFA2C}"/>
              </c:ext>
            </c:extLst>
          </c:dPt>
          <c:dPt>
            <c:idx val="93"/>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BB-52CF-4AA6-9255-3D9F192EFA2C}"/>
              </c:ext>
            </c:extLst>
          </c:dPt>
          <c:dPt>
            <c:idx val="94"/>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BD-52CF-4AA6-9255-3D9F192EFA2C}"/>
              </c:ext>
            </c:extLst>
          </c:dPt>
          <c:dPt>
            <c:idx val="95"/>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BF-52CF-4AA6-9255-3D9F192EFA2C}"/>
              </c:ext>
            </c:extLst>
          </c:dPt>
          <c:dPt>
            <c:idx val="96"/>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C1-52CF-4AA6-9255-3D9F192EFA2C}"/>
              </c:ext>
            </c:extLst>
          </c:dPt>
          <c:dPt>
            <c:idx val="97"/>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C3-52CF-4AA6-9255-3D9F192EFA2C}"/>
              </c:ext>
            </c:extLst>
          </c:dPt>
          <c:dPt>
            <c:idx val="98"/>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C5-52CF-4AA6-9255-3D9F192EFA2C}"/>
              </c:ext>
            </c:extLst>
          </c:dPt>
          <c:dPt>
            <c:idx val="99"/>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C7-52CF-4AA6-9255-3D9F192EFA2C}"/>
              </c:ext>
            </c:extLst>
          </c:dPt>
          <c:dPt>
            <c:idx val="100"/>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C9-52CF-4AA6-9255-3D9F192EFA2C}"/>
              </c:ext>
            </c:extLst>
          </c:dPt>
          <c:dPt>
            <c:idx val="101"/>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CB-52CF-4AA6-9255-3D9F192EFA2C}"/>
              </c:ext>
            </c:extLst>
          </c:dPt>
          <c:dPt>
            <c:idx val="102"/>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CD-52CF-4AA6-9255-3D9F192EFA2C}"/>
              </c:ext>
            </c:extLst>
          </c:dPt>
          <c:dPt>
            <c:idx val="103"/>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0CF-52CF-4AA6-9255-3D9F192EFA2C}"/>
              </c:ext>
            </c:extLst>
          </c:dPt>
          <c:dPt>
            <c:idx val="104"/>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D1-52CF-4AA6-9255-3D9F192EFA2C}"/>
              </c:ext>
            </c:extLst>
          </c:dPt>
          <c:dPt>
            <c:idx val="105"/>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0D3-52CF-4AA6-9255-3D9F192EFA2C}"/>
              </c:ext>
            </c:extLst>
          </c:dPt>
          <c:dPt>
            <c:idx val="106"/>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D5-52CF-4AA6-9255-3D9F192EFA2C}"/>
              </c:ext>
            </c:extLst>
          </c:dPt>
          <c:dPt>
            <c:idx val="107"/>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0D7-52CF-4AA6-9255-3D9F192EFA2C}"/>
              </c:ext>
            </c:extLst>
          </c:dPt>
          <c:dPt>
            <c:idx val="108"/>
            <c:bubble3D val="0"/>
            <c:spPr>
              <a:solidFill>
                <a:schemeClr val="accent1"/>
              </a:solidFill>
              <a:ln w="19050">
                <a:solidFill>
                  <a:schemeClr val="lt1"/>
                </a:solidFill>
              </a:ln>
              <a:effectLst/>
            </c:spPr>
            <c:extLst>
              <c:ext xmlns:c16="http://schemas.microsoft.com/office/drawing/2014/chart" uri="{C3380CC4-5D6E-409C-BE32-E72D297353CC}">
                <c16:uniqueId val="{000000D9-52CF-4AA6-9255-3D9F192EFA2C}"/>
              </c:ext>
            </c:extLst>
          </c:dPt>
          <c:dPt>
            <c:idx val="109"/>
            <c:bubble3D val="0"/>
            <c:spPr>
              <a:solidFill>
                <a:schemeClr val="accent2"/>
              </a:solidFill>
              <a:ln w="19050">
                <a:solidFill>
                  <a:schemeClr val="lt1"/>
                </a:solidFill>
              </a:ln>
              <a:effectLst/>
            </c:spPr>
            <c:extLst>
              <c:ext xmlns:c16="http://schemas.microsoft.com/office/drawing/2014/chart" uri="{C3380CC4-5D6E-409C-BE32-E72D297353CC}">
                <c16:uniqueId val="{000000DB-52CF-4AA6-9255-3D9F192EFA2C}"/>
              </c:ext>
            </c:extLst>
          </c:dPt>
          <c:dPt>
            <c:idx val="110"/>
            <c:bubble3D val="0"/>
            <c:spPr>
              <a:solidFill>
                <a:schemeClr val="accent3"/>
              </a:solidFill>
              <a:ln w="19050">
                <a:solidFill>
                  <a:schemeClr val="lt1"/>
                </a:solidFill>
              </a:ln>
              <a:effectLst/>
            </c:spPr>
            <c:extLst>
              <c:ext xmlns:c16="http://schemas.microsoft.com/office/drawing/2014/chart" uri="{C3380CC4-5D6E-409C-BE32-E72D297353CC}">
                <c16:uniqueId val="{000000DD-52CF-4AA6-9255-3D9F192EFA2C}"/>
              </c:ext>
            </c:extLst>
          </c:dPt>
          <c:dPt>
            <c:idx val="111"/>
            <c:bubble3D val="0"/>
            <c:spPr>
              <a:solidFill>
                <a:schemeClr val="accent4"/>
              </a:solidFill>
              <a:ln w="19050">
                <a:solidFill>
                  <a:schemeClr val="lt1"/>
                </a:solidFill>
              </a:ln>
              <a:effectLst/>
            </c:spPr>
            <c:extLst>
              <c:ext xmlns:c16="http://schemas.microsoft.com/office/drawing/2014/chart" uri="{C3380CC4-5D6E-409C-BE32-E72D297353CC}">
                <c16:uniqueId val="{000000DF-52CF-4AA6-9255-3D9F192EFA2C}"/>
              </c:ext>
            </c:extLst>
          </c:dPt>
          <c:dPt>
            <c:idx val="112"/>
            <c:bubble3D val="0"/>
            <c:spPr>
              <a:solidFill>
                <a:schemeClr val="accent5"/>
              </a:solidFill>
              <a:ln w="19050">
                <a:solidFill>
                  <a:schemeClr val="lt1"/>
                </a:solidFill>
              </a:ln>
              <a:effectLst/>
            </c:spPr>
            <c:extLst>
              <c:ext xmlns:c16="http://schemas.microsoft.com/office/drawing/2014/chart" uri="{C3380CC4-5D6E-409C-BE32-E72D297353CC}">
                <c16:uniqueId val="{000000E1-52CF-4AA6-9255-3D9F192EFA2C}"/>
              </c:ext>
            </c:extLst>
          </c:dPt>
          <c:dPt>
            <c:idx val="113"/>
            <c:bubble3D val="0"/>
            <c:spPr>
              <a:solidFill>
                <a:schemeClr val="accent6"/>
              </a:solidFill>
              <a:ln w="19050">
                <a:solidFill>
                  <a:schemeClr val="lt1"/>
                </a:solidFill>
              </a:ln>
              <a:effectLst/>
            </c:spPr>
            <c:extLst>
              <c:ext xmlns:c16="http://schemas.microsoft.com/office/drawing/2014/chart" uri="{C3380CC4-5D6E-409C-BE32-E72D297353CC}">
                <c16:uniqueId val="{000000E3-52CF-4AA6-9255-3D9F192EFA2C}"/>
              </c:ext>
            </c:extLst>
          </c:dPt>
          <c:dPt>
            <c:idx val="114"/>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E5-52CF-4AA6-9255-3D9F192EFA2C}"/>
              </c:ext>
            </c:extLst>
          </c:dPt>
          <c:dPt>
            <c:idx val="115"/>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E7-52CF-4AA6-9255-3D9F192EFA2C}"/>
              </c:ext>
            </c:extLst>
          </c:dPt>
          <c:dPt>
            <c:idx val="116"/>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E9-52CF-4AA6-9255-3D9F192EFA2C}"/>
              </c:ext>
            </c:extLst>
          </c:dPt>
          <c:dPt>
            <c:idx val="117"/>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EB-52CF-4AA6-9255-3D9F192EFA2C}"/>
              </c:ext>
            </c:extLst>
          </c:dPt>
          <c:dPt>
            <c:idx val="118"/>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ED-52CF-4AA6-9255-3D9F192EFA2C}"/>
              </c:ext>
            </c:extLst>
          </c:dPt>
          <c:dPt>
            <c:idx val="119"/>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EF-52CF-4AA6-9255-3D9F192EFA2C}"/>
              </c:ext>
            </c:extLst>
          </c:dPt>
          <c:dPt>
            <c:idx val="120"/>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F1-52CF-4AA6-9255-3D9F192EFA2C}"/>
              </c:ext>
            </c:extLst>
          </c:dPt>
          <c:dPt>
            <c:idx val="121"/>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F3-52CF-4AA6-9255-3D9F192EFA2C}"/>
              </c:ext>
            </c:extLst>
          </c:dPt>
          <c:dPt>
            <c:idx val="122"/>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F5-52CF-4AA6-9255-3D9F192EFA2C}"/>
              </c:ext>
            </c:extLst>
          </c:dPt>
          <c:dPt>
            <c:idx val="123"/>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F7-52CF-4AA6-9255-3D9F192EFA2C}"/>
              </c:ext>
            </c:extLst>
          </c:dPt>
          <c:dPt>
            <c:idx val="124"/>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F9-52CF-4AA6-9255-3D9F192EFA2C}"/>
              </c:ext>
            </c:extLst>
          </c:dPt>
          <c:dPt>
            <c:idx val="125"/>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FB-52CF-4AA6-9255-3D9F192EFA2C}"/>
              </c:ext>
            </c:extLst>
          </c:dPt>
          <c:dPt>
            <c:idx val="126"/>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FD-52CF-4AA6-9255-3D9F192EFA2C}"/>
              </c:ext>
            </c:extLst>
          </c:dPt>
          <c:dPt>
            <c:idx val="127"/>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FF-52CF-4AA6-9255-3D9F192EFA2C}"/>
              </c:ext>
            </c:extLst>
          </c:dPt>
          <c:dPt>
            <c:idx val="128"/>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101-52CF-4AA6-9255-3D9F192EFA2C}"/>
              </c:ext>
            </c:extLst>
          </c:dPt>
          <c:dPt>
            <c:idx val="129"/>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103-52CF-4AA6-9255-3D9F192EFA2C}"/>
              </c:ext>
            </c:extLst>
          </c:dPt>
          <c:dPt>
            <c:idx val="130"/>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105-52CF-4AA6-9255-3D9F192EFA2C}"/>
              </c:ext>
            </c:extLst>
          </c:dPt>
          <c:dPt>
            <c:idx val="13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107-52CF-4AA6-9255-3D9F192EFA2C}"/>
              </c:ext>
            </c:extLst>
          </c:dPt>
          <c:dPt>
            <c:idx val="13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109-52CF-4AA6-9255-3D9F192EFA2C}"/>
              </c:ext>
            </c:extLst>
          </c:dPt>
          <c:dPt>
            <c:idx val="13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10B-52CF-4AA6-9255-3D9F192EFA2C}"/>
              </c:ext>
            </c:extLst>
          </c:dPt>
          <c:dPt>
            <c:idx val="134"/>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10D-52CF-4AA6-9255-3D9F192EFA2C}"/>
              </c:ext>
            </c:extLst>
          </c:dPt>
          <c:dPt>
            <c:idx val="13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10F-52CF-4AA6-9255-3D9F192EFA2C}"/>
              </c:ext>
            </c:extLst>
          </c:dPt>
          <c:dPt>
            <c:idx val="136"/>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111-52CF-4AA6-9255-3D9F192EFA2C}"/>
              </c:ext>
            </c:extLst>
          </c:dPt>
          <c:dPt>
            <c:idx val="137"/>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113-52CF-4AA6-9255-3D9F192EFA2C}"/>
              </c:ext>
            </c:extLst>
          </c:dPt>
          <c:dPt>
            <c:idx val="138"/>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115-52CF-4AA6-9255-3D9F192EFA2C}"/>
              </c:ext>
            </c:extLst>
          </c:dPt>
          <c:dPt>
            <c:idx val="139"/>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117-52CF-4AA6-9255-3D9F192EFA2C}"/>
              </c:ext>
            </c:extLst>
          </c:dPt>
          <c:dPt>
            <c:idx val="14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119-52CF-4AA6-9255-3D9F192EFA2C}"/>
              </c:ext>
            </c:extLst>
          </c:dPt>
          <c:dPt>
            <c:idx val="141"/>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11B-52CF-4AA6-9255-3D9F192EFA2C}"/>
              </c:ext>
            </c:extLst>
          </c:dPt>
          <c:dPt>
            <c:idx val="142"/>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11D-52CF-4AA6-9255-3D9F192EFA2C}"/>
              </c:ext>
            </c:extLst>
          </c:dPt>
          <c:dPt>
            <c:idx val="143"/>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11F-52CF-4AA6-9255-3D9F192EFA2C}"/>
              </c:ext>
            </c:extLst>
          </c:dPt>
          <c:dPt>
            <c:idx val="144"/>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121-52CF-4AA6-9255-3D9F192EFA2C}"/>
              </c:ext>
            </c:extLst>
          </c:dPt>
          <c:dPt>
            <c:idx val="145"/>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123-52CF-4AA6-9255-3D9F192EFA2C}"/>
              </c:ext>
            </c:extLst>
          </c:dPt>
          <c:dPt>
            <c:idx val="146"/>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125-52CF-4AA6-9255-3D9F192EFA2C}"/>
              </c:ext>
            </c:extLst>
          </c:dPt>
          <c:dPt>
            <c:idx val="147"/>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127-52CF-4AA6-9255-3D9F192EFA2C}"/>
              </c:ext>
            </c:extLst>
          </c:dPt>
          <c:dPt>
            <c:idx val="148"/>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129-52CF-4AA6-9255-3D9F192EFA2C}"/>
              </c:ext>
            </c:extLst>
          </c:dPt>
          <c:dPt>
            <c:idx val="149"/>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12B-52CF-4AA6-9255-3D9F192EFA2C}"/>
              </c:ext>
            </c:extLst>
          </c:dPt>
          <c:dPt>
            <c:idx val="150"/>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12D-52CF-4AA6-9255-3D9F192EFA2C}"/>
              </c:ext>
            </c:extLst>
          </c:dPt>
          <c:dPt>
            <c:idx val="151"/>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12F-52CF-4AA6-9255-3D9F192EFA2C}"/>
              </c:ext>
            </c:extLst>
          </c:dPt>
          <c:dPt>
            <c:idx val="152"/>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131-52CF-4AA6-9255-3D9F192EFA2C}"/>
              </c:ext>
            </c:extLst>
          </c:dPt>
          <c:dPt>
            <c:idx val="153"/>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133-52CF-4AA6-9255-3D9F192EFA2C}"/>
              </c:ext>
            </c:extLst>
          </c:dPt>
          <c:dPt>
            <c:idx val="154"/>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135-52CF-4AA6-9255-3D9F192EFA2C}"/>
              </c:ext>
            </c:extLst>
          </c:dPt>
          <c:dPt>
            <c:idx val="155"/>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137-52CF-4AA6-9255-3D9F192EFA2C}"/>
              </c:ext>
            </c:extLst>
          </c:dPt>
          <c:dPt>
            <c:idx val="156"/>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139-52CF-4AA6-9255-3D9F192EFA2C}"/>
              </c:ext>
            </c:extLst>
          </c:dPt>
          <c:dPt>
            <c:idx val="157"/>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13B-52CF-4AA6-9255-3D9F192EFA2C}"/>
              </c:ext>
            </c:extLst>
          </c:dPt>
          <c:dPt>
            <c:idx val="158"/>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13D-52CF-4AA6-9255-3D9F192EFA2C}"/>
              </c:ext>
            </c:extLst>
          </c:dPt>
          <c:dPt>
            <c:idx val="159"/>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13F-52CF-4AA6-9255-3D9F192EFA2C}"/>
              </c:ext>
            </c:extLst>
          </c:dPt>
          <c:dPt>
            <c:idx val="160"/>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141-52CF-4AA6-9255-3D9F192EFA2C}"/>
              </c:ext>
            </c:extLst>
          </c:dPt>
          <c:dPt>
            <c:idx val="161"/>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143-52CF-4AA6-9255-3D9F192EFA2C}"/>
              </c:ext>
            </c:extLst>
          </c:dPt>
          <c:dPt>
            <c:idx val="162"/>
            <c:bubble3D val="0"/>
            <c:spPr>
              <a:solidFill>
                <a:schemeClr val="accent1"/>
              </a:solidFill>
              <a:ln w="19050">
                <a:solidFill>
                  <a:schemeClr val="lt1"/>
                </a:solidFill>
              </a:ln>
              <a:effectLst/>
            </c:spPr>
            <c:extLst>
              <c:ext xmlns:c16="http://schemas.microsoft.com/office/drawing/2014/chart" uri="{C3380CC4-5D6E-409C-BE32-E72D297353CC}">
                <c16:uniqueId val="{00000145-52CF-4AA6-9255-3D9F192EFA2C}"/>
              </c:ext>
            </c:extLst>
          </c:dPt>
          <c:dPt>
            <c:idx val="163"/>
            <c:bubble3D val="0"/>
            <c:spPr>
              <a:solidFill>
                <a:schemeClr val="accent2"/>
              </a:solidFill>
              <a:ln w="19050">
                <a:solidFill>
                  <a:schemeClr val="lt1"/>
                </a:solidFill>
              </a:ln>
              <a:effectLst/>
            </c:spPr>
            <c:extLst>
              <c:ext xmlns:c16="http://schemas.microsoft.com/office/drawing/2014/chart" uri="{C3380CC4-5D6E-409C-BE32-E72D297353CC}">
                <c16:uniqueId val="{00000147-52CF-4AA6-9255-3D9F192EFA2C}"/>
              </c:ext>
            </c:extLst>
          </c:dPt>
          <c:dPt>
            <c:idx val="164"/>
            <c:bubble3D val="0"/>
            <c:spPr>
              <a:solidFill>
                <a:schemeClr val="accent3"/>
              </a:solidFill>
              <a:ln w="19050">
                <a:solidFill>
                  <a:schemeClr val="lt1"/>
                </a:solidFill>
              </a:ln>
              <a:effectLst/>
            </c:spPr>
            <c:extLst>
              <c:ext xmlns:c16="http://schemas.microsoft.com/office/drawing/2014/chart" uri="{C3380CC4-5D6E-409C-BE32-E72D297353CC}">
                <c16:uniqueId val="{00000149-52CF-4AA6-9255-3D9F192EFA2C}"/>
              </c:ext>
            </c:extLst>
          </c:dPt>
          <c:dPt>
            <c:idx val="165"/>
            <c:bubble3D val="0"/>
            <c:spPr>
              <a:solidFill>
                <a:schemeClr val="accent4"/>
              </a:solidFill>
              <a:ln w="19050">
                <a:solidFill>
                  <a:schemeClr val="lt1"/>
                </a:solidFill>
              </a:ln>
              <a:effectLst/>
            </c:spPr>
            <c:extLst>
              <c:ext xmlns:c16="http://schemas.microsoft.com/office/drawing/2014/chart" uri="{C3380CC4-5D6E-409C-BE32-E72D297353CC}">
                <c16:uniqueId val="{0000014B-52CF-4AA6-9255-3D9F192EFA2C}"/>
              </c:ext>
            </c:extLst>
          </c:dPt>
          <c:dPt>
            <c:idx val="166"/>
            <c:bubble3D val="0"/>
            <c:spPr>
              <a:solidFill>
                <a:schemeClr val="accent5"/>
              </a:solidFill>
              <a:ln w="19050">
                <a:solidFill>
                  <a:schemeClr val="lt1"/>
                </a:solidFill>
              </a:ln>
              <a:effectLst/>
            </c:spPr>
            <c:extLst>
              <c:ext xmlns:c16="http://schemas.microsoft.com/office/drawing/2014/chart" uri="{C3380CC4-5D6E-409C-BE32-E72D297353CC}">
                <c16:uniqueId val="{0000014D-52CF-4AA6-9255-3D9F192EFA2C}"/>
              </c:ext>
            </c:extLst>
          </c:dPt>
          <c:dPt>
            <c:idx val="167"/>
            <c:bubble3D val="0"/>
            <c:spPr>
              <a:solidFill>
                <a:schemeClr val="accent6"/>
              </a:solidFill>
              <a:ln w="19050">
                <a:solidFill>
                  <a:schemeClr val="lt1"/>
                </a:solidFill>
              </a:ln>
              <a:effectLst/>
            </c:spPr>
            <c:extLst>
              <c:ext xmlns:c16="http://schemas.microsoft.com/office/drawing/2014/chart" uri="{C3380CC4-5D6E-409C-BE32-E72D297353CC}">
                <c16:uniqueId val="{0000014F-52CF-4AA6-9255-3D9F192EFA2C}"/>
              </c:ext>
            </c:extLst>
          </c:dPt>
          <c:dPt>
            <c:idx val="168"/>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51-52CF-4AA6-9255-3D9F192EFA2C}"/>
              </c:ext>
            </c:extLst>
          </c:dPt>
          <c:dPt>
            <c:idx val="169"/>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53-52CF-4AA6-9255-3D9F192EFA2C}"/>
              </c:ext>
            </c:extLst>
          </c:dPt>
          <c:dPt>
            <c:idx val="170"/>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55-52CF-4AA6-9255-3D9F192EFA2C}"/>
              </c:ext>
            </c:extLst>
          </c:dPt>
          <c:dPt>
            <c:idx val="171"/>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57-52CF-4AA6-9255-3D9F192EFA2C}"/>
              </c:ext>
            </c:extLst>
          </c:dPt>
          <c:dPt>
            <c:idx val="172"/>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59-52CF-4AA6-9255-3D9F192EFA2C}"/>
              </c:ext>
            </c:extLst>
          </c:dPt>
          <c:dPt>
            <c:idx val="17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15B-52CF-4AA6-9255-3D9F192EFA2C}"/>
              </c:ext>
            </c:extLst>
          </c:dPt>
          <c:dPt>
            <c:idx val="174"/>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15D-52CF-4AA6-9255-3D9F192EFA2C}"/>
              </c:ext>
            </c:extLst>
          </c:dPt>
          <c:dPt>
            <c:idx val="175"/>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15F-52CF-4AA6-9255-3D9F192EFA2C}"/>
              </c:ext>
            </c:extLst>
          </c:dPt>
          <c:dPt>
            <c:idx val="176"/>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1-52CF-4AA6-9255-3D9F192EFA2C}"/>
              </c:ext>
            </c:extLst>
          </c:dPt>
          <c:dPt>
            <c:idx val="17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163-52CF-4AA6-9255-3D9F192EFA2C}"/>
              </c:ext>
            </c:extLst>
          </c:dPt>
          <c:dPt>
            <c:idx val="17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165-52CF-4AA6-9255-3D9F192EFA2C}"/>
              </c:ext>
            </c:extLst>
          </c:dPt>
          <c:dPt>
            <c:idx val="179"/>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167-52CF-4AA6-9255-3D9F192EFA2C}"/>
              </c:ext>
            </c:extLst>
          </c:dPt>
          <c:dPt>
            <c:idx val="180"/>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169-52CF-4AA6-9255-3D9F192EFA2C}"/>
              </c:ext>
            </c:extLst>
          </c:dPt>
          <c:dPt>
            <c:idx val="181"/>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16B-52CF-4AA6-9255-3D9F192EFA2C}"/>
              </c:ext>
            </c:extLst>
          </c:dPt>
          <c:dPt>
            <c:idx val="182"/>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16D-52CF-4AA6-9255-3D9F192EFA2C}"/>
              </c:ext>
            </c:extLst>
          </c:dPt>
          <c:dPt>
            <c:idx val="183"/>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16F-52CF-4AA6-9255-3D9F192EFA2C}"/>
              </c:ext>
            </c:extLst>
          </c:dPt>
          <c:dPt>
            <c:idx val="184"/>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171-52CF-4AA6-9255-3D9F192EFA2C}"/>
              </c:ext>
            </c:extLst>
          </c:dPt>
          <c:dPt>
            <c:idx val="185"/>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173-52CF-4AA6-9255-3D9F192EFA2C}"/>
              </c:ext>
            </c:extLst>
          </c:dPt>
          <c:dPt>
            <c:idx val="18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175-52CF-4AA6-9255-3D9F192EFA2C}"/>
              </c:ext>
            </c:extLst>
          </c:dPt>
          <c:dPt>
            <c:idx val="187"/>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177-52CF-4AA6-9255-3D9F192EFA2C}"/>
              </c:ext>
            </c:extLst>
          </c:dPt>
          <c:dPt>
            <c:idx val="188"/>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179-52CF-4AA6-9255-3D9F192EFA2C}"/>
              </c:ext>
            </c:extLst>
          </c:dPt>
          <c:dPt>
            <c:idx val="18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17B-52CF-4AA6-9255-3D9F192EFA2C}"/>
              </c:ext>
            </c:extLst>
          </c:dPt>
          <c:dPt>
            <c:idx val="190"/>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17D-52CF-4AA6-9255-3D9F192EFA2C}"/>
              </c:ext>
            </c:extLst>
          </c:dPt>
          <c:dPt>
            <c:idx val="19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17F-52CF-4AA6-9255-3D9F192EFA2C}"/>
              </c:ext>
            </c:extLst>
          </c:dPt>
          <c:dPt>
            <c:idx val="19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181-52CF-4AA6-9255-3D9F192EFA2C}"/>
              </c:ext>
            </c:extLst>
          </c:dPt>
          <c:dPt>
            <c:idx val="193"/>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183-52CF-4AA6-9255-3D9F192EFA2C}"/>
              </c:ext>
            </c:extLst>
          </c:dPt>
          <c:dPt>
            <c:idx val="194"/>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185-52CF-4AA6-9255-3D9F192EFA2C}"/>
              </c:ext>
            </c:extLst>
          </c:dPt>
          <c:dPt>
            <c:idx val="19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187-52CF-4AA6-9255-3D9F192EFA2C}"/>
              </c:ext>
            </c:extLst>
          </c:dPt>
          <c:dPt>
            <c:idx val="196"/>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189-52CF-4AA6-9255-3D9F192EFA2C}"/>
              </c:ext>
            </c:extLst>
          </c:dPt>
          <c:dPt>
            <c:idx val="197"/>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18B-52CF-4AA6-9255-3D9F192EFA2C}"/>
              </c:ext>
            </c:extLst>
          </c:dPt>
          <c:dPt>
            <c:idx val="198"/>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18D-52CF-4AA6-9255-3D9F192EFA2C}"/>
              </c:ext>
            </c:extLst>
          </c:dPt>
          <c:dPt>
            <c:idx val="199"/>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18F-52CF-4AA6-9255-3D9F192EFA2C}"/>
              </c:ext>
            </c:extLst>
          </c:dPt>
          <c:dPt>
            <c:idx val="200"/>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191-52CF-4AA6-9255-3D9F192EFA2C}"/>
              </c:ext>
            </c:extLst>
          </c:dPt>
          <c:dPt>
            <c:idx val="201"/>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193-52CF-4AA6-9255-3D9F192EFA2C}"/>
              </c:ext>
            </c:extLst>
          </c:dPt>
          <c:dPt>
            <c:idx val="202"/>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195-52CF-4AA6-9255-3D9F192EFA2C}"/>
              </c:ext>
            </c:extLst>
          </c:dPt>
          <c:dPt>
            <c:idx val="203"/>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197-52CF-4AA6-9255-3D9F192EFA2C}"/>
              </c:ext>
            </c:extLst>
          </c:dPt>
          <c:dPt>
            <c:idx val="204"/>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199-52CF-4AA6-9255-3D9F192EFA2C}"/>
              </c:ext>
            </c:extLst>
          </c:dPt>
          <c:dPt>
            <c:idx val="205"/>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19B-52CF-4AA6-9255-3D9F192EFA2C}"/>
              </c:ext>
            </c:extLst>
          </c:dPt>
          <c:dPt>
            <c:idx val="206"/>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19D-52CF-4AA6-9255-3D9F192EFA2C}"/>
              </c:ext>
            </c:extLst>
          </c:dPt>
          <c:dPt>
            <c:idx val="207"/>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19F-52CF-4AA6-9255-3D9F192EFA2C}"/>
              </c:ext>
            </c:extLst>
          </c:dPt>
          <c:dPt>
            <c:idx val="208"/>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1A1-52CF-4AA6-9255-3D9F192EFA2C}"/>
              </c:ext>
            </c:extLst>
          </c:dPt>
          <c:dPt>
            <c:idx val="209"/>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1A3-52CF-4AA6-9255-3D9F192EFA2C}"/>
              </c:ext>
            </c:extLst>
          </c:dPt>
          <c:dPt>
            <c:idx val="210"/>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1A5-52CF-4AA6-9255-3D9F192EFA2C}"/>
              </c:ext>
            </c:extLst>
          </c:dPt>
          <c:dPt>
            <c:idx val="211"/>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1A7-52CF-4AA6-9255-3D9F192EFA2C}"/>
              </c:ext>
            </c:extLst>
          </c:dPt>
          <c:dPt>
            <c:idx val="212"/>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1A9-52CF-4AA6-9255-3D9F192EFA2C}"/>
              </c:ext>
            </c:extLst>
          </c:dPt>
          <c:dPt>
            <c:idx val="213"/>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1AB-52CF-4AA6-9255-3D9F192EFA2C}"/>
              </c:ext>
            </c:extLst>
          </c:dPt>
          <c:dPt>
            <c:idx val="214"/>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1AD-52CF-4AA6-9255-3D9F192EFA2C}"/>
              </c:ext>
            </c:extLst>
          </c:dPt>
          <c:dPt>
            <c:idx val="215"/>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1AF-52CF-4AA6-9255-3D9F192EFA2C}"/>
              </c:ext>
            </c:extLst>
          </c:dPt>
          <c:dPt>
            <c:idx val="216"/>
            <c:bubble3D val="0"/>
            <c:spPr>
              <a:solidFill>
                <a:schemeClr val="accent1"/>
              </a:solidFill>
              <a:ln w="19050">
                <a:solidFill>
                  <a:schemeClr val="lt1"/>
                </a:solidFill>
              </a:ln>
              <a:effectLst/>
            </c:spPr>
            <c:extLst>
              <c:ext xmlns:c16="http://schemas.microsoft.com/office/drawing/2014/chart" uri="{C3380CC4-5D6E-409C-BE32-E72D297353CC}">
                <c16:uniqueId val="{000001B1-52CF-4AA6-9255-3D9F192EFA2C}"/>
              </c:ext>
            </c:extLst>
          </c:dPt>
          <c:dPt>
            <c:idx val="217"/>
            <c:bubble3D val="0"/>
            <c:spPr>
              <a:solidFill>
                <a:schemeClr val="accent2"/>
              </a:solidFill>
              <a:ln w="19050">
                <a:solidFill>
                  <a:schemeClr val="lt1"/>
                </a:solidFill>
              </a:ln>
              <a:effectLst/>
            </c:spPr>
            <c:extLst>
              <c:ext xmlns:c16="http://schemas.microsoft.com/office/drawing/2014/chart" uri="{C3380CC4-5D6E-409C-BE32-E72D297353CC}">
                <c16:uniqueId val="{000001B3-52CF-4AA6-9255-3D9F192EFA2C}"/>
              </c:ext>
            </c:extLst>
          </c:dPt>
          <c:dPt>
            <c:idx val="218"/>
            <c:bubble3D val="0"/>
            <c:spPr>
              <a:solidFill>
                <a:schemeClr val="accent3"/>
              </a:solidFill>
              <a:ln w="19050">
                <a:solidFill>
                  <a:schemeClr val="lt1"/>
                </a:solidFill>
              </a:ln>
              <a:effectLst/>
            </c:spPr>
            <c:extLst>
              <c:ext xmlns:c16="http://schemas.microsoft.com/office/drawing/2014/chart" uri="{C3380CC4-5D6E-409C-BE32-E72D297353CC}">
                <c16:uniqueId val="{000001B5-52CF-4AA6-9255-3D9F192EFA2C}"/>
              </c:ext>
            </c:extLst>
          </c:dPt>
          <c:dPt>
            <c:idx val="219"/>
            <c:bubble3D val="0"/>
            <c:spPr>
              <a:solidFill>
                <a:schemeClr val="accent4"/>
              </a:solidFill>
              <a:ln w="19050">
                <a:solidFill>
                  <a:schemeClr val="lt1"/>
                </a:solidFill>
              </a:ln>
              <a:effectLst/>
            </c:spPr>
            <c:extLst>
              <c:ext xmlns:c16="http://schemas.microsoft.com/office/drawing/2014/chart" uri="{C3380CC4-5D6E-409C-BE32-E72D297353CC}">
                <c16:uniqueId val="{000001B7-52CF-4AA6-9255-3D9F192EFA2C}"/>
              </c:ext>
            </c:extLst>
          </c:dPt>
          <c:dPt>
            <c:idx val="220"/>
            <c:bubble3D val="0"/>
            <c:spPr>
              <a:solidFill>
                <a:schemeClr val="accent5"/>
              </a:solidFill>
              <a:ln w="19050">
                <a:solidFill>
                  <a:schemeClr val="lt1"/>
                </a:solidFill>
              </a:ln>
              <a:effectLst/>
            </c:spPr>
            <c:extLst>
              <c:ext xmlns:c16="http://schemas.microsoft.com/office/drawing/2014/chart" uri="{C3380CC4-5D6E-409C-BE32-E72D297353CC}">
                <c16:uniqueId val="{000001B9-52CF-4AA6-9255-3D9F192EFA2C}"/>
              </c:ext>
            </c:extLst>
          </c:dPt>
          <c:dPt>
            <c:idx val="221"/>
            <c:bubble3D val="0"/>
            <c:spPr>
              <a:solidFill>
                <a:schemeClr val="accent6"/>
              </a:solidFill>
              <a:ln w="19050">
                <a:solidFill>
                  <a:schemeClr val="lt1"/>
                </a:solidFill>
              </a:ln>
              <a:effectLst/>
            </c:spPr>
            <c:extLst>
              <c:ext xmlns:c16="http://schemas.microsoft.com/office/drawing/2014/chart" uri="{C3380CC4-5D6E-409C-BE32-E72D297353CC}">
                <c16:uniqueId val="{000001BB-52CF-4AA6-9255-3D9F192EFA2C}"/>
              </c:ext>
            </c:extLst>
          </c:dPt>
          <c:dPt>
            <c:idx val="222"/>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BD-52CF-4AA6-9255-3D9F192EFA2C}"/>
              </c:ext>
            </c:extLst>
          </c:dPt>
          <c:dPt>
            <c:idx val="22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BF-52CF-4AA6-9255-3D9F192EFA2C}"/>
              </c:ext>
            </c:extLst>
          </c:dPt>
          <c:dPt>
            <c:idx val="22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C1-52CF-4AA6-9255-3D9F192EFA2C}"/>
              </c:ext>
            </c:extLst>
          </c:dPt>
          <c:dPt>
            <c:idx val="22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C3-52CF-4AA6-9255-3D9F192EFA2C}"/>
              </c:ext>
            </c:extLst>
          </c:dPt>
          <c:dPt>
            <c:idx val="226"/>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C5-52CF-4AA6-9255-3D9F192EFA2C}"/>
              </c:ext>
            </c:extLst>
          </c:dPt>
          <c:dPt>
            <c:idx val="227"/>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1C7-52CF-4AA6-9255-3D9F192EFA2C}"/>
              </c:ext>
            </c:extLst>
          </c:dPt>
          <c:dPt>
            <c:idx val="228"/>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1C9-52CF-4AA6-9255-3D9F192EFA2C}"/>
              </c:ext>
            </c:extLst>
          </c:dPt>
          <c:dPt>
            <c:idx val="229"/>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1CB-52CF-4AA6-9255-3D9F192EFA2C}"/>
              </c:ext>
            </c:extLst>
          </c:dPt>
          <c:dPt>
            <c:idx val="230"/>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D-52CF-4AA6-9255-3D9F192EFA2C}"/>
              </c:ext>
            </c:extLst>
          </c:dPt>
          <c:dPt>
            <c:idx val="231"/>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1CF-52CF-4AA6-9255-3D9F192EFA2C}"/>
              </c:ext>
            </c:extLst>
          </c:dPt>
          <c:dPt>
            <c:idx val="232"/>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1D1-52CF-4AA6-9255-3D9F192EFA2C}"/>
              </c:ext>
            </c:extLst>
          </c:dPt>
          <c:dPt>
            <c:idx val="233"/>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1D3-52CF-4AA6-9255-3D9F192EFA2C}"/>
              </c:ext>
            </c:extLst>
          </c:dPt>
          <c:dPt>
            <c:idx val="234"/>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1D5-52CF-4AA6-9255-3D9F192EFA2C}"/>
              </c:ext>
            </c:extLst>
          </c:dPt>
          <c:dPt>
            <c:idx val="235"/>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1D7-52CF-4AA6-9255-3D9F192EFA2C}"/>
              </c:ext>
            </c:extLst>
          </c:dPt>
          <c:dPt>
            <c:idx val="236"/>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1D9-52CF-4AA6-9255-3D9F192EFA2C}"/>
              </c:ext>
            </c:extLst>
          </c:dPt>
          <c:dPt>
            <c:idx val="237"/>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1DB-52CF-4AA6-9255-3D9F192EFA2C}"/>
              </c:ext>
            </c:extLst>
          </c:dPt>
          <c:dPt>
            <c:idx val="238"/>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1DD-52CF-4AA6-9255-3D9F192EFA2C}"/>
              </c:ext>
            </c:extLst>
          </c:dPt>
          <c:dPt>
            <c:idx val="239"/>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1DF-52CF-4AA6-9255-3D9F192EFA2C}"/>
              </c:ext>
            </c:extLst>
          </c:dPt>
          <c:dPt>
            <c:idx val="24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1E1-52CF-4AA6-9255-3D9F192EFA2C}"/>
              </c:ext>
            </c:extLst>
          </c:dPt>
          <c:dPt>
            <c:idx val="24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1E3-52CF-4AA6-9255-3D9F192EFA2C}"/>
              </c:ext>
            </c:extLst>
          </c:dPt>
          <c:dPt>
            <c:idx val="242"/>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1E5-52CF-4AA6-9255-3D9F192EFA2C}"/>
              </c:ext>
            </c:extLst>
          </c:dPt>
          <c:dPt>
            <c:idx val="24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1E7-52CF-4AA6-9255-3D9F192EFA2C}"/>
              </c:ext>
            </c:extLst>
          </c:dPt>
          <c:dPt>
            <c:idx val="24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1E9-52CF-4AA6-9255-3D9F192EFA2C}"/>
              </c:ext>
            </c:extLst>
          </c:dPt>
          <c:dPt>
            <c:idx val="245"/>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1EB-52CF-4AA6-9255-3D9F192EFA2C}"/>
              </c:ext>
            </c:extLst>
          </c:dPt>
          <c:dPt>
            <c:idx val="246"/>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1ED-52CF-4AA6-9255-3D9F192EFA2C}"/>
              </c:ext>
            </c:extLst>
          </c:dPt>
          <c:dPt>
            <c:idx val="247"/>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1EF-52CF-4AA6-9255-3D9F192EFA2C}"/>
              </c:ext>
            </c:extLst>
          </c:dPt>
          <c:dPt>
            <c:idx val="248"/>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1F1-52CF-4AA6-9255-3D9F192EFA2C}"/>
              </c:ext>
            </c:extLst>
          </c:dPt>
          <c:dPt>
            <c:idx val="24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1F3-52CF-4AA6-9255-3D9F192EFA2C}"/>
              </c:ext>
            </c:extLst>
          </c:dPt>
          <c:dPt>
            <c:idx val="250"/>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1F5-52CF-4AA6-9255-3D9F192EFA2C}"/>
              </c:ext>
            </c:extLst>
          </c:dPt>
          <c:dPt>
            <c:idx val="251"/>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1F7-52CF-4AA6-9255-3D9F192EFA2C}"/>
              </c:ext>
            </c:extLst>
          </c:dPt>
          <c:dPt>
            <c:idx val="252"/>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1F9-52CF-4AA6-9255-3D9F192EFA2C}"/>
              </c:ext>
            </c:extLst>
          </c:dPt>
          <c:dPt>
            <c:idx val="253"/>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1FB-52CF-4AA6-9255-3D9F192EFA2C}"/>
              </c:ext>
            </c:extLst>
          </c:dPt>
          <c:dPt>
            <c:idx val="254"/>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1FD-52CF-4AA6-9255-3D9F192EFA2C}"/>
              </c:ext>
            </c:extLst>
          </c:dPt>
          <c:dPt>
            <c:idx val="255"/>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1FF-52CF-4AA6-9255-3D9F192EFA2C}"/>
              </c:ext>
            </c:extLst>
          </c:dPt>
          <c:dPt>
            <c:idx val="256"/>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201-52CF-4AA6-9255-3D9F192EFA2C}"/>
              </c:ext>
            </c:extLst>
          </c:dPt>
          <c:dPt>
            <c:idx val="257"/>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203-52CF-4AA6-9255-3D9F192EFA2C}"/>
              </c:ext>
            </c:extLst>
          </c:dPt>
          <c:dPt>
            <c:idx val="258"/>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205-52CF-4AA6-9255-3D9F192EFA2C}"/>
              </c:ext>
            </c:extLst>
          </c:dPt>
          <c:dPt>
            <c:idx val="259"/>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207-52CF-4AA6-9255-3D9F192EFA2C}"/>
              </c:ext>
            </c:extLst>
          </c:dPt>
          <c:dPt>
            <c:idx val="260"/>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209-52CF-4AA6-9255-3D9F192EFA2C}"/>
              </c:ext>
            </c:extLst>
          </c:dPt>
          <c:dPt>
            <c:idx val="261"/>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20B-52CF-4AA6-9255-3D9F192EFA2C}"/>
              </c:ext>
            </c:extLst>
          </c:dPt>
          <c:dPt>
            <c:idx val="262"/>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20D-52CF-4AA6-9255-3D9F192EFA2C}"/>
              </c:ext>
            </c:extLst>
          </c:dPt>
          <c:dPt>
            <c:idx val="263"/>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20F-52CF-4AA6-9255-3D9F192EFA2C}"/>
              </c:ext>
            </c:extLst>
          </c:dPt>
          <c:dPt>
            <c:idx val="264"/>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211-52CF-4AA6-9255-3D9F192EFA2C}"/>
              </c:ext>
            </c:extLst>
          </c:dPt>
          <c:dPt>
            <c:idx val="265"/>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213-52CF-4AA6-9255-3D9F192EFA2C}"/>
              </c:ext>
            </c:extLst>
          </c:dPt>
          <c:dPt>
            <c:idx val="266"/>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215-52CF-4AA6-9255-3D9F192EFA2C}"/>
              </c:ext>
            </c:extLst>
          </c:dPt>
          <c:dPt>
            <c:idx val="267"/>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217-52CF-4AA6-9255-3D9F192EFA2C}"/>
              </c:ext>
            </c:extLst>
          </c:dPt>
          <c:dPt>
            <c:idx val="268"/>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219-52CF-4AA6-9255-3D9F192EFA2C}"/>
              </c:ext>
            </c:extLst>
          </c:dPt>
          <c:dPt>
            <c:idx val="269"/>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21B-52CF-4AA6-9255-3D9F192EFA2C}"/>
              </c:ext>
            </c:extLst>
          </c:dPt>
          <c:dPt>
            <c:idx val="270"/>
            <c:bubble3D val="0"/>
            <c:spPr>
              <a:solidFill>
                <a:schemeClr val="accent1"/>
              </a:solidFill>
              <a:ln w="19050">
                <a:solidFill>
                  <a:schemeClr val="lt1"/>
                </a:solidFill>
              </a:ln>
              <a:effectLst/>
            </c:spPr>
            <c:extLst>
              <c:ext xmlns:c16="http://schemas.microsoft.com/office/drawing/2014/chart" uri="{C3380CC4-5D6E-409C-BE32-E72D297353CC}">
                <c16:uniqueId val="{0000021D-52CF-4AA6-9255-3D9F192EFA2C}"/>
              </c:ext>
            </c:extLst>
          </c:dPt>
          <c:dPt>
            <c:idx val="271"/>
            <c:bubble3D val="0"/>
            <c:spPr>
              <a:solidFill>
                <a:schemeClr val="accent2"/>
              </a:solidFill>
              <a:ln w="19050">
                <a:solidFill>
                  <a:schemeClr val="lt1"/>
                </a:solidFill>
              </a:ln>
              <a:effectLst/>
            </c:spPr>
            <c:extLst>
              <c:ext xmlns:c16="http://schemas.microsoft.com/office/drawing/2014/chart" uri="{C3380CC4-5D6E-409C-BE32-E72D297353CC}">
                <c16:uniqueId val="{0000021F-52CF-4AA6-9255-3D9F192EFA2C}"/>
              </c:ext>
            </c:extLst>
          </c:dPt>
          <c:dPt>
            <c:idx val="272"/>
            <c:bubble3D val="0"/>
            <c:spPr>
              <a:solidFill>
                <a:schemeClr val="accent3"/>
              </a:solidFill>
              <a:ln w="19050">
                <a:solidFill>
                  <a:schemeClr val="lt1"/>
                </a:solidFill>
              </a:ln>
              <a:effectLst/>
            </c:spPr>
            <c:extLst>
              <c:ext xmlns:c16="http://schemas.microsoft.com/office/drawing/2014/chart" uri="{C3380CC4-5D6E-409C-BE32-E72D297353CC}">
                <c16:uniqueId val="{00000221-52CF-4AA6-9255-3D9F192EFA2C}"/>
              </c:ext>
            </c:extLst>
          </c:dPt>
          <c:dPt>
            <c:idx val="273"/>
            <c:bubble3D val="0"/>
            <c:spPr>
              <a:solidFill>
                <a:schemeClr val="accent4"/>
              </a:solidFill>
              <a:ln w="19050">
                <a:solidFill>
                  <a:schemeClr val="lt1"/>
                </a:solidFill>
              </a:ln>
              <a:effectLst/>
            </c:spPr>
            <c:extLst>
              <c:ext xmlns:c16="http://schemas.microsoft.com/office/drawing/2014/chart" uri="{C3380CC4-5D6E-409C-BE32-E72D297353CC}">
                <c16:uniqueId val="{00000223-52CF-4AA6-9255-3D9F192EFA2C}"/>
              </c:ext>
            </c:extLst>
          </c:dPt>
          <c:dPt>
            <c:idx val="274"/>
            <c:bubble3D val="0"/>
            <c:spPr>
              <a:solidFill>
                <a:schemeClr val="accent5"/>
              </a:solidFill>
              <a:ln w="19050">
                <a:solidFill>
                  <a:schemeClr val="lt1"/>
                </a:solidFill>
              </a:ln>
              <a:effectLst/>
            </c:spPr>
            <c:extLst>
              <c:ext xmlns:c16="http://schemas.microsoft.com/office/drawing/2014/chart" uri="{C3380CC4-5D6E-409C-BE32-E72D297353CC}">
                <c16:uniqueId val="{00000225-52CF-4AA6-9255-3D9F192EFA2C}"/>
              </c:ext>
            </c:extLst>
          </c:dPt>
          <c:dPt>
            <c:idx val="275"/>
            <c:bubble3D val="0"/>
            <c:spPr>
              <a:solidFill>
                <a:schemeClr val="accent6"/>
              </a:solidFill>
              <a:ln w="19050">
                <a:solidFill>
                  <a:schemeClr val="lt1"/>
                </a:solidFill>
              </a:ln>
              <a:effectLst/>
            </c:spPr>
            <c:extLst>
              <c:ext xmlns:c16="http://schemas.microsoft.com/office/drawing/2014/chart" uri="{C3380CC4-5D6E-409C-BE32-E72D297353CC}">
                <c16:uniqueId val="{00000227-52CF-4AA6-9255-3D9F192EFA2C}"/>
              </c:ext>
            </c:extLst>
          </c:dPt>
          <c:dPt>
            <c:idx val="27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29-52CF-4AA6-9255-3D9F192EFA2C}"/>
              </c:ext>
            </c:extLst>
          </c:dPt>
          <c:dPt>
            <c:idx val="27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2B-52CF-4AA6-9255-3D9F192EFA2C}"/>
              </c:ext>
            </c:extLst>
          </c:dPt>
          <c:dPt>
            <c:idx val="27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2D-52CF-4AA6-9255-3D9F192EFA2C}"/>
              </c:ext>
            </c:extLst>
          </c:dPt>
          <c:dPt>
            <c:idx val="27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2F-52CF-4AA6-9255-3D9F192EFA2C}"/>
              </c:ext>
            </c:extLst>
          </c:dPt>
          <c:dPt>
            <c:idx val="28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31-52CF-4AA6-9255-3D9F192EFA2C}"/>
              </c:ext>
            </c:extLst>
          </c:dPt>
          <c:dPt>
            <c:idx val="28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233-52CF-4AA6-9255-3D9F192EFA2C}"/>
              </c:ext>
            </c:extLst>
          </c:dPt>
          <c:dPt>
            <c:idx val="28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235-52CF-4AA6-9255-3D9F192EFA2C}"/>
              </c:ext>
            </c:extLst>
          </c:dPt>
          <c:dPt>
            <c:idx val="28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237-52CF-4AA6-9255-3D9F192EFA2C}"/>
              </c:ext>
            </c:extLst>
          </c:dPt>
          <c:dPt>
            <c:idx val="28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52CF-4AA6-9255-3D9F192EFA2C}"/>
              </c:ext>
            </c:extLst>
          </c:dPt>
          <c:dPt>
            <c:idx val="28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23B-52CF-4AA6-9255-3D9F192EFA2C}"/>
              </c:ext>
            </c:extLst>
          </c:dPt>
          <c:dPt>
            <c:idx val="28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23D-52CF-4AA6-9255-3D9F192EFA2C}"/>
              </c:ext>
            </c:extLst>
          </c:dPt>
          <c:dPt>
            <c:idx val="28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23F-52CF-4AA6-9255-3D9F192EFA2C}"/>
              </c:ext>
            </c:extLst>
          </c:dPt>
          <c:dPt>
            <c:idx val="28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241-52CF-4AA6-9255-3D9F192EFA2C}"/>
              </c:ext>
            </c:extLst>
          </c:dPt>
          <c:dPt>
            <c:idx val="28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243-52CF-4AA6-9255-3D9F192EFA2C}"/>
              </c:ext>
            </c:extLst>
          </c:dPt>
          <c:dPt>
            <c:idx val="29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245-52CF-4AA6-9255-3D9F192EFA2C}"/>
              </c:ext>
            </c:extLst>
          </c:dPt>
          <c:dPt>
            <c:idx val="29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247-52CF-4AA6-9255-3D9F192EFA2C}"/>
              </c:ext>
            </c:extLst>
          </c:dPt>
          <c:dPt>
            <c:idx val="29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249-52CF-4AA6-9255-3D9F192EFA2C}"/>
              </c:ext>
            </c:extLst>
          </c:dPt>
          <c:dPt>
            <c:idx val="29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24B-52CF-4AA6-9255-3D9F192EFA2C}"/>
              </c:ext>
            </c:extLst>
          </c:dPt>
          <c:dPt>
            <c:idx val="29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24D-52CF-4AA6-9255-3D9F192EFA2C}"/>
              </c:ext>
            </c:extLst>
          </c:dPt>
          <c:dPt>
            <c:idx val="29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24F-52CF-4AA6-9255-3D9F192EFA2C}"/>
              </c:ext>
            </c:extLst>
          </c:dPt>
          <c:dPt>
            <c:idx val="29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251-52CF-4AA6-9255-3D9F192EFA2C}"/>
              </c:ext>
            </c:extLst>
          </c:dPt>
          <c:dPt>
            <c:idx val="29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253-52CF-4AA6-9255-3D9F192EFA2C}"/>
              </c:ext>
            </c:extLst>
          </c:dPt>
          <c:dPt>
            <c:idx val="29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255-52CF-4AA6-9255-3D9F192EFA2C}"/>
              </c:ext>
            </c:extLst>
          </c:dPt>
          <c:dPt>
            <c:idx val="29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257-52CF-4AA6-9255-3D9F192EFA2C}"/>
              </c:ext>
            </c:extLst>
          </c:dPt>
          <c:dPt>
            <c:idx val="30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259-52CF-4AA6-9255-3D9F192EFA2C}"/>
              </c:ext>
            </c:extLst>
          </c:dPt>
          <c:dPt>
            <c:idx val="30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25B-52CF-4AA6-9255-3D9F192EFA2C}"/>
              </c:ext>
            </c:extLst>
          </c:dPt>
          <c:dPt>
            <c:idx val="30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25D-52CF-4AA6-9255-3D9F192EFA2C}"/>
              </c:ext>
            </c:extLst>
          </c:dPt>
          <c:dPt>
            <c:idx val="30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25F-52CF-4AA6-9255-3D9F192EFA2C}"/>
              </c:ext>
            </c:extLst>
          </c:dPt>
          <c:dPt>
            <c:idx val="30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261-52CF-4AA6-9255-3D9F192EFA2C}"/>
              </c:ext>
            </c:extLst>
          </c:dPt>
          <c:dPt>
            <c:idx val="30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263-52CF-4AA6-9255-3D9F192EFA2C}"/>
              </c:ext>
            </c:extLst>
          </c:dPt>
          <c:dPt>
            <c:idx val="30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265-52CF-4AA6-9255-3D9F192EFA2C}"/>
              </c:ext>
            </c:extLst>
          </c:dPt>
          <c:dPt>
            <c:idx val="30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267-52CF-4AA6-9255-3D9F192EFA2C}"/>
              </c:ext>
            </c:extLst>
          </c:dPt>
          <c:dPt>
            <c:idx val="30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269-52CF-4AA6-9255-3D9F192EFA2C}"/>
              </c:ext>
            </c:extLst>
          </c:dPt>
          <c:dPt>
            <c:idx val="30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26B-52CF-4AA6-9255-3D9F192EFA2C}"/>
              </c:ext>
            </c:extLst>
          </c:dPt>
          <c:dPt>
            <c:idx val="31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26D-52CF-4AA6-9255-3D9F192EFA2C}"/>
              </c:ext>
            </c:extLst>
          </c:dPt>
          <c:dPt>
            <c:idx val="31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26F-52CF-4AA6-9255-3D9F192EFA2C}"/>
              </c:ext>
            </c:extLst>
          </c:dPt>
          <c:dPt>
            <c:idx val="31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271-52CF-4AA6-9255-3D9F192EFA2C}"/>
              </c:ext>
            </c:extLst>
          </c:dPt>
          <c:dPt>
            <c:idx val="31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273-52CF-4AA6-9255-3D9F192EFA2C}"/>
              </c:ext>
            </c:extLst>
          </c:dPt>
          <c:dPt>
            <c:idx val="31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275-52CF-4AA6-9255-3D9F192EFA2C}"/>
              </c:ext>
            </c:extLst>
          </c:dPt>
          <c:dPt>
            <c:idx val="31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277-52CF-4AA6-9255-3D9F192EFA2C}"/>
              </c:ext>
            </c:extLst>
          </c:dPt>
          <c:dPt>
            <c:idx val="31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279-52CF-4AA6-9255-3D9F192EFA2C}"/>
              </c:ext>
            </c:extLst>
          </c:dPt>
          <c:dPt>
            <c:idx val="31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27B-52CF-4AA6-9255-3D9F192EFA2C}"/>
              </c:ext>
            </c:extLst>
          </c:dPt>
          <c:dPt>
            <c:idx val="31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27D-52CF-4AA6-9255-3D9F192EFA2C}"/>
              </c:ext>
            </c:extLst>
          </c:dPt>
          <c:dPt>
            <c:idx val="31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27F-52CF-4AA6-9255-3D9F192EFA2C}"/>
              </c:ext>
            </c:extLst>
          </c:dPt>
          <c:dPt>
            <c:idx val="32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281-52CF-4AA6-9255-3D9F192EFA2C}"/>
              </c:ext>
            </c:extLst>
          </c:dPt>
          <c:dPt>
            <c:idx val="32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283-52CF-4AA6-9255-3D9F192EFA2C}"/>
              </c:ext>
            </c:extLst>
          </c:dPt>
          <c:dPt>
            <c:idx val="32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285-52CF-4AA6-9255-3D9F192EFA2C}"/>
              </c:ext>
            </c:extLst>
          </c:dPt>
          <c:dPt>
            <c:idx val="32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287-52CF-4AA6-9255-3D9F192EFA2C}"/>
              </c:ext>
            </c:extLst>
          </c:dPt>
          <c:dPt>
            <c:idx val="324"/>
            <c:bubble3D val="0"/>
            <c:spPr>
              <a:solidFill>
                <a:schemeClr val="accent1"/>
              </a:solidFill>
              <a:ln w="19050">
                <a:solidFill>
                  <a:schemeClr val="lt1"/>
                </a:solidFill>
              </a:ln>
              <a:effectLst/>
            </c:spPr>
            <c:extLst>
              <c:ext xmlns:c16="http://schemas.microsoft.com/office/drawing/2014/chart" uri="{C3380CC4-5D6E-409C-BE32-E72D297353CC}">
                <c16:uniqueId val="{00000289-52CF-4AA6-9255-3D9F192EFA2C}"/>
              </c:ext>
            </c:extLst>
          </c:dPt>
          <c:dPt>
            <c:idx val="325"/>
            <c:bubble3D val="0"/>
            <c:spPr>
              <a:solidFill>
                <a:schemeClr val="accent2"/>
              </a:solidFill>
              <a:ln w="19050">
                <a:solidFill>
                  <a:schemeClr val="lt1"/>
                </a:solidFill>
              </a:ln>
              <a:effectLst/>
            </c:spPr>
            <c:extLst>
              <c:ext xmlns:c16="http://schemas.microsoft.com/office/drawing/2014/chart" uri="{C3380CC4-5D6E-409C-BE32-E72D297353CC}">
                <c16:uniqueId val="{0000028B-52CF-4AA6-9255-3D9F192EFA2C}"/>
              </c:ext>
            </c:extLst>
          </c:dPt>
          <c:dPt>
            <c:idx val="326"/>
            <c:bubble3D val="0"/>
            <c:spPr>
              <a:solidFill>
                <a:schemeClr val="accent3"/>
              </a:solidFill>
              <a:ln w="19050">
                <a:solidFill>
                  <a:schemeClr val="lt1"/>
                </a:solidFill>
              </a:ln>
              <a:effectLst/>
            </c:spPr>
            <c:extLst>
              <c:ext xmlns:c16="http://schemas.microsoft.com/office/drawing/2014/chart" uri="{C3380CC4-5D6E-409C-BE32-E72D297353CC}">
                <c16:uniqueId val="{0000028D-52CF-4AA6-9255-3D9F192EFA2C}"/>
              </c:ext>
            </c:extLst>
          </c:dPt>
          <c:dPt>
            <c:idx val="327"/>
            <c:bubble3D val="0"/>
            <c:spPr>
              <a:solidFill>
                <a:schemeClr val="accent4"/>
              </a:solidFill>
              <a:ln w="19050">
                <a:solidFill>
                  <a:schemeClr val="lt1"/>
                </a:solidFill>
              </a:ln>
              <a:effectLst/>
            </c:spPr>
            <c:extLst>
              <c:ext xmlns:c16="http://schemas.microsoft.com/office/drawing/2014/chart" uri="{C3380CC4-5D6E-409C-BE32-E72D297353CC}">
                <c16:uniqueId val="{0000028F-52CF-4AA6-9255-3D9F192EFA2C}"/>
              </c:ext>
            </c:extLst>
          </c:dPt>
          <c:dPt>
            <c:idx val="328"/>
            <c:bubble3D val="0"/>
            <c:spPr>
              <a:solidFill>
                <a:schemeClr val="accent5"/>
              </a:solidFill>
              <a:ln w="19050">
                <a:solidFill>
                  <a:schemeClr val="lt1"/>
                </a:solidFill>
              </a:ln>
              <a:effectLst/>
            </c:spPr>
            <c:extLst>
              <c:ext xmlns:c16="http://schemas.microsoft.com/office/drawing/2014/chart" uri="{C3380CC4-5D6E-409C-BE32-E72D297353CC}">
                <c16:uniqueId val="{00000291-52CF-4AA6-9255-3D9F192EFA2C}"/>
              </c:ext>
            </c:extLst>
          </c:dPt>
          <c:dPt>
            <c:idx val="329"/>
            <c:bubble3D val="0"/>
            <c:spPr>
              <a:solidFill>
                <a:schemeClr val="accent6"/>
              </a:solidFill>
              <a:ln w="19050">
                <a:solidFill>
                  <a:schemeClr val="lt1"/>
                </a:solidFill>
              </a:ln>
              <a:effectLst/>
            </c:spPr>
            <c:extLst>
              <c:ext xmlns:c16="http://schemas.microsoft.com/office/drawing/2014/chart" uri="{C3380CC4-5D6E-409C-BE32-E72D297353CC}">
                <c16:uniqueId val="{00000293-52CF-4AA6-9255-3D9F192EFA2C}"/>
              </c:ext>
            </c:extLst>
          </c:dPt>
          <c:dPt>
            <c:idx val="33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95-52CF-4AA6-9255-3D9F192EFA2C}"/>
              </c:ext>
            </c:extLst>
          </c:dPt>
          <c:dPt>
            <c:idx val="331"/>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97-52CF-4AA6-9255-3D9F192EFA2C}"/>
              </c:ext>
            </c:extLst>
          </c:dPt>
          <c:dPt>
            <c:idx val="332"/>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99-52CF-4AA6-9255-3D9F192EFA2C}"/>
              </c:ext>
            </c:extLst>
          </c:dPt>
          <c:dPt>
            <c:idx val="333"/>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9B-52CF-4AA6-9255-3D9F192EFA2C}"/>
              </c:ext>
            </c:extLst>
          </c:dPt>
          <c:dPt>
            <c:idx val="33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9D-52CF-4AA6-9255-3D9F192EFA2C}"/>
              </c:ext>
            </c:extLst>
          </c:dPt>
          <c:dPt>
            <c:idx val="33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29F-52CF-4AA6-9255-3D9F192EFA2C}"/>
              </c:ext>
            </c:extLst>
          </c:dPt>
          <c:dPt>
            <c:idx val="33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2A1-52CF-4AA6-9255-3D9F192EFA2C}"/>
              </c:ext>
            </c:extLst>
          </c:dPt>
          <c:dPt>
            <c:idx val="337"/>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2A3-52CF-4AA6-9255-3D9F192EFA2C}"/>
              </c:ext>
            </c:extLst>
          </c:dPt>
          <c:dPt>
            <c:idx val="338"/>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A5-52CF-4AA6-9255-3D9F192EFA2C}"/>
              </c:ext>
            </c:extLst>
          </c:dPt>
          <c:dPt>
            <c:idx val="339"/>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2A7-52CF-4AA6-9255-3D9F192EFA2C}"/>
              </c:ext>
            </c:extLst>
          </c:dPt>
          <c:dPt>
            <c:idx val="340"/>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2A9-52CF-4AA6-9255-3D9F192EFA2C}"/>
              </c:ext>
            </c:extLst>
          </c:dPt>
          <c:dPt>
            <c:idx val="341"/>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2AB-52CF-4AA6-9255-3D9F192EFA2C}"/>
              </c:ext>
            </c:extLst>
          </c:dPt>
          <c:dPt>
            <c:idx val="342"/>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2AD-52CF-4AA6-9255-3D9F192EFA2C}"/>
              </c:ext>
            </c:extLst>
          </c:dPt>
          <c:dPt>
            <c:idx val="343"/>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2AF-52CF-4AA6-9255-3D9F192EFA2C}"/>
              </c:ext>
            </c:extLst>
          </c:dPt>
          <c:dPt>
            <c:idx val="344"/>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2B1-52CF-4AA6-9255-3D9F192EFA2C}"/>
              </c:ext>
            </c:extLst>
          </c:dPt>
          <c:dPt>
            <c:idx val="345"/>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2B3-52CF-4AA6-9255-3D9F192EFA2C}"/>
              </c:ext>
            </c:extLst>
          </c:dPt>
          <c:dPt>
            <c:idx val="346"/>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2B5-52CF-4AA6-9255-3D9F192EFA2C}"/>
              </c:ext>
            </c:extLst>
          </c:dPt>
          <c:dPt>
            <c:idx val="347"/>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2B7-52CF-4AA6-9255-3D9F192EFA2C}"/>
              </c:ext>
            </c:extLst>
          </c:dPt>
          <c:dPt>
            <c:idx val="34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2B9-52CF-4AA6-9255-3D9F192EFA2C}"/>
              </c:ext>
            </c:extLst>
          </c:dPt>
          <c:dPt>
            <c:idx val="349"/>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2BB-52CF-4AA6-9255-3D9F192EFA2C}"/>
              </c:ext>
            </c:extLst>
          </c:dPt>
          <c:dPt>
            <c:idx val="35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2BD-52CF-4AA6-9255-3D9F192EFA2C}"/>
              </c:ext>
            </c:extLst>
          </c:dPt>
          <c:dPt>
            <c:idx val="35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2BF-52CF-4AA6-9255-3D9F192EFA2C}"/>
              </c:ext>
            </c:extLst>
          </c:dPt>
          <c:dPt>
            <c:idx val="352"/>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2C1-52CF-4AA6-9255-3D9F192EFA2C}"/>
              </c:ext>
            </c:extLst>
          </c:dPt>
          <c:dPt>
            <c:idx val="35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2C3-52CF-4AA6-9255-3D9F192EFA2C}"/>
              </c:ext>
            </c:extLst>
          </c:dPt>
          <c:dPt>
            <c:idx val="354"/>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2C5-52CF-4AA6-9255-3D9F192EFA2C}"/>
              </c:ext>
            </c:extLst>
          </c:dPt>
          <c:dPt>
            <c:idx val="355"/>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2C7-52CF-4AA6-9255-3D9F192EFA2C}"/>
              </c:ext>
            </c:extLst>
          </c:dPt>
          <c:dPt>
            <c:idx val="35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2C9-52CF-4AA6-9255-3D9F192EFA2C}"/>
              </c:ext>
            </c:extLst>
          </c:dPt>
          <c:dPt>
            <c:idx val="357"/>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2CB-52CF-4AA6-9255-3D9F192EFA2C}"/>
              </c:ext>
            </c:extLst>
          </c:dPt>
          <c:dPt>
            <c:idx val="35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2CD-52CF-4AA6-9255-3D9F192EFA2C}"/>
              </c:ext>
            </c:extLst>
          </c:dPt>
          <c:dPt>
            <c:idx val="359"/>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2CF-52CF-4AA6-9255-3D9F192EFA2C}"/>
              </c:ext>
            </c:extLst>
          </c:dPt>
          <c:dPt>
            <c:idx val="360"/>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2D1-52CF-4AA6-9255-3D9F192EFA2C}"/>
              </c:ext>
            </c:extLst>
          </c:dPt>
          <c:dPt>
            <c:idx val="361"/>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2D3-52CF-4AA6-9255-3D9F192EFA2C}"/>
              </c:ext>
            </c:extLst>
          </c:dPt>
          <c:dPt>
            <c:idx val="362"/>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2D5-52CF-4AA6-9255-3D9F192EFA2C}"/>
              </c:ext>
            </c:extLst>
          </c:dPt>
          <c:dPt>
            <c:idx val="363"/>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2D7-52CF-4AA6-9255-3D9F192EFA2C}"/>
              </c:ext>
            </c:extLst>
          </c:dPt>
          <c:dPt>
            <c:idx val="364"/>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2D9-52CF-4AA6-9255-3D9F192EFA2C}"/>
              </c:ext>
            </c:extLst>
          </c:dPt>
          <c:dPt>
            <c:idx val="365"/>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2DB-52CF-4AA6-9255-3D9F192EFA2C}"/>
              </c:ext>
            </c:extLst>
          </c:dPt>
          <c:dPt>
            <c:idx val="366"/>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2DD-52CF-4AA6-9255-3D9F192EFA2C}"/>
              </c:ext>
            </c:extLst>
          </c:dPt>
          <c:dPt>
            <c:idx val="367"/>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2DF-52CF-4AA6-9255-3D9F192EFA2C}"/>
              </c:ext>
            </c:extLst>
          </c:dPt>
          <c:dPt>
            <c:idx val="368"/>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2E1-52CF-4AA6-9255-3D9F192EFA2C}"/>
              </c:ext>
            </c:extLst>
          </c:dPt>
          <c:dPt>
            <c:idx val="369"/>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2E3-52CF-4AA6-9255-3D9F192EFA2C}"/>
              </c:ext>
            </c:extLst>
          </c:dPt>
          <c:dPt>
            <c:idx val="370"/>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2E5-52CF-4AA6-9255-3D9F192EFA2C}"/>
              </c:ext>
            </c:extLst>
          </c:dPt>
          <c:dPt>
            <c:idx val="371"/>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2E7-52CF-4AA6-9255-3D9F192EFA2C}"/>
              </c:ext>
            </c:extLst>
          </c:dPt>
          <c:dPt>
            <c:idx val="372"/>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2E9-52CF-4AA6-9255-3D9F192EFA2C}"/>
              </c:ext>
            </c:extLst>
          </c:dPt>
          <c:dPt>
            <c:idx val="373"/>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2EB-52CF-4AA6-9255-3D9F192EFA2C}"/>
              </c:ext>
            </c:extLst>
          </c:dPt>
          <c:dPt>
            <c:idx val="374"/>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2ED-52CF-4AA6-9255-3D9F192EFA2C}"/>
              </c:ext>
            </c:extLst>
          </c:dPt>
          <c:dPt>
            <c:idx val="375"/>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2EF-52CF-4AA6-9255-3D9F192EFA2C}"/>
              </c:ext>
            </c:extLst>
          </c:dPt>
          <c:dPt>
            <c:idx val="376"/>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2F1-52CF-4AA6-9255-3D9F192EFA2C}"/>
              </c:ext>
            </c:extLst>
          </c:dPt>
          <c:dPt>
            <c:idx val="377"/>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2F3-52CF-4AA6-9255-3D9F192EFA2C}"/>
              </c:ext>
            </c:extLst>
          </c:dPt>
          <c:dPt>
            <c:idx val="378"/>
            <c:bubble3D val="0"/>
            <c:spPr>
              <a:solidFill>
                <a:schemeClr val="accent1"/>
              </a:solidFill>
              <a:ln w="19050">
                <a:solidFill>
                  <a:schemeClr val="lt1"/>
                </a:solidFill>
              </a:ln>
              <a:effectLst/>
            </c:spPr>
            <c:extLst>
              <c:ext xmlns:c16="http://schemas.microsoft.com/office/drawing/2014/chart" uri="{C3380CC4-5D6E-409C-BE32-E72D297353CC}">
                <c16:uniqueId val="{000002F5-52CF-4AA6-9255-3D9F192EFA2C}"/>
              </c:ext>
            </c:extLst>
          </c:dPt>
          <c:dPt>
            <c:idx val="379"/>
            <c:bubble3D val="0"/>
            <c:spPr>
              <a:solidFill>
                <a:schemeClr val="accent2"/>
              </a:solidFill>
              <a:ln w="19050">
                <a:solidFill>
                  <a:schemeClr val="lt1"/>
                </a:solidFill>
              </a:ln>
              <a:effectLst/>
            </c:spPr>
            <c:extLst>
              <c:ext xmlns:c16="http://schemas.microsoft.com/office/drawing/2014/chart" uri="{C3380CC4-5D6E-409C-BE32-E72D297353CC}">
                <c16:uniqueId val="{000002F7-52CF-4AA6-9255-3D9F192EFA2C}"/>
              </c:ext>
            </c:extLst>
          </c:dPt>
          <c:dPt>
            <c:idx val="380"/>
            <c:bubble3D val="0"/>
            <c:spPr>
              <a:solidFill>
                <a:schemeClr val="accent3"/>
              </a:solidFill>
              <a:ln w="19050">
                <a:solidFill>
                  <a:schemeClr val="lt1"/>
                </a:solidFill>
              </a:ln>
              <a:effectLst/>
            </c:spPr>
            <c:extLst>
              <c:ext xmlns:c16="http://schemas.microsoft.com/office/drawing/2014/chart" uri="{C3380CC4-5D6E-409C-BE32-E72D297353CC}">
                <c16:uniqueId val="{000002F9-52CF-4AA6-9255-3D9F192EFA2C}"/>
              </c:ext>
            </c:extLst>
          </c:dPt>
          <c:dPt>
            <c:idx val="381"/>
            <c:bubble3D val="0"/>
            <c:spPr>
              <a:solidFill>
                <a:schemeClr val="accent4"/>
              </a:solidFill>
              <a:ln w="19050">
                <a:solidFill>
                  <a:schemeClr val="lt1"/>
                </a:solidFill>
              </a:ln>
              <a:effectLst/>
            </c:spPr>
            <c:extLst>
              <c:ext xmlns:c16="http://schemas.microsoft.com/office/drawing/2014/chart" uri="{C3380CC4-5D6E-409C-BE32-E72D297353CC}">
                <c16:uniqueId val="{000002FB-52CF-4AA6-9255-3D9F192EFA2C}"/>
              </c:ext>
            </c:extLst>
          </c:dPt>
          <c:dPt>
            <c:idx val="382"/>
            <c:bubble3D val="0"/>
            <c:spPr>
              <a:solidFill>
                <a:schemeClr val="accent5"/>
              </a:solidFill>
              <a:ln w="19050">
                <a:solidFill>
                  <a:schemeClr val="lt1"/>
                </a:solidFill>
              </a:ln>
              <a:effectLst/>
            </c:spPr>
            <c:extLst>
              <c:ext xmlns:c16="http://schemas.microsoft.com/office/drawing/2014/chart" uri="{C3380CC4-5D6E-409C-BE32-E72D297353CC}">
                <c16:uniqueId val="{000002FD-52CF-4AA6-9255-3D9F192EFA2C}"/>
              </c:ext>
            </c:extLst>
          </c:dPt>
          <c:dPt>
            <c:idx val="383"/>
            <c:bubble3D val="0"/>
            <c:spPr>
              <a:solidFill>
                <a:schemeClr val="accent6"/>
              </a:solidFill>
              <a:ln w="19050">
                <a:solidFill>
                  <a:schemeClr val="lt1"/>
                </a:solidFill>
              </a:ln>
              <a:effectLst/>
            </c:spPr>
            <c:extLst>
              <c:ext xmlns:c16="http://schemas.microsoft.com/office/drawing/2014/chart" uri="{C3380CC4-5D6E-409C-BE32-E72D297353CC}">
                <c16:uniqueId val="{000002FF-52CF-4AA6-9255-3D9F192EFA2C}"/>
              </c:ext>
            </c:extLst>
          </c:dPt>
          <c:dPt>
            <c:idx val="384"/>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301-52CF-4AA6-9255-3D9F192EFA2C}"/>
              </c:ext>
            </c:extLst>
          </c:dPt>
          <c:dPt>
            <c:idx val="385"/>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303-52CF-4AA6-9255-3D9F192EFA2C}"/>
              </c:ext>
            </c:extLst>
          </c:dPt>
          <c:dPt>
            <c:idx val="386"/>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305-52CF-4AA6-9255-3D9F192EFA2C}"/>
              </c:ext>
            </c:extLst>
          </c:dPt>
          <c:dPt>
            <c:idx val="387"/>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307-52CF-4AA6-9255-3D9F192EFA2C}"/>
              </c:ext>
            </c:extLst>
          </c:dPt>
          <c:dPt>
            <c:idx val="388"/>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309-52CF-4AA6-9255-3D9F192EFA2C}"/>
              </c:ext>
            </c:extLst>
          </c:dPt>
          <c:dPt>
            <c:idx val="389"/>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30B-52CF-4AA6-9255-3D9F192EFA2C}"/>
              </c:ext>
            </c:extLst>
          </c:dPt>
          <c:dPt>
            <c:idx val="390"/>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30D-52CF-4AA6-9255-3D9F192EFA2C}"/>
              </c:ext>
            </c:extLst>
          </c:dPt>
          <c:dPt>
            <c:idx val="391"/>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30F-52CF-4AA6-9255-3D9F192EFA2C}"/>
              </c:ext>
            </c:extLst>
          </c:dPt>
          <c:dPt>
            <c:idx val="392"/>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311-52CF-4AA6-9255-3D9F192EFA2C}"/>
              </c:ext>
            </c:extLst>
          </c:dPt>
          <c:dPt>
            <c:idx val="393"/>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313-52CF-4AA6-9255-3D9F192EFA2C}"/>
              </c:ext>
            </c:extLst>
          </c:dPt>
          <c:dPt>
            <c:idx val="394"/>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315-52CF-4AA6-9255-3D9F192EFA2C}"/>
              </c:ext>
            </c:extLst>
          </c:dPt>
          <c:dPt>
            <c:idx val="395"/>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317-52CF-4AA6-9255-3D9F192EFA2C}"/>
              </c:ext>
            </c:extLst>
          </c:dPt>
          <c:dPt>
            <c:idx val="396"/>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319-52CF-4AA6-9255-3D9F192EFA2C}"/>
              </c:ext>
            </c:extLst>
          </c:dPt>
          <c:dPt>
            <c:idx val="397"/>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31B-52CF-4AA6-9255-3D9F192EFA2C}"/>
              </c:ext>
            </c:extLst>
          </c:dPt>
          <c:dPt>
            <c:idx val="398"/>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31D-52CF-4AA6-9255-3D9F192EFA2C}"/>
              </c:ext>
            </c:extLst>
          </c:dPt>
          <c:dPt>
            <c:idx val="399"/>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31F-52CF-4AA6-9255-3D9F192EFA2C}"/>
              </c:ext>
            </c:extLst>
          </c:dPt>
          <c:dPt>
            <c:idx val="400"/>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321-52CF-4AA6-9255-3D9F192EFA2C}"/>
              </c:ext>
            </c:extLst>
          </c:dPt>
          <c:dPt>
            <c:idx val="40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323-52CF-4AA6-9255-3D9F192EFA2C}"/>
              </c:ext>
            </c:extLst>
          </c:dPt>
          <c:dPt>
            <c:idx val="40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325-52CF-4AA6-9255-3D9F192EFA2C}"/>
              </c:ext>
            </c:extLst>
          </c:dPt>
          <c:dPt>
            <c:idx val="40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327-52CF-4AA6-9255-3D9F192EFA2C}"/>
              </c:ext>
            </c:extLst>
          </c:dPt>
          <c:dPt>
            <c:idx val="404"/>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329-52CF-4AA6-9255-3D9F192EFA2C}"/>
              </c:ext>
            </c:extLst>
          </c:dPt>
          <c:dPt>
            <c:idx val="40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32B-52CF-4AA6-9255-3D9F192EFA2C}"/>
              </c:ext>
            </c:extLst>
          </c:dPt>
          <c:dPt>
            <c:idx val="406"/>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32D-52CF-4AA6-9255-3D9F192EFA2C}"/>
              </c:ext>
            </c:extLst>
          </c:dPt>
          <c:dPt>
            <c:idx val="407"/>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32F-52CF-4AA6-9255-3D9F192EFA2C}"/>
              </c:ext>
            </c:extLst>
          </c:dPt>
          <c:dPt>
            <c:idx val="408"/>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331-52CF-4AA6-9255-3D9F192EFA2C}"/>
              </c:ext>
            </c:extLst>
          </c:dPt>
          <c:dPt>
            <c:idx val="409"/>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333-52CF-4AA6-9255-3D9F192EFA2C}"/>
              </c:ext>
            </c:extLst>
          </c:dPt>
          <c:dPt>
            <c:idx val="41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335-52CF-4AA6-9255-3D9F192EFA2C}"/>
              </c:ext>
            </c:extLst>
          </c:dPt>
          <c:dPt>
            <c:idx val="411"/>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337-52CF-4AA6-9255-3D9F192EFA2C}"/>
              </c:ext>
            </c:extLst>
          </c:dPt>
          <c:dPt>
            <c:idx val="412"/>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339-52CF-4AA6-9255-3D9F192EFA2C}"/>
              </c:ext>
            </c:extLst>
          </c:dPt>
          <c:dPt>
            <c:idx val="413"/>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33B-52CF-4AA6-9255-3D9F192EFA2C}"/>
              </c:ext>
            </c:extLst>
          </c:dPt>
          <c:dPt>
            <c:idx val="414"/>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33D-52CF-4AA6-9255-3D9F192EFA2C}"/>
              </c:ext>
            </c:extLst>
          </c:dPt>
          <c:dPt>
            <c:idx val="415"/>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33F-52CF-4AA6-9255-3D9F192EFA2C}"/>
              </c:ext>
            </c:extLst>
          </c:dPt>
          <c:dPt>
            <c:idx val="416"/>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341-52CF-4AA6-9255-3D9F192EFA2C}"/>
              </c:ext>
            </c:extLst>
          </c:dPt>
          <c:dPt>
            <c:idx val="417"/>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343-52CF-4AA6-9255-3D9F192EFA2C}"/>
              </c:ext>
            </c:extLst>
          </c:dPt>
          <c:dPt>
            <c:idx val="418"/>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345-52CF-4AA6-9255-3D9F192EFA2C}"/>
              </c:ext>
            </c:extLst>
          </c:dPt>
          <c:dPt>
            <c:idx val="419"/>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347-52CF-4AA6-9255-3D9F192EFA2C}"/>
              </c:ext>
            </c:extLst>
          </c:dPt>
          <c:dPt>
            <c:idx val="420"/>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349-52CF-4AA6-9255-3D9F192EFA2C}"/>
              </c:ext>
            </c:extLst>
          </c:dPt>
          <c:dPt>
            <c:idx val="421"/>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34B-52CF-4AA6-9255-3D9F192EFA2C}"/>
              </c:ext>
            </c:extLst>
          </c:dPt>
          <c:dPt>
            <c:idx val="422"/>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34D-52CF-4AA6-9255-3D9F192EFA2C}"/>
              </c:ext>
            </c:extLst>
          </c:dPt>
          <c:dPt>
            <c:idx val="423"/>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34F-52CF-4AA6-9255-3D9F192EFA2C}"/>
              </c:ext>
            </c:extLst>
          </c:dPt>
          <c:dPt>
            <c:idx val="424"/>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351-52CF-4AA6-9255-3D9F192EFA2C}"/>
              </c:ext>
            </c:extLst>
          </c:dPt>
          <c:dPt>
            <c:idx val="425"/>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353-52CF-4AA6-9255-3D9F192EFA2C}"/>
              </c:ext>
            </c:extLst>
          </c:dPt>
          <c:dPt>
            <c:idx val="426"/>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355-52CF-4AA6-9255-3D9F192EFA2C}"/>
              </c:ext>
            </c:extLst>
          </c:dPt>
          <c:dPt>
            <c:idx val="427"/>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357-52CF-4AA6-9255-3D9F192EFA2C}"/>
              </c:ext>
            </c:extLst>
          </c:dPt>
          <c:dPt>
            <c:idx val="428"/>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359-52CF-4AA6-9255-3D9F192EFA2C}"/>
              </c:ext>
            </c:extLst>
          </c:dPt>
          <c:dPt>
            <c:idx val="429"/>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35B-52CF-4AA6-9255-3D9F192EFA2C}"/>
              </c:ext>
            </c:extLst>
          </c:dPt>
          <c:dPt>
            <c:idx val="430"/>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35D-52CF-4AA6-9255-3D9F192EFA2C}"/>
              </c:ext>
            </c:extLst>
          </c:dPt>
          <c:dPt>
            <c:idx val="431"/>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35F-52CF-4AA6-9255-3D9F192EFA2C}"/>
              </c:ext>
            </c:extLst>
          </c:dPt>
          <c:dPt>
            <c:idx val="432"/>
            <c:bubble3D val="0"/>
            <c:spPr>
              <a:solidFill>
                <a:schemeClr val="accent1"/>
              </a:solidFill>
              <a:ln w="19050">
                <a:solidFill>
                  <a:schemeClr val="lt1"/>
                </a:solidFill>
              </a:ln>
              <a:effectLst/>
            </c:spPr>
            <c:extLst>
              <c:ext xmlns:c16="http://schemas.microsoft.com/office/drawing/2014/chart" uri="{C3380CC4-5D6E-409C-BE32-E72D297353CC}">
                <c16:uniqueId val="{00000361-52CF-4AA6-9255-3D9F192EFA2C}"/>
              </c:ext>
            </c:extLst>
          </c:dPt>
          <c:dPt>
            <c:idx val="433"/>
            <c:bubble3D val="0"/>
            <c:spPr>
              <a:solidFill>
                <a:schemeClr val="accent2"/>
              </a:solidFill>
              <a:ln w="19050">
                <a:solidFill>
                  <a:schemeClr val="lt1"/>
                </a:solidFill>
              </a:ln>
              <a:effectLst/>
            </c:spPr>
            <c:extLst>
              <c:ext xmlns:c16="http://schemas.microsoft.com/office/drawing/2014/chart" uri="{C3380CC4-5D6E-409C-BE32-E72D297353CC}">
                <c16:uniqueId val="{00000363-52CF-4AA6-9255-3D9F192EFA2C}"/>
              </c:ext>
            </c:extLst>
          </c:dPt>
          <c:dPt>
            <c:idx val="434"/>
            <c:bubble3D val="0"/>
            <c:spPr>
              <a:solidFill>
                <a:schemeClr val="accent3"/>
              </a:solidFill>
              <a:ln w="19050">
                <a:solidFill>
                  <a:schemeClr val="lt1"/>
                </a:solidFill>
              </a:ln>
              <a:effectLst/>
            </c:spPr>
            <c:extLst>
              <c:ext xmlns:c16="http://schemas.microsoft.com/office/drawing/2014/chart" uri="{C3380CC4-5D6E-409C-BE32-E72D297353CC}">
                <c16:uniqueId val="{00000365-52CF-4AA6-9255-3D9F192EFA2C}"/>
              </c:ext>
            </c:extLst>
          </c:dPt>
          <c:dPt>
            <c:idx val="435"/>
            <c:bubble3D val="0"/>
            <c:spPr>
              <a:solidFill>
                <a:schemeClr val="accent4"/>
              </a:solidFill>
              <a:ln w="19050">
                <a:solidFill>
                  <a:schemeClr val="lt1"/>
                </a:solidFill>
              </a:ln>
              <a:effectLst/>
            </c:spPr>
            <c:extLst>
              <c:ext xmlns:c16="http://schemas.microsoft.com/office/drawing/2014/chart" uri="{C3380CC4-5D6E-409C-BE32-E72D297353CC}">
                <c16:uniqueId val="{00000367-52CF-4AA6-9255-3D9F192EFA2C}"/>
              </c:ext>
            </c:extLst>
          </c:dPt>
          <c:dPt>
            <c:idx val="436"/>
            <c:bubble3D val="0"/>
            <c:spPr>
              <a:solidFill>
                <a:schemeClr val="accent5"/>
              </a:solidFill>
              <a:ln w="19050">
                <a:solidFill>
                  <a:schemeClr val="lt1"/>
                </a:solidFill>
              </a:ln>
              <a:effectLst/>
            </c:spPr>
            <c:extLst>
              <c:ext xmlns:c16="http://schemas.microsoft.com/office/drawing/2014/chart" uri="{C3380CC4-5D6E-409C-BE32-E72D297353CC}">
                <c16:uniqueId val="{00000369-52CF-4AA6-9255-3D9F192EFA2C}"/>
              </c:ext>
            </c:extLst>
          </c:dPt>
          <c:dPt>
            <c:idx val="437"/>
            <c:bubble3D val="0"/>
            <c:spPr>
              <a:solidFill>
                <a:schemeClr val="accent6"/>
              </a:solidFill>
              <a:ln w="19050">
                <a:solidFill>
                  <a:schemeClr val="lt1"/>
                </a:solidFill>
              </a:ln>
              <a:effectLst/>
            </c:spPr>
            <c:extLst>
              <c:ext xmlns:c16="http://schemas.microsoft.com/office/drawing/2014/chart" uri="{C3380CC4-5D6E-409C-BE32-E72D297353CC}">
                <c16:uniqueId val="{0000036B-52CF-4AA6-9255-3D9F192EFA2C}"/>
              </c:ext>
            </c:extLst>
          </c:dPt>
          <c:dPt>
            <c:idx val="438"/>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36D-52CF-4AA6-9255-3D9F192EFA2C}"/>
              </c:ext>
            </c:extLst>
          </c:dPt>
          <c:dPt>
            <c:idx val="439"/>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36F-52CF-4AA6-9255-3D9F192EFA2C}"/>
              </c:ext>
            </c:extLst>
          </c:dPt>
          <c:dPt>
            <c:idx val="440"/>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371-52CF-4AA6-9255-3D9F192EFA2C}"/>
              </c:ext>
            </c:extLst>
          </c:dPt>
          <c:dPt>
            <c:idx val="441"/>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373-52CF-4AA6-9255-3D9F192EFA2C}"/>
              </c:ext>
            </c:extLst>
          </c:dPt>
          <c:dPt>
            <c:idx val="442"/>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375-52CF-4AA6-9255-3D9F192EFA2C}"/>
              </c:ext>
            </c:extLst>
          </c:dPt>
          <c:dPt>
            <c:idx val="44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377-52CF-4AA6-9255-3D9F192EFA2C}"/>
              </c:ext>
            </c:extLst>
          </c:dPt>
          <c:dPt>
            <c:idx val="444"/>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379-52CF-4AA6-9255-3D9F192EFA2C}"/>
              </c:ext>
            </c:extLst>
          </c:dPt>
          <c:dPt>
            <c:idx val="445"/>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37B-52CF-4AA6-9255-3D9F192EFA2C}"/>
              </c:ext>
            </c:extLst>
          </c:dPt>
          <c:dPt>
            <c:idx val="446"/>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37D-52CF-4AA6-9255-3D9F192EFA2C}"/>
              </c:ext>
            </c:extLst>
          </c:dPt>
          <c:dPt>
            <c:idx val="44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37F-52CF-4AA6-9255-3D9F192EFA2C}"/>
              </c:ext>
            </c:extLst>
          </c:dPt>
          <c:dPt>
            <c:idx val="44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381-52CF-4AA6-9255-3D9F192EFA2C}"/>
              </c:ext>
            </c:extLst>
          </c:dPt>
          <c:dPt>
            <c:idx val="449"/>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383-52CF-4AA6-9255-3D9F192EFA2C}"/>
              </c:ext>
            </c:extLst>
          </c:dPt>
          <c:dPt>
            <c:idx val="450"/>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385-52CF-4AA6-9255-3D9F192EFA2C}"/>
              </c:ext>
            </c:extLst>
          </c:dPt>
          <c:dPt>
            <c:idx val="451"/>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387-52CF-4AA6-9255-3D9F192EFA2C}"/>
              </c:ext>
            </c:extLst>
          </c:dPt>
          <c:dPt>
            <c:idx val="452"/>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389-52CF-4AA6-9255-3D9F192EFA2C}"/>
              </c:ext>
            </c:extLst>
          </c:dPt>
          <c:dPt>
            <c:idx val="453"/>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38B-52CF-4AA6-9255-3D9F192EFA2C}"/>
              </c:ext>
            </c:extLst>
          </c:dPt>
          <c:dPt>
            <c:idx val="454"/>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38D-52CF-4AA6-9255-3D9F192EFA2C}"/>
              </c:ext>
            </c:extLst>
          </c:dPt>
          <c:dPt>
            <c:idx val="455"/>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38F-52CF-4AA6-9255-3D9F192EFA2C}"/>
              </c:ext>
            </c:extLst>
          </c:dPt>
          <c:dPt>
            <c:idx val="45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391-52CF-4AA6-9255-3D9F192EFA2C}"/>
              </c:ext>
            </c:extLst>
          </c:dPt>
          <c:dPt>
            <c:idx val="457"/>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393-52CF-4AA6-9255-3D9F192EFA2C}"/>
              </c:ext>
            </c:extLst>
          </c:dPt>
          <c:dPt>
            <c:idx val="458"/>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395-52CF-4AA6-9255-3D9F192EFA2C}"/>
              </c:ext>
            </c:extLst>
          </c:dPt>
          <c:dPt>
            <c:idx val="45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397-52CF-4AA6-9255-3D9F192EFA2C}"/>
              </c:ext>
            </c:extLst>
          </c:dPt>
          <c:dPt>
            <c:idx val="460"/>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399-52CF-4AA6-9255-3D9F192EFA2C}"/>
              </c:ext>
            </c:extLst>
          </c:dPt>
          <c:dPt>
            <c:idx val="46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39B-52CF-4AA6-9255-3D9F192EFA2C}"/>
              </c:ext>
            </c:extLst>
          </c:dPt>
          <c:dPt>
            <c:idx val="46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39D-52CF-4AA6-9255-3D9F192EFA2C}"/>
              </c:ext>
            </c:extLst>
          </c:dPt>
          <c:dPt>
            <c:idx val="463"/>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39F-52CF-4AA6-9255-3D9F192EFA2C}"/>
              </c:ext>
            </c:extLst>
          </c:dPt>
          <c:dPt>
            <c:idx val="464"/>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3A1-52CF-4AA6-9255-3D9F192EFA2C}"/>
              </c:ext>
            </c:extLst>
          </c:dPt>
          <c:dPt>
            <c:idx val="46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3A3-52CF-4AA6-9255-3D9F192EFA2C}"/>
              </c:ext>
            </c:extLst>
          </c:dPt>
          <c:dPt>
            <c:idx val="466"/>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3A5-52CF-4AA6-9255-3D9F192EFA2C}"/>
              </c:ext>
            </c:extLst>
          </c:dPt>
          <c:dPt>
            <c:idx val="467"/>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3A7-52CF-4AA6-9255-3D9F192EFA2C}"/>
              </c:ext>
            </c:extLst>
          </c:dPt>
          <c:dPt>
            <c:idx val="468"/>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3A9-52CF-4AA6-9255-3D9F192EFA2C}"/>
              </c:ext>
            </c:extLst>
          </c:dPt>
          <c:dPt>
            <c:idx val="469"/>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3AB-52CF-4AA6-9255-3D9F192EFA2C}"/>
              </c:ext>
            </c:extLst>
          </c:dPt>
          <c:dPt>
            <c:idx val="470"/>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3AD-52CF-4AA6-9255-3D9F192EFA2C}"/>
              </c:ext>
            </c:extLst>
          </c:dPt>
          <c:dPt>
            <c:idx val="471"/>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3AF-52CF-4AA6-9255-3D9F192EFA2C}"/>
              </c:ext>
            </c:extLst>
          </c:dPt>
          <c:dPt>
            <c:idx val="472"/>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3B1-52CF-4AA6-9255-3D9F192EFA2C}"/>
              </c:ext>
            </c:extLst>
          </c:dPt>
          <c:dPt>
            <c:idx val="473"/>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3B3-52CF-4AA6-9255-3D9F192EFA2C}"/>
              </c:ext>
            </c:extLst>
          </c:dPt>
          <c:dPt>
            <c:idx val="474"/>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3B5-52CF-4AA6-9255-3D9F192EFA2C}"/>
              </c:ext>
            </c:extLst>
          </c:dPt>
          <c:dPt>
            <c:idx val="475"/>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3B7-52CF-4AA6-9255-3D9F192EFA2C}"/>
              </c:ext>
            </c:extLst>
          </c:dPt>
          <c:dPt>
            <c:idx val="476"/>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3B9-52CF-4AA6-9255-3D9F192EFA2C}"/>
              </c:ext>
            </c:extLst>
          </c:dPt>
          <c:dPt>
            <c:idx val="477"/>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3BB-52CF-4AA6-9255-3D9F192EFA2C}"/>
              </c:ext>
            </c:extLst>
          </c:dPt>
          <c:dPt>
            <c:idx val="478"/>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3BD-52CF-4AA6-9255-3D9F192EFA2C}"/>
              </c:ext>
            </c:extLst>
          </c:dPt>
          <c:dPt>
            <c:idx val="479"/>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3BF-52CF-4AA6-9255-3D9F192EFA2C}"/>
              </c:ext>
            </c:extLst>
          </c:dPt>
          <c:dPt>
            <c:idx val="480"/>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3C1-52CF-4AA6-9255-3D9F192EFA2C}"/>
              </c:ext>
            </c:extLst>
          </c:dPt>
          <c:dPt>
            <c:idx val="481"/>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3C3-52CF-4AA6-9255-3D9F192EFA2C}"/>
              </c:ext>
            </c:extLst>
          </c:dPt>
          <c:dPt>
            <c:idx val="482"/>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3C5-52CF-4AA6-9255-3D9F192EFA2C}"/>
              </c:ext>
            </c:extLst>
          </c:dPt>
          <c:dPt>
            <c:idx val="483"/>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3C7-52CF-4AA6-9255-3D9F192EFA2C}"/>
              </c:ext>
            </c:extLst>
          </c:dPt>
          <c:dPt>
            <c:idx val="484"/>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3C9-52CF-4AA6-9255-3D9F192EFA2C}"/>
              </c:ext>
            </c:extLst>
          </c:dPt>
          <c:dPt>
            <c:idx val="485"/>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3CB-52CF-4AA6-9255-3D9F192EFA2C}"/>
              </c:ext>
            </c:extLst>
          </c:dPt>
          <c:dPt>
            <c:idx val="486"/>
            <c:bubble3D val="0"/>
            <c:spPr>
              <a:solidFill>
                <a:schemeClr val="accent1"/>
              </a:solidFill>
              <a:ln w="19050">
                <a:solidFill>
                  <a:schemeClr val="lt1"/>
                </a:solidFill>
              </a:ln>
              <a:effectLst/>
            </c:spPr>
            <c:extLst>
              <c:ext xmlns:c16="http://schemas.microsoft.com/office/drawing/2014/chart" uri="{C3380CC4-5D6E-409C-BE32-E72D297353CC}">
                <c16:uniqueId val="{000003CD-52CF-4AA6-9255-3D9F192EFA2C}"/>
              </c:ext>
            </c:extLst>
          </c:dPt>
          <c:dPt>
            <c:idx val="487"/>
            <c:bubble3D val="0"/>
            <c:spPr>
              <a:solidFill>
                <a:schemeClr val="accent2"/>
              </a:solidFill>
              <a:ln w="19050">
                <a:solidFill>
                  <a:schemeClr val="lt1"/>
                </a:solidFill>
              </a:ln>
              <a:effectLst/>
            </c:spPr>
            <c:extLst>
              <c:ext xmlns:c16="http://schemas.microsoft.com/office/drawing/2014/chart" uri="{C3380CC4-5D6E-409C-BE32-E72D297353CC}">
                <c16:uniqueId val="{000003CF-52CF-4AA6-9255-3D9F192EFA2C}"/>
              </c:ext>
            </c:extLst>
          </c:dPt>
          <c:dPt>
            <c:idx val="488"/>
            <c:bubble3D val="0"/>
            <c:spPr>
              <a:solidFill>
                <a:schemeClr val="accent3"/>
              </a:solidFill>
              <a:ln w="19050">
                <a:solidFill>
                  <a:schemeClr val="lt1"/>
                </a:solidFill>
              </a:ln>
              <a:effectLst/>
            </c:spPr>
            <c:extLst>
              <c:ext xmlns:c16="http://schemas.microsoft.com/office/drawing/2014/chart" uri="{C3380CC4-5D6E-409C-BE32-E72D297353CC}">
                <c16:uniqueId val="{000003D1-52CF-4AA6-9255-3D9F192EFA2C}"/>
              </c:ext>
            </c:extLst>
          </c:dPt>
          <c:dPt>
            <c:idx val="489"/>
            <c:bubble3D val="0"/>
            <c:spPr>
              <a:solidFill>
                <a:schemeClr val="accent4"/>
              </a:solidFill>
              <a:ln w="19050">
                <a:solidFill>
                  <a:schemeClr val="lt1"/>
                </a:solidFill>
              </a:ln>
              <a:effectLst/>
            </c:spPr>
            <c:extLst>
              <c:ext xmlns:c16="http://schemas.microsoft.com/office/drawing/2014/chart" uri="{C3380CC4-5D6E-409C-BE32-E72D297353CC}">
                <c16:uniqueId val="{000003D3-52CF-4AA6-9255-3D9F192EFA2C}"/>
              </c:ext>
            </c:extLst>
          </c:dPt>
          <c:dPt>
            <c:idx val="490"/>
            <c:bubble3D val="0"/>
            <c:spPr>
              <a:solidFill>
                <a:schemeClr val="accent5"/>
              </a:solidFill>
              <a:ln w="19050">
                <a:solidFill>
                  <a:schemeClr val="lt1"/>
                </a:solidFill>
              </a:ln>
              <a:effectLst/>
            </c:spPr>
            <c:extLst>
              <c:ext xmlns:c16="http://schemas.microsoft.com/office/drawing/2014/chart" uri="{C3380CC4-5D6E-409C-BE32-E72D297353CC}">
                <c16:uniqueId val="{000003D5-52CF-4AA6-9255-3D9F192EFA2C}"/>
              </c:ext>
            </c:extLst>
          </c:dPt>
          <c:dPt>
            <c:idx val="491"/>
            <c:bubble3D val="0"/>
            <c:spPr>
              <a:solidFill>
                <a:schemeClr val="accent6"/>
              </a:solidFill>
              <a:ln w="19050">
                <a:solidFill>
                  <a:schemeClr val="lt1"/>
                </a:solidFill>
              </a:ln>
              <a:effectLst/>
            </c:spPr>
            <c:extLst>
              <c:ext xmlns:c16="http://schemas.microsoft.com/office/drawing/2014/chart" uri="{C3380CC4-5D6E-409C-BE32-E72D297353CC}">
                <c16:uniqueId val="{000003D7-52CF-4AA6-9255-3D9F192EFA2C}"/>
              </c:ext>
            </c:extLst>
          </c:dPt>
          <c:dPt>
            <c:idx val="492"/>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3D9-52CF-4AA6-9255-3D9F192EFA2C}"/>
              </c:ext>
            </c:extLst>
          </c:dPt>
          <c:dPt>
            <c:idx val="49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3DB-52CF-4AA6-9255-3D9F192EFA2C}"/>
              </c:ext>
            </c:extLst>
          </c:dPt>
          <c:dPt>
            <c:idx val="49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3DD-52CF-4AA6-9255-3D9F192EFA2C}"/>
              </c:ext>
            </c:extLst>
          </c:dPt>
          <c:dPt>
            <c:idx val="49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3DF-52CF-4AA6-9255-3D9F192EFA2C}"/>
              </c:ext>
            </c:extLst>
          </c:dPt>
          <c:dPt>
            <c:idx val="496"/>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3E1-52CF-4AA6-9255-3D9F192EFA2C}"/>
              </c:ext>
            </c:extLst>
          </c:dPt>
          <c:dPt>
            <c:idx val="497"/>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3E3-52CF-4AA6-9255-3D9F192EFA2C}"/>
              </c:ext>
            </c:extLst>
          </c:dPt>
          <c:dPt>
            <c:idx val="498"/>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3E5-52CF-4AA6-9255-3D9F192EFA2C}"/>
              </c:ext>
            </c:extLst>
          </c:dPt>
          <c:dPt>
            <c:idx val="499"/>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3E7-52CF-4AA6-9255-3D9F192EFA2C}"/>
              </c:ext>
            </c:extLst>
          </c:dPt>
          <c:dPt>
            <c:idx val="500"/>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3E9-52CF-4AA6-9255-3D9F192EFA2C}"/>
              </c:ext>
            </c:extLst>
          </c:dPt>
          <c:dPt>
            <c:idx val="501"/>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3EB-52CF-4AA6-9255-3D9F192EFA2C}"/>
              </c:ext>
            </c:extLst>
          </c:dPt>
          <c:dPt>
            <c:idx val="502"/>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3ED-52CF-4AA6-9255-3D9F192EFA2C}"/>
              </c:ext>
            </c:extLst>
          </c:dPt>
          <c:dPt>
            <c:idx val="503"/>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3EF-52CF-4AA6-9255-3D9F192EFA2C}"/>
              </c:ext>
            </c:extLst>
          </c:dPt>
          <c:dPt>
            <c:idx val="504"/>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3F1-52CF-4AA6-9255-3D9F192EFA2C}"/>
              </c:ext>
            </c:extLst>
          </c:dPt>
          <c:dPt>
            <c:idx val="505"/>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3F3-52CF-4AA6-9255-3D9F192EFA2C}"/>
              </c:ext>
            </c:extLst>
          </c:dPt>
          <c:dPt>
            <c:idx val="506"/>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3F5-52CF-4AA6-9255-3D9F192EFA2C}"/>
              </c:ext>
            </c:extLst>
          </c:dPt>
          <c:dPt>
            <c:idx val="507"/>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3F7-52CF-4AA6-9255-3D9F192EFA2C}"/>
              </c:ext>
            </c:extLst>
          </c:dPt>
          <c:dPt>
            <c:idx val="508"/>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3F9-52CF-4AA6-9255-3D9F192EFA2C}"/>
              </c:ext>
            </c:extLst>
          </c:dPt>
          <c:dPt>
            <c:idx val="509"/>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3FB-52CF-4AA6-9255-3D9F192EFA2C}"/>
              </c:ext>
            </c:extLst>
          </c:dPt>
          <c:dPt>
            <c:idx val="51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3FD-52CF-4AA6-9255-3D9F192EFA2C}"/>
              </c:ext>
            </c:extLst>
          </c:dPt>
          <c:dPt>
            <c:idx val="51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3FF-52CF-4AA6-9255-3D9F192EFA2C}"/>
              </c:ext>
            </c:extLst>
          </c:dPt>
          <c:dPt>
            <c:idx val="512"/>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401-52CF-4AA6-9255-3D9F192EFA2C}"/>
              </c:ext>
            </c:extLst>
          </c:dPt>
          <c:dPt>
            <c:idx val="51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403-52CF-4AA6-9255-3D9F192EFA2C}"/>
              </c:ext>
            </c:extLst>
          </c:dPt>
          <c:dPt>
            <c:idx val="51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405-52CF-4AA6-9255-3D9F192EFA2C}"/>
              </c:ext>
            </c:extLst>
          </c:dPt>
          <c:dPt>
            <c:idx val="515"/>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407-52CF-4AA6-9255-3D9F192EFA2C}"/>
              </c:ext>
            </c:extLst>
          </c:dPt>
          <c:dPt>
            <c:idx val="516"/>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409-52CF-4AA6-9255-3D9F192EFA2C}"/>
              </c:ext>
            </c:extLst>
          </c:dPt>
          <c:dPt>
            <c:idx val="517"/>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40B-52CF-4AA6-9255-3D9F192EFA2C}"/>
              </c:ext>
            </c:extLst>
          </c:dPt>
          <c:dPt>
            <c:idx val="518"/>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40D-52CF-4AA6-9255-3D9F192EFA2C}"/>
              </c:ext>
            </c:extLst>
          </c:dPt>
          <c:dPt>
            <c:idx val="51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40F-52CF-4AA6-9255-3D9F192EFA2C}"/>
              </c:ext>
            </c:extLst>
          </c:dPt>
          <c:dPt>
            <c:idx val="520"/>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411-52CF-4AA6-9255-3D9F192EFA2C}"/>
              </c:ext>
            </c:extLst>
          </c:dPt>
          <c:dPt>
            <c:idx val="521"/>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413-52CF-4AA6-9255-3D9F192EFA2C}"/>
              </c:ext>
            </c:extLst>
          </c:dPt>
          <c:dPt>
            <c:idx val="522"/>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415-52CF-4AA6-9255-3D9F192EFA2C}"/>
              </c:ext>
            </c:extLst>
          </c:dPt>
          <c:dPt>
            <c:idx val="523"/>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417-52CF-4AA6-9255-3D9F192EFA2C}"/>
              </c:ext>
            </c:extLst>
          </c:dPt>
          <c:dPt>
            <c:idx val="524"/>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419-52CF-4AA6-9255-3D9F192EFA2C}"/>
              </c:ext>
            </c:extLst>
          </c:dPt>
          <c:dPt>
            <c:idx val="525"/>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41B-52CF-4AA6-9255-3D9F192EFA2C}"/>
              </c:ext>
            </c:extLst>
          </c:dPt>
          <c:dPt>
            <c:idx val="526"/>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41D-52CF-4AA6-9255-3D9F192EFA2C}"/>
              </c:ext>
            </c:extLst>
          </c:dPt>
          <c:dPt>
            <c:idx val="527"/>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41F-52CF-4AA6-9255-3D9F192EFA2C}"/>
              </c:ext>
            </c:extLst>
          </c:dPt>
          <c:dPt>
            <c:idx val="528"/>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421-52CF-4AA6-9255-3D9F192EFA2C}"/>
              </c:ext>
            </c:extLst>
          </c:dPt>
          <c:dPt>
            <c:idx val="529"/>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423-52CF-4AA6-9255-3D9F192EFA2C}"/>
              </c:ext>
            </c:extLst>
          </c:dPt>
          <c:dPt>
            <c:idx val="530"/>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425-52CF-4AA6-9255-3D9F192EFA2C}"/>
              </c:ext>
            </c:extLst>
          </c:dPt>
          <c:dPt>
            <c:idx val="531"/>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427-52CF-4AA6-9255-3D9F192EFA2C}"/>
              </c:ext>
            </c:extLst>
          </c:dPt>
          <c:dPt>
            <c:idx val="532"/>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429-52CF-4AA6-9255-3D9F192EFA2C}"/>
              </c:ext>
            </c:extLst>
          </c:dPt>
          <c:dPt>
            <c:idx val="533"/>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42B-52CF-4AA6-9255-3D9F192EFA2C}"/>
              </c:ext>
            </c:extLst>
          </c:dPt>
          <c:dPt>
            <c:idx val="534"/>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42D-52CF-4AA6-9255-3D9F192EFA2C}"/>
              </c:ext>
            </c:extLst>
          </c:dPt>
          <c:dPt>
            <c:idx val="535"/>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42F-52CF-4AA6-9255-3D9F192EFA2C}"/>
              </c:ext>
            </c:extLst>
          </c:dPt>
          <c:dPt>
            <c:idx val="536"/>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431-52CF-4AA6-9255-3D9F192EFA2C}"/>
              </c:ext>
            </c:extLst>
          </c:dPt>
          <c:dPt>
            <c:idx val="537"/>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433-52CF-4AA6-9255-3D9F192EFA2C}"/>
              </c:ext>
            </c:extLst>
          </c:dPt>
          <c:dPt>
            <c:idx val="538"/>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435-52CF-4AA6-9255-3D9F192EFA2C}"/>
              </c:ext>
            </c:extLst>
          </c:dPt>
          <c:dPt>
            <c:idx val="539"/>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437-52CF-4AA6-9255-3D9F192EFA2C}"/>
              </c:ext>
            </c:extLst>
          </c:dPt>
          <c:dPt>
            <c:idx val="540"/>
            <c:bubble3D val="0"/>
            <c:spPr>
              <a:solidFill>
                <a:schemeClr val="accent1"/>
              </a:solidFill>
              <a:ln w="19050">
                <a:solidFill>
                  <a:schemeClr val="lt1"/>
                </a:solidFill>
              </a:ln>
              <a:effectLst/>
            </c:spPr>
            <c:extLst>
              <c:ext xmlns:c16="http://schemas.microsoft.com/office/drawing/2014/chart" uri="{C3380CC4-5D6E-409C-BE32-E72D297353CC}">
                <c16:uniqueId val="{00000439-52CF-4AA6-9255-3D9F192EFA2C}"/>
              </c:ext>
            </c:extLst>
          </c:dPt>
          <c:dPt>
            <c:idx val="541"/>
            <c:bubble3D val="0"/>
            <c:spPr>
              <a:solidFill>
                <a:schemeClr val="accent2"/>
              </a:solidFill>
              <a:ln w="19050">
                <a:solidFill>
                  <a:schemeClr val="lt1"/>
                </a:solidFill>
              </a:ln>
              <a:effectLst/>
            </c:spPr>
            <c:extLst>
              <c:ext xmlns:c16="http://schemas.microsoft.com/office/drawing/2014/chart" uri="{C3380CC4-5D6E-409C-BE32-E72D297353CC}">
                <c16:uniqueId val="{0000043B-52CF-4AA6-9255-3D9F192EFA2C}"/>
              </c:ext>
            </c:extLst>
          </c:dPt>
          <c:dPt>
            <c:idx val="542"/>
            <c:bubble3D val="0"/>
            <c:spPr>
              <a:solidFill>
                <a:schemeClr val="accent3"/>
              </a:solidFill>
              <a:ln w="19050">
                <a:solidFill>
                  <a:schemeClr val="lt1"/>
                </a:solidFill>
              </a:ln>
              <a:effectLst/>
            </c:spPr>
            <c:extLst>
              <c:ext xmlns:c16="http://schemas.microsoft.com/office/drawing/2014/chart" uri="{C3380CC4-5D6E-409C-BE32-E72D297353CC}">
                <c16:uniqueId val="{0000043D-52CF-4AA6-9255-3D9F192EFA2C}"/>
              </c:ext>
            </c:extLst>
          </c:dPt>
          <c:dPt>
            <c:idx val="543"/>
            <c:bubble3D val="0"/>
            <c:spPr>
              <a:solidFill>
                <a:schemeClr val="accent4"/>
              </a:solidFill>
              <a:ln w="19050">
                <a:solidFill>
                  <a:schemeClr val="lt1"/>
                </a:solidFill>
              </a:ln>
              <a:effectLst/>
            </c:spPr>
            <c:extLst>
              <c:ext xmlns:c16="http://schemas.microsoft.com/office/drawing/2014/chart" uri="{C3380CC4-5D6E-409C-BE32-E72D297353CC}">
                <c16:uniqueId val="{0000043F-52CF-4AA6-9255-3D9F192EFA2C}"/>
              </c:ext>
            </c:extLst>
          </c:dPt>
          <c:dPt>
            <c:idx val="544"/>
            <c:bubble3D val="0"/>
            <c:spPr>
              <a:solidFill>
                <a:schemeClr val="accent5"/>
              </a:solidFill>
              <a:ln w="19050">
                <a:solidFill>
                  <a:schemeClr val="lt1"/>
                </a:solidFill>
              </a:ln>
              <a:effectLst/>
            </c:spPr>
            <c:extLst>
              <c:ext xmlns:c16="http://schemas.microsoft.com/office/drawing/2014/chart" uri="{C3380CC4-5D6E-409C-BE32-E72D297353CC}">
                <c16:uniqueId val="{00000441-52CF-4AA6-9255-3D9F192EFA2C}"/>
              </c:ext>
            </c:extLst>
          </c:dPt>
          <c:dPt>
            <c:idx val="545"/>
            <c:bubble3D val="0"/>
            <c:spPr>
              <a:solidFill>
                <a:schemeClr val="accent6"/>
              </a:solidFill>
              <a:ln w="19050">
                <a:solidFill>
                  <a:schemeClr val="lt1"/>
                </a:solidFill>
              </a:ln>
              <a:effectLst/>
            </c:spPr>
            <c:extLst>
              <c:ext xmlns:c16="http://schemas.microsoft.com/office/drawing/2014/chart" uri="{C3380CC4-5D6E-409C-BE32-E72D297353CC}">
                <c16:uniqueId val="{00000443-52CF-4AA6-9255-3D9F192EFA2C}"/>
              </c:ext>
            </c:extLst>
          </c:dPt>
          <c:dPt>
            <c:idx val="54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445-52CF-4AA6-9255-3D9F192EFA2C}"/>
              </c:ext>
            </c:extLst>
          </c:dPt>
          <c:dPt>
            <c:idx val="54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447-52CF-4AA6-9255-3D9F192EFA2C}"/>
              </c:ext>
            </c:extLst>
          </c:dPt>
          <c:dPt>
            <c:idx val="54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449-52CF-4AA6-9255-3D9F192EFA2C}"/>
              </c:ext>
            </c:extLst>
          </c:dPt>
          <c:dPt>
            <c:idx val="54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44B-52CF-4AA6-9255-3D9F192EFA2C}"/>
              </c:ext>
            </c:extLst>
          </c:dPt>
          <c:dPt>
            <c:idx val="55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44D-52CF-4AA6-9255-3D9F192EFA2C}"/>
              </c:ext>
            </c:extLst>
          </c:dPt>
          <c:dPt>
            <c:idx val="55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44F-52CF-4AA6-9255-3D9F192EFA2C}"/>
              </c:ext>
            </c:extLst>
          </c:dPt>
          <c:dPt>
            <c:idx val="55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451-52CF-4AA6-9255-3D9F192EFA2C}"/>
              </c:ext>
            </c:extLst>
          </c:dPt>
          <c:dPt>
            <c:idx val="55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453-52CF-4AA6-9255-3D9F192EFA2C}"/>
              </c:ext>
            </c:extLst>
          </c:dPt>
          <c:dPt>
            <c:idx val="55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455-52CF-4AA6-9255-3D9F192EFA2C}"/>
              </c:ext>
            </c:extLst>
          </c:dPt>
          <c:dPt>
            <c:idx val="55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457-52CF-4AA6-9255-3D9F192EFA2C}"/>
              </c:ext>
            </c:extLst>
          </c:dPt>
          <c:dPt>
            <c:idx val="55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459-52CF-4AA6-9255-3D9F192EFA2C}"/>
              </c:ext>
            </c:extLst>
          </c:dPt>
          <c:dPt>
            <c:idx val="55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45B-52CF-4AA6-9255-3D9F192EFA2C}"/>
              </c:ext>
            </c:extLst>
          </c:dPt>
          <c:dPt>
            <c:idx val="55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45D-52CF-4AA6-9255-3D9F192EFA2C}"/>
              </c:ext>
            </c:extLst>
          </c:dPt>
          <c:dPt>
            <c:idx val="55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45F-52CF-4AA6-9255-3D9F192EFA2C}"/>
              </c:ext>
            </c:extLst>
          </c:dPt>
          <c:dPt>
            <c:idx val="56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461-52CF-4AA6-9255-3D9F192EFA2C}"/>
              </c:ext>
            </c:extLst>
          </c:dPt>
          <c:dPt>
            <c:idx val="56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463-52CF-4AA6-9255-3D9F192EFA2C}"/>
              </c:ext>
            </c:extLst>
          </c:dPt>
          <c:dPt>
            <c:idx val="56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465-52CF-4AA6-9255-3D9F192EFA2C}"/>
              </c:ext>
            </c:extLst>
          </c:dPt>
          <c:dPt>
            <c:idx val="56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467-52CF-4AA6-9255-3D9F192EFA2C}"/>
              </c:ext>
            </c:extLst>
          </c:dPt>
          <c:dPt>
            <c:idx val="56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469-52CF-4AA6-9255-3D9F192EFA2C}"/>
              </c:ext>
            </c:extLst>
          </c:dPt>
          <c:dPt>
            <c:idx val="56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46B-52CF-4AA6-9255-3D9F192EFA2C}"/>
              </c:ext>
            </c:extLst>
          </c:dPt>
          <c:dPt>
            <c:idx val="56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46D-52CF-4AA6-9255-3D9F192EFA2C}"/>
              </c:ext>
            </c:extLst>
          </c:dPt>
          <c:dPt>
            <c:idx val="56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46F-52CF-4AA6-9255-3D9F192EFA2C}"/>
              </c:ext>
            </c:extLst>
          </c:dPt>
          <c:dPt>
            <c:idx val="56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471-52CF-4AA6-9255-3D9F192EFA2C}"/>
              </c:ext>
            </c:extLst>
          </c:dPt>
          <c:dPt>
            <c:idx val="56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473-52CF-4AA6-9255-3D9F192EFA2C}"/>
              </c:ext>
            </c:extLst>
          </c:dPt>
          <c:dPt>
            <c:idx val="57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475-52CF-4AA6-9255-3D9F192EFA2C}"/>
              </c:ext>
            </c:extLst>
          </c:dPt>
          <c:dPt>
            <c:idx val="57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477-52CF-4AA6-9255-3D9F192EFA2C}"/>
              </c:ext>
            </c:extLst>
          </c:dPt>
          <c:dPt>
            <c:idx val="57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479-52CF-4AA6-9255-3D9F192EFA2C}"/>
              </c:ext>
            </c:extLst>
          </c:dPt>
          <c:dPt>
            <c:idx val="57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47B-52CF-4AA6-9255-3D9F192EFA2C}"/>
              </c:ext>
            </c:extLst>
          </c:dPt>
          <c:dPt>
            <c:idx val="57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47D-52CF-4AA6-9255-3D9F192EFA2C}"/>
              </c:ext>
            </c:extLst>
          </c:dPt>
          <c:dPt>
            <c:idx val="57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47F-52CF-4AA6-9255-3D9F192EFA2C}"/>
              </c:ext>
            </c:extLst>
          </c:dPt>
          <c:dPt>
            <c:idx val="57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481-52CF-4AA6-9255-3D9F192EFA2C}"/>
              </c:ext>
            </c:extLst>
          </c:dPt>
          <c:dPt>
            <c:idx val="57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483-52CF-4AA6-9255-3D9F192EFA2C}"/>
              </c:ext>
            </c:extLst>
          </c:dPt>
          <c:dPt>
            <c:idx val="57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485-52CF-4AA6-9255-3D9F192EFA2C}"/>
              </c:ext>
            </c:extLst>
          </c:dPt>
          <c:dPt>
            <c:idx val="57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487-52CF-4AA6-9255-3D9F192EFA2C}"/>
              </c:ext>
            </c:extLst>
          </c:dPt>
          <c:dPt>
            <c:idx val="58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489-52CF-4AA6-9255-3D9F192EFA2C}"/>
              </c:ext>
            </c:extLst>
          </c:dPt>
          <c:dPt>
            <c:idx val="58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48B-52CF-4AA6-9255-3D9F192EFA2C}"/>
              </c:ext>
            </c:extLst>
          </c:dPt>
          <c:dPt>
            <c:idx val="58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48D-52CF-4AA6-9255-3D9F192EFA2C}"/>
              </c:ext>
            </c:extLst>
          </c:dPt>
          <c:dPt>
            <c:idx val="58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48F-52CF-4AA6-9255-3D9F192EFA2C}"/>
              </c:ext>
            </c:extLst>
          </c:dPt>
          <c:dPt>
            <c:idx val="58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491-52CF-4AA6-9255-3D9F192EFA2C}"/>
              </c:ext>
            </c:extLst>
          </c:dPt>
          <c:dPt>
            <c:idx val="58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493-52CF-4AA6-9255-3D9F192EFA2C}"/>
              </c:ext>
            </c:extLst>
          </c:dPt>
          <c:dPt>
            <c:idx val="58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495-52CF-4AA6-9255-3D9F192EFA2C}"/>
              </c:ext>
            </c:extLst>
          </c:dPt>
          <c:dPt>
            <c:idx val="58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497-52CF-4AA6-9255-3D9F192EFA2C}"/>
              </c:ext>
            </c:extLst>
          </c:dPt>
          <c:dPt>
            <c:idx val="58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499-52CF-4AA6-9255-3D9F192EFA2C}"/>
              </c:ext>
            </c:extLst>
          </c:dPt>
          <c:dPt>
            <c:idx val="58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49B-52CF-4AA6-9255-3D9F192EFA2C}"/>
              </c:ext>
            </c:extLst>
          </c:dPt>
          <c:dPt>
            <c:idx val="59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49D-52CF-4AA6-9255-3D9F192EFA2C}"/>
              </c:ext>
            </c:extLst>
          </c:dPt>
          <c:dPt>
            <c:idx val="59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49F-52CF-4AA6-9255-3D9F192EFA2C}"/>
              </c:ext>
            </c:extLst>
          </c:dPt>
          <c:dPt>
            <c:idx val="59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4A1-52CF-4AA6-9255-3D9F192EFA2C}"/>
              </c:ext>
            </c:extLst>
          </c:dPt>
          <c:dPt>
            <c:idx val="59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4A3-52CF-4AA6-9255-3D9F192EFA2C}"/>
              </c:ext>
            </c:extLst>
          </c:dPt>
          <c:dPt>
            <c:idx val="594"/>
            <c:bubble3D val="0"/>
            <c:spPr>
              <a:solidFill>
                <a:schemeClr val="accent1"/>
              </a:solidFill>
              <a:ln w="19050">
                <a:solidFill>
                  <a:schemeClr val="lt1"/>
                </a:solidFill>
              </a:ln>
              <a:effectLst/>
            </c:spPr>
            <c:extLst>
              <c:ext xmlns:c16="http://schemas.microsoft.com/office/drawing/2014/chart" uri="{C3380CC4-5D6E-409C-BE32-E72D297353CC}">
                <c16:uniqueId val="{000004A5-52CF-4AA6-9255-3D9F192EFA2C}"/>
              </c:ext>
            </c:extLst>
          </c:dPt>
          <c:dPt>
            <c:idx val="595"/>
            <c:bubble3D val="0"/>
            <c:spPr>
              <a:solidFill>
                <a:schemeClr val="accent2"/>
              </a:solidFill>
              <a:ln w="19050">
                <a:solidFill>
                  <a:schemeClr val="lt1"/>
                </a:solidFill>
              </a:ln>
              <a:effectLst/>
            </c:spPr>
            <c:extLst>
              <c:ext xmlns:c16="http://schemas.microsoft.com/office/drawing/2014/chart" uri="{C3380CC4-5D6E-409C-BE32-E72D297353CC}">
                <c16:uniqueId val="{000004A7-52CF-4AA6-9255-3D9F192EFA2C}"/>
              </c:ext>
            </c:extLst>
          </c:dPt>
          <c:dPt>
            <c:idx val="596"/>
            <c:bubble3D val="0"/>
            <c:spPr>
              <a:solidFill>
                <a:schemeClr val="accent3"/>
              </a:solidFill>
              <a:ln w="19050">
                <a:solidFill>
                  <a:schemeClr val="lt1"/>
                </a:solidFill>
              </a:ln>
              <a:effectLst/>
            </c:spPr>
            <c:extLst>
              <c:ext xmlns:c16="http://schemas.microsoft.com/office/drawing/2014/chart" uri="{C3380CC4-5D6E-409C-BE32-E72D297353CC}">
                <c16:uniqueId val="{000004A9-52CF-4AA6-9255-3D9F192EFA2C}"/>
              </c:ext>
            </c:extLst>
          </c:dPt>
          <c:dPt>
            <c:idx val="597"/>
            <c:bubble3D val="0"/>
            <c:spPr>
              <a:solidFill>
                <a:schemeClr val="accent4"/>
              </a:solidFill>
              <a:ln w="19050">
                <a:solidFill>
                  <a:schemeClr val="lt1"/>
                </a:solidFill>
              </a:ln>
              <a:effectLst/>
            </c:spPr>
            <c:extLst>
              <c:ext xmlns:c16="http://schemas.microsoft.com/office/drawing/2014/chart" uri="{C3380CC4-5D6E-409C-BE32-E72D297353CC}">
                <c16:uniqueId val="{000004AB-52CF-4AA6-9255-3D9F192EFA2C}"/>
              </c:ext>
            </c:extLst>
          </c:dPt>
          <c:dPt>
            <c:idx val="598"/>
            <c:bubble3D val="0"/>
            <c:spPr>
              <a:solidFill>
                <a:schemeClr val="accent5"/>
              </a:solidFill>
              <a:ln w="19050">
                <a:solidFill>
                  <a:schemeClr val="lt1"/>
                </a:solidFill>
              </a:ln>
              <a:effectLst/>
            </c:spPr>
            <c:extLst>
              <c:ext xmlns:c16="http://schemas.microsoft.com/office/drawing/2014/chart" uri="{C3380CC4-5D6E-409C-BE32-E72D297353CC}">
                <c16:uniqueId val="{000004AD-52CF-4AA6-9255-3D9F192EFA2C}"/>
              </c:ext>
            </c:extLst>
          </c:dPt>
          <c:dPt>
            <c:idx val="599"/>
            <c:bubble3D val="0"/>
            <c:spPr>
              <a:solidFill>
                <a:schemeClr val="accent6"/>
              </a:solidFill>
              <a:ln w="19050">
                <a:solidFill>
                  <a:schemeClr val="lt1"/>
                </a:solidFill>
              </a:ln>
              <a:effectLst/>
            </c:spPr>
            <c:extLst>
              <c:ext xmlns:c16="http://schemas.microsoft.com/office/drawing/2014/chart" uri="{C3380CC4-5D6E-409C-BE32-E72D297353CC}">
                <c16:uniqueId val="{000004AF-52CF-4AA6-9255-3D9F192EFA2C}"/>
              </c:ext>
            </c:extLst>
          </c:dPt>
          <c:dPt>
            <c:idx val="60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4B1-52CF-4AA6-9255-3D9F192EFA2C}"/>
              </c:ext>
            </c:extLst>
          </c:dPt>
          <c:dLbls>
            <c:dLbl>
              <c:idx val="492"/>
              <c:showLegendKey val="0"/>
              <c:showVal val="0"/>
              <c:showCatName val="1"/>
              <c:showSerName val="0"/>
              <c:showPercent val="1"/>
              <c:showBubbleSize val="0"/>
              <c:extLst>
                <c:ext xmlns:c15="http://schemas.microsoft.com/office/drawing/2012/chart" uri="{CE6537A1-D6FC-4f65-9D91-7224C49458BB}">
                  <c15:layout>
                    <c:manualLayout>
                      <c:w val="0.23701605288007555"/>
                      <c:h val="0.32885906040268453"/>
                    </c:manualLayout>
                  </c15:layout>
                </c:ext>
                <c:ext xmlns:c16="http://schemas.microsoft.com/office/drawing/2014/chart" uri="{C3380CC4-5D6E-409C-BE32-E72D297353CC}">
                  <c16:uniqueId val="{000003D9-52CF-4AA6-9255-3D9F192EFA2C}"/>
                </c:ext>
              </c:extLst>
            </c:dLbl>
            <c:dLbl>
              <c:idx val="496"/>
              <c:showLegendKey val="0"/>
              <c:showVal val="0"/>
              <c:showCatName val="1"/>
              <c:showSerName val="0"/>
              <c:showPercent val="1"/>
              <c:showBubbleSize val="0"/>
              <c:extLst>
                <c:ext xmlns:c15="http://schemas.microsoft.com/office/drawing/2012/chart" uri="{CE6537A1-D6FC-4f65-9D91-7224C49458BB}">
                  <c15:layout>
                    <c:manualLayout>
                      <c:w val="0.18319169027384324"/>
                      <c:h val="0.33557046979865773"/>
                    </c:manualLayout>
                  </c15:layout>
                </c:ext>
                <c:ext xmlns:c16="http://schemas.microsoft.com/office/drawing/2014/chart" uri="{C3380CC4-5D6E-409C-BE32-E72D297353CC}">
                  <c16:uniqueId val="{000003E1-52CF-4AA6-9255-3D9F192EFA2C}"/>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MASQ2!$CH$4:$CH$600</c:f>
              <c:numCache>
                <c:formatCode>General</c:formatCode>
                <c:ptCount val="5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numCache>
            </c:numRef>
          </c:cat>
          <c:val>
            <c:numRef>
              <c:f>MASQ2!$CI$4:$CI$600</c:f>
              <c:numCache>
                <c:formatCode>General</c:formatCode>
                <c:ptCount val="5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numCache>
            </c:numRef>
          </c:val>
          <c:extLst>
            <c:ext xmlns:c16="http://schemas.microsoft.com/office/drawing/2014/chart" uri="{C3380CC4-5D6E-409C-BE32-E72D297353CC}">
              <c16:uniqueId val="{000004B2-52CF-4AA6-9255-3D9F192EFA2C}"/>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r>
              <a:rPr lang="fr-FR" sz="1050" b="1">
                <a:solidFill>
                  <a:sysClr val="windowText" lastClr="000000"/>
                </a:solidFill>
              </a:rPr>
              <a:t>Famille d'antibiotiques</a:t>
            </a: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8512275471111059"/>
          <c:y val="0.18215349162832883"/>
          <c:w val="0.67751915985550837"/>
          <c:h val="0.7824447419950572"/>
        </c:manualLayout>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7697-42EE-9CEA-42EB4D232889}"/>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7697-42EE-9CEA-42EB4D232889}"/>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7697-42EE-9CEA-42EB4D232889}"/>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7697-42EE-9CEA-42EB4D232889}"/>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7697-42EE-9CEA-42EB4D232889}"/>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7697-42EE-9CEA-42EB4D232889}"/>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7697-42EE-9CEA-42EB4D232889}"/>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7697-42EE-9CEA-42EB4D232889}"/>
              </c:ext>
            </c:extLst>
          </c:dPt>
          <c:dPt>
            <c:idx val="8"/>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11-7697-42EE-9CEA-42EB4D232889}"/>
              </c:ext>
            </c:extLst>
          </c:dPt>
          <c:dPt>
            <c:idx val="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13-7697-42EE-9CEA-42EB4D232889}"/>
              </c:ext>
            </c:extLst>
          </c:dPt>
          <c:dPt>
            <c:idx val="10"/>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15-7697-42EE-9CEA-42EB4D232889}"/>
              </c:ext>
            </c:extLst>
          </c:dPt>
          <c:dPt>
            <c:idx val="1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17-7697-42EE-9CEA-42EB4D232889}"/>
              </c:ext>
            </c:extLst>
          </c:dPt>
          <c:dPt>
            <c:idx val="1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19-7697-42EE-9CEA-42EB4D232889}"/>
              </c:ext>
            </c:extLst>
          </c:dPt>
          <c:dPt>
            <c:idx val="1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B-7697-42EE-9CEA-42EB4D232889}"/>
              </c:ext>
            </c:extLst>
          </c:dPt>
          <c:dPt>
            <c:idx val="14"/>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1D-7697-42EE-9CEA-42EB4D232889}"/>
              </c:ext>
            </c:extLst>
          </c:dPt>
          <c:dPt>
            <c:idx val="15"/>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1F-7697-42EE-9CEA-42EB4D232889}"/>
              </c:ext>
            </c:extLst>
          </c:dPt>
          <c:dPt>
            <c:idx val="16"/>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21-7697-42EE-9CEA-42EB4D232889}"/>
              </c:ext>
            </c:extLst>
          </c:dPt>
          <c:dPt>
            <c:idx val="17"/>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23-7697-42EE-9CEA-42EB4D232889}"/>
              </c:ext>
            </c:extLst>
          </c:dPt>
          <c:dPt>
            <c:idx val="18"/>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25-7697-42EE-9CEA-42EB4D232889}"/>
              </c:ext>
            </c:extLst>
          </c:dPt>
          <c:dPt>
            <c:idx val="1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27-7697-42EE-9CEA-42EB4D232889}"/>
              </c:ext>
            </c:extLst>
          </c:dPt>
          <c:dPt>
            <c:idx val="20"/>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29-7697-42EE-9CEA-42EB4D232889}"/>
              </c:ext>
            </c:extLst>
          </c:dPt>
          <c:dPt>
            <c:idx val="21"/>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2B-7697-42EE-9CEA-42EB4D232889}"/>
              </c:ext>
            </c:extLst>
          </c:dPt>
          <c:dPt>
            <c:idx val="22"/>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2D-7697-42EE-9CEA-42EB4D232889}"/>
              </c:ext>
            </c:extLst>
          </c:dPt>
          <c:dPt>
            <c:idx val="23"/>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2F-7697-42EE-9CEA-42EB4D232889}"/>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MASQ2!$CX$4:$CX$19</c:f>
              <c:numCache>
                <c:formatCode>General</c:formatCode>
                <c:ptCount val="1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numCache>
            </c:numRef>
          </c:cat>
          <c:val>
            <c:numRef>
              <c:f>MASQ2!$CY$4:$CY$19</c:f>
              <c:numCache>
                <c:formatCode>General</c:formatCode>
                <c:ptCount val="1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numCache>
            </c:numRef>
          </c:val>
          <c:extLst>
            <c:ext xmlns:c16="http://schemas.microsoft.com/office/drawing/2014/chart" uri="{C3380CC4-5D6E-409C-BE32-E72D297353CC}">
              <c16:uniqueId val="{00000030-7697-42EE-9CEA-42EB4D232889}"/>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Arial Narrow" panose="020B0606020202030204" pitchFamily="34" charset="0"/>
                <a:ea typeface="+mn-ea"/>
                <a:cs typeface="+mn-cs"/>
              </a:defRPr>
            </a:pPr>
            <a:r>
              <a:rPr lang="fr-FR" sz="1050" b="1">
                <a:solidFill>
                  <a:schemeClr val="tx1"/>
                </a:solidFill>
                <a:latin typeface="Arial Narrow" panose="020B0606020202030204" pitchFamily="34" charset="0"/>
              </a:rPr>
              <a:t>Traitements par motif</a:t>
            </a:r>
          </a:p>
        </c:rich>
      </c:tx>
      <c:layout>
        <c:manualLayout>
          <c:xMode val="edge"/>
          <c:yMode val="edge"/>
          <c:x val="0.32784528249758255"/>
          <c:y val="5.4204313846244079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21929597520423927"/>
          <c:y val="0.25417019623449594"/>
          <c:w val="0.69654744511422251"/>
          <c:h val="0.6548349867818870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3E5-4BF3-9043-EAF57FD9541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3E5-4BF3-9043-EAF57FD9541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3E5-4BF3-9043-EAF57FD9541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3E5-4BF3-9043-EAF57FD9541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3E5-4BF3-9043-EAF57FD9541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3E5-4BF3-9043-EAF57FD9541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3E5-4BF3-9043-EAF57FD9541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3E5-4BF3-9043-EAF57FD9541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3E5-4BF3-9043-EAF57FD9541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B3E5-4BF3-9043-EAF57FD9541E}"/>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B3E5-4BF3-9043-EAF57FD9541E}"/>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B3E5-4BF3-9043-EAF57FD9541E}"/>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B3E5-4BF3-9043-EAF57FD9541E}"/>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B3E5-4BF3-9043-EAF57FD9541E}"/>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B3E5-4BF3-9043-EAF57FD9541E}"/>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B3E5-4BF3-9043-EAF57FD9541E}"/>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B3E5-4BF3-9043-EAF57FD9541E}"/>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B3E5-4BF3-9043-EAF57FD9541E}"/>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B3E5-4BF3-9043-EAF57FD9541E}"/>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B3E5-4BF3-9043-EAF57FD9541E}"/>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MASQ2!$DX$4:$DX$23</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cat>
          <c:val>
            <c:numRef>
              <c:f>MASQ2!$DY$4:$DY$23</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28-B3E5-4BF3-9043-EAF57FD9541E}"/>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r>
              <a:rPr lang="fr-FR" sz="1050" b="1">
                <a:solidFill>
                  <a:sysClr val="windowText" lastClr="000000"/>
                </a:solidFill>
              </a:rPr>
              <a:t>Substances antibiotiques</a:t>
            </a: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1127470083188754"/>
          <c:y val="0.19800937499999999"/>
          <c:w val="0.7819700164598069"/>
          <c:h val="0.7629298611111111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203-41A3-A4D9-C2BB051942CA}"/>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E203-41A3-A4D9-C2BB051942CA}"/>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E203-41A3-A4D9-C2BB051942CA}"/>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E203-41A3-A4D9-C2BB051942CA}"/>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E203-41A3-A4D9-C2BB051942CA}"/>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E203-41A3-A4D9-C2BB051942CA}"/>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E203-41A3-A4D9-C2BB051942CA}"/>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E203-41A3-A4D9-C2BB051942CA}"/>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E203-41A3-A4D9-C2BB051942CA}"/>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E203-41A3-A4D9-C2BB051942CA}"/>
              </c:ext>
            </c:extLst>
          </c:dPt>
          <c:dPt>
            <c:idx val="1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15-E203-41A3-A4D9-C2BB051942CA}"/>
              </c:ext>
            </c:extLst>
          </c:dPt>
          <c:dPt>
            <c:idx val="11"/>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17-E203-41A3-A4D9-C2BB051942CA}"/>
              </c:ext>
            </c:extLst>
          </c:dPt>
          <c:dPt>
            <c:idx val="1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9-E203-41A3-A4D9-C2BB051942CA}"/>
              </c:ext>
            </c:extLst>
          </c:dPt>
          <c:dPt>
            <c:idx val="13"/>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1B-E203-41A3-A4D9-C2BB051942CA}"/>
              </c:ext>
            </c:extLst>
          </c:dPt>
          <c:dPt>
            <c:idx val="1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1D-E203-41A3-A4D9-C2BB051942CA}"/>
              </c:ext>
            </c:extLst>
          </c:dPt>
          <c:dPt>
            <c:idx val="15"/>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F-E203-41A3-A4D9-C2BB051942CA}"/>
              </c:ext>
            </c:extLst>
          </c:dPt>
          <c:dPt>
            <c:idx val="1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21-E203-41A3-A4D9-C2BB051942CA}"/>
              </c:ext>
            </c:extLst>
          </c:dPt>
          <c:dPt>
            <c:idx val="17"/>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23-E203-41A3-A4D9-C2BB051942CA}"/>
              </c:ext>
            </c:extLst>
          </c:dPt>
          <c:dPt>
            <c:idx val="18"/>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25-E203-41A3-A4D9-C2BB051942CA}"/>
              </c:ext>
            </c:extLst>
          </c:dPt>
          <c:dPt>
            <c:idx val="19"/>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27-E203-41A3-A4D9-C2BB051942CA}"/>
              </c:ext>
            </c:extLst>
          </c:dPt>
          <c:dPt>
            <c:idx val="2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29-E203-41A3-A4D9-C2BB051942CA}"/>
              </c:ext>
            </c:extLst>
          </c:dPt>
          <c:dPt>
            <c:idx val="21"/>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2B-E203-41A3-A4D9-C2BB051942CA}"/>
              </c:ext>
            </c:extLst>
          </c:dPt>
          <c:dPt>
            <c:idx val="22"/>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2D-E203-41A3-A4D9-C2BB051942CA}"/>
              </c:ext>
            </c:extLst>
          </c:dPt>
          <c:dPt>
            <c:idx val="23"/>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2F-E203-41A3-A4D9-C2BB051942CA}"/>
              </c:ext>
            </c:extLst>
          </c:dPt>
          <c:dPt>
            <c:idx val="24"/>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31-E203-41A3-A4D9-C2BB051942CA}"/>
              </c:ext>
            </c:extLst>
          </c:dPt>
          <c:dPt>
            <c:idx val="25"/>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33-E203-41A3-A4D9-C2BB051942CA}"/>
              </c:ext>
            </c:extLst>
          </c:dPt>
          <c:dPt>
            <c:idx val="26"/>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35-E203-41A3-A4D9-C2BB051942CA}"/>
              </c:ext>
            </c:extLst>
          </c:dPt>
          <c:dPt>
            <c:idx val="27"/>
            <c:bubble3D val="0"/>
            <c:spPr>
              <a:solidFill>
                <a:schemeClr val="accent1"/>
              </a:solidFill>
              <a:ln w="19050">
                <a:solidFill>
                  <a:schemeClr val="lt1"/>
                </a:solidFill>
              </a:ln>
              <a:effectLst/>
            </c:spPr>
            <c:extLst>
              <c:ext xmlns:c16="http://schemas.microsoft.com/office/drawing/2014/chart" uri="{C3380CC4-5D6E-409C-BE32-E72D297353CC}">
                <c16:uniqueId val="{00000037-E203-41A3-A4D9-C2BB051942CA}"/>
              </c:ext>
            </c:extLst>
          </c:dPt>
          <c:dPt>
            <c:idx val="28"/>
            <c:bubble3D val="0"/>
            <c:spPr>
              <a:solidFill>
                <a:schemeClr val="accent3"/>
              </a:solidFill>
              <a:ln w="19050">
                <a:solidFill>
                  <a:schemeClr val="lt1"/>
                </a:solidFill>
              </a:ln>
              <a:effectLst/>
            </c:spPr>
            <c:extLst>
              <c:ext xmlns:c16="http://schemas.microsoft.com/office/drawing/2014/chart" uri="{C3380CC4-5D6E-409C-BE32-E72D297353CC}">
                <c16:uniqueId val="{00000039-E203-41A3-A4D9-C2BB051942CA}"/>
              </c:ext>
            </c:extLst>
          </c:dPt>
          <c:dPt>
            <c:idx val="29"/>
            <c:bubble3D val="0"/>
            <c:spPr>
              <a:solidFill>
                <a:schemeClr val="accent5"/>
              </a:solidFill>
              <a:ln w="19050">
                <a:solidFill>
                  <a:schemeClr val="lt1"/>
                </a:solidFill>
              </a:ln>
              <a:effectLst/>
            </c:spPr>
            <c:extLst>
              <c:ext xmlns:c16="http://schemas.microsoft.com/office/drawing/2014/chart" uri="{C3380CC4-5D6E-409C-BE32-E72D297353CC}">
                <c16:uniqueId val="{0000003B-E203-41A3-A4D9-C2BB051942CA}"/>
              </c:ext>
            </c:extLst>
          </c:dPt>
          <c:dPt>
            <c:idx val="3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3D-E203-41A3-A4D9-C2BB051942CA}"/>
              </c:ext>
            </c:extLst>
          </c:dPt>
          <c:dPt>
            <c:idx val="31"/>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3F-E203-41A3-A4D9-C2BB051942CA}"/>
              </c:ext>
            </c:extLst>
          </c:dPt>
          <c:dPt>
            <c:idx val="32"/>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41-E203-41A3-A4D9-C2BB051942CA}"/>
              </c:ext>
            </c:extLst>
          </c:dPt>
          <c:dPt>
            <c:idx val="33"/>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43-E203-41A3-A4D9-C2BB051942CA}"/>
              </c:ext>
            </c:extLst>
          </c:dPt>
          <c:dPt>
            <c:idx val="3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45-E203-41A3-A4D9-C2BB051942CA}"/>
              </c:ext>
            </c:extLst>
          </c:dPt>
          <c:dPt>
            <c:idx val="35"/>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47-E203-41A3-A4D9-C2BB051942CA}"/>
              </c:ext>
            </c:extLst>
          </c:dPt>
          <c:dPt>
            <c:idx val="36"/>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49-E203-41A3-A4D9-C2BB051942CA}"/>
              </c:ext>
            </c:extLst>
          </c:dPt>
          <c:dPt>
            <c:idx val="37"/>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4B-E203-41A3-A4D9-C2BB051942CA}"/>
              </c:ext>
            </c:extLst>
          </c:dPt>
          <c:dPt>
            <c:idx val="38"/>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4D-E203-41A3-A4D9-C2BB051942CA}"/>
              </c:ext>
            </c:extLst>
          </c:dPt>
          <c:dPt>
            <c:idx val="3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4F-E203-41A3-A4D9-C2BB051942CA}"/>
              </c:ext>
            </c:extLst>
          </c:dPt>
          <c:dPt>
            <c:idx val="4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51-E203-41A3-A4D9-C2BB051942CA}"/>
              </c:ext>
            </c:extLst>
          </c:dPt>
          <c:dPt>
            <c:idx val="41"/>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53-E203-41A3-A4D9-C2BB051942CA}"/>
              </c:ext>
            </c:extLst>
          </c:dPt>
          <c:dPt>
            <c:idx val="4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55-E203-41A3-A4D9-C2BB051942CA}"/>
              </c:ext>
            </c:extLst>
          </c:dPt>
          <c:dPt>
            <c:idx val="43"/>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57-E203-41A3-A4D9-C2BB051942CA}"/>
              </c:ext>
            </c:extLst>
          </c:dPt>
          <c:dPt>
            <c:idx val="4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59-E203-41A3-A4D9-C2BB051942CA}"/>
              </c:ext>
            </c:extLst>
          </c:dPt>
          <c:dPt>
            <c:idx val="45"/>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5B-E203-41A3-A4D9-C2BB051942CA}"/>
              </c:ext>
            </c:extLst>
          </c:dPt>
          <c:dPt>
            <c:idx val="46"/>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5D-E203-41A3-A4D9-C2BB051942CA}"/>
              </c:ext>
            </c:extLst>
          </c:dPt>
          <c:dPt>
            <c:idx val="47"/>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5F-E203-41A3-A4D9-C2BB051942CA}"/>
              </c:ext>
            </c:extLst>
          </c:dPt>
          <c:dPt>
            <c:idx val="48"/>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61-E203-41A3-A4D9-C2BB051942CA}"/>
              </c:ext>
            </c:extLst>
          </c:dPt>
          <c:dPt>
            <c:idx val="49"/>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63-E203-41A3-A4D9-C2BB051942CA}"/>
              </c:ext>
            </c:extLst>
          </c:dPt>
          <c:dPt>
            <c:idx val="50"/>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65-E203-41A3-A4D9-C2BB051942CA}"/>
              </c:ext>
            </c:extLst>
          </c:dPt>
          <c:dPt>
            <c:idx val="51"/>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67-E203-41A3-A4D9-C2BB051942CA}"/>
              </c:ext>
            </c:extLst>
          </c:dPt>
          <c:dPt>
            <c:idx val="52"/>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69-E203-41A3-A4D9-C2BB051942CA}"/>
              </c:ext>
            </c:extLst>
          </c:dPt>
          <c:dPt>
            <c:idx val="53"/>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6B-E203-41A3-A4D9-C2BB051942CA}"/>
              </c:ext>
            </c:extLst>
          </c:dPt>
          <c:dPt>
            <c:idx val="54"/>
            <c:bubble3D val="0"/>
            <c:spPr>
              <a:solidFill>
                <a:schemeClr val="accent1"/>
              </a:solidFill>
              <a:ln w="19050">
                <a:solidFill>
                  <a:schemeClr val="lt1"/>
                </a:solidFill>
              </a:ln>
              <a:effectLst/>
            </c:spPr>
            <c:extLst>
              <c:ext xmlns:c16="http://schemas.microsoft.com/office/drawing/2014/chart" uri="{C3380CC4-5D6E-409C-BE32-E72D297353CC}">
                <c16:uniqueId val="{0000006D-E203-41A3-A4D9-C2BB051942CA}"/>
              </c:ext>
            </c:extLst>
          </c:dPt>
          <c:dPt>
            <c:idx val="55"/>
            <c:bubble3D val="0"/>
            <c:spPr>
              <a:solidFill>
                <a:schemeClr val="accent3"/>
              </a:solidFill>
              <a:ln w="19050">
                <a:solidFill>
                  <a:schemeClr val="lt1"/>
                </a:solidFill>
              </a:ln>
              <a:effectLst/>
            </c:spPr>
            <c:extLst>
              <c:ext xmlns:c16="http://schemas.microsoft.com/office/drawing/2014/chart" uri="{C3380CC4-5D6E-409C-BE32-E72D297353CC}">
                <c16:uniqueId val="{0000006F-E203-41A3-A4D9-C2BB051942CA}"/>
              </c:ext>
            </c:extLst>
          </c:dPt>
          <c:dPt>
            <c:idx val="56"/>
            <c:bubble3D val="0"/>
            <c:spPr>
              <a:solidFill>
                <a:schemeClr val="accent5"/>
              </a:solidFill>
              <a:ln w="19050">
                <a:solidFill>
                  <a:schemeClr val="lt1"/>
                </a:solidFill>
              </a:ln>
              <a:effectLst/>
            </c:spPr>
            <c:extLst>
              <c:ext xmlns:c16="http://schemas.microsoft.com/office/drawing/2014/chart" uri="{C3380CC4-5D6E-409C-BE32-E72D297353CC}">
                <c16:uniqueId val="{00000071-E203-41A3-A4D9-C2BB051942CA}"/>
              </c:ext>
            </c:extLst>
          </c:dPt>
          <c:dPt>
            <c:idx val="57"/>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73-E203-41A3-A4D9-C2BB051942CA}"/>
              </c:ext>
            </c:extLst>
          </c:dPt>
          <c:dPt>
            <c:idx val="5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75-E203-41A3-A4D9-C2BB051942CA}"/>
              </c:ext>
            </c:extLst>
          </c:dPt>
          <c:dPt>
            <c:idx val="59"/>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77-E203-41A3-A4D9-C2BB051942CA}"/>
              </c:ext>
            </c:extLst>
          </c:dPt>
          <c:dPt>
            <c:idx val="60"/>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79-E203-41A3-A4D9-C2BB051942CA}"/>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MASQ2!$EW$4:$EW$64</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cat>
          <c:val>
            <c:numRef>
              <c:f>MASQ2!$EX$4:$EX$64</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val>
          <c:extLst>
            <c:ext xmlns:c16="http://schemas.microsoft.com/office/drawing/2014/chart" uri="{C3380CC4-5D6E-409C-BE32-E72D297353CC}">
              <c16:uniqueId val="{0000007A-E203-41A3-A4D9-C2BB051942CA}"/>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r>
              <a:rPr lang="fr-FR" sz="1050" b="1">
                <a:solidFill>
                  <a:sysClr val="windowText" lastClr="000000"/>
                </a:solidFill>
              </a:rPr>
              <a:t>Traitements par voie d'administration</a:t>
            </a: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1127470083188754"/>
          <c:y val="0.19800937499999999"/>
          <c:w val="0.7819700164598069"/>
          <c:h val="0.7629298611111111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961-43A0-959A-9095084778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961-43A0-959A-9095084778B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961-43A0-959A-9095084778B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961-43A0-959A-9095084778B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961-43A0-959A-9095084778B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961-43A0-959A-9095084778B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961-43A0-959A-9095084778B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9961-43A0-959A-9095084778B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9961-43A0-959A-9095084778B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9961-43A0-959A-9095084778B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9961-43A0-959A-9095084778B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9961-43A0-959A-9095084778B7}"/>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9961-43A0-959A-9095084778B7}"/>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9961-43A0-959A-9095084778B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9961-43A0-959A-9095084778B7}"/>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9961-43A0-959A-9095084778B7}"/>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9961-43A0-959A-9095084778B7}"/>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9961-43A0-959A-9095084778B7}"/>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9961-43A0-959A-9095084778B7}"/>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9961-43A0-959A-9095084778B7}"/>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9961-43A0-959A-9095084778B7}"/>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9961-43A0-959A-9095084778B7}"/>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9961-43A0-959A-9095084778B7}"/>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9961-43A0-959A-9095084778B7}"/>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9961-43A0-959A-9095084778B7}"/>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3-9961-43A0-959A-9095084778B7}"/>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35-9961-43A0-959A-9095084778B7}"/>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9961-43A0-959A-9095084778B7}"/>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39-9961-43A0-959A-9095084778B7}"/>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B-9961-43A0-959A-9095084778B7}"/>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3D-9961-43A0-959A-9095084778B7}"/>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3F-9961-43A0-959A-9095084778B7}"/>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1-9961-43A0-959A-9095084778B7}"/>
              </c:ext>
            </c:extLst>
          </c:dPt>
          <c:dPt>
            <c:idx val="3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43-9961-43A0-959A-9095084778B7}"/>
              </c:ext>
            </c:extLst>
          </c:dPt>
          <c:dPt>
            <c:idx val="3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45-9961-43A0-959A-9095084778B7}"/>
              </c:ext>
            </c:extLst>
          </c:dPt>
          <c:dPt>
            <c:idx val="3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47-9961-43A0-959A-9095084778B7}"/>
              </c:ext>
            </c:extLst>
          </c:dPt>
          <c:dPt>
            <c:idx val="3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49-9961-43A0-959A-9095084778B7}"/>
              </c:ext>
            </c:extLst>
          </c:dPt>
          <c:dPt>
            <c:idx val="3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4B-9961-43A0-959A-9095084778B7}"/>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4D-9961-43A0-959A-9095084778B7}"/>
              </c:ext>
            </c:extLst>
          </c:dPt>
          <c:dPt>
            <c:idx val="3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4F-9961-43A0-959A-9095084778B7}"/>
              </c:ext>
            </c:extLst>
          </c:dPt>
          <c:dPt>
            <c:idx val="4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51-9961-43A0-959A-9095084778B7}"/>
              </c:ext>
            </c:extLst>
          </c:dPt>
          <c:dPt>
            <c:idx val="4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53-9961-43A0-959A-9095084778B7}"/>
              </c:ext>
            </c:extLst>
          </c:dPt>
          <c:dPt>
            <c:idx val="4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55-9961-43A0-959A-9095084778B7}"/>
              </c:ext>
            </c:extLst>
          </c:dPt>
          <c:dPt>
            <c:idx val="4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57-9961-43A0-959A-9095084778B7}"/>
              </c:ext>
            </c:extLst>
          </c:dPt>
          <c:dPt>
            <c:idx val="4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59-9961-43A0-959A-9095084778B7}"/>
              </c:ext>
            </c:extLst>
          </c:dPt>
          <c:dPt>
            <c:idx val="4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5B-9961-43A0-959A-9095084778B7}"/>
              </c:ext>
            </c:extLst>
          </c:dPt>
          <c:dPt>
            <c:idx val="4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5D-9961-43A0-959A-9095084778B7}"/>
              </c:ext>
            </c:extLst>
          </c:dPt>
          <c:dPt>
            <c:idx val="4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5F-9961-43A0-959A-9095084778B7}"/>
              </c:ext>
            </c:extLst>
          </c:dPt>
          <c:dPt>
            <c:idx val="4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61-9961-43A0-959A-9095084778B7}"/>
              </c:ext>
            </c:extLst>
          </c:dPt>
          <c:dPt>
            <c:idx val="4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063-9961-43A0-959A-9095084778B7}"/>
              </c:ext>
            </c:extLst>
          </c:dPt>
          <c:dPt>
            <c:idx val="5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65-9961-43A0-959A-9095084778B7}"/>
              </c:ext>
            </c:extLst>
          </c:dPt>
          <c:dPt>
            <c:idx val="5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067-9961-43A0-959A-9095084778B7}"/>
              </c:ext>
            </c:extLst>
          </c:dPt>
          <c:dPt>
            <c:idx val="5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69-9961-43A0-959A-9095084778B7}"/>
              </c:ext>
            </c:extLst>
          </c:dPt>
          <c:dPt>
            <c:idx val="5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06B-9961-43A0-959A-9095084778B7}"/>
              </c:ext>
            </c:extLst>
          </c:dPt>
          <c:dPt>
            <c:idx val="54"/>
            <c:bubble3D val="0"/>
            <c:spPr>
              <a:solidFill>
                <a:schemeClr val="accent1"/>
              </a:solidFill>
              <a:ln w="19050">
                <a:solidFill>
                  <a:schemeClr val="lt1"/>
                </a:solidFill>
              </a:ln>
              <a:effectLst/>
            </c:spPr>
            <c:extLst>
              <c:ext xmlns:c16="http://schemas.microsoft.com/office/drawing/2014/chart" uri="{C3380CC4-5D6E-409C-BE32-E72D297353CC}">
                <c16:uniqueId val="{0000006D-9961-43A0-959A-9095084778B7}"/>
              </c:ext>
            </c:extLst>
          </c:dPt>
          <c:dPt>
            <c:idx val="55"/>
            <c:bubble3D val="0"/>
            <c:spPr>
              <a:solidFill>
                <a:schemeClr val="accent2"/>
              </a:solidFill>
              <a:ln w="19050">
                <a:solidFill>
                  <a:schemeClr val="lt1"/>
                </a:solidFill>
              </a:ln>
              <a:effectLst/>
            </c:spPr>
            <c:extLst>
              <c:ext xmlns:c16="http://schemas.microsoft.com/office/drawing/2014/chart" uri="{C3380CC4-5D6E-409C-BE32-E72D297353CC}">
                <c16:uniqueId val="{0000006F-9961-43A0-959A-9095084778B7}"/>
              </c:ext>
            </c:extLst>
          </c:dPt>
          <c:dPt>
            <c:idx val="56"/>
            <c:bubble3D val="0"/>
            <c:spPr>
              <a:solidFill>
                <a:schemeClr val="accent3"/>
              </a:solidFill>
              <a:ln w="19050">
                <a:solidFill>
                  <a:schemeClr val="lt1"/>
                </a:solidFill>
              </a:ln>
              <a:effectLst/>
            </c:spPr>
            <c:extLst>
              <c:ext xmlns:c16="http://schemas.microsoft.com/office/drawing/2014/chart" uri="{C3380CC4-5D6E-409C-BE32-E72D297353CC}">
                <c16:uniqueId val="{00000071-9961-43A0-959A-9095084778B7}"/>
              </c:ext>
            </c:extLst>
          </c:dPt>
          <c:dPt>
            <c:idx val="57"/>
            <c:bubble3D val="0"/>
            <c:spPr>
              <a:solidFill>
                <a:schemeClr val="accent4"/>
              </a:solidFill>
              <a:ln w="19050">
                <a:solidFill>
                  <a:schemeClr val="lt1"/>
                </a:solidFill>
              </a:ln>
              <a:effectLst/>
            </c:spPr>
            <c:extLst>
              <c:ext xmlns:c16="http://schemas.microsoft.com/office/drawing/2014/chart" uri="{C3380CC4-5D6E-409C-BE32-E72D297353CC}">
                <c16:uniqueId val="{00000073-9961-43A0-959A-9095084778B7}"/>
              </c:ext>
            </c:extLst>
          </c:dPt>
          <c:dPt>
            <c:idx val="58"/>
            <c:bubble3D val="0"/>
            <c:spPr>
              <a:solidFill>
                <a:schemeClr val="accent5"/>
              </a:solidFill>
              <a:ln w="19050">
                <a:solidFill>
                  <a:schemeClr val="lt1"/>
                </a:solidFill>
              </a:ln>
              <a:effectLst/>
            </c:spPr>
            <c:extLst>
              <c:ext xmlns:c16="http://schemas.microsoft.com/office/drawing/2014/chart" uri="{C3380CC4-5D6E-409C-BE32-E72D297353CC}">
                <c16:uniqueId val="{00000075-9961-43A0-959A-9095084778B7}"/>
              </c:ext>
            </c:extLst>
          </c:dPt>
          <c:dPt>
            <c:idx val="59"/>
            <c:bubble3D val="0"/>
            <c:spPr>
              <a:solidFill>
                <a:schemeClr val="accent6"/>
              </a:solidFill>
              <a:ln w="19050">
                <a:solidFill>
                  <a:schemeClr val="lt1"/>
                </a:solidFill>
              </a:ln>
              <a:effectLst/>
            </c:spPr>
            <c:extLst>
              <c:ext xmlns:c16="http://schemas.microsoft.com/office/drawing/2014/chart" uri="{C3380CC4-5D6E-409C-BE32-E72D297353CC}">
                <c16:uniqueId val="{00000077-9961-43A0-959A-9095084778B7}"/>
              </c:ext>
            </c:extLst>
          </c:dPt>
          <c:dPt>
            <c:idx val="6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79-9961-43A0-959A-9095084778B7}"/>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MASQ2!$FE$32:$FE$38</c:f>
              <c:numCache>
                <c:formatCode>General</c:formatCode>
                <c:ptCount val="7"/>
                <c:pt idx="0">
                  <c:v>#N/A</c:v>
                </c:pt>
                <c:pt idx="1">
                  <c:v>#N/A</c:v>
                </c:pt>
                <c:pt idx="2">
                  <c:v>#N/A</c:v>
                </c:pt>
                <c:pt idx="3">
                  <c:v>#N/A</c:v>
                </c:pt>
                <c:pt idx="4">
                  <c:v>#N/A</c:v>
                </c:pt>
                <c:pt idx="5">
                  <c:v>#N/A</c:v>
                </c:pt>
                <c:pt idx="6">
                  <c:v>#N/A</c:v>
                </c:pt>
              </c:numCache>
            </c:numRef>
          </c:cat>
          <c:val>
            <c:numRef>
              <c:f>MASQ2!$FF$32:$FF$38</c:f>
              <c:numCache>
                <c:formatCode>General</c:formatCode>
                <c:ptCount val="7"/>
                <c:pt idx="0">
                  <c:v>#N/A</c:v>
                </c:pt>
                <c:pt idx="1">
                  <c:v>#N/A</c:v>
                </c:pt>
                <c:pt idx="2">
                  <c:v>#N/A</c:v>
                </c:pt>
                <c:pt idx="3">
                  <c:v>#N/A</c:v>
                </c:pt>
                <c:pt idx="4">
                  <c:v>#N/A</c:v>
                </c:pt>
                <c:pt idx="5">
                  <c:v>#N/A</c:v>
                </c:pt>
                <c:pt idx="6">
                  <c:v>#N/A</c:v>
                </c:pt>
              </c:numCache>
            </c:numRef>
          </c:val>
          <c:extLst>
            <c:ext xmlns:c16="http://schemas.microsoft.com/office/drawing/2014/chart" uri="{C3380CC4-5D6E-409C-BE32-E72D297353CC}">
              <c16:uniqueId val="{0000007A-9961-43A0-959A-9095084778B7}"/>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r>
              <a:rPr lang="fr-FR" sz="1050" b="1" i="0" baseline="0">
                <a:effectLst/>
              </a:rPr>
              <a:t>Répartition du nombre de traitement par kg d'animaux durant l'année étudiée</a:t>
            </a:r>
            <a:endParaRPr lang="fr-FR" sz="1050">
              <a:effectLst/>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5.7183701723958313E-2"/>
          <c:y val="0.17202099737532808"/>
          <c:w val="0.70922739017316561"/>
          <c:h val="0.66006896596183207"/>
        </c:manualLayout>
      </c:layout>
      <c:barChart>
        <c:barDir val="col"/>
        <c:grouping val="stacked"/>
        <c:varyColors val="0"/>
        <c:ser>
          <c:idx val="0"/>
          <c:order val="0"/>
          <c:tx>
            <c:strRef>
              <c:f>MASQ2!$FH$5</c:f>
              <c:strCache>
                <c:ptCount val="1"/>
              </c:strCache>
            </c:strRef>
          </c:tx>
          <c:spPr>
            <a:solidFill>
              <a:schemeClr val="accent1"/>
            </a:solidFill>
            <a:ln>
              <a:noFill/>
            </a:ln>
            <a:effectLst/>
          </c:spPr>
          <c:invertIfNegative val="0"/>
          <c:cat>
            <c:strRef>
              <c:f>MASQ2!$FI$3:$FT$3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MASQ2!$FI$5:$FT$5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AC4-4044-99B6-C61632071A97}"/>
            </c:ext>
          </c:extLst>
        </c:ser>
        <c:ser>
          <c:idx val="1"/>
          <c:order val="1"/>
          <c:tx>
            <c:strRef>
              <c:f>MASQ2!$FH$6</c:f>
              <c:strCache>
                <c:ptCount val="1"/>
              </c:strCache>
            </c:strRef>
          </c:tx>
          <c:spPr>
            <a:solidFill>
              <a:schemeClr val="accent2"/>
            </a:solidFill>
            <a:ln>
              <a:noFill/>
            </a:ln>
            <a:effectLst/>
          </c:spPr>
          <c:invertIfNegative val="0"/>
          <c:cat>
            <c:strRef>
              <c:f>MASQ2!$FI$3:$FT$3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MASQ2!$FI$6:$FT$6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4AC4-4044-99B6-C61632071A97}"/>
            </c:ext>
          </c:extLst>
        </c:ser>
        <c:ser>
          <c:idx val="2"/>
          <c:order val="2"/>
          <c:tx>
            <c:strRef>
              <c:f>MASQ2!$FH$7</c:f>
              <c:strCache>
                <c:ptCount val="1"/>
              </c:strCache>
            </c:strRef>
          </c:tx>
          <c:spPr>
            <a:solidFill>
              <a:schemeClr val="accent3"/>
            </a:solidFill>
            <a:ln>
              <a:noFill/>
            </a:ln>
            <a:effectLst/>
          </c:spPr>
          <c:invertIfNegative val="0"/>
          <c:cat>
            <c:strRef>
              <c:f>MASQ2!$FI$3:$FT$3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MASQ2!$FI$7:$FT$7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4AC4-4044-99B6-C61632071A97}"/>
            </c:ext>
          </c:extLst>
        </c:ser>
        <c:ser>
          <c:idx val="3"/>
          <c:order val="3"/>
          <c:tx>
            <c:strRef>
              <c:f>MASQ2!$FH$8</c:f>
              <c:strCache>
                <c:ptCount val="1"/>
              </c:strCache>
            </c:strRef>
          </c:tx>
          <c:spPr>
            <a:solidFill>
              <a:schemeClr val="accent4"/>
            </a:solidFill>
            <a:ln>
              <a:noFill/>
            </a:ln>
            <a:effectLst/>
          </c:spPr>
          <c:invertIfNegative val="0"/>
          <c:cat>
            <c:strRef>
              <c:f>MASQ2!$FI$3:$FT$3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MASQ2!$FI$8:$FT$8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4AC4-4044-99B6-C61632071A97}"/>
            </c:ext>
          </c:extLst>
        </c:ser>
        <c:ser>
          <c:idx val="4"/>
          <c:order val="4"/>
          <c:tx>
            <c:strRef>
              <c:f>MASQ2!$FH$9</c:f>
              <c:strCache>
                <c:ptCount val="1"/>
              </c:strCache>
            </c:strRef>
          </c:tx>
          <c:spPr>
            <a:solidFill>
              <a:schemeClr val="accent5"/>
            </a:solidFill>
            <a:ln>
              <a:noFill/>
            </a:ln>
            <a:effectLst/>
          </c:spPr>
          <c:invertIfNegative val="0"/>
          <c:cat>
            <c:strRef>
              <c:f>MASQ2!$FI$3:$FT$3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MASQ2!$FI$9:$FT$9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4AC4-4044-99B6-C61632071A97}"/>
            </c:ext>
          </c:extLst>
        </c:ser>
        <c:ser>
          <c:idx val="5"/>
          <c:order val="5"/>
          <c:tx>
            <c:strRef>
              <c:f>MASQ2!$FH$10</c:f>
              <c:strCache>
                <c:ptCount val="1"/>
              </c:strCache>
            </c:strRef>
          </c:tx>
          <c:spPr>
            <a:solidFill>
              <a:schemeClr val="accent6"/>
            </a:solidFill>
            <a:ln>
              <a:noFill/>
            </a:ln>
            <a:effectLst/>
          </c:spPr>
          <c:invertIfNegative val="0"/>
          <c:cat>
            <c:strRef>
              <c:f>MASQ2!$FI$3:$FT$3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MASQ2!$FI$10:$FT$10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4AC4-4044-99B6-C61632071A97}"/>
            </c:ext>
          </c:extLst>
        </c:ser>
        <c:ser>
          <c:idx val="6"/>
          <c:order val="6"/>
          <c:tx>
            <c:strRef>
              <c:f>MASQ2!$FH$11</c:f>
              <c:strCache>
                <c:ptCount val="1"/>
              </c:strCache>
            </c:strRef>
          </c:tx>
          <c:spPr>
            <a:solidFill>
              <a:schemeClr val="accent1">
                <a:lumMod val="60000"/>
              </a:schemeClr>
            </a:solidFill>
            <a:ln>
              <a:noFill/>
            </a:ln>
            <a:effectLst/>
          </c:spPr>
          <c:invertIfNegative val="0"/>
          <c:cat>
            <c:strRef>
              <c:f>MASQ2!$FI$3:$FT$3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MASQ2!$FI$11:$FT$11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4AC4-4044-99B6-C61632071A97}"/>
            </c:ext>
          </c:extLst>
        </c:ser>
        <c:ser>
          <c:idx val="7"/>
          <c:order val="7"/>
          <c:tx>
            <c:strRef>
              <c:f>MASQ2!$FH$12</c:f>
              <c:strCache>
                <c:ptCount val="1"/>
              </c:strCache>
            </c:strRef>
          </c:tx>
          <c:spPr>
            <a:solidFill>
              <a:schemeClr val="accent2">
                <a:lumMod val="60000"/>
              </a:schemeClr>
            </a:solidFill>
            <a:ln>
              <a:noFill/>
            </a:ln>
            <a:effectLst/>
          </c:spPr>
          <c:invertIfNegative val="0"/>
          <c:cat>
            <c:strRef>
              <c:f>MASQ2!$FI$3:$FT$3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MASQ2!$FI$12:$FT$12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4AC4-4044-99B6-C61632071A97}"/>
            </c:ext>
          </c:extLst>
        </c:ser>
        <c:ser>
          <c:idx val="8"/>
          <c:order val="8"/>
          <c:tx>
            <c:strRef>
              <c:f>MASQ2!$FH$13</c:f>
              <c:strCache>
                <c:ptCount val="1"/>
              </c:strCache>
            </c:strRef>
          </c:tx>
          <c:spPr>
            <a:solidFill>
              <a:schemeClr val="accent3">
                <a:lumMod val="60000"/>
              </a:schemeClr>
            </a:solidFill>
            <a:ln>
              <a:noFill/>
            </a:ln>
            <a:effectLst/>
          </c:spPr>
          <c:invertIfNegative val="0"/>
          <c:cat>
            <c:strRef>
              <c:f>MASQ2!$FI$3:$FT$3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MASQ2!$FI$13:$FT$13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4AC4-4044-99B6-C61632071A97}"/>
            </c:ext>
          </c:extLst>
        </c:ser>
        <c:ser>
          <c:idx val="9"/>
          <c:order val="9"/>
          <c:tx>
            <c:strRef>
              <c:f>MASQ2!$FH$14</c:f>
              <c:strCache>
                <c:ptCount val="1"/>
              </c:strCache>
            </c:strRef>
          </c:tx>
          <c:spPr>
            <a:solidFill>
              <a:schemeClr val="accent4">
                <a:lumMod val="60000"/>
              </a:schemeClr>
            </a:solidFill>
            <a:ln>
              <a:noFill/>
            </a:ln>
            <a:effectLst/>
          </c:spPr>
          <c:invertIfNegative val="0"/>
          <c:cat>
            <c:strRef>
              <c:f>MASQ2!$FI$3:$FT$3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MASQ2!$FI$14:$FT$14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4AC4-4044-99B6-C61632071A97}"/>
            </c:ext>
          </c:extLst>
        </c:ser>
        <c:dLbls>
          <c:showLegendKey val="0"/>
          <c:showVal val="0"/>
          <c:showCatName val="0"/>
          <c:showSerName val="0"/>
          <c:showPercent val="0"/>
          <c:showBubbleSize val="0"/>
        </c:dLbls>
        <c:gapWidth val="75"/>
        <c:overlap val="100"/>
        <c:axId val="657994160"/>
        <c:axId val="657991536"/>
      </c:barChart>
      <c:catAx>
        <c:axId val="6579941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657991536"/>
        <c:crosses val="autoZero"/>
        <c:auto val="1"/>
        <c:lblAlgn val="ctr"/>
        <c:lblOffset val="100"/>
        <c:noMultiLvlLbl val="0"/>
      </c:catAx>
      <c:valAx>
        <c:axId val="657991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657994160"/>
        <c:crosses val="autoZero"/>
        <c:crossBetween val="between"/>
      </c:valAx>
      <c:spPr>
        <a:noFill/>
        <a:ln>
          <a:noFill/>
        </a:ln>
        <a:effectLst/>
      </c:spPr>
    </c:plotArea>
    <c:legend>
      <c:legendPos val="r"/>
      <c:layout>
        <c:manualLayout>
          <c:xMode val="edge"/>
          <c:yMode val="edge"/>
          <c:x val="0.7815931019086102"/>
          <c:y val="7.2725442864949336E-2"/>
          <c:w val="0.20533500132108501"/>
          <c:h val="0.869347760533779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Arial Narrow" panose="020B0606020202030204" pitchFamily="34" charset="0"/>
                <a:ea typeface="+mn-ea"/>
                <a:cs typeface="+mn-cs"/>
              </a:defRPr>
            </a:pPr>
            <a:r>
              <a:rPr lang="fr-FR" sz="1200" b="1">
                <a:solidFill>
                  <a:schemeClr val="tx1"/>
                </a:solidFill>
                <a:latin typeface="Arial Narrow" panose="020B0606020202030204" pitchFamily="34" charset="0"/>
              </a:rPr>
              <a:t>Médicaments utilisés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942748406588215"/>
          <c:y val="0.18878005200708484"/>
          <c:w val="0.57463709441106858"/>
          <c:h val="0.7668247946989004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21C-4E30-AB40-B8C9EBE0D1D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21C-4E30-AB40-B8C9EBE0D1D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21C-4E30-AB40-B8C9EBE0D1D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21C-4E30-AB40-B8C9EBE0D1D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21C-4E30-AB40-B8C9EBE0D1D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21C-4E30-AB40-B8C9EBE0D1D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21C-4E30-AB40-B8C9EBE0D1D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921C-4E30-AB40-B8C9EBE0D1D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921C-4E30-AB40-B8C9EBE0D1D9}"/>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921C-4E30-AB40-B8C9EBE0D1D9}"/>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921C-4E30-AB40-B8C9EBE0D1D9}"/>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921C-4E30-AB40-B8C9EBE0D1D9}"/>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921C-4E30-AB40-B8C9EBE0D1D9}"/>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921C-4E30-AB40-B8C9EBE0D1D9}"/>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921C-4E30-AB40-B8C9EBE0D1D9}"/>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921C-4E30-AB40-B8C9EBE0D1D9}"/>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921C-4E30-AB40-B8C9EBE0D1D9}"/>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921C-4E30-AB40-B8C9EBE0D1D9}"/>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921C-4E30-AB40-B8C9EBE0D1D9}"/>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921C-4E30-AB40-B8C9EBE0D1D9}"/>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921C-4E30-AB40-B8C9EBE0D1D9}"/>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921C-4E30-AB40-B8C9EBE0D1D9}"/>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921C-4E30-AB40-B8C9EBE0D1D9}"/>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921C-4E30-AB40-B8C9EBE0D1D9}"/>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921C-4E30-AB40-B8C9EBE0D1D9}"/>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3-921C-4E30-AB40-B8C9EBE0D1D9}"/>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35-921C-4E30-AB40-B8C9EBE0D1D9}"/>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921C-4E30-AB40-B8C9EBE0D1D9}"/>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39-921C-4E30-AB40-B8C9EBE0D1D9}"/>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B-921C-4E30-AB40-B8C9EBE0D1D9}"/>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3D-921C-4E30-AB40-B8C9EBE0D1D9}"/>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3F-921C-4E30-AB40-B8C9EBE0D1D9}"/>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1-921C-4E30-AB40-B8C9EBE0D1D9}"/>
              </c:ext>
            </c:extLst>
          </c:dPt>
          <c:dPt>
            <c:idx val="3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43-921C-4E30-AB40-B8C9EBE0D1D9}"/>
              </c:ext>
            </c:extLst>
          </c:dPt>
          <c:dPt>
            <c:idx val="3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45-921C-4E30-AB40-B8C9EBE0D1D9}"/>
              </c:ext>
            </c:extLst>
          </c:dPt>
          <c:dPt>
            <c:idx val="3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47-921C-4E30-AB40-B8C9EBE0D1D9}"/>
              </c:ext>
            </c:extLst>
          </c:dPt>
          <c:dPt>
            <c:idx val="3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49-921C-4E30-AB40-B8C9EBE0D1D9}"/>
              </c:ext>
            </c:extLst>
          </c:dPt>
          <c:dPt>
            <c:idx val="3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4B-921C-4E30-AB40-B8C9EBE0D1D9}"/>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4D-921C-4E30-AB40-B8C9EBE0D1D9}"/>
              </c:ext>
            </c:extLst>
          </c:dPt>
          <c:dPt>
            <c:idx val="3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4F-921C-4E30-AB40-B8C9EBE0D1D9}"/>
              </c:ext>
            </c:extLst>
          </c:dPt>
          <c:dPt>
            <c:idx val="4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51-921C-4E30-AB40-B8C9EBE0D1D9}"/>
              </c:ext>
            </c:extLst>
          </c:dPt>
          <c:dPt>
            <c:idx val="4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53-921C-4E30-AB40-B8C9EBE0D1D9}"/>
              </c:ext>
            </c:extLst>
          </c:dPt>
          <c:dPt>
            <c:idx val="4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55-921C-4E30-AB40-B8C9EBE0D1D9}"/>
              </c:ext>
            </c:extLst>
          </c:dPt>
          <c:dPt>
            <c:idx val="4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57-921C-4E30-AB40-B8C9EBE0D1D9}"/>
              </c:ext>
            </c:extLst>
          </c:dPt>
          <c:dPt>
            <c:idx val="4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59-921C-4E30-AB40-B8C9EBE0D1D9}"/>
              </c:ext>
            </c:extLst>
          </c:dPt>
          <c:dPt>
            <c:idx val="4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5B-921C-4E30-AB40-B8C9EBE0D1D9}"/>
              </c:ext>
            </c:extLst>
          </c:dPt>
          <c:dPt>
            <c:idx val="4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5D-921C-4E30-AB40-B8C9EBE0D1D9}"/>
              </c:ext>
            </c:extLst>
          </c:dPt>
          <c:dPt>
            <c:idx val="4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5F-921C-4E30-AB40-B8C9EBE0D1D9}"/>
              </c:ext>
            </c:extLst>
          </c:dPt>
          <c:dPt>
            <c:idx val="4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61-921C-4E30-AB40-B8C9EBE0D1D9}"/>
              </c:ext>
            </c:extLst>
          </c:dPt>
          <c:dPt>
            <c:idx val="4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063-921C-4E30-AB40-B8C9EBE0D1D9}"/>
              </c:ext>
            </c:extLst>
          </c:dPt>
          <c:dPt>
            <c:idx val="5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65-921C-4E30-AB40-B8C9EBE0D1D9}"/>
              </c:ext>
            </c:extLst>
          </c:dPt>
          <c:dPt>
            <c:idx val="5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067-921C-4E30-AB40-B8C9EBE0D1D9}"/>
              </c:ext>
            </c:extLst>
          </c:dPt>
          <c:dPt>
            <c:idx val="5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69-921C-4E30-AB40-B8C9EBE0D1D9}"/>
              </c:ext>
            </c:extLst>
          </c:dPt>
          <c:dPt>
            <c:idx val="5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06B-921C-4E30-AB40-B8C9EBE0D1D9}"/>
              </c:ext>
            </c:extLst>
          </c:dPt>
          <c:dPt>
            <c:idx val="54"/>
            <c:bubble3D val="0"/>
            <c:spPr>
              <a:solidFill>
                <a:schemeClr val="accent1"/>
              </a:solidFill>
              <a:ln w="19050">
                <a:solidFill>
                  <a:schemeClr val="lt1"/>
                </a:solidFill>
              </a:ln>
              <a:effectLst/>
            </c:spPr>
            <c:extLst>
              <c:ext xmlns:c16="http://schemas.microsoft.com/office/drawing/2014/chart" uri="{C3380CC4-5D6E-409C-BE32-E72D297353CC}">
                <c16:uniqueId val="{0000006D-921C-4E30-AB40-B8C9EBE0D1D9}"/>
              </c:ext>
            </c:extLst>
          </c:dPt>
          <c:dPt>
            <c:idx val="55"/>
            <c:bubble3D val="0"/>
            <c:spPr>
              <a:solidFill>
                <a:schemeClr val="accent2"/>
              </a:solidFill>
              <a:ln w="19050">
                <a:solidFill>
                  <a:schemeClr val="lt1"/>
                </a:solidFill>
              </a:ln>
              <a:effectLst/>
            </c:spPr>
            <c:extLst>
              <c:ext xmlns:c16="http://schemas.microsoft.com/office/drawing/2014/chart" uri="{C3380CC4-5D6E-409C-BE32-E72D297353CC}">
                <c16:uniqueId val="{0000006F-921C-4E30-AB40-B8C9EBE0D1D9}"/>
              </c:ext>
            </c:extLst>
          </c:dPt>
          <c:dPt>
            <c:idx val="56"/>
            <c:bubble3D val="0"/>
            <c:spPr>
              <a:solidFill>
                <a:schemeClr val="accent3"/>
              </a:solidFill>
              <a:ln w="19050">
                <a:solidFill>
                  <a:schemeClr val="lt1"/>
                </a:solidFill>
              </a:ln>
              <a:effectLst/>
            </c:spPr>
            <c:extLst>
              <c:ext xmlns:c16="http://schemas.microsoft.com/office/drawing/2014/chart" uri="{C3380CC4-5D6E-409C-BE32-E72D297353CC}">
                <c16:uniqueId val="{00000071-921C-4E30-AB40-B8C9EBE0D1D9}"/>
              </c:ext>
            </c:extLst>
          </c:dPt>
          <c:dPt>
            <c:idx val="57"/>
            <c:bubble3D val="0"/>
            <c:spPr>
              <a:solidFill>
                <a:schemeClr val="accent4"/>
              </a:solidFill>
              <a:ln w="19050">
                <a:solidFill>
                  <a:schemeClr val="lt1"/>
                </a:solidFill>
              </a:ln>
              <a:effectLst/>
            </c:spPr>
            <c:extLst>
              <c:ext xmlns:c16="http://schemas.microsoft.com/office/drawing/2014/chart" uri="{C3380CC4-5D6E-409C-BE32-E72D297353CC}">
                <c16:uniqueId val="{00000073-921C-4E30-AB40-B8C9EBE0D1D9}"/>
              </c:ext>
            </c:extLst>
          </c:dPt>
          <c:dPt>
            <c:idx val="58"/>
            <c:bubble3D val="0"/>
            <c:spPr>
              <a:solidFill>
                <a:schemeClr val="accent5"/>
              </a:solidFill>
              <a:ln w="19050">
                <a:solidFill>
                  <a:schemeClr val="lt1"/>
                </a:solidFill>
              </a:ln>
              <a:effectLst/>
            </c:spPr>
            <c:extLst>
              <c:ext xmlns:c16="http://schemas.microsoft.com/office/drawing/2014/chart" uri="{C3380CC4-5D6E-409C-BE32-E72D297353CC}">
                <c16:uniqueId val="{00000075-921C-4E30-AB40-B8C9EBE0D1D9}"/>
              </c:ext>
            </c:extLst>
          </c:dPt>
          <c:dPt>
            <c:idx val="59"/>
            <c:bubble3D val="0"/>
            <c:spPr>
              <a:solidFill>
                <a:schemeClr val="accent6"/>
              </a:solidFill>
              <a:ln w="19050">
                <a:solidFill>
                  <a:schemeClr val="lt1"/>
                </a:solidFill>
              </a:ln>
              <a:effectLst/>
            </c:spPr>
            <c:extLst>
              <c:ext xmlns:c16="http://schemas.microsoft.com/office/drawing/2014/chart" uri="{C3380CC4-5D6E-409C-BE32-E72D297353CC}">
                <c16:uniqueId val="{00000077-921C-4E30-AB40-B8C9EBE0D1D9}"/>
              </c:ext>
            </c:extLst>
          </c:dPt>
          <c:dPt>
            <c:idx val="6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79-921C-4E30-AB40-B8C9EBE0D1D9}"/>
              </c:ext>
            </c:extLst>
          </c:dPt>
          <c:dPt>
            <c:idx val="61"/>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7B-921C-4E30-AB40-B8C9EBE0D1D9}"/>
              </c:ext>
            </c:extLst>
          </c:dPt>
          <c:dPt>
            <c:idx val="62"/>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7D-921C-4E30-AB40-B8C9EBE0D1D9}"/>
              </c:ext>
            </c:extLst>
          </c:dPt>
          <c:dPt>
            <c:idx val="63"/>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7F-921C-4E30-AB40-B8C9EBE0D1D9}"/>
              </c:ext>
            </c:extLst>
          </c:dPt>
          <c:dPt>
            <c:idx val="6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81-921C-4E30-AB40-B8C9EBE0D1D9}"/>
              </c:ext>
            </c:extLst>
          </c:dPt>
          <c:dPt>
            <c:idx val="6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83-921C-4E30-AB40-B8C9EBE0D1D9}"/>
              </c:ext>
            </c:extLst>
          </c:dPt>
          <c:dPt>
            <c:idx val="6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85-921C-4E30-AB40-B8C9EBE0D1D9}"/>
              </c:ext>
            </c:extLst>
          </c:dPt>
          <c:dPt>
            <c:idx val="67"/>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87-921C-4E30-AB40-B8C9EBE0D1D9}"/>
              </c:ext>
            </c:extLst>
          </c:dPt>
          <c:dPt>
            <c:idx val="68"/>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89-921C-4E30-AB40-B8C9EBE0D1D9}"/>
              </c:ext>
            </c:extLst>
          </c:dPt>
          <c:dPt>
            <c:idx val="69"/>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8B-921C-4E30-AB40-B8C9EBE0D1D9}"/>
              </c:ext>
            </c:extLst>
          </c:dPt>
          <c:dPt>
            <c:idx val="70"/>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8D-921C-4E30-AB40-B8C9EBE0D1D9}"/>
              </c:ext>
            </c:extLst>
          </c:dPt>
          <c:dPt>
            <c:idx val="71"/>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8F-921C-4E30-AB40-B8C9EBE0D1D9}"/>
              </c:ext>
            </c:extLst>
          </c:dPt>
          <c:dPt>
            <c:idx val="72"/>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91-921C-4E30-AB40-B8C9EBE0D1D9}"/>
              </c:ext>
            </c:extLst>
          </c:dPt>
          <c:dPt>
            <c:idx val="73"/>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93-921C-4E30-AB40-B8C9EBE0D1D9}"/>
              </c:ext>
            </c:extLst>
          </c:dPt>
          <c:dPt>
            <c:idx val="74"/>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95-921C-4E30-AB40-B8C9EBE0D1D9}"/>
              </c:ext>
            </c:extLst>
          </c:dPt>
          <c:dPt>
            <c:idx val="75"/>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97-921C-4E30-AB40-B8C9EBE0D1D9}"/>
              </c:ext>
            </c:extLst>
          </c:dPt>
          <c:dPt>
            <c:idx val="76"/>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99-921C-4E30-AB40-B8C9EBE0D1D9}"/>
              </c:ext>
            </c:extLst>
          </c:dPt>
          <c:dPt>
            <c:idx val="77"/>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9B-921C-4E30-AB40-B8C9EBE0D1D9}"/>
              </c:ext>
            </c:extLst>
          </c:dPt>
          <c:dPt>
            <c:idx val="7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9D-921C-4E30-AB40-B8C9EBE0D1D9}"/>
              </c:ext>
            </c:extLst>
          </c:dPt>
          <c:dPt>
            <c:idx val="79"/>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9F-921C-4E30-AB40-B8C9EBE0D1D9}"/>
              </c:ext>
            </c:extLst>
          </c:dPt>
          <c:dPt>
            <c:idx val="8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A1-921C-4E30-AB40-B8C9EBE0D1D9}"/>
              </c:ext>
            </c:extLst>
          </c:dPt>
          <c:dPt>
            <c:idx val="8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A3-921C-4E30-AB40-B8C9EBE0D1D9}"/>
              </c:ext>
            </c:extLst>
          </c:dPt>
          <c:dPt>
            <c:idx val="82"/>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A5-921C-4E30-AB40-B8C9EBE0D1D9}"/>
              </c:ext>
            </c:extLst>
          </c:dPt>
          <c:dPt>
            <c:idx val="8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A7-921C-4E30-AB40-B8C9EBE0D1D9}"/>
              </c:ext>
            </c:extLst>
          </c:dPt>
          <c:dPt>
            <c:idx val="84"/>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A9-921C-4E30-AB40-B8C9EBE0D1D9}"/>
              </c:ext>
            </c:extLst>
          </c:dPt>
          <c:dPt>
            <c:idx val="85"/>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AB-921C-4E30-AB40-B8C9EBE0D1D9}"/>
              </c:ext>
            </c:extLst>
          </c:dPt>
          <c:dPt>
            <c:idx val="8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AD-921C-4E30-AB40-B8C9EBE0D1D9}"/>
              </c:ext>
            </c:extLst>
          </c:dPt>
          <c:dPt>
            <c:idx val="87"/>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AF-921C-4E30-AB40-B8C9EBE0D1D9}"/>
              </c:ext>
            </c:extLst>
          </c:dPt>
          <c:dPt>
            <c:idx val="8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B1-921C-4E30-AB40-B8C9EBE0D1D9}"/>
              </c:ext>
            </c:extLst>
          </c:dPt>
          <c:dPt>
            <c:idx val="89"/>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B3-921C-4E30-AB40-B8C9EBE0D1D9}"/>
              </c:ext>
            </c:extLst>
          </c:dPt>
          <c:dPt>
            <c:idx val="90"/>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B5-921C-4E30-AB40-B8C9EBE0D1D9}"/>
              </c:ext>
            </c:extLst>
          </c:dPt>
          <c:dPt>
            <c:idx val="91"/>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B7-921C-4E30-AB40-B8C9EBE0D1D9}"/>
              </c:ext>
            </c:extLst>
          </c:dPt>
          <c:dPt>
            <c:idx val="92"/>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B9-921C-4E30-AB40-B8C9EBE0D1D9}"/>
              </c:ext>
            </c:extLst>
          </c:dPt>
          <c:dPt>
            <c:idx val="93"/>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BB-921C-4E30-AB40-B8C9EBE0D1D9}"/>
              </c:ext>
            </c:extLst>
          </c:dPt>
          <c:dPt>
            <c:idx val="94"/>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BD-921C-4E30-AB40-B8C9EBE0D1D9}"/>
              </c:ext>
            </c:extLst>
          </c:dPt>
          <c:dPt>
            <c:idx val="95"/>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BF-921C-4E30-AB40-B8C9EBE0D1D9}"/>
              </c:ext>
            </c:extLst>
          </c:dPt>
          <c:dPt>
            <c:idx val="96"/>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C1-921C-4E30-AB40-B8C9EBE0D1D9}"/>
              </c:ext>
            </c:extLst>
          </c:dPt>
          <c:dPt>
            <c:idx val="97"/>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C3-921C-4E30-AB40-B8C9EBE0D1D9}"/>
              </c:ext>
            </c:extLst>
          </c:dPt>
          <c:dPt>
            <c:idx val="98"/>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C5-921C-4E30-AB40-B8C9EBE0D1D9}"/>
              </c:ext>
            </c:extLst>
          </c:dPt>
          <c:dPt>
            <c:idx val="99"/>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C7-921C-4E30-AB40-B8C9EBE0D1D9}"/>
              </c:ext>
            </c:extLst>
          </c:dPt>
          <c:dPt>
            <c:idx val="100"/>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C9-921C-4E30-AB40-B8C9EBE0D1D9}"/>
              </c:ext>
            </c:extLst>
          </c:dPt>
          <c:dPt>
            <c:idx val="101"/>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CB-921C-4E30-AB40-B8C9EBE0D1D9}"/>
              </c:ext>
            </c:extLst>
          </c:dPt>
          <c:dPt>
            <c:idx val="102"/>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CD-921C-4E30-AB40-B8C9EBE0D1D9}"/>
              </c:ext>
            </c:extLst>
          </c:dPt>
          <c:dPt>
            <c:idx val="103"/>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0CF-921C-4E30-AB40-B8C9EBE0D1D9}"/>
              </c:ext>
            </c:extLst>
          </c:dPt>
          <c:dPt>
            <c:idx val="104"/>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D1-921C-4E30-AB40-B8C9EBE0D1D9}"/>
              </c:ext>
            </c:extLst>
          </c:dPt>
          <c:dPt>
            <c:idx val="105"/>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0D3-921C-4E30-AB40-B8C9EBE0D1D9}"/>
              </c:ext>
            </c:extLst>
          </c:dPt>
          <c:dPt>
            <c:idx val="106"/>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D5-921C-4E30-AB40-B8C9EBE0D1D9}"/>
              </c:ext>
            </c:extLst>
          </c:dPt>
          <c:dPt>
            <c:idx val="107"/>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0D7-921C-4E30-AB40-B8C9EBE0D1D9}"/>
              </c:ext>
            </c:extLst>
          </c:dPt>
          <c:dPt>
            <c:idx val="108"/>
            <c:bubble3D val="0"/>
            <c:spPr>
              <a:solidFill>
                <a:schemeClr val="accent1"/>
              </a:solidFill>
              <a:ln w="19050">
                <a:solidFill>
                  <a:schemeClr val="lt1"/>
                </a:solidFill>
              </a:ln>
              <a:effectLst/>
            </c:spPr>
            <c:extLst>
              <c:ext xmlns:c16="http://schemas.microsoft.com/office/drawing/2014/chart" uri="{C3380CC4-5D6E-409C-BE32-E72D297353CC}">
                <c16:uniqueId val="{000000D9-921C-4E30-AB40-B8C9EBE0D1D9}"/>
              </c:ext>
            </c:extLst>
          </c:dPt>
          <c:dPt>
            <c:idx val="109"/>
            <c:bubble3D val="0"/>
            <c:spPr>
              <a:solidFill>
                <a:schemeClr val="accent2"/>
              </a:solidFill>
              <a:ln w="19050">
                <a:solidFill>
                  <a:schemeClr val="lt1"/>
                </a:solidFill>
              </a:ln>
              <a:effectLst/>
            </c:spPr>
            <c:extLst>
              <c:ext xmlns:c16="http://schemas.microsoft.com/office/drawing/2014/chart" uri="{C3380CC4-5D6E-409C-BE32-E72D297353CC}">
                <c16:uniqueId val="{000000DB-921C-4E30-AB40-B8C9EBE0D1D9}"/>
              </c:ext>
            </c:extLst>
          </c:dPt>
          <c:dPt>
            <c:idx val="110"/>
            <c:bubble3D val="0"/>
            <c:spPr>
              <a:solidFill>
                <a:schemeClr val="accent3"/>
              </a:solidFill>
              <a:ln w="19050">
                <a:solidFill>
                  <a:schemeClr val="lt1"/>
                </a:solidFill>
              </a:ln>
              <a:effectLst/>
            </c:spPr>
            <c:extLst>
              <c:ext xmlns:c16="http://schemas.microsoft.com/office/drawing/2014/chart" uri="{C3380CC4-5D6E-409C-BE32-E72D297353CC}">
                <c16:uniqueId val="{000000DD-921C-4E30-AB40-B8C9EBE0D1D9}"/>
              </c:ext>
            </c:extLst>
          </c:dPt>
          <c:dPt>
            <c:idx val="111"/>
            <c:bubble3D val="0"/>
            <c:spPr>
              <a:solidFill>
                <a:schemeClr val="accent4"/>
              </a:solidFill>
              <a:ln w="19050">
                <a:solidFill>
                  <a:schemeClr val="lt1"/>
                </a:solidFill>
              </a:ln>
              <a:effectLst/>
            </c:spPr>
            <c:extLst>
              <c:ext xmlns:c16="http://schemas.microsoft.com/office/drawing/2014/chart" uri="{C3380CC4-5D6E-409C-BE32-E72D297353CC}">
                <c16:uniqueId val="{000000DF-921C-4E30-AB40-B8C9EBE0D1D9}"/>
              </c:ext>
            </c:extLst>
          </c:dPt>
          <c:dPt>
            <c:idx val="112"/>
            <c:bubble3D val="0"/>
            <c:spPr>
              <a:solidFill>
                <a:schemeClr val="accent5"/>
              </a:solidFill>
              <a:ln w="19050">
                <a:solidFill>
                  <a:schemeClr val="lt1"/>
                </a:solidFill>
              </a:ln>
              <a:effectLst/>
            </c:spPr>
            <c:extLst>
              <c:ext xmlns:c16="http://schemas.microsoft.com/office/drawing/2014/chart" uri="{C3380CC4-5D6E-409C-BE32-E72D297353CC}">
                <c16:uniqueId val="{000000E1-921C-4E30-AB40-B8C9EBE0D1D9}"/>
              </c:ext>
            </c:extLst>
          </c:dPt>
          <c:dPt>
            <c:idx val="113"/>
            <c:bubble3D val="0"/>
            <c:spPr>
              <a:solidFill>
                <a:schemeClr val="accent6"/>
              </a:solidFill>
              <a:ln w="19050">
                <a:solidFill>
                  <a:schemeClr val="lt1"/>
                </a:solidFill>
              </a:ln>
              <a:effectLst/>
            </c:spPr>
            <c:extLst>
              <c:ext xmlns:c16="http://schemas.microsoft.com/office/drawing/2014/chart" uri="{C3380CC4-5D6E-409C-BE32-E72D297353CC}">
                <c16:uniqueId val="{000000E3-921C-4E30-AB40-B8C9EBE0D1D9}"/>
              </c:ext>
            </c:extLst>
          </c:dPt>
          <c:dPt>
            <c:idx val="114"/>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E5-921C-4E30-AB40-B8C9EBE0D1D9}"/>
              </c:ext>
            </c:extLst>
          </c:dPt>
          <c:dPt>
            <c:idx val="115"/>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E7-921C-4E30-AB40-B8C9EBE0D1D9}"/>
              </c:ext>
            </c:extLst>
          </c:dPt>
          <c:dPt>
            <c:idx val="116"/>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E9-921C-4E30-AB40-B8C9EBE0D1D9}"/>
              </c:ext>
            </c:extLst>
          </c:dPt>
          <c:dPt>
            <c:idx val="117"/>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EB-921C-4E30-AB40-B8C9EBE0D1D9}"/>
              </c:ext>
            </c:extLst>
          </c:dPt>
          <c:dPt>
            <c:idx val="118"/>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ED-921C-4E30-AB40-B8C9EBE0D1D9}"/>
              </c:ext>
            </c:extLst>
          </c:dPt>
          <c:dPt>
            <c:idx val="119"/>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EF-921C-4E30-AB40-B8C9EBE0D1D9}"/>
              </c:ext>
            </c:extLst>
          </c:dPt>
          <c:dPt>
            <c:idx val="120"/>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F1-921C-4E30-AB40-B8C9EBE0D1D9}"/>
              </c:ext>
            </c:extLst>
          </c:dPt>
          <c:dPt>
            <c:idx val="121"/>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F3-921C-4E30-AB40-B8C9EBE0D1D9}"/>
              </c:ext>
            </c:extLst>
          </c:dPt>
          <c:dPt>
            <c:idx val="122"/>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F5-921C-4E30-AB40-B8C9EBE0D1D9}"/>
              </c:ext>
            </c:extLst>
          </c:dPt>
          <c:dPt>
            <c:idx val="123"/>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F7-921C-4E30-AB40-B8C9EBE0D1D9}"/>
              </c:ext>
            </c:extLst>
          </c:dPt>
          <c:dPt>
            <c:idx val="124"/>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F9-921C-4E30-AB40-B8C9EBE0D1D9}"/>
              </c:ext>
            </c:extLst>
          </c:dPt>
          <c:dPt>
            <c:idx val="125"/>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FB-921C-4E30-AB40-B8C9EBE0D1D9}"/>
              </c:ext>
            </c:extLst>
          </c:dPt>
          <c:dPt>
            <c:idx val="126"/>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FD-921C-4E30-AB40-B8C9EBE0D1D9}"/>
              </c:ext>
            </c:extLst>
          </c:dPt>
          <c:dPt>
            <c:idx val="127"/>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FF-921C-4E30-AB40-B8C9EBE0D1D9}"/>
              </c:ext>
            </c:extLst>
          </c:dPt>
          <c:dPt>
            <c:idx val="128"/>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101-921C-4E30-AB40-B8C9EBE0D1D9}"/>
              </c:ext>
            </c:extLst>
          </c:dPt>
          <c:dPt>
            <c:idx val="129"/>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103-921C-4E30-AB40-B8C9EBE0D1D9}"/>
              </c:ext>
            </c:extLst>
          </c:dPt>
          <c:dPt>
            <c:idx val="130"/>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105-921C-4E30-AB40-B8C9EBE0D1D9}"/>
              </c:ext>
            </c:extLst>
          </c:dPt>
          <c:dPt>
            <c:idx val="13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107-921C-4E30-AB40-B8C9EBE0D1D9}"/>
              </c:ext>
            </c:extLst>
          </c:dPt>
          <c:dPt>
            <c:idx val="13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109-921C-4E30-AB40-B8C9EBE0D1D9}"/>
              </c:ext>
            </c:extLst>
          </c:dPt>
          <c:dPt>
            <c:idx val="13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10B-921C-4E30-AB40-B8C9EBE0D1D9}"/>
              </c:ext>
            </c:extLst>
          </c:dPt>
          <c:dPt>
            <c:idx val="134"/>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10D-921C-4E30-AB40-B8C9EBE0D1D9}"/>
              </c:ext>
            </c:extLst>
          </c:dPt>
          <c:dPt>
            <c:idx val="13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10F-921C-4E30-AB40-B8C9EBE0D1D9}"/>
              </c:ext>
            </c:extLst>
          </c:dPt>
          <c:dPt>
            <c:idx val="136"/>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111-921C-4E30-AB40-B8C9EBE0D1D9}"/>
              </c:ext>
            </c:extLst>
          </c:dPt>
          <c:dPt>
            <c:idx val="137"/>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113-921C-4E30-AB40-B8C9EBE0D1D9}"/>
              </c:ext>
            </c:extLst>
          </c:dPt>
          <c:dPt>
            <c:idx val="138"/>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115-921C-4E30-AB40-B8C9EBE0D1D9}"/>
              </c:ext>
            </c:extLst>
          </c:dPt>
          <c:dPt>
            <c:idx val="139"/>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117-921C-4E30-AB40-B8C9EBE0D1D9}"/>
              </c:ext>
            </c:extLst>
          </c:dPt>
          <c:dPt>
            <c:idx val="14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119-921C-4E30-AB40-B8C9EBE0D1D9}"/>
              </c:ext>
            </c:extLst>
          </c:dPt>
          <c:dPt>
            <c:idx val="141"/>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11B-921C-4E30-AB40-B8C9EBE0D1D9}"/>
              </c:ext>
            </c:extLst>
          </c:dPt>
          <c:dPt>
            <c:idx val="142"/>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11D-921C-4E30-AB40-B8C9EBE0D1D9}"/>
              </c:ext>
            </c:extLst>
          </c:dPt>
          <c:dPt>
            <c:idx val="143"/>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11F-921C-4E30-AB40-B8C9EBE0D1D9}"/>
              </c:ext>
            </c:extLst>
          </c:dPt>
          <c:dPt>
            <c:idx val="144"/>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121-921C-4E30-AB40-B8C9EBE0D1D9}"/>
              </c:ext>
            </c:extLst>
          </c:dPt>
          <c:dPt>
            <c:idx val="145"/>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123-921C-4E30-AB40-B8C9EBE0D1D9}"/>
              </c:ext>
            </c:extLst>
          </c:dPt>
          <c:dPt>
            <c:idx val="146"/>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125-921C-4E30-AB40-B8C9EBE0D1D9}"/>
              </c:ext>
            </c:extLst>
          </c:dPt>
          <c:dPt>
            <c:idx val="147"/>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127-921C-4E30-AB40-B8C9EBE0D1D9}"/>
              </c:ext>
            </c:extLst>
          </c:dPt>
          <c:dPt>
            <c:idx val="148"/>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129-921C-4E30-AB40-B8C9EBE0D1D9}"/>
              </c:ext>
            </c:extLst>
          </c:dPt>
          <c:dPt>
            <c:idx val="149"/>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12B-921C-4E30-AB40-B8C9EBE0D1D9}"/>
              </c:ext>
            </c:extLst>
          </c:dPt>
          <c:dPt>
            <c:idx val="150"/>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12D-921C-4E30-AB40-B8C9EBE0D1D9}"/>
              </c:ext>
            </c:extLst>
          </c:dPt>
          <c:dPt>
            <c:idx val="151"/>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12F-921C-4E30-AB40-B8C9EBE0D1D9}"/>
              </c:ext>
            </c:extLst>
          </c:dPt>
          <c:dPt>
            <c:idx val="152"/>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131-921C-4E30-AB40-B8C9EBE0D1D9}"/>
              </c:ext>
            </c:extLst>
          </c:dPt>
          <c:dPt>
            <c:idx val="153"/>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133-921C-4E30-AB40-B8C9EBE0D1D9}"/>
              </c:ext>
            </c:extLst>
          </c:dPt>
          <c:dPt>
            <c:idx val="154"/>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135-921C-4E30-AB40-B8C9EBE0D1D9}"/>
              </c:ext>
            </c:extLst>
          </c:dPt>
          <c:dPt>
            <c:idx val="155"/>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137-921C-4E30-AB40-B8C9EBE0D1D9}"/>
              </c:ext>
            </c:extLst>
          </c:dPt>
          <c:dPt>
            <c:idx val="156"/>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139-921C-4E30-AB40-B8C9EBE0D1D9}"/>
              </c:ext>
            </c:extLst>
          </c:dPt>
          <c:dPt>
            <c:idx val="157"/>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13B-921C-4E30-AB40-B8C9EBE0D1D9}"/>
              </c:ext>
            </c:extLst>
          </c:dPt>
          <c:dPt>
            <c:idx val="158"/>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13D-921C-4E30-AB40-B8C9EBE0D1D9}"/>
              </c:ext>
            </c:extLst>
          </c:dPt>
          <c:dPt>
            <c:idx val="159"/>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13F-921C-4E30-AB40-B8C9EBE0D1D9}"/>
              </c:ext>
            </c:extLst>
          </c:dPt>
          <c:dPt>
            <c:idx val="160"/>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141-921C-4E30-AB40-B8C9EBE0D1D9}"/>
              </c:ext>
            </c:extLst>
          </c:dPt>
          <c:dPt>
            <c:idx val="161"/>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143-921C-4E30-AB40-B8C9EBE0D1D9}"/>
              </c:ext>
            </c:extLst>
          </c:dPt>
          <c:dPt>
            <c:idx val="162"/>
            <c:bubble3D val="0"/>
            <c:spPr>
              <a:solidFill>
                <a:schemeClr val="accent1"/>
              </a:solidFill>
              <a:ln w="19050">
                <a:solidFill>
                  <a:schemeClr val="lt1"/>
                </a:solidFill>
              </a:ln>
              <a:effectLst/>
            </c:spPr>
            <c:extLst>
              <c:ext xmlns:c16="http://schemas.microsoft.com/office/drawing/2014/chart" uri="{C3380CC4-5D6E-409C-BE32-E72D297353CC}">
                <c16:uniqueId val="{00000145-921C-4E30-AB40-B8C9EBE0D1D9}"/>
              </c:ext>
            </c:extLst>
          </c:dPt>
          <c:dPt>
            <c:idx val="163"/>
            <c:bubble3D val="0"/>
            <c:spPr>
              <a:solidFill>
                <a:schemeClr val="accent2"/>
              </a:solidFill>
              <a:ln w="19050">
                <a:solidFill>
                  <a:schemeClr val="lt1"/>
                </a:solidFill>
              </a:ln>
              <a:effectLst/>
            </c:spPr>
            <c:extLst>
              <c:ext xmlns:c16="http://schemas.microsoft.com/office/drawing/2014/chart" uri="{C3380CC4-5D6E-409C-BE32-E72D297353CC}">
                <c16:uniqueId val="{00000147-921C-4E30-AB40-B8C9EBE0D1D9}"/>
              </c:ext>
            </c:extLst>
          </c:dPt>
          <c:dPt>
            <c:idx val="164"/>
            <c:bubble3D val="0"/>
            <c:spPr>
              <a:solidFill>
                <a:schemeClr val="accent3"/>
              </a:solidFill>
              <a:ln w="19050">
                <a:solidFill>
                  <a:schemeClr val="lt1"/>
                </a:solidFill>
              </a:ln>
              <a:effectLst/>
            </c:spPr>
            <c:extLst>
              <c:ext xmlns:c16="http://schemas.microsoft.com/office/drawing/2014/chart" uri="{C3380CC4-5D6E-409C-BE32-E72D297353CC}">
                <c16:uniqueId val="{00000149-921C-4E30-AB40-B8C9EBE0D1D9}"/>
              </c:ext>
            </c:extLst>
          </c:dPt>
          <c:dPt>
            <c:idx val="165"/>
            <c:bubble3D val="0"/>
            <c:spPr>
              <a:solidFill>
                <a:schemeClr val="accent4"/>
              </a:solidFill>
              <a:ln w="19050">
                <a:solidFill>
                  <a:schemeClr val="lt1"/>
                </a:solidFill>
              </a:ln>
              <a:effectLst/>
            </c:spPr>
            <c:extLst>
              <c:ext xmlns:c16="http://schemas.microsoft.com/office/drawing/2014/chart" uri="{C3380CC4-5D6E-409C-BE32-E72D297353CC}">
                <c16:uniqueId val="{0000014B-921C-4E30-AB40-B8C9EBE0D1D9}"/>
              </c:ext>
            </c:extLst>
          </c:dPt>
          <c:dPt>
            <c:idx val="166"/>
            <c:bubble3D val="0"/>
            <c:spPr>
              <a:solidFill>
                <a:schemeClr val="accent5"/>
              </a:solidFill>
              <a:ln w="19050">
                <a:solidFill>
                  <a:schemeClr val="lt1"/>
                </a:solidFill>
              </a:ln>
              <a:effectLst/>
            </c:spPr>
            <c:extLst>
              <c:ext xmlns:c16="http://schemas.microsoft.com/office/drawing/2014/chart" uri="{C3380CC4-5D6E-409C-BE32-E72D297353CC}">
                <c16:uniqueId val="{0000014D-921C-4E30-AB40-B8C9EBE0D1D9}"/>
              </c:ext>
            </c:extLst>
          </c:dPt>
          <c:dPt>
            <c:idx val="167"/>
            <c:bubble3D val="0"/>
            <c:spPr>
              <a:solidFill>
                <a:schemeClr val="accent6"/>
              </a:solidFill>
              <a:ln w="19050">
                <a:solidFill>
                  <a:schemeClr val="lt1"/>
                </a:solidFill>
              </a:ln>
              <a:effectLst/>
            </c:spPr>
            <c:extLst>
              <c:ext xmlns:c16="http://schemas.microsoft.com/office/drawing/2014/chart" uri="{C3380CC4-5D6E-409C-BE32-E72D297353CC}">
                <c16:uniqueId val="{0000014F-921C-4E30-AB40-B8C9EBE0D1D9}"/>
              </c:ext>
            </c:extLst>
          </c:dPt>
          <c:dPt>
            <c:idx val="168"/>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51-921C-4E30-AB40-B8C9EBE0D1D9}"/>
              </c:ext>
            </c:extLst>
          </c:dPt>
          <c:dPt>
            <c:idx val="169"/>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53-921C-4E30-AB40-B8C9EBE0D1D9}"/>
              </c:ext>
            </c:extLst>
          </c:dPt>
          <c:dPt>
            <c:idx val="170"/>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55-921C-4E30-AB40-B8C9EBE0D1D9}"/>
              </c:ext>
            </c:extLst>
          </c:dPt>
          <c:dPt>
            <c:idx val="171"/>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57-921C-4E30-AB40-B8C9EBE0D1D9}"/>
              </c:ext>
            </c:extLst>
          </c:dPt>
          <c:dPt>
            <c:idx val="172"/>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59-921C-4E30-AB40-B8C9EBE0D1D9}"/>
              </c:ext>
            </c:extLst>
          </c:dPt>
          <c:dPt>
            <c:idx val="17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15B-921C-4E30-AB40-B8C9EBE0D1D9}"/>
              </c:ext>
            </c:extLst>
          </c:dPt>
          <c:dPt>
            <c:idx val="174"/>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15D-921C-4E30-AB40-B8C9EBE0D1D9}"/>
              </c:ext>
            </c:extLst>
          </c:dPt>
          <c:dPt>
            <c:idx val="175"/>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15F-921C-4E30-AB40-B8C9EBE0D1D9}"/>
              </c:ext>
            </c:extLst>
          </c:dPt>
          <c:dPt>
            <c:idx val="176"/>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1-921C-4E30-AB40-B8C9EBE0D1D9}"/>
              </c:ext>
            </c:extLst>
          </c:dPt>
          <c:dPt>
            <c:idx val="17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163-921C-4E30-AB40-B8C9EBE0D1D9}"/>
              </c:ext>
            </c:extLst>
          </c:dPt>
          <c:dPt>
            <c:idx val="17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165-921C-4E30-AB40-B8C9EBE0D1D9}"/>
              </c:ext>
            </c:extLst>
          </c:dPt>
          <c:dPt>
            <c:idx val="179"/>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167-921C-4E30-AB40-B8C9EBE0D1D9}"/>
              </c:ext>
            </c:extLst>
          </c:dPt>
          <c:dPt>
            <c:idx val="180"/>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169-921C-4E30-AB40-B8C9EBE0D1D9}"/>
              </c:ext>
            </c:extLst>
          </c:dPt>
          <c:dPt>
            <c:idx val="181"/>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16B-921C-4E30-AB40-B8C9EBE0D1D9}"/>
              </c:ext>
            </c:extLst>
          </c:dPt>
          <c:dPt>
            <c:idx val="182"/>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16D-921C-4E30-AB40-B8C9EBE0D1D9}"/>
              </c:ext>
            </c:extLst>
          </c:dPt>
          <c:dPt>
            <c:idx val="183"/>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16F-921C-4E30-AB40-B8C9EBE0D1D9}"/>
              </c:ext>
            </c:extLst>
          </c:dPt>
          <c:dPt>
            <c:idx val="184"/>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171-921C-4E30-AB40-B8C9EBE0D1D9}"/>
              </c:ext>
            </c:extLst>
          </c:dPt>
          <c:dPt>
            <c:idx val="185"/>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173-921C-4E30-AB40-B8C9EBE0D1D9}"/>
              </c:ext>
            </c:extLst>
          </c:dPt>
          <c:dPt>
            <c:idx val="18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175-921C-4E30-AB40-B8C9EBE0D1D9}"/>
              </c:ext>
            </c:extLst>
          </c:dPt>
          <c:dPt>
            <c:idx val="187"/>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177-921C-4E30-AB40-B8C9EBE0D1D9}"/>
              </c:ext>
            </c:extLst>
          </c:dPt>
          <c:dPt>
            <c:idx val="188"/>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179-921C-4E30-AB40-B8C9EBE0D1D9}"/>
              </c:ext>
            </c:extLst>
          </c:dPt>
          <c:dPt>
            <c:idx val="18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17B-921C-4E30-AB40-B8C9EBE0D1D9}"/>
              </c:ext>
            </c:extLst>
          </c:dPt>
          <c:dPt>
            <c:idx val="190"/>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17D-921C-4E30-AB40-B8C9EBE0D1D9}"/>
              </c:ext>
            </c:extLst>
          </c:dPt>
          <c:dPt>
            <c:idx val="19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17F-921C-4E30-AB40-B8C9EBE0D1D9}"/>
              </c:ext>
            </c:extLst>
          </c:dPt>
          <c:dPt>
            <c:idx val="19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181-921C-4E30-AB40-B8C9EBE0D1D9}"/>
              </c:ext>
            </c:extLst>
          </c:dPt>
          <c:dPt>
            <c:idx val="193"/>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183-921C-4E30-AB40-B8C9EBE0D1D9}"/>
              </c:ext>
            </c:extLst>
          </c:dPt>
          <c:dPt>
            <c:idx val="194"/>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185-921C-4E30-AB40-B8C9EBE0D1D9}"/>
              </c:ext>
            </c:extLst>
          </c:dPt>
          <c:dPt>
            <c:idx val="19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187-921C-4E30-AB40-B8C9EBE0D1D9}"/>
              </c:ext>
            </c:extLst>
          </c:dPt>
          <c:dPt>
            <c:idx val="196"/>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189-921C-4E30-AB40-B8C9EBE0D1D9}"/>
              </c:ext>
            </c:extLst>
          </c:dPt>
          <c:dPt>
            <c:idx val="197"/>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18B-921C-4E30-AB40-B8C9EBE0D1D9}"/>
              </c:ext>
            </c:extLst>
          </c:dPt>
          <c:dPt>
            <c:idx val="198"/>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18D-921C-4E30-AB40-B8C9EBE0D1D9}"/>
              </c:ext>
            </c:extLst>
          </c:dPt>
          <c:dPt>
            <c:idx val="199"/>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18F-921C-4E30-AB40-B8C9EBE0D1D9}"/>
              </c:ext>
            </c:extLst>
          </c:dPt>
          <c:dPt>
            <c:idx val="200"/>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191-921C-4E30-AB40-B8C9EBE0D1D9}"/>
              </c:ext>
            </c:extLst>
          </c:dPt>
          <c:dPt>
            <c:idx val="201"/>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193-921C-4E30-AB40-B8C9EBE0D1D9}"/>
              </c:ext>
            </c:extLst>
          </c:dPt>
          <c:dPt>
            <c:idx val="202"/>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195-921C-4E30-AB40-B8C9EBE0D1D9}"/>
              </c:ext>
            </c:extLst>
          </c:dPt>
          <c:dPt>
            <c:idx val="203"/>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197-921C-4E30-AB40-B8C9EBE0D1D9}"/>
              </c:ext>
            </c:extLst>
          </c:dPt>
          <c:dPt>
            <c:idx val="204"/>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199-921C-4E30-AB40-B8C9EBE0D1D9}"/>
              </c:ext>
            </c:extLst>
          </c:dPt>
          <c:dPt>
            <c:idx val="205"/>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19B-921C-4E30-AB40-B8C9EBE0D1D9}"/>
              </c:ext>
            </c:extLst>
          </c:dPt>
          <c:dPt>
            <c:idx val="206"/>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19D-921C-4E30-AB40-B8C9EBE0D1D9}"/>
              </c:ext>
            </c:extLst>
          </c:dPt>
          <c:dPt>
            <c:idx val="207"/>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19F-921C-4E30-AB40-B8C9EBE0D1D9}"/>
              </c:ext>
            </c:extLst>
          </c:dPt>
          <c:dPt>
            <c:idx val="208"/>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1A1-921C-4E30-AB40-B8C9EBE0D1D9}"/>
              </c:ext>
            </c:extLst>
          </c:dPt>
          <c:dPt>
            <c:idx val="209"/>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1A3-921C-4E30-AB40-B8C9EBE0D1D9}"/>
              </c:ext>
            </c:extLst>
          </c:dPt>
          <c:dPt>
            <c:idx val="210"/>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1A5-921C-4E30-AB40-B8C9EBE0D1D9}"/>
              </c:ext>
            </c:extLst>
          </c:dPt>
          <c:dPt>
            <c:idx val="211"/>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1A7-921C-4E30-AB40-B8C9EBE0D1D9}"/>
              </c:ext>
            </c:extLst>
          </c:dPt>
          <c:dPt>
            <c:idx val="212"/>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1A9-921C-4E30-AB40-B8C9EBE0D1D9}"/>
              </c:ext>
            </c:extLst>
          </c:dPt>
          <c:dPt>
            <c:idx val="213"/>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1AB-921C-4E30-AB40-B8C9EBE0D1D9}"/>
              </c:ext>
            </c:extLst>
          </c:dPt>
          <c:dPt>
            <c:idx val="214"/>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1AD-921C-4E30-AB40-B8C9EBE0D1D9}"/>
              </c:ext>
            </c:extLst>
          </c:dPt>
          <c:dPt>
            <c:idx val="215"/>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1AF-921C-4E30-AB40-B8C9EBE0D1D9}"/>
              </c:ext>
            </c:extLst>
          </c:dPt>
          <c:dPt>
            <c:idx val="216"/>
            <c:bubble3D val="0"/>
            <c:spPr>
              <a:solidFill>
                <a:schemeClr val="accent1"/>
              </a:solidFill>
              <a:ln w="19050">
                <a:solidFill>
                  <a:schemeClr val="lt1"/>
                </a:solidFill>
              </a:ln>
              <a:effectLst/>
            </c:spPr>
            <c:extLst>
              <c:ext xmlns:c16="http://schemas.microsoft.com/office/drawing/2014/chart" uri="{C3380CC4-5D6E-409C-BE32-E72D297353CC}">
                <c16:uniqueId val="{000001B1-921C-4E30-AB40-B8C9EBE0D1D9}"/>
              </c:ext>
            </c:extLst>
          </c:dPt>
          <c:dPt>
            <c:idx val="217"/>
            <c:bubble3D val="0"/>
            <c:spPr>
              <a:solidFill>
                <a:schemeClr val="accent2"/>
              </a:solidFill>
              <a:ln w="19050">
                <a:solidFill>
                  <a:schemeClr val="lt1"/>
                </a:solidFill>
              </a:ln>
              <a:effectLst/>
            </c:spPr>
            <c:extLst>
              <c:ext xmlns:c16="http://schemas.microsoft.com/office/drawing/2014/chart" uri="{C3380CC4-5D6E-409C-BE32-E72D297353CC}">
                <c16:uniqueId val="{000001B3-921C-4E30-AB40-B8C9EBE0D1D9}"/>
              </c:ext>
            </c:extLst>
          </c:dPt>
          <c:dPt>
            <c:idx val="218"/>
            <c:bubble3D val="0"/>
            <c:spPr>
              <a:solidFill>
                <a:schemeClr val="accent3"/>
              </a:solidFill>
              <a:ln w="19050">
                <a:solidFill>
                  <a:schemeClr val="lt1"/>
                </a:solidFill>
              </a:ln>
              <a:effectLst/>
            </c:spPr>
            <c:extLst>
              <c:ext xmlns:c16="http://schemas.microsoft.com/office/drawing/2014/chart" uri="{C3380CC4-5D6E-409C-BE32-E72D297353CC}">
                <c16:uniqueId val="{000001B5-921C-4E30-AB40-B8C9EBE0D1D9}"/>
              </c:ext>
            </c:extLst>
          </c:dPt>
          <c:dPt>
            <c:idx val="219"/>
            <c:bubble3D val="0"/>
            <c:spPr>
              <a:solidFill>
                <a:schemeClr val="accent4"/>
              </a:solidFill>
              <a:ln w="19050">
                <a:solidFill>
                  <a:schemeClr val="lt1"/>
                </a:solidFill>
              </a:ln>
              <a:effectLst/>
            </c:spPr>
            <c:extLst>
              <c:ext xmlns:c16="http://schemas.microsoft.com/office/drawing/2014/chart" uri="{C3380CC4-5D6E-409C-BE32-E72D297353CC}">
                <c16:uniqueId val="{000001B7-921C-4E30-AB40-B8C9EBE0D1D9}"/>
              </c:ext>
            </c:extLst>
          </c:dPt>
          <c:dPt>
            <c:idx val="220"/>
            <c:bubble3D val="0"/>
            <c:spPr>
              <a:solidFill>
                <a:schemeClr val="accent5"/>
              </a:solidFill>
              <a:ln w="19050">
                <a:solidFill>
                  <a:schemeClr val="lt1"/>
                </a:solidFill>
              </a:ln>
              <a:effectLst/>
            </c:spPr>
            <c:extLst>
              <c:ext xmlns:c16="http://schemas.microsoft.com/office/drawing/2014/chart" uri="{C3380CC4-5D6E-409C-BE32-E72D297353CC}">
                <c16:uniqueId val="{000001B9-921C-4E30-AB40-B8C9EBE0D1D9}"/>
              </c:ext>
            </c:extLst>
          </c:dPt>
          <c:dPt>
            <c:idx val="221"/>
            <c:bubble3D val="0"/>
            <c:spPr>
              <a:solidFill>
                <a:schemeClr val="accent6"/>
              </a:solidFill>
              <a:ln w="19050">
                <a:solidFill>
                  <a:schemeClr val="lt1"/>
                </a:solidFill>
              </a:ln>
              <a:effectLst/>
            </c:spPr>
            <c:extLst>
              <c:ext xmlns:c16="http://schemas.microsoft.com/office/drawing/2014/chart" uri="{C3380CC4-5D6E-409C-BE32-E72D297353CC}">
                <c16:uniqueId val="{000001BB-921C-4E30-AB40-B8C9EBE0D1D9}"/>
              </c:ext>
            </c:extLst>
          </c:dPt>
          <c:dPt>
            <c:idx val="222"/>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BD-921C-4E30-AB40-B8C9EBE0D1D9}"/>
              </c:ext>
            </c:extLst>
          </c:dPt>
          <c:dPt>
            <c:idx val="22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BF-921C-4E30-AB40-B8C9EBE0D1D9}"/>
              </c:ext>
            </c:extLst>
          </c:dPt>
          <c:dPt>
            <c:idx val="22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C1-921C-4E30-AB40-B8C9EBE0D1D9}"/>
              </c:ext>
            </c:extLst>
          </c:dPt>
          <c:dPt>
            <c:idx val="22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C3-921C-4E30-AB40-B8C9EBE0D1D9}"/>
              </c:ext>
            </c:extLst>
          </c:dPt>
          <c:dPt>
            <c:idx val="226"/>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C5-921C-4E30-AB40-B8C9EBE0D1D9}"/>
              </c:ext>
            </c:extLst>
          </c:dPt>
          <c:dPt>
            <c:idx val="227"/>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1C7-921C-4E30-AB40-B8C9EBE0D1D9}"/>
              </c:ext>
            </c:extLst>
          </c:dPt>
          <c:dPt>
            <c:idx val="228"/>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1C9-921C-4E30-AB40-B8C9EBE0D1D9}"/>
              </c:ext>
            </c:extLst>
          </c:dPt>
          <c:dPt>
            <c:idx val="229"/>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1CB-921C-4E30-AB40-B8C9EBE0D1D9}"/>
              </c:ext>
            </c:extLst>
          </c:dPt>
          <c:dPt>
            <c:idx val="230"/>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D-921C-4E30-AB40-B8C9EBE0D1D9}"/>
              </c:ext>
            </c:extLst>
          </c:dPt>
          <c:dPt>
            <c:idx val="231"/>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1CF-921C-4E30-AB40-B8C9EBE0D1D9}"/>
              </c:ext>
            </c:extLst>
          </c:dPt>
          <c:dPt>
            <c:idx val="232"/>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1D1-921C-4E30-AB40-B8C9EBE0D1D9}"/>
              </c:ext>
            </c:extLst>
          </c:dPt>
          <c:dPt>
            <c:idx val="233"/>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1D3-921C-4E30-AB40-B8C9EBE0D1D9}"/>
              </c:ext>
            </c:extLst>
          </c:dPt>
          <c:dPt>
            <c:idx val="234"/>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1D5-921C-4E30-AB40-B8C9EBE0D1D9}"/>
              </c:ext>
            </c:extLst>
          </c:dPt>
          <c:dPt>
            <c:idx val="235"/>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1D7-921C-4E30-AB40-B8C9EBE0D1D9}"/>
              </c:ext>
            </c:extLst>
          </c:dPt>
          <c:dPt>
            <c:idx val="236"/>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1D9-921C-4E30-AB40-B8C9EBE0D1D9}"/>
              </c:ext>
            </c:extLst>
          </c:dPt>
          <c:dPt>
            <c:idx val="237"/>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1DB-921C-4E30-AB40-B8C9EBE0D1D9}"/>
              </c:ext>
            </c:extLst>
          </c:dPt>
          <c:dPt>
            <c:idx val="238"/>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1DD-921C-4E30-AB40-B8C9EBE0D1D9}"/>
              </c:ext>
            </c:extLst>
          </c:dPt>
          <c:dPt>
            <c:idx val="239"/>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1DF-921C-4E30-AB40-B8C9EBE0D1D9}"/>
              </c:ext>
            </c:extLst>
          </c:dPt>
          <c:dPt>
            <c:idx val="24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1E1-921C-4E30-AB40-B8C9EBE0D1D9}"/>
              </c:ext>
            </c:extLst>
          </c:dPt>
          <c:dPt>
            <c:idx val="24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1E3-921C-4E30-AB40-B8C9EBE0D1D9}"/>
              </c:ext>
            </c:extLst>
          </c:dPt>
          <c:dPt>
            <c:idx val="242"/>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1E5-921C-4E30-AB40-B8C9EBE0D1D9}"/>
              </c:ext>
            </c:extLst>
          </c:dPt>
          <c:dPt>
            <c:idx val="24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1E7-921C-4E30-AB40-B8C9EBE0D1D9}"/>
              </c:ext>
            </c:extLst>
          </c:dPt>
          <c:dPt>
            <c:idx val="24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1E9-921C-4E30-AB40-B8C9EBE0D1D9}"/>
              </c:ext>
            </c:extLst>
          </c:dPt>
          <c:dPt>
            <c:idx val="245"/>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1EB-921C-4E30-AB40-B8C9EBE0D1D9}"/>
              </c:ext>
            </c:extLst>
          </c:dPt>
          <c:dPt>
            <c:idx val="246"/>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1ED-921C-4E30-AB40-B8C9EBE0D1D9}"/>
              </c:ext>
            </c:extLst>
          </c:dPt>
          <c:dPt>
            <c:idx val="247"/>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1EF-921C-4E30-AB40-B8C9EBE0D1D9}"/>
              </c:ext>
            </c:extLst>
          </c:dPt>
          <c:dPt>
            <c:idx val="248"/>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1F1-921C-4E30-AB40-B8C9EBE0D1D9}"/>
              </c:ext>
            </c:extLst>
          </c:dPt>
          <c:dPt>
            <c:idx val="24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1F3-921C-4E30-AB40-B8C9EBE0D1D9}"/>
              </c:ext>
            </c:extLst>
          </c:dPt>
          <c:dPt>
            <c:idx val="250"/>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1F5-921C-4E30-AB40-B8C9EBE0D1D9}"/>
              </c:ext>
            </c:extLst>
          </c:dPt>
          <c:dPt>
            <c:idx val="251"/>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1F7-921C-4E30-AB40-B8C9EBE0D1D9}"/>
              </c:ext>
            </c:extLst>
          </c:dPt>
          <c:dPt>
            <c:idx val="252"/>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1F9-921C-4E30-AB40-B8C9EBE0D1D9}"/>
              </c:ext>
            </c:extLst>
          </c:dPt>
          <c:dPt>
            <c:idx val="253"/>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1FB-921C-4E30-AB40-B8C9EBE0D1D9}"/>
              </c:ext>
            </c:extLst>
          </c:dPt>
          <c:dPt>
            <c:idx val="254"/>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1FD-921C-4E30-AB40-B8C9EBE0D1D9}"/>
              </c:ext>
            </c:extLst>
          </c:dPt>
          <c:dPt>
            <c:idx val="255"/>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1FF-921C-4E30-AB40-B8C9EBE0D1D9}"/>
              </c:ext>
            </c:extLst>
          </c:dPt>
          <c:dPt>
            <c:idx val="256"/>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201-921C-4E30-AB40-B8C9EBE0D1D9}"/>
              </c:ext>
            </c:extLst>
          </c:dPt>
          <c:dPt>
            <c:idx val="257"/>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203-921C-4E30-AB40-B8C9EBE0D1D9}"/>
              </c:ext>
            </c:extLst>
          </c:dPt>
          <c:dPt>
            <c:idx val="258"/>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205-921C-4E30-AB40-B8C9EBE0D1D9}"/>
              </c:ext>
            </c:extLst>
          </c:dPt>
          <c:dPt>
            <c:idx val="259"/>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207-921C-4E30-AB40-B8C9EBE0D1D9}"/>
              </c:ext>
            </c:extLst>
          </c:dPt>
          <c:dPt>
            <c:idx val="260"/>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209-921C-4E30-AB40-B8C9EBE0D1D9}"/>
              </c:ext>
            </c:extLst>
          </c:dPt>
          <c:dPt>
            <c:idx val="261"/>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20B-921C-4E30-AB40-B8C9EBE0D1D9}"/>
              </c:ext>
            </c:extLst>
          </c:dPt>
          <c:dPt>
            <c:idx val="262"/>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20D-921C-4E30-AB40-B8C9EBE0D1D9}"/>
              </c:ext>
            </c:extLst>
          </c:dPt>
          <c:dPt>
            <c:idx val="263"/>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20F-921C-4E30-AB40-B8C9EBE0D1D9}"/>
              </c:ext>
            </c:extLst>
          </c:dPt>
          <c:dPt>
            <c:idx val="264"/>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211-921C-4E30-AB40-B8C9EBE0D1D9}"/>
              </c:ext>
            </c:extLst>
          </c:dPt>
          <c:dPt>
            <c:idx val="265"/>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213-921C-4E30-AB40-B8C9EBE0D1D9}"/>
              </c:ext>
            </c:extLst>
          </c:dPt>
          <c:dPt>
            <c:idx val="266"/>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215-921C-4E30-AB40-B8C9EBE0D1D9}"/>
              </c:ext>
            </c:extLst>
          </c:dPt>
          <c:dPt>
            <c:idx val="267"/>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217-921C-4E30-AB40-B8C9EBE0D1D9}"/>
              </c:ext>
            </c:extLst>
          </c:dPt>
          <c:dPt>
            <c:idx val="268"/>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219-921C-4E30-AB40-B8C9EBE0D1D9}"/>
              </c:ext>
            </c:extLst>
          </c:dPt>
          <c:dPt>
            <c:idx val="269"/>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21B-921C-4E30-AB40-B8C9EBE0D1D9}"/>
              </c:ext>
            </c:extLst>
          </c:dPt>
          <c:dPt>
            <c:idx val="270"/>
            <c:bubble3D val="0"/>
            <c:spPr>
              <a:solidFill>
                <a:schemeClr val="accent1"/>
              </a:solidFill>
              <a:ln w="19050">
                <a:solidFill>
                  <a:schemeClr val="lt1"/>
                </a:solidFill>
              </a:ln>
              <a:effectLst/>
            </c:spPr>
            <c:extLst>
              <c:ext xmlns:c16="http://schemas.microsoft.com/office/drawing/2014/chart" uri="{C3380CC4-5D6E-409C-BE32-E72D297353CC}">
                <c16:uniqueId val="{0000021D-921C-4E30-AB40-B8C9EBE0D1D9}"/>
              </c:ext>
            </c:extLst>
          </c:dPt>
          <c:dPt>
            <c:idx val="271"/>
            <c:bubble3D val="0"/>
            <c:spPr>
              <a:solidFill>
                <a:schemeClr val="accent2"/>
              </a:solidFill>
              <a:ln w="19050">
                <a:solidFill>
                  <a:schemeClr val="lt1"/>
                </a:solidFill>
              </a:ln>
              <a:effectLst/>
            </c:spPr>
            <c:extLst>
              <c:ext xmlns:c16="http://schemas.microsoft.com/office/drawing/2014/chart" uri="{C3380CC4-5D6E-409C-BE32-E72D297353CC}">
                <c16:uniqueId val="{0000021F-921C-4E30-AB40-B8C9EBE0D1D9}"/>
              </c:ext>
            </c:extLst>
          </c:dPt>
          <c:dPt>
            <c:idx val="272"/>
            <c:bubble3D val="0"/>
            <c:spPr>
              <a:solidFill>
                <a:schemeClr val="accent3"/>
              </a:solidFill>
              <a:ln w="19050">
                <a:solidFill>
                  <a:schemeClr val="lt1"/>
                </a:solidFill>
              </a:ln>
              <a:effectLst/>
            </c:spPr>
            <c:extLst>
              <c:ext xmlns:c16="http://schemas.microsoft.com/office/drawing/2014/chart" uri="{C3380CC4-5D6E-409C-BE32-E72D297353CC}">
                <c16:uniqueId val="{00000221-921C-4E30-AB40-B8C9EBE0D1D9}"/>
              </c:ext>
            </c:extLst>
          </c:dPt>
          <c:dPt>
            <c:idx val="273"/>
            <c:bubble3D val="0"/>
            <c:spPr>
              <a:solidFill>
                <a:schemeClr val="accent4"/>
              </a:solidFill>
              <a:ln w="19050">
                <a:solidFill>
                  <a:schemeClr val="lt1"/>
                </a:solidFill>
              </a:ln>
              <a:effectLst/>
            </c:spPr>
            <c:extLst>
              <c:ext xmlns:c16="http://schemas.microsoft.com/office/drawing/2014/chart" uri="{C3380CC4-5D6E-409C-BE32-E72D297353CC}">
                <c16:uniqueId val="{00000223-921C-4E30-AB40-B8C9EBE0D1D9}"/>
              </c:ext>
            </c:extLst>
          </c:dPt>
          <c:dPt>
            <c:idx val="274"/>
            <c:bubble3D val="0"/>
            <c:spPr>
              <a:solidFill>
                <a:schemeClr val="accent5"/>
              </a:solidFill>
              <a:ln w="19050">
                <a:solidFill>
                  <a:schemeClr val="lt1"/>
                </a:solidFill>
              </a:ln>
              <a:effectLst/>
            </c:spPr>
            <c:extLst>
              <c:ext xmlns:c16="http://schemas.microsoft.com/office/drawing/2014/chart" uri="{C3380CC4-5D6E-409C-BE32-E72D297353CC}">
                <c16:uniqueId val="{00000225-921C-4E30-AB40-B8C9EBE0D1D9}"/>
              </c:ext>
            </c:extLst>
          </c:dPt>
          <c:dPt>
            <c:idx val="275"/>
            <c:bubble3D val="0"/>
            <c:spPr>
              <a:solidFill>
                <a:schemeClr val="accent6"/>
              </a:solidFill>
              <a:ln w="19050">
                <a:solidFill>
                  <a:schemeClr val="lt1"/>
                </a:solidFill>
              </a:ln>
              <a:effectLst/>
            </c:spPr>
            <c:extLst>
              <c:ext xmlns:c16="http://schemas.microsoft.com/office/drawing/2014/chart" uri="{C3380CC4-5D6E-409C-BE32-E72D297353CC}">
                <c16:uniqueId val="{00000227-921C-4E30-AB40-B8C9EBE0D1D9}"/>
              </c:ext>
            </c:extLst>
          </c:dPt>
          <c:dPt>
            <c:idx val="27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29-921C-4E30-AB40-B8C9EBE0D1D9}"/>
              </c:ext>
            </c:extLst>
          </c:dPt>
          <c:dPt>
            <c:idx val="27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2B-921C-4E30-AB40-B8C9EBE0D1D9}"/>
              </c:ext>
            </c:extLst>
          </c:dPt>
          <c:dPt>
            <c:idx val="27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2D-921C-4E30-AB40-B8C9EBE0D1D9}"/>
              </c:ext>
            </c:extLst>
          </c:dPt>
          <c:dPt>
            <c:idx val="27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2F-921C-4E30-AB40-B8C9EBE0D1D9}"/>
              </c:ext>
            </c:extLst>
          </c:dPt>
          <c:dPt>
            <c:idx val="28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31-921C-4E30-AB40-B8C9EBE0D1D9}"/>
              </c:ext>
            </c:extLst>
          </c:dPt>
          <c:dPt>
            <c:idx val="28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233-921C-4E30-AB40-B8C9EBE0D1D9}"/>
              </c:ext>
            </c:extLst>
          </c:dPt>
          <c:dPt>
            <c:idx val="28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235-921C-4E30-AB40-B8C9EBE0D1D9}"/>
              </c:ext>
            </c:extLst>
          </c:dPt>
          <c:dPt>
            <c:idx val="28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237-921C-4E30-AB40-B8C9EBE0D1D9}"/>
              </c:ext>
            </c:extLst>
          </c:dPt>
          <c:dPt>
            <c:idx val="28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921C-4E30-AB40-B8C9EBE0D1D9}"/>
              </c:ext>
            </c:extLst>
          </c:dPt>
          <c:dPt>
            <c:idx val="28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23B-921C-4E30-AB40-B8C9EBE0D1D9}"/>
              </c:ext>
            </c:extLst>
          </c:dPt>
          <c:dPt>
            <c:idx val="28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23D-921C-4E30-AB40-B8C9EBE0D1D9}"/>
              </c:ext>
            </c:extLst>
          </c:dPt>
          <c:dPt>
            <c:idx val="28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23F-921C-4E30-AB40-B8C9EBE0D1D9}"/>
              </c:ext>
            </c:extLst>
          </c:dPt>
          <c:dPt>
            <c:idx val="28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241-921C-4E30-AB40-B8C9EBE0D1D9}"/>
              </c:ext>
            </c:extLst>
          </c:dPt>
          <c:dPt>
            <c:idx val="28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243-921C-4E30-AB40-B8C9EBE0D1D9}"/>
              </c:ext>
            </c:extLst>
          </c:dPt>
          <c:dPt>
            <c:idx val="29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245-921C-4E30-AB40-B8C9EBE0D1D9}"/>
              </c:ext>
            </c:extLst>
          </c:dPt>
          <c:dPt>
            <c:idx val="29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247-921C-4E30-AB40-B8C9EBE0D1D9}"/>
              </c:ext>
            </c:extLst>
          </c:dPt>
          <c:dPt>
            <c:idx val="29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249-921C-4E30-AB40-B8C9EBE0D1D9}"/>
              </c:ext>
            </c:extLst>
          </c:dPt>
          <c:dPt>
            <c:idx val="29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24B-921C-4E30-AB40-B8C9EBE0D1D9}"/>
              </c:ext>
            </c:extLst>
          </c:dPt>
          <c:dPt>
            <c:idx val="29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24D-921C-4E30-AB40-B8C9EBE0D1D9}"/>
              </c:ext>
            </c:extLst>
          </c:dPt>
          <c:dPt>
            <c:idx val="29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24F-921C-4E30-AB40-B8C9EBE0D1D9}"/>
              </c:ext>
            </c:extLst>
          </c:dPt>
          <c:dPt>
            <c:idx val="29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251-921C-4E30-AB40-B8C9EBE0D1D9}"/>
              </c:ext>
            </c:extLst>
          </c:dPt>
          <c:dPt>
            <c:idx val="29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253-921C-4E30-AB40-B8C9EBE0D1D9}"/>
              </c:ext>
            </c:extLst>
          </c:dPt>
          <c:dPt>
            <c:idx val="29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255-921C-4E30-AB40-B8C9EBE0D1D9}"/>
              </c:ext>
            </c:extLst>
          </c:dPt>
          <c:dPt>
            <c:idx val="29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257-921C-4E30-AB40-B8C9EBE0D1D9}"/>
              </c:ext>
            </c:extLst>
          </c:dPt>
          <c:dPt>
            <c:idx val="30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259-921C-4E30-AB40-B8C9EBE0D1D9}"/>
              </c:ext>
            </c:extLst>
          </c:dPt>
          <c:dPt>
            <c:idx val="30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25B-921C-4E30-AB40-B8C9EBE0D1D9}"/>
              </c:ext>
            </c:extLst>
          </c:dPt>
          <c:dPt>
            <c:idx val="30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25D-921C-4E30-AB40-B8C9EBE0D1D9}"/>
              </c:ext>
            </c:extLst>
          </c:dPt>
          <c:dPt>
            <c:idx val="30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25F-921C-4E30-AB40-B8C9EBE0D1D9}"/>
              </c:ext>
            </c:extLst>
          </c:dPt>
          <c:dPt>
            <c:idx val="30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261-921C-4E30-AB40-B8C9EBE0D1D9}"/>
              </c:ext>
            </c:extLst>
          </c:dPt>
          <c:dPt>
            <c:idx val="30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263-921C-4E30-AB40-B8C9EBE0D1D9}"/>
              </c:ext>
            </c:extLst>
          </c:dPt>
          <c:dPt>
            <c:idx val="30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265-921C-4E30-AB40-B8C9EBE0D1D9}"/>
              </c:ext>
            </c:extLst>
          </c:dPt>
          <c:dPt>
            <c:idx val="30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267-921C-4E30-AB40-B8C9EBE0D1D9}"/>
              </c:ext>
            </c:extLst>
          </c:dPt>
          <c:dPt>
            <c:idx val="30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269-921C-4E30-AB40-B8C9EBE0D1D9}"/>
              </c:ext>
            </c:extLst>
          </c:dPt>
          <c:dPt>
            <c:idx val="30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26B-921C-4E30-AB40-B8C9EBE0D1D9}"/>
              </c:ext>
            </c:extLst>
          </c:dPt>
          <c:dPt>
            <c:idx val="31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26D-921C-4E30-AB40-B8C9EBE0D1D9}"/>
              </c:ext>
            </c:extLst>
          </c:dPt>
          <c:dPt>
            <c:idx val="31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26F-921C-4E30-AB40-B8C9EBE0D1D9}"/>
              </c:ext>
            </c:extLst>
          </c:dPt>
          <c:dPt>
            <c:idx val="31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271-921C-4E30-AB40-B8C9EBE0D1D9}"/>
              </c:ext>
            </c:extLst>
          </c:dPt>
          <c:dPt>
            <c:idx val="31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273-921C-4E30-AB40-B8C9EBE0D1D9}"/>
              </c:ext>
            </c:extLst>
          </c:dPt>
          <c:dPt>
            <c:idx val="31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275-921C-4E30-AB40-B8C9EBE0D1D9}"/>
              </c:ext>
            </c:extLst>
          </c:dPt>
          <c:dPt>
            <c:idx val="31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277-921C-4E30-AB40-B8C9EBE0D1D9}"/>
              </c:ext>
            </c:extLst>
          </c:dPt>
          <c:dPt>
            <c:idx val="31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279-921C-4E30-AB40-B8C9EBE0D1D9}"/>
              </c:ext>
            </c:extLst>
          </c:dPt>
          <c:dPt>
            <c:idx val="31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27B-921C-4E30-AB40-B8C9EBE0D1D9}"/>
              </c:ext>
            </c:extLst>
          </c:dPt>
          <c:dPt>
            <c:idx val="31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27D-921C-4E30-AB40-B8C9EBE0D1D9}"/>
              </c:ext>
            </c:extLst>
          </c:dPt>
          <c:dPt>
            <c:idx val="31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27F-921C-4E30-AB40-B8C9EBE0D1D9}"/>
              </c:ext>
            </c:extLst>
          </c:dPt>
          <c:dPt>
            <c:idx val="32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281-921C-4E30-AB40-B8C9EBE0D1D9}"/>
              </c:ext>
            </c:extLst>
          </c:dPt>
          <c:dPt>
            <c:idx val="32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283-921C-4E30-AB40-B8C9EBE0D1D9}"/>
              </c:ext>
            </c:extLst>
          </c:dPt>
          <c:dPt>
            <c:idx val="32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285-921C-4E30-AB40-B8C9EBE0D1D9}"/>
              </c:ext>
            </c:extLst>
          </c:dPt>
          <c:dPt>
            <c:idx val="32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287-921C-4E30-AB40-B8C9EBE0D1D9}"/>
              </c:ext>
            </c:extLst>
          </c:dPt>
          <c:dPt>
            <c:idx val="324"/>
            <c:bubble3D val="0"/>
            <c:spPr>
              <a:solidFill>
                <a:schemeClr val="accent1"/>
              </a:solidFill>
              <a:ln w="19050">
                <a:solidFill>
                  <a:schemeClr val="lt1"/>
                </a:solidFill>
              </a:ln>
              <a:effectLst/>
            </c:spPr>
            <c:extLst>
              <c:ext xmlns:c16="http://schemas.microsoft.com/office/drawing/2014/chart" uri="{C3380CC4-5D6E-409C-BE32-E72D297353CC}">
                <c16:uniqueId val="{00000289-921C-4E30-AB40-B8C9EBE0D1D9}"/>
              </c:ext>
            </c:extLst>
          </c:dPt>
          <c:dPt>
            <c:idx val="325"/>
            <c:bubble3D val="0"/>
            <c:spPr>
              <a:solidFill>
                <a:schemeClr val="accent2"/>
              </a:solidFill>
              <a:ln w="19050">
                <a:solidFill>
                  <a:schemeClr val="lt1"/>
                </a:solidFill>
              </a:ln>
              <a:effectLst/>
            </c:spPr>
            <c:extLst>
              <c:ext xmlns:c16="http://schemas.microsoft.com/office/drawing/2014/chart" uri="{C3380CC4-5D6E-409C-BE32-E72D297353CC}">
                <c16:uniqueId val="{0000028B-921C-4E30-AB40-B8C9EBE0D1D9}"/>
              </c:ext>
            </c:extLst>
          </c:dPt>
          <c:dPt>
            <c:idx val="326"/>
            <c:bubble3D val="0"/>
            <c:spPr>
              <a:solidFill>
                <a:schemeClr val="accent3"/>
              </a:solidFill>
              <a:ln w="19050">
                <a:solidFill>
                  <a:schemeClr val="lt1"/>
                </a:solidFill>
              </a:ln>
              <a:effectLst/>
            </c:spPr>
            <c:extLst>
              <c:ext xmlns:c16="http://schemas.microsoft.com/office/drawing/2014/chart" uri="{C3380CC4-5D6E-409C-BE32-E72D297353CC}">
                <c16:uniqueId val="{0000028D-921C-4E30-AB40-B8C9EBE0D1D9}"/>
              </c:ext>
            </c:extLst>
          </c:dPt>
          <c:dPt>
            <c:idx val="327"/>
            <c:bubble3D val="0"/>
            <c:spPr>
              <a:solidFill>
                <a:schemeClr val="accent4"/>
              </a:solidFill>
              <a:ln w="19050">
                <a:solidFill>
                  <a:schemeClr val="lt1"/>
                </a:solidFill>
              </a:ln>
              <a:effectLst/>
            </c:spPr>
            <c:extLst>
              <c:ext xmlns:c16="http://schemas.microsoft.com/office/drawing/2014/chart" uri="{C3380CC4-5D6E-409C-BE32-E72D297353CC}">
                <c16:uniqueId val="{0000028F-921C-4E30-AB40-B8C9EBE0D1D9}"/>
              </c:ext>
            </c:extLst>
          </c:dPt>
          <c:dPt>
            <c:idx val="328"/>
            <c:bubble3D val="0"/>
            <c:spPr>
              <a:solidFill>
                <a:schemeClr val="accent5"/>
              </a:solidFill>
              <a:ln w="19050">
                <a:solidFill>
                  <a:schemeClr val="lt1"/>
                </a:solidFill>
              </a:ln>
              <a:effectLst/>
            </c:spPr>
            <c:extLst>
              <c:ext xmlns:c16="http://schemas.microsoft.com/office/drawing/2014/chart" uri="{C3380CC4-5D6E-409C-BE32-E72D297353CC}">
                <c16:uniqueId val="{00000291-921C-4E30-AB40-B8C9EBE0D1D9}"/>
              </c:ext>
            </c:extLst>
          </c:dPt>
          <c:dPt>
            <c:idx val="329"/>
            <c:bubble3D val="0"/>
            <c:spPr>
              <a:solidFill>
                <a:schemeClr val="accent6"/>
              </a:solidFill>
              <a:ln w="19050">
                <a:solidFill>
                  <a:schemeClr val="lt1"/>
                </a:solidFill>
              </a:ln>
              <a:effectLst/>
            </c:spPr>
            <c:extLst>
              <c:ext xmlns:c16="http://schemas.microsoft.com/office/drawing/2014/chart" uri="{C3380CC4-5D6E-409C-BE32-E72D297353CC}">
                <c16:uniqueId val="{00000293-921C-4E30-AB40-B8C9EBE0D1D9}"/>
              </c:ext>
            </c:extLst>
          </c:dPt>
          <c:dPt>
            <c:idx val="33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95-921C-4E30-AB40-B8C9EBE0D1D9}"/>
              </c:ext>
            </c:extLst>
          </c:dPt>
          <c:dPt>
            <c:idx val="331"/>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97-921C-4E30-AB40-B8C9EBE0D1D9}"/>
              </c:ext>
            </c:extLst>
          </c:dPt>
          <c:dPt>
            <c:idx val="332"/>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99-921C-4E30-AB40-B8C9EBE0D1D9}"/>
              </c:ext>
            </c:extLst>
          </c:dPt>
          <c:dPt>
            <c:idx val="333"/>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9B-921C-4E30-AB40-B8C9EBE0D1D9}"/>
              </c:ext>
            </c:extLst>
          </c:dPt>
          <c:dPt>
            <c:idx val="33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9D-921C-4E30-AB40-B8C9EBE0D1D9}"/>
              </c:ext>
            </c:extLst>
          </c:dPt>
          <c:dPt>
            <c:idx val="33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29F-921C-4E30-AB40-B8C9EBE0D1D9}"/>
              </c:ext>
            </c:extLst>
          </c:dPt>
          <c:dPt>
            <c:idx val="33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2A1-921C-4E30-AB40-B8C9EBE0D1D9}"/>
              </c:ext>
            </c:extLst>
          </c:dPt>
          <c:dPt>
            <c:idx val="337"/>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2A3-921C-4E30-AB40-B8C9EBE0D1D9}"/>
              </c:ext>
            </c:extLst>
          </c:dPt>
          <c:dPt>
            <c:idx val="338"/>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A5-921C-4E30-AB40-B8C9EBE0D1D9}"/>
              </c:ext>
            </c:extLst>
          </c:dPt>
          <c:dPt>
            <c:idx val="339"/>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2A7-921C-4E30-AB40-B8C9EBE0D1D9}"/>
              </c:ext>
            </c:extLst>
          </c:dPt>
          <c:dPt>
            <c:idx val="340"/>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2A9-921C-4E30-AB40-B8C9EBE0D1D9}"/>
              </c:ext>
            </c:extLst>
          </c:dPt>
          <c:dPt>
            <c:idx val="341"/>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2AB-921C-4E30-AB40-B8C9EBE0D1D9}"/>
              </c:ext>
            </c:extLst>
          </c:dPt>
          <c:dPt>
            <c:idx val="342"/>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2AD-921C-4E30-AB40-B8C9EBE0D1D9}"/>
              </c:ext>
            </c:extLst>
          </c:dPt>
          <c:dPt>
            <c:idx val="343"/>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2AF-921C-4E30-AB40-B8C9EBE0D1D9}"/>
              </c:ext>
            </c:extLst>
          </c:dPt>
          <c:dPt>
            <c:idx val="344"/>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2B1-921C-4E30-AB40-B8C9EBE0D1D9}"/>
              </c:ext>
            </c:extLst>
          </c:dPt>
          <c:dPt>
            <c:idx val="345"/>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2B3-921C-4E30-AB40-B8C9EBE0D1D9}"/>
              </c:ext>
            </c:extLst>
          </c:dPt>
          <c:dPt>
            <c:idx val="346"/>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2B5-921C-4E30-AB40-B8C9EBE0D1D9}"/>
              </c:ext>
            </c:extLst>
          </c:dPt>
          <c:dPt>
            <c:idx val="347"/>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2B7-921C-4E30-AB40-B8C9EBE0D1D9}"/>
              </c:ext>
            </c:extLst>
          </c:dPt>
          <c:dPt>
            <c:idx val="34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2B9-921C-4E30-AB40-B8C9EBE0D1D9}"/>
              </c:ext>
            </c:extLst>
          </c:dPt>
          <c:dPt>
            <c:idx val="349"/>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2BB-921C-4E30-AB40-B8C9EBE0D1D9}"/>
              </c:ext>
            </c:extLst>
          </c:dPt>
          <c:dPt>
            <c:idx val="35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2BD-921C-4E30-AB40-B8C9EBE0D1D9}"/>
              </c:ext>
            </c:extLst>
          </c:dPt>
          <c:dPt>
            <c:idx val="35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2BF-921C-4E30-AB40-B8C9EBE0D1D9}"/>
              </c:ext>
            </c:extLst>
          </c:dPt>
          <c:dPt>
            <c:idx val="352"/>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2C1-921C-4E30-AB40-B8C9EBE0D1D9}"/>
              </c:ext>
            </c:extLst>
          </c:dPt>
          <c:dPt>
            <c:idx val="35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2C3-921C-4E30-AB40-B8C9EBE0D1D9}"/>
              </c:ext>
            </c:extLst>
          </c:dPt>
          <c:dPt>
            <c:idx val="354"/>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2C5-921C-4E30-AB40-B8C9EBE0D1D9}"/>
              </c:ext>
            </c:extLst>
          </c:dPt>
          <c:dPt>
            <c:idx val="355"/>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2C7-921C-4E30-AB40-B8C9EBE0D1D9}"/>
              </c:ext>
            </c:extLst>
          </c:dPt>
          <c:dPt>
            <c:idx val="35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2C9-921C-4E30-AB40-B8C9EBE0D1D9}"/>
              </c:ext>
            </c:extLst>
          </c:dPt>
          <c:dPt>
            <c:idx val="357"/>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2CB-921C-4E30-AB40-B8C9EBE0D1D9}"/>
              </c:ext>
            </c:extLst>
          </c:dPt>
          <c:dPt>
            <c:idx val="35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2CD-921C-4E30-AB40-B8C9EBE0D1D9}"/>
              </c:ext>
            </c:extLst>
          </c:dPt>
          <c:dPt>
            <c:idx val="359"/>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2CF-921C-4E30-AB40-B8C9EBE0D1D9}"/>
              </c:ext>
            </c:extLst>
          </c:dPt>
          <c:dPt>
            <c:idx val="360"/>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2D1-921C-4E30-AB40-B8C9EBE0D1D9}"/>
              </c:ext>
            </c:extLst>
          </c:dPt>
          <c:dPt>
            <c:idx val="361"/>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2D3-921C-4E30-AB40-B8C9EBE0D1D9}"/>
              </c:ext>
            </c:extLst>
          </c:dPt>
          <c:dPt>
            <c:idx val="362"/>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2D5-921C-4E30-AB40-B8C9EBE0D1D9}"/>
              </c:ext>
            </c:extLst>
          </c:dPt>
          <c:dPt>
            <c:idx val="363"/>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2D7-921C-4E30-AB40-B8C9EBE0D1D9}"/>
              </c:ext>
            </c:extLst>
          </c:dPt>
          <c:dPt>
            <c:idx val="364"/>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2D9-921C-4E30-AB40-B8C9EBE0D1D9}"/>
              </c:ext>
            </c:extLst>
          </c:dPt>
          <c:dPt>
            <c:idx val="365"/>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2DB-921C-4E30-AB40-B8C9EBE0D1D9}"/>
              </c:ext>
            </c:extLst>
          </c:dPt>
          <c:dPt>
            <c:idx val="366"/>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2DD-921C-4E30-AB40-B8C9EBE0D1D9}"/>
              </c:ext>
            </c:extLst>
          </c:dPt>
          <c:dPt>
            <c:idx val="367"/>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2DF-921C-4E30-AB40-B8C9EBE0D1D9}"/>
              </c:ext>
            </c:extLst>
          </c:dPt>
          <c:dPt>
            <c:idx val="368"/>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2E1-921C-4E30-AB40-B8C9EBE0D1D9}"/>
              </c:ext>
            </c:extLst>
          </c:dPt>
          <c:dPt>
            <c:idx val="369"/>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2E3-921C-4E30-AB40-B8C9EBE0D1D9}"/>
              </c:ext>
            </c:extLst>
          </c:dPt>
          <c:dPt>
            <c:idx val="370"/>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2E5-921C-4E30-AB40-B8C9EBE0D1D9}"/>
              </c:ext>
            </c:extLst>
          </c:dPt>
          <c:dPt>
            <c:idx val="371"/>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2E7-921C-4E30-AB40-B8C9EBE0D1D9}"/>
              </c:ext>
            </c:extLst>
          </c:dPt>
          <c:dPt>
            <c:idx val="372"/>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2E9-921C-4E30-AB40-B8C9EBE0D1D9}"/>
              </c:ext>
            </c:extLst>
          </c:dPt>
          <c:dPt>
            <c:idx val="373"/>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2EB-921C-4E30-AB40-B8C9EBE0D1D9}"/>
              </c:ext>
            </c:extLst>
          </c:dPt>
          <c:dPt>
            <c:idx val="374"/>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2ED-921C-4E30-AB40-B8C9EBE0D1D9}"/>
              </c:ext>
            </c:extLst>
          </c:dPt>
          <c:dPt>
            <c:idx val="375"/>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2EF-921C-4E30-AB40-B8C9EBE0D1D9}"/>
              </c:ext>
            </c:extLst>
          </c:dPt>
          <c:dPt>
            <c:idx val="376"/>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2F1-921C-4E30-AB40-B8C9EBE0D1D9}"/>
              </c:ext>
            </c:extLst>
          </c:dPt>
          <c:dPt>
            <c:idx val="377"/>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2F3-921C-4E30-AB40-B8C9EBE0D1D9}"/>
              </c:ext>
            </c:extLst>
          </c:dPt>
          <c:dPt>
            <c:idx val="378"/>
            <c:bubble3D val="0"/>
            <c:spPr>
              <a:solidFill>
                <a:schemeClr val="accent1"/>
              </a:solidFill>
              <a:ln w="19050">
                <a:solidFill>
                  <a:schemeClr val="lt1"/>
                </a:solidFill>
              </a:ln>
              <a:effectLst/>
            </c:spPr>
            <c:extLst>
              <c:ext xmlns:c16="http://schemas.microsoft.com/office/drawing/2014/chart" uri="{C3380CC4-5D6E-409C-BE32-E72D297353CC}">
                <c16:uniqueId val="{000002F5-921C-4E30-AB40-B8C9EBE0D1D9}"/>
              </c:ext>
            </c:extLst>
          </c:dPt>
          <c:dPt>
            <c:idx val="379"/>
            <c:bubble3D val="0"/>
            <c:spPr>
              <a:solidFill>
                <a:schemeClr val="accent2"/>
              </a:solidFill>
              <a:ln w="19050">
                <a:solidFill>
                  <a:schemeClr val="lt1"/>
                </a:solidFill>
              </a:ln>
              <a:effectLst/>
            </c:spPr>
            <c:extLst>
              <c:ext xmlns:c16="http://schemas.microsoft.com/office/drawing/2014/chart" uri="{C3380CC4-5D6E-409C-BE32-E72D297353CC}">
                <c16:uniqueId val="{000002F7-921C-4E30-AB40-B8C9EBE0D1D9}"/>
              </c:ext>
            </c:extLst>
          </c:dPt>
          <c:dPt>
            <c:idx val="380"/>
            <c:bubble3D val="0"/>
            <c:spPr>
              <a:solidFill>
                <a:schemeClr val="accent3"/>
              </a:solidFill>
              <a:ln w="19050">
                <a:solidFill>
                  <a:schemeClr val="lt1"/>
                </a:solidFill>
              </a:ln>
              <a:effectLst/>
            </c:spPr>
            <c:extLst>
              <c:ext xmlns:c16="http://schemas.microsoft.com/office/drawing/2014/chart" uri="{C3380CC4-5D6E-409C-BE32-E72D297353CC}">
                <c16:uniqueId val="{000002F9-921C-4E30-AB40-B8C9EBE0D1D9}"/>
              </c:ext>
            </c:extLst>
          </c:dPt>
          <c:dPt>
            <c:idx val="381"/>
            <c:bubble3D val="0"/>
            <c:spPr>
              <a:solidFill>
                <a:schemeClr val="accent4"/>
              </a:solidFill>
              <a:ln w="19050">
                <a:solidFill>
                  <a:schemeClr val="lt1"/>
                </a:solidFill>
              </a:ln>
              <a:effectLst/>
            </c:spPr>
            <c:extLst>
              <c:ext xmlns:c16="http://schemas.microsoft.com/office/drawing/2014/chart" uri="{C3380CC4-5D6E-409C-BE32-E72D297353CC}">
                <c16:uniqueId val="{000002FB-921C-4E30-AB40-B8C9EBE0D1D9}"/>
              </c:ext>
            </c:extLst>
          </c:dPt>
          <c:dPt>
            <c:idx val="382"/>
            <c:bubble3D val="0"/>
            <c:spPr>
              <a:solidFill>
                <a:schemeClr val="accent5"/>
              </a:solidFill>
              <a:ln w="19050">
                <a:solidFill>
                  <a:schemeClr val="lt1"/>
                </a:solidFill>
              </a:ln>
              <a:effectLst/>
            </c:spPr>
            <c:extLst>
              <c:ext xmlns:c16="http://schemas.microsoft.com/office/drawing/2014/chart" uri="{C3380CC4-5D6E-409C-BE32-E72D297353CC}">
                <c16:uniqueId val="{000002FD-921C-4E30-AB40-B8C9EBE0D1D9}"/>
              </c:ext>
            </c:extLst>
          </c:dPt>
          <c:dPt>
            <c:idx val="383"/>
            <c:bubble3D val="0"/>
            <c:spPr>
              <a:solidFill>
                <a:schemeClr val="accent6"/>
              </a:solidFill>
              <a:ln w="19050">
                <a:solidFill>
                  <a:schemeClr val="lt1"/>
                </a:solidFill>
              </a:ln>
              <a:effectLst/>
            </c:spPr>
            <c:extLst>
              <c:ext xmlns:c16="http://schemas.microsoft.com/office/drawing/2014/chart" uri="{C3380CC4-5D6E-409C-BE32-E72D297353CC}">
                <c16:uniqueId val="{000002FF-921C-4E30-AB40-B8C9EBE0D1D9}"/>
              </c:ext>
            </c:extLst>
          </c:dPt>
          <c:dPt>
            <c:idx val="384"/>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301-921C-4E30-AB40-B8C9EBE0D1D9}"/>
              </c:ext>
            </c:extLst>
          </c:dPt>
          <c:dPt>
            <c:idx val="385"/>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303-921C-4E30-AB40-B8C9EBE0D1D9}"/>
              </c:ext>
            </c:extLst>
          </c:dPt>
          <c:dPt>
            <c:idx val="386"/>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305-921C-4E30-AB40-B8C9EBE0D1D9}"/>
              </c:ext>
            </c:extLst>
          </c:dPt>
          <c:dPt>
            <c:idx val="387"/>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307-921C-4E30-AB40-B8C9EBE0D1D9}"/>
              </c:ext>
            </c:extLst>
          </c:dPt>
          <c:dPt>
            <c:idx val="388"/>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309-921C-4E30-AB40-B8C9EBE0D1D9}"/>
              </c:ext>
            </c:extLst>
          </c:dPt>
          <c:dPt>
            <c:idx val="389"/>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30B-921C-4E30-AB40-B8C9EBE0D1D9}"/>
              </c:ext>
            </c:extLst>
          </c:dPt>
          <c:dPt>
            <c:idx val="390"/>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30D-921C-4E30-AB40-B8C9EBE0D1D9}"/>
              </c:ext>
            </c:extLst>
          </c:dPt>
          <c:dPt>
            <c:idx val="391"/>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30F-921C-4E30-AB40-B8C9EBE0D1D9}"/>
              </c:ext>
            </c:extLst>
          </c:dPt>
          <c:dPt>
            <c:idx val="392"/>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311-921C-4E30-AB40-B8C9EBE0D1D9}"/>
              </c:ext>
            </c:extLst>
          </c:dPt>
          <c:dPt>
            <c:idx val="393"/>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313-921C-4E30-AB40-B8C9EBE0D1D9}"/>
              </c:ext>
            </c:extLst>
          </c:dPt>
          <c:dPt>
            <c:idx val="394"/>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315-921C-4E30-AB40-B8C9EBE0D1D9}"/>
              </c:ext>
            </c:extLst>
          </c:dPt>
          <c:dPt>
            <c:idx val="395"/>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317-921C-4E30-AB40-B8C9EBE0D1D9}"/>
              </c:ext>
            </c:extLst>
          </c:dPt>
          <c:dPt>
            <c:idx val="396"/>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319-921C-4E30-AB40-B8C9EBE0D1D9}"/>
              </c:ext>
            </c:extLst>
          </c:dPt>
          <c:dPt>
            <c:idx val="397"/>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31B-921C-4E30-AB40-B8C9EBE0D1D9}"/>
              </c:ext>
            </c:extLst>
          </c:dPt>
          <c:dPt>
            <c:idx val="398"/>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31D-921C-4E30-AB40-B8C9EBE0D1D9}"/>
              </c:ext>
            </c:extLst>
          </c:dPt>
          <c:dPt>
            <c:idx val="399"/>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31F-921C-4E30-AB40-B8C9EBE0D1D9}"/>
              </c:ext>
            </c:extLst>
          </c:dPt>
          <c:dPt>
            <c:idx val="400"/>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321-921C-4E30-AB40-B8C9EBE0D1D9}"/>
              </c:ext>
            </c:extLst>
          </c:dPt>
          <c:dPt>
            <c:idx val="40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323-921C-4E30-AB40-B8C9EBE0D1D9}"/>
              </c:ext>
            </c:extLst>
          </c:dPt>
          <c:dPt>
            <c:idx val="40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325-921C-4E30-AB40-B8C9EBE0D1D9}"/>
              </c:ext>
            </c:extLst>
          </c:dPt>
          <c:dPt>
            <c:idx val="40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327-921C-4E30-AB40-B8C9EBE0D1D9}"/>
              </c:ext>
            </c:extLst>
          </c:dPt>
          <c:dPt>
            <c:idx val="404"/>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329-921C-4E30-AB40-B8C9EBE0D1D9}"/>
              </c:ext>
            </c:extLst>
          </c:dPt>
          <c:dPt>
            <c:idx val="40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32B-921C-4E30-AB40-B8C9EBE0D1D9}"/>
              </c:ext>
            </c:extLst>
          </c:dPt>
          <c:dPt>
            <c:idx val="406"/>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32D-921C-4E30-AB40-B8C9EBE0D1D9}"/>
              </c:ext>
            </c:extLst>
          </c:dPt>
          <c:dPt>
            <c:idx val="407"/>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32F-921C-4E30-AB40-B8C9EBE0D1D9}"/>
              </c:ext>
            </c:extLst>
          </c:dPt>
          <c:dPt>
            <c:idx val="408"/>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331-921C-4E30-AB40-B8C9EBE0D1D9}"/>
              </c:ext>
            </c:extLst>
          </c:dPt>
          <c:dPt>
            <c:idx val="409"/>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333-921C-4E30-AB40-B8C9EBE0D1D9}"/>
              </c:ext>
            </c:extLst>
          </c:dPt>
          <c:dPt>
            <c:idx val="41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335-921C-4E30-AB40-B8C9EBE0D1D9}"/>
              </c:ext>
            </c:extLst>
          </c:dPt>
          <c:dPt>
            <c:idx val="411"/>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337-921C-4E30-AB40-B8C9EBE0D1D9}"/>
              </c:ext>
            </c:extLst>
          </c:dPt>
          <c:dPt>
            <c:idx val="412"/>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339-921C-4E30-AB40-B8C9EBE0D1D9}"/>
              </c:ext>
            </c:extLst>
          </c:dPt>
          <c:dPt>
            <c:idx val="413"/>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33B-921C-4E30-AB40-B8C9EBE0D1D9}"/>
              </c:ext>
            </c:extLst>
          </c:dPt>
          <c:dPt>
            <c:idx val="414"/>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33D-921C-4E30-AB40-B8C9EBE0D1D9}"/>
              </c:ext>
            </c:extLst>
          </c:dPt>
          <c:dPt>
            <c:idx val="415"/>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33F-921C-4E30-AB40-B8C9EBE0D1D9}"/>
              </c:ext>
            </c:extLst>
          </c:dPt>
          <c:dPt>
            <c:idx val="416"/>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341-921C-4E30-AB40-B8C9EBE0D1D9}"/>
              </c:ext>
            </c:extLst>
          </c:dPt>
          <c:dPt>
            <c:idx val="417"/>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343-921C-4E30-AB40-B8C9EBE0D1D9}"/>
              </c:ext>
            </c:extLst>
          </c:dPt>
          <c:dPt>
            <c:idx val="418"/>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345-921C-4E30-AB40-B8C9EBE0D1D9}"/>
              </c:ext>
            </c:extLst>
          </c:dPt>
          <c:dPt>
            <c:idx val="419"/>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347-921C-4E30-AB40-B8C9EBE0D1D9}"/>
              </c:ext>
            </c:extLst>
          </c:dPt>
          <c:dPt>
            <c:idx val="420"/>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349-921C-4E30-AB40-B8C9EBE0D1D9}"/>
              </c:ext>
            </c:extLst>
          </c:dPt>
          <c:dPt>
            <c:idx val="421"/>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34B-921C-4E30-AB40-B8C9EBE0D1D9}"/>
              </c:ext>
            </c:extLst>
          </c:dPt>
          <c:dPt>
            <c:idx val="422"/>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34D-921C-4E30-AB40-B8C9EBE0D1D9}"/>
              </c:ext>
            </c:extLst>
          </c:dPt>
          <c:dPt>
            <c:idx val="423"/>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34F-921C-4E30-AB40-B8C9EBE0D1D9}"/>
              </c:ext>
            </c:extLst>
          </c:dPt>
          <c:dPt>
            <c:idx val="424"/>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351-921C-4E30-AB40-B8C9EBE0D1D9}"/>
              </c:ext>
            </c:extLst>
          </c:dPt>
          <c:dPt>
            <c:idx val="425"/>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353-921C-4E30-AB40-B8C9EBE0D1D9}"/>
              </c:ext>
            </c:extLst>
          </c:dPt>
          <c:dPt>
            <c:idx val="426"/>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355-921C-4E30-AB40-B8C9EBE0D1D9}"/>
              </c:ext>
            </c:extLst>
          </c:dPt>
          <c:dPt>
            <c:idx val="427"/>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357-921C-4E30-AB40-B8C9EBE0D1D9}"/>
              </c:ext>
            </c:extLst>
          </c:dPt>
          <c:dPt>
            <c:idx val="428"/>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359-921C-4E30-AB40-B8C9EBE0D1D9}"/>
              </c:ext>
            </c:extLst>
          </c:dPt>
          <c:dPt>
            <c:idx val="429"/>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35B-921C-4E30-AB40-B8C9EBE0D1D9}"/>
              </c:ext>
            </c:extLst>
          </c:dPt>
          <c:dPt>
            <c:idx val="430"/>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35D-921C-4E30-AB40-B8C9EBE0D1D9}"/>
              </c:ext>
            </c:extLst>
          </c:dPt>
          <c:dPt>
            <c:idx val="431"/>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35F-921C-4E30-AB40-B8C9EBE0D1D9}"/>
              </c:ext>
            </c:extLst>
          </c:dPt>
          <c:dPt>
            <c:idx val="432"/>
            <c:bubble3D val="0"/>
            <c:spPr>
              <a:solidFill>
                <a:schemeClr val="accent1"/>
              </a:solidFill>
              <a:ln w="19050">
                <a:solidFill>
                  <a:schemeClr val="lt1"/>
                </a:solidFill>
              </a:ln>
              <a:effectLst/>
            </c:spPr>
            <c:extLst>
              <c:ext xmlns:c16="http://schemas.microsoft.com/office/drawing/2014/chart" uri="{C3380CC4-5D6E-409C-BE32-E72D297353CC}">
                <c16:uniqueId val="{00000361-921C-4E30-AB40-B8C9EBE0D1D9}"/>
              </c:ext>
            </c:extLst>
          </c:dPt>
          <c:dPt>
            <c:idx val="433"/>
            <c:bubble3D val="0"/>
            <c:spPr>
              <a:solidFill>
                <a:schemeClr val="accent2"/>
              </a:solidFill>
              <a:ln w="19050">
                <a:solidFill>
                  <a:schemeClr val="lt1"/>
                </a:solidFill>
              </a:ln>
              <a:effectLst/>
            </c:spPr>
            <c:extLst>
              <c:ext xmlns:c16="http://schemas.microsoft.com/office/drawing/2014/chart" uri="{C3380CC4-5D6E-409C-BE32-E72D297353CC}">
                <c16:uniqueId val="{00000363-921C-4E30-AB40-B8C9EBE0D1D9}"/>
              </c:ext>
            </c:extLst>
          </c:dPt>
          <c:dPt>
            <c:idx val="434"/>
            <c:bubble3D val="0"/>
            <c:spPr>
              <a:solidFill>
                <a:schemeClr val="accent3"/>
              </a:solidFill>
              <a:ln w="19050">
                <a:solidFill>
                  <a:schemeClr val="lt1"/>
                </a:solidFill>
              </a:ln>
              <a:effectLst/>
            </c:spPr>
            <c:extLst>
              <c:ext xmlns:c16="http://schemas.microsoft.com/office/drawing/2014/chart" uri="{C3380CC4-5D6E-409C-BE32-E72D297353CC}">
                <c16:uniqueId val="{00000365-921C-4E30-AB40-B8C9EBE0D1D9}"/>
              </c:ext>
            </c:extLst>
          </c:dPt>
          <c:dPt>
            <c:idx val="435"/>
            <c:bubble3D val="0"/>
            <c:spPr>
              <a:solidFill>
                <a:schemeClr val="accent4"/>
              </a:solidFill>
              <a:ln w="19050">
                <a:solidFill>
                  <a:schemeClr val="lt1"/>
                </a:solidFill>
              </a:ln>
              <a:effectLst/>
            </c:spPr>
            <c:extLst>
              <c:ext xmlns:c16="http://schemas.microsoft.com/office/drawing/2014/chart" uri="{C3380CC4-5D6E-409C-BE32-E72D297353CC}">
                <c16:uniqueId val="{00000367-921C-4E30-AB40-B8C9EBE0D1D9}"/>
              </c:ext>
            </c:extLst>
          </c:dPt>
          <c:dPt>
            <c:idx val="436"/>
            <c:bubble3D val="0"/>
            <c:spPr>
              <a:solidFill>
                <a:schemeClr val="accent5"/>
              </a:solidFill>
              <a:ln w="19050">
                <a:solidFill>
                  <a:schemeClr val="lt1"/>
                </a:solidFill>
              </a:ln>
              <a:effectLst/>
            </c:spPr>
            <c:extLst>
              <c:ext xmlns:c16="http://schemas.microsoft.com/office/drawing/2014/chart" uri="{C3380CC4-5D6E-409C-BE32-E72D297353CC}">
                <c16:uniqueId val="{00000369-921C-4E30-AB40-B8C9EBE0D1D9}"/>
              </c:ext>
            </c:extLst>
          </c:dPt>
          <c:dPt>
            <c:idx val="437"/>
            <c:bubble3D val="0"/>
            <c:spPr>
              <a:solidFill>
                <a:schemeClr val="accent6"/>
              </a:solidFill>
              <a:ln w="19050">
                <a:solidFill>
                  <a:schemeClr val="lt1"/>
                </a:solidFill>
              </a:ln>
              <a:effectLst/>
            </c:spPr>
            <c:extLst>
              <c:ext xmlns:c16="http://schemas.microsoft.com/office/drawing/2014/chart" uri="{C3380CC4-5D6E-409C-BE32-E72D297353CC}">
                <c16:uniqueId val="{0000036B-921C-4E30-AB40-B8C9EBE0D1D9}"/>
              </c:ext>
            </c:extLst>
          </c:dPt>
          <c:dPt>
            <c:idx val="438"/>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36D-921C-4E30-AB40-B8C9EBE0D1D9}"/>
              </c:ext>
            </c:extLst>
          </c:dPt>
          <c:dPt>
            <c:idx val="439"/>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36F-921C-4E30-AB40-B8C9EBE0D1D9}"/>
              </c:ext>
            </c:extLst>
          </c:dPt>
          <c:dPt>
            <c:idx val="440"/>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371-921C-4E30-AB40-B8C9EBE0D1D9}"/>
              </c:ext>
            </c:extLst>
          </c:dPt>
          <c:dPt>
            <c:idx val="441"/>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373-921C-4E30-AB40-B8C9EBE0D1D9}"/>
              </c:ext>
            </c:extLst>
          </c:dPt>
          <c:dPt>
            <c:idx val="442"/>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375-921C-4E30-AB40-B8C9EBE0D1D9}"/>
              </c:ext>
            </c:extLst>
          </c:dPt>
          <c:dPt>
            <c:idx val="44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377-921C-4E30-AB40-B8C9EBE0D1D9}"/>
              </c:ext>
            </c:extLst>
          </c:dPt>
          <c:dPt>
            <c:idx val="444"/>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379-921C-4E30-AB40-B8C9EBE0D1D9}"/>
              </c:ext>
            </c:extLst>
          </c:dPt>
          <c:dPt>
            <c:idx val="445"/>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37B-921C-4E30-AB40-B8C9EBE0D1D9}"/>
              </c:ext>
            </c:extLst>
          </c:dPt>
          <c:dPt>
            <c:idx val="446"/>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37D-921C-4E30-AB40-B8C9EBE0D1D9}"/>
              </c:ext>
            </c:extLst>
          </c:dPt>
          <c:dPt>
            <c:idx val="44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37F-921C-4E30-AB40-B8C9EBE0D1D9}"/>
              </c:ext>
            </c:extLst>
          </c:dPt>
          <c:dPt>
            <c:idx val="44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381-921C-4E30-AB40-B8C9EBE0D1D9}"/>
              </c:ext>
            </c:extLst>
          </c:dPt>
          <c:dPt>
            <c:idx val="449"/>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383-921C-4E30-AB40-B8C9EBE0D1D9}"/>
              </c:ext>
            </c:extLst>
          </c:dPt>
          <c:dPt>
            <c:idx val="450"/>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385-921C-4E30-AB40-B8C9EBE0D1D9}"/>
              </c:ext>
            </c:extLst>
          </c:dPt>
          <c:dPt>
            <c:idx val="451"/>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387-921C-4E30-AB40-B8C9EBE0D1D9}"/>
              </c:ext>
            </c:extLst>
          </c:dPt>
          <c:dPt>
            <c:idx val="452"/>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389-921C-4E30-AB40-B8C9EBE0D1D9}"/>
              </c:ext>
            </c:extLst>
          </c:dPt>
          <c:dPt>
            <c:idx val="453"/>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38B-921C-4E30-AB40-B8C9EBE0D1D9}"/>
              </c:ext>
            </c:extLst>
          </c:dPt>
          <c:dPt>
            <c:idx val="454"/>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38D-921C-4E30-AB40-B8C9EBE0D1D9}"/>
              </c:ext>
            </c:extLst>
          </c:dPt>
          <c:dPt>
            <c:idx val="455"/>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38F-921C-4E30-AB40-B8C9EBE0D1D9}"/>
              </c:ext>
            </c:extLst>
          </c:dPt>
          <c:dPt>
            <c:idx val="45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391-921C-4E30-AB40-B8C9EBE0D1D9}"/>
              </c:ext>
            </c:extLst>
          </c:dPt>
          <c:dPt>
            <c:idx val="457"/>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393-921C-4E30-AB40-B8C9EBE0D1D9}"/>
              </c:ext>
            </c:extLst>
          </c:dPt>
          <c:dPt>
            <c:idx val="458"/>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395-921C-4E30-AB40-B8C9EBE0D1D9}"/>
              </c:ext>
            </c:extLst>
          </c:dPt>
          <c:dPt>
            <c:idx val="45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397-921C-4E30-AB40-B8C9EBE0D1D9}"/>
              </c:ext>
            </c:extLst>
          </c:dPt>
          <c:dPt>
            <c:idx val="460"/>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399-921C-4E30-AB40-B8C9EBE0D1D9}"/>
              </c:ext>
            </c:extLst>
          </c:dPt>
          <c:dPt>
            <c:idx val="46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39B-921C-4E30-AB40-B8C9EBE0D1D9}"/>
              </c:ext>
            </c:extLst>
          </c:dPt>
          <c:dPt>
            <c:idx val="46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39D-921C-4E30-AB40-B8C9EBE0D1D9}"/>
              </c:ext>
            </c:extLst>
          </c:dPt>
          <c:dPt>
            <c:idx val="463"/>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39F-921C-4E30-AB40-B8C9EBE0D1D9}"/>
              </c:ext>
            </c:extLst>
          </c:dPt>
          <c:dPt>
            <c:idx val="464"/>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3A1-921C-4E30-AB40-B8C9EBE0D1D9}"/>
              </c:ext>
            </c:extLst>
          </c:dPt>
          <c:dPt>
            <c:idx val="46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3A3-921C-4E30-AB40-B8C9EBE0D1D9}"/>
              </c:ext>
            </c:extLst>
          </c:dPt>
          <c:dPt>
            <c:idx val="466"/>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3A5-921C-4E30-AB40-B8C9EBE0D1D9}"/>
              </c:ext>
            </c:extLst>
          </c:dPt>
          <c:dPt>
            <c:idx val="467"/>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3A7-921C-4E30-AB40-B8C9EBE0D1D9}"/>
              </c:ext>
            </c:extLst>
          </c:dPt>
          <c:dPt>
            <c:idx val="468"/>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3A9-921C-4E30-AB40-B8C9EBE0D1D9}"/>
              </c:ext>
            </c:extLst>
          </c:dPt>
          <c:dPt>
            <c:idx val="469"/>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3AB-921C-4E30-AB40-B8C9EBE0D1D9}"/>
              </c:ext>
            </c:extLst>
          </c:dPt>
          <c:dPt>
            <c:idx val="470"/>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3AD-921C-4E30-AB40-B8C9EBE0D1D9}"/>
              </c:ext>
            </c:extLst>
          </c:dPt>
          <c:dPt>
            <c:idx val="471"/>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3AF-921C-4E30-AB40-B8C9EBE0D1D9}"/>
              </c:ext>
            </c:extLst>
          </c:dPt>
          <c:dPt>
            <c:idx val="472"/>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3B1-921C-4E30-AB40-B8C9EBE0D1D9}"/>
              </c:ext>
            </c:extLst>
          </c:dPt>
          <c:dPt>
            <c:idx val="473"/>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3B3-921C-4E30-AB40-B8C9EBE0D1D9}"/>
              </c:ext>
            </c:extLst>
          </c:dPt>
          <c:dPt>
            <c:idx val="474"/>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3B5-921C-4E30-AB40-B8C9EBE0D1D9}"/>
              </c:ext>
            </c:extLst>
          </c:dPt>
          <c:dPt>
            <c:idx val="475"/>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3B7-921C-4E30-AB40-B8C9EBE0D1D9}"/>
              </c:ext>
            </c:extLst>
          </c:dPt>
          <c:dPt>
            <c:idx val="476"/>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3B9-921C-4E30-AB40-B8C9EBE0D1D9}"/>
              </c:ext>
            </c:extLst>
          </c:dPt>
          <c:dPt>
            <c:idx val="477"/>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3BB-921C-4E30-AB40-B8C9EBE0D1D9}"/>
              </c:ext>
            </c:extLst>
          </c:dPt>
          <c:dPt>
            <c:idx val="478"/>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3BD-921C-4E30-AB40-B8C9EBE0D1D9}"/>
              </c:ext>
            </c:extLst>
          </c:dPt>
          <c:dPt>
            <c:idx val="479"/>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3BF-921C-4E30-AB40-B8C9EBE0D1D9}"/>
              </c:ext>
            </c:extLst>
          </c:dPt>
          <c:dPt>
            <c:idx val="480"/>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3C1-921C-4E30-AB40-B8C9EBE0D1D9}"/>
              </c:ext>
            </c:extLst>
          </c:dPt>
          <c:dPt>
            <c:idx val="481"/>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3C3-921C-4E30-AB40-B8C9EBE0D1D9}"/>
              </c:ext>
            </c:extLst>
          </c:dPt>
          <c:dPt>
            <c:idx val="482"/>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3C5-921C-4E30-AB40-B8C9EBE0D1D9}"/>
              </c:ext>
            </c:extLst>
          </c:dPt>
          <c:dPt>
            <c:idx val="483"/>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3C7-921C-4E30-AB40-B8C9EBE0D1D9}"/>
              </c:ext>
            </c:extLst>
          </c:dPt>
          <c:dPt>
            <c:idx val="484"/>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3C9-921C-4E30-AB40-B8C9EBE0D1D9}"/>
              </c:ext>
            </c:extLst>
          </c:dPt>
          <c:dPt>
            <c:idx val="485"/>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3CB-921C-4E30-AB40-B8C9EBE0D1D9}"/>
              </c:ext>
            </c:extLst>
          </c:dPt>
          <c:dPt>
            <c:idx val="486"/>
            <c:bubble3D val="0"/>
            <c:spPr>
              <a:solidFill>
                <a:schemeClr val="accent1"/>
              </a:solidFill>
              <a:ln w="19050">
                <a:solidFill>
                  <a:schemeClr val="lt1"/>
                </a:solidFill>
              </a:ln>
              <a:effectLst/>
            </c:spPr>
            <c:extLst>
              <c:ext xmlns:c16="http://schemas.microsoft.com/office/drawing/2014/chart" uri="{C3380CC4-5D6E-409C-BE32-E72D297353CC}">
                <c16:uniqueId val="{000003CD-921C-4E30-AB40-B8C9EBE0D1D9}"/>
              </c:ext>
            </c:extLst>
          </c:dPt>
          <c:dPt>
            <c:idx val="487"/>
            <c:bubble3D val="0"/>
            <c:spPr>
              <a:solidFill>
                <a:schemeClr val="accent2"/>
              </a:solidFill>
              <a:ln w="19050">
                <a:solidFill>
                  <a:schemeClr val="lt1"/>
                </a:solidFill>
              </a:ln>
              <a:effectLst/>
            </c:spPr>
            <c:extLst>
              <c:ext xmlns:c16="http://schemas.microsoft.com/office/drawing/2014/chart" uri="{C3380CC4-5D6E-409C-BE32-E72D297353CC}">
                <c16:uniqueId val="{000003CF-921C-4E30-AB40-B8C9EBE0D1D9}"/>
              </c:ext>
            </c:extLst>
          </c:dPt>
          <c:dPt>
            <c:idx val="488"/>
            <c:bubble3D val="0"/>
            <c:spPr>
              <a:solidFill>
                <a:schemeClr val="accent3"/>
              </a:solidFill>
              <a:ln w="19050">
                <a:solidFill>
                  <a:schemeClr val="lt1"/>
                </a:solidFill>
              </a:ln>
              <a:effectLst/>
            </c:spPr>
            <c:extLst>
              <c:ext xmlns:c16="http://schemas.microsoft.com/office/drawing/2014/chart" uri="{C3380CC4-5D6E-409C-BE32-E72D297353CC}">
                <c16:uniqueId val="{000003D1-921C-4E30-AB40-B8C9EBE0D1D9}"/>
              </c:ext>
            </c:extLst>
          </c:dPt>
          <c:dPt>
            <c:idx val="489"/>
            <c:bubble3D val="0"/>
            <c:spPr>
              <a:solidFill>
                <a:schemeClr val="accent4"/>
              </a:solidFill>
              <a:ln w="19050">
                <a:solidFill>
                  <a:schemeClr val="lt1"/>
                </a:solidFill>
              </a:ln>
              <a:effectLst/>
            </c:spPr>
            <c:extLst>
              <c:ext xmlns:c16="http://schemas.microsoft.com/office/drawing/2014/chart" uri="{C3380CC4-5D6E-409C-BE32-E72D297353CC}">
                <c16:uniqueId val="{000003D3-921C-4E30-AB40-B8C9EBE0D1D9}"/>
              </c:ext>
            </c:extLst>
          </c:dPt>
          <c:dPt>
            <c:idx val="490"/>
            <c:bubble3D val="0"/>
            <c:spPr>
              <a:solidFill>
                <a:schemeClr val="accent5"/>
              </a:solidFill>
              <a:ln w="19050">
                <a:solidFill>
                  <a:schemeClr val="lt1"/>
                </a:solidFill>
              </a:ln>
              <a:effectLst/>
            </c:spPr>
            <c:extLst>
              <c:ext xmlns:c16="http://schemas.microsoft.com/office/drawing/2014/chart" uri="{C3380CC4-5D6E-409C-BE32-E72D297353CC}">
                <c16:uniqueId val="{000003D5-921C-4E30-AB40-B8C9EBE0D1D9}"/>
              </c:ext>
            </c:extLst>
          </c:dPt>
          <c:dPt>
            <c:idx val="491"/>
            <c:bubble3D val="0"/>
            <c:spPr>
              <a:solidFill>
                <a:schemeClr val="accent6"/>
              </a:solidFill>
              <a:ln w="19050">
                <a:solidFill>
                  <a:schemeClr val="lt1"/>
                </a:solidFill>
              </a:ln>
              <a:effectLst/>
            </c:spPr>
            <c:extLst>
              <c:ext xmlns:c16="http://schemas.microsoft.com/office/drawing/2014/chart" uri="{C3380CC4-5D6E-409C-BE32-E72D297353CC}">
                <c16:uniqueId val="{000003D7-921C-4E30-AB40-B8C9EBE0D1D9}"/>
              </c:ext>
            </c:extLst>
          </c:dPt>
          <c:dPt>
            <c:idx val="492"/>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3D9-921C-4E30-AB40-B8C9EBE0D1D9}"/>
              </c:ext>
            </c:extLst>
          </c:dPt>
          <c:dPt>
            <c:idx val="49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3DB-921C-4E30-AB40-B8C9EBE0D1D9}"/>
              </c:ext>
            </c:extLst>
          </c:dPt>
          <c:dPt>
            <c:idx val="49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3DD-921C-4E30-AB40-B8C9EBE0D1D9}"/>
              </c:ext>
            </c:extLst>
          </c:dPt>
          <c:dPt>
            <c:idx val="49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3DF-921C-4E30-AB40-B8C9EBE0D1D9}"/>
              </c:ext>
            </c:extLst>
          </c:dPt>
          <c:dPt>
            <c:idx val="496"/>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3E1-921C-4E30-AB40-B8C9EBE0D1D9}"/>
              </c:ext>
            </c:extLst>
          </c:dPt>
          <c:dPt>
            <c:idx val="497"/>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3E3-921C-4E30-AB40-B8C9EBE0D1D9}"/>
              </c:ext>
            </c:extLst>
          </c:dPt>
          <c:dPt>
            <c:idx val="498"/>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3E5-921C-4E30-AB40-B8C9EBE0D1D9}"/>
              </c:ext>
            </c:extLst>
          </c:dPt>
          <c:dPt>
            <c:idx val="499"/>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3E7-921C-4E30-AB40-B8C9EBE0D1D9}"/>
              </c:ext>
            </c:extLst>
          </c:dPt>
          <c:dPt>
            <c:idx val="500"/>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3E9-921C-4E30-AB40-B8C9EBE0D1D9}"/>
              </c:ext>
            </c:extLst>
          </c:dPt>
          <c:dPt>
            <c:idx val="501"/>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3EB-921C-4E30-AB40-B8C9EBE0D1D9}"/>
              </c:ext>
            </c:extLst>
          </c:dPt>
          <c:dPt>
            <c:idx val="502"/>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3ED-921C-4E30-AB40-B8C9EBE0D1D9}"/>
              </c:ext>
            </c:extLst>
          </c:dPt>
          <c:dPt>
            <c:idx val="503"/>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3EF-921C-4E30-AB40-B8C9EBE0D1D9}"/>
              </c:ext>
            </c:extLst>
          </c:dPt>
          <c:dPt>
            <c:idx val="504"/>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3F1-921C-4E30-AB40-B8C9EBE0D1D9}"/>
              </c:ext>
            </c:extLst>
          </c:dPt>
          <c:dPt>
            <c:idx val="505"/>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3F3-921C-4E30-AB40-B8C9EBE0D1D9}"/>
              </c:ext>
            </c:extLst>
          </c:dPt>
          <c:dPt>
            <c:idx val="506"/>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3F5-921C-4E30-AB40-B8C9EBE0D1D9}"/>
              </c:ext>
            </c:extLst>
          </c:dPt>
          <c:dPt>
            <c:idx val="507"/>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3F7-921C-4E30-AB40-B8C9EBE0D1D9}"/>
              </c:ext>
            </c:extLst>
          </c:dPt>
          <c:dPt>
            <c:idx val="508"/>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3F9-921C-4E30-AB40-B8C9EBE0D1D9}"/>
              </c:ext>
            </c:extLst>
          </c:dPt>
          <c:dPt>
            <c:idx val="509"/>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3FB-921C-4E30-AB40-B8C9EBE0D1D9}"/>
              </c:ext>
            </c:extLst>
          </c:dPt>
          <c:dPt>
            <c:idx val="51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3FD-921C-4E30-AB40-B8C9EBE0D1D9}"/>
              </c:ext>
            </c:extLst>
          </c:dPt>
          <c:dPt>
            <c:idx val="51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3FF-921C-4E30-AB40-B8C9EBE0D1D9}"/>
              </c:ext>
            </c:extLst>
          </c:dPt>
          <c:dPt>
            <c:idx val="512"/>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401-921C-4E30-AB40-B8C9EBE0D1D9}"/>
              </c:ext>
            </c:extLst>
          </c:dPt>
          <c:dPt>
            <c:idx val="51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403-921C-4E30-AB40-B8C9EBE0D1D9}"/>
              </c:ext>
            </c:extLst>
          </c:dPt>
          <c:dPt>
            <c:idx val="51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405-921C-4E30-AB40-B8C9EBE0D1D9}"/>
              </c:ext>
            </c:extLst>
          </c:dPt>
          <c:dPt>
            <c:idx val="515"/>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407-921C-4E30-AB40-B8C9EBE0D1D9}"/>
              </c:ext>
            </c:extLst>
          </c:dPt>
          <c:dPt>
            <c:idx val="516"/>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409-921C-4E30-AB40-B8C9EBE0D1D9}"/>
              </c:ext>
            </c:extLst>
          </c:dPt>
          <c:dPt>
            <c:idx val="517"/>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40B-921C-4E30-AB40-B8C9EBE0D1D9}"/>
              </c:ext>
            </c:extLst>
          </c:dPt>
          <c:dPt>
            <c:idx val="518"/>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40D-921C-4E30-AB40-B8C9EBE0D1D9}"/>
              </c:ext>
            </c:extLst>
          </c:dPt>
          <c:dPt>
            <c:idx val="51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40F-921C-4E30-AB40-B8C9EBE0D1D9}"/>
              </c:ext>
            </c:extLst>
          </c:dPt>
          <c:dPt>
            <c:idx val="520"/>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411-921C-4E30-AB40-B8C9EBE0D1D9}"/>
              </c:ext>
            </c:extLst>
          </c:dPt>
          <c:dPt>
            <c:idx val="521"/>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413-921C-4E30-AB40-B8C9EBE0D1D9}"/>
              </c:ext>
            </c:extLst>
          </c:dPt>
          <c:dPt>
            <c:idx val="522"/>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415-921C-4E30-AB40-B8C9EBE0D1D9}"/>
              </c:ext>
            </c:extLst>
          </c:dPt>
          <c:dPt>
            <c:idx val="523"/>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417-921C-4E30-AB40-B8C9EBE0D1D9}"/>
              </c:ext>
            </c:extLst>
          </c:dPt>
          <c:dPt>
            <c:idx val="524"/>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419-921C-4E30-AB40-B8C9EBE0D1D9}"/>
              </c:ext>
            </c:extLst>
          </c:dPt>
          <c:dPt>
            <c:idx val="525"/>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41B-921C-4E30-AB40-B8C9EBE0D1D9}"/>
              </c:ext>
            </c:extLst>
          </c:dPt>
          <c:dPt>
            <c:idx val="526"/>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41D-921C-4E30-AB40-B8C9EBE0D1D9}"/>
              </c:ext>
            </c:extLst>
          </c:dPt>
          <c:dPt>
            <c:idx val="527"/>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41F-921C-4E30-AB40-B8C9EBE0D1D9}"/>
              </c:ext>
            </c:extLst>
          </c:dPt>
          <c:dPt>
            <c:idx val="528"/>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421-921C-4E30-AB40-B8C9EBE0D1D9}"/>
              </c:ext>
            </c:extLst>
          </c:dPt>
          <c:dPt>
            <c:idx val="529"/>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423-921C-4E30-AB40-B8C9EBE0D1D9}"/>
              </c:ext>
            </c:extLst>
          </c:dPt>
          <c:dPt>
            <c:idx val="530"/>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425-921C-4E30-AB40-B8C9EBE0D1D9}"/>
              </c:ext>
            </c:extLst>
          </c:dPt>
          <c:dPt>
            <c:idx val="531"/>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427-921C-4E30-AB40-B8C9EBE0D1D9}"/>
              </c:ext>
            </c:extLst>
          </c:dPt>
          <c:dPt>
            <c:idx val="532"/>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429-921C-4E30-AB40-B8C9EBE0D1D9}"/>
              </c:ext>
            </c:extLst>
          </c:dPt>
          <c:dPt>
            <c:idx val="533"/>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42B-921C-4E30-AB40-B8C9EBE0D1D9}"/>
              </c:ext>
            </c:extLst>
          </c:dPt>
          <c:dPt>
            <c:idx val="534"/>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42D-921C-4E30-AB40-B8C9EBE0D1D9}"/>
              </c:ext>
            </c:extLst>
          </c:dPt>
          <c:dPt>
            <c:idx val="535"/>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42F-921C-4E30-AB40-B8C9EBE0D1D9}"/>
              </c:ext>
            </c:extLst>
          </c:dPt>
          <c:dPt>
            <c:idx val="536"/>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431-921C-4E30-AB40-B8C9EBE0D1D9}"/>
              </c:ext>
            </c:extLst>
          </c:dPt>
          <c:dPt>
            <c:idx val="537"/>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433-921C-4E30-AB40-B8C9EBE0D1D9}"/>
              </c:ext>
            </c:extLst>
          </c:dPt>
          <c:dPt>
            <c:idx val="538"/>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435-921C-4E30-AB40-B8C9EBE0D1D9}"/>
              </c:ext>
            </c:extLst>
          </c:dPt>
          <c:dPt>
            <c:idx val="539"/>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437-921C-4E30-AB40-B8C9EBE0D1D9}"/>
              </c:ext>
            </c:extLst>
          </c:dPt>
          <c:dPt>
            <c:idx val="540"/>
            <c:bubble3D val="0"/>
            <c:spPr>
              <a:solidFill>
                <a:schemeClr val="accent1"/>
              </a:solidFill>
              <a:ln w="19050">
                <a:solidFill>
                  <a:schemeClr val="lt1"/>
                </a:solidFill>
              </a:ln>
              <a:effectLst/>
            </c:spPr>
            <c:extLst>
              <c:ext xmlns:c16="http://schemas.microsoft.com/office/drawing/2014/chart" uri="{C3380CC4-5D6E-409C-BE32-E72D297353CC}">
                <c16:uniqueId val="{00000439-921C-4E30-AB40-B8C9EBE0D1D9}"/>
              </c:ext>
            </c:extLst>
          </c:dPt>
          <c:dPt>
            <c:idx val="541"/>
            <c:bubble3D val="0"/>
            <c:spPr>
              <a:solidFill>
                <a:schemeClr val="accent2"/>
              </a:solidFill>
              <a:ln w="19050">
                <a:solidFill>
                  <a:schemeClr val="lt1"/>
                </a:solidFill>
              </a:ln>
              <a:effectLst/>
            </c:spPr>
            <c:extLst>
              <c:ext xmlns:c16="http://schemas.microsoft.com/office/drawing/2014/chart" uri="{C3380CC4-5D6E-409C-BE32-E72D297353CC}">
                <c16:uniqueId val="{0000043B-921C-4E30-AB40-B8C9EBE0D1D9}"/>
              </c:ext>
            </c:extLst>
          </c:dPt>
          <c:dPt>
            <c:idx val="542"/>
            <c:bubble3D val="0"/>
            <c:spPr>
              <a:solidFill>
                <a:schemeClr val="accent3"/>
              </a:solidFill>
              <a:ln w="19050">
                <a:solidFill>
                  <a:schemeClr val="lt1"/>
                </a:solidFill>
              </a:ln>
              <a:effectLst/>
            </c:spPr>
            <c:extLst>
              <c:ext xmlns:c16="http://schemas.microsoft.com/office/drawing/2014/chart" uri="{C3380CC4-5D6E-409C-BE32-E72D297353CC}">
                <c16:uniqueId val="{0000043D-921C-4E30-AB40-B8C9EBE0D1D9}"/>
              </c:ext>
            </c:extLst>
          </c:dPt>
          <c:dPt>
            <c:idx val="543"/>
            <c:bubble3D val="0"/>
            <c:spPr>
              <a:solidFill>
                <a:schemeClr val="accent4"/>
              </a:solidFill>
              <a:ln w="19050">
                <a:solidFill>
                  <a:schemeClr val="lt1"/>
                </a:solidFill>
              </a:ln>
              <a:effectLst/>
            </c:spPr>
            <c:extLst>
              <c:ext xmlns:c16="http://schemas.microsoft.com/office/drawing/2014/chart" uri="{C3380CC4-5D6E-409C-BE32-E72D297353CC}">
                <c16:uniqueId val="{0000043F-921C-4E30-AB40-B8C9EBE0D1D9}"/>
              </c:ext>
            </c:extLst>
          </c:dPt>
          <c:dPt>
            <c:idx val="544"/>
            <c:bubble3D val="0"/>
            <c:spPr>
              <a:solidFill>
                <a:schemeClr val="accent5"/>
              </a:solidFill>
              <a:ln w="19050">
                <a:solidFill>
                  <a:schemeClr val="lt1"/>
                </a:solidFill>
              </a:ln>
              <a:effectLst/>
            </c:spPr>
            <c:extLst>
              <c:ext xmlns:c16="http://schemas.microsoft.com/office/drawing/2014/chart" uri="{C3380CC4-5D6E-409C-BE32-E72D297353CC}">
                <c16:uniqueId val="{00000441-921C-4E30-AB40-B8C9EBE0D1D9}"/>
              </c:ext>
            </c:extLst>
          </c:dPt>
          <c:dPt>
            <c:idx val="545"/>
            <c:bubble3D val="0"/>
            <c:spPr>
              <a:solidFill>
                <a:schemeClr val="accent6"/>
              </a:solidFill>
              <a:ln w="19050">
                <a:solidFill>
                  <a:schemeClr val="lt1"/>
                </a:solidFill>
              </a:ln>
              <a:effectLst/>
            </c:spPr>
            <c:extLst>
              <c:ext xmlns:c16="http://schemas.microsoft.com/office/drawing/2014/chart" uri="{C3380CC4-5D6E-409C-BE32-E72D297353CC}">
                <c16:uniqueId val="{00000443-921C-4E30-AB40-B8C9EBE0D1D9}"/>
              </c:ext>
            </c:extLst>
          </c:dPt>
          <c:dPt>
            <c:idx val="54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445-921C-4E30-AB40-B8C9EBE0D1D9}"/>
              </c:ext>
            </c:extLst>
          </c:dPt>
          <c:dPt>
            <c:idx val="54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447-921C-4E30-AB40-B8C9EBE0D1D9}"/>
              </c:ext>
            </c:extLst>
          </c:dPt>
          <c:dPt>
            <c:idx val="54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449-921C-4E30-AB40-B8C9EBE0D1D9}"/>
              </c:ext>
            </c:extLst>
          </c:dPt>
          <c:dPt>
            <c:idx val="54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44B-921C-4E30-AB40-B8C9EBE0D1D9}"/>
              </c:ext>
            </c:extLst>
          </c:dPt>
          <c:dPt>
            <c:idx val="55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44D-921C-4E30-AB40-B8C9EBE0D1D9}"/>
              </c:ext>
            </c:extLst>
          </c:dPt>
          <c:dPt>
            <c:idx val="55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44F-921C-4E30-AB40-B8C9EBE0D1D9}"/>
              </c:ext>
            </c:extLst>
          </c:dPt>
          <c:dPt>
            <c:idx val="55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451-921C-4E30-AB40-B8C9EBE0D1D9}"/>
              </c:ext>
            </c:extLst>
          </c:dPt>
          <c:dPt>
            <c:idx val="55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453-921C-4E30-AB40-B8C9EBE0D1D9}"/>
              </c:ext>
            </c:extLst>
          </c:dPt>
          <c:dPt>
            <c:idx val="55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455-921C-4E30-AB40-B8C9EBE0D1D9}"/>
              </c:ext>
            </c:extLst>
          </c:dPt>
          <c:dPt>
            <c:idx val="55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457-921C-4E30-AB40-B8C9EBE0D1D9}"/>
              </c:ext>
            </c:extLst>
          </c:dPt>
          <c:dPt>
            <c:idx val="55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459-921C-4E30-AB40-B8C9EBE0D1D9}"/>
              </c:ext>
            </c:extLst>
          </c:dPt>
          <c:dPt>
            <c:idx val="55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45B-921C-4E30-AB40-B8C9EBE0D1D9}"/>
              </c:ext>
            </c:extLst>
          </c:dPt>
          <c:dPt>
            <c:idx val="55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45D-921C-4E30-AB40-B8C9EBE0D1D9}"/>
              </c:ext>
            </c:extLst>
          </c:dPt>
          <c:dPt>
            <c:idx val="55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45F-921C-4E30-AB40-B8C9EBE0D1D9}"/>
              </c:ext>
            </c:extLst>
          </c:dPt>
          <c:dPt>
            <c:idx val="56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461-921C-4E30-AB40-B8C9EBE0D1D9}"/>
              </c:ext>
            </c:extLst>
          </c:dPt>
          <c:dPt>
            <c:idx val="56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463-921C-4E30-AB40-B8C9EBE0D1D9}"/>
              </c:ext>
            </c:extLst>
          </c:dPt>
          <c:dPt>
            <c:idx val="56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465-921C-4E30-AB40-B8C9EBE0D1D9}"/>
              </c:ext>
            </c:extLst>
          </c:dPt>
          <c:dPt>
            <c:idx val="56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467-921C-4E30-AB40-B8C9EBE0D1D9}"/>
              </c:ext>
            </c:extLst>
          </c:dPt>
          <c:dPt>
            <c:idx val="56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469-921C-4E30-AB40-B8C9EBE0D1D9}"/>
              </c:ext>
            </c:extLst>
          </c:dPt>
          <c:dPt>
            <c:idx val="56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46B-921C-4E30-AB40-B8C9EBE0D1D9}"/>
              </c:ext>
            </c:extLst>
          </c:dPt>
          <c:dPt>
            <c:idx val="56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46D-921C-4E30-AB40-B8C9EBE0D1D9}"/>
              </c:ext>
            </c:extLst>
          </c:dPt>
          <c:dPt>
            <c:idx val="56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46F-921C-4E30-AB40-B8C9EBE0D1D9}"/>
              </c:ext>
            </c:extLst>
          </c:dPt>
          <c:dPt>
            <c:idx val="56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471-921C-4E30-AB40-B8C9EBE0D1D9}"/>
              </c:ext>
            </c:extLst>
          </c:dPt>
          <c:dPt>
            <c:idx val="56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473-921C-4E30-AB40-B8C9EBE0D1D9}"/>
              </c:ext>
            </c:extLst>
          </c:dPt>
          <c:dPt>
            <c:idx val="57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475-921C-4E30-AB40-B8C9EBE0D1D9}"/>
              </c:ext>
            </c:extLst>
          </c:dPt>
          <c:dPt>
            <c:idx val="57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477-921C-4E30-AB40-B8C9EBE0D1D9}"/>
              </c:ext>
            </c:extLst>
          </c:dPt>
          <c:dPt>
            <c:idx val="57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479-921C-4E30-AB40-B8C9EBE0D1D9}"/>
              </c:ext>
            </c:extLst>
          </c:dPt>
          <c:dPt>
            <c:idx val="57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47B-921C-4E30-AB40-B8C9EBE0D1D9}"/>
              </c:ext>
            </c:extLst>
          </c:dPt>
          <c:dPt>
            <c:idx val="57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47D-921C-4E30-AB40-B8C9EBE0D1D9}"/>
              </c:ext>
            </c:extLst>
          </c:dPt>
          <c:dPt>
            <c:idx val="57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47F-921C-4E30-AB40-B8C9EBE0D1D9}"/>
              </c:ext>
            </c:extLst>
          </c:dPt>
          <c:dPt>
            <c:idx val="57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481-921C-4E30-AB40-B8C9EBE0D1D9}"/>
              </c:ext>
            </c:extLst>
          </c:dPt>
          <c:dPt>
            <c:idx val="57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483-921C-4E30-AB40-B8C9EBE0D1D9}"/>
              </c:ext>
            </c:extLst>
          </c:dPt>
          <c:dPt>
            <c:idx val="57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485-921C-4E30-AB40-B8C9EBE0D1D9}"/>
              </c:ext>
            </c:extLst>
          </c:dPt>
          <c:dPt>
            <c:idx val="57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487-921C-4E30-AB40-B8C9EBE0D1D9}"/>
              </c:ext>
            </c:extLst>
          </c:dPt>
          <c:dPt>
            <c:idx val="58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489-921C-4E30-AB40-B8C9EBE0D1D9}"/>
              </c:ext>
            </c:extLst>
          </c:dPt>
          <c:dPt>
            <c:idx val="58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48B-921C-4E30-AB40-B8C9EBE0D1D9}"/>
              </c:ext>
            </c:extLst>
          </c:dPt>
          <c:dPt>
            <c:idx val="58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48D-921C-4E30-AB40-B8C9EBE0D1D9}"/>
              </c:ext>
            </c:extLst>
          </c:dPt>
          <c:dPt>
            <c:idx val="58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48F-921C-4E30-AB40-B8C9EBE0D1D9}"/>
              </c:ext>
            </c:extLst>
          </c:dPt>
          <c:dPt>
            <c:idx val="58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491-921C-4E30-AB40-B8C9EBE0D1D9}"/>
              </c:ext>
            </c:extLst>
          </c:dPt>
          <c:dPt>
            <c:idx val="58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493-921C-4E30-AB40-B8C9EBE0D1D9}"/>
              </c:ext>
            </c:extLst>
          </c:dPt>
          <c:dPt>
            <c:idx val="58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495-921C-4E30-AB40-B8C9EBE0D1D9}"/>
              </c:ext>
            </c:extLst>
          </c:dPt>
          <c:dPt>
            <c:idx val="58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497-921C-4E30-AB40-B8C9EBE0D1D9}"/>
              </c:ext>
            </c:extLst>
          </c:dPt>
          <c:dPt>
            <c:idx val="58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499-921C-4E30-AB40-B8C9EBE0D1D9}"/>
              </c:ext>
            </c:extLst>
          </c:dPt>
          <c:dPt>
            <c:idx val="58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49B-921C-4E30-AB40-B8C9EBE0D1D9}"/>
              </c:ext>
            </c:extLst>
          </c:dPt>
          <c:dPt>
            <c:idx val="59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49D-921C-4E30-AB40-B8C9EBE0D1D9}"/>
              </c:ext>
            </c:extLst>
          </c:dPt>
          <c:dPt>
            <c:idx val="59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49F-921C-4E30-AB40-B8C9EBE0D1D9}"/>
              </c:ext>
            </c:extLst>
          </c:dPt>
          <c:dPt>
            <c:idx val="59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4A1-921C-4E30-AB40-B8C9EBE0D1D9}"/>
              </c:ext>
            </c:extLst>
          </c:dPt>
          <c:dPt>
            <c:idx val="59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4A3-921C-4E30-AB40-B8C9EBE0D1D9}"/>
              </c:ext>
            </c:extLst>
          </c:dPt>
          <c:dPt>
            <c:idx val="594"/>
            <c:bubble3D val="0"/>
            <c:spPr>
              <a:solidFill>
                <a:schemeClr val="accent1"/>
              </a:solidFill>
              <a:ln w="19050">
                <a:solidFill>
                  <a:schemeClr val="lt1"/>
                </a:solidFill>
              </a:ln>
              <a:effectLst/>
            </c:spPr>
            <c:extLst>
              <c:ext xmlns:c16="http://schemas.microsoft.com/office/drawing/2014/chart" uri="{C3380CC4-5D6E-409C-BE32-E72D297353CC}">
                <c16:uniqueId val="{000004A5-921C-4E30-AB40-B8C9EBE0D1D9}"/>
              </c:ext>
            </c:extLst>
          </c:dPt>
          <c:dPt>
            <c:idx val="595"/>
            <c:bubble3D val="0"/>
            <c:spPr>
              <a:solidFill>
                <a:schemeClr val="accent2"/>
              </a:solidFill>
              <a:ln w="19050">
                <a:solidFill>
                  <a:schemeClr val="lt1"/>
                </a:solidFill>
              </a:ln>
              <a:effectLst/>
            </c:spPr>
            <c:extLst>
              <c:ext xmlns:c16="http://schemas.microsoft.com/office/drawing/2014/chart" uri="{C3380CC4-5D6E-409C-BE32-E72D297353CC}">
                <c16:uniqueId val="{000004A7-921C-4E30-AB40-B8C9EBE0D1D9}"/>
              </c:ext>
            </c:extLst>
          </c:dPt>
          <c:dPt>
            <c:idx val="596"/>
            <c:bubble3D val="0"/>
            <c:spPr>
              <a:solidFill>
                <a:schemeClr val="accent3"/>
              </a:solidFill>
              <a:ln w="19050">
                <a:solidFill>
                  <a:schemeClr val="lt1"/>
                </a:solidFill>
              </a:ln>
              <a:effectLst/>
            </c:spPr>
            <c:extLst>
              <c:ext xmlns:c16="http://schemas.microsoft.com/office/drawing/2014/chart" uri="{C3380CC4-5D6E-409C-BE32-E72D297353CC}">
                <c16:uniqueId val="{000004A9-921C-4E30-AB40-B8C9EBE0D1D9}"/>
              </c:ext>
            </c:extLst>
          </c:dPt>
          <c:dPt>
            <c:idx val="597"/>
            <c:bubble3D val="0"/>
            <c:spPr>
              <a:solidFill>
                <a:schemeClr val="accent4"/>
              </a:solidFill>
              <a:ln w="19050">
                <a:solidFill>
                  <a:schemeClr val="lt1"/>
                </a:solidFill>
              </a:ln>
              <a:effectLst/>
            </c:spPr>
            <c:extLst>
              <c:ext xmlns:c16="http://schemas.microsoft.com/office/drawing/2014/chart" uri="{C3380CC4-5D6E-409C-BE32-E72D297353CC}">
                <c16:uniqueId val="{000004AB-921C-4E30-AB40-B8C9EBE0D1D9}"/>
              </c:ext>
            </c:extLst>
          </c:dPt>
          <c:dPt>
            <c:idx val="598"/>
            <c:bubble3D val="0"/>
            <c:spPr>
              <a:solidFill>
                <a:schemeClr val="accent5"/>
              </a:solidFill>
              <a:ln w="19050">
                <a:solidFill>
                  <a:schemeClr val="lt1"/>
                </a:solidFill>
              </a:ln>
              <a:effectLst/>
            </c:spPr>
            <c:extLst>
              <c:ext xmlns:c16="http://schemas.microsoft.com/office/drawing/2014/chart" uri="{C3380CC4-5D6E-409C-BE32-E72D297353CC}">
                <c16:uniqueId val="{000004AD-921C-4E30-AB40-B8C9EBE0D1D9}"/>
              </c:ext>
            </c:extLst>
          </c:dPt>
          <c:dPt>
            <c:idx val="599"/>
            <c:bubble3D val="0"/>
            <c:spPr>
              <a:solidFill>
                <a:schemeClr val="accent6"/>
              </a:solidFill>
              <a:ln w="19050">
                <a:solidFill>
                  <a:schemeClr val="lt1"/>
                </a:solidFill>
              </a:ln>
              <a:effectLst/>
            </c:spPr>
            <c:extLst>
              <c:ext xmlns:c16="http://schemas.microsoft.com/office/drawing/2014/chart" uri="{C3380CC4-5D6E-409C-BE32-E72D297353CC}">
                <c16:uniqueId val="{000004AF-921C-4E30-AB40-B8C9EBE0D1D9}"/>
              </c:ext>
            </c:extLst>
          </c:dPt>
          <c:dPt>
            <c:idx val="60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4B1-921C-4E30-AB40-B8C9EBE0D1D9}"/>
              </c:ext>
            </c:extLst>
          </c:dPt>
          <c:dLbls>
            <c:dLbl>
              <c:idx val="492"/>
              <c:showLegendKey val="0"/>
              <c:showVal val="0"/>
              <c:showCatName val="1"/>
              <c:showSerName val="0"/>
              <c:showPercent val="1"/>
              <c:showBubbleSize val="0"/>
              <c:extLst>
                <c:ext xmlns:c15="http://schemas.microsoft.com/office/drawing/2012/chart" uri="{CE6537A1-D6FC-4f65-9D91-7224C49458BB}">
                  <c15:layout>
                    <c:manualLayout>
                      <c:w val="0.23701605288007555"/>
                      <c:h val="0.32885906040268453"/>
                    </c:manualLayout>
                  </c15:layout>
                </c:ext>
                <c:ext xmlns:c16="http://schemas.microsoft.com/office/drawing/2014/chart" uri="{C3380CC4-5D6E-409C-BE32-E72D297353CC}">
                  <c16:uniqueId val="{000003D9-921C-4E30-AB40-B8C9EBE0D1D9}"/>
                </c:ext>
              </c:extLst>
            </c:dLbl>
            <c:dLbl>
              <c:idx val="496"/>
              <c:showLegendKey val="0"/>
              <c:showVal val="0"/>
              <c:showCatName val="1"/>
              <c:showSerName val="0"/>
              <c:showPercent val="1"/>
              <c:showBubbleSize val="0"/>
              <c:extLst>
                <c:ext xmlns:c15="http://schemas.microsoft.com/office/drawing/2012/chart" uri="{CE6537A1-D6FC-4f65-9D91-7224C49458BB}">
                  <c15:layout>
                    <c:manualLayout>
                      <c:w val="0.18319169027384324"/>
                      <c:h val="0.33557046979865773"/>
                    </c:manualLayout>
                  </c15:layout>
                </c:ext>
                <c:ext xmlns:c16="http://schemas.microsoft.com/office/drawing/2014/chart" uri="{C3380CC4-5D6E-409C-BE32-E72D297353CC}">
                  <c16:uniqueId val="{000003E1-921C-4E30-AB40-B8C9EBE0D1D9}"/>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MASQ2!$EO$4:$EO$600</c:f>
              <c:numCache>
                <c:formatCode>General</c:formatCode>
                <c:ptCount val="5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numCache>
            </c:numRef>
          </c:cat>
          <c:val>
            <c:numRef>
              <c:f>MASQ2!$EP$4:$EP$600</c:f>
              <c:numCache>
                <c:formatCode>General</c:formatCode>
                <c:ptCount val="5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numCache>
            </c:numRef>
          </c:val>
          <c:extLst>
            <c:ext xmlns:c16="http://schemas.microsoft.com/office/drawing/2014/chart" uri="{C3380CC4-5D6E-409C-BE32-E72D297353CC}">
              <c16:uniqueId val="{000004B2-921C-4E30-AB40-B8C9EBE0D1D9}"/>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r>
              <a:rPr lang="fr-FR" sz="1050" b="1">
                <a:solidFill>
                  <a:sysClr val="windowText" lastClr="000000"/>
                </a:solidFill>
              </a:rPr>
              <a:t>Famille d'antibiotiques</a:t>
            </a: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8512275471111059"/>
          <c:y val="0.18215349162832883"/>
          <c:w val="0.67751915985550837"/>
          <c:h val="0.7824447419950572"/>
        </c:manualLayout>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BE59-45E4-92B7-9C2B8BF4808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BE59-45E4-92B7-9C2B8BF4808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BE59-45E4-92B7-9C2B8BF4808B}"/>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BE59-45E4-92B7-9C2B8BF4808B}"/>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BE59-45E4-92B7-9C2B8BF4808B}"/>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BE59-45E4-92B7-9C2B8BF4808B}"/>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BE59-45E4-92B7-9C2B8BF4808B}"/>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BE59-45E4-92B7-9C2B8BF4808B}"/>
              </c:ext>
            </c:extLst>
          </c:dPt>
          <c:dPt>
            <c:idx val="8"/>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11-BE59-45E4-92B7-9C2B8BF4808B}"/>
              </c:ext>
            </c:extLst>
          </c:dPt>
          <c:dPt>
            <c:idx val="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13-BE59-45E4-92B7-9C2B8BF4808B}"/>
              </c:ext>
            </c:extLst>
          </c:dPt>
          <c:dPt>
            <c:idx val="10"/>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15-BE59-45E4-92B7-9C2B8BF4808B}"/>
              </c:ext>
            </c:extLst>
          </c:dPt>
          <c:dPt>
            <c:idx val="1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17-BE59-45E4-92B7-9C2B8BF4808B}"/>
              </c:ext>
            </c:extLst>
          </c:dPt>
          <c:dPt>
            <c:idx val="1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19-BE59-45E4-92B7-9C2B8BF4808B}"/>
              </c:ext>
            </c:extLst>
          </c:dPt>
          <c:dPt>
            <c:idx val="1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B-BE59-45E4-92B7-9C2B8BF4808B}"/>
              </c:ext>
            </c:extLst>
          </c:dPt>
          <c:dPt>
            <c:idx val="14"/>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1D-BE59-45E4-92B7-9C2B8BF4808B}"/>
              </c:ext>
            </c:extLst>
          </c:dPt>
          <c:dPt>
            <c:idx val="15"/>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1F-BE59-45E4-92B7-9C2B8BF4808B}"/>
              </c:ext>
            </c:extLst>
          </c:dPt>
          <c:dPt>
            <c:idx val="16"/>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21-BE59-45E4-92B7-9C2B8BF4808B}"/>
              </c:ext>
            </c:extLst>
          </c:dPt>
          <c:dPt>
            <c:idx val="17"/>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23-BE59-45E4-92B7-9C2B8BF4808B}"/>
              </c:ext>
            </c:extLst>
          </c:dPt>
          <c:dPt>
            <c:idx val="18"/>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25-BE59-45E4-92B7-9C2B8BF4808B}"/>
              </c:ext>
            </c:extLst>
          </c:dPt>
          <c:dPt>
            <c:idx val="1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27-BE59-45E4-92B7-9C2B8BF4808B}"/>
              </c:ext>
            </c:extLst>
          </c:dPt>
          <c:dPt>
            <c:idx val="20"/>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29-BE59-45E4-92B7-9C2B8BF4808B}"/>
              </c:ext>
            </c:extLst>
          </c:dPt>
          <c:dPt>
            <c:idx val="21"/>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2B-BE59-45E4-92B7-9C2B8BF4808B}"/>
              </c:ext>
            </c:extLst>
          </c:dPt>
          <c:dPt>
            <c:idx val="22"/>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2D-BE59-45E4-92B7-9C2B8BF4808B}"/>
              </c:ext>
            </c:extLst>
          </c:dPt>
          <c:dPt>
            <c:idx val="23"/>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2F-BE59-45E4-92B7-9C2B8BF480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MASQ2!$FE$4:$FE$19</c:f>
              <c:numCache>
                <c:formatCode>General</c:formatCode>
                <c:ptCount val="1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numCache>
            </c:numRef>
          </c:cat>
          <c:val>
            <c:numRef>
              <c:f>MASQ2!$FF$4:$FF$19</c:f>
              <c:numCache>
                <c:formatCode>General</c:formatCode>
                <c:ptCount val="1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numCache>
            </c:numRef>
          </c:val>
          <c:extLst>
            <c:ext xmlns:c16="http://schemas.microsoft.com/office/drawing/2014/chart" uri="{C3380CC4-5D6E-409C-BE32-E72D297353CC}">
              <c16:uniqueId val="{00000030-BE59-45E4-92B7-9C2B8BF4808B}"/>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Arial Narrow" panose="020B0606020202030204" pitchFamily="34" charset="0"/>
                <a:ea typeface="+mn-ea"/>
                <a:cs typeface="+mn-cs"/>
              </a:defRPr>
            </a:pPr>
            <a:r>
              <a:rPr lang="fr-FR" sz="1200" b="1">
                <a:solidFill>
                  <a:schemeClr val="tx1"/>
                </a:solidFill>
                <a:latin typeface="Arial Narrow" panose="020B0606020202030204" pitchFamily="34" charset="0"/>
              </a:rPr>
              <a:t>Médicaments utilisés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942748406588215"/>
          <c:y val="0.158279331869492"/>
          <c:w val="0.64960243055555555"/>
          <c:h val="0.7421774739017719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59A-41E8-BE5C-6AA61ED2A97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59A-41E8-BE5C-6AA61ED2A97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59A-41E8-BE5C-6AA61ED2A97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59A-41E8-BE5C-6AA61ED2A97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59A-41E8-BE5C-6AA61ED2A97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59A-41E8-BE5C-6AA61ED2A97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59A-41E8-BE5C-6AA61ED2A97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59A-41E8-BE5C-6AA61ED2A97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59A-41E8-BE5C-6AA61ED2A97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59A-41E8-BE5C-6AA61ED2A97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A59A-41E8-BE5C-6AA61ED2A97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A59A-41E8-BE5C-6AA61ED2A977}"/>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A59A-41E8-BE5C-6AA61ED2A977}"/>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A59A-41E8-BE5C-6AA61ED2A977}"/>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A59A-41E8-BE5C-6AA61ED2A977}"/>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A59A-41E8-BE5C-6AA61ED2A977}"/>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A59A-41E8-BE5C-6AA61ED2A977}"/>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A59A-41E8-BE5C-6AA61ED2A977}"/>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A59A-41E8-BE5C-6AA61ED2A977}"/>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A59A-41E8-BE5C-6AA61ED2A977}"/>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A59A-41E8-BE5C-6AA61ED2A977}"/>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A59A-41E8-BE5C-6AA61ED2A977}"/>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A59A-41E8-BE5C-6AA61ED2A977}"/>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A59A-41E8-BE5C-6AA61ED2A977}"/>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A59A-41E8-BE5C-6AA61ED2A977}"/>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3-A59A-41E8-BE5C-6AA61ED2A977}"/>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35-A59A-41E8-BE5C-6AA61ED2A977}"/>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A59A-41E8-BE5C-6AA61ED2A977}"/>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39-A59A-41E8-BE5C-6AA61ED2A977}"/>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B-A59A-41E8-BE5C-6AA61ED2A977}"/>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3D-A59A-41E8-BE5C-6AA61ED2A977}"/>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3F-A59A-41E8-BE5C-6AA61ED2A977}"/>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1-A59A-41E8-BE5C-6AA61ED2A977}"/>
              </c:ext>
            </c:extLst>
          </c:dPt>
          <c:dPt>
            <c:idx val="3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43-A59A-41E8-BE5C-6AA61ED2A977}"/>
              </c:ext>
            </c:extLst>
          </c:dPt>
          <c:dPt>
            <c:idx val="3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45-A59A-41E8-BE5C-6AA61ED2A977}"/>
              </c:ext>
            </c:extLst>
          </c:dPt>
          <c:dPt>
            <c:idx val="3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47-A59A-41E8-BE5C-6AA61ED2A977}"/>
              </c:ext>
            </c:extLst>
          </c:dPt>
          <c:dPt>
            <c:idx val="3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49-A59A-41E8-BE5C-6AA61ED2A977}"/>
              </c:ext>
            </c:extLst>
          </c:dPt>
          <c:dPt>
            <c:idx val="3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4B-A59A-41E8-BE5C-6AA61ED2A977}"/>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4D-A59A-41E8-BE5C-6AA61ED2A977}"/>
              </c:ext>
            </c:extLst>
          </c:dPt>
          <c:dPt>
            <c:idx val="3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4F-A59A-41E8-BE5C-6AA61ED2A977}"/>
              </c:ext>
            </c:extLst>
          </c:dPt>
          <c:dPt>
            <c:idx val="4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51-A59A-41E8-BE5C-6AA61ED2A977}"/>
              </c:ext>
            </c:extLst>
          </c:dPt>
          <c:dPt>
            <c:idx val="4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53-A59A-41E8-BE5C-6AA61ED2A977}"/>
              </c:ext>
            </c:extLst>
          </c:dPt>
          <c:dPt>
            <c:idx val="4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55-A59A-41E8-BE5C-6AA61ED2A977}"/>
              </c:ext>
            </c:extLst>
          </c:dPt>
          <c:dPt>
            <c:idx val="4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57-A59A-41E8-BE5C-6AA61ED2A977}"/>
              </c:ext>
            </c:extLst>
          </c:dPt>
          <c:dPt>
            <c:idx val="4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59-A59A-41E8-BE5C-6AA61ED2A977}"/>
              </c:ext>
            </c:extLst>
          </c:dPt>
          <c:dPt>
            <c:idx val="4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5B-A59A-41E8-BE5C-6AA61ED2A977}"/>
              </c:ext>
            </c:extLst>
          </c:dPt>
          <c:dPt>
            <c:idx val="4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5D-A59A-41E8-BE5C-6AA61ED2A977}"/>
              </c:ext>
            </c:extLst>
          </c:dPt>
          <c:dPt>
            <c:idx val="4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5F-A59A-41E8-BE5C-6AA61ED2A977}"/>
              </c:ext>
            </c:extLst>
          </c:dPt>
          <c:dPt>
            <c:idx val="4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61-A59A-41E8-BE5C-6AA61ED2A977}"/>
              </c:ext>
            </c:extLst>
          </c:dPt>
          <c:dPt>
            <c:idx val="4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063-A59A-41E8-BE5C-6AA61ED2A977}"/>
              </c:ext>
            </c:extLst>
          </c:dPt>
          <c:dPt>
            <c:idx val="5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65-A59A-41E8-BE5C-6AA61ED2A977}"/>
              </c:ext>
            </c:extLst>
          </c:dPt>
          <c:dPt>
            <c:idx val="5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067-A59A-41E8-BE5C-6AA61ED2A977}"/>
              </c:ext>
            </c:extLst>
          </c:dPt>
          <c:dPt>
            <c:idx val="5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69-A59A-41E8-BE5C-6AA61ED2A977}"/>
              </c:ext>
            </c:extLst>
          </c:dPt>
          <c:dPt>
            <c:idx val="5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06B-A59A-41E8-BE5C-6AA61ED2A977}"/>
              </c:ext>
            </c:extLst>
          </c:dPt>
          <c:dPt>
            <c:idx val="54"/>
            <c:bubble3D val="0"/>
            <c:spPr>
              <a:solidFill>
                <a:schemeClr val="accent1"/>
              </a:solidFill>
              <a:ln w="19050">
                <a:solidFill>
                  <a:schemeClr val="lt1"/>
                </a:solidFill>
              </a:ln>
              <a:effectLst/>
            </c:spPr>
            <c:extLst>
              <c:ext xmlns:c16="http://schemas.microsoft.com/office/drawing/2014/chart" uri="{C3380CC4-5D6E-409C-BE32-E72D297353CC}">
                <c16:uniqueId val="{0000006D-A59A-41E8-BE5C-6AA61ED2A977}"/>
              </c:ext>
            </c:extLst>
          </c:dPt>
          <c:dPt>
            <c:idx val="55"/>
            <c:bubble3D val="0"/>
            <c:spPr>
              <a:solidFill>
                <a:schemeClr val="accent2"/>
              </a:solidFill>
              <a:ln w="19050">
                <a:solidFill>
                  <a:schemeClr val="lt1"/>
                </a:solidFill>
              </a:ln>
              <a:effectLst/>
            </c:spPr>
            <c:extLst>
              <c:ext xmlns:c16="http://schemas.microsoft.com/office/drawing/2014/chart" uri="{C3380CC4-5D6E-409C-BE32-E72D297353CC}">
                <c16:uniqueId val="{0000006F-A59A-41E8-BE5C-6AA61ED2A977}"/>
              </c:ext>
            </c:extLst>
          </c:dPt>
          <c:dPt>
            <c:idx val="56"/>
            <c:bubble3D val="0"/>
            <c:spPr>
              <a:solidFill>
                <a:schemeClr val="accent3"/>
              </a:solidFill>
              <a:ln w="19050">
                <a:solidFill>
                  <a:schemeClr val="lt1"/>
                </a:solidFill>
              </a:ln>
              <a:effectLst/>
            </c:spPr>
            <c:extLst>
              <c:ext xmlns:c16="http://schemas.microsoft.com/office/drawing/2014/chart" uri="{C3380CC4-5D6E-409C-BE32-E72D297353CC}">
                <c16:uniqueId val="{00000071-A59A-41E8-BE5C-6AA61ED2A977}"/>
              </c:ext>
            </c:extLst>
          </c:dPt>
          <c:dPt>
            <c:idx val="57"/>
            <c:bubble3D val="0"/>
            <c:spPr>
              <a:solidFill>
                <a:schemeClr val="accent4"/>
              </a:solidFill>
              <a:ln w="19050">
                <a:solidFill>
                  <a:schemeClr val="lt1"/>
                </a:solidFill>
              </a:ln>
              <a:effectLst/>
            </c:spPr>
            <c:extLst>
              <c:ext xmlns:c16="http://schemas.microsoft.com/office/drawing/2014/chart" uri="{C3380CC4-5D6E-409C-BE32-E72D297353CC}">
                <c16:uniqueId val="{00000073-A59A-41E8-BE5C-6AA61ED2A977}"/>
              </c:ext>
            </c:extLst>
          </c:dPt>
          <c:dPt>
            <c:idx val="58"/>
            <c:bubble3D val="0"/>
            <c:spPr>
              <a:solidFill>
                <a:schemeClr val="accent5"/>
              </a:solidFill>
              <a:ln w="19050">
                <a:solidFill>
                  <a:schemeClr val="lt1"/>
                </a:solidFill>
              </a:ln>
              <a:effectLst/>
            </c:spPr>
            <c:extLst>
              <c:ext xmlns:c16="http://schemas.microsoft.com/office/drawing/2014/chart" uri="{C3380CC4-5D6E-409C-BE32-E72D297353CC}">
                <c16:uniqueId val="{00000075-A59A-41E8-BE5C-6AA61ED2A977}"/>
              </c:ext>
            </c:extLst>
          </c:dPt>
          <c:dPt>
            <c:idx val="59"/>
            <c:bubble3D val="0"/>
            <c:spPr>
              <a:solidFill>
                <a:schemeClr val="accent6"/>
              </a:solidFill>
              <a:ln w="19050">
                <a:solidFill>
                  <a:schemeClr val="lt1"/>
                </a:solidFill>
              </a:ln>
              <a:effectLst/>
            </c:spPr>
            <c:extLst>
              <c:ext xmlns:c16="http://schemas.microsoft.com/office/drawing/2014/chart" uri="{C3380CC4-5D6E-409C-BE32-E72D297353CC}">
                <c16:uniqueId val="{00000077-A59A-41E8-BE5C-6AA61ED2A977}"/>
              </c:ext>
            </c:extLst>
          </c:dPt>
          <c:dPt>
            <c:idx val="6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79-A59A-41E8-BE5C-6AA61ED2A977}"/>
              </c:ext>
            </c:extLst>
          </c:dPt>
          <c:dPt>
            <c:idx val="61"/>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7B-A59A-41E8-BE5C-6AA61ED2A977}"/>
              </c:ext>
            </c:extLst>
          </c:dPt>
          <c:dPt>
            <c:idx val="62"/>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7D-A59A-41E8-BE5C-6AA61ED2A977}"/>
              </c:ext>
            </c:extLst>
          </c:dPt>
          <c:dPt>
            <c:idx val="63"/>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7F-A59A-41E8-BE5C-6AA61ED2A977}"/>
              </c:ext>
            </c:extLst>
          </c:dPt>
          <c:dPt>
            <c:idx val="6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81-A59A-41E8-BE5C-6AA61ED2A977}"/>
              </c:ext>
            </c:extLst>
          </c:dPt>
          <c:dPt>
            <c:idx val="6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83-A59A-41E8-BE5C-6AA61ED2A977}"/>
              </c:ext>
            </c:extLst>
          </c:dPt>
          <c:dPt>
            <c:idx val="6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85-A59A-41E8-BE5C-6AA61ED2A977}"/>
              </c:ext>
            </c:extLst>
          </c:dPt>
          <c:dPt>
            <c:idx val="67"/>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87-A59A-41E8-BE5C-6AA61ED2A977}"/>
              </c:ext>
            </c:extLst>
          </c:dPt>
          <c:dPt>
            <c:idx val="68"/>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89-A59A-41E8-BE5C-6AA61ED2A977}"/>
              </c:ext>
            </c:extLst>
          </c:dPt>
          <c:dPt>
            <c:idx val="69"/>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8B-A59A-41E8-BE5C-6AA61ED2A977}"/>
              </c:ext>
            </c:extLst>
          </c:dPt>
          <c:dPt>
            <c:idx val="70"/>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8D-A59A-41E8-BE5C-6AA61ED2A977}"/>
              </c:ext>
            </c:extLst>
          </c:dPt>
          <c:dPt>
            <c:idx val="71"/>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8F-A59A-41E8-BE5C-6AA61ED2A977}"/>
              </c:ext>
            </c:extLst>
          </c:dPt>
          <c:dPt>
            <c:idx val="72"/>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91-A59A-41E8-BE5C-6AA61ED2A977}"/>
              </c:ext>
            </c:extLst>
          </c:dPt>
          <c:dPt>
            <c:idx val="73"/>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93-A59A-41E8-BE5C-6AA61ED2A977}"/>
              </c:ext>
            </c:extLst>
          </c:dPt>
          <c:dPt>
            <c:idx val="74"/>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95-A59A-41E8-BE5C-6AA61ED2A977}"/>
              </c:ext>
            </c:extLst>
          </c:dPt>
          <c:dPt>
            <c:idx val="75"/>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97-A59A-41E8-BE5C-6AA61ED2A977}"/>
              </c:ext>
            </c:extLst>
          </c:dPt>
          <c:dPt>
            <c:idx val="76"/>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99-A59A-41E8-BE5C-6AA61ED2A977}"/>
              </c:ext>
            </c:extLst>
          </c:dPt>
          <c:dPt>
            <c:idx val="77"/>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9B-A59A-41E8-BE5C-6AA61ED2A977}"/>
              </c:ext>
            </c:extLst>
          </c:dPt>
          <c:dPt>
            <c:idx val="7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9D-A59A-41E8-BE5C-6AA61ED2A977}"/>
              </c:ext>
            </c:extLst>
          </c:dPt>
          <c:dPt>
            <c:idx val="79"/>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9F-A59A-41E8-BE5C-6AA61ED2A977}"/>
              </c:ext>
            </c:extLst>
          </c:dPt>
          <c:dPt>
            <c:idx val="8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A1-A59A-41E8-BE5C-6AA61ED2A977}"/>
              </c:ext>
            </c:extLst>
          </c:dPt>
          <c:dPt>
            <c:idx val="8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A3-A59A-41E8-BE5C-6AA61ED2A977}"/>
              </c:ext>
            </c:extLst>
          </c:dPt>
          <c:dPt>
            <c:idx val="82"/>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A5-A59A-41E8-BE5C-6AA61ED2A977}"/>
              </c:ext>
            </c:extLst>
          </c:dPt>
          <c:dPt>
            <c:idx val="8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A7-A59A-41E8-BE5C-6AA61ED2A977}"/>
              </c:ext>
            </c:extLst>
          </c:dPt>
          <c:dPt>
            <c:idx val="84"/>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A9-A59A-41E8-BE5C-6AA61ED2A977}"/>
              </c:ext>
            </c:extLst>
          </c:dPt>
          <c:dPt>
            <c:idx val="85"/>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AB-A59A-41E8-BE5C-6AA61ED2A977}"/>
              </c:ext>
            </c:extLst>
          </c:dPt>
          <c:dPt>
            <c:idx val="8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AD-A59A-41E8-BE5C-6AA61ED2A977}"/>
              </c:ext>
            </c:extLst>
          </c:dPt>
          <c:dPt>
            <c:idx val="87"/>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AF-A59A-41E8-BE5C-6AA61ED2A977}"/>
              </c:ext>
            </c:extLst>
          </c:dPt>
          <c:dPt>
            <c:idx val="8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B1-A59A-41E8-BE5C-6AA61ED2A977}"/>
              </c:ext>
            </c:extLst>
          </c:dPt>
          <c:dPt>
            <c:idx val="89"/>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B3-A59A-41E8-BE5C-6AA61ED2A977}"/>
              </c:ext>
            </c:extLst>
          </c:dPt>
          <c:dPt>
            <c:idx val="90"/>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B5-A59A-41E8-BE5C-6AA61ED2A977}"/>
              </c:ext>
            </c:extLst>
          </c:dPt>
          <c:dPt>
            <c:idx val="91"/>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B7-A59A-41E8-BE5C-6AA61ED2A977}"/>
              </c:ext>
            </c:extLst>
          </c:dPt>
          <c:dPt>
            <c:idx val="92"/>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B9-A59A-41E8-BE5C-6AA61ED2A977}"/>
              </c:ext>
            </c:extLst>
          </c:dPt>
          <c:dPt>
            <c:idx val="93"/>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BB-A59A-41E8-BE5C-6AA61ED2A977}"/>
              </c:ext>
            </c:extLst>
          </c:dPt>
          <c:dPt>
            <c:idx val="94"/>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BD-A59A-41E8-BE5C-6AA61ED2A977}"/>
              </c:ext>
            </c:extLst>
          </c:dPt>
          <c:dPt>
            <c:idx val="95"/>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BF-A59A-41E8-BE5C-6AA61ED2A977}"/>
              </c:ext>
            </c:extLst>
          </c:dPt>
          <c:dPt>
            <c:idx val="96"/>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C1-A59A-41E8-BE5C-6AA61ED2A977}"/>
              </c:ext>
            </c:extLst>
          </c:dPt>
          <c:dPt>
            <c:idx val="97"/>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C3-A59A-41E8-BE5C-6AA61ED2A977}"/>
              </c:ext>
            </c:extLst>
          </c:dPt>
          <c:dPt>
            <c:idx val="98"/>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C5-A59A-41E8-BE5C-6AA61ED2A977}"/>
              </c:ext>
            </c:extLst>
          </c:dPt>
          <c:dPt>
            <c:idx val="99"/>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C7-A59A-41E8-BE5C-6AA61ED2A977}"/>
              </c:ext>
            </c:extLst>
          </c:dPt>
          <c:dPt>
            <c:idx val="100"/>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C9-A59A-41E8-BE5C-6AA61ED2A977}"/>
              </c:ext>
            </c:extLst>
          </c:dPt>
          <c:dPt>
            <c:idx val="101"/>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CB-A59A-41E8-BE5C-6AA61ED2A977}"/>
              </c:ext>
            </c:extLst>
          </c:dPt>
          <c:dPt>
            <c:idx val="102"/>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CD-A59A-41E8-BE5C-6AA61ED2A977}"/>
              </c:ext>
            </c:extLst>
          </c:dPt>
          <c:dPt>
            <c:idx val="103"/>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0CF-A59A-41E8-BE5C-6AA61ED2A977}"/>
              </c:ext>
            </c:extLst>
          </c:dPt>
          <c:dPt>
            <c:idx val="104"/>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D1-A59A-41E8-BE5C-6AA61ED2A977}"/>
              </c:ext>
            </c:extLst>
          </c:dPt>
          <c:dPt>
            <c:idx val="105"/>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0D3-A59A-41E8-BE5C-6AA61ED2A977}"/>
              </c:ext>
            </c:extLst>
          </c:dPt>
          <c:dPt>
            <c:idx val="106"/>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D5-A59A-41E8-BE5C-6AA61ED2A977}"/>
              </c:ext>
            </c:extLst>
          </c:dPt>
          <c:dPt>
            <c:idx val="107"/>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0D7-A59A-41E8-BE5C-6AA61ED2A977}"/>
              </c:ext>
            </c:extLst>
          </c:dPt>
          <c:dPt>
            <c:idx val="108"/>
            <c:bubble3D val="0"/>
            <c:spPr>
              <a:solidFill>
                <a:schemeClr val="accent1"/>
              </a:solidFill>
              <a:ln w="19050">
                <a:solidFill>
                  <a:schemeClr val="lt1"/>
                </a:solidFill>
              </a:ln>
              <a:effectLst/>
            </c:spPr>
            <c:extLst>
              <c:ext xmlns:c16="http://schemas.microsoft.com/office/drawing/2014/chart" uri="{C3380CC4-5D6E-409C-BE32-E72D297353CC}">
                <c16:uniqueId val="{000000D9-A59A-41E8-BE5C-6AA61ED2A977}"/>
              </c:ext>
            </c:extLst>
          </c:dPt>
          <c:dPt>
            <c:idx val="109"/>
            <c:bubble3D val="0"/>
            <c:spPr>
              <a:solidFill>
                <a:schemeClr val="accent2"/>
              </a:solidFill>
              <a:ln w="19050">
                <a:solidFill>
                  <a:schemeClr val="lt1"/>
                </a:solidFill>
              </a:ln>
              <a:effectLst/>
            </c:spPr>
            <c:extLst>
              <c:ext xmlns:c16="http://schemas.microsoft.com/office/drawing/2014/chart" uri="{C3380CC4-5D6E-409C-BE32-E72D297353CC}">
                <c16:uniqueId val="{000000DB-A59A-41E8-BE5C-6AA61ED2A977}"/>
              </c:ext>
            </c:extLst>
          </c:dPt>
          <c:dPt>
            <c:idx val="110"/>
            <c:bubble3D val="0"/>
            <c:spPr>
              <a:solidFill>
                <a:schemeClr val="accent3"/>
              </a:solidFill>
              <a:ln w="19050">
                <a:solidFill>
                  <a:schemeClr val="lt1"/>
                </a:solidFill>
              </a:ln>
              <a:effectLst/>
            </c:spPr>
            <c:extLst>
              <c:ext xmlns:c16="http://schemas.microsoft.com/office/drawing/2014/chart" uri="{C3380CC4-5D6E-409C-BE32-E72D297353CC}">
                <c16:uniqueId val="{000000DD-A59A-41E8-BE5C-6AA61ED2A977}"/>
              </c:ext>
            </c:extLst>
          </c:dPt>
          <c:dPt>
            <c:idx val="111"/>
            <c:bubble3D val="0"/>
            <c:spPr>
              <a:solidFill>
                <a:schemeClr val="accent4"/>
              </a:solidFill>
              <a:ln w="19050">
                <a:solidFill>
                  <a:schemeClr val="lt1"/>
                </a:solidFill>
              </a:ln>
              <a:effectLst/>
            </c:spPr>
            <c:extLst>
              <c:ext xmlns:c16="http://schemas.microsoft.com/office/drawing/2014/chart" uri="{C3380CC4-5D6E-409C-BE32-E72D297353CC}">
                <c16:uniqueId val="{000000DF-A59A-41E8-BE5C-6AA61ED2A977}"/>
              </c:ext>
            </c:extLst>
          </c:dPt>
          <c:dPt>
            <c:idx val="112"/>
            <c:bubble3D val="0"/>
            <c:spPr>
              <a:solidFill>
                <a:schemeClr val="accent5"/>
              </a:solidFill>
              <a:ln w="19050">
                <a:solidFill>
                  <a:schemeClr val="lt1"/>
                </a:solidFill>
              </a:ln>
              <a:effectLst/>
            </c:spPr>
            <c:extLst>
              <c:ext xmlns:c16="http://schemas.microsoft.com/office/drawing/2014/chart" uri="{C3380CC4-5D6E-409C-BE32-E72D297353CC}">
                <c16:uniqueId val="{000000E1-A59A-41E8-BE5C-6AA61ED2A977}"/>
              </c:ext>
            </c:extLst>
          </c:dPt>
          <c:dPt>
            <c:idx val="113"/>
            <c:bubble3D val="0"/>
            <c:spPr>
              <a:solidFill>
                <a:schemeClr val="accent6"/>
              </a:solidFill>
              <a:ln w="19050">
                <a:solidFill>
                  <a:schemeClr val="lt1"/>
                </a:solidFill>
              </a:ln>
              <a:effectLst/>
            </c:spPr>
            <c:extLst>
              <c:ext xmlns:c16="http://schemas.microsoft.com/office/drawing/2014/chart" uri="{C3380CC4-5D6E-409C-BE32-E72D297353CC}">
                <c16:uniqueId val="{000000E3-A59A-41E8-BE5C-6AA61ED2A977}"/>
              </c:ext>
            </c:extLst>
          </c:dPt>
          <c:dPt>
            <c:idx val="114"/>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E5-A59A-41E8-BE5C-6AA61ED2A977}"/>
              </c:ext>
            </c:extLst>
          </c:dPt>
          <c:dPt>
            <c:idx val="115"/>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E7-A59A-41E8-BE5C-6AA61ED2A977}"/>
              </c:ext>
            </c:extLst>
          </c:dPt>
          <c:dPt>
            <c:idx val="116"/>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E9-A59A-41E8-BE5C-6AA61ED2A977}"/>
              </c:ext>
            </c:extLst>
          </c:dPt>
          <c:dPt>
            <c:idx val="117"/>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EB-A59A-41E8-BE5C-6AA61ED2A977}"/>
              </c:ext>
            </c:extLst>
          </c:dPt>
          <c:dPt>
            <c:idx val="118"/>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ED-A59A-41E8-BE5C-6AA61ED2A977}"/>
              </c:ext>
            </c:extLst>
          </c:dPt>
          <c:dPt>
            <c:idx val="119"/>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EF-A59A-41E8-BE5C-6AA61ED2A977}"/>
              </c:ext>
            </c:extLst>
          </c:dPt>
          <c:dPt>
            <c:idx val="120"/>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F1-A59A-41E8-BE5C-6AA61ED2A977}"/>
              </c:ext>
            </c:extLst>
          </c:dPt>
          <c:dPt>
            <c:idx val="121"/>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F3-A59A-41E8-BE5C-6AA61ED2A977}"/>
              </c:ext>
            </c:extLst>
          </c:dPt>
          <c:dPt>
            <c:idx val="122"/>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F5-A59A-41E8-BE5C-6AA61ED2A977}"/>
              </c:ext>
            </c:extLst>
          </c:dPt>
          <c:dPt>
            <c:idx val="123"/>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F7-A59A-41E8-BE5C-6AA61ED2A977}"/>
              </c:ext>
            </c:extLst>
          </c:dPt>
          <c:dPt>
            <c:idx val="124"/>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F9-A59A-41E8-BE5C-6AA61ED2A977}"/>
              </c:ext>
            </c:extLst>
          </c:dPt>
          <c:dPt>
            <c:idx val="125"/>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FB-A59A-41E8-BE5C-6AA61ED2A977}"/>
              </c:ext>
            </c:extLst>
          </c:dPt>
          <c:dPt>
            <c:idx val="126"/>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FD-A59A-41E8-BE5C-6AA61ED2A977}"/>
              </c:ext>
            </c:extLst>
          </c:dPt>
          <c:dPt>
            <c:idx val="127"/>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FF-A59A-41E8-BE5C-6AA61ED2A977}"/>
              </c:ext>
            </c:extLst>
          </c:dPt>
          <c:dPt>
            <c:idx val="128"/>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101-A59A-41E8-BE5C-6AA61ED2A977}"/>
              </c:ext>
            </c:extLst>
          </c:dPt>
          <c:dPt>
            <c:idx val="129"/>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103-A59A-41E8-BE5C-6AA61ED2A977}"/>
              </c:ext>
            </c:extLst>
          </c:dPt>
          <c:dPt>
            <c:idx val="130"/>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105-A59A-41E8-BE5C-6AA61ED2A977}"/>
              </c:ext>
            </c:extLst>
          </c:dPt>
          <c:dPt>
            <c:idx val="13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107-A59A-41E8-BE5C-6AA61ED2A977}"/>
              </c:ext>
            </c:extLst>
          </c:dPt>
          <c:dPt>
            <c:idx val="13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109-A59A-41E8-BE5C-6AA61ED2A977}"/>
              </c:ext>
            </c:extLst>
          </c:dPt>
          <c:dPt>
            <c:idx val="13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10B-A59A-41E8-BE5C-6AA61ED2A977}"/>
              </c:ext>
            </c:extLst>
          </c:dPt>
          <c:dPt>
            <c:idx val="134"/>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10D-A59A-41E8-BE5C-6AA61ED2A977}"/>
              </c:ext>
            </c:extLst>
          </c:dPt>
          <c:dPt>
            <c:idx val="13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10F-A59A-41E8-BE5C-6AA61ED2A977}"/>
              </c:ext>
            </c:extLst>
          </c:dPt>
          <c:dPt>
            <c:idx val="136"/>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111-A59A-41E8-BE5C-6AA61ED2A977}"/>
              </c:ext>
            </c:extLst>
          </c:dPt>
          <c:dPt>
            <c:idx val="137"/>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113-A59A-41E8-BE5C-6AA61ED2A977}"/>
              </c:ext>
            </c:extLst>
          </c:dPt>
          <c:dPt>
            <c:idx val="138"/>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115-A59A-41E8-BE5C-6AA61ED2A977}"/>
              </c:ext>
            </c:extLst>
          </c:dPt>
          <c:dPt>
            <c:idx val="139"/>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117-A59A-41E8-BE5C-6AA61ED2A977}"/>
              </c:ext>
            </c:extLst>
          </c:dPt>
          <c:dPt>
            <c:idx val="14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119-A59A-41E8-BE5C-6AA61ED2A977}"/>
              </c:ext>
            </c:extLst>
          </c:dPt>
          <c:dPt>
            <c:idx val="141"/>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11B-A59A-41E8-BE5C-6AA61ED2A977}"/>
              </c:ext>
            </c:extLst>
          </c:dPt>
          <c:dPt>
            <c:idx val="142"/>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11D-A59A-41E8-BE5C-6AA61ED2A977}"/>
              </c:ext>
            </c:extLst>
          </c:dPt>
          <c:dPt>
            <c:idx val="143"/>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11F-A59A-41E8-BE5C-6AA61ED2A977}"/>
              </c:ext>
            </c:extLst>
          </c:dPt>
          <c:dPt>
            <c:idx val="144"/>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121-A59A-41E8-BE5C-6AA61ED2A977}"/>
              </c:ext>
            </c:extLst>
          </c:dPt>
          <c:dPt>
            <c:idx val="145"/>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123-A59A-41E8-BE5C-6AA61ED2A977}"/>
              </c:ext>
            </c:extLst>
          </c:dPt>
          <c:dPt>
            <c:idx val="146"/>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125-A59A-41E8-BE5C-6AA61ED2A977}"/>
              </c:ext>
            </c:extLst>
          </c:dPt>
          <c:dPt>
            <c:idx val="147"/>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127-A59A-41E8-BE5C-6AA61ED2A977}"/>
              </c:ext>
            </c:extLst>
          </c:dPt>
          <c:dPt>
            <c:idx val="148"/>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129-A59A-41E8-BE5C-6AA61ED2A977}"/>
              </c:ext>
            </c:extLst>
          </c:dPt>
          <c:dPt>
            <c:idx val="149"/>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12B-A59A-41E8-BE5C-6AA61ED2A977}"/>
              </c:ext>
            </c:extLst>
          </c:dPt>
          <c:dPt>
            <c:idx val="150"/>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12D-A59A-41E8-BE5C-6AA61ED2A977}"/>
              </c:ext>
            </c:extLst>
          </c:dPt>
          <c:dPt>
            <c:idx val="151"/>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12F-A59A-41E8-BE5C-6AA61ED2A977}"/>
              </c:ext>
            </c:extLst>
          </c:dPt>
          <c:dPt>
            <c:idx val="152"/>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131-A59A-41E8-BE5C-6AA61ED2A977}"/>
              </c:ext>
            </c:extLst>
          </c:dPt>
          <c:dPt>
            <c:idx val="153"/>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133-A59A-41E8-BE5C-6AA61ED2A977}"/>
              </c:ext>
            </c:extLst>
          </c:dPt>
          <c:dPt>
            <c:idx val="154"/>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135-A59A-41E8-BE5C-6AA61ED2A977}"/>
              </c:ext>
            </c:extLst>
          </c:dPt>
          <c:dPt>
            <c:idx val="155"/>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137-A59A-41E8-BE5C-6AA61ED2A977}"/>
              </c:ext>
            </c:extLst>
          </c:dPt>
          <c:dPt>
            <c:idx val="156"/>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139-A59A-41E8-BE5C-6AA61ED2A977}"/>
              </c:ext>
            </c:extLst>
          </c:dPt>
          <c:dPt>
            <c:idx val="157"/>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13B-A59A-41E8-BE5C-6AA61ED2A977}"/>
              </c:ext>
            </c:extLst>
          </c:dPt>
          <c:dPt>
            <c:idx val="158"/>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13D-A59A-41E8-BE5C-6AA61ED2A977}"/>
              </c:ext>
            </c:extLst>
          </c:dPt>
          <c:dPt>
            <c:idx val="159"/>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13F-A59A-41E8-BE5C-6AA61ED2A977}"/>
              </c:ext>
            </c:extLst>
          </c:dPt>
          <c:dPt>
            <c:idx val="160"/>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141-A59A-41E8-BE5C-6AA61ED2A977}"/>
              </c:ext>
            </c:extLst>
          </c:dPt>
          <c:dPt>
            <c:idx val="161"/>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143-A59A-41E8-BE5C-6AA61ED2A977}"/>
              </c:ext>
            </c:extLst>
          </c:dPt>
          <c:dPt>
            <c:idx val="162"/>
            <c:bubble3D val="0"/>
            <c:spPr>
              <a:solidFill>
                <a:schemeClr val="accent1"/>
              </a:solidFill>
              <a:ln w="19050">
                <a:solidFill>
                  <a:schemeClr val="lt1"/>
                </a:solidFill>
              </a:ln>
              <a:effectLst/>
            </c:spPr>
            <c:extLst>
              <c:ext xmlns:c16="http://schemas.microsoft.com/office/drawing/2014/chart" uri="{C3380CC4-5D6E-409C-BE32-E72D297353CC}">
                <c16:uniqueId val="{00000145-A59A-41E8-BE5C-6AA61ED2A977}"/>
              </c:ext>
            </c:extLst>
          </c:dPt>
          <c:dPt>
            <c:idx val="163"/>
            <c:bubble3D val="0"/>
            <c:spPr>
              <a:solidFill>
                <a:schemeClr val="accent2"/>
              </a:solidFill>
              <a:ln w="19050">
                <a:solidFill>
                  <a:schemeClr val="lt1"/>
                </a:solidFill>
              </a:ln>
              <a:effectLst/>
            </c:spPr>
            <c:extLst>
              <c:ext xmlns:c16="http://schemas.microsoft.com/office/drawing/2014/chart" uri="{C3380CC4-5D6E-409C-BE32-E72D297353CC}">
                <c16:uniqueId val="{00000147-A59A-41E8-BE5C-6AA61ED2A977}"/>
              </c:ext>
            </c:extLst>
          </c:dPt>
          <c:dPt>
            <c:idx val="164"/>
            <c:bubble3D val="0"/>
            <c:spPr>
              <a:solidFill>
                <a:schemeClr val="accent3"/>
              </a:solidFill>
              <a:ln w="19050">
                <a:solidFill>
                  <a:schemeClr val="lt1"/>
                </a:solidFill>
              </a:ln>
              <a:effectLst/>
            </c:spPr>
            <c:extLst>
              <c:ext xmlns:c16="http://schemas.microsoft.com/office/drawing/2014/chart" uri="{C3380CC4-5D6E-409C-BE32-E72D297353CC}">
                <c16:uniqueId val="{00000149-A59A-41E8-BE5C-6AA61ED2A977}"/>
              </c:ext>
            </c:extLst>
          </c:dPt>
          <c:dPt>
            <c:idx val="165"/>
            <c:bubble3D val="0"/>
            <c:spPr>
              <a:solidFill>
                <a:schemeClr val="accent4"/>
              </a:solidFill>
              <a:ln w="19050">
                <a:solidFill>
                  <a:schemeClr val="lt1"/>
                </a:solidFill>
              </a:ln>
              <a:effectLst/>
            </c:spPr>
            <c:extLst>
              <c:ext xmlns:c16="http://schemas.microsoft.com/office/drawing/2014/chart" uri="{C3380CC4-5D6E-409C-BE32-E72D297353CC}">
                <c16:uniqueId val="{0000014B-A59A-41E8-BE5C-6AA61ED2A977}"/>
              </c:ext>
            </c:extLst>
          </c:dPt>
          <c:dPt>
            <c:idx val="166"/>
            <c:bubble3D val="0"/>
            <c:spPr>
              <a:solidFill>
                <a:schemeClr val="accent5"/>
              </a:solidFill>
              <a:ln w="19050">
                <a:solidFill>
                  <a:schemeClr val="lt1"/>
                </a:solidFill>
              </a:ln>
              <a:effectLst/>
            </c:spPr>
            <c:extLst>
              <c:ext xmlns:c16="http://schemas.microsoft.com/office/drawing/2014/chart" uri="{C3380CC4-5D6E-409C-BE32-E72D297353CC}">
                <c16:uniqueId val="{0000014D-A59A-41E8-BE5C-6AA61ED2A977}"/>
              </c:ext>
            </c:extLst>
          </c:dPt>
          <c:dPt>
            <c:idx val="167"/>
            <c:bubble3D val="0"/>
            <c:spPr>
              <a:solidFill>
                <a:schemeClr val="accent6"/>
              </a:solidFill>
              <a:ln w="19050">
                <a:solidFill>
                  <a:schemeClr val="lt1"/>
                </a:solidFill>
              </a:ln>
              <a:effectLst/>
            </c:spPr>
            <c:extLst>
              <c:ext xmlns:c16="http://schemas.microsoft.com/office/drawing/2014/chart" uri="{C3380CC4-5D6E-409C-BE32-E72D297353CC}">
                <c16:uniqueId val="{0000014F-A59A-41E8-BE5C-6AA61ED2A977}"/>
              </c:ext>
            </c:extLst>
          </c:dPt>
          <c:dPt>
            <c:idx val="168"/>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51-A59A-41E8-BE5C-6AA61ED2A977}"/>
              </c:ext>
            </c:extLst>
          </c:dPt>
          <c:dPt>
            <c:idx val="169"/>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53-A59A-41E8-BE5C-6AA61ED2A977}"/>
              </c:ext>
            </c:extLst>
          </c:dPt>
          <c:dPt>
            <c:idx val="170"/>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55-A59A-41E8-BE5C-6AA61ED2A977}"/>
              </c:ext>
            </c:extLst>
          </c:dPt>
          <c:dPt>
            <c:idx val="171"/>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57-A59A-41E8-BE5C-6AA61ED2A977}"/>
              </c:ext>
            </c:extLst>
          </c:dPt>
          <c:dPt>
            <c:idx val="172"/>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59-A59A-41E8-BE5C-6AA61ED2A977}"/>
              </c:ext>
            </c:extLst>
          </c:dPt>
          <c:dPt>
            <c:idx val="17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15B-A59A-41E8-BE5C-6AA61ED2A977}"/>
              </c:ext>
            </c:extLst>
          </c:dPt>
          <c:dPt>
            <c:idx val="174"/>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15D-A59A-41E8-BE5C-6AA61ED2A977}"/>
              </c:ext>
            </c:extLst>
          </c:dPt>
          <c:dPt>
            <c:idx val="175"/>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15F-A59A-41E8-BE5C-6AA61ED2A977}"/>
              </c:ext>
            </c:extLst>
          </c:dPt>
          <c:dPt>
            <c:idx val="176"/>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61-A59A-41E8-BE5C-6AA61ED2A977}"/>
              </c:ext>
            </c:extLst>
          </c:dPt>
          <c:dPt>
            <c:idx val="17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163-A59A-41E8-BE5C-6AA61ED2A977}"/>
              </c:ext>
            </c:extLst>
          </c:dPt>
          <c:dPt>
            <c:idx val="17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165-A59A-41E8-BE5C-6AA61ED2A977}"/>
              </c:ext>
            </c:extLst>
          </c:dPt>
          <c:dPt>
            <c:idx val="179"/>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167-A59A-41E8-BE5C-6AA61ED2A977}"/>
              </c:ext>
            </c:extLst>
          </c:dPt>
          <c:dPt>
            <c:idx val="180"/>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169-A59A-41E8-BE5C-6AA61ED2A977}"/>
              </c:ext>
            </c:extLst>
          </c:dPt>
          <c:dPt>
            <c:idx val="181"/>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16B-A59A-41E8-BE5C-6AA61ED2A977}"/>
              </c:ext>
            </c:extLst>
          </c:dPt>
          <c:dPt>
            <c:idx val="182"/>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16D-A59A-41E8-BE5C-6AA61ED2A977}"/>
              </c:ext>
            </c:extLst>
          </c:dPt>
          <c:dPt>
            <c:idx val="183"/>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16F-A59A-41E8-BE5C-6AA61ED2A977}"/>
              </c:ext>
            </c:extLst>
          </c:dPt>
          <c:dPt>
            <c:idx val="184"/>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171-A59A-41E8-BE5C-6AA61ED2A977}"/>
              </c:ext>
            </c:extLst>
          </c:dPt>
          <c:dPt>
            <c:idx val="185"/>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173-A59A-41E8-BE5C-6AA61ED2A977}"/>
              </c:ext>
            </c:extLst>
          </c:dPt>
          <c:dPt>
            <c:idx val="18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175-A59A-41E8-BE5C-6AA61ED2A977}"/>
              </c:ext>
            </c:extLst>
          </c:dPt>
          <c:dPt>
            <c:idx val="187"/>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177-A59A-41E8-BE5C-6AA61ED2A977}"/>
              </c:ext>
            </c:extLst>
          </c:dPt>
          <c:dPt>
            <c:idx val="188"/>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179-A59A-41E8-BE5C-6AA61ED2A977}"/>
              </c:ext>
            </c:extLst>
          </c:dPt>
          <c:dPt>
            <c:idx val="18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17B-A59A-41E8-BE5C-6AA61ED2A977}"/>
              </c:ext>
            </c:extLst>
          </c:dPt>
          <c:dPt>
            <c:idx val="190"/>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17D-A59A-41E8-BE5C-6AA61ED2A977}"/>
              </c:ext>
            </c:extLst>
          </c:dPt>
          <c:dPt>
            <c:idx val="19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17F-A59A-41E8-BE5C-6AA61ED2A977}"/>
              </c:ext>
            </c:extLst>
          </c:dPt>
          <c:dPt>
            <c:idx val="19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181-A59A-41E8-BE5C-6AA61ED2A977}"/>
              </c:ext>
            </c:extLst>
          </c:dPt>
          <c:dPt>
            <c:idx val="193"/>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183-A59A-41E8-BE5C-6AA61ED2A977}"/>
              </c:ext>
            </c:extLst>
          </c:dPt>
          <c:dPt>
            <c:idx val="194"/>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185-A59A-41E8-BE5C-6AA61ED2A977}"/>
              </c:ext>
            </c:extLst>
          </c:dPt>
          <c:dPt>
            <c:idx val="19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187-A59A-41E8-BE5C-6AA61ED2A977}"/>
              </c:ext>
            </c:extLst>
          </c:dPt>
          <c:dPt>
            <c:idx val="196"/>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189-A59A-41E8-BE5C-6AA61ED2A977}"/>
              </c:ext>
            </c:extLst>
          </c:dPt>
          <c:dPt>
            <c:idx val="197"/>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18B-A59A-41E8-BE5C-6AA61ED2A977}"/>
              </c:ext>
            </c:extLst>
          </c:dPt>
          <c:dPt>
            <c:idx val="198"/>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18D-A59A-41E8-BE5C-6AA61ED2A977}"/>
              </c:ext>
            </c:extLst>
          </c:dPt>
          <c:dPt>
            <c:idx val="199"/>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18F-A59A-41E8-BE5C-6AA61ED2A977}"/>
              </c:ext>
            </c:extLst>
          </c:dPt>
          <c:dPt>
            <c:idx val="200"/>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191-A59A-41E8-BE5C-6AA61ED2A977}"/>
              </c:ext>
            </c:extLst>
          </c:dPt>
          <c:dPt>
            <c:idx val="201"/>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193-A59A-41E8-BE5C-6AA61ED2A977}"/>
              </c:ext>
            </c:extLst>
          </c:dPt>
          <c:dPt>
            <c:idx val="202"/>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195-A59A-41E8-BE5C-6AA61ED2A977}"/>
              </c:ext>
            </c:extLst>
          </c:dPt>
          <c:dPt>
            <c:idx val="203"/>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197-A59A-41E8-BE5C-6AA61ED2A977}"/>
              </c:ext>
            </c:extLst>
          </c:dPt>
          <c:dPt>
            <c:idx val="204"/>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199-A59A-41E8-BE5C-6AA61ED2A977}"/>
              </c:ext>
            </c:extLst>
          </c:dPt>
          <c:dPt>
            <c:idx val="205"/>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19B-A59A-41E8-BE5C-6AA61ED2A977}"/>
              </c:ext>
            </c:extLst>
          </c:dPt>
          <c:dPt>
            <c:idx val="206"/>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19D-A59A-41E8-BE5C-6AA61ED2A977}"/>
              </c:ext>
            </c:extLst>
          </c:dPt>
          <c:dPt>
            <c:idx val="207"/>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19F-A59A-41E8-BE5C-6AA61ED2A977}"/>
              </c:ext>
            </c:extLst>
          </c:dPt>
          <c:dPt>
            <c:idx val="208"/>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1A1-A59A-41E8-BE5C-6AA61ED2A977}"/>
              </c:ext>
            </c:extLst>
          </c:dPt>
          <c:dPt>
            <c:idx val="209"/>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1A3-A59A-41E8-BE5C-6AA61ED2A977}"/>
              </c:ext>
            </c:extLst>
          </c:dPt>
          <c:dPt>
            <c:idx val="210"/>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1A5-A59A-41E8-BE5C-6AA61ED2A977}"/>
              </c:ext>
            </c:extLst>
          </c:dPt>
          <c:dPt>
            <c:idx val="211"/>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1A7-A59A-41E8-BE5C-6AA61ED2A977}"/>
              </c:ext>
            </c:extLst>
          </c:dPt>
          <c:dPt>
            <c:idx val="212"/>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1A9-A59A-41E8-BE5C-6AA61ED2A977}"/>
              </c:ext>
            </c:extLst>
          </c:dPt>
          <c:dPt>
            <c:idx val="213"/>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1AB-A59A-41E8-BE5C-6AA61ED2A977}"/>
              </c:ext>
            </c:extLst>
          </c:dPt>
          <c:dPt>
            <c:idx val="214"/>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1AD-A59A-41E8-BE5C-6AA61ED2A977}"/>
              </c:ext>
            </c:extLst>
          </c:dPt>
          <c:dPt>
            <c:idx val="215"/>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1AF-A59A-41E8-BE5C-6AA61ED2A977}"/>
              </c:ext>
            </c:extLst>
          </c:dPt>
          <c:dPt>
            <c:idx val="216"/>
            <c:bubble3D val="0"/>
            <c:spPr>
              <a:solidFill>
                <a:schemeClr val="accent1"/>
              </a:solidFill>
              <a:ln w="19050">
                <a:solidFill>
                  <a:schemeClr val="lt1"/>
                </a:solidFill>
              </a:ln>
              <a:effectLst/>
            </c:spPr>
            <c:extLst>
              <c:ext xmlns:c16="http://schemas.microsoft.com/office/drawing/2014/chart" uri="{C3380CC4-5D6E-409C-BE32-E72D297353CC}">
                <c16:uniqueId val="{000001B1-A59A-41E8-BE5C-6AA61ED2A977}"/>
              </c:ext>
            </c:extLst>
          </c:dPt>
          <c:dPt>
            <c:idx val="217"/>
            <c:bubble3D val="0"/>
            <c:spPr>
              <a:solidFill>
                <a:schemeClr val="accent2"/>
              </a:solidFill>
              <a:ln w="19050">
                <a:solidFill>
                  <a:schemeClr val="lt1"/>
                </a:solidFill>
              </a:ln>
              <a:effectLst/>
            </c:spPr>
            <c:extLst>
              <c:ext xmlns:c16="http://schemas.microsoft.com/office/drawing/2014/chart" uri="{C3380CC4-5D6E-409C-BE32-E72D297353CC}">
                <c16:uniqueId val="{000001B3-A59A-41E8-BE5C-6AA61ED2A977}"/>
              </c:ext>
            </c:extLst>
          </c:dPt>
          <c:dPt>
            <c:idx val="218"/>
            <c:bubble3D val="0"/>
            <c:spPr>
              <a:solidFill>
                <a:schemeClr val="accent3"/>
              </a:solidFill>
              <a:ln w="19050">
                <a:solidFill>
                  <a:schemeClr val="lt1"/>
                </a:solidFill>
              </a:ln>
              <a:effectLst/>
            </c:spPr>
            <c:extLst>
              <c:ext xmlns:c16="http://schemas.microsoft.com/office/drawing/2014/chart" uri="{C3380CC4-5D6E-409C-BE32-E72D297353CC}">
                <c16:uniqueId val="{000001B5-A59A-41E8-BE5C-6AA61ED2A977}"/>
              </c:ext>
            </c:extLst>
          </c:dPt>
          <c:dPt>
            <c:idx val="219"/>
            <c:bubble3D val="0"/>
            <c:spPr>
              <a:solidFill>
                <a:schemeClr val="accent4"/>
              </a:solidFill>
              <a:ln w="19050">
                <a:solidFill>
                  <a:schemeClr val="lt1"/>
                </a:solidFill>
              </a:ln>
              <a:effectLst/>
            </c:spPr>
            <c:extLst>
              <c:ext xmlns:c16="http://schemas.microsoft.com/office/drawing/2014/chart" uri="{C3380CC4-5D6E-409C-BE32-E72D297353CC}">
                <c16:uniqueId val="{000001B7-A59A-41E8-BE5C-6AA61ED2A977}"/>
              </c:ext>
            </c:extLst>
          </c:dPt>
          <c:dPt>
            <c:idx val="220"/>
            <c:bubble3D val="0"/>
            <c:spPr>
              <a:solidFill>
                <a:schemeClr val="accent5"/>
              </a:solidFill>
              <a:ln w="19050">
                <a:solidFill>
                  <a:schemeClr val="lt1"/>
                </a:solidFill>
              </a:ln>
              <a:effectLst/>
            </c:spPr>
            <c:extLst>
              <c:ext xmlns:c16="http://schemas.microsoft.com/office/drawing/2014/chart" uri="{C3380CC4-5D6E-409C-BE32-E72D297353CC}">
                <c16:uniqueId val="{000001B9-A59A-41E8-BE5C-6AA61ED2A977}"/>
              </c:ext>
            </c:extLst>
          </c:dPt>
          <c:dPt>
            <c:idx val="221"/>
            <c:bubble3D val="0"/>
            <c:spPr>
              <a:solidFill>
                <a:schemeClr val="accent6"/>
              </a:solidFill>
              <a:ln w="19050">
                <a:solidFill>
                  <a:schemeClr val="lt1"/>
                </a:solidFill>
              </a:ln>
              <a:effectLst/>
            </c:spPr>
            <c:extLst>
              <c:ext xmlns:c16="http://schemas.microsoft.com/office/drawing/2014/chart" uri="{C3380CC4-5D6E-409C-BE32-E72D297353CC}">
                <c16:uniqueId val="{000001BB-A59A-41E8-BE5C-6AA61ED2A977}"/>
              </c:ext>
            </c:extLst>
          </c:dPt>
          <c:dPt>
            <c:idx val="222"/>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BD-A59A-41E8-BE5C-6AA61ED2A977}"/>
              </c:ext>
            </c:extLst>
          </c:dPt>
          <c:dPt>
            <c:idx val="22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1BF-A59A-41E8-BE5C-6AA61ED2A977}"/>
              </c:ext>
            </c:extLst>
          </c:dPt>
          <c:dPt>
            <c:idx val="22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1C1-A59A-41E8-BE5C-6AA61ED2A977}"/>
              </c:ext>
            </c:extLst>
          </c:dPt>
          <c:dPt>
            <c:idx val="22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1C3-A59A-41E8-BE5C-6AA61ED2A977}"/>
              </c:ext>
            </c:extLst>
          </c:dPt>
          <c:dPt>
            <c:idx val="226"/>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1C5-A59A-41E8-BE5C-6AA61ED2A977}"/>
              </c:ext>
            </c:extLst>
          </c:dPt>
          <c:dPt>
            <c:idx val="227"/>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1C7-A59A-41E8-BE5C-6AA61ED2A977}"/>
              </c:ext>
            </c:extLst>
          </c:dPt>
          <c:dPt>
            <c:idx val="228"/>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1C9-A59A-41E8-BE5C-6AA61ED2A977}"/>
              </c:ext>
            </c:extLst>
          </c:dPt>
          <c:dPt>
            <c:idx val="229"/>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1CB-A59A-41E8-BE5C-6AA61ED2A977}"/>
              </c:ext>
            </c:extLst>
          </c:dPt>
          <c:dPt>
            <c:idx val="230"/>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1CD-A59A-41E8-BE5C-6AA61ED2A977}"/>
              </c:ext>
            </c:extLst>
          </c:dPt>
          <c:dPt>
            <c:idx val="231"/>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1CF-A59A-41E8-BE5C-6AA61ED2A977}"/>
              </c:ext>
            </c:extLst>
          </c:dPt>
          <c:dPt>
            <c:idx val="232"/>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1D1-A59A-41E8-BE5C-6AA61ED2A977}"/>
              </c:ext>
            </c:extLst>
          </c:dPt>
          <c:dPt>
            <c:idx val="233"/>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1D3-A59A-41E8-BE5C-6AA61ED2A977}"/>
              </c:ext>
            </c:extLst>
          </c:dPt>
          <c:dPt>
            <c:idx val="234"/>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1D5-A59A-41E8-BE5C-6AA61ED2A977}"/>
              </c:ext>
            </c:extLst>
          </c:dPt>
          <c:dPt>
            <c:idx val="235"/>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1D7-A59A-41E8-BE5C-6AA61ED2A977}"/>
              </c:ext>
            </c:extLst>
          </c:dPt>
          <c:dPt>
            <c:idx val="236"/>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1D9-A59A-41E8-BE5C-6AA61ED2A977}"/>
              </c:ext>
            </c:extLst>
          </c:dPt>
          <c:dPt>
            <c:idx val="237"/>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1DB-A59A-41E8-BE5C-6AA61ED2A977}"/>
              </c:ext>
            </c:extLst>
          </c:dPt>
          <c:dPt>
            <c:idx val="238"/>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1DD-A59A-41E8-BE5C-6AA61ED2A977}"/>
              </c:ext>
            </c:extLst>
          </c:dPt>
          <c:dPt>
            <c:idx val="239"/>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1DF-A59A-41E8-BE5C-6AA61ED2A977}"/>
              </c:ext>
            </c:extLst>
          </c:dPt>
          <c:dPt>
            <c:idx val="24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1E1-A59A-41E8-BE5C-6AA61ED2A977}"/>
              </c:ext>
            </c:extLst>
          </c:dPt>
          <c:dPt>
            <c:idx val="24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1E3-A59A-41E8-BE5C-6AA61ED2A977}"/>
              </c:ext>
            </c:extLst>
          </c:dPt>
          <c:dPt>
            <c:idx val="242"/>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1E5-A59A-41E8-BE5C-6AA61ED2A977}"/>
              </c:ext>
            </c:extLst>
          </c:dPt>
          <c:dPt>
            <c:idx val="24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1E7-A59A-41E8-BE5C-6AA61ED2A977}"/>
              </c:ext>
            </c:extLst>
          </c:dPt>
          <c:dPt>
            <c:idx val="24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1E9-A59A-41E8-BE5C-6AA61ED2A977}"/>
              </c:ext>
            </c:extLst>
          </c:dPt>
          <c:dPt>
            <c:idx val="245"/>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1EB-A59A-41E8-BE5C-6AA61ED2A977}"/>
              </c:ext>
            </c:extLst>
          </c:dPt>
          <c:dPt>
            <c:idx val="246"/>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1ED-A59A-41E8-BE5C-6AA61ED2A977}"/>
              </c:ext>
            </c:extLst>
          </c:dPt>
          <c:dPt>
            <c:idx val="247"/>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1EF-A59A-41E8-BE5C-6AA61ED2A977}"/>
              </c:ext>
            </c:extLst>
          </c:dPt>
          <c:dPt>
            <c:idx val="248"/>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1F1-A59A-41E8-BE5C-6AA61ED2A977}"/>
              </c:ext>
            </c:extLst>
          </c:dPt>
          <c:dPt>
            <c:idx val="24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1F3-A59A-41E8-BE5C-6AA61ED2A977}"/>
              </c:ext>
            </c:extLst>
          </c:dPt>
          <c:dPt>
            <c:idx val="250"/>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1F5-A59A-41E8-BE5C-6AA61ED2A977}"/>
              </c:ext>
            </c:extLst>
          </c:dPt>
          <c:dPt>
            <c:idx val="251"/>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1F7-A59A-41E8-BE5C-6AA61ED2A977}"/>
              </c:ext>
            </c:extLst>
          </c:dPt>
          <c:dPt>
            <c:idx val="252"/>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1F9-A59A-41E8-BE5C-6AA61ED2A977}"/>
              </c:ext>
            </c:extLst>
          </c:dPt>
          <c:dPt>
            <c:idx val="253"/>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1FB-A59A-41E8-BE5C-6AA61ED2A977}"/>
              </c:ext>
            </c:extLst>
          </c:dPt>
          <c:dPt>
            <c:idx val="254"/>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1FD-A59A-41E8-BE5C-6AA61ED2A977}"/>
              </c:ext>
            </c:extLst>
          </c:dPt>
          <c:dPt>
            <c:idx val="255"/>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1FF-A59A-41E8-BE5C-6AA61ED2A977}"/>
              </c:ext>
            </c:extLst>
          </c:dPt>
          <c:dPt>
            <c:idx val="256"/>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201-A59A-41E8-BE5C-6AA61ED2A977}"/>
              </c:ext>
            </c:extLst>
          </c:dPt>
          <c:dPt>
            <c:idx val="257"/>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203-A59A-41E8-BE5C-6AA61ED2A977}"/>
              </c:ext>
            </c:extLst>
          </c:dPt>
          <c:dPt>
            <c:idx val="258"/>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205-A59A-41E8-BE5C-6AA61ED2A977}"/>
              </c:ext>
            </c:extLst>
          </c:dPt>
          <c:dPt>
            <c:idx val="259"/>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207-A59A-41E8-BE5C-6AA61ED2A977}"/>
              </c:ext>
            </c:extLst>
          </c:dPt>
          <c:dPt>
            <c:idx val="260"/>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209-A59A-41E8-BE5C-6AA61ED2A977}"/>
              </c:ext>
            </c:extLst>
          </c:dPt>
          <c:dPt>
            <c:idx val="261"/>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20B-A59A-41E8-BE5C-6AA61ED2A977}"/>
              </c:ext>
            </c:extLst>
          </c:dPt>
          <c:dPt>
            <c:idx val="262"/>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20D-A59A-41E8-BE5C-6AA61ED2A977}"/>
              </c:ext>
            </c:extLst>
          </c:dPt>
          <c:dPt>
            <c:idx val="263"/>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20F-A59A-41E8-BE5C-6AA61ED2A977}"/>
              </c:ext>
            </c:extLst>
          </c:dPt>
          <c:dPt>
            <c:idx val="264"/>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211-A59A-41E8-BE5C-6AA61ED2A977}"/>
              </c:ext>
            </c:extLst>
          </c:dPt>
          <c:dPt>
            <c:idx val="265"/>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213-A59A-41E8-BE5C-6AA61ED2A977}"/>
              </c:ext>
            </c:extLst>
          </c:dPt>
          <c:dPt>
            <c:idx val="266"/>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215-A59A-41E8-BE5C-6AA61ED2A977}"/>
              </c:ext>
            </c:extLst>
          </c:dPt>
          <c:dPt>
            <c:idx val="267"/>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217-A59A-41E8-BE5C-6AA61ED2A977}"/>
              </c:ext>
            </c:extLst>
          </c:dPt>
          <c:dPt>
            <c:idx val="268"/>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219-A59A-41E8-BE5C-6AA61ED2A977}"/>
              </c:ext>
            </c:extLst>
          </c:dPt>
          <c:dPt>
            <c:idx val="269"/>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21B-A59A-41E8-BE5C-6AA61ED2A977}"/>
              </c:ext>
            </c:extLst>
          </c:dPt>
          <c:dPt>
            <c:idx val="270"/>
            <c:bubble3D val="0"/>
            <c:spPr>
              <a:solidFill>
                <a:schemeClr val="accent1"/>
              </a:solidFill>
              <a:ln w="19050">
                <a:solidFill>
                  <a:schemeClr val="lt1"/>
                </a:solidFill>
              </a:ln>
              <a:effectLst/>
            </c:spPr>
            <c:extLst>
              <c:ext xmlns:c16="http://schemas.microsoft.com/office/drawing/2014/chart" uri="{C3380CC4-5D6E-409C-BE32-E72D297353CC}">
                <c16:uniqueId val="{0000021D-A59A-41E8-BE5C-6AA61ED2A977}"/>
              </c:ext>
            </c:extLst>
          </c:dPt>
          <c:dPt>
            <c:idx val="271"/>
            <c:bubble3D val="0"/>
            <c:spPr>
              <a:solidFill>
                <a:schemeClr val="accent2"/>
              </a:solidFill>
              <a:ln w="19050">
                <a:solidFill>
                  <a:schemeClr val="lt1"/>
                </a:solidFill>
              </a:ln>
              <a:effectLst/>
            </c:spPr>
            <c:extLst>
              <c:ext xmlns:c16="http://schemas.microsoft.com/office/drawing/2014/chart" uri="{C3380CC4-5D6E-409C-BE32-E72D297353CC}">
                <c16:uniqueId val="{0000021F-A59A-41E8-BE5C-6AA61ED2A977}"/>
              </c:ext>
            </c:extLst>
          </c:dPt>
          <c:dPt>
            <c:idx val="272"/>
            <c:bubble3D val="0"/>
            <c:spPr>
              <a:solidFill>
                <a:schemeClr val="accent3"/>
              </a:solidFill>
              <a:ln w="19050">
                <a:solidFill>
                  <a:schemeClr val="lt1"/>
                </a:solidFill>
              </a:ln>
              <a:effectLst/>
            </c:spPr>
            <c:extLst>
              <c:ext xmlns:c16="http://schemas.microsoft.com/office/drawing/2014/chart" uri="{C3380CC4-5D6E-409C-BE32-E72D297353CC}">
                <c16:uniqueId val="{00000221-A59A-41E8-BE5C-6AA61ED2A977}"/>
              </c:ext>
            </c:extLst>
          </c:dPt>
          <c:dPt>
            <c:idx val="273"/>
            <c:bubble3D val="0"/>
            <c:spPr>
              <a:solidFill>
                <a:schemeClr val="accent4"/>
              </a:solidFill>
              <a:ln w="19050">
                <a:solidFill>
                  <a:schemeClr val="lt1"/>
                </a:solidFill>
              </a:ln>
              <a:effectLst/>
            </c:spPr>
            <c:extLst>
              <c:ext xmlns:c16="http://schemas.microsoft.com/office/drawing/2014/chart" uri="{C3380CC4-5D6E-409C-BE32-E72D297353CC}">
                <c16:uniqueId val="{00000223-A59A-41E8-BE5C-6AA61ED2A977}"/>
              </c:ext>
            </c:extLst>
          </c:dPt>
          <c:dPt>
            <c:idx val="274"/>
            <c:bubble3D val="0"/>
            <c:spPr>
              <a:solidFill>
                <a:schemeClr val="accent5"/>
              </a:solidFill>
              <a:ln w="19050">
                <a:solidFill>
                  <a:schemeClr val="lt1"/>
                </a:solidFill>
              </a:ln>
              <a:effectLst/>
            </c:spPr>
            <c:extLst>
              <c:ext xmlns:c16="http://schemas.microsoft.com/office/drawing/2014/chart" uri="{C3380CC4-5D6E-409C-BE32-E72D297353CC}">
                <c16:uniqueId val="{00000225-A59A-41E8-BE5C-6AA61ED2A977}"/>
              </c:ext>
            </c:extLst>
          </c:dPt>
          <c:dPt>
            <c:idx val="275"/>
            <c:bubble3D val="0"/>
            <c:spPr>
              <a:solidFill>
                <a:schemeClr val="accent6"/>
              </a:solidFill>
              <a:ln w="19050">
                <a:solidFill>
                  <a:schemeClr val="lt1"/>
                </a:solidFill>
              </a:ln>
              <a:effectLst/>
            </c:spPr>
            <c:extLst>
              <c:ext xmlns:c16="http://schemas.microsoft.com/office/drawing/2014/chart" uri="{C3380CC4-5D6E-409C-BE32-E72D297353CC}">
                <c16:uniqueId val="{00000227-A59A-41E8-BE5C-6AA61ED2A977}"/>
              </c:ext>
            </c:extLst>
          </c:dPt>
          <c:dPt>
            <c:idx val="27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29-A59A-41E8-BE5C-6AA61ED2A977}"/>
              </c:ext>
            </c:extLst>
          </c:dPt>
          <c:dPt>
            <c:idx val="27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2B-A59A-41E8-BE5C-6AA61ED2A977}"/>
              </c:ext>
            </c:extLst>
          </c:dPt>
          <c:dPt>
            <c:idx val="27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2D-A59A-41E8-BE5C-6AA61ED2A977}"/>
              </c:ext>
            </c:extLst>
          </c:dPt>
          <c:dPt>
            <c:idx val="27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2F-A59A-41E8-BE5C-6AA61ED2A977}"/>
              </c:ext>
            </c:extLst>
          </c:dPt>
          <c:dPt>
            <c:idx val="28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31-A59A-41E8-BE5C-6AA61ED2A977}"/>
              </c:ext>
            </c:extLst>
          </c:dPt>
          <c:dPt>
            <c:idx val="28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233-A59A-41E8-BE5C-6AA61ED2A977}"/>
              </c:ext>
            </c:extLst>
          </c:dPt>
          <c:dPt>
            <c:idx val="28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235-A59A-41E8-BE5C-6AA61ED2A977}"/>
              </c:ext>
            </c:extLst>
          </c:dPt>
          <c:dPt>
            <c:idx val="28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237-A59A-41E8-BE5C-6AA61ED2A977}"/>
              </c:ext>
            </c:extLst>
          </c:dPt>
          <c:dPt>
            <c:idx val="28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39-A59A-41E8-BE5C-6AA61ED2A977}"/>
              </c:ext>
            </c:extLst>
          </c:dPt>
          <c:dPt>
            <c:idx val="28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23B-A59A-41E8-BE5C-6AA61ED2A977}"/>
              </c:ext>
            </c:extLst>
          </c:dPt>
          <c:dPt>
            <c:idx val="28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23D-A59A-41E8-BE5C-6AA61ED2A977}"/>
              </c:ext>
            </c:extLst>
          </c:dPt>
          <c:dPt>
            <c:idx val="28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23F-A59A-41E8-BE5C-6AA61ED2A977}"/>
              </c:ext>
            </c:extLst>
          </c:dPt>
          <c:dPt>
            <c:idx val="28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241-A59A-41E8-BE5C-6AA61ED2A977}"/>
              </c:ext>
            </c:extLst>
          </c:dPt>
          <c:dPt>
            <c:idx val="28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243-A59A-41E8-BE5C-6AA61ED2A977}"/>
              </c:ext>
            </c:extLst>
          </c:dPt>
          <c:dPt>
            <c:idx val="29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245-A59A-41E8-BE5C-6AA61ED2A977}"/>
              </c:ext>
            </c:extLst>
          </c:dPt>
          <c:dPt>
            <c:idx val="29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247-A59A-41E8-BE5C-6AA61ED2A977}"/>
              </c:ext>
            </c:extLst>
          </c:dPt>
          <c:dPt>
            <c:idx val="29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249-A59A-41E8-BE5C-6AA61ED2A977}"/>
              </c:ext>
            </c:extLst>
          </c:dPt>
          <c:dPt>
            <c:idx val="29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24B-A59A-41E8-BE5C-6AA61ED2A977}"/>
              </c:ext>
            </c:extLst>
          </c:dPt>
          <c:dPt>
            <c:idx val="29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24D-A59A-41E8-BE5C-6AA61ED2A977}"/>
              </c:ext>
            </c:extLst>
          </c:dPt>
          <c:dPt>
            <c:idx val="29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24F-A59A-41E8-BE5C-6AA61ED2A977}"/>
              </c:ext>
            </c:extLst>
          </c:dPt>
          <c:dPt>
            <c:idx val="29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251-A59A-41E8-BE5C-6AA61ED2A977}"/>
              </c:ext>
            </c:extLst>
          </c:dPt>
          <c:dPt>
            <c:idx val="29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253-A59A-41E8-BE5C-6AA61ED2A977}"/>
              </c:ext>
            </c:extLst>
          </c:dPt>
          <c:dPt>
            <c:idx val="29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255-A59A-41E8-BE5C-6AA61ED2A977}"/>
              </c:ext>
            </c:extLst>
          </c:dPt>
          <c:dPt>
            <c:idx val="29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257-A59A-41E8-BE5C-6AA61ED2A977}"/>
              </c:ext>
            </c:extLst>
          </c:dPt>
          <c:dPt>
            <c:idx val="30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259-A59A-41E8-BE5C-6AA61ED2A977}"/>
              </c:ext>
            </c:extLst>
          </c:dPt>
          <c:dPt>
            <c:idx val="30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25B-A59A-41E8-BE5C-6AA61ED2A977}"/>
              </c:ext>
            </c:extLst>
          </c:dPt>
          <c:dPt>
            <c:idx val="30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25D-A59A-41E8-BE5C-6AA61ED2A977}"/>
              </c:ext>
            </c:extLst>
          </c:dPt>
          <c:dPt>
            <c:idx val="30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25F-A59A-41E8-BE5C-6AA61ED2A977}"/>
              </c:ext>
            </c:extLst>
          </c:dPt>
          <c:dPt>
            <c:idx val="30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261-A59A-41E8-BE5C-6AA61ED2A977}"/>
              </c:ext>
            </c:extLst>
          </c:dPt>
          <c:dPt>
            <c:idx val="30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263-A59A-41E8-BE5C-6AA61ED2A977}"/>
              </c:ext>
            </c:extLst>
          </c:dPt>
          <c:dPt>
            <c:idx val="30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265-A59A-41E8-BE5C-6AA61ED2A977}"/>
              </c:ext>
            </c:extLst>
          </c:dPt>
          <c:dPt>
            <c:idx val="30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267-A59A-41E8-BE5C-6AA61ED2A977}"/>
              </c:ext>
            </c:extLst>
          </c:dPt>
          <c:dPt>
            <c:idx val="30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269-A59A-41E8-BE5C-6AA61ED2A977}"/>
              </c:ext>
            </c:extLst>
          </c:dPt>
          <c:dPt>
            <c:idx val="30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26B-A59A-41E8-BE5C-6AA61ED2A977}"/>
              </c:ext>
            </c:extLst>
          </c:dPt>
          <c:dPt>
            <c:idx val="31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26D-A59A-41E8-BE5C-6AA61ED2A977}"/>
              </c:ext>
            </c:extLst>
          </c:dPt>
          <c:dPt>
            <c:idx val="31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26F-A59A-41E8-BE5C-6AA61ED2A977}"/>
              </c:ext>
            </c:extLst>
          </c:dPt>
          <c:dPt>
            <c:idx val="31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271-A59A-41E8-BE5C-6AA61ED2A977}"/>
              </c:ext>
            </c:extLst>
          </c:dPt>
          <c:dPt>
            <c:idx val="31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273-A59A-41E8-BE5C-6AA61ED2A977}"/>
              </c:ext>
            </c:extLst>
          </c:dPt>
          <c:dPt>
            <c:idx val="31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275-A59A-41E8-BE5C-6AA61ED2A977}"/>
              </c:ext>
            </c:extLst>
          </c:dPt>
          <c:dPt>
            <c:idx val="31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277-A59A-41E8-BE5C-6AA61ED2A977}"/>
              </c:ext>
            </c:extLst>
          </c:dPt>
          <c:dPt>
            <c:idx val="31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279-A59A-41E8-BE5C-6AA61ED2A977}"/>
              </c:ext>
            </c:extLst>
          </c:dPt>
          <c:dPt>
            <c:idx val="31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27B-A59A-41E8-BE5C-6AA61ED2A977}"/>
              </c:ext>
            </c:extLst>
          </c:dPt>
          <c:dPt>
            <c:idx val="31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27D-A59A-41E8-BE5C-6AA61ED2A977}"/>
              </c:ext>
            </c:extLst>
          </c:dPt>
          <c:dPt>
            <c:idx val="31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27F-A59A-41E8-BE5C-6AA61ED2A977}"/>
              </c:ext>
            </c:extLst>
          </c:dPt>
          <c:dPt>
            <c:idx val="32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281-A59A-41E8-BE5C-6AA61ED2A977}"/>
              </c:ext>
            </c:extLst>
          </c:dPt>
          <c:dPt>
            <c:idx val="32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283-A59A-41E8-BE5C-6AA61ED2A977}"/>
              </c:ext>
            </c:extLst>
          </c:dPt>
          <c:dPt>
            <c:idx val="32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285-A59A-41E8-BE5C-6AA61ED2A977}"/>
              </c:ext>
            </c:extLst>
          </c:dPt>
          <c:dPt>
            <c:idx val="32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287-A59A-41E8-BE5C-6AA61ED2A977}"/>
              </c:ext>
            </c:extLst>
          </c:dPt>
          <c:dPt>
            <c:idx val="324"/>
            <c:bubble3D val="0"/>
            <c:spPr>
              <a:solidFill>
                <a:schemeClr val="accent1"/>
              </a:solidFill>
              <a:ln w="19050">
                <a:solidFill>
                  <a:schemeClr val="lt1"/>
                </a:solidFill>
              </a:ln>
              <a:effectLst/>
            </c:spPr>
            <c:extLst>
              <c:ext xmlns:c16="http://schemas.microsoft.com/office/drawing/2014/chart" uri="{C3380CC4-5D6E-409C-BE32-E72D297353CC}">
                <c16:uniqueId val="{00000289-A59A-41E8-BE5C-6AA61ED2A977}"/>
              </c:ext>
            </c:extLst>
          </c:dPt>
          <c:dPt>
            <c:idx val="325"/>
            <c:bubble3D val="0"/>
            <c:spPr>
              <a:solidFill>
                <a:schemeClr val="accent2"/>
              </a:solidFill>
              <a:ln w="19050">
                <a:solidFill>
                  <a:schemeClr val="lt1"/>
                </a:solidFill>
              </a:ln>
              <a:effectLst/>
            </c:spPr>
            <c:extLst>
              <c:ext xmlns:c16="http://schemas.microsoft.com/office/drawing/2014/chart" uri="{C3380CC4-5D6E-409C-BE32-E72D297353CC}">
                <c16:uniqueId val="{0000028B-A59A-41E8-BE5C-6AA61ED2A977}"/>
              </c:ext>
            </c:extLst>
          </c:dPt>
          <c:dPt>
            <c:idx val="326"/>
            <c:bubble3D val="0"/>
            <c:spPr>
              <a:solidFill>
                <a:schemeClr val="accent3"/>
              </a:solidFill>
              <a:ln w="19050">
                <a:solidFill>
                  <a:schemeClr val="lt1"/>
                </a:solidFill>
              </a:ln>
              <a:effectLst/>
            </c:spPr>
            <c:extLst>
              <c:ext xmlns:c16="http://schemas.microsoft.com/office/drawing/2014/chart" uri="{C3380CC4-5D6E-409C-BE32-E72D297353CC}">
                <c16:uniqueId val="{0000028D-A59A-41E8-BE5C-6AA61ED2A977}"/>
              </c:ext>
            </c:extLst>
          </c:dPt>
          <c:dPt>
            <c:idx val="327"/>
            <c:bubble3D val="0"/>
            <c:spPr>
              <a:solidFill>
                <a:schemeClr val="accent4"/>
              </a:solidFill>
              <a:ln w="19050">
                <a:solidFill>
                  <a:schemeClr val="lt1"/>
                </a:solidFill>
              </a:ln>
              <a:effectLst/>
            </c:spPr>
            <c:extLst>
              <c:ext xmlns:c16="http://schemas.microsoft.com/office/drawing/2014/chart" uri="{C3380CC4-5D6E-409C-BE32-E72D297353CC}">
                <c16:uniqueId val="{0000028F-A59A-41E8-BE5C-6AA61ED2A977}"/>
              </c:ext>
            </c:extLst>
          </c:dPt>
          <c:dPt>
            <c:idx val="328"/>
            <c:bubble3D val="0"/>
            <c:spPr>
              <a:solidFill>
                <a:schemeClr val="accent5"/>
              </a:solidFill>
              <a:ln w="19050">
                <a:solidFill>
                  <a:schemeClr val="lt1"/>
                </a:solidFill>
              </a:ln>
              <a:effectLst/>
            </c:spPr>
            <c:extLst>
              <c:ext xmlns:c16="http://schemas.microsoft.com/office/drawing/2014/chart" uri="{C3380CC4-5D6E-409C-BE32-E72D297353CC}">
                <c16:uniqueId val="{00000291-A59A-41E8-BE5C-6AA61ED2A977}"/>
              </c:ext>
            </c:extLst>
          </c:dPt>
          <c:dPt>
            <c:idx val="329"/>
            <c:bubble3D val="0"/>
            <c:spPr>
              <a:solidFill>
                <a:schemeClr val="accent6"/>
              </a:solidFill>
              <a:ln w="19050">
                <a:solidFill>
                  <a:schemeClr val="lt1"/>
                </a:solidFill>
              </a:ln>
              <a:effectLst/>
            </c:spPr>
            <c:extLst>
              <c:ext xmlns:c16="http://schemas.microsoft.com/office/drawing/2014/chart" uri="{C3380CC4-5D6E-409C-BE32-E72D297353CC}">
                <c16:uniqueId val="{00000293-A59A-41E8-BE5C-6AA61ED2A977}"/>
              </c:ext>
            </c:extLst>
          </c:dPt>
          <c:dPt>
            <c:idx val="33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295-A59A-41E8-BE5C-6AA61ED2A977}"/>
              </c:ext>
            </c:extLst>
          </c:dPt>
          <c:dPt>
            <c:idx val="331"/>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297-A59A-41E8-BE5C-6AA61ED2A977}"/>
              </c:ext>
            </c:extLst>
          </c:dPt>
          <c:dPt>
            <c:idx val="332"/>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299-A59A-41E8-BE5C-6AA61ED2A977}"/>
              </c:ext>
            </c:extLst>
          </c:dPt>
          <c:dPt>
            <c:idx val="333"/>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29B-A59A-41E8-BE5C-6AA61ED2A977}"/>
              </c:ext>
            </c:extLst>
          </c:dPt>
          <c:dPt>
            <c:idx val="33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29D-A59A-41E8-BE5C-6AA61ED2A977}"/>
              </c:ext>
            </c:extLst>
          </c:dPt>
          <c:dPt>
            <c:idx val="33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29F-A59A-41E8-BE5C-6AA61ED2A977}"/>
              </c:ext>
            </c:extLst>
          </c:dPt>
          <c:dPt>
            <c:idx val="33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2A1-A59A-41E8-BE5C-6AA61ED2A977}"/>
              </c:ext>
            </c:extLst>
          </c:dPt>
          <c:dPt>
            <c:idx val="337"/>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2A3-A59A-41E8-BE5C-6AA61ED2A977}"/>
              </c:ext>
            </c:extLst>
          </c:dPt>
          <c:dPt>
            <c:idx val="338"/>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2A5-A59A-41E8-BE5C-6AA61ED2A977}"/>
              </c:ext>
            </c:extLst>
          </c:dPt>
          <c:dPt>
            <c:idx val="339"/>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2A7-A59A-41E8-BE5C-6AA61ED2A977}"/>
              </c:ext>
            </c:extLst>
          </c:dPt>
          <c:dPt>
            <c:idx val="340"/>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2A9-A59A-41E8-BE5C-6AA61ED2A977}"/>
              </c:ext>
            </c:extLst>
          </c:dPt>
          <c:dPt>
            <c:idx val="341"/>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2AB-A59A-41E8-BE5C-6AA61ED2A977}"/>
              </c:ext>
            </c:extLst>
          </c:dPt>
          <c:dPt>
            <c:idx val="342"/>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2AD-A59A-41E8-BE5C-6AA61ED2A977}"/>
              </c:ext>
            </c:extLst>
          </c:dPt>
          <c:dPt>
            <c:idx val="343"/>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2AF-A59A-41E8-BE5C-6AA61ED2A977}"/>
              </c:ext>
            </c:extLst>
          </c:dPt>
          <c:dPt>
            <c:idx val="344"/>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2B1-A59A-41E8-BE5C-6AA61ED2A977}"/>
              </c:ext>
            </c:extLst>
          </c:dPt>
          <c:dPt>
            <c:idx val="345"/>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2B3-A59A-41E8-BE5C-6AA61ED2A977}"/>
              </c:ext>
            </c:extLst>
          </c:dPt>
          <c:dPt>
            <c:idx val="346"/>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2B5-A59A-41E8-BE5C-6AA61ED2A977}"/>
              </c:ext>
            </c:extLst>
          </c:dPt>
          <c:dPt>
            <c:idx val="347"/>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2B7-A59A-41E8-BE5C-6AA61ED2A977}"/>
              </c:ext>
            </c:extLst>
          </c:dPt>
          <c:dPt>
            <c:idx val="34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2B9-A59A-41E8-BE5C-6AA61ED2A977}"/>
              </c:ext>
            </c:extLst>
          </c:dPt>
          <c:dPt>
            <c:idx val="349"/>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2BB-A59A-41E8-BE5C-6AA61ED2A977}"/>
              </c:ext>
            </c:extLst>
          </c:dPt>
          <c:dPt>
            <c:idx val="35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2BD-A59A-41E8-BE5C-6AA61ED2A977}"/>
              </c:ext>
            </c:extLst>
          </c:dPt>
          <c:dPt>
            <c:idx val="35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2BF-A59A-41E8-BE5C-6AA61ED2A977}"/>
              </c:ext>
            </c:extLst>
          </c:dPt>
          <c:dPt>
            <c:idx val="352"/>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2C1-A59A-41E8-BE5C-6AA61ED2A977}"/>
              </c:ext>
            </c:extLst>
          </c:dPt>
          <c:dPt>
            <c:idx val="35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2C3-A59A-41E8-BE5C-6AA61ED2A977}"/>
              </c:ext>
            </c:extLst>
          </c:dPt>
          <c:dPt>
            <c:idx val="354"/>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2C5-A59A-41E8-BE5C-6AA61ED2A977}"/>
              </c:ext>
            </c:extLst>
          </c:dPt>
          <c:dPt>
            <c:idx val="355"/>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2C7-A59A-41E8-BE5C-6AA61ED2A977}"/>
              </c:ext>
            </c:extLst>
          </c:dPt>
          <c:dPt>
            <c:idx val="35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2C9-A59A-41E8-BE5C-6AA61ED2A977}"/>
              </c:ext>
            </c:extLst>
          </c:dPt>
          <c:dPt>
            <c:idx val="357"/>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2CB-A59A-41E8-BE5C-6AA61ED2A977}"/>
              </c:ext>
            </c:extLst>
          </c:dPt>
          <c:dPt>
            <c:idx val="35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2CD-A59A-41E8-BE5C-6AA61ED2A977}"/>
              </c:ext>
            </c:extLst>
          </c:dPt>
          <c:dPt>
            <c:idx val="359"/>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2CF-A59A-41E8-BE5C-6AA61ED2A977}"/>
              </c:ext>
            </c:extLst>
          </c:dPt>
          <c:dPt>
            <c:idx val="360"/>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2D1-A59A-41E8-BE5C-6AA61ED2A977}"/>
              </c:ext>
            </c:extLst>
          </c:dPt>
          <c:dPt>
            <c:idx val="361"/>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2D3-A59A-41E8-BE5C-6AA61ED2A977}"/>
              </c:ext>
            </c:extLst>
          </c:dPt>
          <c:dPt>
            <c:idx val="362"/>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2D5-A59A-41E8-BE5C-6AA61ED2A977}"/>
              </c:ext>
            </c:extLst>
          </c:dPt>
          <c:dPt>
            <c:idx val="363"/>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2D7-A59A-41E8-BE5C-6AA61ED2A977}"/>
              </c:ext>
            </c:extLst>
          </c:dPt>
          <c:dPt>
            <c:idx val="364"/>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2D9-A59A-41E8-BE5C-6AA61ED2A977}"/>
              </c:ext>
            </c:extLst>
          </c:dPt>
          <c:dPt>
            <c:idx val="365"/>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2DB-A59A-41E8-BE5C-6AA61ED2A977}"/>
              </c:ext>
            </c:extLst>
          </c:dPt>
          <c:dPt>
            <c:idx val="366"/>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2DD-A59A-41E8-BE5C-6AA61ED2A977}"/>
              </c:ext>
            </c:extLst>
          </c:dPt>
          <c:dPt>
            <c:idx val="367"/>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2DF-A59A-41E8-BE5C-6AA61ED2A977}"/>
              </c:ext>
            </c:extLst>
          </c:dPt>
          <c:dPt>
            <c:idx val="368"/>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2E1-A59A-41E8-BE5C-6AA61ED2A977}"/>
              </c:ext>
            </c:extLst>
          </c:dPt>
          <c:dPt>
            <c:idx val="369"/>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2E3-A59A-41E8-BE5C-6AA61ED2A977}"/>
              </c:ext>
            </c:extLst>
          </c:dPt>
          <c:dPt>
            <c:idx val="370"/>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2E5-A59A-41E8-BE5C-6AA61ED2A977}"/>
              </c:ext>
            </c:extLst>
          </c:dPt>
          <c:dPt>
            <c:idx val="371"/>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2E7-A59A-41E8-BE5C-6AA61ED2A977}"/>
              </c:ext>
            </c:extLst>
          </c:dPt>
          <c:dPt>
            <c:idx val="372"/>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2E9-A59A-41E8-BE5C-6AA61ED2A977}"/>
              </c:ext>
            </c:extLst>
          </c:dPt>
          <c:dPt>
            <c:idx val="373"/>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2EB-A59A-41E8-BE5C-6AA61ED2A977}"/>
              </c:ext>
            </c:extLst>
          </c:dPt>
          <c:dPt>
            <c:idx val="374"/>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2ED-A59A-41E8-BE5C-6AA61ED2A977}"/>
              </c:ext>
            </c:extLst>
          </c:dPt>
          <c:dPt>
            <c:idx val="375"/>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2EF-A59A-41E8-BE5C-6AA61ED2A977}"/>
              </c:ext>
            </c:extLst>
          </c:dPt>
          <c:dPt>
            <c:idx val="376"/>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2F1-A59A-41E8-BE5C-6AA61ED2A977}"/>
              </c:ext>
            </c:extLst>
          </c:dPt>
          <c:dPt>
            <c:idx val="377"/>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2F3-A59A-41E8-BE5C-6AA61ED2A977}"/>
              </c:ext>
            </c:extLst>
          </c:dPt>
          <c:dPt>
            <c:idx val="378"/>
            <c:bubble3D val="0"/>
            <c:spPr>
              <a:solidFill>
                <a:schemeClr val="accent1"/>
              </a:solidFill>
              <a:ln w="19050">
                <a:solidFill>
                  <a:schemeClr val="lt1"/>
                </a:solidFill>
              </a:ln>
              <a:effectLst/>
            </c:spPr>
            <c:extLst>
              <c:ext xmlns:c16="http://schemas.microsoft.com/office/drawing/2014/chart" uri="{C3380CC4-5D6E-409C-BE32-E72D297353CC}">
                <c16:uniqueId val="{000002F5-A59A-41E8-BE5C-6AA61ED2A977}"/>
              </c:ext>
            </c:extLst>
          </c:dPt>
          <c:dPt>
            <c:idx val="379"/>
            <c:bubble3D val="0"/>
            <c:spPr>
              <a:solidFill>
                <a:schemeClr val="accent2"/>
              </a:solidFill>
              <a:ln w="19050">
                <a:solidFill>
                  <a:schemeClr val="lt1"/>
                </a:solidFill>
              </a:ln>
              <a:effectLst/>
            </c:spPr>
            <c:extLst>
              <c:ext xmlns:c16="http://schemas.microsoft.com/office/drawing/2014/chart" uri="{C3380CC4-5D6E-409C-BE32-E72D297353CC}">
                <c16:uniqueId val="{000002F7-A59A-41E8-BE5C-6AA61ED2A977}"/>
              </c:ext>
            </c:extLst>
          </c:dPt>
          <c:dPt>
            <c:idx val="380"/>
            <c:bubble3D val="0"/>
            <c:spPr>
              <a:solidFill>
                <a:schemeClr val="accent3"/>
              </a:solidFill>
              <a:ln w="19050">
                <a:solidFill>
                  <a:schemeClr val="lt1"/>
                </a:solidFill>
              </a:ln>
              <a:effectLst/>
            </c:spPr>
            <c:extLst>
              <c:ext xmlns:c16="http://schemas.microsoft.com/office/drawing/2014/chart" uri="{C3380CC4-5D6E-409C-BE32-E72D297353CC}">
                <c16:uniqueId val="{000002F9-A59A-41E8-BE5C-6AA61ED2A977}"/>
              </c:ext>
            </c:extLst>
          </c:dPt>
          <c:dPt>
            <c:idx val="381"/>
            <c:bubble3D val="0"/>
            <c:spPr>
              <a:solidFill>
                <a:schemeClr val="accent4"/>
              </a:solidFill>
              <a:ln w="19050">
                <a:solidFill>
                  <a:schemeClr val="lt1"/>
                </a:solidFill>
              </a:ln>
              <a:effectLst/>
            </c:spPr>
            <c:extLst>
              <c:ext xmlns:c16="http://schemas.microsoft.com/office/drawing/2014/chart" uri="{C3380CC4-5D6E-409C-BE32-E72D297353CC}">
                <c16:uniqueId val="{000002FB-A59A-41E8-BE5C-6AA61ED2A977}"/>
              </c:ext>
            </c:extLst>
          </c:dPt>
          <c:dPt>
            <c:idx val="382"/>
            <c:bubble3D val="0"/>
            <c:spPr>
              <a:solidFill>
                <a:schemeClr val="accent5"/>
              </a:solidFill>
              <a:ln w="19050">
                <a:solidFill>
                  <a:schemeClr val="lt1"/>
                </a:solidFill>
              </a:ln>
              <a:effectLst/>
            </c:spPr>
            <c:extLst>
              <c:ext xmlns:c16="http://schemas.microsoft.com/office/drawing/2014/chart" uri="{C3380CC4-5D6E-409C-BE32-E72D297353CC}">
                <c16:uniqueId val="{000002FD-A59A-41E8-BE5C-6AA61ED2A977}"/>
              </c:ext>
            </c:extLst>
          </c:dPt>
          <c:dPt>
            <c:idx val="383"/>
            <c:bubble3D val="0"/>
            <c:spPr>
              <a:solidFill>
                <a:schemeClr val="accent6"/>
              </a:solidFill>
              <a:ln w="19050">
                <a:solidFill>
                  <a:schemeClr val="lt1"/>
                </a:solidFill>
              </a:ln>
              <a:effectLst/>
            </c:spPr>
            <c:extLst>
              <c:ext xmlns:c16="http://schemas.microsoft.com/office/drawing/2014/chart" uri="{C3380CC4-5D6E-409C-BE32-E72D297353CC}">
                <c16:uniqueId val="{000002FF-A59A-41E8-BE5C-6AA61ED2A977}"/>
              </c:ext>
            </c:extLst>
          </c:dPt>
          <c:dPt>
            <c:idx val="384"/>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301-A59A-41E8-BE5C-6AA61ED2A977}"/>
              </c:ext>
            </c:extLst>
          </c:dPt>
          <c:dPt>
            <c:idx val="385"/>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303-A59A-41E8-BE5C-6AA61ED2A977}"/>
              </c:ext>
            </c:extLst>
          </c:dPt>
          <c:dPt>
            <c:idx val="386"/>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305-A59A-41E8-BE5C-6AA61ED2A977}"/>
              </c:ext>
            </c:extLst>
          </c:dPt>
          <c:dPt>
            <c:idx val="387"/>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307-A59A-41E8-BE5C-6AA61ED2A977}"/>
              </c:ext>
            </c:extLst>
          </c:dPt>
          <c:dPt>
            <c:idx val="388"/>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309-A59A-41E8-BE5C-6AA61ED2A977}"/>
              </c:ext>
            </c:extLst>
          </c:dPt>
          <c:dPt>
            <c:idx val="389"/>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30B-A59A-41E8-BE5C-6AA61ED2A977}"/>
              </c:ext>
            </c:extLst>
          </c:dPt>
          <c:dPt>
            <c:idx val="390"/>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30D-A59A-41E8-BE5C-6AA61ED2A977}"/>
              </c:ext>
            </c:extLst>
          </c:dPt>
          <c:dPt>
            <c:idx val="391"/>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30F-A59A-41E8-BE5C-6AA61ED2A977}"/>
              </c:ext>
            </c:extLst>
          </c:dPt>
          <c:dPt>
            <c:idx val="392"/>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311-A59A-41E8-BE5C-6AA61ED2A977}"/>
              </c:ext>
            </c:extLst>
          </c:dPt>
          <c:dPt>
            <c:idx val="393"/>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313-A59A-41E8-BE5C-6AA61ED2A977}"/>
              </c:ext>
            </c:extLst>
          </c:dPt>
          <c:dPt>
            <c:idx val="394"/>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315-A59A-41E8-BE5C-6AA61ED2A977}"/>
              </c:ext>
            </c:extLst>
          </c:dPt>
          <c:dPt>
            <c:idx val="395"/>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317-A59A-41E8-BE5C-6AA61ED2A977}"/>
              </c:ext>
            </c:extLst>
          </c:dPt>
          <c:dPt>
            <c:idx val="396"/>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319-A59A-41E8-BE5C-6AA61ED2A977}"/>
              </c:ext>
            </c:extLst>
          </c:dPt>
          <c:dPt>
            <c:idx val="397"/>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31B-A59A-41E8-BE5C-6AA61ED2A977}"/>
              </c:ext>
            </c:extLst>
          </c:dPt>
          <c:dPt>
            <c:idx val="398"/>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31D-A59A-41E8-BE5C-6AA61ED2A977}"/>
              </c:ext>
            </c:extLst>
          </c:dPt>
          <c:dPt>
            <c:idx val="399"/>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31F-A59A-41E8-BE5C-6AA61ED2A977}"/>
              </c:ext>
            </c:extLst>
          </c:dPt>
          <c:dPt>
            <c:idx val="400"/>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321-A59A-41E8-BE5C-6AA61ED2A977}"/>
              </c:ext>
            </c:extLst>
          </c:dPt>
          <c:dPt>
            <c:idx val="40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323-A59A-41E8-BE5C-6AA61ED2A977}"/>
              </c:ext>
            </c:extLst>
          </c:dPt>
          <c:dPt>
            <c:idx val="40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325-A59A-41E8-BE5C-6AA61ED2A977}"/>
              </c:ext>
            </c:extLst>
          </c:dPt>
          <c:dPt>
            <c:idx val="40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327-A59A-41E8-BE5C-6AA61ED2A977}"/>
              </c:ext>
            </c:extLst>
          </c:dPt>
          <c:dPt>
            <c:idx val="404"/>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329-A59A-41E8-BE5C-6AA61ED2A977}"/>
              </c:ext>
            </c:extLst>
          </c:dPt>
          <c:dPt>
            <c:idx val="405"/>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32B-A59A-41E8-BE5C-6AA61ED2A977}"/>
              </c:ext>
            </c:extLst>
          </c:dPt>
          <c:dPt>
            <c:idx val="406"/>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32D-A59A-41E8-BE5C-6AA61ED2A977}"/>
              </c:ext>
            </c:extLst>
          </c:dPt>
          <c:dPt>
            <c:idx val="407"/>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32F-A59A-41E8-BE5C-6AA61ED2A977}"/>
              </c:ext>
            </c:extLst>
          </c:dPt>
          <c:dPt>
            <c:idx val="408"/>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331-A59A-41E8-BE5C-6AA61ED2A977}"/>
              </c:ext>
            </c:extLst>
          </c:dPt>
          <c:dPt>
            <c:idx val="409"/>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333-A59A-41E8-BE5C-6AA61ED2A977}"/>
              </c:ext>
            </c:extLst>
          </c:dPt>
          <c:dPt>
            <c:idx val="41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335-A59A-41E8-BE5C-6AA61ED2A977}"/>
              </c:ext>
            </c:extLst>
          </c:dPt>
          <c:dPt>
            <c:idx val="411"/>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337-A59A-41E8-BE5C-6AA61ED2A977}"/>
              </c:ext>
            </c:extLst>
          </c:dPt>
          <c:dPt>
            <c:idx val="412"/>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339-A59A-41E8-BE5C-6AA61ED2A977}"/>
              </c:ext>
            </c:extLst>
          </c:dPt>
          <c:dPt>
            <c:idx val="413"/>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33B-A59A-41E8-BE5C-6AA61ED2A977}"/>
              </c:ext>
            </c:extLst>
          </c:dPt>
          <c:dPt>
            <c:idx val="414"/>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33D-A59A-41E8-BE5C-6AA61ED2A977}"/>
              </c:ext>
            </c:extLst>
          </c:dPt>
          <c:dPt>
            <c:idx val="415"/>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33F-A59A-41E8-BE5C-6AA61ED2A977}"/>
              </c:ext>
            </c:extLst>
          </c:dPt>
          <c:dPt>
            <c:idx val="416"/>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341-A59A-41E8-BE5C-6AA61ED2A977}"/>
              </c:ext>
            </c:extLst>
          </c:dPt>
          <c:dPt>
            <c:idx val="417"/>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343-A59A-41E8-BE5C-6AA61ED2A977}"/>
              </c:ext>
            </c:extLst>
          </c:dPt>
          <c:dPt>
            <c:idx val="418"/>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345-A59A-41E8-BE5C-6AA61ED2A977}"/>
              </c:ext>
            </c:extLst>
          </c:dPt>
          <c:dPt>
            <c:idx val="419"/>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347-A59A-41E8-BE5C-6AA61ED2A977}"/>
              </c:ext>
            </c:extLst>
          </c:dPt>
          <c:dPt>
            <c:idx val="420"/>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349-A59A-41E8-BE5C-6AA61ED2A977}"/>
              </c:ext>
            </c:extLst>
          </c:dPt>
          <c:dPt>
            <c:idx val="421"/>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34B-A59A-41E8-BE5C-6AA61ED2A977}"/>
              </c:ext>
            </c:extLst>
          </c:dPt>
          <c:dPt>
            <c:idx val="422"/>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34D-A59A-41E8-BE5C-6AA61ED2A977}"/>
              </c:ext>
            </c:extLst>
          </c:dPt>
          <c:dPt>
            <c:idx val="423"/>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34F-A59A-41E8-BE5C-6AA61ED2A977}"/>
              </c:ext>
            </c:extLst>
          </c:dPt>
          <c:dPt>
            <c:idx val="424"/>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351-A59A-41E8-BE5C-6AA61ED2A977}"/>
              </c:ext>
            </c:extLst>
          </c:dPt>
          <c:dPt>
            <c:idx val="425"/>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353-A59A-41E8-BE5C-6AA61ED2A977}"/>
              </c:ext>
            </c:extLst>
          </c:dPt>
          <c:dPt>
            <c:idx val="426"/>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355-A59A-41E8-BE5C-6AA61ED2A977}"/>
              </c:ext>
            </c:extLst>
          </c:dPt>
          <c:dPt>
            <c:idx val="427"/>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357-A59A-41E8-BE5C-6AA61ED2A977}"/>
              </c:ext>
            </c:extLst>
          </c:dPt>
          <c:dPt>
            <c:idx val="428"/>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359-A59A-41E8-BE5C-6AA61ED2A977}"/>
              </c:ext>
            </c:extLst>
          </c:dPt>
          <c:dPt>
            <c:idx val="429"/>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35B-A59A-41E8-BE5C-6AA61ED2A977}"/>
              </c:ext>
            </c:extLst>
          </c:dPt>
          <c:dPt>
            <c:idx val="430"/>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35D-A59A-41E8-BE5C-6AA61ED2A977}"/>
              </c:ext>
            </c:extLst>
          </c:dPt>
          <c:dPt>
            <c:idx val="431"/>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35F-A59A-41E8-BE5C-6AA61ED2A977}"/>
              </c:ext>
            </c:extLst>
          </c:dPt>
          <c:dPt>
            <c:idx val="432"/>
            <c:bubble3D val="0"/>
            <c:spPr>
              <a:solidFill>
                <a:schemeClr val="accent1"/>
              </a:solidFill>
              <a:ln w="19050">
                <a:solidFill>
                  <a:schemeClr val="lt1"/>
                </a:solidFill>
              </a:ln>
              <a:effectLst/>
            </c:spPr>
            <c:extLst>
              <c:ext xmlns:c16="http://schemas.microsoft.com/office/drawing/2014/chart" uri="{C3380CC4-5D6E-409C-BE32-E72D297353CC}">
                <c16:uniqueId val="{00000361-A59A-41E8-BE5C-6AA61ED2A977}"/>
              </c:ext>
            </c:extLst>
          </c:dPt>
          <c:dPt>
            <c:idx val="433"/>
            <c:bubble3D val="0"/>
            <c:spPr>
              <a:solidFill>
                <a:schemeClr val="accent2"/>
              </a:solidFill>
              <a:ln w="19050">
                <a:solidFill>
                  <a:schemeClr val="lt1"/>
                </a:solidFill>
              </a:ln>
              <a:effectLst/>
            </c:spPr>
            <c:extLst>
              <c:ext xmlns:c16="http://schemas.microsoft.com/office/drawing/2014/chart" uri="{C3380CC4-5D6E-409C-BE32-E72D297353CC}">
                <c16:uniqueId val="{00000363-A59A-41E8-BE5C-6AA61ED2A977}"/>
              </c:ext>
            </c:extLst>
          </c:dPt>
          <c:dPt>
            <c:idx val="434"/>
            <c:bubble3D val="0"/>
            <c:spPr>
              <a:solidFill>
                <a:schemeClr val="accent3"/>
              </a:solidFill>
              <a:ln w="19050">
                <a:solidFill>
                  <a:schemeClr val="lt1"/>
                </a:solidFill>
              </a:ln>
              <a:effectLst/>
            </c:spPr>
            <c:extLst>
              <c:ext xmlns:c16="http://schemas.microsoft.com/office/drawing/2014/chart" uri="{C3380CC4-5D6E-409C-BE32-E72D297353CC}">
                <c16:uniqueId val="{00000365-A59A-41E8-BE5C-6AA61ED2A977}"/>
              </c:ext>
            </c:extLst>
          </c:dPt>
          <c:dPt>
            <c:idx val="435"/>
            <c:bubble3D val="0"/>
            <c:spPr>
              <a:solidFill>
                <a:schemeClr val="accent4"/>
              </a:solidFill>
              <a:ln w="19050">
                <a:solidFill>
                  <a:schemeClr val="lt1"/>
                </a:solidFill>
              </a:ln>
              <a:effectLst/>
            </c:spPr>
            <c:extLst>
              <c:ext xmlns:c16="http://schemas.microsoft.com/office/drawing/2014/chart" uri="{C3380CC4-5D6E-409C-BE32-E72D297353CC}">
                <c16:uniqueId val="{00000367-A59A-41E8-BE5C-6AA61ED2A977}"/>
              </c:ext>
            </c:extLst>
          </c:dPt>
          <c:dPt>
            <c:idx val="436"/>
            <c:bubble3D val="0"/>
            <c:spPr>
              <a:solidFill>
                <a:schemeClr val="accent5"/>
              </a:solidFill>
              <a:ln w="19050">
                <a:solidFill>
                  <a:schemeClr val="lt1"/>
                </a:solidFill>
              </a:ln>
              <a:effectLst/>
            </c:spPr>
            <c:extLst>
              <c:ext xmlns:c16="http://schemas.microsoft.com/office/drawing/2014/chart" uri="{C3380CC4-5D6E-409C-BE32-E72D297353CC}">
                <c16:uniqueId val="{00000369-A59A-41E8-BE5C-6AA61ED2A977}"/>
              </c:ext>
            </c:extLst>
          </c:dPt>
          <c:dPt>
            <c:idx val="437"/>
            <c:bubble3D val="0"/>
            <c:spPr>
              <a:solidFill>
                <a:schemeClr val="accent6"/>
              </a:solidFill>
              <a:ln w="19050">
                <a:solidFill>
                  <a:schemeClr val="lt1"/>
                </a:solidFill>
              </a:ln>
              <a:effectLst/>
            </c:spPr>
            <c:extLst>
              <c:ext xmlns:c16="http://schemas.microsoft.com/office/drawing/2014/chart" uri="{C3380CC4-5D6E-409C-BE32-E72D297353CC}">
                <c16:uniqueId val="{0000036B-A59A-41E8-BE5C-6AA61ED2A977}"/>
              </c:ext>
            </c:extLst>
          </c:dPt>
          <c:dPt>
            <c:idx val="438"/>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36D-A59A-41E8-BE5C-6AA61ED2A977}"/>
              </c:ext>
            </c:extLst>
          </c:dPt>
          <c:dPt>
            <c:idx val="439"/>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36F-A59A-41E8-BE5C-6AA61ED2A977}"/>
              </c:ext>
            </c:extLst>
          </c:dPt>
          <c:dPt>
            <c:idx val="440"/>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371-A59A-41E8-BE5C-6AA61ED2A977}"/>
              </c:ext>
            </c:extLst>
          </c:dPt>
          <c:dPt>
            <c:idx val="441"/>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373-A59A-41E8-BE5C-6AA61ED2A977}"/>
              </c:ext>
            </c:extLst>
          </c:dPt>
          <c:dPt>
            <c:idx val="442"/>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375-A59A-41E8-BE5C-6AA61ED2A977}"/>
              </c:ext>
            </c:extLst>
          </c:dPt>
          <c:dPt>
            <c:idx val="44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377-A59A-41E8-BE5C-6AA61ED2A977}"/>
              </c:ext>
            </c:extLst>
          </c:dPt>
          <c:dPt>
            <c:idx val="444"/>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379-A59A-41E8-BE5C-6AA61ED2A977}"/>
              </c:ext>
            </c:extLst>
          </c:dPt>
          <c:dPt>
            <c:idx val="445"/>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37B-A59A-41E8-BE5C-6AA61ED2A977}"/>
              </c:ext>
            </c:extLst>
          </c:dPt>
          <c:dPt>
            <c:idx val="446"/>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37D-A59A-41E8-BE5C-6AA61ED2A977}"/>
              </c:ext>
            </c:extLst>
          </c:dPt>
          <c:dPt>
            <c:idx val="44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37F-A59A-41E8-BE5C-6AA61ED2A977}"/>
              </c:ext>
            </c:extLst>
          </c:dPt>
          <c:dPt>
            <c:idx val="44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381-A59A-41E8-BE5C-6AA61ED2A977}"/>
              </c:ext>
            </c:extLst>
          </c:dPt>
          <c:dPt>
            <c:idx val="449"/>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383-A59A-41E8-BE5C-6AA61ED2A977}"/>
              </c:ext>
            </c:extLst>
          </c:dPt>
          <c:dPt>
            <c:idx val="450"/>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385-A59A-41E8-BE5C-6AA61ED2A977}"/>
              </c:ext>
            </c:extLst>
          </c:dPt>
          <c:dPt>
            <c:idx val="451"/>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387-A59A-41E8-BE5C-6AA61ED2A977}"/>
              </c:ext>
            </c:extLst>
          </c:dPt>
          <c:dPt>
            <c:idx val="452"/>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389-A59A-41E8-BE5C-6AA61ED2A977}"/>
              </c:ext>
            </c:extLst>
          </c:dPt>
          <c:dPt>
            <c:idx val="453"/>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38B-A59A-41E8-BE5C-6AA61ED2A977}"/>
              </c:ext>
            </c:extLst>
          </c:dPt>
          <c:dPt>
            <c:idx val="454"/>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38D-A59A-41E8-BE5C-6AA61ED2A977}"/>
              </c:ext>
            </c:extLst>
          </c:dPt>
          <c:dPt>
            <c:idx val="455"/>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38F-A59A-41E8-BE5C-6AA61ED2A977}"/>
              </c:ext>
            </c:extLst>
          </c:dPt>
          <c:dPt>
            <c:idx val="45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391-A59A-41E8-BE5C-6AA61ED2A977}"/>
              </c:ext>
            </c:extLst>
          </c:dPt>
          <c:dPt>
            <c:idx val="457"/>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393-A59A-41E8-BE5C-6AA61ED2A977}"/>
              </c:ext>
            </c:extLst>
          </c:dPt>
          <c:dPt>
            <c:idx val="458"/>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395-A59A-41E8-BE5C-6AA61ED2A977}"/>
              </c:ext>
            </c:extLst>
          </c:dPt>
          <c:dPt>
            <c:idx val="45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397-A59A-41E8-BE5C-6AA61ED2A977}"/>
              </c:ext>
            </c:extLst>
          </c:dPt>
          <c:dPt>
            <c:idx val="460"/>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399-A59A-41E8-BE5C-6AA61ED2A977}"/>
              </c:ext>
            </c:extLst>
          </c:dPt>
          <c:dPt>
            <c:idx val="46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39B-A59A-41E8-BE5C-6AA61ED2A977}"/>
              </c:ext>
            </c:extLst>
          </c:dPt>
          <c:dPt>
            <c:idx val="46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39D-A59A-41E8-BE5C-6AA61ED2A977}"/>
              </c:ext>
            </c:extLst>
          </c:dPt>
          <c:dPt>
            <c:idx val="463"/>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39F-A59A-41E8-BE5C-6AA61ED2A977}"/>
              </c:ext>
            </c:extLst>
          </c:dPt>
          <c:dPt>
            <c:idx val="464"/>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3A1-A59A-41E8-BE5C-6AA61ED2A977}"/>
              </c:ext>
            </c:extLst>
          </c:dPt>
          <c:dPt>
            <c:idx val="46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3A3-A59A-41E8-BE5C-6AA61ED2A977}"/>
              </c:ext>
            </c:extLst>
          </c:dPt>
          <c:dPt>
            <c:idx val="466"/>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3A5-A59A-41E8-BE5C-6AA61ED2A977}"/>
              </c:ext>
            </c:extLst>
          </c:dPt>
          <c:dPt>
            <c:idx val="467"/>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3A7-A59A-41E8-BE5C-6AA61ED2A977}"/>
              </c:ext>
            </c:extLst>
          </c:dPt>
          <c:dPt>
            <c:idx val="468"/>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3A9-A59A-41E8-BE5C-6AA61ED2A977}"/>
              </c:ext>
            </c:extLst>
          </c:dPt>
          <c:dPt>
            <c:idx val="469"/>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3AB-A59A-41E8-BE5C-6AA61ED2A977}"/>
              </c:ext>
            </c:extLst>
          </c:dPt>
          <c:dPt>
            <c:idx val="470"/>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3AD-A59A-41E8-BE5C-6AA61ED2A977}"/>
              </c:ext>
            </c:extLst>
          </c:dPt>
          <c:dPt>
            <c:idx val="471"/>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3AF-A59A-41E8-BE5C-6AA61ED2A977}"/>
              </c:ext>
            </c:extLst>
          </c:dPt>
          <c:dPt>
            <c:idx val="472"/>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3B1-A59A-41E8-BE5C-6AA61ED2A977}"/>
              </c:ext>
            </c:extLst>
          </c:dPt>
          <c:dPt>
            <c:idx val="473"/>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3B3-A59A-41E8-BE5C-6AA61ED2A977}"/>
              </c:ext>
            </c:extLst>
          </c:dPt>
          <c:dPt>
            <c:idx val="474"/>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3B5-A59A-41E8-BE5C-6AA61ED2A977}"/>
              </c:ext>
            </c:extLst>
          </c:dPt>
          <c:dPt>
            <c:idx val="475"/>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3B7-A59A-41E8-BE5C-6AA61ED2A977}"/>
              </c:ext>
            </c:extLst>
          </c:dPt>
          <c:dPt>
            <c:idx val="476"/>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3B9-A59A-41E8-BE5C-6AA61ED2A977}"/>
              </c:ext>
            </c:extLst>
          </c:dPt>
          <c:dPt>
            <c:idx val="477"/>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3BB-A59A-41E8-BE5C-6AA61ED2A977}"/>
              </c:ext>
            </c:extLst>
          </c:dPt>
          <c:dPt>
            <c:idx val="478"/>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3BD-A59A-41E8-BE5C-6AA61ED2A977}"/>
              </c:ext>
            </c:extLst>
          </c:dPt>
          <c:dPt>
            <c:idx val="479"/>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3BF-A59A-41E8-BE5C-6AA61ED2A977}"/>
              </c:ext>
            </c:extLst>
          </c:dPt>
          <c:dPt>
            <c:idx val="480"/>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3C1-A59A-41E8-BE5C-6AA61ED2A977}"/>
              </c:ext>
            </c:extLst>
          </c:dPt>
          <c:dPt>
            <c:idx val="481"/>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3C3-A59A-41E8-BE5C-6AA61ED2A977}"/>
              </c:ext>
            </c:extLst>
          </c:dPt>
          <c:dPt>
            <c:idx val="482"/>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3C5-A59A-41E8-BE5C-6AA61ED2A977}"/>
              </c:ext>
            </c:extLst>
          </c:dPt>
          <c:dPt>
            <c:idx val="483"/>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3C7-A59A-41E8-BE5C-6AA61ED2A977}"/>
              </c:ext>
            </c:extLst>
          </c:dPt>
          <c:dPt>
            <c:idx val="484"/>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3C9-A59A-41E8-BE5C-6AA61ED2A977}"/>
              </c:ext>
            </c:extLst>
          </c:dPt>
          <c:dPt>
            <c:idx val="485"/>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3CB-A59A-41E8-BE5C-6AA61ED2A977}"/>
              </c:ext>
            </c:extLst>
          </c:dPt>
          <c:dPt>
            <c:idx val="486"/>
            <c:bubble3D val="0"/>
            <c:spPr>
              <a:solidFill>
                <a:schemeClr val="accent1"/>
              </a:solidFill>
              <a:ln w="19050">
                <a:solidFill>
                  <a:schemeClr val="lt1"/>
                </a:solidFill>
              </a:ln>
              <a:effectLst/>
            </c:spPr>
            <c:extLst>
              <c:ext xmlns:c16="http://schemas.microsoft.com/office/drawing/2014/chart" uri="{C3380CC4-5D6E-409C-BE32-E72D297353CC}">
                <c16:uniqueId val="{000003CD-A59A-41E8-BE5C-6AA61ED2A977}"/>
              </c:ext>
            </c:extLst>
          </c:dPt>
          <c:dPt>
            <c:idx val="487"/>
            <c:bubble3D val="0"/>
            <c:spPr>
              <a:solidFill>
                <a:schemeClr val="accent2"/>
              </a:solidFill>
              <a:ln w="19050">
                <a:solidFill>
                  <a:schemeClr val="lt1"/>
                </a:solidFill>
              </a:ln>
              <a:effectLst/>
            </c:spPr>
            <c:extLst>
              <c:ext xmlns:c16="http://schemas.microsoft.com/office/drawing/2014/chart" uri="{C3380CC4-5D6E-409C-BE32-E72D297353CC}">
                <c16:uniqueId val="{000003CF-A59A-41E8-BE5C-6AA61ED2A977}"/>
              </c:ext>
            </c:extLst>
          </c:dPt>
          <c:dPt>
            <c:idx val="488"/>
            <c:bubble3D val="0"/>
            <c:spPr>
              <a:solidFill>
                <a:schemeClr val="accent3"/>
              </a:solidFill>
              <a:ln w="19050">
                <a:solidFill>
                  <a:schemeClr val="lt1"/>
                </a:solidFill>
              </a:ln>
              <a:effectLst/>
            </c:spPr>
            <c:extLst>
              <c:ext xmlns:c16="http://schemas.microsoft.com/office/drawing/2014/chart" uri="{C3380CC4-5D6E-409C-BE32-E72D297353CC}">
                <c16:uniqueId val="{000003D1-A59A-41E8-BE5C-6AA61ED2A977}"/>
              </c:ext>
            </c:extLst>
          </c:dPt>
          <c:dPt>
            <c:idx val="489"/>
            <c:bubble3D val="0"/>
            <c:spPr>
              <a:solidFill>
                <a:schemeClr val="accent4"/>
              </a:solidFill>
              <a:ln w="19050">
                <a:solidFill>
                  <a:schemeClr val="lt1"/>
                </a:solidFill>
              </a:ln>
              <a:effectLst/>
            </c:spPr>
            <c:extLst>
              <c:ext xmlns:c16="http://schemas.microsoft.com/office/drawing/2014/chart" uri="{C3380CC4-5D6E-409C-BE32-E72D297353CC}">
                <c16:uniqueId val="{000003D3-A59A-41E8-BE5C-6AA61ED2A977}"/>
              </c:ext>
            </c:extLst>
          </c:dPt>
          <c:dPt>
            <c:idx val="490"/>
            <c:bubble3D val="0"/>
            <c:spPr>
              <a:solidFill>
                <a:schemeClr val="accent5"/>
              </a:solidFill>
              <a:ln w="19050">
                <a:solidFill>
                  <a:schemeClr val="lt1"/>
                </a:solidFill>
              </a:ln>
              <a:effectLst/>
            </c:spPr>
            <c:extLst>
              <c:ext xmlns:c16="http://schemas.microsoft.com/office/drawing/2014/chart" uri="{C3380CC4-5D6E-409C-BE32-E72D297353CC}">
                <c16:uniqueId val="{000003D5-A59A-41E8-BE5C-6AA61ED2A977}"/>
              </c:ext>
            </c:extLst>
          </c:dPt>
          <c:dPt>
            <c:idx val="491"/>
            <c:bubble3D val="0"/>
            <c:spPr>
              <a:solidFill>
                <a:schemeClr val="accent6"/>
              </a:solidFill>
              <a:ln w="19050">
                <a:solidFill>
                  <a:schemeClr val="lt1"/>
                </a:solidFill>
              </a:ln>
              <a:effectLst/>
            </c:spPr>
            <c:extLst>
              <c:ext xmlns:c16="http://schemas.microsoft.com/office/drawing/2014/chart" uri="{C3380CC4-5D6E-409C-BE32-E72D297353CC}">
                <c16:uniqueId val="{000003D7-A59A-41E8-BE5C-6AA61ED2A977}"/>
              </c:ext>
            </c:extLst>
          </c:dPt>
          <c:dPt>
            <c:idx val="492"/>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3D9-A59A-41E8-BE5C-6AA61ED2A977}"/>
              </c:ext>
            </c:extLst>
          </c:dPt>
          <c:dPt>
            <c:idx val="49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3DB-A59A-41E8-BE5C-6AA61ED2A977}"/>
              </c:ext>
            </c:extLst>
          </c:dPt>
          <c:dPt>
            <c:idx val="49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3DD-A59A-41E8-BE5C-6AA61ED2A977}"/>
              </c:ext>
            </c:extLst>
          </c:dPt>
          <c:dPt>
            <c:idx val="49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3DF-A59A-41E8-BE5C-6AA61ED2A977}"/>
              </c:ext>
            </c:extLst>
          </c:dPt>
          <c:dPt>
            <c:idx val="496"/>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3E1-A59A-41E8-BE5C-6AA61ED2A977}"/>
              </c:ext>
            </c:extLst>
          </c:dPt>
          <c:dPt>
            <c:idx val="497"/>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3E3-F340-45F9-AD4B-C93ECB348D8E}"/>
              </c:ext>
            </c:extLst>
          </c:dPt>
          <c:dPt>
            <c:idx val="498"/>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3E5-F340-45F9-AD4B-C93ECB348D8E}"/>
              </c:ext>
            </c:extLst>
          </c:dPt>
          <c:dPt>
            <c:idx val="499"/>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3E7-F340-45F9-AD4B-C93ECB348D8E}"/>
              </c:ext>
            </c:extLst>
          </c:dPt>
          <c:dPt>
            <c:idx val="500"/>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3E9-F340-45F9-AD4B-C93ECB348D8E}"/>
              </c:ext>
            </c:extLst>
          </c:dPt>
          <c:dPt>
            <c:idx val="501"/>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3EB-F340-45F9-AD4B-C93ECB348D8E}"/>
              </c:ext>
            </c:extLst>
          </c:dPt>
          <c:dPt>
            <c:idx val="502"/>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3ED-F340-45F9-AD4B-C93ECB348D8E}"/>
              </c:ext>
            </c:extLst>
          </c:dPt>
          <c:dPt>
            <c:idx val="503"/>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3EF-F340-45F9-AD4B-C93ECB348D8E}"/>
              </c:ext>
            </c:extLst>
          </c:dPt>
          <c:dPt>
            <c:idx val="504"/>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3F1-F340-45F9-AD4B-C93ECB348D8E}"/>
              </c:ext>
            </c:extLst>
          </c:dPt>
          <c:dPt>
            <c:idx val="505"/>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3F3-F340-45F9-AD4B-C93ECB348D8E}"/>
              </c:ext>
            </c:extLst>
          </c:dPt>
          <c:dPt>
            <c:idx val="506"/>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3F5-F340-45F9-AD4B-C93ECB348D8E}"/>
              </c:ext>
            </c:extLst>
          </c:dPt>
          <c:dPt>
            <c:idx val="507"/>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3F7-F340-45F9-AD4B-C93ECB348D8E}"/>
              </c:ext>
            </c:extLst>
          </c:dPt>
          <c:dPt>
            <c:idx val="508"/>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3F9-F340-45F9-AD4B-C93ECB348D8E}"/>
              </c:ext>
            </c:extLst>
          </c:dPt>
          <c:dPt>
            <c:idx val="509"/>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3FB-F340-45F9-AD4B-C93ECB348D8E}"/>
              </c:ext>
            </c:extLst>
          </c:dPt>
          <c:dPt>
            <c:idx val="51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3FD-F340-45F9-AD4B-C93ECB348D8E}"/>
              </c:ext>
            </c:extLst>
          </c:dPt>
          <c:dPt>
            <c:idx val="51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3FF-F340-45F9-AD4B-C93ECB348D8E}"/>
              </c:ext>
            </c:extLst>
          </c:dPt>
          <c:dPt>
            <c:idx val="512"/>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401-F340-45F9-AD4B-C93ECB348D8E}"/>
              </c:ext>
            </c:extLst>
          </c:dPt>
          <c:dPt>
            <c:idx val="51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403-F340-45F9-AD4B-C93ECB348D8E}"/>
              </c:ext>
            </c:extLst>
          </c:dPt>
          <c:dPt>
            <c:idx val="51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405-F340-45F9-AD4B-C93ECB348D8E}"/>
              </c:ext>
            </c:extLst>
          </c:dPt>
          <c:dPt>
            <c:idx val="515"/>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407-F340-45F9-AD4B-C93ECB348D8E}"/>
              </c:ext>
            </c:extLst>
          </c:dPt>
          <c:dPt>
            <c:idx val="516"/>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409-F340-45F9-AD4B-C93ECB348D8E}"/>
              </c:ext>
            </c:extLst>
          </c:dPt>
          <c:dPt>
            <c:idx val="517"/>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40B-F340-45F9-AD4B-C93ECB348D8E}"/>
              </c:ext>
            </c:extLst>
          </c:dPt>
          <c:dPt>
            <c:idx val="518"/>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40D-F340-45F9-AD4B-C93ECB348D8E}"/>
              </c:ext>
            </c:extLst>
          </c:dPt>
          <c:dPt>
            <c:idx val="51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40F-F340-45F9-AD4B-C93ECB348D8E}"/>
              </c:ext>
            </c:extLst>
          </c:dPt>
          <c:dPt>
            <c:idx val="520"/>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411-F340-45F9-AD4B-C93ECB348D8E}"/>
              </c:ext>
            </c:extLst>
          </c:dPt>
          <c:dPt>
            <c:idx val="521"/>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413-F340-45F9-AD4B-C93ECB348D8E}"/>
              </c:ext>
            </c:extLst>
          </c:dPt>
          <c:dPt>
            <c:idx val="522"/>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415-F340-45F9-AD4B-C93ECB348D8E}"/>
              </c:ext>
            </c:extLst>
          </c:dPt>
          <c:dPt>
            <c:idx val="523"/>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417-F340-45F9-AD4B-C93ECB348D8E}"/>
              </c:ext>
            </c:extLst>
          </c:dPt>
          <c:dPt>
            <c:idx val="524"/>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419-F340-45F9-AD4B-C93ECB348D8E}"/>
              </c:ext>
            </c:extLst>
          </c:dPt>
          <c:dPt>
            <c:idx val="525"/>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41B-F340-45F9-AD4B-C93ECB348D8E}"/>
              </c:ext>
            </c:extLst>
          </c:dPt>
          <c:dPt>
            <c:idx val="526"/>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41D-F340-45F9-AD4B-C93ECB348D8E}"/>
              </c:ext>
            </c:extLst>
          </c:dPt>
          <c:dPt>
            <c:idx val="527"/>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41F-F340-45F9-AD4B-C93ECB348D8E}"/>
              </c:ext>
            </c:extLst>
          </c:dPt>
          <c:dPt>
            <c:idx val="528"/>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421-F340-45F9-AD4B-C93ECB348D8E}"/>
              </c:ext>
            </c:extLst>
          </c:dPt>
          <c:dPt>
            <c:idx val="529"/>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423-F340-45F9-AD4B-C93ECB348D8E}"/>
              </c:ext>
            </c:extLst>
          </c:dPt>
          <c:dPt>
            <c:idx val="530"/>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425-F340-45F9-AD4B-C93ECB348D8E}"/>
              </c:ext>
            </c:extLst>
          </c:dPt>
          <c:dPt>
            <c:idx val="531"/>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427-F340-45F9-AD4B-C93ECB348D8E}"/>
              </c:ext>
            </c:extLst>
          </c:dPt>
          <c:dPt>
            <c:idx val="532"/>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429-F340-45F9-AD4B-C93ECB348D8E}"/>
              </c:ext>
            </c:extLst>
          </c:dPt>
          <c:dPt>
            <c:idx val="533"/>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42B-F340-45F9-AD4B-C93ECB348D8E}"/>
              </c:ext>
            </c:extLst>
          </c:dPt>
          <c:dPt>
            <c:idx val="534"/>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42D-F340-45F9-AD4B-C93ECB348D8E}"/>
              </c:ext>
            </c:extLst>
          </c:dPt>
          <c:dPt>
            <c:idx val="535"/>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42F-F340-45F9-AD4B-C93ECB348D8E}"/>
              </c:ext>
            </c:extLst>
          </c:dPt>
          <c:dPt>
            <c:idx val="536"/>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431-F340-45F9-AD4B-C93ECB348D8E}"/>
              </c:ext>
            </c:extLst>
          </c:dPt>
          <c:dPt>
            <c:idx val="537"/>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433-F340-45F9-AD4B-C93ECB348D8E}"/>
              </c:ext>
            </c:extLst>
          </c:dPt>
          <c:dPt>
            <c:idx val="538"/>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435-F340-45F9-AD4B-C93ECB348D8E}"/>
              </c:ext>
            </c:extLst>
          </c:dPt>
          <c:dPt>
            <c:idx val="539"/>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437-F340-45F9-AD4B-C93ECB348D8E}"/>
              </c:ext>
            </c:extLst>
          </c:dPt>
          <c:dPt>
            <c:idx val="540"/>
            <c:bubble3D val="0"/>
            <c:spPr>
              <a:solidFill>
                <a:schemeClr val="accent1"/>
              </a:solidFill>
              <a:ln w="19050">
                <a:solidFill>
                  <a:schemeClr val="lt1"/>
                </a:solidFill>
              </a:ln>
              <a:effectLst/>
            </c:spPr>
            <c:extLst>
              <c:ext xmlns:c16="http://schemas.microsoft.com/office/drawing/2014/chart" uri="{C3380CC4-5D6E-409C-BE32-E72D297353CC}">
                <c16:uniqueId val="{00000439-F340-45F9-AD4B-C93ECB348D8E}"/>
              </c:ext>
            </c:extLst>
          </c:dPt>
          <c:dPt>
            <c:idx val="541"/>
            <c:bubble3D val="0"/>
            <c:spPr>
              <a:solidFill>
                <a:schemeClr val="accent2"/>
              </a:solidFill>
              <a:ln w="19050">
                <a:solidFill>
                  <a:schemeClr val="lt1"/>
                </a:solidFill>
              </a:ln>
              <a:effectLst/>
            </c:spPr>
            <c:extLst>
              <c:ext xmlns:c16="http://schemas.microsoft.com/office/drawing/2014/chart" uri="{C3380CC4-5D6E-409C-BE32-E72D297353CC}">
                <c16:uniqueId val="{0000043B-F340-45F9-AD4B-C93ECB348D8E}"/>
              </c:ext>
            </c:extLst>
          </c:dPt>
          <c:dPt>
            <c:idx val="542"/>
            <c:bubble3D val="0"/>
            <c:spPr>
              <a:solidFill>
                <a:schemeClr val="accent3"/>
              </a:solidFill>
              <a:ln w="19050">
                <a:solidFill>
                  <a:schemeClr val="lt1"/>
                </a:solidFill>
              </a:ln>
              <a:effectLst/>
            </c:spPr>
            <c:extLst>
              <c:ext xmlns:c16="http://schemas.microsoft.com/office/drawing/2014/chart" uri="{C3380CC4-5D6E-409C-BE32-E72D297353CC}">
                <c16:uniqueId val="{0000043D-F340-45F9-AD4B-C93ECB348D8E}"/>
              </c:ext>
            </c:extLst>
          </c:dPt>
          <c:dPt>
            <c:idx val="543"/>
            <c:bubble3D val="0"/>
            <c:spPr>
              <a:solidFill>
                <a:schemeClr val="accent4"/>
              </a:solidFill>
              <a:ln w="19050">
                <a:solidFill>
                  <a:schemeClr val="lt1"/>
                </a:solidFill>
              </a:ln>
              <a:effectLst/>
            </c:spPr>
            <c:extLst>
              <c:ext xmlns:c16="http://schemas.microsoft.com/office/drawing/2014/chart" uri="{C3380CC4-5D6E-409C-BE32-E72D297353CC}">
                <c16:uniqueId val="{0000043F-F340-45F9-AD4B-C93ECB348D8E}"/>
              </c:ext>
            </c:extLst>
          </c:dPt>
          <c:dPt>
            <c:idx val="544"/>
            <c:bubble3D val="0"/>
            <c:spPr>
              <a:solidFill>
                <a:schemeClr val="accent5"/>
              </a:solidFill>
              <a:ln w="19050">
                <a:solidFill>
                  <a:schemeClr val="lt1"/>
                </a:solidFill>
              </a:ln>
              <a:effectLst/>
            </c:spPr>
            <c:extLst>
              <c:ext xmlns:c16="http://schemas.microsoft.com/office/drawing/2014/chart" uri="{C3380CC4-5D6E-409C-BE32-E72D297353CC}">
                <c16:uniqueId val="{00000441-F340-45F9-AD4B-C93ECB348D8E}"/>
              </c:ext>
            </c:extLst>
          </c:dPt>
          <c:dPt>
            <c:idx val="545"/>
            <c:bubble3D val="0"/>
            <c:spPr>
              <a:solidFill>
                <a:schemeClr val="accent6"/>
              </a:solidFill>
              <a:ln w="19050">
                <a:solidFill>
                  <a:schemeClr val="lt1"/>
                </a:solidFill>
              </a:ln>
              <a:effectLst/>
            </c:spPr>
            <c:extLst>
              <c:ext xmlns:c16="http://schemas.microsoft.com/office/drawing/2014/chart" uri="{C3380CC4-5D6E-409C-BE32-E72D297353CC}">
                <c16:uniqueId val="{00000443-F340-45F9-AD4B-C93ECB348D8E}"/>
              </c:ext>
            </c:extLst>
          </c:dPt>
          <c:dPt>
            <c:idx val="54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445-F340-45F9-AD4B-C93ECB348D8E}"/>
              </c:ext>
            </c:extLst>
          </c:dPt>
          <c:dPt>
            <c:idx val="54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447-F340-45F9-AD4B-C93ECB348D8E}"/>
              </c:ext>
            </c:extLst>
          </c:dPt>
          <c:dPt>
            <c:idx val="54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449-F340-45F9-AD4B-C93ECB348D8E}"/>
              </c:ext>
            </c:extLst>
          </c:dPt>
          <c:dPt>
            <c:idx val="54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44B-F340-45F9-AD4B-C93ECB348D8E}"/>
              </c:ext>
            </c:extLst>
          </c:dPt>
          <c:dPt>
            <c:idx val="55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44D-F340-45F9-AD4B-C93ECB348D8E}"/>
              </c:ext>
            </c:extLst>
          </c:dPt>
          <c:dPt>
            <c:idx val="55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44F-F340-45F9-AD4B-C93ECB348D8E}"/>
              </c:ext>
            </c:extLst>
          </c:dPt>
          <c:dPt>
            <c:idx val="55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451-F340-45F9-AD4B-C93ECB348D8E}"/>
              </c:ext>
            </c:extLst>
          </c:dPt>
          <c:dPt>
            <c:idx val="55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453-F340-45F9-AD4B-C93ECB348D8E}"/>
              </c:ext>
            </c:extLst>
          </c:dPt>
          <c:dPt>
            <c:idx val="55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455-F340-45F9-AD4B-C93ECB348D8E}"/>
              </c:ext>
            </c:extLst>
          </c:dPt>
          <c:dPt>
            <c:idx val="55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457-F340-45F9-AD4B-C93ECB348D8E}"/>
              </c:ext>
            </c:extLst>
          </c:dPt>
          <c:dPt>
            <c:idx val="55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459-F340-45F9-AD4B-C93ECB348D8E}"/>
              </c:ext>
            </c:extLst>
          </c:dPt>
          <c:dPt>
            <c:idx val="55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45B-F340-45F9-AD4B-C93ECB348D8E}"/>
              </c:ext>
            </c:extLst>
          </c:dPt>
          <c:dPt>
            <c:idx val="55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45D-F340-45F9-AD4B-C93ECB348D8E}"/>
              </c:ext>
            </c:extLst>
          </c:dPt>
          <c:dPt>
            <c:idx val="55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45F-F340-45F9-AD4B-C93ECB348D8E}"/>
              </c:ext>
            </c:extLst>
          </c:dPt>
          <c:dPt>
            <c:idx val="56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461-F340-45F9-AD4B-C93ECB348D8E}"/>
              </c:ext>
            </c:extLst>
          </c:dPt>
          <c:dPt>
            <c:idx val="56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463-F340-45F9-AD4B-C93ECB348D8E}"/>
              </c:ext>
            </c:extLst>
          </c:dPt>
          <c:dPt>
            <c:idx val="56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465-F340-45F9-AD4B-C93ECB348D8E}"/>
              </c:ext>
            </c:extLst>
          </c:dPt>
          <c:dPt>
            <c:idx val="56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467-F340-45F9-AD4B-C93ECB348D8E}"/>
              </c:ext>
            </c:extLst>
          </c:dPt>
          <c:dPt>
            <c:idx val="56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469-F340-45F9-AD4B-C93ECB348D8E}"/>
              </c:ext>
            </c:extLst>
          </c:dPt>
          <c:dPt>
            <c:idx val="56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46B-F340-45F9-AD4B-C93ECB348D8E}"/>
              </c:ext>
            </c:extLst>
          </c:dPt>
          <c:dPt>
            <c:idx val="56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46D-F340-45F9-AD4B-C93ECB348D8E}"/>
              </c:ext>
            </c:extLst>
          </c:dPt>
          <c:dPt>
            <c:idx val="56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46F-F340-45F9-AD4B-C93ECB348D8E}"/>
              </c:ext>
            </c:extLst>
          </c:dPt>
          <c:dPt>
            <c:idx val="56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471-F340-45F9-AD4B-C93ECB348D8E}"/>
              </c:ext>
            </c:extLst>
          </c:dPt>
          <c:dPt>
            <c:idx val="56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473-F340-45F9-AD4B-C93ECB348D8E}"/>
              </c:ext>
            </c:extLst>
          </c:dPt>
          <c:dPt>
            <c:idx val="57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475-F340-45F9-AD4B-C93ECB348D8E}"/>
              </c:ext>
            </c:extLst>
          </c:dPt>
          <c:dPt>
            <c:idx val="57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477-F340-45F9-AD4B-C93ECB348D8E}"/>
              </c:ext>
            </c:extLst>
          </c:dPt>
          <c:dPt>
            <c:idx val="57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479-F340-45F9-AD4B-C93ECB348D8E}"/>
              </c:ext>
            </c:extLst>
          </c:dPt>
          <c:dPt>
            <c:idx val="57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47B-F340-45F9-AD4B-C93ECB348D8E}"/>
              </c:ext>
            </c:extLst>
          </c:dPt>
          <c:dPt>
            <c:idx val="57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47D-F340-45F9-AD4B-C93ECB348D8E}"/>
              </c:ext>
            </c:extLst>
          </c:dPt>
          <c:dPt>
            <c:idx val="57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47F-F340-45F9-AD4B-C93ECB348D8E}"/>
              </c:ext>
            </c:extLst>
          </c:dPt>
          <c:dPt>
            <c:idx val="57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481-F340-45F9-AD4B-C93ECB348D8E}"/>
              </c:ext>
            </c:extLst>
          </c:dPt>
          <c:dPt>
            <c:idx val="57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483-F340-45F9-AD4B-C93ECB348D8E}"/>
              </c:ext>
            </c:extLst>
          </c:dPt>
          <c:dPt>
            <c:idx val="57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485-F340-45F9-AD4B-C93ECB348D8E}"/>
              </c:ext>
            </c:extLst>
          </c:dPt>
          <c:dPt>
            <c:idx val="57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487-F340-45F9-AD4B-C93ECB348D8E}"/>
              </c:ext>
            </c:extLst>
          </c:dPt>
          <c:dPt>
            <c:idx val="58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489-F340-45F9-AD4B-C93ECB348D8E}"/>
              </c:ext>
            </c:extLst>
          </c:dPt>
          <c:dPt>
            <c:idx val="58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48B-F340-45F9-AD4B-C93ECB348D8E}"/>
              </c:ext>
            </c:extLst>
          </c:dPt>
          <c:dPt>
            <c:idx val="58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48D-F340-45F9-AD4B-C93ECB348D8E}"/>
              </c:ext>
            </c:extLst>
          </c:dPt>
          <c:dPt>
            <c:idx val="58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48F-F340-45F9-AD4B-C93ECB348D8E}"/>
              </c:ext>
            </c:extLst>
          </c:dPt>
          <c:dPt>
            <c:idx val="58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491-F340-45F9-AD4B-C93ECB348D8E}"/>
              </c:ext>
            </c:extLst>
          </c:dPt>
          <c:dPt>
            <c:idx val="58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493-F340-45F9-AD4B-C93ECB348D8E}"/>
              </c:ext>
            </c:extLst>
          </c:dPt>
          <c:dPt>
            <c:idx val="58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495-F340-45F9-AD4B-C93ECB348D8E}"/>
              </c:ext>
            </c:extLst>
          </c:dPt>
          <c:dPt>
            <c:idx val="58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497-F340-45F9-AD4B-C93ECB348D8E}"/>
              </c:ext>
            </c:extLst>
          </c:dPt>
          <c:dPt>
            <c:idx val="58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499-F340-45F9-AD4B-C93ECB348D8E}"/>
              </c:ext>
            </c:extLst>
          </c:dPt>
          <c:dPt>
            <c:idx val="58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49B-F340-45F9-AD4B-C93ECB348D8E}"/>
              </c:ext>
            </c:extLst>
          </c:dPt>
          <c:dPt>
            <c:idx val="59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49D-F340-45F9-AD4B-C93ECB348D8E}"/>
              </c:ext>
            </c:extLst>
          </c:dPt>
          <c:dPt>
            <c:idx val="59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49F-F340-45F9-AD4B-C93ECB348D8E}"/>
              </c:ext>
            </c:extLst>
          </c:dPt>
          <c:dPt>
            <c:idx val="59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4A1-F340-45F9-AD4B-C93ECB348D8E}"/>
              </c:ext>
            </c:extLst>
          </c:dPt>
          <c:dPt>
            <c:idx val="59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4A3-F340-45F9-AD4B-C93ECB348D8E}"/>
              </c:ext>
            </c:extLst>
          </c:dPt>
          <c:dPt>
            <c:idx val="594"/>
            <c:bubble3D val="0"/>
            <c:spPr>
              <a:solidFill>
                <a:schemeClr val="accent1"/>
              </a:solidFill>
              <a:ln w="19050">
                <a:solidFill>
                  <a:schemeClr val="lt1"/>
                </a:solidFill>
              </a:ln>
              <a:effectLst/>
            </c:spPr>
            <c:extLst>
              <c:ext xmlns:c16="http://schemas.microsoft.com/office/drawing/2014/chart" uri="{C3380CC4-5D6E-409C-BE32-E72D297353CC}">
                <c16:uniqueId val="{000004A5-F340-45F9-AD4B-C93ECB348D8E}"/>
              </c:ext>
            </c:extLst>
          </c:dPt>
          <c:dPt>
            <c:idx val="595"/>
            <c:bubble3D val="0"/>
            <c:spPr>
              <a:solidFill>
                <a:schemeClr val="accent2"/>
              </a:solidFill>
              <a:ln w="19050">
                <a:solidFill>
                  <a:schemeClr val="lt1"/>
                </a:solidFill>
              </a:ln>
              <a:effectLst/>
            </c:spPr>
            <c:extLst>
              <c:ext xmlns:c16="http://schemas.microsoft.com/office/drawing/2014/chart" uri="{C3380CC4-5D6E-409C-BE32-E72D297353CC}">
                <c16:uniqueId val="{000004A7-F340-45F9-AD4B-C93ECB348D8E}"/>
              </c:ext>
            </c:extLst>
          </c:dPt>
          <c:dPt>
            <c:idx val="596"/>
            <c:bubble3D val="0"/>
            <c:spPr>
              <a:solidFill>
                <a:schemeClr val="accent3"/>
              </a:solidFill>
              <a:ln w="19050">
                <a:solidFill>
                  <a:schemeClr val="lt1"/>
                </a:solidFill>
              </a:ln>
              <a:effectLst/>
            </c:spPr>
            <c:extLst>
              <c:ext xmlns:c16="http://schemas.microsoft.com/office/drawing/2014/chart" uri="{C3380CC4-5D6E-409C-BE32-E72D297353CC}">
                <c16:uniqueId val="{000004A9-F340-45F9-AD4B-C93ECB348D8E}"/>
              </c:ext>
            </c:extLst>
          </c:dPt>
          <c:dPt>
            <c:idx val="597"/>
            <c:bubble3D val="0"/>
            <c:spPr>
              <a:solidFill>
                <a:schemeClr val="accent4"/>
              </a:solidFill>
              <a:ln w="19050">
                <a:solidFill>
                  <a:schemeClr val="lt1"/>
                </a:solidFill>
              </a:ln>
              <a:effectLst/>
            </c:spPr>
            <c:extLst>
              <c:ext xmlns:c16="http://schemas.microsoft.com/office/drawing/2014/chart" uri="{C3380CC4-5D6E-409C-BE32-E72D297353CC}">
                <c16:uniqueId val="{000004AB-F340-45F9-AD4B-C93ECB348D8E}"/>
              </c:ext>
            </c:extLst>
          </c:dPt>
          <c:dPt>
            <c:idx val="598"/>
            <c:bubble3D val="0"/>
            <c:spPr>
              <a:solidFill>
                <a:schemeClr val="accent5"/>
              </a:solidFill>
              <a:ln w="19050">
                <a:solidFill>
                  <a:schemeClr val="lt1"/>
                </a:solidFill>
              </a:ln>
              <a:effectLst/>
            </c:spPr>
            <c:extLst>
              <c:ext xmlns:c16="http://schemas.microsoft.com/office/drawing/2014/chart" uri="{C3380CC4-5D6E-409C-BE32-E72D297353CC}">
                <c16:uniqueId val="{000004AD-F340-45F9-AD4B-C93ECB348D8E}"/>
              </c:ext>
            </c:extLst>
          </c:dPt>
          <c:dPt>
            <c:idx val="599"/>
            <c:bubble3D val="0"/>
            <c:spPr>
              <a:solidFill>
                <a:schemeClr val="accent6"/>
              </a:solidFill>
              <a:ln w="19050">
                <a:solidFill>
                  <a:schemeClr val="lt1"/>
                </a:solidFill>
              </a:ln>
              <a:effectLst/>
            </c:spPr>
            <c:extLst>
              <c:ext xmlns:c16="http://schemas.microsoft.com/office/drawing/2014/chart" uri="{C3380CC4-5D6E-409C-BE32-E72D297353CC}">
                <c16:uniqueId val="{000004AF-F340-45F9-AD4B-C93ECB348D8E}"/>
              </c:ext>
            </c:extLst>
          </c:dPt>
          <c:dPt>
            <c:idx val="60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4B1-E4EB-4800-B477-7E49B0C1052C}"/>
              </c:ext>
            </c:extLst>
          </c:dPt>
          <c:dLbls>
            <c:dLbl>
              <c:idx val="492"/>
              <c:showLegendKey val="0"/>
              <c:showVal val="0"/>
              <c:showCatName val="1"/>
              <c:showSerName val="0"/>
              <c:showPercent val="1"/>
              <c:showBubbleSize val="0"/>
              <c:extLst>
                <c:ext xmlns:c15="http://schemas.microsoft.com/office/drawing/2012/chart" uri="{CE6537A1-D6FC-4f65-9D91-7224C49458BB}">
                  <c15:layout>
                    <c:manualLayout>
                      <c:w val="0.23701605288007555"/>
                      <c:h val="0.32885906040268453"/>
                    </c:manualLayout>
                  </c15:layout>
                </c:ext>
                <c:ext xmlns:c16="http://schemas.microsoft.com/office/drawing/2014/chart" uri="{C3380CC4-5D6E-409C-BE32-E72D297353CC}">
                  <c16:uniqueId val="{000003D9-A59A-41E8-BE5C-6AA61ED2A977}"/>
                </c:ext>
              </c:extLst>
            </c:dLbl>
            <c:dLbl>
              <c:idx val="496"/>
              <c:showLegendKey val="0"/>
              <c:showVal val="0"/>
              <c:showCatName val="1"/>
              <c:showSerName val="0"/>
              <c:showPercent val="1"/>
              <c:showBubbleSize val="0"/>
              <c:extLst>
                <c:ext xmlns:c15="http://schemas.microsoft.com/office/drawing/2012/chart" uri="{CE6537A1-D6FC-4f65-9D91-7224C49458BB}">
                  <c15:layout>
                    <c:manualLayout>
                      <c:w val="0.18319169027384324"/>
                      <c:h val="0.33557046979865773"/>
                    </c:manualLayout>
                  </c15:layout>
                </c:ext>
                <c:ext xmlns:c16="http://schemas.microsoft.com/office/drawing/2014/chart" uri="{C3380CC4-5D6E-409C-BE32-E72D297353CC}">
                  <c16:uniqueId val="{000003E1-A59A-41E8-BE5C-6AA61ED2A977}"/>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MASQ2!$AA$4:$AA$604</c:f>
              <c:numCache>
                <c:formatCode>General</c:formatCode>
                <c:ptCount val="6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numCache>
            </c:numRef>
          </c:cat>
          <c:val>
            <c:numRef>
              <c:f>MASQ2!$AB$4:$AB$604</c:f>
              <c:numCache>
                <c:formatCode>General</c:formatCode>
                <c:ptCount val="6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numCache>
            </c:numRef>
          </c:val>
          <c:extLst>
            <c:ext xmlns:c16="http://schemas.microsoft.com/office/drawing/2014/chart" uri="{C3380CC4-5D6E-409C-BE32-E72D297353CC}">
              <c16:uniqueId val="{000003E2-A59A-41E8-BE5C-6AA61ED2A977}"/>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r>
              <a:rPr lang="fr-FR" sz="1050" b="1">
                <a:solidFill>
                  <a:sysClr val="windowText" lastClr="000000"/>
                </a:solidFill>
              </a:rPr>
              <a:t>Substances antibiotiques</a:t>
            </a: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1127470083188754"/>
          <c:y val="0.19800937499999999"/>
          <c:w val="0.7819700164598069"/>
          <c:h val="0.7629298611111111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4C3-4C79-9ECF-AD5B4743E2F7}"/>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B4C3-4C79-9ECF-AD5B4743E2F7}"/>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B4C3-4C79-9ECF-AD5B4743E2F7}"/>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B4C3-4C79-9ECF-AD5B4743E2F7}"/>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B4C3-4C79-9ECF-AD5B4743E2F7}"/>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B4C3-4C79-9ECF-AD5B4743E2F7}"/>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B4C3-4C79-9ECF-AD5B4743E2F7}"/>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B4C3-4C79-9ECF-AD5B4743E2F7}"/>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B4C3-4C79-9ECF-AD5B4743E2F7}"/>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B4C3-4C79-9ECF-AD5B4743E2F7}"/>
              </c:ext>
            </c:extLst>
          </c:dPt>
          <c:dPt>
            <c:idx val="1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15-B4C3-4C79-9ECF-AD5B4743E2F7}"/>
              </c:ext>
            </c:extLst>
          </c:dPt>
          <c:dPt>
            <c:idx val="11"/>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17-B4C3-4C79-9ECF-AD5B4743E2F7}"/>
              </c:ext>
            </c:extLst>
          </c:dPt>
          <c:dPt>
            <c:idx val="1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9-B4C3-4C79-9ECF-AD5B4743E2F7}"/>
              </c:ext>
            </c:extLst>
          </c:dPt>
          <c:dPt>
            <c:idx val="13"/>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1B-B4C3-4C79-9ECF-AD5B4743E2F7}"/>
              </c:ext>
            </c:extLst>
          </c:dPt>
          <c:dPt>
            <c:idx val="1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1D-B4C3-4C79-9ECF-AD5B4743E2F7}"/>
              </c:ext>
            </c:extLst>
          </c:dPt>
          <c:dPt>
            <c:idx val="15"/>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F-B4C3-4C79-9ECF-AD5B4743E2F7}"/>
              </c:ext>
            </c:extLst>
          </c:dPt>
          <c:dPt>
            <c:idx val="1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21-B4C3-4C79-9ECF-AD5B4743E2F7}"/>
              </c:ext>
            </c:extLst>
          </c:dPt>
          <c:dPt>
            <c:idx val="17"/>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23-B4C3-4C79-9ECF-AD5B4743E2F7}"/>
              </c:ext>
            </c:extLst>
          </c:dPt>
          <c:dPt>
            <c:idx val="18"/>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25-B4C3-4C79-9ECF-AD5B4743E2F7}"/>
              </c:ext>
            </c:extLst>
          </c:dPt>
          <c:dPt>
            <c:idx val="19"/>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27-B4C3-4C79-9ECF-AD5B4743E2F7}"/>
              </c:ext>
            </c:extLst>
          </c:dPt>
          <c:dPt>
            <c:idx val="2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29-B4C3-4C79-9ECF-AD5B4743E2F7}"/>
              </c:ext>
            </c:extLst>
          </c:dPt>
          <c:dPt>
            <c:idx val="21"/>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2B-B4C3-4C79-9ECF-AD5B4743E2F7}"/>
              </c:ext>
            </c:extLst>
          </c:dPt>
          <c:dPt>
            <c:idx val="22"/>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2D-B4C3-4C79-9ECF-AD5B4743E2F7}"/>
              </c:ext>
            </c:extLst>
          </c:dPt>
          <c:dPt>
            <c:idx val="23"/>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2F-B4C3-4C79-9ECF-AD5B4743E2F7}"/>
              </c:ext>
            </c:extLst>
          </c:dPt>
          <c:dPt>
            <c:idx val="24"/>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31-B4C3-4C79-9ECF-AD5B4743E2F7}"/>
              </c:ext>
            </c:extLst>
          </c:dPt>
          <c:dPt>
            <c:idx val="25"/>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33-B4C3-4C79-9ECF-AD5B4743E2F7}"/>
              </c:ext>
            </c:extLst>
          </c:dPt>
          <c:dPt>
            <c:idx val="26"/>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35-B4C3-4C79-9ECF-AD5B4743E2F7}"/>
              </c:ext>
            </c:extLst>
          </c:dPt>
          <c:dPt>
            <c:idx val="27"/>
            <c:bubble3D val="0"/>
            <c:spPr>
              <a:solidFill>
                <a:schemeClr val="accent1"/>
              </a:solidFill>
              <a:ln w="19050">
                <a:solidFill>
                  <a:schemeClr val="lt1"/>
                </a:solidFill>
              </a:ln>
              <a:effectLst/>
            </c:spPr>
            <c:extLst>
              <c:ext xmlns:c16="http://schemas.microsoft.com/office/drawing/2014/chart" uri="{C3380CC4-5D6E-409C-BE32-E72D297353CC}">
                <c16:uniqueId val="{00000037-B4C3-4C79-9ECF-AD5B4743E2F7}"/>
              </c:ext>
            </c:extLst>
          </c:dPt>
          <c:dPt>
            <c:idx val="28"/>
            <c:bubble3D val="0"/>
            <c:spPr>
              <a:solidFill>
                <a:schemeClr val="accent3"/>
              </a:solidFill>
              <a:ln w="19050">
                <a:solidFill>
                  <a:schemeClr val="lt1"/>
                </a:solidFill>
              </a:ln>
              <a:effectLst/>
            </c:spPr>
            <c:extLst>
              <c:ext xmlns:c16="http://schemas.microsoft.com/office/drawing/2014/chart" uri="{C3380CC4-5D6E-409C-BE32-E72D297353CC}">
                <c16:uniqueId val="{00000039-B4C3-4C79-9ECF-AD5B4743E2F7}"/>
              </c:ext>
            </c:extLst>
          </c:dPt>
          <c:dPt>
            <c:idx val="29"/>
            <c:bubble3D val="0"/>
            <c:spPr>
              <a:solidFill>
                <a:schemeClr val="accent5"/>
              </a:solidFill>
              <a:ln w="19050">
                <a:solidFill>
                  <a:schemeClr val="lt1"/>
                </a:solidFill>
              </a:ln>
              <a:effectLst/>
            </c:spPr>
            <c:extLst>
              <c:ext xmlns:c16="http://schemas.microsoft.com/office/drawing/2014/chart" uri="{C3380CC4-5D6E-409C-BE32-E72D297353CC}">
                <c16:uniqueId val="{0000003B-B4C3-4C79-9ECF-AD5B4743E2F7}"/>
              </c:ext>
            </c:extLst>
          </c:dPt>
          <c:dPt>
            <c:idx val="3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3D-B4C3-4C79-9ECF-AD5B4743E2F7}"/>
              </c:ext>
            </c:extLst>
          </c:dPt>
          <c:dPt>
            <c:idx val="31"/>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3F-B4C3-4C79-9ECF-AD5B4743E2F7}"/>
              </c:ext>
            </c:extLst>
          </c:dPt>
          <c:dPt>
            <c:idx val="32"/>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41-B4C3-4C79-9ECF-AD5B4743E2F7}"/>
              </c:ext>
            </c:extLst>
          </c:dPt>
          <c:dPt>
            <c:idx val="33"/>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43-B4C3-4C79-9ECF-AD5B4743E2F7}"/>
              </c:ext>
            </c:extLst>
          </c:dPt>
          <c:dPt>
            <c:idx val="3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45-B4C3-4C79-9ECF-AD5B4743E2F7}"/>
              </c:ext>
            </c:extLst>
          </c:dPt>
          <c:dPt>
            <c:idx val="35"/>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47-B4C3-4C79-9ECF-AD5B4743E2F7}"/>
              </c:ext>
            </c:extLst>
          </c:dPt>
          <c:dPt>
            <c:idx val="36"/>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49-B4C3-4C79-9ECF-AD5B4743E2F7}"/>
              </c:ext>
            </c:extLst>
          </c:dPt>
          <c:dPt>
            <c:idx val="37"/>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4B-B4C3-4C79-9ECF-AD5B4743E2F7}"/>
              </c:ext>
            </c:extLst>
          </c:dPt>
          <c:dPt>
            <c:idx val="38"/>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4D-B4C3-4C79-9ECF-AD5B4743E2F7}"/>
              </c:ext>
            </c:extLst>
          </c:dPt>
          <c:dPt>
            <c:idx val="3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4F-B4C3-4C79-9ECF-AD5B4743E2F7}"/>
              </c:ext>
            </c:extLst>
          </c:dPt>
          <c:dPt>
            <c:idx val="4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51-B4C3-4C79-9ECF-AD5B4743E2F7}"/>
              </c:ext>
            </c:extLst>
          </c:dPt>
          <c:dPt>
            <c:idx val="41"/>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53-B4C3-4C79-9ECF-AD5B4743E2F7}"/>
              </c:ext>
            </c:extLst>
          </c:dPt>
          <c:dPt>
            <c:idx val="4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55-B4C3-4C79-9ECF-AD5B4743E2F7}"/>
              </c:ext>
            </c:extLst>
          </c:dPt>
          <c:dPt>
            <c:idx val="43"/>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57-B4C3-4C79-9ECF-AD5B4743E2F7}"/>
              </c:ext>
            </c:extLst>
          </c:dPt>
          <c:dPt>
            <c:idx val="4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59-B4C3-4C79-9ECF-AD5B4743E2F7}"/>
              </c:ext>
            </c:extLst>
          </c:dPt>
          <c:dPt>
            <c:idx val="45"/>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5B-B4C3-4C79-9ECF-AD5B4743E2F7}"/>
              </c:ext>
            </c:extLst>
          </c:dPt>
          <c:dPt>
            <c:idx val="46"/>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5D-B4C3-4C79-9ECF-AD5B4743E2F7}"/>
              </c:ext>
            </c:extLst>
          </c:dPt>
          <c:dPt>
            <c:idx val="47"/>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5F-B4C3-4C79-9ECF-AD5B4743E2F7}"/>
              </c:ext>
            </c:extLst>
          </c:dPt>
          <c:dPt>
            <c:idx val="48"/>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61-B4C3-4C79-9ECF-AD5B4743E2F7}"/>
              </c:ext>
            </c:extLst>
          </c:dPt>
          <c:dPt>
            <c:idx val="49"/>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63-B4C3-4C79-9ECF-AD5B4743E2F7}"/>
              </c:ext>
            </c:extLst>
          </c:dPt>
          <c:dPt>
            <c:idx val="50"/>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65-B4C3-4C79-9ECF-AD5B4743E2F7}"/>
              </c:ext>
            </c:extLst>
          </c:dPt>
          <c:dPt>
            <c:idx val="51"/>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67-B4C3-4C79-9ECF-AD5B4743E2F7}"/>
              </c:ext>
            </c:extLst>
          </c:dPt>
          <c:dPt>
            <c:idx val="52"/>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69-B4C3-4C79-9ECF-AD5B4743E2F7}"/>
              </c:ext>
            </c:extLst>
          </c:dPt>
          <c:dPt>
            <c:idx val="53"/>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6B-B4C3-4C79-9ECF-AD5B4743E2F7}"/>
              </c:ext>
            </c:extLst>
          </c:dPt>
          <c:dPt>
            <c:idx val="54"/>
            <c:bubble3D val="0"/>
            <c:spPr>
              <a:solidFill>
                <a:schemeClr val="accent1"/>
              </a:solidFill>
              <a:ln w="19050">
                <a:solidFill>
                  <a:schemeClr val="lt1"/>
                </a:solidFill>
              </a:ln>
              <a:effectLst/>
            </c:spPr>
            <c:extLst>
              <c:ext xmlns:c16="http://schemas.microsoft.com/office/drawing/2014/chart" uri="{C3380CC4-5D6E-409C-BE32-E72D297353CC}">
                <c16:uniqueId val="{0000006D-B4C3-4C79-9ECF-AD5B4743E2F7}"/>
              </c:ext>
            </c:extLst>
          </c:dPt>
          <c:dPt>
            <c:idx val="55"/>
            <c:bubble3D val="0"/>
            <c:spPr>
              <a:solidFill>
                <a:schemeClr val="accent3"/>
              </a:solidFill>
              <a:ln w="19050">
                <a:solidFill>
                  <a:schemeClr val="lt1"/>
                </a:solidFill>
              </a:ln>
              <a:effectLst/>
            </c:spPr>
            <c:extLst>
              <c:ext xmlns:c16="http://schemas.microsoft.com/office/drawing/2014/chart" uri="{C3380CC4-5D6E-409C-BE32-E72D297353CC}">
                <c16:uniqueId val="{0000006F-B4C3-4C79-9ECF-AD5B4743E2F7}"/>
              </c:ext>
            </c:extLst>
          </c:dPt>
          <c:dPt>
            <c:idx val="56"/>
            <c:bubble3D val="0"/>
            <c:spPr>
              <a:solidFill>
                <a:schemeClr val="accent5"/>
              </a:solidFill>
              <a:ln w="19050">
                <a:solidFill>
                  <a:schemeClr val="lt1"/>
                </a:solidFill>
              </a:ln>
              <a:effectLst/>
            </c:spPr>
            <c:extLst>
              <c:ext xmlns:c16="http://schemas.microsoft.com/office/drawing/2014/chart" uri="{C3380CC4-5D6E-409C-BE32-E72D297353CC}">
                <c16:uniqueId val="{00000071-B4C3-4C79-9ECF-AD5B4743E2F7}"/>
              </c:ext>
            </c:extLst>
          </c:dPt>
          <c:dPt>
            <c:idx val="57"/>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73-B4C3-4C79-9ECF-AD5B4743E2F7}"/>
              </c:ext>
            </c:extLst>
          </c:dPt>
          <c:dPt>
            <c:idx val="5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75-B4C3-4C79-9ECF-AD5B4743E2F7}"/>
              </c:ext>
            </c:extLst>
          </c:dPt>
          <c:dPt>
            <c:idx val="59"/>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77-B4C3-4C79-9ECF-AD5B4743E2F7}"/>
              </c:ext>
            </c:extLst>
          </c:dPt>
          <c:dPt>
            <c:idx val="60"/>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79-B4C3-4C79-9ECF-AD5B4743E2F7}"/>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MASQ2!$AI$4:$AI$64</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cat>
          <c:val>
            <c:numRef>
              <c:f>MASQ2!$AJ$4:$AJ$64</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val>
          <c:extLst>
            <c:ext xmlns:c16="http://schemas.microsoft.com/office/drawing/2014/chart" uri="{C3380CC4-5D6E-409C-BE32-E72D297353CC}">
              <c16:uniqueId val="{0000007A-B4C3-4C79-9ECF-AD5B4743E2F7}"/>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r>
              <a:rPr lang="fr-FR" sz="1050" b="1">
                <a:solidFill>
                  <a:sysClr val="windowText" lastClr="000000"/>
                </a:solidFill>
              </a:rPr>
              <a:t>Famille d'antibiotiques</a:t>
            </a: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8512275471111059"/>
          <c:y val="0.18215349162832883"/>
          <c:w val="0.67751915985550837"/>
          <c:h val="0.7824447419950572"/>
        </c:manualLayout>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99B9-47F8-85CF-F2722E660625}"/>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99B9-47F8-85CF-F2722E660625}"/>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99B9-47F8-85CF-F2722E660625}"/>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99B9-47F8-85CF-F2722E660625}"/>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99B9-47F8-85CF-F2722E660625}"/>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99B9-47F8-85CF-F2722E660625}"/>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99B9-47F8-85CF-F2722E660625}"/>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99B9-47F8-85CF-F2722E660625}"/>
              </c:ext>
            </c:extLst>
          </c:dPt>
          <c:dPt>
            <c:idx val="8"/>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11-99B9-47F8-85CF-F2722E660625}"/>
              </c:ext>
            </c:extLst>
          </c:dPt>
          <c:dPt>
            <c:idx val="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13-99B9-47F8-85CF-F2722E660625}"/>
              </c:ext>
            </c:extLst>
          </c:dPt>
          <c:dPt>
            <c:idx val="10"/>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15-99B9-47F8-85CF-F2722E660625}"/>
              </c:ext>
            </c:extLst>
          </c:dPt>
          <c:dPt>
            <c:idx val="11"/>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17-99B9-47F8-85CF-F2722E660625}"/>
              </c:ext>
            </c:extLst>
          </c:dPt>
          <c:dPt>
            <c:idx val="12"/>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19-99B9-47F8-85CF-F2722E660625}"/>
              </c:ext>
            </c:extLst>
          </c:dPt>
          <c:dPt>
            <c:idx val="1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B-99B9-47F8-85CF-F2722E660625}"/>
              </c:ext>
            </c:extLst>
          </c:dPt>
          <c:dPt>
            <c:idx val="14"/>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1D-99B9-47F8-85CF-F2722E660625}"/>
              </c:ext>
            </c:extLst>
          </c:dPt>
          <c:dPt>
            <c:idx val="15"/>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1F-99B9-47F8-85CF-F2722E660625}"/>
              </c:ext>
            </c:extLst>
          </c:dPt>
          <c:dPt>
            <c:idx val="16"/>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21-99B9-47F8-85CF-F2722E660625}"/>
              </c:ext>
            </c:extLst>
          </c:dPt>
          <c:dPt>
            <c:idx val="17"/>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23-99B9-47F8-85CF-F2722E660625}"/>
              </c:ext>
            </c:extLst>
          </c:dPt>
          <c:dPt>
            <c:idx val="18"/>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25-99B9-47F8-85CF-F2722E660625}"/>
              </c:ext>
            </c:extLst>
          </c:dPt>
          <c:dPt>
            <c:idx val="1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27-99B9-47F8-85CF-F2722E660625}"/>
              </c:ext>
            </c:extLst>
          </c:dPt>
          <c:dPt>
            <c:idx val="20"/>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29-99B9-47F8-85CF-F2722E660625}"/>
              </c:ext>
            </c:extLst>
          </c:dPt>
          <c:dPt>
            <c:idx val="21"/>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2B-99B9-47F8-85CF-F2722E660625}"/>
              </c:ext>
            </c:extLst>
          </c:dPt>
          <c:dPt>
            <c:idx val="22"/>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2D-99B9-47F8-85CF-F2722E660625}"/>
              </c:ext>
            </c:extLst>
          </c:dPt>
          <c:dPt>
            <c:idx val="23"/>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2F-99B9-47F8-85CF-F2722E660625}"/>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MASQ2!$AQ$4:$AQ$25</c:f>
              <c:numCache>
                <c:formatCode>General</c:formatCode>
                <c:ptCount val="2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numCache>
            </c:numRef>
          </c:cat>
          <c:val>
            <c:numRef>
              <c:f>MASQ2!$AR$4:$AR$25</c:f>
              <c:numCache>
                <c:formatCode>General</c:formatCode>
                <c:ptCount val="2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numCache>
            </c:numRef>
          </c:val>
          <c:extLst>
            <c:ext xmlns:c16="http://schemas.microsoft.com/office/drawing/2014/chart" uri="{C3380CC4-5D6E-409C-BE32-E72D297353CC}">
              <c16:uniqueId val="{00000030-99B9-47F8-85CF-F2722E660625}"/>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Narrow" panose="020B0606020202030204" pitchFamily="34" charset="0"/>
                <a:ea typeface="+mn-ea"/>
                <a:cs typeface="+mn-cs"/>
              </a:defRPr>
            </a:pPr>
            <a:r>
              <a:rPr lang="fr-FR" sz="1600" b="1" i="0" baseline="0">
                <a:effectLst/>
              </a:rPr>
              <a:t>Répartition du nombre de traitement par animal durant l'année étudiée</a:t>
            </a:r>
            <a:endParaRPr lang="fr-FR" sz="1600">
              <a:effectLst/>
            </a:endParaRP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5.7183701723958313E-2"/>
          <c:y val="0.17202099737532808"/>
          <c:w val="0.70922739017316561"/>
          <c:h val="0.66006896596183207"/>
        </c:manualLayout>
      </c:layout>
      <c:barChart>
        <c:barDir val="col"/>
        <c:grouping val="stacked"/>
        <c:varyColors val="0"/>
        <c:ser>
          <c:idx val="0"/>
          <c:order val="0"/>
          <c:tx>
            <c:strRef>
              <c:f>MASQ2!$AT$5</c:f>
              <c:strCache>
                <c:ptCount val="1"/>
              </c:strCache>
            </c:strRef>
          </c:tx>
          <c:spPr>
            <a:solidFill>
              <a:schemeClr val="accent1"/>
            </a:solidFill>
            <a:ln>
              <a:noFill/>
            </a:ln>
            <a:effectLst/>
          </c:spPr>
          <c:invertIfNegative val="0"/>
          <c:cat>
            <c:strRef>
              <c:f>MASQ2!$AU$3:$BF$3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MASQ2!$AU$5:$BF$5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53B-427C-AEC7-3E6AE6FAAD9F}"/>
            </c:ext>
          </c:extLst>
        </c:ser>
        <c:ser>
          <c:idx val="1"/>
          <c:order val="1"/>
          <c:tx>
            <c:strRef>
              <c:f>MASQ2!$AT$6</c:f>
              <c:strCache>
                <c:ptCount val="1"/>
              </c:strCache>
            </c:strRef>
          </c:tx>
          <c:spPr>
            <a:solidFill>
              <a:schemeClr val="accent2"/>
            </a:solidFill>
            <a:ln>
              <a:noFill/>
            </a:ln>
            <a:effectLst/>
          </c:spPr>
          <c:invertIfNegative val="0"/>
          <c:cat>
            <c:strRef>
              <c:f>MASQ2!$AU$3:$BF$3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MASQ2!$AU$6:$BF$6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53B-427C-AEC7-3E6AE6FAAD9F}"/>
            </c:ext>
          </c:extLst>
        </c:ser>
        <c:ser>
          <c:idx val="2"/>
          <c:order val="2"/>
          <c:tx>
            <c:strRef>
              <c:f>MASQ2!$AT$7</c:f>
              <c:strCache>
                <c:ptCount val="1"/>
              </c:strCache>
            </c:strRef>
          </c:tx>
          <c:spPr>
            <a:solidFill>
              <a:schemeClr val="accent3"/>
            </a:solidFill>
            <a:ln>
              <a:noFill/>
            </a:ln>
            <a:effectLst/>
          </c:spPr>
          <c:invertIfNegative val="0"/>
          <c:cat>
            <c:strRef>
              <c:f>MASQ2!$AU$3:$BF$3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MASQ2!$AU$7:$BF$7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53B-427C-AEC7-3E6AE6FAAD9F}"/>
            </c:ext>
          </c:extLst>
        </c:ser>
        <c:ser>
          <c:idx val="3"/>
          <c:order val="3"/>
          <c:tx>
            <c:strRef>
              <c:f>MASQ2!$AT$8</c:f>
              <c:strCache>
                <c:ptCount val="1"/>
              </c:strCache>
            </c:strRef>
          </c:tx>
          <c:spPr>
            <a:solidFill>
              <a:schemeClr val="accent4"/>
            </a:solidFill>
            <a:ln>
              <a:noFill/>
            </a:ln>
            <a:effectLst/>
          </c:spPr>
          <c:invertIfNegative val="0"/>
          <c:cat>
            <c:strRef>
              <c:f>MASQ2!$AU$3:$BF$3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MASQ2!$AU$8:$BF$8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153B-427C-AEC7-3E6AE6FAAD9F}"/>
            </c:ext>
          </c:extLst>
        </c:ser>
        <c:ser>
          <c:idx val="4"/>
          <c:order val="4"/>
          <c:tx>
            <c:strRef>
              <c:f>MASQ2!$AT$9</c:f>
              <c:strCache>
                <c:ptCount val="1"/>
              </c:strCache>
            </c:strRef>
          </c:tx>
          <c:spPr>
            <a:solidFill>
              <a:schemeClr val="accent5"/>
            </a:solidFill>
            <a:ln>
              <a:noFill/>
            </a:ln>
            <a:effectLst/>
          </c:spPr>
          <c:invertIfNegative val="0"/>
          <c:cat>
            <c:strRef>
              <c:f>MASQ2!$AU$3:$BF$3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MASQ2!$AU$9:$BF$9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153B-427C-AEC7-3E6AE6FAAD9F}"/>
            </c:ext>
          </c:extLst>
        </c:ser>
        <c:ser>
          <c:idx val="5"/>
          <c:order val="5"/>
          <c:tx>
            <c:strRef>
              <c:f>MASQ2!$AT$10</c:f>
              <c:strCache>
                <c:ptCount val="1"/>
              </c:strCache>
            </c:strRef>
          </c:tx>
          <c:spPr>
            <a:solidFill>
              <a:schemeClr val="accent6"/>
            </a:solidFill>
            <a:ln>
              <a:noFill/>
            </a:ln>
            <a:effectLst/>
          </c:spPr>
          <c:invertIfNegative val="0"/>
          <c:cat>
            <c:strRef>
              <c:f>MASQ2!$AU$3:$BF$3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MASQ2!$AU$10:$BF$10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153B-427C-AEC7-3E6AE6FAAD9F}"/>
            </c:ext>
          </c:extLst>
        </c:ser>
        <c:ser>
          <c:idx val="6"/>
          <c:order val="6"/>
          <c:tx>
            <c:strRef>
              <c:f>MASQ2!$AT$11</c:f>
              <c:strCache>
                <c:ptCount val="1"/>
              </c:strCache>
            </c:strRef>
          </c:tx>
          <c:spPr>
            <a:solidFill>
              <a:schemeClr val="accent1">
                <a:lumMod val="60000"/>
              </a:schemeClr>
            </a:solidFill>
            <a:ln>
              <a:noFill/>
            </a:ln>
            <a:effectLst/>
          </c:spPr>
          <c:invertIfNegative val="0"/>
          <c:cat>
            <c:strRef>
              <c:f>MASQ2!$AU$3:$BF$3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MASQ2!$AU$11:$BF$11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153B-427C-AEC7-3E6AE6FAAD9F}"/>
            </c:ext>
          </c:extLst>
        </c:ser>
        <c:ser>
          <c:idx val="7"/>
          <c:order val="7"/>
          <c:tx>
            <c:strRef>
              <c:f>MASQ2!$AT$12</c:f>
              <c:strCache>
                <c:ptCount val="1"/>
              </c:strCache>
            </c:strRef>
          </c:tx>
          <c:spPr>
            <a:solidFill>
              <a:schemeClr val="accent2">
                <a:lumMod val="60000"/>
              </a:schemeClr>
            </a:solidFill>
            <a:ln>
              <a:noFill/>
            </a:ln>
            <a:effectLst/>
          </c:spPr>
          <c:invertIfNegative val="0"/>
          <c:cat>
            <c:strRef>
              <c:f>MASQ2!$AU$3:$BF$3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MASQ2!$AU$12:$BF$12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153B-427C-AEC7-3E6AE6FAAD9F}"/>
            </c:ext>
          </c:extLst>
        </c:ser>
        <c:ser>
          <c:idx val="8"/>
          <c:order val="8"/>
          <c:tx>
            <c:strRef>
              <c:f>MASQ2!$AT$13</c:f>
              <c:strCache>
                <c:ptCount val="1"/>
              </c:strCache>
            </c:strRef>
          </c:tx>
          <c:spPr>
            <a:solidFill>
              <a:schemeClr val="accent3">
                <a:lumMod val="60000"/>
              </a:schemeClr>
            </a:solidFill>
            <a:ln>
              <a:noFill/>
            </a:ln>
            <a:effectLst/>
          </c:spPr>
          <c:invertIfNegative val="0"/>
          <c:cat>
            <c:strRef>
              <c:f>MASQ2!$AU$3:$BF$3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MASQ2!$AU$13:$BF$13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153B-427C-AEC7-3E6AE6FAAD9F}"/>
            </c:ext>
          </c:extLst>
        </c:ser>
        <c:ser>
          <c:idx val="9"/>
          <c:order val="9"/>
          <c:tx>
            <c:strRef>
              <c:f>MASQ2!$AT$14</c:f>
              <c:strCache>
                <c:ptCount val="1"/>
              </c:strCache>
            </c:strRef>
          </c:tx>
          <c:spPr>
            <a:solidFill>
              <a:schemeClr val="accent4">
                <a:lumMod val="60000"/>
              </a:schemeClr>
            </a:solidFill>
            <a:ln>
              <a:noFill/>
            </a:ln>
            <a:effectLst/>
          </c:spPr>
          <c:invertIfNegative val="0"/>
          <c:cat>
            <c:strRef>
              <c:f>MASQ2!$AU$3:$BF$3</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MASQ2!$AU$14:$BF$14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153B-427C-AEC7-3E6AE6FAAD9F}"/>
            </c:ext>
          </c:extLst>
        </c:ser>
        <c:dLbls>
          <c:showLegendKey val="0"/>
          <c:showVal val="0"/>
          <c:showCatName val="0"/>
          <c:showSerName val="0"/>
          <c:showPercent val="0"/>
          <c:showBubbleSize val="0"/>
        </c:dLbls>
        <c:gapWidth val="75"/>
        <c:overlap val="100"/>
        <c:axId val="657994160"/>
        <c:axId val="657991536"/>
      </c:barChart>
      <c:catAx>
        <c:axId val="6579941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657991536"/>
        <c:crosses val="autoZero"/>
        <c:auto val="1"/>
        <c:lblAlgn val="ctr"/>
        <c:lblOffset val="100"/>
        <c:noMultiLvlLbl val="0"/>
      </c:catAx>
      <c:valAx>
        <c:axId val="657991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crossAx val="657994160"/>
        <c:crosses val="autoZero"/>
        <c:crossBetween val="between"/>
      </c:valAx>
      <c:spPr>
        <a:noFill/>
        <a:ln>
          <a:noFill/>
        </a:ln>
        <a:effectLst/>
      </c:spPr>
    </c:plotArea>
    <c:legend>
      <c:legendPos val="r"/>
      <c:layout>
        <c:manualLayout>
          <c:xMode val="edge"/>
          <c:yMode val="edge"/>
          <c:x val="0.7815931019086102"/>
          <c:y val="7.2725442864949336E-2"/>
          <c:w val="0.20533500132108501"/>
          <c:h val="0.869347760533779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r>
              <a:rPr lang="fr-FR" sz="1050" b="1">
                <a:solidFill>
                  <a:sysClr val="windowText" lastClr="000000"/>
                </a:solidFill>
              </a:rPr>
              <a:t>Traitements par voie d'administration</a:t>
            </a: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863286928916629"/>
          <c:y val="0.21538849962693116"/>
          <c:w val="0.64721820319447243"/>
          <c:h val="0.6369313180431556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49A-4760-8D86-A432E24549F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49A-4760-8D86-A432E24549F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49A-4760-8D86-A432E24549F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49A-4760-8D86-A432E24549F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49A-4760-8D86-A432E24549F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49A-4760-8D86-A432E24549F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49A-4760-8D86-A432E24549F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49A-4760-8D86-A432E24549F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49A-4760-8D86-A432E24549F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449A-4760-8D86-A432E24549F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449A-4760-8D86-A432E24549F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449A-4760-8D86-A432E24549F5}"/>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449A-4760-8D86-A432E24549F5}"/>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449A-4760-8D86-A432E24549F5}"/>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449A-4760-8D86-A432E24549F5}"/>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449A-4760-8D86-A432E24549F5}"/>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449A-4760-8D86-A432E24549F5}"/>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449A-4760-8D86-A432E24549F5}"/>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449A-4760-8D86-A432E24549F5}"/>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449A-4760-8D86-A432E24549F5}"/>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449A-4760-8D86-A432E24549F5}"/>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449A-4760-8D86-A432E24549F5}"/>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449A-4760-8D86-A432E24549F5}"/>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449A-4760-8D86-A432E24549F5}"/>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449A-4760-8D86-A432E24549F5}"/>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3-449A-4760-8D86-A432E24549F5}"/>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35-449A-4760-8D86-A432E24549F5}"/>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449A-4760-8D86-A432E24549F5}"/>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39-449A-4760-8D86-A432E24549F5}"/>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B-449A-4760-8D86-A432E24549F5}"/>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3D-449A-4760-8D86-A432E24549F5}"/>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3F-449A-4760-8D86-A432E24549F5}"/>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1-449A-4760-8D86-A432E24549F5}"/>
              </c:ext>
            </c:extLst>
          </c:dPt>
          <c:dPt>
            <c:idx val="3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43-449A-4760-8D86-A432E24549F5}"/>
              </c:ext>
            </c:extLst>
          </c:dPt>
          <c:dPt>
            <c:idx val="3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45-449A-4760-8D86-A432E24549F5}"/>
              </c:ext>
            </c:extLst>
          </c:dPt>
          <c:dPt>
            <c:idx val="3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47-449A-4760-8D86-A432E24549F5}"/>
              </c:ext>
            </c:extLst>
          </c:dPt>
          <c:dPt>
            <c:idx val="3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49-449A-4760-8D86-A432E24549F5}"/>
              </c:ext>
            </c:extLst>
          </c:dPt>
          <c:dPt>
            <c:idx val="3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4B-449A-4760-8D86-A432E24549F5}"/>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4D-449A-4760-8D86-A432E24549F5}"/>
              </c:ext>
            </c:extLst>
          </c:dPt>
          <c:dPt>
            <c:idx val="3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4F-449A-4760-8D86-A432E24549F5}"/>
              </c:ext>
            </c:extLst>
          </c:dPt>
          <c:dPt>
            <c:idx val="4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51-449A-4760-8D86-A432E24549F5}"/>
              </c:ext>
            </c:extLst>
          </c:dPt>
          <c:dPt>
            <c:idx val="4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53-449A-4760-8D86-A432E24549F5}"/>
              </c:ext>
            </c:extLst>
          </c:dPt>
          <c:dPt>
            <c:idx val="4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55-449A-4760-8D86-A432E24549F5}"/>
              </c:ext>
            </c:extLst>
          </c:dPt>
          <c:dPt>
            <c:idx val="4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57-449A-4760-8D86-A432E24549F5}"/>
              </c:ext>
            </c:extLst>
          </c:dPt>
          <c:dPt>
            <c:idx val="4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59-449A-4760-8D86-A432E24549F5}"/>
              </c:ext>
            </c:extLst>
          </c:dPt>
          <c:dPt>
            <c:idx val="4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5B-449A-4760-8D86-A432E24549F5}"/>
              </c:ext>
            </c:extLst>
          </c:dPt>
          <c:dPt>
            <c:idx val="4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5D-449A-4760-8D86-A432E24549F5}"/>
              </c:ext>
            </c:extLst>
          </c:dPt>
          <c:dPt>
            <c:idx val="4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5F-449A-4760-8D86-A432E24549F5}"/>
              </c:ext>
            </c:extLst>
          </c:dPt>
          <c:dPt>
            <c:idx val="4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61-449A-4760-8D86-A432E24549F5}"/>
              </c:ext>
            </c:extLst>
          </c:dPt>
          <c:dPt>
            <c:idx val="4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063-449A-4760-8D86-A432E24549F5}"/>
              </c:ext>
            </c:extLst>
          </c:dPt>
          <c:dPt>
            <c:idx val="5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65-449A-4760-8D86-A432E24549F5}"/>
              </c:ext>
            </c:extLst>
          </c:dPt>
          <c:dPt>
            <c:idx val="5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067-449A-4760-8D86-A432E24549F5}"/>
              </c:ext>
            </c:extLst>
          </c:dPt>
          <c:dPt>
            <c:idx val="5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69-449A-4760-8D86-A432E24549F5}"/>
              </c:ext>
            </c:extLst>
          </c:dPt>
          <c:dPt>
            <c:idx val="5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06B-449A-4760-8D86-A432E24549F5}"/>
              </c:ext>
            </c:extLst>
          </c:dPt>
          <c:dPt>
            <c:idx val="54"/>
            <c:bubble3D val="0"/>
            <c:spPr>
              <a:solidFill>
                <a:schemeClr val="accent1"/>
              </a:solidFill>
              <a:ln w="19050">
                <a:solidFill>
                  <a:schemeClr val="lt1"/>
                </a:solidFill>
              </a:ln>
              <a:effectLst/>
            </c:spPr>
            <c:extLst>
              <c:ext xmlns:c16="http://schemas.microsoft.com/office/drawing/2014/chart" uri="{C3380CC4-5D6E-409C-BE32-E72D297353CC}">
                <c16:uniqueId val="{0000006D-449A-4760-8D86-A432E24549F5}"/>
              </c:ext>
            </c:extLst>
          </c:dPt>
          <c:dPt>
            <c:idx val="55"/>
            <c:bubble3D val="0"/>
            <c:spPr>
              <a:solidFill>
                <a:schemeClr val="accent2"/>
              </a:solidFill>
              <a:ln w="19050">
                <a:solidFill>
                  <a:schemeClr val="lt1"/>
                </a:solidFill>
              </a:ln>
              <a:effectLst/>
            </c:spPr>
            <c:extLst>
              <c:ext xmlns:c16="http://schemas.microsoft.com/office/drawing/2014/chart" uri="{C3380CC4-5D6E-409C-BE32-E72D297353CC}">
                <c16:uniqueId val="{0000006F-449A-4760-8D86-A432E24549F5}"/>
              </c:ext>
            </c:extLst>
          </c:dPt>
          <c:dPt>
            <c:idx val="56"/>
            <c:bubble3D val="0"/>
            <c:spPr>
              <a:solidFill>
                <a:schemeClr val="accent3"/>
              </a:solidFill>
              <a:ln w="19050">
                <a:solidFill>
                  <a:schemeClr val="lt1"/>
                </a:solidFill>
              </a:ln>
              <a:effectLst/>
            </c:spPr>
            <c:extLst>
              <c:ext xmlns:c16="http://schemas.microsoft.com/office/drawing/2014/chart" uri="{C3380CC4-5D6E-409C-BE32-E72D297353CC}">
                <c16:uniqueId val="{00000071-449A-4760-8D86-A432E24549F5}"/>
              </c:ext>
            </c:extLst>
          </c:dPt>
          <c:dPt>
            <c:idx val="57"/>
            <c:bubble3D val="0"/>
            <c:spPr>
              <a:solidFill>
                <a:schemeClr val="accent4"/>
              </a:solidFill>
              <a:ln w="19050">
                <a:solidFill>
                  <a:schemeClr val="lt1"/>
                </a:solidFill>
              </a:ln>
              <a:effectLst/>
            </c:spPr>
            <c:extLst>
              <c:ext xmlns:c16="http://schemas.microsoft.com/office/drawing/2014/chart" uri="{C3380CC4-5D6E-409C-BE32-E72D297353CC}">
                <c16:uniqueId val="{00000073-449A-4760-8D86-A432E24549F5}"/>
              </c:ext>
            </c:extLst>
          </c:dPt>
          <c:dPt>
            <c:idx val="58"/>
            <c:bubble3D val="0"/>
            <c:spPr>
              <a:solidFill>
                <a:schemeClr val="accent5"/>
              </a:solidFill>
              <a:ln w="19050">
                <a:solidFill>
                  <a:schemeClr val="lt1"/>
                </a:solidFill>
              </a:ln>
              <a:effectLst/>
            </c:spPr>
            <c:extLst>
              <c:ext xmlns:c16="http://schemas.microsoft.com/office/drawing/2014/chart" uri="{C3380CC4-5D6E-409C-BE32-E72D297353CC}">
                <c16:uniqueId val="{00000075-449A-4760-8D86-A432E24549F5}"/>
              </c:ext>
            </c:extLst>
          </c:dPt>
          <c:dPt>
            <c:idx val="59"/>
            <c:bubble3D val="0"/>
            <c:spPr>
              <a:solidFill>
                <a:schemeClr val="accent6"/>
              </a:solidFill>
              <a:ln w="19050">
                <a:solidFill>
                  <a:schemeClr val="lt1"/>
                </a:solidFill>
              </a:ln>
              <a:effectLst/>
            </c:spPr>
            <c:extLst>
              <c:ext xmlns:c16="http://schemas.microsoft.com/office/drawing/2014/chart" uri="{C3380CC4-5D6E-409C-BE32-E72D297353CC}">
                <c16:uniqueId val="{00000077-449A-4760-8D86-A432E24549F5}"/>
              </c:ext>
            </c:extLst>
          </c:dPt>
          <c:dPt>
            <c:idx val="6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79-449A-4760-8D86-A432E24549F5}"/>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MASQ2!$AQ$32:$AQ$38</c:f>
              <c:numCache>
                <c:formatCode>General</c:formatCode>
                <c:ptCount val="7"/>
                <c:pt idx="0">
                  <c:v>#N/A</c:v>
                </c:pt>
                <c:pt idx="1">
                  <c:v>#N/A</c:v>
                </c:pt>
                <c:pt idx="2">
                  <c:v>#N/A</c:v>
                </c:pt>
                <c:pt idx="3">
                  <c:v>#N/A</c:v>
                </c:pt>
                <c:pt idx="4">
                  <c:v>#N/A</c:v>
                </c:pt>
                <c:pt idx="5">
                  <c:v>#N/A</c:v>
                </c:pt>
                <c:pt idx="6">
                  <c:v>#N/A</c:v>
                </c:pt>
              </c:numCache>
            </c:numRef>
          </c:cat>
          <c:val>
            <c:numRef>
              <c:f>MASQ2!$AR$32:$AR$38</c:f>
              <c:numCache>
                <c:formatCode>General</c:formatCode>
                <c:ptCount val="7"/>
                <c:pt idx="0">
                  <c:v>#N/A</c:v>
                </c:pt>
                <c:pt idx="1">
                  <c:v>#N/A</c:v>
                </c:pt>
                <c:pt idx="2">
                  <c:v>#N/A</c:v>
                </c:pt>
                <c:pt idx="3">
                  <c:v>#N/A</c:v>
                </c:pt>
                <c:pt idx="4">
                  <c:v>#N/A</c:v>
                </c:pt>
                <c:pt idx="5">
                  <c:v>#N/A</c:v>
                </c:pt>
                <c:pt idx="6">
                  <c:v>#N/A</c:v>
                </c:pt>
              </c:numCache>
            </c:numRef>
          </c:val>
          <c:extLst>
            <c:ext xmlns:c16="http://schemas.microsoft.com/office/drawing/2014/chart" uri="{C3380CC4-5D6E-409C-BE32-E72D297353CC}">
              <c16:uniqueId val="{0000007A-449A-4760-8D86-A432E24549F5}"/>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Arial Narrow" panose="020B0606020202030204" pitchFamily="34" charset="0"/>
                <a:ea typeface="+mn-ea"/>
                <a:cs typeface="+mn-cs"/>
              </a:defRPr>
            </a:pPr>
            <a:r>
              <a:rPr lang="fr-FR" sz="1050" b="1">
                <a:solidFill>
                  <a:schemeClr val="tx1"/>
                </a:solidFill>
                <a:latin typeface="Arial Narrow" panose="020B0606020202030204" pitchFamily="34" charset="0"/>
              </a:rPr>
              <a:t>Traitements par motif</a:t>
            </a:r>
          </a:p>
        </c:rich>
      </c:tx>
      <c:layout>
        <c:manualLayout>
          <c:xMode val="edge"/>
          <c:yMode val="edge"/>
          <c:x val="0.32784528249758255"/>
          <c:y val="5.4204313846244079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23977642470804511"/>
          <c:y val="0.22047596005806536"/>
          <c:w val="0.53782439138427529"/>
          <c:h val="0.72738251294007239"/>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2C7-4D43-86F5-5D131E93B64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2C7-4D43-86F5-5D131E93B64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2C7-4D43-86F5-5D131E93B64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2C7-4D43-86F5-5D131E93B64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2C7-4D43-86F5-5D131E93B64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2C7-4D43-86F5-5D131E93B64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2C7-4D43-86F5-5D131E93B64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2C7-4D43-86F5-5D131E93B64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22C7-4D43-86F5-5D131E93B64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22C7-4D43-86F5-5D131E93B64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22C7-4D43-86F5-5D131E93B64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22C7-4D43-86F5-5D131E93B64A}"/>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22C7-4D43-86F5-5D131E93B64A}"/>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22C7-4D43-86F5-5D131E93B64A}"/>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22C7-4D43-86F5-5D131E93B64A}"/>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22C7-4D43-86F5-5D131E93B64A}"/>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22C7-4D43-86F5-5D131E93B64A}"/>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22C7-4D43-86F5-5D131E93B64A}"/>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22C7-4D43-86F5-5D131E93B64A}"/>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22C7-4D43-86F5-5D131E93B64A}"/>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MASQ2!$BQ$4:$BQ$23</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cat>
          <c:val>
            <c:numRef>
              <c:f>MASQ2!$BR$4:$BR$23</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28-22C7-4D43-86F5-5D131E93B64A}"/>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r>
              <a:rPr lang="fr-FR" sz="1050" b="1">
                <a:solidFill>
                  <a:sysClr val="windowText" lastClr="000000"/>
                </a:solidFill>
              </a:rPr>
              <a:t>Substances antibiotiques</a:t>
            </a: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1127470083188754"/>
          <c:y val="0.19800937499999999"/>
          <c:w val="0.7819700164598069"/>
          <c:h val="0.7629298611111111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E3A-4CDB-B240-E5AB8B4672D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6E3A-4CDB-B240-E5AB8B4672D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6E3A-4CDB-B240-E5AB8B4672D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6E3A-4CDB-B240-E5AB8B4672D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6E3A-4CDB-B240-E5AB8B4672D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6E3A-4CDB-B240-E5AB8B4672D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6E3A-4CDB-B240-E5AB8B4672D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6E3A-4CDB-B240-E5AB8B4672D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6E3A-4CDB-B240-E5AB8B4672D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6E3A-4CDB-B240-E5AB8B4672D4}"/>
              </c:ext>
            </c:extLst>
          </c:dPt>
          <c:dPt>
            <c:idx val="1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15-6E3A-4CDB-B240-E5AB8B4672D4}"/>
              </c:ext>
            </c:extLst>
          </c:dPt>
          <c:dPt>
            <c:idx val="11"/>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17-6E3A-4CDB-B240-E5AB8B4672D4}"/>
              </c:ext>
            </c:extLst>
          </c:dPt>
          <c:dPt>
            <c:idx val="1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9-6E3A-4CDB-B240-E5AB8B4672D4}"/>
              </c:ext>
            </c:extLst>
          </c:dPt>
          <c:dPt>
            <c:idx val="13"/>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1B-6E3A-4CDB-B240-E5AB8B4672D4}"/>
              </c:ext>
            </c:extLst>
          </c:dPt>
          <c:dPt>
            <c:idx val="14"/>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1D-6E3A-4CDB-B240-E5AB8B4672D4}"/>
              </c:ext>
            </c:extLst>
          </c:dPt>
          <c:dPt>
            <c:idx val="15"/>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1F-6E3A-4CDB-B240-E5AB8B4672D4}"/>
              </c:ext>
            </c:extLst>
          </c:dPt>
          <c:dPt>
            <c:idx val="16"/>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21-6E3A-4CDB-B240-E5AB8B4672D4}"/>
              </c:ext>
            </c:extLst>
          </c:dPt>
          <c:dPt>
            <c:idx val="17"/>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23-6E3A-4CDB-B240-E5AB8B4672D4}"/>
              </c:ext>
            </c:extLst>
          </c:dPt>
          <c:dPt>
            <c:idx val="18"/>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25-6E3A-4CDB-B240-E5AB8B4672D4}"/>
              </c:ext>
            </c:extLst>
          </c:dPt>
          <c:dPt>
            <c:idx val="19"/>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27-6E3A-4CDB-B240-E5AB8B4672D4}"/>
              </c:ext>
            </c:extLst>
          </c:dPt>
          <c:dPt>
            <c:idx val="2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29-6E3A-4CDB-B240-E5AB8B4672D4}"/>
              </c:ext>
            </c:extLst>
          </c:dPt>
          <c:dPt>
            <c:idx val="21"/>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2B-6E3A-4CDB-B240-E5AB8B4672D4}"/>
              </c:ext>
            </c:extLst>
          </c:dPt>
          <c:dPt>
            <c:idx val="22"/>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2D-6E3A-4CDB-B240-E5AB8B4672D4}"/>
              </c:ext>
            </c:extLst>
          </c:dPt>
          <c:dPt>
            <c:idx val="23"/>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2F-6E3A-4CDB-B240-E5AB8B4672D4}"/>
              </c:ext>
            </c:extLst>
          </c:dPt>
          <c:dPt>
            <c:idx val="24"/>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31-6E3A-4CDB-B240-E5AB8B4672D4}"/>
              </c:ext>
            </c:extLst>
          </c:dPt>
          <c:dPt>
            <c:idx val="25"/>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33-6E3A-4CDB-B240-E5AB8B4672D4}"/>
              </c:ext>
            </c:extLst>
          </c:dPt>
          <c:dPt>
            <c:idx val="26"/>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35-6E3A-4CDB-B240-E5AB8B4672D4}"/>
              </c:ext>
            </c:extLst>
          </c:dPt>
          <c:dPt>
            <c:idx val="27"/>
            <c:bubble3D val="0"/>
            <c:spPr>
              <a:solidFill>
                <a:schemeClr val="accent1"/>
              </a:solidFill>
              <a:ln w="19050">
                <a:solidFill>
                  <a:schemeClr val="lt1"/>
                </a:solidFill>
              </a:ln>
              <a:effectLst/>
            </c:spPr>
            <c:extLst>
              <c:ext xmlns:c16="http://schemas.microsoft.com/office/drawing/2014/chart" uri="{C3380CC4-5D6E-409C-BE32-E72D297353CC}">
                <c16:uniqueId val="{00000037-6E3A-4CDB-B240-E5AB8B4672D4}"/>
              </c:ext>
            </c:extLst>
          </c:dPt>
          <c:dPt>
            <c:idx val="28"/>
            <c:bubble3D val="0"/>
            <c:spPr>
              <a:solidFill>
                <a:schemeClr val="accent3"/>
              </a:solidFill>
              <a:ln w="19050">
                <a:solidFill>
                  <a:schemeClr val="lt1"/>
                </a:solidFill>
              </a:ln>
              <a:effectLst/>
            </c:spPr>
            <c:extLst>
              <c:ext xmlns:c16="http://schemas.microsoft.com/office/drawing/2014/chart" uri="{C3380CC4-5D6E-409C-BE32-E72D297353CC}">
                <c16:uniqueId val="{00000039-6E3A-4CDB-B240-E5AB8B4672D4}"/>
              </c:ext>
            </c:extLst>
          </c:dPt>
          <c:dPt>
            <c:idx val="29"/>
            <c:bubble3D val="0"/>
            <c:spPr>
              <a:solidFill>
                <a:schemeClr val="accent5"/>
              </a:solidFill>
              <a:ln w="19050">
                <a:solidFill>
                  <a:schemeClr val="lt1"/>
                </a:solidFill>
              </a:ln>
              <a:effectLst/>
            </c:spPr>
            <c:extLst>
              <c:ext xmlns:c16="http://schemas.microsoft.com/office/drawing/2014/chart" uri="{C3380CC4-5D6E-409C-BE32-E72D297353CC}">
                <c16:uniqueId val="{0000003B-6E3A-4CDB-B240-E5AB8B4672D4}"/>
              </c:ext>
            </c:extLst>
          </c:dPt>
          <c:dPt>
            <c:idx val="3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3D-6E3A-4CDB-B240-E5AB8B4672D4}"/>
              </c:ext>
            </c:extLst>
          </c:dPt>
          <c:dPt>
            <c:idx val="31"/>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3F-6E3A-4CDB-B240-E5AB8B4672D4}"/>
              </c:ext>
            </c:extLst>
          </c:dPt>
          <c:dPt>
            <c:idx val="32"/>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41-6E3A-4CDB-B240-E5AB8B4672D4}"/>
              </c:ext>
            </c:extLst>
          </c:dPt>
          <c:dPt>
            <c:idx val="33"/>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43-6E3A-4CDB-B240-E5AB8B4672D4}"/>
              </c:ext>
            </c:extLst>
          </c:dPt>
          <c:dPt>
            <c:idx val="3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45-6E3A-4CDB-B240-E5AB8B4672D4}"/>
              </c:ext>
            </c:extLst>
          </c:dPt>
          <c:dPt>
            <c:idx val="35"/>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47-6E3A-4CDB-B240-E5AB8B4672D4}"/>
              </c:ext>
            </c:extLst>
          </c:dPt>
          <c:dPt>
            <c:idx val="36"/>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49-6E3A-4CDB-B240-E5AB8B4672D4}"/>
              </c:ext>
            </c:extLst>
          </c:dPt>
          <c:dPt>
            <c:idx val="37"/>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4B-6E3A-4CDB-B240-E5AB8B4672D4}"/>
              </c:ext>
            </c:extLst>
          </c:dPt>
          <c:dPt>
            <c:idx val="38"/>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4D-6E3A-4CDB-B240-E5AB8B4672D4}"/>
              </c:ext>
            </c:extLst>
          </c:dPt>
          <c:dPt>
            <c:idx val="3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4F-6E3A-4CDB-B240-E5AB8B4672D4}"/>
              </c:ext>
            </c:extLst>
          </c:dPt>
          <c:dPt>
            <c:idx val="4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51-6E3A-4CDB-B240-E5AB8B4672D4}"/>
              </c:ext>
            </c:extLst>
          </c:dPt>
          <c:dPt>
            <c:idx val="41"/>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53-6E3A-4CDB-B240-E5AB8B4672D4}"/>
              </c:ext>
            </c:extLst>
          </c:dPt>
          <c:dPt>
            <c:idx val="4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55-6E3A-4CDB-B240-E5AB8B4672D4}"/>
              </c:ext>
            </c:extLst>
          </c:dPt>
          <c:dPt>
            <c:idx val="43"/>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57-6E3A-4CDB-B240-E5AB8B4672D4}"/>
              </c:ext>
            </c:extLst>
          </c:dPt>
          <c:dPt>
            <c:idx val="4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59-6E3A-4CDB-B240-E5AB8B4672D4}"/>
              </c:ext>
            </c:extLst>
          </c:dPt>
          <c:dPt>
            <c:idx val="45"/>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5B-6E3A-4CDB-B240-E5AB8B4672D4}"/>
              </c:ext>
            </c:extLst>
          </c:dPt>
          <c:dPt>
            <c:idx val="46"/>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5D-6E3A-4CDB-B240-E5AB8B4672D4}"/>
              </c:ext>
            </c:extLst>
          </c:dPt>
          <c:dPt>
            <c:idx val="47"/>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5F-6E3A-4CDB-B240-E5AB8B4672D4}"/>
              </c:ext>
            </c:extLst>
          </c:dPt>
          <c:dPt>
            <c:idx val="48"/>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61-6E3A-4CDB-B240-E5AB8B4672D4}"/>
              </c:ext>
            </c:extLst>
          </c:dPt>
          <c:dPt>
            <c:idx val="49"/>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63-6E3A-4CDB-B240-E5AB8B4672D4}"/>
              </c:ext>
            </c:extLst>
          </c:dPt>
          <c:dPt>
            <c:idx val="50"/>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65-6E3A-4CDB-B240-E5AB8B4672D4}"/>
              </c:ext>
            </c:extLst>
          </c:dPt>
          <c:dPt>
            <c:idx val="51"/>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67-6E3A-4CDB-B240-E5AB8B4672D4}"/>
              </c:ext>
            </c:extLst>
          </c:dPt>
          <c:dPt>
            <c:idx val="52"/>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69-6E3A-4CDB-B240-E5AB8B4672D4}"/>
              </c:ext>
            </c:extLst>
          </c:dPt>
          <c:dPt>
            <c:idx val="53"/>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6B-6E3A-4CDB-B240-E5AB8B4672D4}"/>
              </c:ext>
            </c:extLst>
          </c:dPt>
          <c:dPt>
            <c:idx val="54"/>
            <c:bubble3D val="0"/>
            <c:spPr>
              <a:solidFill>
                <a:schemeClr val="accent1"/>
              </a:solidFill>
              <a:ln w="19050">
                <a:solidFill>
                  <a:schemeClr val="lt1"/>
                </a:solidFill>
              </a:ln>
              <a:effectLst/>
            </c:spPr>
            <c:extLst>
              <c:ext xmlns:c16="http://schemas.microsoft.com/office/drawing/2014/chart" uri="{C3380CC4-5D6E-409C-BE32-E72D297353CC}">
                <c16:uniqueId val="{0000006D-6E3A-4CDB-B240-E5AB8B4672D4}"/>
              </c:ext>
            </c:extLst>
          </c:dPt>
          <c:dPt>
            <c:idx val="55"/>
            <c:bubble3D val="0"/>
            <c:spPr>
              <a:solidFill>
                <a:schemeClr val="accent3"/>
              </a:solidFill>
              <a:ln w="19050">
                <a:solidFill>
                  <a:schemeClr val="lt1"/>
                </a:solidFill>
              </a:ln>
              <a:effectLst/>
            </c:spPr>
            <c:extLst>
              <c:ext xmlns:c16="http://schemas.microsoft.com/office/drawing/2014/chart" uri="{C3380CC4-5D6E-409C-BE32-E72D297353CC}">
                <c16:uniqueId val="{0000006F-6E3A-4CDB-B240-E5AB8B4672D4}"/>
              </c:ext>
            </c:extLst>
          </c:dPt>
          <c:dPt>
            <c:idx val="56"/>
            <c:bubble3D val="0"/>
            <c:spPr>
              <a:solidFill>
                <a:schemeClr val="accent5"/>
              </a:solidFill>
              <a:ln w="19050">
                <a:solidFill>
                  <a:schemeClr val="lt1"/>
                </a:solidFill>
              </a:ln>
              <a:effectLst/>
            </c:spPr>
            <c:extLst>
              <c:ext xmlns:c16="http://schemas.microsoft.com/office/drawing/2014/chart" uri="{C3380CC4-5D6E-409C-BE32-E72D297353CC}">
                <c16:uniqueId val="{00000071-6E3A-4CDB-B240-E5AB8B4672D4}"/>
              </c:ext>
            </c:extLst>
          </c:dPt>
          <c:dPt>
            <c:idx val="57"/>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73-6E3A-4CDB-B240-E5AB8B4672D4}"/>
              </c:ext>
            </c:extLst>
          </c:dPt>
          <c:dPt>
            <c:idx val="5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75-6E3A-4CDB-B240-E5AB8B4672D4}"/>
              </c:ext>
            </c:extLst>
          </c:dPt>
          <c:dPt>
            <c:idx val="59"/>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77-6E3A-4CDB-B240-E5AB8B4672D4}"/>
              </c:ext>
            </c:extLst>
          </c:dPt>
          <c:dPt>
            <c:idx val="60"/>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79-6E3A-4CDB-B240-E5AB8B4672D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MASQ2!$CP$4:$CP$64</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cat>
          <c:val>
            <c:numRef>
              <c:f>MASQ2!$CQ$4:$CQ$64</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numCache>
            </c:numRef>
          </c:val>
          <c:extLst>
            <c:ext xmlns:c16="http://schemas.microsoft.com/office/drawing/2014/chart" uri="{C3380CC4-5D6E-409C-BE32-E72D297353CC}">
              <c16:uniqueId val="{0000007A-6E3A-4CDB-B240-E5AB8B4672D4}"/>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r>
              <a:rPr lang="fr-FR" sz="1050" b="1">
                <a:solidFill>
                  <a:sysClr val="windowText" lastClr="000000"/>
                </a:solidFill>
              </a:rPr>
              <a:t>Traitements par voie d'administration</a:t>
            </a: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Narrow" panose="020B0606020202030204" pitchFamily="34" charset="0"/>
              <a:ea typeface="+mn-ea"/>
              <a:cs typeface="+mn-cs"/>
            </a:defRPr>
          </a:pPr>
          <a:endParaRPr lang="fr-FR"/>
        </a:p>
      </c:txPr>
    </c:title>
    <c:autoTitleDeleted val="0"/>
    <c:plotArea>
      <c:layout>
        <c:manualLayout>
          <c:layoutTarget val="inner"/>
          <c:xMode val="edge"/>
          <c:yMode val="edge"/>
          <c:x val="0.11127470083188754"/>
          <c:y val="0.19800937499999999"/>
          <c:w val="0.7819700164598069"/>
          <c:h val="0.7629298611111111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CD0-45D5-A06B-ED353CBDB6D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CD0-45D5-A06B-ED353CBDB6D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CD0-45D5-A06B-ED353CBDB6D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CD0-45D5-A06B-ED353CBDB6D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CD0-45D5-A06B-ED353CBDB6D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CD0-45D5-A06B-ED353CBDB6D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CD0-45D5-A06B-ED353CBDB6D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CD0-45D5-A06B-ED353CBDB6D1}"/>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CD0-45D5-A06B-ED353CBDB6D1}"/>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1CD0-45D5-A06B-ED353CBDB6D1}"/>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1CD0-45D5-A06B-ED353CBDB6D1}"/>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1CD0-45D5-A06B-ED353CBDB6D1}"/>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1CD0-45D5-A06B-ED353CBDB6D1}"/>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1CD0-45D5-A06B-ED353CBDB6D1}"/>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1CD0-45D5-A06B-ED353CBDB6D1}"/>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1CD0-45D5-A06B-ED353CBDB6D1}"/>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1CD0-45D5-A06B-ED353CBDB6D1}"/>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1CD0-45D5-A06B-ED353CBDB6D1}"/>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1CD0-45D5-A06B-ED353CBDB6D1}"/>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1CD0-45D5-A06B-ED353CBDB6D1}"/>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1CD0-45D5-A06B-ED353CBDB6D1}"/>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1CD0-45D5-A06B-ED353CBDB6D1}"/>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1CD0-45D5-A06B-ED353CBDB6D1}"/>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1CD0-45D5-A06B-ED353CBDB6D1}"/>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1CD0-45D5-A06B-ED353CBDB6D1}"/>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3-1CD0-45D5-A06B-ED353CBDB6D1}"/>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35-1CD0-45D5-A06B-ED353CBDB6D1}"/>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1CD0-45D5-A06B-ED353CBDB6D1}"/>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39-1CD0-45D5-A06B-ED353CBDB6D1}"/>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B-1CD0-45D5-A06B-ED353CBDB6D1}"/>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3D-1CD0-45D5-A06B-ED353CBDB6D1}"/>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3F-1CD0-45D5-A06B-ED353CBDB6D1}"/>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1-1CD0-45D5-A06B-ED353CBDB6D1}"/>
              </c:ext>
            </c:extLst>
          </c:dPt>
          <c:dPt>
            <c:idx val="3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43-1CD0-45D5-A06B-ED353CBDB6D1}"/>
              </c:ext>
            </c:extLst>
          </c:dPt>
          <c:dPt>
            <c:idx val="34"/>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45-1CD0-45D5-A06B-ED353CBDB6D1}"/>
              </c:ext>
            </c:extLst>
          </c:dPt>
          <c:dPt>
            <c:idx val="3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47-1CD0-45D5-A06B-ED353CBDB6D1}"/>
              </c:ext>
            </c:extLst>
          </c:dPt>
          <c:dPt>
            <c:idx val="3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49-1CD0-45D5-A06B-ED353CBDB6D1}"/>
              </c:ext>
            </c:extLst>
          </c:dPt>
          <c:dPt>
            <c:idx val="3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4B-1CD0-45D5-A06B-ED353CBDB6D1}"/>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4D-1CD0-45D5-A06B-ED353CBDB6D1}"/>
              </c:ext>
            </c:extLst>
          </c:dPt>
          <c:dPt>
            <c:idx val="3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4F-1CD0-45D5-A06B-ED353CBDB6D1}"/>
              </c:ext>
            </c:extLst>
          </c:dPt>
          <c:dPt>
            <c:idx val="40"/>
            <c:bubble3D val="0"/>
            <c:spPr>
              <a:solidFill>
                <a:schemeClr val="accent5">
                  <a:lumMod val="70000"/>
                  <a:lumOff val="30000"/>
                </a:schemeClr>
              </a:solidFill>
              <a:ln w="19050">
                <a:solidFill>
                  <a:schemeClr val="lt1"/>
                </a:solidFill>
              </a:ln>
              <a:effectLst/>
            </c:spPr>
            <c:extLst>
              <c:ext xmlns:c16="http://schemas.microsoft.com/office/drawing/2014/chart" uri="{C3380CC4-5D6E-409C-BE32-E72D297353CC}">
                <c16:uniqueId val="{00000051-1CD0-45D5-A06B-ED353CBDB6D1}"/>
              </c:ext>
            </c:extLst>
          </c:dPt>
          <c:dPt>
            <c:idx val="41"/>
            <c:bubble3D val="0"/>
            <c:spPr>
              <a:solidFill>
                <a:schemeClr val="accent6">
                  <a:lumMod val="70000"/>
                  <a:lumOff val="30000"/>
                </a:schemeClr>
              </a:solidFill>
              <a:ln w="19050">
                <a:solidFill>
                  <a:schemeClr val="lt1"/>
                </a:solidFill>
              </a:ln>
              <a:effectLst/>
            </c:spPr>
            <c:extLst>
              <c:ext xmlns:c16="http://schemas.microsoft.com/office/drawing/2014/chart" uri="{C3380CC4-5D6E-409C-BE32-E72D297353CC}">
                <c16:uniqueId val="{00000053-1CD0-45D5-A06B-ED353CBDB6D1}"/>
              </c:ext>
            </c:extLst>
          </c:dPt>
          <c:dPt>
            <c:idx val="42"/>
            <c:bubble3D val="0"/>
            <c:spPr>
              <a:solidFill>
                <a:schemeClr val="accent1">
                  <a:lumMod val="70000"/>
                </a:schemeClr>
              </a:solidFill>
              <a:ln w="19050">
                <a:solidFill>
                  <a:schemeClr val="lt1"/>
                </a:solidFill>
              </a:ln>
              <a:effectLst/>
            </c:spPr>
            <c:extLst>
              <c:ext xmlns:c16="http://schemas.microsoft.com/office/drawing/2014/chart" uri="{C3380CC4-5D6E-409C-BE32-E72D297353CC}">
                <c16:uniqueId val="{00000055-1CD0-45D5-A06B-ED353CBDB6D1}"/>
              </c:ext>
            </c:extLst>
          </c:dPt>
          <c:dPt>
            <c:idx val="43"/>
            <c:bubble3D val="0"/>
            <c:spPr>
              <a:solidFill>
                <a:schemeClr val="accent2">
                  <a:lumMod val="70000"/>
                </a:schemeClr>
              </a:solidFill>
              <a:ln w="19050">
                <a:solidFill>
                  <a:schemeClr val="lt1"/>
                </a:solidFill>
              </a:ln>
              <a:effectLst/>
            </c:spPr>
            <c:extLst>
              <c:ext xmlns:c16="http://schemas.microsoft.com/office/drawing/2014/chart" uri="{C3380CC4-5D6E-409C-BE32-E72D297353CC}">
                <c16:uniqueId val="{00000057-1CD0-45D5-A06B-ED353CBDB6D1}"/>
              </c:ext>
            </c:extLst>
          </c:dPt>
          <c:dPt>
            <c:idx val="44"/>
            <c:bubble3D val="0"/>
            <c:spPr>
              <a:solidFill>
                <a:schemeClr val="accent3">
                  <a:lumMod val="70000"/>
                </a:schemeClr>
              </a:solidFill>
              <a:ln w="19050">
                <a:solidFill>
                  <a:schemeClr val="lt1"/>
                </a:solidFill>
              </a:ln>
              <a:effectLst/>
            </c:spPr>
            <c:extLst>
              <c:ext xmlns:c16="http://schemas.microsoft.com/office/drawing/2014/chart" uri="{C3380CC4-5D6E-409C-BE32-E72D297353CC}">
                <c16:uniqueId val="{00000059-1CD0-45D5-A06B-ED353CBDB6D1}"/>
              </c:ext>
            </c:extLst>
          </c:dPt>
          <c:dPt>
            <c:idx val="45"/>
            <c:bubble3D val="0"/>
            <c:spPr>
              <a:solidFill>
                <a:schemeClr val="accent4">
                  <a:lumMod val="70000"/>
                </a:schemeClr>
              </a:solidFill>
              <a:ln w="19050">
                <a:solidFill>
                  <a:schemeClr val="lt1"/>
                </a:solidFill>
              </a:ln>
              <a:effectLst/>
            </c:spPr>
            <c:extLst>
              <c:ext xmlns:c16="http://schemas.microsoft.com/office/drawing/2014/chart" uri="{C3380CC4-5D6E-409C-BE32-E72D297353CC}">
                <c16:uniqueId val="{0000005B-1CD0-45D5-A06B-ED353CBDB6D1}"/>
              </c:ext>
            </c:extLst>
          </c:dPt>
          <c:dPt>
            <c:idx val="46"/>
            <c:bubble3D val="0"/>
            <c:spPr>
              <a:solidFill>
                <a:schemeClr val="accent5">
                  <a:lumMod val="70000"/>
                </a:schemeClr>
              </a:solidFill>
              <a:ln w="19050">
                <a:solidFill>
                  <a:schemeClr val="lt1"/>
                </a:solidFill>
              </a:ln>
              <a:effectLst/>
            </c:spPr>
            <c:extLst>
              <c:ext xmlns:c16="http://schemas.microsoft.com/office/drawing/2014/chart" uri="{C3380CC4-5D6E-409C-BE32-E72D297353CC}">
                <c16:uniqueId val="{0000005D-1CD0-45D5-A06B-ED353CBDB6D1}"/>
              </c:ext>
            </c:extLst>
          </c:dPt>
          <c:dPt>
            <c:idx val="47"/>
            <c:bubble3D val="0"/>
            <c:spPr>
              <a:solidFill>
                <a:schemeClr val="accent6">
                  <a:lumMod val="70000"/>
                </a:schemeClr>
              </a:solidFill>
              <a:ln w="19050">
                <a:solidFill>
                  <a:schemeClr val="lt1"/>
                </a:solidFill>
              </a:ln>
              <a:effectLst/>
            </c:spPr>
            <c:extLst>
              <c:ext xmlns:c16="http://schemas.microsoft.com/office/drawing/2014/chart" uri="{C3380CC4-5D6E-409C-BE32-E72D297353CC}">
                <c16:uniqueId val="{0000005F-1CD0-45D5-A06B-ED353CBDB6D1}"/>
              </c:ext>
            </c:extLst>
          </c:dPt>
          <c:dPt>
            <c:idx val="48"/>
            <c:bubble3D val="0"/>
            <c:spPr>
              <a:solidFill>
                <a:schemeClr val="accent1">
                  <a:lumMod val="50000"/>
                  <a:lumOff val="50000"/>
                </a:schemeClr>
              </a:solidFill>
              <a:ln w="19050">
                <a:solidFill>
                  <a:schemeClr val="lt1"/>
                </a:solidFill>
              </a:ln>
              <a:effectLst/>
            </c:spPr>
            <c:extLst>
              <c:ext xmlns:c16="http://schemas.microsoft.com/office/drawing/2014/chart" uri="{C3380CC4-5D6E-409C-BE32-E72D297353CC}">
                <c16:uniqueId val="{00000061-1CD0-45D5-A06B-ED353CBDB6D1}"/>
              </c:ext>
            </c:extLst>
          </c:dPt>
          <c:dPt>
            <c:idx val="49"/>
            <c:bubble3D val="0"/>
            <c:spPr>
              <a:solidFill>
                <a:schemeClr val="accent2">
                  <a:lumMod val="50000"/>
                  <a:lumOff val="50000"/>
                </a:schemeClr>
              </a:solidFill>
              <a:ln w="19050">
                <a:solidFill>
                  <a:schemeClr val="lt1"/>
                </a:solidFill>
              </a:ln>
              <a:effectLst/>
            </c:spPr>
            <c:extLst>
              <c:ext xmlns:c16="http://schemas.microsoft.com/office/drawing/2014/chart" uri="{C3380CC4-5D6E-409C-BE32-E72D297353CC}">
                <c16:uniqueId val="{00000063-1CD0-45D5-A06B-ED353CBDB6D1}"/>
              </c:ext>
            </c:extLst>
          </c:dPt>
          <c:dPt>
            <c:idx val="50"/>
            <c:bubble3D val="0"/>
            <c:spPr>
              <a:solidFill>
                <a:schemeClr val="accent3">
                  <a:lumMod val="50000"/>
                  <a:lumOff val="50000"/>
                </a:schemeClr>
              </a:solidFill>
              <a:ln w="19050">
                <a:solidFill>
                  <a:schemeClr val="lt1"/>
                </a:solidFill>
              </a:ln>
              <a:effectLst/>
            </c:spPr>
            <c:extLst>
              <c:ext xmlns:c16="http://schemas.microsoft.com/office/drawing/2014/chart" uri="{C3380CC4-5D6E-409C-BE32-E72D297353CC}">
                <c16:uniqueId val="{00000065-1CD0-45D5-A06B-ED353CBDB6D1}"/>
              </c:ext>
            </c:extLst>
          </c:dPt>
          <c:dPt>
            <c:idx val="51"/>
            <c:bubble3D val="0"/>
            <c:spPr>
              <a:solidFill>
                <a:schemeClr val="accent4">
                  <a:lumMod val="50000"/>
                  <a:lumOff val="50000"/>
                </a:schemeClr>
              </a:solidFill>
              <a:ln w="19050">
                <a:solidFill>
                  <a:schemeClr val="lt1"/>
                </a:solidFill>
              </a:ln>
              <a:effectLst/>
            </c:spPr>
            <c:extLst>
              <c:ext xmlns:c16="http://schemas.microsoft.com/office/drawing/2014/chart" uri="{C3380CC4-5D6E-409C-BE32-E72D297353CC}">
                <c16:uniqueId val="{00000067-1CD0-45D5-A06B-ED353CBDB6D1}"/>
              </c:ext>
            </c:extLst>
          </c:dPt>
          <c:dPt>
            <c:idx val="52"/>
            <c:bubble3D val="0"/>
            <c:spPr>
              <a:solidFill>
                <a:schemeClr val="accent5">
                  <a:lumMod val="50000"/>
                  <a:lumOff val="50000"/>
                </a:schemeClr>
              </a:solidFill>
              <a:ln w="19050">
                <a:solidFill>
                  <a:schemeClr val="lt1"/>
                </a:solidFill>
              </a:ln>
              <a:effectLst/>
            </c:spPr>
            <c:extLst>
              <c:ext xmlns:c16="http://schemas.microsoft.com/office/drawing/2014/chart" uri="{C3380CC4-5D6E-409C-BE32-E72D297353CC}">
                <c16:uniqueId val="{00000069-1CD0-45D5-A06B-ED353CBDB6D1}"/>
              </c:ext>
            </c:extLst>
          </c:dPt>
          <c:dPt>
            <c:idx val="53"/>
            <c:bubble3D val="0"/>
            <c:spPr>
              <a:solidFill>
                <a:schemeClr val="accent6">
                  <a:lumMod val="50000"/>
                  <a:lumOff val="50000"/>
                </a:schemeClr>
              </a:solidFill>
              <a:ln w="19050">
                <a:solidFill>
                  <a:schemeClr val="lt1"/>
                </a:solidFill>
              </a:ln>
              <a:effectLst/>
            </c:spPr>
            <c:extLst>
              <c:ext xmlns:c16="http://schemas.microsoft.com/office/drawing/2014/chart" uri="{C3380CC4-5D6E-409C-BE32-E72D297353CC}">
                <c16:uniqueId val="{0000006B-1CD0-45D5-A06B-ED353CBDB6D1}"/>
              </c:ext>
            </c:extLst>
          </c:dPt>
          <c:dPt>
            <c:idx val="54"/>
            <c:bubble3D val="0"/>
            <c:spPr>
              <a:solidFill>
                <a:schemeClr val="accent1"/>
              </a:solidFill>
              <a:ln w="19050">
                <a:solidFill>
                  <a:schemeClr val="lt1"/>
                </a:solidFill>
              </a:ln>
              <a:effectLst/>
            </c:spPr>
            <c:extLst>
              <c:ext xmlns:c16="http://schemas.microsoft.com/office/drawing/2014/chart" uri="{C3380CC4-5D6E-409C-BE32-E72D297353CC}">
                <c16:uniqueId val="{0000006D-1CD0-45D5-A06B-ED353CBDB6D1}"/>
              </c:ext>
            </c:extLst>
          </c:dPt>
          <c:dPt>
            <c:idx val="55"/>
            <c:bubble3D val="0"/>
            <c:spPr>
              <a:solidFill>
                <a:schemeClr val="accent2"/>
              </a:solidFill>
              <a:ln w="19050">
                <a:solidFill>
                  <a:schemeClr val="lt1"/>
                </a:solidFill>
              </a:ln>
              <a:effectLst/>
            </c:spPr>
            <c:extLst>
              <c:ext xmlns:c16="http://schemas.microsoft.com/office/drawing/2014/chart" uri="{C3380CC4-5D6E-409C-BE32-E72D297353CC}">
                <c16:uniqueId val="{0000006F-1CD0-45D5-A06B-ED353CBDB6D1}"/>
              </c:ext>
            </c:extLst>
          </c:dPt>
          <c:dPt>
            <c:idx val="56"/>
            <c:bubble3D val="0"/>
            <c:spPr>
              <a:solidFill>
                <a:schemeClr val="accent3"/>
              </a:solidFill>
              <a:ln w="19050">
                <a:solidFill>
                  <a:schemeClr val="lt1"/>
                </a:solidFill>
              </a:ln>
              <a:effectLst/>
            </c:spPr>
            <c:extLst>
              <c:ext xmlns:c16="http://schemas.microsoft.com/office/drawing/2014/chart" uri="{C3380CC4-5D6E-409C-BE32-E72D297353CC}">
                <c16:uniqueId val="{00000071-1CD0-45D5-A06B-ED353CBDB6D1}"/>
              </c:ext>
            </c:extLst>
          </c:dPt>
          <c:dPt>
            <c:idx val="57"/>
            <c:bubble3D val="0"/>
            <c:spPr>
              <a:solidFill>
                <a:schemeClr val="accent4"/>
              </a:solidFill>
              <a:ln w="19050">
                <a:solidFill>
                  <a:schemeClr val="lt1"/>
                </a:solidFill>
              </a:ln>
              <a:effectLst/>
            </c:spPr>
            <c:extLst>
              <c:ext xmlns:c16="http://schemas.microsoft.com/office/drawing/2014/chart" uri="{C3380CC4-5D6E-409C-BE32-E72D297353CC}">
                <c16:uniqueId val="{00000073-1CD0-45D5-A06B-ED353CBDB6D1}"/>
              </c:ext>
            </c:extLst>
          </c:dPt>
          <c:dPt>
            <c:idx val="58"/>
            <c:bubble3D val="0"/>
            <c:spPr>
              <a:solidFill>
                <a:schemeClr val="accent5"/>
              </a:solidFill>
              <a:ln w="19050">
                <a:solidFill>
                  <a:schemeClr val="lt1"/>
                </a:solidFill>
              </a:ln>
              <a:effectLst/>
            </c:spPr>
            <c:extLst>
              <c:ext xmlns:c16="http://schemas.microsoft.com/office/drawing/2014/chart" uri="{C3380CC4-5D6E-409C-BE32-E72D297353CC}">
                <c16:uniqueId val="{00000075-1CD0-45D5-A06B-ED353CBDB6D1}"/>
              </c:ext>
            </c:extLst>
          </c:dPt>
          <c:dPt>
            <c:idx val="59"/>
            <c:bubble3D val="0"/>
            <c:spPr>
              <a:solidFill>
                <a:schemeClr val="accent6"/>
              </a:solidFill>
              <a:ln w="19050">
                <a:solidFill>
                  <a:schemeClr val="lt1"/>
                </a:solidFill>
              </a:ln>
              <a:effectLst/>
            </c:spPr>
            <c:extLst>
              <c:ext xmlns:c16="http://schemas.microsoft.com/office/drawing/2014/chart" uri="{C3380CC4-5D6E-409C-BE32-E72D297353CC}">
                <c16:uniqueId val="{00000077-1CD0-45D5-A06B-ED353CBDB6D1}"/>
              </c:ext>
            </c:extLst>
          </c:dPt>
          <c:dPt>
            <c:idx val="6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79-1CD0-45D5-A06B-ED353CBDB6D1}"/>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Arial Narrow" panose="020B0606020202030204" pitchFamily="34"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MASQ2!$CX$32:$CX$38</c:f>
              <c:numCache>
                <c:formatCode>General</c:formatCode>
                <c:ptCount val="7"/>
                <c:pt idx="0">
                  <c:v>#N/A</c:v>
                </c:pt>
                <c:pt idx="1">
                  <c:v>#N/A</c:v>
                </c:pt>
                <c:pt idx="2">
                  <c:v>#N/A</c:v>
                </c:pt>
                <c:pt idx="3">
                  <c:v>#N/A</c:v>
                </c:pt>
                <c:pt idx="4">
                  <c:v>#N/A</c:v>
                </c:pt>
                <c:pt idx="5">
                  <c:v>#N/A</c:v>
                </c:pt>
                <c:pt idx="6">
                  <c:v>#N/A</c:v>
                </c:pt>
              </c:numCache>
            </c:numRef>
          </c:cat>
          <c:val>
            <c:numRef>
              <c:f>MASQ2!$CY$32:$CY$38</c:f>
              <c:numCache>
                <c:formatCode>General</c:formatCode>
                <c:ptCount val="7"/>
                <c:pt idx="0">
                  <c:v>#N/A</c:v>
                </c:pt>
                <c:pt idx="1">
                  <c:v>#N/A</c:v>
                </c:pt>
                <c:pt idx="2">
                  <c:v>#N/A</c:v>
                </c:pt>
                <c:pt idx="3">
                  <c:v>#N/A</c:v>
                </c:pt>
                <c:pt idx="4">
                  <c:v>#N/A</c:v>
                </c:pt>
                <c:pt idx="5">
                  <c:v>#N/A</c:v>
                </c:pt>
                <c:pt idx="6">
                  <c:v>#N/A</c:v>
                </c:pt>
              </c:numCache>
            </c:numRef>
          </c:val>
          <c:extLst>
            <c:ext xmlns:c16="http://schemas.microsoft.com/office/drawing/2014/chart" uri="{C3380CC4-5D6E-409C-BE32-E72D297353CC}">
              <c16:uniqueId val="{0000007A-1CD0-45D5-A06B-ED353CBDB6D1}"/>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latin typeface="Arial Narrow" panose="020B0606020202030204" pitchFamily="34" charset="0"/>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openxmlformats.org/officeDocument/2006/relationships/hyperlink" Target="#etape1"/><Relationship Id="rId1" Type="http://schemas.openxmlformats.org/officeDocument/2006/relationships/image" Target="../media/image1.jpeg"/><Relationship Id="rId6" Type="http://schemas.openxmlformats.org/officeDocument/2006/relationships/image" Target="../media/image4.png"/><Relationship Id="rId5" Type="http://schemas.openxmlformats.org/officeDocument/2006/relationships/image" Target="../media/image3.png"/><Relationship Id="rId10" Type="http://schemas.openxmlformats.org/officeDocument/2006/relationships/image" Target="../media/image8.png"/><Relationship Id="rId4" Type="http://schemas.openxmlformats.org/officeDocument/2006/relationships/hyperlink" Target="#etape2"/><Relationship Id="rId9"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9.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5.png"/><Relationship Id="rId2" Type="http://schemas.openxmlformats.org/officeDocument/2006/relationships/hyperlink" Target="#etape2"/><Relationship Id="rId1" Type="http://schemas.openxmlformats.org/officeDocument/2006/relationships/image" Target="../media/image1.jpeg"/><Relationship Id="rId6" Type="http://schemas.openxmlformats.org/officeDocument/2006/relationships/image" Target="../media/image11.png"/><Relationship Id="rId5" Type="http://schemas.openxmlformats.org/officeDocument/2006/relationships/hyperlink" Target="#Etape1Guide"/><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hyperlink" Target="#guide"/><Relationship Id="rId7" Type="http://schemas.openxmlformats.org/officeDocument/2006/relationships/chart" Target="../charts/chart3.xml"/><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chart" Target="../charts/chart2.xml"/><Relationship Id="rId5" Type="http://schemas.openxmlformats.org/officeDocument/2006/relationships/chart" Target="../charts/chart1.xml"/><Relationship Id="rId10" Type="http://schemas.openxmlformats.org/officeDocument/2006/relationships/chart" Target="../charts/chart6.xml"/><Relationship Id="rId4" Type="http://schemas.openxmlformats.org/officeDocument/2006/relationships/image" Target="../media/image1.jpeg"/><Relationship Id="rId9" Type="http://schemas.openxmlformats.org/officeDocument/2006/relationships/chart" Target="../charts/chart5.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image" Target="../media/image1.jpeg"/><Relationship Id="rId7" Type="http://schemas.openxmlformats.org/officeDocument/2006/relationships/chart" Target="../charts/chart9.xml"/><Relationship Id="rId2" Type="http://schemas.openxmlformats.org/officeDocument/2006/relationships/hyperlink" Target="#guide"/><Relationship Id="rId1" Type="http://schemas.openxmlformats.org/officeDocument/2006/relationships/image" Target="../media/image4.png"/><Relationship Id="rId6" Type="http://schemas.openxmlformats.org/officeDocument/2006/relationships/chart" Target="../charts/chart8.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image" Target="../media/image5.png"/><Relationship Id="rId9"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image" Target="../media/image1.jpeg"/><Relationship Id="rId7" Type="http://schemas.openxmlformats.org/officeDocument/2006/relationships/chart" Target="../charts/chart16.xml"/><Relationship Id="rId2" Type="http://schemas.openxmlformats.org/officeDocument/2006/relationships/hyperlink" Target="#guide"/><Relationship Id="rId1" Type="http://schemas.openxmlformats.org/officeDocument/2006/relationships/image" Target="../media/image4.png"/><Relationship Id="rId6" Type="http://schemas.openxmlformats.org/officeDocument/2006/relationships/chart" Target="../charts/chart15.xml"/><Relationship Id="rId5" Type="http://schemas.openxmlformats.org/officeDocument/2006/relationships/chart" Target="../charts/chart14.xml"/><Relationship Id="rId10" Type="http://schemas.openxmlformats.org/officeDocument/2006/relationships/image" Target="../media/image5.png"/><Relationship Id="rId4" Type="http://schemas.openxmlformats.org/officeDocument/2006/relationships/chart" Target="../charts/chart13.xml"/><Relationship Id="rId9"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1</xdr:col>
      <xdr:colOff>69055</xdr:colOff>
      <xdr:row>16</xdr:row>
      <xdr:rowOff>106362</xdr:rowOff>
    </xdr:from>
    <xdr:to>
      <xdr:col>8</xdr:col>
      <xdr:colOff>842963</xdr:colOff>
      <xdr:row>31</xdr:row>
      <xdr:rowOff>125015</xdr:rowOff>
    </xdr:to>
    <xdr:sp macro="" textlink="">
      <xdr:nvSpPr>
        <xdr:cNvPr id="5122" name="Text Box 2">
          <a:extLst>
            <a:ext uri="{FF2B5EF4-FFF2-40B4-BE49-F238E27FC236}">
              <a16:creationId xmlns:a16="http://schemas.microsoft.com/office/drawing/2014/main" id="{00000000-0008-0000-0000-000002140000}"/>
            </a:ext>
          </a:extLst>
        </xdr:cNvPr>
        <xdr:cNvSpPr txBox="1">
          <a:spLocks noChangeArrowheads="1"/>
        </xdr:cNvSpPr>
      </xdr:nvSpPr>
      <xdr:spPr bwMode="auto">
        <a:xfrm>
          <a:off x="148430" y="6367065"/>
          <a:ext cx="6746877" cy="280670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ctr" rtl="0">
            <a:defRPr sz="1000"/>
          </a:pPr>
          <a:endParaRPr lang="fr-FR" sz="1800" b="1" i="0" u="none" strike="noStrike" baseline="0">
            <a:solidFill>
              <a:schemeClr val="accent6">
                <a:lumMod val="50000"/>
              </a:schemeClr>
            </a:solidFill>
            <a:latin typeface="Arial Narrow" pitchFamily="34" charset="0"/>
          </a:endParaRPr>
        </a:p>
        <a:p>
          <a:pPr algn="ctr" rtl="0">
            <a:defRPr sz="1000"/>
          </a:pPr>
          <a:r>
            <a:rPr lang="fr-FR" sz="1800" b="1" i="0" u="none" strike="noStrike" baseline="0">
              <a:solidFill>
                <a:schemeClr val="accent6">
                  <a:lumMod val="50000"/>
                </a:schemeClr>
              </a:solidFill>
              <a:latin typeface="Arial Narrow" pitchFamily="34" charset="0"/>
            </a:rPr>
            <a:t>CALCUL DU NOMBRE DE TRAITEMENT PAR UNITÉ ÉTUDIÉE</a:t>
          </a:r>
        </a:p>
        <a:p>
          <a:pPr algn="ctr" rtl="0">
            <a:defRPr sz="1000"/>
          </a:pPr>
          <a:r>
            <a:rPr lang="fr-FR" sz="1800" b="1" i="1" u="none" strike="noStrike" baseline="0">
              <a:solidFill>
                <a:schemeClr val="accent6">
                  <a:lumMod val="50000"/>
                </a:schemeClr>
              </a:solidFill>
              <a:latin typeface="Arial Narrow" pitchFamily="34" charset="0"/>
            </a:rPr>
            <a:t>(animal, lot, kg)</a:t>
          </a:r>
          <a:endParaRPr lang="fr-FR" sz="1100" b="0" i="1" u="none" strike="noStrike" baseline="0">
            <a:solidFill>
              <a:srgbClr val="000000"/>
            </a:solidFill>
            <a:latin typeface="Arial Narrow" pitchFamily="34" charset="0"/>
          </a:endParaRPr>
        </a:p>
        <a:p>
          <a:pPr algn="l" rtl="0">
            <a:defRPr sz="1000"/>
          </a:pPr>
          <a:endParaRPr lang="fr-FR" sz="1200" b="0" i="0" u="none" strike="noStrike" baseline="0">
            <a:solidFill>
              <a:srgbClr val="000000"/>
            </a:solidFill>
            <a:latin typeface="Arial Narrow" pitchFamily="34" charset="0"/>
          </a:endParaRPr>
        </a:p>
        <a:p>
          <a:pPr algn="l" rtl="0">
            <a:defRPr sz="1000"/>
          </a:pPr>
          <a:r>
            <a:rPr lang="fr-FR" sz="1200" b="0" i="0" u="none" strike="noStrike" baseline="0">
              <a:solidFill>
                <a:srgbClr val="000000"/>
              </a:solidFill>
              <a:latin typeface="Arial Narrow" pitchFamily="34" charset="0"/>
            </a:rPr>
            <a:t>La méthode du taux de traitement des animaux aux antibiotiques utilisée dans cet outil, a été élaborée avec l'appui de l'ANSES (Agence Nationale de Sécurité Sanitaire de l'Alimentation, de l'Environnement et du Travail) et permet d'évaluer l'exposition des animaux aux antibiotiques avec des données précises enregistrées dans l'exploitation.</a:t>
          </a:r>
        </a:p>
        <a:p>
          <a:pPr algn="l" rtl="0">
            <a:defRPr sz="1000"/>
          </a:pPr>
          <a:endParaRPr lang="fr-FR" sz="1200" b="0" i="0" u="none" strike="noStrike" baseline="0">
            <a:solidFill>
              <a:srgbClr val="000000"/>
            </a:solidFill>
            <a:latin typeface="Arial Narrow" pitchFamily="34" charset="0"/>
          </a:endParaRPr>
        </a:p>
        <a:p>
          <a:pPr algn="l" rtl="0">
            <a:defRPr sz="1000"/>
          </a:pPr>
          <a:r>
            <a:rPr lang="fr-FR" sz="1200" b="0" i="0" u="none" strike="noStrike" baseline="0">
              <a:solidFill>
                <a:srgbClr val="000000"/>
              </a:solidFill>
              <a:latin typeface="Arial Narrow" pitchFamily="34" charset="0"/>
            </a:rPr>
            <a:t>Cet indicateur "taux de traitement" se distingue de l'ALEA (indicateur du niveau de l'exposition des animaux aux antibiotiques) calculé par l'Agence Nationale du Médicament Vétérinaire de l'ANSES. En effet, l'ALEA se base sur les ventes d'antibiotiques (poids vif traité par rapport à la masse animale produite) ainsi que sur de nombreuses estimations notamment le poids des animaux et la posologie du traitement. Il n'y aura donc pas de comparaison possible entre ces 2 indicateurs étant donné que les données au dénominateur du calcul ne sont pas les mêmes. </a:t>
          </a:r>
        </a:p>
        <a:p>
          <a:pPr algn="l" rtl="0">
            <a:defRPr sz="1000"/>
          </a:pPr>
          <a:endParaRPr lang="fr-FR" sz="1200" b="0" i="0" u="none" strike="noStrike" baseline="0">
            <a:solidFill>
              <a:srgbClr val="000000"/>
            </a:solidFill>
            <a:latin typeface="Arial Narrow" pitchFamily="34" charset="0"/>
          </a:endParaRPr>
        </a:p>
      </xdr:txBody>
    </xdr:sp>
    <xdr:clientData/>
  </xdr:twoCellAnchor>
  <xdr:twoCellAnchor editAs="oneCell">
    <xdr:from>
      <xdr:col>1</xdr:col>
      <xdr:colOff>544840</xdr:colOff>
      <xdr:row>0</xdr:row>
      <xdr:rowOff>134318</xdr:rowOff>
    </xdr:from>
    <xdr:to>
      <xdr:col>2</xdr:col>
      <xdr:colOff>483620</xdr:colOff>
      <xdr:row>1</xdr:row>
      <xdr:rowOff>13619</xdr:rowOff>
    </xdr:to>
    <xdr:pic>
      <xdr:nvPicPr>
        <xdr:cNvPr id="21" name="Image 20" descr="Logo_Appui-Innovation.jpg">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 cstate="print"/>
        <a:stretch>
          <a:fillRect/>
        </a:stretch>
      </xdr:blipFill>
      <xdr:spPr>
        <a:xfrm>
          <a:off x="1306840" y="134318"/>
          <a:ext cx="738914" cy="591605"/>
        </a:xfrm>
        <a:prstGeom prst="rect">
          <a:avLst/>
        </a:prstGeom>
      </xdr:spPr>
    </xdr:pic>
    <xdr:clientData/>
  </xdr:twoCellAnchor>
  <xdr:twoCellAnchor editAs="oneCell">
    <xdr:from>
      <xdr:col>7</xdr:col>
      <xdr:colOff>459766</xdr:colOff>
      <xdr:row>93</xdr:row>
      <xdr:rowOff>5492</xdr:rowOff>
    </xdr:from>
    <xdr:to>
      <xdr:col>8</xdr:col>
      <xdr:colOff>239106</xdr:colOff>
      <xdr:row>95</xdr:row>
      <xdr:rowOff>134872</xdr:rowOff>
    </xdr:to>
    <xdr:pic>
      <xdr:nvPicPr>
        <xdr:cNvPr id="28" name="Image 27" descr="Sans titre.png">
          <a:hlinkClick xmlns:r="http://schemas.openxmlformats.org/officeDocument/2006/relationships" r:id="rId2"/>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3" cstate="print"/>
        <a:srcRect l="5056" t="278" r="14840" b="18767"/>
        <a:stretch>
          <a:fillRect/>
        </a:stretch>
      </xdr:blipFill>
      <xdr:spPr>
        <a:xfrm>
          <a:off x="5658829" y="22002289"/>
          <a:ext cx="632621" cy="556021"/>
        </a:xfrm>
        <a:prstGeom prst="rect">
          <a:avLst/>
        </a:prstGeom>
      </xdr:spPr>
    </xdr:pic>
    <xdr:clientData/>
  </xdr:twoCellAnchor>
  <xdr:twoCellAnchor editAs="oneCell">
    <xdr:from>
      <xdr:col>7</xdr:col>
      <xdr:colOff>659520</xdr:colOff>
      <xdr:row>132</xdr:row>
      <xdr:rowOff>128985</xdr:rowOff>
    </xdr:from>
    <xdr:to>
      <xdr:col>8</xdr:col>
      <xdr:colOff>423859</xdr:colOff>
      <xdr:row>135</xdr:row>
      <xdr:rowOff>83345</xdr:rowOff>
    </xdr:to>
    <xdr:pic macro="[0]!Image29_Cliquer">
      <xdr:nvPicPr>
        <xdr:cNvPr id="30" name="Image 29" descr="Sans titre.png">
          <a:hlinkClick xmlns:r="http://schemas.openxmlformats.org/officeDocument/2006/relationships" r:id="rId4" tooltip="Accès vers Étape 2"/>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3" cstate="print"/>
        <a:srcRect l="5056" t="278" r="14840" b="18767"/>
        <a:stretch>
          <a:fillRect/>
        </a:stretch>
      </xdr:blipFill>
      <xdr:spPr>
        <a:xfrm>
          <a:off x="5858583" y="29577110"/>
          <a:ext cx="617620" cy="559594"/>
        </a:xfrm>
        <a:prstGeom prst="rect">
          <a:avLst/>
        </a:prstGeom>
      </xdr:spPr>
    </xdr:pic>
    <xdr:clientData/>
  </xdr:twoCellAnchor>
  <xdr:twoCellAnchor editAs="oneCell">
    <xdr:from>
      <xdr:col>8</xdr:col>
      <xdr:colOff>293922</xdr:colOff>
      <xdr:row>133</xdr:row>
      <xdr:rowOff>114258</xdr:rowOff>
    </xdr:from>
    <xdr:to>
      <xdr:col>8</xdr:col>
      <xdr:colOff>696687</xdr:colOff>
      <xdr:row>135</xdr:row>
      <xdr:rowOff>73233</xdr:rowOff>
    </xdr:to>
    <xdr:pic>
      <xdr:nvPicPr>
        <xdr:cNvPr id="20" name="Image 19" descr="finger-787548_960_720.png">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cstate="print"/>
        <a:srcRect t="15046" r="69097" b="16667"/>
        <a:stretch>
          <a:fillRect/>
        </a:stretch>
      </xdr:blipFill>
      <xdr:spPr>
        <a:xfrm>
          <a:off x="6346266" y="29770742"/>
          <a:ext cx="402765" cy="375693"/>
        </a:xfrm>
        <a:prstGeom prst="rect">
          <a:avLst/>
        </a:prstGeom>
      </xdr:spPr>
    </xdr:pic>
    <xdr:clientData/>
  </xdr:twoCellAnchor>
  <xdr:twoCellAnchor>
    <xdr:from>
      <xdr:col>1</xdr:col>
      <xdr:colOff>177679</xdr:colOff>
      <xdr:row>103</xdr:row>
      <xdr:rowOff>144466</xdr:rowOff>
    </xdr:from>
    <xdr:to>
      <xdr:col>8</xdr:col>
      <xdr:colOff>806329</xdr:colOff>
      <xdr:row>129</xdr:row>
      <xdr:rowOff>173832</xdr:rowOff>
    </xdr:to>
    <xdr:sp macro="" textlink="">
      <xdr:nvSpPr>
        <xdr:cNvPr id="15" name="Rectangle 14">
          <a:extLst>
            <a:ext uri="{FF2B5EF4-FFF2-40B4-BE49-F238E27FC236}">
              <a16:creationId xmlns:a16="http://schemas.microsoft.com/office/drawing/2014/main" id="{00000000-0008-0000-0000-00000F000000}"/>
            </a:ext>
          </a:extLst>
        </xdr:cNvPr>
        <xdr:cNvSpPr/>
      </xdr:nvSpPr>
      <xdr:spPr>
        <a:xfrm>
          <a:off x="257054" y="23659310"/>
          <a:ext cx="6601619" cy="4930772"/>
        </a:xfrm>
        <a:prstGeom prst="rect">
          <a:avLst/>
        </a:prstGeom>
        <a:solidFill>
          <a:schemeClr val="bg1">
            <a:lumMod val="95000"/>
          </a:schemeClr>
        </a:solidFill>
        <a:ln>
          <a:solidFill>
            <a:schemeClr val="accent6">
              <a:lumMod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400" b="1">
              <a:solidFill>
                <a:sysClr val="windowText" lastClr="000000"/>
              </a:solidFill>
              <a:latin typeface="Arial Narrow" pitchFamily="34" charset="0"/>
            </a:rPr>
            <a:t>COMMENT FAIRE POUR VOTRE EXPLOITATION?</a:t>
          </a:r>
          <a:endParaRPr lang="fr-FR" sz="1400" b="1" baseline="0">
            <a:solidFill>
              <a:sysClr val="windowText" lastClr="000000"/>
            </a:solidFill>
            <a:latin typeface="Arial Narrow" pitchFamily="34" charset="0"/>
          </a:endParaRPr>
        </a:p>
        <a:p>
          <a:pPr algn="l"/>
          <a:r>
            <a:rPr lang="fr-FR" sz="1100" b="1" baseline="0">
              <a:solidFill>
                <a:sysClr val="windowText" lastClr="000000"/>
              </a:solidFill>
              <a:latin typeface="Arial Narrow" pitchFamily="34" charset="0"/>
            </a:rPr>
            <a:t>1) </a:t>
          </a:r>
          <a:r>
            <a:rPr lang="fr-FR" sz="1100" baseline="0">
              <a:solidFill>
                <a:sysClr val="windowText" lastClr="000000"/>
              </a:solidFill>
              <a:latin typeface="Arial Narrow" pitchFamily="34" charset="0"/>
            </a:rPr>
            <a:t>Entrez le nom de votre exploitation ainsi que l'année dans les espaces concernés.</a:t>
          </a:r>
        </a:p>
        <a:p>
          <a:pPr algn="l"/>
          <a:endParaRPr lang="fr-FR" sz="1100" baseline="0">
            <a:solidFill>
              <a:sysClr val="windowText" lastClr="000000"/>
            </a:solidFill>
            <a:latin typeface="Arial Narrow" pitchFamily="34" charset="0"/>
          </a:endParaRPr>
        </a:p>
        <a:p>
          <a:pPr algn="l"/>
          <a:r>
            <a:rPr lang="fr-FR" sz="1100" b="1" baseline="0">
              <a:solidFill>
                <a:sysClr val="windowText" lastClr="000000"/>
              </a:solidFill>
              <a:latin typeface="Arial Narrow" pitchFamily="34" charset="0"/>
            </a:rPr>
            <a:t>2) </a:t>
          </a:r>
          <a:r>
            <a:rPr lang="fr-FR" sz="1100" baseline="0">
              <a:solidFill>
                <a:sysClr val="windowText" lastClr="000000"/>
              </a:solidFill>
              <a:latin typeface="Arial Narrow" pitchFamily="34" charset="0"/>
            </a:rPr>
            <a:t>Entrez les caractéristiques des espèces animales présentes sur votre exploitation grâce aux listes déroulantes. Vous pouvez en rentrer 10 différentes au maximum. Par la suite un nom se génèrera automatiquement de la manière qui suit: Espèce_Atelier_Catégorie d'âge_(facultatif)nom du groupe_unité</a:t>
          </a:r>
        </a:p>
        <a:p>
          <a:pPr algn="l"/>
          <a:endParaRPr lang="fr-FR" sz="1100" baseline="0">
            <a:solidFill>
              <a:sysClr val="windowText" lastClr="000000"/>
            </a:solidFill>
            <a:latin typeface="Arial Narrow" pitchFamily="34" charset="0"/>
          </a:endParaRPr>
        </a:p>
        <a:p>
          <a:pPr algn="l"/>
          <a:r>
            <a:rPr lang="fr-FR" sz="1100" b="1" baseline="0">
              <a:solidFill>
                <a:sysClr val="windowText" lastClr="000000"/>
              </a:solidFill>
              <a:latin typeface="Arial Narrow" pitchFamily="34" charset="0"/>
            </a:rPr>
            <a:t>3) </a:t>
          </a:r>
          <a:r>
            <a:rPr lang="fr-FR" sz="1100" baseline="0">
              <a:solidFill>
                <a:sysClr val="windowText" lastClr="000000"/>
              </a:solidFill>
              <a:latin typeface="Arial Narrow" pitchFamily="34" charset="0"/>
            </a:rPr>
            <a:t>Commencez à compléter le tableau. Les cellules grisées ne doivent pas être remplies. </a:t>
          </a:r>
        </a:p>
        <a:p>
          <a:pPr algn="l"/>
          <a:r>
            <a:rPr lang="fr-FR" sz="1100" baseline="0">
              <a:solidFill>
                <a:sysClr val="windowText" lastClr="000000"/>
              </a:solidFill>
              <a:latin typeface="Arial Narrow" pitchFamily="34" charset="0"/>
            </a:rPr>
            <a:t>Pour vous aiguiller, répondez à la question: "Durant le mois de janiver, combien de fois ai-je traité mon groupe d'animaux avec ce médicamement et pour quelle maladie en particulier?"</a:t>
          </a:r>
        </a:p>
        <a:p>
          <a:pPr algn="l"/>
          <a:endParaRPr lang="fr-FR" sz="1100" baseline="0">
            <a:solidFill>
              <a:sysClr val="windowText" lastClr="000000"/>
            </a:solidFill>
            <a:latin typeface="Arial Narrow" pitchFamily="34" charset="0"/>
          </a:endParaRPr>
        </a:p>
        <a:p>
          <a:pPr algn="l"/>
          <a:r>
            <a:rPr lang="fr-FR" sz="1100" baseline="0">
              <a:solidFill>
                <a:sysClr val="windowText" lastClr="000000"/>
              </a:solidFill>
              <a:latin typeface="Arial Narrow" pitchFamily="34" charset="0"/>
              <a:ea typeface="+mn-ea"/>
              <a:cs typeface="+mn-cs"/>
            </a:rPr>
            <a:t>À noter: Ces éléments sont à renseigner grâce à une liste déroulante intégrée à la cellule.  </a:t>
          </a:r>
        </a:p>
        <a:p>
          <a:pPr algn="l"/>
          <a:endParaRPr lang="fr-FR" sz="1100" i="0" baseline="0">
            <a:solidFill>
              <a:sysClr val="windowText" lastClr="000000"/>
            </a:solidFill>
            <a:latin typeface="Arial Narrow" pitchFamily="34" charset="0"/>
          </a:endParaRPr>
        </a:p>
        <a:p>
          <a:pPr algn="l"/>
          <a:r>
            <a:rPr lang="fr-FR" sz="1100" i="0" baseline="0">
              <a:solidFill>
                <a:sysClr val="windowText" lastClr="000000"/>
              </a:solidFill>
              <a:latin typeface="Arial Narrow" pitchFamily="34" charset="0"/>
              <a:ea typeface="+mn-ea"/>
              <a:cs typeface="+mn-cs"/>
            </a:rPr>
            <a:t>Un type de traitement ne doit être entré qu'une seule fois dans le tableau pour le mois mentionné. </a:t>
          </a:r>
          <a:r>
            <a:rPr lang="fr-FR" sz="1100" i="0" baseline="0">
              <a:solidFill>
                <a:sysClr val="windowText" lastClr="000000"/>
              </a:solidFill>
              <a:latin typeface="Arial Narrow" pitchFamily="34" charset="0"/>
            </a:rPr>
            <a:t>Si une case </a:t>
          </a:r>
          <a:r>
            <a:rPr lang="fr-FR" sz="1100" b="1" i="0" baseline="0">
              <a:solidFill>
                <a:srgbClr val="FF0000"/>
              </a:solidFill>
              <a:latin typeface="Arial Narrow" pitchFamily="34" charset="0"/>
            </a:rPr>
            <a:t>rouge</a:t>
          </a:r>
          <a:r>
            <a:rPr lang="fr-FR" sz="1100" i="0" baseline="0">
              <a:solidFill>
                <a:sysClr val="windowText" lastClr="000000"/>
              </a:solidFill>
              <a:latin typeface="Arial Narrow" pitchFamily="34" charset="0"/>
            </a:rPr>
            <a:t> apparaît dans la colonne "Commentaires", alors votre médicament a déjà été renseigné dans les lignes précédentes pour l'espèce et le mois en question. Supprimez alors les données que vous venez de rentrer et additionnez le nombre de traitement dans les lignes précédentes correspondantes. </a:t>
          </a:r>
          <a:endParaRPr lang="fr-FR" sz="1100" i="0" baseline="0">
            <a:solidFill>
              <a:sysClr val="windowText" lastClr="000000"/>
            </a:solidFill>
            <a:latin typeface="Arial Narrow" pitchFamily="34" charset="0"/>
            <a:ea typeface="+mn-ea"/>
            <a:cs typeface="+mn-cs"/>
          </a:endParaRPr>
        </a:p>
        <a:p>
          <a:pPr eaLnBrk="1" fontAlgn="auto" latinLnBrk="0" hangingPunct="1"/>
          <a:endParaRPr lang="fr-FR" sz="1100" i="0" baseline="0">
            <a:solidFill>
              <a:sysClr val="windowText" lastClr="000000"/>
            </a:solidFill>
            <a:latin typeface="Arial Narrow" pitchFamily="34" charset="0"/>
            <a:ea typeface="+mn-ea"/>
            <a:cs typeface="+mn-cs"/>
          </a:endParaRPr>
        </a:p>
        <a:p>
          <a:pPr eaLnBrk="1" fontAlgn="auto" latinLnBrk="0" hangingPunct="1"/>
          <a:r>
            <a:rPr lang="fr-FR" sz="1100" b="1" i="0" baseline="0">
              <a:solidFill>
                <a:sysClr val="windowText" lastClr="000000"/>
              </a:solidFill>
              <a:latin typeface="Arial Narrow" pitchFamily="34" charset="0"/>
              <a:ea typeface="+mn-ea"/>
              <a:cs typeface="+mn-cs"/>
            </a:rPr>
            <a:t>Une ligne doit être complétée en intégralité </a:t>
          </a:r>
          <a:r>
            <a:rPr lang="fr-FR" sz="1100" i="0" baseline="0">
              <a:solidFill>
                <a:sysClr val="windowText" lastClr="000000"/>
              </a:solidFill>
              <a:latin typeface="Arial Narrow" pitchFamily="34" charset="0"/>
              <a:ea typeface="+mn-ea"/>
              <a:cs typeface="+mn-cs"/>
            </a:rPr>
            <a:t>(hors cases grisées). Un message apparaîtra en </a:t>
          </a:r>
          <a:r>
            <a:rPr lang="fr-FR" sz="1100" b="1" i="0" baseline="0">
              <a:solidFill>
                <a:schemeClr val="accent1"/>
              </a:solidFill>
              <a:latin typeface="Arial Narrow" pitchFamily="34" charset="0"/>
              <a:ea typeface="+mn-ea"/>
              <a:cs typeface="+mn-cs"/>
            </a:rPr>
            <a:t>bleu</a:t>
          </a:r>
          <a:r>
            <a:rPr lang="fr-FR" sz="1100" i="0" baseline="0">
              <a:solidFill>
                <a:sysClr val="windowText" lastClr="000000"/>
              </a:solidFill>
              <a:latin typeface="Arial Narrow" pitchFamily="34" charset="0"/>
              <a:ea typeface="+mn-ea"/>
              <a:cs typeface="+mn-cs"/>
            </a:rPr>
            <a:t> si vous n'avez pas rempli toutes les cases de la ligne concernée. Reprenez alors la ligne pour renseigner l'intégralité des informations demandées (Mois du traitement, espèce traitée, maladie traitée, médicament utilisé, nombre de traitement).</a:t>
          </a:r>
        </a:p>
        <a:p>
          <a:pPr eaLnBrk="1" fontAlgn="auto" latinLnBrk="0" hangingPunct="1"/>
          <a:endParaRPr lang="fr-FR" sz="1100" i="0" baseline="0">
            <a:solidFill>
              <a:sysClr val="windowText" lastClr="000000"/>
            </a:solidFill>
            <a:latin typeface="Arial Narrow" pitchFamily="34" charset="0"/>
            <a:ea typeface="+mn-ea"/>
            <a:cs typeface="+mn-cs"/>
          </a:endParaRPr>
        </a:p>
        <a:p>
          <a:pPr eaLnBrk="1" fontAlgn="auto" latinLnBrk="0" hangingPunct="1"/>
          <a:r>
            <a:rPr lang="fr-FR" sz="1100" i="0" baseline="0">
              <a:solidFill>
                <a:sysClr val="windowText" lastClr="000000"/>
              </a:solidFill>
              <a:latin typeface="Arial Narrow" pitchFamily="34" charset="0"/>
              <a:ea typeface="+mn-ea"/>
              <a:cs typeface="+mn-cs"/>
            </a:rPr>
            <a:t>Si la case du médicament apparaît en </a:t>
          </a:r>
          <a:r>
            <a:rPr lang="fr-FR" sz="1100" b="1" i="0" baseline="0">
              <a:solidFill>
                <a:srgbClr val="FF0000"/>
              </a:solidFill>
              <a:latin typeface="Arial Narrow" pitchFamily="34" charset="0"/>
              <a:ea typeface="+mn-ea"/>
              <a:cs typeface="+mn-cs"/>
            </a:rPr>
            <a:t>rouge</a:t>
          </a:r>
          <a:r>
            <a:rPr lang="fr-FR" sz="1100" i="0" baseline="0">
              <a:solidFill>
                <a:sysClr val="windowText" lastClr="000000"/>
              </a:solidFill>
              <a:latin typeface="Arial Narrow" pitchFamily="34" charset="0"/>
              <a:ea typeface="+mn-ea"/>
              <a:cs typeface="+mn-cs"/>
            </a:rPr>
            <a:t>, cela signifie que vous avez utilisé un antibiotique critique ou que celui-ci est soumis à des recommandations particulières comme définies dans les plans Ecoantibio 1 et 2 (Fluoroquinolones, Céphalosporines de 3G et 4G, Colistine).</a:t>
          </a:r>
        </a:p>
        <a:p>
          <a:pPr eaLnBrk="1" fontAlgn="auto" latinLnBrk="0" hangingPunct="1"/>
          <a:endParaRPr lang="fr-FR" sz="1100" i="0" baseline="0">
            <a:solidFill>
              <a:sysClr val="windowText" lastClr="000000"/>
            </a:solidFill>
            <a:latin typeface="Arial Narrow" pitchFamily="34" charset="0"/>
            <a:ea typeface="+mn-ea"/>
            <a:cs typeface="+mn-cs"/>
          </a:endParaRPr>
        </a:p>
        <a:p>
          <a:pPr eaLnBrk="1" fontAlgn="auto" latinLnBrk="0" hangingPunct="1"/>
          <a:r>
            <a:rPr lang="fr-FR" sz="1100" i="0" baseline="0">
              <a:solidFill>
                <a:sysClr val="windowText" lastClr="000000"/>
              </a:solidFill>
              <a:latin typeface="Arial Narrow" pitchFamily="34" charset="0"/>
              <a:ea typeface="+mn-ea"/>
              <a:cs typeface="+mn-cs"/>
            </a:rPr>
            <a:t>Une fois le tableau complété avec l'intégralité de vos traitements aux antibiotiques sur l'année concernée, passez à l'Étape 2.</a:t>
          </a:r>
          <a:endParaRPr lang="fr-FR" sz="1100" i="0">
            <a:solidFill>
              <a:sysClr val="windowText" lastClr="000000"/>
            </a:solidFill>
            <a:latin typeface="Arial Narrow" pitchFamily="34" charset="0"/>
          </a:endParaRPr>
        </a:p>
      </xdr:txBody>
    </xdr:sp>
    <xdr:clientData/>
  </xdr:twoCellAnchor>
  <xdr:twoCellAnchor editAs="oneCell">
    <xdr:from>
      <xdr:col>8</xdr:col>
      <xdr:colOff>66533</xdr:colOff>
      <xdr:row>94</xdr:row>
      <xdr:rowOff>98776</xdr:rowOff>
    </xdr:from>
    <xdr:to>
      <xdr:col>8</xdr:col>
      <xdr:colOff>470763</xdr:colOff>
      <xdr:row>96</xdr:row>
      <xdr:rowOff>94813</xdr:rowOff>
    </xdr:to>
    <xdr:pic>
      <xdr:nvPicPr>
        <xdr:cNvPr id="23" name="Image 22" descr="finger-787548_960_720.png">
          <a:extLst>
            <a:ext uri="{FF2B5EF4-FFF2-40B4-BE49-F238E27FC236}">
              <a16:creationId xmlns:a16="http://schemas.microsoft.com/office/drawing/2014/main" id="{9BFEE709-C4DD-4AC5-BB02-D12F623EF6CF}"/>
            </a:ext>
          </a:extLst>
        </xdr:cNvPr>
        <xdr:cNvPicPr>
          <a:picLocks noChangeAspect="1"/>
        </xdr:cNvPicPr>
      </xdr:nvPicPr>
      <xdr:blipFill>
        <a:blip xmlns:r="http://schemas.openxmlformats.org/officeDocument/2006/relationships" r:embed="rId5" cstate="print"/>
        <a:srcRect t="15046" r="69097" b="16667"/>
        <a:stretch>
          <a:fillRect/>
        </a:stretch>
      </xdr:blipFill>
      <xdr:spPr>
        <a:xfrm>
          <a:off x="6118877" y="22284089"/>
          <a:ext cx="404230" cy="373068"/>
        </a:xfrm>
        <a:prstGeom prst="rect">
          <a:avLst/>
        </a:prstGeom>
      </xdr:spPr>
    </xdr:pic>
    <xdr:clientData/>
  </xdr:twoCellAnchor>
  <xdr:twoCellAnchor editAs="oneCell">
    <xdr:from>
      <xdr:col>2</xdr:col>
      <xdr:colOff>714375</xdr:colOff>
      <xdr:row>6</xdr:row>
      <xdr:rowOff>9922</xdr:rowOff>
    </xdr:from>
    <xdr:to>
      <xdr:col>7</xdr:col>
      <xdr:colOff>54768</xdr:colOff>
      <xdr:row>9</xdr:row>
      <xdr:rowOff>130601</xdr:rowOff>
    </xdr:to>
    <xdr:pic>
      <xdr:nvPicPr>
        <xdr:cNvPr id="26" name="Image 25">
          <a:extLst>
            <a:ext uri="{FF2B5EF4-FFF2-40B4-BE49-F238E27FC236}">
              <a16:creationId xmlns:a16="http://schemas.microsoft.com/office/drawing/2014/main" id="{2775B465-DF3C-4A12-8027-F4F0E3F1F52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47031" y="1666875"/>
          <a:ext cx="3606800" cy="686226"/>
        </a:xfrm>
        <a:prstGeom prst="rect">
          <a:avLst/>
        </a:prstGeom>
      </xdr:spPr>
    </xdr:pic>
    <xdr:clientData/>
  </xdr:twoCellAnchor>
  <xdr:twoCellAnchor editAs="oneCell">
    <xdr:from>
      <xdr:col>7</xdr:col>
      <xdr:colOff>422411</xdr:colOff>
      <xdr:row>0</xdr:row>
      <xdr:rowOff>115958</xdr:rowOff>
    </xdr:from>
    <xdr:to>
      <xdr:col>8</xdr:col>
      <xdr:colOff>721708</xdr:colOff>
      <xdr:row>0</xdr:row>
      <xdr:rowOff>670892</xdr:rowOff>
    </xdr:to>
    <xdr:pic>
      <xdr:nvPicPr>
        <xdr:cNvPr id="4" name="Image 3">
          <a:extLst>
            <a:ext uri="{FF2B5EF4-FFF2-40B4-BE49-F238E27FC236}">
              <a16:creationId xmlns:a16="http://schemas.microsoft.com/office/drawing/2014/main" id="{6BF32DEC-8B53-452C-8E8E-9B370C614C99}"/>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9389"/>
        <a:stretch/>
      </xdr:blipFill>
      <xdr:spPr>
        <a:xfrm>
          <a:off x="6104281" y="115958"/>
          <a:ext cx="1099431" cy="554934"/>
        </a:xfrm>
        <a:prstGeom prst="rect">
          <a:avLst/>
        </a:prstGeom>
      </xdr:spPr>
    </xdr:pic>
    <xdr:clientData/>
  </xdr:twoCellAnchor>
  <xdr:twoCellAnchor editAs="oneCell">
    <xdr:from>
      <xdr:col>1</xdr:col>
      <xdr:colOff>447339</xdr:colOff>
      <xdr:row>1</xdr:row>
      <xdr:rowOff>91109</xdr:rowOff>
    </xdr:from>
    <xdr:to>
      <xdr:col>2</xdr:col>
      <xdr:colOff>639345</xdr:colOff>
      <xdr:row>4</xdr:row>
      <xdr:rowOff>138545</xdr:rowOff>
    </xdr:to>
    <xdr:pic>
      <xdr:nvPicPr>
        <xdr:cNvPr id="3" name="Image 2">
          <a:extLst>
            <a:ext uri="{FF2B5EF4-FFF2-40B4-BE49-F238E27FC236}">
              <a16:creationId xmlns:a16="http://schemas.microsoft.com/office/drawing/2014/main" id="{34E7962A-0879-4806-B489-2B64C5C6E63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09339" y="803413"/>
          <a:ext cx="992140" cy="612000"/>
        </a:xfrm>
        <a:prstGeom prst="rect">
          <a:avLst/>
        </a:prstGeom>
      </xdr:spPr>
    </xdr:pic>
    <xdr:clientData/>
  </xdr:twoCellAnchor>
  <xdr:twoCellAnchor editAs="oneCell">
    <xdr:from>
      <xdr:col>1</xdr:col>
      <xdr:colOff>341596</xdr:colOff>
      <xdr:row>65</xdr:row>
      <xdr:rowOff>108488</xdr:rowOff>
    </xdr:from>
    <xdr:to>
      <xdr:col>9</xdr:col>
      <xdr:colOff>62650</xdr:colOff>
      <xdr:row>78</xdr:row>
      <xdr:rowOff>148828</xdr:rowOff>
    </xdr:to>
    <xdr:pic>
      <xdr:nvPicPr>
        <xdr:cNvPr id="5" name="Image 4">
          <a:extLst>
            <a:ext uri="{FF2B5EF4-FFF2-40B4-BE49-F238E27FC236}">
              <a16:creationId xmlns:a16="http://schemas.microsoft.com/office/drawing/2014/main" id="{72AC69BF-17C3-76DB-ED2A-06F9E89C7DFD}"/>
            </a:ext>
          </a:extLst>
        </xdr:cNvPr>
        <xdr:cNvPicPr>
          <a:picLocks noChangeAspect="1"/>
        </xdr:cNvPicPr>
      </xdr:nvPicPr>
      <xdr:blipFill>
        <a:blip xmlns:r="http://schemas.openxmlformats.org/officeDocument/2006/relationships" r:embed="rId9"/>
        <a:stretch>
          <a:fillRect/>
        </a:stretch>
      </xdr:blipFill>
      <xdr:spPr>
        <a:xfrm>
          <a:off x="420971" y="16271222"/>
          <a:ext cx="6547304" cy="2491044"/>
        </a:xfrm>
        <a:prstGeom prst="rect">
          <a:avLst/>
        </a:prstGeom>
      </xdr:spPr>
    </xdr:pic>
    <xdr:clientData/>
  </xdr:twoCellAnchor>
  <xdr:twoCellAnchor editAs="oneCell">
    <xdr:from>
      <xdr:col>3</xdr:col>
      <xdr:colOff>451872</xdr:colOff>
      <xdr:row>82</xdr:row>
      <xdr:rowOff>11055</xdr:rowOff>
    </xdr:from>
    <xdr:to>
      <xdr:col>6</xdr:col>
      <xdr:colOff>538618</xdr:colOff>
      <xdr:row>93</xdr:row>
      <xdr:rowOff>172856</xdr:rowOff>
    </xdr:to>
    <xdr:pic>
      <xdr:nvPicPr>
        <xdr:cNvPr id="6" name="Image 5">
          <a:extLst>
            <a:ext uri="{FF2B5EF4-FFF2-40B4-BE49-F238E27FC236}">
              <a16:creationId xmlns:a16="http://schemas.microsoft.com/office/drawing/2014/main" id="{B81EA61E-C9A4-A3B6-ED53-9ED47C8B2D57}"/>
            </a:ext>
          </a:extLst>
        </xdr:cNvPr>
        <xdr:cNvPicPr>
          <a:picLocks noChangeAspect="1"/>
        </xdr:cNvPicPr>
      </xdr:nvPicPr>
      <xdr:blipFill>
        <a:blip xmlns:r="http://schemas.openxmlformats.org/officeDocument/2006/relationships" r:embed="rId10"/>
        <a:stretch>
          <a:fillRect/>
        </a:stretch>
      </xdr:blipFill>
      <xdr:spPr>
        <a:xfrm>
          <a:off x="2237810" y="19477774"/>
          <a:ext cx="2646589" cy="22751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1</xdr:row>
      <xdr:rowOff>1</xdr:rowOff>
    </xdr:from>
    <xdr:to>
      <xdr:col>0</xdr:col>
      <xdr:colOff>1026881</xdr:colOff>
      <xdr:row>2</xdr:row>
      <xdr:rowOff>76200</xdr:rowOff>
    </xdr:to>
    <xdr:pic>
      <xdr:nvPicPr>
        <xdr:cNvPr id="6" name="Image 5" descr="Logo_Appui-Innovation.jp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stretch>
          <a:fillRect/>
        </a:stretch>
      </xdr:blipFill>
      <xdr:spPr>
        <a:xfrm>
          <a:off x="219075" y="190501"/>
          <a:ext cx="807806" cy="638174"/>
        </a:xfrm>
        <a:prstGeom prst="rect">
          <a:avLst/>
        </a:prstGeom>
      </xdr:spPr>
    </xdr:pic>
    <xdr:clientData/>
  </xdr:twoCellAnchor>
  <xdr:twoCellAnchor editAs="oneCell">
    <xdr:from>
      <xdr:col>0</xdr:col>
      <xdr:colOff>1704976</xdr:colOff>
      <xdr:row>7</xdr:row>
      <xdr:rowOff>17282</xdr:rowOff>
    </xdr:from>
    <xdr:to>
      <xdr:col>1</xdr:col>
      <xdr:colOff>1366630</xdr:colOff>
      <xdr:row>10</xdr:row>
      <xdr:rowOff>73798</xdr:rowOff>
    </xdr:to>
    <xdr:pic>
      <xdr:nvPicPr>
        <xdr:cNvPr id="5" name="Image 4">
          <a:extLst>
            <a:ext uri="{FF2B5EF4-FFF2-40B4-BE49-F238E27FC236}">
              <a16:creationId xmlns:a16="http://schemas.microsoft.com/office/drawing/2014/main" id="{42E1F9CD-257F-4190-B153-1AB5C86E1A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04976" y="1350782"/>
          <a:ext cx="3076574" cy="628016"/>
        </a:xfrm>
        <a:prstGeom prst="rect">
          <a:avLst/>
        </a:prstGeom>
      </xdr:spPr>
    </xdr:pic>
    <xdr:clientData/>
  </xdr:twoCellAnchor>
  <xdr:twoCellAnchor editAs="oneCell">
    <xdr:from>
      <xdr:col>2</xdr:col>
      <xdr:colOff>291896</xdr:colOff>
      <xdr:row>0</xdr:row>
      <xdr:rowOff>133349</xdr:rowOff>
    </xdr:from>
    <xdr:to>
      <xdr:col>2</xdr:col>
      <xdr:colOff>1537581</xdr:colOff>
      <xdr:row>1</xdr:row>
      <xdr:rowOff>228599</xdr:rowOff>
    </xdr:to>
    <xdr:pic>
      <xdr:nvPicPr>
        <xdr:cNvPr id="8" name="Image 7">
          <a:extLst>
            <a:ext uri="{FF2B5EF4-FFF2-40B4-BE49-F238E27FC236}">
              <a16:creationId xmlns:a16="http://schemas.microsoft.com/office/drawing/2014/main" id="{1E2B775A-AA66-4689-A144-5FF1248AAEF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389"/>
        <a:stretch/>
      </xdr:blipFill>
      <xdr:spPr>
        <a:xfrm>
          <a:off x="5187746" y="133349"/>
          <a:ext cx="1245685" cy="657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207309</xdr:colOff>
      <xdr:row>0</xdr:row>
      <xdr:rowOff>210144</xdr:rowOff>
    </xdr:from>
    <xdr:to>
      <xdr:col>2</xdr:col>
      <xdr:colOff>112059</xdr:colOff>
      <xdr:row>3</xdr:row>
      <xdr:rowOff>242869</xdr:rowOff>
    </xdr:to>
    <xdr:pic>
      <xdr:nvPicPr>
        <xdr:cNvPr id="8" name="Image 7" descr="Logo_Appui-Innovation.jpg">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stretch>
          <a:fillRect/>
        </a:stretch>
      </xdr:blipFill>
      <xdr:spPr>
        <a:xfrm>
          <a:off x="521074" y="210144"/>
          <a:ext cx="1070161" cy="805931"/>
        </a:xfrm>
        <a:prstGeom prst="rect">
          <a:avLst/>
        </a:prstGeom>
      </xdr:spPr>
    </xdr:pic>
    <xdr:clientData/>
  </xdr:twoCellAnchor>
  <xdr:twoCellAnchor editAs="oneCell">
    <xdr:from>
      <xdr:col>8</xdr:col>
      <xdr:colOff>407412</xdr:colOff>
      <xdr:row>4</xdr:row>
      <xdr:rowOff>53511</xdr:rowOff>
    </xdr:from>
    <xdr:to>
      <xdr:col>8</xdr:col>
      <xdr:colOff>940594</xdr:colOff>
      <xdr:row>4</xdr:row>
      <xdr:rowOff>531581</xdr:rowOff>
    </xdr:to>
    <xdr:pic>
      <xdr:nvPicPr>
        <xdr:cNvPr id="7" name="Image 6" descr="Sans titre.png">
          <a:hlinkClick xmlns:r="http://schemas.openxmlformats.org/officeDocument/2006/relationships" r:id="rId2" tooltip="Accès vers Étape 2"/>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cstate="print"/>
        <a:srcRect l="5056" t="278" r="14840" b="18767"/>
        <a:stretch>
          <a:fillRect/>
        </a:stretch>
      </xdr:blipFill>
      <xdr:spPr>
        <a:xfrm>
          <a:off x="12992318" y="1089355"/>
          <a:ext cx="533182" cy="478070"/>
        </a:xfrm>
        <a:prstGeom prst="rect">
          <a:avLst/>
        </a:prstGeom>
      </xdr:spPr>
    </xdr:pic>
    <xdr:clientData/>
  </xdr:twoCellAnchor>
  <xdr:twoCellAnchor editAs="oneCell">
    <xdr:from>
      <xdr:col>8</xdr:col>
      <xdr:colOff>832937</xdr:colOff>
      <xdr:row>4</xdr:row>
      <xdr:rowOff>259292</xdr:rowOff>
    </xdr:from>
    <xdr:to>
      <xdr:col>8</xdr:col>
      <xdr:colOff>1316076</xdr:colOff>
      <xdr:row>5</xdr:row>
      <xdr:rowOff>211511</xdr:rowOff>
    </xdr:to>
    <xdr:pic>
      <xdr:nvPicPr>
        <xdr:cNvPr id="24" name="Image 23" descr="finger-787548_960_720.png">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4" cstate="print"/>
        <a:srcRect t="15046" r="69097" b="16667"/>
        <a:stretch>
          <a:fillRect/>
        </a:stretch>
      </xdr:blipFill>
      <xdr:spPr>
        <a:xfrm>
          <a:off x="13417843" y="1295136"/>
          <a:ext cx="483139" cy="547531"/>
        </a:xfrm>
        <a:prstGeom prst="rect">
          <a:avLst/>
        </a:prstGeom>
      </xdr:spPr>
    </xdr:pic>
    <xdr:clientData/>
  </xdr:twoCellAnchor>
  <xdr:twoCellAnchor editAs="oneCell">
    <xdr:from>
      <xdr:col>8</xdr:col>
      <xdr:colOff>408723</xdr:colOff>
      <xdr:row>1</xdr:row>
      <xdr:rowOff>11205</xdr:rowOff>
    </xdr:from>
    <xdr:to>
      <xdr:col>8</xdr:col>
      <xdr:colOff>940655</xdr:colOff>
      <xdr:row>2</xdr:row>
      <xdr:rowOff>273843</xdr:rowOff>
    </xdr:to>
    <xdr:pic>
      <xdr:nvPicPr>
        <xdr:cNvPr id="28" name="Image 27" descr="Sans titre.png">
          <a:hlinkClick xmlns:r="http://schemas.openxmlformats.org/officeDocument/2006/relationships" r:id="rId5" tooltip="Accès vers Guide"/>
          <a:extLst>
            <a:ext uri="{FF2B5EF4-FFF2-40B4-BE49-F238E27FC236}">
              <a16:creationId xmlns:a16="http://schemas.microsoft.com/office/drawing/2014/main" id="{F2366EA9-5FFE-47DE-A296-8FEEF5A26CE7}"/>
            </a:ext>
          </a:extLst>
        </xdr:cNvPr>
        <xdr:cNvPicPr>
          <a:picLocks noChangeAspect="1"/>
        </xdr:cNvPicPr>
      </xdr:nvPicPr>
      <xdr:blipFill>
        <a:blip xmlns:r="http://schemas.openxmlformats.org/officeDocument/2006/relationships" r:embed="rId3" cstate="print"/>
        <a:srcRect l="5056" t="278" r="14840" b="18767"/>
        <a:stretch>
          <a:fillRect/>
        </a:stretch>
      </xdr:blipFill>
      <xdr:spPr>
        <a:xfrm>
          <a:off x="12993629" y="249330"/>
          <a:ext cx="531932" cy="476951"/>
        </a:xfrm>
        <a:prstGeom prst="rect">
          <a:avLst/>
        </a:prstGeom>
      </xdr:spPr>
    </xdr:pic>
    <xdr:clientData/>
  </xdr:twoCellAnchor>
  <xdr:twoCellAnchor editAs="oneCell">
    <xdr:from>
      <xdr:col>8</xdr:col>
      <xdr:colOff>783493</xdr:colOff>
      <xdr:row>2</xdr:row>
      <xdr:rowOff>17666</xdr:rowOff>
    </xdr:from>
    <xdr:to>
      <xdr:col>8</xdr:col>
      <xdr:colOff>1226462</xdr:colOff>
      <xdr:row>3</xdr:row>
      <xdr:rowOff>191900</xdr:rowOff>
    </xdr:to>
    <xdr:pic>
      <xdr:nvPicPr>
        <xdr:cNvPr id="29" name="Image 28" descr="finger-787548_960_720.png">
          <a:extLst>
            <a:ext uri="{FF2B5EF4-FFF2-40B4-BE49-F238E27FC236}">
              <a16:creationId xmlns:a16="http://schemas.microsoft.com/office/drawing/2014/main" id="{4A98D326-044B-4350-9C7E-1CA594E3EAE0}"/>
            </a:ext>
          </a:extLst>
        </xdr:cNvPr>
        <xdr:cNvPicPr>
          <a:picLocks noChangeAspect="1"/>
        </xdr:cNvPicPr>
      </xdr:nvPicPr>
      <xdr:blipFill>
        <a:blip xmlns:r="http://schemas.openxmlformats.org/officeDocument/2006/relationships" r:embed="rId4" cstate="print"/>
        <a:srcRect t="15046" r="69097" b="16667"/>
        <a:stretch>
          <a:fillRect/>
        </a:stretch>
      </xdr:blipFill>
      <xdr:spPr>
        <a:xfrm>
          <a:off x="13368399" y="470104"/>
          <a:ext cx="442969" cy="495702"/>
        </a:xfrm>
        <a:prstGeom prst="rect">
          <a:avLst/>
        </a:prstGeom>
      </xdr:spPr>
    </xdr:pic>
    <xdr:clientData/>
  </xdr:twoCellAnchor>
  <xdr:twoCellAnchor editAs="oneCell">
    <xdr:from>
      <xdr:col>3</xdr:col>
      <xdr:colOff>392904</xdr:colOff>
      <xdr:row>4</xdr:row>
      <xdr:rowOff>142875</xdr:rowOff>
    </xdr:from>
    <xdr:to>
      <xdr:col>6</xdr:col>
      <xdr:colOff>534082</xdr:colOff>
      <xdr:row>12</xdr:row>
      <xdr:rowOff>166688</xdr:rowOff>
    </xdr:to>
    <xdr:pic>
      <xdr:nvPicPr>
        <xdr:cNvPr id="61" name="Image 60">
          <a:extLst>
            <a:ext uri="{FF2B5EF4-FFF2-40B4-BE49-F238E27FC236}">
              <a16:creationId xmlns:a16="http://schemas.microsoft.com/office/drawing/2014/main" id="{9481DAC7-CAC6-497D-B23C-A8B2006053C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928935" y="1452563"/>
          <a:ext cx="7815855" cy="1595438"/>
        </a:xfrm>
        <a:prstGeom prst="rect">
          <a:avLst/>
        </a:prstGeom>
      </xdr:spPr>
    </xdr:pic>
    <xdr:clientData/>
  </xdr:twoCellAnchor>
  <xdr:twoCellAnchor editAs="oneCell">
    <xdr:from>
      <xdr:col>1</xdr:col>
      <xdr:colOff>56029</xdr:colOff>
      <xdr:row>4</xdr:row>
      <xdr:rowOff>145677</xdr:rowOff>
    </xdr:from>
    <xdr:to>
      <xdr:col>2</xdr:col>
      <xdr:colOff>311480</xdr:colOff>
      <xdr:row>6</xdr:row>
      <xdr:rowOff>2240</xdr:rowOff>
    </xdr:to>
    <xdr:pic>
      <xdr:nvPicPr>
        <xdr:cNvPr id="18" name="Image 17">
          <a:extLst>
            <a:ext uri="{FF2B5EF4-FFF2-40B4-BE49-F238E27FC236}">
              <a16:creationId xmlns:a16="http://schemas.microsoft.com/office/drawing/2014/main" id="{F735434B-AEAB-47B8-BAA7-19AC7A1F8F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9389"/>
        <a:stretch/>
      </xdr:blipFill>
      <xdr:spPr>
        <a:xfrm>
          <a:off x="369794" y="1187824"/>
          <a:ext cx="1420862" cy="717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180975</xdr:colOff>
      <xdr:row>3</xdr:row>
      <xdr:rowOff>103726</xdr:rowOff>
    </xdr:from>
    <xdr:to>
      <xdr:col>11</xdr:col>
      <xdr:colOff>352425</xdr:colOff>
      <xdr:row>6</xdr:row>
      <xdr:rowOff>123825</xdr:rowOff>
    </xdr:to>
    <xdr:pic>
      <xdr:nvPicPr>
        <xdr:cNvPr id="7" name="Image 6">
          <a:extLst>
            <a:ext uri="{FF2B5EF4-FFF2-40B4-BE49-F238E27FC236}">
              <a16:creationId xmlns:a16="http://schemas.microsoft.com/office/drawing/2014/main" id="{55B650A1-5D58-423F-A549-8B11432C6B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589501"/>
          <a:ext cx="3590925" cy="734474"/>
        </a:xfrm>
        <a:prstGeom prst="rect">
          <a:avLst/>
        </a:prstGeom>
      </xdr:spPr>
    </xdr:pic>
    <xdr:clientData/>
  </xdr:twoCellAnchor>
  <xdr:twoCellAnchor editAs="oneCell">
    <xdr:from>
      <xdr:col>15</xdr:col>
      <xdr:colOff>304800</xdr:colOff>
      <xdr:row>0</xdr:row>
      <xdr:rowOff>114301</xdr:rowOff>
    </xdr:from>
    <xdr:to>
      <xdr:col>17</xdr:col>
      <xdr:colOff>165981</xdr:colOff>
      <xdr:row>4</xdr:row>
      <xdr:rowOff>53639</xdr:rowOff>
    </xdr:to>
    <xdr:pic>
      <xdr:nvPicPr>
        <xdr:cNvPr id="8" name="Image 7">
          <a:extLst>
            <a:ext uri="{FF2B5EF4-FFF2-40B4-BE49-F238E27FC236}">
              <a16:creationId xmlns:a16="http://schemas.microsoft.com/office/drawing/2014/main" id="{87E57E56-D04C-4564-8558-B43C6DAEA38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389"/>
        <a:stretch/>
      </xdr:blipFill>
      <xdr:spPr>
        <a:xfrm>
          <a:off x="8820150" y="114301"/>
          <a:ext cx="1118481" cy="587038"/>
        </a:xfrm>
        <a:prstGeom prst="rect">
          <a:avLst/>
        </a:prstGeom>
      </xdr:spPr>
    </xdr:pic>
    <xdr:clientData/>
  </xdr:twoCellAnchor>
  <xdr:twoCellAnchor editAs="oneCell">
    <xdr:from>
      <xdr:col>1</xdr:col>
      <xdr:colOff>161925</xdr:colOff>
      <xdr:row>0</xdr:row>
      <xdr:rowOff>114300</xdr:rowOff>
    </xdr:from>
    <xdr:to>
      <xdr:col>3</xdr:col>
      <xdr:colOff>38100</xdr:colOff>
      <xdr:row>4</xdr:row>
      <xdr:rowOff>178492</xdr:rowOff>
    </xdr:to>
    <xdr:pic>
      <xdr:nvPicPr>
        <xdr:cNvPr id="9" name="Image 8" descr="Logo_Appui-Innovation.jpg">
          <a:hlinkClick xmlns:r="http://schemas.openxmlformats.org/officeDocument/2006/relationships" r:id="rId3"/>
          <a:extLst>
            <a:ext uri="{FF2B5EF4-FFF2-40B4-BE49-F238E27FC236}">
              <a16:creationId xmlns:a16="http://schemas.microsoft.com/office/drawing/2014/main" id="{D032FB11-46AE-4100-88C8-6F2C3150376B}"/>
            </a:ext>
          </a:extLst>
        </xdr:cNvPr>
        <xdr:cNvPicPr>
          <a:picLocks noChangeAspect="1"/>
        </xdr:cNvPicPr>
      </xdr:nvPicPr>
      <xdr:blipFill>
        <a:blip xmlns:r="http://schemas.openxmlformats.org/officeDocument/2006/relationships" r:embed="rId4" cstate="print"/>
        <a:stretch>
          <a:fillRect/>
        </a:stretch>
      </xdr:blipFill>
      <xdr:spPr>
        <a:xfrm>
          <a:off x="304800" y="114300"/>
          <a:ext cx="904875" cy="711892"/>
        </a:xfrm>
        <a:prstGeom prst="rect">
          <a:avLst/>
        </a:prstGeom>
      </xdr:spPr>
    </xdr:pic>
    <xdr:clientData/>
  </xdr:twoCellAnchor>
  <xdr:twoCellAnchor>
    <xdr:from>
      <xdr:col>1</xdr:col>
      <xdr:colOff>138951</xdr:colOff>
      <xdr:row>50</xdr:row>
      <xdr:rowOff>95249</xdr:rowOff>
    </xdr:from>
    <xdr:to>
      <xdr:col>8</xdr:col>
      <xdr:colOff>333375</xdr:colOff>
      <xdr:row>59</xdr:row>
      <xdr:rowOff>276224</xdr:rowOff>
    </xdr:to>
    <xdr:graphicFrame macro="">
      <xdr:nvGraphicFramePr>
        <xdr:cNvPr id="10" name="Graphique 9">
          <a:extLst>
            <a:ext uri="{FF2B5EF4-FFF2-40B4-BE49-F238E27FC236}">
              <a16:creationId xmlns:a16="http://schemas.microsoft.com/office/drawing/2014/main" id="{9D45C547-62D9-4DFE-9611-FE281C1A99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435909</xdr:colOff>
      <xdr:row>71</xdr:row>
      <xdr:rowOff>30535</xdr:rowOff>
    </xdr:from>
    <xdr:to>
      <xdr:col>6</xdr:col>
      <xdr:colOff>363159</xdr:colOff>
      <xdr:row>83</xdr:row>
      <xdr:rowOff>17650</xdr:rowOff>
    </xdr:to>
    <xdr:graphicFrame macro="">
      <xdr:nvGraphicFramePr>
        <xdr:cNvPr id="11" name="Graphique 10">
          <a:extLst>
            <a:ext uri="{FF2B5EF4-FFF2-40B4-BE49-F238E27FC236}">
              <a16:creationId xmlns:a16="http://schemas.microsoft.com/office/drawing/2014/main" id="{CF5FFDA6-A978-4FC9-8FD8-7858D0E26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101414</xdr:colOff>
      <xdr:row>71</xdr:row>
      <xdr:rowOff>28574</xdr:rowOff>
    </xdr:from>
    <xdr:to>
      <xdr:col>11</xdr:col>
      <xdr:colOff>514439</xdr:colOff>
      <xdr:row>83</xdr:row>
      <xdr:rowOff>19610</xdr:rowOff>
    </xdr:to>
    <xdr:graphicFrame macro="">
      <xdr:nvGraphicFramePr>
        <xdr:cNvPr id="12" name="Graphique 11">
          <a:extLst>
            <a:ext uri="{FF2B5EF4-FFF2-40B4-BE49-F238E27FC236}">
              <a16:creationId xmlns:a16="http://schemas.microsoft.com/office/drawing/2014/main" id="{597E03FE-F788-46D9-8DC1-51AAB6CD65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169769</xdr:colOff>
      <xdr:row>71</xdr:row>
      <xdr:rowOff>17369</xdr:rowOff>
    </xdr:from>
    <xdr:to>
      <xdr:col>17</xdr:col>
      <xdr:colOff>144644</xdr:colOff>
      <xdr:row>83</xdr:row>
      <xdr:rowOff>30816</xdr:rowOff>
    </xdr:to>
    <xdr:graphicFrame macro="">
      <xdr:nvGraphicFramePr>
        <xdr:cNvPr id="13" name="Graphique 12">
          <a:extLst>
            <a:ext uri="{FF2B5EF4-FFF2-40B4-BE49-F238E27FC236}">
              <a16:creationId xmlns:a16="http://schemas.microsoft.com/office/drawing/2014/main" id="{DD81DEF1-2C7B-40F7-86CE-8DE9F7FBF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93569</xdr:colOff>
      <xdr:row>31</xdr:row>
      <xdr:rowOff>114300</xdr:rowOff>
    </xdr:from>
    <xdr:to>
      <xdr:col>17</xdr:col>
      <xdr:colOff>261656</xdr:colOff>
      <xdr:row>48</xdr:row>
      <xdr:rowOff>0</xdr:rowOff>
    </xdr:to>
    <xdr:graphicFrame macro="">
      <xdr:nvGraphicFramePr>
        <xdr:cNvPr id="14" name="Graphique 13">
          <a:extLst>
            <a:ext uri="{FF2B5EF4-FFF2-40B4-BE49-F238E27FC236}">
              <a16:creationId xmlns:a16="http://schemas.microsoft.com/office/drawing/2014/main" id="{37B23EEA-7D7B-4A03-9094-F4BB2545E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247650</xdr:colOff>
      <xdr:row>50</xdr:row>
      <xdr:rowOff>86847</xdr:rowOff>
    </xdr:from>
    <xdr:to>
      <xdr:col>16</xdr:col>
      <xdr:colOff>476250</xdr:colOff>
      <xdr:row>59</xdr:row>
      <xdr:rowOff>285750</xdr:rowOff>
    </xdr:to>
    <xdr:graphicFrame macro="">
      <xdr:nvGraphicFramePr>
        <xdr:cNvPr id="27" name="Graphique 26">
          <a:extLst>
            <a:ext uri="{FF2B5EF4-FFF2-40B4-BE49-F238E27FC236}">
              <a16:creationId xmlns:a16="http://schemas.microsoft.com/office/drawing/2014/main" id="{8A7F1140-0839-4BB4-BFF0-DBEA6A806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200025</xdr:colOff>
      <xdr:row>2</xdr:row>
      <xdr:rowOff>151351</xdr:rowOff>
    </xdr:from>
    <xdr:to>
      <xdr:col>12</xdr:col>
      <xdr:colOff>0</xdr:colOff>
      <xdr:row>6</xdr:row>
      <xdr:rowOff>133350</xdr:rowOff>
    </xdr:to>
    <xdr:pic>
      <xdr:nvPicPr>
        <xdr:cNvPr id="2" name="Image 1">
          <a:extLst>
            <a:ext uri="{FF2B5EF4-FFF2-40B4-BE49-F238E27FC236}">
              <a16:creationId xmlns:a16="http://schemas.microsoft.com/office/drawing/2014/main" id="{42436149-00BD-42E2-8A8D-51131F63CC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28975" y="475201"/>
          <a:ext cx="3829050" cy="858299"/>
        </a:xfrm>
        <a:prstGeom prst="rect">
          <a:avLst/>
        </a:prstGeom>
      </xdr:spPr>
    </xdr:pic>
    <xdr:clientData/>
  </xdr:twoCellAnchor>
  <xdr:twoCellAnchor editAs="oneCell">
    <xdr:from>
      <xdr:col>1</xdr:col>
      <xdr:colOff>161925</xdr:colOff>
      <xdr:row>0</xdr:row>
      <xdr:rowOff>114300</xdr:rowOff>
    </xdr:from>
    <xdr:to>
      <xdr:col>3</xdr:col>
      <xdr:colOff>76200</xdr:colOff>
      <xdr:row>4</xdr:row>
      <xdr:rowOff>64192</xdr:rowOff>
    </xdr:to>
    <xdr:pic>
      <xdr:nvPicPr>
        <xdr:cNvPr id="4" name="Image 3" descr="Logo_Appui-Innovation.jpg">
          <a:hlinkClick xmlns:r="http://schemas.openxmlformats.org/officeDocument/2006/relationships" r:id="rId2"/>
          <a:extLst>
            <a:ext uri="{FF2B5EF4-FFF2-40B4-BE49-F238E27FC236}">
              <a16:creationId xmlns:a16="http://schemas.microsoft.com/office/drawing/2014/main" id="{5A23EC30-8A97-41CD-87EB-E72A75E96F62}"/>
            </a:ext>
          </a:extLst>
        </xdr:cNvPr>
        <xdr:cNvPicPr>
          <a:picLocks noChangeAspect="1"/>
        </xdr:cNvPicPr>
      </xdr:nvPicPr>
      <xdr:blipFill>
        <a:blip xmlns:r="http://schemas.openxmlformats.org/officeDocument/2006/relationships" r:embed="rId3" cstate="print"/>
        <a:stretch>
          <a:fillRect/>
        </a:stretch>
      </xdr:blipFill>
      <xdr:spPr>
        <a:xfrm>
          <a:off x="238125" y="114300"/>
          <a:ext cx="904875" cy="711892"/>
        </a:xfrm>
        <a:prstGeom prst="rect">
          <a:avLst/>
        </a:prstGeom>
      </xdr:spPr>
    </xdr:pic>
    <xdr:clientData/>
  </xdr:twoCellAnchor>
  <xdr:twoCellAnchor editAs="oneCell">
    <xdr:from>
      <xdr:col>15</xdr:col>
      <xdr:colOff>304800</xdr:colOff>
      <xdr:row>0</xdr:row>
      <xdr:rowOff>114301</xdr:rowOff>
    </xdr:from>
    <xdr:to>
      <xdr:col>17</xdr:col>
      <xdr:colOff>165981</xdr:colOff>
      <xdr:row>4</xdr:row>
      <xdr:rowOff>53639</xdr:rowOff>
    </xdr:to>
    <xdr:pic>
      <xdr:nvPicPr>
        <xdr:cNvPr id="30" name="Image 29">
          <a:extLst>
            <a:ext uri="{FF2B5EF4-FFF2-40B4-BE49-F238E27FC236}">
              <a16:creationId xmlns:a16="http://schemas.microsoft.com/office/drawing/2014/main" id="{00D5149D-C81C-41DC-A45D-942A974E250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9389"/>
        <a:stretch/>
      </xdr:blipFill>
      <xdr:spPr>
        <a:xfrm>
          <a:off x="8772525" y="114301"/>
          <a:ext cx="1118481" cy="587038"/>
        </a:xfrm>
        <a:prstGeom prst="rect">
          <a:avLst/>
        </a:prstGeom>
      </xdr:spPr>
    </xdr:pic>
    <xdr:clientData/>
  </xdr:twoCellAnchor>
  <xdr:twoCellAnchor editAs="oneCell">
    <xdr:from>
      <xdr:col>1</xdr:col>
      <xdr:colOff>161925</xdr:colOff>
      <xdr:row>0</xdr:row>
      <xdr:rowOff>114300</xdr:rowOff>
    </xdr:from>
    <xdr:to>
      <xdr:col>3</xdr:col>
      <xdr:colOff>38100</xdr:colOff>
      <xdr:row>4</xdr:row>
      <xdr:rowOff>178492</xdr:rowOff>
    </xdr:to>
    <xdr:pic>
      <xdr:nvPicPr>
        <xdr:cNvPr id="31" name="Image 30" descr="Logo_Appui-Innovation.jpg">
          <a:hlinkClick xmlns:r="http://schemas.openxmlformats.org/officeDocument/2006/relationships" r:id="rId2"/>
          <a:extLst>
            <a:ext uri="{FF2B5EF4-FFF2-40B4-BE49-F238E27FC236}">
              <a16:creationId xmlns:a16="http://schemas.microsoft.com/office/drawing/2014/main" id="{C53D2C00-332D-4853-A845-98C5178018F6}"/>
            </a:ext>
          </a:extLst>
        </xdr:cNvPr>
        <xdr:cNvPicPr>
          <a:picLocks noChangeAspect="1"/>
        </xdr:cNvPicPr>
      </xdr:nvPicPr>
      <xdr:blipFill>
        <a:blip xmlns:r="http://schemas.openxmlformats.org/officeDocument/2006/relationships" r:embed="rId3" cstate="print"/>
        <a:stretch>
          <a:fillRect/>
        </a:stretch>
      </xdr:blipFill>
      <xdr:spPr>
        <a:xfrm>
          <a:off x="238125" y="114300"/>
          <a:ext cx="904875" cy="711892"/>
        </a:xfrm>
        <a:prstGeom prst="rect">
          <a:avLst/>
        </a:prstGeom>
      </xdr:spPr>
    </xdr:pic>
    <xdr:clientData/>
  </xdr:twoCellAnchor>
  <xdr:twoCellAnchor>
    <xdr:from>
      <xdr:col>1</xdr:col>
      <xdr:colOff>215151</xdr:colOff>
      <xdr:row>46</xdr:row>
      <xdr:rowOff>19050</xdr:rowOff>
    </xdr:from>
    <xdr:to>
      <xdr:col>9</xdr:col>
      <xdr:colOff>9525</xdr:colOff>
      <xdr:row>59</xdr:row>
      <xdr:rowOff>95250</xdr:rowOff>
    </xdr:to>
    <xdr:graphicFrame macro="">
      <xdr:nvGraphicFramePr>
        <xdr:cNvPr id="32" name="Graphique 31">
          <a:extLst>
            <a:ext uri="{FF2B5EF4-FFF2-40B4-BE49-F238E27FC236}">
              <a16:creationId xmlns:a16="http://schemas.microsoft.com/office/drawing/2014/main" id="{56A34325-5581-4BED-B5E1-8F2CCCD2E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129989</xdr:colOff>
      <xdr:row>70</xdr:row>
      <xdr:rowOff>106455</xdr:rowOff>
    </xdr:from>
    <xdr:to>
      <xdr:col>11</xdr:col>
      <xdr:colOff>466814</xdr:colOff>
      <xdr:row>82</xdr:row>
      <xdr:rowOff>116541</xdr:rowOff>
    </xdr:to>
    <xdr:graphicFrame macro="">
      <xdr:nvGraphicFramePr>
        <xdr:cNvPr id="34" name="Graphique 33">
          <a:extLst>
            <a:ext uri="{FF2B5EF4-FFF2-40B4-BE49-F238E27FC236}">
              <a16:creationId xmlns:a16="http://schemas.microsoft.com/office/drawing/2014/main" id="{BAE65D6C-A663-40A0-9745-5FCF452D7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228600</xdr:colOff>
      <xdr:row>46</xdr:row>
      <xdr:rowOff>104775</xdr:rowOff>
    </xdr:from>
    <xdr:to>
      <xdr:col>16</xdr:col>
      <xdr:colOff>552451</xdr:colOff>
      <xdr:row>59</xdr:row>
      <xdr:rowOff>95250</xdr:rowOff>
    </xdr:to>
    <xdr:graphicFrame macro="">
      <xdr:nvGraphicFramePr>
        <xdr:cNvPr id="37" name="Graphique 36">
          <a:extLst>
            <a:ext uri="{FF2B5EF4-FFF2-40B4-BE49-F238E27FC236}">
              <a16:creationId xmlns:a16="http://schemas.microsoft.com/office/drawing/2014/main" id="{9972D37B-619C-479C-8B70-7140FFBE6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171450</xdr:colOff>
      <xdr:row>30</xdr:row>
      <xdr:rowOff>104775</xdr:rowOff>
    </xdr:from>
    <xdr:to>
      <xdr:col>17</xdr:col>
      <xdr:colOff>339537</xdr:colOff>
      <xdr:row>44</xdr:row>
      <xdr:rowOff>19050</xdr:rowOff>
    </xdr:to>
    <xdr:graphicFrame macro="">
      <xdr:nvGraphicFramePr>
        <xdr:cNvPr id="38" name="Graphique 37">
          <a:extLst>
            <a:ext uri="{FF2B5EF4-FFF2-40B4-BE49-F238E27FC236}">
              <a16:creationId xmlns:a16="http://schemas.microsoft.com/office/drawing/2014/main" id="{A1C2EB85-CE9D-4BD5-8E31-3ABFD6754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9525</xdr:colOff>
      <xdr:row>70</xdr:row>
      <xdr:rowOff>108416</xdr:rowOff>
    </xdr:from>
    <xdr:to>
      <xdr:col>6</xdr:col>
      <xdr:colOff>717825</xdr:colOff>
      <xdr:row>82</xdr:row>
      <xdr:rowOff>114581</xdr:rowOff>
    </xdr:to>
    <xdr:graphicFrame macro="">
      <xdr:nvGraphicFramePr>
        <xdr:cNvPr id="39" name="Graphique 38">
          <a:extLst>
            <a:ext uri="{FF2B5EF4-FFF2-40B4-BE49-F238E27FC236}">
              <a16:creationId xmlns:a16="http://schemas.microsoft.com/office/drawing/2014/main" id="{93488285-286D-42F9-ABE8-23885C71CE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105335</xdr:colOff>
      <xdr:row>70</xdr:row>
      <xdr:rowOff>95250</xdr:rowOff>
    </xdr:from>
    <xdr:to>
      <xdr:col>16</xdr:col>
      <xdr:colOff>642185</xdr:colOff>
      <xdr:row>82</xdr:row>
      <xdr:rowOff>127747</xdr:rowOff>
    </xdr:to>
    <xdr:graphicFrame macro="">
      <xdr:nvGraphicFramePr>
        <xdr:cNvPr id="40" name="Graphique 39">
          <a:extLst>
            <a:ext uri="{FF2B5EF4-FFF2-40B4-BE49-F238E27FC236}">
              <a16:creationId xmlns:a16="http://schemas.microsoft.com/office/drawing/2014/main" id="{4035817C-E0D3-4EF9-8A74-5B2A3919B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180975</xdr:colOff>
      <xdr:row>3</xdr:row>
      <xdr:rowOff>18001</xdr:rowOff>
    </xdr:from>
    <xdr:to>
      <xdr:col>12</xdr:col>
      <xdr:colOff>19878</xdr:colOff>
      <xdr:row>6</xdr:row>
      <xdr:rowOff>161925</xdr:rowOff>
    </xdr:to>
    <xdr:pic>
      <xdr:nvPicPr>
        <xdr:cNvPr id="2" name="Image 1">
          <a:extLst>
            <a:ext uri="{FF2B5EF4-FFF2-40B4-BE49-F238E27FC236}">
              <a16:creationId xmlns:a16="http://schemas.microsoft.com/office/drawing/2014/main" id="{FBA63DE7-D252-4406-9B36-735512A34E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9925" y="503776"/>
          <a:ext cx="3829050" cy="858299"/>
        </a:xfrm>
        <a:prstGeom prst="rect">
          <a:avLst/>
        </a:prstGeom>
      </xdr:spPr>
    </xdr:pic>
    <xdr:clientData/>
  </xdr:twoCellAnchor>
  <xdr:twoCellAnchor editAs="oneCell">
    <xdr:from>
      <xdr:col>1</xdr:col>
      <xdr:colOff>161925</xdr:colOff>
      <xdr:row>0</xdr:row>
      <xdr:rowOff>114300</xdr:rowOff>
    </xdr:from>
    <xdr:to>
      <xdr:col>3</xdr:col>
      <xdr:colOff>106846</xdr:colOff>
      <xdr:row>4</xdr:row>
      <xdr:rowOff>64192</xdr:rowOff>
    </xdr:to>
    <xdr:pic>
      <xdr:nvPicPr>
        <xdr:cNvPr id="4" name="Image 3" descr="Logo_Appui-Innovation.jpg">
          <a:hlinkClick xmlns:r="http://schemas.openxmlformats.org/officeDocument/2006/relationships" r:id="rId2"/>
          <a:extLst>
            <a:ext uri="{FF2B5EF4-FFF2-40B4-BE49-F238E27FC236}">
              <a16:creationId xmlns:a16="http://schemas.microsoft.com/office/drawing/2014/main" id="{7363AF9A-001C-406E-AEE1-7C0A51406595}"/>
            </a:ext>
          </a:extLst>
        </xdr:cNvPr>
        <xdr:cNvPicPr>
          <a:picLocks noChangeAspect="1"/>
        </xdr:cNvPicPr>
      </xdr:nvPicPr>
      <xdr:blipFill>
        <a:blip xmlns:r="http://schemas.openxmlformats.org/officeDocument/2006/relationships" r:embed="rId3" cstate="print"/>
        <a:stretch>
          <a:fillRect/>
        </a:stretch>
      </xdr:blipFill>
      <xdr:spPr>
        <a:xfrm>
          <a:off x="238125" y="114300"/>
          <a:ext cx="904875" cy="711892"/>
        </a:xfrm>
        <a:prstGeom prst="rect">
          <a:avLst/>
        </a:prstGeom>
      </xdr:spPr>
    </xdr:pic>
    <xdr:clientData/>
  </xdr:twoCellAnchor>
  <xdr:twoCellAnchor editAs="oneCell">
    <xdr:from>
      <xdr:col>1</xdr:col>
      <xdr:colOff>161925</xdr:colOff>
      <xdr:row>0</xdr:row>
      <xdr:rowOff>114300</xdr:rowOff>
    </xdr:from>
    <xdr:to>
      <xdr:col>3</xdr:col>
      <xdr:colOff>106846</xdr:colOff>
      <xdr:row>4</xdr:row>
      <xdr:rowOff>64192</xdr:rowOff>
    </xdr:to>
    <xdr:pic>
      <xdr:nvPicPr>
        <xdr:cNvPr id="31" name="Image 30" descr="Logo_Appui-Innovation.jpg">
          <a:hlinkClick xmlns:r="http://schemas.openxmlformats.org/officeDocument/2006/relationships" r:id="rId2"/>
          <a:extLst>
            <a:ext uri="{FF2B5EF4-FFF2-40B4-BE49-F238E27FC236}">
              <a16:creationId xmlns:a16="http://schemas.microsoft.com/office/drawing/2014/main" id="{D555E331-55F4-4449-BE64-84DDB788FD4F}"/>
            </a:ext>
          </a:extLst>
        </xdr:cNvPr>
        <xdr:cNvPicPr>
          <a:picLocks noChangeAspect="1"/>
        </xdr:cNvPicPr>
      </xdr:nvPicPr>
      <xdr:blipFill>
        <a:blip xmlns:r="http://schemas.openxmlformats.org/officeDocument/2006/relationships" r:embed="rId3" cstate="print"/>
        <a:stretch>
          <a:fillRect/>
        </a:stretch>
      </xdr:blipFill>
      <xdr:spPr>
        <a:xfrm>
          <a:off x="238125" y="114300"/>
          <a:ext cx="942975" cy="597592"/>
        </a:xfrm>
        <a:prstGeom prst="rect">
          <a:avLst/>
        </a:prstGeom>
      </xdr:spPr>
    </xdr:pic>
    <xdr:clientData/>
  </xdr:twoCellAnchor>
  <xdr:twoCellAnchor editAs="oneCell">
    <xdr:from>
      <xdr:col>1</xdr:col>
      <xdr:colOff>161925</xdr:colOff>
      <xdr:row>0</xdr:row>
      <xdr:rowOff>114300</xdr:rowOff>
    </xdr:from>
    <xdr:to>
      <xdr:col>3</xdr:col>
      <xdr:colOff>68746</xdr:colOff>
      <xdr:row>4</xdr:row>
      <xdr:rowOff>178492</xdr:rowOff>
    </xdr:to>
    <xdr:pic>
      <xdr:nvPicPr>
        <xdr:cNvPr id="34" name="Image 33" descr="Logo_Appui-Innovation.jpg">
          <a:hlinkClick xmlns:r="http://schemas.openxmlformats.org/officeDocument/2006/relationships" r:id="rId2"/>
          <a:extLst>
            <a:ext uri="{FF2B5EF4-FFF2-40B4-BE49-F238E27FC236}">
              <a16:creationId xmlns:a16="http://schemas.microsoft.com/office/drawing/2014/main" id="{F6B17128-1D03-4C7E-9108-CB82843F69F5}"/>
            </a:ext>
          </a:extLst>
        </xdr:cNvPr>
        <xdr:cNvPicPr>
          <a:picLocks noChangeAspect="1"/>
        </xdr:cNvPicPr>
      </xdr:nvPicPr>
      <xdr:blipFill>
        <a:blip xmlns:r="http://schemas.openxmlformats.org/officeDocument/2006/relationships" r:embed="rId3" cstate="print"/>
        <a:stretch>
          <a:fillRect/>
        </a:stretch>
      </xdr:blipFill>
      <xdr:spPr>
        <a:xfrm>
          <a:off x="238125" y="114300"/>
          <a:ext cx="904875" cy="711892"/>
        </a:xfrm>
        <a:prstGeom prst="rect">
          <a:avLst/>
        </a:prstGeom>
      </xdr:spPr>
    </xdr:pic>
    <xdr:clientData/>
  </xdr:twoCellAnchor>
  <xdr:twoCellAnchor>
    <xdr:from>
      <xdr:col>1</xdr:col>
      <xdr:colOff>243727</xdr:colOff>
      <xdr:row>48</xdr:row>
      <xdr:rowOff>36442</xdr:rowOff>
    </xdr:from>
    <xdr:to>
      <xdr:col>9</xdr:col>
      <xdr:colOff>0</xdr:colOff>
      <xdr:row>58</xdr:row>
      <xdr:rowOff>114300</xdr:rowOff>
    </xdr:to>
    <xdr:graphicFrame macro="">
      <xdr:nvGraphicFramePr>
        <xdr:cNvPr id="35" name="Graphique 34">
          <a:extLst>
            <a:ext uri="{FF2B5EF4-FFF2-40B4-BE49-F238E27FC236}">
              <a16:creationId xmlns:a16="http://schemas.microsoft.com/office/drawing/2014/main" id="{91021C60-6B28-491F-BC0C-ECC0119795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568139</xdr:colOff>
      <xdr:row>70</xdr:row>
      <xdr:rowOff>173130</xdr:rowOff>
    </xdr:from>
    <xdr:to>
      <xdr:col>12</xdr:col>
      <xdr:colOff>249891</xdr:colOff>
      <xdr:row>82</xdr:row>
      <xdr:rowOff>183216</xdr:rowOff>
    </xdr:to>
    <xdr:graphicFrame macro="">
      <xdr:nvGraphicFramePr>
        <xdr:cNvPr id="36" name="Graphique 35">
          <a:extLst>
            <a:ext uri="{FF2B5EF4-FFF2-40B4-BE49-F238E27FC236}">
              <a16:creationId xmlns:a16="http://schemas.microsoft.com/office/drawing/2014/main" id="{5A30F55E-322B-446C-A55F-7ADB3E2412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571500</xdr:colOff>
      <xdr:row>48</xdr:row>
      <xdr:rowOff>38100</xdr:rowOff>
    </xdr:from>
    <xdr:to>
      <xdr:col>17</xdr:col>
      <xdr:colOff>161925</xdr:colOff>
      <xdr:row>58</xdr:row>
      <xdr:rowOff>95250</xdr:rowOff>
    </xdr:to>
    <xdr:graphicFrame macro="">
      <xdr:nvGraphicFramePr>
        <xdr:cNvPr id="37" name="Graphique 36">
          <a:extLst>
            <a:ext uri="{FF2B5EF4-FFF2-40B4-BE49-F238E27FC236}">
              <a16:creationId xmlns:a16="http://schemas.microsoft.com/office/drawing/2014/main" id="{A0A9FCA3-5CAF-4783-96FE-604D2B580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154885</xdr:colOff>
      <xdr:row>30</xdr:row>
      <xdr:rowOff>57150</xdr:rowOff>
    </xdr:from>
    <xdr:to>
      <xdr:col>17</xdr:col>
      <xdr:colOff>322972</xdr:colOff>
      <xdr:row>45</xdr:row>
      <xdr:rowOff>228600</xdr:rowOff>
    </xdr:to>
    <xdr:graphicFrame macro="">
      <xdr:nvGraphicFramePr>
        <xdr:cNvPr id="38" name="Graphique 37">
          <a:extLst>
            <a:ext uri="{FF2B5EF4-FFF2-40B4-BE49-F238E27FC236}">
              <a16:creationId xmlns:a16="http://schemas.microsoft.com/office/drawing/2014/main" id="{92A17D9B-3BFF-45B1-AD4D-6AD89C0E09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95250</xdr:colOff>
      <xdr:row>70</xdr:row>
      <xdr:rowOff>175091</xdr:rowOff>
    </xdr:from>
    <xdr:to>
      <xdr:col>6</xdr:col>
      <xdr:colOff>470087</xdr:colOff>
      <xdr:row>82</xdr:row>
      <xdr:rowOff>181256</xdr:rowOff>
    </xdr:to>
    <xdr:graphicFrame macro="">
      <xdr:nvGraphicFramePr>
        <xdr:cNvPr id="39" name="Graphique 38">
          <a:extLst>
            <a:ext uri="{FF2B5EF4-FFF2-40B4-BE49-F238E27FC236}">
              <a16:creationId xmlns:a16="http://schemas.microsoft.com/office/drawing/2014/main" id="{F1F9D505-05A1-4F21-909E-60BBF7A147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343460</xdr:colOff>
      <xdr:row>70</xdr:row>
      <xdr:rowOff>161925</xdr:rowOff>
    </xdr:from>
    <xdr:to>
      <xdr:col>17</xdr:col>
      <xdr:colOff>297516</xdr:colOff>
      <xdr:row>82</xdr:row>
      <xdr:rowOff>194422</xdr:rowOff>
    </xdr:to>
    <xdr:graphicFrame macro="">
      <xdr:nvGraphicFramePr>
        <xdr:cNvPr id="40" name="Graphique 39">
          <a:extLst>
            <a:ext uri="{FF2B5EF4-FFF2-40B4-BE49-F238E27FC236}">
              <a16:creationId xmlns:a16="http://schemas.microsoft.com/office/drawing/2014/main" id="{30DCD81E-782B-4076-93ED-361C3C797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15</xdr:col>
      <xdr:colOff>323850</xdr:colOff>
      <xdr:row>0</xdr:row>
      <xdr:rowOff>85725</xdr:rowOff>
    </xdr:from>
    <xdr:to>
      <xdr:col>17</xdr:col>
      <xdr:colOff>180975</xdr:colOff>
      <xdr:row>4</xdr:row>
      <xdr:rowOff>25063</xdr:rowOff>
    </xdr:to>
    <xdr:pic>
      <xdr:nvPicPr>
        <xdr:cNvPr id="6" name="Image 5">
          <a:extLst>
            <a:ext uri="{FF2B5EF4-FFF2-40B4-BE49-F238E27FC236}">
              <a16:creationId xmlns:a16="http://schemas.microsoft.com/office/drawing/2014/main" id="{879F9A1F-3ED6-45A1-A0B9-156AD49EA91A}"/>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9389"/>
        <a:stretch/>
      </xdr:blipFill>
      <xdr:spPr>
        <a:xfrm>
          <a:off x="8791575" y="85725"/>
          <a:ext cx="1114425" cy="58703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AY323"/>
  <sheetViews>
    <sheetView view="pageLayout" topLeftCell="A56" zoomScale="96" zoomScaleNormal="70" zoomScalePageLayoutView="96" workbookViewId="0">
      <selection activeCell="C1" sqref="C1:H2"/>
    </sheetView>
  </sheetViews>
  <sheetFormatPr baseColWidth="10" defaultColWidth="0" defaultRowHeight="14.4" zeroHeight="1" x14ac:dyDescent="0.3"/>
  <cols>
    <col min="1" max="1" width="1" style="6" customWidth="1"/>
    <col min="2" max="9" width="12" customWidth="1"/>
    <col min="10" max="10" width="1" style="6" customWidth="1"/>
    <col min="11" max="50" width="11.44140625" hidden="1" customWidth="1"/>
    <col min="51" max="51" width="0" hidden="1" customWidth="1"/>
    <col min="52" max="16384" width="11.44140625" hidden="1"/>
  </cols>
  <sheetData>
    <row r="1" spans="2:9" ht="56.25" customHeight="1" x14ac:dyDescent="0.3">
      <c r="B1" s="6"/>
      <c r="C1" s="280" t="s">
        <v>4360</v>
      </c>
      <c r="D1" s="280"/>
      <c r="E1" s="280"/>
      <c r="F1" s="280"/>
      <c r="G1" s="280"/>
      <c r="H1" s="280"/>
      <c r="I1" s="6"/>
    </row>
    <row r="2" spans="2:9" ht="15" customHeight="1" x14ac:dyDescent="0.3">
      <c r="B2" s="6"/>
      <c r="C2" s="280"/>
      <c r="D2" s="280"/>
      <c r="E2" s="280"/>
      <c r="F2" s="280"/>
      <c r="G2" s="280"/>
      <c r="H2" s="280"/>
      <c r="I2" s="6"/>
    </row>
    <row r="3" spans="2:9" ht="15" customHeight="1" x14ac:dyDescent="0.3">
      <c r="B3" s="6"/>
      <c r="C3" s="279"/>
      <c r="D3" s="279"/>
      <c r="E3" s="279"/>
      <c r="F3" s="279"/>
      <c r="G3" s="279"/>
      <c r="H3" s="279"/>
      <c r="I3" s="6"/>
    </row>
    <row r="4" spans="2:9" ht="15" customHeight="1" x14ac:dyDescent="0.3">
      <c r="B4" s="6"/>
      <c r="C4" s="276" t="s">
        <v>32</v>
      </c>
      <c r="D4" s="276"/>
      <c r="E4" s="276"/>
      <c r="F4" s="276"/>
      <c r="G4" s="276"/>
      <c r="H4" s="276"/>
      <c r="I4" s="6"/>
    </row>
    <row r="5" spans="2:9" ht="15" customHeight="1" x14ac:dyDescent="0.3">
      <c r="B5" s="6"/>
      <c r="C5" s="6"/>
      <c r="D5" s="6"/>
      <c r="E5" s="13"/>
      <c r="F5" s="6"/>
      <c r="G5" s="6"/>
      <c r="H5" s="6"/>
      <c r="I5" s="6"/>
    </row>
    <row r="6" spans="2:9" ht="15" customHeight="1" x14ac:dyDescent="0.3">
      <c r="B6" s="6"/>
      <c r="C6" s="6"/>
      <c r="D6" s="13"/>
      <c r="E6" s="13"/>
      <c r="F6" s="6"/>
      <c r="G6" s="6"/>
      <c r="H6" s="6"/>
      <c r="I6" s="6"/>
    </row>
    <row r="7" spans="2:9" ht="15" customHeight="1" x14ac:dyDescent="0.3">
      <c r="B7" s="6"/>
      <c r="C7" s="6"/>
      <c r="D7" s="13"/>
      <c r="E7" s="13"/>
      <c r="F7" s="6"/>
      <c r="G7" s="6"/>
      <c r="H7" s="6"/>
      <c r="I7" s="6"/>
    </row>
    <row r="8" spans="2:9" ht="15" customHeight="1" x14ac:dyDescent="0.3">
      <c r="B8" s="6"/>
      <c r="C8" s="6"/>
      <c r="D8" s="13"/>
      <c r="E8" s="13"/>
      <c r="F8" s="6"/>
      <c r="G8" s="6"/>
      <c r="H8" s="6"/>
      <c r="I8" s="6"/>
    </row>
    <row r="9" spans="2:9" ht="15" customHeight="1" x14ac:dyDescent="0.3">
      <c r="B9" s="6"/>
      <c r="C9" s="6"/>
      <c r="D9" s="13"/>
      <c r="E9" s="13"/>
      <c r="F9" s="6"/>
      <c r="G9" s="6"/>
      <c r="H9" s="6"/>
      <c r="I9" s="6"/>
    </row>
    <row r="10" spans="2:9" ht="15" customHeight="1" x14ac:dyDescent="0.3">
      <c r="B10" s="6"/>
      <c r="C10" s="6"/>
      <c r="D10" s="13"/>
      <c r="E10" s="13"/>
      <c r="F10" s="6"/>
      <c r="G10" s="6"/>
      <c r="H10" s="6"/>
      <c r="I10" s="6"/>
    </row>
    <row r="11" spans="2:9" ht="15" customHeight="1" x14ac:dyDescent="0.3">
      <c r="B11" s="6"/>
      <c r="C11" s="6"/>
      <c r="D11" s="13"/>
      <c r="E11" s="13"/>
      <c r="F11" s="6"/>
      <c r="G11" s="6"/>
      <c r="H11" s="6"/>
      <c r="I11" s="6"/>
    </row>
    <row r="12" spans="2:9" ht="148.5" customHeight="1" x14ac:dyDescent="0.3">
      <c r="B12" s="278" t="s">
        <v>4347</v>
      </c>
      <c r="C12" s="278"/>
      <c r="D12" s="278"/>
      <c r="E12" s="278"/>
      <c r="F12" s="278"/>
      <c r="G12" s="278"/>
      <c r="H12" s="278"/>
      <c r="I12" s="278"/>
    </row>
    <row r="13" spans="2:9" ht="95.25" customHeight="1" x14ac:dyDescent="0.3">
      <c r="B13" s="278"/>
      <c r="C13" s="278"/>
      <c r="D13" s="278"/>
      <c r="E13" s="278"/>
      <c r="F13" s="278"/>
      <c r="G13" s="278"/>
      <c r="H13" s="278"/>
      <c r="I13" s="278"/>
    </row>
    <row r="14" spans="2:9" ht="15" customHeight="1" x14ac:dyDescent="0.3">
      <c r="B14" s="6"/>
      <c r="C14" s="275" t="s">
        <v>33</v>
      </c>
      <c r="D14" s="275"/>
      <c r="E14" s="275"/>
      <c r="F14" s="275"/>
      <c r="G14" s="275"/>
      <c r="H14" s="275"/>
      <c r="I14" s="6"/>
    </row>
    <row r="15" spans="2:9" ht="15" customHeight="1" x14ac:dyDescent="0.3">
      <c r="B15" s="6"/>
      <c r="C15" s="275"/>
      <c r="D15" s="275"/>
      <c r="E15" s="275"/>
      <c r="F15" s="275"/>
      <c r="G15" s="275"/>
      <c r="H15" s="275"/>
      <c r="I15" s="6"/>
    </row>
    <row r="16" spans="2:9" ht="15" customHeight="1" x14ac:dyDescent="0.3">
      <c r="B16" s="6"/>
      <c r="C16" s="275"/>
      <c r="D16" s="275"/>
      <c r="E16" s="275"/>
      <c r="F16" s="275"/>
      <c r="G16" s="275"/>
      <c r="H16" s="275"/>
      <c r="I16" s="6"/>
    </row>
    <row r="17" spans="2:9" x14ac:dyDescent="0.3">
      <c r="B17" s="6"/>
      <c r="C17" s="6"/>
      <c r="D17" s="6"/>
      <c r="E17" s="6"/>
      <c r="F17" s="6"/>
      <c r="G17" s="6"/>
      <c r="H17" s="6"/>
      <c r="I17" s="6"/>
    </row>
    <row r="18" spans="2:9" x14ac:dyDescent="0.3">
      <c r="B18" s="276"/>
      <c r="C18" s="277"/>
      <c r="D18" s="277"/>
      <c r="E18" s="277"/>
      <c r="F18" s="277"/>
      <c r="G18" s="277"/>
      <c r="H18" s="277"/>
      <c r="I18" s="277"/>
    </row>
    <row r="19" spans="2:9" x14ac:dyDescent="0.3">
      <c r="B19" s="277"/>
      <c r="C19" s="277"/>
      <c r="D19" s="277"/>
      <c r="E19" s="277"/>
      <c r="F19" s="277"/>
      <c r="G19" s="277"/>
      <c r="H19" s="277"/>
      <c r="I19" s="277"/>
    </row>
    <row r="20" spans="2:9" x14ac:dyDescent="0.3">
      <c r="B20" s="277"/>
      <c r="C20" s="277"/>
      <c r="D20" s="277"/>
      <c r="E20" s="277"/>
      <c r="F20" s="277"/>
      <c r="G20" s="277"/>
      <c r="H20" s="277"/>
      <c r="I20" s="277"/>
    </row>
    <row r="21" spans="2:9" x14ac:dyDescent="0.3">
      <c r="B21" s="277"/>
      <c r="C21" s="277"/>
      <c r="D21" s="277"/>
      <c r="E21" s="277"/>
      <c r="F21" s="277"/>
      <c r="G21" s="277"/>
      <c r="H21" s="277"/>
      <c r="I21" s="277"/>
    </row>
    <row r="22" spans="2:9" x14ac:dyDescent="0.3">
      <c r="B22" s="277"/>
      <c r="C22" s="277"/>
      <c r="D22" s="277"/>
      <c r="E22" s="277"/>
      <c r="F22" s="277"/>
      <c r="G22" s="277"/>
      <c r="H22" s="277"/>
      <c r="I22" s="277"/>
    </row>
    <row r="23" spans="2:9" x14ac:dyDescent="0.3">
      <c r="B23" s="277"/>
      <c r="C23" s="277"/>
      <c r="D23" s="277"/>
      <c r="E23" s="277"/>
      <c r="F23" s="277"/>
      <c r="G23" s="277"/>
      <c r="H23" s="277"/>
      <c r="I23" s="277"/>
    </row>
    <row r="24" spans="2:9" x14ac:dyDescent="0.3">
      <c r="B24" s="277"/>
      <c r="C24" s="277"/>
      <c r="D24" s="277"/>
      <c r="E24" s="277"/>
      <c r="F24" s="277"/>
      <c r="G24" s="277"/>
      <c r="H24" s="277"/>
      <c r="I24" s="277"/>
    </row>
    <row r="25" spans="2:9" x14ac:dyDescent="0.3">
      <c r="B25" s="277"/>
      <c r="C25" s="277"/>
      <c r="D25" s="277"/>
      <c r="E25" s="277"/>
      <c r="F25" s="277"/>
      <c r="G25" s="277"/>
      <c r="H25" s="277"/>
      <c r="I25" s="277"/>
    </row>
    <row r="26" spans="2:9" x14ac:dyDescent="0.3">
      <c r="B26" s="277"/>
      <c r="C26" s="277"/>
      <c r="D26" s="277"/>
      <c r="E26" s="277"/>
      <c r="F26" s="277"/>
      <c r="G26" s="277"/>
      <c r="H26" s="277"/>
      <c r="I26" s="277"/>
    </row>
    <row r="27" spans="2:9" x14ac:dyDescent="0.3">
      <c r="B27" s="277"/>
      <c r="C27" s="277"/>
      <c r="D27" s="277"/>
      <c r="E27" s="277"/>
      <c r="F27" s="277"/>
      <c r="G27" s="277"/>
      <c r="H27" s="277"/>
      <c r="I27" s="277"/>
    </row>
    <row r="28" spans="2:9" x14ac:dyDescent="0.3">
      <c r="B28" s="277"/>
      <c r="C28" s="277"/>
      <c r="D28" s="277"/>
      <c r="E28" s="277"/>
      <c r="F28" s="277"/>
      <c r="G28" s="277"/>
      <c r="H28" s="277"/>
      <c r="I28" s="277"/>
    </row>
    <row r="29" spans="2:9" hidden="1" x14ac:dyDescent="0.3">
      <c r="B29" s="277"/>
      <c r="C29" s="277"/>
      <c r="D29" s="277"/>
      <c r="E29" s="277"/>
      <c r="F29" s="277"/>
      <c r="G29" s="277"/>
      <c r="H29" s="277"/>
      <c r="I29" s="277"/>
    </row>
    <row r="30" spans="2:9" ht="26.25" customHeight="1" x14ac:dyDescent="0.3">
      <c r="B30" s="277"/>
      <c r="C30" s="277"/>
      <c r="D30" s="277"/>
      <c r="E30" s="277"/>
      <c r="F30" s="277"/>
      <c r="G30" s="277"/>
      <c r="H30" s="277"/>
      <c r="I30" s="277"/>
    </row>
    <row r="31" spans="2:9" x14ac:dyDescent="0.3">
      <c r="B31" s="277"/>
      <c r="C31" s="277"/>
      <c r="D31" s="277"/>
      <c r="E31" s="277"/>
      <c r="F31" s="277"/>
      <c r="G31" s="277"/>
      <c r="H31" s="277"/>
      <c r="I31" s="277"/>
    </row>
    <row r="32" spans="2:9" x14ac:dyDescent="0.3">
      <c r="B32" s="277"/>
      <c r="C32" s="277"/>
      <c r="D32" s="277"/>
      <c r="E32" s="277"/>
      <c r="F32" s="277"/>
      <c r="G32" s="277"/>
      <c r="H32" s="277"/>
      <c r="I32" s="277"/>
    </row>
    <row r="33" spans="2:9" ht="25.5" customHeight="1" x14ac:dyDescent="0.3">
      <c r="B33" s="277"/>
      <c r="C33" s="277"/>
      <c r="D33" s="277"/>
      <c r="E33" s="277"/>
      <c r="F33" s="277"/>
      <c r="G33" s="277"/>
      <c r="H33" s="277"/>
      <c r="I33" s="277"/>
    </row>
    <row r="34" spans="2:9" ht="30" customHeight="1" x14ac:dyDescent="0.3">
      <c r="B34" s="283" t="s">
        <v>4348</v>
      </c>
      <c r="C34" s="283"/>
      <c r="D34" s="283"/>
      <c r="E34" s="283"/>
      <c r="F34" s="283"/>
      <c r="G34" s="283"/>
      <c r="H34" s="283"/>
      <c r="I34" s="283"/>
    </row>
    <row r="35" spans="2:9" ht="30" customHeight="1" x14ac:dyDescent="0.3">
      <c r="B35" s="283"/>
      <c r="C35" s="283"/>
      <c r="D35" s="283"/>
      <c r="E35" s="283"/>
      <c r="F35" s="283"/>
      <c r="G35" s="283"/>
      <c r="H35" s="283"/>
      <c r="I35" s="283"/>
    </row>
    <row r="36" spans="2:9" ht="16.5" customHeight="1" x14ac:dyDescent="0.3">
      <c r="B36" s="282" t="s">
        <v>578</v>
      </c>
      <c r="C36" s="282"/>
      <c r="D36" s="282"/>
      <c r="E36" s="282"/>
      <c r="F36" s="282"/>
      <c r="G36" s="282"/>
      <c r="H36" s="282"/>
      <c r="I36" s="282"/>
    </row>
    <row r="37" spans="2:9" ht="28.5" customHeight="1" x14ac:dyDescent="0.3">
      <c r="B37" s="282"/>
      <c r="C37" s="282"/>
      <c r="D37" s="282"/>
      <c r="E37" s="282"/>
      <c r="F37" s="282"/>
      <c r="G37" s="282"/>
      <c r="H37" s="282"/>
      <c r="I37" s="282"/>
    </row>
    <row r="38" spans="2:9" ht="15" customHeight="1" x14ac:dyDescent="0.3">
      <c r="B38" s="282"/>
      <c r="C38" s="282"/>
      <c r="D38" s="282"/>
      <c r="E38" s="282"/>
      <c r="F38" s="282"/>
      <c r="G38" s="282"/>
      <c r="H38" s="282"/>
      <c r="I38" s="282"/>
    </row>
    <row r="39" spans="2:9" ht="15" customHeight="1" x14ac:dyDescent="0.3">
      <c r="B39" s="282"/>
      <c r="C39" s="282"/>
      <c r="D39" s="282"/>
      <c r="E39" s="282"/>
      <c r="F39" s="282"/>
      <c r="G39" s="282"/>
      <c r="H39" s="282"/>
      <c r="I39" s="282"/>
    </row>
    <row r="40" spans="2:9" ht="15" customHeight="1" x14ac:dyDescent="0.3">
      <c r="B40" s="282"/>
      <c r="C40" s="282"/>
      <c r="D40" s="282"/>
      <c r="E40" s="282"/>
      <c r="F40" s="282"/>
      <c r="G40" s="282"/>
      <c r="H40" s="282"/>
      <c r="I40" s="282"/>
    </row>
    <row r="41" spans="2:9" ht="15" customHeight="1" x14ac:dyDescent="0.3">
      <c r="B41" s="282"/>
      <c r="C41" s="282"/>
      <c r="D41" s="282"/>
      <c r="E41" s="282"/>
      <c r="F41" s="282"/>
      <c r="G41" s="282"/>
      <c r="H41" s="282"/>
      <c r="I41" s="282"/>
    </row>
    <row r="42" spans="2:9" ht="15" customHeight="1" x14ac:dyDescent="0.3">
      <c r="B42" s="282"/>
      <c r="C42" s="282"/>
      <c r="D42" s="282"/>
      <c r="E42" s="282"/>
      <c r="F42" s="282"/>
      <c r="G42" s="282"/>
      <c r="H42" s="282"/>
      <c r="I42" s="282"/>
    </row>
    <row r="43" spans="2:9" ht="15" customHeight="1" x14ac:dyDescent="0.3">
      <c r="B43" s="282"/>
      <c r="C43" s="282"/>
      <c r="D43" s="282"/>
      <c r="E43" s="282"/>
      <c r="F43" s="282"/>
      <c r="G43" s="282"/>
      <c r="H43" s="282"/>
      <c r="I43" s="282"/>
    </row>
    <row r="44" spans="2:9" ht="15" customHeight="1" x14ac:dyDescent="0.3">
      <c r="B44" s="28"/>
      <c r="C44" s="28"/>
      <c r="D44" s="284" t="s">
        <v>182</v>
      </c>
      <c r="E44" s="284"/>
      <c r="F44" s="284"/>
      <c r="G44" s="284"/>
      <c r="H44" s="28"/>
      <c r="I44" s="28"/>
    </row>
    <row r="45" spans="2:9" ht="15" customHeight="1" x14ac:dyDescent="0.3">
      <c r="B45" s="28"/>
      <c r="C45" s="28"/>
      <c r="D45" s="285" t="s">
        <v>183</v>
      </c>
      <c r="E45" s="285"/>
      <c r="F45" s="285"/>
      <c r="G45" s="285"/>
      <c r="H45" s="28"/>
      <c r="I45" s="28"/>
    </row>
    <row r="46" spans="2:9" ht="15" customHeight="1" x14ac:dyDescent="0.3">
      <c r="B46" s="28"/>
      <c r="C46" s="28"/>
      <c r="D46" s="6"/>
      <c r="E46" s="6"/>
      <c r="F46" s="6"/>
      <c r="G46" s="28"/>
      <c r="H46" s="28"/>
      <c r="I46" s="28"/>
    </row>
    <row r="47" spans="2:9" ht="15" customHeight="1" x14ac:dyDescent="0.3">
      <c r="B47" s="282" t="s">
        <v>4346</v>
      </c>
      <c r="C47" s="282"/>
      <c r="D47" s="282"/>
      <c r="E47" s="282"/>
      <c r="F47" s="282"/>
      <c r="G47" s="282"/>
      <c r="H47" s="282"/>
      <c r="I47" s="282"/>
    </row>
    <row r="48" spans="2:9" ht="15" customHeight="1" x14ac:dyDescent="0.3">
      <c r="B48" s="282"/>
      <c r="C48" s="282"/>
      <c r="D48" s="282"/>
      <c r="E48" s="282"/>
      <c r="F48" s="282"/>
      <c r="G48" s="282"/>
      <c r="H48" s="282"/>
      <c r="I48" s="282"/>
    </row>
    <row r="49" spans="2:9" ht="15" customHeight="1" x14ac:dyDescent="0.3">
      <c r="B49" s="282"/>
      <c r="C49" s="282"/>
      <c r="D49" s="282"/>
      <c r="E49" s="282"/>
      <c r="F49" s="282"/>
      <c r="G49" s="282"/>
      <c r="H49" s="282"/>
      <c r="I49" s="282"/>
    </row>
    <row r="50" spans="2:9" ht="15" customHeight="1" x14ac:dyDescent="0.3">
      <c r="B50" s="282"/>
      <c r="C50" s="282"/>
      <c r="D50" s="282"/>
      <c r="E50" s="282"/>
      <c r="F50" s="282"/>
      <c r="G50" s="282"/>
      <c r="H50" s="282"/>
      <c r="I50" s="282"/>
    </row>
    <row r="51" spans="2:9" ht="15" customHeight="1" x14ac:dyDescent="0.3">
      <c r="B51" s="282"/>
      <c r="C51" s="282"/>
      <c r="D51" s="282"/>
      <c r="E51" s="282"/>
      <c r="F51" s="282"/>
      <c r="G51" s="282"/>
      <c r="H51" s="282"/>
      <c r="I51" s="282"/>
    </row>
    <row r="52" spans="2:9" ht="15" customHeight="1" x14ac:dyDescent="0.3">
      <c r="B52" s="282"/>
      <c r="C52" s="282"/>
      <c r="D52" s="282"/>
      <c r="E52" s="282"/>
      <c r="F52" s="282"/>
      <c r="G52" s="282"/>
      <c r="H52" s="282"/>
      <c r="I52" s="282"/>
    </row>
    <row r="53" spans="2:9" ht="15" customHeight="1" x14ac:dyDescent="0.3">
      <c r="B53" s="282"/>
      <c r="C53" s="282"/>
      <c r="D53" s="282"/>
      <c r="E53" s="282"/>
      <c r="F53" s="282"/>
      <c r="G53" s="282"/>
      <c r="H53" s="282"/>
      <c r="I53" s="282"/>
    </row>
    <row r="54" spans="2:9" ht="15" customHeight="1" x14ac:dyDescent="0.3">
      <c r="B54" s="282"/>
      <c r="C54" s="282"/>
      <c r="D54" s="282"/>
      <c r="E54" s="282"/>
      <c r="F54" s="282"/>
      <c r="G54" s="282"/>
      <c r="H54" s="282"/>
      <c r="I54" s="282"/>
    </row>
    <row r="55" spans="2:9" ht="15" customHeight="1" x14ac:dyDescent="0.3">
      <c r="B55" s="282"/>
      <c r="C55" s="282"/>
      <c r="D55" s="282"/>
      <c r="E55" s="282"/>
      <c r="F55" s="282"/>
      <c r="G55" s="282"/>
      <c r="H55" s="282"/>
      <c r="I55" s="282"/>
    </row>
    <row r="56" spans="2:9" ht="15" customHeight="1" x14ac:dyDescent="0.3">
      <c r="B56" s="282"/>
      <c r="C56" s="282"/>
      <c r="D56" s="282"/>
      <c r="E56" s="282"/>
      <c r="F56" s="282"/>
      <c r="G56" s="282"/>
      <c r="H56" s="282"/>
      <c r="I56" s="282"/>
    </row>
    <row r="57" spans="2:9" ht="15" customHeight="1" x14ac:dyDescent="0.3">
      <c r="B57" s="282"/>
      <c r="C57" s="282"/>
      <c r="D57" s="282"/>
      <c r="E57" s="282"/>
      <c r="F57" s="282"/>
      <c r="G57" s="282"/>
      <c r="H57" s="282"/>
      <c r="I57" s="282"/>
    </row>
    <row r="58" spans="2:9" ht="15" customHeight="1" x14ac:dyDescent="0.3">
      <c r="B58" s="282"/>
      <c r="C58" s="282"/>
      <c r="D58" s="282"/>
      <c r="E58" s="282"/>
      <c r="F58" s="282"/>
      <c r="G58" s="282"/>
      <c r="H58" s="282"/>
      <c r="I58" s="282"/>
    </row>
    <row r="59" spans="2:9" ht="15" customHeight="1" x14ac:dyDescent="0.3">
      <c r="B59" s="282"/>
      <c r="C59" s="282"/>
      <c r="D59" s="282"/>
      <c r="E59" s="282"/>
      <c r="F59" s="282"/>
      <c r="G59" s="282"/>
      <c r="H59" s="282"/>
      <c r="I59" s="282"/>
    </row>
    <row r="60" spans="2:9" ht="15" customHeight="1" x14ac:dyDescent="0.3">
      <c r="B60" s="282"/>
      <c r="C60" s="282"/>
      <c r="D60" s="282"/>
      <c r="E60" s="282"/>
      <c r="F60" s="282"/>
      <c r="G60" s="282"/>
      <c r="H60" s="282"/>
      <c r="I60" s="282"/>
    </row>
    <row r="61" spans="2:9" ht="15" customHeight="1" x14ac:dyDescent="0.3">
      <c r="B61" s="282"/>
      <c r="C61" s="282"/>
      <c r="D61" s="282"/>
      <c r="E61" s="282"/>
      <c r="F61" s="282"/>
      <c r="G61" s="282"/>
      <c r="H61" s="282"/>
      <c r="I61" s="282"/>
    </row>
    <row r="62" spans="2:9" ht="15" customHeight="1" x14ac:dyDescent="0.3">
      <c r="B62" s="282"/>
      <c r="C62" s="282"/>
      <c r="D62" s="282"/>
      <c r="E62" s="282"/>
      <c r="F62" s="282"/>
      <c r="G62" s="282"/>
      <c r="H62" s="282"/>
      <c r="I62" s="282"/>
    </row>
    <row r="63" spans="2:9" ht="15" customHeight="1" x14ac:dyDescent="0.3">
      <c r="B63" s="282"/>
      <c r="C63" s="282"/>
      <c r="D63" s="282"/>
      <c r="E63" s="282"/>
      <c r="F63" s="282"/>
      <c r="G63" s="282"/>
      <c r="H63" s="282"/>
      <c r="I63" s="282"/>
    </row>
    <row r="64" spans="2:9" ht="15" customHeight="1" x14ac:dyDescent="0.3">
      <c r="B64" s="282"/>
      <c r="C64" s="282"/>
      <c r="D64" s="282"/>
      <c r="E64" s="282"/>
      <c r="F64" s="282"/>
      <c r="G64" s="282"/>
      <c r="H64" s="282"/>
      <c r="I64" s="282"/>
    </row>
    <row r="65" spans="2:9" ht="15" customHeight="1" x14ac:dyDescent="0.3">
      <c r="B65" s="282"/>
      <c r="C65" s="282"/>
      <c r="D65" s="282"/>
      <c r="E65" s="282"/>
      <c r="F65" s="282"/>
      <c r="G65" s="282"/>
      <c r="H65" s="282"/>
      <c r="I65" s="282"/>
    </row>
    <row r="66" spans="2:9" ht="15" customHeight="1" x14ac:dyDescent="0.3">
      <c r="B66" s="282"/>
      <c r="C66" s="282"/>
      <c r="D66" s="282"/>
      <c r="E66" s="282"/>
      <c r="F66" s="282"/>
      <c r="G66" s="282"/>
      <c r="H66" s="282"/>
      <c r="I66" s="282"/>
    </row>
    <row r="67" spans="2:9" ht="15" customHeight="1" x14ac:dyDescent="0.3">
      <c r="B67" s="282"/>
      <c r="C67" s="282"/>
      <c r="D67" s="282"/>
      <c r="E67" s="282"/>
      <c r="F67" s="282"/>
      <c r="G67" s="282"/>
      <c r="H67" s="282"/>
      <c r="I67" s="282"/>
    </row>
    <row r="68" spans="2:9" ht="15" customHeight="1" x14ac:dyDescent="0.3">
      <c r="B68" s="282"/>
      <c r="C68" s="282"/>
      <c r="D68" s="282"/>
      <c r="E68" s="282"/>
      <c r="F68" s="282"/>
      <c r="G68" s="282"/>
      <c r="H68" s="282"/>
      <c r="I68" s="282"/>
    </row>
    <row r="69" spans="2:9" ht="15" customHeight="1" x14ac:dyDescent="0.3">
      <c r="B69" s="28"/>
      <c r="C69" s="28"/>
      <c r="D69" s="28"/>
      <c r="E69" s="28"/>
      <c r="F69" s="28"/>
      <c r="G69" s="28"/>
      <c r="H69" s="28"/>
      <c r="I69" s="28"/>
    </row>
    <row r="70" spans="2:9" ht="15" customHeight="1" x14ac:dyDescent="0.3">
      <c r="B70" s="28"/>
      <c r="C70" s="28"/>
      <c r="D70" s="28"/>
      <c r="E70" s="28"/>
      <c r="F70" s="28"/>
      <c r="G70" s="28"/>
      <c r="H70" s="28"/>
      <c r="I70" s="28"/>
    </row>
    <row r="71" spans="2:9" ht="15" customHeight="1" x14ac:dyDescent="0.3">
      <c r="B71" s="28"/>
      <c r="C71" s="28"/>
      <c r="D71" s="28"/>
      <c r="E71" s="28"/>
      <c r="F71" s="28"/>
      <c r="G71" s="28"/>
      <c r="H71" s="28"/>
      <c r="I71" s="28"/>
    </row>
    <row r="72" spans="2:9" ht="15" customHeight="1" x14ac:dyDescent="0.3">
      <c r="B72" s="28"/>
      <c r="C72" s="28"/>
      <c r="D72" s="28"/>
      <c r="E72" s="28"/>
      <c r="F72" s="28"/>
      <c r="G72" s="28"/>
      <c r="H72" s="28"/>
      <c r="I72" s="28"/>
    </row>
    <row r="73" spans="2:9" ht="15" customHeight="1" x14ac:dyDescent="0.3">
      <c r="B73" s="28"/>
      <c r="C73" s="28"/>
      <c r="D73" s="28"/>
      <c r="E73" s="28"/>
      <c r="F73" s="28"/>
      <c r="G73" s="28"/>
      <c r="H73" s="28"/>
      <c r="I73" s="28"/>
    </row>
    <row r="74" spans="2:9" ht="15" customHeight="1" x14ac:dyDescent="0.3">
      <c r="B74" s="28"/>
      <c r="C74" s="28"/>
      <c r="D74" s="28"/>
      <c r="E74" s="28"/>
      <c r="F74" s="28"/>
      <c r="G74" s="28"/>
      <c r="H74" s="28"/>
      <c r="I74" s="28"/>
    </row>
    <row r="75" spans="2:9" ht="15" customHeight="1" x14ac:dyDescent="0.3">
      <c r="B75" s="28"/>
      <c r="C75" s="28"/>
      <c r="D75" s="28"/>
      <c r="E75" s="28"/>
      <c r="F75" s="28"/>
      <c r="G75" s="28"/>
      <c r="H75" s="28"/>
      <c r="I75" s="28"/>
    </row>
    <row r="76" spans="2:9" ht="15" customHeight="1" x14ac:dyDescent="0.3">
      <c r="B76" s="28"/>
      <c r="C76" s="28"/>
      <c r="D76" s="28"/>
      <c r="E76" s="28"/>
      <c r="F76" s="28"/>
      <c r="G76" s="28"/>
      <c r="H76" s="28"/>
      <c r="I76" s="28"/>
    </row>
    <row r="77" spans="2:9" ht="15" customHeight="1" x14ac:dyDescent="0.3">
      <c r="B77" s="28"/>
      <c r="C77" s="28"/>
      <c r="D77" s="28"/>
      <c r="E77" s="28"/>
      <c r="F77" s="28"/>
      <c r="G77" s="28"/>
      <c r="H77" s="28"/>
      <c r="I77" s="28"/>
    </row>
    <row r="78" spans="2:9" ht="15" customHeight="1" x14ac:dyDescent="0.3">
      <c r="B78" s="28"/>
      <c r="C78" s="28"/>
      <c r="D78" s="28"/>
      <c r="E78" s="28"/>
      <c r="F78" s="28"/>
      <c r="G78" s="28"/>
      <c r="H78" s="28"/>
      <c r="I78" s="28"/>
    </row>
    <row r="79" spans="2:9" ht="22.5" customHeight="1" x14ac:dyDescent="0.3">
      <c r="B79" s="28"/>
      <c r="C79" s="28"/>
      <c r="D79" s="28"/>
      <c r="E79" s="28"/>
      <c r="F79" s="28"/>
      <c r="G79" s="28"/>
      <c r="H79" s="28"/>
      <c r="I79" s="28"/>
    </row>
    <row r="80" spans="2:9" ht="15" customHeight="1" x14ac:dyDescent="0.3">
      <c r="B80" s="28"/>
      <c r="C80" s="28"/>
      <c r="D80" s="28"/>
      <c r="E80" s="28"/>
      <c r="F80" s="28"/>
      <c r="G80" s="28"/>
      <c r="H80" s="28"/>
      <c r="I80" s="28"/>
    </row>
    <row r="81" spans="2:9" ht="15" customHeight="1" x14ac:dyDescent="0.3">
      <c r="B81" s="28"/>
      <c r="C81" s="28"/>
      <c r="D81" s="28"/>
      <c r="E81" s="28"/>
      <c r="F81" s="28"/>
      <c r="G81" s="28"/>
      <c r="H81" s="28"/>
      <c r="I81" s="28"/>
    </row>
    <row r="82" spans="2:9" ht="15" customHeight="1" x14ac:dyDescent="0.3">
      <c r="B82" s="28"/>
      <c r="C82" s="28"/>
      <c r="D82" s="28"/>
      <c r="E82" s="28"/>
      <c r="F82" s="28"/>
      <c r="G82" s="28"/>
      <c r="H82" s="28"/>
      <c r="I82" s="28"/>
    </row>
    <row r="83" spans="2:9" ht="15" customHeight="1" x14ac:dyDescent="0.3">
      <c r="B83" s="28"/>
      <c r="C83" s="28"/>
      <c r="D83" s="28"/>
      <c r="E83" s="28"/>
      <c r="F83" s="28"/>
      <c r="G83" s="28"/>
      <c r="H83" s="28"/>
      <c r="I83" s="28"/>
    </row>
    <row r="84" spans="2:9" ht="15" customHeight="1" x14ac:dyDescent="0.3">
      <c r="B84" s="28"/>
      <c r="C84" s="28"/>
      <c r="D84" s="28"/>
      <c r="E84" s="28"/>
      <c r="F84" s="28"/>
      <c r="G84" s="28"/>
      <c r="H84" s="28"/>
      <c r="I84" s="28"/>
    </row>
    <row r="85" spans="2:9" ht="15" customHeight="1" x14ac:dyDescent="0.3">
      <c r="B85" s="28"/>
      <c r="C85" s="28"/>
      <c r="D85" s="28"/>
      <c r="E85" s="28"/>
      <c r="F85" s="28"/>
      <c r="G85" s="28"/>
      <c r="H85" s="28"/>
      <c r="I85" s="28"/>
    </row>
    <row r="86" spans="2:9" ht="15" customHeight="1" x14ac:dyDescent="0.3">
      <c r="B86" s="28"/>
      <c r="C86" s="28"/>
      <c r="D86" s="28"/>
      <c r="E86" s="28"/>
      <c r="F86" s="28"/>
      <c r="G86" s="28"/>
      <c r="H86" s="28"/>
      <c r="I86" s="28"/>
    </row>
    <row r="87" spans="2:9" ht="15" customHeight="1" x14ac:dyDescent="0.3">
      <c r="B87" s="28"/>
      <c r="C87" s="28"/>
      <c r="D87" s="28"/>
      <c r="E87" s="28"/>
      <c r="F87" s="28"/>
      <c r="G87" s="28"/>
      <c r="H87" s="28"/>
      <c r="I87" s="28"/>
    </row>
    <row r="88" spans="2:9" ht="15" customHeight="1" x14ac:dyDescent="0.3">
      <c r="B88" s="28"/>
      <c r="C88" s="28"/>
      <c r="D88" s="28"/>
      <c r="E88" s="28"/>
      <c r="F88" s="28"/>
      <c r="G88" s="28"/>
      <c r="H88" s="28"/>
      <c r="I88" s="28"/>
    </row>
    <row r="89" spans="2:9" ht="15" customHeight="1" x14ac:dyDescent="0.3">
      <c r="B89" s="28"/>
      <c r="C89" s="28"/>
      <c r="D89" s="28"/>
      <c r="E89" s="28"/>
      <c r="F89" s="28"/>
      <c r="G89" s="28"/>
      <c r="H89" s="28"/>
      <c r="I89" s="28"/>
    </row>
    <row r="90" spans="2:9" ht="15" customHeight="1" x14ac:dyDescent="0.3">
      <c r="B90" s="28"/>
      <c r="C90" s="28"/>
      <c r="D90" s="28"/>
      <c r="E90" s="28"/>
      <c r="F90" s="28"/>
      <c r="G90" s="28"/>
      <c r="H90" s="28"/>
      <c r="I90" s="28"/>
    </row>
    <row r="91" spans="2:9" ht="15" customHeight="1" x14ac:dyDescent="0.3">
      <c r="B91" s="28"/>
      <c r="C91" s="28"/>
      <c r="D91" s="28"/>
      <c r="E91" s="28"/>
      <c r="F91" s="28"/>
      <c r="G91" s="28"/>
      <c r="H91" s="28"/>
      <c r="I91" s="28"/>
    </row>
    <row r="92" spans="2:9" ht="15" customHeight="1" x14ac:dyDescent="0.3">
      <c r="B92" s="28"/>
      <c r="C92" s="28"/>
      <c r="D92" s="28"/>
      <c r="E92" s="28"/>
      <c r="F92" s="28"/>
      <c r="G92" s="28"/>
      <c r="H92" s="28"/>
      <c r="I92" s="28"/>
    </row>
    <row r="93" spans="2:9" ht="18" customHeight="1" x14ac:dyDescent="0.3">
      <c r="B93" s="28"/>
      <c r="C93" s="28"/>
      <c r="D93" s="28"/>
      <c r="E93" s="28"/>
      <c r="F93" s="28"/>
      <c r="G93" s="28"/>
      <c r="H93" s="28"/>
      <c r="I93" s="28"/>
    </row>
    <row r="94" spans="2:9" ht="18.75" customHeight="1" x14ac:dyDescent="0.3">
      <c r="B94" s="28"/>
      <c r="C94" s="28"/>
      <c r="D94" s="28"/>
      <c r="E94" s="28"/>
      <c r="F94" s="28"/>
      <c r="G94" s="28"/>
      <c r="H94" s="28"/>
      <c r="I94" s="28"/>
    </row>
    <row r="95" spans="2:9" ht="15" customHeight="1" x14ac:dyDescent="0.3">
      <c r="B95" s="281" t="s">
        <v>4345</v>
      </c>
      <c r="C95" s="281"/>
      <c r="D95" s="281"/>
      <c r="E95" s="281"/>
      <c r="F95" s="281"/>
      <c r="G95" s="281"/>
      <c r="H95" s="281"/>
      <c r="I95" s="281"/>
    </row>
    <row r="96" spans="2:9" ht="15" customHeight="1" x14ac:dyDescent="0.3">
      <c r="B96" s="281"/>
      <c r="C96" s="281"/>
      <c r="D96" s="281"/>
      <c r="E96" s="281"/>
      <c r="F96" s="281"/>
      <c r="G96" s="281"/>
      <c r="H96" s="281"/>
      <c r="I96" s="281"/>
    </row>
    <row r="97" spans="2:9" ht="15" customHeight="1" x14ac:dyDescent="0.3">
      <c r="B97" s="281"/>
      <c r="C97" s="281"/>
      <c r="D97" s="281"/>
      <c r="E97" s="281"/>
      <c r="F97" s="281"/>
      <c r="G97" s="281"/>
      <c r="H97" s="281"/>
      <c r="I97" s="281"/>
    </row>
    <row r="98" spans="2:9" ht="15" customHeight="1" x14ac:dyDescent="0.3">
      <c r="B98" s="281"/>
      <c r="C98" s="281"/>
      <c r="D98" s="281"/>
      <c r="E98" s="281"/>
      <c r="F98" s="281"/>
      <c r="G98" s="281"/>
      <c r="H98" s="281"/>
      <c r="I98" s="281"/>
    </row>
    <row r="99" spans="2:9" ht="15" customHeight="1" x14ac:dyDescent="0.3">
      <c r="B99" s="281"/>
      <c r="C99" s="281"/>
      <c r="D99" s="281"/>
      <c r="E99" s="281"/>
      <c r="F99" s="281"/>
      <c r="G99" s="281"/>
      <c r="H99" s="281"/>
      <c r="I99" s="281"/>
    </row>
    <row r="100" spans="2:9" ht="15" customHeight="1" x14ac:dyDescent="0.3">
      <c r="B100" s="281"/>
      <c r="C100" s="281"/>
      <c r="D100" s="281"/>
      <c r="E100" s="281"/>
      <c r="F100" s="281"/>
      <c r="G100" s="281"/>
      <c r="H100" s="281"/>
      <c r="I100" s="281"/>
    </row>
    <row r="101" spans="2:9" ht="15" customHeight="1" x14ac:dyDescent="0.3">
      <c r="B101" s="281"/>
      <c r="C101" s="281"/>
      <c r="D101" s="281"/>
      <c r="E101" s="281"/>
      <c r="F101" s="281"/>
      <c r="G101" s="281"/>
      <c r="H101" s="281"/>
      <c r="I101" s="281"/>
    </row>
    <row r="102" spans="2:9" ht="15" customHeight="1" x14ac:dyDescent="0.3">
      <c r="B102" s="281"/>
      <c r="C102" s="281"/>
      <c r="D102" s="281"/>
      <c r="E102" s="281"/>
      <c r="F102" s="281"/>
      <c r="G102" s="281"/>
      <c r="H102" s="281"/>
      <c r="I102" s="281"/>
    </row>
    <row r="103" spans="2:9" ht="15" customHeight="1" x14ac:dyDescent="0.3">
      <c r="B103" s="281"/>
      <c r="C103" s="281"/>
      <c r="D103" s="281"/>
      <c r="E103" s="281"/>
      <c r="F103" s="281"/>
      <c r="G103" s="281"/>
      <c r="H103" s="281"/>
      <c r="I103" s="281"/>
    </row>
    <row r="104" spans="2:9" ht="15" customHeight="1" x14ac:dyDescent="0.3">
      <c r="B104" s="281"/>
      <c r="C104" s="281"/>
      <c r="D104" s="281"/>
      <c r="E104" s="281"/>
      <c r="F104" s="281"/>
      <c r="G104" s="281"/>
      <c r="H104" s="281"/>
      <c r="I104" s="281"/>
    </row>
    <row r="105" spans="2:9" ht="15" customHeight="1" x14ac:dyDescent="0.3">
      <c r="B105" s="281"/>
      <c r="C105" s="281"/>
      <c r="D105" s="281"/>
      <c r="E105" s="281"/>
      <c r="F105" s="281"/>
      <c r="G105" s="281"/>
      <c r="H105" s="281"/>
      <c r="I105" s="281"/>
    </row>
    <row r="106" spans="2:9" ht="15" customHeight="1" x14ac:dyDescent="0.3">
      <c r="B106" s="281"/>
      <c r="C106" s="281"/>
      <c r="D106" s="281"/>
      <c r="E106" s="281"/>
      <c r="F106" s="281"/>
      <c r="G106" s="281"/>
      <c r="H106" s="281"/>
      <c r="I106" s="281"/>
    </row>
    <row r="107" spans="2:9" ht="15" customHeight="1" x14ac:dyDescent="0.3">
      <c r="B107" s="281"/>
      <c r="C107" s="281"/>
      <c r="D107" s="281"/>
      <c r="E107" s="281"/>
      <c r="F107" s="281"/>
      <c r="G107" s="281"/>
      <c r="H107" s="281"/>
      <c r="I107" s="281"/>
    </row>
    <row r="108" spans="2:9" ht="15" customHeight="1" x14ac:dyDescent="0.3">
      <c r="B108" s="6"/>
      <c r="C108" s="6"/>
      <c r="D108" s="6"/>
      <c r="E108" s="6"/>
      <c r="F108" s="6"/>
      <c r="G108" s="6"/>
      <c r="H108" s="6"/>
      <c r="I108" s="6"/>
    </row>
    <row r="109" spans="2:9" ht="15" customHeight="1" x14ac:dyDescent="0.3">
      <c r="B109" s="6"/>
      <c r="C109" s="6"/>
      <c r="D109" s="6"/>
      <c r="E109" s="6"/>
      <c r="F109" s="6"/>
      <c r="G109" s="6"/>
      <c r="H109" s="6"/>
      <c r="I109" s="6"/>
    </row>
    <row r="110" spans="2:9" ht="15" customHeight="1" x14ac:dyDescent="0.3">
      <c r="B110" s="6"/>
      <c r="C110" s="6"/>
      <c r="D110" s="6"/>
      <c r="E110" s="6"/>
      <c r="F110" s="6"/>
      <c r="G110" s="6"/>
      <c r="H110" s="6"/>
      <c r="I110" s="6"/>
    </row>
    <row r="111" spans="2:9" ht="15" customHeight="1" x14ac:dyDescent="0.3">
      <c r="B111" s="6"/>
      <c r="C111" s="6"/>
      <c r="D111" s="6"/>
      <c r="E111" s="6"/>
      <c r="F111" s="6"/>
      <c r="G111" s="6"/>
      <c r="H111" s="6"/>
      <c r="I111" s="6"/>
    </row>
    <row r="112" spans="2:9" ht="15" customHeight="1" x14ac:dyDescent="0.3">
      <c r="B112" s="6"/>
      <c r="C112" s="6"/>
      <c r="D112" s="6"/>
      <c r="E112" s="6"/>
      <c r="F112" s="6"/>
      <c r="G112" s="6"/>
      <c r="H112" s="6"/>
      <c r="I112" s="6"/>
    </row>
    <row r="113" spans="2:9" ht="15" customHeight="1" x14ac:dyDescent="0.3">
      <c r="B113" s="6"/>
      <c r="C113" s="6"/>
      <c r="D113" s="6"/>
      <c r="E113" s="6"/>
      <c r="F113" s="6"/>
      <c r="G113" s="6"/>
      <c r="H113" s="6"/>
      <c r="I113" s="6"/>
    </row>
    <row r="114" spans="2:9" ht="15" customHeight="1" x14ac:dyDescent="0.3">
      <c r="B114" s="6"/>
      <c r="C114" s="6"/>
      <c r="D114" s="6"/>
      <c r="E114" s="6"/>
      <c r="F114" s="6"/>
      <c r="G114" s="6"/>
      <c r="H114" s="6"/>
      <c r="I114" s="6"/>
    </row>
    <row r="115" spans="2:9" ht="15" customHeight="1" x14ac:dyDescent="0.3">
      <c r="B115" s="6"/>
      <c r="C115" s="6"/>
      <c r="D115" s="6"/>
      <c r="E115" s="6"/>
      <c r="F115" s="6"/>
      <c r="G115" s="6"/>
      <c r="H115" s="6"/>
      <c r="I115" s="6"/>
    </row>
    <row r="116" spans="2:9" ht="15" customHeight="1" x14ac:dyDescent="0.3">
      <c r="B116" s="6"/>
      <c r="C116" s="6"/>
      <c r="D116" s="6"/>
      <c r="E116" s="6"/>
      <c r="F116" s="6"/>
      <c r="G116" s="6"/>
      <c r="H116" s="6"/>
      <c r="I116" s="6"/>
    </row>
    <row r="117" spans="2:9" ht="15" customHeight="1" x14ac:dyDescent="0.3">
      <c r="B117" s="6"/>
      <c r="C117" s="6"/>
      <c r="D117" s="6"/>
      <c r="E117" s="6"/>
      <c r="F117" s="6"/>
      <c r="G117" s="6"/>
      <c r="H117" s="6"/>
      <c r="I117" s="6"/>
    </row>
    <row r="118" spans="2:9" ht="15" customHeight="1" x14ac:dyDescent="0.3">
      <c r="B118" s="6"/>
      <c r="C118" s="6"/>
      <c r="D118" s="6"/>
      <c r="E118" s="6"/>
      <c r="F118" s="6"/>
      <c r="G118" s="6"/>
      <c r="H118" s="6"/>
      <c r="I118" s="6"/>
    </row>
    <row r="119" spans="2:9" ht="15" customHeight="1" x14ac:dyDescent="0.3">
      <c r="B119" s="6"/>
      <c r="C119" s="6"/>
      <c r="D119" s="6"/>
      <c r="E119" s="6"/>
      <c r="F119" s="6"/>
      <c r="G119" s="6"/>
      <c r="H119" s="6"/>
      <c r="I119" s="6"/>
    </row>
    <row r="120" spans="2:9" ht="15" customHeight="1" x14ac:dyDescent="0.3">
      <c r="B120" s="6"/>
      <c r="C120" s="6"/>
      <c r="D120" s="6"/>
      <c r="E120" s="6"/>
      <c r="F120" s="6"/>
      <c r="G120" s="6"/>
      <c r="H120" s="6"/>
      <c r="I120" s="6"/>
    </row>
    <row r="121" spans="2:9" ht="15" customHeight="1" x14ac:dyDescent="0.3">
      <c r="B121" s="6"/>
      <c r="C121" s="6"/>
      <c r="D121" s="6"/>
      <c r="E121" s="6"/>
      <c r="F121" s="6"/>
      <c r="G121" s="6"/>
      <c r="H121" s="6"/>
      <c r="I121" s="6"/>
    </row>
    <row r="122" spans="2:9" ht="15" customHeight="1" x14ac:dyDescent="0.3">
      <c r="B122" s="6"/>
      <c r="C122" s="6"/>
      <c r="D122" s="6"/>
      <c r="E122" s="6"/>
      <c r="F122" s="6"/>
      <c r="G122" s="6"/>
      <c r="H122" s="6"/>
      <c r="I122" s="6"/>
    </row>
    <row r="123" spans="2:9" ht="15" customHeight="1" x14ac:dyDescent="0.3">
      <c r="B123" s="6"/>
      <c r="C123" s="6"/>
      <c r="D123" s="6"/>
      <c r="E123" s="6"/>
      <c r="F123" s="6"/>
      <c r="G123" s="6"/>
      <c r="H123" s="6"/>
      <c r="I123" s="6"/>
    </row>
    <row r="124" spans="2:9" ht="15" customHeight="1" x14ac:dyDescent="0.3">
      <c r="B124" s="6"/>
      <c r="C124" s="6"/>
      <c r="D124" s="6"/>
      <c r="E124" s="6"/>
      <c r="F124" s="6"/>
      <c r="G124" s="6"/>
      <c r="H124" s="6"/>
      <c r="I124" s="6"/>
    </row>
    <row r="125" spans="2:9" ht="15" customHeight="1" x14ac:dyDescent="0.3">
      <c r="B125" s="6"/>
      <c r="C125" s="6"/>
      <c r="D125" s="6"/>
      <c r="E125" s="6"/>
      <c r="F125" s="6"/>
      <c r="G125" s="6"/>
      <c r="H125" s="6"/>
      <c r="I125" s="6"/>
    </row>
    <row r="126" spans="2:9" ht="15" customHeight="1" x14ac:dyDescent="0.3">
      <c r="B126" s="6"/>
      <c r="C126" s="6"/>
      <c r="D126" s="6"/>
      <c r="E126" s="6"/>
      <c r="F126" s="6"/>
      <c r="G126" s="6"/>
      <c r="H126" s="6"/>
      <c r="I126" s="6"/>
    </row>
    <row r="127" spans="2:9" ht="15" customHeight="1" x14ac:dyDescent="0.3">
      <c r="B127" s="6"/>
      <c r="C127" s="6"/>
      <c r="D127" s="6"/>
      <c r="E127" s="6"/>
      <c r="F127" s="6"/>
      <c r="G127" s="6"/>
      <c r="H127" s="6"/>
      <c r="I127" s="6"/>
    </row>
    <row r="128" spans="2:9" x14ac:dyDescent="0.3">
      <c r="B128" s="6"/>
      <c r="C128" s="6"/>
      <c r="D128" s="6"/>
      <c r="E128" s="6"/>
      <c r="F128" s="6"/>
      <c r="G128" s="6"/>
      <c r="H128" s="6"/>
      <c r="I128" s="6"/>
    </row>
    <row r="129" spans="2:9" x14ac:dyDescent="0.3">
      <c r="B129" s="6"/>
      <c r="C129" s="6"/>
      <c r="D129" s="6"/>
      <c r="E129" s="6"/>
      <c r="F129" s="6"/>
      <c r="G129" s="6"/>
      <c r="H129" s="6"/>
      <c r="I129" s="6"/>
    </row>
    <row r="130" spans="2:9" x14ac:dyDescent="0.3">
      <c r="B130" s="6"/>
      <c r="C130" s="6"/>
      <c r="D130" s="6"/>
      <c r="E130" s="6"/>
      <c r="F130" s="6"/>
      <c r="G130" s="6"/>
      <c r="H130" s="6"/>
      <c r="I130" s="6"/>
    </row>
    <row r="131" spans="2:9" x14ac:dyDescent="0.3">
      <c r="B131" s="6"/>
      <c r="C131" s="6"/>
      <c r="D131" s="6"/>
      <c r="E131" s="6"/>
      <c r="F131" s="6"/>
      <c r="G131" s="6"/>
      <c r="H131" s="6"/>
      <c r="I131" s="6"/>
    </row>
    <row r="132" spans="2:9" x14ac:dyDescent="0.3">
      <c r="B132" s="6"/>
      <c r="C132" s="6"/>
      <c r="D132" s="6"/>
      <c r="E132" s="6"/>
      <c r="F132" s="6"/>
      <c r="G132" s="6"/>
      <c r="H132" s="6"/>
      <c r="I132" s="6"/>
    </row>
    <row r="133" spans="2:9" x14ac:dyDescent="0.3">
      <c r="B133" s="6"/>
      <c r="C133" s="6"/>
      <c r="D133" s="6"/>
      <c r="E133" s="6"/>
      <c r="F133" s="6"/>
      <c r="G133" s="6"/>
      <c r="H133" s="6"/>
      <c r="I133" s="6"/>
    </row>
    <row r="134" spans="2:9" ht="16.5" customHeight="1" x14ac:dyDescent="0.3">
      <c r="B134" s="281" t="s">
        <v>4791</v>
      </c>
      <c r="C134" s="281"/>
      <c r="D134" s="281"/>
      <c r="E134" s="281"/>
      <c r="F134" s="281"/>
      <c r="G134" s="281"/>
      <c r="H134" s="281"/>
      <c r="I134" s="281"/>
    </row>
    <row r="135" spans="2:9" ht="16.5" customHeight="1" x14ac:dyDescent="0.3">
      <c r="B135" s="281"/>
      <c r="C135" s="281"/>
      <c r="D135" s="281"/>
      <c r="E135" s="281"/>
      <c r="F135" s="281"/>
      <c r="G135" s="281"/>
      <c r="H135" s="281"/>
      <c r="I135" s="281"/>
    </row>
    <row r="136" spans="2:9" ht="16.5" customHeight="1" x14ac:dyDescent="0.3">
      <c r="B136" s="281"/>
      <c r="C136" s="281"/>
      <c r="D136" s="281"/>
      <c r="E136" s="281"/>
      <c r="F136" s="281"/>
      <c r="G136" s="281"/>
      <c r="H136" s="281"/>
      <c r="I136" s="281"/>
    </row>
    <row r="137" spans="2:9" ht="16.5" customHeight="1" x14ac:dyDescent="0.3">
      <c r="B137" s="281"/>
      <c r="C137" s="281"/>
      <c r="D137" s="281"/>
      <c r="E137" s="281"/>
      <c r="F137" s="281"/>
      <c r="G137" s="281"/>
      <c r="H137" s="281"/>
      <c r="I137" s="281"/>
    </row>
    <row r="138" spans="2:9" ht="16.5" customHeight="1" x14ac:dyDescent="0.3">
      <c r="B138" s="281"/>
      <c r="C138" s="281"/>
      <c r="D138" s="281"/>
      <c r="E138" s="281"/>
      <c r="F138" s="281"/>
      <c r="G138" s="281"/>
      <c r="H138" s="281"/>
      <c r="I138" s="281"/>
    </row>
    <row r="139" spans="2:9" ht="15" customHeight="1" x14ac:dyDescent="0.3">
      <c r="B139" s="281"/>
      <c r="C139" s="281"/>
      <c r="D139" s="281"/>
      <c r="E139" s="281"/>
      <c r="F139" s="281"/>
      <c r="G139" s="281"/>
      <c r="H139" s="281"/>
      <c r="I139" s="281"/>
    </row>
    <row r="140" spans="2:9" ht="15" customHeight="1" x14ac:dyDescent="0.3">
      <c r="B140" s="281"/>
      <c r="C140" s="281"/>
      <c r="D140" s="281"/>
      <c r="E140" s="281"/>
      <c r="F140" s="281"/>
      <c r="G140" s="281"/>
      <c r="H140" s="281"/>
      <c r="I140" s="281"/>
    </row>
    <row r="141" spans="2:9" ht="15" customHeight="1" x14ac:dyDescent="0.3">
      <c r="B141" s="281"/>
      <c r="C141" s="281"/>
      <c r="D141" s="281"/>
      <c r="E141" s="281"/>
      <c r="F141" s="281"/>
      <c r="G141" s="281"/>
      <c r="H141" s="281"/>
      <c r="I141" s="281"/>
    </row>
    <row r="142" spans="2:9" ht="15" customHeight="1" x14ac:dyDescent="0.3">
      <c r="B142" s="281"/>
      <c r="C142" s="281"/>
      <c r="D142" s="281"/>
      <c r="E142" s="281"/>
      <c r="F142" s="281"/>
      <c r="G142" s="281"/>
      <c r="H142" s="281"/>
      <c r="I142" s="281"/>
    </row>
    <row r="143" spans="2:9" ht="15" customHeight="1" x14ac:dyDescent="0.3">
      <c r="B143" s="281"/>
      <c r="C143" s="281"/>
      <c r="D143" s="281"/>
      <c r="E143" s="281"/>
      <c r="F143" s="281"/>
      <c r="G143" s="281"/>
      <c r="H143" s="281"/>
      <c r="I143" s="281"/>
    </row>
    <row r="144" spans="2:9" ht="15" customHeight="1" x14ac:dyDescent="0.3">
      <c r="B144" s="281"/>
      <c r="C144" s="281"/>
      <c r="D144" s="281"/>
      <c r="E144" s="281"/>
      <c r="F144" s="281"/>
      <c r="G144" s="281"/>
      <c r="H144" s="281"/>
      <c r="I144" s="281"/>
    </row>
    <row r="145" spans="2:9" ht="15" customHeight="1" x14ac:dyDescent="0.3">
      <c r="B145" s="281"/>
      <c r="C145" s="281"/>
      <c r="D145" s="281"/>
      <c r="E145" s="281"/>
      <c r="F145" s="281"/>
      <c r="G145" s="281"/>
      <c r="H145" s="281"/>
      <c r="I145" s="281"/>
    </row>
    <row r="146" spans="2:9" ht="15" customHeight="1" x14ac:dyDescent="0.3">
      <c r="B146" s="281"/>
      <c r="C146" s="281"/>
      <c r="D146" s="281"/>
      <c r="E146" s="281"/>
      <c r="F146" s="281"/>
      <c r="G146" s="281"/>
      <c r="H146" s="281"/>
      <c r="I146" s="281"/>
    </row>
    <row r="147" spans="2:9" ht="15" customHeight="1" x14ac:dyDescent="0.3">
      <c r="B147" s="281"/>
      <c r="C147" s="281"/>
      <c r="D147" s="281"/>
      <c r="E147" s="281"/>
      <c r="F147" s="281"/>
      <c r="G147" s="281"/>
      <c r="H147" s="281"/>
      <c r="I147" s="281"/>
    </row>
    <row r="148" spans="2:9" ht="15" customHeight="1" x14ac:dyDescent="0.3">
      <c r="B148" s="281"/>
      <c r="C148" s="281"/>
      <c r="D148" s="281"/>
      <c r="E148" s="281"/>
      <c r="F148" s="281"/>
      <c r="G148" s="281"/>
      <c r="H148" s="281"/>
      <c r="I148" s="281"/>
    </row>
    <row r="149" spans="2:9" x14ac:dyDescent="0.3">
      <c r="B149" s="281"/>
      <c r="C149" s="281"/>
      <c r="D149" s="281"/>
      <c r="E149" s="281"/>
      <c r="F149" s="281"/>
      <c r="G149" s="281"/>
      <c r="H149" s="281"/>
      <c r="I149" s="281"/>
    </row>
    <row r="150" spans="2:9" x14ac:dyDescent="0.3">
      <c r="B150" s="281"/>
      <c r="C150" s="281"/>
      <c r="D150" s="281"/>
      <c r="E150" s="281"/>
      <c r="F150" s="281"/>
      <c r="G150" s="281"/>
      <c r="H150" s="281"/>
      <c r="I150" s="281"/>
    </row>
    <row r="151" spans="2:9" x14ac:dyDescent="0.3">
      <c r="B151" s="281"/>
      <c r="C151" s="281"/>
      <c r="D151" s="281"/>
      <c r="E151" s="281"/>
      <c r="F151" s="281"/>
      <c r="G151" s="281"/>
      <c r="H151" s="281"/>
      <c r="I151" s="281"/>
    </row>
    <row r="152" spans="2:9" hidden="1" x14ac:dyDescent="0.3">
      <c r="B152" s="6"/>
      <c r="C152" s="6"/>
      <c r="D152" s="6"/>
      <c r="E152" s="6"/>
      <c r="F152" s="6"/>
      <c r="G152" s="6"/>
      <c r="H152" s="6"/>
      <c r="I152" s="6"/>
    </row>
    <row r="153" spans="2:9" hidden="1" x14ac:dyDescent="0.3">
      <c r="B153" s="6"/>
      <c r="C153" s="6"/>
      <c r="D153" s="6"/>
      <c r="E153" s="6"/>
      <c r="F153" s="6"/>
      <c r="G153" s="6"/>
      <c r="H153" s="6"/>
      <c r="I153" s="6"/>
    </row>
    <row r="154" spans="2:9" hidden="1" x14ac:dyDescent="0.3">
      <c r="B154" s="6"/>
      <c r="C154" s="6"/>
      <c r="D154" s="6"/>
      <c r="E154" s="6"/>
      <c r="F154" s="6"/>
      <c r="G154" s="6"/>
      <c r="H154" s="6"/>
      <c r="I154" s="6"/>
    </row>
    <row r="155" spans="2:9" hidden="1" x14ac:dyDescent="0.3">
      <c r="B155" s="6"/>
      <c r="C155" s="6"/>
      <c r="D155" s="6"/>
      <c r="E155" s="6"/>
      <c r="F155" s="6"/>
      <c r="G155" s="6"/>
      <c r="H155" s="6"/>
      <c r="I155" s="6"/>
    </row>
    <row r="156" spans="2:9" hidden="1" x14ac:dyDescent="0.3">
      <c r="B156" s="6"/>
      <c r="C156" s="6"/>
      <c r="D156" s="6"/>
      <c r="E156" s="6"/>
      <c r="F156" s="6"/>
      <c r="G156" s="6"/>
      <c r="H156" s="6"/>
      <c r="I156" s="6"/>
    </row>
    <row r="157" spans="2:9" hidden="1" x14ac:dyDescent="0.3">
      <c r="B157" s="6"/>
      <c r="C157" s="6"/>
      <c r="D157" s="6"/>
      <c r="E157" s="6"/>
      <c r="F157" s="6"/>
      <c r="G157" s="6"/>
      <c r="H157" s="6"/>
      <c r="I157" s="6"/>
    </row>
    <row r="158" spans="2:9" hidden="1" x14ac:dyDescent="0.3">
      <c r="B158" s="6"/>
      <c r="C158" s="6"/>
      <c r="D158" s="6"/>
      <c r="E158" s="6"/>
      <c r="F158" s="6"/>
      <c r="G158" s="6"/>
      <c r="H158" s="6"/>
      <c r="I158" s="6"/>
    </row>
    <row r="159" spans="2:9" hidden="1" x14ac:dyDescent="0.3">
      <c r="B159" s="6"/>
      <c r="C159" s="6"/>
      <c r="D159" s="6"/>
      <c r="E159" s="6"/>
      <c r="F159" s="6"/>
      <c r="G159" s="6"/>
      <c r="H159" s="6"/>
      <c r="I159" s="6"/>
    </row>
    <row r="160" spans="2:9" hidden="1" x14ac:dyDescent="0.3">
      <c r="B160" s="6"/>
      <c r="C160" s="6"/>
      <c r="D160" s="6"/>
      <c r="E160" s="6"/>
      <c r="F160" s="6"/>
      <c r="G160" s="6"/>
      <c r="H160" s="6"/>
      <c r="I160" s="6"/>
    </row>
    <row r="161" spans="2:9" hidden="1" x14ac:dyDescent="0.3">
      <c r="B161" s="6"/>
      <c r="C161" s="6"/>
      <c r="D161" s="6"/>
      <c r="E161" s="6"/>
      <c r="F161" s="6"/>
      <c r="G161" s="6"/>
      <c r="H161" s="6"/>
      <c r="I161" s="6"/>
    </row>
    <row r="162" spans="2:9" hidden="1" x14ac:dyDescent="0.3">
      <c r="B162" s="6"/>
      <c r="C162" s="6"/>
      <c r="D162" s="6"/>
      <c r="E162" s="6"/>
      <c r="F162" s="6"/>
      <c r="G162" s="6"/>
      <c r="H162" s="6"/>
      <c r="I162" s="6"/>
    </row>
    <row r="163" spans="2:9" hidden="1" x14ac:dyDescent="0.3">
      <c r="B163" s="6"/>
      <c r="C163" s="6"/>
      <c r="D163" s="6"/>
      <c r="E163" s="6"/>
      <c r="F163" s="6"/>
      <c r="G163" s="6"/>
      <c r="H163" s="6"/>
      <c r="I163" s="6"/>
    </row>
    <row r="164" spans="2:9" hidden="1" x14ac:dyDescent="0.3">
      <c r="B164" s="6"/>
      <c r="C164" s="6"/>
      <c r="D164" s="6"/>
      <c r="E164" s="6"/>
      <c r="F164" s="6"/>
      <c r="G164" s="6"/>
      <c r="H164" s="6"/>
      <c r="I164" s="6"/>
    </row>
    <row r="165" spans="2:9" hidden="1" x14ac:dyDescent="0.3">
      <c r="B165" s="6"/>
      <c r="C165" s="6"/>
      <c r="D165" s="6"/>
      <c r="E165" s="6"/>
      <c r="F165" s="6"/>
      <c r="G165" s="6"/>
      <c r="H165" s="6"/>
      <c r="I165" s="6"/>
    </row>
    <row r="166" spans="2:9" hidden="1" x14ac:dyDescent="0.3">
      <c r="B166" s="6"/>
      <c r="C166" s="6"/>
      <c r="D166" s="6"/>
      <c r="E166" s="6"/>
      <c r="F166" s="6"/>
      <c r="G166" s="6"/>
      <c r="H166" s="6"/>
      <c r="I166" s="6"/>
    </row>
    <row r="167" spans="2:9" hidden="1" x14ac:dyDescent="0.3">
      <c r="B167" s="6"/>
      <c r="C167" s="6"/>
      <c r="D167" s="6"/>
      <c r="E167" s="6"/>
      <c r="F167" s="6"/>
      <c r="G167" s="6"/>
      <c r="H167" s="6"/>
      <c r="I167" s="6"/>
    </row>
    <row r="168" spans="2:9" hidden="1" x14ac:dyDescent="0.3">
      <c r="B168" s="6"/>
      <c r="C168" s="6"/>
      <c r="D168" s="6"/>
      <c r="E168" s="6"/>
      <c r="F168" s="6"/>
      <c r="G168" s="6"/>
      <c r="H168" s="6"/>
      <c r="I168" s="6"/>
    </row>
    <row r="169" spans="2:9" hidden="1" x14ac:dyDescent="0.3">
      <c r="B169" s="6"/>
      <c r="C169" s="6"/>
      <c r="D169" s="6"/>
      <c r="E169" s="6"/>
      <c r="F169" s="6"/>
      <c r="G169" s="6"/>
      <c r="H169" s="6"/>
      <c r="I169" s="6"/>
    </row>
    <row r="170" spans="2:9" hidden="1" x14ac:dyDescent="0.3">
      <c r="B170" s="6"/>
      <c r="C170" s="6"/>
      <c r="D170" s="6"/>
      <c r="E170" s="6"/>
      <c r="F170" s="6"/>
      <c r="G170" s="6"/>
      <c r="H170" s="6"/>
      <c r="I170" s="6"/>
    </row>
    <row r="171" spans="2:9" hidden="1" x14ac:dyDescent="0.3">
      <c r="B171" s="6"/>
      <c r="C171" s="6"/>
      <c r="D171" s="6"/>
      <c r="E171" s="6"/>
      <c r="F171" s="6"/>
      <c r="G171" s="6"/>
      <c r="H171" s="6"/>
      <c r="I171" s="6"/>
    </row>
    <row r="172" spans="2:9" hidden="1" x14ac:dyDescent="0.3">
      <c r="B172" s="6"/>
      <c r="C172" s="6"/>
      <c r="D172" s="6"/>
      <c r="E172" s="6"/>
      <c r="F172" s="6"/>
      <c r="G172" s="6"/>
      <c r="H172" s="6"/>
      <c r="I172" s="6"/>
    </row>
    <row r="173" spans="2:9" hidden="1" x14ac:dyDescent="0.3">
      <c r="B173" s="6"/>
      <c r="C173" s="6"/>
      <c r="D173" s="6"/>
      <c r="E173" s="6"/>
      <c r="F173" s="6"/>
      <c r="G173" s="6"/>
      <c r="H173" s="6"/>
      <c r="I173" s="6"/>
    </row>
    <row r="174" spans="2:9" hidden="1" x14ac:dyDescent="0.3">
      <c r="B174" s="6"/>
      <c r="C174" s="6"/>
      <c r="D174" s="6"/>
      <c r="E174" s="6"/>
      <c r="F174" s="6"/>
      <c r="G174" s="6"/>
      <c r="H174" s="6"/>
      <c r="I174" s="6"/>
    </row>
    <row r="175" spans="2:9" hidden="1" x14ac:dyDescent="0.3">
      <c r="B175" s="6"/>
      <c r="C175" s="6"/>
      <c r="D175" s="6"/>
      <c r="E175" s="6"/>
      <c r="F175" s="6"/>
      <c r="G175" s="6"/>
      <c r="H175" s="6"/>
      <c r="I175" s="6"/>
    </row>
    <row r="176" spans="2:9" hidden="1" x14ac:dyDescent="0.3">
      <c r="B176" s="6"/>
      <c r="C176" s="6"/>
      <c r="D176" s="6"/>
      <c r="E176" s="6"/>
      <c r="F176" s="6"/>
      <c r="G176" s="6"/>
      <c r="H176" s="6"/>
      <c r="I176" s="6"/>
    </row>
    <row r="177" spans="2:9" hidden="1" x14ac:dyDescent="0.3">
      <c r="B177" s="6"/>
      <c r="C177" s="6"/>
      <c r="D177" s="6"/>
      <c r="E177" s="6"/>
      <c r="F177" s="6"/>
      <c r="G177" s="6"/>
      <c r="H177" s="6"/>
      <c r="I177" s="6"/>
    </row>
    <row r="178" spans="2:9" hidden="1" x14ac:dyDescent="0.3">
      <c r="B178" s="6"/>
      <c r="C178" s="6"/>
      <c r="D178" s="6"/>
      <c r="E178" s="6"/>
      <c r="F178" s="6"/>
      <c r="G178" s="6"/>
      <c r="H178" s="6"/>
      <c r="I178" s="6"/>
    </row>
    <row r="179" spans="2:9" hidden="1" x14ac:dyDescent="0.3">
      <c r="B179" s="6"/>
      <c r="C179" s="6"/>
      <c r="D179" s="6"/>
      <c r="E179" s="6"/>
      <c r="F179" s="6"/>
      <c r="G179" s="6"/>
      <c r="H179" s="6"/>
      <c r="I179" s="6"/>
    </row>
    <row r="180" spans="2:9" hidden="1" x14ac:dyDescent="0.3">
      <c r="B180" s="6"/>
      <c r="C180" s="6"/>
      <c r="D180" s="6"/>
      <c r="E180" s="6"/>
      <c r="F180" s="6"/>
      <c r="G180" s="6"/>
      <c r="H180" s="6"/>
      <c r="I180" s="6"/>
    </row>
    <row r="181" spans="2:9" hidden="1" x14ac:dyDescent="0.3">
      <c r="B181" s="6"/>
      <c r="C181" s="6"/>
      <c r="D181" s="6"/>
      <c r="E181" s="6"/>
      <c r="F181" s="6"/>
      <c r="G181" s="6"/>
      <c r="H181" s="6"/>
      <c r="I181" s="6"/>
    </row>
    <row r="182" spans="2:9" hidden="1" x14ac:dyDescent="0.3">
      <c r="B182" s="6"/>
      <c r="C182" s="6"/>
      <c r="D182" s="6"/>
      <c r="E182" s="6"/>
      <c r="F182" s="6"/>
      <c r="G182" s="6"/>
      <c r="H182" s="6"/>
      <c r="I182" s="6"/>
    </row>
    <row r="183" spans="2:9" hidden="1" x14ac:dyDescent="0.3">
      <c r="B183" s="6"/>
      <c r="C183" s="6"/>
      <c r="D183" s="6"/>
      <c r="E183" s="6"/>
      <c r="F183" s="6"/>
      <c r="G183" s="6"/>
      <c r="H183" s="6"/>
      <c r="I183" s="6"/>
    </row>
    <row r="184" spans="2:9" hidden="1" x14ac:dyDescent="0.3">
      <c r="B184" s="6"/>
      <c r="C184" s="6"/>
      <c r="D184" s="6"/>
      <c r="E184" s="6"/>
      <c r="F184" s="6"/>
      <c r="G184" s="6"/>
      <c r="H184" s="6"/>
      <c r="I184" s="6"/>
    </row>
    <row r="185" spans="2:9" hidden="1" x14ac:dyDescent="0.3">
      <c r="B185" s="6"/>
      <c r="C185" s="6"/>
      <c r="D185" s="6"/>
      <c r="E185" s="6"/>
      <c r="F185" s="6"/>
      <c r="G185" s="6"/>
      <c r="H185" s="6"/>
      <c r="I185" s="6"/>
    </row>
    <row r="186" spans="2:9" hidden="1" x14ac:dyDescent="0.3">
      <c r="B186" s="6"/>
      <c r="C186" s="6"/>
      <c r="D186" s="6"/>
      <c r="E186" s="6"/>
      <c r="F186" s="6"/>
      <c r="G186" s="6"/>
      <c r="H186" s="6"/>
      <c r="I186" s="6"/>
    </row>
    <row r="187" spans="2:9" hidden="1" x14ac:dyDescent="0.3">
      <c r="B187" s="6"/>
      <c r="C187" s="6"/>
      <c r="D187" s="6"/>
      <c r="E187" s="6"/>
      <c r="F187" s="6"/>
      <c r="G187" s="6"/>
      <c r="H187" s="6"/>
      <c r="I187" s="6"/>
    </row>
    <row r="188" spans="2:9" hidden="1" x14ac:dyDescent="0.3">
      <c r="B188" s="6"/>
      <c r="C188" s="6"/>
      <c r="D188" s="6"/>
      <c r="E188" s="6"/>
      <c r="F188" s="6"/>
      <c r="G188" s="6"/>
      <c r="H188" s="6"/>
      <c r="I188" s="6"/>
    </row>
    <row r="189" spans="2:9" hidden="1" x14ac:dyDescent="0.3">
      <c r="B189" s="6"/>
      <c r="C189" s="6"/>
      <c r="D189" s="6"/>
      <c r="E189" s="6"/>
      <c r="F189" s="6"/>
      <c r="G189" s="6"/>
      <c r="H189" s="6"/>
      <c r="I189" s="6"/>
    </row>
    <row r="190" spans="2:9" hidden="1" x14ac:dyDescent="0.3">
      <c r="B190" s="6"/>
      <c r="C190" s="6"/>
      <c r="D190" s="6"/>
      <c r="E190" s="6"/>
      <c r="F190" s="6"/>
      <c r="G190" s="6"/>
      <c r="H190" s="6"/>
      <c r="I190" s="6"/>
    </row>
    <row r="191" spans="2:9" hidden="1" x14ac:dyDescent="0.3">
      <c r="B191" s="6"/>
      <c r="C191" s="6"/>
      <c r="D191" s="6"/>
      <c r="E191" s="6"/>
      <c r="F191" s="6"/>
      <c r="G191" s="6"/>
      <c r="H191" s="6"/>
      <c r="I191" s="6"/>
    </row>
    <row r="192" spans="2:9" hidden="1" x14ac:dyDescent="0.3">
      <c r="B192" s="6"/>
      <c r="C192" s="6"/>
      <c r="D192" s="6"/>
      <c r="E192" s="6"/>
      <c r="F192" s="6"/>
      <c r="G192" s="6"/>
      <c r="H192" s="6"/>
      <c r="I192" s="6"/>
    </row>
    <row r="193" spans="2:9" hidden="1" x14ac:dyDescent="0.3">
      <c r="B193" s="6"/>
      <c r="C193" s="6"/>
      <c r="D193" s="6"/>
      <c r="E193" s="6"/>
      <c r="F193" s="6"/>
      <c r="G193" s="6"/>
      <c r="H193" s="6"/>
      <c r="I193" s="6"/>
    </row>
    <row r="194" spans="2:9" hidden="1" x14ac:dyDescent="0.3">
      <c r="B194" s="6"/>
      <c r="C194" s="6"/>
      <c r="D194" s="6"/>
      <c r="E194" s="6"/>
      <c r="F194" s="6"/>
      <c r="G194" s="6"/>
      <c r="H194" s="6"/>
      <c r="I194" s="6"/>
    </row>
    <row r="195" spans="2:9" hidden="1" x14ac:dyDescent="0.3">
      <c r="B195" s="6"/>
      <c r="C195" s="6"/>
      <c r="D195" s="6"/>
      <c r="E195" s="6"/>
      <c r="F195" s="6"/>
      <c r="G195" s="6"/>
      <c r="H195" s="6"/>
      <c r="I195" s="6"/>
    </row>
    <row r="196" spans="2:9" hidden="1" x14ac:dyDescent="0.3">
      <c r="B196" s="6"/>
      <c r="C196" s="6"/>
      <c r="D196" s="6"/>
      <c r="E196" s="6"/>
      <c r="F196" s="6"/>
      <c r="G196" s="6"/>
      <c r="H196" s="6"/>
      <c r="I196" s="6"/>
    </row>
    <row r="197" spans="2:9" hidden="1" x14ac:dyDescent="0.3">
      <c r="B197" s="6"/>
      <c r="C197" s="6"/>
      <c r="D197" s="6"/>
      <c r="E197" s="6"/>
      <c r="F197" s="6"/>
      <c r="G197" s="6"/>
      <c r="H197" s="6"/>
      <c r="I197" s="6"/>
    </row>
    <row r="198" spans="2:9" hidden="1" x14ac:dyDescent="0.3">
      <c r="B198" s="6"/>
      <c r="C198" s="6"/>
      <c r="D198" s="6"/>
      <c r="E198" s="6"/>
      <c r="F198" s="6"/>
      <c r="G198" s="6"/>
      <c r="H198" s="6"/>
      <c r="I198" s="6"/>
    </row>
    <row r="199" spans="2:9" hidden="1" x14ac:dyDescent="0.3">
      <c r="B199" s="6"/>
      <c r="C199" s="6"/>
      <c r="D199" s="6"/>
      <c r="E199" s="6"/>
      <c r="F199" s="6"/>
      <c r="G199" s="6"/>
      <c r="H199" s="6"/>
      <c r="I199" s="6"/>
    </row>
    <row r="200" spans="2:9" hidden="1" x14ac:dyDescent="0.3">
      <c r="B200" s="6"/>
      <c r="C200" s="6"/>
      <c r="D200" s="6"/>
      <c r="E200" s="6"/>
      <c r="F200" s="6"/>
      <c r="G200" s="6"/>
      <c r="H200" s="6"/>
      <c r="I200" s="6"/>
    </row>
    <row r="201" spans="2:9" hidden="1" x14ac:dyDescent="0.3">
      <c r="B201" s="6"/>
      <c r="C201" s="6"/>
      <c r="D201" s="6"/>
      <c r="E201" s="6"/>
      <c r="F201" s="6"/>
      <c r="G201" s="6"/>
      <c r="H201" s="6"/>
      <c r="I201" s="6"/>
    </row>
    <row r="202" spans="2:9" hidden="1" x14ac:dyDescent="0.3">
      <c r="B202" s="6"/>
      <c r="C202" s="6"/>
      <c r="D202" s="6"/>
      <c r="E202" s="6"/>
      <c r="F202" s="6"/>
      <c r="G202" s="6"/>
      <c r="H202" s="6"/>
      <c r="I202" s="6"/>
    </row>
    <row r="203" spans="2:9" hidden="1" x14ac:dyDescent="0.3">
      <c r="B203" s="6"/>
      <c r="C203" s="6"/>
      <c r="D203" s="6"/>
      <c r="E203" s="6"/>
      <c r="F203" s="6"/>
      <c r="G203" s="6"/>
      <c r="H203" s="6"/>
      <c r="I203" s="6"/>
    </row>
    <row r="204" spans="2:9" hidden="1" x14ac:dyDescent="0.3">
      <c r="B204" s="6"/>
      <c r="C204" s="6"/>
      <c r="D204" s="6"/>
      <c r="E204" s="6"/>
      <c r="F204" s="6"/>
      <c r="G204" s="6"/>
      <c r="H204" s="6"/>
      <c r="I204" s="6"/>
    </row>
    <row r="205" spans="2:9" hidden="1" x14ac:dyDescent="0.3">
      <c r="B205" s="6"/>
      <c r="C205" s="6"/>
      <c r="D205" s="6"/>
      <c r="E205" s="6"/>
      <c r="F205" s="6"/>
      <c r="G205" s="6"/>
      <c r="H205" s="6"/>
      <c r="I205" s="6"/>
    </row>
    <row r="206" spans="2:9" hidden="1" x14ac:dyDescent="0.3">
      <c r="B206" s="6"/>
      <c r="C206" s="6"/>
      <c r="D206" s="6"/>
      <c r="E206" s="6"/>
      <c r="F206" s="6"/>
      <c r="G206" s="6"/>
      <c r="H206" s="6"/>
      <c r="I206" s="6"/>
    </row>
    <row r="207" spans="2:9" hidden="1" x14ac:dyDescent="0.3">
      <c r="B207" s="6"/>
      <c r="C207" s="6"/>
      <c r="D207" s="6"/>
      <c r="E207" s="6"/>
      <c r="F207" s="6"/>
      <c r="G207" s="6"/>
      <c r="H207" s="6"/>
      <c r="I207" s="6"/>
    </row>
    <row r="208" spans="2:9" hidden="1" x14ac:dyDescent="0.3">
      <c r="B208" s="6"/>
      <c r="C208" s="6"/>
      <c r="D208" s="6"/>
      <c r="E208" s="6"/>
      <c r="F208" s="6"/>
      <c r="G208" s="6"/>
      <c r="H208" s="6"/>
      <c r="I208" s="6"/>
    </row>
    <row r="209" spans="2:9" hidden="1" x14ac:dyDescent="0.3">
      <c r="B209" s="6"/>
      <c r="C209" s="6"/>
      <c r="D209" s="6"/>
      <c r="E209" s="6"/>
      <c r="F209" s="6"/>
      <c r="G209" s="6"/>
      <c r="H209" s="6"/>
      <c r="I209" s="6"/>
    </row>
    <row r="210" spans="2:9" hidden="1" x14ac:dyDescent="0.3">
      <c r="B210" s="6"/>
      <c r="C210" s="6"/>
      <c r="D210" s="6"/>
      <c r="E210" s="6"/>
      <c r="F210" s="6"/>
      <c r="G210" s="6"/>
      <c r="H210" s="6"/>
      <c r="I210" s="6"/>
    </row>
    <row r="211" spans="2:9" hidden="1" x14ac:dyDescent="0.3">
      <c r="B211" s="6"/>
      <c r="C211" s="6"/>
      <c r="D211" s="6"/>
      <c r="E211" s="6"/>
      <c r="F211" s="6"/>
      <c r="G211" s="6"/>
      <c r="H211" s="6"/>
      <c r="I211" s="6"/>
    </row>
    <row r="212" spans="2:9" hidden="1" x14ac:dyDescent="0.3">
      <c r="B212" s="6"/>
      <c r="C212" s="6"/>
      <c r="D212" s="6"/>
      <c r="E212" s="6"/>
      <c r="F212" s="6"/>
      <c r="G212" s="6"/>
      <c r="H212" s="6"/>
      <c r="I212" s="6"/>
    </row>
    <row r="213" spans="2:9" hidden="1" x14ac:dyDescent="0.3">
      <c r="B213" s="6"/>
      <c r="C213" s="6"/>
      <c r="D213" s="6"/>
      <c r="E213" s="6"/>
      <c r="F213" s="6"/>
      <c r="G213" s="6"/>
      <c r="H213" s="6"/>
      <c r="I213" s="6"/>
    </row>
    <row r="214" spans="2:9" hidden="1" x14ac:dyDescent="0.3">
      <c r="B214" s="6"/>
      <c r="C214" s="6"/>
      <c r="D214" s="6"/>
      <c r="E214" s="6"/>
      <c r="F214" s="6"/>
      <c r="G214" s="6"/>
      <c r="H214" s="6"/>
      <c r="I214" s="6"/>
    </row>
    <row r="215" spans="2:9" hidden="1" x14ac:dyDescent="0.3">
      <c r="B215" s="6"/>
      <c r="C215" s="6"/>
      <c r="D215" s="6"/>
      <c r="E215" s="6"/>
      <c r="F215" s="6"/>
      <c r="G215" s="6"/>
      <c r="H215" s="6"/>
      <c r="I215" s="6"/>
    </row>
    <row r="216" spans="2:9" hidden="1" x14ac:dyDescent="0.3">
      <c r="B216" s="6"/>
      <c r="C216" s="6"/>
      <c r="D216" s="6"/>
      <c r="E216" s="6"/>
      <c r="F216" s="6"/>
      <c r="G216" s="6"/>
      <c r="H216" s="6"/>
      <c r="I216" s="6"/>
    </row>
    <row r="217" spans="2:9" hidden="1" x14ac:dyDescent="0.3">
      <c r="B217" s="6"/>
      <c r="C217" s="6"/>
      <c r="D217" s="6"/>
      <c r="E217" s="6"/>
      <c r="F217" s="6"/>
      <c r="G217" s="6"/>
      <c r="H217" s="6"/>
      <c r="I217" s="6"/>
    </row>
    <row r="218" spans="2:9" hidden="1" x14ac:dyDescent="0.3">
      <c r="B218" s="6"/>
      <c r="C218" s="6"/>
      <c r="D218" s="6"/>
      <c r="E218" s="6"/>
      <c r="F218" s="6"/>
      <c r="G218" s="6"/>
      <c r="H218" s="6"/>
      <c r="I218" s="6"/>
    </row>
    <row r="219" spans="2:9" hidden="1" x14ac:dyDescent="0.3">
      <c r="B219" s="6"/>
      <c r="C219" s="6"/>
      <c r="D219" s="6"/>
      <c r="E219" s="6"/>
      <c r="F219" s="6"/>
      <c r="G219" s="6"/>
      <c r="H219" s="6"/>
      <c r="I219" s="6"/>
    </row>
    <row r="220" spans="2:9" hidden="1" x14ac:dyDescent="0.3">
      <c r="B220" s="6"/>
      <c r="C220" s="6"/>
      <c r="D220" s="6"/>
      <c r="E220" s="6"/>
      <c r="F220" s="6"/>
      <c r="G220" s="6"/>
      <c r="H220" s="6"/>
      <c r="I220" s="6"/>
    </row>
    <row r="221" spans="2:9" hidden="1" x14ac:dyDescent="0.3">
      <c r="B221" s="6"/>
      <c r="C221" s="6"/>
      <c r="D221" s="6"/>
      <c r="E221" s="6"/>
      <c r="F221" s="6"/>
      <c r="G221" s="6"/>
      <c r="H221" s="6"/>
      <c r="I221" s="6"/>
    </row>
    <row r="222" spans="2:9" hidden="1" x14ac:dyDescent="0.3">
      <c r="B222" s="6"/>
      <c r="C222" s="6"/>
      <c r="D222" s="6"/>
      <c r="E222" s="6"/>
      <c r="F222" s="6"/>
      <c r="G222" s="6"/>
      <c r="H222" s="6"/>
      <c r="I222" s="6"/>
    </row>
    <row r="223" spans="2:9" hidden="1" x14ac:dyDescent="0.3">
      <c r="B223" s="6"/>
      <c r="C223" s="6"/>
      <c r="D223" s="6"/>
      <c r="E223" s="6"/>
      <c r="F223" s="6"/>
      <c r="G223" s="6"/>
      <c r="H223" s="6"/>
      <c r="I223" s="6"/>
    </row>
    <row r="224" spans="2:9" hidden="1" x14ac:dyDescent="0.3">
      <c r="B224" s="6"/>
      <c r="C224" s="6"/>
      <c r="D224" s="6"/>
      <c r="E224" s="6"/>
      <c r="F224" s="6"/>
      <c r="G224" s="6"/>
      <c r="H224" s="6"/>
      <c r="I224" s="6"/>
    </row>
    <row r="225" spans="2:9" hidden="1" x14ac:dyDescent="0.3">
      <c r="B225" s="6"/>
      <c r="C225" s="6"/>
      <c r="D225" s="6"/>
      <c r="E225" s="6"/>
      <c r="F225" s="6"/>
      <c r="G225" s="6"/>
      <c r="H225" s="6"/>
      <c r="I225" s="6"/>
    </row>
    <row r="226" spans="2:9" hidden="1" x14ac:dyDescent="0.3">
      <c r="B226" s="6"/>
      <c r="C226" s="6"/>
      <c r="D226" s="6"/>
      <c r="E226" s="6"/>
      <c r="F226" s="6"/>
      <c r="G226" s="6"/>
      <c r="H226" s="6"/>
      <c r="I226" s="6"/>
    </row>
    <row r="227" spans="2:9" hidden="1" x14ac:dyDescent="0.3">
      <c r="B227" s="6"/>
      <c r="C227" s="6"/>
      <c r="D227" s="6"/>
      <c r="E227" s="6"/>
      <c r="F227" s="6"/>
      <c r="G227" s="6"/>
      <c r="H227" s="6"/>
      <c r="I227" s="6"/>
    </row>
    <row r="228" spans="2:9" hidden="1" x14ac:dyDescent="0.3">
      <c r="B228" s="6"/>
      <c r="C228" s="6"/>
      <c r="D228" s="6"/>
      <c r="E228" s="6"/>
      <c r="F228" s="6"/>
      <c r="G228" s="6"/>
      <c r="H228" s="6"/>
      <c r="I228" s="6"/>
    </row>
    <row r="229" spans="2:9" hidden="1" x14ac:dyDescent="0.3">
      <c r="B229" s="6"/>
      <c r="C229" s="6"/>
      <c r="D229" s="6"/>
      <c r="E229" s="6"/>
      <c r="F229" s="6"/>
      <c r="G229" s="6"/>
      <c r="H229" s="6"/>
      <c r="I229" s="6"/>
    </row>
    <row r="230" spans="2:9" hidden="1" x14ac:dyDescent="0.3">
      <c r="B230" s="6"/>
      <c r="C230" s="6"/>
      <c r="D230" s="6"/>
      <c r="E230" s="6"/>
      <c r="F230" s="6"/>
      <c r="G230" s="6"/>
      <c r="H230" s="6"/>
      <c r="I230" s="6"/>
    </row>
    <row r="231" spans="2:9" hidden="1" x14ac:dyDescent="0.3">
      <c r="B231" s="6"/>
      <c r="C231" s="6"/>
      <c r="D231" s="6"/>
      <c r="E231" s="6"/>
      <c r="F231" s="6"/>
      <c r="G231" s="6"/>
      <c r="H231" s="6"/>
      <c r="I231" s="6"/>
    </row>
    <row r="232" spans="2:9" hidden="1" x14ac:dyDescent="0.3">
      <c r="B232" s="6"/>
      <c r="C232" s="6"/>
      <c r="D232" s="6"/>
      <c r="E232" s="6"/>
      <c r="F232" s="6"/>
      <c r="G232" s="6"/>
      <c r="H232" s="6"/>
      <c r="I232" s="6"/>
    </row>
    <row r="233" spans="2:9" hidden="1" x14ac:dyDescent="0.3">
      <c r="B233" s="6"/>
      <c r="C233" s="6"/>
      <c r="D233" s="6"/>
      <c r="E233" s="6"/>
      <c r="F233" s="6"/>
      <c r="G233" s="6"/>
      <c r="H233" s="6"/>
      <c r="I233" s="6"/>
    </row>
    <row r="234" spans="2:9" hidden="1" x14ac:dyDescent="0.3">
      <c r="B234" s="6"/>
      <c r="C234" s="6"/>
      <c r="D234" s="6"/>
      <c r="E234" s="6"/>
      <c r="F234" s="6"/>
      <c r="G234" s="6"/>
      <c r="H234" s="6"/>
      <c r="I234" s="6"/>
    </row>
    <row r="235" spans="2:9" hidden="1" x14ac:dyDescent="0.3">
      <c r="B235" s="6"/>
      <c r="C235" s="6"/>
      <c r="D235" s="6"/>
      <c r="E235" s="6"/>
      <c r="F235" s="6"/>
      <c r="G235" s="6"/>
      <c r="H235" s="6"/>
      <c r="I235" s="6"/>
    </row>
    <row r="236" spans="2:9" hidden="1" x14ac:dyDescent="0.3">
      <c r="B236" s="6"/>
      <c r="C236" s="6"/>
      <c r="D236" s="6"/>
      <c r="E236" s="6"/>
      <c r="F236" s="6"/>
      <c r="G236" s="6"/>
      <c r="H236" s="6"/>
      <c r="I236" s="6"/>
    </row>
    <row r="237" spans="2:9" hidden="1" x14ac:dyDescent="0.3">
      <c r="B237" s="6"/>
      <c r="C237" s="6"/>
      <c r="D237" s="6"/>
      <c r="E237" s="6"/>
      <c r="F237" s="6"/>
      <c r="G237" s="6"/>
      <c r="H237" s="6"/>
      <c r="I237" s="6"/>
    </row>
    <row r="238" spans="2:9" hidden="1" x14ac:dyDescent="0.3">
      <c r="B238" s="6"/>
      <c r="C238" s="6"/>
      <c r="D238" s="6"/>
      <c r="E238" s="6"/>
      <c r="F238" s="6"/>
      <c r="G238" s="6"/>
      <c r="H238" s="6"/>
      <c r="I238" s="6"/>
    </row>
    <row r="239" spans="2:9" hidden="1" x14ac:dyDescent="0.3">
      <c r="B239" s="6"/>
      <c r="C239" s="6"/>
      <c r="D239" s="6"/>
      <c r="E239" s="6"/>
      <c r="F239" s="6"/>
      <c r="G239" s="6"/>
      <c r="H239" s="6"/>
      <c r="I239" s="6"/>
    </row>
    <row r="240" spans="2:9" hidden="1" x14ac:dyDescent="0.3">
      <c r="B240" s="6"/>
      <c r="C240" s="6"/>
      <c r="D240" s="6"/>
      <c r="E240" s="6"/>
      <c r="F240" s="6"/>
      <c r="G240" s="6"/>
      <c r="H240" s="6"/>
      <c r="I240" s="6"/>
    </row>
    <row r="241" spans="2:9" hidden="1" x14ac:dyDescent="0.3">
      <c r="B241" s="6"/>
      <c r="C241" s="6"/>
      <c r="D241" s="6"/>
      <c r="E241" s="6"/>
      <c r="F241" s="6"/>
      <c r="G241" s="6"/>
      <c r="H241" s="6"/>
      <c r="I241" s="6"/>
    </row>
    <row r="242" spans="2:9" hidden="1" x14ac:dyDescent="0.3">
      <c r="B242" s="6"/>
      <c r="C242" s="6"/>
      <c r="D242" s="6"/>
      <c r="E242" s="6"/>
      <c r="F242" s="6"/>
      <c r="G242" s="6"/>
      <c r="H242" s="6"/>
      <c r="I242" s="6"/>
    </row>
    <row r="243" spans="2:9" hidden="1" x14ac:dyDescent="0.3">
      <c r="B243" s="6"/>
      <c r="C243" s="6"/>
      <c r="D243" s="6"/>
      <c r="E243" s="6"/>
      <c r="F243" s="6"/>
      <c r="G243" s="6"/>
      <c r="H243" s="6"/>
      <c r="I243" s="6"/>
    </row>
    <row r="244" spans="2:9" hidden="1" x14ac:dyDescent="0.3">
      <c r="B244" s="6"/>
      <c r="C244" s="6"/>
      <c r="D244" s="6"/>
      <c r="E244" s="6"/>
      <c r="F244" s="6"/>
      <c r="G244" s="6"/>
      <c r="H244" s="6"/>
      <c r="I244" s="6"/>
    </row>
    <row r="245" spans="2:9" hidden="1" x14ac:dyDescent="0.3">
      <c r="B245" s="6"/>
      <c r="C245" s="6"/>
      <c r="D245" s="6"/>
      <c r="E245" s="6"/>
      <c r="F245" s="6"/>
      <c r="G245" s="6"/>
      <c r="H245" s="6"/>
      <c r="I245" s="6"/>
    </row>
    <row r="246" spans="2:9" hidden="1" x14ac:dyDescent="0.3">
      <c r="B246" s="6"/>
      <c r="C246" s="6"/>
      <c r="D246" s="6"/>
      <c r="E246" s="6"/>
      <c r="F246" s="6"/>
      <c r="G246" s="6"/>
      <c r="H246" s="6"/>
      <c r="I246" s="6"/>
    </row>
    <row r="247" spans="2:9" hidden="1" x14ac:dyDescent="0.3">
      <c r="B247" s="6"/>
      <c r="C247" s="6"/>
      <c r="D247" s="6"/>
      <c r="E247" s="6"/>
      <c r="F247" s="6"/>
      <c r="G247" s="6"/>
      <c r="H247" s="6"/>
      <c r="I247" s="6"/>
    </row>
    <row r="248" spans="2:9" hidden="1" x14ac:dyDescent="0.3">
      <c r="B248" s="6"/>
      <c r="C248" s="6"/>
      <c r="D248" s="6"/>
      <c r="E248" s="6"/>
      <c r="F248" s="6"/>
      <c r="G248" s="6"/>
      <c r="H248" s="6"/>
      <c r="I248" s="6"/>
    </row>
    <row r="249" spans="2:9" hidden="1" x14ac:dyDescent="0.3">
      <c r="B249" s="6"/>
      <c r="C249" s="6"/>
      <c r="D249" s="6"/>
      <c r="E249" s="6"/>
      <c r="F249" s="6"/>
      <c r="G249" s="6"/>
      <c r="H249" s="6"/>
      <c r="I249" s="6"/>
    </row>
    <row r="250" spans="2:9" hidden="1" x14ac:dyDescent="0.3">
      <c r="B250" s="6"/>
      <c r="C250" s="6"/>
      <c r="D250" s="6"/>
      <c r="E250" s="6"/>
      <c r="F250" s="6"/>
      <c r="G250" s="6"/>
      <c r="H250" s="6"/>
      <c r="I250" s="6"/>
    </row>
    <row r="251" spans="2:9" hidden="1" x14ac:dyDescent="0.3">
      <c r="B251" s="6"/>
      <c r="C251" s="6"/>
      <c r="D251" s="6"/>
      <c r="E251" s="6"/>
      <c r="F251" s="6"/>
      <c r="G251" s="6"/>
      <c r="H251" s="6"/>
      <c r="I251" s="6"/>
    </row>
    <row r="252" spans="2:9" hidden="1" x14ac:dyDescent="0.3">
      <c r="B252" s="6"/>
      <c r="C252" s="6"/>
      <c r="D252" s="6"/>
      <c r="E252" s="6"/>
      <c r="F252" s="6"/>
      <c r="G252" s="6"/>
      <c r="H252" s="6"/>
      <c r="I252" s="6"/>
    </row>
    <row r="253" spans="2:9" hidden="1" x14ac:dyDescent="0.3">
      <c r="B253" s="6"/>
      <c r="C253" s="6"/>
      <c r="D253" s="6"/>
      <c r="E253" s="6"/>
      <c r="F253" s="6"/>
      <c r="G253" s="6"/>
      <c r="H253" s="6"/>
      <c r="I253" s="6"/>
    </row>
    <row r="254" spans="2:9" hidden="1" x14ac:dyDescent="0.3">
      <c r="B254" s="6"/>
      <c r="C254" s="6"/>
      <c r="D254" s="6"/>
      <c r="E254" s="6"/>
      <c r="F254" s="6"/>
      <c r="G254" s="6"/>
      <c r="H254" s="6"/>
      <c r="I254" s="6"/>
    </row>
    <row r="255" spans="2:9" hidden="1" x14ac:dyDescent="0.3">
      <c r="B255" s="6"/>
      <c r="C255" s="6"/>
      <c r="D255" s="6"/>
      <c r="E255" s="6"/>
      <c r="F255" s="6"/>
      <c r="G255" s="6"/>
      <c r="H255" s="6"/>
      <c r="I255" s="6"/>
    </row>
    <row r="256" spans="2:9" hidden="1" x14ac:dyDescent="0.3">
      <c r="B256" s="6"/>
      <c r="C256" s="6"/>
      <c r="D256" s="6"/>
      <c r="E256" s="6"/>
      <c r="F256" s="6"/>
      <c r="G256" s="6"/>
      <c r="H256" s="6"/>
      <c r="I256" s="6"/>
    </row>
    <row r="257" spans="2:9" hidden="1" x14ac:dyDescent="0.3">
      <c r="B257" s="6"/>
      <c r="C257" s="6"/>
      <c r="D257" s="6"/>
      <c r="E257" s="6"/>
      <c r="F257" s="6"/>
      <c r="G257" s="6"/>
      <c r="H257" s="6"/>
      <c r="I257" s="6"/>
    </row>
    <row r="258" spans="2:9" hidden="1" x14ac:dyDescent="0.3">
      <c r="B258" s="6"/>
      <c r="C258" s="6"/>
      <c r="D258" s="6"/>
      <c r="E258" s="6"/>
      <c r="F258" s="6"/>
      <c r="G258" s="6"/>
      <c r="H258" s="6"/>
      <c r="I258" s="6"/>
    </row>
    <row r="259" spans="2:9" hidden="1" x14ac:dyDescent="0.3">
      <c r="B259" s="6"/>
      <c r="C259" s="6"/>
      <c r="D259" s="6"/>
      <c r="E259" s="6"/>
      <c r="F259" s="6"/>
      <c r="G259" s="6"/>
      <c r="H259" s="6"/>
      <c r="I259" s="6"/>
    </row>
    <row r="260" spans="2:9" hidden="1" x14ac:dyDescent="0.3">
      <c r="B260" s="6"/>
      <c r="C260" s="6"/>
      <c r="D260" s="6"/>
      <c r="E260" s="6"/>
      <c r="F260" s="6"/>
      <c r="G260" s="6"/>
      <c r="H260" s="6"/>
      <c r="I260" s="6"/>
    </row>
    <row r="261" spans="2:9" hidden="1" x14ac:dyDescent="0.3">
      <c r="B261" s="6"/>
      <c r="C261" s="6"/>
      <c r="D261" s="6"/>
      <c r="E261" s="6"/>
      <c r="F261" s="6"/>
      <c r="G261" s="6"/>
      <c r="H261" s="6"/>
      <c r="I261" s="6"/>
    </row>
    <row r="262" spans="2:9" hidden="1" x14ac:dyDescent="0.3">
      <c r="B262" s="6"/>
      <c r="C262" s="6"/>
      <c r="D262" s="6"/>
      <c r="E262" s="6"/>
      <c r="F262" s="6"/>
      <c r="G262" s="6"/>
      <c r="H262" s="6"/>
      <c r="I262" s="6"/>
    </row>
    <row r="263" spans="2:9" hidden="1" x14ac:dyDescent="0.3">
      <c r="B263" s="6"/>
      <c r="C263" s="6"/>
      <c r="D263" s="6"/>
      <c r="E263" s="6"/>
      <c r="F263" s="6"/>
      <c r="G263" s="6"/>
      <c r="H263" s="6"/>
      <c r="I263" s="6"/>
    </row>
    <row r="264" spans="2:9" hidden="1" x14ac:dyDescent="0.3">
      <c r="B264" s="6"/>
      <c r="C264" s="6"/>
      <c r="D264" s="6"/>
      <c r="E264" s="6"/>
      <c r="F264" s="6"/>
      <c r="G264" s="6"/>
      <c r="H264" s="6"/>
      <c r="I264" s="6"/>
    </row>
    <row r="265" spans="2:9" hidden="1" x14ac:dyDescent="0.3">
      <c r="B265" s="6"/>
      <c r="C265" s="6"/>
      <c r="D265" s="6"/>
      <c r="E265" s="6"/>
      <c r="F265" s="6"/>
      <c r="G265" s="6"/>
      <c r="H265" s="6"/>
      <c r="I265" s="6"/>
    </row>
    <row r="266" spans="2:9" hidden="1" x14ac:dyDescent="0.3">
      <c r="B266" s="6"/>
      <c r="C266" s="6"/>
      <c r="D266" s="6"/>
      <c r="E266" s="6"/>
      <c r="F266" s="6"/>
      <c r="G266" s="6"/>
      <c r="H266" s="6"/>
      <c r="I266" s="6"/>
    </row>
    <row r="267" spans="2:9" hidden="1" x14ac:dyDescent="0.3">
      <c r="B267" s="6"/>
      <c r="C267" s="6"/>
      <c r="D267" s="6"/>
      <c r="E267" s="6"/>
      <c r="F267" s="6"/>
      <c r="G267" s="6"/>
      <c r="H267" s="6"/>
      <c r="I267" s="6"/>
    </row>
    <row r="268" spans="2:9" hidden="1" x14ac:dyDescent="0.3">
      <c r="B268" s="6"/>
      <c r="C268" s="6"/>
      <c r="D268" s="6"/>
      <c r="E268" s="6"/>
      <c r="F268" s="6"/>
      <c r="G268" s="6"/>
      <c r="H268" s="6"/>
      <c r="I268" s="6"/>
    </row>
    <row r="269" spans="2:9" hidden="1" x14ac:dyDescent="0.3">
      <c r="B269" s="6"/>
      <c r="C269" s="6"/>
      <c r="D269" s="6"/>
      <c r="E269" s="6"/>
      <c r="F269" s="6"/>
      <c r="G269" s="6"/>
      <c r="H269" s="6"/>
      <c r="I269" s="6"/>
    </row>
    <row r="270" spans="2:9" hidden="1" x14ac:dyDescent="0.3">
      <c r="B270" s="6"/>
      <c r="C270" s="6"/>
      <c r="D270" s="6"/>
      <c r="E270" s="6"/>
      <c r="F270" s="6"/>
      <c r="G270" s="6"/>
      <c r="H270" s="6"/>
      <c r="I270" s="6"/>
    </row>
    <row r="271" spans="2:9" hidden="1" x14ac:dyDescent="0.3">
      <c r="B271" s="6"/>
      <c r="C271" s="6"/>
      <c r="D271" s="6"/>
      <c r="E271" s="6"/>
      <c r="F271" s="6"/>
      <c r="G271" s="6"/>
      <c r="H271" s="6"/>
      <c r="I271" s="6"/>
    </row>
    <row r="272" spans="2:9" hidden="1" x14ac:dyDescent="0.3">
      <c r="B272" s="6"/>
      <c r="C272" s="6"/>
      <c r="D272" s="6"/>
      <c r="E272" s="6"/>
      <c r="F272" s="6"/>
      <c r="G272" s="6"/>
      <c r="H272" s="6"/>
      <c r="I272" s="6"/>
    </row>
    <row r="273" spans="2:9" hidden="1" x14ac:dyDescent="0.3">
      <c r="B273" s="6"/>
      <c r="C273" s="6"/>
      <c r="D273" s="6"/>
      <c r="E273" s="6"/>
      <c r="F273" s="6"/>
      <c r="G273" s="6"/>
      <c r="H273" s="6"/>
      <c r="I273" s="6"/>
    </row>
    <row r="274" spans="2:9" hidden="1" x14ac:dyDescent="0.3">
      <c r="B274" s="6"/>
      <c r="C274" s="6"/>
      <c r="D274" s="6"/>
      <c r="E274" s="6"/>
      <c r="F274" s="6"/>
      <c r="G274" s="6"/>
      <c r="H274" s="6"/>
      <c r="I274" s="6"/>
    </row>
    <row r="275" spans="2:9" hidden="1" x14ac:dyDescent="0.3">
      <c r="B275" s="6"/>
      <c r="C275" s="6"/>
      <c r="D275" s="6"/>
      <c r="E275" s="6"/>
      <c r="F275" s="6"/>
      <c r="G275" s="6"/>
      <c r="H275" s="6"/>
      <c r="I275" s="6"/>
    </row>
    <row r="276" spans="2:9" hidden="1" x14ac:dyDescent="0.3">
      <c r="B276" s="6"/>
      <c r="C276" s="6"/>
      <c r="D276" s="6"/>
      <c r="E276" s="6"/>
      <c r="F276" s="6"/>
      <c r="G276" s="6"/>
      <c r="H276" s="6"/>
      <c r="I276" s="6"/>
    </row>
    <row r="277" spans="2:9" hidden="1" x14ac:dyDescent="0.3">
      <c r="B277" s="6"/>
      <c r="C277" s="6"/>
      <c r="D277" s="6"/>
      <c r="E277" s="6"/>
      <c r="F277" s="6"/>
      <c r="G277" s="6"/>
      <c r="H277" s="6"/>
      <c r="I277" s="6"/>
    </row>
    <row r="278" spans="2:9" hidden="1" x14ac:dyDescent="0.3">
      <c r="B278" s="6"/>
      <c r="C278" s="6"/>
      <c r="D278" s="6"/>
      <c r="E278" s="6"/>
      <c r="F278" s="6"/>
      <c r="G278" s="6"/>
      <c r="H278" s="6"/>
      <c r="I278" s="6"/>
    </row>
    <row r="279" spans="2:9" hidden="1" x14ac:dyDescent="0.3">
      <c r="B279" s="6"/>
      <c r="C279" s="6"/>
      <c r="D279" s="6"/>
      <c r="E279" s="6"/>
      <c r="F279" s="6"/>
      <c r="G279" s="6"/>
      <c r="H279" s="6"/>
      <c r="I279" s="6"/>
    </row>
    <row r="280" spans="2:9" hidden="1" x14ac:dyDescent="0.3">
      <c r="B280" s="6"/>
      <c r="C280" s="6"/>
      <c r="D280" s="6"/>
      <c r="E280" s="6"/>
      <c r="F280" s="6"/>
      <c r="G280" s="6"/>
      <c r="H280" s="6"/>
      <c r="I280" s="6"/>
    </row>
    <row r="281" spans="2:9" hidden="1" x14ac:dyDescent="0.3">
      <c r="B281" s="6"/>
      <c r="C281" s="6"/>
      <c r="D281" s="6"/>
      <c r="E281" s="6"/>
      <c r="F281" s="6"/>
      <c r="G281" s="6"/>
      <c r="H281" s="6"/>
      <c r="I281" s="6"/>
    </row>
    <row r="282" spans="2:9" hidden="1" x14ac:dyDescent="0.3">
      <c r="B282" s="6"/>
      <c r="C282" s="6"/>
      <c r="D282" s="6"/>
      <c r="E282" s="6"/>
      <c r="F282" s="6"/>
      <c r="G282" s="6"/>
      <c r="H282" s="6"/>
      <c r="I282" s="6"/>
    </row>
    <row r="283" spans="2:9" hidden="1" x14ac:dyDescent="0.3">
      <c r="B283" s="6"/>
      <c r="C283" s="6"/>
      <c r="D283" s="6"/>
      <c r="E283" s="6"/>
      <c r="F283" s="6"/>
      <c r="G283" s="6"/>
      <c r="H283" s="6"/>
      <c r="I283" s="6"/>
    </row>
    <row r="284" spans="2:9" hidden="1" x14ac:dyDescent="0.3">
      <c r="B284" s="6"/>
      <c r="C284" s="6"/>
      <c r="D284" s="6"/>
      <c r="E284" s="6"/>
      <c r="F284" s="6"/>
      <c r="G284" s="6"/>
      <c r="H284" s="6"/>
      <c r="I284" s="6"/>
    </row>
    <row r="285" spans="2:9" hidden="1" x14ac:dyDescent="0.3">
      <c r="B285" s="6"/>
      <c r="C285" s="6"/>
      <c r="D285" s="6"/>
      <c r="E285" s="6"/>
      <c r="F285" s="6"/>
      <c r="G285" s="6"/>
      <c r="H285" s="6"/>
      <c r="I285" s="6"/>
    </row>
    <row r="286" spans="2:9" hidden="1" x14ac:dyDescent="0.3">
      <c r="B286" s="6"/>
      <c r="C286" s="6"/>
      <c r="D286" s="6"/>
      <c r="E286" s="6"/>
      <c r="F286" s="6"/>
      <c r="G286" s="6"/>
      <c r="H286" s="6"/>
      <c r="I286" s="6"/>
    </row>
    <row r="287" spans="2:9" hidden="1" x14ac:dyDescent="0.3">
      <c r="B287" s="6"/>
      <c r="C287" s="6"/>
      <c r="D287" s="6"/>
      <c r="E287" s="6"/>
      <c r="F287" s="6"/>
      <c r="G287" s="6"/>
      <c r="H287" s="6"/>
      <c r="I287" s="6"/>
    </row>
    <row r="288" spans="2:9" hidden="1" x14ac:dyDescent="0.3">
      <c r="B288" s="6"/>
      <c r="C288" s="6"/>
      <c r="D288" s="6"/>
      <c r="E288" s="6"/>
      <c r="F288" s="6"/>
      <c r="G288" s="6"/>
      <c r="H288" s="6"/>
      <c r="I288" s="6"/>
    </row>
    <row r="289" spans="2:9" hidden="1" x14ac:dyDescent="0.3">
      <c r="B289" s="6"/>
      <c r="C289" s="6"/>
      <c r="D289" s="6"/>
      <c r="E289" s="6"/>
      <c r="F289" s="6"/>
      <c r="G289" s="6"/>
      <c r="H289" s="6"/>
      <c r="I289" s="6"/>
    </row>
    <row r="290" spans="2:9" hidden="1" x14ac:dyDescent="0.3">
      <c r="B290" s="6"/>
      <c r="C290" s="6"/>
      <c r="D290" s="6"/>
      <c r="E290" s="6"/>
      <c r="F290" s="6"/>
      <c r="G290" s="6"/>
      <c r="H290" s="6"/>
      <c r="I290" s="6"/>
    </row>
    <row r="291" spans="2:9" hidden="1" x14ac:dyDescent="0.3">
      <c r="B291" s="6"/>
      <c r="C291" s="6"/>
      <c r="D291" s="6"/>
      <c r="E291" s="6"/>
      <c r="F291" s="6"/>
      <c r="G291" s="6"/>
      <c r="H291" s="6"/>
      <c r="I291" s="6"/>
    </row>
    <row r="292" spans="2:9" hidden="1" x14ac:dyDescent="0.3">
      <c r="B292" s="6"/>
      <c r="C292" s="6"/>
      <c r="D292" s="6"/>
      <c r="E292" s="6"/>
      <c r="F292" s="6"/>
      <c r="G292" s="6"/>
      <c r="H292" s="6"/>
      <c r="I292" s="6"/>
    </row>
    <row r="293" spans="2:9" hidden="1" x14ac:dyDescent="0.3">
      <c r="B293" s="6"/>
      <c r="C293" s="6"/>
      <c r="D293" s="6"/>
      <c r="E293" s="6"/>
      <c r="F293" s="6"/>
      <c r="G293" s="6"/>
      <c r="H293" s="6"/>
      <c r="I293" s="6"/>
    </row>
    <row r="294" spans="2:9" hidden="1" x14ac:dyDescent="0.3">
      <c r="B294" s="6"/>
      <c r="C294" s="6"/>
      <c r="D294" s="6"/>
      <c r="E294" s="6"/>
      <c r="F294" s="6"/>
      <c r="G294" s="6"/>
      <c r="H294" s="6"/>
      <c r="I294" s="6"/>
    </row>
    <row r="295" spans="2:9" hidden="1" x14ac:dyDescent="0.3">
      <c r="B295" s="6"/>
      <c r="C295" s="6"/>
      <c r="D295" s="6"/>
      <c r="E295" s="6"/>
      <c r="F295" s="6"/>
      <c r="G295" s="6"/>
      <c r="H295" s="6"/>
      <c r="I295" s="6"/>
    </row>
    <row r="296" spans="2:9" hidden="1" x14ac:dyDescent="0.3">
      <c r="B296" s="6"/>
      <c r="C296" s="6"/>
      <c r="D296" s="6"/>
      <c r="E296" s="6"/>
      <c r="F296" s="6"/>
      <c r="G296" s="6"/>
      <c r="H296" s="6"/>
      <c r="I296" s="6"/>
    </row>
    <row r="297" spans="2:9" hidden="1" x14ac:dyDescent="0.3">
      <c r="B297" s="6"/>
      <c r="C297" s="6"/>
      <c r="D297" s="6"/>
      <c r="E297" s="6"/>
      <c r="F297" s="6"/>
      <c r="G297" s="6"/>
      <c r="H297" s="6"/>
      <c r="I297" s="6"/>
    </row>
    <row r="298" spans="2:9" hidden="1" x14ac:dyDescent="0.3">
      <c r="B298" s="6"/>
      <c r="C298" s="6"/>
      <c r="D298" s="6"/>
      <c r="E298" s="6"/>
      <c r="F298" s="6"/>
      <c r="G298" s="6"/>
      <c r="H298" s="6"/>
      <c r="I298" s="6"/>
    </row>
    <row r="299" spans="2:9" hidden="1" x14ac:dyDescent="0.3">
      <c r="B299" s="6"/>
      <c r="C299" s="6"/>
      <c r="D299" s="6"/>
      <c r="E299" s="6"/>
      <c r="F299" s="6"/>
      <c r="G299" s="6"/>
      <c r="H299" s="6"/>
      <c r="I299" s="6"/>
    </row>
    <row r="300" spans="2:9" hidden="1" x14ac:dyDescent="0.3">
      <c r="B300" s="6"/>
      <c r="C300" s="6"/>
      <c r="D300" s="6"/>
      <c r="E300" s="6"/>
      <c r="F300" s="6"/>
      <c r="G300" s="6"/>
      <c r="H300" s="6"/>
      <c r="I300" s="6"/>
    </row>
    <row r="301" spans="2:9" hidden="1" x14ac:dyDescent="0.3">
      <c r="B301" s="6"/>
      <c r="C301" s="6"/>
      <c r="D301" s="6"/>
      <c r="E301" s="6"/>
      <c r="F301" s="6"/>
      <c r="G301" s="6"/>
      <c r="H301" s="6"/>
      <c r="I301" s="6"/>
    </row>
    <row r="302" spans="2:9" hidden="1" x14ac:dyDescent="0.3">
      <c r="B302" s="6"/>
      <c r="C302" s="6"/>
      <c r="D302" s="6"/>
      <c r="E302" s="6"/>
      <c r="F302" s="6"/>
      <c r="G302" s="6"/>
      <c r="H302" s="6"/>
      <c r="I302" s="6"/>
    </row>
    <row r="303" spans="2:9" hidden="1" x14ac:dyDescent="0.3">
      <c r="B303" s="6"/>
      <c r="C303" s="6"/>
      <c r="D303" s="6"/>
      <c r="E303" s="6"/>
      <c r="F303" s="6"/>
      <c r="G303" s="6"/>
      <c r="H303" s="6"/>
      <c r="I303" s="6"/>
    </row>
    <row r="304" spans="2:9" hidden="1" x14ac:dyDescent="0.3">
      <c r="B304" s="6"/>
      <c r="C304" s="6"/>
      <c r="D304" s="6"/>
      <c r="E304" s="6"/>
      <c r="F304" s="6"/>
      <c r="G304" s="6"/>
      <c r="H304" s="6"/>
      <c r="I304" s="6"/>
    </row>
    <row r="305" spans="2:9" hidden="1" x14ac:dyDescent="0.3">
      <c r="B305" s="6"/>
      <c r="C305" s="6"/>
      <c r="D305" s="6"/>
      <c r="E305" s="6"/>
      <c r="F305" s="6"/>
      <c r="G305" s="6"/>
      <c r="H305" s="6"/>
      <c r="I305" s="6"/>
    </row>
    <row r="306" spans="2:9" hidden="1" x14ac:dyDescent="0.3">
      <c r="B306" s="6"/>
      <c r="C306" s="6"/>
      <c r="D306" s="6"/>
      <c r="E306" s="6"/>
      <c r="F306" s="6"/>
      <c r="G306" s="6"/>
      <c r="H306" s="6"/>
      <c r="I306" s="6"/>
    </row>
    <row r="307" spans="2:9" hidden="1" x14ac:dyDescent="0.3">
      <c r="B307" s="6"/>
      <c r="C307" s="6"/>
      <c r="D307" s="6"/>
      <c r="E307" s="6"/>
      <c r="F307" s="6"/>
      <c r="G307" s="6"/>
      <c r="H307" s="6"/>
      <c r="I307" s="6"/>
    </row>
    <row r="308" spans="2:9" hidden="1" x14ac:dyDescent="0.3">
      <c r="B308" s="6"/>
      <c r="C308" s="6"/>
      <c r="D308" s="6"/>
      <c r="E308" s="6"/>
      <c r="F308" s="6"/>
      <c r="G308" s="6"/>
      <c r="H308" s="6"/>
      <c r="I308" s="6"/>
    </row>
    <row r="309" spans="2:9" hidden="1" x14ac:dyDescent="0.3">
      <c r="B309" s="6"/>
      <c r="C309" s="6"/>
      <c r="D309" s="6"/>
      <c r="E309" s="6"/>
      <c r="F309" s="6"/>
      <c r="G309" s="6"/>
      <c r="H309" s="6"/>
      <c r="I309" s="6"/>
    </row>
    <row r="310" spans="2:9" hidden="1" x14ac:dyDescent="0.3">
      <c r="B310" s="6"/>
      <c r="C310" s="6"/>
      <c r="D310" s="6"/>
      <c r="E310" s="6"/>
      <c r="F310" s="6"/>
      <c r="G310" s="6"/>
      <c r="H310" s="6"/>
      <c r="I310" s="6"/>
    </row>
    <row r="311" spans="2:9" hidden="1" x14ac:dyDescent="0.3">
      <c r="B311" s="6"/>
      <c r="C311" s="6"/>
      <c r="D311" s="6"/>
      <c r="E311" s="6"/>
      <c r="F311" s="6"/>
      <c r="G311" s="6"/>
      <c r="H311" s="6"/>
      <c r="I311" s="6"/>
    </row>
    <row r="312" spans="2:9" hidden="1" x14ac:dyDescent="0.3">
      <c r="B312" s="6"/>
      <c r="C312" s="6"/>
      <c r="D312" s="6"/>
      <c r="E312" s="6"/>
      <c r="F312" s="6"/>
      <c r="G312" s="6"/>
      <c r="H312" s="6"/>
      <c r="I312" s="6"/>
    </row>
    <row r="313" spans="2:9" hidden="1" x14ac:dyDescent="0.3">
      <c r="B313" s="6"/>
      <c r="C313" s="6"/>
      <c r="D313" s="6"/>
      <c r="E313" s="6"/>
      <c r="F313" s="6"/>
      <c r="G313" s="6"/>
      <c r="H313" s="6"/>
      <c r="I313" s="6"/>
    </row>
    <row r="314" spans="2:9" hidden="1" x14ac:dyDescent="0.3">
      <c r="B314" s="6"/>
      <c r="C314" s="6"/>
      <c r="D314" s="6"/>
      <c r="E314" s="6"/>
      <c r="F314" s="6"/>
      <c r="G314" s="6"/>
      <c r="H314" s="6"/>
      <c r="I314" s="6"/>
    </row>
    <row r="315" spans="2:9" hidden="1" x14ac:dyDescent="0.3">
      <c r="B315" s="6"/>
      <c r="C315" s="6"/>
      <c r="D315" s="6"/>
      <c r="E315" s="6"/>
      <c r="F315" s="6"/>
      <c r="G315" s="6"/>
      <c r="H315" s="6"/>
      <c r="I315" s="6"/>
    </row>
    <row r="316" spans="2:9" hidden="1" x14ac:dyDescent="0.3">
      <c r="B316" s="6"/>
      <c r="C316" s="6"/>
      <c r="D316" s="6"/>
      <c r="E316" s="6"/>
      <c r="F316" s="6"/>
      <c r="G316" s="6"/>
      <c r="H316" s="6"/>
      <c r="I316" s="6"/>
    </row>
    <row r="317" spans="2:9" hidden="1" x14ac:dyDescent="0.3">
      <c r="B317" s="6"/>
      <c r="C317" s="6"/>
      <c r="D317" s="6"/>
      <c r="E317" s="6"/>
      <c r="F317" s="6"/>
      <c r="G317" s="6"/>
      <c r="H317" s="6"/>
      <c r="I317" s="6"/>
    </row>
    <row r="318" spans="2:9" hidden="1" x14ac:dyDescent="0.3">
      <c r="B318" s="6"/>
      <c r="C318" s="6"/>
      <c r="D318" s="6"/>
      <c r="E318" s="6"/>
      <c r="F318" s="6"/>
      <c r="G318" s="6"/>
      <c r="H318" s="6"/>
      <c r="I318" s="6"/>
    </row>
    <row r="319" spans="2:9" hidden="1" x14ac:dyDescent="0.3">
      <c r="B319" s="6"/>
      <c r="C319" s="6"/>
      <c r="D319" s="6"/>
      <c r="E319" s="6"/>
      <c r="F319" s="6"/>
      <c r="G319" s="6"/>
      <c r="H319" s="6"/>
      <c r="I319" s="6"/>
    </row>
    <row r="320" spans="2:9" hidden="1" x14ac:dyDescent="0.3">
      <c r="B320" s="6"/>
      <c r="C320" s="6"/>
      <c r="D320" s="6"/>
      <c r="E320" s="6"/>
      <c r="F320" s="6"/>
      <c r="G320" s="6"/>
      <c r="H320" s="6"/>
      <c r="I320" s="6"/>
    </row>
    <row r="321" spans="2:9" hidden="1" x14ac:dyDescent="0.3">
      <c r="B321" s="6"/>
      <c r="C321" s="6"/>
      <c r="D321" s="6"/>
      <c r="E321" s="6"/>
      <c r="F321" s="6"/>
      <c r="G321" s="6"/>
      <c r="H321" s="6"/>
      <c r="I321" s="6"/>
    </row>
    <row r="322" spans="2:9" hidden="1" x14ac:dyDescent="0.3">
      <c r="B322" s="6"/>
      <c r="C322" s="6"/>
      <c r="D322" s="6"/>
      <c r="E322" s="6"/>
      <c r="F322" s="6"/>
      <c r="G322" s="6"/>
      <c r="H322" s="6"/>
      <c r="I322" s="6"/>
    </row>
    <row r="323" spans="2:9" hidden="1" x14ac:dyDescent="0.3">
      <c r="B323" s="6"/>
      <c r="C323" s="6"/>
      <c r="D323" s="6"/>
      <c r="E323" s="6"/>
      <c r="F323" s="6"/>
      <c r="G323" s="6"/>
      <c r="H323" s="6"/>
      <c r="I323" s="6"/>
    </row>
  </sheetData>
  <sheetProtection algorithmName="SHA-512" hashValue="UbRLFJ3WF5k7gKROosaOj/IbRjr3t0Jw3kwAH60Jfb926AR/1fdiDsZfN6nmekIqbWMOpVMTcnARXGuhrcI1AA==" saltValue="2dvjNZ6Xg6mg4+oWTFxb6g==" spinCount="100000" sheet="1" scenarios="1"/>
  <mergeCells count="13">
    <mergeCell ref="B134:I151"/>
    <mergeCell ref="B95:I107"/>
    <mergeCell ref="B36:I43"/>
    <mergeCell ref="B47:I68"/>
    <mergeCell ref="B34:I35"/>
    <mergeCell ref="D44:G44"/>
    <mergeCell ref="D45:G45"/>
    <mergeCell ref="C14:H16"/>
    <mergeCell ref="B18:I33"/>
    <mergeCell ref="B12:I13"/>
    <mergeCell ref="C3:H3"/>
    <mergeCell ref="C1:H2"/>
    <mergeCell ref="C4:H4"/>
  </mergeCells>
  <phoneticPr fontId="1" type="noConversion"/>
  <pageMargins left="0.23622047244094491" right="0.23622047244094491" top="0.74803149606299213" bottom="0.39370078740157483" header="0.31496062992125984" footer="0.19685039370078741"/>
  <pageSetup paperSize="9" orientation="portrait" r:id="rId1"/>
  <headerFooter differentFirst="1">
    <oddHeader>&amp;CGuide utilisation : carnet sanitaire  taux de traitement</oddHeader>
    <oddFooter>&amp;L
&amp;C&amp;P</oddFooter>
    <firstHeader xml:space="preserve">&amp;C
</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6"/>
  <dimension ref="A1:BA616"/>
  <sheetViews>
    <sheetView showWhiteSpace="0" topLeftCell="A7" zoomScale="115" zoomScaleNormal="115" workbookViewId="0">
      <selection sqref="A1:C7"/>
    </sheetView>
  </sheetViews>
  <sheetFormatPr baseColWidth="10" defaultColWidth="0" defaultRowHeight="14.4" zeroHeight="1" x14ac:dyDescent="0.3"/>
  <cols>
    <col min="1" max="1" width="51.109375" style="259" customWidth="1"/>
    <col min="2" max="2" width="23.88671875" style="260" customWidth="1"/>
    <col min="3" max="3" width="23.5546875" style="260" customWidth="1"/>
    <col min="4" max="6" width="11.44140625" hidden="1" customWidth="1"/>
    <col min="7" max="16384" width="11.44140625" hidden="1"/>
  </cols>
  <sheetData>
    <row r="1" spans="1:53" ht="43.8" x14ac:dyDescent="0.3">
      <c r="A1" s="286" t="s">
        <v>4361</v>
      </c>
      <c r="B1" s="287"/>
      <c r="C1" s="287"/>
      <c r="D1" s="5"/>
    </row>
    <row r="2" spans="1:53" ht="43.8" x14ac:dyDescent="0.3">
      <c r="A2" s="287"/>
      <c r="B2" s="287"/>
      <c r="C2" s="287"/>
      <c r="D2" s="5"/>
    </row>
    <row r="3" spans="1:53" ht="43.8" x14ac:dyDescent="0.3">
      <c r="A3" s="287"/>
      <c r="B3" s="287"/>
      <c r="C3" s="287"/>
      <c r="D3" s="5"/>
    </row>
    <row r="4" spans="1:53" x14ac:dyDescent="0.3">
      <c r="A4" s="287"/>
      <c r="B4" s="287"/>
      <c r="C4" s="287"/>
    </row>
    <row r="5" spans="1:53" x14ac:dyDescent="0.3">
      <c r="A5" s="287"/>
      <c r="B5" s="287"/>
      <c r="C5" s="287"/>
    </row>
    <row r="6" spans="1:53" x14ac:dyDescent="0.3">
      <c r="A6" s="287"/>
      <c r="B6" s="287"/>
      <c r="C6" s="287"/>
    </row>
    <row r="7" spans="1:53" x14ac:dyDescent="0.3">
      <c r="A7" s="287"/>
      <c r="B7" s="287"/>
      <c r="C7" s="287"/>
    </row>
    <row r="8" spans="1:53" x14ac:dyDescent="0.3">
      <c r="A8" s="246"/>
      <c r="B8" s="247"/>
      <c r="C8" s="247"/>
    </row>
    <row r="9" spans="1:53" x14ac:dyDescent="0.3">
      <c r="A9" s="246"/>
      <c r="B9" s="247"/>
      <c r="C9" s="247"/>
    </row>
    <row r="10" spans="1:53" x14ac:dyDescent="0.3">
      <c r="A10" s="246"/>
      <c r="B10" s="247"/>
      <c r="C10" s="247"/>
    </row>
    <row r="11" spans="1:53" x14ac:dyDescent="0.3">
      <c r="A11" s="246"/>
      <c r="B11" s="247"/>
      <c r="C11" s="247"/>
    </row>
    <row r="12" spans="1:53" x14ac:dyDescent="0.3">
      <c r="A12" s="246"/>
      <c r="B12" s="247"/>
      <c r="C12" s="247"/>
    </row>
    <row r="13" spans="1:53" x14ac:dyDescent="0.3">
      <c r="A13" s="248" t="s">
        <v>546</v>
      </c>
      <c r="B13" s="247"/>
      <c r="C13" s="247"/>
    </row>
    <row r="14" spans="1:53" ht="15" thickBot="1" x14ac:dyDescent="0.35">
      <c r="A14" s="246"/>
      <c r="B14" s="247"/>
      <c r="C14" s="247"/>
    </row>
    <row r="15" spans="1:53" ht="15" thickBot="1" x14ac:dyDescent="0.35">
      <c r="A15" s="249" t="s">
        <v>0</v>
      </c>
      <c r="B15" s="250" t="s">
        <v>1</v>
      </c>
      <c r="C15" s="251" t="s">
        <v>31</v>
      </c>
      <c r="E15" s="4"/>
      <c r="F15" s="4"/>
      <c r="G15" s="4"/>
      <c r="H15" s="4"/>
      <c r="I15" s="4"/>
      <c r="J15" s="288"/>
      <c r="K15" s="288"/>
      <c r="L15" s="4"/>
      <c r="M15" s="288"/>
      <c r="N15" s="288"/>
      <c r="O15" s="288"/>
      <c r="P15" s="288"/>
      <c r="Q15" s="4"/>
      <c r="R15" s="4"/>
      <c r="S15" s="4"/>
      <c r="T15" s="288"/>
      <c r="U15" s="288"/>
      <c r="V15" s="288"/>
      <c r="W15" s="4"/>
      <c r="X15" s="288"/>
      <c r="Y15" s="288"/>
      <c r="Z15" s="4"/>
      <c r="AA15" s="4"/>
      <c r="AB15" s="4"/>
      <c r="AC15" s="4"/>
      <c r="AD15" s="4"/>
      <c r="AE15" s="4"/>
      <c r="AF15" s="288"/>
      <c r="AG15" s="288"/>
      <c r="AH15" s="288"/>
      <c r="AI15" s="288"/>
      <c r="AJ15" s="288"/>
      <c r="AK15" s="288"/>
      <c r="AL15" s="288"/>
      <c r="AM15" s="288"/>
      <c r="AN15" s="288"/>
      <c r="AO15" s="288"/>
      <c r="AP15" s="4"/>
      <c r="AQ15" s="4"/>
      <c r="AR15" s="4"/>
      <c r="AS15" s="4"/>
      <c r="AT15" s="4"/>
      <c r="AU15" s="4"/>
      <c r="AV15" s="288"/>
      <c r="AW15" s="288"/>
      <c r="AX15" s="288"/>
      <c r="AY15" s="288"/>
      <c r="AZ15" s="4"/>
      <c r="BA15" s="4"/>
    </row>
    <row r="16" spans="1:53" ht="22.5" customHeight="1" x14ac:dyDescent="0.3">
      <c r="A16" s="252" t="str">
        <f>Données_ATB!BD3</f>
        <v>ACIDE OXOLINIQUE 30 VOLAILLE FRANVET</v>
      </c>
      <c r="B16" s="253" t="str">
        <f ca="1">INDEX(Données_ATB!BD:BP,MATCH(A16,Données_ATB!BD:BD,0),9)</f>
        <v>Acide oxolinique</v>
      </c>
      <c r="C16" s="254" t="str">
        <f ca="1">INDEX(Données_ATB!BD:BP,MATCH(A16,Données_ATB!BD:BD,0),13)</f>
        <v>Quinolones</v>
      </c>
      <c r="D16" t="e">
        <f ca="1">IF(SEARCH("Colistine",B16)&gt;0,"x","")</f>
        <v>#VALUE!</v>
      </c>
      <c r="E16" s="1" t="e">
        <f ca="1">IF(SEARCH("Cephalosporines 3&amp;4G",C16)&gt;0,"x","")</f>
        <v>#VALUE!</v>
      </c>
      <c r="F16" s="1" t="e">
        <f ca="1">IF(SEARCH("Cephalosporines 3&amp;4G",C16)&gt;0,"x","")&amp;IF(SEARCH("Fluoroquinolones",C16)&gt;0,"x","")</f>
        <v>#VALUE!</v>
      </c>
      <c r="G16" s="1"/>
      <c r="H16" s="3"/>
      <c r="I16" s="1"/>
      <c r="J16" s="3"/>
      <c r="K16" s="3"/>
      <c r="L16" s="1"/>
      <c r="M16" s="3"/>
      <c r="N16" s="3"/>
      <c r="O16" s="2"/>
      <c r="P16" s="2"/>
      <c r="Q16" s="1"/>
      <c r="R16" s="3"/>
      <c r="S16" s="1"/>
      <c r="T16" s="3"/>
      <c r="U16" s="3"/>
      <c r="V16" s="3"/>
      <c r="W16" s="3"/>
      <c r="X16" s="3"/>
      <c r="Y16" s="3"/>
      <c r="Z16" s="1"/>
      <c r="AA16" s="1"/>
      <c r="AB16" s="3"/>
      <c r="AC16" s="1"/>
      <c r="AD16" s="3"/>
      <c r="AE16" s="1"/>
      <c r="AF16" s="3"/>
      <c r="AG16" s="3"/>
      <c r="AH16" s="2"/>
      <c r="AI16" s="2"/>
      <c r="AJ16" s="2"/>
      <c r="AK16" s="2"/>
      <c r="AL16" s="3"/>
      <c r="AM16" s="3"/>
      <c r="AN16" s="1"/>
      <c r="AO16" s="3"/>
      <c r="AP16" s="1"/>
      <c r="AQ16" s="1"/>
      <c r="AR16" s="3"/>
      <c r="AS16" s="3"/>
      <c r="AT16" s="1"/>
      <c r="AU16" s="3"/>
      <c r="AV16" s="3"/>
      <c r="AW16" s="1"/>
      <c r="AX16" s="1"/>
      <c r="AY16" s="1"/>
      <c r="AZ16" s="3"/>
      <c r="BA16" s="2"/>
    </row>
    <row r="17" spans="1:53" ht="22.5" customHeight="1" x14ac:dyDescent="0.3">
      <c r="A17" s="255" t="str">
        <f>Données_ATB!BD4</f>
        <v>ACIDE OXOLINIQUE 60 PORC FRANVET</v>
      </c>
      <c r="B17" s="256" t="str">
        <f ca="1">INDEX(Données_ATB!BD:BP,MATCH(A17,Données_ATB!BD:BD,0),9)</f>
        <v>Acide oxolinique</v>
      </c>
      <c r="C17" s="257" t="str">
        <f ca="1">INDEX(Données_ATB!BD:BP,MATCH(A17,Données_ATB!BD:BD,0),13)</f>
        <v>Quinolones</v>
      </c>
      <c r="D17" t="e">
        <f t="shared" ref="D17:D21" ca="1" si="0">IF(SEARCH("Colistine",B17)&gt;0,"x","")</f>
        <v>#VALUE!</v>
      </c>
      <c r="E17" s="1" t="e">
        <f t="shared" ref="E17:E21" ca="1" si="1">IF(SEARCH("Cephalosporines 3&amp;4G",C17)&gt;0,"x","")</f>
        <v>#VALUE!</v>
      </c>
      <c r="F17" s="1" t="e">
        <f t="shared" ref="F17:F21" ca="1" si="2">IF(SEARCH("Cephalosporines 3&amp;4G",C17)&gt;0,"x","")&amp;IF(SEARCH("Fluoroquinolones",C17)&gt;0,"x","")</f>
        <v>#VALUE!</v>
      </c>
      <c r="G17" s="1"/>
      <c r="H17" s="3"/>
      <c r="I17" s="1"/>
      <c r="J17" s="3"/>
      <c r="K17" s="3"/>
      <c r="L17" s="1"/>
      <c r="M17" s="3"/>
      <c r="N17" s="3"/>
      <c r="O17" s="2"/>
      <c r="P17" s="2"/>
      <c r="Q17" s="1"/>
      <c r="R17" s="3"/>
      <c r="S17" s="1"/>
      <c r="T17" s="3"/>
      <c r="U17" s="3"/>
      <c r="V17" s="3"/>
      <c r="W17" s="3"/>
      <c r="X17" s="3"/>
      <c r="Y17" s="3"/>
      <c r="Z17" s="1"/>
      <c r="AA17" s="1"/>
      <c r="AB17" s="3"/>
      <c r="AC17" s="1"/>
      <c r="AD17" s="3"/>
      <c r="AE17" s="1"/>
      <c r="AF17" s="3"/>
      <c r="AG17" s="3"/>
      <c r="AH17" s="2"/>
      <c r="AI17" s="2"/>
      <c r="AJ17" s="2"/>
      <c r="AK17" s="2"/>
      <c r="AL17" s="3"/>
      <c r="AM17" s="3"/>
      <c r="AN17" s="1"/>
      <c r="AO17" s="3"/>
      <c r="AP17" s="1"/>
      <c r="AQ17" s="1"/>
      <c r="AR17" s="3"/>
      <c r="AS17" s="3"/>
      <c r="AT17" s="1"/>
      <c r="AU17" s="3"/>
      <c r="AV17" s="3"/>
      <c r="AW17" s="1"/>
      <c r="AX17" s="1"/>
      <c r="AY17" s="1"/>
      <c r="AZ17" s="3"/>
      <c r="BA17" s="2"/>
    </row>
    <row r="18" spans="1:53" ht="22.5" customHeight="1" x14ac:dyDescent="0.3">
      <c r="A18" s="255" t="str">
        <f>Données_ATB!BD5</f>
        <v>ACTI COLI 2 MUI/ML</v>
      </c>
      <c r="B18" s="256" t="str">
        <f ca="1">INDEX(Données_ATB!BD:BP,MATCH(A18,Données_ATB!BD:BD,0),9)</f>
        <v>Colistine</v>
      </c>
      <c r="C18" s="257" t="str">
        <f ca="1">INDEX(Données_ATB!BD:BP,MATCH(A18,Données_ATB!BD:BD,0),13)</f>
        <v>Polypeptides</v>
      </c>
      <c r="D18" t="str">
        <f t="shared" ca="1" si="0"/>
        <v>x</v>
      </c>
      <c r="E18" s="1" t="e">
        <f t="shared" ca="1" si="1"/>
        <v>#VALUE!</v>
      </c>
      <c r="F18" s="1" t="e">
        <f t="shared" ca="1" si="2"/>
        <v>#VALUE!</v>
      </c>
      <c r="G18" s="1"/>
    </row>
    <row r="19" spans="1:53" ht="22.5" customHeight="1" x14ac:dyDescent="0.3">
      <c r="A19" s="255" t="str">
        <f>Données_ATB!BD6</f>
        <v>ACTI COLI B</v>
      </c>
      <c r="B19" s="256" t="str">
        <f ca="1">INDEX(Données_ATB!BD:BP,MATCH(A19,Données_ATB!BD:BD,0),9)</f>
        <v>Colistine</v>
      </c>
      <c r="C19" s="257" t="str">
        <f ca="1">INDEX(Données_ATB!BD:BP,MATCH(A19,Données_ATB!BD:BD,0),13)</f>
        <v>Polypeptides</v>
      </c>
      <c r="D19" t="str">
        <f t="shared" ca="1" si="0"/>
        <v>x</v>
      </c>
      <c r="E19" s="1" t="e">
        <f t="shared" ca="1" si="1"/>
        <v>#VALUE!</v>
      </c>
      <c r="F19" s="1" t="e">
        <f t="shared" ca="1" si="2"/>
        <v>#VALUE!</v>
      </c>
      <c r="G19" s="1"/>
    </row>
    <row r="20" spans="1:53" ht="22.5" customHeight="1" x14ac:dyDescent="0.3">
      <c r="A20" s="255" t="str">
        <f>Données_ATB!BD7</f>
        <v>ACTI DOXY 5</v>
      </c>
      <c r="B20" s="256" t="str">
        <f ca="1">INDEX(Données_ATB!BD:BP,MATCH(A20,Données_ATB!BD:BD,0),9)</f>
        <v>Doxycycline</v>
      </c>
      <c r="C20" s="257" t="str">
        <f ca="1">INDEX(Données_ATB!BD:BP,MATCH(A20,Données_ATB!BD:BD,0),13)</f>
        <v>Tetracyclines</v>
      </c>
      <c r="D20" t="e">
        <f t="shared" ca="1" si="0"/>
        <v>#VALUE!</v>
      </c>
      <c r="E20" s="1" t="e">
        <f t="shared" ca="1" si="1"/>
        <v>#VALUE!</v>
      </c>
      <c r="F20" s="1" t="e">
        <f t="shared" ca="1" si="2"/>
        <v>#VALUE!</v>
      </c>
      <c r="G20" s="1"/>
    </row>
    <row r="21" spans="1:53" ht="22.5" customHeight="1" x14ac:dyDescent="0.3">
      <c r="A21" s="255" t="str">
        <f>Données_ATB!BD8</f>
        <v>ACTI-METHOXINE</v>
      </c>
      <c r="B21" s="256" t="str">
        <f ca="1">INDEX(Données_ATB!BD:BP,MATCH(A21,Données_ATB!BD:BD,0),9)</f>
        <v>Sulfadiméthoxine</v>
      </c>
      <c r="C21" s="257" t="str">
        <f ca="1">INDEX(Données_ATB!BD:BP,MATCH(A21,Données_ATB!BD:BD,0),13)</f>
        <v>Sulfamides</v>
      </c>
      <c r="D21" t="e">
        <f t="shared" ca="1" si="0"/>
        <v>#VALUE!</v>
      </c>
      <c r="E21" s="1" t="e">
        <f t="shared" ca="1" si="1"/>
        <v>#VALUE!</v>
      </c>
      <c r="F21" s="1" t="e">
        <f t="shared" ca="1" si="2"/>
        <v>#VALUE!</v>
      </c>
      <c r="G21" s="1"/>
    </row>
    <row r="22" spans="1:53" ht="22.5" customHeight="1" x14ac:dyDescent="0.3">
      <c r="A22" s="255" t="str">
        <f>Données_ATB!BD9</f>
        <v>ACTIONIS 50 MG/ML SUSPENSION INJECTABLE POUR PORCINS ET BOVINS</v>
      </c>
      <c r="B22" s="256" t="str">
        <f ca="1">INDEX(Données_ATB!BD:BP,MATCH(A22,Données_ATB!BD:BD,0),9)</f>
        <v>Ceftiofur</v>
      </c>
      <c r="C22" s="257" t="str">
        <f ca="1">INDEX(Données_ATB!BD:BP,MATCH(A22,Données_ATB!BD:BD,0),13)</f>
        <v>Cephalosporines 3&amp;4G</v>
      </c>
      <c r="D22" t="e">
        <f ca="1">IF(SEARCH("Colistine",B22)&gt;0,"x","")</f>
        <v>#VALUE!</v>
      </c>
      <c r="E22" s="1" t="str">
        <f ca="1">IF(SEARCH("Cephalosporines 3&amp;4G",C22)&gt;0,"x","")</f>
        <v>x</v>
      </c>
      <c r="F22" s="1" t="e">
        <f ca="1">IF(SEARCH("Cephalosporines 3&amp;4G",C22)&gt;0,"x","")&amp;IF(SEARCH("Fluoroquinolones",C22)&gt;0,"x","")</f>
        <v>#VALUE!</v>
      </c>
    </row>
    <row r="23" spans="1:53" ht="22.5" customHeight="1" x14ac:dyDescent="0.3">
      <c r="A23" s="255" t="str">
        <f>Données_ATB!BD10</f>
        <v>ACTI-STREPTO</v>
      </c>
      <c r="B23" s="256" t="str">
        <f ca="1">INDEX(Données_ATB!BD:BP,MATCH(A23,Données_ATB!BD:BD,0),9)</f>
        <v>Dihydrostreptomycine</v>
      </c>
      <c r="C23" s="257" t="str">
        <f ca="1">INDEX(Données_ATB!BD:BP,MATCH(A23,Données_ATB!BD:BD,0),13)</f>
        <v>Aminoglycosides</v>
      </c>
      <c r="D23" t="e">
        <f t="shared" ref="D23:D86" ca="1" si="3">IF(SEARCH("Colistine",B23)&gt;0,"x","")</f>
        <v>#VALUE!</v>
      </c>
      <c r="E23" s="1" t="e">
        <f t="shared" ref="E23:E86" ca="1" si="4">IF(SEARCH("Cephalosporines 3&amp;4G",C23)&gt;0,"x","")</f>
        <v>#VALUE!</v>
      </c>
      <c r="F23" s="1" t="e">
        <f t="shared" ref="F23:F86" ca="1" si="5">IF(SEARCH("Cephalosporines 3&amp;4G",C23)&gt;0,"x","")&amp;IF(SEARCH("Fluoroquinolones",C23)&gt;0,"x","")</f>
        <v>#VALUE!</v>
      </c>
    </row>
    <row r="24" spans="1:53" ht="22.5" customHeight="1" x14ac:dyDescent="0.3">
      <c r="A24" s="255" t="str">
        <f>Données_ATB!BD11</f>
        <v>ACTI-TETRA B</v>
      </c>
      <c r="B24" s="256" t="str">
        <f ca="1">INDEX(Données_ATB!BD:BP,MATCH(A24,Données_ATB!BD:BD,0),9)</f>
        <v>Oxytétracycline</v>
      </c>
      <c r="C24" s="257" t="str">
        <f ca="1">INDEX(Données_ATB!BD:BP,MATCH(A24,Données_ATB!BD:BD,0),13)</f>
        <v>Tetracyclines</v>
      </c>
      <c r="D24" t="e">
        <f t="shared" ca="1" si="3"/>
        <v>#VALUE!</v>
      </c>
      <c r="E24" s="1" t="e">
        <f t="shared" ca="1" si="4"/>
        <v>#VALUE!</v>
      </c>
      <c r="F24" s="1" t="e">
        <f t="shared" ca="1" si="5"/>
        <v>#VALUE!</v>
      </c>
    </row>
    <row r="25" spans="1:53" ht="22.5" customHeight="1" x14ac:dyDescent="0.3">
      <c r="A25" s="255" t="str">
        <f>Données_ATB!BD12</f>
        <v>ACTI-TETRA I</v>
      </c>
      <c r="B25" s="256" t="str">
        <f ca="1">INDEX(Données_ATB!BD:BP,MATCH(A25,Données_ATB!BD:BD,0),9)</f>
        <v>Oxytétracycline</v>
      </c>
      <c r="C25" s="257" t="str">
        <f ca="1">INDEX(Données_ATB!BD:BP,MATCH(A25,Données_ATB!BD:BD,0),13)</f>
        <v>Tetracyclines</v>
      </c>
      <c r="D25" t="e">
        <f t="shared" ca="1" si="3"/>
        <v>#VALUE!</v>
      </c>
      <c r="E25" s="1" t="e">
        <f t="shared" ca="1" si="4"/>
        <v>#VALUE!</v>
      </c>
      <c r="F25" s="1" t="e">
        <f t="shared" ca="1" si="5"/>
        <v>#VALUE!</v>
      </c>
    </row>
    <row r="26" spans="1:53" ht="22.5" customHeight="1" x14ac:dyDescent="0.3">
      <c r="A26" s="255" t="str">
        <f>Données_ATB!BD13</f>
        <v>ADJUSOL TMP SULFA LIQUIDE 16,65 MG/ML + 83,35 MG/ML SOLUTION POUR ADMINISTRATION DANS L’EAU DE BOISSON/LAIT</v>
      </c>
      <c r="B26" s="256" t="str">
        <f ca="1">INDEX(Données_ATB!BD:BP,MATCH(A26,Données_ATB!BD:BD,0),9)</f>
        <v>Sulfadiazine + Triméthoprime</v>
      </c>
      <c r="C26" s="257" t="str">
        <f ca="1">INDEX(Données_ATB!BD:BP,MATCH(A26,Données_ATB!BD:BD,0),13)</f>
        <v>Sulfamides + Trimethoprime</v>
      </c>
      <c r="D26" t="e">
        <f t="shared" ca="1" si="3"/>
        <v>#VALUE!</v>
      </c>
      <c r="E26" s="1" t="e">
        <f t="shared" ca="1" si="4"/>
        <v>#VALUE!</v>
      </c>
      <c r="F26" s="1" t="e">
        <f t="shared" ca="1" si="5"/>
        <v>#VALUE!</v>
      </c>
    </row>
    <row r="27" spans="1:53" ht="22.5" customHeight="1" x14ac:dyDescent="0.3">
      <c r="A27" s="255" t="str">
        <f>Données_ATB!BD14</f>
        <v>ADVOCINE 180, 180 MG/ML, SOLUTION INJECTABLE POUR BOVINS</v>
      </c>
      <c r="B27" s="256" t="str">
        <f ca="1">INDEX(Données_ATB!BD:BP,MATCH(A27,Données_ATB!BD:BD,0),9)</f>
        <v>Danofloxacine</v>
      </c>
      <c r="C27" s="257" t="str">
        <f ca="1">INDEX(Données_ATB!BD:BP,MATCH(A27,Données_ATB!BD:BD,0),13)</f>
        <v>Fluoroquinolones</v>
      </c>
      <c r="D27" t="e">
        <f t="shared" ca="1" si="3"/>
        <v>#VALUE!</v>
      </c>
      <c r="E27" s="1" t="e">
        <f t="shared" ca="1" si="4"/>
        <v>#VALUE!</v>
      </c>
      <c r="F27" s="1" t="e">
        <f t="shared" ca="1" si="5"/>
        <v>#VALUE!</v>
      </c>
    </row>
    <row r="28" spans="1:53" ht="22.5" customHeight="1" x14ac:dyDescent="0.3">
      <c r="A28" s="255" t="str">
        <f>Données_ATB!BD15</f>
        <v>ADVOCINE 25</v>
      </c>
      <c r="B28" s="256" t="str">
        <f ca="1">INDEX(Données_ATB!BD:BP,MATCH(A28,Données_ATB!BD:BD,0),9)</f>
        <v>Danofloxacine</v>
      </c>
      <c r="C28" s="257" t="str">
        <f ca="1">INDEX(Données_ATB!BD:BP,MATCH(A28,Données_ATB!BD:BD,0),13)</f>
        <v>Fluoroquinolones</v>
      </c>
      <c r="D28" t="e">
        <f t="shared" ca="1" si="3"/>
        <v>#VALUE!</v>
      </c>
      <c r="E28" s="1" t="e">
        <f t="shared" ca="1" si="4"/>
        <v>#VALUE!</v>
      </c>
      <c r="F28" s="1" t="e">
        <f t="shared" ca="1" si="5"/>
        <v>#VALUE!</v>
      </c>
    </row>
    <row r="29" spans="1:53" ht="22.5" customHeight="1" x14ac:dyDescent="0.3">
      <c r="A29" s="255" t="str">
        <f>Données_ATB!BD16</f>
        <v>AIVLOSIN 42,5 MG/G POUDRE ORALE POUR PORCS</v>
      </c>
      <c r="B29" s="256" t="str">
        <f ca="1">INDEX(Données_ATB!BD:BP,MATCH(A29,Données_ATB!BD:BD,0),9)</f>
        <v>Tylvalosine</v>
      </c>
      <c r="C29" s="257" t="str">
        <f ca="1">INDEX(Données_ATB!BD:BP,MATCH(A29,Données_ATB!BD:BD,0),13)</f>
        <v>Macrolides</v>
      </c>
      <c r="D29" t="e">
        <f t="shared" ca="1" si="3"/>
        <v>#VALUE!</v>
      </c>
      <c r="E29" s="1" t="e">
        <f t="shared" ca="1" si="4"/>
        <v>#VALUE!</v>
      </c>
      <c r="F29" s="1" t="e">
        <f t="shared" ca="1" si="5"/>
        <v>#VALUE!</v>
      </c>
    </row>
    <row r="30" spans="1:53" ht="22.5" customHeight="1" x14ac:dyDescent="0.3">
      <c r="A30" s="255" t="str">
        <f>Données_ATB!BD17</f>
        <v>AIVLOSIN 42,5 MG/G PREMELANGE MEDICAMENTEUX POUR PORCS</v>
      </c>
      <c r="B30" s="256" t="str">
        <f ca="1">INDEX(Données_ATB!BD:BP,MATCH(A30,Données_ATB!BD:BD,0),9)</f>
        <v>Tylvalosine</v>
      </c>
      <c r="C30" s="257" t="str">
        <f ca="1">INDEX(Données_ATB!BD:BP,MATCH(A30,Données_ATB!BD:BD,0),13)</f>
        <v>Macrolides</v>
      </c>
      <c r="D30" t="e">
        <f t="shared" ca="1" si="3"/>
        <v>#VALUE!</v>
      </c>
      <c r="E30" s="1" t="e">
        <f t="shared" ca="1" si="4"/>
        <v>#VALUE!</v>
      </c>
      <c r="F30" s="1" t="e">
        <f t="shared" ca="1" si="5"/>
        <v>#VALUE!</v>
      </c>
    </row>
    <row r="31" spans="1:53" ht="22.5" customHeight="1" x14ac:dyDescent="0.3">
      <c r="A31" s="255" t="str">
        <f>Données_ATB!BD18</f>
        <v>AIVLOSIN 625 MG/G GRANULES POUR ADMINISTRATION DANS L'EAU DE BOISSON POUR FAISANS</v>
      </c>
      <c r="B31" s="256" t="str">
        <f ca="1">INDEX(Données_ATB!BD:BP,MATCH(A31,Données_ATB!BD:BD,0),9)</f>
        <v>Tylvalosine</v>
      </c>
      <c r="C31" s="257" t="str">
        <f ca="1">INDEX(Données_ATB!BD:BP,MATCH(A31,Données_ATB!BD:BD,0),13)</f>
        <v>Macrolides</v>
      </c>
      <c r="D31" t="e">
        <f t="shared" ca="1" si="3"/>
        <v>#VALUE!</v>
      </c>
      <c r="E31" s="1" t="e">
        <f t="shared" ca="1" si="4"/>
        <v>#VALUE!</v>
      </c>
      <c r="F31" s="1" t="e">
        <f t="shared" ca="1" si="5"/>
        <v>#VALUE!</v>
      </c>
    </row>
    <row r="32" spans="1:53" ht="22.5" customHeight="1" x14ac:dyDescent="0.3">
      <c r="A32" s="255" t="str">
        <f>Données_ATB!BD19</f>
        <v>AIVLOSIN 625 MG/G GRANULES POUR EAU DE BOISSON POUR POULETS/DINDONS</v>
      </c>
      <c r="B32" s="256" t="str">
        <f ca="1">INDEX(Données_ATB!BD:BP,MATCH(A32,Données_ATB!BD:BD,0),9)</f>
        <v>Tylvalosine</v>
      </c>
      <c r="C32" s="257" t="str">
        <f ca="1">INDEX(Données_ATB!BD:BP,MATCH(A32,Données_ATB!BD:BD,0),13)</f>
        <v>Macrolides</v>
      </c>
      <c r="D32" t="e">
        <f t="shared" ca="1" si="3"/>
        <v>#VALUE!</v>
      </c>
      <c r="E32" s="1" t="e">
        <f t="shared" ca="1" si="4"/>
        <v>#VALUE!</v>
      </c>
      <c r="F32" s="1" t="e">
        <f t="shared" ca="1" si="5"/>
        <v>#VALUE!</v>
      </c>
    </row>
    <row r="33" spans="1:6" ht="22.5" customHeight="1" x14ac:dyDescent="0.3">
      <c r="A33" s="255" t="str">
        <f>Données_ATB!BD20</f>
        <v>AIVLOSIN 625 MG/G GRANULES POUR L'EAU DE BOISSON POUR PORCS</v>
      </c>
      <c r="B33" s="256" t="str">
        <f ca="1">INDEX(Données_ATB!BD:BP,MATCH(A33,Données_ATB!BD:BD,0),9)</f>
        <v>Tylvalosine</v>
      </c>
      <c r="C33" s="257" t="str">
        <f ca="1">INDEX(Données_ATB!BD:BP,MATCH(A33,Données_ATB!BD:BD,0),13)</f>
        <v>Macrolides</v>
      </c>
      <c r="D33" t="e">
        <f t="shared" ca="1" si="3"/>
        <v>#VALUE!</v>
      </c>
      <c r="E33" s="1" t="e">
        <f t="shared" ca="1" si="4"/>
        <v>#VALUE!</v>
      </c>
      <c r="F33" s="1" t="e">
        <f t="shared" ca="1" si="5"/>
        <v>#VALUE!</v>
      </c>
    </row>
    <row r="34" spans="1:6" ht="22.5" customHeight="1" x14ac:dyDescent="0.3">
      <c r="A34" s="255" t="str">
        <f>Données_ATB!BD21</f>
        <v>AIVLOSIN 8,5 MG/G PREMELANGE MEDICAMENTEUX POUR PORCS</v>
      </c>
      <c r="B34" s="256" t="str">
        <f ca="1">INDEX(Données_ATB!BD:BP,MATCH(A34,Données_ATB!BD:BD,0),9)</f>
        <v>Tylvalosine</v>
      </c>
      <c r="C34" s="257" t="str">
        <f ca="1">INDEX(Données_ATB!BD:BP,MATCH(A34,Données_ATB!BD:BD,0),13)</f>
        <v>Macrolides</v>
      </c>
      <c r="D34" t="e">
        <f t="shared" ca="1" si="3"/>
        <v>#VALUE!</v>
      </c>
      <c r="E34" s="1" t="e">
        <f t="shared" ca="1" si="4"/>
        <v>#VALUE!</v>
      </c>
      <c r="F34" s="1" t="e">
        <f t="shared" ca="1" si="5"/>
        <v>#VALUE!</v>
      </c>
    </row>
    <row r="35" spans="1:6" ht="22.5" customHeight="1" x14ac:dyDescent="0.3">
      <c r="A35" s="255" t="str">
        <f>Données_ATB!BD22</f>
        <v>ALBIOTIC 330 MG /100 MG SOLUTION INTRAMAMMAIRE</v>
      </c>
      <c r="B35" s="256" t="str">
        <f ca="1">INDEX(Données_ATB!BD:BP,MATCH(A35,Données_ATB!BD:BD,0),9)</f>
        <v>Lincomycine + Néomycine</v>
      </c>
      <c r="C35" s="257" t="str">
        <f ca="1">INDEX(Données_ATB!BD:BP,MATCH(A35,Données_ATB!BD:BD,0),13)</f>
        <v>Lincosamides + Aminoglycosides</v>
      </c>
      <c r="D35" t="e">
        <f t="shared" ca="1" si="3"/>
        <v>#VALUE!</v>
      </c>
      <c r="E35" s="1" t="e">
        <f t="shared" ca="1" si="4"/>
        <v>#VALUE!</v>
      </c>
      <c r="F35" s="1" t="e">
        <f t="shared" ca="1" si="5"/>
        <v>#VALUE!</v>
      </c>
    </row>
    <row r="36" spans="1:6" ht="22.5" customHeight="1" x14ac:dyDescent="0.3">
      <c r="A36" s="255" t="str">
        <f>Données_ATB!BD23</f>
        <v>ALLEGROCINE</v>
      </c>
      <c r="B36" s="256" t="str">
        <f ca="1">INDEX(Données_ATB!BD:BP,MATCH(A36,Données_ATB!BD:BD,0),9)</f>
        <v>Ampicilline + Colistine</v>
      </c>
      <c r="C36" s="257" t="str">
        <f ca="1">INDEX(Données_ATB!BD:BP,MATCH(A36,Données_ATB!BD:BD,0),13)</f>
        <v>Penicillines + Polypeptides</v>
      </c>
      <c r="D36" t="str">
        <f t="shared" ca="1" si="3"/>
        <v>x</v>
      </c>
      <c r="E36" s="1" t="e">
        <f t="shared" ca="1" si="4"/>
        <v>#VALUE!</v>
      </c>
      <c r="F36" s="1" t="e">
        <f t="shared" ca="1" si="5"/>
        <v>#VALUE!</v>
      </c>
    </row>
    <row r="37" spans="1:6" ht="22.5" customHeight="1" x14ac:dyDescent="0.3">
      <c r="A37" s="255" t="str">
        <f>Données_ATB!BD24</f>
        <v>ALTIDOX 433 MG/G POUDRE POUR ADMINISTRATION DANS L'EAU DE BOISSON POUR PORCS, POULES ET DINDES</v>
      </c>
      <c r="B37" s="256" t="str">
        <f ca="1">INDEX(Données_ATB!BD:BP,MATCH(A37,Données_ATB!BD:BD,0),9)</f>
        <v>Doxycycline</v>
      </c>
      <c r="C37" s="257" t="str">
        <f ca="1">INDEX(Données_ATB!BD:BP,MATCH(A37,Données_ATB!BD:BD,0),13)</f>
        <v>Tetracyclines</v>
      </c>
      <c r="D37" t="e">
        <f t="shared" ca="1" si="3"/>
        <v>#VALUE!</v>
      </c>
      <c r="E37" s="1" t="e">
        <f t="shared" ca="1" si="4"/>
        <v>#VALUE!</v>
      </c>
      <c r="F37" s="1" t="e">
        <f t="shared" ca="1" si="5"/>
        <v>#VALUE!</v>
      </c>
    </row>
    <row r="38" spans="1:6" ht="22.5" customHeight="1" x14ac:dyDescent="0.3">
      <c r="A38" s="255" t="str">
        <f>Données_ATB!BD25</f>
        <v>AMATIB 697 MG/G POUDRE ORALE POUR PORCS ET POULES</v>
      </c>
      <c r="B38" s="256" t="str">
        <f ca="1">INDEX(Données_ATB!BD:BP,MATCH(A38,Données_ATB!BD:BD,0),9)</f>
        <v>Amoxicilline</v>
      </c>
      <c r="C38" s="257" t="str">
        <f ca="1">INDEX(Données_ATB!BD:BP,MATCH(A38,Données_ATB!BD:BD,0),13)</f>
        <v>Penicillines</v>
      </c>
      <c r="D38" t="e">
        <f t="shared" ca="1" si="3"/>
        <v>#VALUE!</v>
      </c>
      <c r="E38" s="1" t="e">
        <f t="shared" ca="1" si="4"/>
        <v>#VALUE!</v>
      </c>
      <c r="F38" s="1" t="e">
        <f t="shared" ca="1" si="5"/>
        <v>#VALUE!</v>
      </c>
    </row>
    <row r="39" spans="1:6" ht="22.5" customHeight="1" x14ac:dyDescent="0.3">
      <c r="A39" s="255" t="str">
        <f>Données_ATB!BD26</f>
        <v>AMDOCYL 697 MG/G POUDRE ORALE POUR PORCS ET POULETS</v>
      </c>
      <c r="B39" s="256" t="str">
        <f ca="1">INDEX(Données_ATB!BD:BP,MATCH(A39,Données_ATB!BD:BD,0),9)</f>
        <v>Amoxicilline</v>
      </c>
      <c r="C39" s="257" t="str">
        <f ca="1">INDEX(Données_ATB!BD:BP,MATCH(A39,Données_ATB!BD:BD,0),13)</f>
        <v>Penicillines</v>
      </c>
      <c r="D39" t="e">
        <f t="shared" ca="1" si="3"/>
        <v>#VALUE!</v>
      </c>
      <c r="E39" s="1" t="e">
        <f t="shared" ca="1" si="4"/>
        <v>#VALUE!</v>
      </c>
      <c r="F39" s="1" t="e">
        <f t="shared" ca="1" si="5"/>
        <v>#VALUE!</v>
      </c>
    </row>
    <row r="40" spans="1:6" ht="22.5" customHeight="1" x14ac:dyDescent="0.3">
      <c r="A40" s="255" t="str">
        <f>Données_ATB!BD27</f>
        <v>AMDOCYL CTD 697 MG/G POUDRE POUR ADMINISTRATION DANS L'EAU DE BOISSON POUR POULES, DINDES ET CANARDS</v>
      </c>
      <c r="B40" s="256" t="str">
        <f ca="1">INDEX(Données_ATB!BD:BP,MATCH(A40,Données_ATB!BD:BD,0),9)</f>
        <v>Amoxicilline</v>
      </c>
      <c r="C40" s="257" t="str">
        <f ca="1">INDEX(Données_ATB!BD:BP,MATCH(A40,Données_ATB!BD:BD,0),13)</f>
        <v>Penicillines</v>
      </c>
      <c r="D40" t="e">
        <f t="shared" ca="1" si="3"/>
        <v>#VALUE!</v>
      </c>
      <c r="E40" s="1" t="e">
        <f t="shared" ca="1" si="4"/>
        <v>#VALUE!</v>
      </c>
      <c r="F40" s="1" t="e">
        <f t="shared" ca="1" si="5"/>
        <v>#VALUE!</v>
      </c>
    </row>
    <row r="41" spans="1:6" ht="22.5" customHeight="1" x14ac:dyDescent="0.3">
      <c r="A41" s="255" t="str">
        <f>Données_ATB!BD28</f>
        <v>AMIDURENE</v>
      </c>
      <c r="B41" s="256" t="str">
        <f ca="1">INDEX(Données_ATB!BD:BP,MATCH(A41,Données_ATB!BD:BD,0),9)</f>
        <v>Sulfadiméthoxine</v>
      </c>
      <c r="C41" s="257" t="str">
        <f ca="1">INDEX(Données_ATB!BD:BP,MATCH(A41,Données_ATB!BD:BD,0),13)</f>
        <v>Sulfamides</v>
      </c>
      <c r="D41" t="e">
        <f t="shared" ca="1" si="3"/>
        <v>#VALUE!</v>
      </c>
      <c r="E41" s="1" t="e">
        <f t="shared" ca="1" si="4"/>
        <v>#VALUE!</v>
      </c>
      <c r="F41" s="1" t="e">
        <f t="shared" ca="1" si="5"/>
        <v>#VALUE!</v>
      </c>
    </row>
    <row r="42" spans="1:6" ht="22.5" customHeight="1" x14ac:dyDescent="0.3">
      <c r="A42" s="255" t="str">
        <f>Données_ATB!BD29</f>
        <v>AMOXICILLINE CALIER GLOBULIT 50 MG/G PREMELANGE MEDICAMENTEUX</v>
      </c>
      <c r="B42" s="256" t="str">
        <f ca="1">INDEX(Données_ATB!BD:BP,MATCH(A42,Données_ATB!BD:BD,0),9)</f>
        <v>Amoxicilline</v>
      </c>
      <c r="C42" s="257" t="str">
        <f ca="1">INDEX(Données_ATB!BD:BP,MATCH(A42,Données_ATB!BD:BD,0),13)</f>
        <v>Penicillines</v>
      </c>
      <c r="D42" t="e">
        <f t="shared" ca="1" si="3"/>
        <v>#VALUE!</v>
      </c>
      <c r="E42" s="1" t="e">
        <f t="shared" ca="1" si="4"/>
        <v>#VALUE!</v>
      </c>
      <c r="F42" s="1" t="e">
        <f t="shared" ca="1" si="5"/>
        <v>#VALUE!</v>
      </c>
    </row>
    <row r="43" spans="1:6" ht="22.5" customHeight="1" x14ac:dyDescent="0.3">
      <c r="A43" s="255" t="str">
        <f>Données_ATB!BD30</f>
        <v>AMOXICILLINE GLOBAL VET HEALTH 436 MG/G POUDRE POUR ADMINISTRATION DANS L'EAU DE BOISSON POUR POULES DINDES CANARDS ET PORCINS</v>
      </c>
      <c r="B43" s="256" t="str">
        <f ca="1">INDEX(Données_ATB!BD:BP,MATCH(A43,Données_ATB!BD:BD,0),9)</f>
        <v>Amoxicilline</v>
      </c>
      <c r="C43" s="257" t="str">
        <f ca="1">INDEX(Données_ATB!BD:BP,MATCH(A43,Données_ATB!BD:BD,0),13)</f>
        <v>Penicillines</v>
      </c>
      <c r="D43" t="e">
        <f t="shared" ca="1" si="3"/>
        <v>#VALUE!</v>
      </c>
      <c r="E43" s="1" t="e">
        <f t="shared" ca="1" si="4"/>
        <v>#VALUE!</v>
      </c>
      <c r="F43" s="1" t="e">
        <f t="shared" ca="1" si="5"/>
        <v>#VALUE!</v>
      </c>
    </row>
    <row r="44" spans="1:6" ht="22.5" customHeight="1" x14ac:dyDescent="0.3">
      <c r="A44" s="255" t="str">
        <f>Données_ATB!BD31</f>
        <v>AMOXIPRO 10 % POUDRE POUR ADMINISTRATION DANS L’EAU DE BOISSON/ LE LAIT VEAU PORC POULET CANARD DINDE</v>
      </c>
      <c r="B44" s="256" t="str">
        <f ca="1">INDEX(Données_ATB!BD:BP,MATCH(A44,Données_ATB!BD:BD,0),9)</f>
        <v>Amoxicilline</v>
      </c>
      <c r="C44" s="257" t="str">
        <f ca="1">INDEX(Données_ATB!BD:BP,MATCH(A44,Données_ATB!BD:BD,0),13)</f>
        <v>Penicillines</v>
      </c>
      <c r="D44" t="e">
        <f t="shared" ca="1" si="3"/>
        <v>#VALUE!</v>
      </c>
      <c r="E44" s="1" t="e">
        <f t="shared" ca="1" si="4"/>
        <v>#VALUE!</v>
      </c>
      <c r="F44" s="1" t="e">
        <f t="shared" ca="1" si="5"/>
        <v>#VALUE!</v>
      </c>
    </row>
    <row r="45" spans="1:6" ht="22.5" customHeight="1" x14ac:dyDescent="0.3">
      <c r="A45" s="255" t="str">
        <f>Données_ATB!BD32</f>
        <v>AMOXIPRO INJECTABLE</v>
      </c>
      <c r="B45" s="256" t="str">
        <f ca="1">INDEX(Données_ATB!BD:BP,MATCH(A45,Données_ATB!BD:BD,0),9)</f>
        <v>Amoxicilline</v>
      </c>
      <c r="C45" s="257" t="str">
        <f ca="1">INDEX(Données_ATB!BD:BP,MATCH(A45,Données_ATB!BD:BD,0),13)</f>
        <v>Penicillines</v>
      </c>
      <c r="D45" t="e">
        <f t="shared" ca="1" si="3"/>
        <v>#VALUE!</v>
      </c>
      <c r="E45" s="1" t="e">
        <f t="shared" ca="1" si="4"/>
        <v>#VALUE!</v>
      </c>
      <c r="F45" s="1" t="e">
        <f t="shared" ca="1" si="5"/>
        <v>#VALUE!</v>
      </c>
    </row>
    <row r="46" spans="1:6" ht="22.5" customHeight="1" x14ac:dyDescent="0.3">
      <c r="A46" s="255" t="str">
        <f>Données_ATB!BD33</f>
        <v>AMOXIVAL 20 % POUDRE ORALE VOLAILLE</v>
      </c>
      <c r="B46" s="256" t="str">
        <f ca="1">INDEX(Données_ATB!BD:BP,MATCH(A46,Données_ATB!BD:BD,0),9)</f>
        <v>Amoxicilline</v>
      </c>
      <c r="C46" s="257" t="str">
        <f ca="1">INDEX(Données_ATB!BD:BP,MATCH(A46,Données_ATB!BD:BD,0),13)</f>
        <v>Penicillines</v>
      </c>
      <c r="D46" t="e">
        <f t="shared" ca="1" si="3"/>
        <v>#VALUE!</v>
      </c>
      <c r="E46" s="1" t="e">
        <f t="shared" ca="1" si="4"/>
        <v>#VALUE!</v>
      </c>
      <c r="F46" s="1" t="e">
        <f t="shared" ca="1" si="5"/>
        <v>#VALUE!</v>
      </c>
    </row>
    <row r="47" spans="1:6" ht="22.5" customHeight="1" x14ac:dyDescent="0.3">
      <c r="A47" s="255" t="str">
        <f>Données_ATB!BD34</f>
        <v>AMOXIVAL AMOXICILLINE 40 PREMELANGE MEDICAMENTEUX VOLAILLES</v>
      </c>
      <c r="B47" s="256" t="str">
        <f ca="1">INDEX(Données_ATB!BD:BP,MATCH(A47,Données_ATB!BD:BD,0),9)</f>
        <v>Amoxicilline</v>
      </c>
      <c r="C47" s="257" t="str">
        <f ca="1">INDEX(Données_ATB!BD:BP,MATCH(A47,Données_ATB!BD:BD,0),13)</f>
        <v>Penicillines</v>
      </c>
      <c r="D47" t="e">
        <f t="shared" ca="1" si="3"/>
        <v>#VALUE!</v>
      </c>
      <c r="E47" s="1" t="e">
        <f t="shared" ca="1" si="4"/>
        <v>#VALUE!</v>
      </c>
      <c r="F47" s="1" t="e">
        <f t="shared" ca="1" si="5"/>
        <v>#VALUE!</v>
      </c>
    </row>
    <row r="48" spans="1:6" ht="22.5" customHeight="1" x14ac:dyDescent="0.3">
      <c r="A48" s="255" t="str">
        <f>Données_ATB!BD35</f>
        <v>AMPHEN 200 MG/G GRANULES POUR ADMINISTRATION DANS L'EAU DE BOISSON POUR PORCS</v>
      </c>
      <c r="B48" s="256" t="str">
        <f ca="1">INDEX(Données_ATB!BD:BP,MATCH(A48,Données_ATB!BD:BD,0),9)</f>
        <v>Florfénicol</v>
      </c>
      <c r="C48" s="257" t="str">
        <f ca="1">INDEX(Données_ATB!BD:BP,MATCH(A48,Données_ATB!BD:BD,0),13)</f>
        <v>Phenicoles</v>
      </c>
      <c r="D48" t="e">
        <f t="shared" ca="1" si="3"/>
        <v>#VALUE!</v>
      </c>
      <c r="E48" s="1" t="e">
        <f t="shared" ca="1" si="4"/>
        <v>#VALUE!</v>
      </c>
      <c r="F48" s="1" t="e">
        <f t="shared" ca="1" si="5"/>
        <v>#VALUE!</v>
      </c>
    </row>
    <row r="49" spans="1:6" ht="22.5" customHeight="1" x14ac:dyDescent="0.3">
      <c r="A49" s="255" t="str">
        <f>Données_ATB!BD36</f>
        <v>AMPHEN 200 MG/G GRANULES POUR SOLUTION BUVABLE POUR PORCS</v>
      </c>
      <c r="B49" s="256" t="str">
        <f ca="1">INDEX(Données_ATB!BD:BP,MATCH(A49,Données_ATB!BD:BD,0),9)</f>
        <v>Florfénicol</v>
      </c>
      <c r="C49" s="257" t="str">
        <f ca="1">INDEX(Données_ATB!BD:BP,MATCH(A49,Données_ATB!BD:BD,0),13)</f>
        <v>Phenicoles</v>
      </c>
      <c r="D49" t="e">
        <f t="shared" ca="1" si="3"/>
        <v>#VALUE!</v>
      </c>
      <c r="E49" s="1" t="e">
        <f t="shared" ca="1" si="4"/>
        <v>#VALUE!</v>
      </c>
      <c r="F49" s="1" t="e">
        <f t="shared" ca="1" si="5"/>
        <v>#VALUE!</v>
      </c>
    </row>
    <row r="50" spans="1:6" ht="22.5" customHeight="1" x14ac:dyDescent="0.3">
      <c r="A50" s="255" t="str">
        <f>Données_ATB!BD37</f>
        <v>AMPHOPRIM</v>
      </c>
      <c r="B50" s="256" t="str">
        <f ca="1">INDEX(Données_ATB!BD:BP,MATCH(A50,Données_ATB!BD:BD,0),9)</f>
        <v>Sulfadimidine + Triméthoprime</v>
      </c>
      <c r="C50" s="257" t="str">
        <f ca="1">INDEX(Données_ATB!BD:BP,MATCH(A50,Données_ATB!BD:BD,0),13)</f>
        <v>Sulfamides + Trimethoprime</v>
      </c>
      <c r="D50" t="e">
        <f t="shared" ca="1" si="3"/>
        <v>#VALUE!</v>
      </c>
      <c r="E50" s="1" t="e">
        <f t="shared" ca="1" si="4"/>
        <v>#VALUE!</v>
      </c>
      <c r="F50" s="1" t="e">
        <f t="shared" ca="1" si="5"/>
        <v>#VALUE!</v>
      </c>
    </row>
    <row r="51" spans="1:6" ht="22.5" customHeight="1" x14ac:dyDescent="0.3">
      <c r="A51" s="255" t="str">
        <f>Données_ATB!BD38</f>
        <v>AMPICLOX</v>
      </c>
      <c r="B51" s="256" t="str">
        <f ca="1">INDEX(Données_ATB!BD:BP,MATCH(A51,Données_ATB!BD:BD,0),9)</f>
        <v>Cloxacilline + Ampicilline</v>
      </c>
      <c r="C51" s="257" t="str">
        <f ca="1">INDEX(Données_ATB!BD:BP,MATCH(A51,Données_ATB!BD:BD,0),13)</f>
        <v>Penicillines</v>
      </c>
      <c r="D51" t="e">
        <f t="shared" ca="1" si="3"/>
        <v>#VALUE!</v>
      </c>
      <c r="E51" s="1" t="e">
        <f t="shared" ca="1" si="4"/>
        <v>#VALUE!</v>
      </c>
      <c r="F51" s="1" t="e">
        <f t="shared" ca="1" si="5"/>
        <v>#VALUE!</v>
      </c>
    </row>
    <row r="52" spans="1:6" ht="22.5" customHeight="1" x14ac:dyDescent="0.3">
      <c r="A52" s="255" t="str">
        <f>Données_ATB!BD39</f>
        <v>AMPICOLINE</v>
      </c>
      <c r="B52" s="256" t="str">
        <f ca="1">INDEX(Données_ATB!BD:BP,MATCH(A52,Données_ATB!BD:BD,0),9)</f>
        <v>Ampicilline + Colistine</v>
      </c>
      <c r="C52" s="257" t="str">
        <f ca="1">INDEX(Données_ATB!BD:BP,MATCH(A52,Données_ATB!BD:BD,0),13)</f>
        <v>Penicillines + Polypeptides</v>
      </c>
      <c r="D52" t="str">
        <f t="shared" ca="1" si="3"/>
        <v>x</v>
      </c>
      <c r="E52" s="1" t="e">
        <f t="shared" ca="1" si="4"/>
        <v>#VALUE!</v>
      </c>
      <c r="F52" s="1" t="e">
        <f t="shared" ca="1" si="5"/>
        <v>#VALUE!</v>
      </c>
    </row>
    <row r="53" spans="1:6" ht="22.5" customHeight="1" x14ac:dyDescent="0.3">
      <c r="A53" s="255" t="str">
        <f>Données_ATB!BD40</f>
        <v>AMPIDEXALONE</v>
      </c>
      <c r="B53" s="256" t="str">
        <f ca="1">INDEX(Données_ATB!BD:BP,MATCH(A53,Données_ATB!BD:BD,0),9)</f>
        <v>Ampicilline + Colistine</v>
      </c>
      <c r="C53" s="257" t="str">
        <f ca="1">INDEX(Données_ATB!BD:BP,MATCH(A53,Données_ATB!BD:BD,0),13)</f>
        <v>Penicillines + Polypeptides</v>
      </c>
      <c r="D53" t="str">
        <f t="shared" ca="1" si="3"/>
        <v>x</v>
      </c>
      <c r="E53" s="1" t="e">
        <f t="shared" ca="1" si="4"/>
        <v>#VALUE!</v>
      </c>
      <c r="F53" s="1" t="e">
        <f t="shared" ca="1" si="5"/>
        <v>#VALUE!</v>
      </c>
    </row>
    <row r="54" spans="1:6" ht="22.5" customHeight="1" x14ac:dyDescent="0.3">
      <c r="A54" s="255" t="str">
        <f>Données_ATB!BD41</f>
        <v>AMPIDIAR</v>
      </c>
      <c r="B54" s="256" t="str">
        <f ca="1">INDEX(Données_ATB!BD:BP,MATCH(A54,Données_ATB!BD:BD,0),9)</f>
        <v>Sulfadiméthoxine + Ampicilline</v>
      </c>
      <c r="C54" s="257" t="str">
        <f ca="1">INDEX(Données_ATB!BD:BP,MATCH(A54,Données_ATB!BD:BD,0),13)</f>
        <v>Sulfamides + Penicillines</v>
      </c>
      <c r="D54" t="e">
        <f t="shared" ca="1" si="3"/>
        <v>#VALUE!</v>
      </c>
      <c r="E54" s="1" t="e">
        <f t="shared" ca="1" si="4"/>
        <v>#VALUE!</v>
      </c>
      <c r="F54" s="1" t="e">
        <f t="shared" ca="1" si="5"/>
        <v>#VALUE!</v>
      </c>
    </row>
    <row r="55" spans="1:6" ht="22.5" customHeight="1" x14ac:dyDescent="0.3">
      <c r="A55" s="255" t="str">
        <f>Données_ATB!BD42</f>
        <v>AMPIJECT 10 G</v>
      </c>
      <c r="B55" s="256" t="str">
        <f ca="1">INDEX(Données_ATB!BD:BP,MATCH(A55,Données_ATB!BD:BD,0),9)</f>
        <v>Ampicilline</v>
      </c>
      <c r="C55" s="257" t="str">
        <f ca="1">INDEX(Données_ATB!BD:BP,MATCH(A55,Données_ATB!BD:BD,0),13)</f>
        <v>Penicillines</v>
      </c>
      <c r="D55" t="e">
        <f t="shared" ca="1" si="3"/>
        <v>#VALUE!</v>
      </c>
      <c r="E55" s="1" t="e">
        <f t="shared" ca="1" si="4"/>
        <v>#VALUE!</v>
      </c>
      <c r="F55" s="1" t="e">
        <f t="shared" ca="1" si="5"/>
        <v>#VALUE!</v>
      </c>
    </row>
    <row r="56" spans="1:6" ht="22.5" customHeight="1" x14ac:dyDescent="0.3">
      <c r="A56" s="255" t="str">
        <f>Données_ATB!BD43</f>
        <v>AMPIMYCINE DEX</v>
      </c>
      <c r="B56" s="256" t="str">
        <f ca="1">INDEX(Données_ATB!BD:BP,MATCH(A56,Données_ATB!BD:BD,0),9)</f>
        <v>Ampicilline + Colistine</v>
      </c>
      <c r="C56" s="257" t="str">
        <f ca="1">INDEX(Données_ATB!BD:BP,MATCH(A56,Données_ATB!BD:BD,0),13)</f>
        <v>Penicillines + Polypeptides</v>
      </c>
      <c r="D56" t="str">
        <f t="shared" ca="1" si="3"/>
        <v>x</v>
      </c>
      <c r="E56" s="1" t="e">
        <f t="shared" ca="1" si="4"/>
        <v>#VALUE!</v>
      </c>
      <c r="F56" s="1" t="e">
        <f t="shared" ca="1" si="5"/>
        <v>#VALUE!</v>
      </c>
    </row>
    <row r="57" spans="1:6" ht="22.5" customHeight="1" x14ac:dyDescent="0.3">
      <c r="A57" s="255" t="str">
        <f>Données_ATB!BD44</f>
        <v>AMPINA</v>
      </c>
      <c r="B57" s="256" t="str">
        <f ca="1">INDEX(Données_ATB!BD:BP,MATCH(A57,Données_ATB!BD:BD,0),9)</f>
        <v>Ampicilline</v>
      </c>
      <c r="C57" s="257" t="str">
        <f ca="1">INDEX(Données_ATB!BD:BP,MATCH(A57,Données_ATB!BD:BD,0),13)</f>
        <v>Penicillines</v>
      </c>
      <c r="D57" t="e">
        <f t="shared" ca="1" si="3"/>
        <v>#VALUE!</v>
      </c>
      <c r="E57" s="1" t="e">
        <f t="shared" ca="1" si="4"/>
        <v>#VALUE!</v>
      </c>
      <c r="F57" s="1" t="e">
        <f t="shared" ca="1" si="5"/>
        <v>#VALUE!</v>
      </c>
    </row>
    <row r="58" spans="1:6" ht="22.5" customHeight="1" x14ac:dyDescent="0.3">
      <c r="A58" s="255" t="str">
        <f>Données_ATB!BD45</f>
        <v>AMPISOL</v>
      </c>
      <c r="B58" s="256" t="str">
        <f ca="1">INDEX(Données_ATB!BD:BP,MATCH(A58,Données_ATB!BD:BD,0),9)</f>
        <v>Ampicilline</v>
      </c>
      <c r="C58" s="257" t="str">
        <f ca="1">INDEX(Données_ATB!BD:BP,MATCH(A58,Données_ATB!BD:BD,0),13)</f>
        <v>Penicillines</v>
      </c>
      <c r="D58" t="e">
        <f t="shared" ca="1" si="3"/>
        <v>#VALUE!</v>
      </c>
      <c r="E58" s="1" t="e">
        <f t="shared" ca="1" si="4"/>
        <v>#VALUE!</v>
      </c>
      <c r="F58" s="1" t="e">
        <f t="shared" ca="1" si="5"/>
        <v>#VALUE!</v>
      </c>
    </row>
    <row r="59" spans="1:6" ht="22.5" customHeight="1" x14ac:dyDescent="0.3">
      <c r="A59" s="255" t="str">
        <f>Données_ATB!BD46</f>
        <v>ANIMEDAZON SPRAY</v>
      </c>
      <c r="B59" s="256" t="str">
        <f ca="1">INDEX(Données_ATB!BD:BP,MATCH(A59,Données_ATB!BD:BD,0),9)</f>
        <v>Chlortétracycline</v>
      </c>
      <c r="C59" s="257" t="str">
        <f ca="1">INDEX(Données_ATB!BD:BP,MATCH(A59,Données_ATB!BD:BD,0),13)</f>
        <v>Tetracyclines</v>
      </c>
      <c r="D59" t="e">
        <f t="shared" ca="1" si="3"/>
        <v>#VALUE!</v>
      </c>
      <c r="E59" s="1" t="e">
        <f t="shared" ca="1" si="4"/>
        <v>#VALUE!</v>
      </c>
      <c r="F59" s="1" t="e">
        <f t="shared" ca="1" si="5"/>
        <v>#VALUE!</v>
      </c>
    </row>
    <row r="60" spans="1:6" ht="22.5" customHeight="1" x14ac:dyDescent="0.3">
      <c r="A60" s="255" t="str">
        <f>Données_ATB!BD47</f>
        <v>ANTI CORYZA MOUREAU</v>
      </c>
      <c r="B60" s="256" t="str">
        <f ca="1">INDEX(Données_ATB!BD:BP,MATCH(A60,Données_ATB!BD:BD,0),9)</f>
        <v>Spiramycine</v>
      </c>
      <c r="C60" s="257" t="str">
        <f ca="1">INDEX(Données_ATB!BD:BP,MATCH(A60,Données_ATB!BD:BD,0),13)</f>
        <v>Macrolides</v>
      </c>
      <c r="D60" t="e">
        <f t="shared" ca="1" si="3"/>
        <v>#VALUE!</v>
      </c>
      <c r="E60" s="1" t="e">
        <f t="shared" ca="1" si="4"/>
        <v>#VALUE!</v>
      </c>
      <c r="F60" s="1" t="e">
        <f t="shared" ca="1" si="5"/>
        <v>#VALUE!</v>
      </c>
    </row>
    <row r="61" spans="1:6" ht="22.5" customHeight="1" x14ac:dyDescent="0.3">
      <c r="A61" s="255" t="str">
        <f>Données_ATB!BD48</f>
        <v>APRALAN APRAMYCINE 20-SJ PORC-LAPIN</v>
      </c>
      <c r="B61" s="256" t="str">
        <f ca="1">INDEX(Données_ATB!BD:BP,MATCH(A61,Données_ATB!BD:BD,0),9)</f>
        <v>Apramycine</v>
      </c>
      <c r="C61" s="257" t="str">
        <f ca="1">INDEX(Données_ATB!BD:BP,MATCH(A61,Données_ATB!BD:BD,0),13)</f>
        <v>Aminoglycosides</v>
      </c>
      <c r="D61" t="e">
        <f t="shared" ca="1" si="3"/>
        <v>#VALUE!</v>
      </c>
      <c r="E61" s="1" t="e">
        <f t="shared" ca="1" si="4"/>
        <v>#VALUE!</v>
      </c>
      <c r="F61" s="1" t="e">
        <f t="shared" ca="1" si="5"/>
        <v>#VALUE!</v>
      </c>
    </row>
    <row r="62" spans="1:6" ht="22.5" customHeight="1" x14ac:dyDescent="0.3">
      <c r="A62" s="255" t="str">
        <f>Données_ATB!BD49</f>
        <v>APRALAN BUVABLE POUDRE POUR ADMINISTRATION DANS L’EAU DE BOISSON/LAIT DE REMPLACEMENT POUR PORCS, VEAUX, POULETS ET LAPINS</v>
      </c>
      <c r="B62" s="256" t="str">
        <f ca="1">INDEX(Données_ATB!BD:BP,MATCH(A62,Données_ATB!BD:BD,0),9)</f>
        <v>Apramycine</v>
      </c>
      <c r="C62" s="257" t="str">
        <f ca="1">INDEX(Données_ATB!BD:BP,MATCH(A62,Données_ATB!BD:BD,0),13)</f>
        <v>Aminoglycosides</v>
      </c>
      <c r="D62" t="e">
        <f t="shared" ca="1" si="3"/>
        <v>#VALUE!</v>
      </c>
      <c r="E62" s="1" t="e">
        <f t="shared" ca="1" si="4"/>
        <v>#VALUE!</v>
      </c>
      <c r="F62" s="1" t="e">
        <f t="shared" ca="1" si="5"/>
        <v>#VALUE!</v>
      </c>
    </row>
    <row r="63" spans="1:6" ht="22.5" customHeight="1" x14ac:dyDescent="0.3">
      <c r="A63" s="255" t="str">
        <f>Données_ATB!BD50</f>
        <v>APRAVET 100 000 UI/G PREMELANGE MEDICAMENTEUX POUR PORCS ET LAPINS</v>
      </c>
      <c r="B63" s="256" t="str">
        <f ca="1">INDEX(Données_ATB!BD:BP,MATCH(A63,Données_ATB!BD:BD,0),9)</f>
        <v>Apramycine</v>
      </c>
      <c r="C63" s="257" t="str">
        <f ca="1">INDEX(Données_ATB!BD:BP,MATCH(A63,Données_ATB!BD:BD,0),13)</f>
        <v>Aminoglycosides</v>
      </c>
      <c r="D63" t="e">
        <f t="shared" ca="1" si="3"/>
        <v>#VALUE!</v>
      </c>
      <c r="E63" s="1" t="e">
        <f t="shared" ca="1" si="4"/>
        <v>#VALUE!</v>
      </c>
      <c r="F63" s="1" t="e">
        <f t="shared" ca="1" si="5"/>
        <v>#VALUE!</v>
      </c>
    </row>
    <row r="64" spans="1:6" ht="22.5" customHeight="1" x14ac:dyDescent="0.3">
      <c r="A64" s="255" t="str">
        <f>Données_ATB!BD51</f>
        <v>APRAVET 552 UI / MG, POUDRE POUR ADMINISTRATION DANS L'EAU DE BOISSON / LE LAIT POUR PORCINS, VEAUX, POULETS ET LAPINS</v>
      </c>
      <c r="B64" s="256" t="str">
        <f ca="1">INDEX(Données_ATB!BD:BP,MATCH(A64,Données_ATB!BD:BD,0),9)</f>
        <v>Apramycine</v>
      </c>
      <c r="C64" s="257" t="str">
        <f ca="1">INDEX(Données_ATB!BD:BP,MATCH(A64,Données_ATB!BD:BD,0),13)</f>
        <v>Aminoglycosides</v>
      </c>
      <c r="D64" t="e">
        <f t="shared" ca="1" si="3"/>
        <v>#VALUE!</v>
      </c>
      <c r="E64" s="1" t="e">
        <f t="shared" ca="1" si="4"/>
        <v>#VALUE!</v>
      </c>
      <c r="F64" s="1" t="e">
        <f t="shared" ca="1" si="5"/>
        <v>#VALUE!</v>
      </c>
    </row>
    <row r="65" spans="1:6" ht="22.5" customHeight="1" x14ac:dyDescent="0.3">
      <c r="A65" s="255" t="str">
        <f>Données_ATB!BD52</f>
        <v>ARENTOR DC 250 MG SUSPENSION INTRAMAMMAIRE POUR VACHES TARIES</v>
      </c>
      <c r="B65" s="256" t="str">
        <f ca="1">INDEX(Données_ATB!BD:BP,MATCH(A65,Données_ATB!BD:BD,0),9)</f>
        <v>Céfalonium</v>
      </c>
      <c r="C65" s="257" t="str">
        <f ca="1">INDEX(Données_ATB!BD:BP,MATCH(A65,Données_ATB!BD:BD,0),13)</f>
        <v>Cephalosporines 1&amp;2G</v>
      </c>
      <c r="D65" t="e">
        <f t="shared" ca="1" si="3"/>
        <v>#VALUE!</v>
      </c>
      <c r="E65" s="1" t="e">
        <f t="shared" ca="1" si="4"/>
        <v>#VALUE!</v>
      </c>
      <c r="F65" s="1" t="e">
        <f t="shared" ca="1" si="5"/>
        <v>#VALUE!</v>
      </c>
    </row>
    <row r="66" spans="1:6" ht="22.5" customHeight="1" x14ac:dyDescent="0.3">
      <c r="A66" s="255" t="str">
        <f>Données_ATB!BD53</f>
        <v>AUREOMYCINE MERIAL</v>
      </c>
      <c r="B66" s="256" t="str">
        <f ca="1">INDEX(Données_ATB!BD:BP,MATCH(A66,Données_ATB!BD:BD,0),9)</f>
        <v>Chlortétracycline</v>
      </c>
      <c r="C66" s="257" t="str">
        <f ca="1">INDEX(Données_ATB!BD:BP,MATCH(A66,Données_ATB!BD:BD,0),13)</f>
        <v>Tetracyclines</v>
      </c>
      <c r="D66" t="e">
        <f t="shared" ca="1" si="3"/>
        <v>#VALUE!</v>
      </c>
      <c r="E66" s="1" t="e">
        <f t="shared" ca="1" si="4"/>
        <v>#VALUE!</v>
      </c>
      <c r="F66" s="1" t="e">
        <f t="shared" ca="1" si="5"/>
        <v>#VALUE!</v>
      </c>
    </row>
    <row r="67" spans="1:6" ht="22.5" customHeight="1" x14ac:dyDescent="0.3">
      <c r="A67" s="255" t="str">
        <f>Données_ATB!BD54</f>
        <v>AUROFAC CHLORTETRACYCLINE 93 PORC ET AGNEAU-CHEVREAU SEVRES</v>
      </c>
      <c r="B67" s="256" t="str">
        <f ca="1">INDEX(Données_ATB!BD:BP,MATCH(A67,Données_ATB!BD:BD,0),9)</f>
        <v>Chlortétracycline</v>
      </c>
      <c r="C67" s="257" t="str">
        <f ca="1">INDEX(Données_ATB!BD:BP,MATCH(A67,Données_ATB!BD:BD,0),13)</f>
        <v>Tetracyclines</v>
      </c>
      <c r="D67" t="e">
        <f t="shared" ca="1" si="3"/>
        <v>#VALUE!</v>
      </c>
      <c r="E67" s="1" t="e">
        <f t="shared" ca="1" si="4"/>
        <v>#VALUE!</v>
      </c>
      <c r="F67" s="1" t="e">
        <f t="shared" ca="1" si="5"/>
        <v>#VALUE!</v>
      </c>
    </row>
    <row r="68" spans="1:6" ht="22.5" customHeight="1" x14ac:dyDescent="0.3">
      <c r="A68" s="255" t="str">
        <f>Données_ATB!BD55</f>
        <v>AVEMIX N° 150</v>
      </c>
      <c r="B68" s="256" t="str">
        <f ca="1">INDEX(Données_ATB!BD:BP,MATCH(A68,Données_ATB!BD:BD,0),9)</f>
        <v>Sulfaméthoxypyridazine + Triméthoprime</v>
      </c>
      <c r="C68" s="257" t="str">
        <f ca="1">INDEX(Données_ATB!BD:BP,MATCH(A68,Données_ATB!BD:BD,0),13)</f>
        <v>Sulfamides + Trimethoprime</v>
      </c>
      <c r="D68" t="e">
        <f t="shared" ca="1" si="3"/>
        <v>#VALUE!</v>
      </c>
      <c r="E68" s="1" t="e">
        <f t="shared" ca="1" si="4"/>
        <v>#VALUE!</v>
      </c>
      <c r="F68" s="1" t="e">
        <f t="shared" ca="1" si="5"/>
        <v>#VALUE!</v>
      </c>
    </row>
    <row r="69" spans="1:6" ht="22.5" customHeight="1" x14ac:dyDescent="0.3">
      <c r="A69" s="255" t="str">
        <f>Données_ATB!BD56</f>
        <v>AVIPEN</v>
      </c>
      <c r="B69" s="256" t="str">
        <f ca="1">INDEX(Données_ATB!BD:BP,MATCH(A69,Données_ATB!BD:BD,0),9)</f>
        <v>Phénoxyméthylpénicilline</v>
      </c>
      <c r="C69" s="257" t="str">
        <f ca="1">INDEX(Données_ATB!BD:BP,MATCH(A69,Données_ATB!BD:BD,0),13)</f>
        <v>Penicillines</v>
      </c>
      <c r="D69" t="e">
        <f t="shared" ca="1" si="3"/>
        <v>#VALUE!</v>
      </c>
      <c r="E69" s="1" t="e">
        <f t="shared" ca="1" si="4"/>
        <v>#VALUE!</v>
      </c>
      <c r="F69" s="1" t="e">
        <f t="shared" ca="1" si="5"/>
        <v>#VALUE!</v>
      </c>
    </row>
    <row r="70" spans="1:6" ht="22.5" customHeight="1" x14ac:dyDescent="0.3">
      <c r="A70" s="255" t="str">
        <f>Données_ATB!BD57</f>
        <v>AXENTYL</v>
      </c>
      <c r="B70" s="256" t="str">
        <f ca="1">INDEX(Données_ATB!BD:BP,MATCH(A70,Données_ATB!BD:BD,0),9)</f>
        <v>Tylosine</v>
      </c>
      <c r="C70" s="257" t="str">
        <f ca="1">INDEX(Données_ATB!BD:BP,MATCH(A70,Données_ATB!BD:BD,0),13)</f>
        <v>Macrolides</v>
      </c>
      <c r="D70" t="e">
        <f t="shared" ca="1" si="3"/>
        <v>#VALUE!</v>
      </c>
      <c r="E70" s="1" t="e">
        <f t="shared" ca="1" si="4"/>
        <v>#VALUE!</v>
      </c>
      <c r="F70" s="1" t="e">
        <f t="shared" ca="1" si="5"/>
        <v>#VALUE!</v>
      </c>
    </row>
    <row r="71" spans="1:6" ht="22.5" customHeight="1" x14ac:dyDescent="0.3">
      <c r="A71" s="255" t="str">
        <f>Données_ATB!BD58</f>
        <v>AXENTYL 200 MG/ML SOLUTION INJECTABLE POUR BOVINS, OVINS, CAPRINS ET PORCINS</v>
      </c>
      <c r="B71" s="256" t="str">
        <f ca="1">INDEX(Données_ATB!BD:BP,MATCH(A71,Données_ATB!BD:BD,0),9)</f>
        <v>Tylosine</v>
      </c>
      <c r="C71" s="257" t="str">
        <f ca="1">INDEX(Données_ATB!BD:BP,MATCH(A71,Données_ATB!BD:BD,0),13)</f>
        <v>Macrolides</v>
      </c>
      <c r="D71" t="e">
        <f t="shared" ca="1" si="3"/>
        <v>#VALUE!</v>
      </c>
      <c r="E71" s="1" t="e">
        <f t="shared" ca="1" si="4"/>
        <v>#VALUE!</v>
      </c>
      <c r="F71" s="1" t="e">
        <f t="shared" ca="1" si="5"/>
        <v>#VALUE!</v>
      </c>
    </row>
    <row r="72" spans="1:6" ht="22.5" customHeight="1" x14ac:dyDescent="0.3">
      <c r="A72" s="255" t="str">
        <f>Données_ATB!BD59</f>
        <v>AXILLIN</v>
      </c>
      <c r="B72" s="256" t="str">
        <f ca="1">INDEX(Données_ATB!BD:BP,MATCH(A72,Données_ATB!BD:BD,0),9)</f>
        <v>Amoxicilline</v>
      </c>
      <c r="C72" s="257" t="str">
        <f ca="1">INDEX(Données_ATB!BD:BP,MATCH(A72,Données_ATB!BD:BD,0),13)</f>
        <v>Penicillines</v>
      </c>
      <c r="D72" t="e">
        <f t="shared" ca="1" si="3"/>
        <v>#VALUE!</v>
      </c>
      <c r="E72" s="1" t="e">
        <f t="shared" ca="1" si="4"/>
        <v>#VALUE!</v>
      </c>
      <c r="F72" s="1" t="e">
        <f t="shared" ca="1" si="5"/>
        <v>#VALUE!</v>
      </c>
    </row>
    <row r="73" spans="1:6" ht="22.5" customHeight="1" x14ac:dyDescent="0.3">
      <c r="A73" s="255" t="str">
        <f>Données_ATB!BD60</f>
        <v>BACIVET S</v>
      </c>
      <c r="B73" s="256" t="str">
        <f ca="1">INDEX(Données_ATB!BD:BP,MATCH(A73,Données_ATB!BD:BD,0),9)</f>
        <v>Bacitracine</v>
      </c>
      <c r="C73" s="257" t="str">
        <f ca="1">INDEX(Données_ATB!BD:BP,MATCH(A73,Données_ATB!BD:BD,0),13)</f>
        <v>Polypeptides</v>
      </c>
      <c r="D73" t="e">
        <f t="shared" ca="1" si="3"/>
        <v>#VALUE!</v>
      </c>
      <c r="E73" s="1" t="e">
        <f t="shared" ca="1" si="4"/>
        <v>#VALUE!</v>
      </c>
      <c r="F73" s="1" t="e">
        <f t="shared" ca="1" si="5"/>
        <v>#VALUE!</v>
      </c>
    </row>
    <row r="74" spans="1:6" ht="22.5" customHeight="1" x14ac:dyDescent="0.3">
      <c r="A74" s="255" t="str">
        <f>Données_ATB!BD61</f>
        <v>BAYCUBIS 293 MG/G POUDRE POUR SOLUTION BUVABLE POUR POULETS</v>
      </c>
      <c r="B74" s="256" t="str">
        <f ca="1">INDEX(Données_ATB!BD:BP,MATCH(A74,Données_ATB!BD:BD,0),9)</f>
        <v>Phénoxyméthylpénicilline</v>
      </c>
      <c r="C74" s="257" t="str">
        <f ca="1">INDEX(Données_ATB!BD:BP,MATCH(A74,Données_ATB!BD:BD,0),13)</f>
        <v>Penicillines</v>
      </c>
      <c r="D74" t="e">
        <f t="shared" ca="1" si="3"/>
        <v>#VALUE!</v>
      </c>
      <c r="E74" s="1" t="e">
        <f t="shared" ca="1" si="4"/>
        <v>#VALUE!</v>
      </c>
      <c r="F74" s="1" t="e">
        <f t="shared" ca="1" si="5"/>
        <v>#VALUE!</v>
      </c>
    </row>
    <row r="75" spans="1:6" ht="22.5" customHeight="1" x14ac:dyDescent="0.3">
      <c r="A75" s="255" t="str">
        <f>Données_ATB!BD62</f>
        <v>BAYTRIL 10 % SOLUTION BUVABLE</v>
      </c>
      <c r="B75" s="256" t="str">
        <f ca="1">INDEX(Données_ATB!BD:BP,MATCH(A75,Données_ATB!BD:BD,0),9)</f>
        <v>Enrofloxacine</v>
      </c>
      <c r="C75" s="257" t="str">
        <f ca="1">INDEX(Données_ATB!BD:BP,MATCH(A75,Données_ATB!BD:BD,0),13)</f>
        <v>Fluoroquinolones</v>
      </c>
      <c r="D75" t="e">
        <f t="shared" ca="1" si="3"/>
        <v>#VALUE!</v>
      </c>
      <c r="E75" s="1" t="e">
        <f t="shared" ca="1" si="4"/>
        <v>#VALUE!</v>
      </c>
      <c r="F75" s="1" t="e">
        <f t="shared" ca="1" si="5"/>
        <v>#VALUE!</v>
      </c>
    </row>
    <row r="76" spans="1:6" ht="22.5" customHeight="1" x14ac:dyDescent="0.3">
      <c r="A76" s="255" t="str">
        <f>Données_ATB!BD63</f>
        <v>BAYTRIL 10 % SOLUTION INJECTABLE</v>
      </c>
      <c r="B76" s="256" t="str">
        <f ca="1">INDEX(Données_ATB!BD:BP,MATCH(A76,Données_ATB!BD:BD,0),9)</f>
        <v>Enrofloxacine</v>
      </c>
      <c r="C76" s="257" t="str">
        <f ca="1">INDEX(Données_ATB!BD:BP,MATCH(A76,Données_ATB!BD:BD,0),13)</f>
        <v>Fluoroquinolones</v>
      </c>
      <c r="D76" t="e">
        <f t="shared" ca="1" si="3"/>
        <v>#VALUE!</v>
      </c>
      <c r="E76" s="1" t="e">
        <f t="shared" ca="1" si="4"/>
        <v>#VALUE!</v>
      </c>
      <c r="F76" s="1" t="e">
        <f t="shared" ca="1" si="5"/>
        <v>#VALUE!</v>
      </c>
    </row>
    <row r="77" spans="1:6" ht="22.5" customHeight="1" x14ac:dyDescent="0.3">
      <c r="A77" s="255" t="str">
        <f>Données_ATB!BD64</f>
        <v>BAYTRIL 1NJECT PORC</v>
      </c>
      <c r="B77" s="256" t="str">
        <f ca="1">INDEX(Données_ATB!BD:BP,MATCH(A77,Données_ATB!BD:BD,0),9)</f>
        <v>Enrofloxacine</v>
      </c>
      <c r="C77" s="257" t="str">
        <f ca="1">INDEX(Données_ATB!BD:BP,MATCH(A77,Données_ATB!BD:BD,0),13)</f>
        <v>Fluoroquinolones</v>
      </c>
      <c r="D77" t="e">
        <f t="shared" ca="1" si="3"/>
        <v>#VALUE!</v>
      </c>
      <c r="E77" s="1" t="e">
        <f t="shared" ca="1" si="4"/>
        <v>#VALUE!</v>
      </c>
      <c r="F77" s="1" t="e">
        <f t="shared" ca="1" si="5"/>
        <v>#VALUE!</v>
      </c>
    </row>
    <row r="78" spans="1:6" ht="22.5" customHeight="1" x14ac:dyDescent="0.3">
      <c r="A78" s="255" t="str">
        <f>Données_ATB!BD65</f>
        <v>BAYTRIL 2,5 % SOLUTION BUVABLE</v>
      </c>
      <c r="B78" s="256" t="str">
        <f ca="1">INDEX(Données_ATB!BD:BP,MATCH(A78,Données_ATB!BD:BD,0),9)</f>
        <v>Enrofloxacine</v>
      </c>
      <c r="C78" s="257" t="str">
        <f ca="1">INDEX(Données_ATB!BD:BP,MATCH(A78,Données_ATB!BD:BD,0),13)</f>
        <v>Fluoroquinolones</v>
      </c>
      <c r="D78" t="e">
        <f t="shared" ca="1" si="3"/>
        <v>#VALUE!</v>
      </c>
      <c r="E78" s="1" t="e">
        <f t="shared" ca="1" si="4"/>
        <v>#VALUE!</v>
      </c>
      <c r="F78" s="1" t="e">
        <f t="shared" ca="1" si="5"/>
        <v>#VALUE!</v>
      </c>
    </row>
    <row r="79" spans="1:6" ht="22.5" customHeight="1" x14ac:dyDescent="0.3">
      <c r="A79" s="255" t="str">
        <f>Données_ATB!BD66</f>
        <v>BAYTRIL 2,5 % SOLUTION INJECTABLE</v>
      </c>
      <c r="B79" s="256" t="str">
        <f ca="1">INDEX(Données_ATB!BD:BP,MATCH(A79,Données_ATB!BD:BD,0),9)</f>
        <v>Enrofloxacine</v>
      </c>
      <c r="C79" s="257" t="str">
        <f ca="1">INDEX(Données_ATB!BD:BP,MATCH(A79,Données_ATB!BD:BD,0),13)</f>
        <v>Fluoroquinolones</v>
      </c>
      <c r="D79" t="e">
        <f t="shared" ca="1" si="3"/>
        <v>#VALUE!</v>
      </c>
      <c r="E79" s="1" t="e">
        <f t="shared" ca="1" si="4"/>
        <v>#VALUE!</v>
      </c>
      <c r="F79" s="1" t="e">
        <f t="shared" ca="1" si="5"/>
        <v>#VALUE!</v>
      </c>
    </row>
    <row r="80" spans="1:6" ht="22.5" customHeight="1" x14ac:dyDescent="0.3">
      <c r="A80" s="255" t="str">
        <f>Données_ATB!BD67</f>
        <v>BAYTRIL 5 % SOLUTION INJECTABLE</v>
      </c>
      <c r="B80" s="256" t="str">
        <f ca="1">INDEX(Données_ATB!BD:BP,MATCH(A80,Données_ATB!BD:BD,0),9)</f>
        <v>Enrofloxacine</v>
      </c>
      <c r="C80" s="257" t="str">
        <f ca="1">INDEX(Données_ATB!BD:BP,MATCH(A80,Données_ATB!BD:BD,0),13)</f>
        <v>Fluoroquinolones</v>
      </c>
      <c r="D80" t="e">
        <f t="shared" ca="1" si="3"/>
        <v>#VALUE!</v>
      </c>
      <c r="E80" s="1" t="e">
        <f t="shared" ca="1" si="4"/>
        <v>#VALUE!</v>
      </c>
      <c r="F80" s="1" t="e">
        <f t="shared" ca="1" si="5"/>
        <v>#VALUE!</v>
      </c>
    </row>
    <row r="81" spans="1:6" ht="22.5" customHeight="1" x14ac:dyDescent="0.3">
      <c r="A81" s="255" t="str">
        <f>Données_ATB!BD68</f>
        <v>BAYTRIL BOLUS</v>
      </c>
      <c r="B81" s="256" t="str">
        <f ca="1">INDEX(Données_ATB!BD:BP,MATCH(A81,Données_ATB!BD:BD,0),9)</f>
        <v>Enrofloxacine</v>
      </c>
      <c r="C81" s="257" t="str">
        <f ca="1">INDEX(Données_ATB!BD:BP,MATCH(A81,Données_ATB!BD:BD,0),13)</f>
        <v>Fluoroquinolones</v>
      </c>
      <c r="D81" t="e">
        <f t="shared" ca="1" si="3"/>
        <v>#VALUE!</v>
      </c>
      <c r="E81" s="1" t="e">
        <f t="shared" ca="1" si="4"/>
        <v>#VALUE!</v>
      </c>
      <c r="F81" s="1" t="e">
        <f t="shared" ca="1" si="5"/>
        <v>#VALUE!</v>
      </c>
    </row>
    <row r="82" spans="1:6" ht="22.5" customHeight="1" x14ac:dyDescent="0.3">
      <c r="A82" s="255" t="str">
        <f>Données_ATB!BD69</f>
        <v>BAYTRIL XM 100 MG/ML SOLUTION INJECTABLE POUR BOVINS ET PORCINS</v>
      </c>
      <c r="B82" s="256" t="str">
        <f ca="1">INDEX(Données_ATB!BD:BP,MATCH(A82,Données_ATB!BD:BD,0),9)</f>
        <v>Enrofloxacine</v>
      </c>
      <c r="C82" s="257" t="str">
        <f ca="1">INDEX(Données_ATB!BD:BP,MATCH(A82,Données_ATB!BD:BD,0),13)</f>
        <v>Fluoroquinolones</v>
      </c>
      <c r="D82" t="e">
        <f t="shared" ca="1" si="3"/>
        <v>#VALUE!</v>
      </c>
      <c r="E82" s="1" t="e">
        <f t="shared" ca="1" si="4"/>
        <v>#VALUE!</v>
      </c>
      <c r="F82" s="1" t="e">
        <f t="shared" ca="1" si="5"/>
        <v>#VALUE!</v>
      </c>
    </row>
    <row r="83" spans="1:6" ht="22.5" customHeight="1" x14ac:dyDescent="0.3">
      <c r="A83" s="255" t="str">
        <f>Données_ATB!BD70</f>
        <v>BELCOMYCINE S</v>
      </c>
      <c r="B83" s="256" t="str">
        <f ca="1">INDEX(Données_ATB!BD:BP,MATCH(A83,Données_ATB!BD:BD,0),9)</f>
        <v>Colistine</v>
      </c>
      <c r="C83" s="257" t="str">
        <f ca="1">INDEX(Données_ATB!BD:BP,MATCH(A83,Données_ATB!BD:BD,0),13)</f>
        <v>Polypeptides</v>
      </c>
      <c r="D83" t="str">
        <f t="shared" ca="1" si="3"/>
        <v>x</v>
      </c>
      <c r="E83" s="1" t="e">
        <f t="shared" ca="1" si="4"/>
        <v>#VALUE!</v>
      </c>
      <c r="F83" s="1" t="e">
        <f t="shared" ca="1" si="5"/>
        <v>#VALUE!</v>
      </c>
    </row>
    <row r="84" spans="1:6" ht="22.5" customHeight="1" x14ac:dyDescent="0.3">
      <c r="A84" s="255" t="str">
        <f>Données_ATB!BD71</f>
        <v>BELCOPENI 5</v>
      </c>
      <c r="B84" s="256" t="str">
        <f ca="1">INDEX(Données_ATB!BD:BP,MATCH(A84,Données_ATB!BD:BD,0),9)</f>
        <v>Benzylpénicilline + Colistine</v>
      </c>
      <c r="C84" s="257" t="str">
        <f ca="1">INDEX(Données_ATB!BD:BP,MATCH(A84,Données_ATB!BD:BD,0),13)</f>
        <v>Penicillines + Polypeptides</v>
      </c>
      <c r="D84" t="str">
        <f t="shared" ca="1" si="3"/>
        <v>x</v>
      </c>
      <c r="E84" s="1" t="e">
        <f t="shared" ca="1" si="4"/>
        <v>#VALUE!</v>
      </c>
      <c r="F84" s="1" t="e">
        <f t="shared" ca="1" si="5"/>
        <v>#VALUE!</v>
      </c>
    </row>
    <row r="85" spans="1:6" ht="22.5" customHeight="1" x14ac:dyDescent="0.3">
      <c r="A85" s="255" t="str">
        <f>Données_ATB!BD72</f>
        <v>BIAMULINE</v>
      </c>
      <c r="B85" s="256" t="str">
        <f ca="1">INDEX(Données_ATB!BD:BP,MATCH(A85,Données_ATB!BD:BD,0),9)</f>
        <v>Tiamuline</v>
      </c>
      <c r="C85" s="257" t="str">
        <f ca="1">INDEX(Données_ATB!BD:BP,MATCH(A85,Données_ATB!BD:BD,0),13)</f>
        <v>Pleuromutilines</v>
      </c>
      <c r="D85" t="e">
        <f t="shared" ca="1" si="3"/>
        <v>#VALUE!</v>
      </c>
      <c r="E85" s="1" t="e">
        <f t="shared" ca="1" si="4"/>
        <v>#VALUE!</v>
      </c>
      <c r="F85" s="1" t="e">
        <f t="shared" ca="1" si="5"/>
        <v>#VALUE!</v>
      </c>
    </row>
    <row r="86" spans="1:6" ht="22.5" customHeight="1" x14ac:dyDescent="0.3">
      <c r="A86" s="255" t="str">
        <f>Données_ATB!BD73</f>
        <v>BIAPRIM BUVABLE</v>
      </c>
      <c r="B86" s="256" t="str">
        <f ca="1">INDEX(Données_ATB!BD:BP,MATCH(A86,Données_ATB!BD:BD,0),9)</f>
        <v>Sulfadiméthoxine + Triméthoprime</v>
      </c>
      <c r="C86" s="257" t="str">
        <f ca="1">INDEX(Données_ATB!BD:BP,MATCH(A86,Données_ATB!BD:BD,0),13)</f>
        <v>Sulfamides + Trimethoprime</v>
      </c>
      <c r="D86" t="e">
        <f t="shared" ca="1" si="3"/>
        <v>#VALUE!</v>
      </c>
      <c r="E86" s="1" t="e">
        <f t="shared" ca="1" si="4"/>
        <v>#VALUE!</v>
      </c>
      <c r="F86" s="1" t="e">
        <f t="shared" ca="1" si="5"/>
        <v>#VALUE!</v>
      </c>
    </row>
    <row r="87" spans="1:6" ht="22.5" customHeight="1" x14ac:dyDescent="0.3">
      <c r="A87" s="255" t="str">
        <f>Données_ATB!BD74</f>
        <v>BIMOXYL LA 150 MG/ML SUSPENSION INJECTABLE POUR BOVINS OVINS ET PORCINS</v>
      </c>
      <c r="B87" s="256" t="str">
        <f ca="1">INDEX(Données_ATB!BD:BP,MATCH(A87,Données_ATB!BD:BD,0),9)</f>
        <v>Amoxicilline</v>
      </c>
      <c r="C87" s="257" t="str">
        <f ca="1">INDEX(Données_ATB!BD:BP,MATCH(A87,Données_ATB!BD:BD,0),13)</f>
        <v>Penicillines</v>
      </c>
      <c r="D87" t="e">
        <f t="shared" ref="D87:D150" ca="1" si="6">IF(SEARCH("Colistine",B87)&gt;0,"x","")</f>
        <v>#VALUE!</v>
      </c>
      <c r="E87" s="1" t="e">
        <f t="shared" ref="E87:E150" ca="1" si="7">IF(SEARCH("Cephalosporines 3&amp;4G",C87)&gt;0,"x","")</f>
        <v>#VALUE!</v>
      </c>
      <c r="F87" s="1" t="e">
        <f t="shared" ref="F87:F150" ca="1" si="8">IF(SEARCH("Cephalosporines 3&amp;4G",C87)&gt;0,"x","")&amp;IF(SEARCH("Fluoroquinolones",C87)&gt;0,"x","")</f>
        <v>#VALUE!</v>
      </c>
    </row>
    <row r="88" spans="1:6" ht="22.5" customHeight="1" x14ac:dyDescent="0.3">
      <c r="A88" s="255" t="str">
        <f>Données_ATB!BD75</f>
        <v>BIOAMOXI</v>
      </c>
      <c r="B88" s="256" t="str">
        <f ca="1">INDEX(Données_ATB!BD:BP,MATCH(A88,Données_ATB!BD:BD,0),9)</f>
        <v>Amoxicilline</v>
      </c>
      <c r="C88" s="257" t="str">
        <f ca="1">INDEX(Données_ATB!BD:BP,MATCH(A88,Données_ATB!BD:BD,0),13)</f>
        <v>Penicillines</v>
      </c>
      <c r="D88" t="e">
        <f t="shared" ca="1" si="6"/>
        <v>#VALUE!</v>
      </c>
      <c r="E88" s="1" t="e">
        <f t="shared" ca="1" si="7"/>
        <v>#VALUE!</v>
      </c>
      <c r="F88" s="1" t="e">
        <f t="shared" ca="1" si="8"/>
        <v>#VALUE!</v>
      </c>
    </row>
    <row r="89" spans="1:6" ht="22.5" customHeight="1" x14ac:dyDescent="0.3">
      <c r="A89" s="255" t="str">
        <f>Données_ATB!BD76</f>
        <v>BIOREPAS</v>
      </c>
      <c r="B89" s="256" t="str">
        <f ca="1">INDEX(Données_ATB!BD:BP,MATCH(A89,Données_ATB!BD:BD,0),9)</f>
        <v>Colistine</v>
      </c>
      <c r="C89" s="257" t="str">
        <f ca="1">INDEX(Données_ATB!BD:BP,MATCH(A89,Données_ATB!BD:BD,0),13)</f>
        <v>Polypeptides</v>
      </c>
      <c r="D89" t="str">
        <f t="shared" ca="1" si="6"/>
        <v>x</v>
      </c>
      <c r="E89" s="1" t="e">
        <f t="shared" ca="1" si="7"/>
        <v>#VALUE!</v>
      </c>
      <c r="F89" s="1" t="e">
        <f t="shared" ca="1" si="8"/>
        <v>#VALUE!</v>
      </c>
    </row>
    <row r="90" spans="1:6" ht="22.5" customHeight="1" x14ac:dyDescent="0.3">
      <c r="A90" s="255" t="str">
        <f>Données_ATB!BD77</f>
        <v>BIOTILINA 100 MG/G PREMELANGE MEDICAMENTEUX POUR PORCINS ET LAPINS</v>
      </c>
      <c r="B90" s="256" t="str">
        <f ca="1">INDEX(Données_ATB!BD:BP,MATCH(A90,Données_ATB!BD:BD,0),9)</f>
        <v>Valnémuline</v>
      </c>
      <c r="C90" s="257" t="str">
        <f ca="1">INDEX(Données_ATB!BD:BP,MATCH(A90,Données_ATB!BD:BD,0),13)</f>
        <v>Pleuromutilines</v>
      </c>
      <c r="D90" t="e">
        <f t="shared" ca="1" si="6"/>
        <v>#VALUE!</v>
      </c>
      <c r="E90" s="1" t="e">
        <f t="shared" ca="1" si="7"/>
        <v>#VALUE!</v>
      </c>
      <c r="F90" s="1" t="e">
        <f t="shared" ca="1" si="8"/>
        <v>#VALUE!</v>
      </c>
    </row>
    <row r="91" spans="1:6" ht="22.5" customHeight="1" x14ac:dyDescent="0.3">
      <c r="A91" s="255" t="str">
        <f>Données_ATB!BD78</f>
        <v>BIOTORNIS</v>
      </c>
      <c r="B91" s="256" t="str">
        <f ca="1">INDEX(Données_ATB!BD:BP,MATCH(A91,Données_ATB!BD:BD,0),9)</f>
        <v>Amoxicilline</v>
      </c>
      <c r="C91" s="257" t="str">
        <f ca="1">INDEX(Données_ATB!BD:BP,MATCH(A91,Données_ATB!BD:BD,0),13)</f>
        <v>Penicillines</v>
      </c>
      <c r="D91" t="e">
        <f t="shared" ca="1" si="6"/>
        <v>#VALUE!</v>
      </c>
      <c r="E91" s="1" t="e">
        <f t="shared" ca="1" si="7"/>
        <v>#VALUE!</v>
      </c>
      <c r="F91" s="1" t="e">
        <f t="shared" ca="1" si="8"/>
        <v>#VALUE!</v>
      </c>
    </row>
    <row r="92" spans="1:6" ht="22.5" customHeight="1" x14ac:dyDescent="0.3">
      <c r="A92" s="255" t="str">
        <f>Données_ATB!BD79</f>
        <v>BORGAL 24 %</v>
      </c>
      <c r="B92" s="256" t="str">
        <f ca="1">INDEX(Données_ATB!BD:BP,MATCH(A92,Données_ATB!BD:BD,0),9)</f>
        <v>Sulfadoxine + Triméthoprime</v>
      </c>
      <c r="C92" s="257" t="str">
        <f ca="1">INDEX(Données_ATB!BD:BP,MATCH(A92,Données_ATB!BD:BD,0),13)</f>
        <v>Sulfamides + Trimethoprime</v>
      </c>
      <c r="D92" t="e">
        <f t="shared" ca="1" si="6"/>
        <v>#VALUE!</v>
      </c>
      <c r="E92" s="1" t="e">
        <f t="shared" ca="1" si="7"/>
        <v>#VALUE!</v>
      </c>
      <c r="F92" s="1" t="e">
        <f t="shared" ca="1" si="8"/>
        <v>#VALUE!</v>
      </c>
    </row>
    <row r="93" spans="1:6" ht="22.5" customHeight="1" x14ac:dyDescent="0.3">
      <c r="A93" s="255" t="str">
        <f>Données_ATB!BD80</f>
        <v>CAFMIX ACIDE OXOLINIQUE 80 PORC</v>
      </c>
      <c r="B93" s="256" t="str">
        <f ca="1">INDEX(Données_ATB!BD:BP,MATCH(A93,Données_ATB!BD:BD,0),9)</f>
        <v>Acide oxolinique</v>
      </c>
      <c r="C93" s="257" t="str">
        <f ca="1">INDEX(Données_ATB!BD:BP,MATCH(A93,Données_ATB!BD:BD,0),13)</f>
        <v>Quinolones</v>
      </c>
      <c r="D93" t="e">
        <f t="shared" ca="1" si="6"/>
        <v>#VALUE!</v>
      </c>
      <c r="E93" s="1" t="e">
        <f t="shared" ca="1" si="7"/>
        <v>#VALUE!</v>
      </c>
      <c r="F93" s="1" t="e">
        <f t="shared" ca="1" si="8"/>
        <v>#VALUE!</v>
      </c>
    </row>
    <row r="94" spans="1:6" ht="22.5" customHeight="1" x14ac:dyDescent="0.3">
      <c r="A94" s="255" t="str">
        <f>Données_ATB!BD81</f>
        <v>CAFMIX LINCOMYCINE 22 PNEUMONIE PORC</v>
      </c>
      <c r="B94" s="256" t="str">
        <f ca="1">INDEX(Données_ATB!BD:BP,MATCH(A94,Données_ATB!BD:BD,0),9)</f>
        <v>Lincomycine</v>
      </c>
      <c r="C94" s="257" t="str">
        <f ca="1">INDEX(Données_ATB!BD:BP,MATCH(A94,Données_ATB!BD:BD,0),13)</f>
        <v>Lincosamides</v>
      </c>
      <c r="D94" t="e">
        <f t="shared" ca="1" si="6"/>
        <v>#VALUE!</v>
      </c>
      <c r="E94" s="1" t="e">
        <f t="shared" ca="1" si="7"/>
        <v>#VALUE!</v>
      </c>
      <c r="F94" s="1" t="e">
        <f t="shared" ca="1" si="8"/>
        <v>#VALUE!</v>
      </c>
    </row>
    <row r="95" spans="1:6" ht="22.5" customHeight="1" x14ac:dyDescent="0.3">
      <c r="A95" s="255" t="str">
        <f>Données_ATB!BD82</f>
        <v>CAFMIX LINCOMYCINE 8.8 ENTERITE PORC</v>
      </c>
      <c r="B95" s="256" t="str">
        <f ca="1">INDEX(Données_ATB!BD:BP,MATCH(A95,Données_ATB!BD:BD,0),9)</f>
        <v>Lincomycine</v>
      </c>
      <c r="C95" s="257" t="str">
        <f ca="1">INDEX(Données_ATB!BD:BP,MATCH(A95,Données_ATB!BD:BD,0),13)</f>
        <v>Lincosamides</v>
      </c>
      <c r="D95" t="e">
        <f t="shared" ca="1" si="6"/>
        <v>#VALUE!</v>
      </c>
      <c r="E95" s="1" t="e">
        <f t="shared" ca="1" si="7"/>
        <v>#VALUE!</v>
      </c>
      <c r="F95" s="1" t="e">
        <f t="shared" ca="1" si="8"/>
        <v>#VALUE!</v>
      </c>
    </row>
    <row r="96" spans="1:6" ht="22.5" customHeight="1" x14ac:dyDescent="0.3">
      <c r="A96" s="255" t="str">
        <f>Données_ATB!BD83</f>
        <v>CALFLOR 300 MG/ML SOLUTION INJECTABLE POUR BOVINS ET PORCINS</v>
      </c>
      <c r="B96" s="256" t="str">
        <f ca="1">INDEX(Données_ATB!BD:BP,MATCH(A96,Données_ATB!BD:BD,0),9)</f>
        <v>Florfénicol</v>
      </c>
      <c r="C96" s="257" t="str">
        <f ca="1">INDEX(Données_ATB!BD:BP,MATCH(A96,Données_ATB!BD:BD,0),13)</f>
        <v>Phenicoles</v>
      </c>
      <c r="D96" t="e">
        <f t="shared" ca="1" si="6"/>
        <v>#VALUE!</v>
      </c>
      <c r="E96" s="1" t="e">
        <f t="shared" ca="1" si="7"/>
        <v>#VALUE!</v>
      </c>
      <c r="F96" s="1" t="e">
        <f t="shared" ca="1" si="8"/>
        <v>#VALUE!</v>
      </c>
    </row>
    <row r="97" spans="1:6" ht="22.5" customHeight="1" x14ac:dyDescent="0.3">
      <c r="A97" s="255" t="str">
        <f>Données_ATB!BD84</f>
        <v>CALF-MEAL</v>
      </c>
      <c r="B97" s="256" t="str">
        <f ca="1">INDEX(Données_ATB!BD:BP,MATCH(A97,Données_ATB!BD:BD,0),9)</f>
        <v>Sulfadimidine + Néomycine</v>
      </c>
      <c r="C97" s="257" t="str">
        <f ca="1">INDEX(Données_ATB!BD:BP,MATCH(A97,Données_ATB!BD:BD,0),13)</f>
        <v>Sulfamides + Aminoglycosides</v>
      </c>
      <c r="D97" t="e">
        <f t="shared" ca="1" si="6"/>
        <v>#VALUE!</v>
      </c>
      <c r="E97" s="1" t="e">
        <f t="shared" ca="1" si="7"/>
        <v>#VALUE!</v>
      </c>
      <c r="F97" s="1" t="e">
        <f t="shared" ca="1" si="8"/>
        <v>#VALUE!</v>
      </c>
    </row>
    <row r="98" spans="1:6" ht="22.5" customHeight="1" x14ac:dyDescent="0.3">
      <c r="A98" s="255" t="str">
        <f>Données_ATB!BD85</f>
        <v>CAPTALIN</v>
      </c>
      <c r="B98" s="256" t="str">
        <f ca="1">INDEX(Données_ATB!BD:BP,MATCH(A98,Données_ATB!BD:BD,0),9)</f>
        <v>Spiramycine</v>
      </c>
      <c r="C98" s="257" t="str">
        <f ca="1">INDEX(Données_ATB!BD:BP,MATCH(A98,Données_ATB!BD:BD,0),13)</f>
        <v>Macrolides</v>
      </c>
      <c r="D98" t="e">
        <f t="shared" ca="1" si="6"/>
        <v>#VALUE!</v>
      </c>
      <c r="E98" s="1" t="e">
        <f t="shared" ca="1" si="7"/>
        <v>#VALUE!</v>
      </c>
      <c r="F98" s="1" t="e">
        <f t="shared" ca="1" si="8"/>
        <v>#VALUE!</v>
      </c>
    </row>
    <row r="99" spans="1:6" ht="22.5" customHeight="1" x14ac:dyDescent="0.3">
      <c r="A99" s="255" t="str">
        <f>Données_ATB!BD86</f>
        <v>CEFENIL 50 MG/ML</v>
      </c>
      <c r="B99" s="256" t="str">
        <f ca="1">INDEX(Données_ATB!BD:BP,MATCH(A99,Données_ATB!BD:BD,0),9)</f>
        <v>Ceftiofur</v>
      </c>
      <c r="C99" s="257" t="str">
        <f ca="1">INDEX(Données_ATB!BD:BP,MATCH(A99,Données_ATB!BD:BD,0),13)</f>
        <v>Cephalosporines 3&amp;4G</v>
      </c>
      <c r="D99" t="e">
        <f t="shared" ca="1" si="6"/>
        <v>#VALUE!</v>
      </c>
      <c r="E99" s="1" t="str">
        <f t="shared" ca="1" si="7"/>
        <v>x</v>
      </c>
      <c r="F99" s="1" t="e">
        <f t="shared" ca="1" si="8"/>
        <v>#VALUE!</v>
      </c>
    </row>
    <row r="100" spans="1:6" ht="22.5" customHeight="1" x14ac:dyDescent="0.3">
      <c r="A100" s="255" t="str">
        <f>Données_ATB!BD87</f>
        <v>CEFENIL RTU VET 50 MG/ML SUSPENSION INJECTABLE POUR PORCS ET BOVINS</v>
      </c>
      <c r="B100" s="256" t="str">
        <f ca="1">INDEX(Données_ATB!BD:BP,MATCH(A100,Données_ATB!BD:BD,0),9)</f>
        <v>Ceftiofur</v>
      </c>
      <c r="C100" s="257" t="str">
        <f ca="1">INDEX(Données_ATB!BD:BP,MATCH(A100,Données_ATB!BD:BD,0),13)</f>
        <v>Cephalosporines 3&amp;4G</v>
      </c>
      <c r="D100" t="e">
        <f t="shared" ca="1" si="6"/>
        <v>#VALUE!</v>
      </c>
      <c r="E100" s="1" t="str">
        <f t="shared" ca="1" si="7"/>
        <v>x</v>
      </c>
      <c r="F100" s="1" t="e">
        <f t="shared" ca="1" si="8"/>
        <v>#VALUE!</v>
      </c>
    </row>
    <row r="101" spans="1:6" ht="22.5" customHeight="1" x14ac:dyDescent="0.3">
      <c r="A101" s="255" t="str">
        <f>Données_ATB!BD88</f>
        <v>CEFOKEL 50 MG/ML SUSPENSION INJECTABLE POUR PORCINS ET BOVINS</v>
      </c>
      <c r="B101" s="256" t="str">
        <f ca="1">INDEX(Données_ATB!BD:BP,MATCH(A101,Données_ATB!BD:BD,0),9)</f>
        <v>Ceftiofur</v>
      </c>
      <c r="C101" s="257" t="str">
        <f ca="1">INDEX(Données_ATB!BD:BP,MATCH(A101,Données_ATB!BD:BD,0),13)</f>
        <v>Cephalosporines 3&amp;4G</v>
      </c>
      <c r="D101" t="e">
        <f t="shared" ca="1" si="6"/>
        <v>#VALUE!</v>
      </c>
      <c r="E101" s="1" t="str">
        <f t="shared" ca="1" si="7"/>
        <v>x</v>
      </c>
      <c r="F101" s="1" t="e">
        <f t="shared" ca="1" si="8"/>
        <v>#VALUE!</v>
      </c>
    </row>
    <row r="102" spans="1:6" ht="22.5" customHeight="1" x14ac:dyDescent="0.3">
      <c r="A102" s="255" t="str">
        <f>Données_ATB!BD89</f>
        <v>CEFOVET</v>
      </c>
      <c r="B102" s="256" t="str">
        <f ca="1">INDEX(Données_ATB!BD:BP,MATCH(A102,Données_ATB!BD:BD,0),9)</f>
        <v>Céfazoline</v>
      </c>
      <c r="C102" s="257" t="str">
        <f ca="1">INDEX(Données_ATB!BD:BP,MATCH(A102,Données_ATB!BD:BD,0),13)</f>
        <v>Cephalosporines 1&amp;2G</v>
      </c>
      <c r="D102" t="e">
        <f t="shared" ca="1" si="6"/>
        <v>#VALUE!</v>
      </c>
      <c r="E102" s="1" t="e">
        <f t="shared" ca="1" si="7"/>
        <v>#VALUE!</v>
      </c>
      <c r="F102" s="1" t="e">
        <f t="shared" ca="1" si="8"/>
        <v>#VALUE!</v>
      </c>
    </row>
    <row r="103" spans="1:6" ht="22.5" customHeight="1" x14ac:dyDescent="0.3">
      <c r="A103" s="255" t="str">
        <f>Données_ATB!BD90</f>
        <v>CEFOVET HL</v>
      </c>
      <c r="B103" s="256" t="str">
        <f ca="1">INDEX(Données_ATB!BD:BP,MATCH(A103,Données_ATB!BD:BD,0),9)</f>
        <v>Céfazoline</v>
      </c>
      <c r="C103" s="257" t="str">
        <f ca="1">INDEX(Données_ATB!BD:BP,MATCH(A103,Données_ATB!BD:BD,0),13)</f>
        <v>Cephalosporines 1&amp;2G</v>
      </c>
      <c r="D103" t="e">
        <f t="shared" ca="1" si="6"/>
        <v>#VALUE!</v>
      </c>
      <c r="E103" s="1" t="e">
        <f t="shared" ca="1" si="7"/>
        <v>#VALUE!</v>
      </c>
      <c r="F103" s="1" t="e">
        <f t="shared" ca="1" si="8"/>
        <v>#VALUE!</v>
      </c>
    </row>
    <row r="104" spans="1:6" ht="22.5" customHeight="1" x14ac:dyDescent="0.3">
      <c r="A104" s="255" t="str">
        <f>Données_ATB!BD91</f>
        <v>CEFSHOT 250 MG SUSPENSION INTRAMAMMAIRE POUR VACHES AU TARISSEMENT</v>
      </c>
      <c r="B104" s="256" t="str">
        <f ca="1">INDEX(Données_ATB!BD:BP,MATCH(A104,Données_ATB!BD:BD,0),9)</f>
        <v>Céfalonium</v>
      </c>
      <c r="C104" s="257" t="str">
        <f ca="1">INDEX(Données_ATB!BD:BP,MATCH(A104,Données_ATB!BD:BD,0),13)</f>
        <v>Cephalosporines 1&amp;2G</v>
      </c>
      <c r="D104" t="e">
        <f t="shared" ca="1" si="6"/>
        <v>#VALUE!</v>
      </c>
      <c r="E104" s="1" t="e">
        <f t="shared" ca="1" si="7"/>
        <v>#VALUE!</v>
      </c>
      <c r="F104" s="1" t="e">
        <f t="shared" ca="1" si="8"/>
        <v>#VALUE!</v>
      </c>
    </row>
    <row r="105" spans="1:6" ht="22.5" customHeight="1" x14ac:dyDescent="0.3">
      <c r="A105" s="255" t="str">
        <f>Données_ATB!BD92</f>
        <v>CEFTIOCYL 50 MG/ML SUSPENSION INJECTABLE POUR BOVINS ET PORCINS</v>
      </c>
      <c r="B105" s="256" t="str">
        <f ca="1">INDEX(Données_ATB!BD:BP,MATCH(A105,Données_ATB!BD:BD,0),9)</f>
        <v>Ceftiofur</v>
      </c>
      <c r="C105" s="257" t="str">
        <f ca="1">INDEX(Données_ATB!BD:BP,MATCH(A105,Données_ATB!BD:BD,0),13)</f>
        <v>Cephalosporines 3&amp;4G</v>
      </c>
      <c r="D105" t="e">
        <f t="shared" ca="1" si="6"/>
        <v>#VALUE!</v>
      </c>
      <c r="E105" s="1" t="str">
        <f t="shared" ca="1" si="7"/>
        <v>x</v>
      </c>
      <c r="F105" s="1" t="e">
        <f t="shared" ca="1" si="8"/>
        <v>#VALUE!</v>
      </c>
    </row>
    <row r="106" spans="1:6" ht="22.5" customHeight="1" x14ac:dyDescent="0.3">
      <c r="A106" s="255" t="str">
        <f>Données_ATB!BD93</f>
        <v>CEMAY 50 MG/ML SUSPENSION INJECTABLE POUR PORCS ET BOVINS</v>
      </c>
      <c r="B106" s="256" t="str">
        <f ca="1">INDEX(Données_ATB!BD:BP,MATCH(A106,Données_ATB!BD:BD,0),9)</f>
        <v>Ceftiofur</v>
      </c>
      <c r="C106" s="257" t="str">
        <f ca="1">INDEX(Données_ATB!BD:BP,MATCH(A106,Données_ATB!BD:BD,0),13)</f>
        <v>Cephalosporines 3&amp;4G</v>
      </c>
      <c r="D106" t="e">
        <f t="shared" ca="1" si="6"/>
        <v>#VALUE!</v>
      </c>
      <c r="E106" s="1" t="str">
        <f t="shared" ca="1" si="7"/>
        <v>x</v>
      </c>
      <c r="F106" s="1" t="e">
        <f t="shared" ca="1" si="8"/>
        <v>#VALUE!</v>
      </c>
    </row>
    <row r="107" spans="1:6" ht="22.5" customHeight="1" x14ac:dyDescent="0.3">
      <c r="A107" s="255" t="str">
        <f>Données_ATB!BD94</f>
        <v>CENTRAUREO</v>
      </c>
      <c r="B107" s="256" t="str">
        <f ca="1">INDEX(Données_ATB!BD:BP,MATCH(A107,Données_ATB!BD:BD,0),9)</f>
        <v>Chlortétracycline</v>
      </c>
      <c r="C107" s="257" t="str">
        <f ca="1">INDEX(Données_ATB!BD:BP,MATCH(A107,Données_ATB!BD:BD,0),13)</f>
        <v>Tetracyclines</v>
      </c>
      <c r="D107" t="e">
        <f t="shared" ca="1" si="6"/>
        <v>#VALUE!</v>
      </c>
      <c r="E107" s="1" t="e">
        <f t="shared" ca="1" si="7"/>
        <v>#VALUE!</v>
      </c>
      <c r="F107" s="1" t="e">
        <f t="shared" ca="1" si="8"/>
        <v>#VALUE!</v>
      </c>
    </row>
    <row r="108" spans="1:6" ht="22.5" customHeight="1" x14ac:dyDescent="0.3">
      <c r="A108" s="255" t="str">
        <f>Données_ATB!BD95</f>
        <v>CEPRAVIN</v>
      </c>
      <c r="B108" s="256" t="str">
        <f ca="1">INDEX(Données_ATB!BD:BP,MATCH(A108,Données_ATB!BD:BD,0),9)</f>
        <v>Céfalonium</v>
      </c>
      <c r="C108" s="257" t="str">
        <f ca="1">INDEX(Données_ATB!BD:BP,MATCH(A108,Données_ATB!BD:BD,0),13)</f>
        <v>Cephalosporines 1&amp;2G</v>
      </c>
      <c r="D108" t="e">
        <f t="shared" ca="1" si="6"/>
        <v>#VALUE!</v>
      </c>
      <c r="E108" s="1" t="e">
        <f t="shared" ca="1" si="7"/>
        <v>#VALUE!</v>
      </c>
      <c r="F108" s="1" t="e">
        <f t="shared" ca="1" si="8"/>
        <v>#VALUE!</v>
      </c>
    </row>
    <row r="109" spans="1:6" ht="22.5" customHeight="1" x14ac:dyDescent="0.3">
      <c r="A109" s="255" t="str">
        <f>Données_ATB!BD96</f>
        <v>CEVAMULINE SOLUTION LAPIN</v>
      </c>
      <c r="B109" s="256" t="str">
        <f ca="1">INDEX(Données_ATB!BD:BP,MATCH(A109,Données_ATB!BD:BD,0),9)</f>
        <v>Tiamuline</v>
      </c>
      <c r="C109" s="257" t="str">
        <f ca="1">INDEX(Données_ATB!BD:BP,MATCH(A109,Données_ATB!BD:BD,0),13)</f>
        <v>Pleuromutilines</v>
      </c>
      <c r="D109" t="e">
        <f t="shared" ca="1" si="6"/>
        <v>#VALUE!</v>
      </c>
      <c r="E109" s="1" t="e">
        <f t="shared" ca="1" si="7"/>
        <v>#VALUE!</v>
      </c>
      <c r="F109" s="1" t="e">
        <f t="shared" ca="1" si="8"/>
        <v>#VALUE!</v>
      </c>
    </row>
    <row r="110" spans="1:6" ht="22.5" customHeight="1" x14ac:dyDescent="0.3">
      <c r="A110" s="255" t="str">
        <f>Données_ATB!BD97</f>
        <v>CEVAXEL 50 MG/ML</v>
      </c>
      <c r="B110" s="256" t="str">
        <f ca="1">INDEX(Données_ATB!BD:BP,MATCH(A110,Données_ATB!BD:BD,0),9)</f>
        <v>Ceftiofur</v>
      </c>
      <c r="C110" s="257" t="str">
        <f ca="1">INDEX(Données_ATB!BD:BP,MATCH(A110,Données_ATB!BD:BD,0),13)</f>
        <v>Cephalosporines 3&amp;4G</v>
      </c>
      <c r="D110" t="e">
        <f t="shared" ca="1" si="6"/>
        <v>#VALUE!</v>
      </c>
      <c r="E110" s="1" t="str">
        <f t="shared" ca="1" si="7"/>
        <v>x</v>
      </c>
      <c r="F110" s="1" t="e">
        <f t="shared" ca="1" si="8"/>
        <v>#VALUE!</v>
      </c>
    </row>
    <row r="111" spans="1:6" ht="22.5" customHeight="1" x14ac:dyDescent="0.3">
      <c r="A111" s="255" t="str">
        <f>Données_ATB!BD98</f>
        <v>CEVAXEL-RTU 50 MG/ML SUSPENSION INJECTABLE POUR BOVINS ET PORCINS</v>
      </c>
      <c r="B111" s="256" t="str">
        <f ca="1">INDEX(Données_ATB!BD:BP,MATCH(A111,Données_ATB!BD:BD,0),9)</f>
        <v>Ceftiofur</v>
      </c>
      <c r="C111" s="257" t="str">
        <f ca="1">INDEX(Données_ATB!BD:BP,MATCH(A111,Données_ATB!BD:BD,0),13)</f>
        <v>Cephalosporines 3&amp;4G</v>
      </c>
      <c r="D111" t="e">
        <f t="shared" ca="1" si="6"/>
        <v>#VALUE!</v>
      </c>
      <c r="E111" s="1" t="str">
        <f t="shared" ca="1" si="7"/>
        <v>x</v>
      </c>
      <c r="F111" s="1" t="e">
        <f t="shared" ca="1" si="8"/>
        <v>#VALUE!</v>
      </c>
    </row>
    <row r="112" spans="1:6" ht="22.5" customHeight="1" x14ac:dyDescent="0.3">
      <c r="A112" s="255" t="str">
        <f>Données_ATB!BD99</f>
        <v>CHANENRO 100 MG/ML SOLUTION INJECTABLE POUR BOVINS ET PORCINS</v>
      </c>
      <c r="B112" s="256" t="str">
        <f ca="1">INDEX(Données_ATB!BD:BP,MATCH(A112,Données_ATB!BD:BD,0),9)</f>
        <v>Enrofloxacine</v>
      </c>
      <c r="C112" s="257" t="str">
        <f ca="1">INDEX(Données_ATB!BD:BP,MATCH(A112,Données_ATB!BD:BD,0),13)</f>
        <v>Fluoroquinolones</v>
      </c>
      <c r="D112" t="e">
        <f t="shared" ca="1" si="6"/>
        <v>#VALUE!</v>
      </c>
      <c r="E112" s="1" t="e">
        <f t="shared" ca="1" si="7"/>
        <v>#VALUE!</v>
      </c>
      <c r="F112" s="1" t="e">
        <f t="shared" ca="1" si="8"/>
        <v>#VALUE!</v>
      </c>
    </row>
    <row r="113" spans="1:6" ht="22.5" customHeight="1" x14ac:dyDescent="0.3">
      <c r="A113" s="255" t="str">
        <f>Données_ATB!BD100</f>
        <v>CHANENRO 50 MG/ML SOLUTION INJECTABLE POUR BOVINS, PORCINS, CHIENS ET CHATS</v>
      </c>
      <c r="B113" s="256" t="str">
        <f ca="1">INDEX(Données_ATB!BD:BP,MATCH(A113,Données_ATB!BD:BD,0),9)</f>
        <v>Enrofloxacine</v>
      </c>
      <c r="C113" s="257" t="str">
        <f ca="1">INDEX(Données_ATB!BD:BP,MATCH(A113,Données_ATB!BD:BD,0),13)</f>
        <v>Fluoroquinolones</v>
      </c>
      <c r="D113" t="e">
        <f t="shared" ca="1" si="6"/>
        <v>#VALUE!</v>
      </c>
      <c r="E113" s="1" t="e">
        <f t="shared" ca="1" si="7"/>
        <v>#VALUE!</v>
      </c>
      <c r="F113" s="1" t="e">
        <f t="shared" ca="1" si="8"/>
        <v>#VALUE!</v>
      </c>
    </row>
    <row r="114" spans="1:6" ht="22.5" customHeight="1" x14ac:dyDescent="0.3">
      <c r="A114" s="255" t="str">
        <f>Données_ATB!BD101</f>
        <v>CHLORIDAZINE S</v>
      </c>
      <c r="B114" s="256" t="str">
        <f ca="1">INDEX(Données_ATB!BD:BP,MATCH(A114,Données_ATB!BD:BD,0),9)</f>
        <v>Chlortétracycline + Sulfaméthoxypyridazine</v>
      </c>
      <c r="C114" s="257" t="str">
        <f ca="1">INDEX(Données_ATB!BD:BP,MATCH(A114,Données_ATB!BD:BD,0),13)</f>
        <v>Tetracyclines + Sulfamides</v>
      </c>
      <c r="D114" t="e">
        <f t="shared" ca="1" si="6"/>
        <v>#VALUE!</v>
      </c>
      <c r="E114" s="1" t="e">
        <f t="shared" ca="1" si="7"/>
        <v>#VALUE!</v>
      </c>
      <c r="F114" s="1" t="e">
        <f t="shared" ca="1" si="8"/>
        <v>#VALUE!</v>
      </c>
    </row>
    <row r="115" spans="1:6" ht="22.5" customHeight="1" x14ac:dyDescent="0.3">
      <c r="A115" s="255" t="str">
        <f>Données_ATB!BD102</f>
        <v>CHLORTERACYCLINE 0,50G VETOQUINOL</v>
      </c>
      <c r="B115" s="256" t="str">
        <f ca="1">INDEX(Données_ATB!BD:BP,MATCH(A115,Données_ATB!BD:BD,0),9)</f>
        <v>Chlortétracycline</v>
      </c>
      <c r="C115" s="257" t="str">
        <f ca="1">INDEX(Données_ATB!BD:BP,MATCH(A115,Données_ATB!BD:BD,0),13)</f>
        <v>Tetracyclines</v>
      </c>
      <c r="D115" t="e">
        <f t="shared" ca="1" si="6"/>
        <v>#VALUE!</v>
      </c>
      <c r="E115" s="1" t="e">
        <f t="shared" ca="1" si="7"/>
        <v>#VALUE!</v>
      </c>
      <c r="F115" s="1" t="e">
        <f t="shared" ca="1" si="8"/>
        <v>#VALUE!</v>
      </c>
    </row>
    <row r="116" spans="1:6" ht="22.5" customHeight="1" x14ac:dyDescent="0.3">
      <c r="A116" s="255" t="str">
        <f>Données_ATB!BD103</f>
        <v>CHLORTETRACYCLINE 100 PORC ET AGNEAU-CHEVREAU SEVRES SANTAMIX</v>
      </c>
      <c r="B116" s="256" t="str">
        <f ca="1">INDEX(Données_ATB!BD:BP,MATCH(A116,Données_ATB!BD:BD,0),9)</f>
        <v>Chlortétracycline</v>
      </c>
      <c r="C116" s="257" t="str">
        <f ca="1">INDEX(Données_ATB!BD:BP,MATCH(A116,Données_ATB!BD:BD,0),13)</f>
        <v>Tetracyclines</v>
      </c>
      <c r="D116" t="e">
        <f t="shared" ca="1" si="6"/>
        <v>#VALUE!</v>
      </c>
      <c r="E116" s="1" t="e">
        <f t="shared" ca="1" si="7"/>
        <v>#VALUE!</v>
      </c>
      <c r="F116" s="1" t="e">
        <f t="shared" ca="1" si="8"/>
        <v>#VALUE!</v>
      </c>
    </row>
    <row r="117" spans="1:6" ht="22.5" customHeight="1" x14ac:dyDescent="0.3">
      <c r="A117" s="255" t="str">
        <f>Données_ATB!BD104</f>
        <v>CHLORTETRACYCLINE 40 LAPIN-VOLAILLE-PORC ET AGNEAU-CHEVREAU SEVRES SANTAMIX</v>
      </c>
      <c r="B117" s="256" t="str">
        <f ca="1">INDEX(Données_ATB!BD:BP,MATCH(A117,Données_ATB!BD:BD,0),9)</f>
        <v>Chlortétracycline</v>
      </c>
      <c r="C117" s="257" t="str">
        <f ca="1">INDEX(Données_ATB!BD:BP,MATCH(A117,Données_ATB!BD:BD,0),13)</f>
        <v>Tetracyclines</v>
      </c>
      <c r="D117" t="e">
        <f t="shared" ca="1" si="6"/>
        <v>#VALUE!</v>
      </c>
      <c r="E117" s="1" t="e">
        <f t="shared" ca="1" si="7"/>
        <v>#VALUE!</v>
      </c>
      <c r="F117" s="1" t="e">
        <f t="shared" ca="1" si="8"/>
        <v>#VALUE!</v>
      </c>
    </row>
    <row r="118" spans="1:6" ht="22.5" customHeight="1" x14ac:dyDescent="0.3">
      <c r="A118" s="255" t="str">
        <f>Données_ATB!BD105</f>
        <v>CITRAMOX L.A. 150 MG/ML SUSPENSION INJECTABLE POUR BOVINS ET PORCINS</v>
      </c>
      <c r="B118" s="256" t="str">
        <f ca="1">INDEX(Données_ATB!BD:BP,MATCH(A118,Données_ATB!BD:BD,0),9)</f>
        <v>Amoxicilline</v>
      </c>
      <c r="C118" s="257" t="str">
        <f ca="1">INDEX(Données_ATB!BD:BP,MATCH(A118,Données_ATB!BD:BD,0),13)</f>
        <v>Penicillines</v>
      </c>
      <c r="D118" t="e">
        <f t="shared" ca="1" si="6"/>
        <v>#VALUE!</v>
      </c>
      <c r="E118" s="1" t="e">
        <f t="shared" ca="1" si="7"/>
        <v>#VALUE!</v>
      </c>
      <c r="F118" s="1" t="e">
        <f t="shared" ca="1" si="8"/>
        <v>#VALUE!</v>
      </c>
    </row>
    <row r="119" spans="1:6" ht="22.5" customHeight="1" x14ac:dyDescent="0.3">
      <c r="A119" s="255" t="str">
        <f>Données_ATB!BD106</f>
        <v>CK 2 - COLISTINE 2 000 000 UI/ML</v>
      </c>
      <c r="B119" s="256" t="str">
        <f ca="1">INDEX(Données_ATB!BD:BP,MATCH(A119,Données_ATB!BD:BD,0),9)</f>
        <v>Colistine</v>
      </c>
      <c r="C119" s="257" t="str">
        <f ca="1">INDEX(Données_ATB!BD:BP,MATCH(A119,Données_ATB!BD:BD,0),13)</f>
        <v>Polypeptides</v>
      </c>
      <c r="D119" t="str">
        <f t="shared" ca="1" si="6"/>
        <v>x</v>
      </c>
      <c r="E119" s="1" t="e">
        <f t="shared" ca="1" si="7"/>
        <v>#VALUE!</v>
      </c>
      <c r="F119" s="1" t="e">
        <f t="shared" ca="1" si="8"/>
        <v>#VALUE!</v>
      </c>
    </row>
    <row r="120" spans="1:6" ht="22.5" customHeight="1" x14ac:dyDescent="0.3">
      <c r="A120" s="255" t="str">
        <f>Données_ATB!BD107</f>
        <v>CK 4 - DOXYCYCLINE 50 MG/G</v>
      </c>
      <c r="B120" s="256" t="str">
        <f ca="1">INDEX(Données_ATB!BD:BP,MATCH(A120,Données_ATB!BD:BD,0),9)</f>
        <v>Doxycycline</v>
      </c>
      <c r="C120" s="257" t="str">
        <f ca="1">INDEX(Données_ATB!BD:BP,MATCH(A120,Données_ATB!BD:BD,0),13)</f>
        <v>Tetracyclines</v>
      </c>
      <c r="D120" t="e">
        <f t="shared" ca="1" si="6"/>
        <v>#VALUE!</v>
      </c>
      <c r="E120" s="1" t="e">
        <f t="shared" ca="1" si="7"/>
        <v>#VALUE!</v>
      </c>
      <c r="F120" s="1" t="e">
        <f t="shared" ca="1" si="8"/>
        <v>#VALUE!</v>
      </c>
    </row>
    <row r="121" spans="1:6" ht="22.5" customHeight="1" x14ac:dyDescent="0.3">
      <c r="A121" s="255" t="str">
        <f>Données_ATB!BD108</f>
        <v>CK 5 - OXYTETRACYCLINE 500 MG/G</v>
      </c>
      <c r="B121" s="256" t="str">
        <f ca="1">INDEX(Données_ATB!BD:BP,MATCH(A121,Données_ATB!BD:BD,0),9)</f>
        <v>Oxytétracycline</v>
      </c>
      <c r="C121" s="257" t="str">
        <f ca="1">INDEX(Données_ATB!BD:BP,MATCH(A121,Données_ATB!BD:BD,0),13)</f>
        <v>Tetracyclines</v>
      </c>
      <c r="D121" t="e">
        <f t="shared" ca="1" si="6"/>
        <v>#VALUE!</v>
      </c>
      <c r="E121" s="1" t="e">
        <f t="shared" ca="1" si="7"/>
        <v>#VALUE!</v>
      </c>
      <c r="F121" s="1" t="e">
        <f t="shared" ca="1" si="8"/>
        <v>#VALUE!</v>
      </c>
    </row>
    <row r="122" spans="1:6" ht="22.5" customHeight="1" x14ac:dyDescent="0.3">
      <c r="A122" s="255" t="str">
        <f>Données_ATB!BD109</f>
        <v>CK 7 - TRIMETHOPRIME 16,65 MG/ML SULFADIAZINE 83,35 MG/ML</v>
      </c>
      <c r="B122" s="256" t="str">
        <f ca="1">INDEX(Données_ATB!BD:BP,MATCH(A122,Données_ATB!BD:BD,0),9)</f>
        <v>Sulfadiazine + Triméthoprime</v>
      </c>
      <c r="C122" s="257" t="str">
        <f ca="1">INDEX(Données_ATB!BD:BP,MATCH(A122,Données_ATB!BD:BD,0),13)</f>
        <v>Sulfamides + Trimethoprime</v>
      </c>
      <c r="D122" t="e">
        <f t="shared" ca="1" si="6"/>
        <v>#VALUE!</v>
      </c>
      <c r="E122" s="1" t="e">
        <f t="shared" ca="1" si="7"/>
        <v>#VALUE!</v>
      </c>
      <c r="F122" s="1" t="e">
        <f t="shared" ca="1" si="8"/>
        <v>#VALUE!</v>
      </c>
    </row>
    <row r="123" spans="1:6" ht="22.5" customHeight="1" x14ac:dyDescent="0.3">
      <c r="A123" s="255" t="str">
        <f>Données_ATB!BD110</f>
        <v>CK 8 - TYLOSINE 100 MUI</v>
      </c>
      <c r="B123" s="256" t="str">
        <f ca="1">INDEX(Données_ATB!BD:BP,MATCH(A123,Données_ATB!BD:BD,0),9)</f>
        <v>Tylosine</v>
      </c>
      <c r="C123" s="257" t="str">
        <f ca="1">INDEX(Données_ATB!BD:BP,MATCH(A123,Données_ATB!BD:BD,0),13)</f>
        <v>Macrolides</v>
      </c>
      <c r="D123" t="e">
        <f t="shared" ca="1" si="6"/>
        <v>#VALUE!</v>
      </c>
      <c r="E123" s="1" t="e">
        <f t="shared" ca="1" si="7"/>
        <v>#VALUE!</v>
      </c>
      <c r="F123" s="1" t="e">
        <f t="shared" ca="1" si="8"/>
        <v>#VALUE!</v>
      </c>
    </row>
    <row r="124" spans="1:6" ht="22.5" customHeight="1" x14ac:dyDescent="0.3">
      <c r="A124" s="255" t="str">
        <f>Données_ATB!BD111</f>
        <v>CK 9 - TYLOSINE 92 000 UI/G</v>
      </c>
      <c r="B124" s="256" t="str">
        <f ca="1">INDEX(Données_ATB!BD:BP,MATCH(A124,Données_ATB!BD:BD,0),9)</f>
        <v>Tylosine</v>
      </c>
      <c r="C124" s="257" t="str">
        <f ca="1">INDEX(Données_ATB!BD:BP,MATCH(A124,Données_ATB!BD:BD,0),13)</f>
        <v>Macrolides</v>
      </c>
      <c r="D124" t="e">
        <f t="shared" ca="1" si="6"/>
        <v>#VALUE!</v>
      </c>
      <c r="E124" s="1" t="e">
        <f t="shared" ca="1" si="7"/>
        <v>#VALUE!</v>
      </c>
      <c r="F124" s="1" t="e">
        <f t="shared" ca="1" si="8"/>
        <v>#VALUE!</v>
      </c>
    </row>
    <row r="125" spans="1:6" ht="22.5" customHeight="1" x14ac:dyDescent="0.3">
      <c r="A125" s="255" t="str">
        <f>Données_ATB!BD112</f>
        <v>CK6 - SOLU OXYTETRACYCLINE 500 MG/G</v>
      </c>
      <c r="B125" s="256" t="str">
        <f ca="1">INDEX(Données_ATB!BD:BP,MATCH(A125,Données_ATB!BD:BD,0),9)</f>
        <v>Oxytétracycline</v>
      </c>
      <c r="C125" s="257" t="str">
        <f ca="1">INDEX(Données_ATB!BD:BP,MATCH(A125,Données_ATB!BD:BD,0),13)</f>
        <v>Tetracyclines</v>
      </c>
      <c r="D125" t="e">
        <f t="shared" ca="1" si="6"/>
        <v>#VALUE!</v>
      </c>
      <c r="E125" s="1" t="e">
        <f t="shared" ca="1" si="7"/>
        <v>#VALUE!</v>
      </c>
      <c r="F125" s="1" t="e">
        <f t="shared" ca="1" si="8"/>
        <v>#VALUE!</v>
      </c>
    </row>
    <row r="126" spans="1:6" ht="22.5" customHeight="1" x14ac:dyDescent="0.3">
      <c r="A126" s="255" t="str">
        <f>Données_ATB!BD113</f>
        <v>CLAMOXYL LA</v>
      </c>
      <c r="B126" s="256" t="str">
        <f ca="1">INDEX(Données_ATB!BD:BP,MATCH(A126,Données_ATB!BD:BD,0),9)</f>
        <v>Amoxicilline</v>
      </c>
      <c r="C126" s="257" t="str">
        <f ca="1">INDEX(Données_ATB!BD:BP,MATCH(A126,Données_ATB!BD:BD,0),13)</f>
        <v>Penicillines</v>
      </c>
      <c r="D126" t="e">
        <f t="shared" ca="1" si="6"/>
        <v>#VALUE!</v>
      </c>
      <c r="E126" s="1" t="e">
        <f t="shared" ca="1" si="7"/>
        <v>#VALUE!</v>
      </c>
      <c r="F126" s="1" t="e">
        <f t="shared" ca="1" si="8"/>
        <v>#VALUE!</v>
      </c>
    </row>
    <row r="127" spans="1:6" ht="22.5" customHeight="1" x14ac:dyDescent="0.3">
      <c r="A127" s="255" t="str">
        <f>Données_ATB!BD114</f>
        <v>CLAMOXYL OBLET GYNECOLOGIQUE</v>
      </c>
      <c r="B127" s="256" t="str">
        <f ca="1">INDEX(Données_ATB!BD:BP,MATCH(A127,Données_ATB!BD:BD,0),9)</f>
        <v>Amoxicilline</v>
      </c>
      <c r="C127" s="257" t="str">
        <f ca="1">INDEX(Données_ATB!BD:BP,MATCH(A127,Données_ATB!BD:BD,0),13)</f>
        <v>Penicillines</v>
      </c>
      <c r="D127" t="e">
        <f t="shared" ca="1" si="6"/>
        <v>#VALUE!</v>
      </c>
      <c r="E127" s="1" t="e">
        <f t="shared" ca="1" si="7"/>
        <v>#VALUE!</v>
      </c>
      <c r="F127" s="1" t="e">
        <f t="shared" ca="1" si="8"/>
        <v>#VALUE!</v>
      </c>
    </row>
    <row r="128" spans="1:6" ht="22.5" customHeight="1" x14ac:dyDescent="0.3">
      <c r="A128" s="255" t="str">
        <f>Données_ATB!BD115</f>
        <v>CLAMOXYL SUSPENSION</v>
      </c>
      <c r="B128" s="256" t="str">
        <f ca="1">INDEX(Données_ATB!BD:BP,MATCH(A128,Données_ATB!BD:BD,0),9)</f>
        <v>Amoxicilline</v>
      </c>
      <c r="C128" s="257" t="str">
        <f ca="1">INDEX(Données_ATB!BD:BP,MATCH(A128,Données_ATB!BD:BD,0),13)</f>
        <v>Penicillines</v>
      </c>
      <c r="D128" t="e">
        <f t="shared" ca="1" si="6"/>
        <v>#VALUE!</v>
      </c>
      <c r="E128" s="1" t="e">
        <f t="shared" ca="1" si="7"/>
        <v>#VALUE!</v>
      </c>
      <c r="F128" s="1" t="e">
        <f t="shared" ca="1" si="8"/>
        <v>#VALUE!</v>
      </c>
    </row>
    <row r="129" spans="1:6" ht="22.5" customHeight="1" x14ac:dyDescent="0.3">
      <c r="A129" s="255" t="str">
        <f>Données_ATB!BD116</f>
        <v>CLAVOBAY SUSPENSION INJECTABLE</v>
      </c>
      <c r="B129" s="256" t="str">
        <f ca="1">INDEX(Données_ATB!BD:BP,MATCH(A129,Données_ATB!BD:BD,0),9)</f>
        <v>Amoxicilline + Acide clavulanique</v>
      </c>
      <c r="C129" s="257" t="str">
        <f ca="1">INDEX(Données_ATB!BD:BP,MATCH(A129,Données_ATB!BD:BD,0),13)</f>
        <v>Penicillines + Acide clavulanique</v>
      </c>
      <c r="D129" t="e">
        <f t="shared" ca="1" si="6"/>
        <v>#VALUE!</v>
      </c>
      <c r="E129" s="1" t="e">
        <f t="shared" ca="1" si="7"/>
        <v>#VALUE!</v>
      </c>
      <c r="F129" s="1" t="e">
        <f t="shared" ca="1" si="8"/>
        <v>#VALUE!</v>
      </c>
    </row>
    <row r="130" spans="1:6" ht="22.5" customHeight="1" x14ac:dyDescent="0.3">
      <c r="A130" s="255" t="str">
        <f>Données_ATB!BD117</f>
        <v>CLOXAGEL HL 500</v>
      </c>
      <c r="B130" s="256" t="str">
        <f ca="1">INDEX(Données_ATB!BD:BP,MATCH(A130,Données_ATB!BD:BD,0),9)</f>
        <v>Cloxacilline + Néomycine</v>
      </c>
      <c r="C130" s="257" t="str">
        <f ca="1">INDEX(Données_ATB!BD:BP,MATCH(A130,Données_ATB!BD:BD,0),13)</f>
        <v>Penicillines + Aminoglycosides</v>
      </c>
      <c r="D130" t="e">
        <f t="shared" ca="1" si="6"/>
        <v>#VALUE!</v>
      </c>
      <c r="E130" s="1" t="e">
        <f t="shared" ca="1" si="7"/>
        <v>#VALUE!</v>
      </c>
      <c r="F130" s="1" t="e">
        <f t="shared" ca="1" si="8"/>
        <v>#VALUE!</v>
      </c>
    </row>
    <row r="131" spans="1:6" ht="22.5" customHeight="1" x14ac:dyDescent="0.3">
      <c r="A131" s="255" t="str">
        <f>Données_ATB!BD118</f>
        <v>CLOXAMAM</v>
      </c>
      <c r="B131" s="256" t="str">
        <f ca="1">INDEX(Données_ATB!BD:BP,MATCH(A131,Données_ATB!BD:BD,0),9)</f>
        <v>Cloxacilline</v>
      </c>
      <c r="C131" s="257" t="str">
        <f ca="1">INDEX(Données_ATB!BD:BP,MATCH(A131,Données_ATB!BD:BD,0),13)</f>
        <v>Penicillines</v>
      </c>
      <c r="D131" t="e">
        <f t="shared" ca="1" si="6"/>
        <v>#VALUE!</v>
      </c>
      <c r="E131" s="1" t="e">
        <f t="shared" ca="1" si="7"/>
        <v>#VALUE!</v>
      </c>
      <c r="F131" s="1" t="e">
        <f t="shared" ca="1" si="8"/>
        <v>#VALUE!</v>
      </c>
    </row>
    <row r="132" spans="1:6" ht="22.5" customHeight="1" x14ac:dyDescent="0.3">
      <c r="A132" s="255" t="str">
        <f>Données_ATB!BD119</f>
        <v>CLOXINE HL</v>
      </c>
      <c r="B132" s="256" t="str">
        <f ca="1">INDEX(Données_ATB!BD:BP,MATCH(A132,Données_ATB!BD:BD,0),9)</f>
        <v>Cloxacilline</v>
      </c>
      <c r="C132" s="257" t="str">
        <f ca="1">INDEX(Données_ATB!BD:BP,MATCH(A132,Données_ATB!BD:BD,0),13)</f>
        <v>Penicillines</v>
      </c>
      <c r="D132" t="e">
        <f t="shared" ca="1" si="6"/>
        <v>#VALUE!</v>
      </c>
      <c r="E132" s="1" t="e">
        <f t="shared" ca="1" si="7"/>
        <v>#VALUE!</v>
      </c>
      <c r="F132" s="1" t="e">
        <f t="shared" ca="1" si="8"/>
        <v>#VALUE!</v>
      </c>
    </row>
    <row r="133" spans="1:6" ht="22.5" customHeight="1" x14ac:dyDescent="0.3">
      <c r="A133" s="255" t="str">
        <f>Données_ATB!BD120</f>
        <v>COBACTAN 2,5 %</v>
      </c>
      <c r="B133" s="256" t="str">
        <f ca="1">INDEX(Données_ATB!BD:BP,MATCH(A133,Données_ATB!BD:BD,0),9)</f>
        <v>Cefquinome</v>
      </c>
      <c r="C133" s="257" t="str">
        <f ca="1">INDEX(Données_ATB!BD:BP,MATCH(A133,Données_ATB!BD:BD,0),13)</f>
        <v>Cephalosporines 3&amp;4G</v>
      </c>
      <c r="D133" t="e">
        <f t="shared" ca="1" si="6"/>
        <v>#VALUE!</v>
      </c>
      <c r="E133" s="1" t="str">
        <f t="shared" ca="1" si="7"/>
        <v>x</v>
      </c>
      <c r="F133" s="1" t="e">
        <f t="shared" ca="1" si="8"/>
        <v>#VALUE!</v>
      </c>
    </row>
    <row r="134" spans="1:6" ht="22.5" customHeight="1" x14ac:dyDescent="0.3">
      <c r="A134" s="255" t="str">
        <f>Données_ATB!BD121</f>
        <v>COBACTAN 4,5 % PS</v>
      </c>
      <c r="B134" s="256" t="str">
        <f ca="1">INDEX(Données_ATB!BD:BP,MATCH(A134,Données_ATB!BD:BD,0),9)</f>
        <v>Cefquinome</v>
      </c>
      <c r="C134" s="257" t="str">
        <f ca="1">INDEX(Données_ATB!BD:BP,MATCH(A134,Données_ATB!BD:BD,0),13)</f>
        <v>Cephalosporines 3&amp;4G</v>
      </c>
      <c r="D134" t="e">
        <f t="shared" ca="1" si="6"/>
        <v>#VALUE!</v>
      </c>
      <c r="E134" s="1" t="str">
        <f t="shared" ca="1" si="7"/>
        <v>x</v>
      </c>
      <c r="F134" s="1" t="e">
        <f t="shared" ca="1" si="8"/>
        <v>#VALUE!</v>
      </c>
    </row>
    <row r="135" spans="1:6" ht="22.5" customHeight="1" x14ac:dyDescent="0.3">
      <c r="A135" s="255" t="str">
        <f>Données_ATB!BD122</f>
        <v>COBACTAN LA 7,5 % SUSPENSION INJECTABLE POUR BOVINS</v>
      </c>
      <c r="B135" s="256" t="str">
        <f ca="1">INDEX(Données_ATB!BD:BP,MATCH(A135,Données_ATB!BD:BD,0),9)</f>
        <v>Cefquinome</v>
      </c>
      <c r="C135" s="257" t="str">
        <f ca="1">INDEX(Données_ATB!BD:BP,MATCH(A135,Données_ATB!BD:BD,0),13)</f>
        <v>Cephalosporines 3&amp;4G</v>
      </c>
      <c r="D135" t="e">
        <f t="shared" ca="1" si="6"/>
        <v>#VALUE!</v>
      </c>
      <c r="E135" s="1" t="str">
        <f t="shared" ca="1" si="7"/>
        <v>x</v>
      </c>
      <c r="F135" s="1" t="e">
        <f t="shared" ca="1" si="8"/>
        <v>#VALUE!</v>
      </c>
    </row>
    <row r="136" spans="1:6" ht="22.5" customHeight="1" x14ac:dyDescent="0.3">
      <c r="A136" s="255" t="str">
        <f>Données_ATB!BD123</f>
        <v>COBACTAN LC POMMADE INTRAMAMMAIRE</v>
      </c>
      <c r="B136" s="256" t="str">
        <f ca="1">INDEX(Données_ATB!BD:BP,MATCH(A136,Données_ATB!BD:BD,0),9)</f>
        <v>Cefquinome</v>
      </c>
      <c r="C136" s="257" t="str">
        <f ca="1">INDEX(Données_ATB!BD:BP,MATCH(A136,Données_ATB!BD:BD,0),13)</f>
        <v>Cephalosporines 3&amp;4G</v>
      </c>
      <c r="D136" t="e">
        <f t="shared" ca="1" si="6"/>
        <v>#VALUE!</v>
      </c>
      <c r="E136" s="1" t="str">
        <f t="shared" ca="1" si="7"/>
        <v>x</v>
      </c>
      <c r="F136" s="1" t="e">
        <f t="shared" ca="1" si="8"/>
        <v>#VALUE!</v>
      </c>
    </row>
    <row r="137" spans="1:6" ht="22.5" customHeight="1" x14ac:dyDescent="0.3">
      <c r="A137" s="255" t="str">
        <f>Données_ATB!BD124</f>
        <v>COFACOLI POUDRE</v>
      </c>
      <c r="B137" s="256" t="str">
        <f ca="1">INDEX(Données_ATB!BD:BP,MATCH(A137,Données_ATB!BD:BD,0),9)</f>
        <v>Colistine</v>
      </c>
      <c r="C137" s="257" t="str">
        <f ca="1">INDEX(Données_ATB!BD:BP,MATCH(A137,Données_ATB!BD:BD,0),13)</f>
        <v>Polypeptides</v>
      </c>
      <c r="D137" t="str">
        <f t="shared" ca="1" si="6"/>
        <v>x</v>
      </c>
      <c r="E137" s="1" t="e">
        <f t="shared" ca="1" si="7"/>
        <v>#VALUE!</v>
      </c>
      <c r="F137" s="1" t="e">
        <f t="shared" ca="1" si="8"/>
        <v>#VALUE!</v>
      </c>
    </row>
    <row r="138" spans="1:6" ht="22.5" customHeight="1" x14ac:dyDescent="0.3">
      <c r="A138" s="255" t="str">
        <f>Données_ATB!BD125</f>
        <v>COFACOLI SOLUTION</v>
      </c>
      <c r="B138" s="256" t="str">
        <f ca="1">INDEX(Données_ATB!BD:BP,MATCH(A138,Données_ATB!BD:BD,0),9)</f>
        <v>Colistine</v>
      </c>
      <c r="C138" s="257" t="str">
        <f ca="1">INDEX(Données_ATB!BD:BP,MATCH(A138,Données_ATB!BD:BD,0),13)</f>
        <v>Polypeptides</v>
      </c>
      <c r="D138" t="str">
        <f t="shared" ca="1" si="6"/>
        <v>x</v>
      </c>
      <c r="E138" s="1" t="e">
        <f t="shared" ca="1" si="7"/>
        <v>#VALUE!</v>
      </c>
      <c r="F138" s="1" t="e">
        <f t="shared" ca="1" si="8"/>
        <v>#VALUE!</v>
      </c>
    </row>
    <row r="139" spans="1:6" ht="22.5" customHeight="1" x14ac:dyDescent="0.3">
      <c r="A139" s="255" t="str">
        <f>Données_ATB!BD126</f>
        <v>COFALAC</v>
      </c>
      <c r="B139" s="256" t="str">
        <f ca="1">INDEX(Données_ATB!BD:BP,MATCH(A139,Données_ATB!BD:BD,0),9)</f>
        <v>Colistine</v>
      </c>
      <c r="C139" s="257" t="str">
        <f ca="1">INDEX(Données_ATB!BD:BP,MATCH(A139,Données_ATB!BD:BD,0),13)</f>
        <v>Polypeptides</v>
      </c>
      <c r="D139" t="str">
        <f t="shared" ca="1" si="6"/>
        <v>x</v>
      </c>
      <c r="E139" s="1" t="e">
        <f t="shared" ca="1" si="7"/>
        <v>#VALUE!</v>
      </c>
      <c r="F139" s="1" t="e">
        <f t="shared" ca="1" si="8"/>
        <v>#VALUE!</v>
      </c>
    </row>
    <row r="140" spans="1:6" ht="22.5" customHeight="1" x14ac:dyDescent="0.3">
      <c r="A140" s="255" t="str">
        <f>Données_ATB!BD127</f>
        <v>COFAMIX ACIDE OXOLINIQUE 40 VOLAILLE</v>
      </c>
      <c r="B140" s="256" t="str">
        <f ca="1">INDEX(Données_ATB!BD:BP,MATCH(A140,Données_ATB!BD:BD,0),9)</f>
        <v>Acide oxolinique</v>
      </c>
      <c r="C140" s="257" t="str">
        <f ca="1">INDEX(Données_ATB!BD:BP,MATCH(A140,Données_ATB!BD:BD,0),13)</f>
        <v>Quinolones</v>
      </c>
      <c r="D140" t="e">
        <f t="shared" ca="1" si="6"/>
        <v>#VALUE!</v>
      </c>
      <c r="E140" s="1" t="e">
        <f t="shared" ca="1" si="7"/>
        <v>#VALUE!</v>
      </c>
      <c r="F140" s="1" t="e">
        <f t="shared" ca="1" si="8"/>
        <v>#VALUE!</v>
      </c>
    </row>
    <row r="141" spans="1:6" ht="22.5" customHeight="1" x14ac:dyDescent="0.3">
      <c r="A141" s="255" t="str">
        <f>Données_ATB!BD128</f>
        <v>COFAMIX ACIDE OXOLINIQUE 80 porc</v>
      </c>
      <c r="B141" s="256" t="str">
        <f ca="1">INDEX(Données_ATB!BD:BP,MATCH(A141,Données_ATB!BD:BD,0),9)</f>
        <v>Acide oxolinique</v>
      </c>
      <c r="C141" s="257" t="str">
        <f ca="1">INDEX(Données_ATB!BD:BP,MATCH(A141,Données_ATB!BD:BD,0),13)</f>
        <v>Quinolones</v>
      </c>
      <c r="D141" t="e">
        <f t="shared" ca="1" si="6"/>
        <v>#VALUE!</v>
      </c>
      <c r="E141" s="1" t="e">
        <f t="shared" ca="1" si="7"/>
        <v>#VALUE!</v>
      </c>
      <c r="F141" s="1" t="e">
        <f t="shared" ca="1" si="8"/>
        <v>#VALUE!</v>
      </c>
    </row>
    <row r="142" spans="1:6" ht="22.5" customHeight="1" x14ac:dyDescent="0.3">
      <c r="A142" s="255" t="str">
        <f>Données_ATB!BD129</f>
        <v>COFAMIX AMOXICILLINE 100 PORC</v>
      </c>
      <c r="B142" s="256" t="str">
        <f ca="1">INDEX(Données_ATB!BD:BP,MATCH(A142,Données_ATB!BD:BD,0),9)</f>
        <v>Amoxicilline</v>
      </c>
      <c r="C142" s="257" t="str">
        <f ca="1">INDEX(Données_ATB!BD:BP,MATCH(A142,Données_ATB!BD:BD,0),13)</f>
        <v>Penicillines</v>
      </c>
      <c r="D142" t="e">
        <f t="shared" ca="1" si="6"/>
        <v>#VALUE!</v>
      </c>
      <c r="E142" s="1" t="e">
        <f t="shared" ca="1" si="7"/>
        <v>#VALUE!</v>
      </c>
      <c r="F142" s="1" t="e">
        <f t="shared" ca="1" si="8"/>
        <v>#VALUE!</v>
      </c>
    </row>
    <row r="143" spans="1:6" ht="22.5" customHeight="1" x14ac:dyDescent="0.3">
      <c r="A143" s="255" t="str">
        <f>Données_ATB!BD130</f>
        <v>COFAMOX 10</v>
      </c>
      <c r="B143" s="256" t="str">
        <f ca="1">INDEX(Données_ATB!BD:BP,MATCH(A143,Données_ATB!BD:BD,0),9)</f>
        <v>Amoxicilline</v>
      </c>
      <c r="C143" s="257" t="str">
        <f ca="1">INDEX(Données_ATB!BD:BP,MATCH(A143,Données_ATB!BD:BD,0),13)</f>
        <v>Penicillines</v>
      </c>
      <c r="D143" t="e">
        <f t="shared" ca="1" si="6"/>
        <v>#VALUE!</v>
      </c>
      <c r="E143" s="1" t="e">
        <f t="shared" ca="1" si="7"/>
        <v>#VALUE!</v>
      </c>
      <c r="F143" s="1" t="e">
        <f t="shared" ca="1" si="8"/>
        <v>#VALUE!</v>
      </c>
    </row>
    <row r="144" spans="1:6" ht="22.5" customHeight="1" x14ac:dyDescent="0.3">
      <c r="A144" s="255" t="str">
        <f>Données_ATB!BD131</f>
        <v>COFAMOX 15 L.A.</v>
      </c>
      <c r="B144" s="256" t="str">
        <f ca="1">INDEX(Données_ATB!BD:BP,MATCH(A144,Données_ATB!BD:BD,0),9)</f>
        <v>Amoxicilline</v>
      </c>
      <c r="C144" s="257" t="str">
        <f ca="1">INDEX(Données_ATB!BD:BP,MATCH(A144,Données_ATB!BD:BD,0),13)</f>
        <v>Penicillines</v>
      </c>
      <c r="D144" t="e">
        <f t="shared" ca="1" si="6"/>
        <v>#VALUE!</v>
      </c>
      <c r="E144" s="1" t="e">
        <f t="shared" ca="1" si="7"/>
        <v>#VALUE!</v>
      </c>
      <c r="F144" s="1" t="e">
        <f t="shared" ca="1" si="8"/>
        <v>#VALUE!</v>
      </c>
    </row>
    <row r="145" spans="1:6" ht="22.5" customHeight="1" x14ac:dyDescent="0.3">
      <c r="A145" s="255" t="str">
        <f>Données_ATB!BD132</f>
        <v>COFOXYL PO</v>
      </c>
      <c r="B145" s="256" t="str">
        <f ca="1">INDEX(Données_ATB!BD:BP,MATCH(A145,Données_ATB!BD:BD,0),9)</f>
        <v>Acide oxolinique</v>
      </c>
      <c r="C145" s="257" t="str">
        <f ca="1">INDEX(Données_ATB!BD:BP,MATCH(A145,Données_ATB!BD:BD,0),13)</f>
        <v>Quinolones</v>
      </c>
      <c r="D145" t="e">
        <f t="shared" ca="1" si="6"/>
        <v>#VALUE!</v>
      </c>
      <c r="E145" s="1" t="e">
        <f t="shared" ca="1" si="7"/>
        <v>#VALUE!</v>
      </c>
      <c r="F145" s="1" t="e">
        <f t="shared" ca="1" si="8"/>
        <v>#VALUE!</v>
      </c>
    </row>
    <row r="146" spans="1:6" ht="22.5" customHeight="1" x14ac:dyDescent="0.3">
      <c r="A146" s="255" t="str">
        <f>Données_ATB!BD133</f>
        <v>COLAMPI I</v>
      </c>
      <c r="B146" s="256" t="str">
        <f ca="1">INDEX(Données_ATB!BD:BP,MATCH(A146,Données_ATB!BD:BD,0),9)</f>
        <v>Ampicilline + Colistine</v>
      </c>
      <c r="C146" s="257" t="str">
        <f ca="1">INDEX(Données_ATB!BD:BP,MATCH(A146,Données_ATB!BD:BD,0),13)</f>
        <v>Penicillines + Polypeptides</v>
      </c>
      <c r="D146" t="str">
        <f t="shared" ca="1" si="6"/>
        <v>x</v>
      </c>
      <c r="E146" s="1" t="e">
        <f t="shared" ca="1" si="7"/>
        <v>#VALUE!</v>
      </c>
      <c r="F146" s="1" t="e">
        <f t="shared" ca="1" si="8"/>
        <v>#VALUE!</v>
      </c>
    </row>
    <row r="147" spans="1:6" ht="22.5" customHeight="1" x14ac:dyDescent="0.3">
      <c r="A147" s="255" t="str">
        <f>Données_ATB!BD134</f>
        <v>COLFEN 300 MG/ML SOLUTION INJECTABLE POUR BOVINS ET PORCINS</v>
      </c>
      <c r="B147" s="256" t="str">
        <f ca="1">INDEX(Données_ATB!BD:BP,MATCH(A147,Données_ATB!BD:BD,0),9)</f>
        <v>Florfénicol</v>
      </c>
      <c r="C147" s="257" t="str">
        <f ca="1">INDEX(Données_ATB!BD:BP,MATCH(A147,Données_ATB!BD:BD,0),13)</f>
        <v>Phenicoles</v>
      </c>
      <c r="D147" t="e">
        <f t="shared" ca="1" si="6"/>
        <v>#VALUE!</v>
      </c>
      <c r="E147" s="1" t="e">
        <f t="shared" ca="1" si="7"/>
        <v>#VALUE!</v>
      </c>
      <c r="F147" s="1" t="e">
        <f t="shared" ca="1" si="8"/>
        <v>#VALUE!</v>
      </c>
    </row>
    <row r="148" spans="1:6" ht="22.5" customHeight="1" x14ac:dyDescent="0.3">
      <c r="A148" s="255" t="str">
        <f>Données_ATB!BD135</f>
        <v>COLFIVE 5 000 000 UI/ML CONCENTRE POUR SOLUTION BUVABLE POUR VEAUX PORCINS AGNEAUX POULETS ET DINDES</v>
      </c>
      <c r="B148" s="256" t="str">
        <f ca="1">INDEX(Données_ATB!BD:BP,MATCH(A148,Données_ATB!BD:BD,0),9)</f>
        <v>Colistine</v>
      </c>
      <c r="C148" s="257" t="str">
        <f ca="1">INDEX(Données_ATB!BD:BP,MATCH(A148,Données_ATB!BD:BD,0),13)</f>
        <v>Polypeptides</v>
      </c>
      <c r="D148" t="str">
        <f t="shared" ca="1" si="6"/>
        <v>x</v>
      </c>
      <c r="E148" s="1" t="e">
        <f t="shared" ca="1" si="7"/>
        <v>#VALUE!</v>
      </c>
      <c r="F148" s="1" t="e">
        <f t="shared" ca="1" si="8"/>
        <v>#VALUE!</v>
      </c>
    </row>
    <row r="149" spans="1:6" ht="22.5" customHeight="1" x14ac:dyDescent="0.3">
      <c r="A149" s="255" t="str">
        <f>Données_ATB!BD136</f>
        <v>COLIBOLUS</v>
      </c>
      <c r="B149" s="256" t="str">
        <f ca="1">INDEX(Données_ATB!BD:BP,MATCH(A149,Données_ATB!BD:BD,0),9)</f>
        <v>Colistine</v>
      </c>
      <c r="C149" s="257" t="str">
        <f ca="1">INDEX(Données_ATB!BD:BP,MATCH(A149,Données_ATB!BD:BD,0),13)</f>
        <v>Polypeptides</v>
      </c>
      <c r="D149" t="str">
        <f t="shared" ca="1" si="6"/>
        <v>x</v>
      </c>
      <c r="E149" s="1" t="e">
        <f t="shared" ca="1" si="7"/>
        <v>#VALUE!</v>
      </c>
      <c r="F149" s="1" t="e">
        <f t="shared" ca="1" si="8"/>
        <v>#VALUE!</v>
      </c>
    </row>
    <row r="150" spans="1:6" ht="22.5" customHeight="1" x14ac:dyDescent="0.3">
      <c r="A150" s="255" t="str">
        <f>Données_ATB!BD137</f>
        <v>COLICILLINE</v>
      </c>
      <c r="B150" s="256" t="str">
        <f ca="1">INDEX(Données_ATB!BD:BP,MATCH(A150,Données_ATB!BD:BD,0),9)</f>
        <v>Ampicilline + Colistine</v>
      </c>
      <c r="C150" s="257" t="str">
        <f ca="1">INDEX(Données_ATB!BD:BP,MATCH(A150,Données_ATB!BD:BD,0),13)</f>
        <v>Penicillines + Polypeptides</v>
      </c>
      <c r="D150" t="str">
        <f t="shared" ca="1" si="6"/>
        <v>x</v>
      </c>
      <c r="E150" s="1" t="e">
        <f t="shared" ca="1" si="7"/>
        <v>#VALUE!</v>
      </c>
      <c r="F150" s="1" t="e">
        <f t="shared" ca="1" si="8"/>
        <v>#VALUE!</v>
      </c>
    </row>
    <row r="151" spans="1:6" ht="22.5" customHeight="1" x14ac:dyDescent="0.3">
      <c r="A151" s="255" t="str">
        <f>Données_ATB!BD138</f>
        <v>COLICLOX POMMADE</v>
      </c>
      <c r="B151" s="256" t="str">
        <f ca="1">INDEX(Données_ATB!BD:BP,MATCH(A151,Données_ATB!BD:BD,0),9)</f>
        <v>Cloxacilline + Colistine</v>
      </c>
      <c r="C151" s="257" t="str">
        <f ca="1">INDEX(Données_ATB!BD:BP,MATCH(A151,Données_ATB!BD:BD,0),13)</f>
        <v>Penicillines + Polypeptides</v>
      </c>
      <c r="D151" t="str">
        <f t="shared" ref="D151:D214" ca="1" si="9">IF(SEARCH("Colistine",B151)&gt;0,"x","")</f>
        <v>x</v>
      </c>
      <c r="E151" s="1" t="e">
        <f t="shared" ref="E151:E214" ca="1" si="10">IF(SEARCH("Cephalosporines 3&amp;4G",C151)&gt;0,"x","")</f>
        <v>#VALUE!</v>
      </c>
      <c r="F151" s="1" t="e">
        <f t="shared" ref="F151:F214" ca="1" si="11">IF(SEARCH("Cephalosporines 3&amp;4G",C151)&gt;0,"x","")&amp;IF(SEARCH("Fluoroquinolones",C151)&gt;0,"x","")</f>
        <v>#VALUE!</v>
      </c>
    </row>
    <row r="152" spans="1:6" ht="22.5" customHeight="1" x14ac:dyDescent="0.3">
      <c r="A152" s="255" t="str">
        <f>Données_ATB!BD139</f>
        <v>COLIDIARYL</v>
      </c>
      <c r="B152" s="256" t="str">
        <f ca="1">INDEX(Données_ATB!BD:BP,MATCH(A152,Données_ATB!BD:BD,0),9)</f>
        <v>Erythromycine + Colistine</v>
      </c>
      <c r="C152" s="257" t="str">
        <f ca="1">INDEX(Données_ATB!BD:BP,MATCH(A152,Données_ATB!BD:BD,0),13)</f>
        <v>Macrolides + Polypeptides</v>
      </c>
      <c r="D152" t="str">
        <f t="shared" ca="1" si="9"/>
        <v>x</v>
      </c>
      <c r="E152" s="1" t="e">
        <f t="shared" ca="1" si="10"/>
        <v>#VALUE!</v>
      </c>
      <c r="F152" s="1" t="e">
        <f t="shared" ca="1" si="11"/>
        <v>#VALUE!</v>
      </c>
    </row>
    <row r="153" spans="1:6" ht="22.5" customHeight="1" x14ac:dyDescent="0.3">
      <c r="A153" s="255" t="str">
        <f>Données_ATB!BD140</f>
        <v>COLIPATE</v>
      </c>
      <c r="B153" s="256" t="str">
        <f ca="1">INDEX(Données_ATB!BD:BP,MATCH(A153,Données_ATB!BD:BD,0),9)</f>
        <v>Colistine</v>
      </c>
      <c r="C153" s="257" t="str">
        <f ca="1">INDEX(Données_ATB!BD:BP,MATCH(A153,Données_ATB!BD:BD,0),13)</f>
        <v>Polypeptides</v>
      </c>
      <c r="D153" t="str">
        <f t="shared" ca="1" si="9"/>
        <v>x</v>
      </c>
      <c r="E153" s="1" t="e">
        <f t="shared" ca="1" si="10"/>
        <v>#VALUE!</v>
      </c>
      <c r="F153" s="1" t="e">
        <f t="shared" ca="1" si="11"/>
        <v>#VALUE!</v>
      </c>
    </row>
    <row r="154" spans="1:6" ht="22.5" customHeight="1" x14ac:dyDescent="0.3">
      <c r="A154" s="255" t="str">
        <f>Données_ATB!BD141</f>
        <v>COLIPRO 2 MUI/ML CONCENTRE POUR SOLUTION BUVABLE POUR PORCINS ET VOLAILLES</v>
      </c>
      <c r="B154" s="256" t="str">
        <f ca="1">INDEX(Données_ATB!BD:BP,MATCH(A154,Données_ATB!BD:BD,0),9)</f>
        <v>Colistine</v>
      </c>
      <c r="C154" s="257" t="str">
        <f ca="1">INDEX(Données_ATB!BD:BP,MATCH(A154,Données_ATB!BD:BD,0),13)</f>
        <v>Polypeptides</v>
      </c>
      <c r="D154" t="str">
        <f t="shared" ca="1" si="9"/>
        <v>x</v>
      </c>
      <c r="E154" s="1" t="e">
        <f t="shared" ca="1" si="10"/>
        <v>#VALUE!</v>
      </c>
      <c r="F154" s="1" t="e">
        <f t="shared" ca="1" si="11"/>
        <v>#VALUE!</v>
      </c>
    </row>
    <row r="155" spans="1:6" ht="22.5" customHeight="1" x14ac:dyDescent="0.3">
      <c r="A155" s="255" t="str">
        <f>Données_ATB!BD142</f>
        <v>COLISTINE 200-CB LAPIN-VOLAILLE-PORC ET AGNEAU-CHEVREAU SEVRES FRANVET</v>
      </c>
      <c r="B155" s="256" t="str">
        <f ca="1">INDEX(Données_ATB!BD:BP,MATCH(A155,Données_ATB!BD:BD,0),9)</f>
        <v>Colistine</v>
      </c>
      <c r="C155" s="257" t="str">
        <f ca="1">INDEX(Données_ATB!BD:BP,MATCH(A155,Données_ATB!BD:BD,0),13)</f>
        <v>Polypeptides</v>
      </c>
      <c r="D155" t="str">
        <f t="shared" ca="1" si="9"/>
        <v>x</v>
      </c>
      <c r="E155" s="1" t="e">
        <f t="shared" ca="1" si="10"/>
        <v>#VALUE!</v>
      </c>
      <c r="F155" s="1" t="e">
        <f t="shared" ca="1" si="11"/>
        <v>#VALUE!</v>
      </c>
    </row>
    <row r="156" spans="1:6" ht="22.5" customHeight="1" x14ac:dyDescent="0.3">
      <c r="A156" s="255" t="str">
        <f>Données_ATB!BD143</f>
        <v>COLISTINE 400-CB PORC ET AGNEAU-CHEVREAU SEVRES FRANVET</v>
      </c>
      <c r="B156" s="256" t="str">
        <f ca="1">INDEX(Données_ATB!BD:BP,MATCH(A156,Données_ATB!BD:BD,0),9)</f>
        <v>Colistine</v>
      </c>
      <c r="C156" s="257" t="str">
        <f ca="1">INDEX(Données_ATB!BD:BP,MATCH(A156,Données_ATB!BD:BD,0),13)</f>
        <v>Polypeptides</v>
      </c>
      <c r="D156" t="str">
        <f t="shared" ca="1" si="9"/>
        <v>x</v>
      </c>
      <c r="E156" s="1" t="e">
        <f t="shared" ca="1" si="10"/>
        <v>#VALUE!</v>
      </c>
      <c r="F156" s="1" t="e">
        <f t="shared" ca="1" si="11"/>
        <v>#VALUE!</v>
      </c>
    </row>
    <row r="157" spans="1:6" ht="22.5" customHeight="1" x14ac:dyDescent="0.3">
      <c r="A157" s="255" t="str">
        <f>Données_ATB!BD144</f>
        <v>COLISTINE 400-F PORC ET AGNEAU-CHEVREAU SEVRES FRANVET</v>
      </c>
      <c r="B157" s="256" t="str">
        <f ca="1">INDEX(Données_ATB!BD:BP,MATCH(A157,Données_ATB!BD:BD,0),9)</f>
        <v>Colistine</v>
      </c>
      <c r="C157" s="257" t="str">
        <f ca="1">INDEX(Données_ATB!BD:BP,MATCH(A157,Données_ATB!BD:BD,0),13)</f>
        <v>Polypeptides</v>
      </c>
      <c r="D157" t="str">
        <f t="shared" ca="1" si="9"/>
        <v>x</v>
      </c>
      <c r="E157" s="1" t="e">
        <f t="shared" ca="1" si="10"/>
        <v>#VALUE!</v>
      </c>
      <c r="F157" s="1" t="e">
        <f t="shared" ca="1" si="11"/>
        <v>#VALUE!</v>
      </c>
    </row>
    <row r="158" spans="1:6" ht="22.5" customHeight="1" x14ac:dyDescent="0.3">
      <c r="A158" s="255" t="str">
        <f>Données_ATB!BD145</f>
        <v>COLISTINE SULFATE 2 000 000 UI/ML BUVABLE VIRBAC</v>
      </c>
      <c r="B158" s="256" t="str">
        <f ca="1">INDEX(Données_ATB!BD:BP,MATCH(A158,Données_ATB!BD:BD,0),9)</f>
        <v>Colistine</v>
      </c>
      <c r="C158" s="257" t="str">
        <f ca="1">INDEX(Données_ATB!BD:BP,MATCH(A158,Données_ATB!BD:BD,0),13)</f>
        <v>Polypeptides</v>
      </c>
      <c r="D158" t="str">
        <f t="shared" ca="1" si="9"/>
        <v>x</v>
      </c>
      <c r="E158" s="1" t="e">
        <f t="shared" ca="1" si="10"/>
        <v>#VALUE!</v>
      </c>
      <c r="F158" s="1" t="e">
        <f t="shared" ca="1" si="11"/>
        <v>#VALUE!</v>
      </c>
    </row>
    <row r="159" spans="1:6" ht="22.5" customHeight="1" x14ac:dyDescent="0.3">
      <c r="A159" s="255" t="str">
        <f>Données_ATB!BD146</f>
        <v>COLISULTRIX POUDRE</v>
      </c>
      <c r="B159" s="256" t="str">
        <f ca="1">INDEX(Données_ATB!BD:BP,MATCH(A159,Données_ATB!BD:BD,0),9)</f>
        <v>Triméthoprime + Colistine</v>
      </c>
      <c r="C159" s="257" t="str">
        <f ca="1">INDEX(Données_ATB!BD:BP,MATCH(A159,Données_ATB!BD:BD,0),13)</f>
        <v>Trimethoprime + Polypeptides</v>
      </c>
      <c r="D159" t="str">
        <f t="shared" ca="1" si="9"/>
        <v>x</v>
      </c>
      <c r="E159" s="1" t="e">
        <f t="shared" ca="1" si="10"/>
        <v>#VALUE!</v>
      </c>
      <c r="F159" s="1" t="e">
        <f t="shared" ca="1" si="11"/>
        <v>#VALUE!</v>
      </c>
    </row>
    <row r="160" spans="1:6" ht="22.5" customHeight="1" x14ac:dyDescent="0.3">
      <c r="A160" s="255" t="str">
        <f>Données_ATB!BD147</f>
        <v>COLIVET</v>
      </c>
      <c r="B160" s="256" t="str">
        <f ca="1">INDEX(Données_ATB!BD:BP,MATCH(A160,Données_ATB!BD:BD,0),9)</f>
        <v>Colistine</v>
      </c>
      <c r="C160" s="257" t="str">
        <f ca="1">INDEX(Données_ATB!BD:BP,MATCH(A160,Données_ATB!BD:BD,0),13)</f>
        <v>Polypeptides</v>
      </c>
      <c r="D160" t="str">
        <f t="shared" ca="1" si="9"/>
        <v>x</v>
      </c>
      <c r="E160" s="1" t="e">
        <f t="shared" ca="1" si="10"/>
        <v>#VALUE!</v>
      </c>
      <c r="F160" s="1" t="e">
        <f t="shared" ca="1" si="11"/>
        <v>#VALUE!</v>
      </c>
    </row>
    <row r="161" spans="1:6" ht="22.5" customHeight="1" x14ac:dyDescent="0.3">
      <c r="A161" s="255" t="str">
        <f>Données_ATB!BD148</f>
        <v>COLIVET SOLUTION</v>
      </c>
      <c r="B161" s="256" t="str">
        <f ca="1">INDEX(Données_ATB!BD:BP,MATCH(A161,Données_ATB!BD:BD,0),9)</f>
        <v>Colistine</v>
      </c>
      <c r="C161" s="257" t="str">
        <f ca="1">INDEX(Données_ATB!BD:BP,MATCH(A161,Données_ATB!BD:BD,0),13)</f>
        <v>Polypeptides</v>
      </c>
      <c r="D161" t="str">
        <f t="shared" ca="1" si="9"/>
        <v>x</v>
      </c>
      <c r="E161" s="1" t="e">
        <f t="shared" ca="1" si="10"/>
        <v>#VALUE!</v>
      </c>
      <c r="F161" s="1" t="e">
        <f t="shared" ca="1" si="11"/>
        <v>#VALUE!</v>
      </c>
    </row>
    <row r="162" spans="1:6" ht="22.5" customHeight="1" x14ac:dyDescent="0.3">
      <c r="A162" s="255" t="str">
        <f>Données_ATB!BD149</f>
        <v>COMPOMIX V AMPICILLINE</v>
      </c>
      <c r="B162" s="256" t="str">
        <f ca="1">INDEX(Données_ATB!BD:BP,MATCH(A162,Données_ATB!BD:BD,0),9)</f>
        <v>Ampicilline</v>
      </c>
      <c r="C162" s="257" t="str">
        <f ca="1">INDEX(Données_ATB!BD:BP,MATCH(A162,Données_ATB!BD:BD,0),13)</f>
        <v>Penicillines</v>
      </c>
      <c r="D162" t="e">
        <f t="shared" ca="1" si="9"/>
        <v>#VALUE!</v>
      </c>
      <c r="E162" s="1" t="e">
        <f t="shared" ca="1" si="10"/>
        <v>#VALUE!</v>
      </c>
      <c r="F162" s="1" t="e">
        <f t="shared" ca="1" si="11"/>
        <v>#VALUE!</v>
      </c>
    </row>
    <row r="163" spans="1:6" ht="22.5" customHeight="1" x14ac:dyDescent="0.3">
      <c r="A163" s="255" t="str">
        <f>Données_ATB!BD150</f>
        <v>COMPOMIX V COLI 1.000</v>
      </c>
      <c r="B163" s="256" t="str">
        <f ca="1">INDEX(Données_ATB!BD:BP,MATCH(A163,Données_ATB!BD:BD,0),9)</f>
        <v>Colistine</v>
      </c>
      <c r="C163" s="257" t="str">
        <f ca="1">INDEX(Données_ATB!BD:BP,MATCH(A163,Données_ATB!BD:BD,0),13)</f>
        <v>Polypeptides</v>
      </c>
      <c r="D163" t="str">
        <f t="shared" ca="1" si="9"/>
        <v>x</v>
      </c>
      <c r="E163" s="1" t="e">
        <f t="shared" ca="1" si="10"/>
        <v>#VALUE!</v>
      </c>
      <c r="F163" s="1" t="e">
        <f t="shared" ca="1" si="11"/>
        <v>#VALUE!</v>
      </c>
    </row>
    <row r="164" spans="1:6" ht="22.5" customHeight="1" x14ac:dyDescent="0.3">
      <c r="A164" s="255" t="str">
        <f>Données_ATB!BD151</f>
        <v>COMPOMIX V NEOSTARTER</v>
      </c>
      <c r="B164" s="256" t="str">
        <f ca="1">INDEX(Données_ATB!BD:BP,MATCH(A164,Données_ATB!BD:BD,0),9)</f>
        <v>Oxytétracycline + Néomycine</v>
      </c>
      <c r="C164" s="257" t="str">
        <f ca="1">INDEX(Données_ATB!BD:BP,MATCH(A164,Données_ATB!BD:BD,0),13)</f>
        <v>Tetracyclines + Aminoglycosides</v>
      </c>
      <c r="D164" t="e">
        <f t="shared" ca="1" si="9"/>
        <v>#VALUE!</v>
      </c>
      <c r="E164" s="1" t="e">
        <f t="shared" ca="1" si="10"/>
        <v>#VALUE!</v>
      </c>
      <c r="F164" s="1" t="e">
        <f t="shared" ca="1" si="11"/>
        <v>#VALUE!</v>
      </c>
    </row>
    <row r="165" spans="1:6" ht="22.5" customHeight="1" x14ac:dyDescent="0.3">
      <c r="A165" s="255" t="str">
        <f>Données_ATB!BD152</f>
        <v>COMPOMIX V SULFAPRIM</v>
      </c>
      <c r="B165" s="256" t="str">
        <f ca="1">INDEX(Données_ATB!BD:BP,MATCH(A165,Données_ATB!BD:BD,0),9)</f>
        <v>Sulfadiméthoxine + Triméthoprime</v>
      </c>
      <c r="C165" s="257" t="str">
        <f ca="1">INDEX(Données_ATB!BD:BP,MATCH(A165,Données_ATB!BD:BD,0),13)</f>
        <v>Sulfamides + Trimethoprime</v>
      </c>
      <c r="D165" t="e">
        <f t="shared" ca="1" si="9"/>
        <v>#VALUE!</v>
      </c>
      <c r="E165" s="1" t="e">
        <f t="shared" ca="1" si="10"/>
        <v>#VALUE!</v>
      </c>
      <c r="F165" s="1" t="e">
        <f t="shared" ca="1" si="11"/>
        <v>#VALUE!</v>
      </c>
    </row>
    <row r="166" spans="1:6" ht="22.5" customHeight="1" x14ac:dyDescent="0.3">
      <c r="A166" s="255" t="str">
        <f>Données_ATB!BD153</f>
        <v>CONCENTRAT V002 SPIRA 100</v>
      </c>
      <c r="B166" s="256" t="str">
        <f ca="1">INDEX(Données_ATB!BD:BP,MATCH(A166,Données_ATB!BD:BD,0),9)</f>
        <v>Spiramycine</v>
      </c>
      <c r="C166" s="257" t="str">
        <f ca="1">INDEX(Données_ATB!BD:BP,MATCH(A166,Données_ATB!BD:BD,0),13)</f>
        <v>Macrolides</v>
      </c>
      <c r="D166" t="e">
        <f t="shared" ca="1" si="9"/>
        <v>#VALUE!</v>
      </c>
      <c r="E166" s="1" t="e">
        <f t="shared" ca="1" si="10"/>
        <v>#VALUE!</v>
      </c>
      <c r="F166" s="1" t="e">
        <f t="shared" ca="1" si="11"/>
        <v>#VALUE!</v>
      </c>
    </row>
    <row r="167" spans="1:6" ht="22.5" customHeight="1" x14ac:dyDescent="0.3">
      <c r="A167" s="255" t="str">
        <f>Données_ATB!BD154</f>
        <v>CONCENTRAT V007 TYLAN 100</v>
      </c>
      <c r="B167" s="256" t="str">
        <f ca="1">INDEX(Données_ATB!BD:BP,MATCH(A167,Données_ATB!BD:BD,0),9)</f>
        <v>Tylosine</v>
      </c>
      <c r="C167" s="257" t="str">
        <f ca="1">INDEX(Données_ATB!BD:BP,MATCH(A167,Données_ATB!BD:BD,0),13)</f>
        <v>Macrolides</v>
      </c>
      <c r="D167" t="e">
        <f t="shared" ca="1" si="9"/>
        <v>#VALUE!</v>
      </c>
      <c r="E167" s="1" t="e">
        <f t="shared" ca="1" si="10"/>
        <v>#VALUE!</v>
      </c>
      <c r="F167" s="1" t="e">
        <f t="shared" ca="1" si="11"/>
        <v>#VALUE!</v>
      </c>
    </row>
    <row r="168" spans="1:6" ht="22.5" customHeight="1" x14ac:dyDescent="0.3">
      <c r="A168" s="255" t="str">
        <f>Données_ATB!BD155</f>
        <v>CONCENTRAT V028</v>
      </c>
      <c r="B168" s="256" t="str">
        <f ca="1">INDEX(Données_ATB!BD:BP,MATCH(A168,Données_ATB!BD:BD,0),9)</f>
        <v>Chlortétracycline + Sulfadimidine</v>
      </c>
      <c r="C168" s="257" t="str">
        <f ca="1">INDEX(Données_ATB!BD:BP,MATCH(A168,Données_ATB!BD:BD,0),13)</f>
        <v>Tetracyclines + Sulfamides</v>
      </c>
      <c r="D168" t="e">
        <f t="shared" ca="1" si="9"/>
        <v>#VALUE!</v>
      </c>
      <c r="E168" s="1" t="e">
        <f t="shared" ca="1" si="10"/>
        <v>#VALUE!</v>
      </c>
      <c r="F168" s="1" t="e">
        <f t="shared" ca="1" si="11"/>
        <v>#VALUE!</v>
      </c>
    </row>
    <row r="169" spans="1:6" ht="22.5" customHeight="1" x14ac:dyDescent="0.3">
      <c r="A169" s="255" t="str">
        <f>Données_ATB!BD156</f>
        <v>CONCENTRAT V050 TS</v>
      </c>
      <c r="B169" s="256" t="str">
        <f ca="1">INDEX(Données_ATB!BD:BP,MATCH(A169,Données_ATB!BD:BD,0),9)</f>
        <v>Sulfadiméthoxine + Triméthoprime</v>
      </c>
      <c r="C169" s="257" t="str">
        <f ca="1">INDEX(Données_ATB!BD:BP,MATCH(A169,Données_ATB!BD:BD,0),13)</f>
        <v>Sulfamides + Trimethoprime</v>
      </c>
      <c r="D169" t="e">
        <f t="shared" ca="1" si="9"/>
        <v>#VALUE!</v>
      </c>
      <c r="E169" s="1" t="e">
        <f t="shared" ca="1" si="10"/>
        <v>#VALUE!</v>
      </c>
      <c r="F169" s="1" t="e">
        <f t="shared" ca="1" si="11"/>
        <v>#VALUE!</v>
      </c>
    </row>
    <row r="170" spans="1:6" ht="22.5" customHeight="1" x14ac:dyDescent="0.3">
      <c r="A170" s="255" t="str">
        <f>Données_ATB!BD157</f>
        <v>CONCENTRAT V061 LINCOMYCINE 4.4 SPECTINOMYCINE 4.4 PORC</v>
      </c>
      <c r="B170" s="256" t="str">
        <f ca="1">INDEX(Données_ATB!BD:BP,MATCH(A170,Données_ATB!BD:BD,0),9)</f>
        <v>Lincomycine + Spectinomycine</v>
      </c>
      <c r="C170" s="257" t="str">
        <f ca="1">INDEX(Données_ATB!BD:BP,MATCH(A170,Données_ATB!BD:BD,0),13)</f>
        <v>Lincosamides + Aminoglycosides</v>
      </c>
      <c r="D170" t="e">
        <f t="shared" ca="1" si="9"/>
        <v>#VALUE!</v>
      </c>
      <c r="E170" s="1" t="e">
        <f t="shared" ca="1" si="10"/>
        <v>#VALUE!</v>
      </c>
      <c r="F170" s="1" t="e">
        <f t="shared" ca="1" si="11"/>
        <v>#VALUE!</v>
      </c>
    </row>
    <row r="171" spans="1:6" ht="22.5" customHeight="1" x14ac:dyDescent="0.3">
      <c r="A171" s="255" t="str">
        <f>Données_ATB!BD158</f>
        <v>CONCENTRAT V069 ACIDE OXOLINIQUE 80 PORC</v>
      </c>
      <c r="B171" s="256" t="str">
        <f ca="1">INDEX(Données_ATB!BD:BP,MATCH(A171,Données_ATB!BD:BD,0),9)</f>
        <v>Acide oxolinique</v>
      </c>
      <c r="C171" s="257" t="str">
        <f ca="1">INDEX(Données_ATB!BD:BP,MATCH(A171,Données_ATB!BD:BD,0),13)</f>
        <v>Quinolones</v>
      </c>
      <c r="D171" t="e">
        <f t="shared" ca="1" si="9"/>
        <v>#VALUE!</v>
      </c>
      <c r="E171" s="1" t="e">
        <f t="shared" ca="1" si="10"/>
        <v>#VALUE!</v>
      </c>
      <c r="F171" s="1" t="e">
        <f t="shared" ca="1" si="11"/>
        <v>#VALUE!</v>
      </c>
    </row>
    <row r="172" spans="1:6" ht="22.5" customHeight="1" x14ac:dyDescent="0.3">
      <c r="A172" s="255" t="str">
        <f>Données_ATB!BD159</f>
        <v>CONCENTRAT VO 08 TILMICOSINE PORCIN-LAPIN</v>
      </c>
      <c r="B172" s="256" t="str">
        <f ca="1">INDEX(Données_ATB!BD:BP,MATCH(A172,Données_ATB!BD:BD,0),9)</f>
        <v>Tilmicosine</v>
      </c>
      <c r="C172" s="257" t="str">
        <f ca="1">INDEX(Données_ATB!BD:BP,MATCH(A172,Données_ATB!BD:BD,0),13)</f>
        <v>Macrolides</v>
      </c>
      <c r="D172" t="e">
        <f t="shared" ca="1" si="9"/>
        <v>#VALUE!</v>
      </c>
      <c r="E172" s="1" t="e">
        <f t="shared" ca="1" si="10"/>
        <v>#VALUE!</v>
      </c>
      <c r="F172" s="1" t="e">
        <f t="shared" ca="1" si="11"/>
        <v>#VALUE!</v>
      </c>
    </row>
    <row r="173" spans="1:6" ht="22.5" customHeight="1" x14ac:dyDescent="0.3">
      <c r="A173" s="255" t="str">
        <f>Données_ATB!BD160</f>
        <v>CONCENTRAT VO 31-1 OXYTETRACYCLINE 100 PORC ET AGNEAU-CHEVREAU SEVRES</v>
      </c>
      <c r="B173" s="256" t="str">
        <f ca="1">INDEX(Données_ATB!BD:BP,MATCH(A173,Données_ATB!BD:BD,0),9)</f>
        <v>Oxytétracycline</v>
      </c>
      <c r="C173" s="257" t="str">
        <f ca="1">INDEX(Données_ATB!BD:BP,MATCH(A173,Données_ATB!BD:BD,0),13)</f>
        <v>Tetracyclines</v>
      </c>
      <c r="D173" t="e">
        <f t="shared" ca="1" si="9"/>
        <v>#VALUE!</v>
      </c>
      <c r="E173" s="1" t="e">
        <f t="shared" ca="1" si="10"/>
        <v>#VALUE!</v>
      </c>
      <c r="F173" s="1" t="e">
        <f t="shared" ca="1" si="11"/>
        <v>#VALUE!</v>
      </c>
    </row>
    <row r="174" spans="1:6" ht="22.5" customHeight="1" x14ac:dyDescent="0.3">
      <c r="A174" s="255" t="str">
        <f>Données_ATB!BD161</f>
        <v>CONCENTRAT VO 31-2 OXYTETRACYCLINE 40 LAPIN-VOLAILLE-PORC ET AGNEAU-CHEVREAU SEVRES</v>
      </c>
      <c r="B174" s="256" t="str">
        <f ca="1">INDEX(Données_ATB!BD:BP,MATCH(A174,Données_ATB!BD:BD,0),9)</f>
        <v>Oxytétracycline</v>
      </c>
      <c r="C174" s="257" t="str">
        <f ca="1">INDEX(Données_ATB!BD:BP,MATCH(A174,Données_ATB!BD:BD,0),13)</f>
        <v>Tetracyclines</v>
      </c>
      <c r="D174" t="e">
        <f t="shared" ca="1" si="9"/>
        <v>#VALUE!</v>
      </c>
      <c r="E174" s="1" t="e">
        <f t="shared" ca="1" si="10"/>
        <v>#VALUE!</v>
      </c>
      <c r="F174" s="1" t="e">
        <f t="shared" ca="1" si="11"/>
        <v>#VALUE!</v>
      </c>
    </row>
    <row r="175" spans="1:6" ht="22.5" customHeight="1" x14ac:dyDescent="0.3">
      <c r="A175" s="255" t="str">
        <f>Données_ATB!BD162</f>
        <v>CONCENTRAT VO 49-1 COLISTINE 400 PORC ET AGNEAU-CHEVREAU SEVRES</v>
      </c>
      <c r="B175" s="256" t="str">
        <f ca="1">INDEX(Données_ATB!BD:BP,MATCH(A175,Données_ATB!BD:BD,0),9)</f>
        <v>Colistine</v>
      </c>
      <c r="C175" s="257" t="str">
        <f ca="1">INDEX(Données_ATB!BD:BP,MATCH(A175,Données_ATB!BD:BD,0),13)</f>
        <v>Polypeptides</v>
      </c>
      <c r="D175" t="str">
        <f t="shared" ca="1" si="9"/>
        <v>x</v>
      </c>
      <c r="E175" s="1" t="e">
        <f t="shared" ca="1" si="10"/>
        <v>#VALUE!</v>
      </c>
      <c r="F175" s="1" t="e">
        <f t="shared" ca="1" si="11"/>
        <v>#VALUE!</v>
      </c>
    </row>
    <row r="176" spans="1:6" ht="22.5" customHeight="1" x14ac:dyDescent="0.3">
      <c r="A176" s="255" t="str">
        <f>Données_ATB!BD163</f>
        <v>CONCENTRAT VO 49-2 COLISTINE 200 LAPIN-VOLAILLE-PORC ET AGNEAU-CHEVREAU SEVRES</v>
      </c>
      <c r="B176" s="256" t="str">
        <f ca="1">INDEX(Données_ATB!BD:BP,MATCH(A176,Données_ATB!BD:BD,0),9)</f>
        <v>Colistine</v>
      </c>
      <c r="C176" s="257" t="str">
        <f ca="1">INDEX(Données_ATB!BD:BP,MATCH(A176,Données_ATB!BD:BD,0),13)</f>
        <v>Polypeptides</v>
      </c>
      <c r="D176" t="str">
        <f t="shared" ca="1" si="9"/>
        <v>x</v>
      </c>
      <c r="E176" s="1" t="e">
        <f t="shared" ca="1" si="10"/>
        <v>#VALUE!</v>
      </c>
      <c r="F176" s="1" t="e">
        <f t="shared" ca="1" si="11"/>
        <v>#VALUE!</v>
      </c>
    </row>
    <row r="177" spans="1:6" ht="22.5" customHeight="1" x14ac:dyDescent="0.3">
      <c r="A177" s="255" t="str">
        <f>Données_ATB!BD164</f>
        <v>CONCENTRAT VO 57 APRAMYCINE 20 PORC-LAPIN</v>
      </c>
      <c r="B177" s="256" t="str">
        <f ca="1">INDEX(Données_ATB!BD:BP,MATCH(A177,Données_ATB!BD:BD,0),9)</f>
        <v>Apramycine</v>
      </c>
      <c r="C177" s="257" t="str">
        <f ca="1">INDEX(Données_ATB!BD:BP,MATCH(A177,Données_ATB!BD:BD,0),13)</f>
        <v>Aminoglycosides</v>
      </c>
      <c r="D177" t="e">
        <f t="shared" ca="1" si="9"/>
        <v>#VALUE!</v>
      </c>
      <c r="E177" s="1" t="e">
        <f t="shared" ca="1" si="10"/>
        <v>#VALUE!</v>
      </c>
      <c r="F177" s="1" t="e">
        <f t="shared" ca="1" si="11"/>
        <v>#VALUE!</v>
      </c>
    </row>
    <row r="178" spans="1:6" ht="22.5" customHeight="1" x14ac:dyDescent="0.3">
      <c r="A178" s="255" t="str">
        <f>Données_ATB!BD165</f>
        <v>CONCENTRAT VO 59-1 NEOMYCINE 80 PORC</v>
      </c>
      <c r="B178" s="256" t="str">
        <f ca="1">INDEX(Données_ATB!BD:BP,MATCH(A178,Données_ATB!BD:BD,0),9)</f>
        <v>Néomycine</v>
      </c>
      <c r="C178" s="257" t="str">
        <f ca="1">INDEX(Données_ATB!BD:BP,MATCH(A178,Données_ATB!BD:BD,0),13)</f>
        <v>Aminoglycosides</v>
      </c>
      <c r="D178" t="e">
        <f t="shared" ca="1" si="9"/>
        <v>#VALUE!</v>
      </c>
      <c r="E178" s="1" t="e">
        <f t="shared" ca="1" si="10"/>
        <v>#VALUE!</v>
      </c>
      <c r="F178" s="1" t="e">
        <f t="shared" ca="1" si="11"/>
        <v>#VALUE!</v>
      </c>
    </row>
    <row r="179" spans="1:6" ht="22.5" customHeight="1" x14ac:dyDescent="0.3">
      <c r="A179" s="255" t="str">
        <f>Données_ATB!BD166</f>
        <v>CONCENTRAT VO 59-2 NEOMYCINE 40 LAPIN-VOLAILLE-PORC</v>
      </c>
      <c r="B179" s="256" t="str">
        <f ca="1">INDEX(Données_ATB!BD:BP,MATCH(A179,Données_ATB!BD:BD,0),9)</f>
        <v>Néomycine</v>
      </c>
      <c r="C179" s="257" t="str">
        <f ca="1">INDEX(Données_ATB!BD:BP,MATCH(A179,Données_ATB!BD:BD,0),13)</f>
        <v>Aminoglycosides</v>
      </c>
      <c r="D179" t="e">
        <f t="shared" ca="1" si="9"/>
        <v>#VALUE!</v>
      </c>
      <c r="E179" s="1" t="e">
        <f t="shared" ca="1" si="10"/>
        <v>#VALUE!</v>
      </c>
      <c r="F179" s="1" t="e">
        <f t="shared" ca="1" si="11"/>
        <v>#VALUE!</v>
      </c>
    </row>
    <row r="180" spans="1:6" ht="22.5" customHeight="1" x14ac:dyDescent="0.3">
      <c r="A180" s="255" t="str">
        <f>Données_ATB!BD167</f>
        <v>CORTEXILINE</v>
      </c>
      <c r="B180" s="256" t="str">
        <f ca="1">INDEX(Données_ATB!BD:BP,MATCH(A180,Données_ATB!BD:BD,0),9)</f>
        <v>Néomycine + Benzylpénicilline</v>
      </c>
      <c r="C180" s="257" t="str">
        <f ca="1">INDEX(Données_ATB!BD:BP,MATCH(A180,Données_ATB!BD:BD,0),13)</f>
        <v>Aminoglycosides + Penicillines</v>
      </c>
      <c r="D180" t="e">
        <f t="shared" ca="1" si="9"/>
        <v>#VALUE!</v>
      </c>
      <c r="E180" s="1" t="e">
        <f t="shared" ca="1" si="10"/>
        <v>#VALUE!</v>
      </c>
      <c r="F180" s="1" t="e">
        <f t="shared" ca="1" si="11"/>
        <v>#VALUE!</v>
      </c>
    </row>
    <row r="181" spans="1:6" ht="22.5" customHeight="1" x14ac:dyDescent="0.3">
      <c r="A181" s="255" t="str">
        <f>Données_ATB!BD168</f>
        <v>CORYLAP</v>
      </c>
      <c r="B181" s="256" t="str">
        <f ca="1">INDEX(Données_ATB!BD:BP,MATCH(A181,Données_ATB!BD:BD,0),9)</f>
        <v>Sulfadiméthoxine + Triméthoprime</v>
      </c>
      <c r="C181" s="257" t="str">
        <f ca="1">INDEX(Données_ATB!BD:BP,MATCH(A181,Données_ATB!BD:BD,0),13)</f>
        <v>Sulfamides + Trimethoprime</v>
      </c>
      <c r="D181" t="e">
        <f t="shared" ca="1" si="9"/>
        <v>#VALUE!</v>
      </c>
      <c r="E181" s="1" t="e">
        <f t="shared" ca="1" si="10"/>
        <v>#VALUE!</v>
      </c>
      <c r="F181" s="1" t="e">
        <f t="shared" ca="1" si="11"/>
        <v>#VALUE!</v>
      </c>
    </row>
    <row r="182" spans="1:6" ht="22.5" customHeight="1" x14ac:dyDescent="0.3">
      <c r="A182" s="255" t="str">
        <f>Données_ATB!BD169</f>
        <v>COVUNIL</v>
      </c>
      <c r="B182" s="256" t="str">
        <f ca="1">INDEX(Données_ATB!BD:BP,MATCH(A182,Données_ATB!BD:BD,0),9)</f>
        <v>Oxytétracycline</v>
      </c>
      <c r="C182" s="257" t="str">
        <f ca="1">INDEX(Données_ATB!BD:BP,MATCH(A182,Données_ATB!BD:BD,0),13)</f>
        <v>Tetracyclines</v>
      </c>
      <c r="D182" t="e">
        <f t="shared" ca="1" si="9"/>
        <v>#VALUE!</v>
      </c>
      <c r="E182" s="1" t="e">
        <f t="shared" ca="1" si="10"/>
        <v>#VALUE!</v>
      </c>
      <c r="F182" s="1" t="e">
        <f t="shared" ca="1" si="11"/>
        <v>#VALUE!</v>
      </c>
    </row>
    <row r="183" spans="1:6" ht="22.5" customHeight="1" x14ac:dyDescent="0.3">
      <c r="A183" s="255" t="str">
        <f>Données_ATB!BD170</f>
        <v>CRD 92</v>
      </c>
      <c r="B183" s="256" t="str">
        <f ca="1">INDEX(Données_ATB!BD:BP,MATCH(A183,Données_ATB!BD:BD,0),9)</f>
        <v>Spiramycine + Triméthoprime</v>
      </c>
      <c r="C183" s="257" t="str">
        <f ca="1">INDEX(Données_ATB!BD:BP,MATCH(A183,Données_ATB!BD:BD,0),13)</f>
        <v>Macrolides + Trimethoprime</v>
      </c>
      <c r="D183" t="e">
        <f t="shared" ca="1" si="9"/>
        <v>#VALUE!</v>
      </c>
      <c r="E183" s="1" t="e">
        <f t="shared" ca="1" si="10"/>
        <v>#VALUE!</v>
      </c>
      <c r="F183" s="1" t="e">
        <f t="shared" ca="1" si="11"/>
        <v>#VALUE!</v>
      </c>
    </row>
    <row r="184" spans="1:6" ht="22.5" customHeight="1" x14ac:dyDescent="0.3">
      <c r="A184" s="255" t="str">
        <f>Données_ATB!BD171</f>
        <v>CUBARMIX</v>
      </c>
      <c r="B184" s="256" t="str">
        <f ca="1">INDEX(Données_ATB!BD:BP,MATCH(A184,Données_ATB!BD:BD,0),9)</f>
        <v>Sulfadiazine + Triméthoprime</v>
      </c>
      <c r="C184" s="257" t="str">
        <f ca="1">INDEX(Données_ATB!BD:BP,MATCH(A184,Données_ATB!BD:BD,0),13)</f>
        <v>Sulfamides + Trimethoprime</v>
      </c>
      <c r="D184" t="e">
        <f t="shared" ca="1" si="9"/>
        <v>#VALUE!</v>
      </c>
      <c r="E184" s="1" t="e">
        <f t="shared" ca="1" si="10"/>
        <v>#VALUE!</v>
      </c>
      <c r="F184" s="1" t="e">
        <f t="shared" ca="1" si="11"/>
        <v>#VALUE!</v>
      </c>
    </row>
    <row r="185" spans="1:6" ht="22.5" customHeight="1" x14ac:dyDescent="0.3">
      <c r="A185" s="255" t="str">
        <f>Données_ATB!BD172</f>
        <v>CUNICOXIL</v>
      </c>
      <c r="B185" s="256" t="str">
        <f ca="1">INDEX(Données_ATB!BD:BP,MATCH(A185,Données_ATB!BD:BD,0),9)</f>
        <v>Sulfadiméthoxine</v>
      </c>
      <c r="C185" s="257" t="str">
        <f ca="1">INDEX(Données_ATB!BD:BP,MATCH(A185,Données_ATB!BD:BD,0),13)</f>
        <v>Sulfamides</v>
      </c>
      <c r="D185" t="e">
        <f t="shared" ca="1" si="9"/>
        <v>#VALUE!</v>
      </c>
      <c r="E185" s="1" t="e">
        <f t="shared" ca="1" si="10"/>
        <v>#VALUE!</v>
      </c>
      <c r="F185" s="1" t="e">
        <f t="shared" ca="1" si="11"/>
        <v>#VALUE!</v>
      </c>
    </row>
    <row r="186" spans="1:6" ht="22.5" customHeight="1" x14ac:dyDescent="0.3">
      <c r="A186" s="255" t="str">
        <f>Données_ATB!BD173</f>
        <v>CYCLO SPRAY</v>
      </c>
      <c r="B186" s="256" t="str">
        <f ca="1">INDEX(Données_ATB!BD:BP,MATCH(A186,Données_ATB!BD:BD,0),9)</f>
        <v>Chlortétracycline</v>
      </c>
      <c r="C186" s="257" t="str">
        <f ca="1">INDEX(Données_ATB!BD:BP,MATCH(A186,Données_ATB!BD:BD,0),13)</f>
        <v>Tetracyclines</v>
      </c>
      <c r="D186" t="e">
        <f t="shared" ca="1" si="9"/>
        <v>#VALUE!</v>
      </c>
      <c r="E186" s="1" t="e">
        <f t="shared" ca="1" si="10"/>
        <v>#VALUE!</v>
      </c>
      <c r="F186" s="1" t="e">
        <f t="shared" ca="1" si="11"/>
        <v>#VALUE!</v>
      </c>
    </row>
    <row r="187" spans="1:6" ht="22.5" customHeight="1" x14ac:dyDescent="0.3">
      <c r="A187" s="255" t="str">
        <f>Données_ATB!BD174</f>
        <v>CYCLOSOL 200 LA</v>
      </c>
      <c r="B187" s="256" t="str">
        <f ca="1">INDEX(Données_ATB!BD:BP,MATCH(A187,Données_ATB!BD:BD,0),9)</f>
        <v>Oxytétracycline</v>
      </c>
      <c r="C187" s="257" t="str">
        <f ca="1">INDEX(Données_ATB!BD:BP,MATCH(A187,Données_ATB!BD:BD,0),13)</f>
        <v>Tetracyclines</v>
      </c>
      <c r="D187" t="e">
        <f t="shared" ca="1" si="9"/>
        <v>#VALUE!</v>
      </c>
      <c r="E187" s="1" t="e">
        <f t="shared" ca="1" si="10"/>
        <v>#VALUE!</v>
      </c>
      <c r="F187" s="1" t="e">
        <f t="shared" ca="1" si="11"/>
        <v>#VALUE!</v>
      </c>
    </row>
    <row r="188" spans="1:6" ht="22.5" customHeight="1" x14ac:dyDescent="0.3">
      <c r="A188" s="255" t="str">
        <f>Données_ATB!BD175</f>
        <v>DENAGARD INJECTABLE 162,2</v>
      </c>
      <c r="B188" s="256" t="str">
        <f ca="1">INDEX(Données_ATB!BD:BP,MATCH(A188,Données_ATB!BD:BD,0),9)</f>
        <v>Tiamuline</v>
      </c>
      <c r="C188" s="257" t="str">
        <f ca="1">INDEX(Données_ATB!BD:BP,MATCH(A188,Données_ATB!BD:BD,0),13)</f>
        <v>Pleuromutilines</v>
      </c>
      <c r="D188" t="e">
        <f t="shared" ca="1" si="9"/>
        <v>#VALUE!</v>
      </c>
      <c r="E188" s="1" t="e">
        <f t="shared" ca="1" si="10"/>
        <v>#VALUE!</v>
      </c>
      <c r="F188" s="1" t="e">
        <f t="shared" ca="1" si="11"/>
        <v>#VALUE!</v>
      </c>
    </row>
    <row r="189" spans="1:6" ht="22.5" customHeight="1" x14ac:dyDescent="0.3">
      <c r="A189" s="255" t="str">
        <f>Données_ATB!BD176</f>
        <v>DENAGARD SOLUTION BUVABLE</v>
      </c>
      <c r="B189" s="256" t="str">
        <f ca="1">INDEX(Données_ATB!BD:BP,MATCH(A189,Données_ATB!BD:BD,0),9)</f>
        <v>Tiamuline</v>
      </c>
      <c r="C189" s="257" t="str">
        <f ca="1">INDEX(Données_ATB!BD:BP,MATCH(A189,Données_ATB!BD:BD,0),13)</f>
        <v>Pleuromutilines</v>
      </c>
      <c r="D189" t="e">
        <f t="shared" ca="1" si="9"/>
        <v>#VALUE!</v>
      </c>
      <c r="E189" s="1" t="e">
        <f t="shared" ca="1" si="10"/>
        <v>#VALUE!</v>
      </c>
      <c r="F189" s="1" t="e">
        <f t="shared" ca="1" si="11"/>
        <v>#VALUE!</v>
      </c>
    </row>
    <row r="190" spans="1:6" ht="22.5" customHeight="1" x14ac:dyDescent="0.3">
      <c r="A190" s="255" t="str">
        <f>Données_ATB!BD177</f>
        <v>DEPOCILLINE</v>
      </c>
      <c r="B190" s="256" t="str">
        <f ca="1">INDEX(Données_ATB!BD:BP,MATCH(A190,Données_ATB!BD:BD,0),9)</f>
        <v>Benzylpénicilline</v>
      </c>
      <c r="C190" s="257" t="str">
        <f ca="1">INDEX(Données_ATB!BD:BP,MATCH(A190,Données_ATB!BD:BD,0),13)</f>
        <v>Penicillines</v>
      </c>
      <c r="D190" t="e">
        <f t="shared" ca="1" si="9"/>
        <v>#VALUE!</v>
      </c>
      <c r="E190" s="1" t="e">
        <f t="shared" ca="1" si="10"/>
        <v>#VALUE!</v>
      </c>
      <c r="F190" s="1" t="e">
        <f t="shared" ca="1" si="11"/>
        <v>#VALUE!</v>
      </c>
    </row>
    <row r="191" spans="1:6" ht="22.5" customHeight="1" x14ac:dyDescent="0.3">
      <c r="A191" s="255" t="str">
        <f>Données_ATB!BD178</f>
        <v>DFV DOXIVET 200 MG/ML SOLUTION POUR ADMINISTRATION DANS L'EAU DE BOISSON POUR PORCS ET POULETS</v>
      </c>
      <c r="B191" s="256" t="str">
        <f ca="1">INDEX(Données_ATB!BD:BP,MATCH(A191,Données_ATB!BD:BD,0),9)</f>
        <v>Doxycycline</v>
      </c>
      <c r="C191" s="257" t="str">
        <f ca="1">INDEX(Données_ATB!BD:BP,MATCH(A191,Données_ATB!BD:BD,0),13)</f>
        <v>Tetracyclines</v>
      </c>
      <c r="D191" t="e">
        <f t="shared" ca="1" si="9"/>
        <v>#VALUE!</v>
      </c>
      <c r="E191" s="1" t="e">
        <f t="shared" ca="1" si="10"/>
        <v>#VALUE!</v>
      </c>
      <c r="F191" s="1" t="e">
        <f t="shared" ca="1" si="11"/>
        <v>#VALUE!</v>
      </c>
    </row>
    <row r="192" spans="1:6" ht="22.5" customHeight="1" x14ac:dyDescent="0.3">
      <c r="A192" s="255" t="str">
        <f>Données_ATB!BD179</f>
        <v>DHS 50 COOPHAVET</v>
      </c>
      <c r="B192" s="256" t="str">
        <f ca="1">INDEX(Données_ATB!BD:BP,MATCH(A192,Données_ATB!BD:BD,0),9)</f>
        <v>Dihydrostreptomycine</v>
      </c>
      <c r="C192" s="257" t="str">
        <f ca="1">INDEX(Données_ATB!BD:BP,MATCH(A192,Données_ATB!BD:BD,0),13)</f>
        <v>Aminoglycosides</v>
      </c>
      <c r="D192" t="e">
        <f t="shared" ca="1" si="9"/>
        <v>#VALUE!</v>
      </c>
      <c r="E192" s="1" t="e">
        <f t="shared" ca="1" si="10"/>
        <v>#VALUE!</v>
      </c>
      <c r="F192" s="1" t="e">
        <f t="shared" ca="1" si="11"/>
        <v>#VALUE!</v>
      </c>
    </row>
    <row r="193" spans="1:6" ht="22.5" customHeight="1" x14ac:dyDescent="0.3">
      <c r="A193" s="255" t="str">
        <f>Données_ATB!BD180</f>
        <v>DIATRIM 200 MG/ML + 40 MG/ML  SOLUTION INJECTABLE</v>
      </c>
      <c r="B193" s="256" t="str">
        <f ca="1">INDEX(Données_ATB!BD:BP,MATCH(A193,Données_ATB!BD:BD,0),9)</f>
        <v>Sulfadiazine + Triméthoprime</v>
      </c>
      <c r="C193" s="257" t="str">
        <f ca="1">INDEX(Données_ATB!BD:BP,MATCH(A193,Données_ATB!BD:BD,0),13)</f>
        <v>Sulfamides + Trimethoprime</v>
      </c>
      <c r="D193" t="e">
        <f t="shared" ca="1" si="9"/>
        <v>#VALUE!</v>
      </c>
      <c r="E193" s="1" t="e">
        <f t="shared" ca="1" si="10"/>
        <v>#VALUE!</v>
      </c>
      <c r="F193" s="1" t="e">
        <f t="shared" ca="1" si="11"/>
        <v>#VALUE!</v>
      </c>
    </row>
    <row r="194" spans="1:6" ht="22.5" customHeight="1" x14ac:dyDescent="0.3">
      <c r="A194" s="255" t="str">
        <f>Données_ATB!BD181</f>
        <v>DIAZIPRIM</v>
      </c>
      <c r="B194" s="256" t="str">
        <f ca="1">INDEX(Données_ATB!BD:BP,MATCH(A194,Données_ATB!BD:BD,0),9)</f>
        <v>Sulfadiazine + Triméthoprime</v>
      </c>
      <c r="C194" s="257" t="str">
        <f ca="1">INDEX(Données_ATB!BD:BP,MATCH(A194,Données_ATB!BD:BD,0),13)</f>
        <v>Sulfamides + Trimethoprime</v>
      </c>
      <c r="D194" t="e">
        <f t="shared" ca="1" si="9"/>
        <v>#VALUE!</v>
      </c>
      <c r="E194" s="1" t="e">
        <f t="shared" ca="1" si="10"/>
        <v>#VALUE!</v>
      </c>
      <c r="F194" s="1" t="e">
        <f t="shared" ca="1" si="11"/>
        <v>#VALUE!</v>
      </c>
    </row>
    <row r="195" spans="1:6" ht="22.5" customHeight="1" x14ac:dyDescent="0.3">
      <c r="A195" s="255" t="str">
        <f>Données_ATB!BD182</f>
        <v>DICLOMAM TARISSEMENT</v>
      </c>
      <c r="B195" s="256" t="str">
        <f ca="1">INDEX(Données_ATB!BD:BP,MATCH(A195,Données_ATB!BD:BD,0),9)</f>
        <v>Cloxacilline</v>
      </c>
      <c r="C195" s="257" t="str">
        <f ca="1">INDEX(Données_ATB!BD:BP,MATCH(A195,Données_ATB!BD:BD,0),13)</f>
        <v>Penicillines</v>
      </c>
      <c r="D195" t="e">
        <f t="shared" ca="1" si="9"/>
        <v>#VALUE!</v>
      </c>
      <c r="E195" s="1" t="e">
        <f t="shared" ca="1" si="10"/>
        <v>#VALUE!</v>
      </c>
      <c r="F195" s="1" t="e">
        <f t="shared" ca="1" si="11"/>
        <v>#VALUE!</v>
      </c>
    </row>
    <row r="196" spans="1:6" ht="22.5" customHeight="1" x14ac:dyDescent="0.3">
      <c r="A196" s="255" t="str">
        <f>Données_ATB!BD183</f>
        <v>DICURAL 100 MG/ML SOLUTION ORALE POUR POULES ET DINDES</v>
      </c>
      <c r="B196" s="256" t="str">
        <f ca="1">INDEX(Données_ATB!BD:BP,MATCH(A196,Données_ATB!BD:BD,0),9)</f>
        <v>Difloxacine</v>
      </c>
      <c r="C196" s="257" t="str">
        <f ca="1">INDEX(Données_ATB!BD:BP,MATCH(A196,Données_ATB!BD:BD,0),13)</f>
        <v>Fluoroquinolones</v>
      </c>
      <c r="D196" t="e">
        <f t="shared" ca="1" si="9"/>
        <v>#VALUE!</v>
      </c>
      <c r="E196" s="1" t="e">
        <f t="shared" ca="1" si="10"/>
        <v>#VALUE!</v>
      </c>
      <c r="F196" s="1" t="e">
        <f t="shared" ca="1" si="11"/>
        <v>#VALUE!</v>
      </c>
    </row>
    <row r="197" spans="1:6" ht="22.5" customHeight="1" x14ac:dyDescent="0.3">
      <c r="A197" s="255" t="str">
        <f>Données_ATB!BD184</f>
        <v>DIMERAL TS PORCIN</v>
      </c>
      <c r="B197" s="256" t="str">
        <f ca="1">INDEX(Données_ATB!BD:BP,MATCH(A197,Données_ATB!BD:BD,0),9)</f>
        <v>Sulfadiazine + Triméthoprime</v>
      </c>
      <c r="C197" s="257" t="str">
        <f ca="1">INDEX(Données_ATB!BD:BP,MATCH(A197,Données_ATB!BD:BD,0),13)</f>
        <v>Sulfamides + Trimethoprime</v>
      </c>
      <c r="D197" t="e">
        <f t="shared" ca="1" si="9"/>
        <v>#VALUE!</v>
      </c>
      <c r="E197" s="1" t="e">
        <f t="shared" ca="1" si="10"/>
        <v>#VALUE!</v>
      </c>
      <c r="F197" s="1" t="e">
        <f t="shared" ca="1" si="11"/>
        <v>#VALUE!</v>
      </c>
    </row>
    <row r="198" spans="1:6" ht="22.5" customHeight="1" x14ac:dyDescent="0.3">
      <c r="A198" s="255" t="str">
        <f>Données_ATB!BD185</f>
        <v>DIPROXINE</v>
      </c>
      <c r="B198" s="256" t="str">
        <f ca="1">INDEX(Données_ATB!BD:BP,MATCH(A198,Données_ATB!BD:BD,0),9)</f>
        <v>Sulfadiazine + Triméthoprime</v>
      </c>
      <c r="C198" s="257" t="str">
        <f ca="1">INDEX(Données_ATB!BD:BP,MATCH(A198,Données_ATB!BD:BD,0),13)</f>
        <v>Sulfamides + Trimethoprime</v>
      </c>
      <c r="D198" t="e">
        <f t="shared" ca="1" si="9"/>
        <v>#VALUE!</v>
      </c>
      <c r="E198" s="1" t="e">
        <f t="shared" ca="1" si="10"/>
        <v>#VALUE!</v>
      </c>
      <c r="F198" s="1" t="e">
        <f t="shared" ca="1" si="11"/>
        <v>#VALUE!</v>
      </c>
    </row>
    <row r="199" spans="1:6" ht="22.5" customHeight="1" x14ac:dyDescent="0.3">
      <c r="A199" s="255" t="str">
        <f>Données_ATB!BD186</f>
        <v>DOPHALIN 400 MG/G POUDRE POUR ADMINISTRATION DANS L'EAU DE BOISSON</v>
      </c>
      <c r="B199" s="256" t="str">
        <f ca="1">INDEX(Données_ATB!BD:BP,MATCH(A199,Données_ATB!BD:BD,0),9)</f>
        <v>Lincomycine</v>
      </c>
      <c r="C199" s="257" t="str">
        <f ca="1">INDEX(Données_ATB!BD:BP,MATCH(A199,Données_ATB!BD:BD,0),13)</f>
        <v>Lincosamides</v>
      </c>
      <c r="D199" t="e">
        <f t="shared" ca="1" si="9"/>
        <v>#VALUE!</v>
      </c>
      <c r="E199" s="1" t="e">
        <f t="shared" ca="1" si="10"/>
        <v>#VALUE!</v>
      </c>
      <c r="F199" s="1" t="e">
        <f t="shared" ca="1" si="11"/>
        <v>#VALUE!</v>
      </c>
    </row>
    <row r="200" spans="1:6" ht="22.5" customHeight="1" x14ac:dyDescent="0.3">
      <c r="A200" s="255" t="str">
        <f>Données_ATB!BD187</f>
        <v>DOXIPULVIS 500 MG/G POUDRE POUR ADMINISTRATION DANS  L’EAU DE BOISSON / LAIT DE REMPLACEMENT</v>
      </c>
      <c r="B200" s="256" t="str">
        <f ca="1">INDEX(Données_ATB!BD:BP,MATCH(A200,Données_ATB!BD:BD,0),9)</f>
        <v>Doxycycline</v>
      </c>
      <c r="C200" s="257" t="str">
        <f ca="1">INDEX(Données_ATB!BD:BP,MATCH(A200,Données_ATB!BD:BD,0),13)</f>
        <v>Tetracyclines</v>
      </c>
      <c r="D200" t="e">
        <f t="shared" ca="1" si="9"/>
        <v>#VALUE!</v>
      </c>
      <c r="E200" s="1" t="e">
        <f t="shared" ca="1" si="10"/>
        <v>#VALUE!</v>
      </c>
      <c r="F200" s="1" t="e">
        <f t="shared" ca="1" si="11"/>
        <v>#VALUE!</v>
      </c>
    </row>
    <row r="201" spans="1:6" ht="22.5" customHeight="1" x14ac:dyDescent="0.3">
      <c r="A201" s="255" t="str">
        <f>Données_ATB!BD188</f>
        <v>DOXX-SOL 433 MG/G POUDRE POUR ADMINISTRATION DANS L'EAU DE BOISSON/LE SUBSTITUT DE LAIT POUR LES VEAUX PRE-RUMINANTS LES PORCS ET LES POULES</v>
      </c>
      <c r="B201" s="256" t="str">
        <f ca="1">INDEX(Données_ATB!BD:BP,MATCH(A201,Données_ATB!BD:BD,0),9)</f>
        <v>Doxycycline</v>
      </c>
      <c r="C201" s="257" t="str">
        <f ca="1">INDEX(Données_ATB!BD:BP,MATCH(A201,Données_ATB!BD:BD,0),13)</f>
        <v>Tetracyclines</v>
      </c>
      <c r="D201" t="e">
        <f t="shared" ca="1" si="9"/>
        <v>#VALUE!</v>
      </c>
      <c r="E201" s="1" t="e">
        <f t="shared" ca="1" si="10"/>
        <v>#VALUE!</v>
      </c>
      <c r="F201" s="1" t="e">
        <f t="shared" ca="1" si="11"/>
        <v>#VALUE!</v>
      </c>
    </row>
    <row r="202" spans="1:6" ht="22.5" customHeight="1" x14ac:dyDescent="0.3">
      <c r="A202" s="255" t="str">
        <f>Données_ATB!BD189</f>
        <v>DOXY 2% PM</v>
      </c>
      <c r="B202" s="256" t="str">
        <f ca="1">INDEX(Données_ATB!BD:BP,MATCH(A202,Données_ATB!BD:BD,0),9)</f>
        <v>Doxycycline</v>
      </c>
      <c r="C202" s="257" t="str">
        <f ca="1">INDEX(Données_ATB!BD:BP,MATCH(A202,Données_ATB!BD:BD,0),13)</f>
        <v>Tetracyclines</v>
      </c>
      <c r="D202" t="e">
        <f t="shared" ca="1" si="9"/>
        <v>#VALUE!</v>
      </c>
      <c r="E202" s="1" t="e">
        <f t="shared" ca="1" si="10"/>
        <v>#VALUE!</v>
      </c>
      <c r="F202" s="1" t="e">
        <f t="shared" ca="1" si="11"/>
        <v>#VALUE!</v>
      </c>
    </row>
    <row r="203" spans="1:6" ht="22.5" customHeight="1" x14ac:dyDescent="0.3">
      <c r="A203" s="255" t="str">
        <f>Données_ATB!BD190</f>
        <v>DOXY 20 FRANVET</v>
      </c>
      <c r="B203" s="256" t="str">
        <f ca="1">INDEX(Données_ATB!BD:BP,MATCH(A203,Données_ATB!BD:BD,0),9)</f>
        <v>Doxycycline</v>
      </c>
      <c r="C203" s="257" t="str">
        <f ca="1">INDEX(Données_ATB!BD:BP,MATCH(A203,Données_ATB!BD:BD,0),13)</f>
        <v>Tetracyclines</v>
      </c>
      <c r="D203" t="e">
        <f t="shared" ca="1" si="9"/>
        <v>#VALUE!</v>
      </c>
      <c r="E203" s="1" t="e">
        <f t="shared" ca="1" si="10"/>
        <v>#VALUE!</v>
      </c>
      <c r="F203" s="1" t="e">
        <f t="shared" ca="1" si="11"/>
        <v>#VALUE!</v>
      </c>
    </row>
    <row r="204" spans="1:6" ht="22.5" customHeight="1" x14ac:dyDescent="0.3">
      <c r="A204" s="255" t="str">
        <f>Données_ATB!BD191</f>
        <v>DOXY 4% PM</v>
      </c>
      <c r="B204" s="256" t="str">
        <f ca="1">INDEX(Données_ATB!BD:BP,MATCH(A204,Données_ATB!BD:BD,0),9)</f>
        <v>Doxycycline</v>
      </c>
      <c r="C204" s="257" t="str">
        <f ca="1">INDEX(Données_ATB!BD:BP,MATCH(A204,Données_ATB!BD:BD,0),13)</f>
        <v>Tetracyclines</v>
      </c>
      <c r="D204" t="e">
        <f t="shared" ca="1" si="9"/>
        <v>#VALUE!</v>
      </c>
      <c r="E204" s="1" t="e">
        <f t="shared" ca="1" si="10"/>
        <v>#VALUE!</v>
      </c>
      <c r="F204" s="1" t="e">
        <f t="shared" ca="1" si="11"/>
        <v>#VALUE!</v>
      </c>
    </row>
    <row r="205" spans="1:6" ht="22.5" customHeight="1" x14ac:dyDescent="0.3">
      <c r="A205" s="255" t="str">
        <f>Données_ATB!BD192</f>
        <v>DOXY 5 FRANVET</v>
      </c>
      <c r="B205" s="256" t="str">
        <f ca="1">INDEX(Données_ATB!BD:BP,MATCH(A205,Données_ATB!BD:BD,0),9)</f>
        <v>Doxycycline</v>
      </c>
      <c r="C205" s="257" t="str">
        <f ca="1">INDEX(Données_ATB!BD:BP,MATCH(A205,Données_ATB!BD:BD,0),13)</f>
        <v>Tetracyclines</v>
      </c>
      <c r="D205" t="e">
        <f t="shared" ca="1" si="9"/>
        <v>#VALUE!</v>
      </c>
      <c r="E205" s="1" t="e">
        <f t="shared" ca="1" si="10"/>
        <v>#VALUE!</v>
      </c>
      <c r="F205" s="1" t="e">
        <f t="shared" ca="1" si="11"/>
        <v>#VALUE!</v>
      </c>
    </row>
    <row r="206" spans="1:6" ht="22.5" customHeight="1" x14ac:dyDescent="0.3">
      <c r="A206" s="255" t="str">
        <f>Données_ATB!BD193</f>
        <v>DOXYCYCLINE CALIER 500 MG/G POUDRE POUR ADMINISTRATION DANS L'EAU DE BOISSON POUR POULETS, DINDES ET PORCINS</v>
      </c>
      <c r="B206" s="256" t="str">
        <f ca="1">INDEX(Données_ATB!BD:BP,MATCH(A206,Données_ATB!BD:BD,0),9)</f>
        <v>Doxycycline</v>
      </c>
      <c r="C206" s="257" t="str">
        <f ca="1">INDEX(Données_ATB!BD:BP,MATCH(A206,Données_ATB!BD:BD,0),13)</f>
        <v>Tetracyclines</v>
      </c>
      <c r="D206" t="e">
        <f t="shared" ca="1" si="9"/>
        <v>#VALUE!</v>
      </c>
      <c r="E206" s="1" t="e">
        <f t="shared" ca="1" si="10"/>
        <v>#VALUE!</v>
      </c>
      <c r="F206" s="1" t="e">
        <f t="shared" ca="1" si="11"/>
        <v>#VALUE!</v>
      </c>
    </row>
    <row r="207" spans="1:6" ht="22.5" customHeight="1" x14ac:dyDescent="0.3">
      <c r="A207" s="255" t="str">
        <f>Données_ATB!BD194</f>
        <v>DOXYLIN 867 MG/G POUDRE POUR ADMINISTRATION DANS L’EAU DE BOISSON/LE LAIT POUR VEAUX ET PORCS</v>
      </c>
      <c r="B207" s="256" t="str">
        <f ca="1">INDEX(Données_ATB!BD:BP,MATCH(A207,Données_ATB!BD:BD,0),9)</f>
        <v>Doxycycline</v>
      </c>
      <c r="C207" s="257" t="str">
        <f ca="1">INDEX(Données_ATB!BD:BP,MATCH(A207,Données_ATB!BD:BD,0),13)</f>
        <v>Tetracyclines</v>
      </c>
      <c r="D207" t="e">
        <f t="shared" ca="1" si="9"/>
        <v>#VALUE!</v>
      </c>
      <c r="E207" s="1" t="e">
        <f t="shared" ca="1" si="10"/>
        <v>#VALUE!</v>
      </c>
      <c r="F207" s="1" t="e">
        <f t="shared" ca="1" si="11"/>
        <v>#VALUE!</v>
      </c>
    </row>
    <row r="208" spans="1:6" ht="22.5" customHeight="1" x14ac:dyDescent="0.3">
      <c r="A208" s="255" t="str">
        <f>Données_ATB!BD195</f>
        <v>DOXYLIN CT WSP 433 MG/G POUDRE POUR ADMINISTRATION DANS L'EAU DE BOISSON POUR POULES ET DINDES</v>
      </c>
      <c r="B208" s="256" t="str">
        <f ca="1">INDEX(Données_ATB!BD:BP,MATCH(A208,Données_ATB!BD:BD,0),9)</f>
        <v>Doxycycline</v>
      </c>
      <c r="C208" s="257" t="str">
        <f ca="1">INDEX(Données_ATB!BD:BP,MATCH(A208,Données_ATB!BD:BD,0),13)</f>
        <v>Tetracyclines</v>
      </c>
      <c r="D208" t="e">
        <f t="shared" ca="1" si="9"/>
        <v>#VALUE!</v>
      </c>
      <c r="E208" s="1" t="e">
        <f t="shared" ca="1" si="10"/>
        <v>#VALUE!</v>
      </c>
      <c r="F208" s="1" t="e">
        <f t="shared" ca="1" si="11"/>
        <v>#VALUE!</v>
      </c>
    </row>
    <row r="209" spans="1:6" ht="22.5" customHeight="1" x14ac:dyDescent="0.3">
      <c r="A209" s="255" t="str">
        <f>Données_ATB!BD196</f>
        <v>DOXYPRO 200 MG / G POUDRE ORALE VEAUX</v>
      </c>
      <c r="B209" s="256" t="str">
        <f ca="1">INDEX(Données_ATB!BD:BP,MATCH(A209,Données_ATB!BD:BD,0),9)</f>
        <v>Doxycycline</v>
      </c>
      <c r="C209" s="257" t="str">
        <f ca="1">INDEX(Données_ATB!BD:BP,MATCH(A209,Données_ATB!BD:BD,0),13)</f>
        <v>Tetracyclines</v>
      </c>
      <c r="D209" t="e">
        <f t="shared" ca="1" si="9"/>
        <v>#VALUE!</v>
      </c>
      <c r="E209" s="1" t="e">
        <f t="shared" ca="1" si="10"/>
        <v>#VALUE!</v>
      </c>
      <c r="F209" s="1" t="e">
        <f t="shared" ca="1" si="11"/>
        <v>#VALUE!</v>
      </c>
    </row>
    <row r="210" spans="1:6" ht="22.5" customHeight="1" x14ac:dyDescent="0.3">
      <c r="A210" s="255" t="str">
        <f>Données_ATB!BD197</f>
        <v>DOXYSOL 10 %</v>
      </c>
      <c r="B210" s="256" t="str">
        <f ca="1">INDEX(Données_ATB!BD:BP,MATCH(A210,Données_ATB!BD:BD,0),9)</f>
        <v>Doxycycline</v>
      </c>
      <c r="C210" s="257" t="str">
        <f ca="1">INDEX(Données_ATB!BD:BP,MATCH(A210,Données_ATB!BD:BD,0),13)</f>
        <v>Tetracyclines</v>
      </c>
      <c r="D210" t="e">
        <f t="shared" ca="1" si="9"/>
        <v>#VALUE!</v>
      </c>
      <c r="E210" s="1" t="e">
        <f t="shared" ca="1" si="10"/>
        <v>#VALUE!</v>
      </c>
      <c r="F210" s="1" t="e">
        <f t="shared" ca="1" si="11"/>
        <v>#VALUE!</v>
      </c>
    </row>
    <row r="211" spans="1:6" ht="22.5" customHeight="1" x14ac:dyDescent="0.3">
      <c r="A211" s="255" t="str">
        <f>Données_ATB!BD198</f>
        <v>DOXYVAL 20 %</v>
      </c>
      <c r="B211" s="256" t="str">
        <f ca="1">INDEX(Données_ATB!BD:BP,MATCH(A211,Données_ATB!BD:BD,0),9)</f>
        <v>Doxycycline</v>
      </c>
      <c r="C211" s="257" t="str">
        <f ca="1">INDEX(Données_ATB!BD:BP,MATCH(A211,Données_ATB!BD:BD,0),13)</f>
        <v>Tetracyclines</v>
      </c>
      <c r="D211" t="e">
        <f t="shared" ca="1" si="9"/>
        <v>#VALUE!</v>
      </c>
      <c r="E211" s="1" t="e">
        <f t="shared" ca="1" si="10"/>
        <v>#VALUE!</v>
      </c>
      <c r="F211" s="1" t="e">
        <f t="shared" ca="1" si="11"/>
        <v>#VALUE!</v>
      </c>
    </row>
    <row r="212" spans="1:6" ht="22.5" customHeight="1" x14ac:dyDescent="0.3">
      <c r="A212" s="255" t="str">
        <f>Données_ATB!BD199</f>
        <v>DOXYVETO-C 433 MG/G POUDRE POUR ADMINISTRATION DANS L'EAU DE BOISSON / LE LAIT DE REMPLACEMENT POUR LES BOVINS, PORCINS ET POULETS</v>
      </c>
      <c r="B212" s="256" t="str">
        <f ca="1">INDEX(Données_ATB!BD:BP,MATCH(A212,Données_ATB!BD:BD,0),9)</f>
        <v>Doxycycline</v>
      </c>
      <c r="C212" s="257" t="str">
        <f ca="1">INDEX(Données_ATB!BD:BP,MATCH(A212,Données_ATB!BD:BD,0),13)</f>
        <v>Tetracyclines</v>
      </c>
      <c r="D212" t="e">
        <f t="shared" ca="1" si="9"/>
        <v>#VALUE!</v>
      </c>
      <c r="E212" s="1" t="e">
        <f t="shared" ca="1" si="10"/>
        <v>#VALUE!</v>
      </c>
      <c r="F212" s="1" t="e">
        <f t="shared" ca="1" si="11"/>
        <v>#VALUE!</v>
      </c>
    </row>
    <row r="213" spans="1:6" ht="22.5" customHeight="1" x14ac:dyDescent="0.3">
      <c r="A213" s="255" t="str">
        <f>Données_ATB!BD200</f>
        <v>DRAXXIN 100 MG/ML SOLUTION INJECTABLE POUR BOVINS, PORCINS ET OVINS</v>
      </c>
      <c r="B213" s="256" t="str">
        <f ca="1">INDEX(Données_ATB!BD:BP,MATCH(A213,Données_ATB!BD:BD,0),9)</f>
        <v>Tulathromycine</v>
      </c>
      <c r="C213" s="257" t="str">
        <f ca="1">INDEX(Données_ATB!BD:BP,MATCH(A213,Données_ATB!BD:BD,0),13)</f>
        <v>Macrolides</v>
      </c>
      <c r="D213" t="e">
        <f t="shared" ca="1" si="9"/>
        <v>#VALUE!</v>
      </c>
      <c r="E213" s="1" t="e">
        <f t="shared" ca="1" si="10"/>
        <v>#VALUE!</v>
      </c>
      <c r="F213" s="1" t="e">
        <f t="shared" ca="1" si="11"/>
        <v>#VALUE!</v>
      </c>
    </row>
    <row r="214" spans="1:6" ht="22.5" customHeight="1" x14ac:dyDescent="0.3">
      <c r="A214" s="255" t="str">
        <f>Données_ATB!BD201</f>
        <v>DRAXXIN 25 MG/ML SOLUTION INJECTABLE POUR PORCINS</v>
      </c>
      <c r="B214" s="256" t="str">
        <f ca="1">INDEX(Données_ATB!BD:BP,MATCH(A214,Données_ATB!BD:BD,0),9)</f>
        <v>Tulathromycine</v>
      </c>
      <c r="C214" s="257" t="str">
        <f ca="1">INDEX(Données_ATB!BD:BP,MATCH(A214,Données_ATB!BD:BD,0),13)</f>
        <v>Macrolides</v>
      </c>
      <c r="D214" t="e">
        <f t="shared" ca="1" si="9"/>
        <v>#VALUE!</v>
      </c>
      <c r="E214" s="1" t="e">
        <f t="shared" ca="1" si="10"/>
        <v>#VALUE!</v>
      </c>
      <c r="F214" s="1" t="e">
        <f t="shared" ca="1" si="11"/>
        <v>#VALUE!</v>
      </c>
    </row>
    <row r="215" spans="1:6" ht="22.5" customHeight="1" x14ac:dyDescent="0.3">
      <c r="A215" s="255" t="str">
        <f>Données_ATB!BD202</f>
        <v>DRAXXIN KP 100 MG/ML + 120 MG/ML SOLUTION INJECTABLE POUR BOVINS</v>
      </c>
      <c r="B215" s="256" t="str">
        <f ca="1">INDEX(Données_ATB!BD:BP,MATCH(A215,Données_ATB!BD:BD,0),9)</f>
        <v>Tulathromycine</v>
      </c>
      <c r="C215" s="257" t="str">
        <f ca="1">INDEX(Données_ATB!BD:BP,MATCH(A215,Données_ATB!BD:BD,0),13)</f>
        <v>Macrolides</v>
      </c>
      <c r="D215" t="e">
        <f t="shared" ref="D215:D278" ca="1" si="12">IF(SEARCH("Colistine",B215)&gt;0,"x","")</f>
        <v>#VALUE!</v>
      </c>
      <c r="E215" s="1" t="e">
        <f t="shared" ref="E215:E278" ca="1" si="13">IF(SEARCH("Cephalosporines 3&amp;4G",C215)&gt;0,"x","")</f>
        <v>#VALUE!</v>
      </c>
      <c r="F215" s="1" t="e">
        <f t="shared" ref="F215:F278" ca="1" si="14">IF(SEARCH("Cephalosporines 3&amp;4G",C215)&gt;0,"x","")&amp;IF(SEARCH("Fluoroquinolones",C215)&gt;0,"x","")</f>
        <v>#VALUE!</v>
      </c>
    </row>
    <row r="216" spans="1:6" ht="22.5" customHeight="1" x14ac:dyDescent="0.3">
      <c r="A216" s="255" t="str">
        <f>Données_ATB!BD203</f>
        <v>DUOPRIM</v>
      </c>
      <c r="B216" s="256" t="str">
        <f ca="1">INDEX(Données_ATB!BD:BP,MATCH(A216,Données_ATB!BD:BD,0),9)</f>
        <v>Sulfadoxine + Triméthoprime</v>
      </c>
      <c r="C216" s="257" t="str">
        <f ca="1">INDEX(Données_ATB!BD:BP,MATCH(A216,Données_ATB!BD:BD,0),13)</f>
        <v>Sulfamides + Trimethoprime</v>
      </c>
      <c r="D216" t="e">
        <f t="shared" ca="1" si="12"/>
        <v>#VALUE!</v>
      </c>
      <c r="E216" s="1" t="e">
        <f t="shared" ca="1" si="13"/>
        <v>#VALUE!</v>
      </c>
      <c r="F216" s="1" t="e">
        <f t="shared" ca="1" si="14"/>
        <v>#VALUE!</v>
      </c>
    </row>
    <row r="217" spans="1:6" ht="22.5" customHeight="1" x14ac:dyDescent="0.3">
      <c r="A217" s="255" t="str">
        <f>Données_ATB!BD204</f>
        <v>DUPHACYCLINE LA</v>
      </c>
      <c r="B217" s="256" t="str">
        <f ca="1">INDEX(Données_ATB!BD:BP,MATCH(A217,Données_ATB!BD:BD,0),9)</f>
        <v>Oxytétracycline</v>
      </c>
      <c r="C217" s="257" t="str">
        <f ca="1">INDEX(Données_ATB!BD:BP,MATCH(A217,Données_ATB!BD:BD,0),13)</f>
        <v>Tetracyclines</v>
      </c>
      <c r="D217" t="e">
        <f t="shared" ca="1" si="12"/>
        <v>#VALUE!</v>
      </c>
      <c r="E217" s="1" t="e">
        <f t="shared" ca="1" si="13"/>
        <v>#VALUE!</v>
      </c>
      <c r="F217" s="1" t="e">
        <f t="shared" ca="1" si="14"/>
        <v>#VALUE!</v>
      </c>
    </row>
    <row r="218" spans="1:6" ht="22.5" customHeight="1" x14ac:dyDescent="0.3">
      <c r="A218" s="255" t="str">
        <f>Données_ATB!BD205</f>
        <v>DUPHAMOX LA</v>
      </c>
      <c r="B218" s="256" t="str">
        <f ca="1">INDEX(Données_ATB!BD:BP,MATCH(A218,Données_ATB!BD:BD,0),9)</f>
        <v>Amoxicilline</v>
      </c>
      <c r="C218" s="257" t="str">
        <f ca="1">INDEX(Données_ATB!BD:BP,MATCH(A218,Données_ATB!BD:BD,0),13)</f>
        <v>Penicillines</v>
      </c>
      <c r="D218" t="e">
        <f t="shared" ca="1" si="12"/>
        <v>#VALUE!</v>
      </c>
      <c r="E218" s="1" t="e">
        <f t="shared" ca="1" si="13"/>
        <v>#VALUE!</v>
      </c>
      <c r="F218" s="1" t="e">
        <f t="shared" ca="1" si="14"/>
        <v>#VALUE!</v>
      </c>
    </row>
    <row r="219" spans="1:6" ht="22.5" customHeight="1" x14ac:dyDescent="0.3">
      <c r="A219" s="255" t="str">
        <f>Données_ATB!BD206</f>
        <v>DUPLOCILLINE</v>
      </c>
      <c r="B219" s="256" t="str">
        <f ca="1">INDEX(Données_ATB!BD:BP,MATCH(A219,Données_ATB!BD:BD,0),9)</f>
        <v>Benzylpénicilline</v>
      </c>
      <c r="C219" s="257" t="str">
        <f ca="1">INDEX(Données_ATB!BD:BP,MATCH(A219,Données_ATB!BD:BD,0),13)</f>
        <v>Penicillines</v>
      </c>
      <c r="D219" t="e">
        <f t="shared" ca="1" si="12"/>
        <v>#VALUE!</v>
      </c>
      <c r="E219" s="1" t="e">
        <f t="shared" ca="1" si="13"/>
        <v>#VALUE!</v>
      </c>
      <c r="F219" s="1" t="e">
        <f t="shared" ca="1" si="14"/>
        <v>#VALUE!</v>
      </c>
    </row>
    <row r="220" spans="1:6" ht="22.5" customHeight="1" x14ac:dyDescent="0.3">
      <c r="A220" s="255" t="str">
        <f>Données_ATB!BD207</f>
        <v>DURACYKLINE</v>
      </c>
      <c r="B220" s="256" t="str">
        <f ca="1">INDEX(Données_ATB!BD:BP,MATCH(A220,Données_ATB!BD:BD,0),9)</f>
        <v>Oxytétracycline</v>
      </c>
      <c r="C220" s="257" t="str">
        <f ca="1">INDEX(Données_ATB!BD:BP,MATCH(A220,Données_ATB!BD:BD,0),13)</f>
        <v>Tetracyclines</v>
      </c>
      <c r="D220" t="e">
        <f t="shared" ca="1" si="12"/>
        <v>#VALUE!</v>
      </c>
      <c r="E220" s="1" t="e">
        <f t="shared" ca="1" si="13"/>
        <v>#VALUE!</v>
      </c>
      <c r="F220" s="1" t="e">
        <f t="shared" ca="1" si="14"/>
        <v>#VALUE!</v>
      </c>
    </row>
    <row r="221" spans="1:6" ht="22.5" customHeight="1" x14ac:dyDescent="0.3">
      <c r="A221" s="255" t="str">
        <f>Données_ATB!BD208</f>
        <v>EFICUR 50 MG/ML SUSPENSION INJECTABLE POUR PORCINS ET BOVINS</v>
      </c>
      <c r="B221" s="256" t="str">
        <f ca="1">INDEX(Données_ATB!BD:BP,MATCH(A221,Données_ATB!BD:BD,0),9)</f>
        <v>Ceftiofur</v>
      </c>
      <c r="C221" s="257" t="str">
        <f ca="1">INDEX(Données_ATB!BD:BP,MATCH(A221,Données_ATB!BD:BD,0),13)</f>
        <v>Cephalosporines 3&amp;4G</v>
      </c>
      <c r="D221" t="e">
        <f t="shared" ca="1" si="12"/>
        <v>#VALUE!</v>
      </c>
      <c r="E221" s="1" t="str">
        <f t="shared" ca="1" si="13"/>
        <v>x</v>
      </c>
      <c r="F221" s="1" t="e">
        <f t="shared" ca="1" si="14"/>
        <v>#VALUE!</v>
      </c>
    </row>
    <row r="222" spans="1:6" ht="22.5" customHeight="1" x14ac:dyDescent="0.3">
      <c r="A222" s="255" t="str">
        <f>Données_ATB!BD209</f>
        <v>EMERICID SULFADIMETHOXINE</v>
      </c>
      <c r="B222" s="256" t="str">
        <f ca="1">INDEX(Données_ATB!BD:BP,MATCH(A222,Données_ATB!BD:BD,0),9)</f>
        <v>Sulfadiméthoxine</v>
      </c>
      <c r="C222" s="257" t="str">
        <f ca="1">INDEX(Données_ATB!BD:BP,MATCH(A222,Données_ATB!BD:BD,0),13)</f>
        <v>Sulfamides</v>
      </c>
      <c r="D222" t="e">
        <f t="shared" ca="1" si="12"/>
        <v>#VALUE!</v>
      </c>
      <c r="E222" s="1" t="e">
        <f t="shared" ca="1" si="13"/>
        <v>#VALUE!</v>
      </c>
      <c r="F222" s="1" t="e">
        <f t="shared" ca="1" si="14"/>
        <v>#VALUE!</v>
      </c>
    </row>
    <row r="223" spans="1:6" ht="22.5" customHeight="1" x14ac:dyDescent="0.3">
      <c r="A223" s="255" t="str">
        <f>Données_ATB!BD210</f>
        <v>ENGEMYCINE 10 %</v>
      </c>
      <c r="B223" s="256" t="str">
        <f ca="1">INDEX(Données_ATB!BD:BP,MATCH(A223,Données_ATB!BD:BD,0),9)</f>
        <v>Oxytétracycline</v>
      </c>
      <c r="C223" s="257" t="str">
        <f ca="1">INDEX(Données_ATB!BD:BP,MATCH(A223,Données_ATB!BD:BD,0),13)</f>
        <v>Tetracyclines</v>
      </c>
      <c r="D223" t="e">
        <f t="shared" ca="1" si="12"/>
        <v>#VALUE!</v>
      </c>
      <c r="E223" s="1" t="e">
        <f t="shared" ca="1" si="13"/>
        <v>#VALUE!</v>
      </c>
      <c r="F223" s="1" t="e">
        <f t="shared" ca="1" si="14"/>
        <v>#VALUE!</v>
      </c>
    </row>
    <row r="224" spans="1:6" ht="22.5" customHeight="1" x14ac:dyDescent="0.3">
      <c r="A224" s="255" t="str">
        <f>Données_ATB!BD211</f>
        <v>ENROBACTIN 25 MG/ML SOLUTION A DILUER POUR SOLUTION BUVABLE POUR LAPINS DE COMPAGNIE, RONGEURS, OISEAUX ORNEMENTAUX ET REPTILES</v>
      </c>
      <c r="B224" s="256" t="str">
        <f ca="1">INDEX(Données_ATB!BD:BP,MATCH(A224,Données_ATB!BD:BD,0),9)</f>
        <v>Enrofloxacine</v>
      </c>
      <c r="C224" s="257" t="str">
        <f ca="1">INDEX(Données_ATB!BD:BP,MATCH(A224,Données_ATB!BD:BD,0),13)</f>
        <v>Fluoroquinolones</v>
      </c>
      <c r="D224" t="e">
        <f t="shared" ca="1" si="12"/>
        <v>#VALUE!</v>
      </c>
      <c r="E224" s="1" t="e">
        <f t="shared" ca="1" si="13"/>
        <v>#VALUE!</v>
      </c>
      <c r="F224" s="1" t="e">
        <f t="shared" ca="1" si="14"/>
        <v>#VALUE!</v>
      </c>
    </row>
    <row r="225" spans="1:6" ht="22.5" customHeight="1" x14ac:dyDescent="0.3">
      <c r="A225" s="255" t="str">
        <f>Données_ATB!BD212</f>
        <v>ENROCARE 10 % INJECTABLE POUR BOVINS ET PORCINS</v>
      </c>
      <c r="B225" s="256" t="str">
        <f ca="1">INDEX(Données_ATB!BD:BP,MATCH(A225,Données_ATB!BD:BD,0),9)</f>
        <v>Enrofloxacine</v>
      </c>
      <c r="C225" s="257" t="str">
        <f ca="1">INDEX(Données_ATB!BD:BP,MATCH(A225,Données_ATB!BD:BD,0),13)</f>
        <v>Fluoroquinolones</v>
      </c>
      <c r="D225" t="e">
        <f t="shared" ca="1" si="12"/>
        <v>#VALUE!</v>
      </c>
      <c r="E225" s="1" t="e">
        <f t="shared" ca="1" si="13"/>
        <v>#VALUE!</v>
      </c>
      <c r="F225" s="1" t="e">
        <f t="shared" ca="1" si="14"/>
        <v>#VALUE!</v>
      </c>
    </row>
    <row r="226" spans="1:6" ht="22.5" customHeight="1" x14ac:dyDescent="0.3">
      <c r="A226" s="255" t="str">
        <f>Données_ATB!BD213</f>
        <v>ENROCARE 5 % INJECTABLE POUR BOVINS PORCINS CHIENS ET CHATS</v>
      </c>
      <c r="B226" s="256" t="str">
        <f ca="1">INDEX(Données_ATB!BD:BP,MATCH(A226,Données_ATB!BD:BD,0),9)</f>
        <v>Enrofloxacine</v>
      </c>
      <c r="C226" s="257" t="str">
        <f ca="1">INDEX(Données_ATB!BD:BP,MATCH(A226,Données_ATB!BD:BD,0),13)</f>
        <v>Fluoroquinolones</v>
      </c>
      <c r="D226" t="e">
        <f t="shared" ca="1" si="12"/>
        <v>#VALUE!</v>
      </c>
      <c r="E226" s="1" t="e">
        <f t="shared" ca="1" si="13"/>
        <v>#VALUE!</v>
      </c>
      <c r="F226" s="1" t="e">
        <f t="shared" ca="1" si="14"/>
        <v>#VALUE!</v>
      </c>
    </row>
    <row r="227" spans="1:6" ht="22.5" customHeight="1" x14ac:dyDescent="0.3">
      <c r="A227" s="255" t="str">
        <f>Données_ATB!BD214</f>
        <v>ENROTRON 100 MG/ML SOLUTION BUVABLE POUR POULES, DINDES ET LAPINS</v>
      </c>
      <c r="B227" s="256" t="str">
        <f ca="1">INDEX(Données_ATB!BD:BP,MATCH(A227,Données_ATB!BD:BD,0),9)</f>
        <v>Enrofloxacine</v>
      </c>
      <c r="C227" s="257" t="str">
        <f ca="1">INDEX(Données_ATB!BD:BP,MATCH(A227,Données_ATB!BD:BD,0),13)</f>
        <v>Fluoroquinolones</v>
      </c>
      <c r="D227" t="e">
        <f t="shared" ca="1" si="12"/>
        <v>#VALUE!</v>
      </c>
      <c r="E227" s="1" t="e">
        <f t="shared" ca="1" si="13"/>
        <v>#VALUE!</v>
      </c>
      <c r="F227" s="1" t="e">
        <f t="shared" ca="1" si="14"/>
        <v>#VALUE!</v>
      </c>
    </row>
    <row r="228" spans="1:6" ht="22.5" customHeight="1" x14ac:dyDescent="0.3">
      <c r="A228" s="255" t="str">
        <f>Données_ATB!BD215</f>
        <v>ENROVAL 10 % SOLUTION BUVABLE POUR VOLAILLES</v>
      </c>
      <c r="B228" s="256" t="str">
        <f ca="1">INDEX(Données_ATB!BD:BP,MATCH(A228,Données_ATB!BD:BD,0),9)</f>
        <v>Enrofloxacine</v>
      </c>
      <c r="C228" s="257" t="str">
        <f ca="1">INDEX(Données_ATB!BD:BP,MATCH(A228,Données_ATB!BD:BD,0),13)</f>
        <v>Fluoroquinolones</v>
      </c>
      <c r="D228" t="e">
        <f t="shared" ca="1" si="12"/>
        <v>#VALUE!</v>
      </c>
      <c r="E228" s="1" t="e">
        <f t="shared" ca="1" si="13"/>
        <v>#VALUE!</v>
      </c>
      <c r="F228" s="1" t="e">
        <f t="shared" ca="1" si="14"/>
        <v>#VALUE!</v>
      </c>
    </row>
    <row r="229" spans="1:6" ht="22.5" customHeight="1" x14ac:dyDescent="0.3">
      <c r="A229" s="255" t="str">
        <f>Données_ATB!BD216</f>
        <v>ENTEROGEL 30</v>
      </c>
      <c r="B229" s="256" t="str">
        <f ca="1">INDEX(Données_ATB!BD:BP,MATCH(A229,Données_ATB!BD:BD,0),9)</f>
        <v>Sulfaguanidine + Colistine</v>
      </c>
      <c r="C229" s="257" t="str">
        <f ca="1">INDEX(Données_ATB!BD:BP,MATCH(A229,Données_ATB!BD:BD,0),13)</f>
        <v>Sulfamides + Polypeptides</v>
      </c>
      <c r="D229" t="str">
        <f t="shared" ca="1" si="12"/>
        <v>x</v>
      </c>
      <c r="E229" s="1" t="e">
        <f t="shared" ca="1" si="13"/>
        <v>#VALUE!</v>
      </c>
      <c r="F229" s="1" t="e">
        <f t="shared" ca="1" si="14"/>
        <v>#VALUE!</v>
      </c>
    </row>
    <row r="230" spans="1:6" ht="22.5" customHeight="1" x14ac:dyDescent="0.3">
      <c r="A230" s="255" t="str">
        <f>Données_ATB!BD217</f>
        <v>ENTEROGRAM</v>
      </c>
      <c r="B230" s="256" t="str">
        <f ca="1">INDEX(Données_ATB!BD:BP,MATCH(A230,Données_ATB!BD:BD,0),9)</f>
        <v>Colistine</v>
      </c>
      <c r="C230" s="257" t="str">
        <f ca="1">INDEX(Données_ATB!BD:BP,MATCH(A230,Données_ATB!BD:BD,0),13)</f>
        <v>Polypeptides</v>
      </c>
      <c r="D230" t="str">
        <f t="shared" ca="1" si="12"/>
        <v>x</v>
      </c>
      <c r="E230" s="1" t="e">
        <f t="shared" ca="1" si="13"/>
        <v>#VALUE!</v>
      </c>
      <c r="F230" s="1" t="e">
        <f t="shared" ca="1" si="14"/>
        <v>#VALUE!</v>
      </c>
    </row>
    <row r="231" spans="1:6" ht="22.5" customHeight="1" x14ac:dyDescent="0.3">
      <c r="A231" s="255" t="str">
        <f>Données_ATB!BD218</f>
        <v>ENTOCUNIMYCINE</v>
      </c>
      <c r="B231" s="256" t="str">
        <f ca="1">INDEX(Données_ATB!BD:BP,MATCH(A231,Données_ATB!BD:BD,0),9)</f>
        <v>Néomycine</v>
      </c>
      <c r="C231" s="257" t="str">
        <f ca="1">INDEX(Données_ATB!BD:BP,MATCH(A231,Données_ATB!BD:BD,0),13)</f>
        <v>Aminoglycosides</v>
      </c>
      <c r="D231" t="e">
        <f t="shared" ca="1" si="12"/>
        <v>#VALUE!</v>
      </c>
      <c r="E231" s="1" t="e">
        <f t="shared" ca="1" si="13"/>
        <v>#VALUE!</v>
      </c>
      <c r="F231" s="1" t="e">
        <f t="shared" ca="1" si="14"/>
        <v>#VALUE!</v>
      </c>
    </row>
    <row r="232" spans="1:6" ht="22.5" customHeight="1" x14ac:dyDescent="0.3">
      <c r="A232" s="255" t="str">
        <f>Données_ATB!BD219</f>
        <v>ENZOO-GROUP</v>
      </c>
      <c r="B232" s="256" t="str">
        <f ca="1">INDEX(Données_ATB!BD:BP,MATCH(A232,Données_ATB!BD:BD,0),9)</f>
        <v>Sulfaguanidine</v>
      </c>
      <c r="C232" s="257" t="str">
        <f ca="1">INDEX(Données_ATB!BD:BP,MATCH(A232,Données_ATB!BD:BD,0),13)</f>
        <v>Sulfamides</v>
      </c>
      <c r="D232" t="e">
        <f t="shared" ca="1" si="12"/>
        <v>#VALUE!</v>
      </c>
      <c r="E232" s="1" t="e">
        <f t="shared" ca="1" si="13"/>
        <v>#VALUE!</v>
      </c>
      <c r="F232" s="1" t="e">
        <f t="shared" ca="1" si="14"/>
        <v>#VALUE!</v>
      </c>
    </row>
    <row r="233" spans="1:6" ht="22.5" customHeight="1" x14ac:dyDescent="0.3">
      <c r="A233" s="255" t="str">
        <f>Données_ATB!BD220</f>
        <v>EQUIBACTIN VET (333 MG/G + 67 MG/G) PATE ORALE POUR CHEVAUX</v>
      </c>
      <c r="B233" s="256" t="str">
        <f ca="1">INDEX(Données_ATB!BD:BP,MATCH(A233,Données_ATB!BD:BD,0),9)</f>
        <v>Sulfadiazine + Triméthoprime</v>
      </c>
      <c r="C233" s="257" t="str">
        <f ca="1">INDEX(Données_ATB!BD:BP,MATCH(A233,Données_ATB!BD:BD,0),13)</f>
        <v>Sulfamides + Trimethoprime</v>
      </c>
      <c r="D233" t="e">
        <f t="shared" ca="1" si="12"/>
        <v>#VALUE!</v>
      </c>
      <c r="E233" s="1" t="e">
        <f t="shared" ca="1" si="13"/>
        <v>#VALUE!</v>
      </c>
      <c r="F233" s="1" t="e">
        <f t="shared" ca="1" si="14"/>
        <v>#VALUE!</v>
      </c>
    </row>
    <row r="234" spans="1:6" ht="22.5" customHeight="1" x14ac:dyDescent="0.3">
      <c r="A234" s="255" t="str">
        <f>Données_ATB!BD221</f>
        <v>EQUIBACTIN VET 250 MG/G + 50 MG/G POUDRE ORALE POUR CHEVAUX</v>
      </c>
      <c r="B234" s="256" t="str">
        <f ca="1">INDEX(Données_ATB!BD:BP,MATCH(A234,Données_ATB!BD:BD,0),9)</f>
        <v>Sulfadiazine + Triméthoprime</v>
      </c>
      <c r="C234" s="257" t="str">
        <f ca="1">INDEX(Données_ATB!BD:BP,MATCH(A234,Données_ATB!BD:BD,0),13)</f>
        <v>Sulfamides + Trimethoprime</v>
      </c>
      <c r="D234" t="e">
        <f t="shared" ca="1" si="12"/>
        <v>#VALUE!</v>
      </c>
      <c r="E234" s="1" t="e">
        <f t="shared" ca="1" si="13"/>
        <v>#VALUE!</v>
      </c>
      <c r="F234" s="1" t="e">
        <f t="shared" ca="1" si="14"/>
        <v>#VALUE!</v>
      </c>
    </row>
    <row r="235" spans="1:6" ht="22.5" customHeight="1" x14ac:dyDescent="0.3">
      <c r="A235" s="255" t="str">
        <f>Données_ATB!BD222</f>
        <v>ERYTAVICOL</v>
      </c>
      <c r="B235" s="256" t="str">
        <f ca="1">INDEX(Données_ATB!BD:BP,MATCH(A235,Données_ATB!BD:BD,0),9)</f>
        <v>Erythromycine + Tétracycline</v>
      </c>
      <c r="C235" s="257" t="str">
        <f ca="1">INDEX(Données_ATB!BD:BP,MATCH(A235,Données_ATB!BD:BD,0),13)</f>
        <v>Macrolides + Tetracyclines</v>
      </c>
      <c r="D235" t="e">
        <f t="shared" ca="1" si="12"/>
        <v>#VALUE!</v>
      </c>
      <c r="E235" s="1" t="e">
        <f t="shared" ca="1" si="13"/>
        <v>#VALUE!</v>
      </c>
      <c r="F235" s="1" t="e">
        <f t="shared" ca="1" si="14"/>
        <v>#VALUE!</v>
      </c>
    </row>
    <row r="236" spans="1:6" ht="22.5" customHeight="1" x14ac:dyDescent="0.3">
      <c r="A236" s="255" t="str">
        <f>Données_ATB!BD223</f>
        <v>ERYTHROCINE 200</v>
      </c>
      <c r="B236" s="256" t="str">
        <f ca="1">INDEX(Données_ATB!BD:BP,MATCH(A236,Données_ATB!BD:BD,0),9)</f>
        <v>Erythromycine</v>
      </c>
      <c r="C236" s="257" t="str">
        <f ca="1">INDEX(Données_ATB!BD:BP,MATCH(A236,Données_ATB!BD:BD,0),13)</f>
        <v>Macrolides</v>
      </c>
      <c r="D236" t="e">
        <f t="shared" ca="1" si="12"/>
        <v>#VALUE!</v>
      </c>
      <c r="E236" s="1" t="e">
        <f t="shared" ca="1" si="13"/>
        <v>#VALUE!</v>
      </c>
      <c r="F236" s="1" t="e">
        <f t="shared" ca="1" si="14"/>
        <v>#VALUE!</v>
      </c>
    </row>
    <row r="237" spans="1:6" ht="22.5" customHeight="1" x14ac:dyDescent="0.3">
      <c r="A237" s="255" t="str">
        <f>Données_ATB!BD224</f>
        <v>ERYTHROVET</v>
      </c>
      <c r="B237" s="256" t="str">
        <f ca="1">INDEX(Données_ATB!BD:BP,MATCH(A237,Données_ATB!BD:BD,0),9)</f>
        <v>Erythromycine</v>
      </c>
      <c r="C237" s="257" t="str">
        <f ca="1">INDEX(Données_ATB!BD:BP,MATCH(A237,Données_ATB!BD:BD,0),13)</f>
        <v>Macrolides</v>
      </c>
      <c r="D237" t="e">
        <f t="shared" ca="1" si="12"/>
        <v>#VALUE!</v>
      </c>
      <c r="E237" s="1" t="e">
        <f t="shared" ca="1" si="13"/>
        <v>#VALUE!</v>
      </c>
      <c r="F237" s="1" t="e">
        <f t="shared" ca="1" si="14"/>
        <v>#VALUE!</v>
      </c>
    </row>
    <row r="238" spans="1:6" ht="22.5" customHeight="1" x14ac:dyDescent="0.3">
      <c r="A238" s="255" t="str">
        <f>Données_ATB!BD225</f>
        <v>EXCENEL 1 G</v>
      </c>
      <c r="B238" s="256" t="str">
        <f ca="1">INDEX(Données_ATB!BD:BP,MATCH(A238,Données_ATB!BD:BD,0),9)</f>
        <v>Ceftiofur</v>
      </c>
      <c r="C238" s="257" t="str">
        <f ca="1">INDEX(Données_ATB!BD:BP,MATCH(A238,Données_ATB!BD:BD,0),13)</f>
        <v>Cephalosporines 3&amp;4G</v>
      </c>
      <c r="D238" t="e">
        <f t="shared" ca="1" si="12"/>
        <v>#VALUE!</v>
      </c>
      <c r="E238" s="1" t="str">
        <f t="shared" ca="1" si="13"/>
        <v>x</v>
      </c>
      <c r="F238" s="1" t="e">
        <f t="shared" ca="1" si="14"/>
        <v>#VALUE!</v>
      </c>
    </row>
    <row r="239" spans="1:6" ht="22.5" customHeight="1" x14ac:dyDescent="0.3">
      <c r="A239" s="255" t="str">
        <f>Données_ATB!BD226</f>
        <v>EXCENEL 4 G</v>
      </c>
      <c r="B239" s="256" t="str">
        <f ca="1">INDEX(Données_ATB!BD:BP,MATCH(A239,Données_ATB!BD:BD,0),9)</f>
        <v>Ceftiofur</v>
      </c>
      <c r="C239" s="257" t="str">
        <f ca="1">INDEX(Données_ATB!BD:BP,MATCH(A239,Données_ATB!BD:BD,0),13)</f>
        <v>Cephalosporines 3&amp;4G</v>
      </c>
      <c r="D239" t="e">
        <f t="shared" ca="1" si="12"/>
        <v>#VALUE!</v>
      </c>
      <c r="E239" s="1" t="str">
        <f t="shared" ca="1" si="13"/>
        <v>x</v>
      </c>
      <c r="F239" s="1" t="e">
        <f t="shared" ca="1" si="14"/>
        <v>#VALUE!</v>
      </c>
    </row>
    <row r="240" spans="1:6" ht="22.5" customHeight="1" x14ac:dyDescent="0.3">
      <c r="A240" s="255" t="str">
        <f>Données_ATB!BD227</f>
        <v>EXCENEL FLOW 50 MG/ML SUSPENSION INJECTABLE POUR PORCINS ET BOVINS</v>
      </c>
      <c r="B240" s="256" t="str">
        <f ca="1">INDEX(Données_ATB!BD:BP,MATCH(A240,Données_ATB!BD:BD,0),9)</f>
        <v>Ceftiofur</v>
      </c>
      <c r="C240" s="257" t="str">
        <f ca="1">INDEX(Données_ATB!BD:BP,MATCH(A240,Données_ATB!BD:BD,0),13)</f>
        <v>Cephalosporines 3&amp;4G</v>
      </c>
      <c r="D240" t="e">
        <f t="shared" ca="1" si="12"/>
        <v>#VALUE!</v>
      </c>
      <c r="E240" s="1" t="str">
        <f t="shared" ca="1" si="13"/>
        <v>x</v>
      </c>
      <c r="F240" s="1" t="e">
        <f t="shared" ca="1" si="14"/>
        <v>#VALUE!</v>
      </c>
    </row>
    <row r="241" spans="1:6" ht="22.5" customHeight="1" x14ac:dyDescent="0.3">
      <c r="A241" s="255" t="str">
        <f>Données_ATB!BD228</f>
        <v>FACEL H.L.</v>
      </c>
      <c r="B241" s="256" t="str">
        <f ca="1">INDEX(Données_ATB!BD:BP,MATCH(A241,Données_ATB!BD:BD,0),9)</f>
        <v>Céfapirine</v>
      </c>
      <c r="C241" s="257" t="str">
        <f ca="1">INDEX(Données_ATB!BD:BP,MATCH(A241,Données_ATB!BD:BD,0),13)</f>
        <v>Cephalosporines 1&amp;2G</v>
      </c>
      <c r="D241" t="e">
        <f t="shared" ca="1" si="12"/>
        <v>#VALUE!</v>
      </c>
      <c r="E241" s="1" t="e">
        <f t="shared" ca="1" si="13"/>
        <v>#VALUE!</v>
      </c>
      <c r="F241" s="1" t="e">
        <f t="shared" ca="1" si="14"/>
        <v>#VALUE!</v>
      </c>
    </row>
    <row r="242" spans="1:6" ht="22.5" customHeight="1" x14ac:dyDescent="0.3">
      <c r="A242" s="255" t="str">
        <f>Données_ATB!BD229</f>
        <v>FATROX</v>
      </c>
      <c r="B242" s="256" t="str">
        <f ca="1">INDEX(Données_ATB!BD:BP,MATCH(A242,Données_ATB!BD:BD,0),9)</f>
        <v>Rifaximine</v>
      </c>
      <c r="C242" s="257" t="str">
        <f ca="1">INDEX(Données_ATB!BD:BP,MATCH(A242,Données_ATB!BD:BD,0),13)</f>
        <v>Autres familles</v>
      </c>
      <c r="D242" t="e">
        <f t="shared" ca="1" si="12"/>
        <v>#VALUE!</v>
      </c>
      <c r="E242" s="1" t="e">
        <f t="shared" ca="1" si="13"/>
        <v>#VALUE!</v>
      </c>
      <c r="F242" s="1" t="e">
        <f t="shared" ca="1" si="14"/>
        <v>#VALUE!</v>
      </c>
    </row>
    <row r="243" spans="1:6" ht="22.5" customHeight="1" x14ac:dyDescent="0.3">
      <c r="A243" s="255" t="str">
        <f>Données_ATB!BD230</f>
        <v>FINOXALINE</v>
      </c>
      <c r="B243" s="256" t="str">
        <f ca="1">INDEX(Données_ATB!BD:BP,MATCH(A243,Données_ATB!BD:BD,0),9)</f>
        <v>Oxytétracycline</v>
      </c>
      <c r="C243" s="257" t="str">
        <f ca="1">INDEX(Données_ATB!BD:BP,MATCH(A243,Données_ATB!BD:BD,0),13)</f>
        <v>Tetracyclines</v>
      </c>
      <c r="D243" t="e">
        <f t="shared" ca="1" si="12"/>
        <v>#VALUE!</v>
      </c>
      <c r="E243" s="1" t="e">
        <f t="shared" ca="1" si="13"/>
        <v>#VALUE!</v>
      </c>
      <c r="F243" s="1" t="e">
        <f t="shared" ca="1" si="14"/>
        <v>#VALUE!</v>
      </c>
    </row>
    <row r="244" spans="1:6" ht="22.5" customHeight="1" x14ac:dyDescent="0.3">
      <c r="A244" s="255" t="str">
        <f>Données_ATB!BD231</f>
        <v>FLORDOFEN 300 MG/ML SOLUTION INJECTABLE POUR BOVINS ET PORCINS</v>
      </c>
      <c r="B244" s="256" t="str">
        <f ca="1">INDEX(Données_ATB!BD:BP,MATCH(A244,Données_ATB!BD:BD,0),9)</f>
        <v>Florfénicol</v>
      </c>
      <c r="C244" s="257" t="str">
        <f ca="1">INDEX(Données_ATB!BD:BP,MATCH(A244,Données_ATB!BD:BD,0),13)</f>
        <v>Phenicoles</v>
      </c>
      <c r="D244" t="e">
        <f t="shared" ca="1" si="12"/>
        <v>#VALUE!</v>
      </c>
      <c r="E244" s="1" t="e">
        <f t="shared" ca="1" si="13"/>
        <v>#VALUE!</v>
      </c>
      <c r="F244" s="1" t="e">
        <f t="shared" ca="1" si="14"/>
        <v>#VALUE!</v>
      </c>
    </row>
    <row r="245" spans="1:6" ht="22.5" customHeight="1" x14ac:dyDescent="0.3">
      <c r="A245" s="255" t="str">
        <f>Données_ATB!BD232</f>
        <v>FLORFENIKEL 300 MG/ML SOLUTION INJECTABLE POUR BOVINS ET PORCINS</v>
      </c>
      <c r="B245" s="256" t="str">
        <f ca="1">INDEX(Données_ATB!BD:BP,MATCH(A245,Données_ATB!BD:BD,0),9)</f>
        <v>Florfénicol</v>
      </c>
      <c r="C245" s="257" t="str">
        <f ca="1">INDEX(Données_ATB!BD:BP,MATCH(A245,Données_ATB!BD:BD,0),13)</f>
        <v>Phenicoles</v>
      </c>
      <c r="D245" t="e">
        <f t="shared" ca="1" si="12"/>
        <v>#VALUE!</v>
      </c>
      <c r="E245" s="1" t="e">
        <f t="shared" ca="1" si="13"/>
        <v>#VALUE!</v>
      </c>
      <c r="F245" s="1" t="e">
        <f t="shared" ca="1" si="14"/>
        <v>#VALUE!</v>
      </c>
    </row>
    <row r="246" spans="1:6" ht="22.5" customHeight="1" x14ac:dyDescent="0.3">
      <c r="A246" s="255" t="str">
        <f>Données_ATB!BD233</f>
        <v>FLORGANE 300 MG/ML SUSPENSION INJECTABLE POUR BOVINS ET PORCINS</v>
      </c>
      <c r="B246" s="256" t="str">
        <f ca="1">INDEX(Données_ATB!BD:BP,MATCH(A246,Données_ATB!BD:BD,0),9)</f>
        <v>Florfénicol</v>
      </c>
      <c r="C246" s="257" t="str">
        <f ca="1">INDEX(Données_ATB!BD:BP,MATCH(A246,Données_ATB!BD:BD,0),13)</f>
        <v>Phenicoles</v>
      </c>
      <c r="D246" t="e">
        <f t="shared" ca="1" si="12"/>
        <v>#VALUE!</v>
      </c>
      <c r="E246" s="1" t="e">
        <f t="shared" ca="1" si="13"/>
        <v>#VALUE!</v>
      </c>
      <c r="F246" s="1" t="e">
        <f t="shared" ca="1" si="14"/>
        <v>#VALUE!</v>
      </c>
    </row>
    <row r="247" spans="1:6" ht="22.5" customHeight="1" x14ac:dyDescent="0.3">
      <c r="A247" s="255" t="str">
        <f>Données_ATB!BD234</f>
        <v>FLORKEM 300 MG/ML SOLUTION INJECTABLE POUR BOVINS ET PORCINS</v>
      </c>
      <c r="B247" s="256" t="str">
        <f ca="1">INDEX(Données_ATB!BD:BP,MATCH(A247,Données_ATB!BD:BD,0),9)</f>
        <v>Florfénicol</v>
      </c>
      <c r="C247" s="257" t="str">
        <f ca="1">INDEX(Données_ATB!BD:BP,MATCH(A247,Données_ATB!BD:BD,0),13)</f>
        <v>Phenicoles</v>
      </c>
      <c r="D247" t="e">
        <f t="shared" ca="1" si="12"/>
        <v>#VALUE!</v>
      </c>
      <c r="E247" s="1" t="e">
        <f t="shared" ca="1" si="13"/>
        <v>#VALUE!</v>
      </c>
      <c r="F247" s="1" t="e">
        <f t="shared" ca="1" si="14"/>
        <v>#VALUE!</v>
      </c>
    </row>
    <row r="248" spans="1:6" ht="22.5" customHeight="1" x14ac:dyDescent="0.3">
      <c r="A248" s="255" t="str">
        <f>Données_ATB!BD235</f>
        <v>FLOXIBAC 100 MG/ML SOLUTION INJECTABLE POUR BOVINS ET PORCINS</v>
      </c>
      <c r="B248" s="256" t="str">
        <f ca="1">INDEX(Données_ATB!BD:BP,MATCH(A248,Données_ATB!BD:BD,0),9)</f>
        <v>Enrofloxacine</v>
      </c>
      <c r="C248" s="257" t="str">
        <f ca="1">INDEX(Données_ATB!BD:BP,MATCH(A248,Données_ATB!BD:BD,0),13)</f>
        <v>Fluoroquinolones</v>
      </c>
      <c r="D248" t="e">
        <f t="shared" ca="1" si="12"/>
        <v>#VALUE!</v>
      </c>
      <c r="E248" s="1" t="e">
        <f t="shared" ca="1" si="13"/>
        <v>#VALUE!</v>
      </c>
      <c r="F248" s="1" t="e">
        <f t="shared" ca="1" si="14"/>
        <v>#VALUE!</v>
      </c>
    </row>
    <row r="249" spans="1:6" ht="22.5" customHeight="1" x14ac:dyDescent="0.3">
      <c r="A249" s="255" t="str">
        <f>Données_ATB!BD236</f>
        <v>FLOXIBAC 50 MG/ML SOLUTION INJECTABLE POUR BOVINS, PORCINS, CHIENS ET CHATS</v>
      </c>
      <c r="B249" s="256" t="str">
        <f ca="1">INDEX(Données_ATB!BD:BP,MATCH(A249,Données_ATB!BD:BD,0),9)</f>
        <v>Enrofloxacine</v>
      </c>
      <c r="C249" s="257" t="str">
        <f ca="1">INDEX(Données_ATB!BD:BP,MATCH(A249,Données_ATB!BD:BD,0),13)</f>
        <v>Fluoroquinolones</v>
      </c>
      <c r="D249" t="e">
        <f t="shared" ca="1" si="12"/>
        <v>#VALUE!</v>
      </c>
      <c r="E249" s="1" t="e">
        <f t="shared" ca="1" si="13"/>
        <v>#VALUE!</v>
      </c>
      <c r="F249" s="1" t="e">
        <f t="shared" ca="1" si="14"/>
        <v>#VALUE!</v>
      </c>
    </row>
    <row r="250" spans="1:6" ht="22.5" customHeight="1" x14ac:dyDescent="0.3">
      <c r="A250" s="255" t="str">
        <f>Données_ATB!BD237</f>
        <v>FLOXYME 50 MG/ML SOLUTION POUR EAU DE BOISSON</v>
      </c>
      <c r="B250" s="256" t="str">
        <f ca="1">INDEX(Données_ATB!BD:BP,MATCH(A250,Données_ATB!BD:BD,0),9)</f>
        <v>Florfénicol</v>
      </c>
      <c r="C250" s="257" t="str">
        <f ca="1">INDEX(Données_ATB!BD:BP,MATCH(A250,Données_ATB!BD:BD,0),13)</f>
        <v>Phenicoles</v>
      </c>
      <c r="D250" t="e">
        <f t="shared" ca="1" si="12"/>
        <v>#VALUE!</v>
      </c>
      <c r="E250" s="1" t="e">
        <f t="shared" ca="1" si="13"/>
        <v>#VALUE!</v>
      </c>
      <c r="F250" s="1" t="e">
        <f t="shared" ca="1" si="14"/>
        <v>#VALUE!</v>
      </c>
    </row>
    <row r="251" spans="1:6" ht="22.5" customHeight="1" x14ac:dyDescent="0.3">
      <c r="A251" s="255" t="str">
        <f>Données_ATB!BD238</f>
        <v>FLUMIQUIL POUDRE A 10 %</v>
      </c>
      <c r="B251" s="256" t="str">
        <f ca="1">INDEX(Données_ATB!BD:BP,MATCH(A251,Données_ATB!BD:BD,0),9)</f>
        <v>Fluméquine</v>
      </c>
      <c r="C251" s="257" t="str">
        <f ca="1">INDEX(Données_ATB!BD:BP,MATCH(A251,Données_ATB!BD:BD,0),13)</f>
        <v>Quinolones</v>
      </c>
      <c r="D251" t="e">
        <f t="shared" ca="1" si="12"/>
        <v>#VALUE!</v>
      </c>
      <c r="E251" s="1" t="e">
        <f t="shared" ca="1" si="13"/>
        <v>#VALUE!</v>
      </c>
      <c r="F251" s="1" t="e">
        <f t="shared" ca="1" si="14"/>
        <v>#VALUE!</v>
      </c>
    </row>
    <row r="252" spans="1:6" ht="22.5" customHeight="1" x14ac:dyDescent="0.3">
      <c r="A252" s="255" t="str">
        <f>Données_ATB!BD239</f>
        <v>FLUMIQUIL POUDRE A 3 %</v>
      </c>
      <c r="B252" s="256" t="str">
        <f ca="1">INDEX(Données_ATB!BD:BP,MATCH(A252,Données_ATB!BD:BD,0),9)</f>
        <v>Fluméquine</v>
      </c>
      <c r="C252" s="257" t="str">
        <f ca="1">INDEX(Données_ATB!BD:BP,MATCH(A252,Données_ATB!BD:BD,0),13)</f>
        <v>Quinolones</v>
      </c>
      <c r="D252" t="e">
        <f t="shared" ca="1" si="12"/>
        <v>#VALUE!</v>
      </c>
      <c r="E252" s="1" t="e">
        <f t="shared" ca="1" si="13"/>
        <v>#VALUE!</v>
      </c>
      <c r="F252" s="1" t="e">
        <f t="shared" ca="1" si="14"/>
        <v>#VALUE!</v>
      </c>
    </row>
    <row r="253" spans="1:6" ht="22.5" customHeight="1" x14ac:dyDescent="0.3">
      <c r="A253" s="255" t="str">
        <f>Données_ATB!BD240</f>
        <v>FLUMISOL 36 %</v>
      </c>
      <c r="B253" s="256" t="str">
        <f ca="1">INDEX(Données_ATB!BD:BP,MATCH(A253,Données_ATB!BD:BD,0),9)</f>
        <v>Fluméquine</v>
      </c>
      <c r="C253" s="257" t="str">
        <f ca="1">INDEX(Données_ATB!BD:BP,MATCH(A253,Données_ATB!BD:BD,0),13)</f>
        <v>Quinolones</v>
      </c>
      <c r="D253" t="e">
        <f t="shared" ca="1" si="12"/>
        <v>#VALUE!</v>
      </c>
      <c r="E253" s="1" t="e">
        <f t="shared" ca="1" si="13"/>
        <v>#VALUE!</v>
      </c>
      <c r="F253" s="1" t="e">
        <f t="shared" ca="1" si="14"/>
        <v>#VALUE!</v>
      </c>
    </row>
    <row r="254" spans="1:6" ht="22.5" customHeight="1" x14ac:dyDescent="0.3">
      <c r="A254" s="255" t="str">
        <f>Données_ATB!BD241</f>
        <v>FLUMIVAL 10% SOLUTION ORALE POUR VOLAILLES ET VEAUX</v>
      </c>
      <c r="B254" s="256" t="str">
        <f ca="1">INDEX(Données_ATB!BD:BP,MATCH(A254,Données_ATB!BD:BD,0),9)</f>
        <v>Fluméquine</v>
      </c>
      <c r="C254" s="257" t="str">
        <f ca="1">INDEX(Données_ATB!BD:BP,MATCH(A254,Données_ATB!BD:BD,0),13)</f>
        <v>Quinolones</v>
      </c>
      <c r="D254" t="e">
        <f t="shared" ca="1" si="12"/>
        <v>#VALUE!</v>
      </c>
      <c r="E254" s="1" t="e">
        <f t="shared" ca="1" si="13"/>
        <v>#VALUE!</v>
      </c>
      <c r="F254" s="1" t="e">
        <f t="shared" ca="1" si="14"/>
        <v>#VALUE!</v>
      </c>
    </row>
    <row r="255" spans="1:6" ht="22.5" customHeight="1" x14ac:dyDescent="0.3">
      <c r="A255" s="255" t="str">
        <f>Données_ATB!BD242</f>
        <v>FLUMIX FLUMEQUINE 160 SALMONIDES</v>
      </c>
      <c r="B255" s="256" t="str">
        <f ca="1">INDEX(Données_ATB!BD:BP,MATCH(A255,Données_ATB!BD:BD,0),9)</f>
        <v>Fluméquine</v>
      </c>
      <c r="C255" s="257" t="str">
        <f ca="1">INDEX(Données_ATB!BD:BP,MATCH(A255,Données_ATB!BD:BD,0),13)</f>
        <v>Quinolones</v>
      </c>
      <c r="D255" t="e">
        <f t="shared" ca="1" si="12"/>
        <v>#VALUE!</v>
      </c>
      <c r="E255" s="1" t="e">
        <f t="shared" ca="1" si="13"/>
        <v>#VALUE!</v>
      </c>
      <c r="F255" s="1" t="e">
        <f t="shared" ca="1" si="14"/>
        <v>#VALUE!</v>
      </c>
    </row>
    <row r="256" spans="1:6" ht="22.5" customHeight="1" x14ac:dyDescent="0.3">
      <c r="A256" s="255" t="str">
        <f>Données_ATB!BD243</f>
        <v>FLUQUICK POUDRE A 50 %</v>
      </c>
      <c r="B256" s="256" t="str">
        <f ca="1">INDEX(Données_ATB!BD:BP,MATCH(A256,Données_ATB!BD:BD,0),9)</f>
        <v>Fluméquine</v>
      </c>
      <c r="C256" s="257" t="str">
        <f ca="1">INDEX(Données_ATB!BD:BP,MATCH(A256,Données_ATB!BD:BD,0),13)</f>
        <v>Quinolones</v>
      </c>
      <c r="D256" t="e">
        <f t="shared" ca="1" si="12"/>
        <v>#VALUE!</v>
      </c>
      <c r="E256" s="1" t="e">
        <f t="shared" ca="1" si="13"/>
        <v>#VALUE!</v>
      </c>
      <c r="F256" s="1" t="e">
        <f t="shared" ca="1" si="14"/>
        <v>#VALUE!</v>
      </c>
    </row>
    <row r="257" spans="1:6" ht="22.5" customHeight="1" x14ac:dyDescent="0.3">
      <c r="A257" s="255" t="str">
        <f>Données_ATB!BD244</f>
        <v>FORCYL 160 MG/ML SOLUTION INJECTABLE POUR BOVINS</v>
      </c>
      <c r="B257" s="256" t="str">
        <f ca="1">INDEX(Données_ATB!BD:BP,MATCH(A257,Données_ATB!BD:BD,0),9)</f>
        <v>Marbofloxacine</v>
      </c>
      <c r="C257" s="257" t="str">
        <f ca="1">INDEX(Données_ATB!BD:BP,MATCH(A257,Données_ATB!BD:BD,0),13)</f>
        <v>Fluoroquinolones</v>
      </c>
      <c r="D257" t="e">
        <f t="shared" ca="1" si="12"/>
        <v>#VALUE!</v>
      </c>
      <c r="E257" s="1" t="e">
        <f t="shared" ca="1" si="13"/>
        <v>#VALUE!</v>
      </c>
      <c r="F257" s="1" t="e">
        <f t="shared" ca="1" si="14"/>
        <v>#VALUE!</v>
      </c>
    </row>
    <row r="258" spans="1:6" ht="22.5" customHeight="1" x14ac:dyDescent="0.3">
      <c r="A258" s="255" t="str">
        <f>Données_ATB!BD245</f>
        <v>FORCYL SWINE 160 MG/ML SOLUTION INJECTABLE POUR PORCINS</v>
      </c>
      <c r="B258" s="256" t="str">
        <f ca="1">INDEX(Données_ATB!BD:BP,MATCH(A258,Données_ATB!BD:BD,0),9)</f>
        <v>Marbofloxacine</v>
      </c>
      <c r="C258" s="257" t="str">
        <f ca="1">INDEX(Données_ATB!BD:BP,MATCH(A258,Données_ATB!BD:BD,0),13)</f>
        <v>Fluoroquinolones</v>
      </c>
      <c r="D258" t="e">
        <f t="shared" ca="1" si="12"/>
        <v>#VALUE!</v>
      </c>
      <c r="E258" s="1" t="e">
        <f t="shared" ca="1" si="13"/>
        <v>#VALUE!</v>
      </c>
      <c r="F258" s="1" t="e">
        <f t="shared" ca="1" si="14"/>
        <v>#VALUE!</v>
      </c>
    </row>
    <row r="259" spans="1:6" ht="22.5" customHeight="1" x14ac:dyDescent="0.3">
      <c r="A259" s="255" t="str">
        <f>Données_ATB!BD246</f>
        <v>FORESPIX 100 MG/ML, SOLUTION INJECTABLE POUR BOVINS, PORCINS ET OVINS</v>
      </c>
      <c r="B259" s="256" t="str">
        <f ca="1">INDEX(Données_ATB!BD:BP,MATCH(A259,Données_ATB!BD:BD,0),9)</f>
        <v>Tulathromycine</v>
      </c>
      <c r="C259" s="257" t="str">
        <f ca="1">INDEX(Données_ATB!BD:BP,MATCH(A259,Données_ATB!BD:BD,0),13)</f>
        <v>Macrolides</v>
      </c>
      <c r="D259" t="e">
        <f t="shared" ca="1" si="12"/>
        <v>#VALUE!</v>
      </c>
      <c r="E259" s="1" t="e">
        <f t="shared" ca="1" si="13"/>
        <v>#VALUE!</v>
      </c>
      <c r="F259" s="1" t="e">
        <f t="shared" ca="1" si="14"/>
        <v>#VALUE!</v>
      </c>
    </row>
    <row r="260" spans="1:6" ht="22.5" customHeight="1" x14ac:dyDescent="0.3">
      <c r="A260" s="255" t="str">
        <f>Données_ATB!BD247</f>
        <v>FORTICINE SOLUTION</v>
      </c>
      <c r="B260" s="256" t="str">
        <f ca="1">INDEX(Données_ATB!BD:BP,MATCH(A260,Données_ATB!BD:BD,0),9)</f>
        <v>Gentamicine</v>
      </c>
      <c r="C260" s="257" t="str">
        <f ca="1">INDEX(Données_ATB!BD:BP,MATCH(A260,Données_ATB!BD:BD,0),13)</f>
        <v>Aminoglycosides</v>
      </c>
      <c r="D260" t="e">
        <f t="shared" ca="1" si="12"/>
        <v>#VALUE!</v>
      </c>
      <c r="E260" s="1" t="e">
        <f t="shared" ca="1" si="13"/>
        <v>#VALUE!</v>
      </c>
      <c r="F260" s="1" t="e">
        <f t="shared" ca="1" si="14"/>
        <v>#VALUE!</v>
      </c>
    </row>
    <row r="261" spans="1:6" ht="22.5" customHeight="1" x14ac:dyDescent="0.3">
      <c r="A261" s="255" t="str">
        <f>Données_ATB!BD248</f>
        <v>FRAMOX 50</v>
      </c>
      <c r="B261" s="256" t="str">
        <f ca="1">INDEX(Données_ATB!BD:BP,MATCH(A261,Données_ATB!BD:BD,0),9)</f>
        <v>Amoxicilline</v>
      </c>
      <c r="C261" s="257" t="str">
        <f ca="1">INDEX(Données_ATB!BD:BP,MATCH(A261,Données_ATB!BD:BD,0),13)</f>
        <v>Penicillines</v>
      </c>
      <c r="D261" t="e">
        <f t="shared" ca="1" si="12"/>
        <v>#VALUE!</v>
      </c>
      <c r="E261" s="1" t="e">
        <f t="shared" ca="1" si="13"/>
        <v>#VALUE!</v>
      </c>
      <c r="F261" s="1" t="e">
        <f t="shared" ca="1" si="14"/>
        <v>#VALUE!</v>
      </c>
    </row>
    <row r="262" spans="1:6" ht="22.5" customHeight="1" x14ac:dyDescent="0.3">
      <c r="A262" s="255" t="str">
        <f>Données_ATB!BD249</f>
        <v>G.4</v>
      </c>
      <c r="B262" s="256" t="str">
        <f ca="1">INDEX(Données_ATB!BD:BP,MATCH(A262,Données_ATB!BD:BD,0),9)</f>
        <v>Gentamicine</v>
      </c>
      <c r="C262" s="257" t="str">
        <f ca="1">INDEX(Données_ATB!BD:BP,MATCH(A262,Données_ATB!BD:BD,0),13)</f>
        <v>Aminoglycosides</v>
      </c>
      <c r="D262" t="e">
        <f t="shared" ca="1" si="12"/>
        <v>#VALUE!</v>
      </c>
      <c r="E262" s="1" t="e">
        <f t="shared" ca="1" si="13"/>
        <v>#VALUE!</v>
      </c>
      <c r="F262" s="1" t="e">
        <f t="shared" ca="1" si="14"/>
        <v>#VALUE!</v>
      </c>
    </row>
    <row r="263" spans="1:6" ht="22.5" customHeight="1" x14ac:dyDescent="0.3">
      <c r="A263" s="255" t="str">
        <f>Données_ATB!BD250</f>
        <v>GABBROVET 140 MG/ML SOLUTION POUR ADMINISTRATION DANS L’EAU DE BOISSON LE LAIT OU L’ALIMENT D’ALLAITEMENT POUR BOVINS PRE-RUMINANTS ET PORCS</v>
      </c>
      <c r="B263" s="256" t="str">
        <f ca="1">INDEX(Données_ATB!BD:BP,MATCH(A263,Données_ATB!BD:BD,0),9)</f>
        <v/>
      </c>
      <c r="C263" s="257" t="str">
        <f ca="1">INDEX(Données_ATB!BD:BP,MATCH(A263,Données_ATB!BD:BD,0),13)</f>
        <v>Aminoglycosides</v>
      </c>
      <c r="D263" t="e">
        <f t="shared" ca="1" si="12"/>
        <v>#VALUE!</v>
      </c>
      <c r="E263" s="1" t="e">
        <f t="shared" ca="1" si="13"/>
        <v>#VALUE!</v>
      </c>
      <c r="F263" s="1" t="e">
        <f t="shared" ca="1" si="14"/>
        <v>#VALUE!</v>
      </c>
    </row>
    <row r="264" spans="1:6" ht="22.5" customHeight="1" x14ac:dyDescent="0.3">
      <c r="A264" s="255" t="str">
        <f>Données_ATB!BD251</f>
        <v>GENTAMAM</v>
      </c>
      <c r="B264" s="256" t="str">
        <f ca="1">INDEX(Données_ATB!BD:BP,MATCH(A264,Données_ATB!BD:BD,0),9)</f>
        <v>Cloxacilline + Gentamicine</v>
      </c>
      <c r="C264" s="257" t="str">
        <f ca="1">INDEX(Données_ATB!BD:BP,MATCH(A264,Données_ATB!BD:BD,0),13)</f>
        <v>Penicillines + Aminoglycosides</v>
      </c>
      <c r="D264" t="e">
        <f t="shared" ca="1" si="12"/>
        <v>#VALUE!</v>
      </c>
      <c r="E264" s="1" t="e">
        <f t="shared" ca="1" si="13"/>
        <v>#VALUE!</v>
      </c>
      <c r="F264" s="1" t="e">
        <f t="shared" ca="1" si="14"/>
        <v>#VALUE!</v>
      </c>
    </row>
    <row r="265" spans="1:6" ht="22.5" customHeight="1" x14ac:dyDescent="0.3">
      <c r="A265" s="255" t="str">
        <f>Données_ATB!BD252</f>
        <v>HEMODIARH</v>
      </c>
      <c r="B265" s="256" t="str">
        <f ca="1">INDEX(Données_ATB!BD:BP,MATCH(A265,Données_ATB!BD:BD,0),9)</f>
        <v>Sulfadimidine + Sulfaguanidine</v>
      </c>
      <c r="C265" s="257" t="str">
        <f ca="1">INDEX(Données_ATB!BD:BP,MATCH(A265,Données_ATB!BD:BD,0),13)</f>
        <v>Sulfamides</v>
      </c>
      <c r="D265" t="e">
        <f t="shared" ca="1" si="12"/>
        <v>#VALUE!</v>
      </c>
      <c r="E265" s="1" t="e">
        <f t="shared" ca="1" si="13"/>
        <v>#VALUE!</v>
      </c>
      <c r="F265" s="1" t="e">
        <f t="shared" ca="1" si="14"/>
        <v>#VALUE!</v>
      </c>
    </row>
    <row r="266" spans="1:6" ht="22.5" customHeight="1" x14ac:dyDescent="0.3">
      <c r="A266" s="255" t="str">
        <f>Données_ATB!BD253</f>
        <v>HISTABIOSONE</v>
      </c>
      <c r="B266" s="256" t="str">
        <f ca="1">INDEX(Données_ATB!BD:BP,MATCH(A266,Données_ATB!BD:BD,0),9)</f>
        <v>Dihydrostreptomycine + Benzylpénicilline</v>
      </c>
      <c r="C266" s="257" t="str">
        <f ca="1">INDEX(Données_ATB!BD:BP,MATCH(A266,Données_ATB!BD:BD,0),13)</f>
        <v>Aminoglycosides + Penicillines</v>
      </c>
      <c r="D266" t="e">
        <f t="shared" ca="1" si="12"/>
        <v>#VALUE!</v>
      </c>
      <c r="E266" s="1" t="e">
        <f t="shared" ca="1" si="13"/>
        <v>#VALUE!</v>
      </c>
      <c r="F266" s="1" t="e">
        <f t="shared" ca="1" si="14"/>
        <v>#VALUE!</v>
      </c>
    </row>
    <row r="267" spans="1:6" ht="22.5" customHeight="1" x14ac:dyDescent="0.3">
      <c r="A267" s="255" t="str">
        <f>Données_ATB!BD254</f>
        <v>HISTACLINE</v>
      </c>
      <c r="B267" s="256" t="str">
        <f ca="1">INDEX(Données_ATB!BD:BP,MATCH(A267,Données_ATB!BD:BD,0),9)</f>
        <v>Dihydrostreptomycine + Benzylpénicilline</v>
      </c>
      <c r="C267" s="257" t="str">
        <f ca="1">INDEX(Données_ATB!BD:BP,MATCH(A267,Données_ATB!BD:BD,0),13)</f>
        <v>Aminoglycosides + Penicillines</v>
      </c>
      <c r="D267" t="e">
        <f t="shared" ca="1" si="12"/>
        <v>#VALUE!</v>
      </c>
      <c r="E267" s="1" t="e">
        <f t="shared" ca="1" si="13"/>
        <v>#VALUE!</v>
      </c>
      <c r="F267" s="1" t="e">
        <f t="shared" ca="1" si="14"/>
        <v>#VALUE!</v>
      </c>
    </row>
    <row r="268" spans="1:6" ht="22.5" customHeight="1" x14ac:dyDescent="0.3">
      <c r="A268" s="255" t="str">
        <f>Données_ATB!BD255</f>
        <v>HUVAMOX 697 MG/G POUDRE POUR ADMINISTRATION DANS L’EAU DE BOISSON POUR POULES, DINDES, CANARDS ET PORCS</v>
      </c>
      <c r="B268" s="256" t="str">
        <f ca="1">INDEX(Données_ATB!BD:BP,MATCH(A268,Données_ATB!BD:BD,0),9)</f>
        <v>Amoxicilline</v>
      </c>
      <c r="C268" s="257" t="str">
        <f ca="1">INDEX(Données_ATB!BD:BP,MATCH(A268,Données_ATB!BD:BD,0),13)</f>
        <v>Penicillines</v>
      </c>
      <c r="D268" t="e">
        <f t="shared" ca="1" si="12"/>
        <v>#VALUE!</v>
      </c>
      <c r="E268" s="1" t="e">
        <f t="shared" ca="1" si="13"/>
        <v>#VALUE!</v>
      </c>
      <c r="F268" s="1" t="e">
        <f t="shared" ca="1" si="14"/>
        <v>#VALUE!</v>
      </c>
    </row>
    <row r="269" spans="1:6" ht="22.5" customHeight="1" x14ac:dyDescent="0.3">
      <c r="A269" s="255" t="str">
        <f>Données_ATB!BD256</f>
        <v>HYDRODOXX 500 MG/G POUDRE POUR ADMINISTRATION DANS L'EAU DE BOISSON POUR POULETS ET PORCS</v>
      </c>
      <c r="B269" s="256" t="str">
        <f ca="1">INDEX(Données_ATB!BD:BP,MATCH(A269,Données_ATB!BD:BD,0),9)</f>
        <v>Doxycycline</v>
      </c>
      <c r="C269" s="257" t="str">
        <f ca="1">INDEX(Données_ATB!BD:BP,MATCH(A269,Données_ATB!BD:BD,0),13)</f>
        <v>Tetracyclines</v>
      </c>
      <c r="D269" t="e">
        <f t="shared" ca="1" si="12"/>
        <v>#VALUE!</v>
      </c>
      <c r="E269" s="1" t="e">
        <f t="shared" ca="1" si="13"/>
        <v>#VALUE!</v>
      </c>
      <c r="F269" s="1" t="e">
        <f t="shared" ca="1" si="14"/>
        <v>#VALUE!</v>
      </c>
    </row>
    <row r="270" spans="1:6" ht="22.5" customHeight="1" x14ac:dyDescent="0.3">
      <c r="A270" s="255" t="str">
        <f>Données_ATB!BD257</f>
        <v>INCREXXA 100 MG/ML SOLUTION INJECTABLE POUR BOVINS PORCINS ET OVINS</v>
      </c>
      <c r="B270" s="256" t="str">
        <f ca="1">INDEX(Données_ATB!BD:BP,MATCH(A270,Données_ATB!BD:BD,0),9)</f>
        <v>Tulathromycine</v>
      </c>
      <c r="C270" s="257" t="str">
        <f ca="1">INDEX(Données_ATB!BD:BP,MATCH(A270,Données_ATB!BD:BD,0),13)</f>
        <v>Macrolides</v>
      </c>
      <c r="D270" t="e">
        <f t="shared" ca="1" si="12"/>
        <v>#VALUE!</v>
      </c>
      <c r="E270" s="1" t="e">
        <f t="shared" ca="1" si="13"/>
        <v>#VALUE!</v>
      </c>
      <c r="F270" s="1" t="e">
        <f t="shared" ca="1" si="14"/>
        <v>#VALUE!</v>
      </c>
    </row>
    <row r="271" spans="1:6" ht="22.5" customHeight="1" x14ac:dyDescent="0.3">
      <c r="A271" s="255" t="str">
        <f>Données_ATB!BD258</f>
        <v>INCREXXA 25 MG/ML SOLUTION INJECTABLE POUR PORCINS</v>
      </c>
      <c r="B271" s="256" t="str">
        <f ca="1">INDEX(Données_ATB!BD:BP,MATCH(A271,Données_ATB!BD:BD,0),9)</f>
        <v>Tulathromycine</v>
      </c>
      <c r="C271" s="257" t="str">
        <f ca="1">INDEX(Données_ATB!BD:BP,MATCH(A271,Données_ATB!BD:BD,0),13)</f>
        <v>Macrolides</v>
      </c>
      <c r="D271" t="e">
        <f t="shared" ca="1" si="12"/>
        <v>#VALUE!</v>
      </c>
      <c r="E271" s="1" t="e">
        <f t="shared" ca="1" si="13"/>
        <v>#VALUE!</v>
      </c>
      <c r="F271" s="1" t="e">
        <f t="shared" ca="1" si="14"/>
        <v>#VALUE!</v>
      </c>
    </row>
    <row r="272" spans="1:6" ht="22.5" customHeight="1" x14ac:dyDescent="0.3">
      <c r="A272" s="255" t="str">
        <f>Données_ATB!BD259</f>
        <v>INOXYL ACIDE OXOLINIQUE 240 SALMONIDES</v>
      </c>
      <c r="B272" s="256" t="str">
        <f ca="1">INDEX(Données_ATB!BD:BP,MATCH(A272,Données_ATB!BD:BD,0),9)</f>
        <v>Acide oxolinique</v>
      </c>
      <c r="C272" s="257" t="str">
        <f ca="1">INDEX(Données_ATB!BD:BP,MATCH(A272,Données_ATB!BD:BD,0),13)</f>
        <v>Quinolones</v>
      </c>
      <c r="D272" t="e">
        <f t="shared" ca="1" si="12"/>
        <v>#VALUE!</v>
      </c>
      <c r="E272" s="1" t="e">
        <f t="shared" ca="1" si="13"/>
        <v>#VALUE!</v>
      </c>
      <c r="F272" s="1" t="e">
        <f t="shared" ca="1" si="14"/>
        <v>#VALUE!</v>
      </c>
    </row>
    <row r="273" spans="1:6" ht="22.5" customHeight="1" x14ac:dyDescent="0.3">
      <c r="A273" s="255" t="str">
        <f>Données_ATB!BD260</f>
        <v>INOXYL BOLUS</v>
      </c>
      <c r="B273" s="256" t="str">
        <f ca="1">INDEX(Données_ATB!BD:BP,MATCH(A273,Données_ATB!BD:BD,0),9)</f>
        <v>Acide oxolinique</v>
      </c>
      <c r="C273" s="257" t="str">
        <f ca="1">INDEX(Données_ATB!BD:BP,MATCH(A273,Données_ATB!BD:BD,0),13)</f>
        <v>Quinolones</v>
      </c>
      <c r="D273" t="e">
        <f t="shared" ca="1" si="12"/>
        <v>#VALUE!</v>
      </c>
      <c r="E273" s="1" t="e">
        <f t="shared" ca="1" si="13"/>
        <v>#VALUE!</v>
      </c>
      <c r="F273" s="1" t="e">
        <f t="shared" ca="1" si="14"/>
        <v>#VALUE!</v>
      </c>
    </row>
    <row r="274" spans="1:6" ht="22.5" customHeight="1" x14ac:dyDescent="0.3">
      <c r="A274" s="255" t="str">
        <f>Données_ATB!BD261</f>
        <v>INOXYL PATE ORALE</v>
      </c>
      <c r="B274" s="256" t="str">
        <f ca="1">INDEX(Données_ATB!BD:BP,MATCH(A274,Données_ATB!BD:BD,0),9)</f>
        <v>Acide oxolinique</v>
      </c>
      <c r="C274" s="257" t="str">
        <f ca="1">INDEX(Données_ATB!BD:BP,MATCH(A274,Données_ATB!BD:BD,0),13)</f>
        <v>Quinolones</v>
      </c>
      <c r="D274" t="e">
        <f t="shared" ca="1" si="12"/>
        <v>#VALUE!</v>
      </c>
      <c r="E274" s="1" t="e">
        <f t="shared" ca="1" si="13"/>
        <v>#VALUE!</v>
      </c>
      <c r="F274" s="1" t="e">
        <f t="shared" ca="1" si="14"/>
        <v>#VALUE!</v>
      </c>
    </row>
    <row r="275" spans="1:6" ht="22.5" customHeight="1" x14ac:dyDescent="0.3">
      <c r="A275" s="255" t="str">
        <f>Données_ATB!BD262</f>
        <v>INOXYL POUDRE ORALE</v>
      </c>
      <c r="B275" s="256" t="str">
        <f ca="1">INDEX(Données_ATB!BD:BP,MATCH(A275,Données_ATB!BD:BD,0),9)</f>
        <v>Acide oxolinique</v>
      </c>
      <c r="C275" s="257" t="str">
        <f ca="1">INDEX(Données_ATB!BD:BP,MATCH(A275,Données_ATB!BD:BD,0),13)</f>
        <v>Quinolones</v>
      </c>
      <c r="D275" t="e">
        <f t="shared" ca="1" si="12"/>
        <v>#VALUE!</v>
      </c>
      <c r="E275" s="1" t="e">
        <f t="shared" ca="1" si="13"/>
        <v>#VALUE!</v>
      </c>
      <c r="F275" s="1" t="e">
        <f t="shared" ca="1" si="14"/>
        <v>#VALUE!</v>
      </c>
    </row>
    <row r="276" spans="1:6" ht="22.5" customHeight="1" x14ac:dyDescent="0.3">
      <c r="A276" s="255" t="str">
        <f>Données_ATB!BD263</f>
        <v>INOXYL SOLUTION BUVABLE</v>
      </c>
      <c r="B276" s="256" t="str">
        <f ca="1">INDEX(Données_ATB!BD:BP,MATCH(A276,Données_ATB!BD:BD,0),9)</f>
        <v>Acide oxolinique</v>
      </c>
      <c r="C276" s="257" t="str">
        <f ca="1">INDEX(Données_ATB!BD:BP,MATCH(A276,Données_ATB!BD:BD,0),13)</f>
        <v>Quinolones</v>
      </c>
      <c r="D276" t="e">
        <f t="shared" ca="1" si="12"/>
        <v>#VALUE!</v>
      </c>
      <c r="E276" s="1" t="e">
        <f t="shared" ca="1" si="13"/>
        <v>#VALUE!</v>
      </c>
      <c r="F276" s="1" t="e">
        <f t="shared" ca="1" si="14"/>
        <v>#VALUE!</v>
      </c>
    </row>
    <row r="277" spans="1:6" ht="22.5" customHeight="1" x14ac:dyDescent="0.3">
      <c r="A277" s="255" t="str">
        <f>Données_ATB!BD264</f>
        <v>INTESTIVO</v>
      </c>
      <c r="B277" s="256" t="str">
        <f ca="1">INDEX(Données_ATB!BD:BP,MATCH(A277,Données_ATB!BD:BD,0),9)</f>
        <v>Sulfaguanidine + Colistine</v>
      </c>
      <c r="C277" s="257" t="str">
        <f ca="1">INDEX(Données_ATB!BD:BP,MATCH(A277,Données_ATB!BD:BD,0),13)</f>
        <v>Sulfamides + Polypeptides</v>
      </c>
      <c r="D277" t="str">
        <f t="shared" ca="1" si="12"/>
        <v>x</v>
      </c>
      <c r="E277" s="1" t="e">
        <f t="shared" ca="1" si="13"/>
        <v>#VALUE!</v>
      </c>
      <c r="F277" s="1" t="e">
        <f t="shared" ca="1" si="14"/>
        <v>#VALUE!</v>
      </c>
    </row>
    <row r="278" spans="1:6" ht="22.5" customHeight="1" x14ac:dyDescent="0.3">
      <c r="A278" s="255" t="str">
        <f>Données_ATB!BD265</f>
        <v>INTRAMICINE</v>
      </c>
      <c r="B278" s="256" t="str">
        <f ca="1">INDEX(Données_ATB!BD:BP,MATCH(A278,Données_ATB!BD:BD,0),9)</f>
        <v>Dihydrostreptomycine + Benzylpénicilline</v>
      </c>
      <c r="C278" s="257" t="str">
        <f ca="1">INDEX(Données_ATB!BD:BP,MATCH(A278,Données_ATB!BD:BD,0),13)</f>
        <v>Aminoglycosides + Penicillines</v>
      </c>
      <c r="D278" t="e">
        <f t="shared" ca="1" si="12"/>
        <v>#VALUE!</v>
      </c>
      <c r="E278" s="1" t="e">
        <f t="shared" ca="1" si="13"/>
        <v>#VALUE!</v>
      </c>
      <c r="F278" s="1" t="e">
        <f t="shared" ca="1" si="14"/>
        <v>#VALUE!</v>
      </c>
    </row>
    <row r="279" spans="1:6" ht="22.5" customHeight="1" x14ac:dyDescent="0.3">
      <c r="A279" s="255" t="str">
        <f>Données_ATB!BD266</f>
        <v>KARIFLOX 10 % SOLUTION BUVABLE POUR POULES ET DINDES</v>
      </c>
      <c r="B279" s="256" t="str">
        <f ca="1">INDEX(Données_ATB!BD:BP,MATCH(A279,Données_ATB!BD:BD,0),9)</f>
        <v>Enrofloxacine</v>
      </c>
      <c r="C279" s="257" t="str">
        <f ca="1">INDEX(Données_ATB!BD:BP,MATCH(A279,Données_ATB!BD:BD,0),13)</f>
        <v>Fluoroquinolones</v>
      </c>
      <c r="D279" t="e">
        <f t="shared" ref="D279:D342" ca="1" si="15">IF(SEARCH("Colistine",B279)&gt;0,"x","")</f>
        <v>#VALUE!</v>
      </c>
      <c r="E279" s="1" t="e">
        <f t="shared" ref="E279:E342" ca="1" si="16">IF(SEARCH("Cephalosporines 3&amp;4G",C279)&gt;0,"x","")</f>
        <v>#VALUE!</v>
      </c>
      <c r="F279" s="1" t="e">
        <f t="shared" ref="F279:F342" ca="1" si="17">IF(SEARCH("Cephalosporines 3&amp;4G",C279)&gt;0,"x","")&amp;IF(SEARCH("Fluoroquinolones",C279)&gt;0,"x","")</f>
        <v>#VALUE!</v>
      </c>
    </row>
    <row r="280" spans="1:6" ht="22.5" customHeight="1" x14ac:dyDescent="0.3">
      <c r="A280" s="255" t="str">
        <f>Données_ATB!BD267</f>
        <v>KEFLORIL 300 MG/ML SOLUTION INJECTABLE POUR BOVINS ET PORCINS</v>
      </c>
      <c r="B280" s="256" t="str">
        <f ca="1">INDEX(Données_ATB!BD:BP,MATCH(A280,Données_ATB!BD:BD,0),9)</f>
        <v>Florfénicol</v>
      </c>
      <c r="C280" s="257" t="str">
        <f ca="1">INDEX(Données_ATB!BD:BP,MATCH(A280,Données_ATB!BD:BD,0),13)</f>
        <v>Phenicoles</v>
      </c>
      <c r="D280" t="e">
        <f t="shared" ca="1" si="15"/>
        <v>#VALUE!</v>
      </c>
      <c r="E280" s="1" t="e">
        <f t="shared" ca="1" si="16"/>
        <v>#VALUE!</v>
      </c>
      <c r="F280" s="1" t="e">
        <f t="shared" ca="1" si="17"/>
        <v>#VALUE!</v>
      </c>
    </row>
    <row r="281" spans="1:6" ht="22.5" customHeight="1" x14ac:dyDescent="0.3">
      <c r="A281" s="255" t="str">
        <f>Données_ATB!BD268</f>
        <v>KELACYL 100 MG/ML SOLUTION INJECTABLE POUR BOVINS ET PORCINS</v>
      </c>
      <c r="B281" s="256" t="str">
        <f ca="1">INDEX(Données_ATB!BD:BP,MATCH(A281,Données_ATB!BD:BD,0),9)</f>
        <v>Marbofloxacine</v>
      </c>
      <c r="C281" s="257" t="str">
        <f ca="1">INDEX(Données_ATB!BD:BP,MATCH(A281,Données_ATB!BD:BD,0),13)</f>
        <v>Fluoroquinolones</v>
      </c>
      <c r="D281" t="e">
        <f t="shared" ca="1" si="15"/>
        <v>#VALUE!</v>
      </c>
      <c r="E281" s="1" t="e">
        <f t="shared" ca="1" si="16"/>
        <v>#VALUE!</v>
      </c>
      <c r="F281" s="1" t="e">
        <f t="shared" ca="1" si="17"/>
        <v>#VALUE!</v>
      </c>
    </row>
    <row r="282" spans="1:6" ht="22.5" customHeight="1" x14ac:dyDescent="0.3">
      <c r="A282" s="255" t="str">
        <f>Données_ATB!BD269</f>
        <v>K-VET DOXYCYCLINE 50 MG/G POUDRE</v>
      </c>
      <c r="B282" s="256" t="str">
        <f ca="1">INDEX(Données_ATB!BD:BP,MATCH(A282,Données_ATB!BD:BD,0),9)</f>
        <v>Doxycycline</v>
      </c>
      <c r="C282" s="257" t="str">
        <f ca="1">INDEX(Données_ATB!BD:BP,MATCH(A282,Données_ATB!BD:BD,0),13)</f>
        <v>Tetracyclines</v>
      </c>
      <c r="D282" t="e">
        <f t="shared" ca="1" si="15"/>
        <v>#VALUE!</v>
      </c>
      <c r="E282" s="1" t="e">
        <f t="shared" ca="1" si="16"/>
        <v>#VALUE!</v>
      </c>
      <c r="F282" s="1" t="e">
        <f t="shared" ca="1" si="17"/>
        <v>#VALUE!</v>
      </c>
    </row>
    <row r="283" spans="1:6" ht="22.5" customHeight="1" x14ac:dyDescent="0.3">
      <c r="A283" s="255" t="str">
        <f>Données_ATB!BD270</f>
        <v>K-VET OTC 500 MG/G POUDRE POUR ADMINISTRATION DANS L’EAU DE BOISSON, LE LAIT ET L’ALIMENT D’ALLAITEMENT</v>
      </c>
      <c r="B283" s="256" t="str">
        <f ca="1">INDEX(Données_ATB!BD:BP,MATCH(A283,Données_ATB!BD:BD,0),9)</f>
        <v>Oxytétracycline</v>
      </c>
      <c r="C283" s="257" t="str">
        <f ca="1">INDEX(Données_ATB!BD:BP,MATCH(A283,Données_ATB!BD:BD,0),13)</f>
        <v>Tetracyclines</v>
      </c>
      <c r="D283" t="e">
        <f t="shared" ca="1" si="15"/>
        <v>#VALUE!</v>
      </c>
      <c r="E283" s="1" t="e">
        <f t="shared" ca="1" si="16"/>
        <v>#VALUE!</v>
      </c>
      <c r="F283" s="1" t="e">
        <f t="shared" ca="1" si="17"/>
        <v>#VALUE!</v>
      </c>
    </row>
    <row r="284" spans="1:6" ht="22.5" customHeight="1" x14ac:dyDescent="0.3">
      <c r="A284" s="255" t="str">
        <f>Données_ATB!BD271</f>
        <v>K-VET TYLOSINE 92 000 UI/G POUDRE ORALE PORCS</v>
      </c>
      <c r="B284" s="256" t="str">
        <f ca="1">INDEX(Données_ATB!BD:BP,MATCH(A284,Données_ATB!BD:BD,0),9)</f>
        <v>Tylosine</v>
      </c>
      <c r="C284" s="257" t="str">
        <f ca="1">INDEX(Données_ATB!BD:BP,MATCH(A284,Données_ATB!BD:BD,0),13)</f>
        <v>Macrolides</v>
      </c>
      <c r="D284" t="e">
        <f t="shared" ca="1" si="15"/>
        <v>#VALUE!</v>
      </c>
      <c r="E284" s="1" t="e">
        <f t="shared" ca="1" si="16"/>
        <v>#VALUE!</v>
      </c>
      <c r="F284" s="1" t="e">
        <f t="shared" ca="1" si="17"/>
        <v>#VALUE!</v>
      </c>
    </row>
    <row r="285" spans="1:6" ht="22.5" customHeight="1" x14ac:dyDescent="0.3">
      <c r="A285" s="255" t="str">
        <f>Données_ATB!BD272</f>
        <v>LANFLOX 100 MG/ML SOLUTION POUR UTILISATION DANS L'EAU DE BOISSON POUR POULETS ET DINDES</v>
      </c>
      <c r="B285" s="256" t="str">
        <f ca="1">INDEX(Données_ATB!BD:BP,MATCH(A285,Données_ATB!BD:BD,0),9)</f>
        <v>Enrofloxacine</v>
      </c>
      <c r="C285" s="257" t="str">
        <f ca="1">INDEX(Données_ATB!BD:BP,MATCH(A285,Données_ATB!BD:BD,0),13)</f>
        <v>Fluoroquinolones</v>
      </c>
      <c r="D285" t="e">
        <f t="shared" ca="1" si="15"/>
        <v>#VALUE!</v>
      </c>
      <c r="E285" s="1" t="e">
        <f t="shared" ca="1" si="16"/>
        <v>#VALUE!</v>
      </c>
      <c r="F285" s="1" t="e">
        <f t="shared" ca="1" si="17"/>
        <v>#VALUE!</v>
      </c>
    </row>
    <row r="286" spans="1:6" ht="22.5" customHeight="1" x14ac:dyDescent="0.3">
      <c r="A286" s="255" t="str">
        <f>Données_ATB!BD273</f>
        <v>LANFLOX 2,5%</v>
      </c>
      <c r="B286" s="256" t="str">
        <f ca="1">INDEX(Données_ATB!BD:BP,MATCH(A286,Données_ATB!BD:BD,0),9)</f>
        <v>Enrofloxacine</v>
      </c>
      <c r="C286" s="257" t="str">
        <f ca="1">INDEX(Données_ATB!BD:BP,MATCH(A286,Données_ATB!BD:BD,0),13)</f>
        <v>Fluoroquinolones</v>
      </c>
      <c r="D286" t="e">
        <f t="shared" ca="1" si="15"/>
        <v>#VALUE!</v>
      </c>
      <c r="E286" s="1" t="e">
        <f t="shared" ca="1" si="16"/>
        <v>#VALUE!</v>
      </c>
      <c r="F286" s="1" t="e">
        <f t="shared" ca="1" si="17"/>
        <v>#VALUE!</v>
      </c>
    </row>
    <row r="287" spans="1:6" ht="22.5" customHeight="1" x14ac:dyDescent="0.3">
      <c r="A287" s="255" t="str">
        <f>Données_ATB!BD274</f>
        <v>LAPICRINE SULFA</v>
      </c>
      <c r="B287" s="256" t="str">
        <f ca="1">INDEX(Données_ATB!BD:BP,MATCH(A287,Données_ATB!BD:BD,0),9)</f>
        <v>Sulfadimidine + Sulfaquinoxaline</v>
      </c>
      <c r="C287" s="257" t="str">
        <f ca="1">INDEX(Données_ATB!BD:BP,MATCH(A287,Données_ATB!BD:BD,0),13)</f>
        <v>Sulfamides</v>
      </c>
      <c r="D287" t="e">
        <f t="shared" ca="1" si="15"/>
        <v>#VALUE!</v>
      </c>
      <c r="E287" s="1" t="e">
        <f t="shared" ca="1" si="16"/>
        <v>#VALUE!</v>
      </c>
      <c r="F287" s="1" t="e">
        <f t="shared" ca="1" si="17"/>
        <v>#VALUE!</v>
      </c>
    </row>
    <row r="288" spans="1:6" ht="22.5" customHeight="1" x14ac:dyDescent="0.3">
      <c r="A288" s="255" t="str">
        <f>Données_ATB!BD275</f>
        <v>LINCOCINE 400 MG/G POUDRE POUR ADMINISTRATION DANS L’EAU DE BOISSON</v>
      </c>
      <c r="B288" s="256" t="str">
        <f ca="1">INDEX(Données_ATB!BD:BP,MATCH(A288,Données_ATB!BD:BD,0),9)</f>
        <v>Lincomycine</v>
      </c>
      <c r="C288" s="257" t="str">
        <f ca="1">INDEX(Données_ATB!BD:BP,MATCH(A288,Données_ATB!BD:BD,0),13)</f>
        <v>Lincosamides</v>
      </c>
      <c r="D288" t="e">
        <f t="shared" ca="1" si="15"/>
        <v>#VALUE!</v>
      </c>
      <c r="E288" s="1" t="e">
        <f t="shared" ca="1" si="16"/>
        <v>#VALUE!</v>
      </c>
      <c r="F288" s="1" t="e">
        <f t="shared" ca="1" si="17"/>
        <v>#VALUE!</v>
      </c>
    </row>
    <row r="289" spans="1:6" ht="22.5" customHeight="1" x14ac:dyDescent="0.3">
      <c r="A289" s="255" t="str">
        <f>Données_ATB!BD276</f>
        <v>LINCOCINE SOLUTION</v>
      </c>
      <c r="B289" s="256" t="str">
        <f ca="1">INDEX(Données_ATB!BD:BP,MATCH(A289,Données_ATB!BD:BD,0),9)</f>
        <v>Lincomycine</v>
      </c>
      <c r="C289" s="257" t="str">
        <f ca="1">INDEX(Données_ATB!BD:BP,MATCH(A289,Données_ATB!BD:BD,0),13)</f>
        <v>Lincosamides</v>
      </c>
      <c r="D289" t="e">
        <f t="shared" ca="1" si="15"/>
        <v>#VALUE!</v>
      </c>
      <c r="E289" s="1" t="e">
        <f t="shared" ca="1" si="16"/>
        <v>#VALUE!</v>
      </c>
      <c r="F289" s="1" t="e">
        <f t="shared" ca="1" si="17"/>
        <v>#VALUE!</v>
      </c>
    </row>
    <row r="290" spans="1:6" ht="22.5" customHeight="1" x14ac:dyDescent="0.3">
      <c r="A290" s="255" t="str">
        <f>Données_ATB!BD277</f>
        <v>LINCOMYCINE 22 PNEUMONIE PORC FRANVET</v>
      </c>
      <c r="B290" s="256" t="str">
        <f ca="1">INDEX(Données_ATB!BD:BP,MATCH(A290,Données_ATB!BD:BD,0),9)</f>
        <v>Lincomycine</v>
      </c>
      <c r="C290" s="257" t="str">
        <f ca="1">INDEX(Données_ATB!BD:BP,MATCH(A290,Données_ATB!BD:BD,0),13)</f>
        <v>Lincosamides</v>
      </c>
      <c r="D290" t="e">
        <f t="shared" ca="1" si="15"/>
        <v>#VALUE!</v>
      </c>
      <c r="E290" s="1" t="e">
        <f t="shared" ca="1" si="16"/>
        <v>#VALUE!</v>
      </c>
      <c r="F290" s="1" t="e">
        <f t="shared" ca="1" si="17"/>
        <v>#VALUE!</v>
      </c>
    </row>
    <row r="291" spans="1:6" ht="22.5" customHeight="1" x14ac:dyDescent="0.3">
      <c r="A291" s="255" t="str">
        <f>Données_ATB!BD278</f>
        <v>LINCOMYCINE 4.4 SPECTINOMYCINE 4.4 PORC FRANVET</v>
      </c>
      <c r="B291" s="256" t="str">
        <f ca="1">INDEX(Données_ATB!BD:BP,MATCH(A291,Données_ATB!BD:BD,0),9)</f>
        <v>Lincomycine + Spectinomycine</v>
      </c>
      <c r="C291" s="257" t="str">
        <f ca="1">INDEX(Données_ATB!BD:BP,MATCH(A291,Données_ATB!BD:BD,0),13)</f>
        <v>Lincosamides + Aminoglycosides</v>
      </c>
      <c r="D291" t="e">
        <f t="shared" ca="1" si="15"/>
        <v>#VALUE!</v>
      </c>
      <c r="E291" s="1" t="e">
        <f t="shared" ca="1" si="16"/>
        <v>#VALUE!</v>
      </c>
      <c r="F291" s="1" t="e">
        <f t="shared" ca="1" si="17"/>
        <v>#VALUE!</v>
      </c>
    </row>
    <row r="292" spans="1:6" ht="22.5" customHeight="1" x14ac:dyDescent="0.3">
      <c r="A292" s="255" t="str">
        <f>Données_ATB!BD279</f>
        <v>LINCOMYCINE 8.8 ENTERITE PORC FRANVET</v>
      </c>
      <c r="B292" s="256" t="str">
        <f ca="1">INDEX(Données_ATB!BD:BP,MATCH(A292,Données_ATB!BD:BD,0),9)</f>
        <v>Lincomycine</v>
      </c>
      <c r="C292" s="257" t="str">
        <f ca="1">INDEX(Données_ATB!BD:BP,MATCH(A292,Données_ATB!BD:BD,0),13)</f>
        <v>Lincosamides</v>
      </c>
      <c r="D292" t="e">
        <f t="shared" ca="1" si="15"/>
        <v>#VALUE!</v>
      </c>
      <c r="E292" s="1" t="e">
        <f t="shared" ca="1" si="16"/>
        <v>#VALUE!</v>
      </c>
      <c r="F292" s="1" t="e">
        <f t="shared" ca="1" si="17"/>
        <v>#VALUE!</v>
      </c>
    </row>
    <row r="293" spans="1:6" ht="22.5" customHeight="1" x14ac:dyDescent="0.3">
      <c r="A293" s="255" t="str">
        <f>Données_ATB!BD280</f>
        <v>LINCO-SPECTIN 100, 222/444,7 MG/G POUDRE POUR ADMINISTRATION DANS L'EAU DE BOISSON POUR PORCINS ET POULETS</v>
      </c>
      <c r="B293" s="256" t="str">
        <f ca="1">INDEX(Données_ATB!BD:BP,MATCH(A293,Données_ATB!BD:BD,0),9)</f>
        <v>Spectinomycine + Lincomycine</v>
      </c>
      <c r="C293" s="257" t="str">
        <f ca="1">INDEX(Données_ATB!BD:BP,MATCH(A293,Données_ATB!BD:BD,0),13)</f>
        <v>Aminoglycosides + Lincosamides</v>
      </c>
      <c r="D293" t="e">
        <f t="shared" ca="1" si="15"/>
        <v>#VALUE!</v>
      </c>
      <c r="E293" s="1" t="e">
        <f t="shared" ca="1" si="16"/>
        <v>#VALUE!</v>
      </c>
      <c r="F293" s="1" t="e">
        <f t="shared" ca="1" si="17"/>
        <v>#VALUE!</v>
      </c>
    </row>
    <row r="294" spans="1:6" ht="22.5" customHeight="1" x14ac:dyDescent="0.3">
      <c r="A294" s="255" t="str">
        <f>Données_ATB!BD281</f>
        <v>LINCO-SPECTIN INJECTABLE</v>
      </c>
      <c r="B294" s="256" t="str">
        <f ca="1">INDEX(Données_ATB!BD:BP,MATCH(A294,Données_ATB!BD:BD,0),9)</f>
        <v>Spectinomycine + Lincomycine</v>
      </c>
      <c r="C294" s="257" t="str">
        <f ca="1">INDEX(Données_ATB!BD:BP,MATCH(A294,Données_ATB!BD:BD,0),13)</f>
        <v>Aminoglycosides + Lincosamides</v>
      </c>
      <c r="D294" t="e">
        <f t="shared" ca="1" si="15"/>
        <v>#VALUE!</v>
      </c>
      <c r="E294" s="1" t="e">
        <f t="shared" ca="1" si="16"/>
        <v>#VALUE!</v>
      </c>
      <c r="F294" s="1" t="e">
        <f t="shared" ca="1" si="17"/>
        <v>#VALUE!</v>
      </c>
    </row>
    <row r="295" spans="1:6" ht="22.5" customHeight="1" x14ac:dyDescent="0.3">
      <c r="A295" s="255" t="str">
        <f>Données_ATB!BD282</f>
        <v>LINSPEC 50/100 MG/ML SOLUTION INJECTABLE POUR CHIENS CHATS PORCINS ET VEAUX PRE-RUMINANTS</v>
      </c>
      <c r="B295" s="256" t="str">
        <f ca="1">INDEX(Données_ATB!BD:BP,MATCH(A295,Données_ATB!BD:BD,0),9)</f>
        <v>Spectinomycine + Lincomycine</v>
      </c>
      <c r="C295" s="257" t="str">
        <f ca="1">INDEX(Données_ATB!BD:BP,MATCH(A295,Données_ATB!BD:BD,0),13)</f>
        <v>Aminoglycosides + Lincosamides</v>
      </c>
      <c r="D295" t="e">
        <f t="shared" ca="1" si="15"/>
        <v>#VALUE!</v>
      </c>
      <c r="E295" s="1" t="e">
        <f t="shared" ca="1" si="16"/>
        <v>#VALUE!</v>
      </c>
      <c r="F295" s="1" t="e">
        <f t="shared" ca="1" si="17"/>
        <v>#VALUE!</v>
      </c>
    </row>
    <row r="296" spans="1:6" ht="22.5" customHeight="1" x14ac:dyDescent="0.3">
      <c r="A296" s="255" t="str">
        <f>Données_ATB!BD283</f>
        <v>LOHMASTITE 214,5 MG/ML POUDRE ET SOLVANT POUR SUSPENSION INJECTABLE POUR BOVINS</v>
      </c>
      <c r="B296" s="256" t="str">
        <f ca="1">INDEX(Données_ATB!BD:BP,MATCH(A296,Données_ATB!BD:BD,0),9)</f>
        <v>Pénéthamate (ou pénéthacilline)</v>
      </c>
      <c r="C296" s="257" t="str">
        <f ca="1">INDEX(Données_ATB!BD:BP,MATCH(A296,Données_ATB!BD:BD,0),13)</f>
        <v>Penicillines</v>
      </c>
      <c r="D296" t="e">
        <f t="shared" ca="1" si="15"/>
        <v>#VALUE!</v>
      </c>
      <c r="E296" s="1" t="e">
        <f t="shared" ca="1" si="16"/>
        <v>#VALUE!</v>
      </c>
      <c r="F296" s="1" t="e">
        <f t="shared" ca="1" si="17"/>
        <v>#VALUE!</v>
      </c>
    </row>
    <row r="297" spans="1:6" ht="22.5" customHeight="1" x14ac:dyDescent="0.3">
      <c r="A297" s="255" t="str">
        <f>Données_ATB!BD284</f>
        <v>LONGAMOX</v>
      </c>
      <c r="B297" s="256" t="str">
        <f ca="1">INDEX(Données_ATB!BD:BP,MATCH(A297,Données_ATB!BD:BD,0),9)</f>
        <v>Amoxicilline</v>
      </c>
      <c r="C297" s="257" t="str">
        <f ca="1">INDEX(Données_ATB!BD:BP,MATCH(A297,Données_ATB!BD:BD,0),13)</f>
        <v>Penicillines</v>
      </c>
      <c r="D297" t="e">
        <f t="shared" ca="1" si="15"/>
        <v>#VALUE!</v>
      </c>
      <c r="E297" s="1" t="e">
        <f t="shared" ca="1" si="16"/>
        <v>#VALUE!</v>
      </c>
      <c r="F297" s="1" t="e">
        <f t="shared" ca="1" si="17"/>
        <v>#VALUE!</v>
      </c>
    </row>
    <row r="298" spans="1:6" ht="22.5" customHeight="1" x14ac:dyDescent="0.3">
      <c r="A298" s="255" t="str">
        <f>Données_ATB!BD285</f>
        <v>LONGICINE</v>
      </c>
      <c r="B298" s="256" t="str">
        <f ca="1">INDEX(Données_ATB!BD:BP,MATCH(A298,Données_ATB!BD:BD,0),9)</f>
        <v>Oxytétracycline</v>
      </c>
      <c r="C298" s="257" t="str">
        <f ca="1">INDEX(Données_ATB!BD:BP,MATCH(A298,Données_ATB!BD:BD,0),13)</f>
        <v>Tetracyclines</v>
      </c>
      <c r="D298" t="e">
        <f t="shared" ca="1" si="15"/>
        <v>#VALUE!</v>
      </c>
      <c r="E298" s="1" t="e">
        <f t="shared" ca="1" si="16"/>
        <v>#VALUE!</v>
      </c>
      <c r="F298" s="1" t="e">
        <f t="shared" ca="1" si="17"/>
        <v>#VALUE!</v>
      </c>
    </row>
    <row r="299" spans="1:6" ht="22.5" customHeight="1" x14ac:dyDescent="0.3">
      <c r="A299" s="255" t="str">
        <f>Données_ATB!BD286</f>
        <v>LYDAXX 100 MG/ML SOLUTION INJECTABLE POUR BOVINS PORCINS ET OVINS</v>
      </c>
      <c r="B299" s="256" t="str">
        <f ca="1">INDEX(Données_ATB!BD:BP,MATCH(A299,Données_ATB!BD:BD,0),9)</f>
        <v>Tulathromycine</v>
      </c>
      <c r="C299" s="257" t="str">
        <f ca="1">INDEX(Données_ATB!BD:BP,MATCH(A299,Données_ATB!BD:BD,0),13)</f>
        <v>Macrolides</v>
      </c>
      <c r="D299" t="e">
        <f t="shared" ca="1" si="15"/>
        <v>#VALUE!</v>
      </c>
      <c r="E299" s="1" t="e">
        <f t="shared" ca="1" si="16"/>
        <v>#VALUE!</v>
      </c>
      <c r="F299" s="1" t="e">
        <f t="shared" ca="1" si="17"/>
        <v>#VALUE!</v>
      </c>
    </row>
    <row r="300" spans="1:6" ht="22.5" customHeight="1" x14ac:dyDescent="0.3">
      <c r="A300" s="255" t="str">
        <f>Données_ATB!BD287</f>
        <v>MACROSYN 100 MG/ML SOLUTION INJECTABLE POUR BOVINS, PORCINS ET OVINS</v>
      </c>
      <c r="B300" s="256" t="str">
        <f ca="1">INDEX(Données_ATB!BD:BP,MATCH(A300,Données_ATB!BD:BD,0),9)</f>
        <v>Tulathromycine</v>
      </c>
      <c r="C300" s="257" t="str">
        <f ca="1">INDEX(Données_ATB!BD:BP,MATCH(A300,Données_ATB!BD:BD,0),13)</f>
        <v>Macrolides</v>
      </c>
      <c r="D300" t="e">
        <f t="shared" ca="1" si="15"/>
        <v>#VALUE!</v>
      </c>
      <c r="E300" s="1" t="e">
        <f t="shared" ca="1" si="16"/>
        <v>#VALUE!</v>
      </c>
      <c r="F300" s="1" t="e">
        <f t="shared" ca="1" si="17"/>
        <v>#VALUE!</v>
      </c>
    </row>
    <row r="301" spans="1:6" ht="22.5" customHeight="1" x14ac:dyDescent="0.3">
      <c r="A301" s="255" t="str">
        <f>Données_ATB!BD288</f>
        <v>MAMMITEL</v>
      </c>
      <c r="B301" s="256" t="str">
        <f ca="1">INDEX(Données_ATB!BD:BP,MATCH(A301,Données_ATB!BD:BD,0),9)</f>
        <v>Cloxacilline + Colistine</v>
      </c>
      <c r="C301" s="257" t="str">
        <f ca="1">INDEX(Données_ATB!BD:BP,MATCH(A301,Données_ATB!BD:BD,0),13)</f>
        <v>Penicillines + Polypeptides</v>
      </c>
      <c r="D301" t="str">
        <f t="shared" ca="1" si="15"/>
        <v>x</v>
      </c>
      <c r="E301" s="1" t="e">
        <f t="shared" ca="1" si="16"/>
        <v>#VALUE!</v>
      </c>
      <c r="F301" s="1" t="e">
        <f t="shared" ca="1" si="17"/>
        <v>#VALUE!</v>
      </c>
    </row>
    <row r="302" spans="1:6" ht="22.5" customHeight="1" x14ac:dyDescent="0.3">
      <c r="A302" s="255" t="str">
        <f>Données_ATB!BD289</f>
        <v>MARBOCARE 100 MG/ML SOLUTION INJECTABLE POUR BOVINS ET PORCINS</v>
      </c>
      <c r="B302" s="256" t="str">
        <f ca="1">INDEX(Données_ATB!BD:BP,MATCH(A302,Données_ATB!BD:BD,0),9)</f>
        <v>Marbofloxacine</v>
      </c>
      <c r="C302" s="257" t="str">
        <f ca="1">INDEX(Données_ATB!BD:BP,MATCH(A302,Données_ATB!BD:BD,0),13)</f>
        <v>Fluoroquinolones</v>
      </c>
      <c r="D302" t="e">
        <f t="shared" ca="1" si="15"/>
        <v>#VALUE!</v>
      </c>
      <c r="E302" s="1" t="e">
        <f t="shared" ca="1" si="16"/>
        <v>#VALUE!</v>
      </c>
      <c r="F302" s="1" t="e">
        <f t="shared" ca="1" si="17"/>
        <v>#VALUE!</v>
      </c>
    </row>
    <row r="303" spans="1:6" ht="22.5" customHeight="1" x14ac:dyDescent="0.3">
      <c r="A303" s="255" t="str">
        <f>Données_ATB!BD290</f>
        <v>MARBOCARE 20 MG/ML SOLUTION INJECTABLE POUR BOVINS ET PORCINS</v>
      </c>
      <c r="B303" s="256" t="str">
        <f ca="1">INDEX(Données_ATB!BD:BP,MATCH(A303,Données_ATB!BD:BD,0),9)</f>
        <v>Marbofloxacine</v>
      </c>
      <c r="C303" s="257" t="str">
        <f ca="1">INDEX(Données_ATB!BD:BP,MATCH(A303,Données_ATB!BD:BD,0),13)</f>
        <v>Fluoroquinolones</v>
      </c>
      <c r="D303" t="e">
        <f t="shared" ca="1" si="15"/>
        <v>#VALUE!</v>
      </c>
      <c r="E303" s="1" t="e">
        <f t="shared" ca="1" si="16"/>
        <v>#VALUE!</v>
      </c>
      <c r="F303" s="1" t="e">
        <f t="shared" ca="1" si="17"/>
        <v>#VALUE!</v>
      </c>
    </row>
    <row r="304" spans="1:6" ht="22.5" customHeight="1" x14ac:dyDescent="0.3">
      <c r="A304" s="255" t="str">
        <f>Données_ATB!BD291</f>
        <v>MARBOCYL 10 %</v>
      </c>
      <c r="B304" s="256" t="str">
        <f ca="1">INDEX(Données_ATB!BD:BP,MATCH(A304,Données_ATB!BD:BD,0),9)</f>
        <v>Marbofloxacine</v>
      </c>
      <c r="C304" s="257" t="str">
        <f ca="1">INDEX(Données_ATB!BD:BP,MATCH(A304,Données_ATB!BD:BD,0),13)</f>
        <v>Fluoroquinolones</v>
      </c>
      <c r="D304" t="e">
        <f t="shared" ca="1" si="15"/>
        <v>#VALUE!</v>
      </c>
      <c r="E304" s="1" t="e">
        <f t="shared" ca="1" si="16"/>
        <v>#VALUE!</v>
      </c>
      <c r="F304" s="1" t="e">
        <f t="shared" ca="1" si="17"/>
        <v>#VALUE!</v>
      </c>
    </row>
    <row r="305" spans="1:6" ht="22.5" customHeight="1" x14ac:dyDescent="0.3">
      <c r="A305" s="255" t="str">
        <f>Données_ATB!BD292</f>
        <v>MARBOCYL 2 %</v>
      </c>
      <c r="B305" s="256" t="str">
        <f ca="1">INDEX(Données_ATB!BD:BP,MATCH(A305,Données_ATB!BD:BD,0),9)</f>
        <v>Marbofloxacine</v>
      </c>
      <c r="C305" s="257" t="str">
        <f ca="1">INDEX(Données_ATB!BD:BP,MATCH(A305,Données_ATB!BD:BD,0),13)</f>
        <v>Fluoroquinolones</v>
      </c>
      <c r="D305" t="e">
        <f t="shared" ca="1" si="15"/>
        <v>#VALUE!</v>
      </c>
      <c r="E305" s="1" t="e">
        <f t="shared" ca="1" si="16"/>
        <v>#VALUE!</v>
      </c>
      <c r="F305" s="1" t="e">
        <f t="shared" ca="1" si="17"/>
        <v>#VALUE!</v>
      </c>
    </row>
    <row r="306" spans="1:6" ht="22.5" customHeight="1" x14ac:dyDescent="0.3">
      <c r="A306" s="255" t="str">
        <f>Données_ATB!BD293</f>
        <v>MARBOCYL BOLUS</v>
      </c>
      <c r="B306" s="256" t="str">
        <f ca="1">INDEX(Données_ATB!BD:BP,MATCH(A306,Données_ATB!BD:BD,0),9)</f>
        <v>Marbofloxacine</v>
      </c>
      <c r="C306" s="257" t="str">
        <f ca="1">INDEX(Données_ATB!BD:BP,MATCH(A306,Données_ATB!BD:BD,0),13)</f>
        <v>Fluoroquinolones</v>
      </c>
      <c r="D306" t="e">
        <f t="shared" ca="1" si="15"/>
        <v>#VALUE!</v>
      </c>
      <c r="E306" s="1" t="e">
        <f t="shared" ca="1" si="16"/>
        <v>#VALUE!</v>
      </c>
      <c r="F306" s="1" t="e">
        <f t="shared" ca="1" si="17"/>
        <v>#VALUE!</v>
      </c>
    </row>
    <row r="307" spans="1:6" ht="22.5" customHeight="1" x14ac:dyDescent="0.3">
      <c r="A307" s="255" t="str">
        <f>Données_ATB!BD294</f>
        <v>MARBOCYL S</v>
      </c>
      <c r="B307" s="256" t="str">
        <f ca="1">INDEX(Données_ATB!BD:BP,MATCH(A307,Données_ATB!BD:BD,0),9)</f>
        <v>Marbofloxacine</v>
      </c>
      <c r="C307" s="257" t="str">
        <f ca="1">INDEX(Données_ATB!BD:BP,MATCH(A307,Données_ATB!BD:BD,0),13)</f>
        <v>Fluoroquinolones</v>
      </c>
      <c r="D307" t="e">
        <f t="shared" ca="1" si="15"/>
        <v>#VALUE!</v>
      </c>
      <c r="E307" s="1" t="e">
        <f t="shared" ca="1" si="16"/>
        <v>#VALUE!</v>
      </c>
      <c r="F307" s="1" t="e">
        <f t="shared" ca="1" si="17"/>
        <v>#VALUE!</v>
      </c>
    </row>
    <row r="308" spans="1:6" ht="22.5" customHeight="1" x14ac:dyDescent="0.3">
      <c r="A308" s="255" t="str">
        <f>Données_ATB!BD295</f>
        <v>MARBONOR 100 MG/ML SOLUTION INJECTABLE POUR BOVINS ET PORCINS</v>
      </c>
      <c r="B308" s="256" t="str">
        <f ca="1">INDEX(Données_ATB!BD:BP,MATCH(A308,Données_ATB!BD:BD,0),9)</f>
        <v>Marbofloxacine</v>
      </c>
      <c r="C308" s="257" t="str">
        <f ca="1">INDEX(Données_ATB!BD:BP,MATCH(A308,Données_ATB!BD:BD,0),13)</f>
        <v>Fluoroquinolones</v>
      </c>
      <c r="D308" t="e">
        <f t="shared" ca="1" si="15"/>
        <v>#VALUE!</v>
      </c>
      <c r="E308" s="1" t="e">
        <f t="shared" ca="1" si="16"/>
        <v>#VALUE!</v>
      </c>
      <c r="F308" s="1" t="e">
        <f t="shared" ca="1" si="17"/>
        <v>#VALUE!</v>
      </c>
    </row>
    <row r="309" spans="1:6" ht="22.5" customHeight="1" x14ac:dyDescent="0.3">
      <c r="A309" s="255" t="str">
        <f>Données_ATB!BD296</f>
        <v>MARBOX 100 MG/ML SOLUTION INJECTABLE POUR BOVINS ET PORCINS</v>
      </c>
      <c r="B309" s="256" t="str">
        <f ca="1">INDEX(Données_ATB!BD:BP,MATCH(A309,Données_ATB!BD:BD,0),9)</f>
        <v>Marbofloxacine</v>
      </c>
      <c r="C309" s="257" t="str">
        <f ca="1">INDEX(Données_ATB!BD:BP,MATCH(A309,Données_ATB!BD:BD,0),13)</f>
        <v>Fluoroquinolones</v>
      </c>
      <c r="D309" t="e">
        <f t="shared" ca="1" si="15"/>
        <v>#VALUE!</v>
      </c>
      <c r="E309" s="1" t="e">
        <f t="shared" ca="1" si="16"/>
        <v>#VALUE!</v>
      </c>
      <c r="F309" s="1" t="e">
        <f t="shared" ca="1" si="17"/>
        <v>#VALUE!</v>
      </c>
    </row>
    <row r="310" spans="1:6" ht="22.5" customHeight="1" x14ac:dyDescent="0.3">
      <c r="A310" s="255" t="str">
        <f>Données_ATB!BD297</f>
        <v>MARFLOQUIN 100 MG/ML SOLUTION INJECTABLE POUR BOVINS ET PORCINS (TRUIES)</v>
      </c>
      <c r="B310" s="256" t="str">
        <f ca="1">INDEX(Données_ATB!BD:BP,MATCH(A310,Données_ATB!BD:BD,0),9)</f>
        <v>Marbofloxacine</v>
      </c>
      <c r="C310" s="257" t="str">
        <f ca="1">INDEX(Données_ATB!BD:BP,MATCH(A310,Données_ATB!BD:BD,0),13)</f>
        <v>Fluoroquinolones</v>
      </c>
      <c r="D310" t="e">
        <f t="shared" ca="1" si="15"/>
        <v>#VALUE!</v>
      </c>
      <c r="E310" s="1" t="e">
        <f t="shared" ca="1" si="16"/>
        <v>#VALUE!</v>
      </c>
      <c r="F310" s="1" t="e">
        <f t="shared" ca="1" si="17"/>
        <v>#VALUE!</v>
      </c>
    </row>
    <row r="311" spans="1:6" ht="22.5" customHeight="1" x14ac:dyDescent="0.3">
      <c r="A311" s="255" t="str">
        <f>Données_ATB!BD298</f>
        <v>MARFLOQUIN 20 MG/ML SOLUTION INJECTABLE POUR BOVINS (VEAUX) ET PORCINS</v>
      </c>
      <c r="B311" s="256" t="str">
        <f ca="1">INDEX(Données_ATB!BD:BP,MATCH(A311,Données_ATB!BD:BD,0),9)</f>
        <v>Marbofloxacine</v>
      </c>
      <c r="C311" s="257" t="str">
        <f ca="1">INDEX(Données_ATB!BD:BP,MATCH(A311,Données_ATB!BD:BD,0),13)</f>
        <v>Fluoroquinolones</v>
      </c>
      <c r="D311" t="e">
        <f t="shared" ca="1" si="15"/>
        <v>#VALUE!</v>
      </c>
      <c r="E311" s="1" t="e">
        <f t="shared" ca="1" si="16"/>
        <v>#VALUE!</v>
      </c>
      <c r="F311" s="1" t="e">
        <f t="shared" ca="1" si="17"/>
        <v>#VALUE!</v>
      </c>
    </row>
    <row r="312" spans="1:6" ht="22.5" customHeight="1" x14ac:dyDescent="0.3">
      <c r="A312" s="255" t="str">
        <f>Données_ATB!BD299</f>
        <v>MASTICOLI</v>
      </c>
      <c r="B312" s="256" t="str">
        <f ca="1">INDEX(Données_ATB!BD:BP,MATCH(A312,Données_ATB!BD:BD,0),9)</f>
        <v>Cloxacilline + Colistine</v>
      </c>
      <c r="C312" s="257" t="str">
        <f ca="1">INDEX(Données_ATB!BD:BP,MATCH(A312,Données_ATB!BD:BD,0),13)</f>
        <v>Penicillines + Polypeptides</v>
      </c>
      <c r="D312" t="str">
        <f t="shared" ca="1" si="15"/>
        <v>x</v>
      </c>
      <c r="E312" s="1" t="e">
        <f t="shared" ca="1" si="16"/>
        <v>#VALUE!</v>
      </c>
      <c r="F312" s="1" t="e">
        <f t="shared" ca="1" si="17"/>
        <v>#VALUE!</v>
      </c>
    </row>
    <row r="313" spans="1:6" ht="22.5" customHeight="1" x14ac:dyDescent="0.3">
      <c r="A313" s="255" t="str">
        <f>Données_ATB!BD300</f>
        <v>MASTIJET</v>
      </c>
      <c r="B313" s="256" t="str">
        <f ca="1">INDEX(Données_ATB!BD:BP,MATCH(A313,Données_ATB!BD:BD,0),9)</f>
        <v>Néomycine + Tétracycline + Bacitracine</v>
      </c>
      <c r="C313" s="257" t="str">
        <f ca="1">INDEX(Données_ATB!BD:BP,MATCH(A313,Données_ATB!BD:BD,0),13)</f>
        <v>Aminoglycosides + Tetracyclines + Polypeptides</v>
      </c>
      <c r="D313" t="e">
        <f t="shared" ca="1" si="15"/>
        <v>#VALUE!</v>
      </c>
      <c r="E313" s="1" t="e">
        <f t="shared" ca="1" si="16"/>
        <v>#VALUE!</v>
      </c>
      <c r="F313" s="1" t="e">
        <f t="shared" ca="1" si="17"/>
        <v>#VALUE!</v>
      </c>
    </row>
    <row r="314" spans="1:6" ht="22.5" customHeight="1" x14ac:dyDescent="0.3">
      <c r="A314" s="255" t="str">
        <f>Données_ATB!BD301</f>
        <v>MASTI-PENI</v>
      </c>
      <c r="B314" s="256" t="str">
        <f ca="1">INDEX(Données_ATB!BD:BP,MATCH(A314,Données_ATB!BD:BD,0),9)</f>
        <v>Benzylpénicilline + Dihydrostreptomycine</v>
      </c>
      <c r="C314" s="257" t="str">
        <f ca="1">INDEX(Données_ATB!BD:BP,MATCH(A314,Données_ATB!BD:BD,0),13)</f>
        <v>Penicillines + Aminoglycosides</v>
      </c>
      <c r="D314" t="e">
        <f t="shared" ca="1" si="15"/>
        <v>#VALUE!</v>
      </c>
      <c r="E314" s="1" t="e">
        <f t="shared" ca="1" si="16"/>
        <v>#VALUE!</v>
      </c>
      <c r="F314" s="1" t="e">
        <f t="shared" ca="1" si="17"/>
        <v>#VALUE!</v>
      </c>
    </row>
    <row r="315" spans="1:6" ht="22.5" customHeight="1" x14ac:dyDescent="0.3">
      <c r="A315" s="255" t="str">
        <f>Données_ATB!BD302</f>
        <v>MASTIPLAN LC</v>
      </c>
      <c r="B315" s="256" t="str">
        <f ca="1">INDEX(Données_ATB!BD:BP,MATCH(A315,Données_ATB!BD:BD,0),9)</f>
        <v>Céfapirine</v>
      </c>
      <c r="C315" s="257" t="str">
        <f ca="1">INDEX(Données_ATB!BD:BP,MATCH(A315,Données_ATB!BD:BD,0),13)</f>
        <v>Cephalosporines 1&amp;2G</v>
      </c>
      <c r="D315" t="e">
        <f t="shared" ca="1" si="15"/>
        <v>#VALUE!</v>
      </c>
      <c r="E315" s="1" t="e">
        <f t="shared" ca="1" si="16"/>
        <v>#VALUE!</v>
      </c>
      <c r="F315" s="1" t="e">
        <f t="shared" ca="1" si="17"/>
        <v>#VALUE!</v>
      </c>
    </row>
    <row r="316" spans="1:6" ht="22.5" customHeight="1" x14ac:dyDescent="0.3">
      <c r="A316" s="255" t="str">
        <f>Données_ATB!BD303</f>
        <v>MASTITAR HL</v>
      </c>
      <c r="B316" s="256" t="str">
        <f ca="1">INDEX(Données_ATB!BD:BP,MATCH(A316,Données_ATB!BD:BD,0),9)</f>
        <v>Benzylpénicilline + Néomycine</v>
      </c>
      <c r="C316" s="257" t="str">
        <f ca="1">INDEX(Données_ATB!BD:BP,MATCH(A316,Données_ATB!BD:BD,0),13)</f>
        <v>Penicillines + Aminoglycosides</v>
      </c>
      <c r="D316" t="e">
        <f t="shared" ca="1" si="15"/>
        <v>#VALUE!</v>
      </c>
      <c r="E316" s="1" t="e">
        <f t="shared" ca="1" si="16"/>
        <v>#VALUE!</v>
      </c>
      <c r="F316" s="1" t="e">
        <f t="shared" ca="1" si="17"/>
        <v>#VALUE!</v>
      </c>
    </row>
    <row r="317" spans="1:6" ht="22.5" customHeight="1" x14ac:dyDescent="0.3">
      <c r="A317" s="255" t="str">
        <f>Données_ATB!BD304</f>
        <v>MAYLOSINE POUDRE POUR SOLUTION BUVABLE POUR VOLAILLES PORCINS ET VEAUX</v>
      </c>
      <c r="B317" s="256" t="str">
        <f ca="1">INDEX(Données_ATB!BD:BP,MATCH(A317,Données_ATB!BD:BD,0),9)</f>
        <v>Tylosine</v>
      </c>
      <c r="C317" s="257" t="str">
        <f ca="1">INDEX(Données_ATB!BD:BP,MATCH(A317,Données_ATB!BD:BD,0),13)</f>
        <v>Macrolides</v>
      </c>
      <c r="D317" t="e">
        <f t="shared" ca="1" si="15"/>
        <v>#VALUE!</v>
      </c>
      <c r="E317" s="1" t="e">
        <f t="shared" ca="1" si="16"/>
        <v>#VALUE!</v>
      </c>
      <c r="F317" s="1" t="e">
        <f t="shared" ca="1" si="17"/>
        <v>#VALUE!</v>
      </c>
    </row>
    <row r="318" spans="1:6" ht="22.5" customHeight="1" x14ac:dyDescent="0.3">
      <c r="A318" s="255" t="str">
        <f>Données_ATB!BD305</f>
        <v>METHOXASOL 20/100 MG/ML, SOLUTION POUR UTILISATION DANS L'EAU DE BOISSON POUR PORCS ET POULETS</v>
      </c>
      <c r="B318" s="256" t="str">
        <f ca="1">INDEX(Données_ATB!BD:BP,MATCH(A318,Données_ATB!BD:BD,0),9)</f>
        <v>Sulfaméthoxazole + Triméthoprime</v>
      </c>
      <c r="C318" s="257" t="str">
        <f ca="1">INDEX(Données_ATB!BD:BP,MATCH(A318,Données_ATB!BD:BD,0),13)</f>
        <v>Sulfamides + Trimethoprime</v>
      </c>
      <c r="D318" t="e">
        <f t="shared" ca="1" si="15"/>
        <v>#VALUE!</v>
      </c>
      <c r="E318" s="1" t="e">
        <f t="shared" ca="1" si="16"/>
        <v>#VALUE!</v>
      </c>
      <c r="F318" s="1" t="e">
        <f t="shared" ca="1" si="17"/>
        <v>#VALUE!</v>
      </c>
    </row>
    <row r="319" spans="1:6" ht="22.5" customHeight="1" x14ac:dyDescent="0.3">
      <c r="A319" s="255" t="str">
        <f>Données_ATB!BD306</f>
        <v>METOXYL</v>
      </c>
      <c r="B319" s="256" t="str">
        <f ca="1">INDEX(Données_ATB!BD:BP,MATCH(A319,Données_ATB!BD:BD,0),9)</f>
        <v>Sulfadiméthoxine</v>
      </c>
      <c r="C319" s="257" t="str">
        <f ca="1">INDEX(Données_ATB!BD:BP,MATCH(A319,Données_ATB!BD:BD,0),13)</f>
        <v>Sulfamides</v>
      </c>
      <c r="D319" t="e">
        <f t="shared" ca="1" si="15"/>
        <v>#VALUE!</v>
      </c>
      <c r="E319" s="1" t="e">
        <f t="shared" ca="1" si="16"/>
        <v>#VALUE!</v>
      </c>
      <c r="F319" s="1" t="e">
        <f t="shared" ca="1" si="17"/>
        <v>#VALUE!</v>
      </c>
    </row>
    <row r="320" spans="1:6" ht="22.5" customHeight="1" x14ac:dyDescent="0.3">
      <c r="A320" s="255" t="str">
        <f>Données_ATB!BD307</f>
        <v>METRICURE</v>
      </c>
      <c r="B320" s="256" t="str">
        <f ca="1">INDEX(Données_ATB!BD:BP,MATCH(A320,Données_ATB!BD:BD,0),9)</f>
        <v>Céfapirine</v>
      </c>
      <c r="C320" s="257" t="str">
        <f ca="1">INDEX(Données_ATB!BD:BP,MATCH(A320,Données_ATB!BD:BD,0),13)</f>
        <v>Cephalosporines 1&amp;2G</v>
      </c>
      <c r="D320" t="e">
        <f t="shared" ca="1" si="15"/>
        <v>#VALUE!</v>
      </c>
      <c r="E320" s="1" t="e">
        <f t="shared" ca="1" si="16"/>
        <v>#VALUE!</v>
      </c>
      <c r="F320" s="1" t="e">
        <f t="shared" ca="1" si="17"/>
        <v>#VALUE!</v>
      </c>
    </row>
    <row r="321" spans="1:6" ht="22.5" customHeight="1" x14ac:dyDescent="0.3">
      <c r="A321" s="255" t="str">
        <f>Données_ATB!BD308</f>
        <v>METRIJECTYL</v>
      </c>
      <c r="B321" s="256" t="str">
        <f ca="1">INDEX(Données_ATB!BD:BP,MATCH(A321,Données_ATB!BD:BD,0),9)</f>
        <v>Ampicilline + Colistine</v>
      </c>
      <c r="C321" s="257" t="str">
        <f ca="1">INDEX(Données_ATB!BD:BP,MATCH(A321,Données_ATB!BD:BD,0),13)</f>
        <v>Penicillines + Polypeptides</v>
      </c>
      <c r="D321" t="str">
        <f t="shared" ca="1" si="15"/>
        <v>x</v>
      </c>
      <c r="E321" s="1" t="e">
        <f t="shared" ca="1" si="16"/>
        <v>#VALUE!</v>
      </c>
      <c r="F321" s="1" t="e">
        <f t="shared" ca="1" si="17"/>
        <v>#VALUE!</v>
      </c>
    </row>
    <row r="322" spans="1:6" ht="22.5" customHeight="1" x14ac:dyDescent="0.3">
      <c r="A322" s="255" t="str">
        <f>Données_ATB!BD309</f>
        <v>MICOTIL 300 MG/ML SOLUTION INJECTABLE</v>
      </c>
      <c r="B322" s="256" t="str">
        <f ca="1">INDEX(Données_ATB!BD:BP,MATCH(A322,Données_ATB!BD:BD,0),9)</f>
        <v>Tilmicosine</v>
      </c>
      <c r="C322" s="257" t="str">
        <f ca="1">INDEX(Données_ATB!BD:BP,MATCH(A322,Données_ATB!BD:BD,0),13)</f>
        <v>Macrolides</v>
      </c>
      <c r="D322" t="e">
        <f t="shared" ca="1" si="15"/>
        <v>#VALUE!</v>
      </c>
      <c r="E322" s="1" t="e">
        <f t="shared" ca="1" si="16"/>
        <v>#VALUE!</v>
      </c>
      <c r="F322" s="1" t="e">
        <f t="shared" ca="1" si="17"/>
        <v>#VALUE!</v>
      </c>
    </row>
    <row r="323" spans="1:6" ht="22.5" customHeight="1" x14ac:dyDescent="0.3">
      <c r="A323" s="255" t="str">
        <f>Données_ATB!BD310</f>
        <v>MILICOLI</v>
      </c>
      <c r="B323" s="256" t="str">
        <f ca="1">INDEX(Données_ATB!BD:BP,MATCH(A323,Données_ATB!BD:BD,0),9)</f>
        <v>Colistine</v>
      </c>
      <c r="C323" s="257" t="str">
        <f ca="1">INDEX(Données_ATB!BD:BP,MATCH(A323,Données_ATB!BD:BD,0),13)</f>
        <v>Polypeptides</v>
      </c>
      <c r="D323" t="str">
        <f t="shared" ca="1" si="15"/>
        <v>x</v>
      </c>
      <c r="E323" s="1" t="e">
        <f t="shared" ca="1" si="16"/>
        <v>#VALUE!</v>
      </c>
      <c r="F323" s="1" t="e">
        <f t="shared" ca="1" si="17"/>
        <v>#VALUE!</v>
      </c>
    </row>
    <row r="324" spans="1:6" ht="22.5" customHeight="1" x14ac:dyDescent="0.3">
      <c r="A324" s="255" t="str">
        <f>Données_ATB!BD311</f>
        <v>MOXAPULVIS 500 MG/G POUDRE POUR ADMINISTRATION DANS L'EAU DE BOISSON</v>
      </c>
      <c r="B324" s="256" t="str">
        <f ca="1">INDEX(Données_ATB!BD:BP,MATCH(A324,Données_ATB!BD:BD,0),9)</f>
        <v>Amoxicilline</v>
      </c>
      <c r="C324" s="257" t="str">
        <f ca="1">INDEX(Données_ATB!BD:BP,MATCH(A324,Données_ATB!BD:BD,0),13)</f>
        <v>Penicillines</v>
      </c>
      <c r="D324" t="e">
        <f t="shared" ca="1" si="15"/>
        <v>#VALUE!</v>
      </c>
      <c r="E324" s="1" t="e">
        <f t="shared" ca="1" si="16"/>
        <v>#VALUE!</v>
      </c>
      <c r="F324" s="1" t="e">
        <f t="shared" ca="1" si="17"/>
        <v>#VALUE!</v>
      </c>
    </row>
    <row r="325" spans="1:6" ht="22.5" customHeight="1" x14ac:dyDescent="0.3">
      <c r="A325" s="255" t="str">
        <f>Données_ATB!BD312</f>
        <v>MULTIBIO</v>
      </c>
      <c r="B325" s="256" t="str">
        <f ca="1">INDEX(Données_ATB!BD:BP,MATCH(A325,Données_ATB!BD:BD,0),9)</f>
        <v>Ampicilline + Colistine</v>
      </c>
      <c r="C325" s="257" t="str">
        <f ca="1">INDEX(Données_ATB!BD:BP,MATCH(A325,Données_ATB!BD:BD,0),13)</f>
        <v>Penicillines + Polypeptides</v>
      </c>
      <c r="D325" t="str">
        <f t="shared" ca="1" si="15"/>
        <v>x</v>
      </c>
      <c r="E325" s="1" t="e">
        <f t="shared" ca="1" si="16"/>
        <v>#VALUE!</v>
      </c>
      <c r="F325" s="1" t="e">
        <f t="shared" ca="1" si="17"/>
        <v>#VALUE!</v>
      </c>
    </row>
    <row r="326" spans="1:6" ht="22.5" customHeight="1" x14ac:dyDescent="0.3">
      <c r="A326" s="255" t="str">
        <f>Données_ATB!BD313</f>
        <v>MULTISHIELD DC SUSPENSION INTRAMAMMAIRE POUR VACHES</v>
      </c>
      <c r="B326" s="256" t="str">
        <f ca="1">INDEX(Données_ATB!BD:BP,MATCH(A326,Données_ATB!BD:BD,0),9)</f>
        <v>Benzylpénicilline + Néomycine + Pénéthamate (ou pénéthacilline)</v>
      </c>
      <c r="C326" s="257" t="str">
        <f ca="1">INDEX(Données_ATB!BD:BP,MATCH(A326,Données_ATB!BD:BD,0),13)</f>
        <v>Penicillines</v>
      </c>
      <c r="D326" t="e">
        <f t="shared" ca="1" si="15"/>
        <v>#VALUE!</v>
      </c>
      <c r="E326" s="1" t="e">
        <f t="shared" ca="1" si="16"/>
        <v>#VALUE!</v>
      </c>
      <c r="F326" s="1" t="e">
        <f t="shared" ca="1" si="17"/>
        <v>#VALUE!</v>
      </c>
    </row>
    <row r="327" spans="1:6" ht="22.5" customHeight="1" x14ac:dyDescent="0.3">
      <c r="A327" s="255" t="str">
        <f>Données_ATB!BD314</f>
        <v>MYCOFLOR 300 MG/ML SOLUTION INJECTABLE POUR BOVINS ET PORCINS</v>
      </c>
      <c r="B327" s="256" t="str">
        <f ca="1">INDEX(Données_ATB!BD:BP,MATCH(A327,Données_ATB!BD:BD,0),9)</f>
        <v>Florfénicol</v>
      </c>
      <c r="C327" s="257" t="str">
        <f ca="1">INDEX(Données_ATB!BD:BP,MATCH(A327,Données_ATB!BD:BD,0),13)</f>
        <v>Phenicoles</v>
      </c>
      <c r="D327" t="e">
        <f t="shared" ca="1" si="15"/>
        <v>#VALUE!</v>
      </c>
      <c r="E327" s="1" t="e">
        <f t="shared" ca="1" si="16"/>
        <v>#VALUE!</v>
      </c>
      <c r="F327" s="1" t="e">
        <f t="shared" ca="1" si="17"/>
        <v>#VALUE!</v>
      </c>
    </row>
    <row r="328" spans="1:6" ht="22.5" customHeight="1" x14ac:dyDescent="0.3">
      <c r="A328" s="255" t="str">
        <f>Données_ATB!BD315</f>
        <v>N.P. 8</v>
      </c>
      <c r="B328" s="256" t="str">
        <f ca="1">INDEX(Données_ATB!BD:BP,MATCH(A328,Données_ATB!BD:BD,0),9)</f>
        <v>Néomycine + Colistine</v>
      </c>
      <c r="C328" s="257" t="str">
        <f ca="1">INDEX(Données_ATB!BD:BP,MATCH(A328,Données_ATB!BD:BD,0),13)</f>
        <v>Aminoglycosides + Polypeptides</v>
      </c>
      <c r="D328" t="str">
        <f t="shared" ca="1" si="15"/>
        <v>x</v>
      </c>
      <c r="E328" s="1" t="e">
        <f t="shared" ca="1" si="16"/>
        <v>#VALUE!</v>
      </c>
      <c r="F328" s="1" t="e">
        <f t="shared" ca="1" si="17"/>
        <v>#VALUE!</v>
      </c>
    </row>
    <row r="329" spans="1:6" ht="22.5" customHeight="1" x14ac:dyDescent="0.3">
      <c r="A329" s="255" t="str">
        <f>Données_ATB!BD316</f>
        <v>NAFPENZAL T</v>
      </c>
      <c r="B329" s="256" t="str">
        <f ca="1">INDEX(Données_ATB!BD:BP,MATCH(A329,Données_ATB!BD:BD,0),9)</f>
        <v>Benzylpénicilline + Dihydrostreptomycine + Nafcilline</v>
      </c>
      <c r="C329" s="257" t="str">
        <f ca="1">INDEX(Données_ATB!BD:BP,MATCH(A329,Données_ATB!BD:BD,0),13)</f>
        <v>Penicillines</v>
      </c>
      <c r="D329" t="e">
        <f t="shared" ca="1" si="15"/>
        <v>#VALUE!</v>
      </c>
      <c r="E329" s="1" t="e">
        <f t="shared" ca="1" si="16"/>
        <v>#VALUE!</v>
      </c>
      <c r="F329" s="1" t="e">
        <f t="shared" ca="1" si="17"/>
        <v>#VALUE!</v>
      </c>
    </row>
    <row r="330" spans="1:6" ht="22.5" customHeight="1" x14ac:dyDescent="0.3">
      <c r="A330" s="255" t="str">
        <f>Données_ATB!BD317</f>
        <v>NAXCEL 100 MG/ML SUSPENSION INJECTABLE POUR PORCINS</v>
      </c>
      <c r="B330" s="256" t="str">
        <f ca="1">INDEX(Données_ATB!BD:BP,MATCH(A330,Données_ATB!BD:BD,0),9)</f>
        <v>Ceftiofur</v>
      </c>
      <c r="C330" s="257" t="str">
        <f ca="1">INDEX(Données_ATB!BD:BP,MATCH(A330,Données_ATB!BD:BD,0),13)</f>
        <v>Cephalosporines 3&amp;4G</v>
      </c>
      <c r="D330" t="e">
        <f t="shared" ca="1" si="15"/>
        <v>#VALUE!</v>
      </c>
      <c r="E330" s="1" t="str">
        <f t="shared" ca="1" si="16"/>
        <v>x</v>
      </c>
      <c r="F330" s="1" t="e">
        <f t="shared" ca="1" si="17"/>
        <v>#VALUE!</v>
      </c>
    </row>
    <row r="331" spans="1:6" ht="22.5" customHeight="1" x14ac:dyDescent="0.3">
      <c r="A331" s="255" t="str">
        <f>Données_ATB!BD318</f>
        <v>NAXCEL 200 MG/ML SUSPENSION INJECTABLE POUR BOVINS</v>
      </c>
      <c r="B331" s="256" t="str">
        <f ca="1">INDEX(Données_ATB!BD:BP,MATCH(A331,Données_ATB!BD:BD,0),9)</f>
        <v>Ceftiofur</v>
      </c>
      <c r="C331" s="257" t="str">
        <f ca="1">INDEX(Données_ATB!BD:BP,MATCH(A331,Données_ATB!BD:BD,0),13)</f>
        <v>Cephalosporines 3&amp;4G</v>
      </c>
      <c r="D331" t="e">
        <f t="shared" ca="1" si="15"/>
        <v>#VALUE!</v>
      </c>
      <c r="E331" s="1" t="str">
        <f t="shared" ca="1" si="16"/>
        <v>x</v>
      </c>
      <c r="F331" s="1" t="e">
        <f t="shared" ca="1" si="17"/>
        <v>#VALUE!</v>
      </c>
    </row>
    <row r="332" spans="1:6" ht="22.5" customHeight="1" x14ac:dyDescent="0.3">
      <c r="A332" s="255" t="str">
        <f>Données_ATB!BD319</f>
        <v>NEGEROL AEROSOL</v>
      </c>
      <c r="B332" s="256" t="str">
        <f ca="1">INDEX(Données_ATB!BD:BP,MATCH(A332,Données_ATB!BD:BD,0),9)</f>
        <v>Thiamphénicol</v>
      </c>
      <c r="C332" s="257" t="str">
        <f ca="1">INDEX(Données_ATB!BD:BP,MATCH(A332,Données_ATB!BD:BD,0),13)</f>
        <v>Phenicoles</v>
      </c>
      <c r="D332" t="e">
        <f t="shared" ca="1" si="15"/>
        <v>#VALUE!</v>
      </c>
      <c r="E332" s="1" t="e">
        <f t="shared" ca="1" si="16"/>
        <v>#VALUE!</v>
      </c>
      <c r="F332" s="1" t="e">
        <f t="shared" ca="1" si="17"/>
        <v>#VALUE!</v>
      </c>
    </row>
    <row r="333" spans="1:6" ht="22.5" customHeight="1" x14ac:dyDescent="0.3">
      <c r="A333" s="255" t="str">
        <f>Données_ATB!BD320</f>
        <v>NEO 50 FRANVET</v>
      </c>
      <c r="B333" s="256" t="str">
        <f ca="1">INDEX(Données_ATB!BD:BP,MATCH(A333,Données_ATB!BD:BD,0),9)</f>
        <v>Néomycine</v>
      </c>
      <c r="C333" s="257" t="str">
        <f ca="1">INDEX(Données_ATB!BD:BP,MATCH(A333,Données_ATB!BD:BD,0),13)</f>
        <v>Aminoglycosides</v>
      </c>
      <c r="D333" t="e">
        <f t="shared" ca="1" si="15"/>
        <v>#VALUE!</v>
      </c>
      <c r="E333" s="1" t="e">
        <f t="shared" ca="1" si="16"/>
        <v>#VALUE!</v>
      </c>
      <c r="F333" s="1" t="e">
        <f t="shared" ca="1" si="17"/>
        <v>#VALUE!</v>
      </c>
    </row>
    <row r="334" spans="1:6" ht="22.5" customHeight="1" x14ac:dyDescent="0.3">
      <c r="A334" s="255" t="str">
        <f>Données_ATB!BD321</f>
        <v>NEOACTIVE</v>
      </c>
      <c r="B334" s="256" t="str">
        <f ca="1">INDEX(Données_ATB!BD:BP,MATCH(A334,Données_ATB!BD:BD,0),9)</f>
        <v>Néomycine</v>
      </c>
      <c r="C334" s="257" t="str">
        <f ca="1">INDEX(Données_ATB!BD:BP,MATCH(A334,Données_ATB!BD:BD,0),13)</f>
        <v>Aminoglycosides</v>
      </c>
      <c r="D334" t="e">
        <f t="shared" ca="1" si="15"/>
        <v>#VALUE!</v>
      </c>
      <c r="E334" s="1" t="e">
        <f t="shared" ca="1" si="16"/>
        <v>#VALUE!</v>
      </c>
      <c r="F334" s="1" t="e">
        <f t="shared" ca="1" si="17"/>
        <v>#VALUE!</v>
      </c>
    </row>
    <row r="335" spans="1:6" ht="22.5" customHeight="1" x14ac:dyDescent="0.3">
      <c r="A335" s="255" t="str">
        <f>Données_ATB!BD322</f>
        <v>NEOMAY</v>
      </c>
      <c r="B335" s="256" t="str">
        <f ca="1">INDEX(Données_ATB!BD:BP,MATCH(A335,Données_ATB!BD:BD,0),9)</f>
        <v>Néomycine</v>
      </c>
      <c r="C335" s="257" t="str">
        <f ca="1">INDEX(Données_ATB!BD:BP,MATCH(A335,Données_ATB!BD:BD,0),13)</f>
        <v>Aminoglycosides</v>
      </c>
      <c r="D335" t="e">
        <f t="shared" ca="1" si="15"/>
        <v>#VALUE!</v>
      </c>
      <c r="E335" s="1" t="e">
        <f t="shared" ca="1" si="16"/>
        <v>#VALUE!</v>
      </c>
      <c r="F335" s="1" t="e">
        <f t="shared" ca="1" si="17"/>
        <v>#VALUE!</v>
      </c>
    </row>
    <row r="336" spans="1:6" ht="22.5" customHeight="1" x14ac:dyDescent="0.3">
      <c r="A336" s="255" t="str">
        <f>Données_ATB!BD323</f>
        <v>NEOMYCINE 40 LAPIN-VOLAILLE-PORC ET AGNEAU-CHEVREAU SEVRES</v>
      </c>
      <c r="B336" s="256" t="str">
        <f ca="1">INDEX(Données_ATB!BD:BP,MATCH(A336,Données_ATB!BD:BD,0),9)</f>
        <v>Néomycine</v>
      </c>
      <c r="C336" s="257" t="str">
        <f ca="1">INDEX(Données_ATB!BD:BP,MATCH(A336,Données_ATB!BD:BD,0),13)</f>
        <v>Aminoglycosides</v>
      </c>
      <c r="D336" t="e">
        <f t="shared" ca="1" si="15"/>
        <v>#VALUE!</v>
      </c>
      <c r="E336" s="1" t="e">
        <f t="shared" ca="1" si="16"/>
        <v>#VALUE!</v>
      </c>
      <c r="F336" s="1" t="e">
        <f t="shared" ca="1" si="17"/>
        <v>#VALUE!</v>
      </c>
    </row>
    <row r="337" spans="1:6" ht="22.5" customHeight="1" x14ac:dyDescent="0.3">
      <c r="A337" s="255" t="str">
        <f>Données_ATB!BD324</f>
        <v>NEOMYCINE 50 % VIRBAC</v>
      </c>
      <c r="B337" s="256" t="str">
        <f ca="1">INDEX(Données_ATB!BD:BP,MATCH(A337,Données_ATB!BD:BD,0),9)</f>
        <v>Néomycine</v>
      </c>
      <c r="C337" s="257" t="str">
        <f ca="1">INDEX(Données_ATB!BD:BP,MATCH(A337,Données_ATB!BD:BD,0),13)</f>
        <v>Aminoglycosides</v>
      </c>
      <c r="D337" t="e">
        <f t="shared" ca="1" si="15"/>
        <v>#VALUE!</v>
      </c>
      <c r="E337" s="1" t="e">
        <f t="shared" ca="1" si="16"/>
        <v>#VALUE!</v>
      </c>
      <c r="F337" s="1" t="e">
        <f t="shared" ca="1" si="17"/>
        <v>#VALUE!</v>
      </c>
    </row>
    <row r="338" spans="1:6" ht="22.5" customHeight="1" x14ac:dyDescent="0.3">
      <c r="A338" s="255" t="str">
        <f>Données_ATB!BD325</f>
        <v>NEOMYCINE 50 COOPHAVET</v>
      </c>
      <c r="B338" s="256" t="str">
        <f ca="1">INDEX(Données_ATB!BD:BP,MATCH(A338,Données_ATB!BD:BD,0),9)</f>
        <v>Néomycine</v>
      </c>
      <c r="C338" s="257" t="str">
        <f ca="1">INDEX(Données_ATB!BD:BP,MATCH(A338,Données_ATB!BD:BD,0),13)</f>
        <v>Aminoglycosides</v>
      </c>
      <c r="D338" t="e">
        <f t="shared" ca="1" si="15"/>
        <v>#VALUE!</v>
      </c>
      <c r="E338" s="1" t="e">
        <f t="shared" ca="1" si="16"/>
        <v>#VALUE!</v>
      </c>
      <c r="F338" s="1" t="e">
        <f t="shared" ca="1" si="17"/>
        <v>#VALUE!</v>
      </c>
    </row>
    <row r="339" spans="1:6" ht="22.5" customHeight="1" x14ac:dyDescent="0.3">
      <c r="A339" s="255" t="str">
        <f>Données_ATB!BD326</f>
        <v>NEOXYNE</v>
      </c>
      <c r="B339" s="256" t="str">
        <f ca="1">INDEX(Données_ATB!BD:BP,MATCH(A339,Données_ATB!BD:BD,0),9)</f>
        <v>Néomycine + Oxytétracycline</v>
      </c>
      <c r="C339" s="257" t="str">
        <f ca="1">INDEX(Données_ATB!BD:BP,MATCH(A339,Données_ATB!BD:BD,0),13)</f>
        <v>Aminoglycosides + Tetracyclines</v>
      </c>
      <c r="D339" t="e">
        <f t="shared" ca="1" si="15"/>
        <v>#VALUE!</v>
      </c>
      <c r="E339" s="1" t="e">
        <f t="shared" ca="1" si="16"/>
        <v>#VALUE!</v>
      </c>
      <c r="F339" s="1" t="e">
        <f t="shared" ca="1" si="17"/>
        <v>#VALUE!</v>
      </c>
    </row>
    <row r="340" spans="1:6" ht="22.5" customHeight="1" x14ac:dyDescent="0.3">
      <c r="A340" s="255" t="str">
        <f>Données_ATB!BD327</f>
        <v>NIFENCOL 100 MG/ML SOLUTION POUR ADMINISTRATION DANS L'EAU DE BOISSONS POUR PORCINS</v>
      </c>
      <c r="B340" s="256" t="str">
        <f ca="1">INDEX(Données_ATB!BD:BP,MATCH(A340,Données_ATB!BD:BD,0),9)</f>
        <v>Florfénicol</v>
      </c>
      <c r="C340" s="257" t="str">
        <f ca="1">INDEX(Données_ATB!BD:BP,MATCH(A340,Données_ATB!BD:BD,0),13)</f>
        <v>Phenicoles</v>
      </c>
      <c r="D340" t="e">
        <f t="shared" ca="1" si="15"/>
        <v>#VALUE!</v>
      </c>
      <c r="E340" s="1" t="e">
        <f t="shared" ca="1" si="16"/>
        <v>#VALUE!</v>
      </c>
      <c r="F340" s="1" t="e">
        <f t="shared" ca="1" si="17"/>
        <v>#VALUE!</v>
      </c>
    </row>
    <row r="341" spans="1:6" ht="22.5" customHeight="1" x14ac:dyDescent="0.3">
      <c r="A341" s="255" t="str">
        <f>Données_ATB!BD328</f>
        <v>NIFENCOL 300 MG/ML SOLUTION INJECTABLE POUR BOVINS ET PORCINS</v>
      </c>
      <c r="B341" s="256" t="str">
        <f ca="1">INDEX(Données_ATB!BD:BP,MATCH(A341,Données_ATB!BD:BD,0),9)</f>
        <v>Florfénicol</v>
      </c>
      <c r="C341" s="257" t="str">
        <f ca="1">INDEX(Données_ATB!BD:BP,MATCH(A341,Données_ATB!BD:BD,0),13)</f>
        <v>Phenicoles</v>
      </c>
      <c r="D341" t="e">
        <f t="shared" ca="1" si="15"/>
        <v>#VALUE!</v>
      </c>
      <c r="E341" s="1" t="e">
        <f t="shared" ca="1" si="16"/>
        <v>#VALUE!</v>
      </c>
      <c r="F341" s="1" t="e">
        <f t="shared" ca="1" si="17"/>
        <v>#VALUE!</v>
      </c>
    </row>
    <row r="342" spans="1:6" ht="22.5" customHeight="1" x14ac:dyDescent="0.3">
      <c r="A342" s="255" t="str">
        <f>Données_ATB!BD329</f>
        <v>NORFENICOL 300 MG/ML SOLUTION INJECTABLE POUR BOVINS ET PORCINS</v>
      </c>
      <c r="B342" s="256" t="str">
        <f ca="1">INDEX(Données_ATB!BD:BP,MATCH(A342,Données_ATB!BD:BD,0),9)</f>
        <v>Florfénicol</v>
      </c>
      <c r="C342" s="257" t="str">
        <f ca="1">INDEX(Données_ATB!BD:BP,MATCH(A342,Données_ATB!BD:BD,0),13)</f>
        <v>Phenicoles</v>
      </c>
      <c r="D342" t="e">
        <f t="shared" ca="1" si="15"/>
        <v>#VALUE!</v>
      </c>
      <c r="E342" s="1" t="e">
        <f t="shared" ca="1" si="16"/>
        <v>#VALUE!</v>
      </c>
      <c r="F342" s="1" t="e">
        <f t="shared" ca="1" si="17"/>
        <v>#VALUE!</v>
      </c>
    </row>
    <row r="343" spans="1:6" ht="22.5" customHeight="1" x14ac:dyDescent="0.3">
      <c r="A343" s="255" t="str">
        <f>Données_ATB!BD330</f>
        <v>NOROCLAV SUSPENSION INTRAMAMMAIRE POUR VACHES EN LACTATION</v>
      </c>
      <c r="B343" s="256" t="str">
        <f ca="1">INDEX(Données_ATB!BD:BP,MATCH(A343,Données_ATB!BD:BD,0),9)</f>
        <v>Amoxicilline + Acide clavulanique</v>
      </c>
      <c r="C343" s="257" t="str">
        <f ca="1">INDEX(Données_ATB!BD:BP,MATCH(A343,Données_ATB!BD:BD,0),13)</f>
        <v>Penicillines + Acide clavulanique</v>
      </c>
      <c r="D343" t="e">
        <f t="shared" ref="D343:D406" ca="1" si="18">IF(SEARCH("Colistine",B343)&gt;0,"x","")</f>
        <v>#VALUE!</v>
      </c>
      <c r="E343" s="1" t="e">
        <f t="shared" ref="E343:E406" ca="1" si="19">IF(SEARCH("Cephalosporines 3&amp;4G",C343)&gt;0,"x","")</f>
        <v>#VALUE!</v>
      </c>
      <c r="F343" s="1" t="e">
        <f t="shared" ref="F343:F406" ca="1" si="20">IF(SEARCH("Cephalosporines 3&amp;4G",C343)&gt;0,"x","")&amp;IF(SEARCH("Fluoroquinolones",C343)&gt;0,"x","")</f>
        <v>#VALUE!</v>
      </c>
    </row>
    <row r="344" spans="1:6" ht="22.5" customHeight="1" x14ac:dyDescent="0.3">
      <c r="A344" s="255" t="str">
        <f>Données_ATB!BD331</f>
        <v>NOROTYL LA 150 MG/ML SUSPENSION INJECTABLE</v>
      </c>
      <c r="B344" s="256" t="str">
        <f ca="1">INDEX(Données_ATB!BD:BP,MATCH(A344,Données_ATB!BD:BD,0),9)</f>
        <v>Tylosine</v>
      </c>
      <c r="C344" s="257" t="str">
        <f ca="1">INDEX(Données_ATB!BD:BP,MATCH(A344,Données_ATB!BD:BD,0),13)</f>
        <v>Macrolides</v>
      </c>
      <c r="D344" t="e">
        <f t="shared" ca="1" si="18"/>
        <v>#VALUE!</v>
      </c>
      <c r="E344" s="1" t="e">
        <f t="shared" ca="1" si="19"/>
        <v>#VALUE!</v>
      </c>
      <c r="F344" s="1" t="e">
        <f t="shared" ca="1" si="20"/>
        <v>#VALUE!</v>
      </c>
    </row>
    <row r="345" spans="1:6" ht="22.5" customHeight="1" x14ac:dyDescent="0.3">
      <c r="A345" s="255" t="str">
        <f>Données_ATB!BD332</f>
        <v>NUFLOR</v>
      </c>
      <c r="B345" s="256" t="str">
        <f ca="1">INDEX(Données_ATB!BD:BP,MATCH(A345,Données_ATB!BD:BD,0),9)</f>
        <v>Florfénicol</v>
      </c>
      <c r="C345" s="257" t="str">
        <f ca="1">INDEX(Données_ATB!BD:BP,MATCH(A345,Données_ATB!BD:BD,0),13)</f>
        <v>Phenicoles</v>
      </c>
      <c r="D345" t="e">
        <f t="shared" ca="1" si="18"/>
        <v>#VALUE!</v>
      </c>
      <c r="E345" s="1" t="e">
        <f t="shared" ca="1" si="19"/>
        <v>#VALUE!</v>
      </c>
      <c r="F345" s="1" t="e">
        <f t="shared" ca="1" si="20"/>
        <v>#VALUE!</v>
      </c>
    </row>
    <row r="346" spans="1:6" ht="22.5" customHeight="1" x14ac:dyDescent="0.3">
      <c r="A346" s="255" t="str">
        <f>Données_ATB!BD333</f>
        <v>NUFLOR 300 MG/ML SOLUTION INJECTABLE POUR BOVINS ET OVINS</v>
      </c>
      <c r="B346" s="256" t="str">
        <f ca="1">INDEX(Données_ATB!BD:BP,MATCH(A346,Données_ATB!BD:BD,0),9)</f>
        <v>Florfénicol</v>
      </c>
      <c r="C346" s="257" t="str">
        <f ca="1">INDEX(Données_ATB!BD:BP,MATCH(A346,Données_ATB!BD:BD,0),13)</f>
        <v>Phenicoles</v>
      </c>
      <c r="D346" t="e">
        <f t="shared" ca="1" si="18"/>
        <v>#VALUE!</v>
      </c>
      <c r="E346" s="1" t="e">
        <f t="shared" ca="1" si="19"/>
        <v>#VALUE!</v>
      </c>
      <c r="F346" s="1" t="e">
        <f t="shared" ca="1" si="20"/>
        <v>#VALUE!</v>
      </c>
    </row>
    <row r="347" spans="1:6" ht="22.5" customHeight="1" x14ac:dyDescent="0.3">
      <c r="A347" s="255" t="str">
        <f>Données_ATB!BD334</f>
        <v>NUFLOR 450 SOLUTION INJECTABLE POUR BOVINS</v>
      </c>
      <c r="B347" s="256" t="str">
        <f ca="1">INDEX(Données_ATB!BD:BP,MATCH(A347,Données_ATB!BD:BD,0),9)</f>
        <v>Florfénicol</v>
      </c>
      <c r="C347" s="257" t="str">
        <f ca="1">INDEX(Données_ATB!BD:BP,MATCH(A347,Données_ATB!BD:BD,0),13)</f>
        <v>Phenicoles</v>
      </c>
      <c r="D347" t="e">
        <f t="shared" ca="1" si="18"/>
        <v>#VALUE!</v>
      </c>
      <c r="E347" s="1" t="e">
        <f t="shared" ca="1" si="19"/>
        <v>#VALUE!</v>
      </c>
      <c r="F347" s="1" t="e">
        <f t="shared" ca="1" si="20"/>
        <v>#VALUE!</v>
      </c>
    </row>
    <row r="348" spans="1:6" ht="22.5" customHeight="1" x14ac:dyDescent="0.3">
      <c r="A348" s="255" t="str">
        <f>Données_ATB!BD335</f>
        <v>NUFLOR MONO SOLUTION INJECTABLE 450 MG/ML POUR PORCINS</v>
      </c>
      <c r="B348" s="256" t="str">
        <f ca="1">INDEX(Données_ATB!BD:BP,MATCH(A348,Données_ATB!BD:BD,0),9)</f>
        <v>Florfénicol</v>
      </c>
      <c r="C348" s="257" t="str">
        <f ca="1">INDEX(Données_ATB!BD:BP,MATCH(A348,Données_ATB!BD:BD,0),13)</f>
        <v>Phenicoles</v>
      </c>
      <c r="D348" t="e">
        <f t="shared" ca="1" si="18"/>
        <v>#VALUE!</v>
      </c>
      <c r="E348" s="1" t="e">
        <f t="shared" ca="1" si="19"/>
        <v>#VALUE!</v>
      </c>
      <c r="F348" s="1" t="e">
        <f t="shared" ca="1" si="20"/>
        <v>#VALUE!</v>
      </c>
    </row>
    <row r="349" spans="1:6" ht="22.5" customHeight="1" x14ac:dyDescent="0.3">
      <c r="A349" s="255" t="str">
        <f>Données_ATB!BD336</f>
        <v>NUFLOR PORCINS SOLUTION INJECTABLE 300 MG/ML</v>
      </c>
      <c r="B349" s="256" t="str">
        <f ca="1">INDEX(Données_ATB!BD:BP,MATCH(A349,Données_ATB!BD:BD,0),9)</f>
        <v>Florfénicol</v>
      </c>
      <c r="C349" s="257" t="str">
        <f ca="1">INDEX(Données_ATB!BD:BP,MATCH(A349,Données_ATB!BD:BD,0),13)</f>
        <v>Phenicoles</v>
      </c>
      <c r="D349" t="e">
        <f t="shared" ca="1" si="18"/>
        <v>#VALUE!</v>
      </c>
      <c r="E349" s="1" t="e">
        <f t="shared" ca="1" si="19"/>
        <v>#VALUE!</v>
      </c>
      <c r="F349" s="1" t="e">
        <f t="shared" ca="1" si="20"/>
        <v>#VALUE!</v>
      </c>
    </row>
    <row r="350" spans="1:6" ht="22.5" customHeight="1" x14ac:dyDescent="0.3">
      <c r="A350" s="255" t="str">
        <f>Données_ATB!BD337</f>
        <v>OCTACILLIN 697 MG/G POUDRE POUR ADMINISTRATION DANS L'EAU DE BOISSON DES PORCS</v>
      </c>
      <c r="B350" s="256" t="str">
        <f ca="1">INDEX(Données_ATB!BD:BP,MATCH(A350,Données_ATB!BD:BD,0),9)</f>
        <v>Amoxicilline</v>
      </c>
      <c r="C350" s="257" t="str">
        <f ca="1">INDEX(Données_ATB!BD:BP,MATCH(A350,Données_ATB!BD:BD,0),13)</f>
        <v>Penicillines</v>
      </c>
      <c r="D350" t="e">
        <f t="shared" ca="1" si="18"/>
        <v>#VALUE!</v>
      </c>
      <c r="E350" s="1" t="e">
        <f t="shared" ca="1" si="19"/>
        <v>#VALUE!</v>
      </c>
      <c r="F350" s="1" t="e">
        <f t="shared" ca="1" si="20"/>
        <v>#VALUE!</v>
      </c>
    </row>
    <row r="351" spans="1:6" ht="22.5" customHeight="1" x14ac:dyDescent="0.3">
      <c r="A351" s="255" t="str">
        <f>Données_ATB!BD338</f>
        <v>OCTACILLIN 697 MG/G POUDRE POUR ADMINISTRATION DANS L'EAU DE BOISSONS DES POULETS</v>
      </c>
      <c r="B351" s="256" t="str">
        <f ca="1">INDEX(Données_ATB!BD:BP,MATCH(A351,Données_ATB!BD:BD,0),9)</f>
        <v>Amoxicilline</v>
      </c>
      <c r="C351" s="257" t="str">
        <f ca="1">INDEX(Données_ATB!BD:BP,MATCH(A351,Données_ATB!BD:BD,0),13)</f>
        <v>Penicillines</v>
      </c>
      <c r="D351" t="e">
        <f t="shared" ca="1" si="18"/>
        <v>#VALUE!</v>
      </c>
      <c r="E351" s="1" t="e">
        <f t="shared" ca="1" si="19"/>
        <v>#VALUE!</v>
      </c>
      <c r="F351" s="1" t="e">
        <f t="shared" ca="1" si="20"/>
        <v>#VALUE!</v>
      </c>
    </row>
    <row r="352" spans="1:6" ht="22.5" customHeight="1" x14ac:dyDescent="0.3">
      <c r="A352" s="255" t="str">
        <f>Données_ATB!BD339</f>
        <v>OPHTOCYCLINE POMMADE OPHTALMIQUE POUR CHIENS CHATS ET CHEVAUX</v>
      </c>
      <c r="B352" s="256" t="str">
        <f ca="1">INDEX(Données_ATB!BD:BP,MATCH(A352,Données_ATB!BD:BD,0),9)</f>
        <v>Chlortétracycline</v>
      </c>
      <c r="C352" s="257" t="str">
        <f ca="1">INDEX(Données_ATB!BD:BP,MATCH(A352,Données_ATB!BD:BD,0),13)</f>
        <v>Tetracyclines</v>
      </c>
      <c r="D352" t="e">
        <f t="shared" ca="1" si="18"/>
        <v>#VALUE!</v>
      </c>
      <c r="E352" s="1" t="e">
        <f t="shared" ca="1" si="19"/>
        <v>#VALUE!</v>
      </c>
      <c r="F352" s="1" t="e">
        <f t="shared" ca="1" si="20"/>
        <v>#VALUE!</v>
      </c>
    </row>
    <row r="353" spans="1:6" ht="22.5" customHeight="1" x14ac:dyDescent="0.3">
      <c r="A353" s="255" t="str">
        <f>Données_ATB!BD340</f>
        <v>ORBENIN HORS LACTATION</v>
      </c>
      <c r="B353" s="256" t="str">
        <f ca="1">INDEX(Données_ATB!BD:BP,MATCH(A353,Données_ATB!BD:BD,0),9)</f>
        <v>Cloxacilline</v>
      </c>
      <c r="C353" s="257" t="str">
        <f ca="1">INDEX(Données_ATB!BD:BP,MATCH(A353,Données_ATB!BD:BD,0),13)</f>
        <v>Penicillines</v>
      </c>
      <c r="D353" t="e">
        <f t="shared" ca="1" si="18"/>
        <v>#VALUE!</v>
      </c>
      <c r="E353" s="1" t="e">
        <f t="shared" ca="1" si="19"/>
        <v>#VALUE!</v>
      </c>
      <c r="F353" s="1" t="e">
        <f t="shared" ca="1" si="20"/>
        <v>#VALUE!</v>
      </c>
    </row>
    <row r="354" spans="1:6" ht="22.5" customHeight="1" x14ac:dyDescent="0.3">
      <c r="A354" s="255" t="str">
        <f>Données_ATB!BD341</f>
        <v>ORBENIN LONGUE ACTION</v>
      </c>
      <c r="B354" s="256" t="str">
        <f ca="1">INDEX(Données_ATB!BD:BP,MATCH(A354,Données_ATB!BD:BD,0),9)</f>
        <v>Cloxacilline</v>
      </c>
      <c r="C354" s="257" t="str">
        <f ca="1">INDEX(Données_ATB!BD:BP,MATCH(A354,Données_ATB!BD:BD,0),13)</f>
        <v>Penicillines</v>
      </c>
      <c r="D354" t="e">
        <f t="shared" ca="1" si="18"/>
        <v>#VALUE!</v>
      </c>
      <c r="E354" s="1" t="e">
        <f t="shared" ca="1" si="19"/>
        <v>#VALUE!</v>
      </c>
      <c r="F354" s="1" t="e">
        <f t="shared" ca="1" si="20"/>
        <v>#VALUE!</v>
      </c>
    </row>
    <row r="355" spans="1:6" ht="22.5" customHeight="1" x14ac:dyDescent="0.3">
      <c r="A355" s="255" t="str">
        <f>Données_ATB!BD342</f>
        <v>ORBENOR HORS LACTATION</v>
      </c>
      <c r="B355" s="256" t="str">
        <f ca="1">INDEX(Données_ATB!BD:BP,MATCH(A355,Données_ATB!BD:BD,0),9)</f>
        <v>Cloxacilline</v>
      </c>
      <c r="C355" s="257" t="str">
        <f ca="1">INDEX(Données_ATB!BD:BP,MATCH(A355,Données_ATB!BD:BD,0),13)</f>
        <v>Penicillines</v>
      </c>
      <c r="D355" t="e">
        <f t="shared" ca="1" si="18"/>
        <v>#VALUE!</v>
      </c>
      <c r="E355" s="1" t="e">
        <f t="shared" ca="1" si="19"/>
        <v>#VALUE!</v>
      </c>
      <c r="F355" s="1" t="e">
        <f t="shared" ca="1" si="20"/>
        <v>#VALUE!</v>
      </c>
    </row>
    <row r="356" spans="1:6" ht="22.5" customHeight="1" x14ac:dyDescent="0.3">
      <c r="A356" s="255" t="str">
        <f>Données_ATB!BD343</f>
        <v>ORNIFLOX 25 MG/ML SOLUTION A DILUER POUR SOLUTION BUVABLE POUR LAPINS DE COMPAGNIE, RONGEURS, OISEAUX D'ORNEMENT ET REPTILES</v>
      </c>
      <c r="B356" s="256" t="str">
        <f ca="1">INDEX(Données_ATB!BD:BP,MATCH(A356,Données_ATB!BD:BD,0),9)</f>
        <v>Enrofloxacine</v>
      </c>
      <c r="C356" s="257" t="str">
        <f ca="1">INDEX(Données_ATB!BD:BP,MATCH(A356,Données_ATB!BD:BD,0),13)</f>
        <v>Fluoroquinolones</v>
      </c>
      <c r="D356" t="e">
        <f t="shared" ca="1" si="18"/>
        <v>#VALUE!</v>
      </c>
      <c r="E356" s="1" t="e">
        <f t="shared" ca="1" si="19"/>
        <v>#VALUE!</v>
      </c>
      <c r="F356" s="1" t="e">
        <f t="shared" ca="1" si="20"/>
        <v>#VALUE!</v>
      </c>
    </row>
    <row r="357" spans="1:6" ht="22.5" customHeight="1" x14ac:dyDescent="0.3">
      <c r="A357" s="255" t="str">
        <f>Données_ATB!BD344</f>
        <v>OROSPRAY</v>
      </c>
      <c r="B357" s="256" t="str">
        <f ca="1">INDEX(Données_ATB!BD:BP,MATCH(A357,Données_ATB!BD:BD,0),9)</f>
        <v>Sulfanilamide + Chlortétracycline</v>
      </c>
      <c r="C357" s="257" t="str">
        <f ca="1">INDEX(Données_ATB!BD:BP,MATCH(A357,Données_ATB!BD:BD,0),13)</f>
        <v>Sulfamides + Tetracyclines</v>
      </c>
      <c r="D357" t="e">
        <f t="shared" ca="1" si="18"/>
        <v>#VALUE!</v>
      </c>
      <c r="E357" s="1" t="e">
        <f t="shared" ca="1" si="19"/>
        <v>#VALUE!</v>
      </c>
      <c r="F357" s="1" t="e">
        <f t="shared" ca="1" si="20"/>
        <v>#VALUE!</v>
      </c>
    </row>
    <row r="358" spans="1:6" ht="22.5" customHeight="1" x14ac:dyDescent="0.3">
      <c r="A358" s="255" t="str">
        <f>Données_ATB!BD345</f>
        <v>OTC 50 FRANVET</v>
      </c>
      <c r="B358" s="256" t="str">
        <f ca="1">INDEX(Données_ATB!BD:BP,MATCH(A358,Données_ATB!BD:BD,0),9)</f>
        <v>Oxytétracycline</v>
      </c>
      <c r="C358" s="257" t="str">
        <f ca="1">INDEX(Données_ATB!BD:BP,MATCH(A358,Données_ATB!BD:BD,0),13)</f>
        <v>Tetracyclines</v>
      </c>
      <c r="D358" t="e">
        <f t="shared" ca="1" si="18"/>
        <v>#VALUE!</v>
      </c>
      <c r="E358" s="1" t="e">
        <f t="shared" ca="1" si="19"/>
        <v>#VALUE!</v>
      </c>
      <c r="F358" s="1" t="e">
        <f t="shared" ca="1" si="20"/>
        <v>#VALUE!</v>
      </c>
    </row>
    <row r="359" spans="1:6" ht="22.5" customHeight="1" x14ac:dyDescent="0.3">
      <c r="A359" s="255" t="str">
        <f>Données_ATB!BD346</f>
        <v>OXOMID</v>
      </c>
      <c r="B359" s="256" t="str">
        <f ca="1">INDEX(Données_ATB!BD:BP,MATCH(A359,Données_ATB!BD:BD,0),9)</f>
        <v>Acide oxolinique</v>
      </c>
      <c r="C359" s="257" t="str">
        <f ca="1">INDEX(Données_ATB!BD:BP,MATCH(A359,Données_ATB!BD:BD,0),13)</f>
        <v>Quinolones</v>
      </c>
      <c r="D359" t="e">
        <f t="shared" ca="1" si="18"/>
        <v>#VALUE!</v>
      </c>
      <c r="E359" s="1" t="e">
        <f t="shared" ca="1" si="19"/>
        <v>#VALUE!</v>
      </c>
      <c r="F359" s="1" t="e">
        <f t="shared" ca="1" si="20"/>
        <v>#VALUE!</v>
      </c>
    </row>
    <row r="360" spans="1:6" ht="22.5" customHeight="1" x14ac:dyDescent="0.3">
      <c r="A360" s="255" t="str">
        <f>Données_ATB!BD347</f>
        <v>OXOMID 20</v>
      </c>
      <c r="B360" s="256" t="str">
        <f ca="1">INDEX(Données_ATB!BD:BP,MATCH(A360,Données_ATB!BD:BD,0),9)</f>
        <v>Acide oxolinique</v>
      </c>
      <c r="C360" s="257" t="str">
        <f ca="1">INDEX(Données_ATB!BD:BP,MATCH(A360,Données_ATB!BD:BD,0),13)</f>
        <v>Quinolones</v>
      </c>
      <c r="D360" t="e">
        <f t="shared" ca="1" si="18"/>
        <v>#VALUE!</v>
      </c>
      <c r="E360" s="1" t="e">
        <f t="shared" ca="1" si="19"/>
        <v>#VALUE!</v>
      </c>
      <c r="F360" s="1" t="e">
        <f t="shared" ca="1" si="20"/>
        <v>#VALUE!</v>
      </c>
    </row>
    <row r="361" spans="1:6" ht="22.5" customHeight="1" x14ac:dyDescent="0.3">
      <c r="A361" s="255" t="str">
        <f>Données_ATB!BD348</f>
        <v>OXOMID ACIDE OXOLINIQUE 240 SALMONIDES</v>
      </c>
      <c r="B361" s="256" t="str">
        <f ca="1">INDEX(Données_ATB!BD:BP,MATCH(A361,Données_ATB!BD:BD,0),9)</f>
        <v>Acide oxolinique</v>
      </c>
      <c r="C361" s="257" t="str">
        <f ca="1">INDEX(Données_ATB!BD:BP,MATCH(A361,Données_ATB!BD:BD,0),13)</f>
        <v>Quinolones</v>
      </c>
      <c r="D361" t="e">
        <f t="shared" ca="1" si="18"/>
        <v>#VALUE!</v>
      </c>
      <c r="E361" s="1" t="e">
        <f t="shared" ca="1" si="19"/>
        <v>#VALUE!</v>
      </c>
      <c r="F361" s="1" t="e">
        <f t="shared" ca="1" si="20"/>
        <v>#VALUE!</v>
      </c>
    </row>
    <row r="362" spans="1:6" ht="22.5" customHeight="1" x14ac:dyDescent="0.3">
      <c r="A362" s="255" t="str">
        <f>Données_ATB!BD349</f>
        <v>OXYCOLI</v>
      </c>
      <c r="B362" s="256" t="str">
        <f ca="1">INDEX(Données_ATB!BD:BP,MATCH(A362,Données_ATB!BD:BD,0),9)</f>
        <v>Oxytétracycline + Colistine</v>
      </c>
      <c r="C362" s="257" t="str">
        <f ca="1">INDEX(Données_ATB!BD:BP,MATCH(A362,Données_ATB!BD:BD,0),13)</f>
        <v>Tetracyclines + Polypeptides</v>
      </c>
      <c r="D362" t="str">
        <f t="shared" ca="1" si="18"/>
        <v>x</v>
      </c>
      <c r="E362" s="1" t="e">
        <f t="shared" ca="1" si="19"/>
        <v>#VALUE!</v>
      </c>
      <c r="F362" s="1" t="e">
        <f t="shared" ca="1" si="20"/>
        <v>#VALUE!</v>
      </c>
    </row>
    <row r="363" spans="1:6" ht="22.5" customHeight="1" x14ac:dyDescent="0.3">
      <c r="A363" s="255" t="str">
        <f>Données_ATB!BD350</f>
        <v>OXYTETRACYCLINE 10 % COOPHAVET</v>
      </c>
      <c r="B363" s="256" t="str">
        <f ca="1">INDEX(Données_ATB!BD:BP,MATCH(A363,Données_ATB!BD:BD,0),9)</f>
        <v>Oxytétracycline</v>
      </c>
      <c r="C363" s="257" t="str">
        <f ca="1">INDEX(Données_ATB!BD:BP,MATCH(A363,Données_ATB!BD:BD,0),13)</f>
        <v>Tetracyclines</v>
      </c>
      <c r="D363" t="e">
        <f t="shared" ca="1" si="18"/>
        <v>#VALUE!</v>
      </c>
      <c r="E363" s="1" t="e">
        <f t="shared" ca="1" si="19"/>
        <v>#VALUE!</v>
      </c>
      <c r="F363" s="1" t="e">
        <f t="shared" ca="1" si="20"/>
        <v>#VALUE!</v>
      </c>
    </row>
    <row r="364" spans="1:6" ht="22.5" customHeight="1" x14ac:dyDescent="0.3">
      <c r="A364" s="255" t="str">
        <f>Données_ATB!BD351</f>
        <v>OXYTETRACYCLINE 10 % VETOQUINOL</v>
      </c>
      <c r="B364" s="256" t="str">
        <f ca="1">INDEX(Données_ATB!BD:BP,MATCH(A364,Données_ATB!BD:BD,0),9)</f>
        <v>Oxytétracycline</v>
      </c>
      <c r="C364" s="257" t="str">
        <f ca="1">INDEX(Données_ATB!BD:BP,MATCH(A364,Données_ATB!BD:BD,0),13)</f>
        <v>Tetracyclines</v>
      </c>
      <c r="D364" t="e">
        <f t="shared" ca="1" si="18"/>
        <v>#VALUE!</v>
      </c>
      <c r="E364" s="1" t="e">
        <f t="shared" ca="1" si="19"/>
        <v>#VALUE!</v>
      </c>
      <c r="F364" s="1" t="e">
        <f t="shared" ca="1" si="20"/>
        <v>#VALUE!</v>
      </c>
    </row>
    <row r="365" spans="1:6" ht="22.5" customHeight="1" x14ac:dyDescent="0.3">
      <c r="A365" s="255" t="str">
        <f>Données_ATB!BD352</f>
        <v>OXYTETRACYCLINE 100-B PORC ET AGNEAU-CHEVREAU SEVRES FRANVET</v>
      </c>
      <c r="B365" s="256" t="str">
        <f ca="1">INDEX(Données_ATB!BD:BP,MATCH(A365,Données_ATB!BD:BD,0),9)</f>
        <v>Oxytétracycline</v>
      </c>
      <c r="C365" s="257" t="str">
        <f ca="1">INDEX(Données_ATB!BD:BP,MATCH(A365,Données_ATB!BD:BD,0),13)</f>
        <v>Tetracyclines</v>
      </c>
      <c r="D365" t="e">
        <f t="shared" ca="1" si="18"/>
        <v>#VALUE!</v>
      </c>
      <c r="E365" s="1" t="e">
        <f t="shared" ca="1" si="19"/>
        <v>#VALUE!</v>
      </c>
      <c r="F365" s="1" t="e">
        <f t="shared" ca="1" si="20"/>
        <v>#VALUE!</v>
      </c>
    </row>
    <row r="366" spans="1:6" ht="22.5" customHeight="1" x14ac:dyDescent="0.3">
      <c r="A366" s="255" t="str">
        <f>Données_ATB!BD353</f>
        <v>OXYTETRACYCLINE 100-CR PORC ET AGNEAU-CHEVREAU SEVRES FRANVET</v>
      </c>
      <c r="B366" s="256" t="str">
        <f ca="1">INDEX(Données_ATB!BD:BP,MATCH(A366,Données_ATB!BD:BD,0),9)</f>
        <v>Oxytétracycline</v>
      </c>
      <c r="C366" s="257" t="str">
        <f ca="1">INDEX(Données_ATB!BD:BP,MATCH(A366,Données_ATB!BD:BD,0),13)</f>
        <v>Tetracyclines</v>
      </c>
      <c r="D366" t="e">
        <f t="shared" ca="1" si="18"/>
        <v>#VALUE!</v>
      </c>
      <c r="E366" s="1" t="e">
        <f t="shared" ca="1" si="19"/>
        <v>#VALUE!</v>
      </c>
      <c r="F366" s="1" t="e">
        <f t="shared" ca="1" si="20"/>
        <v>#VALUE!</v>
      </c>
    </row>
    <row r="367" spans="1:6" ht="22.5" customHeight="1" x14ac:dyDescent="0.3">
      <c r="A367" s="255" t="str">
        <f>Données_ATB!BD354</f>
        <v>OXYTETRACYCLINE 200-D VEAU-AGNEAU-CHEVREAU FRANVET</v>
      </c>
      <c r="B367" s="256" t="str">
        <f ca="1">INDEX(Données_ATB!BD:BP,MATCH(A367,Données_ATB!BD:BD,0),9)</f>
        <v>Oxytétracycline</v>
      </c>
      <c r="C367" s="257" t="str">
        <f ca="1">INDEX(Données_ATB!BD:BP,MATCH(A367,Données_ATB!BD:BD,0),13)</f>
        <v>Tetracyclines</v>
      </c>
      <c r="D367" t="e">
        <f t="shared" ca="1" si="18"/>
        <v>#VALUE!</v>
      </c>
      <c r="E367" s="1" t="e">
        <f t="shared" ca="1" si="19"/>
        <v>#VALUE!</v>
      </c>
      <c r="F367" s="1" t="e">
        <f t="shared" ca="1" si="20"/>
        <v>#VALUE!</v>
      </c>
    </row>
    <row r="368" spans="1:6" ht="22.5" customHeight="1" x14ac:dyDescent="0.3">
      <c r="A368" s="255" t="str">
        <f>Données_ATB!BD355</f>
        <v>OXYTETRACYCLINE 40-CR LAPIN-VOLAILLE-PORC ET AGNEAU-CHEVREAU SEVRES FRANVET</v>
      </c>
      <c r="B368" s="256" t="str">
        <f ca="1">INDEX(Données_ATB!BD:BP,MATCH(A368,Données_ATB!BD:BD,0),9)</f>
        <v>Oxytétracycline</v>
      </c>
      <c r="C368" s="257" t="str">
        <f ca="1">INDEX(Données_ATB!BD:BP,MATCH(A368,Données_ATB!BD:BD,0),13)</f>
        <v>Tetracyclines</v>
      </c>
      <c r="D368" t="e">
        <f t="shared" ca="1" si="18"/>
        <v>#VALUE!</v>
      </c>
      <c r="E368" s="1" t="e">
        <f t="shared" ca="1" si="19"/>
        <v>#VALUE!</v>
      </c>
      <c r="F368" s="1" t="e">
        <f t="shared" ca="1" si="20"/>
        <v>#VALUE!</v>
      </c>
    </row>
    <row r="369" spans="1:6" ht="22.5" customHeight="1" x14ac:dyDescent="0.3">
      <c r="A369" s="255" t="str">
        <f>Données_ATB!BD356</f>
        <v>OXYTETRACYCLINE 5 % VETOQUINOL</v>
      </c>
      <c r="B369" s="256" t="str">
        <f ca="1">INDEX(Données_ATB!BD:BP,MATCH(A369,Données_ATB!BD:BD,0),9)</f>
        <v>Oxytétracycline</v>
      </c>
      <c r="C369" s="257" t="str">
        <f ca="1">INDEX(Données_ATB!BD:BP,MATCH(A369,Données_ATB!BD:BD,0),13)</f>
        <v>Tetracyclines</v>
      </c>
      <c r="D369" t="e">
        <f t="shared" ca="1" si="18"/>
        <v>#VALUE!</v>
      </c>
      <c r="E369" s="1" t="e">
        <f t="shared" ca="1" si="19"/>
        <v>#VALUE!</v>
      </c>
      <c r="F369" s="1" t="e">
        <f t="shared" ca="1" si="20"/>
        <v>#VALUE!</v>
      </c>
    </row>
    <row r="370" spans="1:6" ht="22.5" customHeight="1" x14ac:dyDescent="0.3">
      <c r="A370" s="255" t="str">
        <f>Données_ATB!BD357</f>
        <v>OXYTETRACYCLINE 50 % VIRBAC</v>
      </c>
      <c r="B370" s="256" t="str">
        <f ca="1">INDEX(Données_ATB!BD:BP,MATCH(A370,Données_ATB!BD:BD,0),9)</f>
        <v>Oxytétracycline</v>
      </c>
      <c r="C370" s="257" t="str">
        <f ca="1">INDEX(Données_ATB!BD:BP,MATCH(A370,Données_ATB!BD:BD,0),13)</f>
        <v>Tetracyclines</v>
      </c>
      <c r="D370" t="e">
        <f t="shared" ca="1" si="18"/>
        <v>#VALUE!</v>
      </c>
      <c r="E370" s="1" t="e">
        <f t="shared" ca="1" si="19"/>
        <v>#VALUE!</v>
      </c>
      <c r="F370" s="1" t="e">
        <f t="shared" ca="1" si="20"/>
        <v>#VALUE!</v>
      </c>
    </row>
    <row r="371" spans="1:6" ht="22.5" customHeight="1" x14ac:dyDescent="0.3">
      <c r="A371" s="255" t="str">
        <f>Données_ATB!BD358</f>
        <v>OXYTETRIN P</v>
      </c>
      <c r="B371" s="256" t="str">
        <f ca="1">INDEX(Données_ATB!BD:BP,MATCH(A371,Données_ATB!BD:BD,0),9)</f>
        <v>Oxytétracycline</v>
      </c>
      <c r="C371" s="257" t="str">
        <f ca="1">INDEX(Données_ATB!BD:BP,MATCH(A371,Données_ATB!BD:BD,0),13)</f>
        <v>Tetracyclines</v>
      </c>
      <c r="D371" t="e">
        <f t="shared" ca="1" si="18"/>
        <v>#VALUE!</v>
      </c>
      <c r="E371" s="1" t="e">
        <f t="shared" ca="1" si="19"/>
        <v>#VALUE!</v>
      </c>
      <c r="F371" s="1" t="e">
        <f t="shared" ca="1" si="20"/>
        <v>#VALUE!</v>
      </c>
    </row>
    <row r="372" spans="1:6" ht="22.5" customHeight="1" x14ac:dyDescent="0.3">
      <c r="A372" s="255" t="str">
        <f>Données_ATB!BD359</f>
        <v>PANADIA</v>
      </c>
      <c r="B372" s="256" t="str">
        <f ca="1">INDEX(Données_ATB!BD:BP,MATCH(A372,Données_ATB!BD:BD,0),9)</f>
        <v>Tétracycline</v>
      </c>
      <c r="C372" s="257" t="str">
        <f ca="1">INDEX(Données_ATB!BD:BP,MATCH(A372,Données_ATB!BD:BD,0),13)</f>
        <v>Tetracyclines</v>
      </c>
      <c r="D372" t="e">
        <f t="shared" ca="1" si="18"/>
        <v>#VALUE!</v>
      </c>
      <c r="E372" s="1" t="e">
        <f t="shared" ca="1" si="19"/>
        <v>#VALUE!</v>
      </c>
      <c r="F372" s="1" t="e">
        <f t="shared" ca="1" si="20"/>
        <v>#VALUE!</v>
      </c>
    </row>
    <row r="373" spans="1:6" ht="22.5" customHeight="1" x14ac:dyDescent="0.3">
      <c r="A373" s="255" t="str">
        <f>Données_ATB!BD360</f>
        <v>PANAFUGE</v>
      </c>
      <c r="B373" s="256" t="str">
        <f ca="1">INDEX(Données_ATB!BD:BP,MATCH(A373,Données_ATB!BD:BD,0),9)</f>
        <v>Dihydrostreptomycine + Tétracycline</v>
      </c>
      <c r="C373" s="257" t="str">
        <f ca="1">INDEX(Données_ATB!BD:BP,MATCH(A373,Données_ATB!BD:BD,0),13)</f>
        <v>Aminoglycosides + Tetracyclines</v>
      </c>
      <c r="D373" t="e">
        <f t="shared" ca="1" si="18"/>
        <v>#VALUE!</v>
      </c>
      <c r="E373" s="1" t="e">
        <f t="shared" ca="1" si="19"/>
        <v>#VALUE!</v>
      </c>
      <c r="F373" s="1" t="e">
        <f t="shared" ca="1" si="20"/>
        <v>#VALUE!</v>
      </c>
    </row>
    <row r="374" spans="1:6" ht="22.5" customHeight="1" x14ac:dyDescent="0.3">
      <c r="A374" s="255" t="str">
        <f>Données_ATB!BD361</f>
        <v>PANGRAM 4 %</v>
      </c>
      <c r="B374" s="256" t="str">
        <f ca="1">INDEX(Données_ATB!BD:BP,MATCH(A374,Données_ATB!BD:BD,0),9)</f>
        <v>Gentamicine</v>
      </c>
      <c r="C374" s="257" t="str">
        <f ca="1">INDEX(Données_ATB!BD:BP,MATCH(A374,Données_ATB!BD:BD,0),13)</f>
        <v>Aminoglycosides</v>
      </c>
      <c r="D374" t="e">
        <f t="shared" ca="1" si="18"/>
        <v>#VALUE!</v>
      </c>
      <c r="E374" s="1" t="e">
        <f t="shared" ca="1" si="19"/>
        <v>#VALUE!</v>
      </c>
      <c r="F374" s="1" t="e">
        <f t="shared" ca="1" si="20"/>
        <v>#VALUE!</v>
      </c>
    </row>
    <row r="375" spans="1:6" ht="22.5" customHeight="1" x14ac:dyDescent="0.3">
      <c r="A375" s="255" t="str">
        <f>Données_ATB!BD362</f>
        <v>PAROFOR 140 MG/ML SOLUTION POUR ADMINISTRATION DANS L'EAU DE BOISSON LE LAIT OU L'ALIMENT D'ALLAITEMENT POUR BOVINS PRERUMINANTS ET PORCS</v>
      </c>
      <c r="B375" s="256" t="str">
        <f ca="1">INDEX(Données_ATB!BD:BP,MATCH(A375,Données_ATB!BD:BD,0),9)</f>
        <v/>
      </c>
      <c r="C375" s="257" t="str">
        <f ca="1">INDEX(Données_ATB!BD:BP,MATCH(A375,Données_ATB!BD:BD,0),13)</f>
        <v>Aminoglycosides</v>
      </c>
      <c r="D375" t="e">
        <f t="shared" ca="1" si="18"/>
        <v>#VALUE!</v>
      </c>
      <c r="E375" s="1" t="e">
        <f t="shared" ca="1" si="19"/>
        <v>#VALUE!</v>
      </c>
      <c r="F375" s="1" t="e">
        <f t="shared" ca="1" si="20"/>
        <v>#VALUE!</v>
      </c>
    </row>
    <row r="376" spans="1:6" ht="22.5" customHeight="1" x14ac:dyDescent="0.3">
      <c r="A376" s="255" t="str">
        <f>Données_ATB!BD363</f>
        <v>PAROFOR 70000 UI/G POUDRE POUR ADMINISTRATION DANS L'EAU DE BOISSON LE LAIT OU L'ALIMENT D'ALLAITEMENT POUR BOVINS PRERUMINANTS ET PORCS</v>
      </c>
      <c r="B376" s="256" t="str">
        <f ca="1">INDEX(Données_ATB!BD:BP,MATCH(A376,Données_ATB!BD:BD,0),9)</f>
        <v/>
      </c>
      <c r="C376" s="257" t="str">
        <f ca="1">INDEX(Données_ATB!BD:BP,MATCH(A376,Données_ATB!BD:BD,0),13)</f>
        <v>Aminoglycosides</v>
      </c>
      <c r="D376" t="e">
        <f t="shared" ca="1" si="18"/>
        <v>#VALUE!</v>
      </c>
      <c r="E376" s="1" t="e">
        <f t="shared" ca="1" si="19"/>
        <v>#VALUE!</v>
      </c>
      <c r="F376" s="1" t="e">
        <f t="shared" ca="1" si="20"/>
        <v>#VALUE!</v>
      </c>
    </row>
    <row r="377" spans="1:6" ht="22.5" customHeight="1" x14ac:dyDescent="0.3">
      <c r="A377" s="255" t="str">
        <f>Données_ATB!BD364</f>
        <v>PATHOZONE</v>
      </c>
      <c r="B377" s="256" t="str">
        <f ca="1">INDEX(Données_ATB!BD:BP,MATCH(A377,Données_ATB!BD:BD,0),9)</f>
        <v>Céfopérazone</v>
      </c>
      <c r="C377" s="257" t="str">
        <f ca="1">INDEX(Données_ATB!BD:BP,MATCH(A377,Données_ATB!BD:BD,0),13)</f>
        <v>Cephalosporines 3&amp;4G</v>
      </c>
      <c r="D377" t="e">
        <f t="shared" ca="1" si="18"/>
        <v>#VALUE!</v>
      </c>
      <c r="E377" s="1" t="str">
        <f t="shared" ca="1" si="19"/>
        <v>x</v>
      </c>
      <c r="F377" s="1" t="e">
        <f t="shared" ca="1" si="20"/>
        <v>#VALUE!</v>
      </c>
    </row>
    <row r="378" spans="1:6" ht="22.5" customHeight="1" x14ac:dyDescent="0.3">
      <c r="A378" s="255" t="str">
        <f>Données_ATB!BD365</f>
        <v>PENETAVET</v>
      </c>
      <c r="B378" s="256" t="str">
        <f ca="1">INDEX(Données_ATB!BD:BP,MATCH(A378,Données_ATB!BD:BD,0),9)</f>
        <v>Pénéthamate (ou pénéthacilline)</v>
      </c>
      <c r="C378" s="257" t="str">
        <f ca="1">INDEX(Données_ATB!BD:BP,MATCH(A378,Données_ATB!BD:BD,0),13)</f>
        <v>Penicillines</v>
      </c>
      <c r="D378" t="e">
        <f t="shared" ca="1" si="18"/>
        <v>#VALUE!</v>
      </c>
      <c r="E378" s="1" t="e">
        <f t="shared" ca="1" si="19"/>
        <v>#VALUE!</v>
      </c>
      <c r="F378" s="1" t="e">
        <f t="shared" ca="1" si="20"/>
        <v>#VALUE!</v>
      </c>
    </row>
    <row r="379" spans="1:6" ht="22.5" customHeight="1" x14ac:dyDescent="0.3">
      <c r="A379" s="255" t="str">
        <f>Données_ATB!BD366</f>
        <v>PENETHAONE 182,5 MG/ML POUDRE ET SOLVANT POUR SUSPENSION INJECTABLE POUR BOVINS</v>
      </c>
      <c r="B379" s="256" t="str">
        <f ca="1">INDEX(Données_ATB!BD:BP,MATCH(A379,Données_ATB!BD:BD,0),9)</f>
        <v>Pénéthamate (ou pénéthacilline)</v>
      </c>
      <c r="C379" s="257" t="str">
        <f ca="1">INDEX(Données_ATB!BD:BP,MATCH(A379,Données_ATB!BD:BD,0),13)</f>
        <v>Penicillines</v>
      </c>
      <c r="D379" t="e">
        <f t="shared" ca="1" si="18"/>
        <v>#VALUE!</v>
      </c>
      <c r="E379" s="1" t="e">
        <f t="shared" ca="1" si="19"/>
        <v>#VALUE!</v>
      </c>
      <c r="F379" s="1" t="e">
        <f t="shared" ca="1" si="20"/>
        <v>#VALUE!</v>
      </c>
    </row>
    <row r="380" spans="1:6" ht="22.5" customHeight="1" x14ac:dyDescent="0.3">
      <c r="A380" s="255" t="str">
        <f>Données_ATB!BD367</f>
        <v>PEN-HISTA-STREP</v>
      </c>
      <c r="B380" s="256" t="str">
        <f ca="1">INDEX(Données_ATB!BD:BP,MATCH(A380,Données_ATB!BD:BD,0),9)</f>
        <v>Dihydrostreptomycine + Benzylpénicilline</v>
      </c>
      <c r="C380" s="257" t="str">
        <f ca="1">INDEX(Données_ATB!BD:BP,MATCH(A380,Données_ATB!BD:BD,0),13)</f>
        <v>Aminoglycosides + Penicillines</v>
      </c>
      <c r="D380" t="e">
        <f t="shared" ca="1" si="18"/>
        <v>#VALUE!</v>
      </c>
      <c r="E380" s="1" t="e">
        <f t="shared" ca="1" si="19"/>
        <v>#VALUE!</v>
      </c>
      <c r="F380" s="1" t="e">
        <f t="shared" ca="1" si="20"/>
        <v>#VALUE!</v>
      </c>
    </row>
    <row r="381" spans="1:6" ht="22.5" customHeight="1" x14ac:dyDescent="0.3">
      <c r="A381" s="255" t="str">
        <f>Données_ATB!BD368</f>
        <v>PENI DHS COOPHAVET</v>
      </c>
      <c r="B381" s="256" t="str">
        <f ca="1">INDEX(Données_ATB!BD:BP,MATCH(A381,Données_ATB!BD:BD,0),9)</f>
        <v>Dihydrostreptomycine + Benzylpénicilline</v>
      </c>
      <c r="C381" s="257" t="str">
        <f ca="1">INDEX(Données_ATB!BD:BP,MATCH(A381,Données_ATB!BD:BD,0),13)</f>
        <v>Aminoglycosides + Penicillines</v>
      </c>
      <c r="D381" t="e">
        <f t="shared" ca="1" si="18"/>
        <v>#VALUE!</v>
      </c>
      <c r="E381" s="1" t="e">
        <f t="shared" ca="1" si="19"/>
        <v>#VALUE!</v>
      </c>
      <c r="F381" s="1" t="e">
        <f t="shared" ca="1" si="20"/>
        <v>#VALUE!</v>
      </c>
    </row>
    <row r="382" spans="1:6" ht="22.5" customHeight="1" x14ac:dyDescent="0.3">
      <c r="A382" s="255" t="str">
        <f>Données_ATB!BD369</f>
        <v>PENIJECTYL</v>
      </c>
      <c r="B382" s="256" t="str">
        <f ca="1">INDEX(Données_ATB!BD:BP,MATCH(A382,Données_ATB!BD:BD,0),9)</f>
        <v>Dihydrostreptomycine + Benzylpénicilline</v>
      </c>
      <c r="C382" s="257" t="str">
        <f ca="1">INDEX(Données_ATB!BD:BP,MATCH(A382,Données_ATB!BD:BD,0),13)</f>
        <v>Aminoglycosides + Penicillines</v>
      </c>
      <c r="D382" t="e">
        <f t="shared" ca="1" si="18"/>
        <v>#VALUE!</v>
      </c>
      <c r="E382" s="1" t="e">
        <f t="shared" ca="1" si="19"/>
        <v>#VALUE!</v>
      </c>
      <c r="F382" s="1" t="e">
        <f t="shared" ca="1" si="20"/>
        <v>#VALUE!</v>
      </c>
    </row>
    <row r="383" spans="1:6" ht="22.5" customHeight="1" x14ac:dyDescent="0.3">
      <c r="A383" s="255" t="str">
        <f>Données_ATB!BD370</f>
        <v>PERLIUM AMOXIVAL AMOXICILLINE 100 PREMELANGE MEDICAMENTEUX PORC</v>
      </c>
      <c r="B383" s="256" t="str">
        <f ca="1">INDEX(Données_ATB!BD:BP,MATCH(A383,Données_ATB!BD:BD,0),9)</f>
        <v>Amoxicilline</v>
      </c>
      <c r="C383" s="257" t="str">
        <f ca="1">INDEX(Données_ATB!BD:BP,MATCH(A383,Données_ATB!BD:BD,0),13)</f>
        <v>Penicillines</v>
      </c>
      <c r="D383" t="e">
        <f t="shared" ca="1" si="18"/>
        <v>#VALUE!</v>
      </c>
      <c r="E383" s="1" t="e">
        <f t="shared" ca="1" si="19"/>
        <v>#VALUE!</v>
      </c>
      <c r="F383" s="1" t="e">
        <f t="shared" ca="1" si="20"/>
        <v>#VALUE!</v>
      </c>
    </row>
    <row r="384" spans="1:6" ht="22.5" customHeight="1" x14ac:dyDescent="0.3">
      <c r="A384" s="255" t="str">
        <f>Données_ATB!BD371</f>
        <v>PERLIUM DOXYVAL DOXYCYCLINE 40 PREMELANGE MEDICAMENTEUX PORCS</v>
      </c>
      <c r="B384" s="256" t="str">
        <f ca="1">INDEX(Données_ATB!BD:BP,MATCH(A384,Données_ATB!BD:BD,0),9)</f>
        <v>Doxycycline</v>
      </c>
      <c r="C384" s="257" t="str">
        <f ca="1">INDEX(Données_ATB!BD:BP,MATCH(A384,Données_ATB!BD:BD,0),13)</f>
        <v>Tetracyclines</v>
      </c>
      <c r="D384" t="e">
        <f t="shared" ca="1" si="18"/>
        <v>#VALUE!</v>
      </c>
      <c r="E384" s="1" t="e">
        <f t="shared" ca="1" si="19"/>
        <v>#VALUE!</v>
      </c>
      <c r="F384" s="1" t="e">
        <f t="shared" ca="1" si="20"/>
        <v>#VALUE!</v>
      </c>
    </row>
    <row r="385" spans="1:6" ht="22.5" customHeight="1" x14ac:dyDescent="0.3">
      <c r="A385" s="255" t="str">
        <f>Données_ATB!BD372</f>
        <v>PERMACYL 182,5 MG/ML POUDRE ET SOLVANT POUR SUSPENSION INJECTABLE POUR BOVINS</v>
      </c>
      <c r="B385" s="256" t="str">
        <f ca="1">INDEX(Données_ATB!BD:BP,MATCH(A385,Données_ATB!BD:BD,0),9)</f>
        <v>Pénéthamate (ou pénéthacilline)</v>
      </c>
      <c r="C385" s="257" t="str">
        <f ca="1">INDEX(Données_ATB!BD:BP,MATCH(A385,Données_ATB!BD:BD,0),13)</f>
        <v>Penicillines</v>
      </c>
      <c r="D385" t="e">
        <f t="shared" ca="1" si="18"/>
        <v>#VALUE!</v>
      </c>
      <c r="E385" s="1" t="e">
        <f t="shared" ca="1" si="19"/>
        <v>#VALUE!</v>
      </c>
      <c r="F385" s="1" t="e">
        <f t="shared" ca="1" si="20"/>
        <v>#VALUE!</v>
      </c>
    </row>
    <row r="386" spans="1:6" ht="22.5" customHeight="1" x14ac:dyDescent="0.3">
      <c r="A386" s="255" t="str">
        <f>Données_ATB!BD373</f>
        <v>PHADILACT</v>
      </c>
      <c r="B386" s="256" t="str">
        <f ca="1">INDEX(Données_ATB!BD:BP,MATCH(A386,Données_ATB!BD:BD,0),9)</f>
        <v>Ampicilline + Colistine</v>
      </c>
      <c r="C386" s="257" t="str">
        <f ca="1">INDEX(Données_ATB!BD:BP,MATCH(A386,Données_ATB!BD:BD,0),13)</f>
        <v>Penicillines + Polypeptides</v>
      </c>
      <c r="D386" t="str">
        <f t="shared" ca="1" si="18"/>
        <v>x</v>
      </c>
      <c r="E386" s="1" t="e">
        <f t="shared" ca="1" si="19"/>
        <v>#VALUE!</v>
      </c>
      <c r="F386" s="1" t="e">
        <f t="shared" ca="1" si="20"/>
        <v>#VALUE!</v>
      </c>
    </row>
    <row r="387" spans="1:6" ht="22.5" customHeight="1" x14ac:dyDescent="0.3">
      <c r="A387" s="255" t="str">
        <f>Données_ATB!BD374</f>
        <v>PHARMASIN 100 PREMELANGE MEDICAMENTEUX VOLAILLES PORCS</v>
      </c>
      <c r="B387" s="256" t="str">
        <f ca="1">INDEX(Données_ATB!BD:BP,MATCH(A387,Données_ATB!BD:BD,0),9)</f>
        <v>Tylosine</v>
      </c>
      <c r="C387" s="257" t="str">
        <f ca="1">INDEX(Données_ATB!BD:BP,MATCH(A387,Données_ATB!BD:BD,0),13)</f>
        <v>Macrolides</v>
      </c>
      <c r="D387" t="e">
        <f t="shared" ca="1" si="18"/>
        <v>#VALUE!</v>
      </c>
      <c r="E387" s="1" t="e">
        <f t="shared" ca="1" si="19"/>
        <v>#VALUE!</v>
      </c>
      <c r="F387" s="1" t="e">
        <f t="shared" ca="1" si="20"/>
        <v>#VALUE!</v>
      </c>
    </row>
    <row r="388" spans="1:6" ht="22.5" customHeight="1" x14ac:dyDescent="0.3">
      <c r="A388" s="255" t="str">
        <f>Données_ATB!BD375</f>
        <v>PHARMASIN 20 G/KG PREMELANGE MEDICAMENTEUX VOLAILLES PORCS</v>
      </c>
      <c r="B388" s="256" t="str">
        <f ca="1">INDEX(Données_ATB!BD:BP,MATCH(A388,Données_ATB!BD:BD,0),9)</f>
        <v>Tylosine</v>
      </c>
      <c r="C388" s="257" t="str">
        <f ca="1">INDEX(Données_ATB!BD:BP,MATCH(A388,Données_ATB!BD:BD,0),13)</f>
        <v>Macrolides</v>
      </c>
      <c r="D388" t="e">
        <f t="shared" ca="1" si="18"/>
        <v>#VALUE!</v>
      </c>
      <c r="E388" s="1" t="e">
        <f t="shared" ca="1" si="19"/>
        <v>#VALUE!</v>
      </c>
      <c r="F388" s="1" t="e">
        <f t="shared" ca="1" si="20"/>
        <v>#VALUE!</v>
      </c>
    </row>
    <row r="389" spans="1:6" ht="22.5" customHeight="1" x14ac:dyDescent="0.3">
      <c r="A389" s="255" t="str">
        <f>Données_ATB!BD376</f>
        <v>PHARMASIN 200 MG/ML SOLUTION INJECTABLE POUR BOVINS OVINS CAPRINS ET PORCINS</v>
      </c>
      <c r="B389" s="256" t="str">
        <f ca="1">INDEX(Données_ATB!BD:BP,MATCH(A389,Données_ATB!BD:BD,0),9)</f>
        <v>Tylosine</v>
      </c>
      <c r="C389" s="257" t="str">
        <f ca="1">INDEX(Données_ATB!BD:BP,MATCH(A389,Données_ATB!BD:BD,0),13)</f>
        <v>Macrolides</v>
      </c>
      <c r="D389" t="e">
        <f t="shared" ca="1" si="18"/>
        <v>#VALUE!</v>
      </c>
      <c r="E389" s="1" t="e">
        <f t="shared" ca="1" si="19"/>
        <v>#VALUE!</v>
      </c>
      <c r="F389" s="1" t="e">
        <f t="shared" ca="1" si="20"/>
        <v>#VALUE!</v>
      </c>
    </row>
    <row r="390" spans="1:6" ht="22.5" customHeight="1" x14ac:dyDescent="0.3">
      <c r="A390" s="255" t="str">
        <f>Données_ATB!BD377</f>
        <v>PHENOCILLIN 800 MG/G POUDRE POUR ADMINISTRATION DANS L'EAU DE BOISSON POUR POULETS</v>
      </c>
      <c r="B390" s="256" t="str">
        <f ca="1">INDEX(Données_ATB!BD:BP,MATCH(A390,Données_ATB!BD:BD,0),9)</f>
        <v>Phénoxyméthylpénicilline</v>
      </c>
      <c r="C390" s="257" t="str">
        <f ca="1">INDEX(Données_ATB!BD:BP,MATCH(A390,Données_ATB!BD:BD,0),13)</f>
        <v>Penicillines</v>
      </c>
      <c r="D390" t="e">
        <f t="shared" ca="1" si="18"/>
        <v>#VALUE!</v>
      </c>
      <c r="E390" s="1" t="e">
        <f t="shared" ca="1" si="19"/>
        <v>#VALUE!</v>
      </c>
      <c r="F390" s="1" t="e">
        <f t="shared" ca="1" si="20"/>
        <v>#VALUE!</v>
      </c>
    </row>
    <row r="391" spans="1:6" ht="22.5" customHeight="1" x14ac:dyDescent="0.3">
      <c r="A391" s="255" t="str">
        <f>Données_ATB!BD378</f>
        <v>PHENOXYPEN WSP</v>
      </c>
      <c r="B391" s="256" t="str">
        <f ca="1">INDEX(Données_ATB!BD:BP,MATCH(A391,Données_ATB!BD:BD,0),9)</f>
        <v>Phénoxyméthylpénicilline</v>
      </c>
      <c r="C391" s="257" t="str">
        <f ca="1">INDEX(Données_ATB!BD:BP,MATCH(A391,Données_ATB!BD:BD,0),13)</f>
        <v>Penicillines</v>
      </c>
      <c r="D391" t="e">
        <f t="shared" ca="1" si="18"/>
        <v>#VALUE!</v>
      </c>
      <c r="E391" s="1" t="e">
        <f t="shared" ca="1" si="19"/>
        <v>#VALUE!</v>
      </c>
      <c r="F391" s="1" t="e">
        <f t="shared" ca="1" si="20"/>
        <v>#VALUE!</v>
      </c>
    </row>
    <row r="392" spans="1:6" ht="22.5" customHeight="1" x14ac:dyDescent="0.3">
      <c r="A392" s="255" t="str">
        <f>Données_ATB!BD379</f>
        <v>PIRSUE 5 MG/ML SOLUTION INTRAMAMMAIRE POUR BOVINS</v>
      </c>
      <c r="B392" s="256" t="str">
        <f ca="1">INDEX(Données_ATB!BD:BP,MATCH(A392,Données_ATB!BD:BD,0),9)</f>
        <v>Pirlimycine</v>
      </c>
      <c r="C392" s="257" t="str">
        <f ca="1">INDEX(Données_ATB!BD:BP,MATCH(A392,Données_ATB!BD:BD,0),13)</f>
        <v>Lincosamides</v>
      </c>
      <c r="D392" t="e">
        <f t="shared" ca="1" si="18"/>
        <v>#VALUE!</v>
      </c>
      <c r="E392" s="1" t="e">
        <f t="shared" ca="1" si="19"/>
        <v>#VALUE!</v>
      </c>
      <c r="F392" s="1" t="e">
        <f t="shared" ca="1" si="20"/>
        <v>#VALUE!</v>
      </c>
    </row>
    <row r="393" spans="1:6" ht="22.5" customHeight="1" x14ac:dyDescent="0.3">
      <c r="A393" s="255" t="str">
        <f>Données_ATB!BD380</f>
        <v>PM 11-2 COLISTINE 400 PORC ET AGNEAU SEVRE</v>
      </c>
      <c r="B393" s="256" t="str">
        <f ca="1">INDEX(Données_ATB!BD:BP,MATCH(A393,Données_ATB!BD:BD,0),9)</f>
        <v>Colistine</v>
      </c>
      <c r="C393" s="257" t="str">
        <f ca="1">INDEX(Données_ATB!BD:BP,MATCH(A393,Données_ATB!BD:BD,0),13)</f>
        <v>Polypeptides</v>
      </c>
      <c r="D393" t="str">
        <f t="shared" ca="1" si="18"/>
        <v>x</v>
      </c>
      <c r="E393" s="1" t="e">
        <f t="shared" ca="1" si="19"/>
        <v>#VALUE!</v>
      </c>
      <c r="F393" s="1" t="e">
        <f t="shared" ca="1" si="20"/>
        <v>#VALUE!</v>
      </c>
    </row>
    <row r="394" spans="1:6" ht="22.5" customHeight="1" x14ac:dyDescent="0.3">
      <c r="A394" s="255" t="str">
        <f>Données_ATB!BD381</f>
        <v>PM 113 C60/M30</v>
      </c>
      <c r="B394" s="256" t="str">
        <f ca="1">INDEX(Données_ATB!BD:BP,MATCH(A394,Données_ATB!BD:BD,0),9)</f>
        <v>Sulfadiazine + Triméthoprime</v>
      </c>
      <c r="C394" s="257" t="str">
        <f ca="1">INDEX(Données_ATB!BD:BP,MATCH(A394,Données_ATB!BD:BD,0),13)</f>
        <v>Sulfamides + Trimethoprime</v>
      </c>
      <c r="D394" t="e">
        <f t="shared" ca="1" si="18"/>
        <v>#VALUE!</v>
      </c>
      <c r="E394" s="1" t="e">
        <f t="shared" ca="1" si="19"/>
        <v>#VALUE!</v>
      </c>
      <c r="F394" s="1" t="e">
        <f t="shared" ca="1" si="20"/>
        <v>#VALUE!</v>
      </c>
    </row>
    <row r="395" spans="1:6" ht="22.5" customHeight="1" x14ac:dyDescent="0.3">
      <c r="A395" s="255" t="str">
        <f>Données_ATB!BD382</f>
        <v>PM 113 LACT</v>
      </c>
      <c r="B395" s="256" t="str">
        <f ca="1">INDEX(Données_ATB!BD:BP,MATCH(A395,Données_ATB!BD:BD,0),9)</f>
        <v>Sulfadiazine + Triméthoprime</v>
      </c>
      <c r="C395" s="257" t="str">
        <f ca="1">INDEX(Données_ATB!BD:BP,MATCH(A395,Données_ATB!BD:BD,0),13)</f>
        <v>Sulfamides + Trimethoprime</v>
      </c>
      <c r="D395" t="e">
        <f t="shared" ca="1" si="18"/>
        <v>#VALUE!</v>
      </c>
      <c r="E395" s="1" t="e">
        <f t="shared" ca="1" si="19"/>
        <v>#VALUE!</v>
      </c>
      <c r="F395" s="1" t="e">
        <f t="shared" ca="1" si="20"/>
        <v>#VALUE!</v>
      </c>
    </row>
    <row r="396" spans="1:6" ht="22.5" customHeight="1" x14ac:dyDescent="0.3">
      <c r="A396" s="255" t="str">
        <f>Données_ATB!BD383</f>
        <v>PM 11-B COLISTINE 400 PORC-AGNEAU ET CHEVREAU SEVRES</v>
      </c>
      <c r="B396" s="256" t="str">
        <f ca="1">INDEX(Données_ATB!BD:BP,MATCH(A396,Données_ATB!BD:BD,0),9)</f>
        <v>Colistine</v>
      </c>
      <c r="C396" s="257" t="str">
        <f ca="1">INDEX(Données_ATB!BD:BP,MATCH(A396,Données_ATB!BD:BD,0),13)</f>
        <v>Polypeptides</v>
      </c>
      <c r="D396" t="str">
        <f t="shared" ca="1" si="18"/>
        <v>x</v>
      </c>
      <c r="E396" s="1" t="e">
        <f t="shared" ca="1" si="19"/>
        <v>#VALUE!</v>
      </c>
      <c r="F396" s="1" t="e">
        <f t="shared" ca="1" si="20"/>
        <v>#VALUE!</v>
      </c>
    </row>
    <row r="397" spans="1:6" ht="22.5" customHeight="1" x14ac:dyDescent="0.3">
      <c r="A397" s="255" t="str">
        <f>Données_ATB!BD384</f>
        <v>PM 16-2 CHLORTETRACYCLINE 100 PORC ET AGNEAU-CHEVREAU SEVRES</v>
      </c>
      <c r="B397" s="256" t="str">
        <f ca="1">INDEX(Données_ATB!BD:BP,MATCH(A397,Données_ATB!BD:BD,0),9)</f>
        <v>Chlortétracycline</v>
      </c>
      <c r="C397" s="257" t="str">
        <f ca="1">INDEX(Données_ATB!BD:BP,MATCH(A397,Données_ATB!BD:BD,0),13)</f>
        <v>Tetracyclines</v>
      </c>
      <c r="D397" t="e">
        <f t="shared" ca="1" si="18"/>
        <v>#VALUE!</v>
      </c>
      <c r="E397" s="1" t="e">
        <f t="shared" ca="1" si="19"/>
        <v>#VALUE!</v>
      </c>
      <c r="F397" s="1" t="e">
        <f t="shared" ca="1" si="20"/>
        <v>#VALUE!</v>
      </c>
    </row>
    <row r="398" spans="1:6" ht="22.5" customHeight="1" x14ac:dyDescent="0.3">
      <c r="A398" s="255" t="str">
        <f>Données_ATB!BD385</f>
        <v>PM 16-B CHLORTETRACYCLINE 100 PORC-AGNEAU ET CHEVREAU SEVRES</v>
      </c>
      <c r="B398" s="256" t="str">
        <f ca="1">INDEX(Données_ATB!BD:BP,MATCH(A398,Données_ATB!BD:BD,0),9)</f>
        <v>Chlortétracycline</v>
      </c>
      <c r="C398" s="257" t="str">
        <f ca="1">INDEX(Données_ATB!BD:BP,MATCH(A398,Données_ATB!BD:BD,0),13)</f>
        <v>Tetracyclines</v>
      </c>
      <c r="D398" t="e">
        <f t="shared" ca="1" si="18"/>
        <v>#VALUE!</v>
      </c>
      <c r="E398" s="1" t="e">
        <f t="shared" ca="1" si="19"/>
        <v>#VALUE!</v>
      </c>
      <c r="F398" s="1" t="e">
        <f t="shared" ca="1" si="20"/>
        <v>#VALUE!</v>
      </c>
    </row>
    <row r="399" spans="1:6" ht="22.5" customHeight="1" x14ac:dyDescent="0.3">
      <c r="A399" s="255" t="str">
        <f>Données_ATB!BD386</f>
        <v>PM 17-A OXYTETRACYCLINE 40 LAPIN-VOLAILLE-PORC-AGNEAU ET CHEVREAU SEVRES</v>
      </c>
      <c r="B399" s="256" t="str">
        <f ca="1">INDEX(Données_ATB!BD:BP,MATCH(A399,Données_ATB!BD:BD,0),9)</f>
        <v>Oxytétracycline</v>
      </c>
      <c r="C399" s="257" t="str">
        <f ca="1">INDEX(Données_ATB!BD:BP,MATCH(A399,Données_ATB!BD:BD,0),13)</f>
        <v>Tetracyclines</v>
      </c>
      <c r="D399" t="e">
        <f t="shared" ca="1" si="18"/>
        <v>#VALUE!</v>
      </c>
      <c r="E399" s="1" t="e">
        <f t="shared" ca="1" si="19"/>
        <v>#VALUE!</v>
      </c>
      <c r="F399" s="1" t="e">
        <f t="shared" ca="1" si="20"/>
        <v>#VALUE!</v>
      </c>
    </row>
    <row r="400" spans="1:6" ht="22.5" customHeight="1" x14ac:dyDescent="0.3">
      <c r="A400" s="255" t="str">
        <f>Données_ATB!BD387</f>
        <v>PM 17-B OXYTETRACYCLINE 100 PORC-AGNEAU ET CHEVREAU SEVRES</v>
      </c>
      <c r="B400" s="256" t="str">
        <f ca="1">INDEX(Données_ATB!BD:BP,MATCH(A400,Données_ATB!BD:BD,0),9)</f>
        <v>Oxytétracycline</v>
      </c>
      <c r="C400" s="257" t="str">
        <f ca="1">INDEX(Données_ATB!BD:BP,MATCH(A400,Données_ATB!BD:BD,0),13)</f>
        <v>Tetracyclines</v>
      </c>
      <c r="D400" t="e">
        <f t="shared" ca="1" si="18"/>
        <v>#VALUE!</v>
      </c>
      <c r="E400" s="1" t="e">
        <f t="shared" ca="1" si="19"/>
        <v>#VALUE!</v>
      </c>
      <c r="F400" s="1" t="e">
        <f t="shared" ca="1" si="20"/>
        <v>#VALUE!</v>
      </c>
    </row>
    <row r="401" spans="1:6" ht="22.5" customHeight="1" x14ac:dyDescent="0.3">
      <c r="A401" s="255" t="str">
        <f>Données_ATB!BD388</f>
        <v>PM 18-3 TIAMULINE 6.5 DELTAVIT ENTERITE PORC ENTEROCOLITE LAPIN</v>
      </c>
      <c r="B401" s="256" t="str">
        <f ca="1">INDEX(Données_ATB!BD:BP,MATCH(A401,Données_ATB!BD:BD,0),9)</f>
        <v>Tiamuline</v>
      </c>
      <c r="C401" s="257" t="str">
        <f ca="1">INDEX(Données_ATB!BD:BP,MATCH(A401,Données_ATB!BD:BD,0),13)</f>
        <v>Pleuromutilines</v>
      </c>
      <c r="D401" t="e">
        <f t="shared" ca="1" si="18"/>
        <v>#VALUE!</v>
      </c>
      <c r="E401" s="1" t="e">
        <f t="shared" ca="1" si="19"/>
        <v>#VALUE!</v>
      </c>
      <c r="F401" s="1" t="e">
        <f t="shared" ca="1" si="20"/>
        <v>#VALUE!</v>
      </c>
    </row>
    <row r="402" spans="1:6" ht="22.5" customHeight="1" x14ac:dyDescent="0.3">
      <c r="A402" s="255" t="str">
        <f>Données_ATB!BD389</f>
        <v>PM 20 TILMICOSINE 40 PORCS</v>
      </c>
      <c r="B402" s="256" t="str">
        <f ca="1">INDEX(Données_ATB!BD:BP,MATCH(A402,Données_ATB!BD:BD,0),9)</f>
        <v>Tilmicosine</v>
      </c>
      <c r="C402" s="257" t="str">
        <f ca="1">INDEX(Données_ATB!BD:BP,MATCH(A402,Données_ATB!BD:BD,0),13)</f>
        <v>Macrolides</v>
      </c>
      <c r="D402" t="e">
        <f t="shared" ca="1" si="18"/>
        <v>#VALUE!</v>
      </c>
      <c r="E402" s="1" t="e">
        <f t="shared" ca="1" si="19"/>
        <v>#VALUE!</v>
      </c>
      <c r="F402" s="1" t="e">
        <f t="shared" ca="1" si="20"/>
        <v>#VALUE!</v>
      </c>
    </row>
    <row r="403" spans="1:6" ht="22.5" customHeight="1" x14ac:dyDescent="0.3">
      <c r="A403" s="255" t="str">
        <f>Données_ATB!BD390</f>
        <v>PM 21 TYLOSINE 20 PORC-VOLAILLE</v>
      </c>
      <c r="B403" s="256" t="str">
        <f ca="1">INDEX(Données_ATB!BD:BP,MATCH(A403,Données_ATB!BD:BD,0),9)</f>
        <v>Tylosine</v>
      </c>
      <c r="C403" s="257" t="str">
        <f ca="1">INDEX(Données_ATB!BD:BP,MATCH(A403,Données_ATB!BD:BD,0),13)</f>
        <v>Macrolides</v>
      </c>
      <c r="D403" t="e">
        <f t="shared" ca="1" si="18"/>
        <v>#VALUE!</v>
      </c>
      <c r="E403" s="1" t="e">
        <f t="shared" ca="1" si="19"/>
        <v>#VALUE!</v>
      </c>
      <c r="F403" s="1" t="e">
        <f t="shared" ca="1" si="20"/>
        <v>#VALUE!</v>
      </c>
    </row>
    <row r="404" spans="1:6" ht="22.5" customHeight="1" x14ac:dyDescent="0.3">
      <c r="A404" s="255" t="str">
        <f>Données_ATB!BD391</f>
        <v>PM 23 APRAMYCINE 20 PORC</v>
      </c>
      <c r="B404" s="256" t="str">
        <f ca="1">INDEX(Données_ATB!BD:BP,MATCH(A404,Données_ATB!BD:BD,0),9)</f>
        <v>Apramycine</v>
      </c>
      <c r="C404" s="257" t="str">
        <f ca="1">INDEX(Données_ATB!BD:BP,MATCH(A404,Données_ATB!BD:BD,0),13)</f>
        <v>Aminoglycosides</v>
      </c>
      <c r="D404" t="e">
        <f t="shared" ca="1" si="18"/>
        <v>#VALUE!</v>
      </c>
      <c r="E404" s="1" t="e">
        <f t="shared" ca="1" si="19"/>
        <v>#VALUE!</v>
      </c>
      <c r="F404" s="1" t="e">
        <f t="shared" ca="1" si="20"/>
        <v>#VALUE!</v>
      </c>
    </row>
    <row r="405" spans="1:6" ht="22.5" customHeight="1" x14ac:dyDescent="0.3">
      <c r="A405" s="255" t="str">
        <f>Données_ATB!BD392</f>
        <v>PM 27 LINCOMYCINE 4.4 SPECTINOMYCINE 4.4 PORC</v>
      </c>
      <c r="B405" s="256" t="str">
        <f ca="1">INDEX(Données_ATB!BD:BP,MATCH(A405,Données_ATB!BD:BD,0),9)</f>
        <v>Lincomycine + Spectinomycine</v>
      </c>
      <c r="C405" s="257" t="str">
        <f ca="1">INDEX(Données_ATB!BD:BP,MATCH(A405,Données_ATB!BD:BD,0),13)</f>
        <v>Lincosamides + Aminoglycosides</v>
      </c>
      <c r="D405" t="e">
        <f t="shared" ca="1" si="18"/>
        <v>#VALUE!</v>
      </c>
      <c r="E405" s="1" t="e">
        <f t="shared" ca="1" si="19"/>
        <v>#VALUE!</v>
      </c>
      <c r="F405" s="1" t="e">
        <f t="shared" ca="1" si="20"/>
        <v>#VALUE!</v>
      </c>
    </row>
    <row r="406" spans="1:6" ht="22.5" customHeight="1" x14ac:dyDescent="0.3">
      <c r="A406" s="255" t="str">
        <f>Données_ATB!BD393</f>
        <v>PM 35-A ACIDE OXOLINIQUE 80 PORC</v>
      </c>
      <c r="B406" s="256" t="str">
        <f ca="1">INDEX(Données_ATB!BD:BP,MATCH(A406,Données_ATB!BD:BD,0),9)</f>
        <v>Acide oxolinique</v>
      </c>
      <c r="C406" s="257" t="str">
        <f ca="1">INDEX(Données_ATB!BD:BP,MATCH(A406,Données_ATB!BD:BD,0),13)</f>
        <v>Quinolones</v>
      </c>
      <c r="D406" t="e">
        <f t="shared" ca="1" si="18"/>
        <v>#VALUE!</v>
      </c>
      <c r="E406" s="1" t="e">
        <f t="shared" ca="1" si="19"/>
        <v>#VALUE!</v>
      </c>
      <c r="F406" s="1" t="e">
        <f t="shared" ca="1" si="20"/>
        <v>#VALUE!</v>
      </c>
    </row>
    <row r="407" spans="1:6" ht="22.5" customHeight="1" x14ac:dyDescent="0.3">
      <c r="A407" s="255" t="str">
        <f>Données_ATB!BD394</f>
        <v>PNEUMOBIOTIQUE</v>
      </c>
      <c r="B407" s="256" t="str">
        <f ca="1">INDEX(Données_ATB!BD:BP,MATCH(A407,Données_ATB!BD:BD,0),9)</f>
        <v>Oxytétracycline + Spiramycine</v>
      </c>
      <c r="C407" s="257" t="str">
        <f ca="1">INDEX(Données_ATB!BD:BP,MATCH(A407,Données_ATB!BD:BD,0),13)</f>
        <v>Tetracyclines + Macrolides</v>
      </c>
      <c r="D407" t="e">
        <f t="shared" ref="D407:D470" ca="1" si="21">IF(SEARCH("Colistine",B407)&gt;0,"x","")</f>
        <v>#VALUE!</v>
      </c>
      <c r="E407" s="1" t="e">
        <f t="shared" ref="E407:E470" ca="1" si="22">IF(SEARCH("Cephalosporines 3&amp;4G",C407)&gt;0,"x","")</f>
        <v>#VALUE!</v>
      </c>
      <c r="F407" s="1" t="e">
        <f t="shared" ref="F407:F470" ca="1" si="23">IF(SEARCH("Cephalosporines 3&amp;4G",C407)&gt;0,"x","")&amp;IF(SEARCH("Fluoroquinolones",C407)&gt;0,"x","")</f>
        <v>#VALUE!</v>
      </c>
    </row>
    <row r="408" spans="1:6" ht="22.5" customHeight="1" x14ac:dyDescent="0.3">
      <c r="A408" s="255" t="str">
        <f>Données_ATB!BD395</f>
        <v>PNEUMOSPECTIN 50/100 MG/ML SOLUTION INJECTABLE</v>
      </c>
      <c r="B408" s="256" t="str">
        <f ca="1">INDEX(Données_ATB!BD:BP,MATCH(A408,Données_ATB!BD:BD,0),9)</f>
        <v>Spectinomycine + Lincomycine</v>
      </c>
      <c r="C408" s="257" t="str">
        <f ca="1">INDEX(Données_ATB!BD:BP,MATCH(A408,Données_ATB!BD:BD,0),13)</f>
        <v>Aminoglycosides + Lincosamides</v>
      </c>
      <c r="D408" t="e">
        <f t="shared" ca="1" si="21"/>
        <v>#VALUE!</v>
      </c>
      <c r="E408" s="1" t="e">
        <f t="shared" ca="1" si="22"/>
        <v>#VALUE!</v>
      </c>
      <c r="F408" s="1" t="e">
        <f t="shared" ca="1" si="23"/>
        <v>#VALUE!</v>
      </c>
    </row>
    <row r="409" spans="1:6" ht="22.5" customHeight="1" x14ac:dyDescent="0.3">
      <c r="A409" s="255" t="str">
        <f>Données_ATB!BD396</f>
        <v>PO 11 COLISTINE 100 LAPIN - VOLAILLE - PORC - VEAU</v>
      </c>
      <c r="B409" s="256" t="str">
        <f ca="1">INDEX(Données_ATB!BD:BP,MATCH(A409,Données_ATB!BD:BD,0),9)</f>
        <v>Colistine</v>
      </c>
      <c r="C409" s="257" t="str">
        <f ca="1">INDEX(Données_ATB!BD:BP,MATCH(A409,Données_ATB!BD:BD,0),13)</f>
        <v>Polypeptides</v>
      </c>
      <c r="D409" t="str">
        <f t="shared" ca="1" si="21"/>
        <v>x</v>
      </c>
      <c r="E409" s="1" t="e">
        <f t="shared" ca="1" si="22"/>
        <v>#VALUE!</v>
      </c>
      <c r="F409" s="1" t="e">
        <f t="shared" ca="1" si="23"/>
        <v>#VALUE!</v>
      </c>
    </row>
    <row r="410" spans="1:6" ht="22.5" customHeight="1" x14ac:dyDescent="0.3">
      <c r="A410" s="255" t="str">
        <f>Données_ATB!BD397</f>
        <v>PO 121 AMPICILLINE 10 VOLAILLE-PORC-VEAU-AGNEAU-CHEVREAU</v>
      </c>
      <c r="B410" s="256" t="str">
        <f ca="1">INDEX(Données_ATB!BD:BP,MATCH(A410,Données_ATB!BD:BD,0),9)</f>
        <v>Ampicilline</v>
      </c>
      <c r="C410" s="257" t="str">
        <f ca="1">INDEX(Données_ATB!BD:BP,MATCH(A410,Données_ATB!BD:BD,0),13)</f>
        <v>Penicillines</v>
      </c>
      <c r="D410" t="e">
        <f t="shared" ca="1" si="21"/>
        <v>#VALUE!</v>
      </c>
      <c r="E410" s="1" t="e">
        <f t="shared" ca="1" si="22"/>
        <v>#VALUE!</v>
      </c>
      <c r="F410" s="1" t="e">
        <f t="shared" ca="1" si="23"/>
        <v>#VALUE!</v>
      </c>
    </row>
    <row r="411" spans="1:6" ht="22.5" customHeight="1" x14ac:dyDescent="0.3">
      <c r="A411" s="255" t="str">
        <f>Données_ATB!BD398</f>
        <v>POTENCIL</v>
      </c>
      <c r="B411" s="256" t="str">
        <f ca="1">INDEX(Données_ATB!BD:BP,MATCH(A411,Données_ATB!BD:BD,0),9)</f>
        <v>Amoxicilline + Colistine</v>
      </c>
      <c r="C411" s="257" t="str">
        <f ca="1">INDEX(Données_ATB!BD:BP,MATCH(A411,Données_ATB!BD:BD,0),13)</f>
        <v>Penicillines + Polypeptides</v>
      </c>
      <c r="D411" t="str">
        <f t="shared" ca="1" si="21"/>
        <v>x</v>
      </c>
      <c r="E411" s="1" t="e">
        <f t="shared" ca="1" si="22"/>
        <v>#VALUE!</v>
      </c>
      <c r="F411" s="1" t="e">
        <f t="shared" ca="1" si="23"/>
        <v>#VALUE!</v>
      </c>
    </row>
    <row r="412" spans="1:6" ht="22.5" customHeight="1" x14ac:dyDescent="0.3">
      <c r="A412" s="255" t="str">
        <f>Données_ATB!BD399</f>
        <v>PREDNIDERM</v>
      </c>
      <c r="B412" s="256" t="str">
        <f ca="1">INDEX(Données_ATB!BD:BP,MATCH(A412,Données_ATB!BD:BD,0),9)</f>
        <v>Néomycine</v>
      </c>
      <c r="C412" s="257" t="str">
        <f ca="1">INDEX(Données_ATB!BD:BP,MATCH(A412,Données_ATB!BD:BD,0),13)</f>
        <v>Aminoglycosides</v>
      </c>
      <c r="D412" t="e">
        <f t="shared" ca="1" si="21"/>
        <v>#VALUE!</v>
      </c>
      <c r="E412" s="1" t="e">
        <f t="shared" ca="1" si="22"/>
        <v>#VALUE!</v>
      </c>
      <c r="F412" s="1" t="e">
        <f t="shared" ca="1" si="23"/>
        <v>#VALUE!</v>
      </c>
    </row>
    <row r="413" spans="1:6" ht="22.5" customHeight="1" x14ac:dyDescent="0.3">
      <c r="A413" s="255" t="str">
        <f>Données_ATB!BD400</f>
        <v>PREMELANGE MEDICAMENTEUX CS FRANVET</v>
      </c>
      <c r="B413" s="256" t="str">
        <f ca="1">INDEX(Données_ATB!BD:BP,MATCH(A413,Données_ATB!BD:BD,0),9)</f>
        <v>Sulfadiméthoxine + Colistine</v>
      </c>
      <c r="C413" s="257" t="str">
        <f ca="1">INDEX(Données_ATB!BD:BP,MATCH(A413,Données_ATB!BD:BD,0),13)</f>
        <v>Sulfamides + Polypeptides</v>
      </c>
      <c r="D413" t="str">
        <f t="shared" ca="1" si="21"/>
        <v>x</v>
      </c>
      <c r="E413" s="1" t="e">
        <f t="shared" ca="1" si="22"/>
        <v>#VALUE!</v>
      </c>
      <c r="F413" s="1" t="e">
        <f t="shared" ca="1" si="23"/>
        <v>#VALUE!</v>
      </c>
    </row>
    <row r="414" spans="1:6" ht="22.5" customHeight="1" x14ac:dyDescent="0.3">
      <c r="A414" s="255" t="str">
        <f>Données_ATB!BD401</f>
        <v>PREMELANGE MEDICAMENTEUX Z 27</v>
      </c>
      <c r="B414" s="256" t="str">
        <f ca="1">INDEX(Données_ATB!BD:BP,MATCH(A414,Données_ATB!BD:BD,0),9)</f>
        <v>Sulfadimidine + Oxytétracycline</v>
      </c>
      <c r="C414" s="257" t="str">
        <f ca="1">INDEX(Données_ATB!BD:BP,MATCH(A414,Données_ATB!BD:BD,0),13)</f>
        <v>Sulfamides + Tetracyclines</v>
      </c>
      <c r="D414" t="e">
        <f t="shared" ca="1" si="21"/>
        <v>#VALUE!</v>
      </c>
      <c r="E414" s="1" t="e">
        <f t="shared" ca="1" si="22"/>
        <v>#VALUE!</v>
      </c>
      <c r="F414" s="1" t="e">
        <f t="shared" ca="1" si="23"/>
        <v>#VALUE!</v>
      </c>
    </row>
    <row r="415" spans="1:6" ht="22.5" customHeight="1" x14ac:dyDescent="0.3">
      <c r="A415" s="255" t="str">
        <f>Données_ATB!BD402</f>
        <v>PREMELANGE MEDICAMENTEUX Z 29</v>
      </c>
      <c r="B415" s="256" t="str">
        <f ca="1">INDEX(Données_ATB!BD:BP,MATCH(A415,Données_ATB!BD:BD,0),9)</f>
        <v>Sulfadiméthoxine + Oxytétracycline</v>
      </c>
      <c r="C415" s="257" t="str">
        <f ca="1">INDEX(Données_ATB!BD:BP,MATCH(A415,Données_ATB!BD:BD,0),13)</f>
        <v>Sulfamides + Tetracyclines</v>
      </c>
      <c r="D415" t="e">
        <f t="shared" ca="1" si="21"/>
        <v>#VALUE!</v>
      </c>
      <c r="E415" s="1" t="e">
        <f t="shared" ca="1" si="22"/>
        <v>#VALUE!</v>
      </c>
      <c r="F415" s="1" t="e">
        <f t="shared" ca="1" si="23"/>
        <v>#VALUE!</v>
      </c>
    </row>
    <row r="416" spans="1:6" ht="22.5" customHeight="1" x14ac:dyDescent="0.3">
      <c r="A416" s="255" t="str">
        <f>Données_ATB!BD403</f>
        <v>PREMELANGE MEDICAMENTEUX Z 30</v>
      </c>
      <c r="B416" s="256" t="str">
        <f ca="1">INDEX(Données_ATB!BD:BP,MATCH(A416,Données_ATB!BD:BD,0),9)</f>
        <v>Sulfadiazine + Triméthoprime</v>
      </c>
      <c r="C416" s="257" t="str">
        <f ca="1">INDEX(Données_ATB!BD:BP,MATCH(A416,Données_ATB!BD:BD,0),13)</f>
        <v>Sulfamides + Trimethoprime</v>
      </c>
      <c r="D416" t="e">
        <f t="shared" ca="1" si="21"/>
        <v>#VALUE!</v>
      </c>
      <c r="E416" s="1" t="e">
        <f t="shared" ca="1" si="22"/>
        <v>#VALUE!</v>
      </c>
      <c r="F416" s="1" t="e">
        <f t="shared" ca="1" si="23"/>
        <v>#VALUE!</v>
      </c>
    </row>
    <row r="417" spans="1:6" ht="22.5" customHeight="1" x14ac:dyDescent="0.3">
      <c r="A417" s="255" t="str">
        <f>Données_ATB!BD404</f>
        <v>PRIMOX</v>
      </c>
      <c r="B417" s="256" t="str">
        <f ca="1">INDEX(Données_ATB!BD:BP,MATCH(A417,Données_ATB!BD:BD,0),9)</f>
        <v>Oxytétracycline</v>
      </c>
      <c r="C417" s="257" t="str">
        <f ca="1">INDEX(Données_ATB!BD:BP,MATCH(A417,Données_ATB!BD:BD,0),13)</f>
        <v>Tetracyclines</v>
      </c>
      <c r="D417" t="e">
        <f t="shared" ca="1" si="21"/>
        <v>#VALUE!</v>
      </c>
      <c r="E417" s="1" t="e">
        <f t="shared" ca="1" si="22"/>
        <v>#VALUE!</v>
      </c>
      <c r="F417" s="1" t="e">
        <f t="shared" ca="1" si="23"/>
        <v>#VALUE!</v>
      </c>
    </row>
    <row r="418" spans="1:6" ht="22.5" customHeight="1" x14ac:dyDescent="0.3">
      <c r="A418" s="255" t="str">
        <f>Données_ATB!BD405</f>
        <v>PROCACTIVE SUSPENSION INJECTABLE POUR BOVINS ET PORCINS</v>
      </c>
      <c r="B418" s="256" t="str">
        <f ca="1">INDEX(Données_ATB!BD:BP,MATCH(A418,Données_ATB!BD:BD,0),9)</f>
        <v>Benzylpénicilline</v>
      </c>
      <c r="C418" s="257" t="str">
        <f ca="1">INDEX(Données_ATB!BD:BP,MATCH(A418,Données_ATB!BD:BD,0),13)</f>
        <v>Penicillines</v>
      </c>
      <c r="D418" t="e">
        <f t="shared" ca="1" si="21"/>
        <v>#VALUE!</v>
      </c>
      <c r="E418" s="1" t="e">
        <f t="shared" ca="1" si="22"/>
        <v>#VALUE!</v>
      </c>
      <c r="F418" s="1" t="e">
        <f t="shared" ca="1" si="23"/>
        <v>#VALUE!</v>
      </c>
    </row>
    <row r="419" spans="1:6" ht="22.5" customHeight="1" x14ac:dyDescent="0.3">
      <c r="A419" s="255" t="str">
        <f>Données_ATB!BD406</f>
        <v>PS OXYTETRACYCLINE AQUACULTURE</v>
      </c>
      <c r="B419" s="256" t="str">
        <f ca="1">INDEX(Données_ATB!BD:BP,MATCH(A419,Données_ATB!BD:BD,0),9)</f>
        <v>Oxytétracycline</v>
      </c>
      <c r="C419" s="257" t="str">
        <f ca="1">INDEX(Données_ATB!BD:BP,MATCH(A419,Données_ATB!BD:BD,0),13)</f>
        <v>Tetracyclines</v>
      </c>
      <c r="D419" t="e">
        <f t="shared" ca="1" si="21"/>
        <v>#VALUE!</v>
      </c>
      <c r="E419" s="1" t="e">
        <f t="shared" ca="1" si="22"/>
        <v>#VALUE!</v>
      </c>
      <c r="F419" s="1" t="e">
        <f t="shared" ca="1" si="23"/>
        <v>#VALUE!</v>
      </c>
    </row>
    <row r="420" spans="1:6" ht="22.5" customHeight="1" x14ac:dyDescent="0.3">
      <c r="A420" s="255" t="str">
        <f>Données_ATB!BD407</f>
        <v>PULMODOX 500 MG/G GRANULES POUR SOLUTION BUVABLE POUR PORCS, POULETS ET DINDES</v>
      </c>
      <c r="B420" s="256" t="str">
        <f ca="1">INDEX(Données_ATB!BD:BP,MATCH(A420,Données_ATB!BD:BD,0),9)</f>
        <v>Doxycycline</v>
      </c>
      <c r="C420" s="257" t="str">
        <f ca="1">INDEX(Données_ATB!BD:BP,MATCH(A420,Données_ATB!BD:BD,0),13)</f>
        <v>Tetracyclines</v>
      </c>
      <c r="D420" t="e">
        <f t="shared" ca="1" si="21"/>
        <v>#VALUE!</v>
      </c>
      <c r="E420" s="1" t="e">
        <f t="shared" ca="1" si="22"/>
        <v>#VALUE!</v>
      </c>
      <c r="F420" s="1" t="e">
        <f t="shared" ca="1" si="23"/>
        <v>#VALUE!</v>
      </c>
    </row>
    <row r="421" spans="1:6" ht="22.5" customHeight="1" x14ac:dyDescent="0.3">
      <c r="A421" s="255" t="str">
        <f>Données_ATB!BD408</f>
        <v>PULMODOX DOXYCYCLINE 50 PORC</v>
      </c>
      <c r="B421" s="256" t="str">
        <f ca="1">INDEX(Données_ATB!BD:BP,MATCH(A421,Données_ATB!BD:BD,0),9)</f>
        <v>Doxycycline</v>
      </c>
      <c r="C421" s="257" t="str">
        <f ca="1">INDEX(Données_ATB!BD:BP,MATCH(A421,Données_ATB!BD:BD,0),13)</f>
        <v>Tetracyclines</v>
      </c>
      <c r="D421" t="e">
        <f t="shared" ca="1" si="21"/>
        <v>#VALUE!</v>
      </c>
      <c r="E421" s="1" t="e">
        <f t="shared" ca="1" si="22"/>
        <v>#VALUE!</v>
      </c>
      <c r="F421" s="1" t="e">
        <f t="shared" ca="1" si="23"/>
        <v>#VALUE!</v>
      </c>
    </row>
    <row r="422" spans="1:6" ht="22.5" customHeight="1" x14ac:dyDescent="0.3">
      <c r="A422" s="255" t="str">
        <f>Données_ATB!BD409</f>
        <v>PULMODOX P.O.S. 5 %</v>
      </c>
      <c r="B422" s="256" t="str">
        <f ca="1">INDEX(Données_ATB!BD:BP,MATCH(A422,Données_ATB!BD:BD,0),9)</f>
        <v>Doxycycline</v>
      </c>
      <c r="C422" s="257" t="str">
        <f ca="1">INDEX(Données_ATB!BD:BP,MATCH(A422,Données_ATB!BD:BD,0),13)</f>
        <v>Tetracyclines</v>
      </c>
      <c r="D422" t="e">
        <f t="shared" ca="1" si="21"/>
        <v>#VALUE!</v>
      </c>
      <c r="E422" s="1" t="e">
        <f t="shared" ca="1" si="22"/>
        <v>#VALUE!</v>
      </c>
      <c r="F422" s="1" t="e">
        <f t="shared" ca="1" si="23"/>
        <v>#VALUE!</v>
      </c>
    </row>
    <row r="423" spans="1:6" ht="22.5" customHeight="1" x14ac:dyDescent="0.3">
      <c r="A423" s="255" t="str">
        <f>Données_ATB!BD410</f>
        <v>PULMOTIL AC</v>
      </c>
      <c r="B423" s="256" t="str">
        <f ca="1">INDEX(Données_ATB!BD:BP,MATCH(A423,Données_ATB!BD:BD,0),9)</f>
        <v>Tilmicosine</v>
      </c>
      <c r="C423" s="257" t="str">
        <f ca="1">INDEX(Données_ATB!BD:BP,MATCH(A423,Données_ATB!BD:BD,0),13)</f>
        <v>Macrolides</v>
      </c>
      <c r="D423" t="e">
        <f t="shared" ca="1" si="21"/>
        <v>#VALUE!</v>
      </c>
      <c r="E423" s="1" t="e">
        <f t="shared" ca="1" si="22"/>
        <v>#VALUE!</v>
      </c>
      <c r="F423" s="1" t="e">
        <f t="shared" ca="1" si="23"/>
        <v>#VALUE!</v>
      </c>
    </row>
    <row r="424" spans="1:6" ht="22.5" customHeight="1" x14ac:dyDescent="0.3">
      <c r="A424" s="255" t="str">
        <f>Données_ATB!BD411</f>
        <v>PULMOTIL TILMICOSINE 40 PORC-LAPIN</v>
      </c>
      <c r="B424" s="256" t="str">
        <f ca="1">INDEX(Données_ATB!BD:BP,MATCH(A424,Données_ATB!BD:BD,0),9)</f>
        <v>Tilmicosine</v>
      </c>
      <c r="C424" s="257" t="str">
        <f ca="1">INDEX(Données_ATB!BD:BP,MATCH(A424,Données_ATB!BD:BD,0),13)</f>
        <v>Macrolides</v>
      </c>
      <c r="D424" t="e">
        <f t="shared" ca="1" si="21"/>
        <v>#VALUE!</v>
      </c>
      <c r="E424" s="1" t="e">
        <f t="shared" ca="1" si="22"/>
        <v>#VALUE!</v>
      </c>
      <c r="F424" s="1" t="e">
        <f t="shared" ca="1" si="23"/>
        <v>#VALUE!</v>
      </c>
    </row>
    <row r="425" spans="1:6" ht="22.5" customHeight="1" x14ac:dyDescent="0.3">
      <c r="A425" s="255" t="str">
        <f>Données_ATB!BD412</f>
        <v>PULMOVAL CHLORTETRACYCLINE 100 PORC ET AGNEAU-CHEVREAU SEVRES</v>
      </c>
      <c r="B425" s="256" t="str">
        <f ca="1">INDEX(Données_ATB!BD:BP,MATCH(A425,Données_ATB!BD:BD,0),9)</f>
        <v>Chlortétracycline</v>
      </c>
      <c r="C425" s="257" t="str">
        <f ca="1">INDEX(Données_ATB!BD:BP,MATCH(A425,Données_ATB!BD:BD,0),13)</f>
        <v>Tetracyclines</v>
      </c>
      <c r="D425" t="e">
        <f t="shared" ca="1" si="21"/>
        <v>#VALUE!</v>
      </c>
      <c r="E425" s="1" t="e">
        <f t="shared" ca="1" si="22"/>
        <v>#VALUE!</v>
      </c>
      <c r="F425" s="1" t="e">
        <f t="shared" ca="1" si="23"/>
        <v>#VALUE!</v>
      </c>
    </row>
    <row r="426" spans="1:6" ht="22.5" customHeight="1" x14ac:dyDescent="0.3">
      <c r="A426" s="255" t="str">
        <f>Données_ATB!BD413</f>
        <v>PULMOVAL CHLORTETRACYCLINE 40 LAPIN-VOLAILLE-PORC ET AGNEAU-CHEVREAU SEVRES</v>
      </c>
      <c r="B426" s="256" t="str">
        <f ca="1">INDEX(Données_ATB!BD:BP,MATCH(A426,Données_ATB!BD:BD,0),9)</f>
        <v>Chlortétracycline</v>
      </c>
      <c r="C426" s="257" t="str">
        <f ca="1">INDEX(Données_ATB!BD:BP,MATCH(A426,Données_ATB!BD:BD,0),13)</f>
        <v>Tetracyclines</v>
      </c>
      <c r="D426" t="e">
        <f t="shared" ca="1" si="21"/>
        <v>#VALUE!</v>
      </c>
      <c r="E426" s="1" t="e">
        <f t="shared" ca="1" si="22"/>
        <v>#VALUE!</v>
      </c>
      <c r="F426" s="1" t="e">
        <f t="shared" ca="1" si="23"/>
        <v>#VALUE!</v>
      </c>
    </row>
    <row r="427" spans="1:6" ht="22.5" customHeight="1" x14ac:dyDescent="0.3">
      <c r="A427" s="255" t="str">
        <f>Données_ATB!BD414</f>
        <v>PULMOVET 250 MG/ML SOLUTION POUR ADMINISTRATION DANS L'EAU DE BOISSON OU LE LAIT DE REMPLACEMENT POUR BOVINS, PORCINS, POULETS ET DINDES</v>
      </c>
      <c r="B427" s="256" t="str">
        <f ca="1">INDEX(Données_ATB!BD:BP,MATCH(A427,Données_ATB!BD:BD,0),9)</f>
        <v>Tilmicosine</v>
      </c>
      <c r="C427" s="257" t="str">
        <f ca="1">INDEX(Données_ATB!BD:BP,MATCH(A427,Données_ATB!BD:BD,0),13)</f>
        <v>Macrolides</v>
      </c>
      <c r="D427" t="e">
        <f t="shared" ca="1" si="21"/>
        <v>#VALUE!</v>
      </c>
      <c r="E427" s="1" t="e">
        <f t="shared" ca="1" si="22"/>
        <v>#VALUE!</v>
      </c>
      <c r="F427" s="1" t="e">
        <f t="shared" ca="1" si="23"/>
        <v>#VALUE!</v>
      </c>
    </row>
    <row r="428" spans="1:6" ht="22.5" customHeight="1" x14ac:dyDescent="0.3">
      <c r="A428" s="255" t="str">
        <f>Données_ATB!BD415</f>
        <v>QUINOEX 2,5 % SOLUTION BUVABLE POUR VEAUX</v>
      </c>
      <c r="B428" s="256" t="str">
        <f ca="1">INDEX(Données_ATB!BD:BP,MATCH(A428,Données_ATB!BD:BD,0),9)</f>
        <v>Enrofloxacine</v>
      </c>
      <c r="C428" s="257" t="str">
        <f ca="1">INDEX(Données_ATB!BD:BP,MATCH(A428,Données_ATB!BD:BD,0),13)</f>
        <v>Fluoroquinolones</v>
      </c>
      <c r="D428" t="e">
        <f t="shared" ca="1" si="21"/>
        <v>#VALUE!</v>
      </c>
      <c r="E428" s="1" t="e">
        <f t="shared" ca="1" si="22"/>
        <v>#VALUE!</v>
      </c>
      <c r="F428" s="1" t="e">
        <f t="shared" ca="1" si="23"/>
        <v>#VALUE!</v>
      </c>
    </row>
    <row r="429" spans="1:6" ht="22.5" customHeight="1" x14ac:dyDescent="0.3">
      <c r="A429" s="255" t="str">
        <f>Données_ATB!BD416</f>
        <v>QUINOFLOX 10% SOLUTION BUVABLE</v>
      </c>
      <c r="B429" s="256" t="str">
        <f ca="1">INDEX(Données_ATB!BD:BP,MATCH(A429,Données_ATB!BD:BD,0),9)</f>
        <v>Enrofloxacine</v>
      </c>
      <c r="C429" s="257" t="str">
        <f ca="1">INDEX(Données_ATB!BD:BP,MATCH(A429,Données_ATB!BD:BD,0),13)</f>
        <v>Fluoroquinolones</v>
      </c>
      <c r="D429" t="e">
        <f t="shared" ca="1" si="21"/>
        <v>#VALUE!</v>
      </c>
      <c r="E429" s="1" t="e">
        <f t="shared" ca="1" si="22"/>
        <v>#VALUE!</v>
      </c>
      <c r="F429" s="1" t="e">
        <f t="shared" ca="1" si="23"/>
        <v>#VALUE!</v>
      </c>
    </row>
    <row r="430" spans="1:6" ht="22.5" customHeight="1" x14ac:dyDescent="0.3">
      <c r="A430" s="255" t="str">
        <f>Données_ATB!BD417</f>
        <v>QUINOTRYL 100 MG/ML SOLUTION INJECTABLE POUR BOVINS ET PORCINS</v>
      </c>
      <c r="B430" s="256" t="str">
        <f ca="1">INDEX(Données_ATB!BD:BP,MATCH(A430,Données_ATB!BD:BD,0),9)</f>
        <v>Enrofloxacine</v>
      </c>
      <c r="C430" s="257" t="str">
        <f ca="1">INDEX(Données_ATB!BD:BP,MATCH(A430,Données_ATB!BD:BD,0),13)</f>
        <v>Fluoroquinolones</v>
      </c>
      <c r="D430" t="e">
        <f t="shared" ca="1" si="21"/>
        <v>#VALUE!</v>
      </c>
      <c r="E430" s="1" t="e">
        <f t="shared" ca="1" si="22"/>
        <v>#VALUE!</v>
      </c>
      <c r="F430" s="1" t="e">
        <f t="shared" ca="1" si="23"/>
        <v>#VALUE!</v>
      </c>
    </row>
    <row r="431" spans="1:6" ht="22.5" customHeight="1" x14ac:dyDescent="0.3">
      <c r="A431" s="255" t="str">
        <f>Données_ATB!BD418</f>
        <v>QUINOTRYL 50 MG/ML SOLUTION INJECTABLE POUR BOVINS ET PORCINS</v>
      </c>
      <c r="B431" s="256" t="str">
        <f ca="1">INDEX(Données_ATB!BD:BP,MATCH(A431,Données_ATB!BD:BD,0),9)</f>
        <v>Enrofloxacine</v>
      </c>
      <c r="C431" s="257" t="str">
        <f ca="1">INDEX(Données_ATB!BD:BP,MATCH(A431,Données_ATB!BD:BD,0),13)</f>
        <v>Fluoroquinolones</v>
      </c>
      <c r="D431" t="e">
        <f t="shared" ca="1" si="21"/>
        <v>#VALUE!</v>
      </c>
      <c r="E431" s="1" t="e">
        <f t="shared" ca="1" si="22"/>
        <v>#VALUE!</v>
      </c>
      <c r="F431" s="1" t="e">
        <f t="shared" ca="1" si="23"/>
        <v>#VALUE!</v>
      </c>
    </row>
    <row r="432" spans="1:6" ht="22.5" customHeight="1" x14ac:dyDescent="0.3">
      <c r="A432" s="255" t="str">
        <f>Données_ATB!BD419</f>
        <v>READYCEF 50 MG/ML SUSPENSION INJECTABLE POUR PORCINS ET BOVINS</v>
      </c>
      <c r="B432" s="256" t="str">
        <f ca="1">INDEX(Données_ATB!BD:BP,MATCH(A432,Données_ATB!BD:BD,0),9)</f>
        <v>Ceftiofur</v>
      </c>
      <c r="C432" s="257" t="str">
        <f ca="1">INDEX(Données_ATB!BD:BP,MATCH(A432,Données_ATB!BD:BD,0),13)</f>
        <v>Cephalosporines 3&amp;4G</v>
      </c>
      <c r="D432" t="e">
        <f t="shared" ca="1" si="21"/>
        <v>#VALUE!</v>
      </c>
      <c r="E432" s="1" t="str">
        <f t="shared" ca="1" si="22"/>
        <v>x</v>
      </c>
      <c r="F432" s="1" t="e">
        <f t="shared" ca="1" si="23"/>
        <v>#VALUE!</v>
      </c>
    </row>
    <row r="433" spans="1:6" ht="22.5" customHeight="1" x14ac:dyDescent="0.3">
      <c r="A433" s="255" t="str">
        <f>Données_ATB!BD420</f>
        <v>RESFLOR SOLUTION INJECTABLE</v>
      </c>
      <c r="B433" s="256" t="str">
        <f ca="1">INDEX(Données_ATB!BD:BP,MATCH(A433,Données_ATB!BD:BD,0),9)</f>
        <v>Florfénicol</v>
      </c>
      <c r="C433" s="257" t="str">
        <f ca="1">INDEX(Données_ATB!BD:BP,MATCH(A433,Données_ATB!BD:BD,0),13)</f>
        <v>Phenicoles</v>
      </c>
      <c r="D433" t="e">
        <f t="shared" ca="1" si="21"/>
        <v>#VALUE!</v>
      </c>
      <c r="E433" s="1" t="e">
        <f t="shared" ca="1" si="22"/>
        <v>#VALUE!</v>
      </c>
      <c r="F433" s="1" t="e">
        <f t="shared" ca="1" si="23"/>
        <v>#VALUE!</v>
      </c>
    </row>
    <row r="434" spans="1:6" ht="22.5" customHeight="1" x14ac:dyDescent="0.3">
      <c r="A434" s="255" t="str">
        <f>Données_ATB!BD421</f>
        <v>RESPYTRIL 100 MG/ML SOLUTION INJECTABLE POUR BOVINS</v>
      </c>
      <c r="B434" s="256" t="str">
        <f ca="1">INDEX(Données_ATB!BD:BP,MATCH(A434,Données_ATB!BD:BD,0),9)</f>
        <v>Enrofloxacine</v>
      </c>
      <c r="C434" s="257" t="str">
        <f ca="1">INDEX(Données_ATB!BD:BP,MATCH(A434,Données_ATB!BD:BD,0),13)</f>
        <v>Fluoroquinolones</v>
      </c>
      <c r="D434" t="e">
        <f t="shared" ca="1" si="21"/>
        <v>#VALUE!</v>
      </c>
      <c r="E434" s="1" t="e">
        <f t="shared" ca="1" si="22"/>
        <v>#VALUE!</v>
      </c>
      <c r="F434" s="1" t="e">
        <f t="shared" ca="1" si="23"/>
        <v>#VALUE!</v>
      </c>
    </row>
    <row r="435" spans="1:6" ht="22.5" customHeight="1" x14ac:dyDescent="0.3">
      <c r="A435" s="255" t="str">
        <f>Données_ATB!BD422</f>
        <v>REVOZYN RTU 308,8 MG/ML SUSPENSION INJECTABLE POUR BOVINS</v>
      </c>
      <c r="B435" s="256" t="str">
        <f ca="1">INDEX(Données_ATB!BD:BP,MATCH(A435,Données_ATB!BD:BD,0),9)</f>
        <v>Pénéthamate (ou pénéthacilline)</v>
      </c>
      <c r="C435" s="257" t="str">
        <f ca="1">INDEX(Données_ATB!BD:BP,MATCH(A435,Données_ATB!BD:BD,0),13)</f>
        <v>Penicillines</v>
      </c>
      <c r="D435" t="e">
        <f t="shared" ca="1" si="21"/>
        <v>#VALUE!</v>
      </c>
      <c r="E435" s="1" t="e">
        <f t="shared" ca="1" si="22"/>
        <v>#VALUE!</v>
      </c>
      <c r="F435" s="1" t="e">
        <f t="shared" ca="1" si="23"/>
        <v>#VALUE!</v>
      </c>
    </row>
    <row r="436" spans="1:6" ht="22.5" customHeight="1" x14ac:dyDescent="0.3">
      <c r="A436" s="255" t="str">
        <f>Données_ATB!BD423</f>
        <v>RHEMOX 435,6 MG/G POUDRE POUR ADMINISTRATION DANS L'EAU DE BOISSON POUR PORCINS, POULES, CANARDS, ET DINDES</v>
      </c>
      <c r="B436" s="256" t="str">
        <f ca="1">INDEX(Données_ATB!BD:BP,MATCH(A436,Données_ATB!BD:BD,0),9)</f>
        <v>Amoxicilline</v>
      </c>
      <c r="C436" s="257" t="str">
        <f ca="1">INDEX(Données_ATB!BD:BP,MATCH(A436,Données_ATB!BD:BD,0),13)</f>
        <v>Penicillines</v>
      </c>
      <c r="D436" t="e">
        <f t="shared" ca="1" si="21"/>
        <v>#VALUE!</v>
      </c>
      <c r="E436" s="1" t="e">
        <f t="shared" ca="1" si="22"/>
        <v>#VALUE!</v>
      </c>
      <c r="F436" s="1" t="e">
        <f t="shared" ca="1" si="23"/>
        <v>#VALUE!</v>
      </c>
    </row>
    <row r="437" spans="1:6" ht="22.5" customHeight="1" x14ac:dyDescent="0.3">
      <c r="A437" s="255" t="str">
        <f>Données_ATB!BD424</f>
        <v>RILEXINE H.L.</v>
      </c>
      <c r="B437" s="256" t="str">
        <f ca="1">INDEX(Données_ATB!BD:BP,MATCH(A437,Données_ATB!BD:BD,0),9)</f>
        <v>Céfalexine</v>
      </c>
      <c r="C437" s="257" t="str">
        <f ca="1">INDEX(Données_ATB!BD:BP,MATCH(A437,Données_ATB!BD:BD,0),13)</f>
        <v>Cephalosporines 1&amp;2G</v>
      </c>
      <c r="D437" t="e">
        <f t="shared" ca="1" si="21"/>
        <v>#VALUE!</v>
      </c>
      <c r="E437" s="1" t="e">
        <f t="shared" ca="1" si="22"/>
        <v>#VALUE!</v>
      </c>
      <c r="F437" s="1" t="e">
        <f t="shared" ca="1" si="23"/>
        <v>#VALUE!</v>
      </c>
    </row>
    <row r="438" spans="1:6" ht="22.5" customHeight="1" x14ac:dyDescent="0.3">
      <c r="A438" s="255" t="str">
        <f>Données_ATB!BD425</f>
        <v>RILEXINE TRAITEMENT</v>
      </c>
      <c r="B438" s="256" t="str">
        <f ca="1">INDEX(Données_ATB!BD:BP,MATCH(A438,Données_ATB!BD:BD,0),9)</f>
        <v>Céfalexine</v>
      </c>
      <c r="C438" s="257" t="str">
        <f ca="1">INDEX(Données_ATB!BD:BP,MATCH(A438,Données_ATB!BD:BD,0),13)</f>
        <v>Cephalosporines 1&amp;2G</v>
      </c>
      <c r="D438" t="e">
        <f t="shared" ca="1" si="21"/>
        <v>#VALUE!</v>
      </c>
      <c r="E438" s="1" t="e">
        <f t="shared" ca="1" si="22"/>
        <v>#VALUE!</v>
      </c>
      <c r="F438" s="1" t="e">
        <f t="shared" ca="1" si="23"/>
        <v>#VALUE!</v>
      </c>
    </row>
    <row r="439" spans="1:6" ht="22.5" customHeight="1" x14ac:dyDescent="0.3">
      <c r="A439" s="255" t="str">
        <f>Données_ATB!BD426</f>
        <v>RONAXAN 500 MG/G</v>
      </c>
      <c r="B439" s="256" t="str">
        <f ca="1">INDEX(Données_ATB!BD:BP,MATCH(A439,Données_ATB!BD:BD,0),9)</f>
        <v>Doxycycline</v>
      </c>
      <c r="C439" s="257" t="str">
        <f ca="1">INDEX(Données_ATB!BD:BP,MATCH(A439,Données_ATB!BD:BD,0),13)</f>
        <v>Tetracyclines</v>
      </c>
      <c r="D439" t="e">
        <f t="shared" ca="1" si="21"/>
        <v>#VALUE!</v>
      </c>
      <c r="E439" s="1" t="e">
        <f t="shared" ca="1" si="22"/>
        <v>#VALUE!</v>
      </c>
      <c r="F439" s="1" t="e">
        <f t="shared" ca="1" si="23"/>
        <v>#VALUE!</v>
      </c>
    </row>
    <row r="440" spans="1:6" ht="22.5" customHeight="1" x14ac:dyDescent="0.3">
      <c r="A440" s="255" t="str">
        <f>Données_ATB!BD427</f>
        <v>RONAXAN CONCENTRE 20 %</v>
      </c>
      <c r="B440" s="256" t="str">
        <f ca="1">INDEX(Données_ATB!BD:BP,MATCH(A440,Données_ATB!BD:BD,0),9)</f>
        <v>Doxycycline</v>
      </c>
      <c r="C440" s="257" t="str">
        <f ca="1">INDEX(Données_ATB!BD:BP,MATCH(A440,Données_ATB!BD:BD,0),13)</f>
        <v>Tetracyclines</v>
      </c>
      <c r="D440" t="e">
        <f t="shared" ca="1" si="21"/>
        <v>#VALUE!</v>
      </c>
      <c r="E440" s="1" t="e">
        <f t="shared" ca="1" si="22"/>
        <v>#VALUE!</v>
      </c>
      <c r="F440" s="1" t="e">
        <f t="shared" ca="1" si="23"/>
        <v>#VALUE!</v>
      </c>
    </row>
    <row r="441" spans="1:6" ht="22.5" customHeight="1" x14ac:dyDescent="0.3">
      <c r="A441" s="255" t="str">
        <f>Données_ATB!BD428</f>
        <v>RONAXAN DOXYCYCLINE 20 POULET</v>
      </c>
      <c r="B441" s="256" t="str">
        <f ca="1">INDEX(Données_ATB!BD:BP,MATCH(A441,Données_ATB!BD:BD,0),9)</f>
        <v>Doxycycline</v>
      </c>
      <c r="C441" s="257" t="str">
        <f ca="1">INDEX(Données_ATB!BD:BP,MATCH(A441,Données_ATB!BD:BD,0),13)</f>
        <v>Tetracyclines</v>
      </c>
      <c r="D441" t="e">
        <f t="shared" ca="1" si="21"/>
        <v>#VALUE!</v>
      </c>
      <c r="E441" s="1" t="e">
        <f t="shared" ca="1" si="22"/>
        <v>#VALUE!</v>
      </c>
      <c r="F441" s="1" t="e">
        <f t="shared" ca="1" si="23"/>
        <v>#VALUE!</v>
      </c>
    </row>
    <row r="442" spans="1:6" ht="22.5" customHeight="1" x14ac:dyDescent="0.3">
      <c r="A442" s="255" t="str">
        <f>Données_ATB!BD429</f>
        <v>RONAXAN P.S. 5 %</v>
      </c>
      <c r="B442" s="256" t="str">
        <f ca="1">INDEX(Données_ATB!BD:BP,MATCH(A442,Données_ATB!BD:BD,0),9)</f>
        <v>Doxycycline</v>
      </c>
      <c r="C442" s="257" t="str">
        <f ca="1">INDEX(Données_ATB!BD:BP,MATCH(A442,Données_ATB!BD:BD,0),13)</f>
        <v>Tetracyclines</v>
      </c>
      <c r="D442" t="e">
        <f t="shared" ca="1" si="21"/>
        <v>#VALUE!</v>
      </c>
      <c r="E442" s="1" t="e">
        <f t="shared" ca="1" si="22"/>
        <v>#VALUE!</v>
      </c>
      <c r="F442" s="1" t="e">
        <f t="shared" ca="1" si="23"/>
        <v>#VALUE!</v>
      </c>
    </row>
    <row r="443" spans="1:6" ht="22.5" customHeight="1" x14ac:dyDescent="0.3">
      <c r="A443" s="255" t="str">
        <f>Données_ATB!BD430</f>
        <v>SANTAMIX OTC SDM 60</v>
      </c>
      <c r="B443" s="256" t="str">
        <f ca="1">INDEX(Données_ATB!BD:BP,MATCH(A443,Données_ATB!BD:BD,0),9)</f>
        <v>Oxytétracycline + Sulfadiméthoxine</v>
      </c>
      <c r="C443" s="257" t="str">
        <f ca="1">INDEX(Données_ATB!BD:BP,MATCH(A443,Données_ATB!BD:BD,0),13)</f>
        <v>Tetracyclines + Sulfamides</v>
      </c>
      <c r="D443" t="e">
        <f t="shared" ca="1" si="21"/>
        <v>#VALUE!</v>
      </c>
      <c r="E443" s="1" t="e">
        <f t="shared" ca="1" si="22"/>
        <v>#VALUE!</v>
      </c>
      <c r="F443" s="1" t="e">
        <f t="shared" ca="1" si="23"/>
        <v>#VALUE!</v>
      </c>
    </row>
    <row r="444" spans="1:6" ht="22.5" customHeight="1" x14ac:dyDescent="0.3">
      <c r="A444" s="255" t="str">
        <f>Données_ATB!BD431</f>
        <v>SANTAMIX TILMICOSINE 40 PORCINS - LAPINS</v>
      </c>
      <c r="B444" s="256" t="str">
        <f ca="1">INDEX(Données_ATB!BD:BP,MATCH(A444,Données_ATB!BD:BD,0),9)</f>
        <v>Tilmicosine</v>
      </c>
      <c r="C444" s="257" t="str">
        <f ca="1">INDEX(Données_ATB!BD:BP,MATCH(A444,Données_ATB!BD:BD,0),13)</f>
        <v>Macrolides</v>
      </c>
      <c r="D444" t="e">
        <f t="shared" ca="1" si="21"/>
        <v>#VALUE!</v>
      </c>
      <c r="E444" s="1" t="e">
        <f t="shared" ca="1" si="22"/>
        <v>#VALUE!</v>
      </c>
      <c r="F444" s="1" t="e">
        <f t="shared" ca="1" si="23"/>
        <v>#VALUE!</v>
      </c>
    </row>
    <row r="445" spans="1:6" ht="22.5" customHeight="1" x14ac:dyDescent="0.3">
      <c r="A445" s="255" t="str">
        <f>Données_ATB!BD432</f>
        <v>SANTAMIX TYLO 20</v>
      </c>
      <c r="B445" s="256" t="str">
        <f ca="1">INDEX(Données_ATB!BD:BP,MATCH(A445,Données_ATB!BD:BD,0),9)</f>
        <v>Tylosine</v>
      </c>
      <c r="C445" s="257" t="str">
        <f ca="1">INDEX(Données_ATB!BD:BP,MATCH(A445,Données_ATB!BD:BD,0),13)</f>
        <v>Macrolides</v>
      </c>
      <c r="D445" t="e">
        <f t="shared" ca="1" si="21"/>
        <v>#VALUE!</v>
      </c>
      <c r="E445" s="1" t="e">
        <f t="shared" ca="1" si="22"/>
        <v>#VALUE!</v>
      </c>
      <c r="F445" s="1" t="e">
        <f t="shared" ca="1" si="23"/>
        <v>#VALUE!</v>
      </c>
    </row>
    <row r="446" spans="1:6" ht="22.5" customHeight="1" x14ac:dyDescent="0.3">
      <c r="A446" s="255" t="str">
        <f>Données_ATB!BD433</f>
        <v>SELECTAN</v>
      </c>
      <c r="B446" s="256" t="str">
        <f ca="1">INDEX(Données_ATB!BD:BP,MATCH(A446,Données_ATB!BD:BD,0),9)</f>
        <v>Florfénicol</v>
      </c>
      <c r="C446" s="257" t="str">
        <f ca="1">INDEX(Données_ATB!BD:BP,MATCH(A446,Données_ATB!BD:BD,0),13)</f>
        <v>Phenicoles</v>
      </c>
      <c r="D446" t="e">
        <f t="shared" ca="1" si="21"/>
        <v>#VALUE!</v>
      </c>
      <c r="E446" s="1" t="e">
        <f t="shared" ca="1" si="22"/>
        <v>#VALUE!</v>
      </c>
      <c r="F446" s="1" t="e">
        <f t="shared" ca="1" si="23"/>
        <v>#VALUE!</v>
      </c>
    </row>
    <row r="447" spans="1:6" ht="22.5" customHeight="1" x14ac:dyDescent="0.3">
      <c r="A447" s="255" t="str">
        <f>Données_ATB!BD434</f>
        <v>SELECTAN ORAL 23 MG/ML SOLUTION A DILUER POUR ADMINISTRATION DANS L'EAU DE BOISSON</v>
      </c>
      <c r="B447" s="256" t="str">
        <f ca="1">INDEX(Données_ATB!BD:BP,MATCH(A447,Données_ATB!BD:BD,0),9)</f>
        <v>Florfénicol</v>
      </c>
      <c r="C447" s="257" t="str">
        <f ca="1">INDEX(Données_ATB!BD:BP,MATCH(A447,Données_ATB!BD:BD,0),13)</f>
        <v>Phenicoles</v>
      </c>
      <c r="D447" t="e">
        <f t="shared" ca="1" si="21"/>
        <v>#VALUE!</v>
      </c>
      <c r="E447" s="1" t="e">
        <f t="shared" ca="1" si="22"/>
        <v>#VALUE!</v>
      </c>
      <c r="F447" s="1" t="e">
        <f t="shared" ca="1" si="23"/>
        <v>#VALUE!</v>
      </c>
    </row>
    <row r="448" spans="1:6" ht="22.5" customHeight="1" x14ac:dyDescent="0.3">
      <c r="A448" s="255" t="str">
        <f>Données_ATB!BD435</f>
        <v>SEPTOTRYL INJECTABLE</v>
      </c>
      <c r="B448" s="256" t="str">
        <f ca="1">INDEX(Données_ATB!BD:BP,MATCH(A448,Données_ATB!BD:BD,0),9)</f>
        <v>Sulfaméthoxypyridazine + Triméthoprime</v>
      </c>
      <c r="C448" s="257" t="str">
        <f ca="1">INDEX(Données_ATB!BD:BP,MATCH(A448,Données_ATB!BD:BD,0),13)</f>
        <v>Sulfamides + Trimethoprime</v>
      </c>
      <c r="D448" t="e">
        <f t="shared" ca="1" si="21"/>
        <v>#VALUE!</v>
      </c>
      <c r="E448" s="1" t="e">
        <f t="shared" ca="1" si="22"/>
        <v>#VALUE!</v>
      </c>
      <c r="F448" s="1" t="e">
        <f t="shared" ca="1" si="23"/>
        <v>#VALUE!</v>
      </c>
    </row>
    <row r="449" spans="1:6" ht="22.5" customHeight="1" x14ac:dyDescent="0.3">
      <c r="A449" s="255" t="str">
        <f>Données_ATB!BD436</f>
        <v>SEPTOTRYL-COLISTINE</v>
      </c>
      <c r="B449" s="256" t="str">
        <f ca="1">INDEX(Données_ATB!BD:BP,MATCH(A449,Données_ATB!BD:BD,0),9)</f>
        <v>Sulfaméthoxypyridazine + Colistine</v>
      </c>
      <c r="C449" s="257" t="str">
        <f ca="1">INDEX(Données_ATB!BD:BP,MATCH(A449,Données_ATB!BD:BD,0),13)</f>
        <v>Sulfamides + Polypeptides</v>
      </c>
      <c r="D449" t="str">
        <f t="shared" ca="1" si="21"/>
        <v>x</v>
      </c>
      <c r="E449" s="1" t="e">
        <f t="shared" ca="1" si="22"/>
        <v>#VALUE!</v>
      </c>
      <c r="F449" s="1" t="e">
        <f t="shared" ca="1" si="23"/>
        <v>#VALUE!</v>
      </c>
    </row>
    <row r="450" spans="1:6" ht="22.5" customHeight="1" x14ac:dyDescent="0.3">
      <c r="A450" s="255" t="str">
        <f>Données_ATB!BD437</f>
        <v>SHOTAFLOR 300 MG/ML SOLUTION INJECTABLE POUR BOVINS</v>
      </c>
      <c r="B450" s="256" t="str">
        <f ca="1">INDEX(Données_ATB!BD:BP,MATCH(A450,Données_ATB!BD:BD,0),9)</f>
        <v>Florfénicol</v>
      </c>
      <c r="C450" s="257" t="str">
        <f ca="1">INDEX(Données_ATB!BD:BP,MATCH(A450,Données_ATB!BD:BD,0),13)</f>
        <v>Phenicoles</v>
      </c>
      <c r="D450" t="e">
        <f t="shared" ca="1" si="21"/>
        <v>#VALUE!</v>
      </c>
      <c r="E450" s="1" t="e">
        <f t="shared" ca="1" si="22"/>
        <v>#VALUE!</v>
      </c>
      <c r="F450" s="1" t="e">
        <f t="shared" ca="1" si="23"/>
        <v>#VALUE!</v>
      </c>
    </row>
    <row r="451" spans="1:6" ht="22.5" customHeight="1" x14ac:dyDescent="0.3">
      <c r="A451" s="255" t="str">
        <f>Données_ATB!BD438</f>
        <v>SHOTAFLOR 300 MG/ML SOLUTION INJECTABLE POUR PORCS</v>
      </c>
      <c r="B451" s="256" t="str">
        <f ca="1">INDEX(Données_ATB!BD:BP,MATCH(A451,Données_ATB!BD:BD,0),9)</f>
        <v>Florfénicol</v>
      </c>
      <c r="C451" s="257" t="str">
        <f ca="1">INDEX(Données_ATB!BD:BP,MATCH(A451,Données_ATB!BD:BD,0),13)</f>
        <v>Phenicoles</v>
      </c>
      <c r="D451" t="e">
        <f t="shared" ca="1" si="21"/>
        <v>#VALUE!</v>
      </c>
      <c r="E451" s="1" t="e">
        <f t="shared" ca="1" si="22"/>
        <v>#VALUE!</v>
      </c>
      <c r="F451" s="1" t="e">
        <f t="shared" ca="1" si="23"/>
        <v>#VALUE!</v>
      </c>
    </row>
    <row r="452" spans="1:6" ht="22.5" customHeight="1" x14ac:dyDescent="0.3">
      <c r="A452" s="255" t="str">
        <f>Données_ATB!BD439</f>
        <v>SHOTAPEN</v>
      </c>
      <c r="B452" s="256" t="str">
        <f ca="1">INDEX(Données_ATB!BD:BP,MATCH(A452,Données_ATB!BD:BD,0),9)</f>
        <v>Dihydrostreptomycine + Benzylpénicilline</v>
      </c>
      <c r="C452" s="257" t="str">
        <f ca="1">INDEX(Données_ATB!BD:BP,MATCH(A452,Données_ATB!BD:BD,0),13)</f>
        <v>Aminoglycosides + Penicillines</v>
      </c>
      <c r="D452" t="e">
        <f t="shared" ca="1" si="21"/>
        <v>#VALUE!</v>
      </c>
      <c r="E452" s="1" t="e">
        <f t="shared" ca="1" si="22"/>
        <v>#VALUE!</v>
      </c>
      <c r="F452" s="1" t="e">
        <f t="shared" ca="1" si="23"/>
        <v>#VALUE!</v>
      </c>
    </row>
    <row r="453" spans="1:6" ht="22.5" customHeight="1" x14ac:dyDescent="0.3">
      <c r="A453" s="255" t="str">
        <f>Données_ATB!BD440</f>
        <v>SODIBIO</v>
      </c>
      <c r="B453" s="256" t="str">
        <f ca="1">INDEX(Données_ATB!BD:BP,MATCH(A453,Données_ATB!BD:BD,0),9)</f>
        <v>Ampicilline + Colistine</v>
      </c>
      <c r="C453" s="257" t="str">
        <f ca="1">INDEX(Données_ATB!BD:BP,MATCH(A453,Données_ATB!BD:BD,0),13)</f>
        <v>Penicillines + Polypeptides</v>
      </c>
      <c r="D453" t="str">
        <f t="shared" ca="1" si="21"/>
        <v>x</v>
      </c>
      <c r="E453" s="1" t="e">
        <f t="shared" ca="1" si="22"/>
        <v>#VALUE!</v>
      </c>
      <c r="F453" s="1" t="e">
        <f t="shared" ca="1" si="23"/>
        <v>#VALUE!</v>
      </c>
    </row>
    <row r="454" spans="1:6" ht="22.5" customHeight="1" x14ac:dyDescent="0.3">
      <c r="A454" s="255" t="str">
        <f>Données_ATB!BD441</f>
        <v>SODICOLY INJECTABLE</v>
      </c>
      <c r="B454" s="256" t="str">
        <f ca="1">INDEX(Données_ATB!BD:BP,MATCH(A454,Données_ATB!BD:BD,0),9)</f>
        <v>Colistine</v>
      </c>
      <c r="C454" s="257" t="str">
        <f ca="1">INDEX(Données_ATB!BD:BP,MATCH(A454,Données_ATB!BD:BD,0),13)</f>
        <v>Polypeptides</v>
      </c>
      <c r="D454" t="str">
        <f t="shared" ca="1" si="21"/>
        <v>x</v>
      </c>
      <c r="E454" s="1" t="e">
        <f t="shared" ca="1" si="22"/>
        <v>#VALUE!</v>
      </c>
      <c r="F454" s="1" t="e">
        <f t="shared" ca="1" si="23"/>
        <v>#VALUE!</v>
      </c>
    </row>
    <row r="455" spans="1:6" ht="22.5" customHeight="1" x14ac:dyDescent="0.3">
      <c r="A455" s="255" t="str">
        <f>Données_ATB!BD442</f>
        <v>SOGECOLI 2 MILLIONS UI/ML SOLUTION BUVABLE</v>
      </c>
      <c r="B455" s="256" t="str">
        <f ca="1">INDEX(Données_ATB!BD:BP,MATCH(A455,Données_ATB!BD:BD,0),9)</f>
        <v>Colistine</v>
      </c>
      <c r="C455" s="257" t="str">
        <f ca="1">INDEX(Données_ATB!BD:BP,MATCH(A455,Données_ATB!BD:BD,0),13)</f>
        <v>Polypeptides</v>
      </c>
      <c r="D455" t="str">
        <f t="shared" ca="1" si="21"/>
        <v>x</v>
      </c>
      <c r="E455" s="1" t="e">
        <f t="shared" ca="1" si="22"/>
        <v>#VALUE!</v>
      </c>
      <c r="F455" s="1" t="e">
        <f t="shared" ca="1" si="23"/>
        <v>#VALUE!</v>
      </c>
    </row>
    <row r="456" spans="1:6" ht="22.5" customHeight="1" x14ac:dyDescent="0.3">
      <c r="A456" s="255" t="str">
        <f>Données_ATB!BD443</f>
        <v>SOGESTART</v>
      </c>
      <c r="B456" s="256" t="str">
        <f ca="1">INDEX(Données_ATB!BD:BP,MATCH(A456,Données_ATB!BD:BD,0),9)</f>
        <v>Tétracycline + Sulfadimidine</v>
      </c>
      <c r="C456" s="257" t="str">
        <f ca="1">INDEX(Données_ATB!BD:BP,MATCH(A456,Données_ATB!BD:BD,0),13)</f>
        <v>Tetracyclines + Sulfamides</v>
      </c>
      <c r="D456" t="e">
        <f t="shared" ca="1" si="21"/>
        <v>#VALUE!</v>
      </c>
      <c r="E456" s="1" t="e">
        <f t="shared" ca="1" si="22"/>
        <v>#VALUE!</v>
      </c>
      <c r="F456" s="1" t="e">
        <f t="shared" ca="1" si="23"/>
        <v>#VALUE!</v>
      </c>
    </row>
    <row r="457" spans="1:6" ht="22.5" customHeight="1" x14ac:dyDescent="0.3">
      <c r="A457" s="255" t="str">
        <f>Données_ATB!BD444</f>
        <v>SOGETYL 100 MUI POUDRE POUR SOLUTION BUVABLE POUR VEAUX PORCINS ET VOLAILLES</v>
      </c>
      <c r="B457" s="256" t="str">
        <f ca="1">INDEX(Données_ATB!BD:BP,MATCH(A457,Données_ATB!BD:BD,0),9)</f>
        <v>Tylosine</v>
      </c>
      <c r="C457" s="257" t="str">
        <f ca="1">INDEX(Données_ATB!BD:BP,MATCH(A457,Données_ATB!BD:BD,0),13)</f>
        <v>Macrolides</v>
      </c>
      <c r="D457" t="e">
        <f t="shared" ca="1" si="21"/>
        <v>#VALUE!</v>
      </c>
      <c r="E457" s="1" t="e">
        <f t="shared" ca="1" si="22"/>
        <v>#VALUE!</v>
      </c>
      <c r="F457" s="1" t="e">
        <f t="shared" ca="1" si="23"/>
        <v>#VALUE!</v>
      </c>
    </row>
    <row r="458" spans="1:6" ht="22.5" customHeight="1" x14ac:dyDescent="0.3">
      <c r="A458" s="255" t="str">
        <f>Données_ATB!BD445</f>
        <v>SOLAMOCTA 697 MG/G POUDRE POUR ADMINISTRATION DANS L'EAU DE BOISSON DES POULES CANARDS ET DINDES</v>
      </c>
      <c r="B458" s="256" t="str">
        <f ca="1">INDEX(Données_ATB!BD:BP,MATCH(A458,Données_ATB!BD:BD,0),9)</f>
        <v>Amoxicilline</v>
      </c>
      <c r="C458" s="257" t="str">
        <f ca="1">INDEX(Données_ATB!BD:BP,MATCH(A458,Données_ATB!BD:BD,0),13)</f>
        <v>Penicillines</v>
      </c>
      <c r="D458" t="e">
        <f t="shared" ca="1" si="21"/>
        <v>#VALUE!</v>
      </c>
      <c r="E458" s="1" t="e">
        <f t="shared" ca="1" si="22"/>
        <v>#VALUE!</v>
      </c>
      <c r="F458" s="1" t="e">
        <f t="shared" ca="1" si="23"/>
        <v>#VALUE!</v>
      </c>
    </row>
    <row r="459" spans="1:6" ht="22.5" customHeight="1" x14ac:dyDescent="0.3">
      <c r="A459" s="255" t="str">
        <f>Données_ATB!BD446</f>
        <v>SOLDOXIN 100 MG/ML SOLUTION BUVABLE POUR POULES POULETS ET PORCINS</v>
      </c>
      <c r="B459" s="256" t="str">
        <f ca="1">INDEX(Données_ATB!BD:BP,MATCH(A459,Données_ATB!BD:BD,0),9)</f>
        <v>Doxycycline</v>
      </c>
      <c r="C459" s="257" t="str">
        <f ca="1">INDEX(Données_ATB!BD:BP,MATCH(A459,Données_ATB!BD:BD,0),13)</f>
        <v>Tetracyclines</v>
      </c>
      <c r="D459" t="e">
        <f t="shared" ca="1" si="21"/>
        <v>#VALUE!</v>
      </c>
      <c r="E459" s="1" t="e">
        <f t="shared" ca="1" si="22"/>
        <v>#VALUE!</v>
      </c>
      <c r="F459" s="1" t="e">
        <f t="shared" ca="1" si="23"/>
        <v>#VALUE!</v>
      </c>
    </row>
    <row r="460" spans="1:6" ht="22.5" customHeight="1" x14ac:dyDescent="0.3">
      <c r="A460" s="255" t="str">
        <f>Données_ATB!BD447</f>
        <v>SOLUCOL</v>
      </c>
      <c r="B460" s="256" t="str">
        <f ca="1">INDEX(Données_ATB!BD:BP,MATCH(A460,Données_ATB!BD:BD,0),9)</f>
        <v>Colistine</v>
      </c>
      <c r="C460" s="257" t="str">
        <f ca="1">INDEX(Données_ATB!BD:BP,MATCH(A460,Données_ATB!BD:BD,0),13)</f>
        <v>Polypeptides</v>
      </c>
      <c r="D460" t="str">
        <f t="shared" ca="1" si="21"/>
        <v>x</v>
      </c>
      <c r="E460" s="1" t="e">
        <f t="shared" ca="1" si="22"/>
        <v>#VALUE!</v>
      </c>
      <c r="F460" s="1" t="e">
        <f t="shared" ca="1" si="23"/>
        <v>#VALUE!</v>
      </c>
    </row>
    <row r="461" spans="1:6" ht="22.5" customHeight="1" x14ac:dyDescent="0.3">
      <c r="A461" s="255" t="str">
        <f>Données_ATB!BD448</f>
        <v>SOLUDOX 433 MG/G POUDRE POUR ADMINISTRATION DANS L'EAU DE BOISSON POUR DINDES</v>
      </c>
      <c r="B461" s="256" t="str">
        <f ca="1">INDEX(Données_ATB!BD:BP,MATCH(A461,Données_ATB!BD:BD,0),9)</f>
        <v>Doxycycline</v>
      </c>
      <c r="C461" s="257" t="str">
        <f ca="1">INDEX(Données_ATB!BD:BP,MATCH(A461,Données_ATB!BD:BD,0),13)</f>
        <v>Tetracyclines</v>
      </c>
      <c r="D461" t="e">
        <f t="shared" ca="1" si="21"/>
        <v>#VALUE!</v>
      </c>
      <c r="E461" s="1" t="e">
        <f t="shared" ca="1" si="22"/>
        <v>#VALUE!</v>
      </c>
      <c r="F461" s="1" t="e">
        <f t="shared" ca="1" si="23"/>
        <v>#VALUE!</v>
      </c>
    </row>
    <row r="462" spans="1:6" ht="22.5" customHeight="1" x14ac:dyDescent="0.3">
      <c r="A462" s="255" t="str">
        <f>Données_ATB!BD449</f>
        <v>SOLUDOX 433 MG/G POUDRE POUR ADMINISTRATION DANS L'EAU DE BOISSON POUR PORCS ET POULETS</v>
      </c>
      <c r="B462" s="256" t="str">
        <f ca="1">INDEX(Données_ATB!BD:BP,MATCH(A462,Données_ATB!BD:BD,0),9)</f>
        <v>Doxycycline</v>
      </c>
      <c r="C462" s="257" t="str">
        <f ca="1">INDEX(Données_ATB!BD:BP,MATCH(A462,Données_ATB!BD:BD,0),13)</f>
        <v>Tetracyclines</v>
      </c>
      <c r="D462" t="e">
        <f t="shared" ca="1" si="21"/>
        <v>#VALUE!</v>
      </c>
      <c r="E462" s="1" t="e">
        <f t="shared" ca="1" si="22"/>
        <v>#VALUE!</v>
      </c>
      <c r="F462" s="1" t="e">
        <f t="shared" ca="1" si="23"/>
        <v>#VALUE!</v>
      </c>
    </row>
    <row r="463" spans="1:6" ht="22.5" customHeight="1" x14ac:dyDescent="0.3">
      <c r="A463" s="255" t="str">
        <f>Données_ATB!BD450</f>
        <v>SPECIORLAC</v>
      </c>
      <c r="B463" s="256" t="str">
        <f ca="1">INDEX(Données_ATB!BD:BP,MATCH(A463,Données_ATB!BD:BD,0),9)</f>
        <v>Spiramycine + Néomycine</v>
      </c>
      <c r="C463" s="257" t="str">
        <f ca="1">INDEX(Données_ATB!BD:BP,MATCH(A463,Données_ATB!BD:BD,0),13)</f>
        <v>Macrolides + Aminoglycosides</v>
      </c>
      <c r="D463" t="e">
        <f t="shared" ca="1" si="21"/>
        <v>#VALUE!</v>
      </c>
      <c r="E463" s="1" t="e">
        <f t="shared" ca="1" si="22"/>
        <v>#VALUE!</v>
      </c>
      <c r="F463" s="1" t="e">
        <f t="shared" ca="1" si="23"/>
        <v>#VALUE!</v>
      </c>
    </row>
    <row r="464" spans="1:6" ht="22.5" customHeight="1" x14ac:dyDescent="0.3">
      <c r="A464" s="255" t="str">
        <f>Données_ATB!BD451</f>
        <v>SPECTAM SOLUTION INJECTABLE</v>
      </c>
      <c r="B464" s="256" t="str">
        <f ca="1">INDEX(Données_ATB!BD:BP,MATCH(A464,Données_ATB!BD:BD,0),9)</f>
        <v>Spectinomycine</v>
      </c>
      <c r="C464" s="257" t="str">
        <f ca="1">INDEX(Données_ATB!BD:BP,MATCH(A464,Données_ATB!BD:BD,0),13)</f>
        <v>Aminoglycosides</v>
      </c>
      <c r="D464" t="e">
        <f t="shared" ca="1" si="21"/>
        <v>#VALUE!</v>
      </c>
      <c r="E464" s="1" t="e">
        <f t="shared" ca="1" si="22"/>
        <v>#VALUE!</v>
      </c>
      <c r="F464" s="1" t="e">
        <f t="shared" ca="1" si="23"/>
        <v>#VALUE!</v>
      </c>
    </row>
    <row r="465" spans="1:6" ht="22.5" customHeight="1" x14ac:dyDescent="0.3">
      <c r="A465" s="255" t="str">
        <f>Données_ATB!BD452</f>
        <v>SPECTRON 100 MG/ML SOLUTION POUR UTILISATION DANS L'EAU DE BOISSON POUR POULES ET DINDES</v>
      </c>
      <c r="B465" s="256" t="str">
        <f ca="1">INDEX(Données_ATB!BD:BP,MATCH(A465,Données_ATB!BD:BD,0),9)</f>
        <v>Enrofloxacine</v>
      </c>
      <c r="C465" s="257" t="str">
        <f ca="1">INDEX(Données_ATB!BD:BP,MATCH(A465,Données_ATB!BD:BD,0),13)</f>
        <v>Fluoroquinolones</v>
      </c>
      <c r="D465" t="e">
        <f t="shared" ca="1" si="21"/>
        <v>#VALUE!</v>
      </c>
      <c r="E465" s="1" t="e">
        <f t="shared" ca="1" si="22"/>
        <v>#VALUE!</v>
      </c>
      <c r="F465" s="1" t="e">
        <f t="shared" ca="1" si="23"/>
        <v>#VALUE!</v>
      </c>
    </row>
    <row r="466" spans="1:6" ht="22.5" customHeight="1" x14ac:dyDescent="0.3">
      <c r="A466" s="255" t="str">
        <f>Données_ATB!BD453</f>
        <v>SPIROVET</v>
      </c>
      <c r="B466" s="256" t="str">
        <f ca="1">INDEX(Données_ATB!BD:BP,MATCH(A466,Données_ATB!BD:BD,0),9)</f>
        <v>Spiramycine</v>
      </c>
      <c r="C466" s="257" t="str">
        <f ca="1">INDEX(Données_ATB!BD:BP,MATCH(A466,Données_ATB!BD:BD,0),13)</f>
        <v>Macrolides</v>
      </c>
      <c r="D466" t="e">
        <f t="shared" ca="1" si="21"/>
        <v>#VALUE!</v>
      </c>
      <c r="E466" s="1" t="e">
        <f t="shared" ca="1" si="22"/>
        <v>#VALUE!</v>
      </c>
      <c r="F466" s="1" t="e">
        <f t="shared" ca="1" si="23"/>
        <v>#VALUE!</v>
      </c>
    </row>
    <row r="467" spans="1:6" ht="22.5" customHeight="1" x14ac:dyDescent="0.3">
      <c r="A467" s="255" t="str">
        <f>Données_ATB!BD454</f>
        <v>STALIMOX 364.2 MG/G GRANULES POUR SOLUTION ORALE POUR PORCS</v>
      </c>
      <c r="B467" s="256" t="str">
        <f ca="1">INDEX(Données_ATB!BD:BP,MATCH(A467,Données_ATB!BD:BD,0),9)</f>
        <v>Tiamuline</v>
      </c>
      <c r="C467" s="257" t="str">
        <f ca="1">INDEX(Données_ATB!BD:BP,MATCH(A467,Données_ATB!BD:BD,0),13)</f>
        <v>Pleuromutilines</v>
      </c>
      <c r="D467" t="e">
        <f t="shared" ca="1" si="21"/>
        <v>#VALUE!</v>
      </c>
      <c r="E467" s="1" t="e">
        <f t="shared" ca="1" si="22"/>
        <v>#VALUE!</v>
      </c>
      <c r="F467" s="1" t="e">
        <f t="shared" ca="1" si="23"/>
        <v>#VALUE!</v>
      </c>
    </row>
    <row r="468" spans="1:6" ht="22.5" customHeight="1" x14ac:dyDescent="0.3">
      <c r="A468" s="255" t="str">
        <f>Données_ATB!BD455</f>
        <v>STOP M</v>
      </c>
      <c r="B468" s="256" t="str">
        <f ca="1">INDEX(Données_ATB!BD:BP,MATCH(A468,Données_ATB!BD:BD,0),9)</f>
        <v>Pénéthamate (ou pénéthacilline)</v>
      </c>
      <c r="C468" s="257" t="str">
        <f ca="1">INDEX(Données_ATB!BD:BP,MATCH(A468,Données_ATB!BD:BD,0),13)</f>
        <v>Penicillines</v>
      </c>
      <c r="D468" t="e">
        <f t="shared" ca="1" si="21"/>
        <v>#VALUE!</v>
      </c>
      <c r="E468" s="1" t="e">
        <f t="shared" ca="1" si="22"/>
        <v>#VALUE!</v>
      </c>
      <c r="F468" s="1" t="e">
        <f t="shared" ca="1" si="23"/>
        <v>#VALUE!</v>
      </c>
    </row>
    <row r="469" spans="1:6" ht="22.5" customHeight="1" x14ac:dyDescent="0.3">
      <c r="A469" s="255" t="str">
        <f>Données_ATB!BD456</f>
        <v>STRENZEN 500/125 MG/G POUDRE POUR EAU DE BOISSON POUR PORCS</v>
      </c>
      <c r="B469" s="256" t="str">
        <f ca="1">INDEX(Données_ATB!BD:BP,MATCH(A469,Données_ATB!BD:BD,0),9)</f>
        <v>Amoxicilline + Acide clavulanique</v>
      </c>
      <c r="C469" s="257" t="str">
        <f ca="1">INDEX(Données_ATB!BD:BP,MATCH(A469,Données_ATB!BD:BD,0),13)</f>
        <v>Penicillines + Acide clavulanique</v>
      </c>
      <c r="D469" t="e">
        <f t="shared" ca="1" si="21"/>
        <v>#VALUE!</v>
      </c>
      <c r="E469" s="1" t="e">
        <f t="shared" ca="1" si="22"/>
        <v>#VALUE!</v>
      </c>
      <c r="F469" s="1" t="e">
        <f t="shared" ca="1" si="23"/>
        <v>#VALUE!</v>
      </c>
    </row>
    <row r="470" spans="1:6" ht="22.5" customHeight="1" x14ac:dyDescent="0.3">
      <c r="A470" s="255" t="str">
        <f>Données_ATB!BD457</f>
        <v>SUANOVIL 20</v>
      </c>
      <c r="B470" s="256" t="str">
        <f ca="1">INDEX(Données_ATB!BD:BP,MATCH(A470,Données_ATB!BD:BD,0),9)</f>
        <v>Spiramycine</v>
      </c>
      <c r="C470" s="257" t="str">
        <f ca="1">INDEX(Données_ATB!BD:BP,MATCH(A470,Données_ATB!BD:BD,0),13)</f>
        <v>Macrolides</v>
      </c>
      <c r="D470" t="e">
        <f t="shared" ca="1" si="21"/>
        <v>#VALUE!</v>
      </c>
      <c r="E470" s="1" t="e">
        <f t="shared" ca="1" si="22"/>
        <v>#VALUE!</v>
      </c>
      <c r="F470" s="1" t="e">
        <f t="shared" ca="1" si="23"/>
        <v>#VALUE!</v>
      </c>
    </row>
    <row r="471" spans="1:6" ht="22.5" customHeight="1" x14ac:dyDescent="0.3">
      <c r="A471" s="255" t="str">
        <f>Données_ATB!BD458</f>
        <v>SUANOVIL 50</v>
      </c>
      <c r="B471" s="256" t="str">
        <f ca="1">INDEX(Données_ATB!BD:BP,MATCH(A471,Données_ATB!BD:BD,0),9)</f>
        <v>Spiramycine</v>
      </c>
      <c r="C471" s="257" t="str">
        <f ca="1">INDEX(Données_ATB!BD:BP,MATCH(A471,Données_ATB!BD:BD,0),13)</f>
        <v>Macrolides</v>
      </c>
      <c r="D471" t="e">
        <f t="shared" ref="D471:D534" ca="1" si="24">IF(SEARCH("Colistine",B471)&gt;0,"x","")</f>
        <v>#VALUE!</v>
      </c>
      <c r="E471" s="1" t="e">
        <f t="shared" ref="E471:E534" ca="1" si="25">IF(SEARCH("Cephalosporines 3&amp;4G",C471)&gt;0,"x","")</f>
        <v>#VALUE!</v>
      </c>
      <c r="F471" s="1" t="e">
        <f t="shared" ref="F471:F534" ca="1" si="26">IF(SEARCH("Cephalosporines 3&amp;4G",C471)&gt;0,"x","")&amp;IF(SEARCH("Fluoroquinolones",C471)&gt;0,"x","")</f>
        <v>#VALUE!</v>
      </c>
    </row>
    <row r="472" spans="1:6" ht="22.5" customHeight="1" x14ac:dyDescent="0.3">
      <c r="A472" s="255" t="str">
        <f>Données_ATB!BD459</f>
        <v>SULFADI 500</v>
      </c>
      <c r="B472" s="256" t="str">
        <f ca="1">INDEX(Données_ATB!BD:BP,MATCH(A472,Données_ATB!BD:BD,0),9)</f>
        <v>Sulfadimidine</v>
      </c>
      <c r="C472" s="257" t="str">
        <f ca="1">INDEX(Données_ATB!BD:BP,MATCH(A472,Données_ATB!BD:BD,0),13)</f>
        <v>Sulfamides</v>
      </c>
      <c r="D472" t="e">
        <f t="shared" ca="1" si="24"/>
        <v>#VALUE!</v>
      </c>
      <c r="E472" s="1" t="e">
        <f t="shared" ca="1" si="25"/>
        <v>#VALUE!</v>
      </c>
      <c r="F472" s="1" t="e">
        <f t="shared" ca="1" si="26"/>
        <v>#VALUE!</v>
      </c>
    </row>
    <row r="473" spans="1:6" ht="22.5" customHeight="1" x14ac:dyDescent="0.3">
      <c r="A473" s="255" t="str">
        <f>Données_ATB!BD460</f>
        <v>SULFADIMERAZINE CSI</v>
      </c>
      <c r="B473" s="256" t="str">
        <f ca="1">INDEX(Données_ATB!BD:BP,MATCH(A473,Données_ATB!BD:BD,0),9)</f>
        <v>Sulfadimidine</v>
      </c>
      <c r="C473" s="257" t="str">
        <f ca="1">INDEX(Données_ATB!BD:BP,MATCH(A473,Données_ATB!BD:BD,0),13)</f>
        <v>Sulfamides</v>
      </c>
      <c r="D473" t="e">
        <f t="shared" ca="1" si="24"/>
        <v>#VALUE!</v>
      </c>
      <c r="E473" s="1" t="e">
        <f t="shared" ca="1" si="25"/>
        <v>#VALUE!</v>
      </c>
      <c r="F473" s="1" t="e">
        <f t="shared" ca="1" si="26"/>
        <v>#VALUE!</v>
      </c>
    </row>
    <row r="474" spans="1:6" ht="22.5" customHeight="1" x14ac:dyDescent="0.3">
      <c r="A474" s="255" t="str">
        <f>Données_ATB!BD461</f>
        <v>SULFADIMERAZINE QALIAN</v>
      </c>
      <c r="B474" s="256" t="str">
        <f ca="1">INDEX(Données_ATB!BD:BP,MATCH(A474,Données_ATB!BD:BD,0),9)</f>
        <v>Sulfadimidine</v>
      </c>
      <c r="C474" s="257" t="str">
        <f ca="1">INDEX(Données_ATB!BD:BP,MATCH(A474,Données_ATB!BD:BD,0),13)</f>
        <v>Sulfamides</v>
      </c>
      <c r="D474" t="e">
        <f t="shared" ca="1" si="24"/>
        <v>#VALUE!</v>
      </c>
      <c r="E474" s="1" t="e">
        <f t="shared" ca="1" si="25"/>
        <v>#VALUE!</v>
      </c>
      <c r="F474" s="1" t="e">
        <f t="shared" ca="1" si="26"/>
        <v>#VALUE!</v>
      </c>
    </row>
    <row r="475" spans="1:6" ht="22.5" customHeight="1" x14ac:dyDescent="0.3">
      <c r="A475" s="255" t="str">
        <f>Données_ATB!BD462</f>
        <v>SULFADIMETHOXINE 100-CR LAPIN-VOLAILLE-PORC ET AGNEAU-CHEVREAU SEVRES FRANVET</v>
      </c>
      <c r="B475" s="256" t="str">
        <f ca="1">INDEX(Données_ATB!BD:BP,MATCH(A475,Données_ATB!BD:BD,0),9)</f>
        <v>Sulfadiméthoxine</v>
      </c>
      <c r="C475" s="257" t="str">
        <f ca="1">INDEX(Données_ATB!BD:BP,MATCH(A475,Données_ATB!BD:BD,0),13)</f>
        <v>Sulfamides</v>
      </c>
      <c r="D475" t="e">
        <f t="shared" ca="1" si="24"/>
        <v>#VALUE!</v>
      </c>
      <c r="E475" s="1" t="e">
        <f t="shared" ca="1" si="25"/>
        <v>#VALUE!</v>
      </c>
      <c r="F475" s="1" t="e">
        <f t="shared" ca="1" si="26"/>
        <v>#VALUE!</v>
      </c>
    </row>
    <row r="476" spans="1:6" ht="22.5" customHeight="1" x14ac:dyDescent="0.3">
      <c r="A476" s="255" t="str">
        <f>Données_ATB!BD463</f>
        <v>SULFADIMETHOXINE-TRIMETHOPRIME 62,5-12,5 PORC ET VEAU-AGNEAU-CHEVREAU SEVRES SANTAMIX</v>
      </c>
      <c r="B476" s="256" t="str">
        <f ca="1">INDEX(Données_ATB!BD:BP,MATCH(A476,Données_ATB!BD:BD,0),9)</f>
        <v>Sulfadiméthoxine + Triméthoprime</v>
      </c>
      <c r="C476" s="257" t="str">
        <f ca="1">INDEX(Données_ATB!BD:BP,MATCH(A476,Données_ATB!BD:BD,0),13)</f>
        <v>Sulfamides + Trimethoprime</v>
      </c>
      <c r="D476" t="e">
        <f t="shared" ca="1" si="24"/>
        <v>#VALUE!</v>
      </c>
      <c r="E476" s="1" t="e">
        <f t="shared" ca="1" si="25"/>
        <v>#VALUE!</v>
      </c>
      <c r="F476" s="1" t="e">
        <f t="shared" ca="1" si="26"/>
        <v>#VALUE!</v>
      </c>
    </row>
    <row r="477" spans="1:6" ht="22.5" customHeight="1" x14ac:dyDescent="0.3">
      <c r="A477" s="255" t="str">
        <f>Données_ATB!BD464</f>
        <v>SULFALON</v>
      </c>
      <c r="B477" s="256" t="str">
        <f ca="1">INDEX(Données_ATB!BD:BP,MATCH(A477,Données_ATB!BD:BD,0),9)</f>
        <v>Sulfadiméthoxine</v>
      </c>
      <c r="C477" s="257" t="str">
        <f ca="1">INDEX(Données_ATB!BD:BP,MATCH(A477,Données_ATB!BD:BD,0),13)</f>
        <v>Sulfamides</v>
      </c>
      <c r="D477" t="e">
        <f t="shared" ca="1" si="24"/>
        <v>#VALUE!</v>
      </c>
      <c r="E477" s="1" t="e">
        <f t="shared" ca="1" si="25"/>
        <v>#VALUE!</v>
      </c>
      <c r="F477" s="1" t="e">
        <f t="shared" ca="1" si="26"/>
        <v>#VALUE!</v>
      </c>
    </row>
    <row r="478" spans="1:6" ht="22.5" customHeight="1" x14ac:dyDescent="0.3">
      <c r="A478" s="255" t="str">
        <f>Données_ATB!BD465</f>
        <v>SULFALUTYL</v>
      </c>
      <c r="B478" s="256" t="str">
        <f ca="1">INDEX(Données_ATB!BD:BP,MATCH(A478,Données_ATB!BD:BD,0),9)</f>
        <v>Sulfaguanidine + Sulfadimidine</v>
      </c>
      <c r="C478" s="257" t="str">
        <f ca="1">INDEX(Données_ATB!BD:BP,MATCH(A478,Données_ATB!BD:BD,0),13)</f>
        <v>Sulfamides</v>
      </c>
      <c r="D478" t="e">
        <f t="shared" ca="1" si="24"/>
        <v>#VALUE!</v>
      </c>
      <c r="E478" s="1" t="e">
        <f t="shared" ca="1" si="25"/>
        <v>#VALUE!</v>
      </c>
      <c r="F478" s="1" t="e">
        <f t="shared" ca="1" si="26"/>
        <v>#VALUE!</v>
      </c>
    </row>
    <row r="479" spans="1:6" ht="22.5" customHeight="1" x14ac:dyDescent="0.3">
      <c r="A479" s="255" t="str">
        <f>Données_ATB!BD466</f>
        <v>SULFAMETHOX</v>
      </c>
      <c r="B479" s="256" t="str">
        <f ca="1">INDEX(Données_ATB!BD:BP,MATCH(A479,Données_ATB!BD:BD,0),9)</f>
        <v>Sulfaméthoxypyridazine</v>
      </c>
      <c r="C479" s="257" t="str">
        <f ca="1">INDEX(Données_ATB!BD:BP,MATCH(A479,Données_ATB!BD:BD,0),13)</f>
        <v>Sulfamides</v>
      </c>
      <c r="D479" t="e">
        <f t="shared" ca="1" si="24"/>
        <v>#VALUE!</v>
      </c>
      <c r="E479" s="1" t="e">
        <f t="shared" ca="1" si="25"/>
        <v>#VALUE!</v>
      </c>
      <c r="F479" s="1" t="e">
        <f t="shared" ca="1" si="26"/>
        <v>#VALUE!</v>
      </c>
    </row>
    <row r="480" spans="1:6" ht="22.5" customHeight="1" x14ac:dyDescent="0.3">
      <c r="A480" s="255" t="str">
        <f>Données_ATB!BD467</f>
        <v>SULTRIVAL TRIMETHOPRIME/SULFADIAZINE 20/92 PORC</v>
      </c>
      <c r="B480" s="256" t="str">
        <f ca="1">INDEX(Données_ATB!BD:BP,MATCH(A480,Données_ATB!BD:BD,0),9)</f>
        <v>Sulfadiazine + Triméthoprime</v>
      </c>
      <c r="C480" s="257" t="str">
        <f ca="1">INDEX(Données_ATB!BD:BP,MATCH(A480,Données_ATB!BD:BD,0),13)</f>
        <v>Sulfamides + Trimethoprime</v>
      </c>
      <c r="D480" t="e">
        <f t="shared" ca="1" si="24"/>
        <v>#VALUE!</v>
      </c>
      <c r="E480" s="1" t="e">
        <f t="shared" ca="1" si="25"/>
        <v>#VALUE!</v>
      </c>
      <c r="F480" s="1" t="e">
        <f t="shared" ca="1" si="26"/>
        <v>#VALUE!</v>
      </c>
    </row>
    <row r="481" spans="1:6" ht="22.5" customHeight="1" x14ac:dyDescent="0.3">
      <c r="A481" s="255" t="str">
        <f>Données_ATB!BD468</f>
        <v>SUNIX AC POUDRE</v>
      </c>
      <c r="B481" s="256" t="str">
        <f ca="1">INDEX(Données_ATB!BD:BP,MATCH(A481,Données_ATB!BD:BD,0),9)</f>
        <v>Sulfadiméthoxine</v>
      </c>
      <c r="C481" s="257" t="str">
        <f ca="1">INDEX(Données_ATB!BD:BP,MATCH(A481,Données_ATB!BD:BD,0),13)</f>
        <v>Sulfamides</v>
      </c>
      <c r="D481" t="e">
        <f t="shared" ca="1" si="24"/>
        <v>#VALUE!</v>
      </c>
      <c r="E481" s="1" t="e">
        <f t="shared" ca="1" si="25"/>
        <v>#VALUE!</v>
      </c>
      <c r="F481" s="1" t="e">
        <f t="shared" ca="1" si="26"/>
        <v>#VALUE!</v>
      </c>
    </row>
    <row r="482" spans="1:6" ht="22.5" customHeight="1" x14ac:dyDescent="0.3">
      <c r="A482" s="255" t="str">
        <f>Données_ATB!BD469</f>
        <v>SUNIX LIQUIDE</v>
      </c>
      <c r="B482" s="256" t="str">
        <f ca="1">INDEX(Données_ATB!BD:BP,MATCH(A482,Données_ATB!BD:BD,0),9)</f>
        <v>Sulfadiméthoxine</v>
      </c>
      <c r="C482" s="257" t="str">
        <f ca="1">INDEX(Données_ATB!BD:BP,MATCH(A482,Données_ATB!BD:BD,0),13)</f>
        <v>Sulfamides</v>
      </c>
      <c r="D482" t="e">
        <f t="shared" ca="1" si="24"/>
        <v>#VALUE!</v>
      </c>
      <c r="E482" s="1" t="e">
        <f t="shared" ca="1" si="25"/>
        <v>#VALUE!</v>
      </c>
      <c r="F482" s="1" t="e">
        <f t="shared" ca="1" si="26"/>
        <v>#VALUE!</v>
      </c>
    </row>
    <row r="483" spans="1:6" ht="22.5" customHeight="1" x14ac:dyDescent="0.3">
      <c r="A483" s="255" t="str">
        <f>Données_ATB!BD470</f>
        <v>SURAMOX 10 POUDRE ORALE</v>
      </c>
      <c r="B483" s="256" t="str">
        <f ca="1">INDEX(Données_ATB!BD:BP,MATCH(A483,Données_ATB!BD:BD,0),9)</f>
        <v>Amoxicilline</v>
      </c>
      <c r="C483" s="257" t="str">
        <f ca="1">INDEX(Données_ATB!BD:BP,MATCH(A483,Données_ATB!BD:BD,0),13)</f>
        <v>Penicillines</v>
      </c>
      <c r="D483" t="e">
        <f t="shared" ca="1" si="24"/>
        <v>#VALUE!</v>
      </c>
      <c r="E483" s="1" t="e">
        <f t="shared" ca="1" si="25"/>
        <v>#VALUE!</v>
      </c>
      <c r="F483" s="1" t="e">
        <f t="shared" ca="1" si="26"/>
        <v>#VALUE!</v>
      </c>
    </row>
    <row r="484" spans="1:6" ht="22.5" customHeight="1" x14ac:dyDescent="0.3">
      <c r="A484" s="255" t="str">
        <f>Données_ATB!BD471</f>
        <v>SURAMOX 10 SUSPENSION INJECTABLE</v>
      </c>
      <c r="B484" s="256" t="str">
        <f ca="1">INDEX(Données_ATB!BD:BP,MATCH(A484,Données_ATB!BD:BD,0),9)</f>
        <v>Amoxicilline</v>
      </c>
      <c r="C484" s="257" t="str">
        <f ca="1">INDEX(Données_ATB!BD:BP,MATCH(A484,Données_ATB!BD:BD,0),13)</f>
        <v>Penicillines</v>
      </c>
      <c r="D484" t="e">
        <f t="shared" ca="1" si="24"/>
        <v>#VALUE!</v>
      </c>
      <c r="E484" s="1" t="e">
        <f t="shared" ca="1" si="25"/>
        <v>#VALUE!</v>
      </c>
      <c r="F484" s="1" t="e">
        <f t="shared" ca="1" si="26"/>
        <v>#VALUE!</v>
      </c>
    </row>
    <row r="485" spans="1:6" ht="22.5" customHeight="1" x14ac:dyDescent="0.3">
      <c r="A485" s="255" t="str">
        <f>Données_ATB!BD472</f>
        <v>SURAMOX 15 % LA</v>
      </c>
      <c r="B485" s="256" t="str">
        <f ca="1">INDEX(Données_ATB!BD:BP,MATCH(A485,Données_ATB!BD:BD,0),9)</f>
        <v>Amoxicilline</v>
      </c>
      <c r="C485" s="257" t="str">
        <f ca="1">INDEX(Données_ATB!BD:BP,MATCH(A485,Données_ATB!BD:BD,0),13)</f>
        <v>Penicillines</v>
      </c>
      <c r="D485" t="e">
        <f t="shared" ca="1" si="24"/>
        <v>#VALUE!</v>
      </c>
      <c r="E485" s="1" t="e">
        <f t="shared" ca="1" si="25"/>
        <v>#VALUE!</v>
      </c>
      <c r="F485" s="1" t="e">
        <f t="shared" ca="1" si="26"/>
        <v>#VALUE!</v>
      </c>
    </row>
    <row r="486" spans="1:6" ht="22.5" customHeight="1" x14ac:dyDescent="0.3">
      <c r="A486" s="255" t="str">
        <f>Données_ATB!BD473</f>
        <v>SURAMOX 50 POUDRE ORALE PORC</v>
      </c>
      <c r="B486" s="256" t="str">
        <f ca="1">INDEX(Données_ATB!BD:BP,MATCH(A486,Données_ATB!BD:BD,0),9)</f>
        <v>Amoxicilline</v>
      </c>
      <c r="C486" s="257" t="str">
        <f ca="1">INDEX(Données_ATB!BD:BP,MATCH(A486,Données_ATB!BD:BD,0),13)</f>
        <v>Penicillines</v>
      </c>
      <c r="D486" t="e">
        <f t="shared" ca="1" si="24"/>
        <v>#VALUE!</v>
      </c>
      <c r="E486" s="1" t="e">
        <f t="shared" ca="1" si="25"/>
        <v>#VALUE!</v>
      </c>
      <c r="F486" s="1" t="e">
        <f t="shared" ca="1" si="26"/>
        <v>#VALUE!</v>
      </c>
    </row>
    <row r="487" spans="1:6" ht="22.5" customHeight="1" x14ac:dyDescent="0.3">
      <c r="A487" s="255" t="str">
        <f>Données_ATB!BD474</f>
        <v>SURAMOX 50 POUDRE ORALE VOLAILLE</v>
      </c>
      <c r="B487" s="256" t="str">
        <f ca="1">INDEX(Données_ATB!BD:BP,MATCH(A487,Données_ATB!BD:BD,0),9)</f>
        <v>Amoxicilline</v>
      </c>
      <c r="C487" s="257" t="str">
        <f ca="1">INDEX(Données_ATB!BD:BP,MATCH(A487,Données_ATB!BD:BD,0),13)</f>
        <v>Penicillines</v>
      </c>
      <c r="D487" t="e">
        <f t="shared" ca="1" si="24"/>
        <v>#VALUE!</v>
      </c>
      <c r="E487" s="1" t="e">
        <f t="shared" ca="1" si="25"/>
        <v>#VALUE!</v>
      </c>
      <c r="F487" s="1" t="e">
        <f t="shared" ca="1" si="26"/>
        <v>#VALUE!</v>
      </c>
    </row>
    <row r="488" spans="1:6" ht="22.5" customHeight="1" x14ac:dyDescent="0.3">
      <c r="A488" s="255" t="str">
        <f>Données_ATB!BD475</f>
        <v>SURAMOX 50 PREMELANGE MEDICAMENTEUX</v>
      </c>
      <c r="B488" s="256" t="str">
        <f ca="1">INDEX(Données_ATB!BD:BP,MATCH(A488,Données_ATB!BD:BD,0),9)</f>
        <v>Amoxicilline</v>
      </c>
      <c r="C488" s="257" t="str">
        <f ca="1">INDEX(Données_ATB!BD:BP,MATCH(A488,Données_ATB!BD:BD,0),13)</f>
        <v>Penicillines</v>
      </c>
      <c r="D488" t="e">
        <f t="shared" ca="1" si="24"/>
        <v>#VALUE!</v>
      </c>
      <c r="E488" s="1" t="e">
        <f t="shared" ca="1" si="25"/>
        <v>#VALUE!</v>
      </c>
      <c r="F488" s="1" t="e">
        <f t="shared" ca="1" si="26"/>
        <v>#VALUE!</v>
      </c>
    </row>
    <row r="489" spans="1:6" ht="22.5" customHeight="1" x14ac:dyDescent="0.3">
      <c r="A489" s="255" t="str">
        <f>Données_ATB!BD476</f>
        <v>SYNULOX 500 MG OGIVETTES</v>
      </c>
      <c r="B489" s="256" t="str">
        <f ca="1">INDEX(Données_ATB!BD:BP,MATCH(A489,Données_ATB!BD:BD,0),9)</f>
        <v>Amoxicilline + Acide clavulanique</v>
      </c>
      <c r="C489" s="257" t="str">
        <f ca="1">INDEX(Données_ATB!BD:BP,MATCH(A489,Données_ATB!BD:BD,0),13)</f>
        <v>Penicillines + Acide clavulanique</v>
      </c>
      <c r="D489" t="e">
        <f t="shared" ca="1" si="24"/>
        <v>#VALUE!</v>
      </c>
      <c r="E489" s="1" t="e">
        <f t="shared" ca="1" si="25"/>
        <v>#VALUE!</v>
      </c>
      <c r="F489" s="1" t="e">
        <f t="shared" ca="1" si="26"/>
        <v>#VALUE!</v>
      </c>
    </row>
    <row r="490" spans="1:6" ht="22.5" customHeight="1" x14ac:dyDescent="0.3">
      <c r="A490" s="255" t="str">
        <f>Données_ATB!BD477</f>
        <v>SYNULOX INTRAMAMMAIRE</v>
      </c>
      <c r="B490" s="256" t="str">
        <f ca="1">INDEX(Données_ATB!BD:BP,MATCH(A490,Données_ATB!BD:BD,0),9)</f>
        <v>Amoxicilline + Acide clavulanique</v>
      </c>
      <c r="C490" s="257" t="str">
        <f ca="1">INDEX(Données_ATB!BD:BP,MATCH(A490,Données_ATB!BD:BD,0),13)</f>
        <v>Penicillines + Acide clavulanique</v>
      </c>
      <c r="D490" t="e">
        <f t="shared" ca="1" si="24"/>
        <v>#VALUE!</v>
      </c>
      <c r="E490" s="1" t="e">
        <f t="shared" ca="1" si="25"/>
        <v>#VALUE!</v>
      </c>
      <c r="F490" s="1" t="e">
        <f t="shared" ca="1" si="26"/>
        <v>#VALUE!</v>
      </c>
    </row>
    <row r="491" spans="1:6" ht="22.5" customHeight="1" x14ac:dyDescent="0.3">
      <c r="A491" s="255" t="str">
        <f>Données_ATB!BD478</f>
        <v>SYNULOX SUSPENSION</v>
      </c>
      <c r="B491" s="256" t="str">
        <f ca="1">INDEX(Données_ATB!BD:BP,MATCH(A491,Données_ATB!BD:BD,0),9)</f>
        <v>Amoxicilline + Acide clavulanique</v>
      </c>
      <c r="C491" s="257" t="str">
        <f ca="1">INDEX(Données_ATB!BD:BP,MATCH(A491,Données_ATB!BD:BD,0),13)</f>
        <v>Penicillines + Acide clavulanique</v>
      </c>
      <c r="D491" t="e">
        <f t="shared" ca="1" si="24"/>
        <v>#VALUE!</v>
      </c>
      <c r="E491" s="1" t="e">
        <f t="shared" ca="1" si="25"/>
        <v>#VALUE!</v>
      </c>
      <c r="F491" s="1" t="e">
        <f t="shared" ca="1" si="26"/>
        <v>#VALUE!</v>
      </c>
    </row>
    <row r="492" spans="1:6" ht="22.5" customHeight="1" x14ac:dyDescent="0.3">
      <c r="A492" s="255" t="str">
        <f>Données_ATB!BD479</f>
        <v>T.S.-SOL 20/100 MG/ML SOLUTION POUR ADMINISTRATION DANS L'EAU DE BOISSON POUR PORCS ET POULETS</v>
      </c>
      <c r="B492" s="256" t="str">
        <f ca="1">INDEX(Données_ATB!BD:BP,MATCH(A492,Données_ATB!BD:BD,0),9)</f>
        <v>Sulfaméthoxazole + Triméthoprime</v>
      </c>
      <c r="C492" s="257" t="str">
        <f ca="1">INDEX(Données_ATB!BD:BP,MATCH(A492,Données_ATB!BD:BD,0),13)</f>
        <v>Sulfamides + Trimethoprime</v>
      </c>
      <c r="D492" t="e">
        <f t="shared" ca="1" si="24"/>
        <v>#VALUE!</v>
      </c>
      <c r="E492" s="1" t="e">
        <f t="shared" ca="1" si="25"/>
        <v>#VALUE!</v>
      </c>
      <c r="F492" s="1" t="e">
        <f t="shared" ca="1" si="26"/>
        <v>#VALUE!</v>
      </c>
    </row>
    <row r="493" spans="1:6" ht="22.5" customHeight="1" x14ac:dyDescent="0.3">
      <c r="A493" s="255" t="str">
        <f>Données_ATB!BD480</f>
        <v>TAF SPRAY 28,5 MG/G SOLUTION POUR PULVERISATION CUTANEE</v>
      </c>
      <c r="B493" s="256" t="str">
        <f ca="1">INDEX(Données_ATB!BD:BP,MATCH(A493,Données_ATB!BD:BD,0),9)</f>
        <v>Thiamphénicol</v>
      </c>
      <c r="C493" s="257" t="str">
        <f ca="1">INDEX(Données_ATB!BD:BP,MATCH(A493,Données_ATB!BD:BD,0),13)</f>
        <v>Phenicoles</v>
      </c>
      <c r="D493" t="e">
        <f t="shared" ca="1" si="24"/>
        <v>#VALUE!</v>
      </c>
      <c r="E493" s="1" t="e">
        <f t="shared" ca="1" si="25"/>
        <v>#VALUE!</v>
      </c>
      <c r="F493" s="1" t="e">
        <f t="shared" ca="1" si="26"/>
        <v>#VALUE!</v>
      </c>
    </row>
    <row r="494" spans="1:6" ht="22.5" customHeight="1" x14ac:dyDescent="0.3">
      <c r="A494" s="255" t="str">
        <f>Données_ATB!BD481</f>
        <v>TARIGERMEL</v>
      </c>
      <c r="B494" s="256" t="str">
        <f ca="1">INDEX(Données_ATB!BD:BP,MATCH(A494,Données_ATB!BD:BD,0),9)</f>
        <v>Cloxacilline</v>
      </c>
      <c r="C494" s="257" t="str">
        <f ca="1">INDEX(Données_ATB!BD:BP,MATCH(A494,Données_ATB!BD:BD,0),13)</f>
        <v>Penicillines</v>
      </c>
      <c r="D494" t="e">
        <f t="shared" ca="1" si="24"/>
        <v>#VALUE!</v>
      </c>
      <c r="E494" s="1" t="e">
        <f t="shared" ca="1" si="25"/>
        <v>#VALUE!</v>
      </c>
      <c r="F494" s="1" t="e">
        <f t="shared" ca="1" si="26"/>
        <v>#VALUE!</v>
      </c>
    </row>
    <row r="495" spans="1:6" ht="22.5" customHeight="1" x14ac:dyDescent="0.3">
      <c r="A495" s="255" t="str">
        <f>Données_ATB!BD482</f>
        <v>TENALINE L.A.</v>
      </c>
      <c r="B495" s="256" t="str">
        <f ca="1">INDEX(Données_ATB!BD:BP,MATCH(A495,Données_ATB!BD:BD,0),9)</f>
        <v>Oxytétracycline</v>
      </c>
      <c r="C495" s="257" t="str">
        <f ca="1">INDEX(Données_ATB!BD:BP,MATCH(A495,Données_ATB!BD:BD,0),13)</f>
        <v>Tetracyclines</v>
      </c>
      <c r="D495" t="e">
        <f t="shared" ca="1" si="24"/>
        <v>#VALUE!</v>
      </c>
      <c r="E495" s="1" t="e">
        <f t="shared" ca="1" si="25"/>
        <v>#VALUE!</v>
      </c>
      <c r="F495" s="1" t="e">
        <f t="shared" ca="1" si="26"/>
        <v>#VALUE!</v>
      </c>
    </row>
    <row r="496" spans="1:6" ht="22.5" customHeight="1" x14ac:dyDescent="0.3">
      <c r="A496" s="255" t="str">
        <f>Données_ATB!BD483</f>
        <v>TENOTRYL 10 % SOLUTION BUVABLE</v>
      </c>
      <c r="B496" s="256" t="str">
        <f ca="1">INDEX(Données_ATB!BD:BP,MATCH(A496,Données_ATB!BD:BD,0),9)</f>
        <v>Enrofloxacine</v>
      </c>
      <c r="C496" s="257" t="str">
        <f ca="1">INDEX(Données_ATB!BD:BP,MATCH(A496,Données_ATB!BD:BD,0),13)</f>
        <v>Fluoroquinolones</v>
      </c>
      <c r="D496" t="e">
        <f t="shared" ca="1" si="24"/>
        <v>#VALUE!</v>
      </c>
      <c r="E496" s="1" t="e">
        <f t="shared" ca="1" si="25"/>
        <v>#VALUE!</v>
      </c>
      <c r="F496" s="1" t="e">
        <f t="shared" ca="1" si="26"/>
        <v>#VALUE!</v>
      </c>
    </row>
    <row r="497" spans="1:6" ht="22.5" customHeight="1" x14ac:dyDescent="0.3">
      <c r="A497" s="255" t="str">
        <f>Données_ATB!BD484</f>
        <v>TERRALON 20 % LA</v>
      </c>
      <c r="B497" s="256" t="str">
        <f ca="1">INDEX(Données_ATB!BD:BP,MATCH(A497,Données_ATB!BD:BD,0),9)</f>
        <v>Oxytétracycline</v>
      </c>
      <c r="C497" s="257" t="str">
        <f ca="1">INDEX(Données_ATB!BD:BP,MATCH(A497,Données_ATB!BD:BD,0),13)</f>
        <v>Tetracyclines</v>
      </c>
      <c r="D497" t="e">
        <f t="shared" ca="1" si="24"/>
        <v>#VALUE!</v>
      </c>
      <c r="E497" s="1" t="e">
        <f t="shared" ca="1" si="25"/>
        <v>#VALUE!</v>
      </c>
      <c r="F497" s="1" t="e">
        <f t="shared" ca="1" si="26"/>
        <v>#VALUE!</v>
      </c>
    </row>
    <row r="498" spans="1:6" ht="22.5" customHeight="1" x14ac:dyDescent="0.3">
      <c r="A498" s="255" t="str">
        <f>Données_ATB!BD485</f>
        <v>TERRAMYCINE LONGUE ACTION</v>
      </c>
      <c r="B498" s="256" t="str">
        <f ca="1">INDEX(Données_ATB!BD:BP,MATCH(A498,Données_ATB!BD:BD,0),9)</f>
        <v>Oxytétracycline</v>
      </c>
      <c r="C498" s="257" t="str">
        <f ca="1">INDEX(Données_ATB!BD:BP,MATCH(A498,Données_ATB!BD:BD,0),13)</f>
        <v>Tetracyclines</v>
      </c>
      <c r="D498" t="e">
        <f t="shared" ca="1" si="24"/>
        <v>#VALUE!</v>
      </c>
      <c r="E498" s="1" t="e">
        <f t="shared" ca="1" si="25"/>
        <v>#VALUE!</v>
      </c>
      <c r="F498" s="1" t="e">
        <f t="shared" ca="1" si="26"/>
        <v>#VALUE!</v>
      </c>
    </row>
    <row r="499" spans="1:6" ht="22.5" customHeight="1" x14ac:dyDescent="0.3">
      <c r="A499" s="255" t="str">
        <f>Données_ATB!BD486</f>
        <v>TERRAMYCINE SOLUTION INJECTABLE</v>
      </c>
      <c r="B499" s="256" t="str">
        <f ca="1">INDEX(Données_ATB!BD:BP,MATCH(A499,Données_ATB!BD:BD,0),9)</f>
        <v>Oxytétracycline</v>
      </c>
      <c r="C499" s="257" t="str">
        <f ca="1">INDEX(Données_ATB!BD:BP,MATCH(A499,Données_ATB!BD:BD,0),13)</f>
        <v>Tetracyclines</v>
      </c>
      <c r="D499" t="e">
        <f t="shared" ca="1" si="24"/>
        <v>#VALUE!</v>
      </c>
      <c r="E499" s="1" t="e">
        <f t="shared" ca="1" si="25"/>
        <v>#VALUE!</v>
      </c>
      <c r="F499" s="1" t="e">
        <f t="shared" ca="1" si="26"/>
        <v>#VALUE!</v>
      </c>
    </row>
    <row r="500" spans="1:6" ht="22.5" customHeight="1" x14ac:dyDescent="0.3">
      <c r="A500" s="255" t="str">
        <f>Données_ATB!BD487</f>
        <v>TETRACYCLINE 50 COOPHAVET</v>
      </c>
      <c r="B500" s="256" t="str">
        <f ca="1">INDEX(Données_ATB!BD:BP,MATCH(A500,Données_ATB!BD:BD,0),9)</f>
        <v>Tétracycline</v>
      </c>
      <c r="C500" s="257" t="str">
        <f ca="1">INDEX(Données_ATB!BD:BP,MATCH(A500,Données_ATB!BD:BD,0),13)</f>
        <v>Tetracyclines</v>
      </c>
      <c r="D500" t="e">
        <f t="shared" ca="1" si="24"/>
        <v>#VALUE!</v>
      </c>
      <c r="E500" s="1" t="e">
        <f t="shared" ca="1" si="25"/>
        <v>#VALUE!</v>
      </c>
      <c r="F500" s="1" t="e">
        <f t="shared" ca="1" si="26"/>
        <v>#VALUE!</v>
      </c>
    </row>
    <row r="501" spans="1:6" ht="22.5" customHeight="1" x14ac:dyDescent="0.3">
      <c r="A501" s="255" t="str">
        <f>Données_ATB!BD488</f>
        <v>TETRASOLUB</v>
      </c>
      <c r="B501" s="256" t="str">
        <f ca="1">INDEX(Données_ATB!BD:BP,MATCH(A501,Données_ATB!BD:BD,0),9)</f>
        <v>Oxytétracycline</v>
      </c>
      <c r="C501" s="257" t="str">
        <f ca="1">INDEX(Données_ATB!BD:BP,MATCH(A501,Données_ATB!BD:BD,0),13)</f>
        <v>Tetracyclines</v>
      </c>
      <c r="D501" t="e">
        <f t="shared" ca="1" si="24"/>
        <v>#VALUE!</v>
      </c>
      <c r="E501" s="1" t="e">
        <f t="shared" ca="1" si="25"/>
        <v>#VALUE!</v>
      </c>
      <c r="F501" s="1" t="e">
        <f t="shared" ca="1" si="26"/>
        <v>#VALUE!</v>
      </c>
    </row>
    <row r="502" spans="1:6" ht="22.5" customHeight="1" x14ac:dyDescent="0.3">
      <c r="A502" s="255" t="str">
        <f>Données_ATB!BD489</f>
        <v>TETRATIME</v>
      </c>
      <c r="B502" s="256" t="str">
        <f ca="1">INDEX(Données_ATB!BD:BP,MATCH(A502,Données_ATB!BD:BD,0),9)</f>
        <v>Oxytétracycline</v>
      </c>
      <c r="C502" s="257" t="str">
        <f ca="1">INDEX(Données_ATB!BD:BP,MATCH(A502,Données_ATB!BD:BD,0),13)</f>
        <v>Tetracyclines</v>
      </c>
      <c r="D502" t="e">
        <f t="shared" ca="1" si="24"/>
        <v>#VALUE!</v>
      </c>
      <c r="E502" s="1" t="e">
        <f t="shared" ca="1" si="25"/>
        <v>#VALUE!</v>
      </c>
      <c r="F502" s="1" t="e">
        <f t="shared" ca="1" si="26"/>
        <v>#VALUE!</v>
      </c>
    </row>
    <row r="503" spans="1:6" ht="22.5" customHeight="1" x14ac:dyDescent="0.3">
      <c r="A503" s="255" t="str">
        <f>Données_ATB!BD490</f>
        <v>TETRAVAL 50 % POUDRE POUR SOLUTION BUVABLE POUR VEAUX PORCINS ET VOLAILLES</v>
      </c>
      <c r="B503" s="256" t="str">
        <f ca="1">INDEX(Données_ATB!BD:BP,MATCH(A503,Données_ATB!BD:BD,0),9)</f>
        <v>Oxytétracycline</v>
      </c>
      <c r="C503" s="257" t="str">
        <f ca="1">INDEX(Données_ATB!BD:BP,MATCH(A503,Données_ATB!BD:BD,0),13)</f>
        <v>Tetracyclines</v>
      </c>
      <c r="D503" t="e">
        <f t="shared" ca="1" si="24"/>
        <v>#VALUE!</v>
      </c>
      <c r="E503" s="1" t="e">
        <f t="shared" ca="1" si="25"/>
        <v>#VALUE!</v>
      </c>
      <c r="F503" s="1" t="e">
        <f t="shared" ca="1" si="26"/>
        <v>#VALUE!</v>
      </c>
    </row>
    <row r="504" spans="1:6" ht="22.5" customHeight="1" x14ac:dyDescent="0.3">
      <c r="A504" s="255" t="str">
        <f>Données_ATB!BD491</f>
        <v>TETRAVETO</v>
      </c>
      <c r="B504" s="256" t="str">
        <f ca="1">INDEX(Données_ATB!BD:BP,MATCH(A504,Données_ATB!BD:BD,0),9)</f>
        <v>Oxytétracycline</v>
      </c>
      <c r="C504" s="257" t="str">
        <f ca="1">INDEX(Données_ATB!BD:BP,MATCH(A504,Données_ATB!BD:BD,0),13)</f>
        <v>Tetracyclines</v>
      </c>
      <c r="D504" t="e">
        <f t="shared" ca="1" si="24"/>
        <v>#VALUE!</v>
      </c>
      <c r="E504" s="1" t="e">
        <f t="shared" ca="1" si="25"/>
        <v>#VALUE!</v>
      </c>
      <c r="F504" s="1" t="e">
        <f t="shared" ca="1" si="26"/>
        <v>#VALUE!</v>
      </c>
    </row>
    <row r="505" spans="1:6" ht="22.5" customHeight="1" x14ac:dyDescent="0.3">
      <c r="A505" s="255" t="str">
        <f>Données_ATB!BD492</f>
        <v>TETROXY VET 200 MG/ML SOLUTION INJECTABLE POUR BOVINS OVINS ET PORCINS</v>
      </c>
      <c r="B505" s="256" t="str">
        <f ca="1">INDEX(Données_ATB!BD:BP,MATCH(A505,Données_ATB!BD:BD,0),9)</f>
        <v>Oxytétracycline</v>
      </c>
      <c r="C505" s="257" t="str">
        <f ca="1">INDEX(Données_ATB!BD:BP,MATCH(A505,Données_ATB!BD:BD,0),13)</f>
        <v>Tetracyclines</v>
      </c>
      <c r="D505" t="e">
        <f t="shared" ca="1" si="24"/>
        <v>#VALUE!</v>
      </c>
      <c r="E505" s="1" t="e">
        <f t="shared" ca="1" si="25"/>
        <v>#VALUE!</v>
      </c>
      <c r="F505" s="1" t="e">
        <f t="shared" ca="1" si="26"/>
        <v>#VALUE!</v>
      </c>
    </row>
    <row r="506" spans="1:6" ht="22.5" customHeight="1" x14ac:dyDescent="0.3">
      <c r="A506" s="255" t="str">
        <f>Données_ATB!BD493</f>
        <v>TIALIN 101,2 MG/ML SOLUTION POUR ADMINISTRATION DANS L'EAU DE BOISSON DES PORCINS, DES POULETS ET DES DINDES</v>
      </c>
      <c r="B506" s="256" t="str">
        <f ca="1">INDEX(Données_ATB!BD:BP,MATCH(A506,Données_ATB!BD:BD,0),9)</f>
        <v>Tiamuline</v>
      </c>
      <c r="C506" s="257" t="str">
        <f ca="1">INDEX(Données_ATB!BD:BP,MATCH(A506,Données_ATB!BD:BD,0),13)</f>
        <v>Pleuromutilines</v>
      </c>
      <c r="D506" t="e">
        <f t="shared" ca="1" si="24"/>
        <v>#VALUE!</v>
      </c>
      <c r="E506" s="1" t="e">
        <f t="shared" ca="1" si="25"/>
        <v>#VALUE!</v>
      </c>
      <c r="F506" s="1" t="e">
        <f t="shared" ca="1" si="26"/>
        <v>#VALUE!</v>
      </c>
    </row>
    <row r="507" spans="1:6" ht="22.5" customHeight="1" x14ac:dyDescent="0.3">
      <c r="A507" s="255" t="str">
        <f>Données_ATB!BD494</f>
        <v>TIALIN 202,4 MG/ML SOLUTION POUR ADMINISTRATION DANS L'EAU DE BOISSON DES PORCINS, DES POULETS ET DES DINDES</v>
      </c>
      <c r="B507" s="256" t="str">
        <f ca="1">INDEX(Données_ATB!BD:BP,MATCH(A507,Données_ATB!BD:BD,0),9)</f>
        <v>Tiamuline</v>
      </c>
      <c r="C507" s="257" t="str">
        <f ca="1">INDEX(Données_ATB!BD:BP,MATCH(A507,Données_ATB!BD:BD,0),13)</f>
        <v>Pleuromutilines</v>
      </c>
      <c r="D507" t="e">
        <f t="shared" ca="1" si="24"/>
        <v>#VALUE!</v>
      </c>
      <c r="E507" s="1" t="e">
        <f t="shared" ca="1" si="25"/>
        <v>#VALUE!</v>
      </c>
      <c r="F507" s="1" t="e">
        <f t="shared" ca="1" si="26"/>
        <v>#VALUE!</v>
      </c>
    </row>
    <row r="508" spans="1:6" ht="22.5" customHeight="1" x14ac:dyDescent="0.3">
      <c r="A508" s="255" t="str">
        <f>Données_ATB!BD495</f>
        <v>TIAMULINE 16,2 PNEUMONIE VOLAILLE PORC FRANVET</v>
      </c>
      <c r="B508" s="256" t="str">
        <f ca="1">INDEX(Données_ATB!BD:BP,MATCH(A508,Données_ATB!BD:BD,0),9)</f>
        <v>Tiamuline</v>
      </c>
      <c r="C508" s="257" t="str">
        <f ca="1">INDEX(Données_ATB!BD:BP,MATCH(A508,Données_ATB!BD:BD,0),13)</f>
        <v>Pleuromutilines</v>
      </c>
      <c r="D508" t="e">
        <f t="shared" ca="1" si="24"/>
        <v>#VALUE!</v>
      </c>
      <c r="E508" s="1" t="e">
        <f t="shared" ca="1" si="25"/>
        <v>#VALUE!</v>
      </c>
      <c r="F508" s="1" t="e">
        <f t="shared" ca="1" si="26"/>
        <v>#VALUE!</v>
      </c>
    </row>
    <row r="509" spans="1:6" ht="22.5" customHeight="1" x14ac:dyDescent="0.3">
      <c r="A509" s="255" t="str">
        <f>Données_ATB!BD496</f>
        <v>TIAMULINE 6,5 ENTERITE PORC ENTEROCOLITE LAPIN FRANVET</v>
      </c>
      <c r="B509" s="256" t="str">
        <f ca="1">INDEX(Données_ATB!BD:BP,MATCH(A509,Données_ATB!BD:BD,0),9)</f>
        <v>Tiamuline</v>
      </c>
      <c r="C509" s="257" t="str">
        <f ca="1">INDEX(Données_ATB!BD:BP,MATCH(A509,Données_ATB!BD:BD,0),13)</f>
        <v>Pleuromutilines</v>
      </c>
      <c r="D509" t="e">
        <f t="shared" ca="1" si="24"/>
        <v>#VALUE!</v>
      </c>
      <c r="E509" s="1" t="e">
        <f t="shared" ca="1" si="25"/>
        <v>#VALUE!</v>
      </c>
      <c r="F509" s="1" t="e">
        <f t="shared" ca="1" si="26"/>
        <v>#VALUE!</v>
      </c>
    </row>
    <row r="510" spans="1:6" ht="22.5" customHeight="1" x14ac:dyDescent="0.3">
      <c r="A510" s="255" t="str">
        <f>Données_ATB!BD497</f>
        <v>TIAMUVAL PREMELANGE MEDICAMENTEUX TIAMULINE 16,2 PNEUMONIE VOLAILLE-PORC</v>
      </c>
      <c r="B510" s="256" t="str">
        <f ca="1">INDEX(Données_ATB!BD:BP,MATCH(A510,Données_ATB!BD:BD,0),9)</f>
        <v>Tiamuline</v>
      </c>
      <c r="C510" s="257" t="str">
        <f ca="1">INDEX(Données_ATB!BD:BP,MATCH(A510,Données_ATB!BD:BD,0),13)</f>
        <v>Pleuromutilines</v>
      </c>
      <c r="D510" t="e">
        <f t="shared" ca="1" si="24"/>
        <v>#VALUE!</v>
      </c>
      <c r="E510" s="1" t="e">
        <f t="shared" ca="1" si="25"/>
        <v>#VALUE!</v>
      </c>
      <c r="F510" s="1" t="e">
        <f t="shared" ca="1" si="26"/>
        <v>#VALUE!</v>
      </c>
    </row>
    <row r="511" spans="1:6" ht="22.5" customHeight="1" x14ac:dyDescent="0.3">
      <c r="A511" s="255" t="str">
        <f>Données_ATB!BD498</f>
        <v>TIAMUVAL PREMELANGE MEDICAMENTEUX TIAMULINE 6,5 ENTERITE PORC ENTEROCOLITE LAPIN</v>
      </c>
      <c r="B511" s="256" t="str">
        <f ca="1">INDEX(Données_ATB!BD:BP,MATCH(A511,Données_ATB!BD:BD,0),9)</f>
        <v>Tiamuline</v>
      </c>
      <c r="C511" s="257" t="str">
        <f ca="1">INDEX(Données_ATB!BD:BP,MATCH(A511,Données_ATB!BD:BD,0),13)</f>
        <v>Pleuromutilines</v>
      </c>
      <c r="D511" t="e">
        <f t="shared" ca="1" si="24"/>
        <v>#VALUE!</v>
      </c>
      <c r="E511" s="1" t="e">
        <f t="shared" ca="1" si="25"/>
        <v>#VALUE!</v>
      </c>
      <c r="F511" s="1" t="e">
        <f t="shared" ca="1" si="26"/>
        <v>#VALUE!</v>
      </c>
    </row>
    <row r="512" spans="1:6" ht="22.5" customHeight="1" x14ac:dyDescent="0.3">
      <c r="A512" s="255" t="str">
        <f>Données_ATB!BD499</f>
        <v>TIAMVET SOLUTION</v>
      </c>
      <c r="B512" s="256" t="str">
        <f ca="1">INDEX(Données_ATB!BD:BP,MATCH(A512,Données_ATB!BD:BD,0),9)</f>
        <v>Tiamuline</v>
      </c>
      <c r="C512" s="257" t="str">
        <f ca="1">INDEX(Données_ATB!BD:BP,MATCH(A512,Données_ATB!BD:BD,0),13)</f>
        <v>Pleuromutilines</v>
      </c>
      <c r="D512" t="e">
        <f t="shared" ca="1" si="24"/>
        <v>#VALUE!</v>
      </c>
      <c r="E512" s="1" t="e">
        <f t="shared" ca="1" si="25"/>
        <v>#VALUE!</v>
      </c>
      <c r="F512" s="1" t="e">
        <f t="shared" ca="1" si="26"/>
        <v>#VALUE!</v>
      </c>
    </row>
    <row r="513" spans="1:6" ht="22.5" customHeight="1" x14ac:dyDescent="0.3">
      <c r="A513" s="255" t="str">
        <f>Données_ATB!BD500</f>
        <v>TILDOSIN 250 MG/ML SOLUTION POUR ADMINISTRATION DANS L'EAU DE BOISSON OU LAIT DE REMPLACEMENT POUR BOVINS, PORCINS, POULETS ET DINDES</v>
      </c>
      <c r="B513" s="256" t="str">
        <f ca="1">INDEX(Données_ATB!BD:BP,MATCH(A513,Données_ATB!BD:BD,0),9)</f>
        <v>Tilmicosine</v>
      </c>
      <c r="C513" s="257" t="str">
        <f ca="1">INDEX(Données_ATB!BD:BP,MATCH(A513,Données_ATB!BD:BD,0),13)</f>
        <v>Macrolides</v>
      </c>
      <c r="D513" t="e">
        <f t="shared" ca="1" si="24"/>
        <v>#VALUE!</v>
      </c>
      <c r="E513" s="1" t="e">
        <f t="shared" ca="1" si="25"/>
        <v>#VALUE!</v>
      </c>
      <c r="F513" s="1" t="e">
        <f t="shared" ca="1" si="26"/>
        <v>#VALUE!</v>
      </c>
    </row>
    <row r="514" spans="1:6" ht="22.5" customHeight="1" x14ac:dyDescent="0.3">
      <c r="A514" s="255" t="str">
        <f>Données_ATB!BD501</f>
        <v>TILMOPRO 250 MG/ML SOLUTION BUVABLE POUR UTILISATION DANS L'EAU DE BOISSON / LAIT</v>
      </c>
      <c r="B514" s="256" t="str">
        <f ca="1">INDEX(Données_ATB!BD:BP,MATCH(A514,Données_ATB!BD:BD,0),9)</f>
        <v>Tilmicosine</v>
      </c>
      <c r="C514" s="257" t="str">
        <f ca="1">INDEX(Données_ATB!BD:BP,MATCH(A514,Données_ATB!BD:BD,0),13)</f>
        <v>Macrolides</v>
      </c>
      <c r="D514" t="e">
        <f t="shared" ca="1" si="24"/>
        <v>#VALUE!</v>
      </c>
      <c r="E514" s="1" t="e">
        <f t="shared" ca="1" si="25"/>
        <v>#VALUE!</v>
      </c>
      <c r="F514" s="1" t="e">
        <f t="shared" ca="1" si="26"/>
        <v>#VALUE!</v>
      </c>
    </row>
    <row r="515" spans="1:6" ht="22.5" customHeight="1" x14ac:dyDescent="0.3">
      <c r="A515" s="255" t="str">
        <f>Données_ATB!BD502</f>
        <v>TILMOVET 250 MG/ML SOLUTION BUVABLE</v>
      </c>
      <c r="B515" s="256" t="str">
        <f ca="1">INDEX(Données_ATB!BD:BP,MATCH(A515,Données_ATB!BD:BD,0),9)</f>
        <v>Tilmicosine</v>
      </c>
      <c r="C515" s="257" t="str">
        <f ca="1">INDEX(Données_ATB!BD:BP,MATCH(A515,Données_ATB!BD:BD,0),13)</f>
        <v>Macrolides</v>
      </c>
      <c r="D515" t="e">
        <f t="shared" ca="1" si="24"/>
        <v>#VALUE!</v>
      </c>
      <c r="E515" s="1" t="e">
        <f t="shared" ca="1" si="25"/>
        <v>#VALUE!</v>
      </c>
      <c r="F515" s="1" t="e">
        <f t="shared" ca="1" si="26"/>
        <v>#VALUE!</v>
      </c>
    </row>
    <row r="516" spans="1:6" ht="22.5" customHeight="1" x14ac:dyDescent="0.3">
      <c r="A516" s="255" t="str">
        <f>Données_ATB!BD503</f>
        <v>TILMOVET 300 MG/ML SOLUTION INJECTABLE POUR BOVINS ET OVINS</v>
      </c>
      <c r="B516" s="256" t="str">
        <f ca="1">INDEX(Données_ATB!BD:BP,MATCH(A516,Données_ATB!BD:BD,0),9)</f>
        <v>Tilmicosine</v>
      </c>
      <c r="C516" s="257" t="str">
        <f ca="1">INDEX(Données_ATB!BD:BP,MATCH(A516,Données_ATB!BD:BD,0),13)</f>
        <v>Macrolides</v>
      </c>
      <c r="D516" t="e">
        <f t="shared" ca="1" si="24"/>
        <v>#VALUE!</v>
      </c>
      <c r="E516" s="1" t="e">
        <f t="shared" ca="1" si="25"/>
        <v>#VALUE!</v>
      </c>
      <c r="F516" s="1" t="e">
        <f t="shared" ca="1" si="26"/>
        <v>#VALUE!</v>
      </c>
    </row>
    <row r="517" spans="1:6" ht="22.5" customHeight="1" x14ac:dyDescent="0.3">
      <c r="A517" s="255" t="str">
        <f>Données_ATB!BD504</f>
        <v>TILMOVET 40 G/KG PREMELANGE MEDICAMENTEUX POUR PORCS ET LAPINS</v>
      </c>
      <c r="B517" s="256" t="str">
        <f ca="1">INDEX(Données_ATB!BD:BP,MATCH(A517,Données_ATB!BD:BD,0),9)</f>
        <v>Tilmicosine</v>
      </c>
      <c r="C517" s="257" t="str">
        <f ca="1">INDEX(Données_ATB!BD:BP,MATCH(A517,Données_ATB!BD:BD,0),13)</f>
        <v>Macrolides</v>
      </c>
      <c r="D517" t="e">
        <f t="shared" ca="1" si="24"/>
        <v>#VALUE!</v>
      </c>
      <c r="E517" s="1" t="e">
        <f t="shared" ca="1" si="25"/>
        <v>#VALUE!</v>
      </c>
      <c r="F517" s="1" t="e">
        <f t="shared" ca="1" si="26"/>
        <v>#VALUE!</v>
      </c>
    </row>
    <row r="518" spans="1:6" ht="22.5" customHeight="1" x14ac:dyDescent="0.3">
      <c r="A518" s="255" t="str">
        <f>Données_ATB!BD505</f>
        <v>TRANSGRAM ORAL</v>
      </c>
      <c r="B518" s="256" t="str">
        <f ca="1">INDEX(Données_ATB!BD:BP,MATCH(A518,Données_ATB!BD:BD,0),9)</f>
        <v>Gentamicine</v>
      </c>
      <c r="C518" s="257" t="str">
        <f ca="1">INDEX(Données_ATB!BD:BP,MATCH(A518,Données_ATB!BD:BD,0),13)</f>
        <v>Aminoglycosides</v>
      </c>
      <c r="D518" t="e">
        <f t="shared" ca="1" si="24"/>
        <v>#VALUE!</v>
      </c>
      <c r="E518" s="1" t="e">
        <f t="shared" ca="1" si="25"/>
        <v>#VALUE!</v>
      </c>
      <c r="F518" s="1" t="e">
        <f t="shared" ca="1" si="26"/>
        <v>#VALUE!</v>
      </c>
    </row>
    <row r="519" spans="1:6" ht="22.5" customHeight="1" x14ac:dyDescent="0.3">
      <c r="A519" s="255" t="str">
        <f>Données_ATB!BD506</f>
        <v>TRIBRISSEN INJECTABLE</v>
      </c>
      <c r="B519" s="256" t="str">
        <f ca="1">INDEX(Données_ATB!BD:BP,MATCH(A519,Données_ATB!BD:BD,0),9)</f>
        <v>Sulfadiazine + Triméthoprime</v>
      </c>
      <c r="C519" s="257" t="str">
        <f ca="1">INDEX(Données_ATB!BD:BP,MATCH(A519,Données_ATB!BD:BD,0),13)</f>
        <v>Sulfamides + Trimethoprime</v>
      </c>
      <c r="D519" t="e">
        <f t="shared" ca="1" si="24"/>
        <v>#VALUE!</v>
      </c>
      <c r="E519" s="1" t="e">
        <f t="shared" ca="1" si="25"/>
        <v>#VALUE!</v>
      </c>
      <c r="F519" s="1" t="e">
        <f t="shared" ca="1" si="26"/>
        <v>#VALUE!</v>
      </c>
    </row>
    <row r="520" spans="1:6" ht="22.5" customHeight="1" x14ac:dyDescent="0.3">
      <c r="A520" s="255" t="str">
        <f>Données_ATB!BD507</f>
        <v>TRIBRISSEN POISSONS</v>
      </c>
      <c r="B520" s="256" t="str">
        <f ca="1">INDEX(Données_ATB!BD:BP,MATCH(A520,Données_ATB!BD:BD,0),9)</f>
        <v>Sulfadiazine + Triméthoprime</v>
      </c>
      <c r="C520" s="257" t="str">
        <f ca="1">INDEX(Données_ATB!BD:BP,MATCH(A520,Données_ATB!BD:BD,0),13)</f>
        <v>Sulfamides + Trimethoprime</v>
      </c>
      <c r="D520" t="e">
        <f t="shared" ca="1" si="24"/>
        <v>#VALUE!</v>
      </c>
      <c r="E520" s="1" t="e">
        <f t="shared" ca="1" si="25"/>
        <v>#VALUE!</v>
      </c>
      <c r="F520" s="1" t="e">
        <f t="shared" ca="1" si="26"/>
        <v>#VALUE!</v>
      </c>
    </row>
    <row r="521" spans="1:6" ht="22.5" customHeight="1" x14ac:dyDescent="0.3">
      <c r="A521" s="255" t="str">
        <f>Données_ATB!BD508</f>
        <v>TRIMEDOXYNE ORALE</v>
      </c>
      <c r="B521" s="256" t="str">
        <f ca="1">INDEX(Données_ATB!BD:BP,MATCH(A521,Données_ATB!BD:BD,0),9)</f>
        <v>Sulfadiméthoxine + Triméthoprime</v>
      </c>
      <c r="C521" s="257" t="str">
        <f ca="1">INDEX(Données_ATB!BD:BP,MATCH(A521,Données_ATB!BD:BD,0),13)</f>
        <v>Sulfamides + Trimethoprime</v>
      </c>
      <c r="D521" t="e">
        <f t="shared" ca="1" si="24"/>
        <v>#VALUE!</v>
      </c>
      <c r="E521" s="1" t="e">
        <f t="shared" ca="1" si="25"/>
        <v>#VALUE!</v>
      </c>
      <c r="F521" s="1" t="e">
        <f t="shared" ca="1" si="26"/>
        <v>#VALUE!</v>
      </c>
    </row>
    <row r="522" spans="1:6" ht="22.5" customHeight="1" x14ac:dyDescent="0.3">
      <c r="A522" s="255" t="str">
        <f>Données_ATB!BD509</f>
        <v>TRIMETHOSULFA V</v>
      </c>
      <c r="B522" s="256" t="str">
        <f ca="1">INDEX(Données_ATB!BD:BP,MATCH(A522,Données_ATB!BD:BD,0),9)</f>
        <v>Sulfadiméthoxine + Triméthoprime</v>
      </c>
      <c r="C522" s="257" t="str">
        <f ca="1">INDEX(Données_ATB!BD:BP,MATCH(A522,Données_ATB!BD:BD,0),13)</f>
        <v>Sulfamides + Trimethoprime</v>
      </c>
      <c r="D522" t="e">
        <f t="shared" ca="1" si="24"/>
        <v>#VALUE!</v>
      </c>
      <c r="E522" s="1" t="e">
        <f t="shared" ca="1" si="25"/>
        <v>#VALUE!</v>
      </c>
      <c r="F522" s="1" t="e">
        <f t="shared" ca="1" si="26"/>
        <v>#VALUE!</v>
      </c>
    </row>
    <row r="523" spans="1:6" ht="22.5" customHeight="1" x14ac:dyDescent="0.3">
      <c r="A523" s="255" t="str">
        <f>Données_ATB!BD510</f>
        <v>TRIMETHOX</v>
      </c>
      <c r="B523" s="256" t="str">
        <f ca="1">INDEX(Données_ATB!BD:BP,MATCH(A523,Données_ATB!BD:BD,0),9)</f>
        <v>Sulfadiméthoxine + Triméthoprime</v>
      </c>
      <c r="C523" s="257" t="str">
        <f ca="1">INDEX(Données_ATB!BD:BP,MATCH(A523,Données_ATB!BD:BD,0),13)</f>
        <v>Sulfamides + Trimethoprime</v>
      </c>
      <c r="D523" t="e">
        <f t="shared" ca="1" si="24"/>
        <v>#VALUE!</v>
      </c>
      <c r="E523" s="1" t="e">
        <f t="shared" ca="1" si="25"/>
        <v>#VALUE!</v>
      </c>
      <c r="F523" s="1" t="e">
        <f t="shared" ca="1" si="26"/>
        <v>#VALUE!</v>
      </c>
    </row>
    <row r="524" spans="1:6" ht="22.5" customHeight="1" x14ac:dyDescent="0.3">
      <c r="A524" s="255" t="str">
        <f>Données_ATB!BD511</f>
        <v>TRISULMIX INJECTABLE</v>
      </c>
      <c r="B524" s="256" t="str">
        <f ca="1">INDEX(Données_ATB!BD:BP,MATCH(A524,Données_ATB!BD:BD,0),9)</f>
        <v>Sulfadiméthoxine + Triméthoprime</v>
      </c>
      <c r="C524" s="257" t="str">
        <f ca="1">INDEX(Données_ATB!BD:BP,MATCH(A524,Données_ATB!BD:BD,0),13)</f>
        <v>Sulfamides + Trimethoprime</v>
      </c>
      <c r="D524" t="e">
        <f t="shared" ca="1" si="24"/>
        <v>#VALUE!</v>
      </c>
      <c r="E524" s="1" t="e">
        <f t="shared" ca="1" si="25"/>
        <v>#VALUE!</v>
      </c>
      <c r="F524" s="1" t="e">
        <f t="shared" ca="1" si="26"/>
        <v>#VALUE!</v>
      </c>
    </row>
    <row r="525" spans="1:6" ht="22.5" customHeight="1" x14ac:dyDescent="0.3">
      <c r="A525" s="255" t="str">
        <f>Données_ATB!BD512</f>
        <v>TRISULMIX LIQUIDE</v>
      </c>
      <c r="B525" s="256" t="str">
        <f ca="1">INDEX(Données_ATB!BD:BP,MATCH(A525,Données_ATB!BD:BD,0),9)</f>
        <v>Sulfadiméthoxine + Triméthoprime</v>
      </c>
      <c r="C525" s="257" t="str">
        <f ca="1">INDEX(Données_ATB!BD:BP,MATCH(A525,Données_ATB!BD:BD,0),13)</f>
        <v>Sulfamides + Trimethoprime</v>
      </c>
      <c r="D525" t="e">
        <f t="shared" ca="1" si="24"/>
        <v>#VALUE!</v>
      </c>
      <c r="E525" s="1" t="e">
        <f t="shared" ca="1" si="25"/>
        <v>#VALUE!</v>
      </c>
      <c r="F525" s="1" t="e">
        <f t="shared" ca="1" si="26"/>
        <v>#VALUE!</v>
      </c>
    </row>
    <row r="526" spans="1:6" ht="22.5" customHeight="1" x14ac:dyDescent="0.3">
      <c r="A526" s="255" t="str">
        <f>Données_ATB!BD513</f>
        <v>TRISULMIX POUDRE</v>
      </c>
      <c r="B526" s="256" t="str">
        <f ca="1">INDEX(Données_ATB!BD:BP,MATCH(A526,Données_ATB!BD:BD,0),9)</f>
        <v>Sulfadiméthoxine + Triméthoprime</v>
      </c>
      <c r="C526" s="257" t="str">
        <f ca="1">INDEX(Données_ATB!BD:BP,MATCH(A526,Données_ATB!BD:BD,0),13)</f>
        <v>Sulfamides + Trimethoprime</v>
      </c>
      <c r="D526" t="e">
        <f t="shared" ca="1" si="24"/>
        <v>#VALUE!</v>
      </c>
      <c r="E526" s="1" t="e">
        <f t="shared" ca="1" si="25"/>
        <v>#VALUE!</v>
      </c>
      <c r="F526" s="1" t="e">
        <f t="shared" ca="1" si="26"/>
        <v>#VALUE!</v>
      </c>
    </row>
    <row r="527" spans="1:6" ht="22.5" customHeight="1" x14ac:dyDescent="0.3">
      <c r="A527" s="255" t="str">
        <f>Données_ATB!BD514</f>
        <v>TRULEVA FLOW 50 MG/ML SUSPENSION INJECTABLE POUR PORCINS ET BOVINS</v>
      </c>
      <c r="B527" s="256" t="str">
        <f ca="1">INDEX(Données_ATB!BD:BP,MATCH(A527,Données_ATB!BD:BD,0),9)</f>
        <v>Ceftiofur</v>
      </c>
      <c r="C527" s="257" t="str">
        <f ca="1">INDEX(Données_ATB!BD:BP,MATCH(A527,Données_ATB!BD:BD,0),13)</f>
        <v>Cephalosporines 3&amp;4G</v>
      </c>
      <c r="D527" t="e">
        <f t="shared" ca="1" si="24"/>
        <v>#VALUE!</v>
      </c>
      <c r="E527" s="1" t="str">
        <f t="shared" ca="1" si="25"/>
        <v>x</v>
      </c>
      <c r="F527" s="1" t="e">
        <f t="shared" ca="1" si="26"/>
        <v>#VALUE!</v>
      </c>
    </row>
    <row r="528" spans="1:6" ht="22.5" customHeight="1" x14ac:dyDescent="0.3">
      <c r="A528" s="255" t="str">
        <f>Données_ATB!BD515</f>
        <v>TRYMOX LA 150 MG/ML SUSPENSION INJECTABLE POUR BOVINS OVINS PORCINS CHIENS ET CHATS</v>
      </c>
      <c r="B528" s="256" t="str">
        <f ca="1">INDEX(Données_ATB!BD:BP,MATCH(A528,Données_ATB!BD:BD,0),9)</f>
        <v>Amoxicilline</v>
      </c>
      <c r="C528" s="257" t="str">
        <f ca="1">INDEX(Données_ATB!BD:BP,MATCH(A528,Données_ATB!BD:BD,0),13)</f>
        <v>Penicillines</v>
      </c>
      <c r="D528" t="e">
        <f t="shared" ca="1" si="24"/>
        <v>#VALUE!</v>
      </c>
      <c r="E528" s="1" t="e">
        <f t="shared" ca="1" si="25"/>
        <v>#VALUE!</v>
      </c>
      <c r="F528" s="1" t="e">
        <f t="shared" ca="1" si="26"/>
        <v>#VALUE!</v>
      </c>
    </row>
    <row r="529" spans="1:6" ht="22.5" customHeight="1" x14ac:dyDescent="0.3">
      <c r="A529" s="255" t="str">
        <f>Données_ATB!BD516</f>
        <v>TULAPRO 100 MG/ML SOLUTION INJECTABLE POUR BOVINS, PORCINS ET OVINS</v>
      </c>
      <c r="B529" s="256" t="str">
        <f ca="1">INDEX(Données_ATB!BD:BP,MATCH(A529,Données_ATB!BD:BD,0),9)</f>
        <v>Tulathromycine</v>
      </c>
      <c r="C529" s="257" t="str">
        <f ca="1">INDEX(Données_ATB!BD:BP,MATCH(A529,Données_ATB!BD:BD,0),13)</f>
        <v>Macrolides</v>
      </c>
      <c r="D529" t="e">
        <f t="shared" ca="1" si="24"/>
        <v>#VALUE!</v>
      </c>
      <c r="E529" s="1" t="e">
        <f t="shared" ca="1" si="25"/>
        <v>#VALUE!</v>
      </c>
      <c r="F529" s="1" t="e">
        <f t="shared" ca="1" si="26"/>
        <v>#VALUE!</v>
      </c>
    </row>
    <row r="530" spans="1:6" ht="22.5" customHeight="1" x14ac:dyDescent="0.3">
      <c r="A530" s="255" t="str">
        <f>Données_ATB!BD517</f>
        <v>TULAPRO 25 MG/ML SOLUTION INJECTABLE POUR PORCINS</v>
      </c>
      <c r="B530" s="256" t="str">
        <f ca="1">INDEX(Données_ATB!BD:BP,MATCH(A530,Données_ATB!BD:BD,0),9)</f>
        <v>Tulathromycine</v>
      </c>
      <c r="C530" s="257" t="str">
        <f ca="1">INDEX(Données_ATB!BD:BP,MATCH(A530,Données_ATB!BD:BD,0),13)</f>
        <v>Macrolides</v>
      </c>
      <c r="D530" t="e">
        <f t="shared" ca="1" si="24"/>
        <v>#VALUE!</v>
      </c>
      <c r="E530" s="1" t="e">
        <f t="shared" ca="1" si="25"/>
        <v>#VALUE!</v>
      </c>
      <c r="F530" s="1" t="e">
        <f t="shared" ca="1" si="26"/>
        <v>#VALUE!</v>
      </c>
    </row>
    <row r="531" spans="1:6" ht="22.5" customHeight="1" x14ac:dyDescent="0.3">
      <c r="A531" s="255" t="str">
        <f>Données_ATB!BD518</f>
        <v>TULAVEN 100 MG/ML SOLUTION INJECTABLE POUR BOVINS PORCINS ET OVINS</v>
      </c>
      <c r="B531" s="256" t="str">
        <f ca="1">INDEX(Données_ATB!BD:BP,MATCH(A531,Données_ATB!BD:BD,0),9)</f>
        <v>Tulathromycine</v>
      </c>
      <c r="C531" s="257" t="str">
        <f ca="1">INDEX(Données_ATB!BD:BP,MATCH(A531,Données_ATB!BD:BD,0),13)</f>
        <v>Macrolides</v>
      </c>
      <c r="D531" t="e">
        <f t="shared" ca="1" si="24"/>
        <v>#VALUE!</v>
      </c>
      <c r="E531" s="1" t="e">
        <f t="shared" ca="1" si="25"/>
        <v>#VALUE!</v>
      </c>
      <c r="F531" s="1" t="e">
        <f t="shared" ca="1" si="26"/>
        <v>#VALUE!</v>
      </c>
    </row>
    <row r="532" spans="1:6" ht="22.5" customHeight="1" x14ac:dyDescent="0.3">
      <c r="A532" s="255" t="str">
        <f>Données_ATB!BD519</f>
        <v>TULAVEN 25 MG/ML SOLUTION INJECTABLE POUR PORCINS</v>
      </c>
      <c r="B532" s="256" t="str">
        <f ca="1">INDEX(Données_ATB!BD:BP,MATCH(A532,Données_ATB!BD:BD,0),9)</f>
        <v>Tulathromycine</v>
      </c>
      <c r="C532" s="257" t="str">
        <f ca="1">INDEX(Données_ATB!BD:BP,MATCH(A532,Données_ATB!BD:BD,0),13)</f>
        <v>Macrolides</v>
      </c>
      <c r="D532" t="e">
        <f t="shared" ca="1" si="24"/>
        <v>#VALUE!</v>
      </c>
      <c r="E532" s="1" t="e">
        <f t="shared" ca="1" si="25"/>
        <v>#VALUE!</v>
      </c>
      <c r="F532" s="1" t="e">
        <f t="shared" ca="1" si="26"/>
        <v>#VALUE!</v>
      </c>
    </row>
    <row r="533" spans="1:6" ht="22.5" customHeight="1" x14ac:dyDescent="0.3">
      <c r="A533" s="255" t="str">
        <f>Données_ATB!BD520</f>
        <v>TULINOVET 100 MG/ML SOLUTION INJECTABLE POUR BOVINS PORCINS ET OVINS</v>
      </c>
      <c r="B533" s="256" t="str">
        <f ca="1">INDEX(Données_ATB!BD:BP,MATCH(A533,Données_ATB!BD:BD,0),9)</f>
        <v>Tulathromycine</v>
      </c>
      <c r="C533" s="257" t="str">
        <f ca="1">INDEX(Données_ATB!BD:BP,MATCH(A533,Données_ATB!BD:BD,0),13)</f>
        <v>Macrolides</v>
      </c>
      <c r="D533" t="e">
        <f t="shared" ca="1" si="24"/>
        <v>#VALUE!</v>
      </c>
      <c r="E533" s="1" t="e">
        <f t="shared" ca="1" si="25"/>
        <v>#VALUE!</v>
      </c>
      <c r="F533" s="1" t="e">
        <f t="shared" ca="1" si="26"/>
        <v>#VALUE!</v>
      </c>
    </row>
    <row r="534" spans="1:6" ht="22.5" customHeight="1" x14ac:dyDescent="0.3">
      <c r="A534" s="255" t="str">
        <f>Données_ATB!BD521</f>
        <v>TULISSIN 100 MG/ML SOLUTION INJECTABLE POUR BOVINS PORCINS ET OVINS</v>
      </c>
      <c r="B534" s="256" t="str">
        <f ca="1">INDEX(Données_ATB!BD:BP,MATCH(A534,Données_ATB!BD:BD,0),9)</f>
        <v>Tulathromycine</v>
      </c>
      <c r="C534" s="257" t="str">
        <f ca="1">INDEX(Données_ATB!BD:BP,MATCH(A534,Données_ATB!BD:BD,0),13)</f>
        <v>Macrolides</v>
      </c>
      <c r="D534" t="e">
        <f t="shared" ca="1" si="24"/>
        <v>#VALUE!</v>
      </c>
      <c r="E534" s="1" t="e">
        <f t="shared" ca="1" si="25"/>
        <v>#VALUE!</v>
      </c>
      <c r="F534" s="1" t="e">
        <f t="shared" ca="1" si="26"/>
        <v>#VALUE!</v>
      </c>
    </row>
    <row r="535" spans="1:6" ht="22.5" customHeight="1" x14ac:dyDescent="0.3">
      <c r="A535" s="255" t="str">
        <f>Données_ATB!BD522</f>
        <v>TULISSIN 25 MG/ML SOLUTION INJECTABLE POUR PORCINS</v>
      </c>
      <c r="B535" s="256" t="str">
        <f ca="1">INDEX(Données_ATB!BD:BP,MATCH(A535,Données_ATB!BD:BD,0),9)</f>
        <v>Tulathromycine</v>
      </c>
      <c r="C535" s="257" t="str">
        <f ca="1">INDEX(Données_ATB!BD:BP,MATCH(A535,Données_ATB!BD:BD,0),13)</f>
        <v>Macrolides</v>
      </c>
      <c r="D535" t="e">
        <f t="shared" ref="D535:D575" ca="1" si="27">IF(SEARCH("Colistine",B535)&gt;0,"x","")</f>
        <v>#VALUE!</v>
      </c>
      <c r="E535" s="1" t="e">
        <f t="shared" ref="E535:E575" ca="1" si="28">IF(SEARCH("Cephalosporines 3&amp;4G",C535)&gt;0,"x","")</f>
        <v>#VALUE!</v>
      </c>
      <c r="F535" s="1" t="e">
        <f t="shared" ref="F535:F575" ca="1" si="29">IF(SEARCH("Cephalosporines 3&amp;4G",C535)&gt;0,"x","")&amp;IF(SEARCH("Fluoroquinolones",C535)&gt;0,"x","")</f>
        <v>#VALUE!</v>
      </c>
    </row>
    <row r="536" spans="1:6" ht="22.5" customHeight="1" x14ac:dyDescent="0.3">
      <c r="A536" s="255" t="str">
        <f>Données_ATB!BD523</f>
        <v>TULOXXIN 100 MG/ML SOLUTION INJECTABLE POUR BOVINS PORCINS ET OVINS</v>
      </c>
      <c r="B536" s="256" t="str">
        <f ca="1">INDEX(Données_ATB!BD:BP,MATCH(A536,Données_ATB!BD:BD,0),9)</f>
        <v>Tulathromycine</v>
      </c>
      <c r="C536" s="257" t="str">
        <f ca="1">INDEX(Données_ATB!BD:BP,MATCH(A536,Données_ATB!BD:BD,0),13)</f>
        <v>Macrolides</v>
      </c>
      <c r="D536" t="e">
        <f t="shared" ca="1" si="27"/>
        <v>#VALUE!</v>
      </c>
      <c r="E536" s="1" t="e">
        <f t="shared" ca="1" si="28"/>
        <v>#VALUE!</v>
      </c>
      <c r="F536" s="1" t="e">
        <f t="shared" ca="1" si="29"/>
        <v>#VALUE!</v>
      </c>
    </row>
    <row r="537" spans="1:6" ht="22.5" customHeight="1" x14ac:dyDescent="0.3">
      <c r="A537" s="255" t="str">
        <f>Données_ATB!BD524</f>
        <v>TYLAN 100 PREMIX</v>
      </c>
      <c r="B537" s="256" t="str">
        <f ca="1">INDEX(Données_ATB!BD:BP,MATCH(A537,Données_ATB!BD:BD,0),9)</f>
        <v>Tylosine</v>
      </c>
      <c r="C537" s="257" t="str">
        <f ca="1">INDEX(Données_ATB!BD:BP,MATCH(A537,Données_ATB!BD:BD,0),13)</f>
        <v>Macrolides</v>
      </c>
      <c r="D537" t="e">
        <f t="shared" ca="1" si="27"/>
        <v>#VALUE!</v>
      </c>
      <c r="E537" s="1" t="e">
        <f t="shared" ca="1" si="28"/>
        <v>#VALUE!</v>
      </c>
      <c r="F537" s="1" t="e">
        <f t="shared" ca="1" si="29"/>
        <v>#VALUE!</v>
      </c>
    </row>
    <row r="538" spans="1:6" ht="22.5" customHeight="1" x14ac:dyDescent="0.3">
      <c r="A538" s="255" t="str">
        <f>Données_ATB!BD525</f>
        <v>TYLAN 20 PREMIX</v>
      </c>
      <c r="B538" s="256" t="str">
        <f ca="1">INDEX(Données_ATB!BD:BP,MATCH(A538,Données_ATB!BD:BD,0),9)</f>
        <v>Tylosine</v>
      </c>
      <c r="C538" s="257" t="str">
        <f ca="1">INDEX(Données_ATB!BD:BP,MATCH(A538,Données_ATB!BD:BD,0),13)</f>
        <v>Macrolides</v>
      </c>
      <c r="D538" t="e">
        <f t="shared" ca="1" si="27"/>
        <v>#VALUE!</v>
      </c>
      <c r="E538" s="1" t="e">
        <f t="shared" ca="1" si="28"/>
        <v>#VALUE!</v>
      </c>
      <c r="F538" s="1" t="e">
        <f t="shared" ca="1" si="29"/>
        <v>#VALUE!</v>
      </c>
    </row>
    <row r="539" spans="1:6" ht="22.5" customHeight="1" x14ac:dyDescent="0.3">
      <c r="A539" s="255" t="str">
        <f>Données_ATB!BD526</f>
        <v>TYLAN 200 000 UI/ML SOLUTION INJECTABLE</v>
      </c>
      <c r="B539" s="256" t="str">
        <f ca="1">INDEX(Données_ATB!BD:BP,MATCH(A539,Données_ATB!BD:BD,0),9)</f>
        <v>Tylosine</v>
      </c>
      <c r="C539" s="257" t="str">
        <f ca="1">INDEX(Données_ATB!BD:BP,MATCH(A539,Données_ATB!BD:BD,0),13)</f>
        <v>Macrolides</v>
      </c>
      <c r="D539" t="e">
        <f t="shared" ca="1" si="27"/>
        <v>#VALUE!</v>
      </c>
      <c r="E539" s="1" t="e">
        <f t="shared" ca="1" si="28"/>
        <v>#VALUE!</v>
      </c>
      <c r="F539" s="1" t="e">
        <f t="shared" ca="1" si="29"/>
        <v>#VALUE!</v>
      </c>
    </row>
    <row r="540" spans="1:6" ht="22.5" customHeight="1" x14ac:dyDescent="0.3">
      <c r="A540" s="255" t="str">
        <f>Données_ATB!BD527</f>
        <v>TYLAN SOLUBLE 100 %</v>
      </c>
      <c r="B540" s="256" t="str">
        <f ca="1">INDEX(Données_ATB!BD:BP,MATCH(A540,Données_ATB!BD:BD,0),9)</f>
        <v>Tylosine</v>
      </c>
      <c r="C540" s="257" t="str">
        <f ca="1">INDEX(Données_ATB!BD:BP,MATCH(A540,Données_ATB!BD:BD,0),13)</f>
        <v>Macrolides</v>
      </c>
      <c r="D540" t="e">
        <f t="shared" ca="1" si="27"/>
        <v>#VALUE!</v>
      </c>
      <c r="E540" s="1" t="e">
        <f t="shared" ca="1" si="28"/>
        <v>#VALUE!</v>
      </c>
      <c r="F540" s="1" t="e">
        <f t="shared" ca="1" si="29"/>
        <v>#VALUE!</v>
      </c>
    </row>
    <row r="541" spans="1:6" ht="22.5" customHeight="1" x14ac:dyDescent="0.3">
      <c r="A541" s="255" t="str">
        <f>Données_ATB!BD528</f>
        <v>TYLMASIN</v>
      </c>
      <c r="B541" s="256" t="str">
        <f ca="1">INDEX(Données_ATB!BD:BP,MATCH(A541,Données_ATB!BD:BD,0),9)</f>
        <v>Tylosine</v>
      </c>
      <c r="C541" s="257" t="str">
        <f ca="1">INDEX(Données_ATB!BD:BP,MATCH(A541,Données_ATB!BD:BD,0),13)</f>
        <v>Macrolides</v>
      </c>
      <c r="D541" t="e">
        <f t="shared" ca="1" si="27"/>
        <v>#VALUE!</v>
      </c>
      <c r="E541" s="1" t="e">
        <f t="shared" ca="1" si="28"/>
        <v>#VALUE!</v>
      </c>
      <c r="F541" s="1" t="e">
        <f t="shared" ca="1" si="29"/>
        <v>#VALUE!</v>
      </c>
    </row>
    <row r="542" spans="1:6" ht="22.5" customHeight="1" x14ac:dyDescent="0.3">
      <c r="A542" s="255" t="str">
        <f>Données_ATB!BD529</f>
        <v>TYLOGRAN 100 %</v>
      </c>
      <c r="B542" s="256" t="str">
        <f ca="1">INDEX(Données_ATB!BD:BP,MATCH(A542,Données_ATB!BD:BD,0),9)</f>
        <v>Tylosine</v>
      </c>
      <c r="C542" s="257" t="str">
        <f ca="1">INDEX(Données_ATB!BD:BP,MATCH(A542,Données_ATB!BD:BD,0),13)</f>
        <v>Macrolides</v>
      </c>
      <c r="D542" t="e">
        <f t="shared" ca="1" si="27"/>
        <v>#VALUE!</v>
      </c>
      <c r="E542" s="1" t="e">
        <f t="shared" ca="1" si="28"/>
        <v>#VALUE!</v>
      </c>
      <c r="F542" s="1" t="e">
        <f t="shared" ca="1" si="29"/>
        <v>#VALUE!</v>
      </c>
    </row>
    <row r="543" spans="1:6" ht="22.5" customHeight="1" x14ac:dyDescent="0.3">
      <c r="A543" s="255" t="str">
        <f>Données_ATB!BD530</f>
        <v>TYLOLIDE</v>
      </c>
      <c r="B543" s="256" t="str">
        <f ca="1">INDEX(Données_ATB!BD:BP,MATCH(A543,Données_ATB!BD:BD,0),9)</f>
        <v>Tylosine</v>
      </c>
      <c r="C543" s="257" t="str">
        <f ca="1">INDEX(Données_ATB!BD:BP,MATCH(A543,Données_ATB!BD:BD,0),13)</f>
        <v>Macrolides</v>
      </c>
      <c r="D543" t="e">
        <f t="shared" ca="1" si="27"/>
        <v>#VALUE!</v>
      </c>
      <c r="E543" s="1" t="e">
        <f t="shared" ca="1" si="28"/>
        <v>#VALUE!</v>
      </c>
      <c r="F543" s="1" t="e">
        <f t="shared" ca="1" si="29"/>
        <v>#VALUE!</v>
      </c>
    </row>
    <row r="544" spans="1:6" ht="22.5" customHeight="1" x14ac:dyDescent="0.3">
      <c r="A544" s="255" t="str">
        <f>Données_ATB!BD531</f>
        <v>TYLORAL</v>
      </c>
      <c r="B544" s="256" t="str">
        <f ca="1">INDEX(Données_ATB!BD:BP,MATCH(A544,Données_ATB!BD:BD,0),9)</f>
        <v>Tylosine</v>
      </c>
      <c r="C544" s="257" t="str">
        <f ca="1">INDEX(Données_ATB!BD:BP,MATCH(A544,Données_ATB!BD:BD,0),13)</f>
        <v>Macrolides</v>
      </c>
      <c r="D544" t="e">
        <f t="shared" ca="1" si="27"/>
        <v>#VALUE!</v>
      </c>
      <c r="E544" s="1" t="e">
        <f t="shared" ca="1" si="28"/>
        <v>#VALUE!</v>
      </c>
      <c r="F544" s="1" t="e">
        <f t="shared" ca="1" si="29"/>
        <v>#VALUE!</v>
      </c>
    </row>
    <row r="545" spans="1:6" ht="22.5" customHeight="1" x14ac:dyDescent="0.3">
      <c r="A545" s="255" t="str">
        <f>Données_ATB!BD532</f>
        <v>TYLOSOL 9,2</v>
      </c>
      <c r="B545" s="256" t="str">
        <f ca="1">INDEX(Données_ATB!BD:BP,MATCH(A545,Données_ATB!BD:BD,0),9)</f>
        <v>Tylosine</v>
      </c>
      <c r="C545" s="257" t="str">
        <f ca="1">INDEX(Données_ATB!BD:BP,MATCH(A545,Données_ATB!BD:BD,0),13)</f>
        <v>Macrolides</v>
      </c>
      <c r="D545" t="e">
        <f t="shared" ca="1" si="27"/>
        <v>#VALUE!</v>
      </c>
      <c r="E545" s="1" t="e">
        <f t="shared" ca="1" si="28"/>
        <v>#VALUE!</v>
      </c>
      <c r="F545" s="1" t="e">
        <f t="shared" ca="1" si="29"/>
        <v>#VALUE!</v>
      </c>
    </row>
    <row r="546" spans="1:6" ht="22.5" customHeight="1" x14ac:dyDescent="0.3">
      <c r="A546" s="255" t="str">
        <f>Données_ATB!BD533</f>
        <v>TYLUCYL 200 MG/ML SOLUTION INJECTABLE POUR BOVINS ET PORCINS</v>
      </c>
      <c r="B546" s="256" t="str">
        <f ca="1">INDEX(Données_ATB!BD:BP,MATCH(A546,Données_ATB!BD:BD,0),9)</f>
        <v>Tylosine</v>
      </c>
      <c r="C546" s="257" t="str">
        <f ca="1">INDEX(Données_ATB!BD:BP,MATCH(A546,Données_ATB!BD:BD,0),13)</f>
        <v>Macrolides</v>
      </c>
      <c r="D546" t="e">
        <f t="shared" ca="1" si="27"/>
        <v>#VALUE!</v>
      </c>
      <c r="E546" s="1" t="e">
        <f t="shared" ca="1" si="28"/>
        <v>#VALUE!</v>
      </c>
      <c r="F546" s="1" t="e">
        <f t="shared" ca="1" si="29"/>
        <v>#VALUE!</v>
      </c>
    </row>
    <row r="547" spans="1:6" ht="22.5" customHeight="1" x14ac:dyDescent="0.3">
      <c r="A547" s="255" t="str">
        <f>Données_ATB!BD534</f>
        <v>UBIFLOX 100 MG/ML SOLUTION INJECTABLE POUR BOVINS ET PORCINS (TRUIES)</v>
      </c>
      <c r="B547" s="256" t="str">
        <f ca="1">INDEX(Données_ATB!BD:BP,MATCH(A547,Données_ATB!BD:BD,0),9)</f>
        <v>Marbofloxacine</v>
      </c>
      <c r="C547" s="257" t="str">
        <f ca="1">INDEX(Données_ATB!BD:BP,MATCH(A547,Données_ATB!BD:BD,0),13)</f>
        <v>Fluoroquinolones</v>
      </c>
      <c r="D547" t="e">
        <f t="shared" ca="1" si="27"/>
        <v>#VALUE!</v>
      </c>
      <c r="E547" s="1" t="e">
        <f t="shared" ca="1" si="28"/>
        <v>#VALUE!</v>
      </c>
      <c r="F547" s="1" t="e">
        <f t="shared" ca="1" si="29"/>
        <v>#VALUE!</v>
      </c>
    </row>
    <row r="548" spans="1:6" ht="22.5" customHeight="1" x14ac:dyDescent="0.3">
      <c r="A548" s="255" t="str">
        <f>Données_ATB!BD535</f>
        <v>UBIFLOX 20 MG/ML SOLUTION INJECTABLE POUR BOVINS ET PORCINS</v>
      </c>
      <c r="B548" s="256" t="str">
        <f ca="1">INDEX(Données_ATB!BD:BP,MATCH(A548,Données_ATB!BD:BD,0),9)</f>
        <v>Marbofloxacine</v>
      </c>
      <c r="C548" s="257" t="str">
        <f ca="1">INDEX(Données_ATB!BD:BP,MATCH(A548,Données_ATB!BD:BD,0),13)</f>
        <v>Fluoroquinolones</v>
      </c>
      <c r="D548" t="e">
        <f t="shared" ca="1" si="27"/>
        <v>#VALUE!</v>
      </c>
      <c r="E548" s="1" t="e">
        <f t="shared" ca="1" si="28"/>
        <v>#VALUE!</v>
      </c>
      <c r="F548" s="1" t="e">
        <f t="shared" ca="1" si="29"/>
        <v>#VALUE!</v>
      </c>
    </row>
    <row r="549" spans="1:6" ht="22.5" customHeight="1" x14ac:dyDescent="0.3">
      <c r="A549" s="255" t="str">
        <f>Données_ATB!BD536</f>
        <v>UBROLEXIN SUSPENSION INTRAMAMMAIRE POUR VACHES LAITIERES EN LACTATION</v>
      </c>
      <c r="B549" s="256" t="str">
        <f ca="1">INDEX(Données_ATB!BD:BP,MATCH(A549,Données_ATB!BD:BD,0),9)</f>
        <v>Céfalexine + Kanamycine</v>
      </c>
      <c r="C549" s="257" t="str">
        <f ca="1">INDEX(Données_ATB!BD:BP,MATCH(A549,Données_ATB!BD:BD,0),13)</f>
        <v>Cephalosporines 1&amp;2G + Aminoglycosides</v>
      </c>
      <c r="D549" t="e">
        <f t="shared" ca="1" si="27"/>
        <v>#VALUE!</v>
      </c>
      <c r="E549" s="1" t="e">
        <f t="shared" ca="1" si="28"/>
        <v>#VALUE!</v>
      </c>
      <c r="F549" s="1" t="e">
        <f t="shared" ca="1" si="29"/>
        <v>#VALUE!</v>
      </c>
    </row>
    <row r="550" spans="1:6" ht="22.5" customHeight="1" x14ac:dyDescent="0.3">
      <c r="A550" s="255" t="str">
        <f>Données_ATB!BD537</f>
        <v>UBROPEN SUSPENSION INTRAMAMMAIRE POUR VACHES EN LACTATION</v>
      </c>
      <c r="B550" s="256" t="str">
        <f ca="1">INDEX(Données_ATB!BD:BP,MATCH(A550,Données_ATB!BD:BD,0),9)</f>
        <v>Benzylpénicilline</v>
      </c>
      <c r="C550" s="257" t="str">
        <f ca="1">INDEX(Données_ATB!BD:BP,MATCH(A550,Données_ATB!BD:BD,0),13)</f>
        <v>Penicillines</v>
      </c>
      <c r="D550" t="e">
        <f t="shared" ca="1" si="27"/>
        <v>#VALUE!</v>
      </c>
      <c r="E550" s="1" t="e">
        <f t="shared" ca="1" si="28"/>
        <v>#VALUE!</v>
      </c>
      <c r="F550" s="1" t="e">
        <f t="shared" ca="1" si="29"/>
        <v>#VALUE!</v>
      </c>
    </row>
    <row r="551" spans="1:6" ht="22.5" customHeight="1" x14ac:dyDescent="0.3">
      <c r="A551" s="255" t="str">
        <f>Données_ATB!BD538</f>
        <v>UBROSTAR SUSPENSION INTRAMAMMAIRE HORS LACTATION POUR BOVINS</v>
      </c>
      <c r="B551" s="256" t="str">
        <f ca="1">INDEX(Données_ATB!BD:BP,MATCH(A551,Données_ATB!BD:BD,0),9)</f>
        <v>Benzylpénicilline + Pénéthamate (ou pénéthacilline) + Framycétine</v>
      </c>
      <c r="C551" s="257" t="str">
        <f ca="1">INDEX(Données_ATB!BD:BP,MATCH(A551,Données_ATB!BD:BD,0),13)</f>
        <v>Penicillines</v>
      </c>
      <c r="D551" t="e">
        <f t="shared" ca="1" si="27"/>
        <v>#VALUE!</v>
      </c>
      <c r="E551" s="1" t="e">
        <f t="shared" ca="1" si="28"/>
        <v>#VALUE!</v>
      </c>
      <c r="F551" s="1" t="e">
        <f t="shared" ca="1" si="29"/>
        <v>#VALUE!</v>
      </c>
    </row>
    <row r="552" spans="1:6" ht="22.5" customHeight="1" x14ac:dyDescent="0.3">
      <c r="A552" s="255" t="str">
        <f>Données_ATB!BD539</f>
        <v>UCAMIX V COLISTINE 200 LAPIN-VOLAILLE-PORC ET VEAU-AGNEAU-CHEVREAU SEVRES</v>
      </c>
      <c r="B552" s="256" t="str">
        <f ca="1">INDEX(Données_ATB!BD:BP,MATCH(A552,Données_ATB!BD:BD,0),9)</f>
        <v>Colistine</v>
      </c>
      <c r="C552" s="257" t="str">
        <f ca="1">INDEX(Données_ATB!BD:BP,MATCH(A552,Données_ATB!BD:BD,0),13)</f>
        <v>Polypeptides</v>
      </c>
      <c r="D552" t="str">
        <f t="shared" ca="1" si="27"/>
        <v>x</v>
      </c>
      <c r="E552" s="1" t="e">
        <f t="shared" ca="1" si="28"/>
        <v>#VALUE!</v>
      </c>
      <c r="F552" s="1" t="e">
        <f t="shared" ca="1" si="29"/>
        <v>#VALUE!</v>
      </c>
    </row>
    <row r="553" spans="1:6" ht="22.5" customHeight="1" x14ac:dyDescent="0.3">
      <c r="A553" s="255" t="str">
        <f>Données_ATB!BD540</f>
        <v>UCAMIX V COLISTINE 400 PORC</v>
      </c>
      <c r="B553" s="256" t="str">
        <f ca="1">INDEX(Données_ATB!BD:BP,MATCH(A553,Données_ATB!BD:BD,0),9)</f>
        <v>Colistine</v>
      </c>
      <c r="C553" s="257" t="str">
        <f ca="1">INDEX(Données_ATB!BD:BP,MATCH(A553,Données_ATB!BD:BD,0),13)</f>
        <v>Polypeptides</v>
      </c>
      <c r="D553" t="str">
        <f t="shared" ca="1" si="27"/>
        <v>x</v>
      </c>
      <c r="E553" s="1" t="e">
        <f t="shared" ca="1" si="28"/>
        <v>#VALUE!</v>
      </c>
      <c r="F553" s="1" t="e">
        <f t="shared" ca="1" si="29"/>
        <v>#VALUE!</v>
      </c>
    </row>
    <row r="554" spans="1:6" ht="22.5" customHeight="1" x14ac:dyDescent="0.3">
      <c r="A554" s="255" t="str">
        <f>Données_ATB!BD541</f>
        <v>UCAMIX V OXYTETRACYCLINE 100 PORC</v>
      </c>
      <c r="B554" s="256" t="str">
        <f ca="1">INDEX(Données_ATB!BD:BP,MATCH(A554,Données_ATB!BD:BD,0),9)</f>
        <v>Oxytétracycline</v>
      </c>
      <c r="C554" s="257" t="str">
        <f ca="1">INDEX(Données_ATB!BD:BP,MATCH(A554,Données_ATB!BD:BD,0),13)</f>
        <v>Tetracyclines</v>
      </c>
      <c r="D554" t="e">
        <f t="shared" ca="1" si="27"/>
        <v>#VALUE!</v>
      </c>
      <c r="E554" s="1" t="e">
        <f t="shared" ca="1" si="28"/>
        <v>#VALUE!</v>
      </c>
      <c r="F554" s="1" t="e">
        <f t="shared" ca="1" si="29"/>
        <v>#VALUE!</v>
      </c>
    </row>
    <row r="555" spans="1:6" ht="22.5" customHeight="1" x14ac:dyDescent="0.3">
      <c r="A555" s="255" t="str">
        <f>Données_ATB!BD542</f>
        <v>UCAMIX V OXYTETRACYCLINE 40 LAPIN-VOLAILLE-PORC ET VEAU-AGNEAU-CHEVREAU SEVRES</v>
      </c>
      <c r="B555" s="256" t="str">
        <f ca="1">INDEX(Données_ATB!BD:BP,MATCH(A555,Données_ATB!BD:BD,0),9)</f>
        <v>Oxytétracycline</v>
      </c>
      <c r="C555" s="257" t="str">
        <f ca="1">INDEX(Données_ATB!BD:BP,MATCH(A555,Données_ATB!BD:BD,0),13)</f>
        <v>Tetracyclines</v>
      </c>
      <c r="D555" t="e">
        <f t="shared" ca="1" si="27"/>
        <v>#VALUE!</v>
      </c>
      <c r="E555" s="1" t="e">
        <f t="shared" ca="1" si="28"/>
        <v>#VALUE!</v>
      </c>
      <c r="F555" s="1" t="e">
        <f t="shared" ca="1" si="29"/>
        <v>#VALUE!</v>
      </c>
    </row>
    <row r="556" spans="1:6" ht="22.5" customHeight="1" x14ac:dyDescent="0.3">
      <c r="A556" s="255" t="str">
        <f>Données_ATB!BD543</f>
        <v>VETMULIN 101,2 MG/ML SOLUTION A DILUER DANS L'EAU DE BOISSON POUR PORCS</v>
      </c>
      <c r="B556" s="256" t="str">
        <f ca="1">INDEX(Données_ATB!BD:BP,MATCH(A556,Données_ATB!BD:BD,0),9)</f>
        <v>Tiamuline</v>
      </c>
      <c r="C556" s="257" t="str">
        <f ca="1">INDEX(Données_ATB!BD:BP,MATCH(A556,Données_ATB!BD:BD,0),13)</f>
        <v>Pleuromutilines</v>
      </c>
      <c r="D556" t="e">
        <f t="shared" ca="1" si="27"/>
        <v>#VALUE!</v>
      </c>
      <c r="E556" s="1" t="e">
        <f t="shared" ca="1" si="28"/>
        <v>#VALUE!</v>
      </c>
      <c r="F556" s="1" t="e">
        <f t="shared" ca="1" si="29"/>
        <v>#VALUE!</v>
      </c>
    </row>
    <row r="557" spans="1:6" ht="22.5" customHeight="1" x14ac:dyDescent="0.3">
      <c r="A557" s="255" t="str">
        <f>Données_ATB!BD544</f>
        <v>VETMULIN 101,2 MG/ML SOLUTION POUR ADMINISTRATION DANS L'EAU DE BOISSON POUR PORCINS ET POULES PONDEUSES</v>
      </c>
      <c r="B557" s="256" t="str">
        <f ca="1">INDEX(Données_ATB!BD:BP,MATCH(A557,Données_ATB!BD:BD,0),9)</f>
        <v>Tiamuline</v>
      </c>
      <c r="C557" s="257" t="str">
        <f ca="1">INDEX(Données_ATB!BD:BP,MATCH(A557,Données_ATB!BD:BD,0),13)</f>
        <v>Pleuromutilines</v>
      </c>
      <c r="D557" t="e">
        <f t="shared" ca="1" si="27"/>
        <v>#VALUE!</v>
      </c>
      <c r="E557" s="1" t="e">
        <f t="shared" ca="1" si="28"/>
        <v>#VALUE!</v>
      </c>
      <c r="F557" s="1" t="e">
        <f t="shared" ca="1" si="29"/>
        <v>#VALUE!</v>
      </c>
    </row>
    <row r="558" spans="1:6" ht="22.5" customHeight="1" x14ac:dyDescent="0.3">
      <c r="A558" s="255" t="str">
        <f>Données_ATB!BD545</f>
        <v>VETMULIN 101,2 MG/ML SOLUTION POUR LAPINS</v>
      </c>
      <c r="B558" s="256" t="str">
        <f ca="1">INDEX(Données_ATB!BD:BP,MATCH(A558,Données_ATB!BD:BD,0),9)</f>
        <v>Tiamuline</v>
      </c>
      <c r="C558" s="257" t="str">
        <f ca="1">INDEX(Données_ATB!BD:BP,MATCH(A558,Données_ATB!BD:BD,0),13)</f>
        <v>Pleuromutilines</v>
      </c>
      <c r="D558" t="e">
        <f t="shared" ca="1" si="27"/>
        <v>#VALUE!</v>
      </c>
      <c r="E558" s="1" t="e">
        <f t="shared" ca="1" si="28"/>
        <v>#VALUE!</v>
      </c>
      <c r="F558" s="1" t="e">
        <f t="shared" ca="1" si="29"/>
        <v>#VALUE!</v>
      </c>
    </row>
    <row r="559" spans="1:6" ht="22.5" customHeight="1" x14ac:dyDescent="0.3">
      <c r="A559" s="255" t="str">
        <f>Données_ATB!BD546</f>
        <v>VETMULIN 16,2 MG/G PREMELANGE MEDICAMENTEUX POUR PORCS, POULETS, DINDES ET LAPINS</v>
      </c>
      <c r="B559" s="256" t="str">
        <f ca="1">INDEX(Données_ATB!BD:BP,MATCH(A559,Données_ATB!BD:BD,0),9)</f>
        <v>Tiamuline</v>
      </c>
      <c r="C559" s="257" t="str">
        <f ca="1">INDEX(Données_ATB!BD:BP,MATCH(A559,Données_ATB!BD:BD,0),13)</f>
        <v>Pleuromutilines</v>
      </c>
      <c r="D559" t="e">
        <f t="shared" ca="1" si="27"/>
        <v>#VALUE!</v>
      </c>
      <c r="E559" s="1" t="e">
        <f t="shared" ca="1" si="28"/>
        <v>#VALUE!</v>
      </c>
      <c r="F559" s="1" t="e">
        <f t="shared" ca="1" si="29"/>
        <v>#VALUE!</v>
      </c>
    </row>
    <row r="560" spans="1:6" ht="22.5" customHeight="1" x14ac:dyDescent="0.3">
      <c r="A560" s="255" t="str">
        <f>Données_ATB!BD547</f>
        <v>VETMULIN 162 MG/ML SOLUTION INJECTABLE POUR PORCS</v>
      </c>
      <c r="B560" s="256" t="str">
        <f ca="1">INDEX(Données_ATB!BD:BP,MATCH(A560,Données_ATB!BD:BD,0),9)</f>
        <v>Tiamuline</v>
      </c>
      <c r="C560" s="257" t="str">
        <f ca="1">INDEX(Données_ATB!BD:BP,MATCH(A560,Données_ATB!BD:BD,0),13)</f>
        <v>Pleuromutilines</v>
      </c>
      <c r="D560" t="e">
        <f t="shared" ca="1" si="27"/>
        <v>#VALUE!</v>
      </c>
      <c r="E560" s="1" t="e">
        <f t="shared" ca="1" si="28"/>
        <v>#VALUE!</v>
      </c>
      <c r="F560" s="1" t="e">
        <f t="shared" ca="1" si="29"/>
        <v>#VALUE!</v>
      </c>
    </row>
    <row r="561" spans="1:6" ht="22.5" customHeight="1" x14ac:dyDescent="0.3">
      <c r="A561" s="255" t="str">
        <f>Données_ATB!BD548</f>
        <v>VETMULIN 364 MG/G GRANULES POUR SOLUTION BUVABLE POUR PORCS POULETS ET DINDONS</v>
      </c>
      <c r="B561" s="256" t="str">
        <f ca="1">INDEX(Données_ATB!BD:BP,MATCH(A561,Données_ATB!BD:BD,0),9)</f>
        <v>Tiamuline</v>
      </c>
      <c r="C561" s="257" t="str">
        <f ca="1">INDEX(Données_ATB!BD:BP,MATCH(A561,Données_ATB!BD:BD,0),13)</f>
        <v>Pleuromutilines</v>
      </c>
      <c r="D561" t="e">
        <f t="shared" ca="1" si="27"/>
        <v>#VALUE!</v>
      </c>
      <c r="E561" s="1" t="e">
        <f t="shared" ca="1" si="28"/>
        <v>#VALUE!</v>
      </c>
      <c r="F561" s="1" t="e">
        <f t="shared" ca="1" si="29"/>
        <v>#VALUE!</v>
      </c>
    </row>
    <row r="562" spans="1:6" ht="22.5" customHeight="1" x14ac:dyDescent="0.3">
      <c r="A562" s="255" t="str">
        <f>Données_ATB!BD549</f>
        <v>VETMULIN 81 MG/G PREMELANGE MEDICAMENTEUX POUR PORCS, POULETS, DINDES ET LAPINS</v>
      </c>
      <c r="B562" s="256" t="str">
        <f ca="1">INDEX(Données_ATB!BD:BP,MATCH(A562,Données_ATB!BD:BD,0),9)</f>
        <v>Tiamuline</v>
      </c>
      <c r="C562" s="257" t="str">
        <f ca="1">INDEX(Données_ATB!BD:BP,MATCH(A562,Données_ATB!BD:BD,0),13)</f>
        <v>Pleuromutilines</v>
      </c>
      <c r="D562" t="e">
        <f t="shared" ca="1" si="27"/>
        <v>#VALUE!</v>
      </c>
      <c r="E562" s="1" t="e">
        <f t="shared" ca="1" si="28"/>
        <v>#VALUE!</v>
      </c>
      <c r="F562" s="1" t="e">
        <f t="shared" ca="1" si="29"/>
        <v>#VALUE!</v>
      </c>
    </row>
    <row r="563" spans="1:6" ht="22.5" customHeight="1" x14ac:dyDescent="0.3">
      <c r="A563" s="255" t="str">
        <f>Données_ATB!BD550</f>
        <v>VETO-ANTI-DIAR</v>
      </c>
      <c r="B563" s="256" t="str">
        <f ca="1">INDEX(Données_ATB!BD:BP,MATCH(A563,Données_ATB!BD:BD,0),9)</f>
        <v>Sulfaguanidine</v>
      </c>
      <c r="C563" s="257" t="str">
        <f ca="1">INDEX(Données_ATB!BD:BP,MATCH(A563,Données_ATB!BD:BD,0),13)</f>
        <v>Sulfamides</v>
      </c>
      <c r="D563" t="e">
        <f t="shared" ca="1" si="27"/>
        <v>#VALUE!</v>
      </c>
      <c r="E563" s="1" t="e">
        <f t="shared" ca="1" si="28"/>
        <v>#VALUE!</v>
      </c>
      <c r="F563" s="1" t="e">
        <f t="shared" ca="1" si="29"/>
        <v>#VALUE!</v>
      </c>
    </row>
    <row r="564" spans="1:6" ht="22.5" customHeight="1" x14ac:dyDescent="0.3">
      <c r="A564" s="255" t="str">
        <f>Données_ATB!BD551</f>
        <v>VETOCOLI POUDRE SOLUBLE</v>
      </c>
      <c r="B564" s="256" t="str">
        <f ca="1">INDEX(Données_ATB!BD:BP,MATCH(A564,Données_ATB!BD:BD,0),9)</f>
        <v>Colistine</v>
      </c>
      <c r="C564" s="257" t="str">
        <f ca="1">INDEX(Données_ATB!BD:BP,MATCH(A564,Données_ATB!BD:BD,0),13)</f>
        <v>Polypeptides</v>
      </c>
      <c r="D564" t="str">
        <f t="shared" ca="1" si="27"/>
        <v>x</v>
      </c>
      <c r="E564" s="1" t="e">
        <f t="shared" ca="1" si="28"/>
        <v>#VALUE!</v>
      </c>
      <c r="F564" s="1" t="e">
        <f t="shared" ca="1" si="29"/>
        <v>#VALUE!</v>
      </c>
    </row>
    <row r="565" spans="1:6" ht="22.5" customHeight="1" x14ac:dyDescent="0.3">
      <c r="A565" s="255" t="str">
        <f>Données_ATB!BD552</f>
        <v>VETRIGEN</v>
      </c>
      <c r="B565" s="256" t="str">
        <f ca="1">INDEX(Données_ATB!BD:BP,MATCH(A565,Données_ATB!BD:BD,0),9)</f>
        <v>Gentamicine</v>
      </c>
      <c r="C565" s="257" t="str">
        <f ca="1">INDEX(Données_ATB!BD:BP,MATCH(A565,Données_ATB!BD:BD,0),13)</f>
        <v>Aminoglycosides</v>
      </c>
      <c r="D565" t="e">
        <f t="shared" ca="1" si="27"/>
        <v>#VALUE!</v>
      </c>
      <c r="E565" s="1" t="e">
        <f t="shared" ca="1" si="28"/>
        <v>#VALUE!</v>
      </c>
      <c r="F565" s="1" t="e">
        <f t="shared" ca="1" si="29"/>
        <v>#VALUE!</v>
      </c>
    </row>
    <row r="566" spans="1:6" ht="22.5" customHeight="1" x14ac:dyDescent="0.3">
      <c r="A566" s="255" t="str">
        <f>Données_ATB!BD553</f>
        <v>VETRIMOXIN 48 HEURES</v>
      </c>
      <c r="B566" s="256" t="str">
        <f ca="1">INDEX(Données_ATB!BD:BP,MATCH(A566,Données_ATB!BD:BD,0),9)</f>
        <v>Amoxicilline</v>
      </c>
      <c r="C566" s="257" t="str">
        <f ca="1">INDEX(Données_ATB!BD:BP,MATCH(A566,Données_ATB!BD:BD,0),13)</f>
        <v>Penicillines</v>
      </c>
      <c r="D566" t="e">
        <f t="shared" ca="1" si="27"/>
        <v>#VALUE!</v>
      </c>
      <c r="E566" s="1" t="e">
        <f t="shared" ca="1" si="28"/>
        <v>#VALUE!</v>
      </c>
      <c r="F566" s="1" t="e">
        <f t="shared" ca="1" si="29"/>
        <v>#VALUE!</v>
      </c>
    </row>
    <row r="567" spans="1:6" ht="22.5" customHeight="1" x14ac:dyDescent="0.3">
      <c r="A567" s="255" t="str">
        <f>Données_ATB!BD554</f>
        <v>VETRIMOXIN 50</v>
      </c>
      <c r="B567" s="256" t="str">
        <f ca="1">INDEX(Données_ATB!BD:BP,MATCH(A567,Données_ATB!BD:BD,0),9)</f>
        <v>Amoxicilline</v>
      </c>
      <c r="C567" s="257" t="str">
        <f ca="1">INDEX(Données_ATB!BD:BP,MATCH(A567,Données_ATB!BD:BD,0),13)</f>
        <v>Penicillines</v>
      </c>
      <c r="D567" t="e">
        <f t="shared" ca="1" si="27"/>
        <v>#VALUE!</v>
      </c>
      <c r="E567" s="1" t="e">
        <f t="shared" ca="1" si="28"/>
        <v>#VALUE!</v>
      </c>
      <c r="F567" s="1" t="e">
        <f t="shared" ca="1" si="29"/>
        <v>#VALUE!</v>
      </c>
    </row>
    <row r="568" spans="1:6" ht="22.5" customHeight="1" x14ac:dyDescent="0.3">
      <c r="A568" s="255" t="str">
        <f>Données_ATB!BD555</f>
        <v>VETRIMOXIN P.O.</v>
      </c>
      <c r="B568" s="256" t="str">
        <f ca="1">INDEX(Données_ATB!BD:BP,MATCH(A568,Données_ATB!BD:BD,0),9)</f>
        <v>Amoxicilline</v>
      </c>
      <c r="C568" s="257" t="str">
        <f ca="1">INDEX(Données_ATB!BD:BP,MATCH(A568,Données_ATB!BD:BD,0),13)</f>
        <v>Penicillines</v>
      </c>
      <c r="D568" t="e">
        <f t="shared" ca="1" si="27"/>
        <v>#VALUE!</v>
      </c>
      <c r="E568" s="1" t="e">
        <f t="shared" ca="1" si="28"/>
        <v>#VALUE!</v>
      </c>
      <c r="F568" s="1" t="e">
        <f t="shared" ca="1" si="29"/>
        <v>#VALUE!</v>
      </c>
    </row>
    <row r="569" spans="1:6" ht="22.5" customHeight="1" x14ac:dyDescent="0.3">
      <c r="A569" s="255" t="str">
        <f>Données_ATB!BD556</f>
        <v>VIRBACTAN</v>
      </c>
      <c r="B569" s="256" t="str">
        <f ca="1">INDEX(Données_ATB!BD:BP,MATCH(A569,Données_ATB!BD:BD,0),9)</f>
        <v>Cefquinome</v>
      </c>
      <c r="C569" s="257" t="str">
        <f ca="1">INDEX(Données_ATB!BD:BP,MATCH(A569,Données_ATB!BD:BD,0),13)</f>
        <v>Cephalosporines 3&amp;4G</v>
      </c>
      <c r="D569" t="e">
        <f t="shared" ca="1" si="27"/>
        <v>#VALUE!</v>
      </c>
      <c r="E569" s="1" t="str">
        <f t="shared" ca="1" si="28"/>
        <v>x</v>
      </c>
      <c r="F569" s="1" t="e">
        <f t="shared" ca="1" si="29"/>
        <v>#VALUE!</v>
      </c>
    </row>
    <row r="570" spans="1:6" ht="22.5" customHeight="1" x14ac:dyDescent="0.3">
      <c r="A570" s="255" t="str">
        <f>Données_ATB!BD557</f>
        <v>VIRGOCILLINE</v>
      </c>
      <c r="B570" s="256" t="str">
        <f ca="1">INDEX(Données_ATB!BD:BP,MATCH(A570,Données_ATB!BD:BD,0),9)</f>
        <v>Colistine</v>
      </c>
      <c r="C570" s="257" t="str">
        <f ca="1">INDEX(Données_ATB!BD:BP,MATCH(A570,Données_ATB!BD:BD,0),13)</f>
        <v>Polypeptides</v>
      </c>
      <c r="D570" t="str">
        <f t="shared" ca="1" si="27"/>
        <v>x</v>
      </c>
      <c r="E570" s="1" t="e">
        <f t="shared" ca="1" si="28"/>
        <v>#VALUE!</v>
      </c>
      <c r="F570" s="1" t="e">
        <f t="shared" ca="1" si="29"/>
        <v>#VALUE!</v>
      </c>
    </row>
    <row r="571" spans="1:6" ht="22.5" customHeight="1" x14ac:dyDescent="0.3">
      <c r="A571" s="255" t="str">
        <f>Données_ATB!BD558</f>
        <v>VOLACRINE SULFA</v>
      </c>
      <c r="B571" s="256" t="str">
        <f ca="1">INDEX(Données_ATB!BD:BP,MATCH(A571,Données_ATB!BD:BD,0),9)</f>
        <v>Sulfadimidine + Sulfaquinoxaline</v>
      </c>
      <c r="C571" s="257" t="str">
        <f ca="1">INDEX(Données_ATB!BD:BP,MATCH(A571,Données_ATB!BD:BD,0),13)</f>
        <v>Sulfamides</v>
      </c>
      <c r="D571" t="e">
        <f t="shared" ca="1" si="27"/>
        <v>#VALUE!</v>
      </c>
      <c r="E571" s="1" t="e">
        <f t="shared" ca="1" si="28"/>
        <v>#VALUE!</v>
      </c>
      <c r="F571" s="1" t="e">
        <f t="shared" ca="1" si="29"/>
        <v>#VALUE!</v>
      </c>
    </row>
    <row r="572" spans="1:6" ht="22.5" customHeight="1" x14ac:dyDescent="0.3">
      <c r="A572" s="255" t="str">
        <f>Données_ATB!BD559</f>
        <v>ZACTRAN 150 MG/ML SOLUTION INJECTABLE POUR BOVINS OVINS ET PORCINS</v>
      </c>
      <c r="B572" s="256" t="str">
        <f ca="1">INDEX(Données_ATB!BD:BP,MATCH(A572,Données_ATB!BD:BD,0),9)</f>
        <v>Gamithromycine</v>
      </c>
      <c r="C572" s="257" t="str">
        <f ca="1">INDEX(Données_ATB!BD:BP,MATCH(A572,Données_ATB!BD:BD,0),13)</f>
        <v>Macrolides</v>
      </c>
      <c r="D572" t="e">
        <f t="shared" ca="1" si="27"/>
        <v>#VALUE!</v>
      </c>
      <c r="E572" s="1" t="e">
        <f t="shared" ca="1" si="28"/>
        <v>#VALUE!</v>
      </c>
      <c r="F572" s="1" t="e">
        <f t="shared" ca="1" si="29"/>
        <v>#VALUE!</v>
      </c>
    </row>
    <row r="573" spans="1:6" ht="22.5" customHeight="1" x14ac:dyDescent="0.3">
      <c r="A573" s="255" t="str">
        <f>Données_ATB!BD560</f>
        <v>ZELERIS SOLUTION INJECTABLE POUR BOVINS</v>
      </c>
      <c r="B573" s="256" t="str">
        <f ca="1">INDEX(Données_ATB!BD:BP,MATCH(A573,Données_ATB!BD:BD,0),9)</f>
        <v>Florfénicol</v>
      </c>
      <c r="C573" s="257" t="str">
        <f ca="1">INDEX(Données_ATB!BD:BP,MATCH(A573,Données_ATB!BD:BD,0),13)</f>
        <v>Phenicoles</v>
      </c>
      <c r="D573" t="e">
        <f t="shared" ca="1" si="27"/>
        <v>#VALUE!</v>
      </c>
      <c r="E573" s="1" t="e">
        <f t="shared" ca="1" si="28"/>
        <v>#VALUE!</v>
      </c>
      <c r="F573" s="1" t="e">
        <f t="shared" ca="1" si="29"/>
        <v>#VALUE!</v>
      </c>
    </row>
    <row r="574" spans="1:6" ht="22.5" customHeight="1" x14ac:dyDescent="0.3">
      <c r="A574" s="255" t="str">
        <f>Données_ATB!BD561</f>
        <v>ZUPREVO 180 MG/ML SOLUTION INJECTABLE POUR BOVINS</v>
      </c>
      <c r="B574" s="256" t="str">
        <f ca="1">INDEX(Données_ATB!BD:BP,MATCH(A574,Données_ATB!BD:BD,0),9)</f>
        <v>Tildipirosine</v>
      </c>
      <c r="C574" s="257" t="str">
        <f ca="1">INDEX(Données_ATB!BD:BP,MATCH(A574,Données_ATB!BD:BD,0),13)</f>
        <v>Macrolides</v>
      </c>
      <c r="D574" t="e">
        <f t="shared" ca="1" si="27"/>
        <v>#VALUE!</v>
      </c>
      <c r="E574" s="1" t="e">
        <f t="shared" ca="1" si="28"/>
        <v>#VALUE!</v>
      </c>
      <c r="F574" s="1" t="e">
        <f t="shared" ca="1" si="29"/>
        <v>#VALUE!</v>
      </c>
    </row>
    <row r="575" spans="1:6" ht="22.5" customHeight="1" x14ac:dyDescent="0.3">
      <c r="A575" s="261" t="str">
        <f>Données_ATB!BD562</f>
        <v>ZUPREVO 40 MG/ML SOLUTION INJECTABLE POUR PORCINS</v>
      </c>
      <c r="B575" s="262" t="str">
        <f ca="1">INDEX(Données_ATB!BD:BP,MATCH(A575,Données_ATB!BD:BD,0),9)</f>
        <v>Tildipirosine</v>
      </c>
      <c r="C575" s="263" t="str">
        <f ca="1">INDEX(Données_ATB!BD:BP,MATCH(A575,Données_ATB!BD:BD,0),13)</f>
        <v>Macrolides</v>
      </c>
      <c r="D575" t="e">
        <f t="shared" ca="1" si="27"/>
        <v>#VALUE!</v>
      </c>
      <c r="E575" s="1" t="e">
        <f t="shared" ca="1" si="28"/>
        <v>#VALUE!</v>
      </c>
      <c r="F575" s="1" t="e">
        <f t="shared" ca="1" si="29"/>
        <v>#VALUE!</v>
      </c>
    </row>
    <row r="576" spans="1:6" ht="22.5" hidden="1" customHeight="1" x14ac:dyDescent="0.3">
      <c r="A576" s="258"/>
      <c r="B576" s="258"/>
      <c r="C576" s="258"/>
      <c r="E576" s="1"/>
      <c r="F576" s="1"/>
    </row>
    <row r="577" spans="1:6" ht="22.5" hidden="1" customHeight="1" x14ac:dyDescent="0.3">
      <c r="A577" s="258"/>
      <c r="B577" s="258"/>
      <c r="C577" s="258"/>
      <c r="E577" s="1"/>
      <c r="F577" s="1"/>
    </row>
    <row r="578" spans="1:6" ht="22.5" hidden="1" customHeight="1" x14ac:dyDescent="0.3">
      <c r="A578" s="258"/>
      <c r="B578" s="258"/>
      <c r="C578" s="258"/>
      <c r="E578" s="1"/>
      <c r="F578" s="1"/>
    </row>
    <row r="579" spans="1:6" ht="22.5" hidden="1" customHeight="1" x14ac:dyDescent="0.3">
      <c r="A579" s="258"/>
      <c r="B579" s="258"/>
      <c r="C579" s="258"/>
      <c r="E579" s="1"/>
      <c r="F579" s="1"/>
    </row>
    <row r="580" spans="1:6" ht="22.5" hidden="1" customHeight="1" x14ac:dyDescent="0.3">
      <c r="A580" s="258"/>
      <c r="B580" s="258"/>
      <c r="C580" s="258"/>
      <c r="E580" s="1"/>
      <c r="F580" s="1"/>
    </row>
    <row r="581" spans="1:6" ht="22.5" hidden="1" customHeight="1" x14ac:dyDescent="0.3">
      <c r="A581" s="258"/>
      <c r="B581" s="258"/>
      <c r="C581" s="258"/>
      <c r="E581" s="1"/>
      <c r="F581" s="1"/>
    </row>
    <row r="582" spans="1:6" ht="22.5" hidden="1" customHeight="1" x14ac:dyDescent="0.3">
      <c r="A582" s="258"/>
      <c r="B582" s="258"/>
      <c r="C582" s="258"/>
      <c r="E582" s="1"/>
      <c r="F582" s="1"/>
    </row>
    <row r="583" spans="1:6" ht="22.5" hidden="1" customHeight="1" x14ac:dyDescent="0.3">
      <c r="A583" s="258"/>
      <c r="B583" s="258"/>
      <c r="C583" s="258"/>
      <c r="E583" s="1"/>
      <c r="F583" s="1"/>
    </row>
    <row r="584" spans="1:6" ht="22.5" hidden="1" customHeight="1" x14ac:dyDescent="0.3">
      <c r="A584" s="258"/>
      <c r="B584" s="258"/>
      <c r="C584" s="258"/>
      <c r="E584" s="1"/>
      <c r="F584" s="1"/>
    </row>
    <row r="585" spans="1:6" ht="22.5" hidden="1" customHeight="1" x14ac:dyDescent="0.3">
      <c r="A585" s="258"/>
      <c r="B585" s="258"/>
      <c r="C585" s="258"/>
      <c r="E585" s="1"/>
      <c r="F585" s="1"/>
    </row>
    <row r="586" spans="1:6" ht="22.5" hidden="1" customHeight="1" x14ac:dyDescent="0.3">
      <c r="A586" s="258"/>
      <c r="B586" s="258"/>
      <c r="C586" s="258"/>
      <c r="E586" s="1"/>
      <c r="F586" s="1"/>
    </row>
    <row r="587" spans="1:6" ht="22.5" hidden="1" customHeight="1" x14ac:dyDescent="0.3">
      <c r="A587" s="258"/>
      <c r="B587" s="258"/>
      <c r="C587" s="258"/>
      <c r="E587" s="1"/>
      <c r="F587" s="1"/>
    </row>
    <row r="588" spans="1:6" ht="22.5" hidden="1" customHeight="1" x14ac:dyDescent="0.3">
      <c r="A588" s="258"/>
      <c r="B588" s="258"/>
      <c r="C588" s="258"/>
      <c r="E588" s="1"/>
      <c r="F588" s="1"/>
    </row>
    <row r="589" spans="1:6" ht="22.5" hidden="1" customHeight="1" x14ac:dyDescent="0.3">
      <c r="A589" s="258"/>
      <c r="B589" s="258"/>
      <c r="C589" s="258"/>
      <c r="E589" s="1"/>
      <c r="F589" s="1"/>
    </row>
    <row r="590" spans="1:6" ht="22.5" hidden="1" customHeight="1" x14ac:dyDescent="0.3">
      <c r="A590" s="258"/>
      <c r="B590" s="258"/>
      <c r="C590" s="258"/>
      <c r="E590" s="1"/>
      <c r="F590" s="1"/>
    </row>
    <row r="591" spans="1:6" ht="22.5" hidden="1" customHeight="1" x14ac:dyDescent="0.3">
      <c r="A591" s="258"/>
      <c r="B591" s="258"/>
      <c r="C591" s="258"/>
      <c r="E591" s="1"/>
      <c r="F591" s="1"/>
    </row>
    <row r="592" spans="1:6" ht="22.5" hidden="1" customHeight="1" x14ac:dyDescent="0.3">
      <c r="A592" s="258"/>
      <c r="B592" s="258"/>
      <c r="C592" s="258"/>
      <c r="E592" s="1"/>
      <c r="F592" s="1"/>
    </row>
    <row r="593" spans="1:6" ht="22.5" hidden="1" customHeight="1" x14ac:dyDescent="0.3">
      <c r="A593" s="258"/>
      <c r="B593" s="258"/>
      <c r="C593" s="258"/>
      <c r="E593" s="1"/>
      <c r="F593" s="1"/>
    </row>
    <row r="594" spans="1:6" ht="22.5" hidden="1" customHeight="1" x14ac:dyDescent="0.3">
      <c r="A594" s="258"/>
      <c r="B594" s="258"/>
      <c r="C594" s="258"/>
      <c r="E594" s="1"/>
      <c r="F594" s="1"/>
    </row>
    <row r="595" spans="1:6" ht="22.5" hidden="1" customHeight="1" x14ac:dyDescent="0.3">
      <c r="A595" s="258"/>
      <c r="B595" s="258"/>
      <c r="C595" s="258"/>
      <c r="E595" s="1"/>
      <c r="F595" s="1"/>
    </row>
    <row r="596" spans="1:6" ht="22.5" hidden="1" customHeight="1" x14ac:dyDescent="0.3">
      <c r="A596" s="258"/>
      <c r="B596" s="258"/>
      <c r="C596" s="258"/>
      <c r="E596" s="1"/>
      <c r="F596" s="1"/>
    </row>
    <row r="597" spans="1:6" ht="22.5" hidden="1" customHeight="1" x14ac:dyDescent="0.3">
      <c r="A597" s="258"/>
      <c r="B597" s="258"/>
      <c r="C597" s="258"/>
      <c r="E597" s="1"/>
      <c r="F597" s="1"/>
    </row>
    <row r="598" spans="1:6" ht="22.5" hidden="1" customHeight="1" x14ac:dyDescent="0.3">
      <c r="A598" s="258"/>
      <c r="B598" s="258"/>
      <c r="C598" s="258"/>
      <c r="E598" s="1"/>
      <c r="F598" s="1"/>
    </row>
    <row r="599" spans="1:6" ht="22.5" hidden="1" customHeight="1" x14ac:dyDescent="0.3">
      <c r="A599" s="258"/>
      <c r="B599" s="258"/>
      <c r="C599" s="258"/>
      <c r="E599" s="1"/>
      <c r="F599" s="1"/>
    </row>
    <row r="600" spans="1:6" ht="22.5" hidden="1" customHeight="1" x14ac:dyDescent="0.3">
      <c r="A600" s="258"/>
      <c r="B600" s="258"/>
      <c r="C600" s="258"/>
      <c r="E600" s="1"/>
      <c r="F600" s="1"/>
    </row>
    <row r="601" spans="1:6" ht="22.5" hidden="1" customHeight="1" x14ac:dyDescent="0.3">
      <c r="A601" s="258"/>
      <c r="B601" s="258"/>
      <c r="C601" s="258"/>
      <c r="E601" s="1"/>
      <c r="F601" s="1"/>
    </row>
    <row r="602" spans="1:6" ht="22.5" hidden="1" customHeight="1" x14ac:dyDescent="0.3">
      <c r="A602" s="258"/>
      <c r="B602" s="258"/>
      <c r="C602" s="258"/>
      <c r="E602" s="1"/>
      <c r="F602" s="1"/>
    </row>
    <row r="603" spans="1:6" ht="22.5" hidden="1" customHeight="1" x14ac:dyDescent="0.3">
      <c r="A603" s="258"/>
      <c r="B603" s="258"/>
      <c r="C603" s="258"/>
      <c r="E603" s="1"/>
      <c r="F603" s="1"/>
    </row>
    <row r="604" spans="1:6" ht="22.5" hidden="1" customHeight="1" x14ac:dyDescent="0.3">
      <c r="A604" s="258"/>
      <c r="B604" s="258"/>
      <c r="C604" s="258"/>
      <c r="E604" s="1"/>
      <c r="F604" s="1"/>
    </row>
    <row r="605" spans="1:6" ht="22.5" hidden="1" customHeight="1" x14ac:dyDescent="0.3">
      <c r="A605" s="258"/>
      <c r="B605" s="258"/>
      <c r="C605" s="258"/>
      <c r="E605" s="1"/>
      <c r="F605" s="1"/>
    </row>
    <row r="606" spans="1:6" ht="22.5" hidden="1" customHeight="1" x14ac:dyDescent="0.3">
      <c r="A606" s="258"/>
      <c r="B606" s="258"/>
      <c r="C606" s="258"/>
      <c r="E606" s="1"/>
      <c r="F606" s="1"/>
    </row>
    <row r="607" spans="1:6" ht="22.5" hidden="1" customHeight="1" x14ac:dyDescent="0.3">
      <c r="A607" s="258"/>
      <c r="B607" s="258"/>
      <c r="C607" s="258"/>
      <c r="E607" s="1"/>
      <c r="F607" s="1"/>
    </row>
    <row r="608" spans="1:6" ht="22.5" hidden="1" customHeight="1" x14ac:dyDescent="0.3">
      <c r="A608" s="258"/>
      <c r="B608" s="258"/>
      <c r="C608" s="258"/>
      <c r="E608" s="1"/>
      <c r="F608" s="1"/>
    </row>
    <row r="609" spans="1:6" ht="22.5" hidden="1" customHeight="1" x14ac:dyDescent="0.3">
      <c r="A609" s="258"/>
      <c r="B609" s="258"/>
      <c r="C609" s="258"/>
      <c r="E609" s="1"/>
      <c r="F609" s="1"/>
    </row>
    <row r="610" spans="1:6" ht="22.5" hidden="1" customHeight="1" x14ac:dyDescent="0.3">
      <c r="A610" s="258"/>
      <c r="B610" s="258"/>
      <c r="C610" s="258"/>
      <c r="E610" s="1"/>
      <c r="F610" s="1"/>
    </row>
    <row r="611" spans="1:6" ht="22.5" hidden="1" customHeight="1" x14ac:dyDescent="0.3">
      <c r="A611" s="258"/>
      <c r="B611" s="258"/>
      <c r="C611" s="258"/>
      <c r="E611" s="1"/>
      <c r="F611" s="1"/>
    </row>
    <row r="612" spans="1:6" ht="22.5" hidden="1" customHeight="1" x14ac:dyDescent="0.3">
      <c r="A612" s="258"/>
      <c r="B612" s="258"/>
      <c r="C612" s="258"/>
      <c r="E612" s="1"/>
      <c r="F612" s="1"/>
    </row>
    <row r="613" spans="1:6" hidden="1" x14ac:dyDescent="0.3">
      <c r="A613" s="258"/>
      <c r="B613" s="258"/>
      <c r="C613" s="258"/>
    </row>
    <row r="614" spans="1:6" hidden="1" x14ac:dyDescent="0.3">
      <c r="A614" s="258"/>
      <c r="B614" s="258"/>
      <c r="C614" s="258"/>
    </row>
    <row r="615" spans="1:6" hidden="1" x14ac:dyDescent="0.3">
      <c r="A615" s="258"/>
      <c r="B615" s="258"/>
      <c r="C615" s="258"/>
    </row>
    <row r="616" spans="1:6" hidden="1" x14ac:dyDescent="0.3">
      <c r="A616" s="258"/>
      <c r="B616" s="258"/>
      <c r="C616" s="258"/>
    </row>
  </sheetData>
  <sheetProtection algorithmName="SHA-512" hashValue="Oi7nAixZ6jlc/NVbhsZ2ZYWdmGOYev/39SoAFpaul8Xxv0BN/meyUlAm4lHY2e2hBM6uwBORxTr3b1OmqQL7Jw==" saltValue="qbH7wzBnsaaIaNByk57VOA==" spinCount="100000" sheet="1" sort="0" autoFilter="0"/>
  <autoFilter ref="A15:C375" xr:uid="{00000000-0009-0000-0000-000007000000}"/>
  <mergeCells count="13">
    <mergeCell ref="A1:C7"/>
    <mergeCell ref="AX15:AY15"/>
    <mergeCell ref="J15:K15"/>
    <mergeCell ref="M15:N15"/>
    <mergeCell ref="O15:P15"/>
    <mergeCell ref="T15:V15"/>
    <mergeCell ref="X15:Y15"/>
    <mergeCell ref="AF15:AG15"/>
    <mergeCell ref="AH15:AI15"/>
    <mergeCell ref="AJ15:AK15"/>
    <mergeCell ref="AL15:AM15"/>
    <mergeCell ref="AN15:AO15"/>
    <mergeCell ref="AV15:AW15"/>
  </mergeCells>
  <phoneticPr fontId="1" type="noConversion"/>
  <conditionalFormatting sqref="A16:C612">
    <cfRule type="expression" dxfId="64" priority="1">
      <formula>$F16="x"</formula>
    </cfRule>
    <cfRule type="expression" dxfId="63" priority="2">
      <formula>$E16="x"</formula>
    </cfRule>
    <cfRule type="expression" dxfId="62" priority="99">
      <formula>$D16="x"</formula>
    </cfRule>
  </conditionalFormatting>
  <pageMargins left="0.25" right="0.25" top="0.75" bottom="0.75" header="0.3" footer="0.3"/>
  <pageSetup paperSize="9" orientation="portrait" copies="7"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pageSetUpPr fitToPage="1"/>
  </sheetPr>
  <dimension ref="A1:BK400"/>
  <sheetViews>
    <sheetView tabSelected="1" zoomScale="70" zoomScaleNormal="70" zoomScalePageLayoutView="55" workbookViewId="0">
      <selection activeCell="D15" sqref="D15:F15"/>
    </sheetView>
  </sheetViews>
  <sheetFormatPr baseColWidth="10" defaultColWidth="0" defaultRowHeight="14.4" zeroHeight="1" x14ac:dyDescent="0.3"/>
  <cols>
    <col min="1" max="1" width="4.6640625" style="8" customWidth="1"/>
    <col min="2" max="2" width="17.44140625" style="8" customWidth="1"/>
    <col min="3" max="3" width="45.6640625" style="8" customWidth="1"/>
    <col min="4" max="4" width="39.88671875" style="8" customWidth="1"/>
    <col min="5" max="5" width="56.5546875" style="8" customWidth="1"/>
    <col min="6" max="6" width="19" style="8" customWidth="1"/>
    <col min="7" max="7" width="14.44140625" style="8" customWidth="1"/>
    <col min="8" max="8" width="38.44140625" style="8" customWidth="1"/>
    <col min="9" max="9" width="44.88671875" style="9" customWidth="1"/>
    <col min="10" max="10" width="51.5546875" style="6" customWidth="1"/>
    <col min="11" max="11" width="87" style="24" customWidth="1"/>
    <col min="12" max="12" width="35.6640625" style="24" hidden="1" customWidth="1"/>
    <col min="13" max="13" width="4.6640625" style="24" hidden="1" customWidth="1"/>
    <col min="14" max="48" width="11.44140625" style="8" hidden="1" customWidth="1"/>
    <col min="49" max="62" width="11.44140625" hidden="1" customWidth="1"/>
    <col min="63" max="63" width="19.109375" style="8" hidden="1" customWidth="1"/>
    <col min="64" max="16384" width="11.44140625" style="8" hidden="1"/>
  </cols>
  <sheetData>
    <row r="1" spans="1:48" ht="18.75" customHeight="1" x14ac:dyDescent="0.3">
      <c r="I1" s="6"/>
      <c r="L1" s="34"/>
      <c r="S1" s="291" t="s">
        <v>166</v>
      </c>
      <c r="T1" s="292"/>
      <c r="U1" s="292"/>
      <c r="V1" s="292"/>
      <c r="W1" s="292"/>
      <c r="X1" s="292"/>
      <c r="Y1" s="293"/>
      <c r="AA1" s="294" t="s">
        <v>215</v>
      </c>
      <c r="AB1" s="295"/>
      <c r="AC1" s="295"/>
      <c r="AD1" s="296"/>
    </row>
    <row r="2" spans="1:48" ht="16.5" customHeight="1" x14ac:dyDescent="0.3">
      <c r="B2" s="298"/>
      <c r="C2" s="298"/>
      <c r="D2" s="298"/>
      <c r="E2" s="24"/>
      <c r="F2" s="24"/>
      <c r="G2" s="24"/>
      <c r="I2" s="289" t="s">
        <v>181</v>
      </c>
      <c r="M2" s="41"/>
      <c r="O2" s="24"/>
      <c r="P2" s="24"/>
      <c r="Q2" s="24"/>
      <c r="R2" s="24"/>
      <c r="S2" s="47" t="s">
        <v>169</v>
      </c>
      <c r="T2" s="45" t="s">
        <v>170</v>
      </c>
      <c r="U2" s="45" t="s">
        <v>171</v>
      </c>
      <c r="V2" s="45" t="s">
        <v>172</v>
      </c>
      <c r="W2" s="45" t="s">
        <v>173</v>
      </c>
      <c r="X2" s="45" t="s">
        <v>174</v>
      </c>
      <c r="Y2" s="48" t="s">
        <v>175</v>
      </c>
      <c r="AA2" s="54" t="s">
        <v>165</v>
      </c>
      <c r="AB2" s="53" t="s">
        <v>179</v>
      </c>
      <c r="AC2" s="53" t="s">
        <v>180</v>
      </c>
      <c r="AD2" s="55" t="s">
        <v>168</v>
      </c>
      <c r="AF2" s="24"/>
      <c r="AG2" s="24"/>
      <c r="AH2" s="24"/>
      <c r="AI2" s="24"/>
      <c r="AJ2" s="24"/>
      <c r="AK2" s="24"/>
      <c r="AL2" s="24"/>
      <c r="AM2" s="24"/>
      <c r="AN2" s="24"/>
      <c r="AO2" s="24"/>
      <c r="AP2" s="24"/>
      <c r="AQ2" s="24"/>
      <c r="AR2" s="24"/>
      <c r="AS2" s="24"/>
      <c r="AT2" s="24"/>
      <c r="AU2" s="24"/>
      <c r="AV2" s="24"/>
    </row>
    <row r="3" spans="1:48" ht="25.5" customHeight="1" x14ac:dyDescent="0.3">
      <c r="B3" s="298"/>
      <c r="C3" s="298"/>
      <c r="D3" s="298"/>
      <c r="E3" s="26"/>
      <c r="F3" s="24"/>
      <c r="G3" s="24"/>
      <c r="I3" s="290"/>
      <c r="O3" s="24"/>
      <c r="P3" s="24"/>
      <c r="Q3" s="24"/>
      <c r="R3" s="24"/>
      <c r="S3" s="47" t="s">
        <v>4338</v>
      </c>
      <c r="T3" s="46" t="s">
        <v>201</v>
      </c>
      <c r="U3" s="45" t="s">
        <v>4338</v>
      </c>
      <c r="V3" s="45" t="s">
        <v>4338</v>
      </c>
      <c r="W3" s="45" t="s">
        <v>4338</v>
      </c>
      <c r="X3" s="46" t="s">
        <v>199</v>
      </c>
      <c r="Y3" s="48" t="s">
        <v>4338</v>
      </c>
      <c r="AA3" s="54" t="s">
        <v>167</v>
      </c>
      <c r="AB3" s="53" t="s">
        <v>167</v>
      </c>
      <c r="AC3" s="53" t="s">
        <v>167</v>
      </c>
      <c r="AD3" s="56"/>
      <c r="AF3" s="24"/>
      <c r="AG3" s="24"/>
      <c r="AH3" s="24"/>
      <c r="AI3" s="24"/>
      <c r="AJ3" s="24"/>
      <c r="AK3" s="24"/>
      <c r="AL3" s="24"/>
      <c r="AM3" s="24"/>
      <c r="AN3" s="24"/>
      <c r="AO3" s="24"/>
      <c r="AP3" s="24"/>
      <c r="AQ3" s="24"/>
      <c r="AR3" s="24"/>
      <c r="AS3" s="24"/>
      <c r="AT3" s="24"/>
      <c r="AU3" s="24"/>
      <c r="AV3" s="24"/>
    </row>
    <row r="4" spans="1:48" ht="21" customHeight="1" x14ac:dyDescent="0.3">
      <c r="B4" s="298"/>
      <c r="C4" s="298"/>
      <c r="D4" s="298"/>
      <c r="I4" s="6"/>
      <c r="L4" s="34"/>
      <c r="O4" s="24"/>
      <c r="P4" s="24"/>
      <c r="Q4" s="24"/>
      <c r="R4" s="24"/>
      <c r="S4" s="47" t="s">
        <v>177</v>
      </c>
      <c r="T4" s="45" t="s">
        <v>200</v>
      </c>
      <c r="U4" s="45" t="s">
        <v>177</v>
      </c>
      <c r="V4" s="45" t="s">
        <v>177</v>
      </c>
      <c r="W4" s="45" t="s">
        <v>177</v>
      </c>
      <c r="X4" s="45" t="s">
        <v>200</v>
      </c>
      <c r="Y4" s="48" t="s">
        <v>177</v>
      </c>
      <c r="AA4" s="54" t="s">
        <v>178</v>
      </c>
      <c r="AB4" s="53" t="s">
        <v>178</v>
      </c>
      <c r="AC4" s="53" t="s">
        <v>178</v>
      </c>
      <c r="AD4" s="56"/>
      <c r="AF4" s="24"/>
      <c r="AG4" s="24"/>
      <c r="AH4" s="24"/>
      <c r="AI4" s="24"/>
      <c r="AJ4" s="24"/>
      <c r="AK4" s="24"/>
      <c r="AL4" s="24"/>
      <c r="AM4" s="24"/>
      <c r="AN4" s="24"/>
      <c r="AO4" s="24"/>
      <c r="AP4" s="24"/>
      <c r="AQ4" s="24"/>
      <c r="AR4" s="24"/>
      <c r="AS4" s="24"/>
      <c r="AT4" s="24"/>
      <c r="AU4" s="24"/>
      <c r="AV4" s="24"/>
    </row>
    <row r="5" spans="1:48" ht="46.5" customHeight="1" thickBot="1" x14ac:dyDescent="0.35">
      <c r="B5" s="27"/>
      <c r="C5" s="27"/>
      <c r="D5" s="27"/>
      <c r="I5" s="66" t="s">
        <v>149</v>
      </c>
      <c r="K5" s="41"/>
      <c r="O5" s="24"/>
      <c r="P5" s="24"/>
      <c r="Q5" s="24"/>
      <c r="R5" s="24"/>
      <c r="S5" s="49"/>
      <c r="T5" s="50" t="s">
        <v>177</v>
      </c>
      <c r="U5" s="51"/>
      <c r="V5" s="51"/>
      <c r="W5" s="50"/>
      <c r="X5" s="50" t="s">
        <v>177</v>
      </c>
      <c r="Y5" s="52"/>
      <c r="AA5" s="54" t="s">
        <v>137</v>
      </c>
      <c r="AB5" s="53" t="s">
        <v>137</v>
      </c>
      <c r="AC5" s="53" t="s">
        <v>137</v>
      </c>
      <c r="AD5" s="56"/>
      <c r="AF5" s="24"/>
      <c r="AG5" s="24"/>
      <c r="AH5" s="24"/>
      <c r="AI5" s="24"/>
      <c r="AJ5" s="24"/>
      <c r="AK5" s="24"/>
      <c r="AL5" s="24"/>
      <c r="AM5" s="24"/>
      <c r="AN5" s="24"/>
      <c r="AO5" s="24"/>
      <c r="AP5" s="24"/>
      <c r="AQ5" s="24"/>
      <c r="AR5" s="24"/>
      <c r="AS5" s="24"/>
      <c r="AT5" s="24"/>
      <c r="AU5" s="24"/>
      <c r="AV5" s="24"/>
    </row>
    <row r="6" spans="1:48" ht="21" customHeight="1" thickBot="1" x14ac:dyDescent="0.35">
      <c r="B6" s="27"/>
      <c r="C6" s="27"/>
      <c r="D6" s="27"/>
      <c r="I6" s="67"/>
      <c r="O6" s="24"/>
      <c r="P6" s="24"/>
      <c r="Q6" s="24"/>
      <c r="R6" s="24"/>
      <c r="S6" s="24"/>
      <c r="T6" s="24"/>
      <c r="X6" s="27"/>
      <c r="Y6" s="27"/>
      <c r="Z6" s="40"/>
      <c r="AA6" s="49" t="s">
        <v>168</v>
      </c>
      <c r="AB6" s="57" t="s">
        <v>168</v>
      </c>
      <c r="AC6" s="57" t="s">
        <v>168</v>
      </c>
      <c r="AD6" s="58"/>
      <c r="AE6" s="27"/>
      <c r="AF6" s="27"/>
      <c r="AG6" s="27"/>
      <c r="AH6" s="27"/>
      <c r="AI6" s="27"/>
      <c r="AJ6" s="27"/>
      <c r="AK6" s="27"/>
      <c r="AL6" s="27"/>
      <c r="AM6" s="27"/>
      <c r="AN6" s="27"/>
      <c r="AO6" s="27"/>
      <c r="AP6" s="27"/>
      <c r="AQ6" s="27"/>
      <c r="AR6" s="27"/>
      <c r="AS6" s="27"/>
      <c r="AT6" s="27"/>
      <c r="AU6" s="27"/>
      <c r="AV6" s="27"/>
    </row>
    <row r="7" spans="1:48" ht="9" customHeight="1" x14ac:dyDescent="0.3">
      <c r="I7" s="68"/>
      <c r="O7" s="24"/>
      <c r="P7" s="24"/>
      <c r="Q7" s="24"/>
      <c r="R7" s="24"/>
      <c r="T7" s="24"/>
      <c r="X7" s="27"/>
      <c r="Y7" s="27"/>
      <c r="Z7" s="40"/>
      <c r="AA7" s="40"/>
      <c r="AB7" s="40"/>
      <c r="AC7" s="27"/>
      <c r="AD7" s="27"/>
      <c r="AE7" s="27"/>
      <c r="AF7" s="27"/>
      <c r="AG7" s="27"/>
      <c r="AH7" s="27"/>
      <c r="AI7" s="27"/>
      <c r="AJ7" s="27"/>
      <c r="AK7" s="27"/>
      <c r="AL7" s="27"/>
      <c r="AM7" s="27"/>
      <c r="AN7" s="27"/>
      <c r="AO7" s="27"/>
      <c r="AP7" s="27"/>
      <c r="AQ7" s="27"/>
      <c r="AR7" s="27"/>
      <c r="AS7" s="27"/>
      <c r="AT7" s="27"/>
      <c r="AU7" s="27"/>
      <c r="AV7" s="27"/>
    </row>
    <row r="8" spans="1:48" ht="9" customHeight="1" x14ac:dyDescent="0.3">
      <c r="L8" s="34"/>
      <c r="M8" s="34"/>
      <c r="O8" s="24"/>
      <c r="P8" s="24"/>
      <c r="Q8" s="24"/>
      <c r="R8" s="24"/>
      <c r="S8" s="24"/>
      <c r="T8" s="24"/>
      <c r="X8" s="27"/>
      <c r="Y8" s="27"/>
      <c r="Z8" s="40"/>
      <c r="AA8" s="40"/>
      <c r="AB8" s="40"/>
      <c r="AC8" s="27"/>
      <c r="AD8" s="27"/>
      <c r="AE8" s="27"/>
      <c r="AF8" s="27"/>
      <c r="AG8" s="27"/>
      <c r="AH8" s="27"/>
      <c r="AI8" s="27"/>
      <c r="AJ8" s="27"/>
      <c r="AK8" s="27"/>
      <c r="AL8" s="27"/>
      <c r="AM8" s="27"/>
      <c r="AN8" s="27"/>
      <c r="AO8" s="27"/>
      <c r="AP8" s="27"/>
      <c r="AQ8" s="27"/>
      <c r="AR8" s="27"/>
      <c r="AS8" s="27"/>
      <c r="AT8" s="27"/>
      <c r="AU8" s="27"/>
      <c r="AV8" s="27"/>
    </row>
    <row r="9" spans="1:48" ht="9" customHeight="1" x14ac:dyDescent="0.3">
      <c r="L9" s="34"/>
      <c r="O9" s="24"/>
      <c r="P9" s="24"/>
      <c r="Q9" s="24"/>
      <c r="R9" s="24"/>
      <c r="S9" s="24"/>
      <c r="T9" s="24"/>
      <c r="X9" s="24"/>
      <c r="Y9" s="24"/>
      <c r="Z9" s="39"/>
      <c r="AA9" s="39"/>
      <c r="AB9" s="39"/>
      <c r="AC9" s="24"/>
      <c r="AD9" s="24"/>
      <c r="AE9" s="24"/>
      <c r="AF9" s="24"/>
      <c r="AG9" s="24"/>
      <c r="AH9" s="24"/>
      <c r="AI9" s="24"/>
      <c r="AJ9" s="24"/>
      <c r="AK9" s="24"/>
      <c r="AL9" s="24"/>
      <c r="AM9" s="24"/>
      <c r="AN9" s="24"/>
      <c r="AO9" s="24"/>
      <c r="AP9" s="24"/>
      <c r="AQ9" s="24"/>
      <c r="AR9" s="24"/>
      <c r="AS9" s="24"/>
      <c r="AT9" s="24"/>
      <c r="AU9" s="24"/>
      <c r="AV9" s="24"/>
    </row>
    <row r="10" spans="1:48" ht="9" customHeight="1" x14ac:dyDescent="0.3">
      <c r="E10" s="26"/>
      <c r="F10" s="27"/>
      <c r="G10" s="27"/>
      <c r="L10" s="34"/>
      <c r="O10" s="24"/>
      <c r="P10" s="24"/>
      <c r="Q10" s="24"/>
      <c r="R10" s="24"/>
      <c r="S10" s="24"/>
      <c r="T10" s="24"/>
      <c r="U10" s="24"/>
      <c r="W10" s="24"/>
      <c r="X10" s="24"/>
      <c r="Y10" s="24"/>
      <c r="Z10" s="39"/>
      <c r="AA10" s="39"/>
      <c r="AB10" s="39"/>
      <c r="AC10" s="24"/>
      <c r="AD10" s="24"/>
      <c r="AE10" s="24"/>
      <c r="AF10" s="24"/>
      <c r="AG10" s="24"/>
      <c r="AH10" s="24"/>
      <c r="AI10" s="24"/>
      <c r="AJ10" s="24"/>
      <c r="AK10" s="24"/>
      <c r="AL10" s="24"/>
      <c r="AM10" s="24"/>
      <c r="AN10" s="24"/>
      <c r="AO10" s="24"/>
      <c r="AP10" s="24"/>
      <c r="AQ10" s="24"/>
      <c r="AR10" s="24"/>
      <c r="AS10" s="24"/>
      <c r="AT10" s="24"/>
      <c r="AU10" s="24"/>
      <c r="AV10" s="24"/>
    </row>
    <row r="11" spans="1:48" ht="9" customHeight="1" x14ac:dyDescent="0.3">
      <c r="E11" s="26"/>
      <c r="F11" s="24"/>
      <c r="G11" s="24"/>
      <c r="H11" s="24"/>
      <c r="I11" s="27"/>
      <c r="N11" s="24"/>
      <c r="O11" s="24"/>
      <c r="P11" s="24"/>
      <c r="Q11" s="24"/>
      <c r="R11" s="24"/>
      <c r="S11" s="24"/>
      <c r="T11" s="24"/>
      <c r="U11" s="24"/>
      <c r="V11" s="24"/>
      <c r="W11" s="24"/>
      <c r="X11" s="24"/>
      <c r="Y11" s="24"/>
      <c r="Z11" s="39"/>
      <c r="AA11" s="39"/>
      <c r="AB11" s="39"/>
      <c r="AC11" s="24"/>
      <c r="AD11" s="24"/>
      <c r="AE11" s="24"/>
      <c r="AF11" s="24"/>
      <c r="AG11" s="24"/>
      <c r="AH11" s="24"/>
      <c r="AI11" s="24"/>
      <c r="AJ11" s="24"/>
      <c r="AK11" s="24"/>
      <c r="AL11" s="24"/>
      <c r="AM11" s="24"/>
      <c r="AN11" s="24"/>
      <c r="AO11" s="24"/>
      <c r="AP11" s="24"/>
      <c r="AQ11" s="24"/>
      <c r="AR11" s="24"/>
      <c r="AS11" s="24"/>
      <c r="AT11" s="24"/>
      <c r="AU11" s="24"/>
      <c r="AV11" s="24"/>
    </row>
    <row r="12" spans="1:48" ht="9" customHeight="1" x14ac:dyDescent="0.3">
      <c r="E12" s="26"/>
      <c r="F12" s="24"/>
      <c r="G12" s="24"/>
      <c r="H12" s="24"/>
      <c r="I12" s="27"/>
      <c r="N12" s="24"/>
      <c r="O12" s="24"/>
      <c r="P12" s="24"/>
      <c r="Q12" s="24"/>
      <c r="R12" s="24"/>
      <c r="S12" s="24"/>
      <c r="T12" s="24"/>
      <c r="U12" s="24"/>
      <c r="V12" s="24"/>
      <c r="W12" s="24"/>
      <c r="X12" s="24"/>
      <c r="Y12" s="24"/>
      <c r="Z12" s="39"/>
      <c r="AA12" s="39"/>
      <c r="AB12" s="39"/>
      <c r="AC12" s="24"/>
      <c r="AD12" s="24"/>
      <c r="AE12" s="24"/>
      <c r="AF12" s="24"/>
      <c r="AG12" s="24"/>
      <c r="AH12" s="24"/>
      <c r="AI12" s="24"/>
      <c r="AJ12" s="24"/>
      <c r="AK12" s="24"/>
      <c r="AL12" s="24"/>
      <c r="AM12" s="24"/>
      <c r="AN12" s="24"/>
      <c r="AO12" s="24"/>
      <c r="AP12" s="24"/>
      <c r="AQ12" s="24"/>
      <c r="AR12" s="24"/>
      <c r="AS12" s="24"/>
      <c r="AT12" s="24"/>
      <c r="AU12" s="24"/>
      <c r="AV12" s="24"/>
    </row>
    <row r="13" spans="1:48" ht="36" customHeight="1" thickBot="1" x14ac:dyDescent="0.35">
      <c r="B13" s="27"/>
      <c r="C13" s="27"/>
      <c r="D13" s="24"/>
      <c r="E13" s="26"/>
      <c r="F13" s="24"/>
      <c r="G13" s="24"/>
      <c r="H13" s="24"/>
      <c r="I13" s="59"/>
      <c r="N13" s="24"/>
      <c r="O13" s="24"/>
      <c r="P13" s="24"/>
      <c r="Q13" s="24"/>
      <c r="R13" s="24"/>
      <c r="S13" s="24"/>
      <c r="T13" s="24"/>
      <c r="Z13" s="24" t="s">
        <v>165</v>
      </c>
      <c r="AD13" s="24"/>
      <c r="AE13" s="24"/>
      <c r="AF13" s="24"/>
      <c r="AG13" s="24"/>
      <c r="AH13" s="24"/>
      <c r="AI13" s="24"/>
      <c r="AJ13" s="24"/>
      <c r="AK13" s="24"/>
      <c r="AL13" s="24"/>
      <c r="AM13" s="24"/>
      <c r="AN13" s="24"/>
      <c r="AO13" s="24"/>
      <c r="AP13" s="24"/>
      <c r="AQ13" s="24"/>
      <c r="AR13" s="24"/>
      <c r="AS13" s="24"/>
      <c r="AT13" s="24"/>
      <c r="AU13" s="24"/>
      <c r="AV13" s="24"/>
    </row>
    <row r="14" spans="1:48" x14ac:dyDescent="0.3">
      <c r="A14" s="297" t="s">
        <v>143</v>
      </c>
      <c r="B14" s="301" t="s">
        <v>217</v>
      </c>
      <c r="C14" s="302"/>
      <c r="D14" s="303"/>
      <c r="E14" s="304"/>
      <c r="F14" s="305"/>
      <c r="G14" s="30"/>
      <c r="N14" s="24"/>
      <c r="O14" s="24"/>
      <c r="P14" s="24"/>
      <c r="Q14" s="24"/>
      <c r="R14" s="24"/>
      <c r="S14" s="24"/>
      <c r="T14" s="137"/>
      <c r="Z14" s="24" t="s">
        <v>167</v>
      </c>
      <c r="AD14" s="24"/>
      <c r="AE14" s="24"/>
      <c r="AF14" s="24"/>
      <c r="AG14" s="24"/>
      <c r="AH14" s="24"/>
      <c r="AI14" s="24"/>
      <c r="AJ14" s="24"/>
      <c r="AK14" s="24"/>
      <c r="AL14" s="24"/>
      <c r="AM14" s="24"/>
      <c r="AN14" s="24"/>
      <c r="AO14" s="24"/>
      <c r="AP14" s="24"/>
      <c r="AQ14" s="24"/>
      <c r="AR14" s="24"/>
      <c r="AS14" s="24"/>
      <c r="AT14" s="24"/>
      <c r="AU14" s="24"/>
      <c r="AV14" s="24"/>
    </row>
    <row r="15" spans="1:48" ht="15" thickBot="1" x14ac:dyDescent="0.35">
      <c r="A15" s="297"/>
      <c r="B15" s="299" t="s">
        <v>4332</v>
      </c>
      <c r="C15" s="300"/>
      <c r="D15" s="306"/>
      <c r="E15" s="307"/>
      <c r="F15" s="308"/>
      <c r="G15" s="30"/>
      <c r="N15" s="24"/>
      <c r="O15" s="24"/>
      <c r="P15" s="24"/>
      <c r="Q15" s="24"/>
      <c r="R15" s="24"/>
      <c r="S15" s="24"/>
      <c r="T15" s="137"/>
      <c r="Z15" s="24" t="s">
        <v>178</v>
      </c>
      <c r="AD15" s="24"/>
      <c r="AE15" s="24"/>
      <c r="AF15" s="24"/>
      <c r="AG15" s="24"/>
      <c r="AH15" s="24"/>
      <c r="AI15" s="24"/>
      <c r="AJ15" s="24"/>
      <c r="AK15" s="24"/>
      <c r="AL15" s="24"/>
      <c r="AM15" s="24"/>
      <c r="AN15" s="24"/>
      <c r="AO15" s="24"/>
      <c r="AP15" s="24"/>
      <c r="AQ15" s="24"/>
      <c r="AR15" s="24"/>
      <c r="AS15" s="24"/>
      <c r="AT15" s="24"/>
      <c r="AU15" s="24"/>
      <c r="AV15" s="24"/>
    </row>
    <row r="16" spans="1:48" x14ac:dyDescent="0.3">
      <c r="A16" s="29"/>
      <c r="B16" s="23"/>
      <c r="C16" s="186" t="s">
        <v>4331</v>
      </c>
      <c r="D16" s="187" t="s">
        <v>185</v>
      </c>
      <c r="E16" s="30"/>
      <c r="F16" s="30"/>
      <c r="G16" s="30"/>
      <c r="N16" s="24"/>
      <c r="O16" s="24"/>
      <c r="P16" s="24"/>
      <c r="Q16" s="24"/>
      <c r="R16" s="24"/>
      <c r="S16" s="24"/>
      <c r="T16" s="24"/>
      <c r="Y16" s="39" t="s">
        <v>175</v>
      </c>
      <c r="Z16" s="24" t="s">
        <v>137</v>
      </c>
      <c r="AD16" s="24"/>
      <c r="AE16" s="24"/>
      <c r="AF16" s="24"/>
      <c r="AG16" s="24"/>
      <c r="AH16" s="24"/>
      <c r="AI16" s="24"/>
      <c r="AJ16" s="24"/>
      <c r="AK16" s="24"/>
      <c r="AL16" s="24"/>
      <c r="AM16" s="24"/>
      <c r="AN16" s="24"/>
      <c r="AO16" s="24"/>
      <c r="AP16" s="24"/>
      <c r="AQ16" s="24"/>
      <c r="AR16" s="24"/>
      <c r="AS16" s="24"/>
      <c r="AT16" s="24"/>
      <c r="AU16" s="24"/>
      <c r="AV16" s="24"/>
    </row>
    <row r="17" spans="1:48" ht="15" thickBot="1" x14ac:dyDescent="0.35">
      <c r="B17" s="32"/>
      <c r="C17" s="32"/>
      <c r="D17" s="32"/>
      <c r="E17" s="32"/>
      <c r="F17" s="32"/>
      <c r="G17" s="32"/>
      <c r="H17" s="32"/>
      <c r="I17" s="60"/>
      <c r="N17" s="24"/>
      <c r="O17" s="24"/>
      <c r="P17" s="24"/>
      <c r="Q17" s="24"/>
      <c r="R17" s="24"/>
      <c r="S17" s="24"/>
      <c r="Y17" s="39" t="s">
        <v>176</v>
      </c>
      <c r="Z17" s="24" t="s">
        <v>168</v>
      </c>
      <c r="AD17" s="24"/>
      <c r="AE17" s="24"/>
      <c r="AF17" s="24"/>
      <c r="AG17" s="24"/>
      <c r="AH17" s="24"/>
      <c r="AI17" s="24"/>
      <c r="AJ17" s="24"/>
      <c r="AK17" s="24"/>
      <c r="AL17" s="24"/>
      <c r="AM17" s="24"/>
      <c r="AN17" s="24"/>
      <c r="AO17" s="24"/>
      <c r="AP17" s="24"/>
      <c r="AQ17" s="24"/>
      <c r="AR17" s="24"/>
      <c r="AS17" s="24"/>
      <c r="AT17" s="24"/>
      <c r="AU17" s="24"/>
      <c r="AV17" s="24"/>
    </row>
    <row r="18" spans="1:48" ht="37.5" customHeight="1" thickBot="1" x14ac:dyDescent="0.35">
      <c r="A18" s="297" t="s">
        <v>144</v>
      </c>
      <c r="B18" s="309" t="s">
        <v>216</v>
      </c>
      <c r="C18" s="176" t="s">
        <v>52</v>
      </c>
      <c r="D18" s="177" t="s">
        <v>164</v>
      </c>
      <c r="E18" s="178" t="s">
        <v>166</v>
      </c>
      <c r="F18" s="189" t="s">
        <v>4333</v>
      </c>
      <c r="G18" s="179" t="s">
        <v>552</v>
      </c>
      <c r="H18" s="180" t="s">
        <v>553</v>
      </c>
      <c r="I18" s="312" t="s">
        <v>142</v>
      </c>
      <c r="J18" s="313"/>
      <c r="K18" s="314"/>
      <c r="L18" s="33" t="s">
        <v>138</v>
      </c>
      <c r="O18" s="24"/>
      <c r="P18" s="24"/>
      <c r="Q18" s="24"/>
      <c r="R18" s="24"/>
      <c r="S18" s="24"/>
      <c r="T18" s="24"/>
      <c r="Y18" s="39" t="s">
        <v>177</v>
      </c>
      <c r="Z18" s="24" t="s">
        <v>179</v>
      </c>
      <c r="AC18" s="25"/>
      <c r="AD18" s="25"/>
      <c r="AE18" s="25"/>
      <c r="AF18" s="25"/>
      <c r="AG18" s="25"/>
      <c r="AH18" s="25"/>
      <c r="AI18" s="25"/>
      <c r="AJ18" s="25"/>
      <c r="AK18" s="25"/>
      <c r="AL18" s="25"/>
      <c r="AM18" s="25"/>
      <c r="AN18" s="25"/>
      <c r="AO18" s="25"/>
      <c r="AP18" s="25"/>
      <c r="AQ18" s="25"/>
      <c r="AR18" s="25"/>
      <c r="AS18" s="25"/>
      <c r="AT18" s="25"/>
      <c r="AU18" s="25"/>
      <c r="AV18" s="25"/>
    </row>
    <row r="19" spans="1:48" ht="17.25" customHeight="1" x14ac:dyDescent="0.3">
      <c r="A19" s="297"/>
      <c r="B19" s="310"/>
      <c r="C19" s="171"/>
      <c r="D19" s="172"/>
      <c r="E19" s="173"/>
      <c r="F19" s="172"/>
      <c r="G19" s="174"/>
      <c r="H19" s="175"/>
      <c r="I19" s="321" t="str">
        <f>IF(H19="",IF(COUNTIFS($C$19:C19,C19,$D$19:D19,D19,$E$19:E19,E19)&gt;1,"Ces animaux ont déjà été renseignés, veuillez les différencier en leur donnant un nom",IF(AND(COUNTA(C19,D19,E19,F19,G19)&lt;5,COUNTA(C19,D19,E19,F19,G19)&gt;0),"Pensez à renseigner toutes les cases de la ligne !",""))&amp;IFERROR(IF(FIND(" ",H19)&gt;1,"Veuillez remplacer les espaces par un _ dans l'intitulé du groupe",""),""),IF(H19&lt;&gt;0,IF(COUNTIFS($C$19:C19,C19,$D$19:D19,D19,$E$19:E19,E19,$H$19:H19,H19)&gt;1,"Ces animaux ont déjà été renseignés",IF(AND(COUNTA(C19,D19,E19,F19,G19)&lt;5,COUNTA(C19,D19,E19,F19,G19)&gt;0),"Pensez à renseigner toutes les cases de la ligne !",""))&amp;IFERROR(IF(FIND(" ",H19)&gt;1,"Veuillez remplacer les espaces par un _ dans l'intitulé du groupe",""),""),""))</f>
        <v/>
      </c>
      <c r="J19" s="322"/>
      <c r="K19" s="323"/>
      <c r="L19" s="8" t="str">
        <f t="shared" ref="L19:L28" si="0">IF(OR(C19="",D19="",E19="",F19="",G19=""),"",IF(H19="",IF(D19="Non spécifié",C19&amp;"_"&amp;E19&amp;"_"&amp;H19,C19&amp;"_"&amp;D19&amp;"_"&amp;E19&amp;"_"&amp;IF(G19="lots","L",IF(G19="animaux","A",IF(G19="UGB","UGB",IF(G19="kg","kg",""))))),IF(D19="Non spécifié",C19&amp;"_"&amp;E19&amp;"_"&amp;H19,C19&amp;"_"&amp;D19&amp;"_"&amp;E19&amp;"_"&amp;H19&amp;"_"&amp;IF(G19="lots","L",IF(G19="animaux","A",IF(G19="UGB","UGB",IF(G19="kg","kg","")))))))</f>
        <v/>
      </c>
      <c r="M19" s="24">
        <f t="shared" ref="M19:M28" si="1">SUMIF($C$31:$C$400,L19,F$31:F$400)</f>
        <v>0</v>
      </c>
      <c r="O19" s="24"/>
      <c r="P19" s="24"/>
      <c r="Q19" s="24"/>
      <c r="R19" s="24"/>
      <c r="S19" s="24"/>
      <c r="T19" s="25"/>
      <c r="Y19" s="39"/>
      <c r="Z19" s="24" t="s">
        <v>180</v>
      </c>
    </row>
    <row r="20" spans="1:48" ht="20.25" customHeight="1" x14ac:dyDescent="0.3">
      <c r="A20" s="297"/>
      <c r="B20" s="310"/>
      <c r="C20" s="107"/>
      <c r="D20" s="61"/>
      <c r="E20" s="70"/>
      <c r="F20" s="61"/>
      <c r="G20" s="174"/>
      <c r="H20" s="62"/>
      <c r="I20" s="318" t="str">
        <f>IF(H20="",IF(COUNTIFS($C$19:C20,C20,$D$19:D20,D20,$E$19:E20,E20)&gt;1,"Ces animaux ont déjà été renseignés, veuillez les différencier en leur donnant un nom",IF(AND(COUNTA(C20,D20,E20,F20,G20)&lt;5,COUNTA(C20,D20,E20,F20,G20)&gt;0),"Pensez à renseigner toutes les cases de la ligne !",""))&amp;IFERROR(IF(FIND(" ",H20)&gt;1,"Veuillez remplacer les espaces par un _ dans l'intitulé du groupe",""),""),IF(H20&lt;&gt;0,IF(COUNTIFS($C$19:C20,C20,$D$19:D20,D20,$E$19:E20,E20,$H$19:H20,H20)&gt;1,"Ces animaux ont déjà été renseignés",IF(AND(COUNTA(C20,D20,E20,F20,G20)&lt;5,COUNTA(C20,D20,E20,F20,G20)&gt;0),"Pensez à renseigner toutes les cases de la ligne !",""))&amp;IFERROR(IF(FIND(" ",H20)&gt;1,"Veuillez remplacer les espaces par un _ dans l'intitulé du groupe",""),""),""))</f>
        <v/>
      </c>
      <c r="J20" s="319"/>
      <c r="K20" s="320"/>
      <c r="L20" s="8" t="str">
        <f t="shared" si="0"/>
        <v/>
      </c>
      <c r="M20" s="24">
        <f t="shared" si="1"/>
        <v>0</v>
      </c>
      <c r="O20" s="24"/>
      <c r="P20" s="24"/>
      <c r="Q20" s="24"/>
      <c r="R20" s="24"/>
      <c r="S20" s="24"/>
      <c r="X20" s="24"/>
      <c r="Y20" s="39"/>
      <c r="Z20" s="6"/>
      <c r="AC20" s="24"/>
      <c r="AD20" s="24"/>
      <c r="AE20" s="24"/>
      <c r="AF20" s="24"/>
      <c r="AG20" s="24"/>
      <c r="AH20" s="24"/>
      <c r="AI20" s="24"/>
      <c r="AJ20" s="24"/>
      <c r="AK20" s="24"/>
      <c r="AL20" s="24"/>
      <c r="AM20" s="24"/>
      <c r="AN20" s="24"/>
      <c r="AO20" s="24"/>
      <c r="AP20" s="24"/>
      <c r="AQ20" s="24"/>
      <c r="AR20" s="24"/>
      <c r="AS20" s="24"/>
      <c r="AT20" s="24"/>
      <c r="AU20" s="24"/>
      <c r="AV20" s="24"/>
    </row>
    <row r="21" spans="1:48" x14ac:dyDescent="0.3">
      <c r="A21" s="297"/>
      <c r="B21" s="310"/>
      <c r="C21" s="107"/>
      <c r="D21" s="61"/>
      <c r="E21" s="70"/>
      <c r="F21" s="61"/>
      <c r="G21" s="174"/>
      <c r="H21" s="62"/>
      <c r="I21" s="318" t="str">
        <f>IF(H21="",IF(COUNTIFS($C$19:C21,C21,$D$19:D21,D21,$E$19:E21,E21)&gt;1,"Ces animaux ont déjà été renseignés, veuillez les différencier en leur donnant un nom",IF(AND(COUNTA(C21,D21,E21,F21,G21)&lt;5,COUNTA(C21,D21,E21,F21,G21)&gt;0),"Pensez à renseigner toutes les cases de la ligne !",""))&amp;IFERROR(IF(FIND(" ",H21)&gt;1,"Veuillez remplacer les espaces par un _ dans l'intitulé du groupe",""),""),IF(H21&lt;&gt;0,IF(COUNTIFS($C$19:C21,C21,$D$19:D21,D21,$E$19:E21,E21,$H$19:H21,H21)&gt;1,"Ces animaux ont déjà été renseignés",IF(AND(COUNTA(C21,D21,E21,F21,G21)&lt;5,COUNTA(C21,D21,E21,F21,G21)&gt;0),"Pensez à renseigner toutes les cases de la ligne !",""))&amp;IFERROR(IF(FIND(" ",H21)&gt;1,"Veuillez remplacer les espaces par un _ dans l'intitulé du groupe",""),""),""))</f>
        <v/>
      </c>
      <c r="J21" s="319"/>
      <c r="K21" s="320"/>
      <c r="L21" s="8" t="str">
        <f t="shared" si="0"/>
        <v/>
      </c>
      <c r="M21" s="24">
        <f t="shared" si="1"/>
        <v>0</v>
      </c>
      <c r="O21" s="24"/>
      <c r="P21" s="24"/>
      <c r="Q21" s="24"/>
      <c r="R21" s="24"/>
      <c r="S21" s="24"/>
      <c r="T21" s="24"/>
      <c r="X21" s="24"/>
      <c r="Y21" s="39"/>
      <c r="Z21" s="6"/>
      <c r="AC21" s="24"/>
      <c r="AD21" s="24"/>
      <c r="AE21" s="24"/>
      <c r="AF21" s="24"/>
      <c r="AG21" s="24"/>
      <c r="AH21" s="24"/>
      <c r="AI21" s="24"/>
      <c r="AJ21" s="24"/>
      <c r="AK21" s="24"/>
      <c r="AL21" s="24"/>
      <c r="AM21" s="24"/>
      <c r="AN21" s="24"/>
      <c r="AO21" s="24"/>
      <c r="AP21" s="24"/>
      <c r="AQ21" s="24"/>
      <c r="AR21" s="24"/>
      <c r="AS21" s="24"/>
      <c r="AT21" s="24"/>
      <c r="AU21" s="24"/>
      <c r="AV21" s="24"/>
    </row>
    <row r="22" spans="1:48" x14ac:dyDescent="0.3">
      <c r="A22" s="297"/>
      <c r="B22" s="310"/>
      <c r="C22" s="107"/>
      <c r="D22" s="61"/>
      <c r="E22" s="70"/>
      <c r="F22" s="61"/>
      <c r="G22" s="174"/>
      <c r="H22" s="62"/>
      <c r="I22" s="318" t="str">
        <f>IF(H22="",IF(COUNTIFS($C$19:C22,C22,$D$19:D22,D22,$E$19:E22,E22)&gt;1,"Ces animaux ont déjà été renseignés, veuillez les différencier en leur donnant un nom",IF(AND(COUNTA(C22,D22,E22,F22,G22)&lt;5,COUNTA(C22,D22,E22,F22,G22)&gt;0),"Pensez à renseigner toutes les cases de la ligne !",""))&amp;IFERROR(IF(FIND(" ",H22)&gt;1,"Veuillez remplacer les espaces par un _ dans l'intitulé du groupe",""),""),IF(H22&lt;&gt;0,IF(COUNTIFS($C$19:C22,C22,$D$19:D22,D22,$E$19:E22,E22,$H$19:H22,H22)&gt;1,"Ces animaux ont déjà été renseignés",IF(AND(COUNTA(C22,D22,E22,F22,G22)&lt;5,COUNTA(C22,D22,E22,F22,G22)&gt;0),"Pensez à renseigner toutes les cases de la ligne !",""))&amp;IFERROR(IF(FIND(" ",H22)&gt;1,"Veuillez remplacer les espaces par un _ dans l'intitulé du groupe",""),""),""))</f>
        <v/>
      </c>
      <c r="J22" s="319"/>
      <c r="K22" s="320"/>
      <c r="L22" s="8" t="str">
        <f t="shared" si="0"/>
        <v/>
      </c>
      <c r="M22" s="24">
        <f t="shared" si="1"/>
        <v>0</v>
      </c>
      <c r="O22" s="24"/>
      <c r="P22" s="24"/>
      <c r="Q22" s="24"/>
      <c r="R22" s="24"/>
      <c r="S22" s="24"/>
      <c r="T22" s="24"/>
      <c r="X22" s="24"/>
      <c r="Y22" s="39"/>
      <c r="Z22" s="6"/>
      <c r="AC22" s="24"/>
      <c r="AD22" s="24"/>
      <c r="AE22" s="24"/>
      <c r="AF22" s="24"/>
      <c r="AG22" s="24"/>
      <c r="AH22" s="24"/>
      <c r="AI22" s="24"/>
      <c r="AJ22" s="24"/>
      <c r="AK22" s="24"/>
      <c r="AL22" s="24"/>
      <c r="AM22" s="24"/>
      <c r="AN22" s="24"/>
      <c r="AO22" s="24"/>
      <c r="AP22" s="24"/>
      <c r="AQ22" s="24"/>
      <c r="AR22" s="24"/>
      <c r="AS22" s="24"/>
      <c r="AT22" s="24"/>
      <c r="AU22" s="24"/>
      <c r="AV22" s="24"/>
    </row>
    <row r="23" spans="1:48" x14ac:dyDescent="0.3">
      <c r="A23" s="297"/>
      <c r="B23" s="310"/>
      <c r="C23" s="107"/>
      <c r="D23" s="61"/>
      <c r="E23" s="70"/>
      <c r="F23" s="61"/>
      <c r="G23" s="174"/>
      <c r="H23" s="62"/>
      <c r="I23" s="318" t="str">
        <f>IF(H23="",IF(COUNTIFS($C$19:C23,C23,$D$19:D23,D23,$E$19:E23,E23)&gt;1,"Ces animaux ont déjà été renseignés, veuillez les différencier en leur donnant un nom",IF(AND(COUNTA(C23,D23,E23,F23,G23)&lt;5,COUNTA(C23,D23,E23,F23,G23)&gt;0),"Pensez à renseigner toutes les cases de la ligne !",""))&amp;IFERROR(IF(FIND(" ",H23)&gt;1,"Veuillez remplacer les espaces par un _ dans l'intitulé du groupe",""),""),IF(H23&lt;&gt;0,IF(COUNTIFS($C$19:C23,C23,$D$19:D23,D23,$E$19:E23,E23,$H$19:H23,H23)&gt;1,"Ces animaux ont déjà été renseignés",IF(AND(COUNTA(C23,D23,E23,F23,G23)&lt;5,COUNTA(C23,D23,E23,F23,G23)&gt;0),"Pensez à renseigner toutes les cases de la ligne !",""))&amp;IFERROR(IF(FIND(" ",H23)&gt;1,"Veuillez remplacer les espaces par un _ dans l'intitulé du groupe",""),""),""))</f>
        <v/>
      </c>
      <c r="J23" s="319"/>
      <c r="K23" s="320"/>
      <c r="L23" s="8" t="str">
        <f t="shared" si="0"/>
        <v/>
      </c>
      <c r="M23" s="24">
        <f t="shared" si="1"/>
        <v>0</v>
      </c>
      <c r="O23" s="24"/>
      <c r="P23" s="24"/>
      <c r="Q23" s="24"/>
      <c r="R23" s="24"/>
      <c r="S23" s="24"/>
      <c r="T23" s="24"/>
      <c r="X23" s="24"/>
      <c r="Y23" s="39"/>
      <c r="Z23" s="6"/>
      <c r="AB23" s="24"/>
      <c r="AC23" s="24"/>
      <c r="AD23" s="24"/>
      <c r="AE23" s="24"/>
      <c r="AF23" s="24"/>
      <c r="AG23" s="24"/>
      <c r="AH23" s="24"/>
      <c r="AS23" s="24"/>
      <c r="AT23" s="24"/>
      <c r="AU23" s="24"/>
      <c r="AV23" s="24"/>
    </row>
    <row r="24" spans="1:48" ht="16.5" customHeight="1" x14ac:dyDescent="0.3">
      <c r="A24" s="297"/>
      <c r="B24" s="310"/>
      <c r="C24" s="107"/>
      <c r="D24" s="61"/>
      <c r="E24" s="70"/>
      <c r="F24" s="61"/>
      <c r="G24" s="174"/>
      <c r="H24" s="62"/>
      <c r="I24" s="318" t="str">
        <f>IF(H24="",IF(COUNTIFS($C$19:C24,C24,$D$19:D24,D24,$E$19:E24,E24)&gt;1,"Ces animaux ont déjà été renseignés, veuillez les différencier en leur donnant un nom",IF(AND(COUNTA(C24,D24,E24,F24,G24)&lt;5,COUNTA(C24,D24,E24,F24,G24)&gt;0),"Pensez à renseigner toutes les cases de la ligne !",""))&amp;IFERROR(IF(FIND(" ",H24)&gt;1,"Veuillez remplacer les espaces par un _ dans l'intitulé du groupe",""),""),IF(H24&lt;&gt;0,IF(COUNTIFS($C$19:C24,C24,$D$19:D24,D24,$E$19:E24,E24,$H$19:H24,H24)&gt;1,"Ces animaux ont déjà été renseignés",IF(AND(COUNTA(C24,D24,E24,F24,G24)&lt;5,COUNTA(C24,D24,E24,F24,G24)&gt;0),"Pensez à renseigner toutes les cases de la ligne !",""))&amp;IFERROR(IF(FIND(" ",H24)&gt;1,"Veuillez remplacer les espaces par un _ dans l'intitulé du groupe",""),""),""))</f>
        <v/>
      </c>
      <c r="J24" s="319"/>
      <c r="K24" s="320"/>
      <c r="L24" s="8" t="str">
        <f t="shared" si="0"/>
        <v/>
      </c>
      <c r="M24" s="24">
        <f t="shared" si="1"/>
        <v>0</v>
      </c>
      <c r="O24" s="24"/>
      <c r="P24" s="24"/>
      <c r="Q24" s="24"/>
      <c r="R24" s="24"/>
      <c r="S24" s="24"/>
      <c r="T24" s="6"/>
      <c r="W24" s="24"/>
      <c r="X24" s="24"/>
      <c r="Y24" s="39"/>
      <c r="Z24" s="6"/>
      <c r="AA24" s="24"/>
      <c r="AB24" s="24"/>
      <c r="AC24" s="24"/>
      <c r="AD24" s="24"/>
      <c r="AE24" s="24"/>
      <c r="AF24" s="24"/>
      <c r="AG24" s="24"/>
      <c r="AH24" s="24"/>
      <c r="AS24" s="24"/>
      <c r="AT24" s="24"/>
      <c r="AU24" s="24"/>
      <c r="AV24" s="24"/>
    </row>
    <row r="25" spans="1:48" ht="16.5" customHeight="1" x14ac:dyDescent="0.3">
      <c r="A25" s="297"/>
      <c r="B25" s="310"/>
      <c r="C25" s="107"/>
      <c r="D25" s="61"/>
      <c r="E25" s="70"/>
      <c r="F25" s="61"/>
      <c r="G25" s="71"/>
      <c r="H25" s="62"/>
      <c r="I25" s="318" t="str">
        <f>IF(H25="",IF(COUNTIFS($C$19:C25,C25,$D$19:D25,D25,$E$19:E25,E25)&gt;1,"Ces animaux ont déjà été renseignés, veuillez les différencier en leur donnant un nom",IF(AND(COUNTA(C25,D25,E25,F25,G25)&lt;5,COUNTA(C25,D25,E25,F25,G25)&gt;0),"Pensez à renseigner toutes les cases de la ligne !",""))&amp;IFERROR(IF(FIND(" ",H25)&gt;1,"Veuillez remplacer les espaces par un _ dans l'intitulé du groupe",""),""),IF(H25&lt;&gt;0,IF(COUNTIFS($C$19:C25,C25,$D$19:D25,D25,$E$19:E25,E25,$H$19:H25,H25)&gt;1,"Ces animaux ont déjà été renseignés",IF(AND(COUNTA(C25,D25,E25,F25,G25)&lt;5,COUNTA(C25,D25,E25,F25,G25)&gt;0),"Pensez à renseigner toutes les cases de la ligne !",""))&amp;IFERROR(IF(FIND(" ",H25)&gt;1,"Veuillez remplacer les espaces par un _ dans l'intitulé du groupe",""),""),""))</f>
        <v/>
      </c>
      <c r="J25" s="319"/>
      <c r="K25" s="320"/>
      <c r="L25" s="8" t="str">
        <f t="shared" si="0"/>
        <v/>
      </c>
      <c r="M25" s="24">
        <f t="shared" si="1"/>
        <v>0</v>
      </c>
      <c r="O25" s="24"/>
      <c r="P25" s="24"/>
      <c r="Q25" s="24"/>
      <c r="R25" s="24"/>
      <c r="S25" s="24"/>
      <c r="T25" s="6"/>
      <c r="W25" s="24"/>
      <c r="X25" s="24"/>
      <c r="Y25" s="39"/>
      <c r="Z25" s="6"/>
      <c r="AA25" s="24"/>
      <c r="AB25" s="24"/>
      <c r="AC25" s="24"/>
      <c r="AD25" s="24"/>
      <c r="AE25" s="24"/>
      <c r="AF25" s="24"/>
      <c r="AG25" s="24"/>
      <c r="AH25" s="24"/>
      <c r="AS25" s="24"/>
      <c r="AT25" s="24"/>
      <c r="AU25" s="24"/>
      <c r="AV25" s="24"/>
    </row>
    <row r="26" spans="1:48" x14ac:dyDescent="0.3">
      <c r="A26" s="297"/>
      <c r="B26" s="310"/>
      <c r="C26" s="107"/>
      <c r="D26" s="61"/>
      <c r="E26" s="70"/>
      <c r="F26" s="61"/>
      <c r="G26" s="71"/>
      <c r="H26" s="62"/>
      <c r="I26" s="318" t="str">
        <f>IF(H26="",IF(COUNTIFS($C$19:C26,C26,$D$19:D26,D26,$E$19:E26,E26)&gt;1,"Ces animaux ont déjà été renseignés, veuillez les différencier en leur donnant un nom",IF(AND(COUNTA(C26,D26,E26,F26,G26)&lt;5,COUNTA(C26,D26,E26,F26,G26)&gt;0),"Pensez à renseigner toutes les cases de la ligne !",""))&amp;IFERROR(IF(FIND(" ",H26)&gt;1,"Veuillez remplacer les espaces par un _ dans l'intitulé du groupe",""),""),IF(H26&lt;&gt;0,IF(COUNTIFS($C$19:C26,C26,$D$19:D26,D26,$E$19:E26,E26,$H$19:H26,H26)&gt;1,"Ces animaux ont déjà été renseignés",IF(AND(COUNTA(C26,D26,E26,F26,G26)&lt;5,COUNTA(C26,D26,E26,F26,G26)&gt;0),"Pensez à renseigner toutes les cases de la ligne !",""))&amp;IFERROR(IF(FIND(" ",H26)&gt;1,"Veuillez remplacer les espaces par un _ dans l'intitulé du groupe",""),""),""))</f>
        <v/>
      </c>
      <c r="J26" s="319"/>
      <c r="K26" s="320"/>
      <c r="L26" s="8" t="str">
        <f t="shared" si="0"/>
        <v/>
      </c>
      <c r="M26" s="24">
        <f t="shared" si="1"/>
        <v>0</v>
      </c>
      <c r="O26" s="24"/>
      <c r="P26" s="24"/>
      <c r="Q26" s="24"/>
      <c r="R26" s="24"/>
      <c r="S26" s="24"/>
      <c r="T26" s="6"/>
      <c r="W26" s="24"/>
      <c r="X26" s="24"/>
      <c r="Y26" s="39"/>
      <c r="Z26" s="6"/>
      <c r="AA26" s="24"/>
      <c r="AB26" s="24"/>
      <c r="AC26" s="24"/>
      <c r="AD26" s="24"/>
      <c r="AE26" s="24"/>
      <c r="AF26" s="24"/>
      <c r="AG26" s="24"/>
      <c r="AH26" s="24"/>
      <c r="AS26" s="24"/>
      <c r="AT26" s="24"/>
      <c r="AU26" s="24"/>
      <c r="AV26" s="24"/>
    </row>
    <row r="27" spans="1:48" x14ac:dyDescent="0.3">
      <c r="A27" s="297"/>
      <c r="B27" s="310"/>
      <c r="C27" s="107"/>
      <c r="D27" s="61"/>
      <c r="E27" s="70"/>
      <c r="F27" s="61"/>
      <c r="G27" s="71"/>
      <c r="H27" s="62"/>
      <c r="I27" s="318" t="str">
        <f>IF(H27="",IF(COUNTIFS($C$19:C27,C27,$D$19:D27,D27,$E$19:E27,E27)&gt;1,"Ces animaux ont déjà été renseignés, veuillez les différencier en leur donnant un nom",IF(AND(COUNTA(C27,D27,E27,F27,G27)&lt;5,COUNTA(C27,D27,E27,F27,G27)&gt;0),"Pensez à renseigner toutes les cases de la ligne !",""))&amp;IFERROR(IF(FIND(" ",H27)&gt;1,"Veuillez remplacer les espaces par un _ dans l'intitulé du groupe",""),""),IF(H27&lt;&gt;0,IF(COUNTIFS($C$19:C27,C27,$D$19:D27,D27,$E$19:E27,E27,$H$19:H27,H27)&gt;1,"Ces animaux ont déjà été renseignés",IF(AND(COUNTA(C27,D27,E27,F27,G27)&lt;5,COUNTA(C27,D27,E27,F27,G27)&gt;0),"Pensez à renseigner toutes les cases de la ligne !",""))&amp;IFERROR(IF(FIND(" ",H27)&gt;1,"Veuillez remplacer les espaces par un _ dans l'intitulé du groupe",""),""),""))</f>
        <v/>
      </c>
      <c r="J27" s="319"/>
      <c r="K27" s="320"/>
      <c r="L27" s="8" t="str">
        <f t="shared" si="0"/>
        <v/>
      </c>
      <c r="M27" s="24">
        <f t="shared" si="1"/>
        <v>0</v>
      </c>
      <c r="O27" s="24"/>
      <c r="P27" s="24"/>
      <c r="Q27" s="24"/>
      <c r="R27" s="24"/>
      <c r="S27" s="24"/>
      <c r="T27" s="6"/>
      <c r="U27" s="24"/>
      <c r="V27" s="24"/>
      <c r="W27" s="24"/>
      <c r="X27" s="24"/>
      <c r="Y27" s="39"/>
      <c r="Z27" s="6"/>
      <c r="AA27" s="24"/>
      <c r="AB27" s="24"/>
      <c r="AC27" s="24"/>
      <c r="AD27" s="24"/>
      <c r="AE27" s="24"/>
      <c r="AF27" s="24"/>
      <c r="AG27" s="24"/>
      <c r="AH27" s="24"/>
      <c r="AS27" s="24"/>
      <c r="AT27" s="24"/>
      <c r="AU27" s="24"/>
      <c r="AV27" s="24"/>
    </row>
    <row r="28" spans="1:48" ht="15" thickBot="1" x14ac:dyDescent="0.35">
      <c r="A28" s="297"/>
      <c r="B28" s="311"/>
      <c r="C28" s="167"/>
      <c r="D28" s="168"/>
      <c r="E28" s="168"/>
      <c r="F28" s="168"/>
      <c r="G28" s="169"/>
      <c r="H28" s="170"/>
      <c r="I28" s="315" t="str">
        <f>IF(H28="",IF(COUNTIFS($C$19:C28,C28,$D$19:D28,D28,$E$19:E28,E28)&gt;1,"Ces animaux ont déjà été renseignés, veuillez les différencier en leur donnant un nom",IF(AND(COUNTA(C28,D28,E28,F28,G28)&lt;5,COUNTA(C28,D28,E28,F28,G28)&gt;0),"Pensez à renseigner toutes les cases de la ligne !",""))&amp;IFERROR(IF(FIND(" ",H28)&gt;1,"Veuillez remplacer les espaces par un _ dans l'intitulé du groupe",""),""),IF(H28&lt;&gt;0,IF(COUNTIFS($C$19:C28,C28,$D$19:D28,D28,$E$19:E28,E28,$H$19:H28,H28)&gt;1,"Ces animaux ont déjà été renseignés",IF(AND(COUNTA(C28,D28,E28,F28,G28)&lt;5,COUNTA(C28,D28,E28,F28,G28)&gt;0),"Pensez à renseigner toutes les cases de la ligne !",""))&amp;IFERROR(IF(FIND(" ",H28)&gt;1,"Veuillez remplacer les espaces par un _ dans l'intitulé du groupe",""),""),""))</f>
        <v/>
      </c>
      <c r="J28" s="316"/>
      <c r="K28" s="317"/>
      <c r="L28" s="8" t="str">
        <f t="shared" si="0"/>
        <v/>
      </c>
      <c r="M28" s="24">
        <f t="shared" si="1"/>
        <v>0</v>
      </c>
      <c r="O28" s="24"/>
      <c r="P28" s="24"/>
      <c r="Q28" s="24"/>
      <c r="R28" s="24"/>
      <c r="S28" s="24"/>
      <c r="T28" s="6"/>
      <c r="U28" s="24"/>
      <c r="V28" s="24"/>
      <c r="W28" s="24"/>
      <c r="X28" s="24"/>
      <c r="Y28" s="39"/>
      <c r="Z28" s="6"/>
      <c r="AA28" s="39"/>
      <c r="AB28" s="24"/>
      <c r="AC28" s="24"/>
      <c r="AD28" s="24"/>
      <c r="AE28" s="24"/>
      <c r="AF28" s="24"/>
      <c r="AG28" s="24"/>
      <c r="AH28" s="24"/>
      <c r="AS28" s="24"/>
      <c r="AT28" s="24"/>
      <c r="AU28" s="24"/>
      <c r="AV28" s="24"/>
    </row>
    <row r="29" spans="1:48" ht="15" thickBot="1" x14ac:dyDescent="0.35">
      <c r="J29" s="8"/>
      <c r="N29" s="24"/>
      <c r="O29" s="24"/>
      <c r="P29" s="24"/>
      <c r="Q29" s="24"/>
      <c r="R29" s="24"/>
      <c r="S29" s="24"/>
      <c r="T29" s="6"/>
      <c r="U29" s="24"/>
      <c r="V29" s="24"/>
      <c r="W29" s="24"/>
      <c r="X29" s="24"/>
      <c r="Y29" s="24"/>
      <c r="Z29" s="39"/>
      <c r="AA29" s="39"/>
      <c r="AB29" s="39"/>
      <c r="AC29" s="24"/>
      <c r="AD29" s="24"/>
      <c r="AE29" s="24"/>
      <c r="AF29" s="24"/>
      <c r="AG29" s="24"/>
      <c r="AH29" s="24"/>
      <c r="AS29" s="24"/>
      <c r="AT29" s="24"/>
      <c r="AU29" s="24"/>
      <c r="AV29" s="24"/>
    </row>
    <row r="30" spans="1:48" ht="48.75" customHeight="1" thickBot="1" x14ac:dyDescent="0.35">
      <c r="A30" s="11" t="s">
        <v>145</v>
      </c>
      <c r="B30" s="164" t="s">
        <v>4336</v>
      </c>
      <c r="C30" s="165" t="s">
        <v>4334</v>
      </c>
      <c r="D30" s="165" t="s">
        <v>4320</v>
      </c>
      <c r="E30" s="165" t="s">
        <v>554</v>
      </c>
      <c r="F30" s="165" t="s">
        <v>30</v>
      </c>
      <c r="G30" s="165" t="s">
        <v>552</v>
      </c>
      <c r="H30" s="165" t="s">
        <v>580</v>
      </c>
      <c r="I30" s="165" t="s">
        <v>4329</v>
      </c>
      <c r="J30" s="165" t="s">
        <v>4328</v>
      </c>
      <c r="K30" s="166" t="s">
        <v>142</v>
      </c>
      <c r="L30" s="34"/>
      <c r="N30" s="200" t="s">
        <v>4340</v>
      </c>
      <c r="O30" s="200" t="s">
        <v>164</v>
      </c>
      <c r="P30" s="200" t="s">
        <v>4341</v>
      </c>
      <c r="Q30" s="24"/>
      <c r="R30" s="24"/>
      <c r="S30" s="24"/>
      <c r="T30" s="6"/>
      <c r="U30" s="24"/>
      <c r="V30" s="24"/>
      <c r="W30" s="24"/>
      <c r="X30" s="24"/>
      <c r="Y30" s="24"/>
      <c r="Z30" s="24"/>
      <c r="AA30" s="24"/>
      <c r="AB30" s="24"/>
      <c r="AC30" s="24"/>
      <c r="AD30" s="24"/>
      <c r="AE30" s="24"/>
      <c r="AF30" s="24"/>
      <c r="AS30" s="24"/>
      <c r="AT30" s="24"/>
      <c r="AU30" s="24"/>
      <c r="AV30" s="24"/>
    </row>
    <row r="31" spans="1:48" s="10" customFormat="1" ht="16.5" customHeight="1" x14ac:dyDescent="0.3">
      <c r="A31" s="8"/>
      <c r="B31" s="153"/>
      <c r="C31" s="265"/>
      <c r="D31" s="154"/>
      <c r="E31" s="154"/>
      <c r="F31" s="181"/>
      <c r="G31" s="159" t="str">
        <f>IF(C31="","",IFERROR(INDEX(G$19:$L28,MATCH(C31,L$19:L$28,0),1),"Non renseigné"))</f>
        <v/>
      </c>
      <c r="H31" s="191" t="str">
        <f>IFERROR(IF(E31="","",INDEX(Données_ATB!BD$3:BT$600,MATCH(E31,Medicament,0),17)),"Ce médicament n'est pas connu dans la base")</f>
        <v/>
      </c>
      <c r="I31" s="192" t="str">
        <f>IFERROR(IF(E31="","",INDEX(Données_ATB!BD$3:BL$600,MATCH(E31,Medicament,0),9)),"")</f>
        <v/>
      </c>
      <c r="J31" s="193" t="str">
        <f>IFERROR(IF(E31="","",INDEX(Données_ATB!BD$3:BP$5600,MATCH(E31,Medicament,0),13)),"")</f>
        <v/>
      </c>
      <c r="K31" s="160" t="str">
        <f>IF(COUNTIFS($B$31:B31,B31,$E$31:E31,E31,$C$31:C31,C31,$D$31:D31,D31)&gt;1,"DÉJÀ ENTRÉ",IF(AND(COUNTA(B31,C31,D31,E31,F31)&lt;5,COUNTA(B31,C31,D31,E31,F31)&gt;0),"Pensez à renseigner toutes les cases de la ligne !",IF(COUNTA(B31)=1,IF(COUNTBLANK(B31)&gt;=1,"Ne laissez pas de lignes vides. Écrivez sur la ligne supérieure.",""),"")))&amp;IF(G31="Non renseigné","Veuillez sélectionner de nouveau le nom dans la colonne Espèce traitée","")</f>
        <v/>
      </c>
      <c r="L31" s="31" t="str">
        <f>IF(E31="","",INDEX(Données_ATB!BD$3:BU$600,MATCH(E31,Medicament,0),18))</f>
        <v/>
      </c>
      <c r="M31" s="31" t="str">
        <f t="shared" ref="M31:M94" si="2">IF(B31="janvier",1,IF(B31="février",2,IF(B31="mars",3,IF(B31="avril",4,IF(B31="mai",5,IF(B31="juin",6,IF(B31="juillet",7,IF(B31="août",8,IF(B31="septembre",9,IF(B31="octobre",10,IF(B31="novembre",11,IF(B31="décembre",12,""))))))))))))</f>
        <v/>
      </c>
      <c r="N31" s="31" t="str">
        <f>IF(E31="","",INDEX(C$19:L$28,MATCH(C31,L$19:L$28,0),1))</f>
        <v/>
      </c>
      <c r="O31" s="31" t="str">
        <f>IF(E31="","",INDEX(C$19:L$28,MATCH(C31,L$19:L$28,0),2))</f>
        <v/>
      </c>
      <c r="P31" s="31" t="str">
        <f>IF(E31="","",INDEX(C$19:L$28,MATCH(C31,L$19:L$28,0),3))</f>
        <v/>
      </c>
      <c r="Q31" s="31"/>
      <c r="R31" s="31"/>
      <c r="S31" s="31"/>
      <c r="T31" s="6"/>
      <c r="U31" s="31"/>
      <c r="V31" s="31"/>
      <c r="W31" s="31"/>
      <c r="X31" s="31"/>
      <c r="Y31" s="31"/>
      <c r="Z31" s="31"/>
      <c r="AA31" s="31"/>
      <c r="AB31" s="31"/>
      <c r="AC31" s="31"/>
      <c r="AD31" s="31"/>
      <c r="AE31" s="31"/>
      <c r="AF31" s="31"/>
      <c r="AS31" s="31"/>
      <c r="AT31" s="31"/>
      <c r="AU31" s="31"/>
      <c r="AV31" s="31"/>
    </row>
    <row r="32" spans="1:48" ht="16.5" customHeight="1" x14ac:dyDescent="0.3">
      <c r="B32" s="266"/>
      <c r="C32" s="268"/>
      <c r="D32" s="267"/>
      <c r="E32" s="156"/>
      <c r="F32" s="182"/>
      <c r="G32" s="72" t="str">
        <f>IF(C32="","",IFERROR(INDEX(G$19:$L29,MATCH(C32,L$19:L$28,0),1),"Non renseigné"))</f>
        <v/>
      </c>
      <c r="H32" s="190" t="str">
        <f>IFERROR(IF(E32="","",INDEX(Données_ATB!BD$3:BT$600,MATCH(E32,Medicament,0),17)),"Ce médicament n'est pas connu dans la base")</f>
        <v/>
      </c>
      <c r="I32" s="69" t="str">
        <f>IFERROR(IF(E32="","",INDEX(Données_ATB!BD$3:BL$600,MATCH(E32,Medicament,0),9)),"")</f>
        <v/>
      </c>
      <c r="J32" s="44" t="str">
        <f>IFERROR(IF(E32="","",INDEX(Données_ATB!BD$3:BP$5600,MATCH(E32,Medicament,0),13)),"")</f>
        <v/>
      </c>
      <c r="K32" s="161" t="str">
        <f>IF(COUNTIFS($B$31:B32,B32,$E$31:E32,E32,$C$31:C32,C32,$D$31:D32,D32)&gt;1,"DÉJÀ ENTRÉ",IF(AND(COUNTA(B32,C32,D32,E32,F32)&lt;5,COUNTA(B32,C32,D32,E32,F32)&gt;0),"Pensez à renseigner toutes les cases de la ligne !",IF(COUNTA(B32)=1,IF(COUNTBLANK(B32)&gt;=1,"Ne laissez pas de lignes vides. Écrivez sur la ligne supérieure.",""),"")))&amp;IF(G32="Non renseigné","Veuillez sélectionner de nouveau le nom dans la colonne Espèce traitée","")</f>
        <v/>
      </c>
      <c r="L32" s="31" t="str">
        <f>IF(E32="","",INDEX(Données_ATB!BD$3:BU$600,MATCH(E32,Medicament,0),18))</f>
        <v/>
      </c>
      <c r="M32" s="31" t="str">
        <f t="shared" si="2"/>
        <v/>
      </c>
      <c r="N32" s="31" t="str">
        <f t="shared" ref="N32:N49" si="3">IF(E32="","",INDEX(C$19:L$28,MATCH(C32,L$19:L$28,0),1))</f>
        <v/>
      </c>
      <c r="O32" s="31" t="str">
        <f t="shared" ref="O32:O49" si="4">IF(E32="","",INDEX(C$19:L$28,MATCH(C32,L$19:L$28,0),2))</f>
        <v/>
      </c>
      <c r="P32" s="31" t="str">
        <f t="shared" ref="P32:P49" si="5">IF(E32="","",INDEX(C$19:L$28,MATCH(C32,L$19:L$28,0),3))</f>
        <v/>
      </c>
      <c r="Q32" s="24"/>
      <c r="R32" s="24"/>
      <c r="S32" s="24"/>
      <c r="T32" s="6"/>
      <c r="U32" s="24"/>
      <c r="V32" s="24"/>
      <c r="W32" s="24"/>
      <c r="X32" s="24"/>
      <c r="Y32" s="24"/>
      <c r="Z32" s="24"/>
      <c r="AA32" s="24"/>
      <c r="AB32" s="24"/>
      <c r="AC32" s="24"/>
      <c r="AD32" s="24"/>
      <c r="AE32" s="24"/>
      <c r="AF32" s="24"/>
      <c r="AS32" s="24"/>
      <c r="AT32" s="24"/>
      <c r="AU32" s="24"/>
      <c r="AV32" s="24"/>
    </row>
    <row r="33" spans="2:48" x14ac:dyDescent="0.3">
      <c r="B33" s="266"/>
      <c r="C33" s="268"/>
      <c r="D33" s="267"/>
      <c r="E33" s="156"/>
      <c r="F33" s="182"/>
      <c r="G33" s="72" t="str">
        <f>IF(C33="","",IFERROR(INDEX(G$19:$L30,MATCH(C33,L$19:L$28,0),1),"Non renseigné"))</f>
        <v/>
      </c>
      <c r="H33" s="190" t="str">
        <f>IFERROR(IF(E33="","",INDEX(Données_ATB!BD$3:BT$600,MATCH(E33,Medicament,0),17)),"Ce médicament n'est pas connu dans la base")</f>
        <v/>
      </c>
      <c r="I33" s="69" t="str">
        <f>IFERROR(IF(E33="","",INDEX(Données_ATB!BD$3:BL$600,MATCH(E33,Medicament,0),9)),"")</f>
        <v/>
      </c>
      <c r="J33" s="44" t="str">
        <f>IFERROR(IF(E33="","",INDEX(Données_ATB!BD$3:BP$5600,MATCH(E33,Medicament,0),13)),"")</f>
        <v/>
      </c>
      <c r="K33" s="161" t="str">
        <f>IF(COUNTIFS($B$31:B33,B33,$E$31:E33,E33,$C$31:C33,C33,$D$31:D33,D33)&gt;1,"DÉJÀ ENTRÉ",IF(AND(COUNTA(B33,C33,D33,E33,F33)&lt;5,COUNTA(B33,C33,D33,E33,F33)&gt;0),"Pensez à renseigner toutes les cases de la ligne !",IF(COUNTA(B33)=1,IF(COUNTBLANK(B33)&gt;=1,"Ne laissez pas de lignes vides. Écrivez sur la ligne supérieure.",""),"")))&amp;IF(G33="Non renseigné","Veuillez sélectionner de nouveau le nom dans la colonne Espèce traitée","")</f>
        <v/>
      </c>
      <c r="L33" s="31" t="str">
        <f>IF(E33="","",INDEX(Données_ATB!BD$3:BU$600,MATCH(E33,Medicament,0),18))</f>
        <v/>
      </c>
      <c r="M33" s="31" t="str">
        <f t="shared" si="2"/>
        <v/>
      </c>
      <c r="N33" s="31" t="str">
        <f t="shared" si="3"/>
        <v/>
      </c>
      <c r="O33" s="31" t="str">
        <f t="shared" si="4"/>
        <v/>
      </c>
      <c r="P33" s="31" t="str">
        <f t="shared" si="5"/>
        <v/>
      </c>
      <c r="Q33" s="24"/>
      <c r="R33" s="24"/>
      <c r="S33" s="24"/>
      <c r="T33" s="24"/>
      <c r="U33" s="24"/>
      <c r="V33" s="24"/>
      <c r="W33" s="24"/>
      <c r="X33" s="24"/>
      <c r="Y33" s="24"/>
      <c r="Z33" s="24"/>
      <c r="AA33" s="24"/>
      <c r="AB33" s="24"/>
      <c r="AC33" s="24"/>
      <c r="AD33" s="24"/>
      <c r="AE33" s="24"/>
      <c r="AF33" s="24"/>
      <c r="AS33" s="24"/>
      <c r="AT33" s="24"/>
      <c r="AU33" s="24"/>
      <c r="AV33" s="24"/>
    </row>
    <row r="34" spans="2:48" x14ac:dyDescent="0.3">
      <c r="B34" s="266"/>
      <c r="C34" s="268"/>
      <c r="D34" s="267"/>
      <c r="E34" s="156"/>
      <c r="F34" s="182"/>
      <c r="G34" s="72" t="str">
        <f>IF(C34="","",IFERROR(INDEX(G$19:$L31,MATCH(C34,L$19:L$28,0),1),"Non renseigné"))</f>
        <v/>
      </c>
      <c r="H34" s="190" t="str">
        <f>IFERROR(IF(E34="","",INDEX(Données_ATB!BD$3:BT$600,MATCH(E34,Medicament,0),17)),"Ce médicament n'est pas connu dans la base")</f>
        <v/>
      </c>
      <c r="I34" s="69" t="str">
        <f>IFERROR(IF(E34="","",INDEX(Données_ATB!BD$3:BL$600,MATCH(E34,Medicament,0),9)),"")</f>
        <v/>
      </c>
      <c r="J34" s="44" t="str">
        <f>IFERROR(IF(E34="","",INDEX(Données_ATB!BD$3:BP$5600,MATCH(E34,Medicament,0),13)),"")</f>
        <v/>
      </c>
      <c r="K34" s="161" t="str">
        <f>IF(COUNTIFS($B$31:B34,B34,$E$31:E34,E34,$C$31:C34,C34,$D$31:D34,D34)&gt;1,"DÉJÀ ENTRÉ",IF(AND(COUNTA(B34,C34,D34,E34,F34)&lt;5,COUNTA(B34,C34,D34,E34,F34)&gt;0),"Pensez à renseigner toutes les cases de la ligne !",IF(COUNTA(B34)=1,IF(COUNTBLANK(B34)&gt;=1,"Ne laissez pas de lignes vides. Écrivez sur la ligne supérieure.",""),"")))&amp;IF(G34="Non renseigné","Veuillez sélectionner de nouveau le nom dans la colonne Espèce traitée","")</f>
        <v/>
      </c>
      <c r="L34" s="31" t="str">
        <f>IF(E34="","",INDEX(Données_ATB!BD$3:BU$600,MATCH(E34,Medicament,0),18))</f>
        <v/>
      </c>
      <c r="M34" s="31" t="str">
        <f t="shared" si="2"/>
        <v/>
      </c>
      <c r="N34" s="31" t="str">
        <f t="shared" si="3"/>
        <v/>
      </c>
      <c r="O34" s="31" t="str">
        <f t="shared" si="4"/>
        <v/>
      </c>
      <c r="P34" s="31" t="str">
        <f t="shared" si="5"/>
        <v/>
      </c>
      <c r="Q34" s="24"/>
      <c r="R34" s="24"/>
      <c r="S34" s="24"/>
      <c r="T34" s="24"/>
      <c r="U34" s="24"/>
      <c r="V34" s="24"/>
      <c r="W34" s="24"/>
      <c r="X34" s="24"/>
      <c r="Y34" s="24"/>
      <c r="Z34" s="24"/>
      <c r="AA34" s="24"/>
      <c r="AB34" s="24"/>
      <c r="AC34" s="24"/>
      <c r="AD34" s="24"/>
      <c r="AE34" s="24"/>
      <c r="AF34" s="24"/>
      <c r="AQ34" s="24"/>
      <c r="AR34" s="24"/>
      <c r="AS34" s="24"/>
      <c r="AT34" s="24"/>
      <c r="AU34" s="24"/>
      <c r="AV34" s="24"/>
    </row>
    <row r="35" spans="2:48" x14ac:dyDescent="0.3">
      <c r="B35" s="266"/>
      <c r="C35" s="268"/>
      <c r="D35" s="267"/>
      <c r="E35" s="156"/>
      <c r="F35" s="182"/>
      <c r="G35" s="72" t="str">
        <f>IF(C35="","",IFERROR(INDEX(G$19:$L32,MATCH(C35,L$19:L$28,0),1),"Non renseigné"))</f>
        <v/>
      </c>
      <c r="H35" s="190" t="str">
        <f>IFERROR(IF(E35="","",INDEX(Données_ATB!BD$3:BT$600,MATCH(E35,Medicament,0),17)),"Ce médicament n'est pas connu dans la base")</f>
        <v/>
      </c>
      <c r="I35" s="69" t="str">
        <f>IFERROR(IF(E35="","",INDEX(Données_ATB!BD$3:BL$600,MATCH(E35,Medicament,0),9)),"")</f>
        <v/>
      </c>
      <c r="J35" s="44" t="str">
        <f>IFERROR(IF(E35="","",INDEX(Données_ATB!BD$3:BP$5600,MATCH(E35,Medicament,0),13)),"")</f>
        <v/>
      </c>
      <c r="K35" s="161" t="str">
        <f>IF(COUNTIFS($B$31:B35,B35,$E$31:E35,E35,$C$31:C35,C35,$D$31:D35,D35)&gt;1,"DÉJÀ ENTRÉ",IF(AND(COUNTA(B35,C35,D35,E35,F35)&lt;5,COUNTA(B35,C35,D35,E35,F35)&gt;0),"Pensez à renseigner toutes les cases de la ligne !",IF(COUNTA(B35)=1,IF(COUNTBLANK(B35)&gt;=1,"Ne laissez pas de lignes vides. Écrivez sur la ligne supérieure.",""),"")))&amp;IF(G35="Non renseigné","Veuillez sélectionner de nouveau le nom dans la colonne Espèce traitée","")</f>
        <v/>
      </c>
      <c r="L35" s="31" t="str">
        <f>IF(E35="","",INDEX(Données_ATB!BD$3:BU$600,MATCH(E35,Medicament,0),18))</f>
        <v/>
      </c>
      <c r="M35" s="31" t="str">
        <f t="shared" si="2"/>
        <v/>
      </c>
      <c r="N35" s="31" t="str">
        <f t="shared" si="3"/>
        <v/>
      </c>
      <c r="O35" s="31" t="str">
        <f t="shared" si="4"/>
        <v/>
      </c>
      <c r="P35" s="31" t="str">
        <f t="shared" si="5"/>
        <v/>
      </c>
      <c r="Q35" s="24"/>
      <c r="R35" s="24"/>
      <c r="S35" s="24"/>
      <c r="T35" s="24"/>
      <c r="U35" s="24"/>
      <c r="V35" s="24"/>
      <c r="W35" s="24"/>
      <c r="X35" s="24"/>
      <c r="Y35" s="24"/>
      <c r="Z35" s="24"/>
      <c r="AA35" s="24"/>
      <c r="AB35" s="24"/>
      <c r="AC35" s="24"/>
      <c r="AD35" s="24"/>
      <c r="AE35" s="24"/>
      <c r="AF35" s="24"/>
      <c r="AQ35" s="24"/>
      <c r="AR35" s="24"/>
      <c r="AS35" s="24"/>
      <c r="AT35" s="24"/>
      <c r="AU35" s="24"/>
      <c r="AV35" s="24"/>
    </row>
    <row r="36" spans="2:48" x14ac:dyDescent="0.3">
      <c r="B36" s="266"/>
      <c r="C36" s="268"/>
      <c r="D36" s="267"/>
      <c r="E36" s="156"/>
      <c r="F36" s="182"/>
      <c r="G36" s="72" t="str">
        <f>IF(C36="","",IFERROR(INDEX(G$19:$L33,MATCH(C36,L$19:L$28,0),1),"Non renseigné"))</f>
        <v/>
      </c>
      <c r="H36" s="190" t="str">
        <f>IFERROR(IF(E36="","",INDEX(Données_ATB!BD$3:BT$600,MATCH(E36,Medicament,0),17)),"Ce médicament n'est pas connu dans la base")</f>
        <v/>
      </c>
      <c r="I36" s="69" t="str">
        <f>IFERROR(IF(E36="","",INDEX(Données_ATB!BD$3:BL$600,MATCH(E36,Medicament,0),9)),"")</f>
        <v/>
      </c>
      <c r="J36" s="44" t="str">
        <f>IFERROR(IF(E36="","",INDEX(Données_ATB!BD$3:BP$5600,MATCH(E36,Medicament,0),13)),"")</f>
        <v/>
      </c>
      <c r="K36" s="161" t="str">
        <f>IF(COUNTIFS($B$31:B36,B36,$E$31:E36,E36,$C$31:C36,C36,$D$31:D36,D36)&gt;1,"DÉJÀ ENTRÉ",IF(AND(COUNTA(B36,C36,D36,E36,F36)&lt;5,COUNTA(B36,C36,D36,E36,F36)&gt;0),"Pensez à renseigner toutes les cases de la ligne !",IF(COUNTA(B36)=1,IF(COUNTBLANK(B36)&gt;=1,"Ne laissez pas de lignes vides. Écrivez sur la ligne supérieure.",""),"")))&amp;IF(G36="Non renseigné","Veuillez sélectionner de nouveau le nom dans la colonne Espèce traitée","")</f>
        <v/>
      </c>
      <c r="L36" s="31" t="str">
        <f>IF(E36="","",INDEX(Données_ATB!BD$3:BU$600,MATCH(E36,Medicament,0),18))</f>
        <v/>
      </c>
      <c r="M36" s="31" t="str">
        <f t="shared" si="2"/>
        <v/>
      </c>
      <c r="N36" s="31" t="str">
        <f t="shared" si="3"/>
        <v/>
      </c>
      <c r="O36" s="31" t="str">
        <f t="shared" si="4"/>
        <v/>
      </c>
      <c r="P36" s="31" t="str">
        <f t="shared" si="5"/>
        <v/>
      </c>
      <c r="Q36" s="24"/>
      <c r="R36" s="24"/>
      <c r="S36" s="24"/>
      <c r="T36" s="24"/>
      <c r="U36" s="24"/>
      <c r="V36" s="24"/>
      <c r="W36" s="24"/>
      <c r="X36" s="24"/>
      <c r="Y36" s="24"/>
      <c r="Z36" s="24"/>
      <c r="AA36" s="24"/>
      <c r="AB36" s="24"/>
      <c r="AC36" s="24"/>
      <c r="AD36" s="24"/>
      <c r="AE36" s="24"/>
      <c r="AF36" s="24"/>
      <c r="AQ36" s="24"/>
      <c r="AR36" s="24"/>
      <c r="AS36" s="24"/>
      <c r="AT36" s="24"/>
      <c r="AU36" s="24"/>
      <c r="AV36" s="24"/>
    </row>
    <row r="37" spans="2:48" x14ac:dyDescent="0.3">
      <c r="B37" s="266"/>
      <c r="C37" s="268"/>
      <c r="D37" s="267"/>
      <c r="E37" s="156"/>
      <c r="F37" s="182"/>
      <c r="G37" s="72" t="str">
        <f>IF(C37="","",IFERROR(INDEX(G$19:$L34,MATCH(C37,L$19:L$28,0),1),"Non renseigné"))</f>
        <v/>
      </c>
      <c r="H37" s="190" t="str">
        <f>IFERROR(IF(E37="","",INDEX(Données_ATB!BD$3:BT$600,MATCH(E37,Medicament,0),17)),"Ce médicament n'est pas connu dans la base")</f>
        <v/>
      </c>
      <c r="I37" s="69" t="str">
        <f>IFERROR(IF(E37="","",INDEX(Données_ATB!BD$3:BL$600,MATCH(E37,Medicament,0),9)),"")</f>
        <v/>
      </c>
      <c r="J37" s="44" t="str">
        <f>IFERROR(IF(E37="","",INDEX(Données_ATB!BD$3:BP$5600,MATCH(E37,Medicament,0),13)),"")</f>
        <v/>
      </c>
      <c r="K37" s="161" t="str">
        <f>IF(COUNTIFS($B$31:B37,B37,$E$31:E37,E37,$C$31:C37,C37,$D$31:D37,D37)&gt;1,"DÉJÀ ENTRÉ",IF(AND(COUNTA(B37,C37,D37,E37,F37)&lt;5,COUNTA(B37,C37,D37,E37,F37)&gt;0),"Pensez à renseigner toutes les cases de la ligne !",IF(COUNTA(B37)=1,IF(COUNTBLANK(B37)&gt;=1,"Ne laissez pas de lignes vides. Écrivez sur la ligne supérieure.",""),"")))&amp;IF(G37="Non renseigné","Veuillez sélectionner de nouveau le nom dans la colonne Espèce traitée","")</f>
        <v/>
      </c>
      <c r="L37" s="31" t="str">
        <f>IF(E37="","",INDEX(Données_ATB!BD$3:BU$600,MATCH(E37,Medicament,0),18))</f>
        <v/>
      </c>
      <c r="M37" s="31" t="str">
        <f t="shared" si="2"/>
        <v/>
      </c>
      <c r="N37" s="31" t="str">
        <f t="shared" si="3"/>
        <v/>
      </c>
      <c r="O37" s="31" t="str">
        <f t="shared" si="4"/>
        <v/>
      </c>
      <c r="P37" s="31" t="str">
        <f t="shared" si="5"/>
        <v/>
      </c>
      <c r="Q37" s="24"/>
      <c r="R37" s="24"/>
      <c r="S37" s="24"/>
      <c r="T37" s="24"/>
      <c r="U37" s="24"/>
      <c r="V37" s="24"/>
      <c r="W37" s="24"/>
      <c r="X37" s="24"/>
      <c r="Y37" s="24"/>
      <c r="Z37" s="24"/>
      <c r="AA37" s="24"/>
      <c r="AB37" s="24"/>
      <c r="AC37" s="24"/>
      <c r="AD37" s="24"/>
      <c r="AE37" s="24"/>
      <c r="AF37" s="24"/>
      <c r="AQ37" s="24"/>
      <c r="AR37" s="24"/>
      <c r="AS37" s="24"/>
      <c r="AT37" s="24"/>
      <c r="AU37" s="24"/>
      <c r="AV37" s="24"/>
    </row>
    <row r="38" spans="2:48" x14ac:dyDescent="0.3">
      <c r="B38" s="266"/>
      <c r="C38" s="268"/>
      <c r="D38" s="267"/>
      <c r="E38" s="156"/>
      <c r="F38" s="182"/>
      <c r="G38" s="72" t="str">
        <f>IF(C38="","",IFERROR(INDEX(G$19:$L35,MATCH(C38,L$19:L$28,0),1),"Non renseigné"))</f>
        <v/>
      </c>
      <c r="H38" s="190" t="str">
        <f>IFERROR(IF(E38="","",INDEX(Données_ATB!BD$3:BT$600,MATCH(E38,Medicament,0),17)),"Ce médicament n'est pas connu dans la base")</f>
        <v/>
      </c>
      <c r="I38" s="69" t="str">
        <f>IFERROR(IF(E38="","",INDEX(Données_ATB!BD$3:BL$600,MATCH(E38,Medicament,0),9)),"")</f>
        <v/>
      </c>
      <c r="J38" s="44" t="str">
        <f>IFERROR(IF(E38="","",INDEX(Données_ATB!BD$3:BP$5600,MATCH(E38,Medicament,0),13)),"")</f>
        <v/>
      </c>
      <c r="K38" s="161" t="str">
        <f>IF(COUNTIFS($B$31:B38,B38,$E$31:E38,E38,$C$31:C38,C38,$D$31:D38,D38)&gt;1,"DÉJÀ ENTRÉ",IF(AND(COUNTA(B38,C38,D38,E38,F38)&lt;5,COUNTA(B38,C38,D38,E38,F38)&gt;0),"Pensez à renseigner toutes les cases de la ligne !",IF(COUNTA(B38)=1,IF(COUNTBLANK(B38)&gt;=1,"Ne laissez pas de lignes vides. Écrivez sur la ligne supérieure.",""),"")))&amp;IF(G38="Non renseigné","Veuillez sélectionner de nouveau le nom dans la colonne Espèce traitée","")</f>
        <v/>
      </c>
      <c r="L38" s="31" t="str">
        <f>IF(E38="","",INDEX(Données_ATB!BD$3:BU$600,MATCH(E38,Medicament,0),18))</f>
        <v/>
      </c>
      <c r="M38" s="31" t="str">
        <f t="shared" si="2"/>
        <v/>
      </c>
      <c r="N38" s="31" t="str">
        <f t="shared" si="3"/>
        <v/>
      </c>
      <c r="O38" s="31" t="str">
        <f t="shared" si="4"/>
        <v/>
      </c>
      <c r="P38" s="31" t="str">
        <f t="shared" si="5"/>
        <v/>
      </c>
      <c r="Q38" s="24"/>
      <c r="R38" s="24"/>
      <c r="S38" s="24"/>
      <c r="T38" s="24"/>
      <c r="U38" s="24"/>
      <c r="V38" s="24"/>
      <c r="W38" s="24"/>
      <c r="X38" s="24"/>
      <c r="Y38" s="24"/>
      <c r="Z38" s="24"/>
      <c r="AA38" s="24"/>
      <c r="AB38" s="24"/>
      <c r="AC38" s="24"/>
      <c r="AD38" s="24"/>
      <c r="AE38" s="24"/>
      <c r="AF38" s="24"/>
      <c r="AQ38" s="24"/>
      <c r="AR38" s="24"/>
      <c r="AS38" s="24"/>
      <c r="AT38" s="24"/>
      <c r="AU38" s="24"/>
      <c r="AV38" s="24"/>
    </row>
    <row r="39" spans="2:48" x14ac:dyDescent="0.3">
      <c r="B39" s="266"/>
      <c r="C39" s="268"/>
      <c r="D39" s="267"/>
      <c r="E39" s="156"/>
      <c r="F39" s="182"/>
      <c r="G39" s="72" t="str">
        <f>IF(C39="","",IFERROR(INDEX(G$19:$L36,MATCH(C39,L$19:L$28,0),1),"Non renseigné"))</f>
        <v/>
      </c>
      <c r="H39" s="190" t="str">
        <f>IFERROR(IF(E39="","",INDEX(Données_ATB!BD$3:BT$600,MATCH(E39,Medicament,0),17)),"Ce médicament n'est pas connu dans la base")</f>
        <v/>
      </c>
      <c r="I39" s="69" t="str">
        <f>IFERROR(IF(E39="","",INDEX(Données_ATB!BD$3:BL$600,MATCH(E39,Medicament,0),9)),"")</f>
        <v/>
      </c>
      <c r="J39" s="44" t="str">
        <f>IFERROR(IF(E39="","",INDEX(Données_ATB!BD$3:BP$5600,MATCH(E39,Medicament,0),13)),"")</f>
        <v/>
      </c>
      <c r="K39" s="161" t="str">
        <f>IF(COUNTIFS($B$31:B39,B39,$E$31:E39,E39,$C$31:C39,C39,$D$31:D39,D39)&gt;1,"DÉJÀ ENTRÉ",IF(AND(COUNTA(B39,C39,D39,E39,F39)&lt;5,COUNTA(B39,C39,D39,E39,F39)&gt;0),"Pensez à renseigner toutes les cases de la ligne !",IF(COUNTA(B39)=1,IF(COUNTBLANK(B39)&gt;=1,"Ne laissez pas de lignes vides. Écrivez sur la ligne supérieure.",""),"")))&amp;IF(G39="Non renseigné","Veuillez sélectionner de nouveau le nom dans la colonne Espèce traitée","")</f>
        <v/>
      </c>
      <c r="L39" s="31" t="str">
        <f>IF(E39="","",INDEX(Données_ATB!BD$3:BU$600,MATCH(E39,Medicament,0),18))</f>
        <v/>
      </c>
      <c r="M39" s="31" t="str">
        <f t="shared" si="2"/>
        <v/>
      </c>
      <c r="N39" s="31" t="str">
        <f t="shared" si="3"/>
        <v/>
      </c>
      <c r="O39" s="31" t="str">
        <f t="shared" si="4"/>
        <v/>
      </c>
      <c r="P39" s="31" t="str">
        <f t="shared" si="5"/>
        <v/>
      </c>
      <c r="Q39" s="24"/>
      <c r="R39" s="24"/>
      <c r="S39" s="24"/>
      <c r="T39" s="24"/>
      <c r="U39" s="24"/>
      <c r="V39" s="24"/>
      <c r="W39" s="24"/>
      <c r="X39" s="24"/>
      <c r="Y39" s="24"/>
      <c r="Z39" s="24"/>
      <c r="AA39" s="24"/>
      <c r="AB39" s="24"/>
      <c r="AC39" s="24"/>
      <c r="AD39" s="24"/>
      <c r="AE39" s="24"/>
      <c r="AF39" s="24"/>
      <c r="AQ39" s="24"/>
      <c r="AR39" s="24"/>
      <c r="AS39" s="24"/>
      <c r="AT39" s="24"/>
      <c r="AU39" s="24"/>
      <c r="AV39" s="24"/>
    </row>
    <row r="40" spans="2:48" ht="20.25" customHeight="1" x14ac:dyDescent="0.3">
      <c r="B40" s="266"/>
      <c r="C40" s="268"/>
      <c r="D40" s="267"/>
      <c r="E40" s="156"/>
      <c r="F40" s="182"/>
      <c r="G40" s="72" t="str">
        <f>IF(C40="","",IFERROR(INDEX(G$19:$L37,MATCH(C40,L$19:L$28,0),1),"Non renseigné"))</f>
        <v/>
      </c>
      <c r="H40" s="190" t="str">
        <f>IFERROR(IF(E40="","",INDEX(Données_ATB!BD$3:BT$600,MATCH(E40,Medicament,0),17)),"Ce médicament n'est pas connu dans la base")</f>
        <v/>
      </c>
      <c r="I40" s="69" t="str">
        <f>IFERROR(IF(E40="","",INDEX(Données_ATB!BD$3:BL$600,MATCH(E40,Medicament,0),9)),"")</f>
        <v/>
      </c>
      <c r="J40" s="44" t="str">
        <f>IFERROR(IF(E40="","",INDEX(Données_ATB!BD$3:BP$5600,MATCH(E40,Medicament,0),13)),"")</f>
        <v/>
      </c>
      <c r="K40" s="161" t="str">
        <f>IF(COUNTIFS($B$31:B40,B40,$E$31:E40,E40,$C$31:C40,C40,$D$31:D40,D40)&gt;1,"DÉJÀ ENTRÉ",IF(AND(COUNTA(B40,C40,D40,E40,F40)&lt;5,COUNTA(B40,C40,D40,E40,F40)&gt;0),"Pensez à renseigner toutes les cases de la ligne !",IF(COUNTA(B40)=1,IF(COUNTBLANK(B40)&gt;=1,"Ne laissez pas de lignes vides. Écrivez sur la ligne supérieure.",""),"")))&amp;IF(G40="Non renseigné","Veuillez sélectionner de nouveau le nom dans la colonne Espèce traitée","")</f>
        <v/>
      </c>
      <c r="L40" s="31" t="str">
        <f>IF(E40="","",INDEX(Données_ATB!BD$3:BU$600,MATCH(E40,Medicament,0),18))</f>
        <v/>
      </c>
      <c r="M40" s="31" t="str">
        <f t="shared" si="2"/>
        <v/>
      </c>
      <c r="N40" s="31" t="str">
        <f t="shared" si="3"/>
        <v/>
      </c>
      <c r="O40" s="31" t="str">
        <f t="shared" si="4"/>
        <v/>
      </c>
      <c r="P40" s="31" t="str">
        <f t="shared" si="5"/>
        <v/>
      </c>
      <c r="Q40" s="24"/>
      <c r="R40" s="24"/>
      <c r="S40" s="24"/>
      <c r="T40" s="24"/>
      <c r="U40" s="24"/>
      <c r="V40" s="24"/>
      <c r="W40" s="24"/>
      <c r="X40" s="24"/>
      <c r="Y40" s="24"/>
      <c r="Z40" s="24"/>
      <c r="AA40" s="24"/>
      <c r="AB40" s="24"/>
      <c r="AC40" s="24"/>
      <c r="AD40" s="24"/>
      <c r="AE40" s="24"/>
      <c r="AF40" s="24"/>
      <c r="AQ40" s="24"/>
      <c r="AR40" s="24"/>
      <c r="AS40" s="24"/>
      <c r="AT40" s="24"/>
      <c r="AU40" s="24"/>
      <c r="AV40" s="24"/>
    </row>
    <row r="41" spans="2:48" ht="20.25" customHeight="1" x14ac:dyDescent="0.3">
      <c r="B41" s="266"/>
      <c r="C41" s="268"/>
      <c r="D41" s="267"/>
      <c r="E41" s="156"/>
      <c r="F41" s="182"/>
      <c r="G41" s="72" t="str">
        <f>IF(C41="","",IFERROR(INDEX(G$19:$L38,MATCH(C41,L$19:L$28,0),1),"Non renseigné"))</f>
        <v/>
      </c>
      <c r="H41" s="190" t="str">
        <f>IFERROR(IF(E41="","",INDEX(Données_ATB!BD$3:BT$600,MATCH(E41,Medicament,0),17)),"Ce médicament n'est pas connu dans la base")</f>
        <v/>
      </c>
      <c r="I41" s="69" t="str">
        <f>IFERROR(IF(E41="","",INDEX(Données_ATB!BD$3:BL$600,MATCH(E41,Medicament,0),9)),"")</f>
        <v/>
      </c>
      <c r="J41" s="44" t="str">
        <f>IFERROR(IF(E41="","",INDEX(Données_ATB!BD$3:BP$5600,MATCH(E41,Medicament,0),13)),"")</f>
        <v/>
      </c>
      <c r="K41" s="161" t="str">
        <f>IF(COUNTIFS($B$31:B41,B41,$E$31:E41,E41,$C$31:C41,C41,$D$31:D41,D41)&gt;1,"DÉJÀ ENTRÉ",IF(AND(COUNTA(B41,C41,D41,E41,F41)&lt;5,COUNTA(B41,C41,D41,E41,F41)&gt;0),"Pensez à renseigner toutes les cases de la ligne !",IF(COUNTA(B41)=1,IF(COUNTBLANK(B41)&gt;=1,"Ne laissez pas de lignes vides. Écrivez sur la ligne supérieure.",""),"")))&amp;IF(G41="Non renseigné","Veuillez sélectionner de nouveau le nom dans la colonne Espèce traitée","")</f>
        <v/>
      </c>
      <c r="L41" s="31" t="str">
        <f>IF(E41="","",INDEX(Données_ATB!BD$3:BU$600,MATCH(E41,Medicament,0),18))</f>
        <v/>
      </c>
      <c r="M41" s="31" t="str">
        <f t="shared" si="2"/>
        <v/>
      </c>
      <c r="N41" s="31" t="str">
        <f t="shared" si="3"/>
        <v/>
      </c>
      <c r="O41" s="31" t="str">
        <f t="shared" si="4"/>
        <v/>
      </c>
      <c r="P41" s="31" t="str">
        <f t="shared" si="5"/>
        <v/>
      </c>
      <c r="Q41" s="24"/>
      <c r="R41" s="24"/>
      <c r="S41" s="24"/>
      <c r="T41" s="24"/>
      <c r="U41" s="24"/>
      <c r="V41" s="24"/>
      <c r="W41" s="24"/>
      <c r="X41" s="24"/>
      <c r="Y41" s="24"/>
      <c r="Z41" s="24"/>
      <c r="AA41" s="24"/>
      <c r="AB41" s="24"/>
      <c r="AC41" s="24"/>
      <c r="AD41" s="24"/>
      <c r="AE41" s="24"/>
      <c r="AF41" s="24"/>
      <c r="AQ41" s="24"/>
      <c r="AR41" s="24"/>
      <c r="AS41" s="24"/>
      <c r="AT41" s="24"/>
      <c r="AU41" s="24"/>
      <c r="AV41" s="24"/>
    </row>
    <row r="42" spans="2:48" x14ac:dyDescent="0.3">
      <c r="B42" s="266"/>
      <c r="C42" s="268"/>
      <c r="D42" s="267"/>
      <c r="E42" s="156"/>
      <c r="F42" s="182"/>
      <c r="G42" s="72" t="str">
        <f>IF(C42="","",IFERROR(INDEX(G$19:$L39,MATCH(C42,L$19:L$28,0),1),"Non renseigné"))</f>
        <v/>
      </c>
      <c r="H42" s="190" t="str">
        <f>IFERROR(IF(E42="","",INDEX(Données_ATB!BD$3:BT$600,MATCH(E42,Medicament,0),17)),"Ce médicament n'est pas connu dans la base")</f>
        <v/>
      </c>
      <c r="I42" s="69" t="str">
        <f>IFERROR(IF(E42="","",INDEX(Données_ATB!BD$3:BL$600,MATCH(E42,Medicament,0),9)),"")</f>
        <v/>
      </c>
      <c r="J42" s="44" t="str">
        <f>IFERROR(IF(E42="","",INDEX(Données_ATB!BD$3:BP$5600,MATCH(E42,Medicament,0),13)),"")</f>
        <v/>
      </c>
      <c r="K42" s="161" t="str">
        <f>IF(COUNTIFS($B$31:B42,B42,$E$31:E42,E42,$C$31:C42,C42,$D$31:D42,D42)&gt;1,"DÉJÀ ENTRÉ",IF(AND(COUNTA(B42,C42,D42,E42,F42)&lt;5,COUNTA(B42,C42,D42,E42,F42)&gt;0),"Pensez à renseigner toutes les cases de la ligne !",IF(COUNTA(B42)=1,IF(COUNTBLANK(B42)&gt;=1,"Ne laissez pas de lignes vides. Écrivez sur la ligne supérieure.",""),"")))&amp;IF(G42="Non renseigné","Veuillez sélectionner de nouveau le nom dans la colonne Espèce traitée","")</f>
        <v/>
      </c>
      <c r="L42" s="31" t="str">
        <f>IF(E42="","",INDEX(Données_ATB!BD$3:BU$600,MATCH(E42,Medicament,0),18))</f>
        <v/>
      </c>
      <c r="M42" s="31" t="str">
        <f t="shared" si="2"/>
        <v/>
      </c>
      <c r="N42" s="31" t="str">
        <f t="shared" si="3"/>
        <v/>
      </c>
      <c r="O42" s="31" t="str">
        <f t="shared" si="4"/>
        <v/>
      </c>
      <c r="P42" s="31" t="str">
        <f t="shared" si="5"/>
        <v/>
      </c>
      <c r="Q42" s="24"/>
      <c r="R42" s="24"/>
      <c r="S42" s="24"/>
      <c r="T42" s="24"/>
      <c r="U42" s="24"/>
      <c r="V42" s="24"/>
      <c r="W42" s="24"/>
      <c r="X42" s="24"/>
      <c r="Y42" s="24"/>
      <c r="Z42" s="24"/>
      <c r="AA42" s="24"/>
      <c r="AB42" s="24"/>
      <c r="AC42" s="24"/>
      <c r="AD42" s="24"/>
      <c r="AE42" s="24"/>
      <c r="AF42" s="24"/>
      <c r="AQ42" s="24"/>
      <c r="AR42" s="24"/>
      <c r="AS42" s="24"/>
      <c r="AT42" s="24"/>
      <c r="AU42" s="24"/>
      <c r="AV42" s="24"/>
    </row>
    <row r="43" spans="2:48" x14ac:dyDescent="0.3">
      <c r="B43" s="266"/>
      <c r="C43" s="268"/>
      <c r="D43" s="267"/>
      <c r="E43" s="156"/>
      <c r="F43" s="182"/>
      <c r="G43" s="72" t="str">
        <f>IF(C43="","",IFERROR(INDEX(G$19:$L40,MATCH(C43,L$19:L$28,0),1),"Non renseigné"))</f>
        <v/>
      </c>
      <c r="H43" s="190" t="str">
        <f>IFERROR(IF(E43="","",INDEX(Données_ATB!BD$3:BT$600,MATCH(E43,Medicament,0),17)),"Ce médicament n'est pas connu dans la base")</f>
        <v/>
      </c>
      <c r="I43" s="69" t="str">
        <f>IFERROR(IF(E43="","",INDEX(Données_ATB!BD$3:BL$600,MATCH(E43,Medicament,0),9)),"")</f>
        <v/>
      </c>
      <c r="J43" s="44" t="str">
        <f>IFERROR(IF(E43="","",INDEX(Données_ATB!BD$3:BP$5600,MATCH(E43,Medicament,0),13)),"")</f>
        <v/>
      </c>
      <c r="K43" s="161" t="str">
        <f>IF(COUNTIFS($B$31:B43,B43,$E$31:E43,E43,$C$31:C43,C43,$D$31:D43,D43)&gt;1,"DÉJÀ ENTRÉ",IF(AND(COUNTA(B43,C43,D43,E43,F43)&lt;5,COUNTA(B43,C43,D43,E43,F43)&gt;0),"Pensez à renseigner toutes les cases de la ligne !",IF(COUNTA(B43)=1,IF(COUNTBLANK(B43)&gt;=1,"Ne laissez pas de lignes vides. Écrivez sur la ligne supérieure.",""),"")))&amp;IF(G43="Non renseigné","Veuillez sélectionner de nouveau le nom dans la colonne Espèce traitée","")</f>
        <v/>
      </c>
      <c r="L43" s="31" t="str">
        <f>IF(E43="","",INDEX(Données_ATB!BD$3:BU$600,MATCH(E43,Medicament,0),18))</f>
        <v/>
      </c>
      <c r="M43" s="31" t="str">
        <f t="shared" si="2"/>
        <v/>
      </c>
      <c r="N43" s="31" t="str">
        <f t="shared" si="3"/>
        <v/>
      </c>
      <c r="O43" s="31" t="str">
        <f t="shared" si="4"/>
        <v/>
      </c>
      <c r="P43" s="31" t="str">
        <f t="shared" si="5"/>
        <v/>
      </c>
      <c r="Q43" s="24"/>
      <c r="R43" s="24"/>
      <c r="S43" s="24"/>
      <c r="T43" s="24"/>
      <c r="U43" s="24"/>
      <c r="V43" s="24"/>
      <c r="W43" s="24"/>
      <c r="X43" s="24"/>
      <c r="Y43" s="24"/>
      <c r="Z43" s="24"/>
      <c r="AA43" s="24"/>
      <c r="AB43" s="24"/>
      <c r="AC43" s="24"/>
      <c r="AD43" s="24"/>
      <c r="AE43" s="24"/>
      <c r="AF43" s="24"/>
      <c r="AQ43" s="24"/>
      <c r="AR43" s="24"/>
      <c r="AS43" s="24"/>
      <c r="AT43" s="24"/>
      <c r="AU43" s="24"/>
      <c r="AV43" s="24"/>
    </row>
    <row r="44" spans="2:48" x14ac:dyDescent="0.3">
      <c r="B44" s="266"/>
      <c r="C44" s="268"/>
      <c r="D44" s="267"/>
      <c r="E44" s="156"/>
      <c r="F44" s="182"/>
      <c r="G44" s="72" t="str">
        <f>IF(C44="","",IFERROR(INDEX(G$19:$L41,MATCH(C44,L$19:L$28,0),1),"Non renseigné"))</f>
        <v/>
      </c>
      <c r="H44" s="190" t="str">
        <f>IFERROR(IF(E44="","",INDEX(Données_ATB!BD$3:BT$600,MATCH(E44,Medicament,0),17)),"Ce médicament n'est pas connu dans la base")</f>
        <v/>
      </c>
      <c r="I44" s="69" t="str">
        <f>IFERROR(IF(E44="","",INDEX(Données_ATB!BD$3:BL$600,MATCH(E44,Medicament,0),9)),"")</f>
        <v/>
      </c>
      <c r="J44" s="44" t="str">
        <f>IFERROR(IF(E44="","",INDEX(Données_ATB!BD$3:BP$5600,MATCH(E44,Medicament,0),13)),"")</f>
        <v/>
      </c>
      <c r="K44" s="161" t="str">
        <f>IF(COUNTIFS($B$31:B44,B44,$E$31:E44,E44,$C$31:C44,C44,$D$31:D44,D44)&gt;1,"DÉJÀ ENTRÉ",IF(AND(COUNTA(B44,C44,D44,E44,F44)&lt;5,COUNTA(B44,C44,D44,E44,F44)&gt;0),"Pensez à renseigner toutes les cases de la ligne !",IF(COUNTA(B44)=1,IF(COUNTBLANK(B44)&gt;=1,"Ne laissez pas de lignes vides. Écrivez sur la ligne supérieure.",""),"")))&amp;IF(G44="Non renseigné","Veuillez sélectionner de nouveau le nom dans la colonne Espèce traitée","")</f>
        <v/>
      </c>
      <c r="L44" s="31" t="str">
        <f>IF(E44="","",INDEX(Données_ATB!BD$3:BU$600,MATCH(E44,Medicament,0),18))</f>
        <v/>
      </c>
      <c r="M44" s="31" t="str">
        <f t="shared" si="2"/>
        <v/>
      </c>
      <c r="N44" s="31" t="str">
        <f t="shared" si="3"/>
        <v/>
      </c>
      <c r="O44" s="31" t="str">
        <f t="shared" si="4"/>
        <v/>
      </c>
      <c r="P44" s="31" t="str">
        <f t="shared" si="5"/>
        <v/>
      </c>
    </row>
    <row r="45" spans="2:48" x14ac:dyDescent="0.3">
      <c r="B45" s="266"/>
      <c r="C45" s="268"/>
      <c r="D45" s="267"/>
      <c r="E45" s="156"/>
      <c r="F45" s="182"/>
      <c r="G45" s="72" t="str">
        <f>IF(C45="","",IFERROR(INDEX(G$19:$L42,MATCH(C45,L$19:L$28,0),1),"Non renseigné"))</f>
        <v/>
      </c>
      <c r="H45" s="190" t="str">
        <f>IFERROR(IF(E45="","",INDEX(Données_ATB!BD$3:BT$600,MATCH(E45,Medicament,0),17)),"Ce médicament n'est pas connu dans la base")</f>
        <v/>
      </c>
      <c r="I45" s="69" t="str">
        <f>IFERROR(IF(E45="","",INDEX(Données_ATB!BD$3:BL$600,MATCH(E45,Medicament,0),9)),"")</f>
        <v/>
      </c>
      <c r="J45" s="44" t="str">
        <f>IFERROR(IF(E45="","",INDEX(Données_ATB!BD$3:BP$5600,MATCH(E45,Medicament,0),13)),"")</f>
        <v/>
      </c>
      <c r="K45" s="161" t="str">
        <f>IF(COUNTIFS($B$31:B45,B45,$E$31:E45,E45,$C$31:C45,C45,$D$31:D45,D45)&gt;1,"DÉJÀ ENTRÉ",IF(AND(COUNTA(B45,C45,D45,E45,F45)&lt;5,COUNTA(B45,C45,D45,E45,F45)&gt;0),"Pensez à renseigner toutes les cases de la ligne !",IF(COUNTA(B45)=1,IF(COUNTBLANK(B45)&gt;=1,"Ne laissez pas de lignes vides. Écrivez sur la ligne supérieure.",""),"")))&amp;IF(G45="Non renseigné","Veuillez sélectionner de nouveau le nom dans la colonne Espèce traitée","")</f>
        <v/>
      </c>
      <c r="L45" s="31" t="str">
        <f>IF(E45="","",INDEX(Données_ATB!BD$3:BU$600,MATCH(E45,Medicament,0),18))</f>
        <v/>
      </c>
      <c r="M45" s="31" t="str">
        <f t="shared" si="2"/>
        <v/>
      </c>
      <c r="N45" s="31" t="str">
        <f t="shared" si="3"/>
        <v/>
      </c>
      <c r="O45" s="31" t="str">
        <f t="shared" si="4"/>
        <v/>
      </c>
      <c r="P45" s="31" t="str">
        <f t="shared" si="5"/>
        <v/>
      </c>
    </row>
    <row r="46" spans="2:48" x14ac:dyDescent="0.3">
      <c r="B46" s="266"/>
      <c r="C46" s="268"/>
      <c r="D46" s="267"/>
      <c r="E46" s="156"/>
      <c r="F46" s="182"/>
      <c r="G46" s="72" t="str">
        <f>IF(C46="","",IFERROR(INDEX(G$19:$L43,MATCH(C46,L$19:L$28,0),1),"Non renseigné"))</f>
        <v/>
      </c>
      <c r="H46" s="190" t="str">
        <f>IFERROR(IF(E46="","",INDEX(Données_ATB!BD$3:BT$600,MATCH(E46,Medicament,0),17)),"Ce médicament n'est pas connu dans la base")</f>
        <v/>
      </c>
      <c r="I46" s="69" t="str">
        <f>IFERROR(IF(E46="","",INDEX(Données_ATB!BD$3:BL$600,MATCH(E46,Medicament,0),9)),"")</f>
        <v/>
      </c>
      <c r="J46" s="44" t="str">
        <f>IFERROR(IF(E46="","",INDEX(Données_ATB!BD$3:BP$5600,MATCH(E46,Medicament,0),13)),"")</f>
        <v/>
      </c>
      <c r="K46" s="161" t="str">
        <f>IF(COUNTIFS($B$31:B46,B46,$E$31:E46,E46,$C$31:C46,C46,$D$31:D46,D46)&gt;1,"DÉJÀ ENTRÉ",IF(AND(COUNTA(B46,C46,D46,E46,F46)&lt;5,COUNTA(B46,C46,D46,E46,F46)&gt;0),"Pensez à renseigner toutes les cases de la ligne !",IF(COUNTA(B46)=1,IF(COUNTBLANK(B46)&gt;=1,"Ne laissez pas de lignes vides. Écrivez sur la ligne supérieure.",""),"")))&amp;IF(G46="Non renseigné","Veuillez sélectionner de nouveau le nom dans la colonne Espèce traitée","")</f>
        <v/>
      </c>
      <c r="L46" s="31" t="str">
        <f>IF(E46="","",INDEX(Données_ATB!BD$3:BU$600,MATCH(E46,Medicament,0),18))</f>
        <v/>
      </c>
      <c r="M46" s="31" t="str">
        <f t="shared" si="2"/>
        <v/>
      </c>
      <c r="N46" s="31" t="str">
        <f t="shared" si="3"/>
        <v/>
      </c>
      <c r="O46" s="31" t="str">
        <f t="shared" si="4"/>
        <v/>
      </c>
      <c r="P46" s="31" t="str">
        <f t="shared" si="5"/>
        <v/>
      </c>
    </row>
    <row r="47" spans="2:48" x14ac:dyDescent="0.3">
      <c r="B47" s="266"/>
      <c r="C47" s="268"/>
      <c r="D47" s="267"/>
      <c r="E47" s="156"/>
      <c r="F47" s="182"/>
      <c r="G47" s="72" t="str">
        <f>IF(C47="","",IFERROR(INDEX(G$19:$L44,MATCH(C47,L$19:L$28,0),1),"Non renseigné"))</f>
        <v/>
      </c>
      <c r="H47" s="190" t="str">
        <f>IFERROR(IF(E47="","",INDEX(Données_ATB!BD$3:BT$600,MATCH(E47,Medicament,0),17)),"Ce médicament n'est pas connu dans la base")</f>
        <v/>
      </c>
      <c r="I47" s="69" t="str">
        <f>IFERROR(IF(E47="","",INDEX(Données_ATB!BD$3:BL$600,MATCH(E47,Medicament,0),9)),"")</f>
        <v/>
      </c>
      <c r="J47" s="44" t="str">
        <f>IFERROR(IF(E47="","",INDEX(Données_ATB!BD$3:BP$5600,MATCH(E47,Medicament,0),13)),"")</f>
        <v/>
      </c>
      <c r="K47" s="161" t="str">
        <f>IF(COUNTIFS($B$31:B47,B47,$E$31:E47,E47,$C$31:C47,C47,$D$31:D47,D47)&gt;1,"DÉJÀ ENTRÉ",IF(AND(COUNTA(B47,C47,D47,E47,F47)&lt;5,COUNTA(B47,C47,D47,E47,F47)&gt;0),"Pensez à renseigner toutes les cases de la ligne !",IF(COUNTA(B47)=1,IF(COUNTBLANK(B47)&gt;=1,"Ne laissez pas de lignes vides. Écrivez sur la ligne supérieure.",""),"")))&amp;IF(G47="Non renseigné","Veuillez sélectionner de nouveau le nom dans la colonne Espèce traitée","")</f>
        <v/>
      </c>
      <c r="L47" s="31" t="str">
        <f>IF(E47="","",INDEX(Données_ATB!BD$3:BU$600,MATCH(E47,Medicament,0),18))</f>
        <v/>
      </c>
      <c r="M47" s="31" t="str">
        <f t="shared" si="2"/>
        <v/>
      </c>
      <c r="N47" s="31" t="str">
        <f t="shared" si="3"/>
        <v/>
      </c>
      <c r="O47" s="31" t="str">
        <f t="shared" si="4"/>
        <v/>
      </c>
      <c r="P47" s="31" t="str">
        <f t="shared" si="5"/>
        <v/>
      </c>
    </row>
    <row r="48" spans="2:48" x14ac:dyDescent="0.3">
      <c r="B48" s="266"/>
      <c r="C48" s="268"/>
      <c r="D48" s="267"/>
      <c r="E48" s="156"/>
      <c r="F48" s="182"/>
      <c r="G48" s="72" t="str">
        <f>IF(C48="","",IFERROR(INDEX(G$19:$L45,MATCH(C48,L$19:L$28,0),1),"Non renseigné"))</f>
        <v/>
      </c>
      <c r="H48" s="190" t="str">
        <f>IFERROR(IF(E48="","",INDEX(Données_ATB!BD$3:BT$600,MATCH(E48,Medicament,0),17)),"Ce médicament n'est pas connu dans la base")</f>
        <v/>
      </c>
      <c r="I48" s="69" t="str">
        <f>IFERROR(IF(E48="","",INDEX(Données_ATB!BD$3:BL$600,MATCH(E48,Medicament,0),9)),"")</f>
        <v/>
      </c>
      <c r="J48" s="44" t="str">
        <f>IFERROR(IF(E48="","",INDEX(Données_ATB!BD$3:BP$5600,MATCH(E48,Medicament,0),13)),"")</f>
        <v/>
      </c>
      <c r="K48" s="161" t="str">
        <f>IF(COUNTIFS($B$31:B48,B48,$E$31:E48,E48,$C$31:C48,C48,$D$31:D48,D48)&gt;1,"DÉJÀ ENTRÉ",IF(AND(COUNTA(B48,C48,D48,E48,F48)&lt;5,COUNTA(B48,C48,D48,E48,F48)&gt;0),"Pensez à renseigner toutes les cases de la ligne !",IF(COUNTA(B48)=1,IF(COUNTBLANK(B48)&gt;=1,"Ne laissez pas de lignes vides. Écrivez sur la ligne supérieure.",""),"")))&amp;IF(G48="Non renseigné","Veuillez sélectionner de nouveau le nom dans la colonne Espèce traitée","")</f>
        <v/>
      </c>
      <c r="L48" s="31" t="str">
        <f>IF(E48="","",INDEX(Données_ATB!BD$3:BU$600,MATCH(E48,Medicament,0),18))</f>
        <v/>
      </c>
      <c r="M48" s="31" t="str">
        <f t="shared" si="2"/>
        <v/>
      </c>
      <c r="N48" s="31" t="str">
        <f t="shared" si="3"/>
        <v/>
      </c>
      <c r="O48" s="31" t="str">
        <f t="shared" si="4"/>
        <v/>
      </c>
      <c r="P48" s="31" t="str">
        <f t="shared" si="5"/>
        <v/>
      </c>
    </row>
    <row r="49" spans="2:16" x14ac:dyDescent="0.3">
      <c r="B49" s="266"/>
      <c r="C49" s="268"/>
      <c r="D49" s="267"/>
      <c r="E49" s="156"/>
      <c r="F49" s="182"/>
      <c r="G49" s="72" t="str">
        <f>IF(C49="","",IFERROR(INDEX(G$19:$L46,MATCH(C49,L$19:L$28,0),1),"Non renseigné"))</f>
        <v/>
      </c>
      <c r="H49" s="190" t="str">
        <f>IFERROR(IF(E49="","",INDEX(Données_ATB!BD$3:BT$600,MATCH(E49,Medicament,0),17)),"Ce médicament n'est pas connu dans la base")</f>
        <v/>
      </c>
      <c r="I49" s="69" t="str">
        <f>IFERROR(IF(E49="","",INDEX(Données_ATB!BD$3:BL$600,MATCH(E49,Medicament,0),9)),"")</f>
        <v/>
      </c>
      <c r="J49" s="44" t="str">
        <f>IFERROR(IF(E49="","",INDEX(Données_ATB!BD$3:BP$5600,MATCH(E49,Medicament,0),13)),"")</f>
        <v/>
      </c>
      <c r="K49" s="161" t="str">
        <f>IF(COUNTIFS($B$31:B49,B49,$E$31:E49,E49,$C$31:C49,C49,$D$31:D49,D49)&gt;1,"DÉJÀ ENTRÉ",IF(AND(COUNTA(B49,C49,D49,E49,F49)&lt;5,COUNTA(B49,C49,D49,E49,F49)&gt;0),"Pensez à renseigner toutes les cases de la ligne !",IF(COUNTA(B49)=1,IF(COUNTBLANK(B49)&gt;=1,"Ne laissez pas de lignes vides. Écrivez sur la ligne supérieure.",""),"")))&amp;IF(G49="Non renseigné","Veuillez sélectionner de nouveau le nom dans la colonne Espèce traitée","")</f>
        <v/>
      </c>
      <c r="L49" s="31" t="str">
        <f>IF(E49="","",INDEX(Données_ATB!BD$3:BU$600,MATCH(E49,Medicament,0),18))</f>
        <v/>
      </c>
      <c r="M49" s="31" t="str">
        <f t="shared" si="2"/>
        <v/>
      </c>
      <c r="N49" s="31" t="str">
        <f t="shared" si="3"/>
        <v/>
      </c>
      <c r="O49" s="31" t="str">
        <f t="shared" si="4"/>
        <v/>
      </c>
      <c r="P49" s="31" t="str">
        <f t="shared" si="5"/>
        <v/>
      </c>
    </row>
    <row r="50" spans="2:16" x14ac:dyDescent="0.3">
      <c r="B50" s="266"/>
      <c r="C50" s="268"/>
      <c r="D50" s="267"/>
      <c r="E50" s="156"/>
      <c r="F50" s="182"/>
      <c r="G50" s="72" t="str">
        <f>IF(C50="","",IFERROR(INDEX(G$19:$L47,MATCH(C50,L$19:L$28,0),1),"Non renseigné"))</f>
        <v/>
      </c>
      <c r="H50" s="190" t="str">
        <f>IFERROR(IF(E50="","",INDEX(Données_ATB!BD$3:BT$600,MATCH(E50,Medicament,0),17)),"Ce médicament n'est pas connu dans la base")</f>
        <v/>
      </c>
      <c r="I50" s="69" t="str">
        <f>IFERROR(IF(E50="","",INDEX(Données_ATB!BD$3:BL$600,MATCH(E50,Medicament,0),9)),"")</f>
        <v/>
      </c>
      <c r="J50" s="44" t="str">
        <f>IFERROR(IF(E50="","",INDEX(Données_ATB!BD$3:BP$5600,MATCH(E50,Medicament,0),13)),"")</f>
        <v/>
      </c>
      <c r="K50" s="161" t="str">
        <f>IF(COUNTIFS($B$31:B50,B50,$E$31:E50,E50,$C$31:C50,C50,$D$31:D50,D50)&gt;1,"DÉJÀ ENTRÉ",IF(AND(COUNTA(B50,C50,D50,E50,F50)&lt;5,COUNTA(B50,C50,D50,E50,F50)&gt;0),"Pensez à renseigner toutes les cases de la ligne !",IF(COUNTA(B50)=1,IF(COUNTBLANK(B50)&gt;=1,"Ne laissez pas de lignes vides. Écrivez sur la ligne supérieure.",""),"")))&amp;IF(G50="Non renseigné","Veuillez sélectionner de nouveau le nom dans la colonne Espèce traitée","")</f>
        <v/>
      </c>
      <c r="L50" s="31" t="str">
        <f>IF(E50="","",INDEX(Données_ATB!BD$3:BU$600,MATCH(E50,Medicament,0),18))</f>
        <v/>
      </c>
      <c r="M50" s="31" t="str">
        <f t="shared" si="2"/>
        <v/>
      </c>
      <c r="N50" s="31" t="str">
        <f t="shared" ref="N50:N113" si="6">IF(E50="","",INDEX(C$19:L$28,MATCH(C50,L$19:L$28,0),1))</f>
        <v/>
      </c>
      <c r="O50" s="31" t="str">
        <f t="shared" ref="O50:O113" si="7">IF(E50="","",INDEX(C$19:L$28,MATCH(C50,L$19:L$28,0),2))</f>
        <v/>
      </c>
      <c r="P50" s="31" t="str">
        <f t="shared" ref="P50:P113" si="8">IF(E50="","",INDEX(C$19:L$28,MATCH(C50,L$19:L$28,0),3))</f>
        <v/>
      </c>
    </row>
    <row r="51" spans="2:16" x14ac:dyDescent="0.3">
      <c r="B51" s="266"/>
      <c r="C51" s="268"/>
      <c r="D51" s="267"/>
      <c r="E51" s="156"/>
      <c r="F51" s="182"/>
      <c r="G51" s="72" t="str">
        <f>IF(C51="","",IFERROR(INDEX(G$19:$L48,MATCH(C51,L$19:L$28,0),1),"Non renseigné"))</f>
        <v/>
      </c>
      <c r="H51" s="190" t="str">
        <f>IFERROR(IF(E51="","",INDEX(Données_ATB!BD$3:BT$600,MATCH(E51,Medicament,0),17)),"Ce médicament n'est pas connu dans la base")</f>
        <v/>
      </c>
      <c r="I51" s="69" t="str">
        <f>IFERROR(IF(E51="","",INDEX(Données_ATB!BD$3:BL$600,MATCH(E51,Medicament,0),9)),"")</f>
        <v/>
      </c>
      <c r="J51" s="44" t="str">
        <f>IFERROR(IF(E51="","",INDEX(Données_ATB!BD$3:BP$5600,MATCH(E51,Medicament,0),13)),"")</f>
        <v/>
      </c>
      <c r="K51" s="161" t="str">
        <f>IF(COUNTIFS($B$31:B51,B51,$E$31:E51,E51,$C$31:C51,C51,$D$31:D51,D51)&gt;1,"DÉJÀ ENTRÉ",IF(AND(COUNTA(B51,C51,D51,E51,F51)&lt;5,COUNTA(B51,C51,D51,E51,F51)&gt;0),"Pensez à renseigner toutes les cases de la ligne !",IF(COUNTA(B51)=1,IF(COUNTBLANK(B51)&gt;=1,"Ne laissez pas de lignes vides. Écrivez sur la ligne supérieure.",""),"")))&amp;IF(G51="Non renseigné","Veuillez sélectionner de nouveau le nom dans la colonne Espèce traitée","")</f>
        <v/>
      </c>
      <c r="L51" s="31" t="str">
        <f>IF(E51="","",INDEX(Données_ATB!BD$3:BU$600,MATCH(E51,Medicament,0),18))</f>
        <v/>
      </c>
      <c r="M51" s="31" t="str">
        <f t="shared" si="2"/>
        <v/>
      </c>
      <c r="N51" s="31" t="str">
        <f t="shared" si="6"/>
        <v/>
      </c>
      <c r="O51" s="31" t="str">
        <f t="shared" si="7"/>
        <v/>
      </c>
      <c r="P51" s="31" t="str">
        <f t="shared" si="8"/>
        <v/>
      </c>
    </row>
    <row r="52" spans="2:16" x14ac:dyDescent="0.3">
      <c r="B52" s="266"/>
      <c r="C52" s="268"/>
      <c r="D52" s="267"/>
      <c r="E52" s="156"/>
      <c r="F52" s="182"/>
      <c r="G52" s="72" t="str">
        <f>IF(C52="","",IFERROR(INDEX(G$19:$L49,MATCH(C52,L$19:L$28,0),1),"Non renseigné"))</f>
        <v/>
      </c>
      <c r="H52" s="190" t="str">
        <f>IFERROR(IF(E52="","",INDEX(Données_ATB!BD$3:BT$600,MATCH(E52,Medicament,0),17)),"Ce médicament n'est pas connu dans la base")</f>
        <v/>
      </c>
      <c r="I52" s="69" t="str">
        <f>IFERROR(IF(E52="","",INDEX(Données_ATB!BD$3:BL$600,MATCH(E52,Medicament,0),9)),"")</f>
        <v/>
      </c>
      <c r="J52" s="44" t="str">
        <f>IFERROR(IF(E52="","",INDEX(Données_ATB!BD$3:BP$5600,MATCH(E52,Medicament,0),13)),"")</f>
        <v/>
      </c>
      <c r="K52" s="161" t="str">
        <f>IF(COUNTIFS($B$31:B52,B52,$E$31:E52,E52,$C$31:C52,C52,$D$31:D52,D52)&gt;1,"DÉJÀ ENTRÉ",IF(AND(COUNTA(B52,C52,D52,E52,F52)&lt;5,COUNTA(B52,C52,D52,E52,F52)&gt;0),"Pensez à renseigner toutes les cases de la ligne !",IF(COUNTA(B52)=1,IF(COUNTBLANK(B52)&gt;=1,"Ne laissez pas de lignes vides. Écrivez sur la ligne supérieure.",""),"")))&amp;IF(G52="Non renseigné","Veuillez sélectionner de nouveau le nom dans la colonne Espèce traitée","")</f>
        <v/>
      </c>
      <c r="L52" s="31" t="str">
        <f>IF(E52="","",INDEX(Données_ATB!BD$3:BU$600,MATCH(E52,Medicament,0),18))</f>
        <v/>
      </c>
      <c r="M52" s="31" t="str">
        <f t="shared" si="2"/>
        <v/>
      </c>
      <c r="N52" s="31" t="str">
        <f t="shared" si="6"/>
        <v/>
      </c>
      <c r="O52" s="31" t="str">
        <f t="shared" si="7"/>
        <v/>
      </c>
      <c r="P52" s="31" t="str">
        <f t="shared" si="8"/>
        <v/>
      </c>
    </row>
    <row r="53" spans="2:16" x14ac:dyDescent="0.3">
      <c r="B53" s="266"/>
      <c r="C53" s="268"/>
      <c r="D53" s="267"/>
      <c r="E53" s="156"/>
      <c r="F53" s="182"/>
      <c r="G53" s="72" t="str">
        <f>IF(C53="","",IFERROR(INDEX(G$19:$L50,MATCH(C53,L$19:L$28,0),1),"Non renseigné"))</f>
        <v/>
      </c>
      <c r="H53" s="190" t="str">
        <f>IFERROR(IF(E53="","",INDEX(Données_ATB!BD$3:BT$600,MATCH(E53,Medicament,0),17)),"Ce médicament n'est pas connu dans la base")</f>
        <v/>
      </c>
      <c r="I53" s="69" t="str">
        <f>IFERROR(IF(E53="","",INDEX(Données_ATB!BD$3:BL$600,MATCH(E53,Medicament,0),9)),"")</f>
        <v/>
      </c>
      <c r="J53" s="44" t="str">
        <f>IFERROR(IF(E53="","",INDEX(Données_ATB!BD$3:BP$5600,MATCH(E53,Medicament,0),13)),"")</f>
        <v/>
      </c>
      <c r="K53" s="161" t="str">
        <f>IF(COUNTIFS($B$31:B53,B53,$E$31:E53,E53,$C$31:C53,C53,$D$31:D53,D53)&gt;1,"DÉJÀ ENTRÉ",IF(AND(COUNTA(B53,C53,D53,E53,F53)&lt;5,COUNTA(B53,C53,D53,E53,F53)&gt;0),"Pensez à renseigner toutes les cases de la ligne !",IF(COUNTA(B53)=1,IF(COUNTBLANK(B53)&gt;=1,"Ne laissez pas de lignes vides. Écrivez sur la ligne supérieure.",""),"")))&amp;IF(G53="Non renseigné","Veuillez sélectionner de nouveau le nom dans la colonne Espèce traitée","")</f>
        <v/>
      </c>
      <c r="L53" s="31" t="str">
        <f>IF(E53="","",INDEX(Données_ATB!BD$3:BU$600,MATCH(E53,Medicament,0),18))</f>
        <v/>
      </c>
      <c r="M53" s="31" t="str">
        <f t="shared" si="2"/>
        <v/>
      </c>
      <c r="N53" s="31" t="str">
        <f t="shared" si="6"/>
        <v/>
      </c>
      <c r="O53" s="31" t="str">
        <f t="shared" si="7"/>
        <v/>
      </c>
      <c r="P53" s="31" t="str">
        <f t="shared" si="8"/>
        <v/>
      </c>
    </row>
    <row r="54" spans="2:16" x14ac:dyDescent="0.3">
      <c r="B54" s="266"/>
      <c r="C54" s="268"/>
      <c r="D54" s="267"/>
      <c r="E54" s="156"/>
      <c r="F54" s="182"/>
      <c r="G54" s="72" t="str">
        <f>IF(C54="","",IFERROR(INDEX(G$19:$L51,MATCH(C54,L$19:L$28,0),1),"Non renseigné"))</f>
        <v/>
      </c>
      <c r="H54" s="190" t="str">
        <f>IFERROR(IF(E54="","",INDEX(Données_ATB!BD$3:BT$600,MATCH(E54,Medicament,0),17)),"Ce médicament n'est pas connu dans la base")</f>
        <v/>
      </c>
      <c r="I54" s="69" t="str">
        <f>IFERROR(IF(E54="","",INDEX(Données_ATB!BD$3:BL$600,MATCH(E54,Medicament,0),9)),"")</f>
        <v/>
      </c>
      <c r="J54" s="44" t="str">
        <f>IFERROR(IF(E54="","",INDEX(Données_ATB!BD$3:BP$5600,MATCH(E54,Medicament,0),13)),"")</f>
        <v/>
      </c>
      <c r="K54" s="161" t="str">
        <f>IF(COUNTIFS($B$31:B54,B54,$E$31:E54,E54,$C$31:C54,C54,$D$31:D54,D54)&gt;1,"DÉJÀ ENTRÉ",IF(AND(COUNTA(B54,C54,D54,E54,F54)&lt;5,COUNTA(B54,C54,D54,E54,F54)&gt;0),"Pensez à renseigner toutes les cases de la ligne !",IF(COUNTA(B54)=1,IF(COUNTBLANK(B54)&gt;=1,"Ne laissez pas de lignes vides. Écrivez sur la ligne supérieure.",""),"")))&amp;IF(G54="Non renseigné","Veuillez sélectionner de nouveau le nom dans la colonne Espèce traitée","")</f>
        <v/>
      </c>
      <c r="L54" s="31" t="str">
        <f>IF(E54="","",INDEX(Données_ATB!BD$3:BU$600,MATCH(E54,Medicament,0),18))</f>
        <v/>
      </c>
      <c r="M54" s="31" t="str">
        <f t="shared" si="2"/>
        <v/>
      </c>
      <c r="N54" s="31" t="str">
        <f t="shared" si="6"/>
        <v/>
      </c>
      <c r="O54" s="31" t="str">
        <f t="shared" si="7"/>
        <v/>
      </c>
      <c r="P54" s="31" t="str">
        <f t="shared" si="8"/>
        <v/>
      </c>
    </row>
    <row r="55" spans="2:16" x14ac:dyDescent="0.3">
      <c r="B55" s="266"/>
      <c r="C55" s="268"/>
      <c r="D55" s="267"/>
      <c r="E55" s="156"/>
      <c r="F55" s="182"/>
      <c r="G55" s="72" t="str">
        <f>IF(C55="","",IFERROR(INDEX(G$19:$L52,MATCH(C55,L$19:L$28,0),1),"Non renseigné"))</f>
        <v/>
      </c>
      <c r="H55" s="190" t="str">
        <f>IFERROR(IF(E55="","",INDEX(Données_ATB!BD$3:BT$600,MATCH(E55,Medicament,0),17)),"Ce médicament n'est pas connu dans la base")</f>
        <v/>
      </c>
      <c r="I55" s="69" t="str">
        <f>IFERROR(IF(E55="","",INDEX(Données_ATB!BD$3:BL$600,MATCH(E55,Medicament,0),9)),"")</f>
        <v/>
      </c>
      <c r="J55" s="44" t="str">
        <f>IFERROR(IF(E55="","",INDEX(Données_ATB!BD$3:BP$5600,MATCH(E55,Medicament,0),13)),"")</f>
        <v/>
      </c>
      <c r="K55" s="161" t="str">
        <f>IF(COUNTIFS($B$31:B55,B55,$E$31:E55,E55,$C$31:C55,C55,$D$31:D55,D55)&gt;1,"DÉJÀ ENTRÉ",IF(AND(COUNTA(B55,C55,D55,E55,F55)&lt;5,COUNTA(B55,C55,D55,E55,F55)&gt;0),"Pensez à renseigner toutes les cases de la ligne !",IF(COUNTA(B55)=1,IF(COUNTBLANK(B55)&gt;=1,"Ne laissez pas de lignes vides. Écrivez sur la ligne supérieure.",""),"")))&amp;IF(G55="Non renseigné","Veuillez sélectionner de nouveau le nom dans la colonne Espèce traitée","")</f>
        <v/>
      </c>
      <c r="L55" s="31" t="str">
        <f>IF(E55="","",INDEX(Données_ATB!BD$3:BU$600,MATCH(E55,Medicament,0),18))</f>
        <v/>
      </c>
      <c r="M55" s="31" t="str">
        <f t="shared" si="2"/>
        <v/>
      </c>
      <c r="N55" s="31" t="str">
        <f t="shared" si="6"/>
        <v/>
      </c>
      <c r="O55" s="31" t="str">
        <f t="shared" si="7"/>
        <v/>
      </c>
      <c r="P55" s="31" t="str">
        <f t="shared" si="8"/>
        <v/>
      </c>
    </row>
    <row r="56" spans="2:16" x14ac:dyDescent="0.3">
      <c r="B56" s="266"/>
      <c r="C56" s="268"/>
      <c r="D56" s="267"/>
      <c r="E56" s="156"/>
      <c r="F56" s="182"/>
      <c r="G56" s="72" t="str">
        <f>IF(C56="","",IFERROR(INDEX(G$19:$L53,MATCH(C56,L$19:L$28,0),1),"Non renseigné"))</f>
        <v/>
      </c>
      <c r="H56" s="190" t="str">
        <f>IFERROR(IF(E56="","",INDEX(Données_ATB!BD$3:BT$600,MATCH(E56,Medicament,0),17)),"Ce médicament n'est pas connu dans la base")</f>
        <v/>
      </c>
      <c r="I56" s="69" t="str">
        <f>IFERROR(IF(E56="","",INDEX(Données_ATB!BD$3:BL$600,MATCH(E56,Medicament,0),9)),"")</f>
        <v/>
      </c>
      <c r="J56" s="44" t="str">
        <f>IFERROR(IF(E56="","",INDEX(Données_ATB!BD$3:BP$5600,MATCH(E56,Medicament,0),13)),"")</f>
        <v/>
      </c>
      <c r="K56" s="161" t="str">
        <f>IF(COUNTIFS($B$31:B56,B56,$E$31:E56,E56,$C$31:C56,C56,$D$31:D56,D56)&gt;1,"DÉJÀ ENTRÉ",IF(AND(COUNTA(B56,C56,D56,E56,F56)&lt;5,COUNTA(B56,C56,D56,E56,F56)&gt;0),"Pensez à renseigner toutes les cases de la ligne !",IF(COUNTA(B56)=1,IF(COUNTBLANK(B56)&gt;=1,"Ne laissez pas de lignes vides. Écrivez sur la ligne supérieure.",""),"")))&amp;IF(G56="Non renseigné","Veuillez sélectionner de nouveau le nom dans la colonne Espèce traitée","")</f>
        <v/>
      </c>
      <c r="L56" s="31" t="str">
        <f>IF(E56="","",INDEX(Données_ATB!BD$3:BU$600,MATCH(E56,Medicament,0),18))</f>
        <v/>
      </c>
      <c r="M56" s="31" t="str">
        <f t="shared" si="2"/>
        <v/>
      </c>
      <c r="N56" s="31" t="str">
        <f t="shared" si="6"/>
        <v/>
      </c>
      <c r="O56" s="31" t="str">
        <f t="shared" si="7"/>
        <v/>
      </c>
      <c r="P56" s="31" t="str">
        <f t="shared" si="8"/>
        <v/>
      </c>
    </row>
    <row r="57" spans="2:16" x14ac:dyDescent="0.3">
      <c r="B57" s="266"/>
      <c r="C57" s="268"/>
      <c r="D57" s="267"/>
      <c r="E57" s="156"/>
      <c r="F57" s="182"/>
      <c r="G57" s="72" t="str">
        <f>IF(C57="","",IFERROR(INDEX(G$19:$L54,MATCH(C57,L$19:L$28,0),1),"Non renseigné"))</f>
        <v/>
      </c>
      <c r="H57" s="190" t="str">
        <f>IFERROR(IF(E57="","",INDEX(Données_ATB!BD$3:BT$600,MATCH(E57,Medicament,0),17)),"Ce médicament n'est pas connu dans la base")</f>
        <v/>
      </c>
      <c r="I57" s="69" t="str">
        <f>IFERROR(IF(E57="","",INDEX(Données_ATB!BD$3:BL$600,MATCH(E57,Medicament,0),9)),"")</f>
        <v/>
      </c>
      <c r="J57" s="44" t="str">
        <f>IFERROR(IF(E57="","",INDEX(Données_ATB!BD$3:BP$5600,MATCH(E57,Medicament,0),13)),"")</f>
        <v/>
      </c>
      <c r="K57" s="161" t="str">
        <f>IF(COUNTIFS($B$31:B57,B57,$E$31:E57,E57,$C$31:C57,C57,$D$31:D57,D57)&gt;1,"DÉJÀ ENTRÉ",IF(AND(COUNTA(B57,C57,D57,E57,F57)&lt;5,COUNTA(B57,C57,D57,E57,F57)&gt;0),"Pensez à renseigner toutes les cases de la ligne !",IF(COUNTA(B57)=1,IF(COUNTBLANK(B57)&gt;=1,"Ne laissez pas de lignes vides. Écrivez sur la ligne supérieure.",""),"")))&amp;IF(G57="Non renseigné","Veuillez sélectionner de nouveau le nom dans la colonne Espèce traitée","")</f>
        <v/>
      </c>
      <c r="L57" s="31" t="str">
        <f>IF(E57="","",INDEX(Données_ATB!BD$3:BU$600,MATCH(E57,Medicament,0),18))</f>
        <v/>
      </c>
      <c r="M57" s="31" t="str">
        <f t="shared" si="2"/>
        <v/>
      </c>
      <c r="N57" s="31" t="str">
        <f t="shared" si="6"/>
        <v/>
      </c>
      <c r="O57" s="31" t="str">
        <f t="shared" si="7"/>
        <v/>
      </c>
      <c r="P57" s="31" t="str">
        <f t="shared" si="8"/>
        <v/>
      </c>
    </row>
    <row r="58" spans="2:16" ht="17.25" customHeight="1" x14ac:dyDescent="0.3">
      <c r="B58" s="266"/>
      <c r="C58" s="268"/>
      <c r="D58" s="267"/>
      <c r="E58" s="156"/>
      <c r="F58" s="182"/>
      <c r="G58" s="72" t="str">
        <f>IF(C58="","",IFERROR(INDEX(G$19:$L55,MATCH(C58,L$19:L$28,0),1),"Non renseigné"))</f>
        <v/>
      </c>
      <c r="H58" s="190" t="str">
        <f>IFERROR(IF(E58="","",INDEX(Données_ATB!BD$3:BT$600,MATCH(E58,Medicament,0),17)),"Ce médicament n'est pas connu dans la base")</f>
        <v/>
      </c>
      <c r="I58" s="69" t="str">
        <f>IFERROR(IF(E58="","",INDEX(Données_ATB!BD$3:BL$600,MATCH(E58,Medicament,0),9)),"")</f>
        <v/>
      </c>
      <c r="J58" s="44" t="str">
        <f>IFERROR(IF(E58="","",INDEX(Données_ATB!BD$3:BP$5600,MATCH(E58,Medicament,0),13)),"")</f>
        <v/>
      </c>
      <c r="K58" s="161" t="str">
        <f>IF(COUNTIFS($B$31:B58,B58,$E$31:E58,E58,$C$31:C58,C58,$D$31:D58,D58)&gt;1,"DÉJÀ ENTRÉ",IF(AND(COUNTA(B58,C58,D58,E58,F58)&lt;5,COUNTA(B58,C58,D58,E58,F58)&gt;0),"Pensez à renseigner toutes les cases de la ligne !",IF(COUNTA(B58)=1,IF(COUNTBLANK(B58)&gt;=1,"Ne laissez pas de lignes vides. Écrivez sur la ligne supérieure.",""),"")))&amp;IF(G58="Non renseigné","Veuillez sélectionner de nouveau le nom dans la colonne Espèce traitée","")</f>
        <v/>
      </c>
      <c r="L58" s="31" t="str">
        <f>IF(E58="","",INDEX(Données_ATB!BD$3:BU$600,MATCH(E58,Medicament,0),18))</f>
        <v/>
      </c>
      <c r="M58" s="31" t="str">
        <f t="shared" si="2"/>
        <v/>
      </c>
      <c r="N58" s="31" t="str">
        <f t="shared" si="6"/>
        <v/>
      </c>
      <c r="O58" s="31" t="str">
        <f t="shared" si="7"/>
        <v/>
      </c>
      <c r="P58" s="31" t="str">
        <f t="shared" si="8"/>
        <v/>
      </c>
    </row>
    <row r="59" spans="2:16" ht="16.5" customHeight="1" x14ac:dyDescent="0.3">
      <c r="B59" s="266"/>
      <c r="C59" s="268"/>
      <c r="D59" s="267"/>
      <c r="E59" s="156"/>
      <c r="F59" s="182"/>
      <c r="G59" s="72" t="str">
        <f>IF(C59="","",IFERROR(INDEX(G$19:$L56,MATCH(C59,L$19:L$28,0),1),"Non renseigné"))</f>
        <v/>
      </c>
      <c r="H59" s="190" t="str">
        <f>IFERROR(IF(E59="","",INDEX(Données_ATB!BD$3:BT$600,MATCH(E59,Medicament,0),17)),"Ce médicament n'est pas connu dans la base")</f>
        <v/>
      </c>
      <c r="I59" s="69" t="str">
        <f>IFERROR(IF(E59="","",INDEX(Données_ATB!BD$3:BL$600,MATCH(E59,Medicament,0),9)),"")</f>
        <v/>
      </c>
      <c r="J59" s="44" t="str">
        <f>IFERROR(IF(E59="","",INDEX(Données_ATB!BD$3:BP$5600,MATCH(E59,Medicament,0),13)),"")</f>
        <v/>
      </c>
      <c r="K59" s="161" t="str">
        <f>IF(COUNTIFS($B$31:B59,B59,$E$31:E59,E59,$C$31:C59,C59,$D$31:D59,D59)&gt;1,"DÉJÀ ENTRÉ",IF(AND(COUNTA(B59,C59,D59,E59,F59)&lt;5,COUNTA(B59,C59,D59,E59,F59)&gt;0),"Pensez à renseigner toutes les cases de la ligne !",IF(COUNTA(B59)=1,IF(COUNTBLANK(B59)&gt;=1,"Ne laissez pas de lignes vides. Écrivez sur la ligne supérieure.",""),"")))&amp;IF(G59="Non renseigné","Veuillez sélectionner de nouveau le nom dans la colonne Espèce traitée","")</f>
        <v/>
      </c>
      <c r="L59" s="31" t="str">
        <f>IF(E59="","",INDEX(Données_ATB!BD$3:BU$600,MATCH(E59,Medicament,0),18))</f>
        <v/>
      </c>
      <c r="M59" s="31" t="str">
        <f t="shared" si="2"/>
        <v/>
      </c>
      <c r="N59" s="31" t="str">
        <f t="shared" si="6"/>
        <v/>
      </c>
      <c r="O59" s="31" t="str">
        <f t="shared" si="7"/>
        <v/>
      </c>
      <c r="P59" s="31" t="str">
        <f t="shared" si="8"/>
        <v/>
      </c>
    </row>
    <row r="60" spans="2:16" ht="16.5" customHeight="1" x14ac:dyDescent="0.3">
      <c r="B60" s="266"/>
      <c r="C60" s="268"/>
      <c r="D60" s="267"/>
      <c r="E60" s="156"/>
      <c r="F60" s="182"/>
      <c r="G60" s="72" t="str">
        <f>IF(C60="","",IFERROR(INDEX(G$19:$L57,MATCH(C60,L$19:L$28,0),1),"Non renseigné"))</f>
        <v/>
      </c>
      <c r="H60" s="190" t="str">
        <f>IFERROR(IF(E60="","",INDEX(Données_ATB!BD$3:BT$600,MATCH(E60,Medicament,0),17)),"Ce médicament n'est pas connu dans la base")</f>
        <v/>
      </c>
      <c r="I60" s="69" t="str">
        <f>IFERROR(IF(E60="","",INDEX(Données_ATB!BD$3:BL$600,MATCH(E60,Medicament,0),9)),"")</f>
        <v/>
      </c>
      <c r="J60" s="44" t="str">
        <f>IFERROR(IF(E60="","",INDEX(Données_ATB!BD$3:BP$5600,MATCH(E60,Medicament,0),13)),"")</f>
        <v/>
      </c>
      <c r="K60" s="161" t="str">
        <f>IF(COUNTIFS($B$31:B60,B60,$E$31:E60,E60,$C$31:C60,C60,$D$31:D60,D60)&gt;1,"DÉJÀ ENTRÉ",IF(AND(COUNTA(B60,C60,D60,E60,F60)&lt;5,COUNTA(B60,C60,D60,E60,F60)&gt;0),"Pensez à renseigner toutes les cases de la ligne !",IF(COUNTA(B60)=1,IF(COUNTBLANK(B60)&gt;=1,"Ne laissez pas de lignes vides. Écrivez sur la ligne supérieure.",""),"")))&amp;IF(G60="Non renseigné","Veuillez sélectionner de nouveau le nom dans la colonne Espèce traitée","")</f>
        <v/>
      </c>
      <c r="L60" s="31" t="str">
        <f>IF(E60="","",INDEX(Données_ATB!BD$3:BU$600,MATCH(E60,Medicament,0),18))</f>
        <v/>
      </c>
      <c r="M60" s="31" t="str">
        <f t="shared" si="2"/>
        <v/>
      </c>
      <c r="N60" s="31" t="str">
        <f t="shared" si="6"/>
        <v/>
      </c>
      <c r="O60" s="31" t="str">
        <f t="shared" si="7"/>
        <v/>
      </c>
      <c r="P60" s="31" t="str">
        <f t="shared" si="8"/>
        <v/>
      </c>
    </row>
    <row r="61" spans="2:16" ht="16.5" customHeight="1" x14ac:dyDescent="0.3">
      <c r="B61" s="266"/>
      <c r="C61" s="268"/>
      <c r="D61" s="267"/>
      <c r="E61" s="156"/>
      <c r="F61" s="182"/>
      <c r="G61" s="72" t="str">
        <f>IF(C61="","",IFERROR(INDEX(G$19:$L58,MATCH(C61,L$19:L$28,0),1),"Non renseigné"))</f>
        <v/>
      </c>
      <c r="H61" s="190" t="str">
        <f>IFERROR(IF(E61="","",INDEX(Données_ATB!BD$3:BT$600,MATCH(E61,Medicament,0),17)),"Ce médicament n'est pas connu dans la base")</f>
        <v/>
      </c>
      <c r="I61" s="69" t="str">
        <f>IFERROR(IF(E61="","",INDEX(Données_ATB!BD$3:BL$600,MATCH(E61,Medicament,0),9)),"")</f>
        <v/>
      </c>
      <c r="J61" s="44" t="str">
        <f>IFERROR(IF(E61="","",INDEX(Données_ATB!BD$3:BP$5600,MATCH(E61,Medicament,0),13)),"")</f>
        <v/>
      </c>
      <c r="K61" s="161" t="str">
        <f>IF(COUNTIFS($B$31:B61,B61,$E$31:E61,E61,$C$31:C61,C61,$D$31:D61,D61)&gt;1,"DÉJÀ ENTRÉ",IF(AND(COUNTA(B61,C61,D61,E61,F61)&lt;5,COUNTA(B61,C61,D61,E61,F61)&gt;0),"Pensez à renseigner toutes les cases de la ligne !",IF(COUNTA(B61)=1,IF(COUNTBLANK(B61)&gt;=1,"Ne laissez pas de lignes vides. Écrivez sur la ligne supérieure.",""),"")))&amp;IF(G61="Non renseigné","Veuillez sélectionner de nouveau le nom dans la colonne Espèce traitée","")</f>
        <v/>
      </c>
      <c r="L61" s="31" t="str">
        <f>IF(E61="","",INDEX(Données_ATB!BD$3:BU$600,MATCH(E61,Medicament,0),18))</f>
        <v/>
      </c>
      <c r="M61" s="31" t="str">
        <f t="shared" si="2"/>
        <v/>
      </c>
      <c r="N61" s="31" t="str">
        <f t="shared" si="6"/>
        <v/>
      </c>
      <c r="O61" s="31" t="str">
        <f t="shared" si="7"/>
        <v/>
      </c>
      <c r="P61" s="31" t="str">
        <f t="shared" si="8"/>
        <v/>
      </c>
    </row>
    <row r="62" spans="2:16" x14ac:dyDescent="0.3">
      <c r="B62" s="266"/>
      <c r="C62" s="268"/>
      <c r="D62" s="267"/>
      <c r="E62" s="156"/>
      <c r="F62" s="182"/>
      <c r="G62" s="72" t="str">
        <f>IF(C62="","",IFERROR(INDEX(G$19:$L59,MATCH(C62,L$19:L$28,0),1),"Non renseigné"))</f>
        <v/>
      </c>
      <c r="H62" s="190" t="str">
        <f>IFERROR(IF(E62="","",INDEX(Données_ATB!BD$3:BT$600,MATCH(E62,Medicament,0),17)),"Ce médicament n'est pas connu dans la base")</f>
        <v/>
      </c>
      <c r="I62" s="69" t="str">
        <f>IFERROR(IF(E62="","",INDEX(Données_ATB!BD$3:BL$600,MATCH(E62,Medicament,0),9)),"")</f>
        <v/>
      </c>
      <c r="J62" s="44" t="str">
        <f>IFERROR(IF(E62="","",INDEX(Données_ATB!BD$3:BP$5600,MATCH(E62,Medicament,0),13)),"")</f>
        <v/>
      </c>
      <c r="K62" s="161" t="str">
        <f>IF(COUNTIFS($B$31:B62,B62,$E$31:E62,E62,$C$31:C62,C62,$D$31:D62,D62)&gt;1,"DÉJÀ ENTRÉ",IF(AND(COUNTA(B62,C62,D62,E62,F62)&lt;5,COUNTA(B62,C62,D62,E62,F62)&gt;0),"Pensez à renseigner toutes les cases de la ligne !",IF(COUNTA(B62)=1,IF(COUNTBLANK(B62)&gt;=1,"Ne laissez pas de lignes vides. Écrivez sur la ligne supérieure.",""),"")))&amp;IF(G62="Non renseigné","Veuillez sélectionner de nouveau le nom dans la colonne Espèce traitée","")</f>
        <v/>
      </c>
      <c r="L62" s="31" t="str">
        <f>IF(E62="","",INDEX(Données_ATB!BD$3:BU$600,MATCH(E62,Medicament,0),18))</f>
        <v/>
      </c>
      <c r="M62" s="31" t="str">
        <f t="shared" si="2"/>
        <v/>
      </c>
      <c r="N62" s="31" t="str">
        <f t="shared" si="6"/>
        <v/>
      </c>
      <c r="O62" s="31" t="str">
        <f t="shared" si="7"/>
        <v/>
      </c>
      <c r="P62" s="31" t="str">
        <f t="shared" si="8"/>
        <v/>
      </c>
    </row>
    <row r="63" spans="2:16" x14ac:dyDescent="0.3">
      <c r="B63" s="266"/>
      <c r="C63" s="268"/>
      <c r="D63" s="267"/>
      <c r="E63" s="156"/>
      <c r="F63" s="182"/>
      <c r="G63" s="72" t="str">
        <f>IF(C63="","",IFERROR(INDEX(G$19:$L60,MATCH(C63,L$19:L$28,0),1),"Non renseigné"))</f>
        <v/>
      </c>
      <c r="H63" s="190" t="str">
        <f>IFERROR(IF(E63="","",INDEX(Données_ATB!BD$3:BT$600,MATCH(E63,Medicament,0),17)),"Ce médicament n'est pas connu dans la base")</f>
        <v/>
      </c>
      <c r="I63" s="69" t="str">
        <f>IFERROR(IF(E63="","",INDEX(Données_ATB!BD$3:BL$600,MATCH(E63,Medicament,0),9)),"")</f>
        <v/>
      </c>
      <c r="J63" s="44" t="str">
        <f>IFERROR(IF(E63="","",INDEX(Données_ATB!BD$3:BP$5600,MATCH(E63,Medicament,0),13)),"")</f>
        <v/>
      </c>
      <c r="K63" s="161" t="str">
        <f>IF(COUNTIFS($B$31:B63,B63,$E$31:E63,E63,$C$31:C63,C63,$D$31:D63,D63)&gt;1,"DÉJÀ ENTRÉ",IF(AND(COUNTA(B63,C63,D63,E63,F63)&lt;5,COUNTA(B63,C63,D63,E63,F63)&gt;0),"Pensez à renseigner toutes les cases de la ligne !",IF(COUNTA(B63)=1,IF(COUNTBLANK(B63)&gt;=1,"Ne laissez pas de lignes vides. Écrivez sur la ligne supérieure.",""),"")))&amp;IF(G63="Non renseigné","Veuillez sélectionner de nouveau le nom dans la colonne Espèce traitée","")</f>
        <v/>
      </c>
      <c r="L63" s="31" t="str">
        <f>IF(E63="","",INDEX(Données_ATB!BD$3:BU$600,MATCH(E63,Medicament,0),18))</f>
        <v/>
      </c>
      <c r="M63" s="31" t="str">
        <f t="shared" si="2"/>
        <v/>
      </c>
      <c r="N63" s="31" t="str">
        <f t="shared" si="6"/>
        <v/>
      </c>
      <c r="O63" s="31" t="str">
        <f t="shared" si="7"/>
        <v/>
      </c>
      <c r="P63" s="31" t="str">
        <f t="shared" si="8"/>
        <v/>
      </c>
    </row>
    <row r="64" spans="2:16" x14ac:dyDescent="0.3">
      <c r="B64" s="266"/>
      <c r="C64" s="268"/>
      <c r="D64" s="267"/>
      <c r="E64" s="156"/>
      <c r="F64" s="182"/>
      <c r="G64" s="72" t="str">
        <f>IF(C64="","",IFERROR(INDEX(G$19:$L61,MATCH(C64,L$19:L$28,0),1),"Non renseigné"))</f>
        <v/>
      </c>
      <c r="H64" s="190" t="str">
        <f>IFERROR(IF(E64="","",INDEX(Données_ATB!BD$3:BT$600,MATCH(E64,Medicament,0),17)),"Ce médicament n'est pas connu dans la base")</f>
        <v/>
      </c>
      <c r="I64" s="69" t="str">
        <f>IFERROR(IF(E64="","",INDEX(Données_ATB!BD$3:BL$600,MATCH(E64,Medicament,0),9)),"")</f>
        <v/>
      </c>
      <c r="J64" s="44" t="str">
        <f>IFERROR(IF(E64="","",INDEX(Données_ATB!BD$3:BP$5600,MATCH(E64,Medicament,0),13)),"")</f>
        <v/>
      </c>
      <c r="K64" s="161" t="str">
        <f>IF(COUNTIFS($B$31:B64,B64,$E$31:E64,E64,$C$31:C64,C64,$D$31:D64,D64)&gt;1,"DÉJÀ ENTRÉ",IF(AND(COUNTA(B64,C64,D64,E64,F64)&lt;5,COUNTA(B64,C64,D64,E64,F64)&gt;0),"Pensez à renseigner toutes les cases de la ligne !",IF(COUNTA(B64)=1,IF(COUNTBLANK(B64)&gt;=1,"Ne laissez pas de lignes vides. Écrivez sur la ligne supérieure.",""),"")))&amp;IF(G64="Non renseigné","Veuillez sélectionner de nouveau le nom dans la colonne Espèce traitée","")</f>
        <v/>
      </c>
      <c r="L64" s="31" t="str">
        <f>IF(E64="","",INDEX(Données_ATB!BD$3:BU$600,MATCH(E64,Medicament,0),18))</f>
        <v/>
      </c>
      <c r="M64" s="31" t="str">
        <f t="shared" si="2"/>
        <v/>
      </c>
      <c r="N64" s="31" t="str">
        <f t="shared" si="6"/>
        <v/>
      </c>
      <c r="O64" s="31" t="str">
        <f t="shared" si="7"/>
        <v/>
      </c>
      <c r="P64" s="31" t="str">
        <f t="shared" si="8"/>
        <v/>
      </c>
    </row>
    <row r="65" spans="2:16" x14ac:dyDescent="0.3">
      <c r="B65" s="266"/>
      <c r="C65" s="268"/>
      <c r="D65" s="267"/>
      <c r="E65" s="156"/>
      <c r="F65" s="182"/>
      <c r="G65" s="72" t="str">
        <f>IF(C65="","",IFERROR(INDEX(G$19:$L62,MATCH(C65,L$19:L$28,0),1),"Non renseigné"))</f>
        <v/>
      </c>
      <c r="H65" s="190" t="str">
        <f>IFERROR(IF(E65="","",INDEX(Données_ATB!BD$3:BT$600,MATCH(E65,Medicament,0),17)),"Ce médicament n'est pas connu dans la base")</f>
        <v/>
      </c>
      <c r="I65" s="69" t="str">
        <f>IFERROR(IF(E65="","",INDEX(Données_ATB!BD$3:BL$600,MATCH(E65,Medicament,0),9)),"")</f>
        <v/>
      </c>
      <c r="J65" s="44" t="str">
        <f>IFERROR(IF(E65="","",INDEX(Données_ATB!BD$3:BP$5600,MATCH(E65,Medicament,0),13)),"")</f>
        <v/>
      </c>
      <c r="K65" s="161" t="str">
        <f>IF(COUNTIFS($B$31:B65,B65,$E$31:E65,E65,$C$31:C65,C65,$D$31:D65,D65)&gt;1,"DÉJÀ ENTRÉ",IF(AND(COUNTA(B65,C65,D65,E65,F65)&lt;5,COUNTA(B65,C65,D65,E65,F65)&gt;0),"Pensez à renseigner toutes les cases de la ligne !",IF(COUNTA(B65)=1,IF(COUNTBLANK(B65)&gt;=1,"Ne laissez pas de lignes vides. Écrivez sur la ligne supérieure.",""),"")))&amp;IF(G65="Non renseigné","Veuillez sélectionner de nouveau le nom dans la colonne Espèce traitée","")</f>
        <v/>
      </c>
      <c r="L65" s="31" t="str">
        <f>IF(E65="","",INDEX(Données_ATB!BD$3:BU$600,MATCH(E65,Medicament,0),18))</f>
        <v/>
      </c>
      <c r="M65" s="31" t="str">
        <f t="shared" si="2"/>
        <v/>
      </c>
      <c r="N65" s="31" t="str">
        <f t="shared" si="6"/>
        <v/>
      </c>
      <c r="O65" s="31" t="str">
        <f t="shared" si="7"/>
        <v/>
      </c>
      <c r="P65" s="31" t="str">
        <f t="shared" si="8"/>
        <v/>
      </c>
    </row>
    <row r="66" spans="2:16" x14ac:dyDescent="0.3">
      <c r="B66" s="266"/>
      <c r="C66" s="268"/>
      <c r="D66" s="267"/>
      <c r="E66" s="156"/>
      <c r="F66" s="182"/>
      <c r="G66" s="72" t="str">
        <f>IF(C66="","",IFERROR(INDEX(G$19:$L63,MATCH(C66,L$19:L$28,0),1),"Non renseigné"))</f>
        <v/>
      </c>
      <c r="H66" s="190" t="str">
        <f>IFERROR(IF(E66="","",INDEX(Données_ATB!BD$3:BT$600,MATCH(E66,Medicament,0),17)),"Ce médicament n'est pas connu dans la base")</f>
        <v/>
      </c>
      <c r="I66" s="69" t="str">
        <f>IFERROR(IF(E66="","",INDEX(Données_ATB!BD$3:BL$600,MATCH(E66,Medicament,0),9)),"")</f>
        <v/>
      </c>
      <c r="J66" s="44" t="str">
        <f>IFERROR(IF(E66="","",INDEX(Données_ATB!BD$3:BP$5600,MATCH(E66,Medicament,0),13)),"")</f>
        <v/>
      </c>
      <c r="K66" s="161" t="str">
        <f>IF(COUNTIFS($B$31:B66,B66,$E$31:E66,E66,$C$31:C66,C66,$D$31:D66,D66)&gt;1,"DÉJÀ ENTRÉ",IF(AND(COUNTA(B66,C66,D66,E66,F66)&lt;5,COUNTA(B66,C66,D66,E66,F66)&gt;0),"Pensez à renseigner toutes les cases de la ligne !",IF(COUNTA(B66)=1,IF(COUNTBLANK(B66)&gt;=1,"Ne laissez pas de lignes vides. Écrivez sur la ligne supérieure.",""),"")))&amp;IF(G66="Non renseigné","Veuillez sélectionner de nouveau le nom dans la colonne Espèce traitée","")</f>
        <v/>
      </c>
      <c r="L66" s="31" t="str">
        <f>IF(E66="","",INDEX(Données_ATB!BD$3:BU$600,MATCH(E66,Medicament,0),18))</f>
        <v/>
      </c>
      <c r="M66" s="31" t="str">
        <f t="shared" si="2"/>
        <v/>
      </c>
      <c r="N66" s="31" t="str">
        <f t="shared" si="6"/>
        <v/>
      </c>
      <c r="O66" s="31" t="str">
        <f t="shared" si="7"/>
        <v/>
      </c>
      <c r="P66" s="31" t="str">
        <f t="shared" si="8"/>
        <v/>
      </c>
    </row>
    <row r="67" spans="2:16" x14ac:dyDescent="0.3">
      <c r="B67" s="266"/>
      <c r="C67" s="268"/>
      <c r="D67" s="267"/>
      <c r="E67" s="156"/>
      <c r="F67" s="182"/>
      <c r="G67" s="72" t="str">
        <f>IF(C67="","",IFERROR(INDEX(G$19:$L64,MATCH(C67,L$19:L$28,0),1),"Non renseigné"))</f>
        <v/>
      </c>
      <c r="H67" s="190" t="str">
        <f>IFERROR(IF(E67="","",INDEX(Données_ATB!BD$3:BT$600,MATCH(E67,Medicament,0),17)),"Ce médicament n'est pas connu dans la base")</f>
        <v/>
      </c>
      <c r="I67" s="69" t="str">
        <f>IFERROR(IF(E67="","",INDEX(Données_ATB!BD$3:BL$600,MATCH(E67,Medicament,0),9)),"")</f>
        <v/>
      </c>
      <c r="J67" s="44" t="str">
        <f>IFERROR(IF(E67="","",INDEX(Données_ATB!BD$3:BP$5600,MATCH(E67,Medicament,0),13)),"")</f>
        <v/>
      </c>
      <c r="K67" s="161" t="str">
        <f>IF(COUNTIFS($B$31:B67,B67,$E$31:E67,E67,$C$31:C67,C67,$D$31:D67,D67)&gt;1,"DÉJÀ ENTRÉ",IF(AND(COUNTA(B67,C67,D67,E67,F67)&lt;5,COUNTA(B67,C67,D67,E67,F67)&gt;0),"Pensez à renseigner toutes les cases de la ligne !",IF(COUNTA(B67)=1,IF(COUNTBLANK(B67)&gt;=1,"Ne laissez pas de lignes vides. Écrivez sur la ligne supérieure.",""),"")))&amp;IF(G67="Non renseigné","Veuillez sélectionner de nouveau le nom dans la colonne Espèce traitée","")</f>
        <v/>
      </c>
      <c r="L67" s="31" t="str">
        <f>IF(E67="","",INDEX(Données_ATB!BD$3:BU$600,MATCH(E67,Medicament,0),18))</f>
        <v/>
      </c>
      <c r="M67" s="31" t="str">
        <f t="shared" si="2"/>
        <v/>
      </c>
      <c r="N67" s="31" t="str">
        <f t="shared" si="6"/>
        <v/>
      </c>
      <c r="O67" s="31" t="str">
        <f t="shared" si="7"/>
        <v/>
      </c>
      <c r="P67" s="31" t="str">
        <f t="shared" si="8"/>
        <v/>
      </c>
    </row>
    <row r="68" spans="2:16" x14ac:dyDescent="0.3">
      <c r="B68" s="266"/>
      <c r="C68" s="268"/>
      <c r="D68" s="267"/>
      <c r="E68" s="156"/>
      <c r="F68" s="182"/>
      <c r="G68" s="72" t="str">
        <f>IF(C68="","",IFERROR(INDEX(G$19:$L65,MATCH(C68,L$19:L$28,0),1),"Non renseigné"))</f>
        <v/>
      </c>
      <c r="H68" s="190" t="str">
        <f>IFERROR(IF(E68="","",INDEX(Données_ATB!BD$3:BT$600,MATCH(E68,Medicament,0),17)),"Ce médicament n'est pas connu dans la base")</f>
        <v/>
      </c>
      <c r="I68" s="69" t="str">
        <f>IFERROR(IF(E68="","",INDEX(Données_ATB!BD$3:BL$600,MATCH(E68,Medicament,0),9)),"")</f>
        <v/>
      </c>
      <c r="J68" s="44" t="str">
        <f>IFERROR(IF(E68="","",INDEX(Données_ATB!BD$3:BP$5600,MATCH(E68,Medicament,0),13)),"")</f>
        <v/>
      </c>
      <c r="K68" s="161" t="str">
        <f>IF(COUNTIFS($B$31:B68,B68,$E$31:E68,E68,$C$31:C68,C68,$D$31:D68,D68)&gt;1,"DÉJÀ ENTRÉ",IF(AND(COUNTA(B68,C68,D68,E68,F68)&lt;5,COUNTA(B68,C68,D68,E68,F68)&gt;0),"Pensez à renseigner toutes les cases de la ligne !",IF(COUNTA(B68)=1,IF(COUNTBLANK(B68)&gt;=1,"Ne laissez pas de lignes vides. Écrivez sur la ligne supérieure.",""),"")))&amp;IF(G68="Non renseigné","Veuillez sélectionner de nouveau le nom dans la colonne Espèce traitée","")</f>
        <v/>
      </c>
      <c r="L68" s="31" t="str">
        <f>IF(E68="","",INDEX(Données_ATB!BD$3:BU$600,MATCH(E68,Medicament,0),18))</f>
        <v/>
      </c>
      <c r="M68" s="31" t="str">
        <f t="shared" si="2"/>
        <v/>
      </c>
      <c r="N68" s="31" t="str">
        <f t="shared" si="6"/>
        <v/>
      </c>
      <c r="O68" s="31" t="str">
        <f t="shared" si="7"/>
        <v/>
      </c>
      <c r="P68" s="31" t="str">
        <f t="shared" si="8"/>
        <v/>
      </c>
    </row>
    <row r="69" spans="2:16" x14ac:dyDescent="0.3">
      <c r="B69" s="266"/>
      <c r="C69" s="268"/>
      <c r="D69" s="267"/>
      <c r="E69" s="156"/>
      <c r="F69" s="182"/>
      <c r="G69" s="72" t="str">
        <f>IF(C69="","",IFERROR(INDEX(G$19:$L66,MATCH(C69,L$19:L$28,0),1),"Non renseigné"))</f>
        <v/>
      </c>
      <c r="H69" s="190" t="str">
        <f>IFERROR(IF(E69="","",INDEX(Données_ATB!BD$3:BT$600,MATCH(E69,Medicament,0),17)),"Ce médicament n'est pas connu dans la base")</f>
        <v/>
      </c>
      <c r="I69" s="69" t="str">
        <f>IFERROR(IF(E69="","",INDEX(Données_ATB!BD$3:BL$600,MATCH(E69,Medicament,0),9)),"")</f>
        <v/>
      </c>
      <c r="J69" s="44" t="str">
        <f>IFERROR(IF(E69="","",INDEX(Données_ATB!BD$3:BP$5600,MATCH(E69,Medicament,0),13)),"")</f>
        <v/>
      </c>
      <c r="K69" s="161" t="str">
        <f>IF(COUNTIFS($B$31:B69,B69,$E$31:E69,E69,$C$31:C69,C69,$D$31:D69,D69)&gt;1,"DÉJÀ ENTRÉ",IF(AND(COUNTA(B69,C69,D69,E69,F69)&lt;5,COUNTA(B69,C69,D69,E69,F69)&gt;0),"Pensez à renseigner toutes les cases de la ligne !",IF(COUNTA(B69)=1,IF(COUNTBLANK(B69)&gt;=1,"Ne laissez pas de lignes vides. Écrivez sur la ligne supérieure.",""),"")))&amp;IF(G69="Non renseigné","Veuillez sélectionner de nouveau le nom dans la colonne Espèce traitée","")</f>
        <v/>
      </c>
      <c r="L69" s="31" t="str">
        <f>IF(E69="","",INDEX(Données_ATB!BD$3:BU$600,MATCH(E69,Medicament,0),18))</f>
        <v/>
      </c>
      <c r="M69" s="31" t="str">
        <f t="shared" si="2"/>
        <v/>
      </c>
      <c r="N69" s="31" t="str">
        <f t="shared" si="6"/>
        <v/>
      </c>
      <c r="O69" s="31" t="str">
        <f t="shared" si="7"/>
        <v/>
      </c>
      <c r="P69" s="31" t="str">
        <f t="shared" si="8"/>
        <v/>
      </c>
    </row>
    <row r="70" spans="2:16" x14ac:dyDescent="0.3">
      <c r="B70" s="266"/>
      <c r="C70" s="268"/>
      <c r="D70" s="267"/>
      <c r="E70" s="156"/>
      <c r="F70" s="182"/>
      <c r="G70" s="72" t="str">
        <f>IF(C70="","",IFERROR(INDEX(G$19:$L67,MATCH(C70,L$19:L$28,0),1),"Non renseigné"))</f>
        <v/>
      </c>
      <c r="H70" s="190" t="str">
        <f>IFERROR(IF(E70="","",INDEX(Données_ATB!BD$3:BT$600,MATCH(E70,Medicament,0),17)),"Ce médicament n'est pas connu dans la base")</f>
        <v/>
      </c>
      <c r="I70" s="69" t="str">
        <f>IFERROR(IF(E70="","",INDEX(Données_ATB!BD$3:BL$600,MATCH(E70,Medicament,0),9)),"")</f>
        <v/>
      </c>
      <c r="J70" s="44" t="str">
        <f>IFERROR(IF(E70="","",INDEX(Données_ATB!BD$3:BP$5600,MATCH(E70,Medicament,0),13)),"")</f>
        <v/>
      </c>
      <c r="K70" s="161" t="str">
        <f>IF(COUNTIFS($B$31:B70,B70,$E$31:E70,E70,$C$31:C70,C70,$D$31:D70,D70)&gt;1,"DÉJÀ ENTRÉ",IF(AND(COUNTA(B70,C70,D70,E70,F70)&lt;5,COUNTA(B70,C70,D70,E70,F70)&gt;0),"Pensez à renseigner toutes les cases de la ligne !",IF(COUNTA(B70)=1,IF(COUNTBLANK(B70)&gt;=1,"Ne laissez pas de lignes vides. Écrivez sur la ligne supérieure.",""),"")))&amp;IF(G70="Non renseigné","Veuillez sélectionner de nouveau le nom dans la colonne Espèce traitée","")</f>
        <v/>
      </c>
      <c r="L70" s="31" t="str">
        <f>IF(E70="","",INDEX(Données_ATB!BD$3:BU$600,MATCH(E70,Medicament,0),18))</f>
        <v/>
      </c>
      <c r="M70" s="31" t="str">
        <f t="shared" si="2"/>
        <v/>
      </c>
      <c r="N70" s="31" t="str">
        <f t="shared" si="6"/>
        <v/>
      </c>
      <c r="O70" s="31" t="str">
        <f t="shared" si="7"/>
        <v/>
      </c>
      <c r="P70" s="31" t="str">
        <f t="shared" si="8"/>
        <v/>
      </c>
    </row>
    <row r="71" spans="2:16" x14ac:dyDescent="0.3">
      <c r="B71" s="266"/>
      <c r="C71" s="268"/>
      <c r="D71" s="267"/>
      <c r="E71" s="156"/>
      <c r="F71" s="182"/>
      <c r="G71" s="72" t="str">
        <f>IF(C71="","",IFERROR(INDEX(G$19:$L68,MATCH(C71,L$19:L$28,0),1),"Non renseigné"))</f>
        <v/>
      </c>
      <c r="H71" s="190" t="str">
        <f>IFERROR(IF(E71="","",INDEX(Données_ATB!BD$3:BT$600,MATCH(E71,Medicament,0),17)),"Ce médicament n'est pas connu dans la base")</f>
        <v/>
      </c>
      <c r="I71" s="69" t="str">
        <f>IFERROR(IF(E71="","",INDEX(Données_ATB!BD$3:BL$600,MATCH(E71,Medicament,0),9)),"")</f>
        <v/>
      </c>
      <c r="J71" s="44" t="str">
        <f>IFERROR(IF(E71="","",INDEX(Données_ATB!BD$3:BP$5600,MATCH(E71,Medicament,0),13)),"")</f>
        <v/>
      </c>
      <c r="K71" s="161" t="str">
        <f>IF(COUNTIFS($B$31:B71,B71,$E$31:E71,E71,$C$31:C71,C71,$D$31:D71,D71)&gt;1,"DÉJÀ ENTRÉ",IF(AND(COUNTA(B71,C71,D71,E71,F71)&lt;5,COUNTA(B71,C71,D71,E71,F71)&gt;0),"Pensez à renseigner toutes les cases de la ligne !",IF(COUNTA(B71)=1,IF(COUNTBLANK(B71)&gt;=1,"Ne laissez pas de lignes vides. Écrivez sur la ligne supérieure.",""),"")))&amp;IF(G71="Non renseigné","Veuillez sélectionner de nouveau le nom dans la colonne Espèce traitée","")</f>
        <v/>
      </c>
      <c r="L71" s="31" t="str">
        <f>IF(E71="","",INDEX(Données_ATB!BD$3:BU$600,MATCH(E71,Medicament,0),18))</f>
        <v/>
      </c>
      <c r="M71" s="31" t="str">
        <f t="shared" si="2"/>
        <v/>
      </c>
      <c r="N71" s="31" t="str">
        <f t="shared" si="6"/>
        <v/>
      </c>
      <c r="O71" s="31" t="str">
        <f t="shared" si="7"/>
        <v/>
      </c>
      <c r="P71" s="31" t="str">
        <f t="shared" si="8"/>
        <v/>
      </c>
    </row>
    <row r="72" spans="2:16" x14ac:dyDescent="0.3">
      <c r="B72" s="266"/>
      <c r="C72" s="268"/>
      <c r="D72" s="267"/>
      <c r="E72" s="156"/>
      <c r="F72" s="182"/>
      <c r="G72" s="72" t="str">
        <f>IF(C72="","",IFERROR(INDEX(G$19:$L69,MATCH(C72,L$19:L$28,0),1),"Non renseigné"))</f>
        <v/>
      </c>
      <c r="H72" s="190" t="str">
        <f>IFERROR(IF(E72="","",INDEX(Données_ATB!BD$3:BT$600,MATCH(E72,Medicament,0),17)),"Ce médicament n'est pas connu dans la base")</f>
        <v/>
      </c>
      <c r="I72" s="69" t="str">
        <f>IFERROR(IF(E72="","",INDEX(Données_ATB!BD$3:BL$600,MATCH(E72,Medicament,0),9)),"")</f>
        <v/>
      </c>
      <c r="J72" s="44" t="str">
        <f>IFERROR(IF(E72="","",INDEX(Données_ATB!BD$3:BP$5600,MATCH(E72,Medicament,0),13)),"")</f>
        <v/>
      </c>
      <c r="K72" s="161" t="str">
        <f>IF(COUNTIFS($B$31:B72,B72,$E$31:E72,E72,$C$31:C72,C72,$D$31:D72,D72)&gt;1,"DÉJÀ ENTRÉ",IF(AND(COUNTA(B72,C72,D72,E72,F72)&lt;5,COUNTA(B72,C72,D72,E72,F72)&gt;0),"Pensez à renseigner toutes les cases de la ligne !",IF(COUNTA(B72)=1,IF(COUNTBLANK(B72)&gt;=1,"Ne laissez pas de lignes vides. Écrivez sur la ligne supérieure.",""),"")))&amp;IF(G72="Non renseigné","Veuillez sélectionner de nouveau le nom dans la colonne Espèce traitée","")</f>
        <v/>
      </c>
      <c r="L72" s="31" t="str">
        <f>IF(E72="","",INDEX(Données_ATB!BD$3:BU$600,MATCH(E72,Medicament,0),18))</f>
        <v/>
      </c>
      <c r="M72" s="31" t="str">
        <f t="shared" si="2"/>
        <v/>
      </c>
      <c r="N72" s="31" t="str">
        <f t="shared" si="6"/>
        <v/>
      </c>
      <c r="O72" s="31" t="str">
        <f t="shared" si="7"/>
        <v/>
      </c>
      <c r="P72" s="31" t="str">
        <f t="shared" si="8"/>
        <v/>
      </c>
    </row>
    <row r="73" spans="2:16" x14ac:dyDescent="0.3">
      <c r="B73" s="266"/>
      <c r="C73" s="268"/>
      <c r="D73" s="267"/>
      <c r="E73" s="156"/>
      <c r="F73" s="182"/>
      <c r="G73" s="72" t="str">
        <f>IF(C73="","",IFERROR(INDEX(G$19:$L70,MATCH(C73,L$19:L$28,0),1),"Non renseigné"))</f>
        <v/>
      </c>
      <c r="H73" s="190" t="str">
        <f>IFERROR(IF(E73="","",INDEX(Données_ATB!BD$3:BT$600,MATCH(E73,Medicament,0),17)),"Ce médicament n'est pas connu dans la base")</f>
        <v/>
      </c>
      <c r="I73" s="69" t="str">
        <f>IFERROR(IF(E73="","",INDEX(Données_ATB!BD$3:BL$600,MATCH(E73,Medicament,0),9)),"")</f>
        <v/>
      </c>
      <c r="J73" s="44" t="str">
        <f>IFERROR(IF(E73="","",INDEX(Données_ATB!BD$3:BP$5600,MATCH(E73,Medicament,0),13)),"")</f>
        <v/>
      </c>
      <c r="K73" s="161" t="str">
        <f>IF(COUNTIFS($B$31:B73,B73,$E$31:E73,E73,$C$31:C73,C73,$D$31:D73,D73)&gt;1,"DÉJÀ ENTRÉ",IF(AND(COUNTA(B73,C73,D73,E73,F73)&lt;5,COUNTA(B73,C73,D73,E73,F73)&gt;0),"Pensez à renseigner toutes les cases de la ligne !",IF(COUNTA(B73)=1,IF(COUNTBLANK(B73)&gt;=1,"Ne laissez pas de lignes vides. Écrivez sur la ligne supérieure.",""),"")))&amp;IF(G73="Non renseigné","Veuillez sélectionner de nouveau le nom dans la colonne Espèce traitée","")</f>
        <v/>
      </c>
      <c r="L73" s="31" t="str">
        <f>IF(E73="","",INDEX(Données_ATB!BD$3:BU$600,MATCH(E73,Medicament,0),18))</f>
        <v/>
      </c>
      <c r="M73" s="31" t="str">
        <f t="shared" si="2"/>
        <v/>
      </c>
      <c r="N73" s="31" t="str">
        <f t="shared" si="6"/>
        <v/>
      </c>
      <c r="O73" s="31" t="str">
        <f t="shared" si="7"/>
        <v/>
      </c>
      <c r="P73" s="31" t="str">
        <f t="shared" si="8"/>
        <v/>
      </c>
    </row>
    <row r="74" spans="2:16" x14ac:dyDescent="0.3">
      <c r="B74" s="266"/>
      <c r="C74" s="268"/>
      <c r="D74" s="267"/>
      <c r="E74" s="156"/>
      <c r="F74" s="182"/>
      <c r="G74" s="72" t="str">
        <f>IF(C74="","",IFERROR(INDEX(G$19:$L71,MATCH(C74,L$19:L$28,0),1),"Non renseigné"))</f>
        <v/>
      </c>
      <c r="H74" s="190" t="str">
        <f>IFERROR(IF(E74="","",INDEX(Données_ATB!BD$3:BT$600,MATCH(E74,Medicament,0),17)),"Ce médicament n'est pas connu dans la base")</f>
        <v/>
      </c>
      <c r="I74" s="69" t="str">
        <f>IFERROR(IF(E74="","",INDEX(Données_ATB!BD$3:BL$600,MATCH(E74,Medicament,0),9)),"")</f>
        <v/>
      </c>
      <c r="J74" s="44" t="str">
        <f>IFERROR(IF(E74="","",INDEX(Données_ATB!BD$3:BP$5600,MATCH(E74,Medicament,0),13)),"")</f>
        <v/>
      </c>
      <c r="K74" s="161" t="str">
        <f>IF(COUNTIFS($B$31:B74,B74,$E$31:E74,E74,$C$31:C74,C74,$D$31:D74,D74)&gt;1,"DÉJÀ ENTRÉ",IF(AND(COUNTA(B74,C74,D74,E74,F74)&lt;5,COUNTA(B74,C74,D74,E74,F74)&gt;0),"Pensez à renseigner toutes les cases de la ligne !",IF(COUNTA(B74)=1,IF(COUNTBLANK(B74)&gt;=1,"Ne laissez pas de lignes vides. Écrivez sur la ligne supérieure.",""),"")))&amp;IF(G74="Non renseigné","Veuillez sélectionner de nouveau le nom dans la colonne Espèce traitée","")</f>
        <v/>
      </c>
      <c r="L74" s="31" t="str">
        <f>IF(E74="","",INDEX(Données_ATB!BD$3:BU$600,MATCH(E74,Medicament,0),18))</f>
        <v/>
      </c>
      <c r="M74" s="31" t="str">
        <f t="shared" si="2"/>
        <v/>
      </c>
      <c r="N74" s="31" t="str">
        <f t="shared" si="6"/>
        <v/>
      </c>
      <c r="O74" s="31" t="str">
        <f t="shared" si="7"/>
        <v/>
      </c>
      <c r="P74" s="31" t="str">
        <f t="shared" si="8"/>
        <v/>
      </c>
    </row>
    <row r="75" spans="2:16" x14ac:dyDescent="0.3">
      <c r="B75" s="266"/>
      <c r="C75" s="268"/>
      <c r="D75" s="267"/>
      <c r="E75" s="156"/>
      <c r="F75" s="182"/>
      <c r="G75" s="72" t="str">
        <f>IF(C75="","",IFERROR(INDEX(G$19:$L72,MATCH(C75,L$19:L$28,0),1),"Non renseigné"))</f>
        <v/>
      </c>
      <c r="H75" s="190" t="str">
        <f>IFERROR(IF(E75="","",INDEX(Données_ATB!BD$3:BT$600,MATCH(E75,Medicament,0),17)),"Ce médicament n'est pas connu dans la base")</f>
        <v/>
      </c>
      <c r="I75" s="69" t="str">
        <f>IFERROR(IF(E75="","",INDEX(Données_ATB!BD$3:BL$600,MATCH(E75,Medicament,0),9)),"")</f>
        <v/>
      </c>
      <c r="J75" s="44" t="str">
        <f>IFERROR(IF(E75="","",INDEX(Données_ATB!BD$3:BP$5600,MATCH(E75,Medicament,0),13)),"")</f>
        <v/>
      </c>
      <c r="K75" s="161" t="str">
        <f>IF(COUNTIFS($B$31:B75,B75,$E$31:E75,E75,$C$31:C75,C75,$D$31:D75,D75)&gt;1,"DÉJÀ ENTRÉ",IF(AND(COUNTA(B75,C75,D75,E75,F75)&lt;5,COUNTA(B75,C75,D75,E75,F75)&gt;0),"Pensez à renseigner toutes les cases de la ligne !",IF(COUNTA(B75)=1,IF(COUNTBLANK(B75)&gt;=1,"Ne laissez pas de lignes vides. Écrivez sur la ligne supérieure.",""),"")))&amp;IF(G75="Non renseigné","Veuillez sélectionner de nouveau le nom dans la colonne Espèce traitée","")</f>
        <v/>
      </c>
      <c r="L75" s="31" t="str">
        <f>IF(E75="","",INDEX(Données_ATB!BD$3:BU$600,MATCH(E75,Medicament,0),18))</f>
        <v/>
      </c>
      <c r="M75" s="31" t="str">
        <f t="shared" si="2"/>
        <v/>
      </c>
      <c r="N75" s="31" t="str">
        <f t="shared" si="6"/>
        <v/>
      </c>
      <c r="O75" s="31" t="str">
        <f t="shared" si="7"/>
        <v/>
      </c>
      <c r="P75" s="31" t="str">
        <f t="shared" si="8"/>
        <v/>
      </c>
    </row>
    <row r="76" spans="2:16" x14ac:dyDescent="0.3">
      <c r="B76" s="266"/>
      <c r="C76" s="268"/>
      <c r="D76" s="267"/>
      <c r="E76" s="156"/>
      <c r="F76" s="182"/>
      <c r="G76" s="72" t="str">
        <f>IF(C76="","",IFERROR(INDEX(G$19:$L73,MATCH(C76,L$19:L$28,0),1),"Non renseigné"))</f>
        <v/>
      </c>
      <c r="H76" s="190" t="str">
        <f>IFERROR(IF(E76="","",INDEX(Données_ATB!BD$3:BT$600,MATCH(E76,Medicament,0),17)),"Ce médicament n'est pas connu dans la base")</f>
        <v/>
      </c>
      <c r="I76" s="69" t="str">
        <f>IFERROR(IF(E76="","",INDEX(Données_ATB!BD$3:BL$600,MATCH(E76,Medicament,0),9)),"")</f>
        <v/>
      </c>
      <c r="J76" s="44" t="str">
        <f>IFERROR(IF(E76="","",INDEX(Données_ATB!BD$3:BP$5600,MATCH(E76,Medicament,0),13)),"")</f>
        <v/>
      </c>
      <c r="K76" s="161" t="str">
        <f>IF(COUNTIFS($B$31:B76,B76,$E$31:E76,E76,$C$31:C76,C76,$D$31:D76,D76)&gt;1,"DÉJÀ ENTRÉ",IF(AND(COUNTA(B76,C76,D76,E76,F76)&lt;5,COUNTA(B76,C76,D76,E76,F76)&gt;0),"Pensez à renseigner toutes les cases de la ligne !",IF(COUNTA(B76)=1,IF(COUNTBLANK(B76)&gt;=1,"Ne laissez pas de lignes vides. Écrivez sur la ligne supérieure.",""),"")))&amp;IF(G76="Non renseigné","Veuillez sélectionner de nouveau le nom dans la colonne Espèce traitée","")</f>
        <v/>
      </c>
      <c r="L76" s="31" t="str">
        <f>IF(E76="","",INDEX(Données_ATB!BD$3:BU$600,MATCH(E76,Medicament,0),18))</f>
        <v/>
      </c>
      <c r="M76" s="31" t="str">
        <f t="shared" si="2"/>
        <v/>
      </c>
      <c r="N76" s="31" t="str">
        <f t="shared" si="6"/>
        <v/>
      </c>
      <c r="O76" s="31" t="str">
        <f t="shared" si="7"/>
        <v/>
      </c>
      <c r="P76" s="31" t="str">
        <f t="shared" si="8"/>
        <v/>
      </c>
    </row>
    <row r="77" spans="2:16" x14ac:dyDescent="0.3">
      <c r="B77" s="266"/>
      <c r="C77" s="268"/>
      <c r="D77" s="267"/>
      <c r="E77" s="156"/>
      <c r="F77" s="182"/>
      <c r="G77" s="72" t="str">
        <f>IF(C77="","",IFERROR(INDEX(G$19:$L74,MATCH(C77,L$19:L$28,0),1),"Non renseigné"))</f>
        <v/>
      </c>
      <c r="H77" s="190" t="str">
        <f>IFERROR(IF(E77="","",INDEX(Données_ATB!BD$3:BT$600,MATCH(E77,Medicament,0),17)),"Ce médicament n'est pas connu dans la base")</f>
        <v/>
      </c>
      <c r="I77" s="69" t="str">
        <f>IFERROR(IF(E77="","",INDEX(Données_ATB!BD$3:BL$600,MATCH(E77,Medicament,0),9)),"")</f>
        <v/>
      </c>
      <c r="J77" s="44" t="str">
        <f>IFERROR(IF(E77="","",INDEX(Données_ATB!BD$3:BP$5600,MATCH(E77,Medicament,0),13)),"")</f>
        <v/>
      </c>
      <c r="K77" s="161" t="str">
        <f>IF(COUNTIFS($B$31:B77,B77,$E$31:E77,E77,$C$31:C77,C77,$D$31:D77,D77)&gt;1,"DÉJÀ ENTRÉ",IF(AND(COUNTA(B77,C77,D77,E77,F77)&lt;5,COUNTA(B77,C77,D77,E77,F77)&gt;0),"Pensez à renseigner toutes les cases de la ligne !",IF(COUNTA(B77)=1,IF(COUNTBLANK(B77)&gt;=1,"Ne laissez pas de lignes vides. Écrivez sur la ligne supérieure.",""),"")))&amp;IF(G77="Non renseigné","Veuillez sélectionner de nouveau le nom dans la colonne Espèce traitée","")</f>
        <v/>
      </c>
      <c r="L77" s="31" t="str">
        <f>IF(E77="","",INDEX(Données_ATB!BD$3:BU$600,MATCH(E77,Medicament,0),18))</f>
        <v/>
      </c>
      <c r="M77" s="31" t="str">
        <f t="shared" si="2"/>
        <v/>
      </c>
      <c r="N77" s="31" t="str">
        <f t="shared" si="6"/>
        <v/>
      </c>
      <c r="O77" s="31" t="str">
        <f t="shared" si="7"/>
        <v/>
      </c>
      <c r="P77" s="31" t="str">
        <f t="shared" si="8"/>
        <v/>
      </c>
    </row>
    <row r="78" spans="2:16" x14ac:dyDescent="0.3">
      <c r="B78" s="266"/>
      <c r="C78" s="268"/>
      <c r="D78" s="267"/>
      <c r="E78" s="156"/>
      <c r="F78" s="182"/>
      <c r="G78" s="72" t="str">
        <f>IF(C78="","",IFERROR(INDEX(G$19:$L75,MATCH(C78,L$19:L$28,0),1),"Non renseigné"))</f>
        <v/>
      </c>
      <c r="H78" s="190" t="str">
        <f>IFERROR(IF(E78="","",INDEX(Données_ATB!BD$3:BT$600,MATCH(E78,Medicament,0),17)),"Ce médicament n'est pas connu dans la base")</f>
        <v/>
      </c>
      <c r="I78" s="69" t="str">
        <f>IFERROR(IF(E78="","",INDEX(Données_ATB!BD$3:BL$600,MATCH(E78,Medicament,0),9)),"")</f>
        <v/>
      </c>
      <c r="J78" s="44" t="str">
        <f>IFERROR(IF(E78="","",INDEX(Données_ATB!BD$3:BP$5600,MATCH(E78,Medicament,0),13)),"")</f>
        <v/>
      </c>
      <c r="K78" s="161" t="str">
        <f>IF(COUNTIFS($B$31:B78,B78,$E$31:E78,E78,$C$31:C78,C78,$D$31:D78,D78)&gt;1,"DÉJÀ ENTRÉ",IF(AND(COUNTA(B78,C78,D78,E78,F78)&lt;5,COUNTA(B78,C78,D78,E78,F78)&gt;0),"Pensez à renseigner toutes les cases de la ligne !",IF(COUNTA(B78)=1,IF(COUNTBLANK(B78)&gt;=1,"Ne laissez pas de lignes vides. Écrivez sur la ligne supérieure.",""),"")))&amp;IF(G78="Non renseigné","Veuillez sélectionner de nouveau le nom dans la colonne Espèce traitée","")</f>
        <v/>
      </c>
      <c r="L78" s="31" t="str">
        <f>IF(E78="","",INDEX(Données_ATB!BD$3:BU$600,MATCH(E78,Medicament,0),18))</f>
        <v/>
      </c>
      <c r="M78" s="31" t="str">
        <f t="shared" si="2"/>
        <v/>
      </c>
      <c r="N78" s="31" t="str">
        <f t="shared" si="6"/>
        <v/>
      </c>
      <c r="O78" s="31" t="str">
        <f t="shared" si="7"/>
        <v/>
      </c>
      <c r="P78" s="31" t="str">
        <f t="shared" si="8"/>
        <v/>
      </c>
    </row>
    <row r="79" spans="2:16" x14ac:dyDescent="0.3">
      <c r="B79" s="266"/>
      <c r="C79" s="268"/>
      <c r="D79" s="267"/>
      <c r="E79" s="156"/>
      <c r="F79" s="182"/>
      <c r="G79" s="72" t="str">
        <f>IF(C79="","",IFERROR(INDEX(G$19:$L76,MATCH(C79,L$19:L$28,0),1),"Non renseigné"))</f>
        <v/>
      </c>
      <c r="H79" s="190" t="str">
        <f>IFERROR(IF(E79="","",INDEX(Données_ATB!BD$3:BT$600,MATCH(E79,Medicament,0),17)),"Ce médicament n'est pas connu dans la base")</f>
        <v/>
      </c>
      <c r="I79" s="69" t="str">
        <f>IFERROR(IF(E79="","",INDEX(Données_ATB!BD$3:BL$600,MATCH(E79,Medicament,0),9)),"")</f>
        <v/>
      </c>
      <c r="J79" s="44" t="str">
        <f>IFERROR(IF(E79="","",INDEX(Données_ATB!BD$3:BP$5600,MATCH(E79,Medicament,0),13)),"")</f>
        <v/>
      </c>
      <c r="K79" s="161" t="str">
        <f>IF(COUNTIFS($B$31:B79,B79,$E$31:E79,E79,$C$31:C79,C79,$D$31:D79,D79)&gt;1,"DÉJÀ ENTRÉ",IF(AND(COUNTA(B79,C79,D79,E79,F79)&lt;5,COUNTA(B79,C79,D79,E79,F79)&gt;0),"Pensez à renseigner toutes les cases de la ligne !",IF(COUNTA(B79)=1,IF(COUNTBLANK(B79)&gt;=1,"Ne laissez pas de lignes vides. Écrivez sur la ligne supérieure.",""),"")))&amp;IF(G79="Non renseigné","Veuillez sélectionner de nouveau le nom dans la colonne Espèce traitée","")</f>
        <v/>
      </c>
      <c r="L79" s="31" t="str">
        <f>IF(E79="","",INDEX(Données_ATB!BD$3:BU$600,MATCH(E79,Medicament,0),18))</f>
        <v/>
      </c>
      <c r="M79" s="31" t="str">
        <f t="shared" si="2"/>
        <v/>
      </c>
      <c r="N79" s="31" t="str">
        <f t="shared" si="6"/>
        <v/>
      </c>
      <c r="O79" s="31" t="str">
        <f t="shared" si="7"/>
        <v/>
      </c>
      <c r="P79" s="31" t="str">
        <f t="shared" si="8"/>
        <v/>
      </c>
    </row>
    <row r="80" spans="2:16" x14ac:dyDescent="0.3">
      <c r="B80" s="266"/>
      <c r="C80" s="268"/>
      <c r="D80" s="267"/>
      <c r="E80" s="156"/>
      <c r="F80" s="182"/>
      <c r="G80" s="72" t="str">
        <f>IF(C80="","",IFERROR(INDEX(G$19:$L77,MATCH(C80,L$19:L$28,0),1),"Non renseigné"))</f>
        <v/>
      </c>
      <c r="H80" s="190" t="str">
        <f>IFERROR(IF(E80="","",INDEX(Données_ATB!BD$3:BT$600,MATCH(E80,Medicament,0),17)),"Ce médicament n'est pas connu dans la base")</f>
        <v/>
      </c>
      <c r="I80" s="69" t="str">
        <f>IFERROR(IF(E80="","",INDEX(Données_ATB!BD$3:BL$600,MATCH(E80,Medicament,0),9)),"")</f>
        <v/>
      </c>
      <c r="J80" s="44" t="str">
        <f>IFERROR(IF(E80="","",INDEX(Données_ATB!BD$3:BP$5600,MATCH(E80,Medicament,0),13)),"")</f>
        <v/>
      </c>
      <c r="K80" s="161" t="str">
        <f>IF(COUNTIFS($B$31:B80,B80,$E$31:E80,E80,$C$31:C80,C80,$D$31:D80,D80)&gt;1,"DÉJÀ ENTRÉ",IF(AND(COUNTA(B80,C80,D80,E80,F80)&lt;5,COUNTA(B80,C80,D80,E80,F80)&gt;0),"Pensez à renseigner toutes les cases de la ligne !",IF(COUNTA(B80)=1,IF(COUNTBLANK(B80)&gt;=1,"Ne laissez pas de lignes vides. Écrivez sur la ligne supérieure.",""),"")))&amp;IF(G80="Non renseigné","Veuillez sélectionner de nouveau le nom dans la colonne Espèce traitée","")</f>
        <v/>
      </c>
      <c r="L80" s="31" t="str">
        <f>IF(E80="","",INDEX(Données_ATB!BD$3:BU$600,MATCH(E80,Medicament,0),18))</f>
        <v/>
      </c>
      <c r="M80" s="31" t="str">
        <f t="shared" si="2"/>
        <v/>
      </c>
      <c r="N80" s="31" t="str">
        <f t="shared" si="6"/>
        <v/>
      </c>
      <c r="O80" s="31" t="str">
        <f t="shared" si="7"/>
        <v/>
      </c>
      <c r="P80" s="31" t="str">
        <f t="shared" si="8"/>
        <v/>
      </c>
    </row>
    <row r="81" spans="2:16" x14ac:dyDescent="0.3">
      <c r="B81" s="155"/>
      <c r="C81" s="156"/>
      <c r="D81" s="156"/>
      <c r="E81" s="156"/>
      <c r="F81" s="182"/>
      <c r="G81" s="72" t="str">
        <f>IF(C81="","",IFERROR(INDEX(G$19:$L78,MATCH(C81,L$19:L$28,0),1),"Non renseigné"))</f>
        <v/>
      </c>
      <c r="H81" s="190" t="str">
        <f>IFERROR(IF(E81="","",INDEX(Données_ATB!BD$3:BT$600,MATCH(E81,Medicament,0),17)),"Ce médicament n'est pas connu dans la base")</f>
        <v/>
      </c>
      <c r="I81" s="69" t="str">
        <f>IFERROR(IF(E81="","",INDEX(Données_ATB!BD$3:BL$600,MATCH(E81,Medicament,0),9)),"")</f>
        <v/>
      </c>
      <c r="J81" s="44" t="str">
        <f>IFERROR(IF(E81="","",INDEX(Données_ATB!BD$3:BP$5600,MATCH(E81,Medicament,0),13)),"")</f>
        <v/>
      </c>
      <c r="K81" s="161" t="str">
        <f>IF(COUNTIFS($B$31:B81,B81,$E$31:E81,E81,$C$31:C81,C81,$D$31:D81,D81)&gt;1,"DÉJÀ ENTRÉ",IF(AND(COUNTA(B81,C81,D81,E81,F81)&lt;5,COUNTA(B81,C81,D81,E81,F81)&gt;0),"Pensez à renseigner toutes les cases de la ligne !",IF(COUNTA(B81)=1,IF(COUNTBLANK(B81)&gt;=1,"Ne laissez pas de lignes vides. Écrivez sur la ligne supérieure.",""),"")))&amp;IF(G81="Non renseigné","Veuillez sélectionner de nouveau le nom dans la colonne Espèce traitée","")</f>
        <v/>
      </c>
      <c r="L81" s="31" t="str">
        <f>IF(E81="","",INDEX(Données_ATB!BD$3:BU$600,MATCH(E81,Medicament,0),18))</f>
        <v/>
      </c>
      <c r="M81" s="31" t="str">
        <f t="shared" si="2"/>
        <v/>
      </c>
      <c r="N81" s="31" t="str">
        <f t="shared" si="6"/>
        <v/>
      </c>
      <c r="O81" s="31" t="str">
        <f t="shared" si="7"/>
        <v/>
      </c>
      <c r="P81" s="31" t="str">
        <f t="shared" si="8"/>
        <v/>
      </c>
    </row>
    <row r="82" spans="2:16" x14ac:dyDescent="0.3">
      <c r="B82" s="155"/>
      <c r="C82" s="156"/>
      <c r="D82" s="156"/>
      <c r="E82" s="156"/>
      <c r="F82" s="182"/>
      <c r="G82" s="72" t="str">
        <f>IF(C82="","",IFERROR(INDEX(G$19:$L79,MATCH(C82,L$19:L$28,0),1),"Non renseigné"))</f>
        <v/>
      </c>
      <c r="H82" s="190" t="str">
        <f>IFERROR(IF(E82="","",INDEX(Données_ATB!BD$3:BT$600,MATCH(E82,Medicament,0),17)),"Ce médicament n'est pas connu dans la base")</f>
        <v/>
      </c>
      <c r="I82" s="69" t="str">
        <f>IFERROR(IF(E82="","",INDEX(Données_ATB!BD$3:BL$600,MATCH(E82,Medicament,0),9)),"")</f>
        <v/>
      </c>
      <c r="J82" s="44" t="str">
        <f>IFERROR(IF(E82="","",INDEX(Données_ATB!BD$3:BP$5600,MATCH(E82,Medicament,0),13)),"")</f>
        <v/>
      </c>
      <c r="K82" s="161" t="str">
        <f>IF(COUNTIFS($B$31:B82,B82,$E$31:E82,E82,$C$31:C82,C82,$D$31:D82,D82)&gt;1,"DÉJÀ ENTRÉ",IF(AND(COUNTA(B82,C82,D82,E82,F82)&lt;5,COUNTA(B82,C82,D82,E82,F82)&gt;0),"Pensez à renseigner toutes les cases de la ligne !",IF(COUNTA(B82)=1,IF(COUNTBLANK(B82)&gt;=1,"Ne laissez pas de lignes vides. Écrivez sur la ligne supérieure.",""),"")))&amp;IF(G82="Non renseigné","Veuillez sélectionner de nouveau le nom dans la colonne Espèce traitée","")</f>
        <v/>
      </c>
      <c r="L82" s="31" t="str">
        <f>IF(E82="","",INDEX(Données_ATB!BD$3:BU$600,MATCH(E82,Medicament,0),18))</f>
        <v/>
      </c>
      <c r="M82" s="31" t="str">
        <f t="shared" si="2"/>
        <v/>
      </c>
      <c r="N82" s="31" t="str">
        <f t="shared" si="6"/>
        <v/>
      </c>
      <c r="O82" s="31" t="str">
        <f t="shared" si="7"/>
        <v/>
      </c>
      <c r="P82" s="31" t="str">
        <f t="shared" si="8"/>
        <v/>
      </c>
    </row>
    <row r="83" spans="2:16" x14ac:dyDescent="0.3">
      <c r="B83" s="155"/>
      <c r="C83" s="156"/>
      <c r="D83" s="156"/>
      <c r="E83" s="156"/>
      <c r="F83" s="182"/>
      <c r="G83" s="72" t="str">
        <f>IF(C83="","",IFERROR(INDEX(G$19:$L80,MATCH(C83,L$19:L$28,0),1),"Non renseigné"))</f>
        <v/>
      </c>
      <c r="H83" s="190" t="str">
        <f>IFERROR(IF(E83="","",INDEX(Données_ATB!BD$3:BT$600,MATCH(E83,Medicament,0),17)),"Ce médicament n'est pas connu dans la base")</f>
        <v/>
      </c>
      <c r="I83" s="69" t="str">
        <f>IFERROR(IF(E83="","",INDEX(Données_ATB!BD$3:BL$600,MATCH(E83,Medicament,0),9)),"")</f>
        <v/>
      </c>
      <c r="J83" s="44" t="str">
        <f>IFERROR(IF(E83="","",INDEX(Données_ATB!BD$3:BP$5600,MATCH(E83,Medicament,0),13)),"")</f>
        <v/>
      </c>
      <c r="K83" s="161" t="str">
        <f>IF(COUNTIFS($B$31:B83,B83,$E$31:E83,E83,$C$31:C83,C83,$D$31:D83,D83)&gt;1,"DÉJÀ ENTRÉ",IF(AND(COUNTA(B83,C83,D83,E83,F83)&lt;5,COUNTA(B83,C83,D83,E83,F83)&gt;0),"Pensez à renseigner toutes les cases de la ligne !",IF(COUNTA(B83)=1,IF(COUNTBLANK(B83)&gt;=1,"Ne laissez pas de lignes vides. Écrivez sur la ligne supérieure.",""),"")))&amp;IF(G83="Non renseigné","Veuillez sélectionner de nouveau le nom dans la colonne Espèce traitée","")</f>
        <v/>
      </c>
      <c r="L83" s="31" t="str">
        <f>IF(E83="","",INDEX(Données_ATB!BD$3:BU$600,MATCH(E83,Medicament,0),18))</f>
        <v/>
      </c>
      <c r="M83" s="31" t="str">
        <f t="shared" si="2"/>
        <v/>
      </c>
      <c r="N83" s="31" t="str">
        <f t="shared" si="6"/>
        <v/>
      </c>
      <c r="O83" s="31" t="str">
        <f t="shared" si="7"/>
        <v/>
      </c>
      <c r="P83" s="31" t="str">
        <f t="shared" si="8"/>
        <v/>
      </c>
    </row>
    <row r="84" spans="2:16" x14ac:dyDescent="0.3">
      <c r="B84" s="155"/>
      <c r="C84" s="156"/>
      <c r="D84" s="156"/>
      <c r="E84" s="156"/>
      <c r="F84" s="182"/>
      <c r="G84" s="72" t="str">
        <f>IF(C84="","",IFERROR(INDEX(G$19:$L81,MATCH(C84,L$19:L$28,0),1),"Non renseigné"))</f>
        <v/>
      </c>
      <c r="H84" s="190" t="str">
        <f>IFERROR(IF(E84="","",INDEX(Données_ATB!BD$3:BT$600,MATCH(E84,Medicament,0),17)),"Ce médicament n'est pas connu dans la base")</f>
        <v/>
      </c>
      <c r="I84" s="69" t="str">
        <f>IFERROR(IF(E84="","",INDEX(Données_ATB!BD$3:BL$600,MATCH(E84,Medicament,0),9)),"")</f>
        <v/>
      </c>
      <c r="J84" s="44" t="str">
        <f>IFERROR(IF(E84="","",INDEX(Données_ATB!BD$3:BP$5600,MATCH(E84,Medicament,0),13)),"")</f>
        <v/>
      </c>
      <c r="K84" s="161" t="str">
        <f>IF(COUNTIFS($B$31:B84,B84,$E$31:E84,E84,$C$31:C84,C84,$D$31:D84,D84)&gt;1,"DÉJÀ ENTRÉ",IF(AND(COUNTA(B84,C84,D84,E84,F84)&lt;5,COUNTA(B84,C84,D84,E84,F84)&gt;0),"Pensez à renseigner toutes les cases de la ligne !",IF(COUNTA(B84)=1,IF(COUNTBLANK(B84)&gt;=1,"Ne laissez pas de lignes vides. Écrivez sur la ligne supérieure.",""),"")))&amp;IF(G84="Non renseigné","Veuillez sélectionner de nouveau le nom dans la colonne Espèce traitée","")</f>
        <v/>
      </c>
      <c r="L84" s="31" t="str">
        <f>IF(E84="","",INDEX(Données_ATB!BD$3:BU$600,MATCH(E84,Medicament,0),18))</f>
        <v/>
      </c>
      <c r="M84" s="31" t="str">
        <f t="shared" si="2"/>
        <v/>
      </c>
      <c r="N84" s="31" t="str">
        <f t="shared" si="6"/>
        <v/>
      </c>
      <c r="O84" s="31" t="str">
        <f t="shared" si="7"/>
        <v/>
      </c>
      <c r="P84" s="31" t="str">
        <f t="shared" si="8"/>
        <v/>
      </c>
    </row>
    <row r="85" spans="2:16" x14ac:dyDescent="0.3">
      <c r="B85" s="155"/>
      <c r="C85" s="156"/>
      <c r="D85" s="156"/>
      <c r="E85" s="156"/>
      <c r="F85" s="182"/>
      <c r="G85" s="72" t="str">
        <f>IF(C85="","",IFERROR(INDEX(G$19:$L82,MATCH(C85,L$19:L$28,0),1),"Non renseigné"))</f>
        <v/>
      </c>
      <c r="H85" s="190" t="str">
        <f>IFERROR(IF(E85="","",INDEX(Données_ATB!BD$3:BT$600,MATCH(E85,Medicament,0),17)),"Ce médicament n'est pas connu dans la base")</f>
        <v/>
      </c>
      <c r="I85" s="69" t="str">
        <f>IFERROR(IF(E85="","",INDEX(Données_ATB!BD$3:BL$600,MATCH(E85,Medicament,0),9)),"")</f>
        <v/>
      </c>
      <c r="J85" s="44" t="str">
        <f>IFERROR(IF(E85="","",INDEX(Données_ATB!BD$3:BP$5600,MATCH(E85,Medicament,0),13)),"")</f>
        <v/>
      </c>
      <c r="K85" s="161" t="str">
        <f>IF(COUNTIFS($B$31:B85,B85,$E$31:E85,E85,$C$31:C85,C85,$D$31:D85,D85)&gt;1,"DÉJÀ ENTRÉ",IF(AND(COUNTA(B85,C85,D85,E85,F85)&lt;5,COUNTA(B85,C85,D85,E85,F85)&gt;0),"Pensez à renseigner toutes les cases de la ligne !",IF(COUNTA(B85)=1,IF(COUNTBLANK(B85)&gt;=1,"Ne laissez pas de lignes vides. Écrivez sur la ligne supérieure.",""),"")))&amp;IF(G85="Non renseigné","Veuillez sélectionner de nouveau le nom dans la colonne Espèce traitée","")</f>
        <v/>
      </c>
      <c r="L85" s="31" t="str">
        <f>IF(E85="","",INDEX(Données_ATB!BD$3:BU$600,MATCH(E85,Medicament,0),18))</f>
        <v/>
      </c>
      <c r="M85" s="31" t="str">
        <f t="shared" si="2"/>
        <v/>
      </c>
      <c r="N85" s="31" t="str">
        <f t="shared" si="6"/>
        <v/>
      </c>
      <c r="O85" s="31" t="str">
        <f t="shared" si="7"/>
        <v/>
      </c>
      <c r="P85" s="31" t="str">
        <f t="shared" si="8"/>
        <v/>
      </c>
    </row>
    <row r="86" spans="2:16" x14ac:dyDescent="0.3">
      <c r="B86" s="155"/>
      <c r="C86" s="156"/>
      <c r="D86" s="156"/>
      <c r="E86" s="156"/>
      <c r="F86" s="182"/>
      <c r="G86" s="72" t="str">
        <f>IF(C86="","",IFERROR(INDEX(G$19:$L83,MATCH(C86,L$19:L$28,0),1),"Non renseigné"))</f>
        <v/>
      </c>
      <c r="H86" s="190" t="str">
        <f>IFERROR(IF(E86="","",INDEX(Données_ATB!BD$3:BT$600,MATCH(E86,Medicament,0),17)),"Ce médicament n'est pas connu dans la base")</f>
        <v/>
      </c>
      <c r="I86" s="69" t="str">
        <f>IFERROR(IF(E86="","",INDEX(Données_ATB!BD$3:BL$600,MATCH(E86,Medicament,0),9)),"")</f>
        <v/>
      </c>
      <c r="J86" s="44" t="str">
        <f>IFERROR(IF(E86="","",INDEX(Données_ATB!BD$3:BP$5600,MATCH(E86,Medicament,0),13)),"")</f>
        <v/>
      </c>
      <c r="K86" s="161" t="str">
        <f>IF(COUNTIFS($B$31:B86,B86,$E$31:E86,E86,$C$31:C86,C86,$D$31:D86,D86)&gt;1,"DÉJÀ ENTRÉ",IF(AND(COUNTA(B86,C86,D86,E86,F86)&lt;5,COUNTA(B86,C86,D86,E86,F86)&gt;0),"Pensez à renseigner toutes les cases de la ligne !",IF(COUNTA(B86)=1,IF(COUNTBLANK(B86)&gt;=1,"Ne laissez pas de lignes vides. Écrivez sur la ligne supérieure.",""),"")))&amp;IF(G86="Non renseigné","Veuillez sélectionner de nouveau le nom dans la colonne Espèce traitée","")</f>
        <v/>
      </c>
      <c r="L86" s="31" t="str">
        <f>IF(E86="","",INDEX(Données_ATB!BD$3:BU$600,MATCH(E86,Medicament,0),18))</f>
        <v/>
      </c>
      <c r="M86" s="31" t="str">
        <f t="shared" si="2"/>
        <v/>
      </c>
      <c r="N86" s="31" t="str">
        <f t="shared" si="6"/>
        <v/>
      </c>
      <c r="O86" s="31" t="str">
        <f t="shared" si="7"/>
        <v/>
      </c>
      <c r="P86" s="31" t="str">
        <f t="shared" si="8"/>
        <v/>
      </c>
    </row>
    <row r="87" spans="2:16" x14ac:dyDescent="0.3">
      <c r="B87" s="155"/>
      <c r="C87" s="156"/>
      <c r="D87" s="156"/>
      <c r="E87" s="156"/>
      <c r="F87" s="182"/>
      <c r="G87" s="72" t="str">
        <f>IF(C87="","",IFERROR(INDEX(G$19:$L84,MATCH(C87,L$19:L$28,0),1),"Non renseigné"))</f>
        <v/>
      </c>
      <c r="H87" s="190" t="str">
        <f>IFERROR(IF(E87="","",INDEX(Données_ATB!BD$3:BT$600,MATCH(E87,Medicament,0),17)),"Ce médicament n'est pas connu dans la base")</f>
        <v/>
      </c>
      <c r="I87" s="69" t="str">
        <f>IFERROR(IF(E87="","",INDEX(Données_ATB!BD$3:BL$600,MATCH(E87,Medicament,0),9)),"")</f>
        <v/>
      </c>
      <c r="J87" s="44" t="str">
        <f>IFERROR(IF(E87="","",INDEX(Données_ATB!BD$3:BP$5600,MATCH(E87,Medicament,0),13)),"")</f>
        <v/>
      </c>
      <c r="K87" s="161" t="str">
        <f>IF(COUNTIFS($B$31:B87,B87,$E$31:E87,E87,$C$31:C87,C87,$D$31:D87,D87)&gt;1,"DÉJÀ ENTRÉ",IF(AND(COUNTA(B87,C87,D87,E87,F87)&lt;5,COUNTA(B87,C87,D87,E87,F87)&gt;0),"Pensez à renseigner toutes les cases de la ligne !",IF(COUNTA(B87)=1,IF(COUNTBLANK(B87)&gt;=1,"Ne laissez pas de lignes vides. Écrivez sur la ligne supérieure.",""),"")))&amp;IF(G87="Non renseigné","Veuillez sélectionner de nouveau le nom dans la colonne Espèce traitée","")</f>
        <v/>
      </c>
      <c r="L87" s="31" t="str">
        <f>IF(E87="","",INDEX(Données_ATB!BD$3:BU$600,MATCH(E87,Medicament,0),18))</f>
        <v/>
      </c>
      <c r="M87" s="31" t="str">
        <f t="shared" si="2"/>
        <v/>
      </c>
      <c r="N87" s="31" t="str">
        <f t="shared" si="6"/>
        <v/>
      </c>
      <c r="O87" s="31" t="str">
        <f t="shared" si="7"/>
        <v/>
      </c>
      <c r="P87" s="31" t="str">
        <f t="shared" si="8"/>
        <v/>
      </c>
    </row>
    <row r="88" spans="2:16" x14ac:dyDescent="0.3">
      <c r="B88" s="155"/>
      <c r="C88" s="156"/>
      <c r="D88" s="156"/>
      <c r="E88" s="156"/>
      <c r="F88" s="182"/>
      <c r="G88" s="72" t="str">
        <f>IF(C88="","",IFERROR(INDEX(G$19:$L85,MATCH(C88,L$19:L$28,0),1),"Non renseigné"))</f>
        <v/>
      </c>
      <c r="H88" s="190" t="str">
        <f>IFERROR(IF(E88="","",INDEX(Données_ATB!BD$3:BT$600,MATCH(E88,Medicament,0),17)),"Ce médicament n'est pas connu dans la base")</f>
        <v/>
      </c>
      <c r="I88" s="69" t="str">
        <f>IFERROR(IF(E88="","",INDEX(Données_ATB!BD$3:BL$600,MATCH(E88,Medicament,0),9)),"")</f>
        <v/>
      </c>
      <c r="J88" s="44" t="str">
        <f>IFERROR(IF(E88="","",INDEX(Données_ATB!BD$3:BP$5600,MATCH(E88,Medicament,0),13)),"")</f>
        <v/>
      </c>
      <c r="K88" s="161" t="str">
        <f>IF(COUNTIFS($B$31:B88,B88,$E$31:E88,E88,$C$31:C88,C88,$D$31:D88,D88)&gt;1,"DÉJÀ ENTRÉ",IF(AND(COUNTA(B88,C88,D88,E88,F88)&lt;5,COUNTA(B88,C88,D88,E88,F88)&gt;0),"Pensez à renseigner toutes les cases de la ligne !",IF(COUNTA(B88)=1,IF(COUNTBLANK(B88)&gt;=1,"Ne laissez pas de lignes vides. Écrivez sur la ligne supérieure.",""),"")))&amp;IF(G88="Non renseigné","Veuillez sélectionner de nouveau le nom dans la colonne Espèce traitée","")</f>
        <v/>
      </c>
      <c r="L88" s="31" t="str">
        <f>IF(E88="","",INDEX(Données_ATB!BD$3:BU$600,MATCH(E88,Medicament,0),18))</f>
        <v/>
      </c>
      <c r="M88" s="31" t="str">
        <f t="shared" si="2"/>
        <v/>
      </c>
      <c r="N88" s="31" t="str">
        <f t="shared" si="6"/>
        <v/>
      </c>
      <c r="O88" s="31" t="str">
        <f t="shared" si="7"/>
        <v/>
      </c>
      <c r="P88" s="31" t="str">
        <f t="shared" si="8"/>
        <v/>
      </c>
    </row>
    <row r="89" spans="2:16" x14ac:dyDescent="0.3">
      <c r="B89" s="155"/>
      <c r="C89" s="156"/>
      <c r="D89" s="156"/>
      <c r="E89" s="156"/>
      <c r="F89" s="182"/>
      <c r="G89" s="72" t="str">
        <f>IF(C89="","",IFERROR(INDEX(G$19:$L86,MATCH(C89,L$19:L$28,0),1),"Non renseigné"))</f>
        <v/>
      </c>
      <c r="H89" s="190" t="str">
        <f>IFERROR(IF(E89="","",INDEX(Données_ATB!BD$3:BT$600,MATCH(E89,Medicament,0),17)),"Ce médicament n'est pas connu dans la base")</f>
        <v/>
      </c>
      <c r="I89" s="69" t="str">
        <f>IFERROR(IF(E89="","",INDEX(Données_ATB!BD$3:BL$600,MATCH(E89,Medicament,0),9)),"")</f>
        <v/>
      </c>
      <c r="J89" s="44" t="str">
        <f>IFERROR(IF(E89="","",INDEX(Données_ATB!BD$3:BP$5600,MATCH(E89,Medicament,0),13)),"")</f>
        <v/>
      </c>
      <c r="K89" s="161" t="str">
        <f>IF(COUNTIFS($B$31:B89,B89,$E$31:E89,E89,$C$31:C89,C89,$D$31:D89,D89)&gt;1,"DÉJÀ ENTRÉ",IF(AND(COUNTA(B89,C89,D89,E89,F89)&lt;5,COUNTA(B89,C89,D89,E89,F89)&gt;0),"Pensez à renseigner toutes les cases de la ligne !",IF(COUNTA(B89)=1,IF(COUNTBLANK(B89)&gt;=1,"Ne laissez pas de lignes vides. Écrivez sur la ligne supérieure.",""),"")))&amp;IF(G89="Non renseigné","Veuillez sélectionner de nouveau le nom dans la colonne Espèce traitée","")</f>
        <v/>
      </c>
      <c r="L89" s="31" t="str">
        <f>IF(E89="","",INDEX(Données_ATB!BD$3:BU$600,MATCH(E89,Medicament,0),18))</f>
        <v/>
      </c>
      <c r="M89" s="31" t="str">
        <f t="shared" si="2"/>
        <v/>
      </c>
      <c r="N89" s="31" t="str">
        <f t="shared" si="6"/>
        <v/>
      </c>
      <c r="O89" s="31" t="str">
        <f t="shared" si="7"/>
        <v/>
      </c>
      <c r="P89" s="31" t="str">
        <f t="shared" si="8"/>
        <v/>
      </c>
    </row>
    <row r="90" spans="2:16" x14ac:dyDescent="0.3">
      <c r="B90" s="155"/>
      <c r="C90" s="156"/>
      <c r="D90" s="156"/>
      <c r="E90" s="156"/>
      <c r="F90" s="182"/>
      <c r="G90" s="72" t="str">
        <f>IF(C90="","",IFERROR(INDEX(G$19:$L87,MATCH(C90,L$19:L$28,0),1),"Non renseigné"))</f>
        <v/>
      </c>
      <c r="H90" s="190" t="str">
        <f>IFERROR(IF(E90="","",INDEX(Données_ATB!BD$3:BT$600,MATCH(E90,Medicament,0),17)),"Ce médicament n'est pas connu dans la base")</f>
        <v/>
      </c>
      <c r="I90" s="69" t="str">
        <f>IFERROR(IF(E90="","",INDEX(Données_ATB!BD$3:BL$600,MATCH(E90,Medicament,0),9)),"")</f>
        <v/>
      </c>
      <c r="J90" s="44" t="str">
        <f>IFERROR(IF(E90="","",INDEX(Données_ATB!BD$3:BP$5600,MATCH(E90,Medicament,0),13)),"")</f>
        <v/>
      </c>
      <c r="K90" s="161" t="str">
        <f>IF(COUNTIFS($B$31:B90,B90,$E$31:E90,E90,$C$31:C90,C90,$D$31:D90,D90)&gt;1,"DÉJÀ ENTRÉ",IF(AND(COUNTA(B90,C90,D90,E90,F90)&lt;5,COUNTA(B90,C90,D90,E90,F90)&gt;0),"Pensez à renseigner toutes les cases de la ligne !",IF(COUNTA(B90)=1,IF(COUNTBLANK(B90)&gt;=1,"Ne laissez pas de lignes vides. Écrivez sur la ligne supérieure.",""),"")))&amp;IF(G90="Non renseigné","Veuillez sélectionner de nouveau le nom dans la colonne Espèce traitée","")</f>
        <v/>
      </c>
      <c r="L90" s="31" t="str">
        <f>IF(E90="","",INDEX(Données_ATB!BD$3:BU$600,MATCH(E90,Medicament,0),18))</f>
        <v/>
      </c>
      <c r="M90" s="31" t="str">
        <f t="shared" si="2"/>
        <v/>
      </c>
      <c r="N90" s="31" t="str">
        <f t="shared" si="6"/>
        <v/>
      </c>
      <c r="O90" s="31" t="str">
        <f t="shared" si="7"/>
        <v/>
      </c>
      <c r="P90" s="31" t="str">
        <f t="shared" si="8"/>
        <v/>
      </c>
    </row>
    <row r="91" spans="2:16" x14ac:dyDescent="0.3">
      <c r="B91" s="155"/>
      <c r="C91" s="156"/>
      <c r="D91" s="156"/>
      <c r="E91" s="156"/>
      <c r="F91" s="182"/>
      <c r="G91" s="72" t="str">
        <f>IF(C91="","",IFERROR(INDEX(G$19:$L88,MATCH(C91,L$19:L$28,0),1),"Non renseigné"))</f>
        <v/>
      </c>
      <c r="H91" s="190" t="str">
        <f>IFERROR(IF(E91="","",INDEX(Données_ATB!BD$3:BT$600,MATCH(E91,Medicament,0),17)),"Ce médicament n'est pas connu dans la base")</f>
        <v/>
      </c>
      <c r="I91" s="69" t="str">
        <f>IFERROR(IF(E91="","",INDEX(Données_ATB!BD$3:BL$600,MATCH(E91,Medicament,0),9)),"")</f>
        <v/>
      </c>
      <c r="J91" s="44" t="str">
        <f>IFERROR(IF(E91="","",INDEX(Données_ATB!BD$3:BP$5600,MATCH(E91,Medicament,0),13)),"")</f>
        <v/>
      </c>
      <c r="K91" s="161" t="str">
        <f>IF(COUNTIFS($B$31:B91,B91,$E$31:E91,E91,$C$31:C91,C91,$D$31:D91,D91)&gt;1,"DÉJÀ ENTRÉ",IF(AND(COUNTA(B91,C91,D91,E91,F91)&lt;5,COUNTA(B91,C91,D91,E91,F91)&gt;0),"Pensez à renseigner toutes les cases de la ligne !",IF(COUNTA(B91)=1,IF(COUNTBLANK(B91)&gt;=1,"Ne laissez pas de lignes vides. Écrivez sur la ligne supérieure.",""),"")))&amp;IF(G91="Non renseigné","Veuillez sélectionner de nouveau le nom dans la colonne Espèce traitée","")</f>
        <v/>
      </c>
      <c r="L91" s="31" t="str">
        <f>IF(E91="","",INDEX(Données_ATB!BD$3:BU$600,MATCH(E91,Medicament,0),18))</f>
        <v/>
      </c>
      <c r="M91" s="31" t="str">
        <f t="shared" si="2"/>
        <v/>
      </c>
      <c r="N91" s="31" t="str">
        <f t="shared" si="6"/>
        <v/>
      </c>
      <c r="O91" s="31" t="str">
        <f t="shared" si="7"/>
        <v/>
      </c>
      <c r="P91" s="31" t="str">
        <f t="shared" si="8"/>
        <v/>
      </c>
    </row>
    <row r="92" spans="2:16" x14ac:dyDescent="0.3">
      <c r="B92" s="155"/>
      <c r="C92" s="156"/>
      <c r="D92" s="156"/>
      <c r="E92" s="156"/>
      <c r="F92" s="182"/>
      <c r="G92" s="72" t="str">
        <f>IF(C92="","",IFERROR(INDEX(G$19:$L89,MATCH(C92,L$19:L$28,0),1),"Non renseigné"))</f>
        <v/>
      </c>
      <c r="H92" s="190" t="str">
        <f>IFERROR(IF(E92="","",INDEX(Données_ATB!BD$3:BT$600,MATCH(E92,Medicament,0),17)),"Ce médicament n'est pas connu dans la base")</f>
        <v/>
      </c>
      <c r="I92" s="69" t="str">
        <f>IFERROR(IF(E92="","",INDEX(Données_ATB!BD$3:BL$600,MATCH(E92,Medicament,0),9)),"")</f>
        <v/>
      </c>
      <c r="J92" s="44" t="str">
        <f>IFERROR(IF(E92="","",INDEX(Données_ATB!BD$3:BP$5600,MATCH(E92,Medicament,0),13)),"")</f>
        <v/>
      </c>
      <c r="K92" s="161" t="str">
        <f>IF(COUNTIFS($B$31:B92,B92,$E$31:E92,E92,$C$31:C92,C92,$D$31:D92,D92)&gt;1,"DÉJÀ ENTRÉ",IF(AND(COUNTA(B92,C92,D92,E92,F92)&lt;5,COUNTA(B92,C92,D92,E92,F92)&gt;0),"Pensez à renseigner toutes les cases de la ligne !",IF(COUNTA(B92)=1,IF(COUNTBLANK(B92)&gt;=1,"Ne laissez pas de lignes vides. Écrivez sur la ligne supérieure.",""),"")))&amp;IF(G92="Non renseigné","Veuillez sélectionner de nouveau le nom dans la colonne Espèce traitée","")</f>
        <v/>
      </c>
      <c r="L92" s="31" t="str">
        <f>IF(E92="","",INDEX(Données_ATB!BD$3:BU$600,MATCH(E92,Medicament,0),18))</f>
        <v/>
      </c>
      <c r="M92" s="31" t="str">
        <f t="shared" si="2"/>
        <v/>
      </c>
      <c r="N92" s="31" t="str">
        <f t="shared" si="6"/>
        <v/>
      </c>
      <c r="O92" s="31" t="str">
        <f t="shared" si="7"/>
        <v/>
      </c>
      <c r="P92" s="31" t="str">
        <f t="shared" si="8"/>
        <v/>
      </c>
    </row>
    <row r="93" spans="2:16" x14ac:dyDescent="0.3">
      <c r="B93" s="155"/>
      <c r="C93" s="156"/>
      <c r="D93" s="156"/>
      <c r="E93" s="156"/>
      <c r="F93" s="182"/>
      <c r="G93" s="72" t="str">
        <f>IF(C93="","",IFERROR(INDEX(G$19:$L90,MATCH(C93,L$19:L$28,0),1),"Non renseigné"))</f>
        <v/>
      </c>
      <c r="H93" s="190" t="str">
        <f>IFERROR(IF(E93="","",INDEX(Données_ATB!BD$3:BT$600,MATCH(E93,Medicament,0),17)),"Ce médicament n'est pas connu dans la base")</f>
        <v/>
      </c>
      <c r="I93" s="69" t="str">
        <f>IFERROR(IF(E93="","",INDEX(Données_ATB!BD$3:BL$600,MATCH(E93,Medicament,0),9)),"")</f>
        <v/>
      </c>
      <c r="J93" s="44" t="str">
        <f>IFERROR(IF(E93="","",INDEX(Données_ATB!BD$3:BP$5600,MATCH(E93,Medicament,0),13)),"")</f>
        <v/>
      </c>
      <c r="K93" s="161" t="str">
        <f>IF(COUNTIFS($B$31:B93,B93,$E$31:E93,E93,$C$31:C93,C93,$D$31:D93,D93)&gt;1,"DÉJÀ ENTRÉ",IF(AND(COUNTA(B93,C93,D93,E93,F93)&lt;5,COUNTA(B93,C93,D93,E93,F93)&gt;0),"Pensez à renseigner toutes les cases de la ligne !",IF(COUNTA(B93)=1,IF(COUNTBLANK(B93)&gt;=1,"Ne laissez pas de lignes vides. Écrivez sur la ligne supérieure.",""),"")))&amp;IF(G93="Non renseigné","Veuillez sélectionner de nouveau le nom dans la colonne Espèce traitée","")</f>
        <v/>
      </c>
      <c r="L93" s="31" t="str">
        <f>IF(E93="","",INDEX(Données_ATB!BD$3:BU$600,MATCH(E93,Medicament,0),18))</f>
        <v/>
      </c>
      <c r="M93" s="31" t="str">
        <f t="shared" si="2"/>
        <v/>
      </c>
      <c r="N93" s="31" t="str">
        <f t="shared" si="6"/>
        <v/>
      </c>
      <c r="O93" s="31" t="str">
        <f t="shared" si="7"/>
        <v/>
      </c>
      <c r="P93" s="31" t="str">
        <f t="shared" si="8"/>
        <v/>
      </c>
    </row>
    <row r="94" spans="2:16" x14ac:dyDescent="0.3">
      <c r="B94" s="155"/>
      <c r="C94" s="156"/>
      <c r="D94" s="156"/>
      <c r="E94" s="156"/>
      <c r="F94" s="182"/>
      <c r="G94" s="72" t="str">
        <f>IF(C94="","",IFERROR(INDEX(G$19:$L91,MATCH(C94,L$19:L$28,0),1),"Non renseigné"))</f>
        <v/>
      </c>
      <c r="H94" s="190" t="str">
        <f>IFERROR(IF(E94="","",INDEX(Données_ATB!BD$3:BT$600,MATCH(E94,Medicament,0),17)),"Ce médicament n'est pas connu dans la base")</f>
        <v/>
      </c>
      <c r="I94" s="69" t="str">
        <f>IFERROR(IF(E94="","",INDEX(Données_ATB!BD$3:BL$600,MATCH(E94,Medicament,0),9)),"")</f>
        <v/>
      </c>
      <c r="J94" s="44" t="str">
        <f>IFERROR(IF(E94="","",INDEX(Données_ATB!BD$3:BP$5600,MATCH(E94,Medicament,0),13)),"")</f>
        <v/>
      </c>
      <c r="K94" s="161" t="str">
        <f>IF(COUNTIFS($B$31:B94,B94,$E$31:E94,E94,$C$31:C94,C94,$D$31:D94,D94)&gt;1,"DÉJÀ ENTRÉ",IF(AND(COUNTA(B94,C94,D94,E94,F94)&lt;5,COUNTA(B94,C94,D94,E94,F94)&gt;0),"Pensez à renseigner toutes les cases de la ligne !",IF(COUNTA(B94)=1,IF(COUNTBLANK(B94)&gt;=1,"Ne laissez pas de lignes vides. Écrivez sur la ligne supérieure.",""),"")))&amp;IF(G94="Non renseigné","Veuillez sélectionner de nouveau le nom dans la colonne Espèce traitée","")</f>
        <v/>
      </c>
      <c r="L94" s="31" t="str">
        <f>IF(E94="","",INDEX(Données_ATB!BD$3:BU$600,MATCH(E94,Medicament,0),18))</f>
        <v/>
      </c>
      <c r="M94" s="31" t="str">
        <f t="shared" si="2"/>
        <v/>
      </c>
      <c r="N94" s="31" t="str">
        <f t="shared" si="6"/>
        <v/>
      </c>
      <c r="O94" s="31" t="str">
        <f t="shared" si="7"/>
        <v/>
      </c>
      <c r="P94" s="31" t="str">
        <f t="shared" si="8"/>
        <v/>
      </c>
    </row>
    <row r="95" spans="2:16" x14ac:dyDescent="0.3">
      <c r="B95" s="155"/>
      <c r="C95" s="156"/>
      <c r="D95" s="156"/>
      <c r="E95" s="156"/>
      <c r="F95" s="182"/>
      <c r="G95" s="72" t="str">
        <f>IF(C95="","",IFERROR(INDEX(G$19:$L92,MATCH(C95,L$19:L$28,0),1),"Non renseigné"))</f>
        <v/>
      </c>
      <c r="H95" s="190" t="str">
        <f>IFERROR(IF(E95="","",INDEX(Données_ATB!BD$3:BT$600,MATCH(E95,Medicament,0),17)),"Ce médicament n'est pas connu dans la base")</f>
        <v/>
      </c>
      <c r="I95" s="69" t="str">
        <f>IFERROR(IF(E95="","",INDEX(Données_ATB!BD$3:BL$600,MATCH(E95,Medicament,0),9)),"")</f>
        <v/>
      </c>
      <c r="J95" s="44" t="str">
        <f>IFERROR(IF(E95="","",INDEX(Données_ATB!BD$3:BP$5600,MATCH(E95,Medicament,0),13)),"")</f>
        <v/>
      </c>
      <c r="K95" s="161" t="str">
        <f>IF(COUNTIFS($B$31:B95,B95,$E$31:E95,E95,$C$31:C95,C95,$D$31:D95,D95)&gt;1,"DÉJÀ ENTRÉ",IF(AND(COUNTA(B95,C95,D95,E95,F95)&lt;5,COUNTA(B95,C95,D95,E95,F95)&gt;0),"Pensez à renseigner toutes les cases de la ligne !",IF(COUNTA(B95)=1,IF(COUNTBLANK(B95)&gt;=1,"Ne laissez pas de lignes vides. Écrivez sur la ligne supérieure.",""),"")))&amp;IF(G95="Non renseigné","Veuillez sélectionner de nouveau le nom dans la colonne Espèce traitée","")</f>
        <v/>
      </c>
      <c r="L95" s="31" t="str">
        <f>IF(E95="","",INDEX(Données_ATB!BD$3:BU$600,MATCH(E95,Medicament,0),18))</f>
        <v/>
      </c>
      <c r="M95" s="31" t="str">
        <f t="shared" ref="M95:M158" si="9">IF(B95="janvier",1,IF(B95="février",2,IF(B95="mars",3,IF(B95="avril",4,IF(B95="mai",5,IF(B95="juin",6,IF(B95="juillet",7,IF(B95="août",8,IF(B95="septembre",9,IF(B95="octobre",10,IF(B95="novembre",11,IF(B95="décembre",12,""))))))))))))</f>
        <v/>
      </c>
      <c r="N95" s="31" t="str">
        <f t="shared" si="6"/>
        <v/>
      </c>
      <c r="O95" s="31" t="str">
        <f t="shared" si="7"/>
        <v/>
      </c>
      <c r="P95" s="31" t="str">
        <f t="shared" si="8"/>
        <v/>
      </c>
    </row>
    <row r="96" spans="2:16" x14ac:dyDescent="0.3">
      <c r="B96" s="155"/>
      <c r="C96" s="156"/>
      <c r="D96" s="156"/>
      <c r="E96" s="156"/>
      <c r="F96" s="182"/>
      <c r="G96" s="72" t="str">
        <f>IF(C96="","",IFERROR(INDEX(G$19:$L93,MATCH(C96,L$19:L$28,0),1),"Non renseigné"))</f>
        <v/>
      </c>
      <c r="H96" s="190" t="str">
        <f>IFERROR(IF(E96="","",INDEX(Données_ATB!BD$3:BT$600,MATCH(E96,Medicament,0),17)),"Ce médicament n'est pas connu dans la base")</f>
        <v/>
      </c>
      <c r="I96" s="69" t="str">
        <f>IFERROR(IF(E96="","",INDEX(Données_ATB!BD$3:BL$600,MATCH(E96,Medicament,0),9)),"")</f>
        <v/>
      </c>
      <c r="J96" s="44" t="str">
        <f>IFERROR(IF(E96="","",INDEX(Données_ATB!BD$3:BP$5600,MATCH(E96,Medicament,0),13)),"")</f>
        <v/>
      </c>
      <c r="K96" s="161" t="str">
        <f>IF(COUNTIFS($B$31:B96,B96,$E$31:E96,E96,$C$31:C96,C96,$D$31:D96,D96)&gt;1,"DÉJÀ ENTRÉ",IF(AND(COUNTA(B96,C96,D96,E96,F96)&lt;5,COUNTA(B96,C96,D96,E96,F96)&gt;0),"Pensez à renseigner toutes les cases de la ligne !",IF(COUNTA(B96)=1,IF(COUNTBLANK(B96)&gt;=1,"Ne laissez pas de lignes vides. Écrivez sur la ligne supérieure.",""),"")))&amp;IF(G96="Non renseigné","Veuillez sélectionner de nouveau le nom dans la colonne Espèce traitée","")</f>
        <v/>
      </c>
      <c r="L96" s="31" t="str">
        <f>IF(E96="","",INDEX(Données_ATB!BD$3:BU$600,MATCH(E96,Medicament,0),18))</f>
        <v/>
      </c>
      <c r="M96" s="31" t="str">
        <f t="shared" si="9"/>
        <v/>
      </c>
      <c r="N96" s="31" t="str">
        <f t="shared" si="6"/>
        <v/>
      </c>
      <c r="O96" s="31" t="str">
        <f t="shared" si="7"/>
        <v/>
      </c>
      <c r="P96" s="31" t="str">
        <f t="shared" si="8"/>
        <v/>
      </c>
    </row>
    <row r="97" spans="2:16" x14ac:dyDescent="0.3">
      <c r="B97" s="155"/>
      <c r="C97" s="156"/>
      <c r="D97" s="156"/>
      <c r="E97" s="156"/>
      <c r="F97" s="182"/>
      <c r="G97" s="72" t="str">
        <f>IF(C97="","",IFERROR(INDEX(G$19:$L94,MATCH(C97,L$19:L$28,0),1),"Non renseigné"))</f>
        <v/>
      </c>
      <c r="H97" s="190" t="str">
        <f>IFERROR(IF(E97="","",INDEX(Données_ATB!BD$3:BT$600,MATCH(E97,Medicament,0),17)),"Ce médicament n'est pas connu dans la base")</f>
        <v/>
      </c>
      <c r="I97" s="69" t="str">
        <f>IFERROR(IF(E97="","",INDEX(Données_ATB!BD$3:BL$600,MATCH(E97,Medicament,0),9)),"")</f>
        <v/>
      </c>
      <c r="J97" s="44" t="str">
        <f>IFERROR(IF(E97="","",INDEX(Données_ATB!BD$3:BP$5600,MATCH(E97,Medicament,0),13)),"")</f>
        <v/>
      </c>
      <c r="K97" s="161" t="str">
        <f>IF(COUNTIFS($B$31:B97,B97,$E$31:E97,E97,$C$31:C97,C97,$D$31:D97,D97)&gt;1,"DÉJÀ ENTRÉ",IF(AND(COUNTA(B97,C97,D97,E97,F97)&lt;5,COUNTA(B97,C97,D97,E97,F97)&gt;0),"Pensez à renseigner toutes les cases de la ligne !",IF(COUNTA(B97)=1,IF(COUNTBLANK(B97)&gt;=1,"Ne laissez pas de lignes vides. Écrivez sur la ligne supérieure.",""),"")))&amp;IF(G97="Non renseigné","Veuillez sélectionner de nouveau le nom dans la colonne Espèce traitée","")</f>
        <v/>
      </c>
      <c r="L97" s="31" t="str">
        <f>IF(E97="","",INDEX(Données_ATB!BD$3:BU$600,MATCH(E97,Medicament,0),18))</f>
        <v/>
      </c>
      <c r="M97" s="31" t="str">
        <f t="shared" si="9"/>
        <v/>
      </c>
      <c r="N97" s="31" t="str">
        <f t="shared" si="6"/>
        <v/>
      </c>
      <c r="O97" s="31" t="str">
        <f t="shared" si="7"/>
        <v/>
      </c>
      <c r="P97" s="31" t="str">
        <f t="shared" si="8"/>
        <v/>
      </c>
    </row>
    <row r="98" spans="2:16" x14ac:dyDescent="0.3">
      <c r="B98" s="155"/>
      <c r="C98" s="156"/>
      <c r="D98" s="156"/>
      <c r="E98" s="156"/>
      <c r="F98" s="182"/>
      <c r="G98" s="72" t="str">
        <f>IF(C98="","",IFERROR(INDEX(G$19:$L95,MATCH(C98,L$19:L$28,0),1),"Non renseigné"))</f>
        <v/>
      </c>
      <c r="H98" s="190" t="str">
        <f>IFERROR(IF(E98="","",INDEX(Données_ATB!BD$3:BT$600,MATCH(E98,Medicament,0),17)),"Ce médicament n'est pas connu dans la base")</f>
        <v/>
      </c>
      <c r="I98" s="69" t="str">
        <f>IFERROR(IF(E98="","",INDEX(Données_ATB!BD$3:BL$600,MATCH(E98,Medicament,0),9)),"")</f>
        <v/>
      </c>
      <c r="J98" s="44" t="str">
        <f>IFERROR(IF(E98="","",INDEX(Données_ATB!BD$3:BP$5600,MATCH(E98,Medicament,0),13)),"")</f>
        <v/>
      </c>
      <c r="K98" s="161" t="str">
        <f>IF(COUNTIFS($B$31:B98,B98,$E$31:E98,E98,$C$31:C98,C98,$D$31:D98,D98)&gt;1,"DÉJÀ ENTRÉ",IF(AND(COUNTA(B98,C98,D98,E98,F98)&lt;5,COUNTA(B98,C98,D98,E98,F98)&gt;0),"Pensez à renseigner toutes les cases de la ligne !",IF(COUNTA(B98)=1,IF(COUNTBLANK(B98)&gt;=1,"Ne laissez pas de lignes vides. Écrivez sur la ligne supérieure.",""),"")))&amp;IF(G98="Non renseigné","Veuillez sélectionner de nouveau le nom dans la colonne Espèce traitée","")</f>
        <v/>
      </c>
      <c r="L98" s="31" t="str">
        <f>IF(E98="","",INDEX(Données_ATB!BD$3:BU$600,MATCH(E98,Medicament,0),18))</f>
        <v/>
      </c>
      <c r="M98" s="31" t="str">
        <f t="shared" si="9"/>
        <v/>
      </c>
      <c r="N98" s="31" t="str">
        <f t="shared" si="6"/>
        <v/>
      </c>
      <c r="O98" s="31" t="str">
        <f t="shared" si="7"/>
        <v/>
      </c>
      <c r="P98" s="31" t="str">
        <f t="shared" si="8"/>
        <v/>
      </c>
    </row>
    <row r="99" spans="2:16" x14ac:dyDescent="0.3">
      <c r="B99" s="155"/>
      <c r="C99" s="156"/>
      <c r="D99" s="156"/>
      <c r="E99" s="156"/>
      <c r="F99" s="182"/>
      <c r="G99" s="72" t="str">
        <f>IF(C99="","",IFERROR(INDEX(G$19:$L96,MATCH(C99,L$19:L$28,0),1),"Non renseigné"))</f>
        <v/>
      </c>
      <c r="H99" s="190" t="str">
        <f>IFERROR(IF(E99="","",INDEX(Données_ATB!BD$3:BT$600,MATCH(E99,Medicament,0),17)),"Ce médicament n'est pas connu dans la base")</f>
        <v/>
      </c>
      <c r="I99" s="69" t="str">
        <f>IFERROR(IF(E99="","",INDEX(Données_ATB!BD$3:BL$600,MATCH(E99,Medicament,0),9)),"")</f>
        <v/>
      </c>
      <c r="J99" s="44" t="str">
        <f>IFERROR(IF(E99="","",INDEX(Données_ATB!BD$3:BP$5600,MATCH(E99,Medicament,0),13)),"")</f>
        <v/>
      </c>
      <c r="K99" s="161" t="str">
        <f>IF(COUNTIFS($B$31:B99,B99,$E$31:E99,E99,$C$31:C99,C99,$D$31:D99,D99)&gt;1,"DÉJÀ ENTRÉ",IF(AND(COUNTA(B99,C99,D99,E99,F99)&lt;5,COUNTA(B99,C99,D99,E99,F99)&gt;0),"Pensez à renseigner toutes les cases de la ligne !",IF(COUNTA(B99)=1,IF(COUNTBLANK(B99)&gt;=1,"Ne laissez pas de lignes vides. Écrivez sur la ligne supérieure.",""),"")))&amp;IF(G99="Non renseigné","Veuillez sélectionner de nouveau le nom dans la colonne Espèce traitée","")</f>
        <v/>
      </c>
      <c r="L99" s="31" t="str">
        <f>IF(E99="","",INDEX(Données_ATB!BD$3:BU$600,MATCH(E99,Medicament,0),18))</f>
        <v/>
      </c>
      <c r="M99" s="31" t="str">
        <f t="shared" si="9"/>
        <v/>
      </c>
      <c r="N99" s="31" t="str">
        <f t="shared" si="6"/>
        <v/>
      </c>
      <c r="O99" s="31" t="str">
        <f t="shared" si="7"/>
        <v/>
      </c>
      <c r="P99" s="31" t="str">
        <f t="shared" si="8"/>
        <v/>
      </c>
    </row>
    <row r="100" spans="2:16" x14ac:dyDescent="0.3">
      <c r="B100" s="155"/>
      <c r="C100" s="156"/>
      <c r="D100" s="156"/>
      <c r="E100" s="156"/>
      <c r="F100" s="182"/>
      <c r="G100" s="72" t="str">
        <f>IF(C100="","",IFERROR(INDEX(G$19:$L97,MATCH(C100,L$19:L$28,0),1),"Non renseigné"))</f>
        <v/>
      </c>
      <c r="H100" s="190" t="str">
        <f>IFERROR(IF(E100="","",INDEX(Données_ATB!BD$3:BT$600,MATCH(E100,Medicament,0),17)),"Ce médicament n'est pas connu dans la base")</f>
        <v/>
      </c>
      <c r="I100" s="69" t="str">
        <f>IFERROR(IF(E100="","",INDEX(Données_ATB!BD$3:BL$600,MATCH(E100,Medicament,0),9)),"")</f>
        <v/>
      </c>
      <c r="J100" s="44" t="str">
        <f>IFERROR(IF(E100="","",INDEX(Données_ATB!BD$3:BP$5600,MATCH(E100,Medicament,0),13)),"")</f>
        <v/>
      </c>
      <c r="K100" s="161" t="str">
        <f>IF(COUNTIFS($B$31:B100,B100,$E$31:E100,E100,$C$31:C100,C100,$D$31:D100,D100)&gt;1,"DÉJÀ ENTRÉ",IF(AND(COUNTA(B100,C100,D100,E100,F100)&lt;5,COUNTA(B100,C100,D100,E100,F100)&gt;0),"Pensez à renseigner toutes les cases de la ligne !",IF(COUNTA(B100)=1,IF(COUNTBLANK(B100)&gt;=1,"Ne laissez pas de lignes vides. Écrivez sur la ligne supérieure.",""),"")))&amp;IF(G100="Non renseigné","Veuillez sélectionner de nouveau le nom dans la colonne Espèce traitée","")</f>
        <v/>
      </c>
      <c r="L100" s="31" t="str">
        <f>IF(E100="","",INDEX(Données_ATB!BD$3:BU$600,MATCH(E100,Medicament,0),18))</f>
        <v/>
      </c>
      <c r="M100" s="31" t="str">
        <f t="shared" si="9"/>
        <v/>
      </c>
      <c r="N100" s="31" t="str">
        <f t="shared" si="6"/>
        <v/>
      </c>
      <c r="O100" s="31" t="str">
        <f t="shared" si="7"/>
        <v/>
      </c>
      <c r="P100" s="31" t="str">
        <f t="shared" si="8"/>
        <v/>
      </c>
    </row>
    <row r="101" spans="2:16" x14ac:dyDescent="0.3">
      <c r="B101" s="155"/>
      <c r="C101" s="156"/>
      <c r="D101" s="156"/>
      <c r="E101" s="156"/>
      <c r="F101" s="182"/>
      <c r="G101" s="72" t="str">
        <f>IF(C101="","",IFERROR(INDEX(G$19:$L98,MATCH(C101,L$19:L$28,0),1),"Non renseigné"))</f>
        <v/>
      </c>
      <c r="H101" s="190" t="str">
        <f>IFERROR(IF(E101="","",INDEX(Données_ATB!BD$3:BT$600,MATCH(E101,Medicament,0),17)),"Ce médicament n'est pas connu dans la base")</f>
        <v/>
      </c>
      <c r="I101" s="69" t="str">
        <f>IFERROR(IF(E101="","",INDEX(Données_ATB!BD$3:BL$600,MATCH(E101,Medicament,0),9)),"")</f>
        <v/>
      </c>
      <c r="J101" s="44" t="str">
        <f>IFERROR(IF(E101="","",INDEX(Données_ATB!BD$3:BP$5600,MATCH(E101,Medicament,0),13)),"")</f>
        <v/>
      </c>
      <c r="K101" s="161" t="str">
        <f>IF(COUNTIFS($B$31:B101,B101,$E$31:E101,E101,$C$31:C101,C101,$D$31:D101,D101)&gt;1,"DÉJÀ ENTRÉ",IF(AND(COUNTA(B101,C101,D101,E101,F101)&lt;5,COUNTA(B101,C101,D101,E101,F101)&gt;0),"Pensez à renseigner toutes les cases de la ligne !",IF(COUNTA(B101)=1,IF(COUNTBLANK(B101)&gt;=1,"Ne laissez pas de lignes vides. Écrivez sur la ligne supérieure.",""),"")))&amp;IF(G101="Non renseigné","Veuillez sélectionner de nouveau le nom dans la colonne Espèce traitée","")</f>
        <v/>
      </c>
      <c r="L101" s="31" t="str">
        <f>IF(E101="","",INDEX(Données_ATB!BD$3:BU$600,MATCH(E101,Medicament,0),18))</f>
        <v/>
      </c>
      <c r="M101" s="31" t="str">
        <f t="shared" si="9"/>
        <v/>
      </c>
      <c r="N101" s="31" t="str">
        <f t="shared" si="6"/>
        <v/>
      </c>
      <c r="O101" s="31" t="str">
        <f t="shared" si="7"/>
        <v/>
      </c>
      <c r="P101" s="31" t="str">
        <f t="shared" si="8"/>
        <v/>
      </c>
    </row>
    <row r="102" spans="2:16" x14ac:dyDescent="0.3">
      <c r="B102" s="155"/>
      <c r="C102" s="156"/>
      <c r="D102" s="156"/>
      <c r="E102" s="156"/>
      <c r="F102" s="182"/>
      <c r="G102" s="72" t="str">
        <f>IF(C102="","",IFERROR(INDEX(G$19:$L99,MATCH(C102,L$19:L$28,0),1),"Non renseigné"))</f>
        <v/>
      </c>
      <c r="H102" s="190" t="str">
        <f>IFERROR(IF(E102="","",INDEX(Données_ATB!BD$3:BT$600,MATCH(E102,Medicament,0),17)),"Ce médicament n'est pas connu dans la base")</f>
        <v/>
      </c>
      <c r="I102" s="69" t="str">
        <f>IFERROR(IF(E102="","",INDEX(Données_ATB!BD$3:BL$600,MATCH(E102,Medicament,0),9)),"")</f>
        <v/>
      </c>
      <c r="J102" s="44" t="str">
        <f>IFERROR(IF(E102="","",INDEX(Données_ATB!BD$3:BP$5600,MATCH(E102,Medicament,0),13)),"")</f>
        <v/>
      </c>
      <c r="K102" s="161" t="str">
        <f>IF(COUNTIFS($B$31:B102,B102,$E$31:E102,E102,$C$31:C102,C102,$D$31:D102,D102)&gt;1,"DÉJÀ ENTRÉ",IF(AND(COUNTA(B102,C102,D102,E102,F102)&lt;5,COUNTA(B102,C102,D102,E102,F102)&gt;0),"Pensez à renseigner toutes les cases de la ligne !",IF(COUNTA(B102)=1,IF(COUNTBLANK(B102)&gt;=1,"Ne laissez pas de lignes vides. Écrivez sur la ligne supérieure.",""),"")))&amp;IF(G102="Non renseigné","Veuillez sélectionner de nouveau le nom dans la colonne Espèce traitée","")</f>
        <v/>
      </c>
      <c r="L102" s="31" t="str">
        <f>IF(E102="","",INDEX(Données_ATB!BD$3:BU$600,MATCH(E102,Medicament,0),18))</f>
        <v/>
      </c>
      <c r="M102" s="31" t="str">
        <f t="shared" si="9"/>
        <v/>
      </c>
      <c r="N102" s="31" t="str">
        <f t="shared" si="6"/>
        <v/>
      </c>
      <c r="O102" s="31" t="str">
        <f t="shared" si="7"/>
        <v/>
      </c>
      <c r="P102" s="31" t="str">
        <f t="shared" si="8"/>
        <v/>
      </c>
    </row>
    <row r="103" spans="2:16" x14ac:dyDescent="0.3">
      <c r="B103" s="155"/>
      <c r="C103" s="156"/>
      <c r="D103" s="156"/>
      <c r="E103" s="156"/>
      <c r="F103" s="182"/>
      <c r="G103" s="72" t="str">
        <f>IF(C103="","",IFERROR(INDEX(G$19:$L100,MATCH(C103,L$19:L$28,0),1),"Non renseigné"))</f>
        <v/>
      </c>
      <c r="H103" s="190" t="str">
        <f>IFERROR(IF(E103="","",INDEX(Données_ATB!BD$3:BT$600,MATCH(E103,Medicament,0),17)),"Ce médicament n'est pas connu dans la base")</f>
        <v/>
      </c>
      <c r="I103" s="69" t="str">
        <f>IFERROR(IF(E103="","",INDEX(Données_ATB!BD$3:BL$600,MATCH(E103,Medicament,0),9)),"")</f>
        <v/>
      </c>
      <c r="J103" s="44" t="str">
        <f>IFERROR(IF(E103="","",INDEX(Données_ATB!BD$3:BP$5600,MATCH(E103,Medicament,0),13)),"")</f>
        <v/>
      </c>
      <c r="K103" s="161" t="str">
        <f>IF(COUNTIFS($B$31:B103,B103,$E$31:E103,E103,$C$31:C103,C103,$D$31:D103,D103)&gt;1,"DÉJÀ ENTRÉ",IF(AND(COUNTA(B103,C103,D103,E103,F103)&lt;5,COUNTA(B103,C103,D103,E103,F103)&gt;0),"Pensez à renseigner toutes les cases de la ligne !",IF(COUNTA(B103)=1,IF(COUNTBLANK(B103)&gt;=1,"Ne laissez pas de lignes vides. Écrivez sur la ligne supérieure.",""),"")))&amp;IF(G103="Non renseigné","Veuillez sélectionner de nouveau le nom dans la colonne Espèce traitée","")</f>
        <v/>
      </c>
      <c r="L103" s="31" t="str">
        <f>IF(E103="","",INDEX(Données_ATB!BD$3:BU$600,MATCH(E103,Medicament,0),18))</f>
        <v/>
      </c>
      <c r="M103" s="31" t="str">
        <f t="shared" si="9"/>
        <v/>
      </c>
      <c r="N103" s="31" t="str">
        <f t="shared" si="6"/>
        <v/>
      </c>
      <c r="O103" s="31" t="str">
        <f t="shared" si="7"/>
        <v/>
      </c>
      <c r="P103" s="31" t="str">
        <f t="shared" si="8"/>
        <v/>
      </c>
    </row>
    <row r="104" spans="2:16" x14ac:dyDescent="0.3">
      <c r="B104" s="155"/>
      <c r="C104" s="156"/>
      <c r="D104" s="156"/>
      <c r="E104" s="156"/>
      <c r="F104" s="182"/>
      <c r="G104" s="72" t="str">
        <f>IF(C104="","",IFERROR(INDEX(G$19:$L101,MATCH(C104,L$19:L$28,0),1),"Non renseigné"))</f>
        <v/>
      </c>
      <c r="H104" s="190" t="str">
        <f>IFERROR(IF(E104="","",INDEX(Données_ATB!BD$3:BT$600,MATCH(E104,Medicament,0),17)),"Ce médicament n'est pas connu dans la base")</f>
        <v/>
      </c>
      <c r="I104" s="69" t="str">
        <f>IFERROR(IF(E104="","",INDEX(Données_ATB!BD$3:BL$600,MATCH(E104,Medicament,0),9)),"")</f>
        <v/>
      </c>
      <c r="J104" s="44" t="str">
        <f>IFERROR(IF(E104="","",INDEX(Données_ATB!BD$3:BP$5600,MATCH(E104,Medicament,0),13)),"")</f>
        <v/>
      </c>
      <c r="K104" s="161" t="str">
        <f>IF(COUNTIFS($B$31:B104,B104,$E$31:E104,E104,$C$31:C104,C104,$D$31:D104,D104)&gt;1,"DÉJÀ ENTRÉ",IF(AND(COUNTA(B104,C104,D104,E104,F104)&lt;5,COUNTA(B104,C104,D104,E104,F104)&gt;0),"Pensez à renseigner toutes les cases de la ligne !",IF(COUNTA(B104)=1,IF(COUNTBLANK(B104)&gt;=1,"Ne laissez pas de lignes vides. Écrivez sur la ligne supérieure.",""),"")))&amp;IF(G104="Non renseigné","Veuillez sélectionner de nouveau le nom dans la colonne Espèce traitée","")</f>
        <v/>
      </c>
      <c r="L104" s="31" t="str">
        <f>IF(E104="","",INDEX(Données_ATB!BD$3:BU$600,MATCH(E104,Medicament,0),18))</f>
        <v/>
      </c>
      <c r="M104" s="31" t="str">
        <f t="shared" si="9"/>
        <v/>
      </c>
      <c r="N104" s="31" t="str">
        <f t="shared" si="6"/>
        <v/>
      </c>
      <c r="O104" s="31" t="str">
        <f t="shared" si="7"/>
        <v/>
      </c>
      <c r="P104" s="31" t="str">
        <f t="shared" si="8"/>
        <v/>
      </c>
    </row>
    <row r="105" spans="2:16" x14ac:dyDescent="0.3">
      <c r="B105" s="155"/>
      <c r="C105" s="156"/>
      <c r="D105" s="156"/>
      <c r="E105" s="156"/>
      <c r="F105" s="182"/>
      <c r="G105" s="72" t="str">
        <f>IF(C105="","",IFERROR(INDEX(G$19:$L102,MATCH(C105,L$19:L$28,0),1),"Non renseigné"))</f>
        <v/>
      </c>
      <c r="H105" s="190" t="str">
        <f>IFERROR(IF(E105="","",INDEX(Données_ATB!BD$3:BT$600,MATCH(E105,Medicament,0),17)),"Ce médicament n'est pas connu dans la base")</f>
        <v/>
      </c>
      <c r="I105" s="69" t="str">
        <f>IFERROR(IF(E105="","",INDEX(Données_ATB!BD$3:BL$600,MATCH(E105,Medicament,0),9)),"")</f>
        <v/>
      </c>
      <c r="J105" s="44" t="str">
        <f>IFERROR(IF(E105="","",INDEX(Données_ATB!BD$3:BP$5600,MATCH(E105,Medicament,0),13)),"")</f>
        <v/>
      </c>
      <c r="K105" s="161" t="str">
        <f>IF(COUNTIFS($B$31:B105,B105,$E$31:E105,E105,$C$31:C105,C105,$D$31:D105,D105)&gt;1,"DÉJÀ ENTRÉ",IF(AND(COUNTA(B105,C105,D105,E105,F105)&lt;5,COUNTA(B105,C105,D105,E105,F105)&gt;0),"Pensez à renseigner toutes les cases de la ligne !",IF(COUNTA(B105)=1,IF(COUNTBLANK(B105)&gt;=1,"Ne laissez pas de lignes vides. Écrivez sur la ligne supérieure.",""),"")))&amp;IF(G105="Non renseigné","Veuillez sélectionner de nouveau le nom dans la colonne Espèce traitée","")</f>
        <v/>
      </c>
      <c r="L105" s="31" t="str">
        <f>IF(E105="","",INDEX(Données_ATB!BD$3:BU$600,MATCH(E105,Medicament,0),18))</f>
        <v/>
      </c>
      <c r="M105" s="31" t="str">
        <f t="shared" si="9"/>
        <v/>
      </c>
      <c r="N105" s="31" t="str">
        <f t="shared" si="6"/>
        <v/>
      </c>
      <c r="O105" s="31" t="str">
        <f t="shared" si="7"/>
        <v/>
      </c>
      <c r="P105" s="31" t="str">
        <f t="shared" si="8"/>
        <v/>
      </c>
    </row>
    <row r="106" spans="2:16" x14ac:dyDescent="0.3">
      <c r="B106" s="155"/>
      <c r="C106" s="156"/>
      <c r="D106" s="156"/>
      <c r="E106" s="156"/>
      <c r="F106" s="182"/>
      <c r="G106" s="72" t="str">
        <f>IF(C106="","",IFERROR(INDEX(G$19:$L103,MATCH(C106,L$19:L$28,0),1),"Non renseigné"))</f>
        <v/>
      </c>
      <c r="H106" s="190" t="str">
        <f>IFERROR(IF(E106="","",INDEX(Données_ATB!BD$3:BT$600,MATCH(E106,Medicament,0),17)),"Ce médicament n'est pas connu dans la base")</f>
        <v/>
      </c>
      <c r="I106" s="69" t="str">
        <f>IFERROR(IF(E106="","",INDEX(Données_ATB!BD$3:BL$600,MATCH(E106,Medicament,0),9)),"")</f>
        <v/>
      </c>
      <c r="J106" s="44" t="str">
        <f>IFERROR(IF(E106="","",INDEX(Données_ATB!BD$3:BP$5600,MATCH(E106,Medicament,0),13)),"")</f>
        <v/>
      </c>
      <c r="K106" s="161" t="str">
        <f>IF(COUNTIFS($B$31:B106,B106,$E$31:E106,E106,$C$31:C106,C106,$D$31:D106,D106)&gt;1,"DÉJÀ ENTRÉ",IF(AND(COUNTA(B106,C106,D106,E106,F106)&lt;5,COUNTA(B106,C106,D106,E106,F106)&gt;0),"Pensez à renseigner toutes les cases de la ligne !",IF(COUNTA(B106)=1,IF(COUNTBLANK(B106)&gt;=1,"Ne laissez pas de lignes vides. Écrivez sur la ligne supérieure.",""),"")))&amp;IF(G106="Non renseigné","Veuillez sélectionner de nouveau le nom dans la colonne Espèce traitée","")</f>
        <v/>
      </c>
      <c r="L106" s="31" t="str">
        <f>IF(E106="","",INDEX(Données_ATB!BD$3:BU$600,MATCH(E106,Medicament,0),18))</f>
        <v/>
      </c>
      <c r="M106" s="31" t="str">
        <f t="shared" si="9"/>
        <v/>
      </c>
      <c r="N106" s="31" t="str">
        <f t="shared" si="6"/>
        <v/>
      </c>
      <c r="O106" s="31" t="str">
        <f t="shared" si="7"/>
        <v/>
      </c>
      <c r="P106" s="31" t="str">
        <f t="shared" si="8"/>
        <v/>
      </c>
    </row>
    <row r="107" spans="2:16" x14ac:dyDescent="0.3">
      <c r="B107" s="155"/>
      <c r="C107" s="156"/>
      <c r="D107" s="156"/>
      <c r="E107" s="156"/>
      <c r="F107" s="182"/>
      <c r="G107" s="72" t="str">
        <f>IF(C107="","",IFERROR(INDEX(G$19:$L104,MATCH(C107,L$19:L$28,0),1),"Non renseigné"))</f>
        <v/>
      </c>
      <c r="H107" s="190" t="str">
        <f>IFERROR(IF(E107="","",INDEX(Données_ATB!BD$3:BT$600,MATCH(E107,Medicament,0),17)),"Ce médicament n'est pas connu dans la base")</f>
        <v/>
      </c>
      <c r="I107" s="69" t="str">
        <f>IFERROR(IF(E107="","",INDEX(Données_ATB!BD$3:BL$600,MATCH(E107,Medicament,0),9)),"")</f>
        <v/>
      </c>
      <c r="J107" s="44" t="str">
        <f>IFERROR(IF(E107="","",INDEX(Données_ATB!BD$3:BP$5600,MATCH(E107,Medicament,0),13)),"")</f>
        <v/>
      </c>
      <c r="K107" s="161" t="str">
        <f>IF(COUNTIFS($B$31:B107,B107,$E$31:E107,E107,$C$31:C107,C107,$D$31:D107,D107)&gt;1,"DÉJÀ ENTRÉ",IF(AND(COUNTA(B107,C107,D107,E107,F107)&lt;5,COUNTA(B107,C107,D107,E107,F107)&gt;0),"Pensez à renseigner toutes les cases de la ligne !",IF(COUNTA(B107)=1,IF(COUNTBLANK(B107)&gt;=1,"Ne laissez pas de lignes vides. Écrivez sur la ligne supérieure.",""),"")))&amp;IF(G107="Non renseigné","Veuillez sélectionner de nouveau le nom dans la colonne Espèce traitée","")</f>
        <v/>
      </c>
      <c r="L107" s="31" t="str">
        <f>IF(E107="","",INDEX(Données_ATB!BD$3:BU$600,MATCH(E107,Medicament,0),18))</f>
        <v/>
      </c>
      <c r="M107" s="31" t="str">
        <f t="shared" si="9"/>
        <v/>
      </c>
      <c r="N107" s="31" t="str">
        <f t="shared" si="6"/>
        <v/>
      </c>
      <c r="O107" s="31" t="str">
        <f t="shared" si="7"/>
        <v/>
      </c>
      <c r="P107" s="31" t="str">
        <f t="shared" si="8"/>
        <v/>
      </c>
    </row>
    <row r="108" spans="2:16" x14ac:dyDescent="0.3">
      <c r="B108" s="155"/>
      <c r="C108" s="156"/>
      <c r="D108" s="156"/>
      <c r="E108" s="156"/>
      <c r="F108" s="182"/>
      <c r="G108" s="72" t="str">
        <f>IF(C108="","",IFERROR(INDEX(G$19:$L105,MATCH(C108,L$19:L$28,0),1),"Non renseigné"))</f>
        <v/>
      </c>
      <c r="H108" s="190" t="str">
        <f>IFERROR(IF(E108="","",INDEX(Données_ATB!BD$3:BT$600,MATCH(E108,Medicament,0),17)),"Ce médicament n'est pas connu dans la base")</f>
        <v/>
      </c>
      <c r="I108" s="69" t="str">
        <f>IFERROR(IF(E108="","",INDEX(Données_ATB!BD$3:BL$600,MATCH(E108,Medicament,0),9)),"")</f>
        <v/>
      </c>
      <c r="J108" s="44" t="str">
        <f>IFERROR(IF(E108="","",INDEX(Données_ATB!BD$3:BP$5600,MATCH(E108,Medicament,0),13)),"")</f>
        <v/>
      </c>
      <c r="K108" s="161" t="str">
        <f>IF(COUNTIFS($B$31:B108,B108,$E$31:E108,E108,$C$31:C108,C108,$D$31:D108,D108)&gt;1,"DÉJÀ ENTRÉ",IF(AND(COUNTA(B108,C108,D108,E108,F108)&lt;5,COUNTA(B108,C108,D108,E108,F108)&gt;0),"Pensez à renseigner toutes les cases de la ligne !",IF(COUNTA(B108)=1,IF(COUNTBLANK(B108)&gt;=1,"Ne laissez pas de lignes vides. Écrivez sur la ligne supérieure.",""),"")))&amp;IF(G108="Non renseigné","Veuillez sélectionner de nouveau le nom dans la colonne Espèce traitée","")</f>
        <v/>
      </c>
      <c r="L108" s="31" t="str">
        <f>IF(E108="","",INDEX(Données_ATB!BD$3:BU$600,MATCH(E108,Medicament,0),18))</f>
        <v/>
      </c>
      <c r="M108" s="31" t="str">
        <f t="shared" si="9"/>
        <v/>
      </c>
      <c r="N108" s="31" t="str">
        <f t="shared" si="6"/>
        <v/>
      </c>
      <c r="O108" s="31" t="str">
        <f t="shared" si="7"/>
        <v/>
      </c>
      <c r="P108" s="31" t="str">
        <f t="shared" si="8"/>
        <v/>
      </c>
    </row>
    <row r="109" spans="2:16" x14ac:dyDescent="0.3">
      <c r="B109" s="155"/>
      <c r="C109" s="156"/>
      <c r="D109" s="156"/>
      <c r="E109" s="156"/>
      <c r="F109" s="182"/>
      <c r="G109" s="72" t="str">
        <f>IF(C109="","",IFERROR(INDEX(G$19:$L106,MATCH(C109,L$19:L$28,0),1),"Non renseigné"))</f>
        <v/>
      </c>
      <c r="H109" s="190" t="str">
        <f>IFERROR(IF(E109="","",INDEX(Données_ATB!BD$3:BT$600,MATCH(E109,Medicament,0),17)),"Ce médicament n'est pas connu dans la base")</f>
        <v/>
      </c>
      <c r="I109" s="69" t="str">
        <f>IFERROR(IF(E109="","",INDEX(Données_ATB!BD$3:BL$600,MATCH(E109,Medicament,0),9)),"")</f>
        <v/>
      </c>
      <c r="J109" s="44" t="str">
        <f>IFERROR(IF(E109="","",INDEX(Données_ATB!BD$3:BP$5600,MATCH(E109,Medicament,0),13)),"")</f>
        <v/>
      </c>
      <c r="K109" s="161" t="str">
        <f>IF(COUNTIFS($B$31:B109,B109,$E$31:E109,E109,$C$31:C109,C109,$D$31:D109,D109)&gt;1,"DÉJÀ ENTRÉ",IF(AND(COUNTA(B109,C109,D109,E109,F109)&lt;5,COUNTA(B109,C109,D109,E109,F109)&gt;0),"Pensez à renseigner toutes les cases de la ligne !",IF(COUNTA(B109)=1,IF(COUNTBLANK(B109)&gt;=1,"Ne laissez pas de lignes vides. Écrivez sur la ligne supérieure.",""),"")))&amp;IF(G109="Non renseigné","Veuillez sélectionner de nouveau le nom dans la colonne Espèce traitée","")</f>
        <v/>
      </c>
      <c r="L109" s="31" t="str">
        <f>IF(E109="","",INDEX(Données_ATB!BD$3:BU$600,MATCH(E109,Medicament,0),18))</f>
        <v/>
      </c>
      <c r="M109" s="31" t="str">
        <f t="shared" si="9"/>
        <v/>
      </c>
      <c r="N109" s="31" t="str">
        <f t="shared" si="6"/>
        <v/>
      </c>
      <c r="O109" s="31" t="str">
        <f t="shared" si="7"/>
        <v/>
      </c>
      <c r="P109" s="31" t="str">
        <f t="shared" si="8"/>
        <v/>
      </c>
    </row>
    <row r="110" spans="2:16" x14ac:dyDescent="0.3">
      <c r="B110" s="155"/>
      <c r="C110" s="156"/>
      <c r="D110" s="156"/>
      <c r="E110" s="156"/>
      <c r="F110" s="182"/>
      <c r="G110" s="72" t="str">
        <f>IF(C110="","",IFERROR(INDEX(G$19:$L107,MATCH(C110,L$19:L$28,0),1),"Non renseigné"))</f>
        <v/>
      </c>
      <c r="H110" s="190" t="str">
        <f>IFERROR(IF(E110="","",INDEX(Données_ATB!BD$3:BT$600,MATCH(E110,Medicament,0),17)),"Ce médicament n'est pas connu dans la base")</f>
        <v/>
      </c>
      <c r="I110" s="69" t="str">
        <f>IFERROR(IF(E110="","",INDEX(Données_ATB!BD$3:BL$600,MATCH(E110,Medicament,0),9)),"")</f>
        <v/>
      </c>
      <c r="J110" s="44" t="str">
        <f>IFERROR(IF(E110="","",INDEX(Données_ATB!BD$3:BP$5600,MATCH(E110,Medicament,0),13)),"")</f>
        <v/>
      </c>
      <c r="K110" s="161" t="str">
        <f>IF(COUNTIFS($B$31:B110,B110,$E$31:E110,E110,$C$31:C110,C110,$D$31:D110,D110)&gt;1,"DÉJÀ ENTRÉ",IF(AND(COUNTA(B110,C110,D110,E110,F110)&lt;5,COUNTA(B110,C110,D110,E110,F110)&gt;0),"Pensez à renseigner toutes les cases de la ligne !",IF(COUNTA(B110)=1,IF(COUNTBLANK(B110)&gt;=1,"Ne laissez pas de lignes vides. Écrivez sur la ligne supérieure.",""),"")))&amp;IF(G110="Non renseigné","Veuillez sélectionner de nouveau le nom dans la colonne Espèce traitée","")</f>
        <v/>
      </c>
      <c r="L110" s="31" t="str">
        <f>IF(E110="","",INDEX(Données_ATB!BD$3:BU$600,MATCH(E110,Medicament,0),18))</f>
        <v/>
      </c>
      <c r="M110" s="31" t="str">
        <f t="shared" si="9"/>
        <v/>
      </c>
      <c r="N110" s="31" t="str">
        <f t="shared" si="6"/>
        <v/>
      </c>
      <c r="O110" s="31" t="str">
        <f t="shared" si="7"/>
        <v/>
      </c>
      <c r="P110" s="31" t="str">
        <f t="shared" si="8"/>
        <v/>
      </c>
    </row>
    <row r="111" spans="2:16" x14ac:dyDescent="0.3">
      <c r="B111" s="155"/>
      <c r="C111" s="156"/>
      <c r="D111" s="156"/>
      <c r="E111" s="156"/>
      <c r="F111" s="182"/>
      <c r="G111" s="72" t="str">
        <f>IF(C111="","",IFERROR(INDEX(G$19:$L108,MATCH(C111,L$19:L$28,0),1),"Non renseigné"))</f>
        <v/>
      </c>
      <c r="H111" s="190" t="str">
        <f>IFERROR(IF(E111="","",INDEX(Données_ATB!BD$3:BT$600,MATCH(E111,Medicament,0),17)),"Ce médicament n'est pas connu dans la base")</f>
        <v/>
      </c>
      <c r="I111" s="69" t="str">
        <f>IFERROR(IF(E111="","",INDEX(Données_ATB!BD$3:BL$600,MATCH(E111,Medicament,0),9)),"")</f>
        <v/>
      </c>
      <c r="J111" s="44" t="str">
        <f>IFERROR(IF(E111="","",INDEX(Données_ATB!BD$3:BP$5600,MATCH(E111,Medicament,0),13)),"")</f>
        <v/>
      </c>
      <c r="K111" s="161" t="str">
        <f>IF(COUNTIFS($B$31:B111,B111,$E$31:E111,E111,$C$31:C111,C111,$D$31:D111,D111)&gt;1,"DÉJÀ ENTRÉ",IF(AND(COUNTA(B111,C111,D111,E111,F111)&lt;5,COUNTA(B111,C111,D111,E111,F111)&gt;0),"Pensez à renseigner toutes les cases de la ligne !",IF(COUNTA(B111)=1,IF(COUNTBLANK(B111)&gt;=1,"Ne laissez pas de lignes vides. Écrivez sur la ligne supérieure.",""),"")))&amp;IF(G111="Non renseigné","Veuillez sélectionner de nouveau le nom dans la colonne Espèce traitée","")</f>
        <v/>
      </c>
      <c r="L111" s="31" t="str">
        <f>IF(E111="","",INDEX(Données_ATB!BD$3:BU$600,MATCH(E111,Medicament,0),18))</f>
        <v/>
      </c>
      <c r="M111" s="31" t="str">
        <f t="shared" si="9"/>
        <v/>
      </c>
      <c r="N111" s="31" t="str">
        <f t="shared" si="6"/>
        <v/>
      </c>
      <c r="O111" s="31" t="str">
        <f t="shared" si="7"/>
        <v/>
      </c>
      <c r="P111" s="31" t="str">
        <f t="shared" si="8"/>
        <v/>
      </c>
    </row>
    <row r="112" spans="2:16" x14ac:dyDescent="0.3">
      <c r="B112" s="155"/>
      <c r="C112" s="156"/>
      <c r="D112" s="156"/>
      <c r="E112" s="156"/>
      <c r="F112" s="182"/>
      <c r="G112" s="72" t="str">
        <f>IF(C112="","",IFERROR(INDEX(G$19:$L109,MATCH(C112,L$19:L$28,0),1),"Non renseigné"))</f>
        <v/>
      </c>
      <c r="H112" s="190" t="str">
        <f>IFERROR(IF(E112="","",INDEX(Données_ATB!BD$3:BT$600,MATCH(E112,Medicament,0),17)),"Ce médicament n'est pas connu dans la base")</f>
        <v/>
      </c>
      <c r="I112" s="69" t="str">
        <f>IFERROR(IF(E112="","",INDEX(Données_ATB!BD$3:BL$600,MATCH(E112,Medicament,0),9)),"")</f>
        <v/>
      </c>
      <c r="J112" s="44" t="str">
        <f>IFERROR(IF(E112="","",INDEX(Données_ATB!BD$3:BP$5600,MATCH(E112,Medicament,0),13)),"")</f>
        <v/>
      </c>
      <c r="K112" s="161" t="str">
        <f>IF(COUNTIFS($B$31:B112,B112,$E$31:E112,E112,$C$31:C112,C112,$D$31:D112,D112)&gt;1,"DÉJÀ ENTRÉ",IF(AND(COUNTA(B112,C112,D112,E112,F112)&lt;5,COUNTA(B112,C112,D112,E112,F112)&gt;0),"Pensez à renseigner toutes les cases de la ligne !",IF(COUNTA(B112)=1,IF(COUNTBLANK(B112)&gt;=1,"Ne laissez pas de lignes vides. Écrivez sur la ligne supérieure.",""),"")))&amp;IF(G112="Non renseigné","Veuillez sélectionner de nouveau le nom dans la colonne Espèce traitée","")</f>
        <v/>
      </c>
      <c r="L112" s="31" t="str">
        <f>IF(E112="","",INDEX(Données_ATB!BD$3:BU$600,MATCH(E112,Medicament,0),18))</f>
        <v/>
      </c>
      <c r="M112" s="31" t="str">
        <f t="shared" si="9"/>
        <v/>
      </c>
      <c r="N112" s="31" t="str">
        <f t="shared" si="6"/>
        <v/>
      </c>
      <c r="O112" s="31" t="str">
        <f t="shared" si="7"/>
        <v/>
      </c>
      <c r="P112" s="31" t="str">
        <f t="shared" si="8"/>
        <v/>
      </c>
    </row>
    <row r="113" spans="2:16" x14ac:dyDescent="0.3">
      <c r="B113" s="155"/>
      <c r="C113" s="156"/>
      <c r="D113" s="156"/>
      <c r="E113" s="156"/>
      <c r="F113" s="182"/>
      <c r="G113" s="72" t="str">
        <f>IF(C113="","",IFERROR(INDEX(G$19:$L110,MATCH(C113,L$19:L$28,0),1),"Non renseigné"))</f>
        <v/>
      </c>
      <c r="H113" s="190" t="str">
        <f>IFERROR(IF(E113="","",INDEX(Données_ATB!BD$3:BT$600,MATCH(E113,Medicament,0),17)),"Ce médicament n'est pas connu dans la base")</f>
        <v/>
      </c>
      <c r="I113" s="69" t="str">
        <f>IFERROR(IF(E113="","",INDEX(Données_ATB!BD$3:BL$600,MATCH(E113,Medicament,0),9)),"")</f>
        <v/>
      </c>
      <c r="J113" s="44" t="str">
        <f>IFERROR(IF(E113="","",INDEX(Données_ATB!BD$3:BP$5600,MATCH(E113,Medicament,0),13)),"")</f>
        <v/>
      </c>
      <c r="K113" s="161" t="str">
        <f>IF(COUNTIFS($B$31:B113,B113,$E$31:E113,E113,$C$31:C113,C113,$D$31:D113,D113)&gt;1,"DÉJÀ ENTRÉ",IF(AND(COUNTA(B113,C113,D113,E113,F113)&lt;5,COUNTA(B113,C113,D113,E113,F113)&gt;0),"Pensez à renseigner toutes les cases de la ligne !",IF(COUNTA(B113)=1,IF(COUNTBLANK(B113)&gt;=1,"Ne laissez pas de lignes vides. Écrivez sur la ligne supérieure.",""),"")))&amp;IF(G113="Non renseigné","Veuillez sélectionner de nouveau le nom dans la colonne Espèce traitée","")</f>
        <v/>
      </c>
      <c r="L113" s="31" t="str">
        <f>IF(E113="","",INDEX(Données_ATB!BD$3:BU$600,MATCH(E113,Medicament,0),18))</f>
        <v/>
      </c>
      <c r="M113" s="31" t="str">
        <f t="shared" si="9"/>
        <v/>
      </c>
      <c r="N113" s="31" t="str">
        <f t="shared" si="6"/>
        <v/>
      </c>
      <c r="O113" s="31" t="str">
        <f t="shared" si="7"/>
        <v/>
      </c>
      <c r="P113" s="31" t="str">
        <f t="shared" si="8"/>
        <v/>
      </c>
    </row>
    <row r="114" spans="2:16" x14ac:dyDescent="0.3">
      <c r="B114" s="155"/>
      <c r="C114" s="156"/>
      <c r="D114" s="156"/>
      <c r="E114" s="156"/>
      <c r="F114" s="182"/>
      <c r="G114" s="72" t="str">
        <f>IF(C114="","",IFERROR(INDEX(G$19:$L111,MATCH(C114,L$19:L$28,0),1),"Non renseigné"))</f>
        <v/>
      </c>
      <c r="H114" s="190" t="str">
        <f>IFERROR(IF(E114="","",INDEX(Données_ATB!BD$3:BT$600,MATCH(E114,Medicament,0),17)),"Ce médicament n'est pas connu dans la base")</f>
        <v/>
      </c>
      <c r="I114" s="69" t="str">
        <f>IFERROR(IF(E114="","",INDEX(Données_ATB!BD$3:BL$600,MATCH(E114,Medicament,0),9)),"")</f>
        <v/>
      </c>
      <c r="J114" s="44" t="str">
        <f>IFERROR(IF(E114="","",INDEX(Données_ATB!BD$3:BP$5600,MATCH(E114,Medicament,0),13)),"")</f>
        <v/>
      </c>
      <c r="K114" s="161" t="str">
        <f>IF(COUNTIFS($B$31:B114,B114,$E$31:E114,E114,$C$31:C114,C114,$D$31:D114,D114)&gt;1,"DÉJÀ ENTRÉ",IF(AND(COUNTA(B114,C114,D114,E114,F114)&lt;5,COUNTA(B114,C114,D114,E114,F114)&gt;0),"Pensez à renseigner toutes les cases de la ligne !",IF(COUNTA(B114)=1,IF(COUNTBLANK(B114)&gt;=1,"Ne laissez pas de lignes vides. Écrivez sur la ligne supérieure.",""),"")))&amp;IF(G114="Non renseigné","Veuillez sélectionner de nouveau le nom dans la colonne Espèce traitée","")</f>
        <v/>
      </c>
      <c r="L114" s="31" t="str">
        <f>IF(E114="","",INDEX(Données_ATB!BD$3:BU$600,MATCH(E114,Medicament,0),18))</f>
        <v/>
      </c>
      <c r="M114" s="31" t="str">
        <f t="shared" si="9"/>
        <v/>
      </c>
      <c r="N114" s="31" t="str">
        <f t="shared" ref="N114:N177" si="10">IF(E114="","",INDEX(C$19:L$28,MATCH(C114,L$19:L$28,0),1))</f>
        <v/>
      </c>
      <c r="O114" s="31" t="str">
        <f t="shared" ref="O114:O177" si="11">IF(E114="","",INDEX(C$19:L$28,MATCH(C114,L$19:L$28,0),2))</f>
        <v/>
      </c>
      <c r="P114" s="31" t="str">
        <f t="shared" ref="P114:P177" si="12">IF(E114="","",INDEX(C$19:L$28,MATCH(C114,L$19:L$28,0),3))</f>
        <v/>
      </c>
    </row>
    <row r="115" spans="2:16" x14ac:dyDescent="0.3">
      <c r="B115" s="155"/>
      <c r="C115" s="156"/>
      <c r="D115" s="156"/>
      <c r="E115" s="156"/>
      <c r="F115" s="182"/>
      <c r="G115" s="72" t="str">
        <f>IF(C115="","",IFERROR(INDEX(G$19:$L112,MATCH(C115,L$19:L$28,0),1),"Non renseigné"))</f>
        <v/>
      </c>
      <c r="H115" s="190" t="str">
        <f>IFERROR(IF(E115="","",INDEX(Données_ATB!BD$3:BT$600,MATCH(E115,Medicament,0),17)),"Ce médicament n'est pas connu dans la base")</f>
        <v/>
      </c>
      <c r="I115" s="69" t="str">
        <f>IFERROR(IF(E115="","",INDEX(Données_ATB!BD$3:BL$600,MATCH(E115,Medicament,0),9)),"")</f>
        <v/>
      </c>
      <c r="J115" s="44" t="str">
        <f>IFERROR(IF(E115="","",INDEX(Données_ATB!BD$3:BP$5600,MATCH(E115,Medicament,0),13)),"")</f>
        <v/>
      </c>
      <c r="K115" s="161" t="str">
        <f>IF(COUNTIFS($B$31:B115,B115,$E$31:E115,E115,$C$31:C115,C115,$D$31:D115,D115)&gt;1,"DÉJÀ ENTRÉ",IF(AND(COUNTA(B115,C115,D115,E115,F115)&lt;5,COUNTA(B115,C115,D115,E115,F115)&gt;0),"Pensez à renseigner toutes les cases de la ligne !",IF(COUNTA(B115)=1,IF(COUNTBLANK(B115)&gt;=1,"Ne laissez pas de lignes vides. Écrivez sur la ligne supérieure.",""),"")))&amp;IF(G115="Non renseigné","Veuillez sélectionner de nouveau le nom dans la colonne Espèce traitée","")</f>
        <v/>
      </c>
      <c r="L115" s="31" t="str">
        <f>IF(E115="","",INDEX(Données_ATB!BD$3:BU$600,MATCH(E115,Medicament,0),18))</f>
        <v/>
      </c>
      <c r="M115" s="31" t="str">
        <f t="shared" si="9"/>
        <v/>
      </c>
      <c r="N115" s="31" t="str">
        <f t="shared" si="10"/>
        <v/>
      </c>
      <c r="O115" s="31" t="str">
        <f t="shared" si="11"/>
        <v/>
      </c>
      <c r="P115" s="31" t="str">
        <f t="shared" si="12"/>
        <v/>
      </c>
    </row>
    <row r="116" spans="2:16" x14ac:dyDescent="0.3">
      <c r="B116" s="155"/>
      <c r="C116" s="156"/>
      <c r="D116" s="156"/>
      <c r="E116" s="156"/>
      <c r="F116" s="182"/>
      <c r="G116" s="72" t="str">
        <f>IF(C116="","",IFERROR(INDEX(G$19:$L113,MATCH(C116,L$19:L$28,0),1),"Non renseigné"))</f>
        <v/>
      </c>
      <c r="H116" s="190" t="str">
        <f>IFERROR(IF(E116="","",INDEX(Données_ATB!BD$3:BT$600,MATCH(E116,Medicament,0),17)),"Ce médicament n'est pas connu dans la base")</f>
        <v/>
      </c>
      <c r="I116" s="69" t="str">
        <f>IFERROR(IF(E116="","",INDEX(Données_ATB!BD$3:BL$600,MATCH(E116,Medicament,0),9)),"")</f>
        <v/>
      </c>
      <c r="J116" s="44" t="str">
        <f>IFERROR(IF(E116="","",INDEX(Données_ATB!BD$3:BP$5600,MATCH(E116,Medicament,0),13)),"")</f>
        <v/>
      </c>
      <c r="K116" s="161" t="str">
        <f>IF(COUNTIFS($B$31:B116,B116,$E$31:E116,E116,$C$31:C116,C116,$D$31:D116,D116)&gt;1,"DÉJÀ ENTRÉ",IF(AND(COUNTA(B116,C116,D116,E116,F116)&lt;5,COUNTA(B116,C116,D116,E116,F116)&gt;0),"Pensez à renseigner toutes les cases de la ligne !",IF(COUNTA(B116)=1,IF(COUNTBLANK(B116)&gt;=1,"Ne laissez pas de lignes vides. Écrivez sur la ligne supérieure.",""),"")))&amp;IF(G116="Non renseigné","Veuillez sélectionner de nouveau le nom dans la colonne Espèce traitée","")</f>
        <v/>
      </c>
      <c r="L116" s="31" t="str">
        <f>IF(E116="","",INDEX(Données_ATB!BD$3:BU$600,MATCH(E116,Medicament,0),18))</f>
        <v/>
      </c>
      <c r="M116" s="31" t="str">
        <f t="shared" si="9"/>
        <v/>
      </c>
      <c r="N116" s="31" t="str">
        <f t="shared" si="10"/>
        <v/>
      </c>
      <c r="O116" s="31" t="str">
        <f t="shared" si="11"/>
        <v/>
      </c>
      <c r="P116" s="31" t="str">
        <f t="shared" si="12"/>
        <v/>
      </c>
    </row>
    <row r="117" spans="2:16" x14ac:dyDescent="0.3">
      <c r="B117" s="155"/>
      <c r="C117" s="156"/>
      <c r="D117" s="156"/>
      <c r="E117" s="156"/>
      <c r="F117" s="182"/>
      <c r="G117" s="72" t="str">
        <f>IF(C117="","",IFERROR(INDEX(G$19:$L114,MATCH(C117,L$19:L$28,0),1),"Non renseigné"))</f>
        <v/>
      </c>
      <c r="H117" s="190" t="str">
        <f>IFERROR(IF(E117="","",INDEX(Données_ATB!BD$3:BT$600,MATCH(E117,Medicament,0),17)),"Ce médicament n'est pas connu dans la base")</f>
        <v/>
      </c>
      <c r="I117" s="69" t="str">
        <f>IFERROR(IF(E117="","",INDEX(Données_ATB!BD$3:BL$600,MATCH(E117,Medicament,0),9)),"")</f>
        <v/>
      </c>
      <c r="J117" s="44" t="str">
        <f>IFERROR(IF(E117="","",INDEX(Données_ATB!BD$3:BP$5600,MATCH(E117,Medicament,0),13)),"")</f>
        <v/>
      </c>
      <c r="K117" s="161" t="str">
        <f>IF(COUNTIFS($B$31:B117,B117,$E$31:E117,E117,$C$31:C117,C117,$D$31:D117,D117)&gt;1,"DÉJÀ ENTRÉ",IF(AND(COUNTA(B117,C117,D117,E117,F117)&lt;5,COUNTA(B117,C117,D117,E117,F117)&gt;0),"Pensez à renseigner toutes les cases de la ligne !",IF(COUNTA(B117)=1,IF(COUNTBLANK(B117)&gt;=1,"Ne laissez pas de lignes vides. Écrivez sur la ligne supérieure.",""),"")))&amp;IF(G117="Non renseigné","Veuillez sélectionner de nouveau le nom dans la colonne Espèce traitée","")</f>
        <v/>
      </c>
      <c r="L117" s="31" t="str">
        <f>IF(E117="","",INDEX(Données_ATB!BD$3:BU$600,MATCH(E117,Medicament,0),18))</f>
        <v/>
      </c>
      <c r="M117" s="31" t="str">
        <f t="shared" si="9"/>
        <v/>
      </c>
      <c r="N117" s="31" t="str">
        <f t="shared" si="10"/>
        <v/>
      </c>
      <c r="O117" s="31" t="str">
        <f t="shared" si="11"/>
        <v/>
      </c>
      <c r="P117" s="31" t="str">
        <f t="shared" si="12"/>
        <v/>
      </c>
    </row>
    <row r="118" spans="2:16" x14ac:dyDescent="0.3">
      <c r="B118" s="155"/>
      <c r="C118" s="156"/>
      <c r="D118" s="156"/>
      <c r="E118" s="156"/>
      <c r="F118" s="182"/>
      <c r="G118" s="72" t="str">
        <f>IF(C118="","",IFERROR(INDEX(G$19:$L115,MATCH(C118,L$19:L$28,0),1),"Non renseigné"))</f>
        <v/>
      </c>
      <c r="H118" s="190" t="str">
        <f>IFERROR(IF(E118="","",INDEX(Données_ATB!BD$3:BT$600,MATCH(E118,Medicament,0),17)),"Ce médicament n'est pas connu dans la base")</f>
        <v/>
      </c>
      <c r="I118" s="69" t="str">
        <f>IFERROR(IF(E118="","",INDEX(Données_ATB!BD$3:BL$600,MATCH(E118,Medicament,0),9)),"")</f>
        <v/>
      </c>
      <c r="J118" s="44" t="str">
        <f>IFERROR(IF(E118="","",INDEX(Données_ATB!BD$3:BP$5600,MATCH(E118,Medicament,0),13)),"")</f>
        <v/>
      </c>
      <c r="K118" s="161" t="str">
        <f>IF(COUNTIFS($B$31:B118,B118,$E$31:E118,E118,$C$31:C118,C118,$D$31:D118,D118)&gt;1,"DÉJÀ ENTRÉ",IF(AND(COUNTA(B118,C118,D118,E118,F118)&lt;5,COUNTA(B118,C118,D118,E118,F118)&gt;0),"Pensez à renseigner toutes les cases de la ligne !",IF(COUNTA(B118)=1,IF(COUNTBLANK(B118)&gt;=1,"Ne laissez pas de lignes vides. Écrivez sur la ligne supérieure.",""),"")))&amp;IF(G118="Non renseigné","Veuillez sélectionner de nouveau le nom dans la colonne Espèce traitée","")</f>
        <v/>
      </c>
      <c r="L118" s="31" t="str">
        <f>IF(E118="","",INDEX(Données_ATB!BD$3:BU$600,MATCH(E118,Medicament,0),18))</f>
        <v/>
      </c>
      <c r="M118" s="31" t="str">
        <f t="shared" si="9"/>
        <v/>
      </c>
      <c r="N118" s="31" t="str">
        <f t="shared" si="10"/>
        <v/>
      </c>
      <c r="O118" s="31" t="str">
        <f t="shared" si="11"/>
        <v/>
      </c>
      <c r="P118" s="31" t="str">
        <f t="shared" si="12"/>
        <v/>
      </c>
    </row>
    <row r="119" spans="2:16" x14ac:dyDescent="0.3">
      <c r="B119" s="155"/>
      <c r="C119" s="156"/>
      <c r="D119" s="156"/>
      <c r="E119" s="156"/>
      <c r="F119" s="182"/>
      <c r="G119" s="72" t="str">
        <f>IF(C119="","",IFERROR(INDEX(G$19:$L116,MATCH(C119,L$19:L$28,0),1),"Non renseigné"))</f>
        <v/>
      </c>
      <c r="H119" s="190" t="str">
        <f>IFERROR(IF(E119="","",INDEX(Données_ATB!BD$3:BT$600,MATCH(E119,Medicament,0),17)),"Ce médicament n'est pas connu dans la base")</f>
        <v/>
      </c>
      <c r="I119" s="69" t="str">
        <f>IFERROR(IF(E119="","",INDEX(Données_ATB!BD$3:BL$600,MATCH(E119,Medicament,0),9)),"")</f>
        <v/>
      </c>
      <c r="J119" s="44" t="str">
        <f>IFERROR(IF(E119="","",INDEX(Données_ATB!BD$3:BP$5600,MATCH(E119,Medicament,0),13)),"")</f>
        <v/>
      </c>
      <c r="K119" s="161" t="str">
        <f>IF(COUNTIFS($B$31:B119,B119,$E$31:E119,E119,$C$31:C119,C119,$D$31:D119,D119)&gt;1,"DÉJÀ ENTRÉ",IF(AND(COUNTA(B119,C119,D119,E119,F119)&lt;5,COUNTA(B119,C119,D119,E119,F119)&gt;0),"Pensez à renseigner toutes les cases de la ligne !",IF(COUNTA(B119)=1,IF(COUNTBLANK(B119)&gt;=1,"Ne laissez pas de lignes vides. Écrivez sur la ligne supérieure.",""),"")))&amp;IF(G119="Non renseigné","Veuillez sélectionner de nouveau le nom dans la colonne Espèce traitée","")</f>
        <v/>
      </c>
      <c r="L119" s="31" t="str">
        <f>IF(E119="","",INDEX(Données_ATB!BD$3:BU$600,MATCH(E119,Medicament,0),18))</f>
        <v/>
      </c>
      <c r="M119" s="31" t="str">
        <f t="shared" si="9"/>
        <v/>
      </c>
      <c r="N119" s="31" t="str">
        <f t="shared" si="10"/>
        <v/>
      </c>
      <c r="O119" s="31" t="str">
        <f t="shared" si="11"/>
        <v/>
      </c>
      <c r="P119" s="31" t="str">
        <f t="shared" si="12"/>
        <v/>
      </c>
    </row>
    <row r="120" spans="2:16" x14ac:dyDescent="0.3">
      <c r="B120" s="155"/>
      <c r="C120" s="156"/>
      <c r="D120" s="156"/>
      <c r="E120" s="156"/>
      <c r="F120" s="182"/>
      <c r="G120" s="72" t="str">
        <f>IF(C120="","",IFERROR(INDEX(G$19:$L117,MATCH(C120,L$19:L$28,0),1),"Non renseigné"))</f>
        <v/>
      </c>
      <c r="H120" s="190" t="str">
        <f>IFERROR(IF(E120="","",INDEX(Données_ATB!BD$3:BT$600,MATCH(E120,Medicament,0),17)),"Ce médicament n'est pas connu dans la base")</f>
        <v/>
      </c>
      <c r="I120" s="69" t="str">
        <f>IFERROR(IF(E120="","",INDEX(Données_ATB!BD$3:BL$600,MATCH(E120,Medicament,0),9)),"")</f>
        <v/>
      </c>
      <c r="J120" s="44" t="str">
        <f>IFERROR(IF(E120="","",INDEX(Données_ATB!BD$3:BP$5600,MATCH(E120,Medicament,0),13)),"")</f>
        <v/>
      </c>
      <c r="K120" s="161" t="str">
        <f>IF(COUNTIFS($B$31:B120,B120,$E$31:E120,E120,$C$31:C120,C120,$D$31:D120,D120)&gt;1,"DÉJÀ ENTRÉ",IF(AND(COUNTA(B120,C120,D120,E120,F120)&lt;5,COUNTA(B120,C120,D120,E120,F120)&gt;0),"Pensez à renseigner toutes les cases de la ligne !",IF(COUNTA(B120)=1,IF(COUNTBLANK(B120)&gt;=1,"Ne laissez pas de lignes vides. Écrivez sur la ligne supérieure.",""),"")))&amp;IF(G120="Non renseigné","Veuillez sélectionner de nouveau le nom dans la colonne Espèce traitée","")</f>
        <v/>
      </c>
      <c r="L120" s="31" t="str">
        <f>IF(E120="","",INDEX(Données_ATB!BD$3:BU$600,MATCH(E120,Medicament,0),18))</f>
        <v/>
      </c>
      <c r="M120" s="31" t="str">
        <f t="shared" si="9"/>
        <v/>
      </c>
      <c r="N120" s="31" t="str">
        <f t="shared" si="10"/>
        <v/>
      </c>
      <c r="O120" s="31" t="str">
        <f t="shared" si="11"/>
        <v/>
      </c>
      <c r="P120" s="31" t="str">
        <f t="shared" si="12"/>
        <v/>
      </c>
    </row>
    <row r="121" spans="2:16" x14ac:dyDescent="0.3">
      <c r="B121" s="155"/>
      <c r="C121" s="156"/>
      <c r="D121" s="156"/>
      <c r="E121" s="156"/>
      <c r="F121" s="182"/>
      <c r="G121" s="72" t="str">
        <f>IF(C121="","",IFERROR(INDEX(G$19:$L118,MATCH(C121,L$19:L$28,0),1),"Non renseigné"))</f>
        <v/>
      </c>
      <c r="H121" s="190" t="str">
        <f>IFERROR(IF(E121="","",INDEX(Données_ATB!BD$3:BT$600,MATCH(E121,Medicament,0),17)),"Ce médicament n'est pas connu dans la base")</f>
        <v/>
      </c>
      <c r="I121" s="69" t="str">
        <f>IFERROR(IF(E121="","",INDEX(Données_ATB!BD$3:BL$600,MATCH(E121,Medicament,0),9)),"")</f>
        <v/>
      </c>
      <c r="J121" s="44" t="str">
        <f>IFERROR(IF(E121="","",INDEX(Données_ATB!BD$3:BP$5600,MATCH(E121,Medicament,0),13)),"")</f>
        <v/>
      </c>
      <c r="K121" s="161" t="str">
        <f>IF(COUNTIFS($B$31:B121,B121,$E$31:E121,E121,$C$31:C121,C121,$D$31:D121,D121)&gt;1,"DÉJÀ ENTRÉ",IF(AND(COUNTA(B121,C121,D121,E121,F121)&lt;5,COUNTA(B121,C121,D121,E121,F121)&gt;0),"Pensez à renseigner toutes les cases de la ligne !",IF(COUNTA(B121)=1,IF(COUNTBLANK(B121)&gt;=1,"Ne laissez pas de lignes vides. Écrivez sur la ligne supérieure.",""),"")))&amp;IF(G121="Non renseigné","Veuillez sélectionner de nouveau le nom dans la colonne Espèce traitée","")</f>
        <v/>
      </c>
      <c r="L121" s="31" t="str">
        <f>IF(E121="","",INDEX(Données_ATB!BD$3:BU$600,MATCH(E121,Medicament,0),18))</f>
        <v/>
      </c>
      <c r="M121" s="31" t="str">
        <f t="shared" si="9"/>
        <v/>
      </c>
      <c r="N121" s="31" t="str">
        <f t="shared" si="10"/>
        <v/>
      </c>
      <c r="O121" s="31" t="str">
        <f t="shared" si="11"/>
        <v/>
      </c>
      <c r="P121" s="31" t="str">
        <f t="shared" si="12"/>
        <v/>
      </c>
    </row>
    <row r="122" spans="2:16" x14ac:dyDescent="0.3">
      <c r="B122" s="155"/>
      <c r="C122" s="156"/>
      <c r="D122" s="156"/>
      <c r="E122" s="156"/>
      <c r="F122" s="182"/>
      <c r="G122" s="72" t="str">
        <f>IF(C122="","",IFERROR(INDEX(G$19:$L119,MATCH(C122,L$19:L$28,0),1),"Non renseigné"))</f>
        <v/>
      </c>
      <c r="H122" s="190" t="str">
        <f>IFERROR(IF(E122="","",INDEX(Données_ATB!BD$3:BT$600,MATCH(E122,Medicament,0),17)),"Ce médicament n'est pas connu dans la base")</f>
        <v/>
      </c>
      <c r="I122" s="69" t="str">
        <f>IFERROR(IF(E122="","",INDEX(Données_ATB!BD$3:BL$600,MATCH(E122,Medicament,0),9)),"")</f>
        <v/>
      </c>
      <c r="J122" s="44" t="str">
        <f>IFERROR(IF(E122="","",INDEX(Données_ATB!BD$3:BP$5600,MATCH(E122,Medicament,0),13)),"")</f>
        <v/>
      </c>
      <c r="K122" s="161" t="str">
        <f>IF(COUNTIFS($B$31:B122,B122,$E$31:E122,E122,$C$31:C122,C122,$D$31:D122,D122)&gt;1,"DÉJÀ ENTRÉ",IF(AND(COUNTA(B122,C122,D122,E122,F122)&lt;5,COUNTA(B122,C122,D122,E122,F122)&gt;0),"Pensez à renseigner toutes les cases de la ligne !",IF(COUNTA(B122)=1,IF(COUNTBLANK(B122)&gt;=1,"Ne laissez pas de lignes vides. Écrivez sur la ligne supérieure.",""),"")))&amp;IF(G122="Non renseigné","Veuillez sélectionner de nouveau le nom dans la colonne Espèce traitée","")</f>
        <v/>
      </c>
      <c r="L122" s="31" t="str">
        <f>IF(E122="","",INDEX(Données_ATB!BD$3:BU$600,MATCH(E122,Medicament,0),18))</f>
        <v/>
      </c>
      <c r="M122" s="31" t="str">
        <f t="shared" si="9"/>
        <v/>
      </c>
      <c r="N122" s="31" t="str">
        <f t="shared" si="10"/>
        <v/>
      </c>
      <c r="O122" s="31" t="str">
        <f t="shared" si="11"/>
        <v/>
      </c>
      <c r="P122" s="31" t="str">
        <f t="shared" si="12"/>
        <v/>
      </c>
    </row>
    <row r="123" spans="2:16" x14ac:dyDescent="0.3">
      <c r="B123" s="155"/>
      <c r="C123" s="156"/>
      <c r="D123" s="156"/>
      <c r="E123" s="156"/>
      <c r="F123" s="182"/>
      <c r="G123" s="72" t="str">
        <f>IF(C123="","",IFERROR(INDEX(G$19:$L120,MATCH(C123,L$19:L$28,0),1),"Non renseigné"))</f>
        <v/>
      </c>
      <c r="H123" s="190" t="str">
        <f>IFERROR(IF(E123="","",INDEX(Données_ATB!BD$3:BT$600,MATCH(E123,Medicament,0),17)),"Ce médicament n'est pas connu dans la base")</f>
        <v/>
      </c>
      <c r="I123" s="69" t="str">
        <f>IFERROR(IF(E123="","",INDEX(Données_ATB!BD$3:BL$600,MATCH(E123,Medicament,0),9)),"")</f>
        <v/>
      </c>
      <c r="J123" s="44" t="str">
        <f>IFERROR(IF(E123="","",INDEX(Données_ATB!BD$3:BP$5600,MATCH(E123,Medicament,0),13)),"")</f>
        <v/>
      </c>
      <c r="K123" s="161" t="str">
        <f>IF(COUNTIFS($B$31:B123,B123,$E$31:E123,E123,$C$31:C123,C123,$D$31:D123,D123)&gt;1,"DÉJÀ ENTRÉ",IF(AND(COUNTA(B123,C123,D123,E123,F123)&lt;5,COUNTA(B123,C123,D123,E123,F123)&gt;0),"Pensez à renseigner toutes les cases de la ligne !",IF(COUNTA(B123)=1,IF(COUNTBLANK(B123)&gt;=1,"Ne laissez pas de lignes vides. Écrivez sur la ligne supérieure.",""),"")))&amp;IF(G123="Non renseigné","Veuillez sélectionner de nouveau le nom dans la colonne Espèce traitée","")</f>
        <v/>
      </c>
      <c r="L123" s="31" t="str">
        <f>IF(E123="","",INDEX(Données_ATB!BD$3:BU$600,MATCH(E123,Medicament,0),18))</f>
        <v/>
      </c>
      <c r="M123" s="31" t="str">
        <f t="shared" si="9"/>
        <v/>
      </c>
      <c r="N123" s="31" t="str">
        <f t="shared" si="10"/>
        <v/>
      </c>
      <c r="O123" s="31" t="str">
        <f t="shared" si="11"/>
        <v/>
      </c>
      <c r="P123" s="31" t="str">
        <f t="shared" si="12"/>
        <v/>
      </c>
    </row>
    <row r="124" spans="2:16" x14ac:dyDescent="0.3">
      <c r="B124" s="155"/>
      <c r="C124" s="156"/>
      <c r="D124" s="156"/>
      <c r="E124" s="156"/>
      <c r="F124" s="182"/>
      <c r="G124" s="72" t="str">
        <f>IF(C124="","",IFERROR(INDEX(G$19:$L121,MATCH(C124,L$19:L$28,0),1),"Non renseigné"))</f>
        <v/>
      </c>
      <c r="H124" s="190" t="str">
        <f>IFERROR(IF(E124="","",INDEX(Données_ATB!BD$3:BT$600,MATCH(E124,Medicament,0),17)),"Ce médicament n'est pas connu dans la base")</f>
        <v/>
      </c>
      <c r="I124" s="69" t="str">
        <f>IFERROR(IF(E124="","",INDEX(Données_ATB!BD$3:BL$600,MATCH(E124,Medicament,0),9)),"")</f>
        <v/>
      </c>
      <c r="J124" s="44" t="str">
        <f>IFERROR(IF(E124="","",INDEX(Données_ATB!BD$3:BP$5600,MATCH(E124,Medicament,0),13)),"")</f>
        <v/>
      </c>
      <c r="K124" s="161" t="str">
        <f>IF(COUNTIFS($B$31:B124,B124,$E$31:E124,E124,$C$31:C124,C124,$D$31:D124,D124)&gt;1,"DÉJÀ ENTRÉ",IF(AND(COUNTA(B124,C124,D124,E124,F124)&lt;5,COUNTA(B124,C124,D124,E124,F124)&gt;0),"Pensez à renseigner toutes les cases de la ligne !",IF(COUNTA(B124)=1,IF(COUNTBLANK(B124)&gt;=1,"Ne laissez pas de lignes vides. Écrivez sur la ligne supérieure.",""),"")))&amp;IF(G124="Non renseigné","Veuillez sélectionner de nouveau le nom dans la colonne Espèce traitée","")</f>
        <v/>
      </c>
      <c r="L124" s="31" t="str">
        <f>IF(E124="","",INDEX(Données_ATB!BD$3:BU$600,MATCH(E124,Medicament,0),18))</f>
        <v/>
      </c>
      <c r="M124" s="31" t="str">
        <f t="shared" si="9"/>
        <v/>
      </c>
      <c r="N124" s="31" t="str">
        <f t="shared" si="10"/>
        <v/>
      </c>
      <c r="O124" s="31" t="str">
        <f t="shared" si="11"/>
        <v/>
      </c>
      <c r="P124" s="31" t="str">
        <f t="shared" si="12"/>
        <v/>
      </c>
    </row>
    <row r="125" spans="2:16" x14ac:dyDescent="0.3">
      <c r="B125" s="155"/>
      <c r="C125" s="156"/>
      <c r="D125" s="156"/>
      <c r="E125" s="156"/>
      <c r="F125" s="182"/>
      <c r="G125" s="72" t="str">
        <f>IF(C125="","",IFERROR(INDEX(G$19:$L122,MATCH(C125,L$19:L$28,0),1),"Non renseigné"))</f>
        <v/>
      </c>
      <c r="H125" s="190" t="str">
        <f>IFERROR(IF(E125="","",INDEX(Données_ATB!BD$3:BT$600,MATCH(E125,Medicament,0),17)),"Ce médicament n'est pas connu dans la base")</f>
        <v/>
      </c>
      <c r="I125" s="69" t="str">
        <f>IFERROR(IF(E125="","",INDEX(Données_ATB!BD$3:BL$600,MATCH(E125,Medicament,0),9)),"")</f>
        <v/>
      </c>
      <c r="J125" s="44" t="str">
        <f>IFERROR(IF(E125="","",INDEX(Données_ATB!BD$3:BP$5600,MATCH(E125,Medicament,0),13)),"")</f>
        <v/>
      </c>
      <c r="K125" s="161" t="str">
        <f>IF(COUNTIFS($B$31:B125,B125,$E$31:E125,E125,$C$31:C125,C125,$D$31:D125,D125)&gt;1,"DÉJÀ ENTRÉ",IF(AND(COUNTA(B125,C125,D125,E125,F125)&lt;5,COUNTA(B125,C125,D125,E125,F125)&gt;0),"Pensez à renseigner toutes les cases de la ligne !",IF(COUNTA(B125)=1,IF(COUNTBLANK(B125)&gt;=1,"Ne laissez pas de lignes vides. Écrivez sur la ligne supérieure.",""),"")))&amp;IF(G125="Non renseigné","Veuillez sélectionner de nouveau le nom dans la colonne Espèce traitée","")</f>
        <v/>
      </c>
      <c r="L125" s="31" t="str">
        <f>IF(E125="","",INDEX(Données_ATB!BD$3:BU$600,MATCH(E125,Medicament,0),18))</f>
        <v/>
      </c>
      <c r="M125" s="31" t="str">
        <f t="shared" si="9"/>
        <v/>
      </c>
      <c r="N125" s="31" t="str">
        <f t="shared" si="10"/>
        <v/>
      </c>
      <c r="O125" s="31" t="str">
        <f t="shared" si="11"/>
        <v/>
      </c>
      <c r="P125" s="31" t="str">
        <f t="shared" si="12"/>
        <v/>
      </c>
    </row>
    <row r="126" spans="2:16" x14ac:dyDescent="0.3">
      <c r="B126" s="155"/>
      <c r="C126" s="156"/>
      <c r="D126" s="156"/>
      <c r="E126" s="156"/>
      <c r="F126" s="182"/>
      <c r="G126" s="72" t="str">
        <f>IF(C126="","",IFERROR(INDEX(G$19:$L123,MATCH(C126,L$19:L$28,0),1),"Non renseigné"))</f>
        <v/>
      </c>
      <c r="H126" s="190" t="str">
        <f>IFERROR(IF(E126="","",INDEX(Données_ATB!BD$3:BT$600,MATCH(E126,Medicament,0),17)),"Ce médicament n'est pas connu dans la base")</f>
        <v/>
      </c>
      <c r="I126" s="69" t="str">
        <f>IFERROR(IF(E126="","",INDEX(Données_ATB!BD$3:BL$600,MATCH(E126,Medicament,0),9)),"")</f>
        <v/>
      </c>
      <c r="J126" s="44" t="str">
        <f>IFERROR(IF(E126="","",INDEX(Données_ATB!BD$3:BP$5600,MATCH(E126,Medicament,0),13)),"")</f>
        <v/>
      </c>
      <c r="K126" s="161" t="str">
        <f>IF(COUNTIFS($B$31:B126,B126,$E$31:E126,E126,$C$31:C126,C126,$D$31:D126,D126)&gt;1,"DÉJÀ ENTRÉ",IF(AND(COUNTA(B126,C126,D126,E126,F126)&lt;5,COUNTA(B126,C126,D126,E126,F126)&gt;0),"Pensez à renseigner toutes les cases de la ligne !",IF(COUNTA(B126)=1,IF(COUNTBLANK(B126)&gt;=1,"Ne laissez pas de lignes vides. Écrivez sur la ligne supérieure.",""),"")))&amp;IF(G126="Non renseigné","Veuillez sélectionner de nouveau le nom dans la colonne Espèce traitée","")</f>
        <v/>
      </c>
      <c r="L126" s="31" t="str">
        <f>IF(E126="","",INDEX(Données_ATB!BD$3:BU$600,MATCH(E126,Medicament,0),18))</f>
        <v/>
      </c>
      <c r="M126" s="31" t="str">
        <f t="shared" si="9"/>
        <v/>
      </c>
      <c r="N126" s="31" t="str">
        <f t="shared" si="10"/>
        <v/>
      </c>
      <c r="O126" s="31" t="str">
        <f t="shared" si="11"/>
        <v/>
      </c>
      <c r="P126" s="31" t="str">
        <f t="shared" si="12"/>
        <v/>
      </c>
    </row>
    <row r="127" spans="2:16" x14ac:dyDescent="0.3">
      <c r="B127" s="155"/>
      <c r="C127" s="156"/>
      <c r="D127" s="156"/>
      <c r="E127" s="156"/>
      <c r="F127" s="182"/>
      <c r="G127" s="72" t="str">
        <f>IF(C127="","",IFERROR(INDEX(G$19:$L124,MATCH(C127,L$19:L$28,0),1),"Non renseigné"))</f>
        <v/>
      </c>
      <c r="H127" s="190" t="str">
        <f>IFERROR(IF(E127="","",INDEX(Données_ATB!BD$3:BT$600,MATCH(E127,Medicament,0),17)),"Ce médicament n'est pas connu dans la base")</f>
        <v/>
      </c>
      <c r="I127" s="69" t="str">
        <f>IFERROR(IF(E127="","",INDEX(Données_ATB!BD$3:BL$600,MATCH(E127,Medicament,0),9)),"")</f>
        <v/>
      </c>
      <c r="J127" s="44" t="str">
        <f>IFERROR(IF(E127="","",INDEX(Données_ATB!BD$3:BP$5600,MATCH(E127,Medicament,0),13)),"")</f>
        <v/>
      </c>
      <c r="K127" s="161" t="str">
        <f>IF(COUNTIFS($B$31:B127,B127,$E$31:E127,E127,$C$31:C127,C127,$D$31:D127,D127)&gt;1,"DÉJÀ ENTRÉ",IF(AND(COUNTA(B127,C127,D127,E127,F127)&lt;5,COUNTA(B127,C127,D127,E127,F127)&gt;0),"Pensez à renseigner toutes les cases de la ligne !",IF(COUNTA(B127)=1,IF(COUNTBLANK(B127)&gt;=1,"Ne laissez pas de lignes vides. Écrivez sur la ligne supérieure.",""),"")))&amp;IF(G127="Non renseigné","Veuillez sélectionner de nouveau le nom dans la colonne Espèce traitée","")</f>
        <v/>
      </c>
      <c r="L127" s="31" t="str">
        <f>IF(E127="","",INDEX(Données_ATB!BD$3:BU$600,MATCH(E127,Medicament,0),18))</f>
        <v/>
      </c>
      <c r="M127" s="31" t="str">
        <f t="shared" si="9"/>
        <v/>
      </c>
      <c r="N127" s="31" t="str">
        <f t="shared" si="10"/>
        <v/>
      </c>
      <c r="O127" s="31" t="str">
        <f t="shared" si="11"/>
        <v/>
      </c>
      <c r="P127" s="31" t="str">
        <f t="shared" si="12"/>
        <v/>
      </c>
    </row>
    <row r="128" spans="2:16" x14ac:dyDescent="0.3">
      <c r="B128" s="155"/>
      <c r="C128" s="156"/>
      <c r="D128" s="156"/>
      <c r="E128" s="156"/>
      <c r="F128" s="182"/>
      <c r="G128" s="72" t="str">
        <f>IF(C128="","",IFERROR(INDEX(G$19:$L125,MATCH(C128,L$19:L$28,0),1),"Non renseigné"))</f>
        <v/>
      </c>
      <c r="H128" s="190" t="str">
        <f>IFERROR(IF(E128="","",INDEX(Données_ATB!BD$3:BT$600,MATCH(E128,Medicament,0),17)),"Ce médicament n'est pas connu dans la base")</f>
        <v/>
      </c>
      <c r="I128" s="69" t="str">
        <f>IFERROR(IF(E128="","",INDEX(Données_ATB!BD$3:BL$600,MATCH(E128,Medicament,0),9)),"")</f>
        <v/>
      </c>
      <c r="J128" s="44" t="str">
        <f>IFERROR(IF(E128="","",INDEX(Données_ATB!BD$3:BP$5600,MATCH(E128,Medicament,0),13)),"")</f>
        <v/>
      </c>
      <c r="K128" s="161" t="str">
        <f>IF(COUNTIFS($B$31:B128,B128,$E$31:E128,E128,$C$31:C128,C128,$D$31:D128,D128)&gt;1,"DÉJÀ ENTRÉ",IF(AND(COUNTA(B128,C128,D128,E128,F128)&lt;5,COUNTA(B128,C128,D128,E128,F128)&gt;0),"Pensez à renseigner toutes les cases de la ligne !",IF(COUNTA(B128)=1,IF(COUNTBLANK(B128)&gt;=1,"Ne laissez pas de lignes vides. Écrivez sur la ligne supérieure.",""),"")))&amp;IF(G128="Non renseigné","Veuillez sélectionner de nouveau le nom dans la colonne Espèce traitée","")</f>
        <v/>
      </c>
      <c r="L128" s="31" t="str">
        <f>IF(E128="","",INDEX(Données_ATB!BD$3:BU$600,MATCH(E128,Medicament,0),18))</f>
        <v/>
      </c>
      <c r="M128" s="31" t="str">
        <f t="shared" si="9"/>
        <v/>
      </c>
      <c r="N128" s="31" t="str">
        <f t="shared" si="10"/>
        <v/>
      </c>
      <c r="O128" s="31" t="str">
        <f t="shared" si="11"/>
        <v/>
      </c>
      <c r="P128" s="31" t="str">
        <f t="shared" si="12"/>
        <v/>
      </c>
    </row>
    <row r="129" spans="2:16" x14ac:dyDescent="0.3">
      <c r="B129" s="155"/>
      <c r="C129" s="156"/>
      <c r="D129" s="156"/>
      <c r="E129" s="156"/>
      <c r="F129" s="182"/>
      <c r="G129" s="72" t="str">
        <f>IF(C129="","",IFERROR(INDEX(G$19:$L126,MATCH(C129,L$19:L$28,0),1),"Non renseigné"))</f>
        <v/>
      </c>
      <c r="H129" s="190" t="str">
        <f>IFERROR(IF(E129="","",INDEX(Données_ATB!BD$3:BT$600,MATCH(E129,Medicament,0),17)),"Ce médicament n'est pas connu dans la base")</f>
        <v/>
      </c>
      <c r="I129" s="69" t="str">
        <f>IFERROR(IF(E129="","",INDEX(Données_ATB!BD$3:BL$600,MATCH(E129,Medicament,0),9)),"")</f>
        <v/>
      </c>
      <c r="J129" s="44" t="str">
        <f>IFERROR(IF(E129="","",INDEX(Données_ATB!BD$3:BP$5600,MATCH(E129,Medicament,0),13)),"")</f>
        <v/>
      </c>
      <c r="K129" s="161" t="str">
        <f>IF(COUNTIFS($B$31:B129,B129,$E$31:E129,E129,$C$31:C129,C129,$D$31:D129,D129)&gt;1,"DÉJÀ ENTRÉ",IF(AND(COUNTA(B129,C129,D129,E129,F129)&lt;5,COUNTA(B129,C129,D129,E129,F129)&gt;0),"Pensez à renseigner toutes les cases de la ligne !",IF(COUNTA(B129)=1,IF(COUNTBLANK(B129)&gt;=1,"Ne laissez pas de lignes vides. Écrivez sur la ligne supérieure.",""),"")))&amp;IF(G129="Non renseigné","Veuillez sélectionner de nouveau le nom dans la colonne Espèce traitée","")</f>
        <v/>
      </c>
      <c r="L129" s="31" t="str">
        <f>IF(E129="","",INDEX(Données_ATB!BD$3:BU$600,MATCH(E129,Medicament,0),18))</f>
        <v/>
      </c>
      <c r="M129" s="31" t="str">
        <f t="shared" si="9"/>
        <v/>
      </c>
      <c r="N129" s="31" t="str">
        <f t="shared" si="10"/>
        <v/>
      </c>
      <c r="O129" s="31" t="str">
        <f t="shared" si="11"/>
        <v/>
      </c>
      <c r="P129" s="31" t="str">
        <f t="shared" si="12"/>
        <v/>
      </c>
    </row>
    <row r="130" spans="2:16" x14ac:dyDescent="0.3">
      <c r="B130" s="155"/>
      <c r="C130" s="156"/>
      <c r="D130" s="156"/>
      <c r="E130" s="156"/>
      <c r="F130" s="182"/>
      <c r="G130" s="72" t="str">
        <f>IF(C130="","",IFERROR(INDEX(G$19:$L127,MATCH(C130,L$19:L$28,0),1),"Non renseigné"))</f>
        <v/>
      </c>
      <c r="H130" s="190" t="str">
        <f>IFERROR(IF(E130="","",INDEX(Données_ATB!BD$3:BT$600,MATCH(E130,Medicament,0),17)),"Ce médicament n'est pas connu dans la base")</f>
        <v/>
      </c>
      <c r="I130" s="69" t="str">
        <f>IFERROR(IF(E130="","",INDEX(Données_ATB!BD$3:BL$600,MATCH(E130,Medicament,0),9)),"")</f>
        <v/>
      </c>
      <c r="J130" s="44" t="str">
        <f>IFERROR(IF(E130="","",INDEX(Données_ATB!BD$3:BP$5600,MATCH(E130,Medicament,0),13)),"")</f>
        <v/>
      </c>
      <c r="K130" s="161" t="str">
        <f>IF(COUNTIFS($B$31:B130,B130,$E$31:E130,E130,$C$31:C130,C130,$D$31:D130,D130)&gt;1,"DÉJÀ ENTRÉ",IF(AND(COUNTA(B130,C130,D130,E130,F130)&lt;5,COUNTA(B130,C130,D130,E130,F130)&gt;0),"Pensez à renseigner toutes les cases de la ligne !",IF(COUNTA(B130)=1,IF(COUNTBLANK(B130)&gt;=1,"Ne laissez pas de lignes vides. Écrivez sur la ligne supérieure.",""),"")))&amp;IF(G130="Non renseigné","Veuillez sélectionner de nouveau le nom dans la colonne Espèce traitée","")</f>
        <v/>
      </c>
      <c r="L130" s="31" t="str">
        <f>IF(E130="","",INDEX(Données_ATB!BD$3:BU$600,MATCH(E130,Medicament,0),18))</f>
        <v/>
      </c>
      <c r="M130" s="31" t="str">
        <f t="shared" si="9"/>
        <v/>
      </c>
      <c r="N130" s="31" t="str">
        <f t="shared" si="10"/>
        <v/>
      </c>
      <c r="O130" s="31" t="str">
        <f t="shared" si="11"/>
        <v/>
      </c>
      <c r="P130" s="31" t="str">
        <f t="shared" si="12"/>
        <v/>
      </c>
    </row>
    <row r="131" spans="2:16" x14ac:dyDescent="0.3">
      <c r="B131" s="155"/>
      <c r="C131" s="156"/>
      <c r="D131" s="156"/>
      <c r="E131" s="156"/>
      <c r="F131" s="182"/>
      <c r="G131" s="72" t="str">
        <f>IF(C131="","",IFERROR(INDEX(G$19:$L128,MATCH(C131,L$19:L$28,0),1),"Non renseigné"))</f>
        <v/>
      </c>
      <c r="H131" s="190" t="str">
        <f>IFERROR(IF(E131="","",INDEX(Données_ATB!BD$3:BT$600,MATCH(E131,Medicament,0),17)),"Ce médicament n'est pas connu dans la base")</f>
        <v/>
      </c>
      <c r="I131" s="69" t="str">
        <f>IFERROR(IF(E131="","",INDEX(Données_ATB!BD$3:BL$600,MATCH(E131,Medicament,0),9)),"")</f>
        <v/>
      </c>
      <c r="J131" s="44" t="str">
        <f>IFERROR(IF(E131="","",INDEX(Données_ATB!BD$3:BP$5600,MATCH(E131,Medicament,0),13)),"")</f>
        <v/>
      </c>
      <c r="K131" s="161" t="str">
        <f>IF(COUNTIFS($B$31:B131,B131,$E$31:E131,E131,$C$31:C131,C131,$D$31:D131,D131)&gt;1,"DÉJÀ ENTRÉ",IF(AND(COUNTA(B131,C131,D131,E131,F131)&lt;5,COUNTA(B131,C131,D131,E131,F131)&gt;0),"Pensez à renseigner toutes les cases de la ligne !",IF(COUNTA(B131)=1,IF(COUNTBLANK(B131)&gt;=1,"Ne laissez pas de lignes vides. Écrivez sur la ligne supérieure.",""),"")))&amp;IF(G131="Non renseigné","Veuillez sélectionner de nouveau le nom dans la colonne Espèce traitée","")</f>
        <v/>
      </c>
      <c r="L131" s="31" t="str">
        <f>IF(E131="","",INDEX(Données_ATB!BD$3:BU$600,MATCH(E131,Medicament,0),18))</f>
        <v/>
      </c>
      <c r="M131" s="31" t="str">
        <f t="shared" si="9"/>
        <v/>
      </c>
      <c r="N131" s="31" t="str">
        <f t="shared" si="10"/>
        <v/>
      </c>
      <c r="O131" s="31" t="str">
        <f t="shared" si="11"/>
        <v/>
      </c>
      <c r="P131" s="31" t="str">
        <f t="shared" si="12"/>
        <v/>
      </c>
    </row>
    <row r="132" spans="2:16" x14ac:dyDescent="0.3">
      <c r="B132" s="155"/>
      <c r="C132" s="156"/>
      <c r="D132" s="156"/>
      <c r="E132" s="156"/>
      <c r="F132" s="182"/>
      <c r="G132" s="72" t="str">
        <f>IF(C132="","",IFERROR(INDEX(G$19:$L129,MATCH(C132,L$19:L$28,0),1),"Non renseigné"))</f>
        <v/>
      </c>
      <c r="H132" s="190" t="str">
        <f>IFERROR(IF(E132="","",INDEX(Données_ATB!BD$3:BT$600,MATCH(E132,Medicament,0),17)),"Ce médicament n'est pas connu dans la base")</f>
        <v/>
      </c>
      <c r="I132" s="69" t="str">
        <f>IFERROR(IF(E132="","",INDEX(Données_ATB!BD$3:BL$600,MATCH(E132,Medicament,0),9)),"")</f>
        <v/>
      </c>
      <c r="J132" s="44" t="str">
        <f>IFERROR(IF(E132="","",INDEX(Données_ATB!BD$3:BP$5600,MATCH(E132,Medicament,0),13)),"")</f>
        <v/>
      </c>
      <c r="K132" s="161" t="str">
        <f>IF(COUNTIFS($B$31:B132,B132,$E$31:E132,E132,$C$31:C132,C132,$D$31:D132,D132)&gt;1,"DÉJÀ ENTRÉ",IF(AND(COUNTA(B132,C132,D132,E132,F132)&lt;5,COUNTA(B132,C132,D132,E132,F132)&gt;0),"Pensez à renseigner toutes les cases de la ligne !",IF(COUNTA(B132)=1,IF(COUNTBLANK(B132)&gt;=1,"Ne laissez pas de lignes vides. Écrivez sur la ligne supérieure.",""),"")))&amp;IF(G132="Non renseigné","Veuillez sélectionner de nouveau le nom dans la colonne Espèce traitée","")</f>
        <v/>
      </c>
      <c r="L132" s="31" t="str">
        <f>IF(E132="","",INDEX(Données_ATB!BD$3:BU$600,MATCH(E132,Medicament,0),18))</f>
        <v/>
      </c>
      <c r="M132" s="31" t="str">
        <f t="shared" si="9"/>
        <v/>
      </c>
      <c r="N132" s="31" t="str">
        <f t="shared" si="10"/>
        <v/>
      </c>
      <c r="O132" s="31" t="str">
        <f t="shared" si="11"/>
        <v/>
      </c>
      <c r="P132" s="31" t="str">
        <f t="shared" si="12"/>
        <v/>
      </c>
    </row>
    <row r="133" spans="2:16" x14ac:dyDescent="0.3">
      <c r="B133" s="155"/>
      <c r="C133" s="156"/>
      <c r="D133" s="156"/>
      <c r="E133" s="156"/>
      <c r="F133" s="182"/>
      <c r="G133" s="72" t="str">
        <f>IF(C133="","",IFERROR(INDEX(G$19:$L130,MATCH(C133,L$19:L$28,0),1),"Non renseigné"))</f>
        <v/>
      </c>
      <c r="H133" s="190" t="str">
        <f>IFERROR(IF(E133="","",INDEX(Données_ATB!BD$3:BT$600,MATCH(E133,Medicament,0),17)),"Ce médicament n'est pas connu dans la base")</f>
        <v/>
      </c>
      <c r="I133" s="69" t="str">
        <f>IFERROR(IF(E133="","",INDEX(Données_ATB!BD$3:BL$600,MATCH(E133,Medicament,0),9)),"")</f>
        <v/>
      </c>
      <c r="J133" s="44" t="str">
        <f>IFERROR(IF(E133="","",INDEX(Données_ATB!BD$3:BP$5600,MATCH(E133,Medicament,0),13)),"")</f>
        <v/>
      </c>
      <c r="K133" s="161" t="str">
        <f>IF(COUNTIFS($B$31:B133,B133,$E$31:E133,E133,$C$31:C133,C133,$D$31:D133,D133)&gt;1,"DÉJÀ ENTRÉ",IF(AND(COUNTA(B133,C133,D133,E133,F133)&lt;5,COUNTA(B133,C133,D133,E133,F133)&gt;0),"Pensez à renseigner toutes les cases de la ligne !",IF(COUNTA(B133)=1,IF(COUNTBLANK(B133)&gt;=1,"Ne laissez pas de lignes vides. Écrivez sur la ligne supérieure.",""),"")))&amp;IF(G133="Non renseigné","Veuillez sélectionner de nouveau le nom dans la colonne Espèce traitée","")</f>
        <v/>
      </c>
      <c r="L133" s="31" t="str">
        <f>IF(E133="","",INDEX(Données_ATB!BD$3:BU$600,MATCH(E133,Medicament,0),18))</f>
        <v/>
      </c>
      <c r="M133" s="31" t="str">
        <f t="shared" si="9"/>
        <v/>
      </c>
      <c r="N133" s="31" t="str">
        <f t="shared" si="10"/>
        <v/>
      </c>
      <c r="O133" s="31" t="str">
        <f t="shared" si="11"/>
        <v/>
      </c>
      <c r="P133" s="31" t="str">
        <f t="shared" si="12"/>
        <v/>
      </c>
    </row>
    <row r="134" spans="2:16" x14ac:dyDescent="0.3">
      <c r="B134" s="155"/>
      <c r="C134" s="156"/>
      <c r="D134" s="156"/>
      <c r="E134" s="156"/>
      <c r="F134" s="182"/>
      <c r="G134" s="72" t="str">
        <f>IF(C134="","",IFERROR(INDEX(G$19:$L131,MATCH(C134,L$19:L$28,0),1),"Non renseigné"))</f>
        <v/>
      </c>
      <c r="H134" s="190" t="str">
        <f>IFERROR(IF(E134="","",INDEX(Données_ATB!BD$3:BT$600,MATCH(E134,Medicament,0),17)),"Ce médicament n'est pas connu dans la base")</f>
        <v/>
      </c>
      <c r="I134" s="69" t="str">
        <f>IFERROR(IF(E134="","",INDEX(Données_ATB!BD$3:BL$600,MATCH(E134,Medicament,0),9)),"")</f>
        <v/>
      </c>
      <c r="J134" s="44" t="str">
        <f>IFERROR(IF(E134="","",INDEX(Données_ATB!BD$3:BP$5600,MATCH(E134,Medicament,0),13)),"")</f>
        <v/>
      </c>
      <c r="K134" s="161" t="str">
        <f>IF(COUNTIFS($B$31:B134,B134,$E$31:E134,E134,$C$31:C134,C134,$D$31:D134,D134)&gt;1,"DÉJÀ ENTRÉ",IF(AND(COUNTA(B134,C134,D134,E134,F134)&lt;5,COUNTA(B134,C134,D134,E134,F134)&gt;0),"Pensez à renseigner toutes les cases de la ligne !",IF(COUNTA(B134)=1,IF(COUNTBLANK(B134)&gt;=1,"Ne laissez pas de lignes vides. Écrivez sur la ligne supérieure.",""),"")))&amp;IF(G134="Non renseigné","Veuillez sélectionner de nouveau le nom dans la colonne Espèce traitée","")</f>
        <v/>
      </c>
      <c r="L134" s="31" t="str">
        <f>IF(E134="","",INDEX(Données_ATB!BD$3:BU$600,MATCH(E134,Medicament,0),18))</f>
        <v/>
      </c>
      <c r="M134" s="31" t="str">
        <f t="shared" si="9"/>
        <v/>
      </c>
      <c r="N134" s="31" t="str">
        <f t="shared" si="10"/>
        <v/>
      </c>
      <c r="O134" s="31" t="str">
        <f t="shared" si="11"/>
        <v/>
      </c>
      <c r="P134" s="31" t="str">
        <f t="shared" si="12"/>
        <v/>
      </c>
    </row>
    <row r="135" spans="2:16" s="8" customFormat="1" ht="13.8" x14ac:dyDescent="0.25">
      <c r="B135" s="155"/>
      <c r="C135" s="156"/>
      <c r="D135" s="156"/>
      <c r="E135" s="156"/>
      <c r="F135" s="182"/>
      <c r="G135" s="72" t="str">
        <f>IF(C135="","",IFERROR(INDEX(G$19:$L132,MATCH(C135,L$19:L$28,0),1),"Non renseigné"))</f>
        <v/>
      </c>
      <c r="H135" s="190" t="str">
        <f>IFERROR(IF(E135="","",INDEX(Données_ATB!BD$3:BT$600,MATCH(E135,Medicament,0),17)),"Ce médicament n'est pas connu dans la base")</f>
        <v/>
      </c>
      <c r="I135" s="69" t="str">
        <f>IFERROR(IF(E135="","",INDEX(Données_ATB!BD$3:BL$600,MATCH(E135,Medicament,0),9)),"")</f>
        <v/>
      </c>
      <c r="J135" s="44" t="str">
        <f>IFERROR(IF(E135="","",INDEX(Données_ATB!BD$3:BP$5600,MATCH(E135,Medicament,0),13)),"")</f>
        <v/>
      </c>
      <c r="K135" s="161" t="str">
        <f>IF(COUNTIFS($B$31:B135,B135,$E$31:E135,E135,$C$31:C135,C135,$D$31:D135,D135)&gt;1,"DÉJÀ ENTRÉ",IF(AND(COUNTA(B135,C135,D135,E135,F135)&lt;5,COUNTA(B135,C135,D135,E135,F135)&gt;0),"Pensez à renseigner toutes les cases de la ligne !",IF(COUNTA(B135)=1,IF(COUNTBLANK(B135)&gt;=1,"Ne laissez pas de lignes vides. Écrivez sur la ligne supérieure.",""),"")))&amp;IF(G135="Non renseigné","Veuillez sélectionner de nouveau le nom dans la colonne Espèce traitée","")</f>
        <v/>
      </c>
      <c r="L135" s="31" t="str">
        <f>IF(E135="","",INDEX(Données_ATB!BD$3:BU$600,MATCH(E135,Medicament,0),18))</f>
        <v/>
      </c>
      <c r="M135" s="31" t="str">
        <f t="shared" si="9"/>
        <v/>
      </c>
      <c r="N135" s="31" t="str">
        <f t="shared" si="10"/>
        <v/>
      </c>
      <c r="O135" s="31" t="str">
        <f t="shared" si="11"/>
        <v/>
      </c>
      <c r="P135" s="31" t="str">
        <f t="shared" si="12"/>
        <v/>
      </c>
    </row>
    <row r="136" spans="2:16" s="8" customFormat="1" ht="13.8" x14ac:dyDescent="0.25">
      <c r="B136" s="155"/>
      <c r="C136" s="156"/>
      <c r="D136" s="156"/>
      <c r="E136" s="156"/>
      <c r="F136" s="182"/>
      <c r="G136" s="72" t="str">
        <f>IF(C136="","",IFERROR(INDEX(G$19:$L133,MATCH(C136,L$19:L$28,0),1),"Non renseigné"))</f>
        <v/>
      </c>
      <c r="H136" s="190" t="str">
        <f>IFERROR(IF(E136="","",INDEX(Données_ATB!BD$3:BT$600,MATCH(E136,Medicament,0),17)),"Ce médicament n'est pas connu dans la base")</f>
        <v/>
      </c>
      <c r="I136" s="69" t="str">
        <f>IFERROR(IF(E136="","",INDEX(Données_ATB!BD$3:BL$600,MATCH(E136,Medicament,0),9)),"")</f>
        <v/>
      </c>
      <c r="J136" s="44" t="str">
        <f>IFERROR(IF(E136="","",INDEX(Données_ATB!BD$3:BP$5600,MATCH(E136,Medicament,0),13)),"")</f>
        <v/>
      </c>
      <c r="K136" s="161" t="str">
        <f>IF(COUNTIFS($B$31:B136,B136,$E$31:E136,E136,$C$31:C136,C136,$D$31:D136,D136)&gt;1,"DÉJÀ ENTRÉ",IF(AND(COUNTA(B136,C136,D136,E136,F136)&lt;5,COUNTA(B136,C136,D136,E136,F136)&gt;0),"Pensez à renseigner toutes les cases de la ligne !",IF(COUNTA(B136)=1,IF(COUNTBLANK(B136)&gt;=1,"Ne laissez pas de lignes vides. Écrivez sur la ligne supérieure.",""),"")))&amp;IF(G136="Non renseigné","Veuillez sélectionner de nouveau le nom dans la colonne Espèce traitée","")</f>
        <v/>
      </c>
      <c r="L136" s="31" t="str">
        <f>IF(E136="","",INDEX(Données_ATB!BD$3:BU$600,MATCH(E136,Medicament,0),18))</f>
        <v/>
      </c>
      <c r="M136" s="31" t="str">
        <f t="shared" si="9"/>
        <v/>
      </c>
      <c r="N136" s="31" t="str">
        <f t="shared" si="10"/>
        <v/>
      </c>
      <c r="O136" s="31" t="str">
        <f t="shared" si="11"/>
        <v/>
      </c>
      <c r="P136" s="31" t="str">
        <f t="shared" si="12"/>
        <v/>
      </c>
    </row>
    <row r="137" spans="2:16" s="8" customFormat="1" ht="13.8" x14ac:dyDescent="0.25">
      <c r="B137" s="155"/>
      <c r="C137" s="156"/>
      <c r="D137" s="156"/>
      <c r="E137" s="156"/>
      <c r="F137" s="182"/>
      <c r="G137" s="72" t="str">
        <f>IF(C137="","",IFERROR(INDEX(G$19:$L134,MATCH(C137,L$19:L$28,0),1),"Non renseigné"))</f>
        <v/>
      </c>
      <c r="H137" s="190" t="str">
        <f>IFERROR(IF(E137="","",INDEX(Données_ATB!BD$3:BT$600,MATCH(E137,Medicament,0),17)),"Ce médicament n'est pas connu dans la base")</f>
        <v/>
      </c>
      <c r="I137" s="69" t="str">
        <f>IFERROR(IF(E137="","",INDEX(Données_ATB!BD$3:BL$600,MATCH(E137,Medicament,0),9)),"")</f>
        <v/>
      </c>
      <c r="J137" s="44" t="str">
        <f>IFERROR(IF(E137="","",INDEX(Données_ATB!BD$3:BP$5600,MATCH(E137,Medicament,0),13)),"")</f>
        <v/>
      </c>
      <c r="K137" s="161" t="str">
        <f>IF(COUNTIFS($B$31:B137,B137,$E$31:E137,E137,$C$31:C137,C137,$D$31:D137,D137)&gt;1,"DÉJÀ ENTRÉ",IF(AND(COUNTA(B137,C137,D137,E137,F137)&lt;5,COUNTA(B137,C137,D137,E137,F137)&gt;0),"Pensez à renseigner toutes les cases de la ligne !",IF(COUNTA(B137)=1,IF(COUNTBLANK(B137)&gt;=1,"Ne laissez pas de lignes vides. Écrivez sur la ligne supérieure.",""),"")))&amp;IF(G137="Non renseigné","Veuillez sélectionner de nouveau le nom dans la colonne Espèce traitée","")</f>
        <v/>
      </c>
      <c r="L137" s="31" t="str">
        <f>IF(E137="","",INDEX(Données_ATB!BD$3:BU$600,MATCH(E137,Medicament,0),18))</f>
        <v/>
      </c>
      <c r="M137" s="31" t="str">
        <f t="shared" si="9"/>
        <v/>
      </c>
      <c r="N137" s="31" t="str">
        <f t="shared" si="10"/>
        <v/>
      </c>
      <c r="O137" s="31" t="str">
        <f t="shared" si="11"/>
        <v/>
      </c>
      <c r="P137" s="31" t="str">
        <f t="shared" si="12"/>
        <v/>
      </c>
    </row>
    <row r="138" spans="2:16" s="8" customFormat="1" ht="13.8" x14ac:dyDescent="0.25">
      <c r="B138" s="155"/>
      <c r="C138" s="156"/>
      <c r="D138" s="156"/>
      <c r="E138" s="156"/>
      <c r="F138" s="182"/>
      <c r="G138" s="72" t="str">
        <f>IF(C138="","",IFERROR(INDEX(G$19:$L135,MATCH(C138,L$19:L$28,0),1),"Non renseigné"))</f>
        <v/>
      </c>
      <c r="H138" s="190" t="str">
        <f>IFERROR(IF(E138="","",INDEX(Données_ATB!BD$3:BT$600,MATCH(E138,Medicament,0),17)),"Ce médicament n'est pas connu dans la base")</f>
        <v/>
      </c>
      <c r="I138" s="69" t="str">
        <f>IFERROR(IF(E138="","",INDEX(Données_ATB!BD$3:BL$600,MATCH(E138,Medicament,0),9)),"")</f>
        <v/>
      </c>
      <c r="J138" s="44" t="str">
        <f>IFERROR(IF(E138="","",INDEX(Données_ATB!BD$3:BP$5600,MATCH(E138,Medicament,0),13)),"")</f>
        <v/>
      </c>
      <c r="K138" s="161" t="str">
        <f>IF(COUNTIFS($B$31:B138,B138,$E$31:E138,E138,$C$31:C138,C138,$D$31:D138,D138)&gt;1,"DÉJÀ ENTRÉ",IF(AND(COUNTA(B138,C138,D138,E138,F138)&lt;5,COUNTA(B138,C138,D138,E138,F138)&gt;0),"Pensez à renseigner toutes les cases de la ligne !",IF(COUNTA(B138)=1,IF(COUNTBLANK(B138)&gt;=1,"Ne laissez pas de lignes vides. Écrivez sur la ligne supérieure.",""),"")))&amp;IF(G138="Non renseigné","Veuillez sélectionner de nouveau le nom dans la colonne Espèce traitée","")</f>
        <v/>
      </c>
      <c r="L138" s="31" t="str">
        <f>IF(E138="","",INDEX(Données_ATB!BD$3:BU$600,MATCH(E138,Medicament,0),18))</f>
        <v/>
      </c>
      <c r="M138" s="31" t="str">
        <f t="shared" si="9"/>
        <v/>
      </c>
      <c r="N138" s="31" t="str">
        <f t="shared" si="10"/>
        <v/>
      </c>
      <c r="O138" s="31" t="str">
        <f t="shared" si="11"/>
        <v/>
      </c>
      <c r="P138" s="31" t="str">
        <f t="shared" si="12"/>
        <v/>
      </c>
    </row>
    <row r="139" spans="2:16" s="8" customFormat="1" ht="13.8" x14ac:dyDescent="0.25">
      <c r="B139" s="155"/>
      <c r="C139" s="156"/>
      <c r="D139" s="156"/>
      <c r="E139" s="156"/>
      <c r="F139" s="182"/>
      <c r="G139" s="72" t="str">
        <f>IF(C139="","",IFERROR(INDEX(G$19:$L136,MATCH(C139,L$19:L$28,0),1),"Non renseigné"))</f>
        <v/>
      </c>
      <c r="H139" s="190" t="str">
        <f>IFERROR(IF(E139="","",INDEX(Données_ATB!BD$3:BT$600,MATCH(E139,Medicament,0),17)),"Ce médicament n'est pas connu dans la base")</f>
        <v/>
      </c>
      <c r="I139" s="69" t="str">
        <f>IFERROR(IF(E139="","",INDEX(Données_ATB!BD$3:BL$600,MATCH(E139,Medicament,0),9)),"")</f>
        <v/>
      </c>
      <c r="J139" s="44" t="str">
        <f>IFERROR(IF(E139="","",INDEX(Données_ATB!BD$3:BP$5600,MATCH(E139,Medicament,0),13)),"")</f>
        <v/>
      </c>
      <c r="K139" s="161" t="str">
        <f>IF(COUNTIFS($B$31:B139,B139,$E$31:E139,E139,$C$31:C139,C139,$D$31:D139,D139)&gt;1,"DÉJÀ ENTRÉ",IF(AND(COUNTA(B139,C139,D139,E139,F139)&lt;5,COUNTA(B139,C139,D139,E139,F139)&gt;0),"Pensez à renseigner toutes les cases de la ligne !",IF(COUNTA(B139)=1,IF(COUNTBLANK(B139)&gt;=1,"Ne laissez pas de lignes vides. Écrivez sur la ligne supérieure.",""),"")))&amp;IF(G139="Non renseigné","Veuillez sélectionner de nouveau le nom dans la colonne Espèce traitée","")</f>
        <v/>
      </c>
      <c r="L139" s="31" t="str">
        <f>IF(E139="","",INDEX(Données_ATB!BD$3:BU$600,MATCH(E139,Medicament,0),18))</f>
        <v/>
      </c>
      <c r="M139" s="31" t="str">
        <f t="shared" si="9"/>
        <v/>
      </c>
      <c r="N139" s="31" t="str">
        <f t="shared" si="10"/>
        <v/>
      </c>
      <c r="O139" s="31" t="str">
        <f t="shared" si="11"/>
        <v/>
      </c>
      <c r="P139" s="31" t="str">
        <f t="shared" si="12"/>
        <v/>
      </c>
    </row>
    <row r="140" spans="2:16" s="8" customFormat="1" ht="13.8" x14ac:dyDescent="0.25">
      <c r="B140" s="155"/>
      <c r="C140" s="156"/>
      <c r="D140" s="156"/>
      <c r="E140" s="156"/>
      <c r="F140" s="182"/>
      <c r="G140" s="72" t="str">
        <f>IF(C140="","",IFERROR(INDEX(G$19:$L137,MATCH(C140,L$19:L$28,0),1),"Non renseigné"))</f>
        <v/>
      </c>
      <c r="H140" s="190" t="str">
        <f>IFERROR(IF(E140="","",INDEX(Données_ATB!BD$3:BT$600,MATCH(E140,Medicament,0),17)),"Ce médicament n'est pas connu dans la base")</f>
        <v/>
      </c>
      <c r="I140" s="69" t="str">
        <f>IFERROR(IF(E140="","",INDEX(Données_ATB!BD$3:BL$600,MATCH(E140,Medicament,0),9)),"")</f>
        <v/>
      </c>
      <c r="J140" s="44" t="str">
        <f>IFERROR(IF(E140="","",INDEX(Données_ATB!BD$3:BP$5600,MATCH(E140,Medicament,0),13)),"")</f>
        <v/>
      </c>
      <c r="K140" s="161" t="str">
        <f>IF(COUNTIFS($B$31:B140,B140,$E$31:E140,E140,$C$31:C140,C140,$D$31:D140,D140)&gt;1,"DÉJÀ ENTRÉ",IF(AND(COUNTA(B140,C140,D140,E140,F140)&lt;5,COUNTA(B140,C140,D140,E140,F140)&gt;0),"Pensez à renseigner toutes les cases de la ligne !",IF(COUNTA(B140)=1,IF(COUNTBLANK(B140)&gt;=1,"Ne laissez pas de lignes vides. Écrivez sur la ligne supérieure.",""),"")))&amp;IF(G140="Non renseigné","Veuillez sélectionner de nouveau le nom dans la colonne Espèce traitée","")</f>
        <v/>
      </c>
      <c r="L140" s="31" t="str">
        <f>IF(E140="","",INDEX(Données_ATB!BD$3:BU$600,MATCH(E140,Medicament,0),18))</f>
        <v/>
      </c>
      <c r="M140" s="31" t="str">
        <f t="shared" si="9"/>
        <v/>
      </c>
      <c r="N140" s="31" t="str">
        <f t="shared" si="10"/>
        <v/>
      </c>
      <c r="O140" s="31" t="str">
        <f t="shared" si="11"/>
        <v/>
      </c>
      <c r="P140" s="31" t="str">
        <f t="shared" si="12"/>
        <v/>
      </c>
    </row>
    <row r="141" spans="2:16" s="8" customFormat="1" ht="13.8" x14ac:dyDescent="0.25">
      <c r="B141" s="155"/>
      <c r="C141" s="156"/>
      <c r="D141" s="156"/>
      <c r="E141" s="156"/>
      <c r="F141" s="182"/>
      <c r="G141" s="72" t="str">
        <f>IF(C141="","",IFERROR(INDEX(G$19:$L138,MATCH(C141,L$19:L$28,0),1),"Non renseigné"))</f>
        <v/>
      </c>
      <c r="H141" s="190" t="str">
        <f>IFERROR(IF(E141="","",INDEX(Données_ATB!BD$3:BT$600,MATCH(E141,Medicament,0),17)),"Ce médicament n'est pas connu dans la base")</f>
        <v/>
      </c>
      <c r="I141" s="69" t="str">
        <f>IFERROR(IF(E141="","",INDEX(Données_ATB!BD$3:BL$600,MATCH(E141,Medicament,0),9)),"")</f>
        <v/>
      </c>
      <c r="J141" s="44" t="str">
        <f>IFERROR(IF(E141="","",INDEX(Données_ATB!BD$3:BP$5600,MATCH(E141,Medicament,0),13)),"")</f>
        <v/>
      </c>
      <c r="K141" s="161" t="str">
        <f>IF(COUNTIFS($B$31:B141,B141,$E$31:E141,E141,$C$31:C141,C141,$D$31:D141,D141)&gt;1,"DÉJÀ ENTRÉ",IF(AND(COUNTA(B141,C141,D141,E141,F141)&lt;5,COUNTA(B141,C141,D141,E141,F141)&gt;0),"Pensez à renseigner toutes les cases de la ligne !",IF(COUNTA(B141)=1,IF(COUNTBLANK(B141)&gt;=1,"Ne laissez pas de lignes vides. Écrivez sur la ligne supérieure.",""),"")))&amp;IF(G141="Non renseigné","Veuillez sélectionner de nouveau le nom dans la colonne Espèce traitée","")</f>
        <v/>
      </c>
      <c r="L141" s="31" t="str">
        <f>IF(E141="","",INDEX(Données_ATB!BD$3:BU$600,MATCH(E141,Medicament,0),18))</f>
        <v/>
      </c>
      <c r="M141" s="31" t="str">
        <f t="shared" si="9"/>
        <v/>
      </c>
      <c r="N141" s="31" t="str">
        <f t="shared" si="10"/>
        <v/>
      </c>
      <c r="O141" s="31" t="str">
        <f t="shared" si="11"/>
        <v/>
      </c>
      <c r="P141" s="31" t="str">
        <f t="shared" si="12"/>
        <v/>
      </c>
    </row>
    <row r="142" spans="2:16" s="8" customFormat="1" ht="13.8" x14ac:dyDescent="0.25">
      <c r="B142" s="155"/>
      <c r="C142" s="156"/>
      <c r="D142" s="156"/>
      <c r="E142" s="156"/>
      <c r="F142" s="182"/>
      <c r="G142" s="72" t="str">
        <f>IF(C142="","",IFERROR(INDEX(G$19:$L139,MATCH(C142,L$19:L$28,0),1),"Non renseigné"))</f>
        <v/>
      </c>
      <c r="H142" s="190" t="str">
        <f>IFERROR(IF(E142="","",INDEX(Données_ATB!BD$3:BT$600,MATCH(E142,Medicament,0),17)),"Ce médicament n'est pas connu dans la base")</f>
        <v/>
      </c>
      <c r="I142" s="69" t="str">
        <f>IFERROR(IF(E142="","",INDEX(Données_ATB!BD$3:BL$600,MATCH(E142,Medicament,0),9)),"")</f>
        <v/>
      </c>
      <c r="J142" s="44" t="str">
        <f>IFERROR(IF(E142="","",INDEX(Données_ATB!BD$3:BP$5600,MATCH(E142,Medicament,0),13)),"")</f>
        <v/>
      </c>
      <c r="K142" s="161" t="str">
        <f>IF(COUNTIFS($B$31:B142,B142,$E$31:E142,E142,$C$31:C142,C142,$D$31:D142,D142)&gt;1,"DÉJÀ ENTRÉ",IF(AND(COUNTA(B142,C142,D142,E142,F142)&lt;5,COUNTA(B142,C142,D142,E142,F142)&gt;0),"Pensez à renseigner toutes les cases de la ligne !",IF(COUNTA(B142)=1,IF(COUNTBLANK(B142)&gt;=1,"Ne laissez pas de lignes vides. Écrivez sur la ligne supérieure.",""),"")))&amp;IF(G142="Non renseigné","Veuillez sélectionner de nouveau le nom dans la colonne Espèce traitée","")</f>
        <v/>
      </c>
      <c r="L142" s="31" t="str">
        <f>IF(E142="","",INDEX(Données_ATB!BD$3:BU$600,MATCH(E142,Medicament,0),18))</f>
        <v/>
      </c>
      <c r="M142" s="31" t="str">
        <f t="shared" si="9"/>
        <v/>
      </c>
      <c r="N142" s="31" t="str">
        <f t="shared" si="10"/>
        <v/>
      </c>
      <c r="O142" s="31" t="str">
        <f t="shared" si="11"/>
        <v/>
      </c>
      <c r="P142" s="31" t="str">
        <f t="shared" si="12"/>
        <v/>
      </c>
    </row>
    <row r="143" spans="2:16" s="8" customFormat="1" ht="13.8" x14ac:dyDescent="0.25">
      <c r="B143" s="155"/>
      <c r="C143" s="156"/>
      <c r="D143" s="156"/>
      <c r="E143" s="156"/>
      <c r="F143" s="182"/>
      <c r="G143" s="72" t="str">
        <f>IF(C143="","",IFERROR(INDEX(G$19:$L140,MATCH(C143,L$19:L$28,0),1),"Non renseigné"))</f>
        <v/>
      </c>
      <c r="H143" s="190" t="str">
        <f>IFERROR(IF(E143="","",INDEX(Données_ATB!BD$3:BT$600,MATCH(E143,Medicament,0),17)),"Ce médicament n'est pas connu dans la base")</f>
        <v/>
      </c>
      <c r="I143" s="69" t="str">
        <f>IFERROR(IF(E143="","",INDEX(Données_ATB!BD$3:BL$600,MATCH(E143,Medicament,0),9)),"")</f>
        <v/>
      </c>
      <c r="J143" s="44" t="str">
        <f>IFERROR(IF(E143="","",INDEX(Données_ATB!BD$3:BP$5600,MATCH(E143,Medicament,0),13)),"")</f>
        <v/>
      </c>
      <c r="K143" s="161" t="str">
        <f>IF(COUNTIFS($B$31:B143,B143,$E$31:E143,E143,$C$31:C143,C143,$D$31:D143,D143)&gt;1,"DÉJÀ ENTRÉ",IF(AND(COUNTA(B143,C143,D143,E143,F143)&lt;5,COUNTA(B143,C143,D143,E143,F143)&gt;0),"Pensez à renseigner toutes les cases de la ligne !",IF(COUNTA(B143)=1,IF(COUNTBLANK(B143)&gt;=1,"Ne laissez pas de lignes vides. Écrivez sur la ligne supérieure.",""),"")))&amp;IF(G143="Non renseigné","Veuillez sélectionner de nouveau le nom dans la colonne Espèce traitée","")</f>
        <v/>
      </c>
      <c r="L143" s="31" t="str">
        <f>IF(E143="","",INDEX(Données_ATB!BD$3:BU$600,MATCH(E143,Medicament,0),18))</f>
        <v/>
      </c>
      <c r="M143" s="31" t="str">
        <f t="shared" si="9"/>
        <v/>
      </c>
      <c r="N143" s="31" t="str">
        <f t="shared" si="10"/>
        <v/>
      </c>
      <c r="O143" s="31" t="str">
        <f t="shared" si="11"/>
        <v/>
      </c>
      <c r="P143" s="31" t="str">
        <f t="shared" si="12"/>
        <v/>
      </c>
    </row>
    <row r="144" spans="2:16" s="8" customFormat="1" ht="13.8" x14ac:dyDescent="0.25">
      <c r="B144" s="155"/>
      <c r="C144" s="156"/>
      <c r="D144" s="156"/>
      <c r="E144" s="156"/>
      <c r="F144" s="182"/>
      <c r="G144" s="72" t="str">
        <f>IF(C144="","",IFERROR(INDEX(G$19:$L141,MATCH(C144,L$19:L$28,0),1),"Non renseigné"))</f>
        <v/>
      </c>
      <c r="H144" s="190" t="str">
        <f>IFERROR(IF(E144="","",INDEX(Données_ATB!BD$3:BT$600,MATCH(E144,Medicament,0),17)),"Ce médicament n'est pas connu dans la base")</f>
        <v/>
      </c>
      <c r="I144" s="69" t="str">
        <f>IFERROR(IF(E144="","",INDEX(Données_ATB!BD$3:BL$600,MATCH(E144,Medicament,0),9)),"")</f>
        <v/>
      </c>
      <c r="J144" s="44" t="str">
        <f>IFERROR(IF(E144="","",INDEX(Données_ATB!BD$3:BP$5600,MATCH(E144,Medicament,0),13)),"")</f>
        <v/>
      </c>
      <c r="K144" s="161" t="str">
        <f>IF(COUNTIFS($B$31:B144,B144,$E$31:E144,E144,$C$31:C144,C144,$D$31:D144,D144)&gt;1,"DÉJÀ ENTRÉ",IF(AND(COUNTA(B144,C144,D144,E144,F144)&lt;5,COUNTA(B144,C144,D144,E144,F144)&gt;0),"Pensez à renseigner toutes les cases de la ligne !",IF(COUNTA(B144)=1,IF(COUNTBLANK(B144)&gt;=1,"Ne laissez pas de lignes vides. Écrivez sur la ligne supérieure.",""),"")))&amp;IF(G144="Non renseigné","Veuillez sélectionner de nouveau le nom dans la colonne Espèce traitée","")</f>
        <v/>
      </c>
      <c r="L144" s="31" t="str">
        <f>IF(E144="","",INDEX(Données_ATB!BD$3:BU$600,MATCH(E144,Medicament,0),18))</f>
        <v/>
      </c>
      <c r="M144" s="31" t="str">
        <f t="shared" si="9"/>
        <v/>
      </c>
      <c r="N144" s="31" t="str">
        <f t="shared" si="10"/>
        <v/>
      </c>
      <c r="O144" s="31" t="str">
        <f t="shared" si="11"/>
        <v/>
      </c>
      <c r="P144" s="31" t="str">
        <f t="shared" si="12"/>
        <v/>
      </c>
    </row>
    <row r="145" spans="2:16" s="8" customFormat="1" ht="13.8" x14ac:dyDescent="0.25">
      <c r="B145" s="155"/>
      <c r="C145" s="156"/>
      <c r="D145" s="156"/>
      <c r="E145" s="156"/>
      <c r="F145" s="182"/>
      <c r="G145" s="72" t="str">
        <f>IF(C145="","",IFERROR(INDEX(G$19:$L142,MATCH(C145,L$19:L$28,0),1),"Non renseigné"))</f>
        <v/>
      </c>
      <c r="H145" s="190" t="str">
        <f>IFERROR(IF(E145="","",INDEX(Données_ATB!BD$3:BT$600,MATCH(E145,Medicament,0),17)),"Ce médicament n'est pas connu dans la base")</f>
        <v/>
      </c>
      <c r="I145" s="69" t="str">
        <f>IFERROR(IF(E145="","",INDEX(Données_ATB!BD$3:BL$600,MATCH(E145,Medicament,0),9)),"")</f>
        <v/>
      </c>
      <c r="J145" s="44" t="str">
        <f>IFERROR(IF(E145="","",INDEX(Données_ATB!BD$3:BP$5600,MATCH(E145,Medicament,0),13)),"")</f>
        <v/>
      </c>
      <c r="K145" s="161" t="str">
        <f>IF(COUNTIFS($B$31:B145,B145,$E$31:E145,E145,$C$31:C145,C145,$D$31:D145,D145)&gt;1,"DÉJÀ ENTRÉ",IF(AND(COUNTA(B145,C145,D145,E145,F145)&lt;5,COUNTA(B145,C145,D145,E145,F145)&gt;0),"Pensez à renseigner toutes les cases de la ligne !",IF(COUNTA(B145)=1,IF(COUNTBLANK(B145)&gt;=1,"Ne laissez pas de lignes vides. Écrivez sur la ligne supérieure.",""),"")))&amp;IF(G145="Non renseigné","Veuillez sélectionner de nouveau le nom dans la colonne Espèce traitée","")</f>
        <v/>
      </c>
      <c r="L145" s="31" t="str">
        <f>IF(E145="","",INDEX(Données_ATB!BD$3:BU$600,MATCH(E145,Medicament,0),18))</f>
        <v/>
      </c>
      <c r="M145" s="31" t="str">
        <f t="shared" si="9"/>
        <v/>
      </c>
      <c r="N145" s="31" t="str">
        <f t="shared" si="10"/>
        <v/>
      </c>
      <c r="O145" s="31" t="str">
        <f t="shared" si="11"/>
        <v/>
      </c>
      <c r="P145" s="31" t="str">
        <f t="shared" si="12"/>
        <v/>
      </c>
    </row>
    <row r="146" spans="2:16" s="8" customFormat="1" ht="13.8" x14ac:dyDescent="0.25">
      <c r="B146" s="155"/>
      <c r="C146" s="156"/>
      <c r="D146" s="156"/>
      <c r="E146" s="156"/>
      <c r="F146" s="182"/>
      <c r="G146" s="72" t="str">
        <f>IF(C146="","",IFERROR(INDEX(G$19:$L143,MATCH(C146,L$19:L$28,0),1),"Non renseigné"))</f>
        <v/>
      </c>
      <c r="H146" s="190" t="str">
        <f>IFERROR(IF(E146="","",INDEX(Données_ATB!BD$3:BT$600,MATCH(E146,Medicament,0),17)),"Ce médicament n'est pas connu dans la base")</f>
        <v/>
      </c>
      <c r="I146" s="69" t="str">
        <f>IFERROR(IF(E146="","",INDEX(Données_ATB!BD$3:BL$600,MATCH(E146,Medicament,0),9)),"")</f>
        <v/>
      </c>
      <c r="J146" s="44" t="str">
        <f>IFERROR(IF(E146="","",INDEX(Données_ATB!BD$3:BP$5600,MATCH(E146,Medicament,0),13)),"")</f>
        <v/>
      </c>
      <c r="K146" s="161" t="str">
        <f>IF(COUNTIFS($B$31:B146,B146,$E$31:E146,E146,$C$31:C146,C146,$D$31:D146,D146)&gt;1,"DÉJÀ ENTRÉ",IF(AND(COUNTA(B146,C146,D146,E146,F146)&lt;5,COUNTA(B146,C146,D146,E146,F146)&gt;0),"Pensez à renseigner toutes les cases de la ligne !",IF(COUNTA(B146)=1,IF(COUNTBLANK(B146)&gt;=1,"Ne laissez pas de lignes vides. Écrivez sur la ligne supérieure.",""),"")))&amp;IF(G146="Non renseigné","Veuillez sélectionner de nouveau le nom dans la colonne Espèce traitée","")</f>
        <v/>
      </c>
      <c r="L146" s="31" t="str">
        <f>IF(E146="","",INDEX(Données_ATB!BD$3:BU$600,MATCH(E146,Medicament,0),18))</f>
        <v/>
      </c>
      <c r="M146" s="31" t="str">
        <f t="shared" si="9"/>
        <v/>
      </c>
      <c r="N146" s="31" t="str">
        <f t="shared" si="10"/>
        <v/>
      </c>
      <c r="O146" s="31" t="str">
        <f t="shared" si="11"/>
        <v/>
      </c>
      <c r="P146" s="31" t="str">
        <f t="shared" si="12"/>
        <v/>
      </c>
    </row>
    <row r="147" spans="2:16" s="8" customFormat="1" ht="13.8" x14ac:dyDescent="0.25">
      <c r="B147" s="155"/>
      <c r="C147" s="156"/>
      <c r="D147" s="156"/>
      <c r="E147" s="156"/>
      <c r="F147" s="182"/>
      <c r="G147" s="72" t="str">
        <f>IF(C147="","",IFERROR(INDEX(G$19:$L144,MATCH(C147,L$19:L$28,0),1),"Non renseigné"))</f>
        <v/>
      </c>
      <c r="H147" s="190" t="str">
        <f>IFERROR(IF(E147="","",INDEX(Données_ATB!BD$3:BT$600,MATCH(E147,Medicament,0),17)),"Ce médicament n'est pas connu dans la base")</f>
        <v/>
      </c>
      <c r="I147" s="69" t="str">
        <f>IFERROR(IF(E147="","",INDEX(Données_ATB!BD$3:BL$600,MATCH(E147,Medicament,0),9)),"")</f>
        <v/>
      </c>
      <c r="J147" s="44" t="str">
        <f>IFERROR(IF(E147="","",INDEX(Données_ATB!BD$3:BP$5600,MATCH(E147,Medicament,0),13)),"")</f>
        <v/>
      </c>
      <c r="K147" s="161" t="str">
        <f>IF(COUNTIFS($B$31:B147,B147,$E$31:E147,E147,$C$31:C147,C147,$D$31:D147,D147)&gt;1,"DÉJÀ ENTRÉ",IF(AND(COUNTA(B147,C147,D147,E147,F147)&lt;5,COUNTA(B147,C147,D147,E147,F147)&gt;0),"Pensez à renseigner toutes les cases de la ligne !",IF(COUNTA(B147)=1,IF(COUNTBLANK(B147)&gt;=1,"Ne laissez pas de lignes vides. Écrivez sur la ligne supérieure.",""),"")))&amp;IF(G147="Non renseigné","Veuillez sélectionner de nouveau le nom dans la colonne Espèce traitée","")</f>
        <v/>
      </c>
      <c r="L147" s="31" t="str">
        <f>IF(E147="","",INDEX(Données_ATB!BD$3:BU$600,MATCH(E147,Medicament,0),18))</f>
        <v/>
      </c>
      <c r="M147" s="31" t="str">
        <f t="shared" si="9"/>
        <v/>
      </c>
      <c r="N147" s="31" t="str">
        <f t="shared" si="10"/>
        <v/>
      </c>
      <c r="O147" s="31" t="str">
        <f t="shared" si="11"/>
        <v/>
      </c>
      <c r="P147" s="31" t="str">
        <f t="shared" si="12"/>
        <v/>
      </c>
    </row>
    <row r="148" spans="2:16" s="8" customFormat="1" ht="13.8" x14ac:dyDescent="0.25">
      <c r="B148" s="155"/>
      <c r="C148" s="156"/>
      <c r="D148" s="156"/>
      <c r="E148" s="156"/>
      <c r="F148" s="182"/>
      <c r="G148" s="72" t="str">
        <f>IF(C148="","",IFERROR(INDEX(G$19:$L145,MATCH(C148,L$19:L$28,0),1),"Non renseigné"))</f>
        <v/>
      </c>
      <c r="H148" s="190" t="str">
        <f>IFERROR(IF(E148="","",INDEX(Données_ATB!BD$3:BT$600,MATCH(E148,Medicament,0),17)),"Ce médicament n'est pas connu dans la base")</f>
        <v/>
      </c>
      <c r="I148" s="69" t="str">
        <f>IFERROR(IF(E148="","",INDEX(Données_ATB!BD$3:BL$600,MATCH(E148,Medicament,0),9)),"")</f>
        <v/>
      </c>
      <c r="J148" s="44" t="str">
        <f>IFERROR(IF(E148="","",INDEX(Données_ATB!BD$3:BP$5600,MATCH(E148,Medicament,0),13)),"")</f>
        <v/>
      </c>
      <c r="K148" s="161" t="str">
        <f>IF(COUNTIFS($B$31:B148,B148,$E$31:E148,E148,$C$31:C148,C148,$D$31:D148,D148)&gt;1,"DÉJÀ ENTRÉ",IF(AND(COUNTA(B148,C148,D148,E148,F148)&lt;5,COUNTA(B148,C148,D148,E148,F148)&gt;0),"Pensez à renseigner toutes les cases de la ligne !",IF(COUNTA(B148)=1,IF(COUNTBLANK(B148)&gt;=1,"Ne laissez pas de lignes vides. Écrivez sur la ligne supérieure.",""),"")))&amp;IF(G148="Non renseigné","Veuillez sélectionner de nouveau le nom dans la colonne Espèce traitée","")</f>
        <v/>
      </c>
      <c r="L148" s="31" t="str">
        <f>IF(E148="","",INDEX(Données_ATB!BD$3:BU$600,MATCH(E148,Medicament,0),18))</f>
        <v/>
      </c>
      <c r="M148" s="31" t="str">
        <f t="shared" si="9"/>
        <v/>
      </c>
      <c r="N148" s="31" t="str">
        <f t="shared" si="10"/>
        <v/>
      </c>
      <c r="O148" s="31" t="str">
        <f t="shared" si="11"/>
        <v/>
      </c>
      <c r="P148" s="31" t="str">
        <f t="shared" si="12"/>
        <v/>
      </c>
    </row>
    <row r="149" spans="2:16" s="8" customFormat="1" ht="13.8" x14ac:dyDescent="0.25">
      <c r="B149" s="155"/>
      <c r="C149" s="156"/>
      <c r="D149" s="156"/>
      <c r="E149" s="156"/>
      <c r="F149" s="182"/>
      <c r="G149" s="72" t="str">
        <f>IF(C149="","",IFERROR(INDEX(G$19:$L146,MATCH(C149,L$19:L$28,0),1),"Non renseigné"))</f>
        <v/>
      </c>
      <c r="H149" s="190" t="str">
        <f>IFERROR(IF(E149="","",INDEX(Données_ATB!BD$3:BT$600,MATCH(E149,Medicament,0),17)),"Ce médicament n'est pas connu dans la base")</f>
        <v/>
      </c>
      <c r="I149" s="69" t="str">
        <f>IFERROR(IF(E149="","",INDEX(Données_ATB!BD$3:BL$600,MATCH(E149,Medicament,0),9)),"")</f>
        <v/>
      </c>
      <c r="J149" s="44" t="str">
        <f>IFERROR(IF(E149="","",INDEX(Données_ATB!BD$3:BP$5600,MATCH(E149,Medicament,0),13)),"")</f>
        <v/>
      </c>
      <c r="K149" s="161" t="str">
        <f>IF(COUNTIFS($B$31:B149,B149,$E$31:E149,E149,$C$31:C149,C149,$D$31:D149,D149)&gt;1,"DÉJÀ ENTRÉ",IF(AND(COUNTA(B149,C149,D149,E149,F149)&lt;5,COUNTA(B149,C149,D149,E149,F149)&gt;0),"Pensez à renseigner toutes les cases de la ligne !",IF(COUNTA(B149)=1,IF(COUNTBLANK(B149)&gt;=1,"Ne laissez pas de lignes vides. Écrivez sur la ligne supérieure.",""),"")))&amp;IF(G149="Non renseigné","Veuillez sélectionner de nouveau le nom dans la colonne Espèce traitée","")</f>
        <v/>
      </c>
      <c r="L149" s="31" t="str">
        <f>IF(E149="","",INDEX(Données_ATB!BD$3:BU$600,MATCH(E149,Medicament,0),18))</f>
        <v/>
      </c>
      <c r="M149" s="31" t="str">
        <f t="shared" si="9"/>
        <v/>
      </c>
      <c r="N149" s="31" t="str">
        <f t="shared" si="10"/>
        <v/>
      </c>
      <c r="O149" s="31" t="str">
        <f t="shared" si="11"/>
        <v/>
      </c>
      <c r="P149" s="31" t="str">
        <f t="shared" si="12"/>
        <v/>
      </c>
    </row>
    <row r="150" spans="2:16" s="8" customFormat="1" ht="13.8" x14ac:dyDescent="0.25">
      <c r="B150" s="155"/>
      <c r="C150" s="156"/>
      <c r="D150" s="156"/>
      <c r="E150" s="156"/>
      <c r="F150" s="182"/>
      <c r="G150" s="72" t="str">
        <f>IF(C150="","",IFERROR(INDEX(G$19:$L147,MATCH(C150,L$19:L$28,0),1),"Non renseigné"))</f>
        <v/>
      </c>
      <c r="H150" s="190" t="str">
        <f>IFERROR(IF(E150="","",INDEX(Données_ATB!BD$3:BT$600,MATCH(E150,Medicament,0),17)),"Ce médicament n'est pas connu dans la base")</f>
        <v/>
      </c>
      <c r="I150" s="69" t="str">
        <f>IFERROR(IF(E150="","",INDEX(Données_ATB!BD$3:BL$600,MATCH(E150,Medicament,0),9)),"")</f>
        <v/>
      </c>
      <c r="J150" s="44" t="str">
        <f>IFERROR(IF(E150="","",INDEX(Données_ATB!BD$3:BP$5600,MATCH(E150,Medicament,0),13)),"")</f>
        <v/>
      </c>
      <c r="K150" s="161" t="str">
        <f>IF(COUNTIFS($B$31:B150,B150,$E$31:E150,E150,$C$31:C150,C150,$D$31:D150,D150)&gt;1,"DÉJÀ ENTRÉ",IF(AND(COUNTA(B150,C150,D150,E150,F150)&lt;5,COUNTA(B150,C150,D150,E150,F150)&gt;0),"Pensez à renseigner toutes les cases de la ligne !",IF(COUNTA(B150)=1,IF(COUNTBLANK(B150)&gt;=1,"Ne laissez pas de lignes vides. Écrivez sur la ligne supérieure.",""),"")))&amp;IF(G150="Non renseigné","Veuillez sélectionner de nouveau le nom dans la colonne Espèce traitée","")</f>
        <v/>
      </c>
      <c r="L150" s="31" t="str">
        <f>IF(E150="","",INDEX(Données_ATB!BD$3:BU$600,MATCH(E150,Medicament,0),18))</f>
        <v/>
      </c>
      <c r="M150" s="31" t="str">
        <f t="shared" si="9"/>
        <v/>
      </c>
      <c r="N150" s="31" t="str">
        <f t="shared" si="10"/>
        <v/>
      </c>
      <c r="O150" s="31" t="str">
        <f t="shared" si="11"/>
        <v/>
      </c>
      <c r="P150" s="31" t="str">
        <f t="shared" si="12"/>
        <v/>
      </c>
    </row>
    <row r="151" spans="2:16" s="8" customFormat="1" ht="13.8" x14ac:dyDescent="0.25">
      <c r="B151" s="155"/>
      <c r="C151" s="156"/>
      <c r="D151" s="156"/>
      <c r="E151" s="156"/>
      <c r="F151" s="182"/>
      <c r="G151" s="72" t="str">
        <f>IF(C151="","",IFERROR(INDEX(G$19:$L148,MATCH(C151,L$19:L$28,0),1),"Non renseigné"))</f>
        <v/>
      </c>
      <c r="H151" s="190" t="str">
        <f>IFERROR(IF(E151="","",INDEX(Données_ATB!BD$3:BT$600,MATCH(E151,Medicament,0),17)),"Ce médicament n'est pas connu dans la base")</f>
        <v/>
      </c>
      <c r="I151" s="69" t="str">
        <f>IFERROR(IF(E151="","",INDEX(Données_ATB!BD$3:BL$600,MATCH(E151,Medicament,0),9)),"")</f>
        <v/>
      </c>
      <c r="J151" s="44" t="str">
        <f>IFERROR(IF(E151="","",INDEX(Données_ATB!BD$3:BP$5600,MATCH(E151,Medicament,0),13)),"")</f>
        <v/>
      </c>
      <c r="K151" s="161" t="str">
        <f>IF(COUNTIFS($B$31:B151,B151,$E$31:E151,E151,$C$31:C151,C151,$D$31:D151,D151)&gt;1,"DÉJÀ ENTRÉ",IF(AND(COUNTA(B151,C151,D151,E151,F151)&lt;5,COUNTA(B151,C151,D151,E151,F151)&gt;0),"Pensez à renseigner toutes les cases de la ligne !",IF(COUNTA(B151)=1,IF(COUNTBLANK(B151)&gt;=1,"Ne laissez pas de lignes vides. Écrivez sur la ligne supérieure.",""),"")))&amp;IF(G151="Non renseigné","Veuillez sélectionner de nouveau le nom dans la colonne Espèce traitée","")</f>
        <v/>
      </c>
      <c r="L151" s="31" t="str">
        <f>IF(E151="","",INDEX(Données_ATB!BD$3:BU$600,MATCH(E151,Medicament,0),18))</f>
        <v/>
      </c>
      <c r="M151" s="31" t="str">
        <f t="shared" si="9"/>
        <v/>
      </c>
      <c r="N151" s="31" t="str">
        <f t="shared" si="10"/>
        <v/>
      </c>
      <c r="O151" s="31" t="str">
        <f t="shared" si="11"/>
        <v/>
      </c>
      <c r="P151" s="31" t="str">
        <f t="shared" si="12"/>
        <v/>
      </c>
    </row>
    <row r="152" spans="2:16" s="8" customFormat="1" ht="13.8" x14ac:dyDescent="0.25">
      <c r="B152" s="155"/>
      <c r="C152" s="156"/>
      <c r="D152" s="156"/>
      <c r="E152" s="156"/>
      <c r="F152" s="182"/>
      <c r="G152" s="72" t="str">
        <f>IF(C152="","",IFERROR(INDEX(G$19:$L149,MATCH(C152,L$19:L$28,0),1),"Non renseigné"))</f>
        <v/>
      </c>
      <c r="H152" s="190" t="str">
        <f>IFERROR(IF(E152="","",INDEX(Données_ATB!BD$3:BT$600,MATCH(E152,Medicament,0),17)),"Ce médicament n'est pas connu dans la base")</f>
        <v/>
      </c>
      <c r="I152" s="69" t="str">
        <f>IFERROR(IF(E152="","",INDEX(Données_ATB!BD$3:BL$600,MATCH(E152,Medicament,0),9)),"")</f>
        <v/>
      </c>
      <c r="J152" s="44" t="str">
        <f>IFERROR(IF(E152="","",INDEX(Données_ATB!BD$3:BP$5600,MATCH(E152,Medicament,0),13)),"")</f>
        <v/>
      </c>
      <c r="K152" s="161" t="str">
        <f>IF(COUNTIFS($B$31:B152,B152,$E$31:E152,E152,$C$31:C152,C152,$D$31:D152,D152)&gt;1,"DÉJÀ ENTRÉ",IF(AND(COUNTA(B152,C152,D152,E152,F152)&lt;5,COUNTA(B152,C152,D152,E152,F152)&gt;0),"Pensez à renseigner toutes les cases de la ligne !",IF(COUNTA(B152)=1,IF(COUNTBLANK(B152)&gt;=1,"Ne laissez pas de lignes vides. Écrivez sur la ligne supérieure.",""),"")))&amp;IF(G152="Non renseigné","Veuillez sélectionner de nouveau le nom dans la colonne Espèce traitée","")</f>
        <v/>
      </c>
      <c r="L152" s="31" t="str">
        <f>IF(E152="","",INDEX(Données_ATB!BD$3:BU$600,MATCH(E152,Medicament,0),18))</f>
        <v/>
      </c>
      <c r="M152" s="31" t="str">
        <f t="shared" si="9"/>
        <v/>
      </c>
      <c r="N152" s="31" t="str">
        <f t="shared" si="10"/>
        <v/>
      </c>
      <c r="O152" s="31" t="str">
        <f t="shared" si="11"/>
        <v/>
      </c>
      <c r="P152" s="31" t="str">
        <f t="shared" si="12"/>
        <v/>
      </c>
    </row>
    <row r="153" spans="2:16" s="8" customFormat="1" ht="13.8" x14ac:dyDescent="0.25">
      <c r="B153" s="155"/>
      <c r="C153" s="156"/>
      <c r="D153" s="156"/>
      <c r="E153" s="156"/>
      <c r="F153" s="182"/>
      <c r="G153" s="72" t="str">
        <f>IF(C153="","",IFERROR(INDEX(G$19:$L150,MATCH(C153,L$19:L$28,0),1),"Non renseigné"))</f>
        <v/>
      </c>
      <c r="H153" s="190" t="str">
        <f>IFERROR(IF(E153="","",INDEX(Données_ATB!BD$3:BT$600,MATCH(E153,Medicament,0),17)),"Ce médicament n'est pas connu dans la base")</f>
        <v/>
      </c>
      <c r="I153" s="69" t="str">
        <f>IFERROR(IF(E153="","",INDEX(Données_ATB!BD$3:BL$600,MATCH(E153,Medicament,0),9)),"")</f>
        <v/>
      </c>
      <c r="J153" s="44" t="str">
        <f>IFERROR(IF(E153="","",INDEX(Données_ATB!BD$3:BP$5600,MATCH(E153,Medicament,0),13)),"")</f>
        <v/>
      </c>
      <c r="K153" s="161" t="str">
        <f>IF(COUNTIFS($B$31:B153,B153,$E$31:E153,E153,$C$31:C153,C153,$D$31:D153,D153)&gt;1,"DÉJÀ ENTRÉ",IF(AND(COUNTA(B153,C153,D153,E153,F153)&lt;5,COUNTA(B153,C153,D153,E153,F153)&gt;0),"Pensez à renseigner toutes les cases de la ligne !",IF(COUNTA(B153)=1,IF(COUNTBLANK(B153)&gt;=1,"Ne laissez pas de lignes vides. Écrivez sur la ligne supérieure.",""),"")))&amp;IF(G153="Non renseigné","Veuillez sélectionner de nouveau le nom dans la colonne Espèce traitée","")</f>
        <v/>
      </c>
      <c r="L153" s="31" t="str">
        <f>IF(E153="","",INDEX(Données_ATB!BD$3:BU$600,MATCH(E153,Medicament,0),18))</f>
        <v/>
      </c>
      <c r="M153" s="31" t="str">
        <f t="shared" si="9"/>
        <v/>
      </c>
      <c r="N153" s="31" t="str">
        <f t="shared" si="10"/>
        <v/>
      </c>
      <c r="O153" s="31" t="str">
        <f t="shared" si="11"/>
        <v/>
      </c>
      <c r="P153" s="31" t="str">
        <f t="shared" si="12"/>
        <v/>
      </c>
    </row>
    <row r="154" spans="2:16" s="8" customFormat="1" ht="13.8" x14ac:dyDescent="0.25">
      <c r="B154" s="155"/>
      <c r="C154" s="156"/>
      <c r="D154" s="156"/>
      <c r="E154" s="156"/>
      <c r="F154" s="182"/>
      <c r="G154" s="72" t="str">
        <f>IF(C154="","",IFERROR(INDEX(G$19:$L151,MATCH(C154,L$19:L$28,0),1),"Non renseigné"))</f>
        <v/>
      </c>
      <c r="H154" s="190" t="str">
        <f>IFERROR(IF(E154="","",INDEX(Données_ATB!BD$3:BT$600,MATCH(E154,Medicament,0),17)),"Ce médicament n'est pas connu dans la base")</f>
        <v/>
      </c>
      <c r="I154" s="69" t="str">
        <f>IFERROR(IF(E154="","",INDEX(Données_ATB!BD$3:BL$600,MATCH(E154,Medicament,0),9)),"")</f>
        <v/>
      </c>
      <c r="J154" s="44" t="str">
        <f>IFERROR(IF(E154="","",INDEX(Données_ATB!BD$3:BP$5600,MATCH(E154,Medicament,0),13)),"")</f>
        <v/>
      </c>
      <c r="K154" s="161" t="str">
        <f>IF(COUNTIFS($B$31:B154,B154,$E$31:E154,E154,$C$31:C154,C154,$D$31:D154,D154)&gt;1,"DÉJÀ ENTRÉ",IF(AND(COUNTA(B154,C154,D154,E154,F154)&lt;5,COUNTA(B154,C154,D154,E154,F154)&gt;0),"Pensez à renseigner toutes les cases de la ligne !",IF(COUNTA(B154)=1,IF(COUNTBLANK(B154)&gt;=1,"Ne laissez pas de lignes vides. Écrivez sur la ligne supérieure.",""),"")))&amp;IF(G154="Non renseigné","Veuillez sélectionner de nouveau le nom dans la colonne Espèce traitée","")</f>
        <v/>
      </c>
      <c r="L154" s="31" t="str">
        <f>IF(E154="","",INDEX(Données_ATB!BD$3:BU$600,MATCH(E154,Medicament,0),18))</f>
        <v/>
      </c>
      <c r="M154" s="31" t="str">
        <f t="shared" si="9"/>
        <v/>
      </c>
      <c r="N154" s="31" t="str">
        <f t="shared" si="10"/>
        <v/>
      </c>
      <c r="O154" s="31" t="str">
        <f t="shared" si="11"/>
        <v/>
      </c>
      <c r="P154" s="31" t="str">
        <f t="shared" si="12"/>
        <v/>
      </c>
    </row>
    <row r="155" spans="2:16" s="8" customFormat="1" ht="13.8" x14ac:dyDescent="0.25">
      <c r="B155" s="155"/>
      <c r="C155" s="156"/>
      <c r="D155" s="156"/>
      <c r="E155" s="156"/>
      <c r="F155" s="182"/>
      <c r="G155" s="72" t="str">
        <f>IF(C155="","",IFERROR(INDEX(G$19:$L152,MATCH(C155,L$19:L$28,0),1),"Non renseigné"))</f>
        <v/>
      </c>
      <c r="H155" s="190" t="str">
        <f>IFERROR(IF(E155="","",INDEX(Données_ATB!BD$3:BT$600,MATCH(E155,Medicament,0),17)),"Ce médicament n'est pas connu dans la base")</f>
        <v/>
      </c>
      <c r="I155" s="69" t="str">
        <f>IFERROR(IF(E155="","",INDEX(Données_ATB!BD$3:BL$600,MATCH(E155,Medicament,0),9)),"")</f>
        <v/>
      </c>
      <c r="J155" s="44" t="str">
        <f>IFERROR(IF(E155="","",INDEX(Données_ATB!BD$3:BP$5600,MATCH(E155,Medicament,0),13)),"")</f>
        <v/>
      </c>
      <c r="K155" s="161" t="str">
        <f>IF(COUNTIFS($B$31:B155,B155,$E$31:E155,E155,$C$31:C155,C155,$D$31:D155,D155)&gt;1,"DÉJÀ ENTRÉ",IF(AND(COUNTA(B155,C155,D155,E155,F155)&lt;5,COUNTA(B155,C155,D155,E155,F155)&gt;0),"Pensez à renseigner toutes les cases de la ligne !",IF(COUNTA(B155)=1,IF(COUNTBLANK(B155)&gt;=1,"Ne laissez pas de lignes vides. Écrivez sur la ligne supérieure.",""),"")))&amp;IF(G155="Non renseigné","Veuillez sélectionner de nouveau le nom dans la colonne Espèce traitée","")</f>
        <v/>
      </c>
      <c r="L155" s="31" t="str">
        <f>IF(E155="","",INDEX(Données_ATB!BD$3:BU$600,MATCH(E155,Medicament,0),18))</f>
        <v/>
      </c>
      <c r="M155" s="31" t="str">
        <f t="shared" si="9"/>
        <v/>
      </c>
      <c r="N155" s="31" t="str">
        <f t="shared" si="10"/>
        <v/>
      </c>
      <c r="O155" s="31" t="str">
        <f t="shared" si="11"/>
        <v/>
      </c>
      <c r="P155" s="31" t="str">
        <f t="shared" si="12"/>
        <v/>
      </c>
    </row>
    <row r="156" spans="2:16" s="8" customFormat="1" ht="13.8" x14ac:dyDescent="0.25">
      <c r="B156" s="155"/>
      <c r="C156" s="156"/>
      <c r="D156" s="156"/>
      <c r="E156" s="156"/>
      <c r="F156" s="182"/>
      <c r="G156" s="72" t="str">
        <f>IF(C156="","",IFERROR(INDEX(G$19:$L153,MATCH(C156,L$19:L$28,0),1),"Non renseigné"))</f>
        <v/>
      </c>
      <c r="H156" s="190" t="str">
        <f>IFERROR(IF(E156="","",INDEX(Données_ATB!BD$3:BT$600,MATCH(E156,Medicament,0),17)),"Ce médicament n'est pas connu dans la base")</f>
        <v/>
      </c>
      <c r="I156" s="69" t="str">
        <f>IFERROR(IF(E156="","",INDEX(Données_ATB!BD$3:BL$600,MATCH(E156,Medicament,0),9)),"")</f>
        <v/>
      </c>
      <c r="J156" s="44" t="str">
        <f>IFERROR(IF(E156="","",INDEX(Données_ATB!BD$3:BP$5600,MATCH(E156,Medicament,0),13)),"")</f>
        <v/>
      </c>
      <c r="K156" s="161" t="str">
        <f>IF(COUNTIFS($B$31:B156,B156,$E$31:E156,E156,$C$31:C156,C156,$D$31:D156,D156)&gt;1,"DÉJÀ ENTRÉ",IF(AND(COUNTA(B156,C156,D156,E156,F156)&lt;5,COUNTA(B156,C156,D156,E156,F156)&gt;0),"Pensez à renseigner toutes les cases de la ligne !",IF(COUNTA(B156)=1,IF(COUNTBLANK(B156)&gt;=1,"Ne laissez pas de lignes vides. Écrivez sur la ligne supérieure.",""),"")))&amp;IF(G156="Non renseigné","Veuillez sélectionner de nouveau le nom dans la colonne Espèce traitée","")</f>
        <v/>
      </c>
      <c r="L156" s="31" t="str">
        <f>IF(E156="","",INDEX(Données_ATB!BD$3:BU$600,MATCH(E156,Medicament,0),18))</f>
        <v/>
      </c>
      <c r="M156" s="31" t="str">
        <f t="shared" si="9"/>
        <v/>
      </c>
      <c r="N156" s="31" t="str">
        <f t="shared" si="10"/>
        <v/>
      </c>
      <c r="O156" s="31" t="str">
        <f t="shared" si="11"/>
        <v/>
      </c>
      <c r="P156" s="31" t="str">
        <f t="shared" si="12"/>
        <v/>
      </c>
    </row>
    <row r="157" spans="2:16" s="8" customFormat="1" ht="13.8" x14ac:dyDescent="0.25">
      <c r="B157" s="155"/>
      <c r="C157" s="156"/>
      <c r="D157" s="156"/>
      <c r="E157" s="156"/>
      <c r="F157" s="182"/>
      <c r="G157" s="72" t="str">
        <f>IF(C157="","",IFERROR(INDEX(G$19:$L154,MATCH(C157,L$19:L$28,0),1),"Non renseigné"))</f>
        <v/>
      </c>
      <c r="H157" s="190" t="str">
        <f>IFERROR(IF(E157="","",INDEX(Données_ATB!BD$3:BT$600,MATCH(E157,Medicament,0),17)),"Ce médicament n'est pas connu dans la base")</f>
        <v/>
      </c>
      <c r="I157" s="69" t="str">
        <f>IFERROR(IF(E157="","",INDEX(Données_ATB!BD$3:BL$600,MATCH(E157,Medicament,0),9)),"")</f>
        <v/>
      </c>
      <c r="J157" s="44" t="str">
        <f>IFERROR(IF(E157="","",INDEX(Données_ATB!BD$3:BP$5600,MATCH(E157,Medicament,0),13)),"")</f>
        <v/>
      </c>
      <c r="K157" s="161" t="str">
        <f>IF(COUNTIFS($B$31:B157,B157,$E$31:E157,E157,$C$31:C157,C157,$D$31:D157,D157)&gt;1,"DÉJÀ ENTRÉ",IF(AND(COUNTA(B157,C157,D157,E157,F157)&lt;5,COUNTA(B157,C157,D157,E157,F157)&gt;0),"Pensez à renseigner toutes les cases de la ligne !",IF(COUNTA(B157)=1,IF(COUNTBLANK(B157)&gt;=1,"Ne laissez pas de lignes vides. Écrivez sur la ligne supérieure.",""),"")))&amp;IF(G157="Non renseigné","Veuillez sélectionner de nouveau le nom dans la colonne Espèce traitée","")</f>
        <v/>
      </c>
      <c r="L157" s="31" t="str">
        <f>IF(E157="","",INDEX(Données_ATB!BD$3:BU$600,MATCH(E157,Medicament,0),18))</f>
        <v/>
      </c>
      <c r="M157" s="31" t="str">
        <f t="shared" si="9"/>
        <v/>
      </c>
      <c r="N157" s="31" t="str">
        <f t="shared" si="10"/>
        <v/>
      </c>
      <c r="O157" s="31" t="str">
        <f t="shared" si="11"/>
        <v/>
      </c>
      <c r="P157" s="31" t="str">
        <f t="shared" si="12"/>
        <v/>
      </c>
    </row>
    <row r="158" spans="2:16" s="8" customFormat="1" ht="13.8" x14ac:dyDescent="0.25">
      <c r="B158" s="155"/>
      <c r="C158" s="156"/>
      <c r="D158" s="156"/>
      <c r="E158" s="156"/>
      <c r="F158" s="182"/>
      <c r="G158" s="72" t="str">
        <f>IF(C158="","",IFERROR(INDEX(G$19:$L155,MATCH(C158,L$19:L$28,0),1),"Non renseigné"))</f>
        <v/>
      </c>
      <c r="H158" s="190" t="str">
        <f>IFERROR(IF(E158="","",INDEX(Données_ATB!BD$3:BT$600,MATCH(E158,Medicament,0),17)),"Ce médicament n'est pas connu dans la base")</f>
        <v/>
      </c>
      <c r="I158" s="69" t="str">
        <f>IFERROR(IF(E158="","",INDEX(Données_ATB!BD$3:BL$600,MATCH(E158,Medicament,0),9)),"")</f>
        <v/>
      </c>
      <c r="J158" s="44" t="str">
        <f>IFERROR(IF(E158="","",INDEX(Données_ATB!BD$3:BP$5600,MATCH(E158,Medicament,0),13)),"")</f>
        <v/>
      </c>
      <c r="K158" s="161" t="str">
        <f>IF(COUNTIFS($B$31:B158,B158,$E$31:E158,E158,$C$31:C158,C158,$D$31:D158,D158)&gt;1,"DÉJÀ ENTRÉ",IF(AND(COUNTA(B158,C158,D158,E158,F158)&lt;5,COUNTA(B158,C158,D158,E158,F158)&gt;0),"Pensez à renseigner toutes les cases de la ligne !",IF(COUNTA(B158)=1,IF(COUNTBLANK(B158)&gt;=1,"Ne laissez pas de lignes vides. Écrivez sur la ligne supérieure.",""),"")))&amp;IF(G158="Non renseigné","Veuillez sélectionner de nouveau le nom dans la colonne Espèce traitée","")</f>
        <v/>
      </c>
      <c r="L158" s="31" t="str">
        <f>IF(E158="","",INDEX(Données_ATB!BD$3:BU$600,MATCH(E158,Medicament,0),18))</f>
        <v/>
      </c>
      <c r="M158" s="31" t="str">
        <f t="shared" si="9"/>
        <v/>
      </c>
      <c r="N158" s="31" t="str">
        <f t="shared" si="10"/>
        <v/>
      </c>
      <c r="O158" s="31" t="str">
        <f t="shared" si="11"/>
        <v/>
      </c>
      <c r="P158" s="31" t="str">
        <f t="shared" si="12"/>
        <v/>
      </c>
    </row>
    <row r="159" spans="2:16" s="8" customFormat="1" ht="13.8" x14ac:dyDescent="0.25">
      <c r="B159" s="155"/>
      <c r="C159" s="156"/>
      <c r="D159" s="156"/>
      <c r="E159" s="156"/>
      <c r="F159" s="182"/>
      <c r="G159" s="72" t="str">
        <f>IF(C159="","",IFERROR(INDEX(G$19:$L156,MATCH(C159,L$19:L$28,0),1),"Non renseigné"))</f>
        <v/>
      </c>
      <c r="H159" s="190" t="str">
        <f>IFERROR(IF(E159="","",INDEX(Données_ATB!BD$3:BT$600,MATCH(E159,Medicament,0),17)),"Ce médicament n'est pas connu dans la base")</f>
        <v/>
      </c>
      <c r="I159" s="69" t="str">
        <f>IFERROR(IF(E159="","",INDEX(Données_ATB!BD$3:BL$600,MATCH(E159,Medicament,0),9)),"")</f>
        <v/>
      </c>
      <c r="J159" s="44" t="str">
        <f>IFERROR(IF(E159="","",INDEX(Données_ATB!BD$3:BP$5600,MATCH(E159,Medicament,0),13)),"")</f>
        <v/>
      </c>
      <c r="K159" s="161" t="str">
        <f>IF(COUNTIFS($B$31:B159,B159,$E$31:E159,E159,$C$31:C159,C159,$D$31:D159,D159)&gt;1,"DÉJÀ ENTRÉ",IF(AND(COUNTA(B159,C159,D159,E159,F159)&lt;5,COUNTA(B159,C159,D159,E159,F159)&gt;0),"Pensez à renseigner toutes les cases de la ligne !",IF(COUNTA(B159)=1,IF(COUNTBLANK(B159)&gt;=1,"Ne laissez pas de lignes vides. Écrivez sur la ligne supérieure.",""),"")))&amp;IF(G159="Non renseigné","Veuillez sélectionner de nouveau le nom dans la colonne Espèce traitée","")</f>
        <v/>
      </c>
      <c r="L159" s="31" t="str">
        <f>IF(E159="","",INDEX(Données_ATB!BD$3:BU$600,MATCH(E159,Medicament,0),18))</f>
        <v/>
      </c>
      <c r="M159" s="31" t="str">
        <f t="shared" ref="M159:M222" si="13">IF(B159="janvier",1,IF(B159="février",2,IF(B159="mars",3,IF(B159="avril",4,IF(B159="mai",5,IF(B159="juin",6,IF(B159="juillet",7,IF(B159="août",8,IF(B159="septembre",9,IF(B159="octobre",10,IF(B159="novembre",11,IF(B159="décembre",12,""))))))))))))</f>
        <v/>
      </c>
      <c r="N159" s="31" t="str">
        <f t="shared" si="10"/>
        <v/>
      </c>
      <c r="O159" s="31" t="str">
        <f t="shared" si="11"/>
        <v/>
      </c>
      <c r="P159" s="31" t="str">
        <f t="shared" si="12"/>
        <v/>
      </c>
    </row>
    <row r="160" spans="2:16" s="8" customFormat="1" ht="13.8" x14ac:dyDescent="0.25">
      <c r="B160" s="155"/>
      <c r="C160" s="156"/>
      <c r="D160" s="156"/>
      <c r="E160" s="156"/>
      <c r="F160" s="182"/>
      <c r="G160" s="72" t="str">
        <f>IF(C160="","",IFERROR(INDEX(G$19:$L157,MATCH(C160,L$19:L$28,0),1),"Non renseigné"))</f>
        <v/>
      </c>
      <c r="H160" s="190" t="str">
        <f>IFERROR(IF(E160="","",INDEX(Données_ATB!BD$3:BT$600,MATCH(E160,Medicament,0),17)),"Ce médicament n'est pas connu dans la base")</f>
        <v/>
      </c>
      <c r="I160" s="69" t="str">
        <f>IFERROR(IF(E160="","",INDEX(Données_ATB!BD$3:BL$600,MATCH(E160,Medicament,0),9)),"")</f>
        <v/>
      </c>
      <c r="J160" s="44" t="str">
        <f>IFERROR(IF(E160="","",INDEX(Données_ATB!BD$3:BP$5600,MATCH(E160,Medicament,0),13)),"")</f>
        <v/>
      </c>
      <c r="K160" s="161" t="str">
        <f>IF(COUNTIFS($B$31:B160,B160,$E$31:E160,E160,$C$31:C160,C160,$D$31:D160,D160)&gt;1,"DÉJÀ ENTRÉ",IF(AND(COUNTA(B160,C160,D160,E160,F160)&lt;5,COUNTA(B160,C160,D160,E160,F160)&gt;0),"Pensez à renseigner toutes les cases de la ligne !",IF(COUNTA(B160)=1,IF(COUNTBLANK(B160)&gt;=1,"Ne laissez pas de lignes vides. Écrivez sur la ligne supérieure.",""),"")))&amp;IF(G160="Non renseigné","Veuillez sélectionner de nouveau le nom dans la colonne Espèce traitée","")</f>
        <v/>
      </c>
      <c r="L160" s="31" t="str">
        <f>IF(E160="","",INDEX(Données_ATB!BD$3:BU$600,MATCH(E160,Medicament,0),18))</f>
        <v/>
      </c>
      <c r="M160" s="31" t="str">
        <f t="shared" si="13"/>
        <v/>
      </c>
      <c r="N160" s="31" t="str">
        <f t="shared" si="10"/>
        <v/>
      </c>
      <c r="O160" s="31" t="str">
        <f t="shared" si="11"/>
        <v/>
      </c>
      <c r="P160" s="31" t="str">
        <f t="shared" si="12"/>
        <v/>
      </c>
    </row>
    <row r="161" spans="2:16" s="8" customFormat="1" ht="13.8" x14ac:dyDescent="0.25">
      <c r="B161" s="155"/>
      <c r="C161" s="156"/>
      <c r="D161" s="156"/>
      <c r="E161" s="156"/>
      <c r="F161" s="182"/>
      <c r="G161" s="72" t="str">
        <f>IF(C161="","",IFERROR(INDEX(G$19:$L158,MATCH(C161,L$19:L$28,0),1),"Non renseigné"))</f>
        <v/>
      </c>
      <c r="H161" s="190" t="str">
        <f>IFERROR(IF(E161="","",INDEX(Données_ATB!BD$3:BT$600,MATCH(E161,Medicament,0),17)),"Ce médicament n'est pas connu dans la base")</f>
        <v/>
      </c>
      <c r="I161" s="69" t="str">
        <f>IFERROR(IF(E161="","",INDEX(Données_ATB!BD$3:BL$600,MATCH(E161,Medicament,0),9)),"")</f>
        <v/>
      </c>
      <c r="J161" s="44" t="str">
        <f>IFERROR(IF(E161="","",INDEX(Données_ATB!BD$3:BP$5600,MATCH(E161,Medicament,0),13)),"")</f>
        <v/>
      </c>
      <c r="K161" s="161" t="str">
        <f>IF(COUNTIFS($B$31:B161,B161,$E$31:E161,E161,$C$31:C161,C161,$D$31:D161,D161)&gt;1,"DÉJÀ ENTRÉ",IF(AND(COUNTA(B161,C161,D161,E161,F161)&lt;5,COUNTA(B161,C161,D161,E161,F161)&gt;0),"Pensez à renseigner toutes les cases de la ligne !",IF(COUNTA(B161)=1,IF(COUNTBLANK(B161)&gt;=1,"Ne laissez pas de lignes vides. Écrivez sur la ligne supérieure.",""),"")))&amp;IF(G161="Non renseigné","Veuillez sélectionner de nouveau le nom dans la colonne Espèce traitée","")</f>
        <v/>
      </c>
      <c r="L161" s="31" t="str">
        <f>IF(E161="","",INDEX(Données_ATB!BD$3:BU$600,MATCH(E161,Medicament,0),18))</f>
        <v/>
      </c>
      <c r="M161" s="31" t="str">
        <f t="shared" si="13"/>
        <v/>
      </c>
      <c r="N161" s="31" t="str">
        <f t="shared" si="10"/>
        <v/>
      </c>
      <c r="O161" s="31" t="str">
        <f t="shared" si="11"/>
        <v/>
      </c>
      <c r="P161" s="31" t="str">
        <f t="shared" si="12"/>
        <v/>
      </c>
    </row>
    <row r="162" spans="2:16" s="8" customFormat="1" ht="13.8" x14ac:dyDescent="0.25">
      <c r="B162" s="155"/>
      <c r="C162" s="156"/>
      <c r="D162" s="156"/>
      <c r="E162" s="156"/>
      <c r="F162" s="182"/>
      <c r="G162" s="72" t="str">
        <f>IF(C162="","",IFERROR(INDEX(G$19:$L159,MATCH(C162,L$19:L$28,0),1),"Non renseigné"))</f>
        <v/>
      </c>
      <c r="H162" s="190" t="str">
        <f>IFERROR(IF(E162="","",INDEX(Données_ATB!BD$3:BT$600,MATCH(E162,Medicament,0),17)),"Ce médicament n'est pas connu dans la base")</f>
        <v/>
      </c>
      <c r="I162" s="69" t="str">
        <f>IFERROR(IF(E162="","",INDEX(Données_ATB!BD$3:BL$600,MATCH(E162,Medicament,0),9)),"")</f>
        <v/>
      </c>
      <c r="J162" s="44" t="str">
        <f>IFERROR(IF(E162="","",INDEX(Données_ATB!BD$3:BP$5600,MATCH(E162,Medicament,0),13)),"")</f>
        <v/>
      </c>
      <c r="K162" s="161" t="str">
        <f>IF(COUNTIFS($B$31:B162,B162,$E$31:E162,E162,$C$31:C162,C162,$D$31:D162,D162)&gt;1,"DÉJÀ ENTRÉ",IF(AND(COUNTA(B162,C162,D162,E162,F162)&lt;5,COUNTA(B162,C162,D162,E162,F162)&gt;0),"Pensez à renseigner toutes les cases de la ligne !",IF(COUNTA(B162)=1,IF(COUNTBLANK(B162)&gt;=1,"Ne laissez pas de lignes vides. Écrivez sur la ligne supérieure.",""),"")))&amp;IF(G162="Non renseigné","Veuillez sélectionner de nouveau le nom dans la colonne Espèce traitée","")</f>
        <v/>
      </c>
      <c r="L162" s="31" t="str">
        <f>IF(E162="","",INDEX(Données_ATB!BD$3:BU$600,MATCH(E162,Medicament,0),18))</f>
        <v/>
      </c>
      <c r="M162" s="31" t="str">
        <f t="shared" si="13"/>
        <v/>
      </c>
      <c r="N162" s="31" t="str">
        <f t="shared" si="10"/>
        <v/>
      </c>
      <c r="O162" s="31" t="str">
        <f t="shared" si="11"/>
        <v/>
      </c>
      <c r="P162" s="31" t="str">
        <f t="shared" si="12"/>
        <v/>
      </c>
    </row>
    <row r="163" spans="2:16" s="8" customFormat="1" ht="13.8" x14ac:dyDescent="0.25">
      <c r="B163" s="155"/>
      <c r="C163" s="156"/>
      <c r="D163" s="156"/>
      <c r="E163" s="156"/>
      <c r="F163" s="182"/>
      <c r="G163" s="72" t="str">
        <f>IF(C163="","",IFERROR(INDEX(G$19:$L160,MATCH(C163,L$19:L$28,0),1),"Non renseigné"))</f>
        <v/>
      </c>
      <c r="H163" s="190" t="str">
        <f>IFERROR(IF(E163="","",INDEX(Données_ATB!BD$3:BT$600,MATCH(E163,Medicament,0),17)),"Ce médicament n'est pas connu dans la base")</f>
        <v/>
      </c>
      <c r="I163" s="69" t="str">
        <f>IFERROR(IF(E163="","",INDEX(Données_ATB!BD$3:BL$600,MATCH(E163,Medicament,0),9)),"")</f>
        <v/>
      </c>
      <c r="J163" s="44" t="str">
        <f>IFERROR(IF(E163="","",INDEX(Données_ATB!BD$3:BP$5600,MATCH(E163,Medicament,0),13)),"")</f>
        <v/>
      </c>
      <c r="K163" s="161" t="str">
        <f>IF(COUNTIFS($B$31:B163,B163,$E$31:E163,E163,$C$31:C163,C163,$D$31:D163,D163)&gt;1,"DÉJÀ ENTRÉ",IF(AND(COUNTA(B163,C163,D163,E163,F163)&lt;5,COUNTA(B163,C163,D163,E163,F163)&gt;0),"Pensez à renseigner toutes les cases de la ligne !",IF(COUNTA(B163)=1,IF(COUNTBLANK(B163)&gt;=1,"Ne laissez pas de lignes vides. Écrivez sur la ligne supérieure.",""),"")))&amp;IF(G163="Non renseigné","Veuillez sélectionner de nouveau le nom dans la colonne Espèce traitée","")</f>
        <v/>
      </c>
      <c r="L163" s="31" t="str">
        <f>IF(E163="","",INDEX(Données_ATB!BD$3:BU$600,MATCH(E163,Medicament,0),18))</f>
        <v/>
      </c>
      <c r="M163" s="31" t="str">
        <f t="shared" si="13"/>
        <v/>
      </c>
      <c r="N163" s="31" t="str">
        <f t="shared" si="10"/>
        <v/>
      </c>
      <c r="O163" s="31" t="str">
        <f t="shared" si="11"/>
        <v/>
      </c>
      <c r="P163" s="31" t="str">
        <f t="shared" si="12"/>
        <v/>
      </c>
    </row>
    <row r="164" spans="2:16" s="8" customFormat="1" ht="13.8" x14ac:dyDescent="0.25">
      <c r="B164" s="155"/>
      <c r="C164" s="156"/>
      <c r="D164" s="156"/>
      <c r="E164" s="156"/>
      <c r="F164" s="182"/>
      <c r="G164" s="72" t="str">
        <f>IF(C164="","",IFERROR(INDEX(G$19:$L161,MATCH(C164,L$19:L$28,0),1),"Non renseigné"))</f>
        <v/>
      </c>
      <c r="H164" s="190" t="str">
        <f>IFERROR(IF(E164="","",INDEX(Données_ATB!BD$3:BT$600,MATCH(E164,Medicament,0),17)),"Ce médicament n'est pas connu dans la base")</f>
        <v/>
      </c>
      <c r="I164" s="69" t="str">
        <f>IFERROR(IF(E164="","",INDEX(Données_ATB!BD$3:BL$600,MATCH(E164,Medicament,0),9)),"")</f>
        <v/>
      </c>
      <c r="J164" s="44" t="str">
        <f>IFERROR(IF(E164="","",INDEX(Données_ATB!BD$3:BP$5600,MATCH(E164,Medicament,0),13)),"")</f>
        <v/>
      </c>
      <c r="K164" s="161" t="str">
        <f>IF(COUNTIFS($B$31:B164,B164,$E$31:E164,E164,$C$31:C164,C164,$D$31:D164,D164)&gt;1,"DÉJÀ ENTRÉ",IF(AND(COUNTA(B164,C164,D164,E164,F164)&lt;5,COUNTA(B164,C164,D164,E164,F164)&gt;0),"Pensez à renseigner toutes les cases de la ligne !",IF(COUNTA(B164)=1,IF(COUNTBLANK(B164)&gt;=1,"Ne laissez pas de lignes vides. Écrivez sur la ligne supérieure.",""),"")))&amp;IF(G164="Non renseigné","Veuillez sélectionner de nouveau le nom dans la colonne Espèce traitée","")</f>
        <v/>
      </c>
      <c r="L164" s="31" t="str">
        <f>IF(E164="","",INDEX(Données_ATB!BD$3:BU$600,MATCH(E164,Medicament,0),18))</f>
        <v/>
      </c>
      <c r="M164" s="31" t="str">
        <f t="shared" si="13"/>
        <v/>
      </c>
      <c r="N164" s="31" t="str">
        <f t="shared" si="10"/>
        <v/>
      </c>
      <c r="O164" s="31" t="str">
        <f t="shared" si="11"/>
        <v/>
      </c>
      <c r="P164" s="31" t="str">
        <f t="shared" si="12"/>
        <v/>
      </c>
    </row>
    <row r="165" spans="2:16" s="8" customFormat="1" ht="13.8" x14ac:dyDescent="0.25">
      <c r="B165" s="155"/>
      <c r="C165" s="156"/>
      <c r="D165" s="156"/>
      <c r="E165" s="156"/>
      <c r="F165" s="182"/>
      <c r="G165" s="72" t="str">
        <f>IF(C165="","",IFERROR(INDEX(G$19:$L162,MATCH(C165,L$19:L$28,0),1),"Non renseigné"))</f>
        <v/>
      </c>
      <c r="H165" s="190" t="str">
        <f>IFERROR(IF(E165="","",INDEX(Données_ATB!BD$3:BT$600,MATCH(E165,Medicament,0),17)),"Ce médicament n'est pas connu dans la base")</f>
        <v/>
      </c>
      <c r="I165" s="69" t="str">
        <f>IFERROR(IF(E165="","",INDEX(Données_ATB!BD$3:BL$600,MATCH(E165,Medicament,0),9)),"")</f>
        <v/>
      </c>
      <c r="J165" s="44" t="str">
        <f>IFERROR(IF(E165="","",INDEX(Données_ATB!BD$3:BP$5600,MATCH(E165,Medicament,0),13)),"")</f>
        <v/>
      </c>
      <c r="K165" s="161" t="str">
        <f>IF(COUNTIFS($B$31:B165,B165,$E$31:E165,E165,$C$31:C165,C165,$D$31:D165,D165)&gt;1,"DÉJÀ ENTRÉ",IF(AND(COUNTA(B165,C165,D165,E165,F165)&lt;5,COUNTA(B165,C165,D165,E165,F165)&gt;0),"Pensez à renseigner toutes les cases de la ligne !",IF(COUNTA(B165)=1,IF(COUNTBLANK(B165)&gt;=1,"Ne laissez pas de lignes vides. Écrivez sur la ligne supérieure.",""),"")))&amp;IF(G165="Non renseigné","Veuillez sélectionner de nouveau le nom dans la colonne Espèce traitée","")</f>
        <v/>
      </c>
      <c r="L165" s="31" t="str">
        <f>IF(E165="","",INDEX(Données_ATB!BD$3:BU$600,MATCH(E165,Medicament,0),18))</f>
        <v/>
      </c>
      <c r="M165" s="31" t="str">
        <f t="shared" si="13"/>
        <v/>
      </c>
      <c r="N165" s="31" t="str">
        <f t="shared" si="10"/>
        <v/>
      </c>
      <c r="O165" s="31" t="str">
        <f t="shared" si="11"/>
        <v/>
      </c>
      <c r="P165" s="31" t="str">
        <f t="shared" si="12"/>
        <v/>
      </c>
    </row>
    <row r="166" spans="2:16" s="8" customFormat="1" ht="13.8" x14ac:dyDescent="0.25">
      <c r="B166" s="155"/>
      <c r="C166" s="156"/>
      <c r="D166" s="156"/>
      <c r="E166" s="156"/>
      <c r="F166" s="182"/>
      <c r="G166" s="72" t="str">
        <f>IF(C166="","",IFERROR(INDEX(G$19:$L163,MATCH(C166,L$19:L$28,0),1),"Non renseigné"))</f>
        <v/>
      </c>
      <c r="H166" s="190" t="str">
        <f>IFERROR(IF(E166="","",INDEX(Données_ATB!BD$3:BT$600,MATCH(E166,Medicament,0),17)),"Ce médicament n'est pas connu dans la base")</f>
        <v/>
      </c>
      <c r="I166" s="69" t="str">
        <f>IFERROR(IF(E166="","",INDEX(Données_ATB!BD$3:BL$600,MATCH(E166,Medicament,0),9)),"")</f>
        <v/>
      </c>
      <c r="J166" s="44" t="str">
        <f>IFERROR(IF(E166="","",INDEX(Données_ATB!BD$3:BP$5600,MATCH(E166,Medicament,0),13)),"")</f>
        <v/>
      </c>
      <c r="K166" s="161" t="str">
        <f>IF(COUNTIFS($B$31:B166,B166,$E$31:E166,E166,$C$31:C166,C166,$D$31:D166,D166)&gt;1,"DÉJÀ ENTRÉ",IF(AND(COUNTA(B166,C166,D166,E166,F166)&lt;5,COUNTA(B166,C166,D166,E166,F166)&gt;0),"Pensez à renseigner toutes les cases de la ligne !",IF(COUNTA(B166)=1,IF(COUNTBLANK(B166)&gt;=1,"Ne laissez pas de lignes vides. Écrivez sur la ligne supérieure.",""),"")))&amp;IF(G166="Non renseigné","Veuillez sélectionner de nouveau le nom dans la colonne Espèce traitée","")</f>
        <v/>
      </c>
      <c r="L166" s="31" t="str">
        <f>IF(E166="","",INDEX(Données_ATB!BD$3:BU$600,MATCH(E166,Medicament,0),18))</f>
        <v/>
      </c>
      <c r="M166" s="31" t="str">
        <f t="shared" si="13"/>
        <v/>
      </c>
      <c r="N166" s="31" t="str">
        <f t="shared" si="10"/>
        <v/>
      </c>
      <c r="O166" s="31" t="str">
        <f t="shared" si="11"/>
        <v/>
      </c>
      <c r="P166" s="31" t="str">
        <f t="shared" si="12"/>
        <v/>
      </c>
    </row>
    <row r="167" spans="2:16" s="8" customFormat="1" ht="13.8" x14ac:dyDescent="0.25">
      <c r="B167" s="155"/>
      <c r="C167" s="156"/>
      <c r="D167" s="156"/>
      <c r="E167" s="156"/>
      <c r="F167" s="182"/>
      <c r="G167" s="72" t="str">
        <f>IF(C167="","",IFERROR(INDEX(G$19:$L164,MATCH(C167,L$19:L$28,0),1),"Non renseigné"))</f>
        <v/>
      </c>
      <c r="H167" s="190" t="str">
        <f>IFERROR(IF(E167="","",INDEX(Données_ATB!BD$3:BT$600,MATCH(E167,Medicament,0),17)),"Ce médicament n'est pas connu dans la base")</f>
        <v/>
      </c>
      <c r="I167" s="69" t="str">
        <f>IFERROR(IF(E167="","",INDEX(Données_ATB!BD$3:BL$600,MATCH(E167,Medicament,0),9)),"")</f>
        <v/>
      </c>
      <c r="J167" s="44" t="str">
        <f>IFERROR(IF(E167="","",INDEX(Données_ATB!BD$3:BP$5600,MATCH(E167,Medicament,0),13)),"")</f>
        <v/>
      </c>
      <c r="K167" s="161" t="str">
        <f>IF(COUNTIFS($B$31:B167,B167,$E$31:E167,E167,$C$31:C167,C167,$D$31:D167,D167)&gt;1,"DÉJÀ ENTRÉ",IF(AND(COUNTA(B167,C167,D167,E167,F167)&lt;5,COUNTA(B167,C167,D167,E167,F167)&gt;0),"Pensez à renseigner toutes les cases de la ligne !",IF(COUNTA(B167)=1,IF(COUNTBLANK(B167)&gt;=1,"Ne laissez pas de lignes vides. Écrivez sur la ligne supérieure.",""),"")))&amp;IF(G167="Non renseigné","Veuillez sélectionner de nouveau le nom dans la colonne Espèce traitée","")</f>
        <v/>
      </c>
      <c r="L167" s="31" t="str">
        <f>IF(E167="","",INDEX(Données_ATB!BD$3:BU$600,MATCH(E167,Medicament,0),18))</f>
        <v/>
      </c>
      <c r="M167" s="31" t="str">
        <f t="shared" si="13"/>
        <v/>
      </c>
      <c r="N167" s="31" t="str">
        <f t="shared" si="10"/>
        <v/>
      </c>
      <c r="O167" s="31" t="str">
        <f t="shared" si="11"/>
        <v/>
      </c>
      <c r="P167" s="31" t="str">
        <f t="shared" si="12"/>
        <v/>
      </c>
    </row>
    <row r="168" spans="2:16" s="8" customFormat="1" ht="13.8" x14ac:dyDescent="0.25">
      <c r="B168" s="155"/>
      <c r="C168" s="156"/>
      <c r="D168" s="156"/>
      <c r="E168" s="156"/>
      <c r="F168" s="182"/>
      <c r="G168" s="72" t="str">
        <f>IF(C168="","",IFERROR(INDEX(G$19:$L165,MATCH(C168,L$19:L$28,0),1),"Non renseigné"))</f>
        <v/>
      </c>
      <c r="H168" s="190" t="str">
        <f>IFERROR(IF(E168="","",INDEX(Données_ATB!BD$3:BT$600,MATCH(E168,Medicament,0),17)),"Ce médicament n'est pas connu dans la base")</f>
        <v/>
      </c>
      <c r="I168" s="69" t="str">
        <f>IFERROR(IF(E168="","",INDEX(Données_ATB!BD$3:BL$600,MATCH(E168,Medicament,0),9)),"")</f>
        <v/>
      </c>
      <c r="J168" s="44" t="str">
        <f>IFERROR(IF(E168="","",INDEX(Données_ATB!BD$3:BP$5600,MATCH(E168,Medicament,0),13)),"")</f>
        <v/>
      </c>
      <c r="K168" s="161" t="str">
        <f>IF(COUNTIFS($B$31:B168,B168,$E$31:E168,E168,$C$31:C168,C168,$D$31:D168,D168)&gt;1,"DÉJÀ ENTRÉ",IF(AND(COUNTA(B168,C168,D168,E168,F168)&lt;5,COUNTA(B168,C168,D168,E168,F168)&gt;0),"Pensez à renseigner toutes les cases de la ligne !",IF(COUNTA(B168)=1,IF(COUNTBLANK(B168)&gt;=1,"Ne laissez pas de lignes vides. Écrivez sur la ligne supérieure.",""),"")))&amp;IF(G168="Non renseigné","Veuillez sélectionner de nouveau le nom dans la colonne Espèce traitée","")</f>
        <v/>
      </c>
      <c r="L168" s="31" t="str">
        <f>IF(E168="","",INDEX(Données_ATB!BD$3:BU$600,MATCH(E168,Medicament,0),18))</f>
        <v/>
      </c>
      <c r="M168" s="31" t="str">
        <f t="shared" si="13"/>
        <v/>
      </c>
      <c r="N168" s="31" t="str">
        <f t="shared" si="10"/>
        <v/>
      </c>
      <c r="O168" s="31" t="str">
        <f t="shared" si="11"/>
        <v/>
      </c>
      <c r="P168" s="31" t="str">
        <f t="shared" si="12"/>
        <v/>
      </c>
    </row>
    <row r="169" spans="2:16" s="8" customFormat="1" ht="13.8" x14ac:dyDescent="0.25">
      <c r="B169" s="155"/>
      <c r="C169" s="156"/>
      <c r="D169" s="156"/>
      <c r="E169" s="156"/>
      <c r="F169" s="182"/>
      <c r="G169" s="72" t="str">
        <f>IF(C169="","",IFERROR(INDEX(G$19:$L166,MATCH(C169,L$19:L$28,0),1),"Non renseigné"))</f>
        <v/>
      </c>
      <c r="H169" s="190" t="str">
        <f>IFERROR(IF(E169="","",INDEX(Données_ATB!BD$3:BT$600,MATCH(E169,Medicament,0),17)),"Ce médicament n'est pas connu dans la base")</f>
        <v/>
      </c>
      <c r="I169" s="69" t="str">
        <f>IFERROR(IF(E169="","",INDEX(Données_ATB!BD$3:BL$600,MATCH(E169,Medicament,0),9)),"")</f>
        <v/>
      </c>
      <c r="J169" s="44" t="str">
        <f>IFERROR(IF(E169="","",INDEX(Données_ATB!BD$3:BP$5600,MATCH(E169,Medicament,0),13)),"")</f>
        <v/>
      </c>
      <c r="K169" s="161" t="str">
        <f>IF(COUNTIFS($B$31:B169,B169,$E$31:E169,E169,$C$31:C169,C169,$D$31:D169,D169)&gt;1,"DÉJÀ ENTRÉ",IF(AND(COUNTA(B169,C169,D169,E169,F169)&lt;5,COUNTA(B169,C169,D169,E169,F169)&gt;0),"Pensez à renseigner toutes les cases de la ligne !",IF(COUNTA(B169)=1,IF(COUNTBLANK(B169)&gt;=1,"Ne laissez pas de lignes vides. Écrivez sur la ligne supérieure.",""),"")))&amp;IF(G169="Non renseigné","Veuillez sélectionner de nouveau le nom dans la colonne Espèce traitée","")</f>
        <v/>
      </c>
      <c r="L169" s="31" t="str">
        <f>IF(E169="","",INDEX(Données_ATB!BD$3:BU$600,MATCH(E169,Medicament,0),18))</f>
        <v/>
      </c>
      <c r="M169" s="31" t="str">
        <f t="shared" si="13"/>
        <v/>
      </c>
      <c r="N169" s="31" t="str">
        <f t="shared" si="10"/>
        <v/>
      </c>
      <c r="O169" s="31" t="str">
        <f t="shared" si="11"/>
        <v/>
      </c>
      <c r="P169" s="31" t="str">
        <f t="shared" si="12"/>
        <v/>
      </c>
    </row>
    <row r="170" spans="2:16" s="8" customFormat="1" ht="13.8" x14ac:dyDescent="0.25">
      <c r="B170" s="155"/>
      <c r="C170" s="156"/>
      <c r="D170" s="156"/>
      <c r="E170" s="156"/>
      <c r="F170" s="182"/>
      <c r="G170" s="72" t="str">
        <f>IF(C170="","",IFERROR(INDEX(G$19:$L167,MATCH(C170,L$19:L$28,0),1),"Non renseigné"))</f>
        <v/>
      </c>
      <c r="H170" s="190" t="str">
        <f>IFERROR(IF(E170="","",INDEX(Données_ATB!BD$3:BT$600,MATCH(E170,Medicament,0),17)),"Ce médicament n'est pas connu dans la base")</f>
        <v/>
      </c>
      <c r="I170" s="69" t="str">
        <f>IFERROR(IF(E170="","",INDEX(Données_ATB!BD$3:BL$600,MATCH(E170,Medicament,0),9)),"")</f>
        <v/>
      </c>
      <c r="J170" s="44" t="str">
        <f>IFERROR(IF(E170="","",INDEX(Données_ATB!BD$3:BP$5600,MATCH(E170,Medicament,0),13)),"")</f>
        <v/>
      </c>
      <c r="K170" s="161" t="str">
        <f>IF(COUNTIFS($B$31:B170,B170,$E$31:E170,E170,$C$31:C170,C170,$D$31:D170,D170)&gt;1,"DÉJÀ ENTRÉ",IF(AND(COUNTA(B170,C170,D170,E170,F170)&lt;5,COUNTA(B170,C170,D170,E170,F170)&gt;0),"Pensez à renseigner toutes les cases de la ligne !",IF(COUNTA(B170)=1,IF(COUNTBLANK(B170)&gt;=1,"Ne laissez pas de lignes vides. Écrivez sur la ligne supérieure.",""),"")))&amp;IF(G170="Non renseigné","Veuillez sélectionner de nouveau le nom dans la colonne Espèce traitée","")</f>
        <v/>
      </c>
      <c r="L170" s="31" t="str">
        <f>IF(E170="","",INDEX(Données_ATB!BD$3:BU$600,MATCH(E170,Medicament,0),18))</f>
        <v/>
      </c>
      <c r="M170" s="31" t="str">
        <f t="shared" si="13"/>
        <v/>
      </c>
      <c r="N170" s="31" t="str">
        <f t="shared" si="10"/>
        <v/>
      </c>
      <c r="O170" s="31" t="str">
        <f t="shared" si="11"/>
        <v/>
      </c>
      <c r="P170" s="31" t="str">
        <f t="shared" si="12"/>
        <v/>
      </c>
    </row>
    <row r="171" spans="2:16" s="8" customFormat="1" ht="13.8" x14ac:dyDescent="0.25">
      <c r="B171" s="155"/>
      <c r="C171" s="156"/>
      <c r="D171" s="156"/>
      <c r="E171" s="156"/>
      <c r="F171" s="182"/>
      <c r="G171" s="72" t="str">
        <f>IF(C171="","",IFERROR(INDEX(G$19:$L168,MATCH(C171,L$19:L$28,0),1),"Non renseigné"))</f>
        <v/>
      </c>
      <c r="H171" s="190" t="str">
        <f>IFERROR(IF(E171="","",INDEX(Données_ATB!BD$3:BT$600,MATCH(E171,Medicament,0),17)),"Ce médicament n'est pas connu dans la base")</f>
        <v/>
      </c>
      <c r="I171" s="69" t="str">
        <f>IFERROR(IF(E171="","",INDEX(Données_ATB!BD$3:BL$600,MATCH(E171,Medicament,0),9)),"")</f>
        <v/>
      </c>
      <c r="J171" s="44" t="str">
        <f>IFERROR(IF(E171="","",INDEX(Données_ATB!BD$3:BP$5600,MATCH(E171,Medicament,0),13)),"")</f>
        <v/>
      </c>
      <c r="K171" s="161" t="str">
        <f>IF(COUNTIFS($B$31:B171,B171,$E$31:E171,E171,$C$31:C171,C171,$D$31:D171,D171)&gt;1,"DÉJÀ ENTRÉ",IF(AND(COUNTA(B171,C171,D171,E171,F171)&lt;5,COUNTA(B171,C171,D171,E171,F171)&gt;0),"Pensez à renseigner toutes les cases de la ligne !",IF(COUNTA(B171)=1,IF(COUNTBLANK(B171)&gt;=1,"Ne laissez pas de lignes vides. Écrivez sur la ligne supérieure.",""),"")))&amp;IF(G171="Non renseigné","Veuillez sélectionner de nouveau le nom dans la colonne Espèce traitée","")</f>
        <v/>
      </c>
      <c r="L171" s="31" t="str">
        <f>IF(E171="","",INDEX(Données_ATB!BD$3:BU$600,MATCH(E171,Medicament,0),18))</f>
        <v/>
      </c>
      <c r="M171" s="31" t="str">
        <f t="shared" si="13"/>
        <v/>
      </c>
      <c r="N171" s="31" t="str">
        <f t="shared" si="10"/>
        <v/>
      </c>
      <c r="O171" s="31" t="str">
        <f t="shared" si="11"/>
        <v/>
      </c>
      <c r="P171" s="31" t="str">
        <f t="shared" si="12"/>
        <v/>
      </c>
    </row>
    <row r="172" spans="2:16" s="8" customFormat="1" ht="13.8" x14ac:dyDescent="0.25">
      <c r="B172" s="155"/>
      <c r="C172" s="156"/>
      <c r="D172" s="156"/>
      <c r="E172" s="156"/>
      <c r="F172" s="182"/>
      <c r="G172" s="72" t="str">
        <f>IF(C172="","",IFERROR(INDEX(G$19:$L169,MATCH(C172,L$19:L$28,0),1),"Non renseigné"))</f>
        <v/>
      </c>
      <c r="H172" s="190" t="str">
        <f>IFERROR(IF(E172="","",INDEX(Données_ATB!BD$3:BT$600,MATCH(E172,Medicament,0),17)),"Ce médicament n'est pas connu dans la base")</f>
        <v/>
      </c>
      <c r="I172" s="69" t="str">
        <f>IFERROR(IF(E172="","",INDEX(Données_ATB!BD$3:BL$600,MATCH(E172,Medicament,0),9)),"")</f>
        <v/>
      </c>
      <c r="J172" s="44" t="str">
        <f>IFERROR(IF(E172="","",INDEX(Données_ATB!BD$3:BP$5600,MATCH(E172,Medicament,0),13)),"")</f>
        <v/>
      </c>
      <c r="K172" s="161" t="str">
        <f>IF(COUNTIFS($B$31:B172,B172,$E$31:E172,E172,$C$31:C172,C172,$D$31:D172,D172)&gt;1,"DÉJÀ ENTRÉ",IF(AND(COUNTA(B172,C172,D172,E172,F172)&lt;5,COUNTA(B172,C172,D172,E172,F172)&gt;0),"Pensez à renseigner toutes les cases de la ligne !",IF(COUNTA(B172)=1,IF(COUNTBLANK(B172)&gt;=1,"Ne laissez pas de lignes vides. Écrivez sur la ligne supérieure.",""),"")))&amp;IF(G172="Non renseigné","Veuillez sélectionner de nouveau le nom dans la colonne Espèce traitée","")</f>
        <v/>
      </c>
      <c r="L172" s="31" t="str">
        <f>IF(E172="","",INDEX(Données_ATB!BD$3:BU$600,MATCH(E172,Medicament,0),18))</f>
        <v/>
      </c>
      <c r="M172" s="31" t="str">
        <f t="shared" si="13"/>
        <v/>
      </c>
      <c r="N172" s="31" t="str">
        <f t="shared" si="10"/>
        <v/>
      </c>
      <c r="O172" s="31" t="str">
        <f t="shared" si="11"/>
        <v/>
      </c>
      <c r="P172" s="31" t="str">
        <f t="shared" si="12"/>
        <v/>
      </c>
    </row>
    <row r="173" spans="2:16" s="8" customFormat="1" ht="13.8" x14ac:dyDescent="0.25">
      <c r="B173" s="155"/>
      <c r="C173" s="156"/>
      <c r="D173" s="156"/>
      <c r="E173" s="156"/>
      <c r="F173" s="182"/>
      <c r="G173" s="72" t="str">
        <f>IF(C173="","",IFERROR(INDEX(G$19:$L170,MATCH(C173,L$19:L$28,0),1),"Non renseigné"))</f>
        <v/>
      </c>
      <c r="H173" s="190" t="str">
        <f>IFERROR(IF(E173="","",INDEX(Données_ATB!BD$3:BT$600,MATCH(E173,Medicament,0),17)),"Ce médicament n'est pas connu dans la base")</f>
        <v/>
      </c>
      <c r="I173" s="69" t="str">
        <f>IFERROR(IF(E173="","",INDEX(Données_ATB!BD$3:BL$600,MATCH(E173,Medicament,0),9)),"")</f>
        <v/>
      </c>
      <c r="J173" s="44" t="str">
        <f>IFERROR(IF(E173="","",INDEX(Données_ATB!BD$3:BP$5600,MATCH(E173,Medicament,0),13)),"")</f>
        <v/>
      </c>
      <c r="K173" s="161" t="str">
        <f>IF(COUNTIFS($B$31:B173,B173,$E$31:E173,E173,$C$31:C173,C173,$D$31:D173,D173)&gt;1,"DÉJÀ ENTRÉ",IF(AND(COUNTA(B173,C173,D173,E173,F173)&lt;5,COUNTA(B173,C173,D173,E173,F173)&gt;0),"Pensez à renseigner toutes les cases de la ligne !",IF(COUNTA(B173)=1,IF(COUNTBLANK(B173)&gt;=1,"Ne laissez pas de lignes vides. Écrivez sur la ligne supérieure.",""),"")))&amp;IF(G173="Non renseigné","Veuillez sélectionner de nouveau le nom dans la colonne Espèce traitée","")</f>
        <v/>
      </c>
      <c r="L173" s="31" t="str">
        <f>IF(E173="","",INDEX(Données_ATB!BD$3:BU$600,MATCH(E173,Medicament,0),18))</f>
        <v/>
      </c>
      <c r="M173" s="31" t="str">
        <f t="shared" si="13"/>
        <v/>
      </c>
      <c r="N173" s="31" t="str">
        <f t="shared" si="10"/>
        <v/>
      </c>
      <c r="O173" s="31" t="str">
        <f t="shared" si="11"/>
        <v/>
      </c>
      <c r="P173" s="31" t="str">
        <f t="shared" si="12"/>
        <v/>
      </c>
    </row>
    <row r="174" spans="2:16" s="8" customFormat="1" ht="13.8" x14ac:dyDescent="0.25">
      <c r="B174" s="155"/>
      <c r="C174" s="156"/>
      <c r="D174" s="156"/>
      <c r="E174" s="156"/>
      <c r="F174" s="182"/>
      <c r="G174" s="72" t="str">
        <f>IF(C174="","",IFERROR(INDEX(G$19:$L171,MATCH(C174,L$19:L$28,0),1),"Non renseigné"))</f>
        <v/>
      </c>
      <c r="H174" s="190" t="str">
        <f>IFERROR(IF(E174="","",INDEX(Données_ATB!BD$3:BT$600,MATCH(E174,Medicament,0),17)),"Ce médicament n'est pas connu dans la base")</f>
        <v/>
      </c>
      <c r="I174" s="69" t="str">
        <f>IFERROR(IF(E174="","",INDEX(Données_ATB!BD$3:BL$600,MATCH(E174,Medicament,0),9)),"")</f>
        <v/>
      </c>
      <c r="J174" s="44" t="str">
        <f>IFERROR(IF(E174="","",INDEX(Données_ATB!BD$3:BP$5600,MATCH(E174,Medicament,0),13)),"")</f>
        <v/>
      </c>
      <c r="K174" s="161" t="str">
        <f>IF(COUNTIFS($B$31:B174,B174,$E$31:E174,E174,$C$31:C174,C174,$D$31:D174,D174)&gt;1,"DÉJÀ ENTRÉ",IF(AND(COUNTA(B174,C174,D174,E174,F174)&lt;5,COUNTA(B174,C174,D174,E174,F174)&gt;0),"Pensez à renseigner toutes les cases de la ligne !",IF(COUNTA(B174)=1,IF(COUNTBLANK(B174)&gt;=1,"Ne laissez pas de lignes vides. Écrivez sur la ligne supérieure.",""),"")))&amp;IF(G174="Non renseigné","Veuillez sélectionner de nouveau le nom dans la colonne Espèce traitée","")</f>
        <v/>
      </c>
      <c r="L174" s="31" t="str">
        <f>IF(E174="","",INDEX(Données_ATB!BD$3:BU$600,MATCH(E174,Medicament,0),18))</f>
        <v/>
      </c>
      <c r="M174" s="31" t="str">
        <f t="shared" si="13"/>
        <v/>
      </c>
      <c r="N174" s="31" t="str">
        <f t="shared" si="10"/>
        <v/>
      </c>
      <c r="O174" s="31" t="str">
        <f t="shared" si="11"/>
        <v/>
      </c>
      <c r="P174" s="31" t="str">
        <f t="shared" si="12"/>
        <v/>
      </c>
    </row>
    <row r="175" spans="2:16" s="8" customFormat="1" ht="13.8" x14ac:dyDescent="0.25">
      <c r="B175" s="155"/>
      <c r="C175" s="156"/>
      <c r="D175" s="156"/>
      <c r="E175" s="156"/>
      <c r="F175" s="182"/>
      <c r="G175" s="72" t="str">
        <f>IF(C175="","",IFERROR(INDEX(G$19:$L172,MATCH(C175,L$19:L$28,0),1),"Non renseigné"))</f>
        <v/>
      </c>
      <c r="H175" s="190" t="str">
        <f>IFERROR(IF(E175="","",INDEX(Données_ATB!BD$3:BT$600,MATCH(E175,Medicament,0),17)),"Ce médicament n'est pas connu dans la base")</f>
        <v/>
      </c>
      <c r="I175" s="69" t="str">
        <f>IFERROR(IF(E175="","",INDEX(Données_ATB!BD$3:BL$600,MATCH(E175,Medicament,0),9)),"")</f>
        <v/>
      </c>
      <c r="J175" s="44" t="str">
        <f>IFERROR(IF(E175="","",INDEX(Données_ATB!BD$3:BP$5600,MATCH(E175,Medicament,0),13)),"")</f>
        <v/>
      </c>
      <c r="K175" s="161" t="str">
        <f>IF(COUNTIFS($B$31:B175,B175,$E$31:E175,E175,$C$31:C175,C175,$D$31:D175,D175)&gt;1,"DÉJÀ ENTRÉ",IF(AND(COUNTA(B175,C175,D175,E175,F175)&lt;5,COUNTA(B175,C175,D175,E175,F175)&gt;0),"Pensez à renseigner toutes les cases de la ligne !",IF(COUNTA(B175)=1,IF(COUNTBLANK(B175)&gt;=1,"Ne laissez pas de lignes vides. Écrivez sur la ligne supérieure.",""),"")))&amp;IF(G175="Non renseigné","Veuillez sélectionner de nouveau le nom dans la colonne Espèce traitée","")</f>
        <v/>
      </c>
      <c r="L175" s="31" t="str">
        <f>IF(E175="","",INDEX(Données_ATB!BD$3:BU$600,MATCH(E175,Medicament,0),18))</f>
        <v/>
      </c>
      <c r="M175" s="31" t="str">
        <f t="shared" si="13"/>
        <v/>
      </c>
      <c r="N175" s="31" t="str">
        <f t="shared" si="10"/>
        <v/>
      </c>
      <c r="O175" s="31" t="str">
        <f t="shared" si="11"/>
        <v/>
      </c>
      <c r="P175" s="31" t="str">
        <f t="shared" si="12"/>
        <v/>
      </c>
    </row>
    <row r="176" spans="2:16" s="8" customFormat="1" ht="13.8" x14ac:dyDescent="0.25">
      <c r="B176" s="155"/>
      <c r="C176" s="156"/>
      <c r="D176" s="156"/>
      <c r="E176" s="156"/>
      <c r="F176" s="182"/>
      <c r="G176" s="72" t="str">
        <f>IF(C176="","",IFERROR(INDEX(G$19:$L173,MATCH(C176,L$19:L$28,0),1),"Non renseigné"))</f>
        <v/>
      </c>
      <c r="H176" s="190" t="str">
        <f>IFERROR(IF(E176="","",INDEX(Données_ATB!BD$3:BT$600,MATCH(E176,Medicament,0),17)),"Ce médicament n'est pas connu dans la base")</f>
        <v/>
      </c>
      <c r="I176" s="69" t="str">
        <f>IFERROR(IF(E176="","",INDEX(Données_ATB!BD$3:BL$600,MATCH(E176,Medicament,0),9)),"")</f>
        <v/>
      </c>
      <c r="J176" s="44" t="str">
        <f>IFERROR(IF(E176="","",INDEX(Données_ATB!BD$3:BP$5600,MATCH(E176,Medicament,0),13)),"")</f>
        <v/>
      </c>
      <c r="K176" s="161" t="str">
        <f>IF(COUNTIFS($B$31:B176,B176,$E$31:E176,E176,$C$31:C176,C176,$D$31:D176,D176)&gt;1,"DÉJÀ ENTRÉ",IF(AND(COUNTA(B176,C176,D176,E176,F176)&lt;5,COUNTA(B176,C176,D176,E176,F176)&gt;0),"Pensez à renseigner toutes les cases de la ligne !",IF(COUNTA(B176)=1,IF(COUNTBLANK(B176)&gt;=1,"Ne laissez pas de lignes vides. Écrivez sur la ligne supérieure.",""),"")))&amp;IF(G176="Non renseigné","Veuillez sélectionner de nouveau le nom dans la colonne Espèce traitée","")</f>
        <v/>
      </c>
      <c r="L176" s="31" t="str">
        <f>IF(E176="","",INDEX(Données_ATB!BD$3:BU$600,MATCH(E176,Medicament,0),18))</f>
        <v/>
      </c>
      <c r="M176" s="31" t="str">
        <f t="shared" si="13"/>
        <v/>
      </c>
      <c r="N176" s="31" t="str">
        <f t="shared" si="10"/>
        <v/>
      </c>
      <c r="O176" s="31" t="str">
        <f t="shared" si="11"/>
        <v/>
      </c>
      <c r="P176" s="31" t="str">
        <f t="shared" si="12"/>
        <v/>
      </c>
    </row>
    <row r="177" spans="2:16" s="8" customFormat="1" ht="13.8" x14ac:dyDescent="0.25">
      <c r="B177" s="155"/>
      <c r="C177" s="156"/>
      <c r="D177" s="156"/>
      <c r="E177" s="156"/>
      <c r="F177" s="182"/>
      <c r="G177" s="72" t="str">
        <f>IF(C177="","",IFERROR(INDEX(G$19:$L174,MATCH(C177,L$19:L$28,0),1),"Non renseigné"))</f>
        <v/>
      </c>
      <c r="H177" s="190" t="str">
        <f>IFERROR(IF(E177="","",INDEX(Données_ATB!BD$3:BT$600,MATCH(E177,Medicament,0),17)),"Ce médicament n'est pas connu dans la base")</f>
        <v/>
      </c>
      <c r="I177" s="69" t="str">
        <f>IFERROR(IF(E177="","",INDEX(Données_ATB!BD$3:BL$600,MATCH(E177,Medicament,0),9)),"")</f>
        <v/>
      </c>
      <c r="J177" s="44" t="str">
        <f>IFERROR(IF(E177="","",INDEX(Données_ATB!BD$3:BP$5600,MATCH(E177,Medicament,0),13)),"")</f>
        <v/>
      </c>
      <c r="K177" s="161" t="str">
        <f>IF(COUNTIFS($B$31:B177,B177,$E$31:E177,E177,$C$31:C177,C177,$D$31:D177,D177)&gt;1,"DÉJÀ ENTRÉ",IF(AND(COUNTA(B177,C177,D177,E177,F177)&lt;5,COUNTA(B177,C177,D177,E177,F177)&gt;0),"Pensez à renseigner toutes les cases de la ligne !",IF(COUNTA(B177)=1,IF(COUNTBLANK(B177)&gt;=1,"Ne laissez pas de lignes vides. Écrivez sur la ligne supérieure.",""),"")))&amp;IF(G177="Non renseigné","Veuillez sélectionner de nouveau le nom dans la colonne Espèce traitée","")</f>
        <v/>
      </c>
      <c r="L177" s="31" t="str">
        <f>IF(E177="","",INDEX(Données_ATB!BD$3:BU$600,MATCH(E177,Medicament,0),18))</f>
        <v/>
      </c>
      <c r="M177" s="31" t="str">
        <f t="shared" si="13"/>
        <v/>
      </c>
      <c r="N177" s="31" t="str">
        <f t="shared" si="10"/>
        <v/>
      </c>
      <c r="O177" s="31" t="str">
        <f t="shared" si="11"/>
        <v/>
      </c>
      <c r="P177" s="31" t="str">
        <f t="shared" si="12"/>
        <v/>
      </c>
    </row>
    <row r="178" spans="2:16" s="8" customFormat="1" ht="13.8" x14ac:dyDescent="0.25">
      <c r="B178" s="155"/>
      <c r="C178" s="156"/>
      <c r="D178" s="156"/>
      <c r="E178" s="156"/>
      <c r="F178" s="182"/>
      <c r="G178" s="72" t="str">
        <f>IF(C178="","",IFERROR(INDEX(G$19:$L175,MATCH(C178,L$19:L$28,0),1),"Non renseigné"))</f>
        <v/>
      </c>
      <c r="H178" s="190" t="str">
        <f>IFERROR(IF(E178="","",INDEX(Données_ATB!BD$3:BT$600,MATCH(E178,Medicament,0),17)),"Ce médicament n'est pas connu dans la base")</f>
        <v/>
      </c>
      <c r="I178" s="69" t="str">
        <f>IFERROR(IF(E178="","",INDEX(Données_ATB!BD$3:BL$600,MATCH(E178,Medicament,0),9)),"")</f>
        <v/>
      </c>
      <c r="J178" s="44" t="str">
        <f>IFERROR(IF(E178="","",INDEX(Données_ATB!BD$3:BP$5600,MATCH(E178,Medicament,0),13)),"")</f>
        <v/>
      </c>
      <c r="K178" s="161" t="str">
        <f>IF(COUNTIFS($B$31:B178,B178,$E$31:E178,E178,$C$31:C178,C178,$D$31:D178,D178)&gt;1,"DÉJÀ ENTRÉ",IF(AND(COUNTA(B178,C178,D178,E178,F178)&lt;5,COUNTA(B178,C178,D178,E178,F178)&gt;0),"Pensez à renseigner toutes les cases de la ligne !",IF(COUNTA(B178)=1,IF(COUNTBLANK(B178)&gt;=1,"Ne laissez pas de lignes vides. Écrivez sur la ligne supérieure.",""),"")))&amp;IF(G178="Non renseigné","Veuillez sélectionner de nouveau le nom dans la colonne Espèce traitée","")</f>
        <v/>
      </c>
      <c r="L178" s="31" t="str">
        <f>IF(E178="","",INDEX(Données_ATB!BD$3:BU$600,MATCH(E178,Medicament,0),18))</f>
        <v/>
      </c>
      <c r="M178" s="31" t="str">
        <f t="shared" si="13"/>
        <v/>
      </c>
      <c r="N178" s="31" t="str">
        <f t="shared" ref="N178:N241" si="14">IF(E178="","",INDEX(C$19:L$28,MATCH(C178,L$19:L$28,0),1))</f>
        <v/>
      </c>
      <c r="O178" s="31" t="str">
        <f t="shared" ref="O178:O241" si="15">IF(E178="","",INDEX(C$19:L$28,MATCH(C178,L$19:L$28,0),2))</f>
        <v/>
      </c>
      <c r="P178" s="31" t="str">
        <f t="shared" ref="P178:P241" si="16">IF(E178="","",INDEX(C$19:L$28,MATCH(C178,L$19:L$28,0),3))</f>
        <v/>
      </c>
    </row>
    <row r="179" spans="2:16" s="8" customFormat="1" ht="13.8" x14ac:dyDescent="0.25">
      <c r="B179" s="155"/>
      <c r="C179" s="156"/>
      <c r="D179" s="156"/>
      <c r="E179" s="156"/>
      <c r="F179" s="182"/>
      <c r="G179" s="72" t="str">
        <f>IF(C179="","",IFERROR(INDEX(G$19:$L176,MATCH(C179,L$19:L$28,0),1),"Non renseigné"))</f>
        <v/>
      </c>
      <c r="H179" s="190" t="str">
        <f>IFERROR(IF(E179="","",INDEX(Données_ATB!BD$3:BT$600,MATCH(E179,Medicament,0),17)),"Ce médicament n'est pas connu dans la base")</f>
        <v/>
      </c>
      <c r="I179" s="69" t="str">
        <f>IFERROR(IF(E179="","",INDEX(Données_ATB!BD$3:BL$600,MATCH(E179,Medicament,0),9)),"")</f>
        <v/>
      </c>
      <c r="J179" s="44" t="str">
        <f>IFERROR(IF(E179="","",INDEX(Données_ATB!BD$3:BP$5600,MATCH(E179,Medicament,0),13)),"")</f>
        <v/>
      </c>
      <c r="K179" s="161" t="str">
        <f>IF(COUNTIFS($B$31:B179,B179,$E$31:E179,E179,$C$31:C179,C179,$D$31:D179,D179)&gt;1,"DÉJÀ ENTRÉ",IF(AND(COUNTA(B179,C179,D179,E179,F179)&lt;5,COUNTA(B179,C179,D179,E179,F179)&gt;0),"Pensez à renseigner toutes les cases de la ligne !",IF(COUNTA(B179)=1,IF(COUNTBLANK(B179)&gt;=1,"Ne laissez pas de lignes vides. Écrivez sur la ligne supérieure.",""),"")))&amp;IF(G179="Non renseigné","Veuillez sélectionner de nouveau le nom dans la colonne Espèce traitée","")</f>
        <v/>
      </c>
      <c r="L179" s="31" t="str">
        <f>IF(E179="","",INDEX(Données_ATB!BD$3:BU$600,MATCH(E179,Medicament,0),18))</f>
        <v/>
      </c>
      <c r="M179" s="31" t="str">
        <f t="shared" si="13"/>
        <v/>
      </c>
      <c r="N179" s="31" t="str">
        <f t="shared" si="14"/>
        <v/>
      </c>
      <c r="O179" s="31" t="str">
        <f t="shared" si="15"/>
        <v/>
      </c>
      <c r="P179" s="31" t="str">
        <f t="shared" si="16"/>
        <v/>
      </c>
    </row>
    <row r="180" spans="2:16" s="8" customFormat="1" ht="13.8" x14ac:dyDescent="0.25">
      <c r="B180" s="155"/>
      <c r="C180" s="156"/>
      <c r="D180" s="156"/>
      <c r="E180" s="156"/>
      <c r="F180" s="182"/>
      <c r="G180" s="72" t="str">
        <f>IF(C180="","",IFERROR(INDEX(G$19:$L177,MATCH(C180,L$19:L$28,0),1),"Non renseigné"))</f>
        <v/>
      </c>
      <c r="H180" s="190" t="str">
        <f>IFERROR(IF(E180="","",INDEX(Données_ATB!BD$3:BT$600,MATCH(E180,Medicament,0),17)),"Ce médicament n'est pas connu dans la base")</f>
        <v/>
      </c>
      <c r="I180" s="69" t="str">
        <f>IFERROR(IF(E180="","",INDEX(Données_ATB!BD$3:BL$600,MATCH(E180,Medicament,0),9)),"")</f>
        <v/>
      </c>
      <c r="J180" s="44" t="str">
        <f>IFERROR(IF(E180="","",INDEX(Données_ATB!BD$3:BP$5600,MATCH(E180,Medicament,0),13)),"")</f>
        <v/>
      </c>
      <c r="K180" s="161" t="str">
        <f>IF(COUNTIFS($B$31:B180,B180,$E$31:E180,E180,$C$31:C180,C180,$D$31:D180,D180)&gt;1,"DÉJÀ ENTRÉ",IF(AND(COUNTA(B180,C180,D180,E180,F180)&lt;5,COUNTA(B180,C180,D180,E180,F180)&gt;0),"Pensez à renseigner toutes les cases de la ligne !",IF(COUNTA(B180)=1,IF(COUNTBLANK(B180)&gt;=1,"Ne laissez pas de lignes vides. Écrivez sur la ligne supérieure.",""),"")))&amp;IF(G180="Non renseigné","Veuillez sélectionner de nouveau le nom dans la colonne Espèce traitée","")</f>
        <v/>
      </c>
      <c r="L180" s="31" t="str">
        <f>IF(E180="","",INDEX(Données_ATB!BD$3:BU$600,MATCH(E180,Medicament,0),18))</f>
        <v/>
      </c>
      <c r="M180" s="31" t="str">
        <f t="shared" si="13"/>
        <v/>
      </c>
      <c r="N180" s="31" t="str">
        <f t="shared" si="14"/>
        <v/>
      </c>
      <c r="O180" s="31" t="str">
        <f t="shared" si="15"/>
        <v/>
      </c>
      <c r="P180" s="31" t="str">
        <f t="shared" si="16"/>
        <v/>
      </c>
    </row>
    <row r="181" spans="2:16" s="8" customFormat="1" ht="13.8" x14ac:dyDescent="0.25">
      <c r="B181" s="155"/>
      <c r="C181" s="156"/>
      <c r="D181" s="156"/>
      <c r="E181" s="156"/>
      <c r="F181" s="182"/>
      <c r="G181" s="72" t="str">
        <f>IF(C181="","",IFERROR(INDEX(G$19:$L178,MATCH(C181,L$19:L$28,0),1),"Non renseigné"))</f>
        <v/>
      </c>
      <c r="H181" s="190" t="str">
        <f>IFERROR(IF(E181="","",INDEX(Données_ATB!BD$3:BT$600,MATCH(E181,Medicament,0),17)),"Ce médicament n'est pas connu dans la base")</f>
        <v/>
      </c>
      <c r="I181" s="69" t="str">
        <f>IFERROR(IF(E181="","",INDEX(Données_ATB!BD$3:BL$600,MATCH(E181,Medicament,0),9)),"")</f>
        <v/>
      </c>
      <c r="J181" s="44" t="str">
        <f>IFERROR(IF(E181="","",INDEX(Données_ATB!BD$3:BP$5600,MATCH(E181,Medicament,0),13)),"")</f>
        <v/>
      </c>
      <c r="K181" s="161" t="str">
        <f>IF(COUNTIFS($B$31:B181,B181,$E$31:E181,E181,$C$31:C181,C181,$D$31:D181,D181)&gt;1,"DÉJÀ ENTRÉ",IF(AND(COUNTA(B181,C181,D181,E181,F181)&lt;5,COUNTA(B181,C181,D181,E181,F181)&gt;0),"Pensez à renseigner toutes les cases de la ligne !",IF(COUNTA(B181)=1,IF(COUNTBLANK(B181)&gt;=1,"Ne laissez pas de lignes vides. Écrivez sur la ligne supérieure.",""),"")))&amp;IF(G181="Non renseigné","Veuillez sélectionner de nouveau le nom dans la colonne Espèce traitée","")</f>
        <v/>
      </c>
      <c r="L181" s="31" t="str">
        <f>IF(E181="","",INDEX(Données_ATB!BD$3:BU$600,MATCH(E181,Medicament,0),18))</f>
        <v/>
      </c>
      <c r="M181" s="31" t="str">
        <f t="shared" si="13"/>
        <v/>
      </c>
      <c r="N181" s="31" t="str">
        <f t="shared" si="14"/>
        <v/>
      </c>
      <c r="O181" s="31" t="str">
        <f t="shared" si="15"/>
        <v/>
      </c>
      <c r="P181" s="31" t="str">
        <f t="shared" si="16"/>
        <v/>
      </c>
    </row>
    <row r="182" spans="2:16" s="8" customFormat="1" ht="13.8" x14ac:dyDescent="0.25">
      <c r="B182" s="155"/>
      <c r="C182" s="156"/>
      <c r="D182" s="156"/>
      <c r="E182" s="156"/>
      <c r="F182" s="182"/>
      <c r="G182" s="72" t="str">
        <f>IF(C182="","",IFERROR(INDEX(G$19:$L179,MATCH(C182,L$19:L$28,0),1),"Non renseigné"))</f>
        <v/>
      </c>
      <c r="H182" s="190" t="str">
        <f>IFERROR(IF(E182="","",INDEX(Données_ATB!BD$3:BT$600,MATCH(E182,Medicament,0),17)),"Ce médicament n'est pas connu dans la base")</f>
        <v/>
      </c>
      <c r="I182" s="69" t="str">
        <f>IFERROR(IF(E182="","",INDEX(Données_ATB!BD$3:BL$600,MATCH(E182,Medicament,0),9)),"")</f>
        <v/>
      </c>
      <c r="J182" s="44" t="str">
        <f>IFERROR(IF(E182="","",INDEX(Données_ATB!BD$3:BP$5600,MATCH(E182,Medicament,0),13)),"")</f>
        <v/>
      </c>
      <c r="K182" s="161" t="str">
        <f>IF(COUNTIFS($B$31:B182,B182,$E$31:E182,E182,$C$31:C182,C182,$D$31:D182,D182)&gt;1,"DÉJÀ ENTRÉ",IF(AND(COUNTA(B182,C182,D182,E182,F182)&lt;5,COUNTA(B182,C182,D182,E182,F182)&gt;0),"Pensez à renseigner toutes les cases de la ligne !",IF(COUNTA(B182)=1,IF(COUNTBLANK(B182)&gt;=1,"Ne laissez pas de lignes vides. Écrivez sur la ligne supérieure.",""),"")))&amp;IF(G182="Non renseigné","Veuillez sélectionner de nouveau le nom dans la colonne Espèce traitée","")</f>
        <v/>
      </c>
      <c r="L182" s="31" t="str">
        <f>IF(E182="","",INDEX(Données_ATB!BD$3:BU$600,MATCH(E182,Medicament,0),18))</f>
        <v/>
      </c>
      <c r="M182" s="31" t="str">
        <f t="shared" si="13"/>
        <v/>
      </c>
      <c r="N182" s="31" t="str">
        <f t="shared" si="14"/>
        <v/>
      </c>
      <c r="O182" s="31" t="str">
        <f t="shared" si="15"/>
        <v/>
      </c>
      <c r="P182" s="31" t="str">
        <f t="shared" si="16"/>
        <v/>
      </c>
    </row>
    <row r="183" spans="2:16" s="8" customFormat="1" ht="13.8" x14ac:dyDescent="0.25">
      <c r="B183" s="155"/>
      <c r="C183" s="156"/>
      <c r="D183" s="156"/>
      <c r="E183" s="156"/>
      <c r="F183" s="182"/>
      <c r="G183" s="72" t="str">
        <f>IF(C183="","",IFERROR(INDEX(G$19:$L180,MATCH(C183,L$19:L$28,0),1),"Non renseigné"))</f>
        <v/>
      </c>
      <c r="H183" s="190" t="str">
        <f>IFERROR(IF(E183="","",INDEX(Données_ATB!BD$3:BT$600,MATCH(E183,Medicament,0),17)),"Ce médicament n'est pas connu dans la base")</f>
        <v/>
      </c>
      <c r="I183" s="69" t="str">
        <f>IFERROR(IF(E183="","",INDEX(Données_ATB!BD$3:BL$600,MATCH(E183,Medicament,0),9)),"")</f>
        <v/>
      </c>
      <c r="J183" s="44" t="str">
        <f>IFERROR(IF(E183="","",INDEX(Données_ATB!BD$3:BP$5600,MATCH(E183,Medicament,0),13)),"")</f>
        <v/>
      </c>
      <c r="K183" s="161" t="str">
        <f>IF(COUNTIFS($B$31:B183,B183,$E$31:E183,E183,$C$31:C183,C183,$D$31:D183,D183)&gt;1,"DÉJÀ ENTRÉ",IF(AND(COUNTA(B183,C183,D183,E183,F183)&lt;5,COUNTA(B183,C183,D183,E183,F183)&gt;0),"Pensez à renseigner toutes les cases de la ligne !",IF(COUNTA(B183)=1,IF(COUNTBLANK(B183)&gt;=1,"Ne laissez pas de lignes vides. Écrivez sur la ligne supérieure.",""),"")))&amp;IF(G183="Non renseigné","Veuillez sélectionner de nouveau le nom dans la colonne Espèce traitée","")</f>
        <v/>
      </c>
      <c r="L183" s="31" t="str">
        <f>IF(E183="","",INDEX(Données_ATB!BD$3:BU$600,MATCH(E183,Medicament,0),18))</f>
        <v/>
      </c>
      <c r="M183" s="31" t="str">
        <f t="shared" si="13"/>
        <v/>
      </c>
      <c r="N183" s="31" t="str">
        <f t="shared" si="14"/>
        <v/>
      </c>
      <c r="O183" s="31" t="str">
        <f t="shared" si="15"/>
        <v/>
      </c>
      <c r="P183" s="31" t="str">
        <f t="shared" si="16"/>
        <v/>
      </c>
    </row>
    <row r="184" spans="2:16" s="8" customFormat="1" ht="13.8" x14ac:dyDescent="0.25">
      <c r="B184" s="155"/>
      <c r="C184" s="156"/>
      <c r="D184" s="156"/>
      <c r="E184" s="156"/>
      <c r="F184" s="182"/>
      <c r="G184" s="72" t="str">
        <f>IF(C184="","",IFERROR(INDEX(G$19:$L181,MATCH(C184,L$19:L$28,0),1),"Non renseigné"))</f>
        <v/>
      </c>
      <c r="H184" s="190" t="str">
        <f>IFERROR(IF(E184="","",INDEX(Données_ATB!BD$3:BT$600,MATCH(E184,Medicament,0),17)),"Ce médicament n'est pas connu dans la base")</f>
        <v/>
      </c>
      <c r="I184" s="69" t="str">
        <f>IFERROR(IF(E184="","",INDEX(Données_ATB!BD$3:BL$600,MATCH(E184,Medicament,0),9)),"")</f>
        <v/>
      </c>
      <c r="J184" s="44" t="str">
        <f>IFERROR(IF(E184="","",INDEX(Données_ATB!BD$3:BP$5600,MATCH(E184,Medicament,0),13)),"")</f>
        <v/>
      </c>
      <c r="K184" s="161" t="str">
        <f>IF(COUNTIFS($B$31:B184,B184,$E$31:E184,E184,$C$31:C184,C184,$D$31:D184,D184)&gt;1,"DÉJÀ ENTRÉ",IF(AND(COUNTA(B184,C184,D184,E184,F184)&lt;5,COUNTA(B184,C184,D184,E184,F184)&gt;0),"Pensez à renseigner toutes les cases de la ligne !",IF(COUNTA(B184)=1,IF(COUNTBLANK(B184)&gt;=1,"Ne laissez pas de lignes vides. Écrivez sur la ligne supérieure.",""),"")))&amp;IF(G184="Non renseigné","Veuillez sélectionner de nouveau le nom dans la colonne Espèce traitée","")</f>
        <v/>
      </c>
      <c r="L184" s="31" t="str">
        <f>IF(E184="","",INDEX(Données_ATB!BD$3:BU$600,MATCH(E184,Medicament,0),18))</f>
        <v/>
      </c>
      <c r="M184" s="31" t="str">
        <f t="shared" si="13"/>
        <v/>
      </c>
      <c r="N184" s="31" t="str">
        <f t="shared" si="14"/>
        <v/>
      </c>
      <c r="O184" s="31" t="str">
        <f t="shared" si="15"/>
        <v/>
      </c>
      <c r="P184" s="31" t="str">
        <f t="shared" si="16"/>
        <v/>
      </c>
    </row>
    <row r="185" spans="2:16" s="8" customFormat="1" ht="13.8" x14ac:dyDescent="0.25">
      <c r="B185" s="155"/>
      <c r="C185" s="156"/>
      <c r="D185" s="156"/>
      <c r="E185" s="156"/>
      <c r="F185" s="182"/>
      <c r="G185" s="72" t="str">
        <f>IF(C185="","",IFERROR(INDEX(G$19:$L182,MATCH(C185,L$19:L$28,0),1),"Non renseigné"))</f>
        <v/>
      </c>
      <c r="H185" s="190" t="str">
        <f>IFERROR(IF(E185="","",INDEX(Données_ATB!BD$3:BT$600,MATCH(E185,Medicament,0),17)),"Ce médicament n'est pas connu dans la base")</f>
        <v/>
      </c>
      <c r="I185" s="69" t="str">
        <f>IFERROR(IF(E185="","",INDEX(Données_ATB!BD$3:BL$600,MATCH(E185,Medicament,0),9)),"")</f>
        <v/>
      </c>
      <c r="J185" s="44" t="str">
        <f>IFERROR(IF(E185="","",INDEX(Données_ATB!BD$3:BP$5600,MATCH(E185,Medicament,0),13)),"")</f>
        <v/>
      </c>
      <c r="K185" s="161" t="str">
        <f>IF(COUNTIFS($B$31:B185,B185,$E$31:E185,E185,$C$31:C185,C185,$D$31:D185,D185)&gt;1,"DÉJÀ ENTRÉ",IF(AND(COUNTA(B185,C185,D185,E185,F185)&lt;5,COUNTA(B185,C185,D185,E185,F185)&gt;0),"Pensez à renseigner toutes les cases de la ligne !",IF(COUNTA(B185)=1,IF(COUNTBLANK(B185)&gt;=1,"Ne laissez pas de lignes vides. Écrivez sur la ligne supérieure.",""),"")))&amp;IF(G185="Non renseigné","Veuillez sélectionner de nouveau le nom dans la colonne Espèce traitée","")</f>
        <v/>
      </c>
      <c r="L185" s="31" t="str">
        <f>IF(E185="","",INDEX(Données_ATB!BD$3:BU$600,MATCH(E185,Medicament,0),18))</f>
        <v/>
      </c>
      <c r="M185" s="31" t="str">
        <f t="shared" si="13"/>
        <v/>
      </c>
      <c r="N185" s="31" t="str">
        <f t="shared" si="14"/>
        <v/>
      </c>
      <c r="O185" s="31" t="str">
        <f t="shared" si="15"/>
        <v/>
      </c>
      <c r="P185" s="31" t="str">
        <f t="shared" si="16"/>
        <v/>
      </c>
    </row>
    <row r="186" spans="2:16" s="8" customFormat="1" ht="13.8" x14ac:dyDescent="0.25">
      <c r="B186" s="155"/>
      <c r="C186" s="156"/>
      <c r="D186" s="156"/>
      <c r="E186" s="156"/>
      <c r="F186" s="182"/>
      <c r="G186" s="72" t="str">
        <f>IF(C186="","",IFERROR(INDEX(G$19:$L183,MATCH(C186,L$19:L$28,0),1),"Non renseigné"))</f>
        <v/>
      </c>
      <c r="H186" s="190" t="str">
        <f>IFERROR(IF(E186="","",INDEX(Données_ATB!BD$3:BT$600,MATCH(E186,Medicament,0),17)),"Ce médicament n'est pas connu dans la base")</f>
        <v/>
      </c>
      <c r="I186" s="69" t="str">
        <f>IFERROR(IF(E186="","",INDEX(Données_ATB!BD$3:BL$600,MATCH(E186,Medicament,0),9)),"")</f>
        <v/>
      </c>
      <c r="J186" s="44" t="str">
        <f>IFERROR(IF(E186="","",INDEX(Données_ATB!BD$3:BP$5600,MATCH(E186,Medicament,0),13)),"")</f>
        <v/>
      </c>
      <c r="K186" s="161" t="str">
        <f>IF(COUNTIFS($B$31:B186,B186,$E$31:E186,E186,$C$31:C186,C186,$D$31:D186,D186)&gt;1,"DÉJÀ ENTRÉ",IF(AND(COUNTA(B186,C186,D186,E186,F186)&lt;5,COUNTA(B186,C186,D186,E186,F186)&gt;0),"Pensez à renseigner toutes les cases de la ligne !",IF(COUNTA(B186)=1,IF(COUNTBLANK(B186)&gt;=1,"Ne laissez pas de lignes vides. Écrivez sur la ligne supérieure.",""),"")))&amp;IF(G186="Non renseigné","Veuillez sélectionner de nouveau le nom dans la colonne Espèce traitée","")</f>
        <v/>
      </c>
      <c r="L186" s="31" t="str">
        <f>IF(E186="","",INDEX(Données_ATB!BD$3:BU$600,MATCH(E186,Medicament,0),18))</f>
        <v/>
      </c>
      <c r="M186" s="31" t="str">
        <f t="shared" si="13"/>
        <v/>
      </c>
      <c r="N186" s="31" t="str">
        <f t="shared" si="14"/>
        <v/>
      </c>
      <c r="O186" s="31" t="str">
        <f t="shared" si="15"/>
        <v/>
      </c>
      <c r="P186" s="31" t="str">
        <f t="shared" si="16"/>
        <v/>
      </c>
    </row>
    <row r="187" spans="2:16" s="8" customFormat="1" ht="13.8" x14ac:dyDescent="0.25">
      <c r="B187" s="155"/>
      <c r="C187" s="156"/>
      <c r="D187" s="156"/>
      <c r="E187" s="156"/>
      <c r="F187" s="182"/>
      <c r="G187" s="72" t="str">
        <f>IF(C187="","",IFERROR(INDEX(G$19:$L184,MATCH(C187,L$19:L$28,0),1),"Non renseigné"))</f>
        <v/>
      </c>
      <c r="H187" s="190" t="str">
        <f>IFERROR(IF(E187="","",INDEX(Données_ATB!BD$3:BT$600,MATCH(E187,Medicament,0),17)),"Ce médicament n'est pas connu dans la base")</f>
        <v/>
      </c>
      <c r="I187" s="69" t="str">
        <f>IFERROR(IF(E187="","",INDEX(Données_ATB!BD$3:BL$600,MATCH(E187,Medicament,0),9)),"")</f>
        <v/>
      </c>
      <c r="J187" s="44" t="str">
        <f>IFERROR(IF(E187="","",INDEX(Données_ATB!BD$3:BP$5600,MATCH(E187,Medicament,0),13)),"")</f>
        <v/>
      </c>
      <c r="K187" s="161" t="str">
        <f>IF(COUNTIFS($B$31:B187,B187,$E$31:E187,E187,$C$31:C187,C187,$D$31:D187,D187)&gt;1,"DÉJÀ ENTRÉ",IF(AND(COUNTA(B187,C187,D187,E187,F187)&lt;5,COUNTA(B187,C187,D187,E187,F187)&gt;0),"Pensez à renseigner toutes les cases de la ligne !",IF(COUNTA(B187)=1,IF(COUNTBLANK(B187)&gt;=1,"Ne laissez pas de lignes vides. Écrivez sur la ligne supérieure.",""),"")))&amp;IF(G187="Non renseigné","Veuillez sélectionner de nouveau le nom dans la colonne Espèce traitée","")</f>
        <v/>
      </c>
      <c r="L187" s="31" t="str">
        <f>IF(E187="","",INDEX(Données_ATB!BD$3:BU$600,MATCH(E187,Medicament,0),18))</f>
        <v/>
      </c>
      <c r="M187" s="31" t="str">
        <f t="shared" si="13"/>
        <v/>
      </c>
      <c r="N187" s="31" t="str">
        <f t="shared" si="14"/>
        <v/>
      </c>
      <c r="O187" s="31" t="str">
        <f t="shared" si="15"/>
        <v/>
      </c>
      <c r="P187" s="31" t="str">
        <f t="shared" si="16"/>
        <v/>
      </c>
    </row>
    <row r="188" spans="2:16" s="8" customFormat="1" ht="13.8" x14ac:dyDescent="0.25">
      <c r="B188" s="155"/>
      <c r="C188" s="156"/>
      <c r="D188" s="156"/>
      <c r="E188" s="156"/>
      <c r="F188" s="182"/>
      <c r="G188" s="72" t="str">
        <f>IF(C188="","",IFERROR(INDEX(G$19:$L185,MATCH(C188,L$19:L$28,0),1),"Non renseigné"))</f>
        <v/>
      </c>
      <c r="H188" s="190" t="str">
        <f>IFERROR(IF(E188="","",INDEX(Données_ATB!BD$3:BT$600,MATCH(E188,Medicament,0),17)),"Ce médicament n'est pas connu dans la base")</f>
        <v/>
      </c>
      <c r="I188" s="69" t="str">
        <f>IFERROR(IF(E188="","",INDEX(Données_ATB!BD$3:BL$600,MATCH(E188,Medicament,0),9)),"")</f>
        <v/>
      </c>
      <c r="J188" s="44" t="str">
        <f>IFERROR(IF(E188="","",INDEX(Données_ATB!BD$3:BP$5600,MATCH(E188,Medicament,0),13)),"")</f>
        <v/>
      </c>
      <c r="K188" s="161" t="str">
        <f>IF(COUNTIFS($B$31:B188,B188,$E$31:E188,E188,$C$31:C188,C188,$D$31:D188,D188)&gt;1,"DÉJÀ ENTRÉ",IF(AND(COUNTA(B188,C188,D188,E188,F188)&lt;5,COUNTA(B188,C188,D188,E188,F188)&gt;0),"Pensez à renseigner toutes les cases de la ligne !",IF(COUNTA(B188)=1,IF(COUNTBLANK(B188)&gt;=1,"Ne laissez pas de lignes vides. Écrivez sur la ligne supérieure.",""),"")))&amp;IF(G188="Non renseigné","Veuillez sélectionner de nouveau le nom dans la colonne Espèce traitée","")</f>
        <v/>
      </c>
      <c r="L188" s="31" t="str">
        <f>IF(E188="","",INDEX(Données_ATB!BD$3:BU$600,MATCH(E188,Medicament,0),18))</f>
        <v/>
      </c>
      <c r="M188" s="31" t="str">
        <f t="shared" si="13"/>
        <v/>
      </c>
      <c r="N188" s="31" t="str">
        <f t="shared" si="14"/>
        <v/>
      </c>
      <c r="O188" s="31" t="str">
        <f t="shared" si="15"/>
        <v/>
      </c>
      <c r="P188" s="31" t="str">
        <f t="shared" si="16"/>
        <v/>
      </c>
    </row>
    <row r="189" spans="2:16" s="8" customFormat="1" ht="13.8" x14ac:dyDescent="0.25">
      <c r="B189" s="155"/>
      <c r="C189" s="156"/>
      <c r="D189" s="156"/>
      <c r="E189" s="156"/>
      <c r="F189" s="182"/>
      <c r="G189" s="72" t="str">
        <f>IF(C189="","",IFERROR(INDEX(G$19:$L186,MATCH(C189,L$19:L$28,0),1),"Non renseigné"))</f>
        <v/>
      </c>
      <c r="H189" s="190" t="str">
        <f>IFERROR(IF(E189="","",INDEX(Données_ATB!BD$3:BT$600,MATCH(E189,Medicament,0),17)),"Ce médicament n'est pas connu dans la base")</f>
        <v/>
      </c>
      <c r="I189" s="69" t="str">
        <f>IFERROR(IF(E189="","",INDEX(Données_ATB!BD$3:BL$600,MATCH(E189,Medicament,0),9)),"")</f>
        <v/>
      </c>
      <c r="J189" s="44" t="str">
        <f>IFERROR(IF(E189="","",INDEX(Données_ATB!BD$3:BP$5600,MATCH(E189,Medicament,0),13)),"")</f>
        <v/>
      </c>
      <c r="K189" s="161" t="str">
        <f>IF(COUNTIFS($B$31:B189,B189,$E$31:E189,E189,$C$31:C189,C189,$D$31:D189,D189)&gt;1,"DÉJÀ ENTRÉ",IF(AND(COUNTA(B189,C189,D189,E189,F189)&lt;5,COUNTA(B189,C189,D189,E189,F189)&gt;0),"Pensez à renseigner toutes les cases de la ligne !",IF(COUNTA(B189)=1,IF(COUNTBLANK(B189)&gt;=1,"Ne laissez pas de lignes vides. Écrivez sur la ligne supérieure.",""),"")))&amp;IF(G189="Non renseigné","Veuillez sélectionner de nouveau le nom dans la colonne Espèce traitée","")</f>
        <v/>
      </c>
      <c r="L189" s="31" t="str">
        <f>IF(E189="","",INDEX(Données_ATB!BD$3:BU$600,MATCH(E189,Medicament,0),18))</f>
        <v/>
      </c>
      <c r="M189" s="31" t="str">
        <f t="shared" si="13"/>
        <v/>
      </c>
      <c r="N189" s="31" t="str">
        <f t="shared" si="14"/>
        <v/>
      </c>
      <c r="O189" s="31" t="str">
        <f t="shared" si="15"/>
        <v/>
      </c>
      <c r="P189" s="31" t="str">
        <f t="shared" si="16"/>
        <v/>
      </c>
    </row>
    <row r="190" spans="2:16" s="8" customFormat="1" ht="13.8" x14ac:dyDescent="0.25">
      <c r="B190" s="155"/>
      <c r="C190" s="156"/>
      <c r="D190" s="156"/>
      <c r="E190" s="156"/>
      <c r="F190" s="182"/>
      <c r="G190" s="72" t="str">
        <f>IF(C190="","",IFERROR(INDEX(G$19:$L187,MATCH(C190,L$19:L$28,0),1),"Non renseigné"))</f>
        <v/>
      </c>
      <c r="H190" s="190" t="str">
        <f>IFERROR(IF(E190="","",INDEX(Données_ATB!BD$3:BT$600,MATCH(E190,Medicament,0),17)),"Ce médicament n'est pas connu dans la base")</f>
        <v/>
      </c>
      <c r="I190" s="69" t="str">
        <f>IFERROR(IF(E190="","",INDEX(Données_ATB!BD$3:BL$600,MATCH(E190,Medicament,0),9)),"")</f>
        <v/>
      </c>
      <c r="J190" s="44" t="str">
        <f>IFERROR(IF(E190="","",INDEX(Données_ATB!BD$3:BP$5600,MATCH(E190,Medicament,0),13)),"")</f>
        <v/>
      </c>
      <c r="K190" s="161" t="str">
        <f>IF(COUNTIFS($B$31:B190,B190,$E$31:E190,E190,$C$31:C190,C190,$D$31:D190,D190)&gt;1,"DÉJÀ ENTRÉ",IF(AND(COUNTA(B190,C190,D190,E190,F190)&lt;5,COUNTA(B190,C190,D190,E190,F190)&gt;0),"Pensez à renseigner toutes les cases de la ligne !",IF(COUNTA(B190)=1,IF(COUNTBLANK(B190)&gt;=1,"Ne laissez pas de lignes vides. Écrivez sur la ligne supérieure.",""),"")))&amp;IF(G190="Non renseigné","Veuillez sélectionner de nouveau le nom dans la colonne Espèce traitée","")</f>
        <v/>
      </c>
      <c r="L190" s="31" t="str">
        <f>IF(E190="","",INDEX(Données_ATB!BD$3:BU$600,MATCH(E190,Medicament,0),18))</f>
        <v/>
      </c>
      <c r="M190" s="31" t="str">
        <f t="shared" si="13"/>
        <v/>
      </c>
      <c r="N190" s="31" t="str">
        <f t="shared" si="14"/>
        <v/>
      </c>
      <c r="O190" s="31" t="str">
        <f t="shared" si="15"/>
        <v/>
      </c>
      <c r="P190" s="31" t="str">
        <f t="shared" si="16"/>
        <v/>
      </c>
    </row>
    <row r="191" spans="2:16" s="8" customFormat="1" ht="13.8" x14ac:dyDescent="0.25">
      <c r="B191" s="155"/>
      <c r="C191" s="156"/>
      <c r="D191" s="156"/>
      <c r="E191" s="156"/>
      <c r="F191" s="182"/>
      <c r="G191" s="72" t="str">
        <f>IF(C191="","",IFERROR(INDEX(G$19:$L188,MATCH(C191,L$19:L$28,0),1),"Non renseigné"))</f>
        <v/>
      </c>
      <c r="H191" s="190" t="str">
        <f>IFERROR(IF(E191="","",INDEX(Données_ATB!BD$3:BT$600,MATCH(E191,Medicament,0),17)),"Ce médicament n'est pas connu dans la base")</f>
        <v/>
      </c>
      <c r="I191" s="69" t="str">
        <f>IFERROR(IF(E191="","",INDEX(Données_ATB!BD$3:BL$600,MATCH(E191,Medicament,0),9)),"")</f>
        <v/>
      </c>
      <c r="J191" s="44" t="str">
        <f>IFERROR(IF(E191="","",INDEX(Données_ATB!BD$3:BP$5600,MATCH(E191,Medicament,0),13)),"")</f>
        <v/>
      </c>
      <c r="K191" s="161" t="str">
        <f>IF(COUNTIFS($B$31:B191,B191,$E$31:E191,E191,$C$31:C191,C191,$D$31:D191,D191)&gt;1,"DÉJÀ ENTRÉ",IF(AND(COUNTA(B191,C191,D191,E191,F191)&lt;5,COUNTA(B191,C191,D191,E191,F191)&gt;0),"Pensez à renseigner toutes les cases de la ligne !",IF(COUNTA(B191)=1,IF(COUNTBLANK(B191)&gt;=1,"Ne laissez pas de lignes vides. Écrivez sur la ligne supérieure.",""),"")))&amp;IF(G191="Non renseigné","Veuillez sélectionner de nouveau le nom dans la colonne Espèce traitée","")</f>
        <v/>
      </c>
      <c r="L191" s="31" t="str">
        <f>IF(E191="","",INDEX(Données_ATB!BD$3:BU$600,MATCH(E191,Medicament,0),18))</f>
        <v/>
      </c>
      <c r="M191" s="31" t="str">
        <f t="shared" si="13"/>
        <v/>
      </c>
      <c r="N191" s="31" t="str">
        <f t="shared" si="14"/>
        <v/>
      </c>
      <c r="O191" s="31" t="str">
        <f t="shared" si="15"/>
        <v/>
      </c>
      <c r="P191" s="31" t="str">
        <f t="shared" si="16"/>
        <v/>
      </c>
    </row>
    <row r="192" spans="2:16" s="8" customFormat="1" ht="13.8" x14ac:dyDescent="0.25">
      <c r="B192" s="155"/>
      <c r="C192" s="156"/>
      <c r="D192" s="156"/>
      <c r="E192" s="156"/>
      <c r="F192" s="182"/>
      <c r="G192" s="72" t="str">
        <f>IF(C192="","",IFERROR(INDEX(G$19:$L189,MATCH(C192,L$19:L$28,0),1),"Non renseigné"))</f>
        <v/>
      </c>
      <c r="H192" s="190" t="str">
        <f>IFERROR(IF(E192="","",INDEX(Données_ATB!BD$3:BT$600,MATCH(E192,Medicament,0),17)),"Ce médicament n'est pas connu dans la base")</f>
        <v/>
      </c>
      <c r="I192" s="69" t="str">
        <f>IFERROR(IF(E192="","",INDEX(Données_ATB!BD$3:BL$600,MATCH(E192,Medicament,0),9)),"")</f>
        <v/>
      </c>
      <c r="J192" s="44" t="str">
        <f>IFERROR(IF(E192="","",INDEX(Données_ATB!BD$3:BP$5600,MATCH(E192,Medicament,0),13)),"")</f>
        <v/>
      </c>
      <c r="K192" s="161" t="str">
        <f>IF(COUNTIFS($B$31:B192,B192,$E$31:E192,E192,$C$31:C192,C192,$D$31:D192,D192)&gt;1,"DÉJÀ ENTRÉ",IF(AND(COUNTA(B192,C192,D192,E192,F192)&lt;5,COUNTA(B192,C192,D192,E192,F192)&gt;0),"Pensez à renseigner toutes les cases de la ligne !",IF(COUNTA(B192)=1,IF(COUNTBLANK(B192)&gt;=1,"Ne laissez pas de lignes vides. Écrivez sur la ligne supérieure.",""),"")))&amp;IF(G192="Non renseigné","Veuillez sélectionner de nouveau le nom dans la colonne Espèce traitée","")</f>
        <v/>
      </c>
      <c r="L192" s="31" t="str">
        <f>IF(E192="","",INDEX(Données_ATB!BD$3:BU$600,MATCH(E192,Medicament,0),18))</f>
        <v/>
      </c>
      <c r="M192" s="31" t="str">
        <f t="shared" si="13"/>
        <v/>
      </c>
      <c r="N192" s="31" t="str">
        <f t="shared" si="14"/>
        <v/>
      </c>
      <c r="O192" s="31" t="str">
        <f t="shared" si="15"/>
        <v/>
      </c>
      <c r="P192" s="31" t="str">
        <f t="shared" si="16"/>
        <v/>
      </c>
    </row>
    <row r="193" spans="2:16" s="8" customFormat="1" ht="13.8" x14ac:dyDescent="0.25">
      <c r="B193" s="155"/>
      <c r="C193" s="156"/>
      <c r="D193" s="156"/>
      <c r="E193" s="156"/>
      <c r="F193" s="182"/>
      <c r="G193" s="72" t="str">
        <f>IF(C193="","",IFERROR(INDEX(G$19:$L190,MATCH(C193,L$19:L$28,0),1),"Non renseigné"))</f>
        <v/>
      </c>
      <c r="H193" s="190" t="str">
        <f>IFERROR(IF(E193="","",INDEX(Données_ATB!BD$3:BT$600,MATCH(E193,Medicament,0),17)),"Ce médicament n'est pas connu dans la base")</f>
        <v/>
      </c>
      <c r="I193" s="69" t="str">
        <f>IFERROR(IF(E193="","",INDEX(Données_ATB!BD$3:BL$600,MATCH(E193,Medicament,0),9)),"")</f>
        <v/>
      </c>
      <c r="J193" s="44" t="str">
        <f>IFERROR(IF(E193="","",INDEX(Données_ATB!BD$3:BP$5600,MATCH(E193,Medicament,0),13)),"")</f>
        <v/>
      </c>
      <c r="K193" s="161" t="str">
        <f>IF(COUNTIFS($B$31:B193,B193,$E$31:E193,E193,$C$31:C193,C193,$D$31:D193,D193)&gt;1,"DÉJÀ ENTRÉ",IF(AND(COUNTA(B193,C193,D193,E193,F193)&lt;5,COUNTA(B193,C193,D193,E193,F193)&gt;0),"Pensez à renseigner toutes les cases de la ligne !",IF(COUNTA(B193)=1,IF(COUNTBLANK(B193)&gt;=1,"Ne laissez pas de lignes vides. Écrivez sur la ligne supérieure.",""),"")))&amp;IF(G193="Non renseigné","Veuillez sélectionner de nouveau le nom dans la colonne Espèce traitée","")</f>
        <v/>
      </c>
      <c r="L193" s="31" t="str">
        <f>IF(E193="","",INDEX(Données_ATB!BD$3:BU$600,MATCH(E193,Medicament,0),18))</f>
        <v/>
      </c>
      <c r="M193" s="31" t="str">
        <f t="shared" si="13"/>
        <v/>
      </c>
      <c r="N193" s="31" t="str">
        <f t="shared" si="14"/>
        <v/>
      </c>
      <c r="O193" s="31" t="str">
        <f t="shared" si="15"/>
        <v/>
      </c>
      <c r="P193" s="31" t="str">
        <f t="shared" si="16"/>
        <v/>
      </c>
    </row>
    <row r="194" spans="2:16" s="8" customFormat="1" ht="13.8" x14ac:dyDescent="0.25">
      <c r="B194" s="155"/>
      <c r="C194" s="156"/>
      <c r="D194" s="156"/>
      <c r="E194" s="156"/>
      <c r="F194" s="182"/>
      <c r="G194" s="72" t="str">
        <f>IF(C194="","",IFERROR(INDEX(G$19:$L191,MATCH(C194,L$19:L$28,0),1),"Non renseigné"))</f>
        <v/>
      </c>
      <c r="H194" s="190" t="str">
        <f>IFERROR(IF(E194="","",INDEX(Données_ATB!BD$3:BT$600,MATCH(E194,Medicament,0),17)),"Ce médicament n'est pas connu dans la base")</f>
        <v/>
      </c>
      <c r="I194" s="69" t="str">
        <f>IFERROR(IF(E194="","",INDEX(Données_ATB!BD$3:BL$600,MATCH(E194,Medicament,0),9)),"")</f>
        <v/>
      </c>
      <c r="J194" s="44" t="str">
        <f>IFERROR(IF(E194="","",INDEX(Données_ATB!BD$3:BP$5600,MATCH(E194,Medicament,0),13)),"")</f>
        <v/>
      </c>
      <c r="K194" s="161" t="str">
        <f>IF(COUNTIFS($B$31:B194,B194,$E$31:E194,E194,$C$31:C194,C194,$D$31:D194,D194)&gt;1,"DÉJÀ ENTRÉ",IF(AND(COUNTA(B194,C194,D194,E194,F194)&lt;5,COUNTA(B194,C194,D194,E194,F194)&gt;0),"Pensez à renseigner toutes les cases de la ligne !",IF(COUNTA(B194)=1,IF(COUNTBLANK(B194)&gt;=1,"Ne laissez pas de lignes vides. Écrivez sur la ligne supérieure.",""),"")))&amp;IF(G194="Non renseigné","Veuillez sélectionner de nouveau le nom dans la colonne Espèce traitée","")</f>
        <v/>
      </c>
      <c r="L194" s="31" t="str">
        <f>IF(E194="","",INDEX(Données_ATB!BD$3:BU$600,MATCH(E194,Medicament,0),18))</f>
        <v/>
      </c>
      <c r="M194" s="31" t="str">
        <f t="shared" si="13"/>
        <v/>
      </c>
      <c r="N194" s="31" t="str">
        <f t="shared" si="14"/>
        <v/>
      </c>
      <c r="O194" s="31" t="str">
        <f t="shared" si="15"/>
        <v/>
      </c>
      <c r="P194" s="31" t="str">
        <f t="shared" si="16"/>
        <v/>
      </c>
    </row>
    <row r="195" spans="2:16" s="8" customFormat="1" ht="13.8" x14ac:dyDescent="0.25">
      <c r="B195" s="155"/>
      <c r="C195" s="156"/>
      <c r="D195" s="156"/>
      <c r="E195" s="156"/>
      <c r="F195" s="182"/>
      <c r="G195" s="72" t="str">
        <f>IF(C195="","",IFERROR(INDEX(G$19:$L192,MATCH(C195,L$19:L$28,0),1),"Non renseigné"))</f>
        <v/>
      </c>
      <c r="H195" s="190" t="str">
        <f>IFERROR(IF(E195="","",INDEX(Données_ATB!BD$3:BT$600,MATCH(E195,Medicament,0),17)),"Ce médicament n'est pas connu dans la base")</f>
        <v/>
      </c>
      <c r="I195" s="69" t="str">
        <f>IFERROR(IF(E195="","",INDEX(Données_ATB!BD$3:BL$600,MATCH(E195,Medicament,0),9)),"")</f>
        <v/>
      </c>
      <c r="J195" s="44" t="str">
        <f>IFERROR(IF(E195="","",INDEX(Données_ATB!BD$3:BP$5600,MATCH(E195,Medicament,0),13)),"")</f>
        <v/>
      </c>
      <c r="K195" s="161" t="str">
        <f>IF(COUNTIFS($B$31:B195,B195,$E$31:E195,E195,$C$31:C195,C195,$D$31:D195,D195)&gt;1,"DÉJÀ ENTRÉ",IF(AND(COUNTA(B195,C195,D195,E195,F195)&lt;5,COUNTA(B195,C195,D195,E195,F195)&gt;0),"Pensez à renseigner toutes les cases de la ligne !",IF(COUNTA(B195)=1,IF(COUNTBLANK(B195)&gt;=1,"Ne laissez pas de lignes vides. Écrivez sur la ligne supérieure.",""),"")))&amp;IF(G195="Non renseigné","Veuillez sélectionner de nouveau le nom dans la colonne Espèce traitée","")</f>
        <v/>
      </c>
      <c r="L195" s="31" t="str">
        <f>IF(E195="","",INDEX(Données_ATB!BD$3:BU$600,MATCH(E195,Medicament,0),18))</f>
        <v/>
      </c>
      <c r="M195" s="31" t="str">
        <f t="shared" si="13"/>
        <v/>
      </c>
      <c r="N195" s="31" t="str">
        <f t="shared" si="14"/>
        <v/>
      </c>
      <c r="O195" s="31" t="str">
        <f t="shared" si="15"/>
        <v/>
      </c>
      <c r="P195" s="31" t="str">
        <f t="shared" si="16"/>
        <v/>
      </c>
    </row>
    <row r="196" spans="2:16" s="8" customFormat="1" ht="13.8" x14ac:dyDescent="0.25">
      <c r="B196" s="155"/>
      <c r="C196" s="156"/>
      <c r="D196" s="156"/>
      <c r="E196" s="156"/>
      <c r="F196" s="182"/>
      <c r="G196" s="72" t="str">
        <f>IF(C196="","",IFERROR(INDEX(G$19:$L193,MATCH(C196,L$19:L$28,0),1),"Non renseigné"))</f>
        <v/>
      </c>
      <c r="H196" s="190" t="str">
        <f>IFERROR(IF(E196="","",INDEX(Données_ATB!BD$3:BT$600,MATCH(E196,Medicament,0),17)),"Ce médicament n'est pas connu dans la base")</f>
        <v/>
      </c>
      <c r="I196" s="69" t="str">
        <f>IFERROR(IF(E196="","",INDEX(Données_ATB!BD$3:BL$600,MATCH(E196,Medicament,0),9)),"")</f>
        <v/>
      </c>
      <c r="J196" s="44" t="str">
        <f>IFERROR(IF(E196="","",INDEX(Données_ATB!BD$3:BP$5600,MATCH(E196,Medicament,0),13)),"")</f>
        <v/>
      </c>
      <c r="K196" s="161" t="str">
        <f>IF(COUNTIFS($B$31:B196,B196,$E$31:E196,E196,$C$31:C196,C196,$D$31:D196,D196)&gt;1,"DÉJÀ ENTRÉ",IF(AND(COUNTA(B196,C196,D196,E196,F196)&lt;5,COUNTA(B196,C196,D196,E196,F196)&gt;0),"Pensez à renseigner toutes les cases de la ligne !",IF(COUNTA(B196)=1,IF(COUNTBLANK(B196)&gt;=1,"Ne laissez pas de lignes vides. Écrivez sur la ligne supérieure.",""),"")))&amp;IF(G196="Non renseigné","Veuillez sélectionner de nouveau le nom dans la colonne Espèce traitée","")</f>
        <v/>
      </c>
      <c r="L196" s="31" t="str">
        <f>IF(E196="","",INDEX(Données_ATB!BD$3:BU$600,MATCH(E196,Medicament,0),18))</f>
        <v/>
      </c>
      <c r="M196" s="31" t="str">
        <f t="shared" si="13"/>
        <v/>
      </c>
      <c r="N196" s="31" t="str">
        <f t="shared" si="14"/>
        <v/>
      </c>
      <c r="O196" s="31" t="str">
        <f t="shared" si="15"/>
        <v/>
      </c>
      <c r="P196" s="31" t="str">
        <f t="shared" si="16"/>
        <v/>
      </c>
    </row>
    <row r="197" spans="2:16" s="8" customFormat="1" ht="13.8" x14ac:dyDescent="0.25">
      <c r="B197" s="155"/>
      <c r="C197" s="156"/>
      <c r="D197" s="156"/>
      <c r="E197" s="156"/>
      <c r="F197" s="182"/>
      <c r="G197" s="72" t="str">
        <f>IF(C197="","",IFERROR(INDEX(G$19:$L194,MATCH(C197,L$19:L$28,0),1),"Non renseigné"))</f>
        <v/>
      </c>
      <c r="H197" s="190" t="str">
        <f>IFERROR(IF(E197="","",INDEX(Données_ATB!BD$3:BT$600,MATCH(E197,Medicament,0),17)),"Ce médicament n'est pas connu dans la base")</f>
        <v/>
      </c>
      <c r="I197" s="69" t="str">
        <f>IFERROR(IF(E197="","",INDEX(Données_ATB!BD$3:BL$600,MATCH(E197,Medicament,0),9)),"")</f>
        <v/>
      </c>
      <c r="J197" s="44" t="str">
        <f>IFERROR(IF(E197="","",INDEX(Données_ATB!BD$3:BP$5600,MATCH(E197,Medicament,0),13)),"")</f>
        <v/>
      </c>
      <c r="K197" s="161" t="str">
        <f>IF(COUNTIFS($B$31:B197,B197,$E$31:E197,E197,$C$31:C197,C197,$D$31:D197,D197)&gt;1,"DÉJÀ ENTRÉ",IF(AND(COUNTA(B197,C197,D197,E197,F197)&lt;5,COUNTA(B197,C197,D197,E197,F197)&gt;0),"Pensez à renseigner toutes les cases de la ligne !",IF(COUNTA(B197)=1,IF(COUNTBLANK(B197)&gt;=1,"Ne laissez pas de lignes vides. Écrivez sur la ligne supérieure.",""),"")))&amp;IF(G197="Non renseigné","Veuillez sélectionner de nouveau le nom dans la colonne Espèce traitée","")</f>
        <v/>
      </c>
      <c r="L197" s="31" t="str">
        <f>IF(E197="","",INDEX(Données_ATB!BD$3:BU$600,MATCH(E197,Medicament,0),18))</f>
        <v/>
      </c>
      <c r="M197" s="31" t="str">
        <f t="shared" si="13"/>
        <v/>
      </c>
      <c r="N197" s="31" t="str">
        <f t="shared" si="14"/>
        <v/>
      </c>
      <c r="O197" s="31" t="str">
        <f t="shared" si="15"/>
        <v/>
      </c>
      <c r="P197" s="31" t="str">
        <f t="shared" si="16"/>
        <v/>
      </c>
    </row>
    <row r="198" spans="2:16" s="8" customFormat="1" ht="13.8" x14ac:dyDescent="0.25">
      <c r="B198" s="155"/>
      <c r="C198" s="156"/>
      <c r="D198" s="156"/>
      <c r="E198" s="156"/>
      <c r="F198" s="182"/>
      <c r="G198" s="72" t="str">
        <f>IF(C198="","",IFERROR(INDEX(G$19:$L195,MATCH(C198,L$19:L$28,0),1),"Non renseigné"))</f>
        <v/>
      </c>
      <c r="H198" s="190" t="str">
        <f>IFERROR(IF(E198="","",INDEX(Données_ATB!BD$3:BT$600,MATCH(E198,Medicament,0),17)),"Ce médicament n'est pas connu dans la base")</f>
        <v/>
      </c>
      <c r="I198" s="69" t="str">
        <f>IFERROR(IF(E198="","",INDEX(Données_ATB!BD$3:BL$600,MATCH(E198,Medicament,0),9)),"")</f>
        <v/>
      </c>
      <c r="J198" s="44" t="str">
        <f>IFERROR(IF(E198="","",INDEX(Données_ATB!BD$3:BP$5600,MATCH(E198,Medicament,0),13)),"")</f>
        <v/>
      </c>
      <c r="K198" s="161" t="str">
        <f>IF(COUNTIFS($B$31:B198,B198,$E$31:E198,E198,$C$31:C198,C198,$D$31:D198,D198)&gt;1,"DÉJÀ ENTRÉ",IF(AND(COUNTA(B198,C198,D198,E198,F198)&lt;5,COUNTA(B198,C198,D198,E198,F198)&gt;0),"Pensez à renseigner toutes les cases de la ligne !",IF(COUNTA(B198)=1,IF(COUNTBLANK(B198)&gt;=1,"Ne laissez pas de lignes vides. Écrivez sur la ligne supérieure.",""),"")))&amp;IF(G198="Non renseigné","Veuillez sélectionner de nouveau le nom dans la colonne Espèce traitée","")</f>
        <v/>
      </c>
      <c r="L198" s="31" t="str">
        <f>IF(E198="","",INDEX(Données_ATB!BD$3:BU$600,MATCH(E198,Medicament,0),18))</f>
        <v/>
      </c>
      <c r="M198" s="31" t="str">
        <f t="shared" si="13"/>
        <v/>
      </c>
      <c r="N198" s="31" t="str">
        <f t="shared" si="14"/>
        <v/>
      </c>
      <c r="O198" s="31" t="str">
        <f t="shared" si="15"/>
        <v/>
      </c>
      <c r="P198" s="31" t="str">
        <f t="shared" si="16"/>
        <v/>
      </c>
    </row>
    <row r="199" spans="2:16" s="8" customFormat="1" ht="13.8" x14ac:dyDescent="0.25">
      <c r="B199" s="155"/>
      <c r="C199" s="156"/>
      <c r="D199" s="156"/>
      <c r="E199" s="156"/>
      <c r="F199" s="182"/>
      <c r="G199" s="72" t="str">
        <f>IF(C199="","",IFERROR(INDEX(G$19:$L196,MATCH(C199,L$19:L$28,0),1),"Non renseigné"))</f>
        <v/>
      </c>
      <c r="H199" s="190" t="str">
        <f>IFERROR(IF(E199="","",INDEX(Données_ATB!BD$3:BT$600,MATCH(E199,Medicament,0),17)),"Ce médicament n'est pas connu dans la base")</f>
        <v/>
      </c>
      <c r="I199" s="69" t="str">
        <f>IFERROR(IF(E199="","",INDEX(Données_ATB!BD$3:BL$600,MATCH(E199,Medicament,0),9)),"")</f>
        <v/>
      </c>
      <c r="J199" s="44" t="str">
        <f>IFERROR(IF(E199="","",INDEX(Données_ATB!BD$3:BP$5600,MATCH(E199,Medicament,0),13)),"")</f>
        <v/>
      </c>
      <c r="K199" s="161" t="str">
        <f>IF(COUNTIFS($B$31:B199,B199,$E$31:E199,E199,$C$31:C199,C199,$D$31:D199,D199)&gt;1,"DÉJÀ ENTRÉ",IF(AND(COUNTA(B199,C199,D199,E199,F199)&lt;5,COUNTA(B199,C199,D199,E199,F199)&gt;0),"Pensez à renseigner toutes les cases de la ligne !",IF(COUNTA(B199)=1,IF(COUNTBLANK(B199)&gt;=1,"Ne laissez pas de lignes vides. Écrivez sur la ligne supérieure.",""),"")))&amp;IF(G199="Non renseigné","Veuillez sélectionner de nouveau le nom dans la colonne Espèce traitée","")</f>
        <v/>
      </c>
      <c r="L199" s="31" t="str">
        <f>IF(E199="","",INDEX(Données_ATB!BD$3:BU$600,MATCH(E199,Medicament,0),18))</f>
        <v/>
      </c>
      <c r="M199" s="31" t="str">
        <f t="shared" si="13"/>
        <v/>
      </c>
      <c r="N199" s="31" t="str">
        <f t="shared" si="14"/>
        <v/>
      </c>
      <c r="O199" s="31" t="str">
        <f t="shared" si="15"/>
        <v/>
      </c>
      <c r="P199" s="31" t="str">
        <f t="shared" si="16"/>
        <v/>
      </c>
    </row>
    <row r="200" spans="2:16" s="8" customFormat="1" ht="13.8" x14ac:dyDescent="0.25">
      <c r="B200" s="155"/>
      <c r="C200" s="156"/>
      <c r="D200" s="156"/>
      <c r="E200" s="156"/>
      <c r="F200" s="182"/>
      <c r="G200" s="72" t="str">
        <f>IF(C200="","",IFERROR(INDEX(G$19:$L197,MATCH(C200,L$19:L$28,0),1),"Non renseigné"))</f>
        <v/>
      </c>
      <c r="H200" s="190" t="str">
        <f>IFERROR(IF(E200="","",INDEX(Données_ATB!BD$3:BT$600,MATCH(E200,Medicament,0),17)),"Ce médicament n'est pas connu dans la base")</f>
        <v/>
      </c>
      <c r="I200" s="69" t="str">
        <f>IFERROR(IF(E200="","",INDEX(Données_ATB!BD$3:BL$600,MATCH(E200,Medicament,0),9)),"")</f>
        <v/>
      </c>
      <c r="J200" s="44" t="str">
        <f>IFERROR(IF(E200="","",INDEX(Données_ATB!BD$3:BP$5600,MATCH(E200,Medicament,0),13)),"")</f>
        <v/>
      </c>
      <c r="K200" s="161" t="str">
        <f>IF(COUNTIFS($B$31:B200,B200,$E$31:E200,E200,$C$31:C200,C200,$D$31:D200,D200)&gt;1,"DÉJÀ ENTRÉ",IF(AND(COUNTA(B200,C200,D200,E200,F200)&lt;5,COUNTA(B200,C200,D200,E200,F200)&gt;0),"Pensez à renseigner toutes les cases de la ligne !",IF(COUNTA(B200)=1,IF(COUNTBLANK(B200)&gt;=1,"Ne laissez pas de lignes vides. Écrivez sur la ligne supérieure.",""),"")))&amp;IF(G200="Non renseigné","Veuillez sélectionner de nouveau le nom dans la colonne Espèce traitée","")</f>
        <v/>
      </c>
      <c r="L200" s="31" t="str">
        <f>IF(E200="","",INDEX(Données_ATB!BD$3:BU$600,MATCH(E200,Medicament,0),18))</f>
        <v/>
      </c>
      <c r="M200" s="31" t="str">
        <f t="shared" si="13"/>
        <v/>
      </c>
      <c r="N200" s="31" t="str">
        <f t="shared" si="14"/>
        <v/>
      </c>
      <c r="O200" s="31" t="str">
        <f t="shared" si="15"/>
        <v/>
      </c>
      <c r="P200" s="31" t="str">
        <f t="shared" si="16"/>
        <v/>
      </c>
    </row>
    <row r="201" spans="2:16" s="8" customFormat="1" ht="13.8" x14ac:dyDescent="0.25">
      <c r="B201" s="155"/>
      <c r="C201" s="156"/>
      <c r="D201" s="156"/>
      <c r="E201" s="156"/>
      <c r="F201" s="182"/>
      <c r="G201" s="72" t="str">
        <f>IF(C201="","",IFERROR(INDEX(G$19:$L198,MATCH(C201,L$19:L$28,0),1),"Non renseigné"))</f>
        <v/>
      </c>
      <c r="H201" s="190" t="str">
        <f>IFERROR(IF(E201="","",INDEX(Données_ATB!BD$3:BT$600,MATCH(E201,Medicament,0),17)),"Ce médicament n'est pas connu dans la base")</f>
        <v/>
      </c>
      <c r="I201" s="69" t="str">
        <f>IFERROR(IF(E201="","",INDEX(Données_ATB!BD$3:BL$600,MATCH(E201,Medicament,0),9)),"")</f>
        <v/>
      </c>
      <c r="J201" s="44" t="str">
        <f>IFERROR(IF(E201="","",INDEX(Données_ATB!BD$3:BP$5600,MATCH(E201,Medicament,0),13)),"")</f>
        <v/>
      </c>
      <c r="K201" s="161" t="str">
        <f>IF(COUNTIFS($B$31:B201,B201,$E$31:E201,E201,$C$31:C201,C201,$D$31:D201,D201)&gt;1,"DÉJÀ ENTRÉ",IF(AND(COUNTA(B201,C201,D201,E201,F201)&lt;5,COUNTA(B201,C201,D201,E201,F201)&gt;0),"Pensez à renseigner toutes les cases de la ligne !",IF(COUNTA(B201)=1,IF(COUNTBLANK(B201)&gt;=1,"Ne laissez pas de lignes vides. Écrivez sur la ligne supérieure.",""),"")))&amp;IF(G201="Non renseigné","Veuillez sélectionner de nouveau le nom dans la colonne Espèce traitée","")</f>
        <v/>
      </c>
      <c r="L201" s="31" t="str">
        <f>IF(E201="","",INDEX(Données_ATB!BD$3:BU$600,MATCH(E201,Medicament,0),18))</f>
        <v/>
      </c>
      <c r="M201" s="31" t="str">
        <f t="shared" si="13"/>
        <v/>
      </c>
      <c r="N201" s="31" t="str">
        <f t="shared" si="14"/>
        <v/>
      </c>
      <c r="O201" s="31" t="str">
        <f t="shared" si="15"/>
        <v/>
      </c>
      <c r="P201" s="31" t="str">
        <f t="shared" si="16"/>
        <v/>
      </c>
    </row>
    <row r="202" spans="2:16" s="8" customFormat="1" ht="13.8" x14ac:dyDescent="0.25">
      <c r="B202" s="155"/>
      <c r="C202" s="156"/>
      <c r="D202" s="156"/>
      <c r="E202" s="156"/>
      <c r="F202" s="182"/>
      <c r="G202" s="72" t="str">
        <f>IF(C202="","",IFERROR(INDEX(G$19:$L199,MATCH(C202,L$19:L$28,0),1),"Non renseigné"))</f>
        <v/>
      </c>
      <c r="H202" s="190" t="str">
        <f>IFERROR(IF(E202="","",INDEX(Données_ATB!BD$3:BT$600,MATCH(E202,Medicament,0),17)),"Ce médicament n'est pas connu dans la base")</f>
        <v/>
      </c>
      <c r="I202" s="69" t="str">
        <f>IFERROR(IF(E202="","",INDEX(Données_ATB!BD$3:BL$600,MATCH(E202,Medicament,0),9)),"")</f>
        <v/>
      </c>
      <c r="J202" s="44" t="str">
        <f>IFERROR(IF(E202="","",INDEX(Données_ATB!BD$3:BP$5600,MATCH(E202,Medicament,0),13)),"")</f>
        <v/>
      </c>
      <c r="K202" s="161" t="str">
        <f>IF(COUNTIFS($B$31:B202,B202,$E$31:E202,E202,$C$31:C202,C202,$D$31:D202,D202)&gt;1,"DÉJÀ ENTRÉ",IF(AND(COUNTA(B202,C202,D202,E202,F202)&lt;5,COUNTA(B202,C202,D202,E202,F202)&gt;0),"Pensez à renseigner toutes les cases de la ligne !",IF(COUNTA(B202)=1,IF(COUNTBLANK(B202)&gt;=1,"Ne laissez pas de lignes vides. Écrivez sur la ligne supérieure.",""),"")))&amp;IF(G202="Non renseigné","Veuillez sélectionner de nouveau le nom dans la colonne Espèce traitée","")</f>
        <v/>
      </c>
      <c r="L202" s="31" t="str">
        <f>IF(E202="","",INDEX(Données_ATB!BD$3:BU$600,MATCH(E202,Medicament,0),18))</f>
        <v/>
      </c>
      <c r="M202" s="31" t="str">
        <f t="shared" si="13"/>
        <v/>
      </c>
      <c r="N202" s="31" t="str">
        <f t="shared" si="14"/>
        <v/>
      </c>
      <c r="O202" s="31" t="str">
        <f t="shared" si="15"/>
        <v/>
      </c>
      <c r="P202" s="31" t="str">
        <f t="shared" si="16"/>
        <v/>
      </c>
    </row>
    <row r="203" spans="2:16" s="8" customFormat="1" ht="13.8" x14ac:dyDescent="0.25">
      <c r="B203" s="155"/>
      <c r="C203" s="156"/>
      <c r="D203" s="156"/>
      <c r="E203" s="156"/>
      <c r="F203" s="182"/>
      <c r="G203" s="72" t="str">
        <f>IF(C203="","",IFERROR(INDEX(G$19:$L200,MATCH(C203,L$19:L$28,0),1),"Non renseigné"))</f>
        <v/>
      </c>
      <c r="H203" s="190" t="str">
        <f>IFERROR(IF(E203="","",INDEX(Données_ATB!BD$3:BT$600,MATCH(E203,Medicament,0),17)),"Ce médicament n'est pas connu dans la base")</f>
        <v/>
      </c>
      <c r="I203" s="69" t="str">
        <f>IFERROR(IF(E203="","",INDEX(Données_ATB!BD$3:BL$600,MATCH(E203,Medicament,0),9)),"")</f>
        <v/>
      </c>
      <c r="J203" s="44" t="str">
        <f>IFERROR(IF(E203="","",INDEX(Données_ATB!BD$3:BP$5600,MATCH(E203,Medicament,0),13)),"")</f>
        <v/>
      </c>
      <c r="K203" s="161" t="str">
        <f>IF(COUNTIFS($B$31:B203,B203,$E$31:E203,E203,$C$31:C203,C203,$D$31:D203,D203)&gt;1,"DÉJÀ ENTRÉ",IF(AND(COUNTA(B203,C203,D203,E203,F203)&lt;5,COUNTA(B203,C203,D203,E203,F203)&gt;0),"Pensez à renseigner toutes les cases de la ligne !",IF(COUNTA(B203)=1,IF(COUNTBLANK(B203)&gt;=1,"Ne laissez pas de lignes vides. Écrivez sur la ligne supérieure.",""),"")))&amp;IF(G203="Non renseigné","Veuillez sélectionner de nouveau le nom dans la colonne Espèce traitée","")</f>
        <v/>
      </c>
      <c r="L203" s="31" t="str">
        <f>IF(E203="","",INDEX(Données_ATB!BD$3:BU$600,MATCH(E203,Medicament,0),18))</f>
        <v/>
      </c>
      <c r="M203" s="31" t="str">
        <f t="shared" si="13"/>
        <v/>
      </c>
      <c r="N203" s="31" t="str">
        <f t="shared" si="14"/>
        <v/>
      </c>
      <c r="O203" s="31" t="str">
        <f t="shared" si="15"/>
        <v/>
      </c>
      <c r="P203" s="31" t="str">
        <f t="shared" si="16"/>
        <v/>
      </c>
    </row>
    <row r="204" spans="2:16" s="8" customFormat="1" ht="13.8" x14ac:dyDescent="0.25">
      <c r="B204" s="155"/>
      <c r="C204" s="156"/>
      <c r="D204" s="156"/>
      <c r="E204" s="156"/>
      <c r="F204" s="182"/>
      <c r="G204" s="72" t="str">
        <f>IF(C204="","",IFERROR(INDEX(G$19:$L201,MATCH(C204,L$19:L$28,0),1),"Non renseigné"))</f>
        <v/>
      </c>
      <c r="H204" s="190" t="str">
        <f>IFERROR(IF(E204="","",INDEX(Données_ATB!BD$3:BT$600,MATCH(E204,Medicament,0),17)),"Ce médicament n'est pas connu dans la base")</f>
        <v/>
      </c>
      <c r="I204" s="69" t="str">
        <f>IFERROR(IF(E204="","",INDEX(Données_ATB!BD$3:BL$600,MATCH(E204,Medicament,0),9)),"")</f>
        <v/>
      </c>
      <c r="J204" s="44" t="str">
        <f>IFERROR(IF(E204="","",INDEX(Données_ATB!BD$3:BP$5600,MATCH(E204,Medicament,0),13)),"")</f>
        <v/>
      </c>
      <c r="K204" s="161" t="str">
        <f>IF(COUNTIFS($B$31:B204,B204,$E$31:E204,E204,$C$31:C204,C204,$D$31:D204,D204)&gt;1,"DÉJÀ ENTRÉ",IF(AND(COUNTA(B204,C204,D204,E204,F204)&lt;5,COUNTA(B204,C204,D204,E204,F204)&gt;0),"Pensez à renseigner toutes les cases de la ligne !",IF(COUNTA(B204)=1,IF(COUNTBLANK(B204)&gt;=1,"Ne laissez pas de lignes vides. Écrivez sur la ligne supérieure.",""),"")))&amp;IF(G204="Non renseigné","Veuillez sélectionner de nouveau le nom dans la colonne Espèce traitée","")</f>
        <v/>
      </c>
      <c r="L204" s="31" t="str">
        <f>IF(E204="","",INDEX(Données_ATB!BD$3:BU$600,MATCH(E204,Medicament,0),18))</f>
        <v/>
      </c>
      <c r="M204" s="31" t="str">
        <f t="shared" si="13"/>
        <v/>
      </c>
      <c r="N204" s="31" t="str">
        <f t="shared" si="14"/>
        <v/>
      </c>
      <c r="O204" s="31" t="str">
        <f t="shared" si="15"/>
        <v/>
      </c>
      <c r="P204" s="31" t="str">
        <f t="shared" si="16"/>
        <v/>
      </c>
    </row>
    <row r="205" spans="2:16" s="8" customFormat="1" ht="13.8" x14ac:dyDescent="0.25">
      <c r="B205" s="155"/>
      <c r="C205" s="156"/>
      <c r="D205" s="156"/>
      <c r="E205" s="156"/>
      <c r="F205" s="182"/>
      <c r="G205" s="72" t="str">
        <f>IF(C205="","",IFERROR(INDEX(G$19:$L202,MATCH(C205,L$19:L$28,0),1),"Non renseigné"))</f>
        <v/>
      </c>
      <c r="H205" s="190" t="str">
        <f>IFERROR(IF(E205="","",INDEX(Données_ATB!BD$3:BT$600,MATCH(E205,Medicament,0),17)),"Ce médicament n'est pas connu dans la base")</f>
        <v/>
      </c>
      <c r="I205" s="69" t="str">
        <f>IFERROR(IF(E205="","",INDEX(Données_ATB!BD$3:BL$600,MATCH(E205,Medicament,0),9)),"")</f>
        <v/>
      </c>
      <c r="J205" s="44" t="str">
        <f>IFERROR(IF(E205="","",INDEX(Données_ATB!BD$3:BP$5600,MATCH(E205,Medicament,0),13)),"")</f>
        <v/>
      </c>
      <c r="K205" s="161" t="str">
        <f>IF(COUNTIFS($B$31:B205,B205,$E$31:E205,E205,$C$31:C205,C205,$D$31:D205,D205)&gt;1,"DÉJÀ ENTRÉ",IF(AND(COUNTA(B205,C205,D205,E205,F205)&lt;5,COUNTA(B205,C205,D205,E205,F205)&gt;0),"Pensez à renseigner toutes les cases de la ligne !",IF(COUNTA(B205)=1,IF(COUNTBLANK(B205)&gt;=1,"Ne laissez pas de lignes vides. Écrivez sur la ligne supérieure.",""),"")))&amp;IF(G205="Non renseigné","Veuillez sélectionner de nouveau le nom dans la colonne Espèce traitée","")</f>
        <v/>
      </c>
      <c r="L205" s="31" t="str">
        <f>IF(E205="","",INDEX(Données_ATB!BD$3:BU$600,MATCH(E205,Medicament,0),18))</f>
        <v/>
      </c>
      <c r="M205" s="31" t="str">
        <f t="shared" si="13"/>
        <v/>
      </c>
      <c r="N205" s="31" t="str">
        <f t="shared" si="14"/>
        <v/>
      </c>
      <c r="O205" s="31" t="str">
        <f t="shared" si="15"/>
        <v/>
      </c>
      <c r="P205" s="31" t="str">
        <f t="shared" si="16"/>
        <v/>
      </c>
    </row>
    <row r="206" spans="2:16" x14ac:dyDescent="0.3">
      <c r="B206" s="155"/>
      <c r="C206" s="156"/>
      <c r="D206" s="156"/>
      <c r="E206" s="156"/>
      <c r="F206" s="182"/>
      <c r="G206" s="72" t="str">
        <f>IF(C206="","",IFERROR(INDEX(G$19:$L203,MATCH(C206,L$19:L$28,0),1),"Non renseigné"))</f>
        <v/>
      </c>
      <c r="H206" s="190" t="str">
        <f>IFERROR(IF(E206="","",INDEX(Données_ATB!BD$3:BT$600,MATCH(E206,Medicament,0),17)),"Ce médicament n'est pas connu dans la base")</f>
        <v/>
      </c>
      <c r="I206" s="69" t="str">
        <f>IFERROR(IF(E206="","",INDEX(Données_ATB!BD$3:BL$600,MATCH(E206,Medicament,0),9)),"")</f>
        <v/>
      </c>
      <c r="J206" s="44" t="str">
        <f>IFERROR(IF(E206="","",INDEX(Données_ATB!BD$3:BP$5600,MATCH(E206,Medicament,0),13)),"")</f>
        <v/>
      </c>
      <c r="K206" s="161" t="str">
        <f>IF(COUNTIFS($B$31:B206,B206,$E$31:E206,E206,$C$31:C206,C206,$D$31:D206,D206)&gt;1,"DÉJÀ ENTRÉ",IF(AND(COUNTA(B206,C206,D206,E206,F206)&lt;5,COUNTA(B206,C206,D206,E206,F206)&gt;0),"Pensez à renseigner toutes les cases de la ligne !",IF(COUNTA(B206)=1,IF(COUNTBLANK(B206)&gt;=1,"Ne laissez pas de lignes vides. Écrivez sur la ligne supérieure.",""),"")))&amp;IF(G206="Non renseigné","Veuillez sélectionner de nouveau le nom dans la colonne Espèce traitée","")</f>
        <v/>
      </c>
      <c r="L206" s="31" t="str">
        <f>IF(E206="","",INDEX(Données_ATB!BD$3:BU$600,MATCH(E206,Medicament,0),18))</f>
        <v/>
      </c>
      <c r="M206" s="31" t="str">
        <f t="shared" si="13"/>
        <v/>
      </c>
      <c r="N206" s="31" t="str">
        <f t="shared" si="14"/>
        <v/>
      </c>
      <c r="O206" s="31" t="str">
        <f t="shared" si="15"/>
        <v/>
      </c>
      <c r="P206" s="31" t="str">
        <f t="shared" si="16"/>
        <v/>
      </c>
    </row>
    <row r="207" spans="2:16" x14ac:dyDescent="0.3">
      <c r="B207" s="155"/>
      <c r="C207" s="156"/>
      <c r="D207" s="156"/>
      <c r="E207" s="156"/>
      <c r="F207" s="182"/>
      <c r="G207" s="72" t="str">
        <f>IF(C207="","",IFERROR(INDEX(G$19:$L204,MATCH(C207,L$19:L$28,0),1),"Non renseigné"))</f>
        <v/>
      </c>
      <c r="H207" s="190" t="str">
        <f>IFERROR(IF(E207="","",INDEX(Données_ATB!BD$3:BT$600,MATCH(E207,Medicament,0),17)),"Ce médicament n'est pas connu dans la base")</f>
        <v/>
      </c>
      <c r="I207" s="69" t="str">
        <f>IFERROR(IF(E207="","",INDEX(Données_ATB!BD$3:BL$600,MATCH(E207,Medicament,0),9)),"")</f>
        <v/>
      </c>
      <c r="J207" s="44" t="str">
        <f>IFERROR(IF(E207="","",INDEX(Données_ATB!BD$3:BP$5600,MATCH(E207,Medicament,0),13)),"")</f>
        <v/>
      </c>
      <c r="K207" s="161" t="str">
        <f>IF(COUNTIFS($B$31:B207,B207,$E$31:E207,E207,$C$31:C207,C207,$D$31:D207,D207)&gt;1,"DÉJÀ ENTRÉ",IF(AND(COUNTA(B207,C207,D207,E207,F207)&lt;5,COUNTA(B207,C207,D207,E207,F207)&gt;0),"Pensez à renseigner toutes les cases de la ligne !",IF(COUNTA(B207)=1,IF(COUNTBLANK(B207)&gt;=1,"Ne laissez pas de lignes vides. Écrivez sur la ligne supérieure.",""),"")))&amp;IF(G207="Non renseigné","Veuillez sélectionner de nouveau le nom dans la colonne Espèce traitée","")</f>
        <v/>
      </c>
      <c r="L207" s="31" t="str">
        <f>IF(E207="","",INDEX(Données_ATB!BD$3:BU$600,MATCH(E207,Medicament,0),18))</f>
        <v/>
      </c>
      <c r="M207" s="31" t="str">
        <f t="shared" si="13"/>
        <v/>
      </c>
      <c r="N207" s="31" t="str">
        <f t="shared" si="14"/>
        <v/>
      </c>
      <c r="O207" s="31" t="str">
        <f t="shared" si="15"/>
        <v/>
      </c>
      <c r="P207" s="31" t="str">
        <f t="shared" si="16"/>
        <v/>
      </c>
    </row>
    <row r="208" spans="2:16" x14ac:dyDescent="0.3">
      <c r="B208" s="155"/>
      <c r="C208" s="156"/>
      <c r="D208" s="156"/>
      <c r="E208" s="156"/>
      <c r="F208" s="182"/>
      <c r="G208" s="72" t="str">
        <f>IF(C208="","",IFERROR(INDEX(G$19:$L205,MATCH(C208,L$19:L$28,0),1),"Non renseigné"))</f>
        <v/>
      </c>
      <c r="H208" s="190" t="str">
        <f>IFERROR(IF(E208="","",INDEX(Données_ATB!BD$3:BT$600,MATCH(E208,Medicament,0),17)),"Ce médicament n'est pas connu dans la base")</f>
        <v/>
      </c>
      <c r="I208" s="69" t="str">
        <f>IFERROR(IF(E208="","",INDEX(Données_ATB!BD$3:BL$600,MATCH(E208,Medicament,0),9)),"")</f>
        <v/>
      </c>
      <c r="J208" s="44" t="str">
        <f>IFERROR(IF(E208="","",INDEX(Données_ATB!BD$3:BP$5600,MATCH(E208,Medicament,0),13)),"")</f>
        <v/>
      </c>
      <c r="K208" s="161" t="str">
        <f>IF(COUNTIFS($B$31:B208,B208,$E$31:E208,E208,$C$31:C208,C208,$D$31:D208,D208)&gt;1,"DÉJÀ ENTRÉ",IF(AND(COUNTA(B208,C208,D208,E208,F208)&lt;5,COUNTA(B208,C208,D208,E208,F208)&gt;0),"Pensez à renseigner toutes les cases de la ligne !",IF(COUNTA(B208)=1,IF(COUNTBLANK(B208)&gt;=1,"Ne laissez pas de lignes vides. Écrivez sur la ligne supérieure.",""),"")))&amp;IF(G208="Non renseigné","Veuillez sélectionner de nouveau le nom dans la colonne Espèce traitée","")</f>
        <v/>
      </c>
      <c r="L208" s="31" t="str">
        <f>IF(E208="","",INDEX(Données_ATB!BD$3:BU$600,MATCH(E208,Medicament,0),18))</f>
        <v/>
      </c>
      <c r="M208" s="31" t="str">
        <f t="shared" si="13"/>
        <v/>
      </c>
      <c r="N208" s="31" t="str">
        <f t="shared" si="14"/>
        <v/>
      </c>
      <c r="O208" s="31" t="str">
        <f t="shared" si="15"/>
        <v/>
      </c>
      <c r="P208" s="31" t="str">
        <f t="shared" si="16"/>
        <v/>
      </c>
    </row>
    <row r="209" spans="2:16" x14ac:dyDescent="0.3">
      <c r="B209" s="155"/>
      <c r="C209" s="156"/>
      <c r="D209" s="156"/>
      <c r="E209" s="156"/>
      <c r="F209" s="182"/>
      <c r="G209" s="72" t="str">
        <f>IF(C209="","",IFERROR(INDEX(G$19:$L206,MATCH(C209,L$19:L$28,0),1),"Non renseigné"))</f>
        <v/>
      </c>
      <c r="H209" s="190" t="str">
        <f>IFERROR(IF(E209="","",INDEX(Données_ATB!BD$3:BT$600,MATCH(E209,Medicament,0),17)),"Ce médicament n'est pas connu dans la base")</f>
        <v/>
      </c>
      <c r="I209" s="69" t="str">
        <f>IFERROR(IF(E209="","",INDEX(Données_ATB!BD$3:BL$600,MATCH(E209,Medicament,0),9)),"")</f>
        <v/>
      </c>
      <c r="J209" s="44" t="str">
        <f>IFERROR(IF(E209="","",INDEX(Données_ATB!BD$3:BP$5600,MATCH(E209,Medicament,0),13)),"")</f>
        <v/>
      </c>
      <c r="K209" s="161" t="str">
        <f>IF(COUNTIFS($B$31:B209,B209,$E$31:E209,E209,$C$31:C209,C209,$D$31:D209,D209)&gt;1,"DÉJÀ ENTRÉ",IF(AND(COUNTA(B209,C209,D209,E209,F209)&lt;5,COUNTA(B209,C209,D209,E209,F209)&gt;0),"Pensez à renseigner toutes les cases de la ligne !",IF(COUNTA(B209)=1,IF(COUNTBLANK(B209)&gt;=1,"Ne laissez pas de lignes vides. Écrivez sur la ligne supérieure.",""),"")))&amp;IF(G209="Non renseigné","Veuillez sélectionner de nouveau le nom dans la colonne Espèce traitée","")</f>
        <v/>
      </c>
      <c r="L209" s="31" t="str">
        <f>IF(E209="","",INDEX(Données_ATB!BD$3:BU$600,MATCH(E209,Medicament,0),18))</f>
        <v/>
      </c>
      <c r="M209" s="31" t="str">
        <f t="shared" si="13"/>
        <v/>
      </c>
      <c r="N209" s="31" t="str">
        <f t="shared" si="14"/>
        <v/>
      </c>
      <c r="O209" s="31" t="str">
        <f t="shared" si="15"/>
        <v/>
      </c>
      <c r="P209" s="31" t="str">
        <f t="shared" si="16"/>
        <v/>
      </c>
    </row>
    <row r="210" spans="2:16" x14ac:dyDescent="0.3">
      <c r="B210" s="155"/>
      <c r="C210" s="156"/>
      <c r="D210" s="156"/>
      <c r="E210" s="156"/>
      <c r="F210" s="182"/>
      <c r="G210" s="72" t="str">
        <f>IF(C210="","",IFERROR(INDEX(G$19:$L207,MATCH(C210,L$19:L$28,0),1),"Non renseigné"))</f>
        <v/>
      </c>
      <c r="H210" s="190" t="str">
        <f>IFERROR(IF(E210="","",INDEX(Données_ATB!BD$3:BT$600,MATCH(E210,Medicament,0),17)),"Ce médicament n'est pas connu dans la base")</f>
        <v/>
      </c>
      <c r="I210" s="69" t="str">
        <f>IFERROR(IF(E210="","",INDEX(Données_ATB!BD$3:BL$600,MATCH(E210,Medicament,0),9)),"")</f>
        <v/>
      </c>
      <c r="J210" s="44" t="str">
        <f>IFERROR(IF(E210="","",INDEX(Données_ATB!BD$3:BP$5600,MATCH(E210,Medicament,0),13)),"")</f>
        <v/>
      </c>
      <c r="K210" s="161" t="str">
        <f>IF(COUNTIFS($B$31:B210,B210,$E$31:E210,E210,$C$31:C210,C210,$D$31:D210,D210)&gt;1,"DÉJÀ ENTRÉ",IF(AND(COUNTA(B210,C210,D210,E210,F210)&lt;5,COUNTA(B210,C210,D210,E210,F210)&gt;0),"Pensez à renseigner toutes les cases de la ligne !",IF(COUNTA(B210)=1,IF(COUNTBLANK(B210)&gt;=1,"Ne laissez pas de lignes vides. Écrivez sur la ligne supérieure.",""),"")))&amp;IF(G210="Non renseigné","Veuillez sélectionner de nouveau le nom dans la colonne Espèce traitée","")</f>
        <v/>
      </c>
      <c r="L210" s="31" t="str">
        <f>IF(E210="","",INDEX(Données_ATB!BD$3:BU$600,MATCH(E210,Medicament,0),18))</f>
        <v/>
      </c>
      <c r="M210" s="31" t="str">
        <f t="shared" si="13"/>
        <v/>
      </c>
      <c r="N210" s="31" t="str">
        <f t="shared" si="14"/>
        <v/>
      </c>
      <c r="O210" s="31" t="str">
        <f t="shared" si="15"/>
        <v/>
      </c>
      <c r="P210" s="31" t="str">
        <f t="shared" si="16"/>
        <v/>
      </c>
    </row>
    <row r="211" spans="2:16" x14ac:dyDescent="0.3">
      <c r="B211" s="155"/>
      <c r="C211" s="156"/>
      <c r="D211" s="156"/>
      <c r="E211" s="156"/>
      <c r="F211" s="182"/>
      <c r="G211" s="72" t="str">
        <f>IF(C211="","",IFERROR(INDEX(G$19:$L208,MATCH(C211,L$19:L$28,0),1),"Non renseigné"))</f>
        <v/>
      </c>
      <c r="H211" s="190" t="str">
        <f>IFERROR(IF(E211="","",INDEX(Données_ATB!BD$3:BT$600,MATCH(E211,Medicament,0),17)),"Ce médicament n'est pas connu dans la base")</f>
        <v/>
      </c>
      <c r="I211" s="69" t="str">
        <f>IFERROR(IF(E211="","",INDEX(Données_ATB!BD$3:BL$600,MATCH(E211,Medicament,0),9)),"")</f>
        <v/>
      </c>
      <c r="J211" s="44" t="str">
        <f>IFERROR(IF(E211="","",INDEX(Données_ATB!BD$3:BP$5600,MATCH(E211,Medicament,0),13)),"")</f>
        <v/>
      </c>
      <c r="K211" s="161" t="str">
        <f>IF(COUNTIFS($B$31:B211,B211,$E$31:E211,E211,$C$31:C211,C211,$D$31:D211,D211)&gt;1,"DÉJÀ ENTRÉ",IF(AND(COUNTA(B211,C211,D211,E211,F211)&lt;5,COUNTA(B211,C211,D211,E211,F211)&gt;0),"Pensez à renseigner toutes les cases de la ligne !",IF(COUNTA(B211)=1,IF(COUNTBLANK(B211)&gt;=1,"Ne laissez pas de lignes vides. Écrivez sur la ligne supérieure.",""),"")))&amp;IF(G211="Non renseigné","Veuillez sélectionner de nouveau le nom dans la colonne Espèce traitée","")</f>
        <v/>
      </c>
      <c r="L211" s="31" t="str">
        <f>IF(E211="","",INDEX(Données_ATB!BD$3:BU$600,MATCH(E211,Medicament,0),18))</f>
        <v/>
      </c>
      <c r="M211" s="31" t="str">
        <f t="shared" si="13"/>
        <v/>
      </c>
      <c r="N211" s="31" t="str">
        <f t="shared" si="14"/>
        <v/>
      </c>
      <c r="O211" s="31" t="str">
        <f t="shared" si="15"/>
        <v/>
      </c>
      <c r="P211" s="31" t="str">
        <f t="shared" si="16"/>
        <v/>
      </c>
    </row>
    <row r="212" spans="2:16" x14ac:dyDescent="0.3">
      <c r="B212" s="155"/>
      <c r="C212" s="156"/>
      <c r="D212" s="156"/>
      <c r="E212" s="156"/>
      <c r="F212" s="182"/>
      <c r="G212" s="72" t="str">
        <f>IF(C212="","",IFERROR(INDEX(G$19:$L209,MATCH(C212,L$19:L$28,0),1),"Non renseigné"))</f>
        <v/>
      </c>
      <c r="H212" s="190" t="str">
        <f>IFERROR(IF(E212="","",INDEX(Données_ATB!BD$3:BT$600,MATCH(E212,Medicament,0),17)),"Ce médicament n'est pas connu dans la base")</f>
        <v/>
      </c>
      <c r="I212" s="69" t="str">
        <f>IFERROR(IF(E212="","",INDEX(Données_ATB!BD$3:BL$600,MATCH(E212,Medicament,0),9)),"")</f>
        <v/>
      </c>
      <c r="J212" s="44" t="str">
        <f>IFERROR(IF(E212="","",INDEX(Données_ATB!BD$3:BP$5600,MATCH(E212,Medicament,0),13)),"")</f>
        <v/>
      </c>
      <c r="K212" s="161" t="str">
        <f>IF(COUNTIFS($B$31:B212,B212,$E$31:E212,E212,$C$31:C212,C212,$D$31:D212,D212)&gt;1,"DÉJÀ ENTRÉ",IF(AND(COUNTA(B212,C212,D212,E212,F212)&lt;5,COUNTA(B212,C212,D212,E212,F212)&gt;0),"Pensez à renseigner toutes les cases de la ligne !",IF(COUNTA(B212)=1,IF(COUNTBLANK(B212)&gt;=1,"Ne laissez pas de lignes vides. Écrivez sur la ligne supérieure.",""),"")))&amp;IF(G212="Non renseigné","Veuillez sélectionner de nouveau le nom dans la colonne Espèce traitée","")</f>
        <v/>
      </c>
      <c r="L212" s="31" t="str">
        <f>IF(E212="","",INDEX(Données_ATB!BD$3:BU$600,MATCH(E212,Medicament,0),18))</f>
        <v/>
      </c>
      <c r="M212" s="31" t="str">
        <f t="shared" si="13"/>
        <v/>
      </c>
      <c r="N212" s="31" t="str">
        <f t="shared" si="14"/>
        <v/>
      </c>
      <c r="O212" s="31" t="str">
        <f t="shared" si="15"/>
        <v/>
      </c>
      <c r="P212" s="31" t="str">
        <f t="shared" si="16"/>
        <v/>
      </c>
    </row>
    <row r="213" spans="2:16" x14ac:dyDescent="0.3">
      <c r="B213" s="155"/>
      <c r="C213" s="156"/>
      <c r="D213" s="156"/>
      <c r="E213" s="156"/>
      <c r="F213" s="182"/>
      <c r="G213" s="72" t="str">
        <f>IF(C213="","",IFERROR(INDEX(G$19:$L210,MATCH(C213,L$19:L$28,0),1),"Non renseigné"))</f>
        <v/>
      </c>
      <c r="H213" s="190" t="str">
        <f>IFERROR(IF(E213="","",INDEX(Données_ATB!BD$3:BT$600,MATCH(E213,Medicament,0),17)),"Ce médicament n'est pas connu dans la base")</f>
        <v/>
      </c>
      <c r="I213" s="69" t="str">
        <f>IFERROR(IF(E213="","",INDEX(Données_ATB!BD$3:BL$600,MATCH(E213,Medicament,0),9)),"")</f>
        <v/>
      </c>
      <c r="J213" s="44" t="str">
        <f>IFERROR(IF(E213="","",INDEX(Données_ATB!BD$3:BP$5600,MATCH(E213,Medicament,0),13)),"")</f>
        <v/>
      </c>
      <c r="K213" s="161" t="str">
        <f>IF(COUNTIFS($B$31:B213,B213,$E$31:E213,E213,$C$31:C213,C213,$D$31:D213,D213)&gt;1,"DÉJÀ ENTRÉ",IF(AND(COUNTA(B213,C213,D213,E213,F213)&lt;5,COUNTA(B213,C213,D213,E213,F213)&gt;0),"Pensez à renseigner toutes les cases de la ligne !",IF(COUNTA(B213)=1,IF(COUNTBLANK(B213)&gt;=1,"Ne laissez pas de lignes vides. Écrivez sur la ligne supérieure.",""),"")))&amp;IF(G213="Non renseigné","Veuillez sélectionner de nouveau le nom dans la colonne Espèce traitée","")</f>
        <v/>
      </c>
      <c r="L213" s="31" t="str">
        <f>IF(E213="","",INDEX(Données_ATB!BD$3:BU$600,MATCH(E213,Medicament,0),18))</f>
        <v/>
      </c>
      <c r="M213" s="31" t="str">
        <f t="shared" si="13"/>
        <v/>
      </c>
      <c r="N213" s="31" t="str">
        <f t="shared" si="14"/>
        <v/>
      </c>
      <c r="O213" s="31" t="str">
        <f t="shared" si="15"/>
        <v/>
      </c>
      <c r="P213" s="31" t="str">
        <f t="shared" si="16"/>
        <v/>
      </c>
    </row>
    <row r="214" spans="2:16" x14ac:dyDescent="0.3">
      <c r="B214" s="155"/>
      <c r="C214" s="156"/>
      <c r="D214" s="156"/>
      <c r="E214" s="156"/>
      <c r="F214" s="182"/>
      <c r="G214" s="72" t="str">
        <f>IF(C214="","",IFERROR(INDEX(G$19:$L211,MATCH(C214,L$19:L$28,0),1),"Non renseigné"))</f>
        <v/>
      </c>
      <c r="H214" s="190" t="str">
        <f>IFERROR(IF(E214="","",INDEX(Données_ATB!BD$3:BT$600,MATCH(E214,Medicament,0),17)),"Ce médicament n'est pas connu dans la base")</f>
        <v/>
      </c>
      <c r="I214" s="69" t="str">
        <f>IFERROR(IF(E214="","",INDEX(Données_ATB!BD$3:BL$600,MATCH(E214,Medicament,0),9)),"")</f>
        <v/>
      </c>
      <c r="J214" s="44" t="str">
        <f>IFERROR(IF(E214="","",INDEX(Données_ATB!BD$3:BP$5600,MATCH(E214,Medicament,0),13)),"")</f>
        <v/>
      </c>
      <c r="K214" s="161" t="str">
        <f>IF(COUNTIFS($B$31:B214,B214,$E$31:E214,E214,$C$31:C214,C214,$D$31:D214,D214)&gt;1,"DÉJÀ ENTRÉ",IF(AND(COUNTA(B214,C214,D214,E214,F214)&lt;5,COUNTA(B214,C214,D214,E214,F214)&gt;0),"Pensez à renseigner toutes les cases de la ligne !",IF(COUNTA(B214)=1,IF(COUNTBLANK(B214)&gt;=1,"Ne laissez pas de lignes vides. Écrivez sur la ligne supérieure.",""),"")))&amp;IF(G214="Non renseigné","Veuillez sélectionner de nouveau le nom dans la colonne Espèce traitée","")</f>
        <v/>
      </c>
      <c r="L214" s="31" t="str">
        <f>IF(E214="","",INDEX(Données_ATB!BD$3:BU$600,MATCH(E214,Medicament,0),18))</f>
        <v/>
      </c>
      <c r="M214" s="31" t="str">
        <f t="shared" si="13"/>
        <v/>
      </c>
      <c r="N214" s="31" t="str">
        <f t="shared" si="14"/>
        <v/>
      </c>
      <c r="O214" s="31" t="str">
        <f t="shared" si="15"/>
        <v/>
      </c>
      <c r="P214" s="31" t="str">
        <f t="shared" si="16"/>
        <v/>
      </c>
    </row>
    <row r="215" spans="2:16" x14ac:dyDescent="0.3">
      <c r="B215" s="155"/>
      <c r="C215" s="156"/>
      <c r="D215" s="156"/>
      <c r="E215" s="156"/>
      <c r="F215" s="182"/>
      <c r="G215" s="72" t="str">
        <f>IF(C215="","",IFERROR(INDEX(G$19:$L212,MATCH(C215,L$19:L$28,0),1),"Non renseigné"))</f>
        <v/>
      </c>
      <c r="H215" s="190" t="str">
        <f>IFERROR(IF(E215="","",INDEX(Données_ATB!BD$3:BT$600,MATCH(E215,Medicament,0),17)),"Ce médicament n'est pas connu dans la base")</f>
        <v/>
      </c>
      <c r="I215" s="69" t="str">
        <f>IFERROR(IF(E215="","",INDEX(Données_ATB!BD$3:BL$600,MATCH(E215,Medicament,0),9)),"")</f>
        <v/>
      </c>
      <c r="J215" s="44" t="str">
        <f>IFERROR(IF(E215="","",INDEX(Données_ATB!BD$3:BP$5600,MATCH(E215,Medicament,0),13)),"")</f>
        <v/>
      </c>
      <c r="K215" s="161" t="str">
        <f>IF(COUNTIFS($B$31:B215,B215,$E$31:E215,E215,$C$31:C215,C215,$D$31:D215,D215)&gt;1,"DÉJÀ ENTRÉ",IF(AND(COUNTA(B215,C215,D215,E215,F215)&lt;5,COUNTA(B215,C215,D215,E215,F215)&gt;0),"Pensez à renseigner toutes les cases de la ligne !",IF(COUNTA(B215)=1,IF(COUNTBLANK(B215)&gt;=1,"Ne laissez pas de lignes vides. Écrivez sur la ligne supérieure.",""),"")))&amp;IF(G215="Non renseigné","Veuillez sélectionner de nouveau le nom dans la colonne Espèce traitée","")</f>
        <v/>
      </c>
      <c r="L215" s="31" t="str">
        <f>IF(E215="","",INDEX(Données_ATB!BD$3:BU$600,MATCH(E215,Medicament,0),18))</f>
        <v/>
      </c>
      <c r="M215" s="31" t="str">
        <f t="shared" si="13"/>
        <v/>
      </c>
      <c r="N215" s="31" t="str">
        <f t="shared" si="14"/>
        <v/>
      </c>
      <c r="O215" s="31" t="str">
        <f t="shared" si="15"/>
        <v/>
      </c>
      <c r="P215" s="31" t="str">
        <f t="shared" si="16"/>
        <v/>
      </c>
    </row>
    <row r="216" spans="2:16" x14ac:dyDescent="0.3">
      <c r="B216" s="155"/>
      <c r="C216" s="156"/>
      <c r="D216" s="156"/>
      <c r="E216" s="156"/>
      <c r="F216" s="182"/>
      <c r="G216" s="72" t="str">
        <f>IF(C216="","",IFERROR(INDEX(G$19:$L213,MATCH(C216,L$19:L$28,0),1),"Non renseigné"))</f>
        <v/>
      </c>
      <c r="H216" s="190" t="str">
        <f>IFERROR(IF(E216="","",INDEX(Données_ATB!BD$3:BT$600,MATCH(E216,Medicament,0),17)),"Ce médicament n'est pas connu dans la base")</f>
        <v/>
      </c>
      <c r="I216" s="69" t="str">
        <f>IFERROR(IF(E216="","",INDEX(Données_ATB!BD$3:BL$600,MATCH(E216,Medicament,0),9)),"")</f>
        <v/>
      </c>
      <c r="J216" s="44" t="str">
        <f>IFERROR(IF(E216="","",INDEX(Données_ATB!BD$3:BP$5600,MATCH(E216,Medicament,0),13)),"")</f>
        <v/>
      </c>
      <c r="K216" s="161" t="str">
        <f>IF(COUNTIFS($B$31:B216,B216,$E$31:E216,E216,$C$31:C216,C216,$D$31:D216,D216)&gt;1,"DÉJÀ ENTRÉ",IF(AND(COUNTA(B216,C216,D216,E216,F216)&lt;5,COUNTA(B216,C216,D216,E216,F216)&gt;0),"Pensez à renseigner toutes les cases de la ligne !",IF(COUNTA(B216)=1,IF(COUNTBLANK(B216)&gt;=1,"Ne laissez pas de lignes vides. Écrivez sur la ligne supérieure.",""),"")))&amp;IF(G216="Non renseigné","Veuillez sélectionner de nouveau le nom dans la colonne Espèce traitée","")</f>
        <v/>
      </c>
      <c r="L216" s="31" t="str">
        <f>IF(E216="","",INDEX(Données_ATB!BD$3:BU$600,MATCH(E216,Medicament,0),18))</f>
        <v/>
      </c>
      <c r="M216" s="31" t="str">
        <f t="shared" si="13"/>
        <v/>
      </c>
      <c r="N216" s="31" t="str">
        <f t="shared" si="14"/>
        <v/>
      </c>
      <c r="O216" s="31" t="str">
        <f t="shared" si="15"/>
        <v/>
      </c>
      <c r="P216" s="31" t="str">
        <f t="shared" si="16"/>
        <v/>
      </c>
    </row>
    <row r="217" spans="2:16" x14ac:dyDescent="0.3">
      <c r="B217" s="155"/>
      <c r="C217" s="156"/>
      <c r="D217" s="156"/>
      <c r="E217" s="156"/>
      <c r="F217" s="182"/>
      <c r="G217" s="72" t="str">
        <f>IF(C217="","",IFERROR(INDEX(G$19:$L214,MATCH(C217,L$19:L$28,0),1),"Non renseigné"))</f>
        <v/>
      </c>
      <c r="H217" s="190" t="str">
        <f>IFERROR(IF(E217="","",INDEX(Données_ATB!BD$3:BT$600,MATCH(E217,Medicament,0),17)),"Ce médicament n'est pas connu dans la base")</f>
        <v/>
      </c>
      <c r="I217" s="69" t="str">
        <f>IFERROR(IF(E217="","",INDEX(Données_ATB!BD$3:BL$600,MATCH(E217,Medicament,0),9)),"")</f>
        <v/>
      </c>
      <c r="J217" s="44" t="str">
        <f>IFERROR(IF(E217="","",INDEX(Données_ATB!BD$3:BP$5600,MATCH(E217,Medicament,0),13)),"")</f>
        <v/>
      </c>
      <c r="K217" s="161" t="str">
        <f>IF(COUNTIFS($B$31:B217,B217,$E$31:E217,E217,$C$31:C217,C217,$D$31:D217,D217)&gt;1,"DÉJÀ ENTRÉ",IF(AND(COUNTA(B217,C217,D217,E217,F217)&lt;5,COUNTA(B217,C217,D217,E217,F217)&gt;0),"Pensez à renseigner toutes les cases de la ligne !",IF(COUNTA(B217)=1,IF(COUNTBLANK(B217)&gt;=1,"Ne laissez pas de lignes vides. Écrivez sur la ligne supérieure.",""),"")))&amp;IF(G217="Non renseigné","Veuillez sélectionner de nouveau le nom dans la colonne Espèce traitée","")</f>
        <v/>
      </c>
      <c r="L217" s="31" t="str">
        <f>IF(E217="","",INDEX(Données_ATB!BD$3:BU$600,MATCH(E217,Medicament,0),18))</f>
        <v/>
      </c>
      <c r="M217" s="31" t="str">
        <f t="shared" si="13"/>
        <v/>
      </c>
      <c r="N217" s="31" t="str">
        <f t="shared" si="14"/>
        <v/>
      </c>
      <c r="O217" s="31" t="str">
        <f t="shared" si="15"/>
        <v/>
      </c>
      <c r="P217" s="31" t="str">
        <f t="shared" si="16"/>
        <v/>
      </c>
    </row>
    <row r="218" spans="2:16" x14ac:dyDescent="0.3">
      <c r="B218" s="155"/>
      <c r="C218" s="156"/>
      <c r="D218" s="156"/>
      <c r="E218" s="156"/>
      <c r="F218" s="182"/>
      <c r="G218" s="72" t="str">
        <f>IF(C218="","",IFERROR(INDEX(G$19:$L215,MATCH(C218,L$19:L$28,0),1),"Non renseigné"))</f>
        <v/>
      </c>
      <c r="H218" s="190" t="str">
        <f>IFERROR(IF(E218="","",INDEX(Données_ATB!BD$3:BT$600,MATCH(E218,Medicament,0),17)),"Ce médicament n'est pas connu dans la base")</f>
        <v/>
      </c>
      <c r="I218" s="69" t="str">
        <f>IFERROR(IF(E218="","",INDEX(Données_ATB!BD$3:BL$600,MATCH(E218,Medicament,0),9)),"")</f>
        <v/>
      </c>
      <c r="J218" s="44" t="str">
        <f>IFERROR(IF(E218="","",INDEX(Données_ATB!BD$3:BP$5600,MATCH(E218,Medicament,0),13)),"")</f>
        <v/>
      </c>
      <c r="K218" s="161" t="str">
        <f>IF(COUNTIFS($B$31:B218,B218,$E$31:E218,E218,$C$31:C218,C218,$D$31:D218,D218)&gt;1,"DÉJÀ ENTRÉ",IF(AND(COUNTA(B218,C218,D218,E218,F218)&lt;5,COUNTA(B218,C218,D218,E218,F218)&gt;0),"Pensez à renseigner toutes les cases de la ligne !",IF(COUNTA(B218)=1,IF(COUNTBLANK(B218)&gt;=1,"Ne laissez pas de lignes vides. Écrivez sur la ligne supérieure.",""),"")))&amp;IF(G218="Non renseigné","Veuillez sélectionner de nouveau le nom dans la colonne Espèce traitée","")</f>
        <v/>
      </c>
      <c r="L218" s="31" t="str">
        <f>IF(E218="","",INDEX(Données_ATB!BD$3:BU$600,MATCH(E218,Medicament,0),18))</f>
        <v/>
      </c>
      <c r="M218" s="31" t="str">
        <f t="shared" si="13"/>
        <v/>
      </c>
      <c r="N218" s="31" t="str">
        <f t="shared" si="14"/>
        <v/>
      </c>
      <c r="O218" s="31" t="str">
        <f t="shared" si="15"/>
        <v/>
      </c>
      <c r="P218" s="31" t="str">
        <f t="shared" si="16"/>
        <v/>
      </c>
    </row>
    <row r="219" spans="2:16" x14ac:dyDescent="0.3">
      <c r="B219" s="155"/>
      <c r="C219" s="156"/>
      <c r="D219" s="156"/>
      <c r="E219" s="156"/>
      <c r="F219" s="182"/>
      <c r="G219" s="72" t="str">
        <f>IF(C219="","",IFERROR(INDEX(G$19:$L216,MATCH(C219,L$19:L$28,0),1),"Non renseigné"))</f>
        <v/>
      </c>
      <c r="H219" s="190" t="str">
        <f>IFERROR(IF(E219="","",INDEX(Données_ATB!BD$3:BT$600,MATCH(E219,Medicament,0),17)),"Ce médicament n'est pas connu dans la base")</f>
        <v/>
      </c>
      <c r="I219" s="69" t="str">
        <f>IFERROR(IF(E219="","",INDEX(Données_ATB!BD$3:BL$600,MATCH(E219,Medicament,0),9)),"")</f>
        <v/>
      </c>
      <c r="J219" s="44" t="str">
        <f>IFERROR(IF(E219="","",INDEX(Données_ATB!BD$3:BP$5600,MATCH(E219,Medicament,0),13)),"")</f>
        <v/>
      </c>
      <c r="K219" s="161" t="str">
        <f>IF(COUNTIFS($B$31:B219,B219,$E$31:E219,E219,$C$31:C219,C219,$D$31:D219,D219)&gt;1,"DÉJÀ ENTRÉ",IF(AND(COUNTA(B219,C219,D219,E219,F219)&lt;5,COUNTA(B219,C219,D219,E219,F219)&gt;0),"Pensez à renseigner toutes les cases de la ligne !",IF(COUNTA(B219)=1,IF(COUNTBLANK(B219)&gt;=1,"Ne laissez pas de lignes vides. Écrivez sur la ligne supérieure.",""),"")))&amp;IF(G219="Non renseigné","Veuillez sélectionner de nouveau le nom dans la colonne Espèce traitée","")</f>
        <v/>
      </c>
      <c r="L219" s="31" t="str">
        <f>IF(E219="","",INDEX(Données_ATB!BD$3:BU$600,MATCH(E219,Medicament,0),18))</f>
        <v/>
      </c>
      <c r="M219" s="31" t="str">
        <f t="shared" si="13"/>
        <v/>
      </c>
      <c r="N219" s="31" t="str">
        <f t="shared" si="14"/>
        <v/>
      </c>
      <c r="O219" s="31" t="str">
        <f t="shared" si="15"/>
        <v/>
      </c>
      <c r="P219" s="31" t="str">
        <f t="shared" si="16"/>
        <v/>
      </c>
    </row>
    <row r="220" spans="2:16" x14ac:dyDescent="0.3">
      <c r="B220" s="155"/>
      <c r="C220" s="156"/>
      <c r="D220" s="156"/>
      <c r="E220" s="156"/>
      <c r="F220" s="182"/>
      <c r="G220" s="72" t="str">
        <f>IF(C220="","",IFERROR(INDEX(G$19:$L217,MATCH(C220,L$19:L$28,0),1),"Non renseigné"))</f>
        <v/>
      </c>
      <c r="H220" s="190" t="str">
        <f>IFERROR(IF(E220="","",INDEX(Données_ATB!BD$3:BT$600,MATCH(E220,Medicament,0),17)),"Ce médicament n'est pas connu dans la base")</f>
        <v/>
      </c>
      <c r="I220" s="69" t="str">
        <f>IFERROR(IF(E220="","",INDEX(Données_ATB!BD$3:BL$600,MATCH(E220,Medicament,0),9)),"")</f>
        <v/>
      </c>
      <c r="J220" s="44" t="str">
        <f>IFERROR(IF(E220="","",INDEX(Données_ATB!BD$3:BP$5600,MATCH(E220,Medicament,0),13)),"")</f>
        <v/>
      </c>
      <c r="K220" s="161" t="str">
        <f>IF(COUNTIFS($B$31:B220,B220,$E$31:E220,E220,$C$31:C220,C220,$D$31:D220,D220)&gt;1,"DÉJÀ ENTRÉ",IF(AND(COUNTA(B220,C220,D220,E220,F220)&lt;5,COUNTA(B220,C220,D220,E220,F220)&gt;0),"Pensez à renseigner toutes les cases de la ligne !",IF(COUNTA(B220)=1,IF(COUNTBLANK(B220)&gt;=1,"Ne laissez pas de lignes vides. Écrivez sur la ligne supérieure.",""),"")))&amp;IF(G220="Non renseigné","Veuillez sélectionner de nouveau le nom dans la colonne Espèce traitée","")</f>
        <v/>
      </c>
      <c r="L220" s="31" t="str">
        <f>IF(E220="","",INDEX(Données_ATB!BD$3:BU$600,MATCH(E220,Medicament,0),18))</f>
        <v/>
      </c>
      <c r="M220" s="31" t="str">
        <f t="shared" si="13"/>
        <v/>
      </c>
      <c r="N220" s="31" t="str">
        <f t="shared" si="14"/>
        <v/>
      </c>
      <c r="O220" s="31" t="str">
        <f t="shared" si="15"/>
        <v/>
      </c>
      <c r="P220" s="31" t="str">
        <f t="shared" si="16"/>
        <v/>
      </c>
    </row>
    <row r="221" spans="2:16" x14ac:dyDescent="0.3">
      <c r="B221" s="155"/>
      <c r="C221" s="156"/>
      <c r="D221" s="156"/>
      <c r="E221" s="156"/>
      <c r="F221" s="182"/>
      <c r="G221" s="72" t="str">
        <f>IF(C221="","",IFERROR(INDEX(G$19:$L218,MATCH(C221,L$19:L$28,0),1),"Non renseigné"))</f>
        <v/>
      </c>
      <c r="H221" s="190" t="str">
        <f>IFERROR(IF(E221="","",INDEX(Données_ATB!BD$3:BT$600,MATCH(E221,Medicament,0),17)),"Ce médicament n'est pas connu dans la base")</f>
        <v/>
      </c>
      <c r="I221" s="69" t="str">
        <f>IFERROR(IF(E221="","",INDEX(Données_ATB!BD$3:BL$600,MATCH(E221,Medicament,0),9)),"")</f>
        <v/>
      </c>
      <c r="J221" s="44" t="str">
        <f>IFERROR(IF(E221="","",INDEX(Données_ATB!BD$3:BP$5600,MATCH(E221,Medicament,0),13)),"")</f>
        <v/>
      </c>
      <c r="K221" s="161" t="str">
        <f>IF(COUNTIFS($B$31:B221,B221,$E$31:E221,E221,$C$31:C221,C221,$D$31:D221,D221)&gt;1,"DÉJÀ ENTRÉ",IF(AND(COUNTA(B221,C221,D221,E221,F221)&lt;5,COUNTA(B221,C221,D221,E221,F221)&gt;0),"Pensez à renseigner toutes les cases de la ligne !",IF(COUNTA(B221)=1,IF(COUNTBLANK(B221)&gt;=1,"Ne laissez pas de lignes vides. Écrivez sur la ligne supérieure.",""),"")))&amp;IF(G221="Non renseigné","Veuillez sélectionner de nouveau le nom dans la colonne Espèce traitée","")</f>
        <v/>
      </c>
      <c r="L221" s="31" t="str">
        <f>IF(E221="","",INDEX(Données_ATB!BD$3:BU$600,MATCH(E221,Medicament,0),18))</f>
        <v/>
      </c>
      <c r="M221" s="31" t="str">
        <f t="shared" si="13"/>
        <v/>
      </c>
      <c r="N221" s="31" t="str">
        <f t="shared" si="14"/>
        <v/>
      </c>
      <c r="O221" s="31" t="str">
        <f t="shared" si="15"/>
        <v/>
      </c>
      <c r="P221" s="31" t="str">
        <f t="shared" si="16"/>
        <v/>
      </c>
    </row>
    <row r="222" spans="2:16" x14ac:dyDescent="0.3">
      <c r="B222" s="155"/>
      <c r="C222" s="156"/>
      <c r="D222" s="156"/>
      <c r="E222" s="156"/>
      <c r="F222" s="182"/>
      <c r="G222" s="72" t="str">
        <f>IF(C222="","",IFERROR(INDEX(G$19:$L219,MATCH(C222,L$19:L$28,0),1),"Non renseigné"))</f>
        <v/>
      </c>
      <c r="H222" s="190" t="str">
        <f>IFERROR(IF(E222="","",INDEX(Données_ATB!BD$3:BT$600,MATCH(E222,Medicament,0),17)),"Ce médicament n'est pas connu dans la base")</f>
        <v/>
      </c>
      <c r="I222" s="69" t="str">
        <f>IFERROR(IF(E222="","",INDEX(Données_ATB!BD$3:BL$600,MATCH(E222,Medicament,0),9)),"")</f>
        <v/>
      </c>
      <c r="J222" s="44" t="str">
        <f>IFERROR(IF(E222="","",INDEX(Données_ATB!BD$3:BP$5600,MATCH(E222,Medicament,0),13)),"")</f>
        <v/>
      </c>
      <c r="K222" s="161" t="str">
        <f>IF(COUNTIFS($B$31:B222,B222,$E$31:E222,E222,$C$31:C222,C222,$D$31:D222,D222)&gt;1,"DÉJÀ ENTRÉ",IF(AND(COUNTA(B222,C222,D222,E222,F222)&lt;5,COUNTA(B222,C222,D222,E222,F222)&gt;0),"Pensez à renseigner toutes les cases de la ligne !",IF(COUNTA(B222)=1,IF(COUNTBLANK(B222)&gt;=1,"Ne laissez pas de lignes vides. Écrivez sur la ligne supérieure.",""),"")))&amp;IF(G222="Non renseigné","Veuillez sélectionner de nouveau le nom dans la colonne Espèce traitée","")</f>
        <v/>
      </c>
      <c r="L222" s="31" t="str">
        <f>IF(E222="","",INDEX(Données_ATB!BD$3:BU$600,MATCH(E222,Medicament,0),18))</f>
        <v/>
      </c>
      <c r="M222" s="31" t="str">
        <f t="shared" si="13"/>
        <v/>
      </c>
      <c r="N222" s="31" t="str">
        <f t="shared" si="14"/>
        <v/>
      </c>
      <c r="O222" s="31" t="str">
        <f t="shared" si="15"/>
        <v/>
      </c>
      <c r="P222" s="31" t="str">
        <f t="shared" si="16"/>
        <v/>
      </c>
    </row>
    <row r="223" spans="2:16" x14ac:dyDescent="0.3">
      <c r="B223" s="155"/>
      <c r="C223" s="156"/>
      <c r="D223" s="156"/>
      <c r="E223" s="156"/>
      <c r="F223" s="182"/>
      <c r="G223" s="72" t="str">
        <f>IF(C223="","",IFERROR(INDEX(G$19:$L220,MATCH(C223,L$19:L$28,0),1),"Non renseigné"))</f>
        <v/>
      </c>
      <c r="H223" s="190" t="str">
        <f>IFERROR(IF(E223="","",INDEX(Données_ATB!BD$3:BT$600,MATCH(E223,Medicament,0),17)),"Ce médicament n'est pas connu dans la base")</f>
        <v/>
      </c>
      <c r="I223" s="69" t="str">
        <f>IFERROR(IF(E223="","",INDEX(Données_ATB!BD$3:BL$600,MATCH(E223,Medicament,0),9)),"")</f>
        <v/>
      </c>
      <c r="J223" s="44" t="str">
        <f>IFERROR(IF(E223="","",INDEX(Données_ATB!BD$3:BP$5600,MATCH(E223,Medicament,0),13)),"")</f>
        <v/>
      </c>
      <c r="K223" s="161" t="str">
        <f>IF(COUNTIFS($B$31:B223,B223,$E$31:E223,E223,$C$31:C223,C223,$D$31:D223,D223)&gt;1,"DÉJÀ ENTRÉ",IF(AND(COUNTA(B223,C223,D223,E223,F223)&lt;5,COUNTA(B223,C223,D223,E223,F223)&gt;0),"Pensez à renseigner toutes les cases de la ligne !",IF(COUNTA(B223)=1,IF(COUNTBLANK(B223)&gt;=1,"Ne laissez pas de lignes vides. Écrivez sur la ligne supérieure.",""),"")))&amp;IF(G223="Non renseigné","Veuillez sélectionner de nouveau le nom dans la colonne Espèce traitée","")</f>
        <v/>
      </c>
      <c r="L223" s="31" t="str">
        <f>IF(E223="","",INDEX(Données_ATB!BD$3:BU$600,MATCH(E223,Medicament,0),18))</f>
        <v/>
      </c>
      <c r="M223" s="31" t="str">
        <f t="shared" ref="M223:M286" si="17">IF(B223="janvier",1,IF(B223="février",2,IF(B223="mars",3,IF(B223="avril",4,IF(B223="mai",5,IF(B223="juin",6,IF(B223="juillet",7,IF(B223="août",8,IF(B223="septembre",9,IF(B223="octobre",10,IF(B223="novembre",11,IF(B223="décembre",12,""))))))))))))</f>
        <v/>
      </c>
      <c r="N223" s="31" t="str">
        <f t="shared" si="14"/>
        <v/>
      </c>
      <c r="O223" s="31" t="str">
        <f t="shared" si="15"/>
        <v/>
      </c>
      <c r="P223" s="31" t="str">
        <f t="shared" si="16"/>
        <v/>
      </c>
    </row>
    <row r="224" spans="2:16" x14ac:dyDescent="0.3">
      <c r="B224" s="155"/>
      <c r="C224" s="156"/>
      <c r="D224" s="156"/>
      <c r="E224" s="156"/>
      <c r="F224" s="182"/>
      <c r="G224" s="72" t="str">
        <f>IF(C224="","",IFERROR(INDEX(G$19:$L221,MATCH(C224,L$19:L$28,0),1),"Non renseigné"))</f>
        <v/>
      </c>
      <c r="H224" s="190" t="str">
        <f>IFERROR(IF(E224="","",INDEX(Données_ATB!BD$3:BT$600,MATCH(E224,Medicament,0),17)),"Ce médicament n'est pas connu dans la base")</f>
        <v/>
      </c>
      <c r="I224" s="69" t="str">
        <f>IFERROR(IF(E224="","",INDEX(Données_ATB!BD$3:BL$600,MATCH(E224,Medicament,0),9)),"")</f>
        <v/>
      </c>
      <c r="J224" s="44" t="str">
        <f>IFERROR(IF(E224="","",INDEX(Données_ATB!BD$3:BP$5600,MATCH(E224,Medicament,0),13)),"")</f>
        <v/>
      </c>
      <c r="K224" s="161" t="str">
        <f>IF(COUNTIFS($B$31:B224,B224,$E$31:E224,E224,$C$31:C224,C224,$D$31:D224,D224)&gt;1,"DÉJÀ ENTRÉ",IF(AND(COUNTA(B224,C224,D224,E224,F224)&lt;5,COUNTA(B224,C224,D224,E224,F224)&gt;0),"Pensez à renseigner toutes les cases de la ligne !",IF(COUNTA(B224)=1,IF(COUNTBLANK(B224)&gt;=1,"Ne laissez pas de lignes vides. Écrivez sur la ligne supérieure.",""),"")))&amp;IF(G224="Non renseigné","Veuillez sélectionner de nouveau le nom dans la colonne Espèce traitée","")</f>
        <v/>
      </c>
      <c r="L224" s="31" t="str">
        <f>IF(E224="","",INDEX(Données_ATB!BD$3:BU$600,MATCH(E224,Medicament,0),18))</f>
        <v/>
      </c>
      <c r="M224" s="31" t="str">
        <f t="shared" si="17"/>
        <v/>
      </c>
      <c r="N224" s="31" t="str">
        <f t="shared" si="14"/>
        <v/>
      </c>
      <c r="O224" s="31" t="str">
        <f t="shared" si="15"/>
        <v/>
      </c>
      <c r="P224" s="31" t="str">
        <f t="shared" si="16"/>
        <v/>
      </c>
    </row>
    <row r="225" spans="2:16" x14ac:dyDescent="0.3">
      <c r="B225" s="155"/>
      <c r="C225" s="156"/>
      <c r="D225" s="156"/>
      <c r="E225" s="156"/>
      <c r="F225" s="182"/>
      <c r="G225" s="72" t="str">
        <f>IF(C225="","",IFERROR(INDEX(G$19:$L222,MATCH(C225,L$19:L$28,0),1),"Non renseigné"))</f>
        <v/>
      </c>
      <c r="H225" s="190" t="str">
        <f>IFERROR(IF(E225="","",INDEX(Données_ATB!BD$3:BT$600,MATCH(E225,Medicament,0),17)),"Ce médicament n'est pas connu dans la base")</f>
        <v/>
      </c>
      <c r="I225" s="69" t="str">
        <f>IFERROR(IF(E225="","",INDEX(Données_ATB!BD$3:BL$600,MATCH(E225,Medicament,0),9)),"")</f>
        <v/>
      </c>
      <c r="J225" s="44" t="str">
        <f>IFERROR(IF(E225="","",INDEX(Données_ATB!BD$3:BP$5600,MATCH(E225,Medicament,0),13)),"")</f>
        <v/>
      </c>
      <c r="K225" s="161" t="str">
        <f>IF(COUNTIFS($B$31:B225,B225,$E$31:E225,E225,$C$31:C225,C225,$D$31:D225,D225)&gt;1,"DÉJÀ ENTRÉ",IF(AND(COUNTA(B225,C225,D225,E225,F225)&lt;5,COUNTA(B225,C225,D225,E225,F225)&gt;0),"Pensez à renseigner toutes les cases de la ligne !",IF(COUNTA(B225)=1,IF(COUNTBLANK(B225)&gt;=1,"Ne laissez pas de lignes vides. Écrivez sur la ligne supérieure.",""),"")))&amp;IF(G225="Non renseigné","Veuillez sélectionner de nouveau le nom dans la colonne Espèce traitée","")</f>
        <v/>
      </c>
      <c r="L225" s="31" t="str">
        <f>IF(E225="","",INDEX(Données_ATB!BD$3:BU$600,MATCH(E225,Medicament,0),18))</f>
        <v/>
      </c>
      <c r="M225" s="31" t="str">
        <f t="shared" si="17"/>
        <v/>
      </c>
      <c r="N225" s="31" t="str">
        <f t="shared" si="14"/>
        <v/>
      </c>
      <c r="O225" s="31" t="str">
        <f t="shared" si="15"/>
        <v/>
      </c>
      <c r="P225" s="31" t="str">
        <f t="shared" si="16"/>
        <v/>
      </c>
    </row>
    <row r="226" spans="2:16" x14ac:dyDescent="0.3">
      <c r="B226" s="155"/>
      <c r="C226" s="156"/>
      <c r="D226" s="156"/>
      <c r="E226" s="156"/>
      <c r="F226" s="182"/>
      <c r="G226" s="72" t="str">
        <f>IF(C226="","",IFERROR(INDEX(G$19:$L223,MATCH(C226,L$19:L$28,0),1),"Non renseigné"))</f>
        <v/>
      </c>
      <c r="H226" s="190" t="str">
        <f>IFERROR(IF(E226="","",INDEX(Données_ATB!BD$3:BT$600,MATCH(E226,Medicament,0),17)),"Ce médicament n'est pas connu dans la base")</f>
        <v/>
      </c>
      <c r="I226" s="69" t="str">
        <f>IFERROR(IF(E226="","",INDEX(Données_ATB!BD$3:BL$600,MATCH(E226,Medicament,0),9)),"")</f>
        <v/>
      </c>
      <c r="J226" s="44" t="str">
        <f>IFERROR(IF(E226="","",INDEX(Données_ATB!BD$3:BP$5600,MATCH(E226,Medicament,0),13)),"")</f>
        <v/>
      </c>
      <c r="K226" s="161" t="str">
        <f>IF(COUNTIFS($B$31:B226,B226,$E$31:E226,E226,$C$31:C226,C226,$D$31:D226,D226)&gt;1,"DÉJÀ ENTRÉ",IF(AND(COUNTA(B226,C226,D226,E226,F226)&lt;5,COUNTA(B226,C226,D226,E226,F226)&gt;0),"Pensez à renseigner toutes les cases de la ligne !",IF(COUNTA(B226)=1,IF(COUNTBLANK(B226)&gt;=1,"Ne laissez pas de lignes vides. Écrivez sur la ligne supérieure.",""),"")))&amp;IF(G226="Non renseigné","Veuillez sélectionner de nouveau le nom dans la colonne Espèce traitée","")</f>
        <v/>
      </c>
      <c r="L226" s="31" t="str">
        <f>IF(E226="","",INDEX(Données_ATB!BD$3:BU$600,MATCH(E226,Medicament,0),18))</f>
        <v/>
      </c>
      <c r="M226" s="31" t="str">
        <f t="shared" si="17"/>
        <v/>
      </c>
      <c r="N226" s="31" t="str">
        <f t="shared" si="14"/>
        <v/>
      </c>
      <c r="O226" s="31" t="str">
        <f t="shared" si="15"/>
        <v/>
      </c>
      <c r="P226" s="31" t="str">
        <f t="shared" si="16"/>
        <v/>
      </c>
    </row>
    <row r="227" spans="2:16" x14ac:dyDescent="0.3">
      <c r="B227" s="155"/>
      <c r="C227" s="156"/>
      <c r="D227" s="156"/>
      <c r="E227" s="156"/>
      <c r="F227" s="182"/>
      <c r="G227" s="72" t="str">
        <f>IF(C227="","",IFERROR(INDEX(G$19:$L224,MATCH(C227,L$19:L$28,0),1),"Non renseigné"))</f>
        <v/>
      </c>
      <c r="H227" s="190" t="str">
        <f>IFERROR(IF(E227="","",INDEX(Données_ATB!BD$3:BT$600,MATCH(E227,Medicament,0),17)),"Ce médicament n'est pas connu dans la base")</f>
        <v/>
      </c>
      <c r="I227" s="69" t="str">
        <f>IFERROR(IF(E227="","",INDEX(Données_ATB!BD$3:BL$600,MATCH(E227,Medicament,0),9)),"")</f>
        <v/>
      </c>
      <c r="J227" s="44" t="str">
        <f>IFERROR(IF(E227="","",INDEX(Données_ATB!BD$3:BP$5600,MATCH(E227,Medicament,0),13)),"")</f>
        <v/>
      </c>
      <c r="K227" s="161" t="str">
        <f>IF(COUNTIFS($B$31:B227,B227,$E$31:E227,E227,$C$31:C227,C227,$D$31:D227,D227)&gt;1,"DÉJÀ ENTRÉ",IF(AND(COUNTA(B227,C227,D227,E227,F227)&lt;5,COUNTA(B227,C227,D227,E227,F227)&gt;0),"Pensez à renseigner toutes les cases de la ligne !",IF(COUNTA(B227)=1,IF(COUNTBLANK(B227)&gt;=1,"Ne laissez pas de lignes vides. Écrivez sur la ligne supérieure.",""),"")))&amp;IF(G227="Non renseigné","Veuillez sélectionner de nouveau le nom dans la colonne Espèce traitée","")</f>
        <v/>
      </c>
      <c r="L227" s="31" t="str">
        <f>IF(E227="","",INDEX(Données_ATB!BD$3:BU$600,MATCH(E227,Medicament,0),18))</f>
        <v/>
      </c>
      <c r="M227" s="31" t="str">
        <f t="shared" si="17"/>
        <v/>
      </c>
      <c r="N227" s="31" t="str">
        <f t="shared" si="14"/>
        <v/>
      </c>
      <c r="O227" s="31" t="str">
        <f t="shared" si="15"/>
        <v/>
      </c>
      <c r="P227" s="31" t="str">
        <f t="shared" si="16"/>
        <v/>
      </c>
    </row>
    <row r="228" spans="2:16" x14ac:dyDescent="0.3">
      <c r="B228" s="155"/>
      <c r="C228" s="156"/>
      <c r="D228" s="156"/>
      <c r="E228" s="156"/>
      <c r="F228" s="182"/>
      <c r="G228" s="72" t="str">
        <f>IF(C228="","",IFERROR(INDEX(G$19:$L225,MATCH(C228,L$19:L$28,0),1),"Non renseigné"))</f>
        <v/>
      </c>
      <c r="H228" s="190" t="str">
        <f>IFERROR(IF(E228="","",INDEX(Données_ATB!BD$3:BT$600,MATCH(E228,Medicament,0),17)),"Ce médicament n'est pas connu dans la base")</f>
        <v/>
      </c>
      <c r="I228" s="69" t="str">
        <f>IFERROR(IF(E228="","",INDEX(Données_ATB!BD$3:BL$600,MATCH(E228,Medicament,0),9)),"")</f>
        <v/>
      </c>
      <c r="J228" s="44" t="str">
        <f>IFERROR(IF(E228="","",INDEX(Données_ATB!BD$3:BP$5600,MATCH(E228,Medicament,0),13)),"")</f>
        <v/>
      </c>
      <c r="K228" s="161" t="str">
        <f>IF(COUNTIFS($B$31:B228,B228,$E$31:E228,E228,$C$31:C228,C228,$D$31:D228,D228)&gt;1,"DÉJÀ ENTRÉ",IF(AND(COUNTA(B228,C228,D228,E228,F228)&lt;5,COUNTA(B228,C228,D228,E228,F228)&gt;0),"Pensez à renseigner toutes les cases de la ligne !",IF(COUNTA(B228)=1,IF(COUNTBLANK(B228)&gt;=1,"Ne laissez pas de lignes vides. Écrivez sur la ligne supérieure.",""),"")))&amp;IF(G228="Non renseigné","Veuillez sélectionner de nouveau le nom dans la colonne Espèce traitée","")</f>
        <v/>
      </c>
      <c r="L228" s="31" t="str">
        <f>IF(E228="","",INDEX(Données_ATB!BD$3:BU$600,MATCH(E228,Medicament,0),18))</f>
        <v/>
      </c>
      <c r="M228" s="31" t="str">
        <f t="shared" si="17"/>
        <v/>
      </c>
      <c r="N228" s="31" t="str">
        <f t="shared" si="14"/>
        <v/>
      </c>
      <c r="O228" s="31" t="str">
        <f t="shared" si="15"/>
        <v/>
      </c>
      <c r="P228" s="31" t="str">
        <f t="shared" si="16"/>
        <v/>
      </c>
    </row>
    <row r="229" spans="2:16" x14ac:dyDescent="0.3">
      <c r="B229" s="155"/>
      <c r="C229" s="156"/>
      <c r="D229" s="156"/>
      <c r="E229" s="156"/>
      <c r="F229" s="182"/>
      <c r="G229" s="72" t="str">
        <f>IF(C229="","",IFERROR(INDEX(G$19:$L226,MATCH(C229,L$19:L$28,0),1),"Non renseigné"))</f>
        <v/>
      </c>
      <c r="H229" s="190" t="str">
        <f>IFERROR(IF(E229="","",INDEX(Données_ATB!BD$3:BT$600,MATCH(E229,Medicament,0),17)),"Ce médicament n'est pas connu dans la base")</f>
        <v/>
      </c>
      <c r="I229" s="69" t="str">
        <f>IFERROR(IF(E229="","",INDEX(Données_ATB!BD$3:BL$600,MATCH(E229,Medicament,0),9)),"")</f>
        <v/>
      </c>
      <c r="J229" s="44" t="str">
        <f>IFERROR(IF(E229="","",INDEX(Données_ATB!BD$3:BP$5600,MATCH(E229,Medicament,0),13)),"")</f>
        <v/>
      </c>
      <c r="K229" s="161" t="str">
        <f>IF(COUNTIFS($B$31:B229,B229,$E$31:E229,E229,$C$31:C229,C229,$D$31:D229,D229)&gt;1,"DÉJÀ ENTRÉ",IF(AND(COUNTA(B229,C229,D229,E229,F229)&lt;5,COUNTA(B229,C229,D229,E229,F229)&gt;0),"Pensez à renseigner toutes les cases de la ligne !",IF(COUNTA(B229)=1,IF(COUNTBLANK(B229)&gt;=1,"Ne laissez pas de lignes vides. Écrivez sur la ligne supérieure.",""),"")))&amp;IF(G229="Non renseigné","Veuillez sélectionner de nouveau le nom dans la colonne Espèce traitée","")</f>
        <v/>
      </c>
      <c r="L229" s="31" t="str">
        <f>IF(E229="","",INDEX(Données_ATB!BD$3:BU$600,MATCH(E229,Medicament,0),18))</f>
        <v/>
      </c>
      <c r="M229" s="31" t="str">
        <f t="shared" si="17"/>
        <v/>
      </c>
      <c r="N229" s="31" t="str">
        <f t="shared" si="14"/>
        <v/>
      </c>
      <c r="O229" s="31" t="str">
        <f t="shared" si="15"/>
        <v/>
      </c>
      <c r="P229" s="31" t="str">
        <f t="shared" si="16"/>
        <v/>
      </c>
    </row>
    <row r="230" spans="2:16" x14ac:dyDescent="0.3">
      <c r="B230" s="155"/>
      <c r="C230" s="156"/>
      <c r="D230" s="156"/>
      <c r="E230" s="156"/>
      <c r="F230" s="182"/>
      <c r="G230" s="72" t="str">
        <f>IF(C230="","",IFERROR(INDEX(G$19:$L227,MATCH(C230,L$19:L$28,0),1),"Non renseigné"))</f>
        <v/>
      </c>
      <c r="H230" s="190" t="str">
        <f>IFERROR(IF(E230="","",INDEX(Données_ATB!BD$3:BT$600,MATCH(E230,Medicament,0),17)),"Ce médicament n'est pas connu dans la base")</f>
        <v/>
      </c>
      <c r="I230" s="69" t="str">
        <f>IFERROR(IF(E230="","",INDEX(Données_ATB!BD$3:BL$600,MATCH(E230,Medicament,0),9)),"")</f>
        <v/>
      </c>
      <c r="J230" s="44" t="str">
        <f>IFERROR(IF(E230="","",INDEX(Données_ATB!BD$3:BP$5600,MATCH(E230,Medicament,0),13)),"")</f>
        <v/>
      </c>
      <c r="K230" s="161" t="str">
        <f>IF(COUNTIFS($B$31:B230,B230,$E$31:E230,E230,$C$31:C230,C230,$D$31:D230,D230)&gt;1,"DÉJÀ ENTRÉ",IF(AND(COUNTA(B230,C230,D230,E230,F230)&lt;5,COUNTA(B230,C230,D230,E230,F230)&gt;0),"Pensez à renseigner toutes les cases de la ligne !",IF(COUNTA(B230)=1,IF(COUNTBLANK(B230)&gt;=1,"Ne laissez pas de lignes vides. Écrivez sur la ligne supérieure.",""),"")))&amp;IF(G230="Non renseigné","Veuillez sélectionner de nouveau le nom dans la colonne Espèce traitée","")</f>
        <v/>
      </c>
      <c r="L230" s="31" t="str">
        <f>IF(E230="","",INDEX(Données_ATB!BD$3:BU$600,MATCH(E230,Medicament,0),18))</f>
        <v/>
      </c>
      <c r="M230" s="31" t="str">
        <f t="shared" si="17"/>
        <v/>
      </c>
      <c r="N230" s="31" t="str">
        <f t="shared" si="14"/>
        <v/>
      </c>
      <c r="O230" s="31" t="str">
        <f t="shared" si="15"/>
        <v/>
      </c>
      <c r="P230" s="31" t="str">
        <f t="shared" si="16"/>
        <v/>
      </c>
    </row>
    <row r="231" spans="2:16" x14ac:dyDescent="0.3">
      <c r="B231" s="155"/>
      <c r="C231" s="156"/>
      <c r="D231" s="156"/>
      <c r="E231" s="156"/>
      <c r="F231" s="182"/>
      <c r="G231" s="72" t="str">
        <f>IF(C231="","",IFERROR(INDEX(G$19:$L228,MATCH(C231,L$19:L$28,0),1),"Non renseigné"))</f>
        <v/>
      </c>
      <c r="H231" s="190" t="str">
        <f>IFERROR(IF(E231="","",INDEX(Données_ATB!BD$3:BT$600,MATCH(E231,Medicament,0),17)),"Ce médicament n'est pas connu dans la base")</f>
        <v/>
      </c>
      <c r="I231" s="69" t="str">
        <f>IFERROR(IF(E231="","",INDEX(Données_ATB!BD$3:BL$600,MATCH(E231,Medicament,0),9)),"")</f>
        <v/>
      </c>
      <c r="J231" s="44" t="str">
        <f>IFERROR(IF(E231="","",INDEX(Données_ATB!BD$3:BP$5600,MATCH(E231,Medicament,0),13)),"")</f>
        <v/>
      </c>
      <c r="K231" s="161" t="str">
        <f>IF(COUNTIFS($B$31:B231,B231,$E$31:E231,E231,$C$31:C231,C231,$D$31:D231,D231)&gt;1,"DÉJÀ ENTRÉ",IF(AND(COUNTA(B231,C231,D231,E231,F231)&lt;5,COUNTA(B231,C231,D231,E231,F231)&gt;0),"Pensez à renseigner toutes les cases de la ligne !",IF(COUNTA(B231)=1,IF(COUNTBLANK(B231)&gt;=1,"Ne laissez pas de lignes vides. Écrivez sur la ligne supérieure.",""),"")))&amp;IF(G231="Non renseigné","Veuillez sélectionner de nouveau le nom dans la colonne Espèce traitée","")</f>
        <v/>
      </c>
      <c r="L231" s="31" t="str">
        <f>IF(E231="","",INDEX(Données_ATB!BD$3:BU$600,MATCH(E231,Medicament,0),18))</f>
        <v/>
      </c>
      <c r="M231" s="31" t="str">
        <f t="shared" si="17"/>
        <v/>
      </c>
      <c r="N231" s="31" t="str">
        <f t="shared" si="14"/>
        <v/>
      </c>
      <c r="O231" s="31" t="str">
        <f t="shared" si="15"/>
        <v/>
      </c>
      <c r="P231" s="31" t="str">
        <f t="shared" si="16"/>
        <v/>
      </c>
    </row>
    <row r="232" spans="2:16" x14ac:dyDescent="0.3">
      <c r="B232" s="155"/>
      <c r="C232" s="156"/>
      <c r="D232" s="156"/>
      <c r="E232" s="156"/>
      <c r="F232" s="182"/>
      <c r="G232" s="72" t="str">
        <f>IF(C232="","",IFERROR(INDEX(G$19:$L229,MATCH(C232,L$19:L$28,0),1),"Non renseigné"))</f>
        <v/>
      </c>
      <c r="H232" s="190" t="str">
        <f>IFERROR(IF(E232="","",INDEX(Données_ATB!BD$3:BT$600,MATCH(E232,Medicament,0),17)),"Ce médicament n'est pas connu dans la base")</f>
        <v/>
      </c>
      <c r="I232" s="69" t="str">
        <f>IFERROR(IF(E232="","",INDEX(Données_ATB!BD$3:BL$600,MATCH(E232,Medicament,0),9)),"")</f>
        <v/>
      </c>
      <c r="J232" s="44" t="str">
        <f>IFERROR(IF(E232="","",INDEX(Données_ATB!BD$3:BP$5600,MATCH(E232,Medicament,0),13)),"")</f>
        <v/>
      </c>
      <c r="K232" s="161" t="str">
        <f>IF(COUNTIFS($B$31:B232,B232,$E$31:E232,E232,$C$31:C232,C232,$D$31:D232,D232)&gt;1,"DÉJÀ ENTRÉ",IF(AND(COUNTA(B232,C232,D232,E232,F232)&lt;5,COUNTA(B232,C232,D232,E232,F232)&gt;0),"Pensez à renseigner toutes les cases de la ligne !",IF(COUNTA(B232)=1,IF(COUNTBLANK(B232)&gt;=1,"Ne laissez pas de lignes vides. Écrivez sur la ligne supérieure.",""),"")))&amp;IF(G232="Non renseigné","Veuillez sélectionner de nouveau le nom dans la colonne Espèce traitée","")</f>
        <v/>
      </c>
      <c r="L232" s="31" t="str">
        <f>IF(E232="","",INDEX(Données_ATB!BD$3:BU$600,MATCH(E232,Medicament,0),18))</f>
        <v/>
      </c>
      <c r="M232" s="31" t="str">
        <f t="shared" si="17"/>
        <v/>
      </c>
      <c r="N232" s="31" t="str">
        <f t="shared" si="14"/>
        <v/>
      </c>
      <c r="O232" s="31" t="str">
        <f t="shared" si="15"/>
        <v/>
      </c>
      <c r="P232" s="31" t="str">
        <f t="shared" si="16"/>
        <v/>
      </c>
    </row>
    <row r="233" spans="2:16" x14ac:dyDescent="0.3">
      <c r="B233" s="155"/>
      <c r="C233" s="156"/>
      <c r="D233" s="156"/>
      <c r="E233" s="156"/>
      <c r="F233" s="182"/>
      <c r="G233" s="72" t="str">
        <f>IF(C233="","",IFERROR(INDEX(G$19:$L230,MATCH(C233,L$19:L$28,0),1),"Non renseigné"))</f>
        <v/>
      </c>
      <c r="H233" s="190" t="str">
        <f>IFERROR(IF(E233="","",INDEX(Données_ATB!BD$3:BT$600,MATCH(E233,Medicament,0),17)),"Ce médicament n'est pas connu dans la base")</f>
        <v/>
      </c>
      <c r="I233" s="69" t="str">
        <f>IFERROR(IF(E233="","",INDEX(Données_ATB!BD$3:BL$600,MATCH(E233,Medicament,0),9)),"")</f>
        <v/>
      </c>
      <c r="J233" s="44" t="str">
        <f>IFERROR(IF(E233="","",INDEX(Données_ATB!BD$3:BP$5600,MATCH(E233,Medicament,0),13)),"")</f>
        <v/>
      </c>
      <c r="K233" s="161" t="str">
        <f>IF(COUNTIFS($B$31:B233,B233,$E$31:E233,E233,$C$31:C233,C233,$D$31:D233,D233)&gt;1,"DÉJÀ ENTRÉ",IF(AND(COUNTA(B233,C233,D233,E233,F233)&lt;5,COUNTA(B233,C233,D233,E233,F233)&gt;0),"Pensez à renseigner toutes les cases de la ligne !",IF(COUNTA(B233)=1,IF(COUNTBLANK(B233)&gt;=1,"Ne laissez pas de lignes vides. Écrivez sur la ligne supérieure.",""),"")))&amp;IF(G233="Non renseigné","Veuillez sélectionner de nouveau le nom dans la colonne Espèce traitée","")</f>
        <v/>
      </c>
      <c r="L233" s="31" t="str">
        <f>IF(E233="","",INDEX(Données_ATB!BD$3:BU$600,MATCH(E233,Medicament,0),18))</f>
        <v/>
      </c>
      <c r="M233" s="31" t="str">
        <f t="shared" si="17"/>
        <v/>
      </c>
      <c r="N233" s="31" t="str">
        <f t="shared" si="14"/>
        <v/>
      </c>
      <c r="O233" s="31" t="str">
        <f t="shared" si="15"/>
        <v/>
      </c>
      <c r="P233" s="31" t="str">
        <f t="shared" si="16"/>
        <v/>
      </c>
    </row>
    <row r="234" spans="2:16" x14ac:dyDescent="0.3">
      <c r="B234" s="155"/>
      <c r="C234" s="156"/>
      <c r="D234" s="156"/>
      <c r="E234" s="156"/>
      <c r="F234" s="182"/>
      <c r="G234" s="72" t="str">
        <f>IF(C234="","",IFERROR(INDEX(G$19:$L231,MATCH(C234,L$19:L$28,0),1),"Non renseigné"))</f>
        <v/>
      </c>
      <c r="H234" s="190" t="str">
        <f>IFERROR(IF(E234="","",INDEX(Données_ATB!BD$3:BT$600,MATCH(E234,Medicament,0),17)),"Ce médicament n'est pas connu dans la base")</f>
        <v/>
      </c>
      <c r="I234" s="69" t="str">
        <f>IFERROR(IF(E234="","",INDEX(Données_ATB!BD$3:BL$600,MATCH(E234,Medicament,0),9)),"")</f>
        <v/>
      </c>
      <c r="J234" s="44" t="str">
        <f>IFERROR(IF(E234="","",INDEX(Données_ATB!BD$3:BP$5600,MATCH(E234,Medicament,0),13)),"")</f>
        <v/>
      </c>
      <c r="K234" s="161" t="str">
        <f>IF(COUNTIFS($B$31:B234,B234,$E$31:E234,E234,$C$31:C234,C234,$D$31:D234,D234)&gt;1,"DÉJÀ ENTRÉ",IF(AND(COUNTA(B234,C234,D234,E234,F234)&lt;5,COUNTA(B234,C234,D234,E234,F234)&gt;0),"Pensez à renseigner toutes les cases de la ligne !",IF(COUNTA(B234)=1,IF(COUNTBLANK(B234)&gt;=1,"Ne laissez pas de lignes vides. Écrivez sur la ligne supérieure.",""),"")))&amp;IF(G234="Non renseigné","Veuillez sélectionner de nouveau le nom dans la colonne Espèce traitée","")</f>
        <v/>
      </c>
      <c r="L234" s="31" t="str">
        <f>IF(E234="","",INDEX(Données_ATB!BD$3:BU$600,MATCH(E234,Medicament,0),18))</f>
        <v/>
      </c>
      <c r="M234" s="31" t="str">
        <f t="shared" si="17"/>
        <v/>
      </c>
      <c r="N234" s="31" t="str">
        <f t="shared" si="14"/>
        <v/>
      </c>
      <c r="O234" s="31" t="str">
        <f t="shared" si="15"/>
        <v/>
      </c>
      <c r="P234" s="31" t="str">
        <f t="shared" si="16"/>
        <v/>
      </c>
    </row>
    <row r="235" spans="2:16" x14ac:dyDescent="0.3">
      <c r="B235" s="155"/>
      <c r="C235" s="156"/>
      <c r="D235" s="156"/>
      <c r="E235" s="156"/>
      <c r="F235" s="182"/>
      <c r="G235" s="72" t="str">
        <f>IF(C235="","",IFERROR(INDEX(G$19:$L232,MATCH(C235,L$19:L$28,0),1),"Non renseigné"))</f>
        <v/>
      </c>
      <c r="H235" s="190" t="str">
        <f>IFERROR(IF(E235="","",INDEX(Données_ATB!BD$3:BT$600,MATCH(E235,Medicament,0),17)),"Ce médicament n'est pas connu dans la base")</f>
        <v/>
      </c>
      <c r="I235" s="69" t="str">
        <f>IFERROR(IF(E235="","",INDEX(Données_ATB!BD$3:BL$600,MATCH(E235,Medicament,0),9)),"")</f>
        <v/>
      </c>
      <c r="J235" s="44" t="str">
        <f>IFERROR(IF(E235="","",INDEX(Données_ATB!BD$3:BP$5600,MATCH(E235,Medicament,0),13)),"")</f>
        <v/>
      </c>
      <c r="K235" s="161" t="str">
        <f>IF(COUNTIFS($B$31:B235,B235,$E$31:E235,E235,$C$31:C235,C235,$D$31:D235,D235)&gt;1,"DÉJÀ ENTRÉ",IF(AND(COUNTA(B235,C235,D235,E235,F235)&lt;5,COUNTA(B235,C235,D235,E235,F235)&gt;0),"Pensez à renseigner toutes les cases de la ligne !",IF(COUNTA(B235)=1,IF(COUNTBLANK(B235)&gt;=1,"Ne laissez pas de lignes vides. Écrivez sur la ligne supérieure.",""),"")))&amp;IF(G235="Non renseigné","Veuillez sélectionner de nouveau le nom dans la colonne Espèce traitée","")</f>
        <v/>
      </c>
      <c r="L235" s="31" t="str">
        <f>IF(E235="","",INDEX(Données_ATB!BD$3:BU$600,MATCH(E235,Medicament,0),18))</f>
        <v/>
      </c>
      <c r="M235" s="31" t="str">
        <f t="shared" si="17"/>
        <v/>
      </c>
      <c r="N235" s="31" t="str">
        <f t="shared" si="14"/>
        <v/>
      </c>
      <c r="O235" s="31" t="str">
        <f t="shared" si="15"/>
        <v/>
      </c>
      <c r="P235" s="31" t="str">
        <f t="shared" si="16"/>
        <v/>
      </c>
    </row>
    <row r="236" spans="2:16" x14ac:dyDescent="0.3">
      <c r="B236" s="155"/>
      <c r="C236" s="156"/>
      <c r="D236" s="156"/>
      <c r="E236" s="156"/>
      <c r="F236" s="182"/>
      <c r="G236" s="72" t="str">
        <f>IF(C236="","",IFERROR(INDEX(G$19:$L233,MATCH(C236,L$19:L$28,0),1),"Non renseigné"))</f>
        <v/>
      </c>
      <c r="H236" s="190" t="str">
        <f>IFERROR(IF(E236="","",INDEX(Données_ATB!BD$3:BT$600,MATCH(E236,Medicament,0),17)),"Ce médicament n'est pas connu dans la base")</f>
        <v/>
      </c>
      <c r="I236" s="69" t="str">
        <f>IFERROR(IF(E236="","",INDEX(Données_ATB!BD$3:BL$600,MATCH(E236,Medicament,0),9)),"")</f>
        <v/>
      </c>
      <c r="J236" s="44" t="str">
        <f>IFERROR(IF(E236="","",INDEX(Données_ATB!BD$3:BP$5600,MATCH(E236,Medicament,0),13)),"")</f>
        <v/>
      </c>
      <c r="K236" s="161" t="str">
        <f>IF(COUNTIFS($B$31:B236,B236,$E$31:E236,E236,$C$31:C236,C236,$D$31:D236,D236)&gt;1,"DÉJÀ ENTRÉ",IF(AND(COUNTA(B236,C236,D236,E236,F236)&lt;5,COUNTA(B236,C236,D236,E236,F236)&gt;0),"Pensez à renseigner toutes les cases de la ligne !",IF(COUNTA(B236)=1,IF(COUNTBLANK(B236)&gt;=1,"Ne laissez pas de lignes vides. Écrivez sur la ligne supérieure.",""),"")))&amp;IF(G236="Non renseigné","Veuillez sélectionner de nouveau le nom dans la colonne Espèce traitée","")</f>
        <v/>
      </c>
      <c r="L236" s="31" t="str">
        <f>IF(E236="","",INDEX(Données_ATB!BD$3:BU$600,MATCH(E236,Medicament,0),18))</f>
        <v/>
      </c>
      <c r="M236" s="31" t="str">
        <f t="shared" si="17"/>
        <v/>
      </c>
      <c r="N236" s="31" t="str">
        <f t="shared" si="14"/>
        <v/>
      </c>
      <c r="O236" s="31" t="str">
        <f t="shared" si="15"/>
        <v/>
      </c>
      <c r="P236" s="31" t="str">
        <f t="shared" si="16"/>
        <v/>
      </c>
    </row>
    <row r="237" spans="2:16" x14ac:dyDescent="0.3">
      <c r="B237" s="155"/>
      <c r="C237" s="156"/>
      <c r="D237" s="156"/>
      <c r="E237" s="156"/>
      <c r="F237" s="182"/>
      <c r="G237" s="72" t="str">
        <f>IF(C237="","",IFERROR(INDEX(G$19:$L234,MATCH(C237,L$19:L$28,0),1),"Non renseigné"))</f>
        <v/>
      </c>
      <c r="H237" s="190" t="str">
        <f>IFERROR(IF(E237="","",INDEX(Données_ATB!BD$3:BT$600,MATCH(E237,Medicament,0),17)),"Ce médicament n'est pas connu dans la base")</f>
        <v/>
      </c>
      <c r="I237" s="69" t="str">
        <f>IFERROR(IF(E237="","",INDEX(Données_ATB!BD$3:BL$600,MATCH(E237,Medicament,0),9)),"")</f>
        <v/>
      </c>
      <c r="J237" s="44" t="str">
        <f>IFERROR(IF(E237="","",INDEX(Données_ATB!BD$3:BP$5600,MATCH(E237,Medicament,0),13)),"")</f>
        <v/>
      </c>
      <c r="K237" s="161" t="str">
        <f>IF(COUNTIFS($B$31:B237,B237,$E$31:E237,E237,$C$31:C237,C237,$D$31:D237,D237)&gt;1,"DÉJÀ ENTRÉ",IF(AND(COUNTA(B237,C237,D237,E237,F237)&lt;5,COUNTA(B237,C237,D237,E237,F237)&gt;0),"Pensez à renseigner toutes les cases de la ligne !",IF(COUNTA(B237)=1,IF(COUNTBLANK(B237)&gt;=1,"Ne laissez pas de lignes vides. Écrivez sur la ligne supérieure.",""),"")))&amp;IF(G237="Non renseigné","Veuillez sélectionner de nouveau le nom dans la colonne Espèce traitée","")</f>
        <v/>
      </c>
      <c r="L237" s="31" t="str">
        <f>IF(E237="","",INDEX(Données_ATB!BD$3:BU$600,MATCH(E237,Medicament,0),18))</f>
        <v/>
      </c>
      <c r="M237" s="31" t="str">
        <f t="shared" si="17"/>
        <v/>
      </c>
      <c r="N237" s="31" t="str">
        <f t="shared" si="14"/>
        <v/>
      </c>
      <c r="O237" s="31" t="str">
        <f t="shared" si="15"/>
        <v/>
      </c>
      <c r="P237" s="31" t="str">
        <f t="shared" si="16"/>
        <v/>
      </c>
    </row>
    <row r="238" spans="2:16" x14ac:dyDescent="0.3">
      <c r="B238" s="155"/>
      <c r="C238" s="156"/>
      <c r="D238" s="156"/>
      <c r="E238" s="156"/>
      <c r="F238" s="182"/>
      <c r="G238" s="72" t="str">
        <f>IF(C238="","",IFERROR(INDEX(G$19:$L235,MATCH(C238,L$19:L$28,0),1),"Non renseigné"))</f>
        <v/>
      </c>
      <c r="H238" s="190" t="str">
        <f>IFERROR(IF(E238="","",INDEX(Données_ATB!BD$3:BT$600,MATCH(E238,Medicament,0),17)),"Ce médicament n'est pas connu dans la base")</f>
        <v/>
      </c>
      <c r="I238" s="69" t="str">
        <f>IFERROR(IF(E238="","",INDEX(Données_ATB!BD$3:BL$600,MATCH(E238,Medicament,0),9)),"")</f>
        <v/>
      </c>
      <c r="J238" s="44" t="str">
        <f>IFERROR(IF(E238="","",INDEX(Données_ATB!BD$3:BP$5600,MATCH(E238,Medicament,0),13)),"")</f>
        <v/>
      </c>
      <c r="K238" s="161" t="str">
        <f>IF(COUNTIFS($B$31:B238,B238,$E$31:E238,E238,$C$31:C238,C238,$D$31:D238,D238)&gt;1,"DÉJÀ ENTRÉ",IF(AND(COUNTA(B238,C238,D238,E238,F238)&lt;5,COUNTA(B238,C238,D238,E238,F238)&gt;0),"Pensez à renseigner toutes les cases de la ligne !",IF(COUNTA(B238)=1,IF(COUNTBLANK(B238)&gt;=1,"Ne laissez pas de lignes vides. Écrivez sur la ligne supérieure.",""),"")))&amp;IF(G238="Non renseigné","Veuillez sélectionner de nouveau le nom dans la colonne Espèce traitée","")</f>
        <v/>
      </c>
      <c r="L238" s="31" t="str">
        <f>IF(E238="","",INDEX(Données_ATB!BD$3:BU$600,MATCH(E238,Medicament,0),18))</f>
        <v/>
      </c>
      <c r="M238" s="31" t="str">
        <f t="shared" si="17"/>
        <v/>
      </c>
      <c r="N238" s="31" t="str">
        <f t="shared" si="14"/>
        <v/>
      </c>
      <c r="O238" s="31" t="str">
        <f t="shared" si="15"/>
        <v/>
      </c>
      <c r="P238" s="31" t="str">
        <f t="shared" si="16"/>
        <v/>
      </c>
    </row>
    <row r="239" spans="2:16" x14ac:dyDescent="0.3">
      <c r="B239" s="155"/>
      <c r="C239" s="156"/>
      <c r="D239" s="156"/>
      <c r="E239" s="156"/>
      <c r="F239" s="182"/>
      <c r="G239" s="72" t="str">
        <f>IF(C239="","",IFERROR(INDEX(G$19:$L236,MATCH(C239,L$19:L$28,0),1),"Non renseigné"))</f>
        <v/>
      </c>
      <c r="H239" s="190" t="str">
        <f>IFERROR(IF(E239="","",INDEX(Données_ATB!BD$3:BT$600,MATCH(E239,Medicament,0),17)),"Ce médicament n'est pas connu dans la base")</f>
        <v/>
      </c>
      <c r="I239" s="69" t="str">
        <f>IFERROR(IF(E239="","",INDEX(Données_ATB!BD$3:BL$600,MATCH(E239,Medicament,0),9)),"")</f>
        <v/>
      </c>
      <c r="J239" s="44" t="str">
        <f>IFERROR(IF(E239="","",INDEX(Données_ATB!BD$3:BP$5600,MATCH(E239,Medicament,0),13)),"")</f>
        <v/>
      </c>
      <c r="K239" s="161" t="str">
        <f>IF(COUNTIFS($B$31:B239,B239,$E$31:E239,E239,$C$31:C239,C239,$D$31:D239,D239)&gt;1,"DÉJÀ ENTRÉ",IF(AND(COUNTA(B239,C239,D239,E239,F239)&lt;5,COUNTA(B239,C239,D239,E239,F239)&gt;0),"Pensez à renseigner toutes les cases de la ligne !",IF(COUNTA(B239)=1,IF(COUNTBLANK(B239)&gt;=1,"Ne laissez pas de lignes vides. Écrivez sur la ligne supérieure.",""),"")))&amp;IF(G239="Non renseigné","Veuillez sélectionner de nouveau le nom dans la colonne Espèce traitée","")</f>
        <v/>
      </c>
      <c r="L239" s="31" t="str">
        <f>IF(E239="","",INDEX(Données_ATB!BD$3:BU$600,MATCH(E239,Medicament,0),18))</f>
        <v/>
      </c>
      <c r="M239" s="31" t="str">
        <f t="shared" si="17"/>
        <v/>
      </c>
      <c r="N239" s="31" t="str">
        <f t="shared" si="14"/>
        <v/>
      </c>
      <c r="O239" s="31" t="str">
        <f t="shared" si="15"/>
        <v/>
      </c>
      <c r="P239" s="31" t="str">
        <f t="shared" si="16"/>
        <v/>
      </c>
    </row>
    <row r="240" spans="2:16" x14ac:dyDescent="0.3">
      <c r="B240" s="155"/>
      <c r="C240" s="156"/>
      <c r="D240" s="156"/>
      <c r="E240" s="156"/>
      <c r="F240" s="182"/>
      <c r="G240" s="72" t="str">
        <f>IF(C240="","",IFERROR(INDEX(G$19:$L237,MATCH(C240,L$19:L$28,0),1),"Non renseigné"))</f>
        <v/>
      </c>
      <c r="H240" s="190" t="str">
        <f>IFERROR(IF(E240="","",INDEX(Données_ATB!BD$3:BT$600,MATCH(E240,Medicament,0),17)),"Ce médicament n'est pas connu dans la base")</f>
        <v/>
      </c>
      <c r="I240" s="69" t="str">
        <f>IFERROR(IF(E240="","",INDEX(Données_ATB!BD$3:BL$600,MATCH(E240,Medicament,0),9)),"")</f>
        <v/>
      </c>
      <c r="J240" s="44" t="str">
        <f>IFERROR(IF(E240="","",INDEX(Données_ATB!BD$3:BP$5600,MATCH(E240,Medicament,0),13)),"")</f>
        <v/>
      </c>
      <c r="K240" s="161" t="str">
        <f>IF(COUNTIFS($B$31:B240,B240,$E$31:E240,E240,$C$31:C240,C240,$D$31:D240,D240)&gt;1,"DÉJÀ ENTRÉ",IF(AND(COUNTA(B240,C240,D240,E240,F240)&lt;5,COUNTA(B240,C240,D240,E240,F240)&gt;0),"Pensez à renseigner toutes les cases de la ligne !",IF(COUNTA(B240)=1,IF(COUNTBLANK(B240)&gt;=1,"Ne laissez pas de lignes vides. Écrivez sur la ligne supérieure.",""),"")))&amp;IF(G240="Non renseigné","Veuillez sélectionner de nouveau le nom dans la colonne Espèce traitée","")</f>
        <v/>
      </c>
      <c r="L240" s="31" t="str">
        <f>IF(E240="","",INDEX(Données_ATB!BD$3:BU$600,MATCH(E240,Medicament,0),18))</f>
        <v/>
      </c>
      <c r="M240" s="31" t="str">
        <f t="shared" si="17"/>
        <v/>
      </c>
      <c r="N240" s="31" t="str">
        <f t="shared" si="14"/>
        <v/>
      </c>
      <c r="O240" s="31" t="str">
        <f t="shared" si="15"/>
        <v/>
      </c>
      <c r="P240" s="31" t="str">
        <f t="shared" si="16"/>
        <v/>
      </c>
    </row>
    <row r="241" spans="2:16" x14ac:dyDescent="0.3">
      <c r="B241" s="155"/>
      <c r="C241" s="156"/>
      <c r="D241" s="156"/>
      <c r="E241" s="156"/>
      <c r="F241" s="182"/>
      <c r="G241" s="72" t="str">
        <f>IF(C241="","",IFERROR(INDEX(G$19:$L238,MATCH(C241,L$19:L$28,0),1),"Non renseigné"))</f>
        <v/>
      </c>
      <c r="H241" s="190" t="str">
        <f>IFERROR(IF(E241="","",INDEX(Données_ATB!BD$3:BT$600,MATCH(E241,Medicament,0),17)),"Ce médicament n'est pas connu dans la base")</f>
        <v/>
      </c>
      <c r="I241" s="69" t="str">
        <f>IFERROR(IF(E241="","",INDEX(Données_ATB!BD$3:BL$600,MATCH(E241,Medicament,0),9)),"")</f>
        <v/>
      </c>
      <c r="J241" s="44" t="str">
        <f>IFERROR(IF(E241="","",INDEX(Données_ATB!BD$3:BP$5600,MATCH(E241,Medicament,0),13)),"")</f>
        <v/>
      </c>
      <c r="K241" s="161" t="str">
        <f>IF(COUNTIFS($B$31:B241,B241,$E$31:E241,E241,$C$31:C241,C241,$D$31:D241,D241)&gt;1,"DÉJÀ ENTRÉ",IF(AND(COUNTA(B241,C241,D241,E241,F241)&lt;5,COUNTA(B241,C241,D241,E241,F241)&gt;0),"Pensez à renseigner toutes les cases de la ligne !",IF(COUNTA(B241)=1,IF(COUNTBLANK(B241)&gt;=1,"Ne laissez pas de lignes vides. Écrivez sur la ligne supérieure.",""),"")))&amp;IF(G241="Non renseigné","Veuillez sélectionner de nouveau le nom dans la colonne Espèce traitée","")</f>
        <v/>
      </c>
      <c r="L241" s="31" t="str">
        <f>IF(E241="","",INDEX(Données_ATB!BD$3:BU$600,MATCH(E241,Medicament,0),18))</f>
        <v/>
      </c>
      <c r="M241" s="31" t="str">
        <f t="shared" si="17"/>
        <v/>
      </c>
      <c r="N241" s="31" t="str">
        <f t="shared" si="14"/>
        <v/>
      </c>
      <c r="O241" s="31" t="str">
        <f t="shared" si="15"/>
        <v/>
      </c>
      <c r="P241" s="31" t="str">
        <f t="shared" si="16"/>
        <v/>
      </c>
    </row>
    <row r="242" spans="2:16" x14ac:dyDescent="0.3">
      <c r="B242" s="155"/>
      <c r="C242" s="156"/>
      <c r="D242" s="156"/>
      <c r="E242" s="156"/>
      <c r="F242" s="182"/>
      <c r="G242" s="72" t="str">
        <f>IF(C242="","",IFERROR(INDEX(G$19:$L239,MATCH(C242,L$19:L$28,0),1),"Non renseigné"))</f>
        <v/>
      </c>
      <c r="H242" s="190" t="str">
        <f>IFERROR(IF(E242="","",INDEX(Données_ATB!BD$3:BT$600,MATCH(E242,Medicament,0),17)),"Ce médicament n'est pas connu dans la base")</f>
        <v/>
      </c>
      <c r="I242" s="69" t="str">
        <f>IFERROR(IF(E242="","",INDEX(Données_ATB!BD$3:BL$600,MATCH(E242,Medicament,0),9)),"")</f>
        <v/>
      </c>
      <c r="J242" s="44" t="str">
        <f>IFERROR(IF(E242="","",INDEX(Données_ATB!BD$3:BP$5600,MATCH(E242,Medicament,0),13)),"")</f>
        <v/>
      </c>
      <c r="K242" s="161" t="str">
        <f>IF(COUNTIFS($B$31:B242,B242,$E$31:E242,E242,$C$31:C242,C242,$D$31:D242,D242)&gt;1,"DÉJÀ ENTRÉ",IF(AND(COUNTA(B242,C242,D242,E242,F242)&lt;5,COUNTA(B242,C242,D242,E242,F242)&gt;0),"Pensez à renseigner toutes les cases de la ligne !",IF(COUNTA(B242)=1,IF(COUNTBLANK(B242)&gt;=1,"Ne laissez pas de lignes vides. Écrivez sur la ligne supérieure.",""),"")))&amp;IF(G242="Non renseigné","Veuillez sélectionner de nouveau le nom dans la colonne Espèce traitée","")</f>
        <v/>
      </c>
      <c r="L242" s="31" t="str">
        <f>IF(E242="","",INDEX(Données_ATB!BD$3:BU$600,MATCH(E242,Medicament,0),18))</f>
        <v/>
      </c>
      <c r="M242" s="31" t="str">
        <f t="shared" si="17"/>
        <v/>
      </c>
      <c r="N242" s="31" t="str">
        <f t="shared" ref="N242:N305" si="18">IF(E242="","",INDEX(C$19:L$28,MATCH(C242,L$19:L$28,0),1))</f>
        <v/>
      </c>
      <c r="O242" s="31" t="str">
        <f t="shared" ref="O242:O305" si="19">IF(E242="","",INDEX(C$19:L$28,MATCH(C242,L$19:L$28,0),2))</f>
        <v/>
      </c>
      <c r="P242" s="31" t="str">
        <f t="shared" ref="P242:P305" si="20">IF(E242="","",INDEX(C$19:L$28,MATCH(C242,L$19:L$28,0),3))</f>
        <v/>
      </c>
    </row>
    <row r="243" spans="2:16" x14ac:dyDescent="0.3">
      <c r="B243" s="155"/>
      <c r="C243" s="156"/>
      <c r="D243" s="156"/>
      <c r="E243" s="156"/>
      <c r="F243" s="182"/>
      <c r="G243" s="72" t="str">
        <f>IF(C243="","",IFERROR(INDEX(G$19:$L240,MATCH(C243,L$19:L$28,0),1),"Non renseigné"))</f>
        <v/>
      </c>
      <c r="H243" s="190" t="str">
        <f>IFERROR(IF(E243="","",INDEX(Données_ATB!BD$3:BT$600,MATCH(E243,Medicament,0),17)),"Ce médicament n'est pas connu dans la base")</f>
        <v/>
      </c>
      <c r="I243" s="69" t="str">
        <f>IFERROR(IF(E243="","",INDEX(Données_ATB!BD$3:BL$600,MATCH(E243,Medicament,0),9)),"")</f>
        <v/>
      </c>
      <c r="J243" s="44" t="str">
        <f>IFERROR(IF(E243="","",INDEX(Données_ATB!BD$3:BP$5600,MATCH(E243,Medicament,0),13)),"")</f>
        <v/>
      </c>
      <c r="K243" s="161" t="str">
        <f>IF(COUNTIFS($B$31:B243,B243,$E$31:E243,E243,$C$31:C243,C243,$D$31:D243,D243)&gt;1,"DÉJÀ ENTRÉ",IF(AND(COUNTA(B243,C243,D243,E243,F243)&lt;5,COUNTA(B243,C243,D243,E243,F243)&gt;0),"Pensez à renseigner toutes les cases de la ligne !",IF(COUNTA(B243)=1,IF(COUNTBLANK(B243)&gt;=1,"Ne laissez pas de lignes vides. Écrivez sur la ligne supérieure.",""),"")))&amp;IF(G243="Non renseigné","Veuillez sélectionner de nouveau le nom dans la colonne Espèce traitée","")</f>
        <v/>
      </c>
      <c r="L243" s="31" t="str">
        <f>IF(E243="","",INDEX(Données_ATB!BD$3:BU$600,MATCH(E243,Medicament,0),18))</f>
        <v/>
      </c>
      <c r="M243" s="31" t="str">
        <f t="shared" si="17"/>
        <v/>
      </c>
      <c r="N243" s="31" t="str">
        <f t="shared" si="18"/>
        <v/>
      </c>
      <c r="O243" s="31" t="str">
        <f t="shared" si="19"/>
        <v/>
      </c>
      <c r="P243" s="31" t="str">
        <f t="shared" si="20"/>
        <v/>
      </c>
    </row>
    <row r="244" spans="2:16" x14ac:dyDescent="0.3">
      <c r="B244" s="155"/>
      <c r="C244" s="156"/>
      <c r="D244" s="156"/>
      <c r="E244" s="156"/>
      <c r="F244" s="182"/>
      <c r="G244" s="72" t="str">
        <f>IF(C244="","",IFERROR(INDEX(G$19:$L241,MATCH(C244,L$19:L$28,0),1),"Non renseigné"))</f>
        <v/>
      </c>
      <c r="H244" s="190" t="str">
        <f>IFERROR(IF(E244="","",INDEX(Données_ATB!BD$3:BT$600,MATCH(E244,Medicament,0),17)),"Ce médicament n'est pas connu dans la base")</f>
        <v/>
      </c>
      <c r="I244" s="69" t="str">
        <f>IFERROR(IF(E244="","",INDEX(Données_ATB!BD$3:BL$600,MATCH(E244,Medicament,0),9)),"")</f>
        <v/>
      </c>
      <c r="J244" s="44" t="str">
        <f>IFERROR(IF(E244="","",INDEX(Données_ATB!BD$3:BP$5600,MATCH(E244,Medicament,0),13)),"")</f>
        <v/>
      </c>
      <c r="K244" s="161" t="str">
        <f>IF(COUNTIFS($B$31:B244,B244,$E$31:E244,E244,$C$31:C244,C244,$D$31:D244,D244)&gt;1,"DÉJÀ ENTRÉ",IF(AND(COUNTA(B244,C244,D244,E244,F244)&lt;5,COUNTA(B244,C244,D244,E244,F244)&gt;0),"Pensez à renseigner toutes les cases de la ligne !",IF(COUNTA(B244)=1,IF(COUNTBLANK(B244)&gt;=1,"Ne laissez pas de lignes vides. Écrivez sur la ligne supérieure.",""),"")))&amp;IF(G244="Non renseigné","Veuillez sélectionner de nouveau le nom dans la colonne Espèce traitée","")</f>
        <v/>
      </c>
      <c r="L244" s="31" t="str">
        <f>IF(E244="","",INDEX(Données_ATB!BD$3:BU$600,MATCH(E244,Medicament,0),18))</f>
        <v/>
      </c>
      <c r="M244" s="31" t="str">
        <f t="shared" si="17"/>
        <v/>
      </c>
      <c r="N244" s="31" t="str">
        <f t="shared" si="18"/>
        <v/>
      </c>
      <c r="O244" s="31" t="str">
        <f t="shared" si="19"/>
        <v/>
      </c>
      <c r="P244" s="31" t="str">
        <f t="shared" si="20"/>
        <v/>
      </c>
    </row>
    <row r="245" spans="2:16" x14ac:dyDescent="0.3">
      <c r="B245" s="155"/>
      <c r="C245" s="156"/>
      <c r="D245" s="156"/>
      <c r="E245" s="156"/>
      <c r="F245" s="182"/>
      <c r="G245" s="72" t="str">
        <f>IF(C245="","",IFERROR(INDEX(G$19:$L242,MATCH(C245,L$19:L$28,0),1),"Non renseigné"))</f>
        <v/>
      </c>
      <c r="H245" s="190" t="str">
        <f>IFERROR(IF(E245="","",INDEX(Données_ATB!BD$3:BT$600,MATCH(E245,Medicament,0),17)),"Ce médicament n'est pas connu dans la base")</f>
        <v/>
      </c>
      <c r="I245" s="69" t="str">
        <f>IFERROR(IF(E245="","",INDEX(Données_ATB!BD$3:BL$600,MATCH(E245,Medicament,0),9)),"")</f>
        <v/>
      </c>
      <c r="J245" s="44" t="str">
        <f>IFERROR(IF(E245="","",INDEX(Données_ATB!BD$3:BP$5600,MATCH(E245,Medicament,0),13)),"")</f>
        <v/>
      </c>
      <c r="K245" s="161" t="str">
        <f>IF(COUNTIFS($B$31:B245,B245,$E$31:E245,E245,$C$31:C245,C245,$D$31:D245,D245)&gt;1,"DÉJÀ ENTRÉ",IF(AND(COUNTA(B245,C245,D245,E245,F245)&lt;5,COUNTA(B245,C245,D245,E245,F245)&gt;0),"Pensez à renseigner toutes les cases de la ligne !",IF(COUNTA(B245)=1,IF(COUNTBLANK(B245)&gt;=1,"Ne laissez pas de lignes vides. Écrivez sur la ligne supérieure.",""),"")))&amp;IF(G245="Non renseigné","Veuillez sélectionner de nouveau le nom dans la colonne Espèce traitée","")</f>
        <v/>
      </c>
      <c r="L245" s="31" t="str">
        <f>IF(E245="","",INDEX(Données_ATB!BD$3:BU$600,MATCH(E245,Medicament,0),18))</f>
        <v/>
      </c>
      <c r="M245" s="31" t="str">
        <f t="shared" si="17"/>
        <v/>
      </c>
      <c r="N245" s="31" t="str">
        <f t="shared" si="18"/>
        <v/>
      </c>
      <c r="O245" s="31" t="str">
        <f t="shared" si="19"/>
        <v/>
      </c>
      <c r="P245" s="31" t="str">
        <f t="shared" si="20"/>
        <v/>
      </c>
    </row>
    <row r="246" spans="2:16" x14ac:dyDescent="0.3">
      <c r="B246" s="155"/>
      <c r="C246" s="156"/>
      <c r="D246" s="156"/>
      <c r="E246" s="156"/>
      <c r="F246" s="182"/>
      <c r="G246" s="72" t="str">
        <f>IF(C246="","",IFERROR(INDEX(G$19:$L243,MATCH(C246,L$19:L$28,0),1),"Non renseigné"))</f>
        <v/>
      </c>
      <c r="H246" s="190" t="str">
        <f>IFERROR(IF(E246="","",INDEX(Données_ATB!BD$3:BT$600,MATCH(E246,Medicament,0),17)),"Ce médicament n'est pas connu dans la base")</f>
        <v/>
      </c>
      <c r="I246" s="69" t="str">
        <f>IFERROR(IF(E246="","",INDEX(Données_ATB!BD$3:BL$600,MATCH(E246,Medicament,0),9)),"")</f>
        <v/>
      </c>
      <c r="J246" s="44" t="str">
        <f>IFERROR(IF(E246="","",INDEX(Données_ATB!BD$3:BP$5600,MATCH(E246,Medicament,0),13)),"")</f>
        <v/>
      </c>
      <c r="K246" s="161" t="str">
        <f>IF(COUNTIFS($B$31:B246,B246,$E$31:E246,E246,$C$31:C246,C246,$D$31:D246,D246)&gt;1,"DÉJÀ ENTRÉ",IF(AND(COUNTA(B246,C246,D246,E246,F246)&lt;5,COUNTA(B246,C246,D246,E246,F246)&gt;0),"Pensez à renseigner toutes les cases de la ligne !",IF(COUNTA(B246)=1,IF(COUNTBLANK(B246)&gt;=1,"Ne laissez pas de lignes vides. Écrivez sur la ligne supérieure.",""),"")))&amp;IF(G246="Non renseigné","Veuillez sélectionner de nouveau le nom dans la colonne Espèce traitée","")</f>
        <v/>
      </c>
      <c r="L246" s="31" t="str">
        <f>IF(E246="","",INDEX(Données_ATB!BD$3:BU$600,MATCH(E246,Medicament,0),18))</f>
        <v/>
      </c>
      <c r="M246" s="31" t="str">
        <f t="shared" si="17"/>
        <v/>
      </c>
      <c r="N246" s="31" t="str">
        <f t="shared" si="18"/>
        <v/>
      </c>
      <c r="O246" s="31" t="str">
        <f t="shared" si="19"/>
        <v/>
      </c>
      <c r="P246" s="31" t="str">
        <f t="shared" si="20"/>
        <v/>
      </c>
    </row>
    <row r="247" spans="2:16" ht="20.25" customHeight="1" x14ac:dyDescent="0.3">
      <c r="B247" s="155"/>
      <c r="C247" s="156"/>
      <c r="D247" s="156"/>
      <c r="E247" s="156"/>
      <c r="F247" s="182"/>
      <c r="G247" s="72" t="str">
        <f>IF(C247="","",IFERROR(INDEX(G$19:$L244,MATCH(C247,L$19:L$28,0),1),"Non renseigné"))</f>
        <v/>
      </c>
      <c r="H247" s="190" t="str">
        <f>IFERROR(IF(E247="","",INDEX(Données_ATB!BD$3:BT$600,MATCH(E247,Medicament,0),17)),"Ce médicament n'est pas connu dans la base")</f>
        <v/>
      </c>
      <c r="I247" s="69" t="str">
        <f>IFERROR(IF(E247="","",INDEX(Données_ATB!BD$3:BL$600,MATCH(E247,Medicament,0),9)),"")</f>
        <v/>
      </c>
      <c r="J247" s="44" t="str">
        <f>IFERROR(IF(E247="","",INDEX(Données_ATB!BD$3:BP$5600,MATCH(E247,Medicament,0),13)),"")</f>
        <v/>
      </c>
      <c r="K247" s="161" t="str">
        <f>IF(COUNTIFS($B$31:B247,B247,$E$31:E247,E247,$C$31:C247,C247,$D$31:D247,D247)&gt;1,"DÉJÀ ENTRÉ",IF(AND(COUNTA(B247,C247,D247,E247,F247)&lt;5,COUNTA(B247,C247,D247,E247,F247)&gt;0),"Pensez à renseigner toutes les cases de la ligne !",IF(COUNTA(B247)=1,IF(COUNTBLANK(B247)&gt;=1,"Ne laissez pas de lignes vides. Écrivez sur la ligne supérieure.",""),"")))&amp;IF(G247="Non renseigné","Veuillez sélectionner de nouveau le nom dans la colonne Espèce traitée","")</f>
        <v/>
      </c>
      <c r="L247" s="31" t="str">
        <f>IF(E247="","",INDEX(Données_ATB!BD$3:BU$600,MATCH(E247,Medicament,0),18))</f>
        <v/>
      </c>
      <c r="M247" s="31" t="str">
        <f t="shared" si="17"/>
        <v/>
      </c>
      <c r="N247" s="31" t="str">
        <f t="shared" si="18"/>
        <v/>
      </c>
      <c r="O247" s="31" t="str">
        <f t="shared" si="19"/>
        <v/>
      </c>
      <c r="P247" s="31" t="str">
        <f t="shared" si="20"/>
        <v/>
      </c>
    </row>
    <row r="248" spans="2:16" ht="21.75" customHeight="1" x14ac:dyDescent="0.3">
      <c r="B248" s="155"/>
      <c r="C248" s="156"/>
      <c r="D248" s="156"/>
      <c r="E248" s="156"/>
      <c r="F248" s="182"/>
      <c r="G248" s="72" t="str">
        <f>IF(C248="","",IFERROR(INDEX(G$19:$L245,MATCH(C248,L$19:L$28,0),1),"Non renseigné"))</f>
        <v/>
      </c>
      <c r="H248" s="190" t="str">
        <f>IFERROR(IF(E248="","",INDEX(Données_ATB!BD$3:BT$600,MATCH(E248,Medicament,0),17)),"Ce médicament n'est pas connu dans la base")</f>
        <v/>
      </c>
      <c r="I248" s="69" t="str">
        <f>IFERROR(IF(E248="","",INDEX(Données_ATB!BD$3:BL$600,MATCH(E248,Medicament,0),9)),"")</f>
        <v/>
      </c>
      <c r="J248" s="44" t="str">
        <f>IFERROR(IF(E248="","",INDEX(Données_ATB!BD$3:BP$5600,MATCH(E248,Medicament,0),13)),"")</f>
        <v/>
      </c>
      <c r="K248" s="161" t="str">
        <f>IF(COUNTIFS($B$31:B248,B248,$E$31:E248,E248,$C$31:C248,C248,$D$31:D248,D248)&gt;1,"DÉJÀ ENTRÉ",IF(AND(COUNTA(B248,C248,D248,E248,F248)&lt;5,COUNTA(B248,C248,D248,E248,F248)&gt;0),"Pensez à renseigner toutes les cases de la ligne !",IF(COUNTA(B248)=1,IF(COUNTBLANK(B248)&gt;=1,"Ne laissez pas de lignes vides. Écrivez sur la ligne supérieure.",""),"")))&amp;IF(G248="Non renseigné","Veuillez sélectionner de nouveau le nom dans la colonne Espèce traitée","")</f>
        <v/>
      </c>
      <c r="L248" s="31" t="str">
        <f>IF(E248="","",INDEX(Données_ATB!BD$3:BU$600,MATCH(E248,Medicament,0),18))</f>
        <v/>
      </c>
      <c r="M248" s="31" t="str">
        <f t="shared" si="17"/>
        <v/>
      </c>
      <c r="N248" s="31" t="str">
        <f t="shared" si="18"/>
        <v/>
      </c>
      <c r="O248" s="31" t="str">
        <f t="shared" si="19"/>
        <v/>
      </c>
      <c r="P248" s="31" t="str">
        <f t="shared" si="20"/>
        <v/>
      </c>
    </row>
    <row r="249" spans="2:16" x14ac:dyDescent="0.3">
      <c r="B249" s="155"/>
      <c r="C249" s="156"/>
      <c r="D249" s="156"/>
      <c r="E249" s="156"/>
      <c r="F249" s="182"/>
      <c r="G249" s="72" t="str">
        <f>IF(C249="","",IFERROR(INDEX(G$19:$L246,MATCH(C249,L$19:L$28,0),1),"Non renseigné"))</f>
        <v/>
      </c>
      <c r="H249" s="190" t="str">
        <f>IFERROR(IF(E249="","",INDEX(Données_ATB!BD$3:BT$600,MATCH(E249,Medicament,0),17)),"Ce médicament n'est pas connu dans la base")</f>
        <v/>
      </c>
      <c r="I249" s="69" t="str">
        <f>IFERROR(IF(E249="","",INDEX(Données_ATB!BD$3:BL$600,MATCH(E249,Medicament,0),9)),"")</f>
        <v/>
      </c>
      <c r="J249" s="44" t="str">
        <f>IFERROR(IF(E249="","",INDEX(Données_ATB!BD$3:BP$5600,MATCH(E249,Medicament,0),13)),"")</f>
        <v/>
      </c>
      <c r="K249" s="161" t="str">
        <f>IF(COUNTIFS($B$31:B249,B249,$E$31:E249,E249,$C$31:C249,C249,$D$31:D249,D249)&gt;1,"DÉJÀ ENTRÉ",IF(AND(COUNTA(B249,C249,D249,E249,F249)&lt;5,COUNTA(B249,C249,D249,E249,F249)&gt;0),"Pensez à renseigner toutes les cases de la ligne !",IF(COUNTA(B249)=1,IF(COUNTBLANK(B249)&gt;=1,"Ne laissez pas de lignes vides. Écrivez sur la ligne supérieure.",""),"")))&amp;IF(G249="Non renseigné","Veuillez sélectionner de nouveau le nom dans la colonne Espèce traitée","")</f>
        <v/>
      </c>
      <c r="L249" s="31" t="str">
        <f>IF(E249="","",INDEX(Données_ATB!BD$3:BU$600,MATCH(E249,Medicament,0),18))</f>
        <v/>
      </c>
      <c r="M249" s="31" t="str">
        <f t="shared" si="17"/>
        <v/>
      </c>
      <c r="N249" s="31" t="str">
        <f t="shared" si="18"/>
        <v/>
      </c>
      <c r="O249" s="31" t="str">
        <f t="shared" si="19"/>
        <v/>
      </c>
      <c r="P249" s="31" t="str">
        <f t="shared" si="20"/>
        <v/>
      </c>
    </row>
    <row r="250" spans="2:16" x14ac:dyDescent="0.3">
      <c r="B250" s="155"/>
      <c r="C250" s="156"/>
      <c r="D250" s="156"/>
      <c r="E250" s="156"/>
      <c r="F250" s="182"/>
      <c r="G250" s="72" t="str">
        <f>IF(C250="","",IFERROR(INDEX(G$19:$L247,MATCH(C250,L$19:L$28,0),1),"Non renseigné"))</f>
        <v/>
      </c>
      <c r="H250" s="190" t="str">
        <f>IFERROR(IF(E250="","",INDEX(Données_ATB!BD$3:BT$600,MATCH(E250,Medicament,0),17)),"Ce médicament n'est pas connu dans la base")</f>
        <v/>
      </c>
      <c r="I250" s="69" t="str">
        <f>IFERROR(IF(E250="","",INDEX(Données_ATB!BD$3:BL$600,MATCH(E250,Medicament,0),9)),"")</f>
        <v/>
      </c>
      <c r="J250" s="44" t="str">
        <f>IFERROR(IF(E250="","",INDEX(Données_ATB!BD$3:BP$5600,MATCH(E250,Medicament,0),13)),"")</f>
        <v/>
      </c>
      <c r="K250" s="161" t="str">
        <f>IF(COUNTIFS($B$31:B250,B250,$E$31:E250,E250,$C$31:C250,C250,$D$31:D250,D250)&gt;1,"DÉJÀ ENTRÉ",IF(AND(COUNTA(B250,C250,D250,E250,F250)&lt;5,COUNTA(B250,C250,D250,E250,F250)&gt;0),"Pensez à renseigner toutes les cases de la ligne !",IF(COUNTA(B250)=1,IF(COUNTBLANK(B250)&gt;=1,"Ne laissez pas de lignes vides. Écrivez sur la ligne supérieure.",""),"")))&amp;IF(G250="Non renseigné","Veuillez sélectionner de nouveau le nom dans la colonne Espèce traitée","")</f>
        <v/>
      </c>
      <c r="L250" s="31" t="str">
        <f>IF(E250="","",INDEX(Données_ATB!BD$3:BU$600,MATCH(E250,Medicament,0),18))</f>
        <v/>
      </c>
      <c r="M250" s="31" t="str">
        <f t="shared" si="17"/>
        <v/>
      </c>
      <c r="N250" s="31" t="str">
        <f t="shared" si="18"/>
        <v/>
      </c>
      <c r="O250" s="31" t="str">
        <f t="shared" si="19"/>
        <v/>
      </c>
      <c r="P250" s="31" t="str">
        <f t="shared" si="20"/>
        <v/>
      </c>
    </row>
    <row r="251" spans="2:16" x14ac:dyDescent="0.3">
      <c r="B251" s="155"/>
      <c r="C251" s="156"/>
      <c r="D251" s="156"/>
      <c r="E251" s="156"/>
      <c r="F251" s="182"/>
      <c r="G251" s="72" t="str">
        <f>IF(C251="","",IFERROR(INDEX(G$19:$L248,MATCH(C251,L$19:L$28,0),1),"Non renseigné"))</f>
        <v/>
      </c>
      <c r="H251" s="190" t="str">
        <f>IFERROR(IF(E251="","",INDEX(Données_ATB!BD$3:BT$600,MATCH(E251,Medicament,0),17)),"Ce médicament n'est pas connu dans la base")</f>
        <v/>
      </c>
      <c r="I251" s="69" t="str">
        <f>IFERROR(IF(E251="","",INDEX(Données_ATB!BD$3:BL$600,MATCH(E251,Medicament,0),9)),"")</f>
        <v/>
      </c>
      <c r="J251" s="44" t="str">
        <f>IFERROR(IF(E251="","",INDEX(Données_ATB!BD$3:BP$5600,MATCH(E251,Medicament,0),13)),"")</f>
        <v/>
      </c>
      <c r="K251" s="161" t="str">
        <f>IF(COUNTIFS($B$31:B251,B251,$E$31:E251,E251,$C$31:C251,C251,$D$31:D251,D251)&gt;1,"DÉJÀ ENTRÉ",IF(AND(COUNTA(B251,C251,D251,E251,F251)&lt;5,COUNTA(B251,C251,D251,E251,F251)&gt;0),"Pensez à renseigner toutes les cases de la ligne !",IF(COUNTA(B251)=1,IF(COUNTBLANK(B251)&gt;=1,"Ne laissez pas de lignes vides. Écrivez sur la ligne supérieure.",""),"")))&amp;IF(G251="Non renseigné","Veuillez sélectionner de nouveau le nom dans la colonne Espèce traitée","")</f>
        <v/>
      </c>
      <c r="L251" s="31" t="str">
        <f>IF(E251="","",INDEX(Données_ATB!BD$3:BU$600,MATCH(E251,Medicament,0),18))</f>
        <v/>
      </c>
      <c r="M251" s="31" t="str">
        <f t="shared" si="17"/>
        <v/>
      </c>
      <c r="N251" s="31" t="str">
        <f t="shared" si="18"/>
        <v/>
      </c>
      <c r="O251" s="31" t="str">
        <f t="shared" si="19"/>
        <v/>
      </c>
      <c r="P251" s="31" t="str">
        <f t="shared" si="20"/>
        <v/>
      </c>
    </row>
    <row r="252" spans="2:16" x14ac:dyDescent="0.3">
      <c r="B252" s="155"/>
      <c r="C252" s="156"/>
      <c r="D252" s="156"/>
      <c r="E252" s="156"/>
      <c r="F252" s="182"/>
      <c r="G252" s="72" t="str">
        <f>IF(C252="","",IFERROR(INDEX(G$19:$L249,MATCH(C252,L$19:L$28,0),1),"Non renseigné"))</f>
        <v/>
      </c>
      <c r="H252" s="190" t="str">
        <f>IFERROR(IF(E252="","",INDEX(Données_ATB!BD$3:BT$600,MATCH(E252,Medicament,0),17)),"Ce médicament n'est pas connu dans la base")</f>
        <v/>
      </c>
      <c r="I252" s="69" t="str">
        <f>IFERROR(IF(E252="","",INDEX(Données_ATB!BD$3:BL$600,MATCH(E252,Medicament,0),9)),"")</f>
        <v/>
      </c>
      <c r="J252" s="44" t="str">
        <f>IFERROR(IF(E252="","",INDEX(Données_ATB!BD$3:BP$5600,MATCH(E252,Medicament,0),13)),"")</f>
        <v/>
      </c>
      <c r="K252" s="161" t="str">
        <f>IF(COUNTIFS($B$31:B252,B252,$E$31:E252,E252,$C$31:C252,C252,$D$31:D252,D252)&gt;1,"DÉJÀ ENTRÉ",IF(AND(COUNTA(B252,C252,D252,E252,F252)&lt;5,COUNTA(B252,C252,D252,E252,F252)&gt;0),"Pensez à renseigner toutes les cases de la ligne !",IF(COUNTA(B252)=1,IF(COUNTBLANK(B252)&gt;=1,"Ne laissez pas de lignes vides. Écrivez sur la ligne supérieure.",""),"")))&amp;IF(G252="Non renseigné","Veuillez sélectionner de nouveau le nom dans la colonne Espèce traitée","")</f>
        <v/>
      </c>
      <c r="L252" s="31" t="str">
        <f>IF(E252="","",INDEX(Données_ATB!BD$3:BU$600,MATCH(E252,Medicament,0),18))</f>
        <v/>
      </c>
      <c r="M252" s="31" t="str">
        <f t="shared" si="17"/>
        <v/>
      </c>
      <c r="N252" s="31" t="str">
        <f t="shared" si="18"/>
        <v/>
      </c>
      <c r="O252" s="31" t="str">
        <f t="shared" si="19"/>
        <v/>
      </c>
      <c r="P252" s="31" t="str">
        <f t="shared" si="20"/>
        <v/>
      </c>
    </row>
    <row r="253" spans="2:16" x14ac:dyDescent="0.3">
      <c r="B253" s="155"/>
      <c r="C253" s="156"/>
      <c r="D253" s="156"/>
      <c r="E253" s="156"/>
      <c r="F253" s="182"/>
      <c r="G253" s="72" t="str">
        <f>IF(C253="","",IFERROR(INDEX(G$19:$L250,MATCH(C253,L$19:L$28,0),1),"Non renseigné"))</f>
        <v/>
      </c>
      <c r="H253" s="190" t="str">
        <f>IFERROR(IF(E253="","",INDEX(Données_ATB!BD$3:BT$600,MATCH(E253,Medicament,0),17)),"Ce médicament n'est pas connu dans la base")</f>
        <v/>
      </c>
      <c r="I253" s="69" t="str">
        <f>IFERROR(IF(E253="","",INDEX(Données_ATB!BD$3:BL$600,MATCH(E253,Medicament,0),9)),"")</f>
        <v/>
      </c>
      <c r="J253" s="44" t="str">
        <f>IFERROR(IF(E253="","",INDEX(Données_ATB!BD$3:BP$5600,MATCH(E253,Medicament,0),13)),"")</f>
        <v/>
      </c>
      <c r="K253" s="161" t="str">
        <f>IF(COUNTIFS($B$31:B253,B253,$E$31:E253,E253,$C$31:C253,C253,$D$31:D253,D253)&gt;1,"DÉJÀ ENTRÉ",IF(AND(COUNTA(B253,C253,D253,E253,F253)&lt;5,COUNTA(B253,C253,D253,E253,F253)&gt;0),"Pensez à renseigner toutes les cases de la ligne !",IF(COUNTA(B253)=1,IF(COUNTBLANK(B253)&gt;=1,"Ne laissez pas de lignes vides. Écrivez sur la ligne supérieure.",""),"")))&amp;IF(G253="Non renseigné","Veuillez sélectionner de nouveau le nom dans la colonne Espèce traitée","")</f>
        <v/>
      </c>
      <c r="L253" s="31" t="str">
        <f>IF(E253="","",INDEX(Données_ATB!BD$3:BU$600,MATCH(E253,Medicament,0),18))</f>
        <v/>
      </c>
      <c r="M253" s="31" t="str">
        <f t="shared" si="17"/>
        <v/>
      </c>
      <c r="N253" s="31" t="str">
        <f t="shared" si="18"/>
        <v/>
      </c>
      <c r="O253" s="31" t="str">
        <f t="shared" si="19"/>
        <v/>
      </c>
      <c r="P253" s="31" t="str">
        <f t="shared" si="20"/>
        <v/>
      </c>
    </row>
    <row r="254" spans="2:16" x14ac:dyDescent="0.3">
      <c r="B254" s="155"/>
      <c r="C254" s="156"/>
      <c r="D254" s="156"/>
      <c r="E254" s="156"/>
      <c r="F254" s="182"/>
      <c r="G254" s="72" t="str">
        <f>IF(C254="","",IFERROR(INDEX(G$19:$L251,MATCH(C254,L$19:L$28,0),1),"Non renseigné"))</f>
        <v/>
      </c>
      <c r="H254" s="190" t="str">
        <f>IFERROR(IF(E254="","",INDEX(Données_ATB!BD$3:BT$600,MATCH(E254,Medicament,0),17)),"Ce médicament n'est pas connu dans la base")</f>
        <v/>
      </c>
      <c r="I254" s="69" t="str">
        <f>IFERROR(IF(E254="","",INDEX(Données_ATB!BD$3:BL$600,MATCH(E254,Medicament,0),9)),"")</f>
        <v/>
      </c>
      <c r="J254" s="44" t="str">
        <f>IFERROR(IF(E254="","",INDEX(Données_ATB!BD$3:BP$5600,MATCH(E254,Medicament,0),13)),"")</f>
        <v/>
      </c>
      <c r="K254" s="161" t="str">
        <f>IF(COUNTIFS($B$31:B254,B254,$E$31:E254,E254,$C$31:C254,C254,$D$31:D254,D254)&gt;1,"DÉJÀ ENTRÉ",IF(AND(COUNTA(B254,C254,D254,E254,F254)&lt;5,COUNTA(B254,C254,D254,E254,F254)&gt;0),"Pensez à renseigner toutes les cases de la ligne !",IF(COUNTA(B254)=1,IF(COUNTBLANK(B254)&gt;=1,"Ne laissez pas de lignes vides. Écrivez sur la ligne supérieure.",""),"")))&amp;IF(G254="Non renseigné","Veuillez sélectionner de nouveau le nom dans la colonne Espèce traitée","")</f>
        <v/>
      </c>
      <c r="L254" s="31" t="str">
        <f>IF(E254="","",INDEX(Données_ATB!BD$3:BU$600,MATCH(E254,Medicament,0),18))</f>
        <v/>
      </c>
      <c r="M254" s="31" t="str">
        <f t="shared" si="17"/>
        <v/>
      </c>
      <c r="N254" s="31" t="str">
        <f t="shared" si="18"/>
        <v/>
      </c>
      <c r="O254" s="31" t="str">
        <f t="shared" si="19"/>
        <v/>
      </c>
      <c r="P254" s="31" t="str">
        <f t="shared" si="20"/>
        <v/>
      </c>
    </row>
    <row r="255" spans="2:16" x14ac:dyDescent="0.3">
      <c r="B255" s="155"/>
      <c r="C255" s="156"/>
      <c r="D255" s="156"/>
      <c r="E255" s="156"/>
      <c r="F255" s="182"/>
      <c r="G255" s="72" t="str">
        <f>IF(C255="","",IFERROR(INDEX(G$19:$L252,MATCH(C255,L$19:L$28,0),1),"Non renseigné"))</f>
        <v/>
      </c>
      <c r="H255" s="190" t="str">
        <f>IFERROR(IF(E255="","",INDEX(Données_ATB!BD$3:BT$600,MATCH(E255,Medicament,0),17)),"Ce médicament n'est pas connu dans la base")</f>
        <v/>
      </c>
      <c r="I255" s="69" t="str">
        <f>IFERROR(IF(E255="","",INDEX(Données_ATB!BD$3:BL$600,MATCH(E255,Medicament,0),9)),"")</f>
        <v/>
      </c>
      <c r="J255" s="44" t="str">
        <f>IFERROR(IF(E255="","",INDEX(Données_ATB!BD$3:BP$5600,MATCH(E255,Medicament,0),13)),"")</f>
        <v/>
      </c>
      <c r="K255" s="161" t="str">
        <f>IF(COUNTIFS($B$31:B255,B255,$E$31:E255,E255,$C$31:C255,C255,$D$31:D255,D255)&gt;1,"DÉJÀ ENTRÉ",IF(AND(COUNTA(B255,C255,D255,E255,F255)&lt;5,COUNTA(B255,C255,D255,E255,F255)&gt;0),"Pensez à renseigner toutes les cases de la ligne !",IF(COUNTA(B255)=1,IF(COUNTBLANK(B255)&gt;=1,"Ne laissez pas de lignes vides. Écrivez sur la ligne supérieure.",""),"")))&amp;IF(G255="Non renseigné","Veuillez sélectionner de nouveau le nom dans la colonne Espèce traitée","")</f>
        <v/>
      </c>
      <c r="L255" s="31" t="str">
        <f>IF(E255="","",INDEX(Données_ATB!BD$3:BU$600,MATCH(E255,Medicament,0),18))</f>
        <v/>
      </c>
      <c r="M255" s="31" t="str">
        <f t="shared" si="17"/>
        <v/>
      </c>
      <c r="N255" s="31" t="str">
        <f t="shared" si="18"/>
        <v/>
      </c>
      <c r="O255" s="31" t="str">
        <f t="shared" si="19"/>
        <v/>
      </c>
      <c r="P255" s="31" t="str">
        <f t="shared" si="20"/>
        <v/>
      </c>
    </row>
    <row r="256" spans="2:16" x14ac:dyDescent="0.3">
      <c r="B256" s="155"/>
      <c r="C256" s="156"/>
      <c r="D256" s="156"/>
      <c r="E256" s="156"/>
      <c r="F256" s="182"/>
      <c r="G256" s="72" t="str">
        <f>IF(C256="","",IFERROR(INDEX(G$19:$L253,MATCH(C256,L$19:L$28,0),1),"Non renseigné"))</f>
        <v/>
      </c>
      <c r="H256" s="190" t="str">
        <f>IFERROR(IF(E256="","",INDEX(Données_ATB!BD$3:BT$600,MATCH(E256,Medicament,0),17)),"Ce médicament n'est pas connu dans la base")</f>
        <v/>
      </c>
      <c r="I256" s="69" t="str">
        <f>IFERROR(IF(E256="","",INDEX(Données_ATB!BD$3:BL$600,MATCH(E256,Medicament,0),9)),"")</f>
        <v/>
      </c>
      <c r="J256" s="44" t="str">
        <f>IFERROR(IF(E256="","",INDEX(Données_ATB!BD$3:BP$5600,MATCH(E256,Medicament,0),13)),"")</f>
        <v/>
      </c>
      <c r="K256" s="161" t="str">
        <f>IF(COUNTIFS($B$31:B256,B256,$E$31:E256,E256,$C$31:C256,C256,$D$31:D256,D256)&gt;1,"DÉJÀ ENTRÉ",IF(AND(COUNTA(B256,C256,D256,E256,F256)&lt;5,COUNTA(B256,C256,D256,E256,F256)&gt;0),"Pensez à renseigner toutes les cases de la ligne !",IF(COUNTA(B256)=1,IF(COUNTBLANK(B256)&gt;=1,"Ne laissez pas de lignes vides. Écrivez sur la ligne supérieure.",""),"")))&amp;IF(G256="Non renseigné","Veuillez sélectionner de nouveau le nom dans la colonne Espèce traitée","")</f>
        <v/>
      </c>
      <c r="L256" s="31" t="str">
        <f>IF(E256="","",INDEX(Données_ATB!BD$3:BU$600,MATCH(E256,Medicament,0),18))</f>
        <v/>
      </c>
      <c r="M256" s="31" t="str">
        <f t="shared" si="17"/>
        <v/>
      </c>
      <c r="N256" s="31" t="str">
        <f t="shared" si="18"/>
        <v/>
      </c>
      <c r="O256" s="31" t="str">
        <f t="shared" si="19"/>
        <v/>
      </c>
      <c r="P256" s="31" t="str">
        <f t="shared" si="20"/>
        <v/>
      </c>
    </row>
    <row r="257" spans="2:16" x14ac:dyDescent="0.3">
      <c r="B257" s="155"/>
      <c r="C257" s="156"/>
      <c r="D257" s="156"/>
      <c r="E257" s="156"/>
      <c r="F257" s="182"/>
      <c r="G257" s="72" t="str">
        <f>IF(C257="","",IFERROR(INDEX(G$19:$L254,MATCH(C257,L$19:L$28,0),1),"Non renseigné"))</f>
        <v/>
      </c>
      <c r="H257" s="190" t="str">
        <f>IFERROR(IF(E257="","",INDEX(Données_ATB!BD$3:BT$600,MATCH(E257,Medicament,0),17)),"Ce médicament n'est pas connu dans la base")</f>
        <v/>
      </c>
      <c r="I257" s="69" t="str">
        <f>IFERROR(IF(E257="","",INDEX(Données_ATB!BD$3:BL$600,MATCH(E257,Medicament,0),9)),"")</f>
        <v/>
      </c>
      <c r="J257" s="44" t="str">
        <f>IFERROR(IF(E257="","",INDEX(Données_ATB!BD$3:BP$5600,MATCH(E257,Medicament,0),13)),"")</f>
        <v/>
      </c>
      <c r="K257" s="161" t="str">
        <f>IF(COUNTIFS($B$31:B257,B257,$E$31:E257,E257,$C$31:C257,C257,$D$31:D257,D257)&gt;1,"DÉJÀ ENTRÉ",IF(AND(COUNTA(B257,C257,D257,E257,F257)&lt;5,COUNTA(B257,C257,D257,E257,F257)&gt;0),"Pensez à renseigner toutes les cases de la ligne !",IF(COUNTA(B257)=1,IF(COUNTBLANK(B257)&gt;=1,"Ne laissez pas de lignes vides. Écrivez sur la ligne supérieure.",""),"")))&amp;IF(G257="Non renseigné","Veuillez sélectionner de nouveau le nom dans la colonne Espèce traitée","")</f>
        <v/>
      </c>
      <c r="L257" s="31" t="str">
        <f>IF(E257="","",INDEX(Données_ATB!BD$3:BU$600,MATCH(E257,Medicament,0),18))</f>
        <v/>
      </c>
      <c r="M257" s="31" t="str">
        <f t="shared" si="17"/>
        <v/>
      </c>
      <c r="N257" s="31" t="str">
        <f t="shared" si="18"/>
        <v/>
      </c>
      <c r="O257" s="31" t="str">
        <f t="shared" si="19"/>
        <v/>
      </c>
      <c r="P257" s="31" t="str">
        <f t="shared" si="20"/>
        <v/>
      </c>
    </row>
    <row r="258" spans="2:16" x14ac:dyDescent="0.3">
      <c r="B258" s="155"/>
      <c r="C258" s="156"/>
      <c r="D258" s="156"/>
      <c r="E258" s="156"/>
      <c r="F258" s="182"/>
      <c r="G258" s="72" t="str">
        <f>IF(C258="","",IFERROR(INDEX(G$19:$L255,MATCH(C258,L$19:L$28,0),1),"Non renseigné"))</f>
        <v/>
      </c>
      <c r="H258" s="190" t="str">
        <f>IFERROR(IF(E258="","",INDEX(Données_ATB!BD$3:BT$600,MATCH(E258,Medicament,0),17)),"Ce médicament n'est pas connu dans la base")</f>
        <v/>
      </c>
      <c r="I258" s="69" t="str">
        <f>IFERROR(IF(E258="","",INDEX(Données_ATB!BD$3:BL$600,MATCH(E258,Medicament,0),9)),"")</f>
        <v/>
      </c>
      <c r="J258" s="44" t="str">
        <f>IFERROR(IF(E258="","",INDEX(Données_ATB!BD$3:BP$5600,MATCH(E258,Medicament,0),13)),"")</f>
        <v/>
      </c>
      <c r="K258" s="161" t="str">
        <f>IF(COUNTIFS($B$31:B258,B258,$E$31:E258,E258,$C$31:C258,C258,$D$31:D258,D258)&gt;1,"DÉJÀ ENTRÉ",IF(AND(COUNTA(B258,C258,D258,E258,F258)&lt;5,COUNTA(B258,C258,D258,E258,F258)&gt;0),"Pensez à renseigner toutes les cases de la ligne !",IF(COUNTA(B258)=1,IF(COUNTBLANK(B258)&gt;=1,"Ne laissez pas de lignes vides. Écrivez sur la ligne supérieure.",""),"")))&amp;IF(G258="Non renseigné","Veuillez sélectionner de nouveau le nom dans la colonne Espèce traitée","")</f>
        <v/>
      </c>
      <c r="L258" s="31" t="str">
        <f>IF(E258="","",INDEX(Données_ATB!BD$3:BU$600,MATCH(E258,Medicament,0),18))</f>
        <v/>
      </c>
      <c r="M258" s="31" t="str">
        <f t="shared" si="17"/>
        <v/>
      </c>
      <c r="N258" s="31" t="str">
        <f t="shared" si="18"/>
        <v/>
      </c>
      <c r="O258" s="31" t="str">
        <f t="shared" si="19"/>
        <v/>
      </c>
      <c r="P258" s="31" t="str">
        <f t="shared" si="20"/>
        <v/>
      </c>
    </row>
    <row r="259" spans="2:16" x14ac:dyDescent="0.3">
      <c r="B259" s="155"/>
      <c r="C259" s="156"/>
      <c r="D259" s="156"/>
      <c r="E259" s="156"/>
      <c r="F259" s="182"/>
      <c r="G259" s="72" t="str">
        <f>IF(C259="","",IFERROR(INDEX(G$19:$L256,MATCH(C259,L$19:L$28,0),1),"Non renseigné"))</f>
        <v/>
      </c>
      <c r="H259" s="190" t="str">
        <f>IFERROR(IF(E259="","",INDEX(Données_ATB!BD$3:BT$600,MATCH(E259,Medicament,0),17)),"Ce médicament n'est pas connu dans la base")</f>
        <v/>
      </c>
      <c r="I259" s="69" t="str">
        <f>IFERROR(IF(E259="","",INDEX(Données_ATB!BD$3:BL$600,MATCH(E259,Medicament,0),9)),"")</f>
        <v/>
      </c>
      <c r="J259" s="44" t="str">
        <f>IFERROR(IF(E259="","",INDEX(Données_ATB!BD$3:BP$5600,MATCH(E259,Medicament,0),13)),"")</f>
        <v/>
      </c>
      <c r="K259" s="161" t="str">
        <f>IF(COUNTIFS($B$31:B259,B259,$E$31:E259,E259,$C$31:C259,C259,$D$31:D259,D259)&gt;1,"DÉJÀ ENTRÉ",IF(AND(COUNTA(B259,C259,D259,E259,F259)&lt;5,COUNTA(B259,C259,D259,E259,F259)&gt;0),"Pensez à renseigner toutes les cases de la ligne !",IF(COUNTA(B259)=1,IF(COUNTBLANK(B259)&gt;=1,"Ne laissez pas de lignes vides. Écrivez sur la ligne supérieure.",""),"")))&amp;IF(G259="Non renseigné","Veuillez sélectionner de nouveau le nom dans la colonne Espèce traitée","")</f>
        <v/>
      </c>
      <c r="L259" s="31" t="str">
        <f>IF(E259="","",INDEX(Données_ATB!BD$3:BU$600,MATCH(E259,Medicament,0),18))</f>
        <v/>
      </c>
      <c r="M259" s="31" t="str">
        <f t="shared" si="17"/>
        <v/>
      </c>
      <c r="N259" s="31" t="str">
        <f t="shared" si="18"/>
        <v/>
      </c>
      <c r="O259" s="31" t="str">
        <f t="shared" si="19"/>
        <v/>
      </c>
      <c r="P259" s="31" t="str">
        <f t="shared" si="20"/>
        <v/>
      </c>
    </row>
    <row r="260" spans="2:16" x14ac:dyDescent="0.3">
      <c r="B260" s="155"/>
      <c r="C260" s="156"/>
      <c r="D260" s="156"/>
      <c r="E260" s="156"/>
      <c r="F260" s="182"/>
      <c r="G260" s="72" t="str">
        <f>IF(C260="","",IFERROR(INDEX(G$19:$L257,MATCH(C260,L$19:L$28,0),1),"Non renseigné"))</f>
        <v/>
      </c>
      <c r="H260" s="190" t="str">
        <f>IFERROR(IF(E260="","",INDEX(Données_ATB!BD$3:BT$600,MATCH(E260,Medicament,0),17)),"Ce médicament n'est pas connu dans la base")</f>
        <v/>
      </c>
      <c r="I260" s="69" t="str">
        <f>IFERROR(IF(E260="","",INDEX(Données_ATB!BD$3:BL$600,MATCH(E260,Medicament,0),9)),"")</f>
        <v/>
      </c>
      <c r="J260" s="44" t="str">
        <f>IFERROR(IF(E260="","",INDEX(Données_ATB!BD$3:BP$5600,MATCH(E260,Medicament,0),13)),"")</f>
        <v/>
      </c>
      <c r="K260" s="161" t="str">
        <f>IF(COUNTIFS($B$31:B260,B260,$E$31:E260,E260,$C$31:C260,C260,$D$31:D260,D260)&gt;1,"DÉJÀ ENTRÉ",IF(AND(COUNTA(B260,C260,D260,E260,F260)&lt;5,COUNTA(B260,C260,D260,E260,F260)&gt;0),"Pensez à renseigner toutes les cases de la ligne !",IF(COUNTA(B260)=1,IF(COUNTBLANK(B260)&gt;=1,"Ne laissez pas de lignes vides. Écrivez sur la ligne supérieure.",""),"")))&amp;IF(G260="Non renseigné","Veuillez sélectionner de nouveau le nom dans la colonne Espèce traitée","")</f>
        <v/>
      </c>
      <c r="L260" s="31" t="str">
        <f>IF(E260="","",INDEX(Données_ATB!BD$3:BU$600,MATCH(E260,Medicament,0),18))</f>
        <v/>
      </c>
      <c r="M260" s="31" t="str">
        <f t="shared" si="17"/>
        <v/>
      </c>
      <c r="N260" s="31" t="str">
        <f t="shared" si="18"/>
        <v/>
      </c>
      <c r="O260" s="31" t="str">
        <f t="shared" si="19"/>
        <v/>
      </c>
      <c r="P260" s="31" t="str">
        <f t="shared" si="20"/>
        <v/>
      </c>
    </row>
    <row r="261" spans="2:16" x14ac:dyDescent="0.3">
      <c r="B261" s="155"/>
      <c r="C261" s="156"/>
      <c r="D261" s="156"/>
      <c r="E261" s="156"/>
      <c r="F261" s="182"/>
      <c r="G261" s="72" t="str">
        <f>IF(C261="","",IFERROR(INDEX(G$19:$L258,MATCH(C261,L$19:L$28,0),1),"Non renseigné"))</f>
        <v/>
      </c>
      <c r="H261" s="190" t="str">
        <f>IFERROR(IF(E261="","",INDEX(Données_ATB!BD$3:BT$600,MATCH(E261,Medicament,0),17)),"Ce médicament n'est pas connu dans la base")</f>
        <v/>
      </c>
      <c r="I261" s="69" t="str">
        <f>IFERROR(IF(E261="","",INDEX(Données_ATB!BD$3:BL$600,MATCH(E261,Medicament,0),9)),"")</f>
        <v/>
      </c>
      <c r="J261" s="44" t="str">
        <f>IFERROR(IF(E261="","",INDEX(Données_ATB!BD$3:BP$5600,MATCH(E261,Medicament,0),13)),"")</f>
        <v/>
      </c>
      <c r="K261" s="161" t="str">
        <f>IF(COUNTIFS($B$31:B261,B261,$E$31:E261,E261,$C$31:C261,C261,$D$31:D261,D261)&gt;1,"DÉJÀ ENTRÉ",IF(AND(COUNTA(B261,C261,D261,E261,F261)&lt;5,COUNTA(B261,C261,D261,E261,F261)&gt;0),"Pensez à renseigner toutes les cases de la ligne !",IF(COUNTA(B261)=1,IF(COUNTBLANK(B261)&gt;=1,"Ne laissez pas de lignes vides. Écrivez sur la ligne supérieure.",""),"")))&amp;IF(G261="Non renseigné","Veuillez sélectionner de nouveau le nom dans la colonne Espèce traitée","")</f>
        <v/>
      </c>
      <c r="L261" s="31" t="str">
        <f>IF(E261="","",INDEX(Données_ATB!BD$3:BU$600,MATCH(E261,Medicament,0),18))</f>
        <v/>
      </c>
      <c r="M261" s="31" t="str">
        <f t="shared" si="17"/>
        <v/>
      </c>
      <c r="N261" s="31" t="str">
        <f t="shared" si="18"/>
        <v/>
      </c>
      <c r="O261" s="31" t="str">
        <f t="shared" si="19"/>
        <v/>
      </c>
      <c r="P261" s="31" t="str">
        <f t="shared" si="20"/>
        <v/>
      </c>
    </row>
    <row r="262" spans="2:16" x14ac:dyDescent="0.3">
      <c r="B262" s="155"/>
      <c r="C262" s="156"/>
      <c r="D262" s="156"/>
      <c r="E262" s="156"/>
      <c r="F262" s="182"/>
      <c r="G262" s="72" t="str">
        <f>IF(C262="","",IFERROR(INDEX(G$19:$L259,MATCH(C262,L$19:L$28,0),1),"Non renseigné"))</f>
        <v/>
      </c>
      <c r="H262" s="190" t="str">
        <f>IFERROR(IF(E262="","",INDEX(Données_ATB!BD$3:BT$600,MATCH(E262,Medicament,0),17)),"Ce médicament n'est pas connu dans la base")</f>
        <v/>
      </c>
      <c r="I262" s="69" t="str">
        <f>IFERROR(IF(E262="","",INDEX(Données_ATB!BD$3:BL$600,MATCH(E262,Medicament,0),9)),"")</f>
        <v/>
      </c>
      <c r="J262" s="44" t="str">
        <f>IFERROR(IF(E262="","",INDEX(Données_ATB!BD$3:BP$5600,MATCH(E262,Medicament,0),13)),"")</f>
        <v/>
      </c>
      <c r="K262" s="161" t="str">
        <f>IF(COUNTIFS($B$31:B262,B262,$E$31:E262,E262,$C$31:C262,C262,$D$31:D262,D262)&gt;1,"DÉJÀ ENTRÉ",IF(AND(COUNTA(B262,C262,D262,E262,F262)&lt;5,COUNTA(B262,C262,D262,E262,F262)&gt;0),"Pensez à renseigner toutes les cases de la ligne !",IF(COUNTA(B262)=1,IF(COUNTBLANK(B262)&gt;=1,"Ne laissez pas de lignes vides. Écrivez sur la ligne supérieure.",""),"")))&amp;IF(G262="Non renseigné","Veuillez sélectionner de nouveau le nom dans la colonne Espèce traitée","")</f>
        <v/>
      </c>
      <c r="L262" s="31" t="str">
        <f>IF(E262="","",INDEX(Données_ATB!BD$3:BU$600,MATCH(E262,Medicament,0),18))</f>
        <v/>
      </c>
      <c r="M262" s="31" t="str">
        <f t="shared" si="17"/>
        <v/>
      </c>
      <c r="N262" s="31" t="str">
        <f t="shared" si="18"/>
        <v/>
      </c>
      <c r="O262" s="31" t="str">
        <f t="shared" si="19"/>
        <v/>
      </c>
      <c r="P262" s="31" t="str">
        <f t="shared" si="20"/>
        <v/>
      </c>
    </row>
    <row r="263" spans="2:16" x14ac:dyDescent="0.3">
      <c r="B263" s="155"/>
      <c r="C263" s="156"/>
      <c r="D263" s="156"/>
      <c r="E263" s="156"/>
      <c r="F263" s="182"/>
      <c r="G263" s="72" t="str">
        <f>IF(C263="","",IFERROR(INDEX(G$19:$L260,MATCH(C263,L$19:L$28,0),1),"Non renseigné"))</f>
        <v/>
      </c>
      <c r="H263" s="190" t="str">
        <f>IFERROR(IF(E263="","",INDEX(Données_ATB!BD$3:BT$600,MATCH(E263,Medicament,0),17)),"Ce médicament n'est pas connu dans la base")</f>
        <v/>
      </c>
      <c r="I263" s="69" t="str">
        <f>IFERROR(IF(E263="","",INDEX(Données_ATB!BD$3:BL$600,MATCH(E263,Medicament,0),9)),"")</f>
        <v/>
      </c>
      <c r="J263" s="44" t="str">
        <f>IFERROR(IF(E263="","",INDEX(Données_ATB!BD$3:BP$5600,MATCH(E263,Medicament,0),13)),"")</f>
        <v/>
      </c>
      <c r="K263" s="161" t="str">
        <f>IF(COUNTIFS($B$31:B263,B263,$E$31:E263,E263,$C$31:C263,C263,$D$31:D263,D263)&gt;1,"DÉJÀ ENTRÉ",IF(AND(COUNTA(B263,C263,D263,E263,F263)&lt;5,COUNTA(B263,C263,D263,E263,F263)&gt;0),"Pensez à renseigner toutes les cases de la ligne !",IF(COUNTA(B263)=1,IF(COUNTBLANK(B263)&gt;=1,"Ne laissez pas de lignes vides. Écrivez sur la ligne supérieure.",""),"")))&amp;IF(G263="Non renseigné","Veuillez sélectionner de nouveau le nom dans la colonne Espèce traitée","")</f>
        <v/>
      </c>
      <c r="L263" s="31" t="str">
        <f>IF(E263="","",INDEX(Données_ATB!BD$3:BU$600,MATCH(E263,Medicament,0),18))</f>
        <v/>
      </c>
      <c r="M263" s="31" t="str">
        <f t="shared" si="17"/>
        <v/>
      </c>
      <c r="N263" s="31" t="str">
        <f t="shared" si="18"/>
        <v/>
      </c>
      <c r="O263" s="31" t="str">
        <f t="shared" si="19"/>
        <v/>
      </c>
      <c r="P263" s="31" t="str">
        <f t="shared" si="20"/>
        <v/>
      </c>
    </row>
    <row r="264" spans="2:16" x14ac:dyDescent="0.3">
      <c r="B264" s="155"/>
      <c r="C264" s="156"/>
      <c r="D264" s="156"/>
      <c r="E264" s="156"/>
      <c r="F264" s="182"/>
      <c r="G264" s="72" t="str">
        <f>IF(C264="","",IFERROR(INDEX(G$19:$L261,MATCH(C264,L$19:L$28,0),1),"Non renseigné"))</f>
        <v/>
      </c>
      <c r="H264" s="190" t="str">
        <f>IFERROR(IF(E264="","",INDEX(Données_ATB!BD$3:BT$600,MATCH(E264,Medicament,0),17)),"Ce médicament n'est pas connu dans la base")</f>
        <v/>
      </c>
      <c r="I264" s="69" t="str">
        <f>IFERROR(IF(E264="","",INDEX(Données_ATB!BD$3:BL$600,MATCH(E264,Medicament,0),9)),"")</f>
        <v/>
      </c>
      <c r="J264" s="44" t="str">
        <f>IFERROR(IF(E264="","",INDEX(Données_ATB!BD$3:BP$5600,MATCH(E264,Medicament,0),13)),"")</f>
        <v/>
      </c>
      <c r="K264" s="161" t="str">
        <f>IF(COUNTIFS($B$31:B264,B264,$E$31:E264,E264,$C$31:C264,C264,$D$31:D264,D264)&gt;1,"DÉJÀ ENTRÉ",IF(AND(COUNTA(B264,C264,D264,E264,F264)&lt;5,COUNTA(B264,C264,D264,E264,F264)&gt;0),"Pensez à renseigner toutes les cases de la ligne !",IF(COUNTA(B264)=1,IF(COUNTBLANK(B264)&gt;=1,"Ne laissez pas de lignes vides. Écrivez sur la ligne supérieure.",""),"")))&amp;IF(G264="Non renseigné","Veuillez sélectionner de nouveau le nom dans la colonne Espèce traitée","")</f>
        <v/>
      </c>
      <c r="L264" s="31" t="str">
        <f>IF(E264="","",INDEX(Données_ATB!BD$3:BU$600,MATCH(E264,Medicament,0),18))</f>
        <v/>
      </c>
      <c r="M264" s="31" t="str">
        <f t="shared" si="17"/>
        <v/>
      </c>
      <c r="N264" s="31" t="str">
        <f t="shared" si="18"/>
        <v/>
      </c>
      <c r="O264" s="31" t="str">
        <f t="shared" si="19"/>
        <v/>
      </c>
      <c r="P264" s="31" t="str">
        <f t="shared" si="20"/>
        <v/>
      </c>
    </row>
    <row r="265" spans="2:16" x14ac:dyDescent="0.3">
      <c r="B265" s="155"/>
      <c r="C265" s="156"/>
      <c r="D265" s="156"/>
      <c r="E265" s="156"/>
      <c r="F265" s="182"/>
      <c r="G265" s="72" t="str">
        <f>IF(C265="","",IFERROR(INDEX(G$19:$L262,MATCH(C265,L$19:L$28,0),1),"Non renseigné"))</f>
        <v/>
      </c>
      <c r="H265" s="190" t="str">
        <f>IFERROR(IF(E265="","",INDEX(Données_ATB!BD$3:BT$600,MATCH(E265,Medicament,0),17)),"Ce médicament n'est pas connu dans la base")</f>
        <v/>
      </c>
      <c r="I265" s="69" t="str">
        <f>IFERROR(IF(E265="","",INDEX(Données_ATB!BD$3:BL$600,MATCH(E265,Medicament,0),9)),"")</f>
        <v/>
      </c>
      <c r="J265" s="44" t="str">
        <f>IFERROR(IF(E265="","",INDEX(Données_ATB!BD$3:BP$5600,MATCH(E265,Medicament,0),13)),"")</f>
        <v/>
      </c>
      <c r="K265" s="161" t="str">
        <f>IF(COUNTIFS($B$31:B265,B265,$E$31:E265,E265,$C$31:C265,C265,$D$31:D265,D265)&gt;1,"DÉJÀ ENTRÉ",IF(AND(COUNTA(B265,C265,D265,E265,F265)&lt;5,COUNTA(B265,C265,D265,E265,F265)&gt;0),"Pensez à renseigner toutes les cases de la ligne !",IF(COUNTA(B265)=1,IF(COUNTBLANK(B265)&gt;=1,"Ne laissez pas de lignes vides. Écrivez sur la ligne supérieure.",""),"")))&amp;IF(G265="Non renseigné","Veuillez sélectionner de nouveau le nom dans la colonne Espèce traitée","")</f>
        <v/>
      </c>
      <c r="L265" s="31" t="str">
        <f>IF(E265="","",INDEX(Données_ATB!BD$3:BU$600,MATCH(E265,Medicament,0),18))</f>
        <v/>
      </c>
      <c r="M265" s="31" t="str">
        <f t="shared" si="17"/>
        <v/>
      </c>
      <c r="N265" s="31" t="str">
        <f t="shared" si="18"/>
        <v/>
      </c>
      <c r="O265" s="31" t="str">
        <f t="shared" si="19"/>
        <v/>
      </c>
      <c r="P265" s="31" t="str">
        <f t="shared" si="20"/>
        <v/>
      </c>
    </row>
    <row r="266" spans="2:16" x14ac:dyDescent="0.3">
      <c r="B266" s="155"/>
      <c r="C266" s="156"/>
      <c r="D266" s="156"/>
      <c r="E266" s="156"/>
      <c r="F266" s="182"/>
      <c r="G266" s="72" t="str">
        <f>IF(C266="","",IFERROR(INDEX(G$19:$L263,MATCH(C266,L$19:L$28,0),1),"Non renseigné"))</f>
        <v/>
      </c>
      <c r="H266" s="190" t="str">
        <f>IFERROR(IF(E266="","",INDEX(Données_ATB!BD$3:BT$600,MATCH(E266,Medicament,0),17)),"Ce médicament n'est pas connu dans la base")</f>
        <v/>
      </c>
      <c r="I266" s="69" t="str">
        <f>IFERROR(IF(E266="","",INDEX(Données_ATB!BD$3:BL$600,MATCH(E266,Medicament,0),9)),"")</f>
        <v/>
      </c>
      <c r="J266" s="44" t="str">
        <f>IFERROR(IF(E266="","",INDEX(Données_ATB!BD$3:BP$5600,MATCH(E266,Medicament,0),13)),"")</f>
        <v/>
      </c>
      <c r="K266" s="161" t="str">
        <f>IF(COUNTIFS($B$31:B266,B266,$E$31:E266,E266,$C$31:C266,C266,$D$31:D266,D266)&gt;1,"DÉJÀ ENTRÉ",IF(AND(COUNTA(B266,C266,D266,E266,F266)&lt;5,COUNTA(B266,C266,D266,E266,F266)&gt;0),"Pensez à renseigner toutes les cases de la ligne !",IF(COUNTA(B266)=1,IF(COUNTBLANK(B266)&gt;=1,"Ne laissez pas de lignes vides. Écrivez sur la ligne supérieure.",""),"")))&amp;IF(G266="Non renseigné","Veuillez sélectionner de nouveau le nom dans la colonne Espèce traitée","")</f>
        <v/>
      </c>
      <c r="L266" s="31" t="str">
        <f>IF(E266="","",INDEX(Données_ATB!BD$3:BU$600,MATCH(E266,Medicament,0),18))</f>
        <v/>
      </c>
      <c r="M266" s="31" t="str">
        <f t="shared" si="17"/>
        <v/>
      </c>
      <c r="N266" s="31" t="str">
        <f t="shared" si="18"/>
        <v/>
      </c>
      <c r="O266" s="31" t="str">
        <f t="shared" si="19"/>
        <v/>
      </c>
      <c r="P266" s="31" t="str">
        <f t="shared" si="20"/>
        <v/>
      </c>
    </row>
    <row r="267" spans="2:16" x14ac:dyDescent="0.3">
      <c r="B267" s="155"/>
      <c r="C267" s="156"/>
      <c r="D267" s="156"/>
      <c r="E267" s="156"/>
      <c r="F267" s="182"/>
      <c r="G267" s="72" t="str">
        <f>IF(C267="","",IFERROR(INDEX(G$19:$L264,MATCH(C267,L$19:L$28,0),1),"Non renseigné"))</f>
        <v/>
      </c>
      <c r="H267" s="190" t="str">
        <f>IFERROR(IF(E267="","",INDEX(Données_ATB!BD$3:BT$600,MATCH(E267,Medicament,0),17)),"Ce médicament n'est pas connu dans la base")</f>
        <v/>
      </c>
      <c r="I267" s="69" t="str">
        <f>IFERROR(IF(E267="","",INDEX(Données_ATB!BD$3:BL$600,MATCH(E267,Medicament,0),9)),"")</f>
        <v/>
      </c>
      <c r="J267" s="44" t="str">
        <f>IFERROR(IF(E267="","",INDEX(Données_ATB!BD$3:BP$5600,MATCH(E267,Medicament,0),13)),"")</f>
        <v/>
      </c>
      <c r="K267" s="161" t="str">
        <f>IF(COUNTIFS($B$31:B267,B267,$E$31:E267,E267,$C$31:C267,C267,$D$31:D267,D267)&gt;1,"DÉJÀ ENTRÉ",IF(AND(COUNTA(B267,C267,D267,E267,F267)&lt;5,COUNTA(B267,C267,D267,E267,F267)&gt;0),"Pensez à renseigner toutes les cases de la ligne !",IF(COUNTA(B267)=1,IF(COUNTBLANK(B267)&gt;=1,"Ne laissez pas de lignes vides. Écrivez sur la ligne supérieure.",""),"")))&amp;IF(G267="Non renseigné","Veuillez sélectionner de nouveau le nom dans la colonne Espèce traitée","")</f>
        <v/>
      </c>
      <c r="L267" s="31" t="str">
        <f>IF(E267="","",INDEX(Données_ATB!BD$3:BU$600,MATCH(E267,Medicament,0),18))</f>
        <v/>
      </c>
      <c r="M267" s="31" t="str">
        <f t="shared" si="17"/>
        <v/>
      </c>
      <c r="N267" s="31" t="str">
        <f t="shared" si="18"/>
        <v/>
      </c>
      <c r="O267" s="31" t="str">
        <f t="shared" si="19"/>
        <v/>
      </c>
      <c r="P267" s="31" t="str">
        <f t="shared" si="20"/>
        <v/>
      </c>
    </row>
    <row r="268" spans="2:16" x14ac:dyDescent="0.3">
      <c r="B268" s="155"/>
      <c r="C268" s="156"/>
      <c r="D268" s="156"/>
      <c r="E268" s="156"/>
      <c r="F268" s="182"/>
      <c r="G268" s="72" t="str">
        <f>IF(C268="","",IFERROR(INDEX(G$19:$L265,MATCH(C268,L$19:L$28,0),1),"Non renseigné"))</f>
        <v/>
      </c>
      <c r="H268" s="190" t="str">
        <f>IFERROR(IF(E268="","",INDEX(Données_ATB!BD$3:BT$600,MATCH(E268,Medicament,0),17)),"Ce médicament n'est pas connu dans la base")</f>
        <v/>
      </c>
      <c r="I268" s="69" t="str">
        <f>IFERROR(IF(E268="","",INDEX(Données_ATB!BD$3:BL$600,MATCH(E268,Medicament,0),9)),"")</f>
        <v/>
      </c>
      <c r="J268" s="44" t="str">
        <f>IFERROR(IF(E268="","",INDEX(Données_ATB!BD$3:BP$5600,MATCH(E268,Medicament,0),13)),"")</f>
        <v/>
      </c>
      <c r="K268" s="161" t="str">
        <f>IF(COUNTIFS($B$31:B268,B268,$E$31:E268,E268,$C$31:C268,C268,$D$31:D268,D268)&gt;1,"DÉJÀ ENTRÉ",IF(AND(COUNTA(B268,C268,D268,E268,F268)&lt;5,COUNTA(B268,C268,D268,E268,F268)&gt;0),"Pensez à renseigner toutes les cases de la ligne !",IF(COUNTA(B268)=1,IF(COUNTBLANK(B268)&gt;=1,"Ne laissez pas de lignes vides. Écrivez sur la ligne supérieure.",""),"")))&amp;IF(G268="Non renseigné","Veuillez sélectionner de nouveau le nom dans la colonne Espèce traitée","")</f>
        <v/>
      </c>
      <c r="L268" s="31" t="str">
        <f>IF(E268="","",INDEX(Données_ATB!BD$3:BU$600,MATCH(E268,Medicament,0),18))</f>
        <v/>
      </c>
      <c r="M268" s="31" t="str">
        <f t="shared" si="17"/>
        <v/>
      </c>
      <c r="N268" s="31" t="str">
        <f t="shared" si="18"/>
        <v/>
      </c>
      <c r="O268" s="31" t="str">
        <f t="shared" si="19"/>
        <v/>
      </c>
      <c r="P268" s="31" t="str">
        <f t="shared" si="20"/>
        <v/>
      </c>
    </row>
    <row r="269" spans="2:16" x14ac:dyDescent="0.3">
      <c r="B269" s="155"/>
      <c r="C269" s="156"/>
      <c r="D269" s="156"/>
      <c r="E269" s="156"/>
      <c r="F269" s="182"/>
      <c r="G269" s="72" t="str">
        <f>IF(C269="","",IFERROR(INDEX(G$19:$L266,MATCH(C269,L$19:L$28,0),1),"Non renseigné"))</f>
        <v/>
      </c>
      <c r="H269" s="190" t="str">
        <f>IFERROR(IF(E269="","",INDEX(Données_ATB!BD$3:BT$600,MATCH(E269,Medicament,0),17)),"Ce médicament n'est pas connu dans la base")</f>
        <v/>
      </c>
      <c r="I269" s="69" t="str">
        <f>IFERROR(IF(E269="","",INDEX(Données_ATB!BD$3:BL$600,MATCH(E269,Medicament,0),9)),"")</f>
        <v/>
      </c>
      <c r="J269" s="44" t="str">
        <f>IFERROR(IF(E269="","",INDEX(Données_ATB!BD$3:BP$5600,MATCH(E269,Medicament,0),13)),"")</f>
        <v/>
      </c>
      <c r="K269" s="161" t="str">
        <f>IF(COUNTIFS($B$31:B269,B269,$E$31:E269,E269,$C$31:C269,C269,$D$31:D269,D269)&gt;1,"DÉJÀ ENTRÉ",IF(AND(COUNTA(B269,C269,D269,E269,F269)&lt;5,COUNTA(B269,C269,D269,E269,F269)&gt;0),"Pensez à renseigner toutes les cases de la ligne !",IF(COUNTA(B269)=1,IF(COUNTBLANK(B269)&gt;=1,"Ne laissez pas de lignes vides. Écrivez sur la ligne supérieure.",""),"")))&amp;IF(G269="Non renseigné","Veuillez sélectionner de nouveau le nom dans la colonne Espèce traitée","")</f>
        <v/>
      </c>
      <c r="L269" s="31" t="str">
        <f>IF(E269="","",INDEX(Données_ATB!BD$3:BU$600,MATCH(E269,Medicament,0),18))</f>
        <v/>
      </c>
      <c r="M269" s="31" t="str">
        <f t="shared" si="17"/>
        <v/>
      </c>
      <c r="N269" s="31" t="str">
        <f t="shared" si="18"/>
        <v/>
      </c>
      <c r="O269" s="31" t="str">
        <f t="shared" si="19"/>
        <v/>
      </c>
      <c r="P269" s="31" t="str">
        <f t="shared" si="20"/>
        <v/>
      </c>
    </row>
    <row r="270" spans="2:16" x14ac:dyDescent="0.3">
      <c r="B270" s="155"/>
      <c r="C270" s="156"/>
      <c r="D270" s="156"/>
      <c r="E270" s="156"/>
      <c r="F270" s="182"/>
      <c r="G270" s="72" t="str">
        <f>IF(C270="","",IFERROR(INDEX(G$19:$L267,MATCH(C270,L$19:L$28,0),1),"Non renseigné"))</f>
        <v/>
      </c>
      <c r="H270" s="190" t="str">
        <f>IFERROR(IF(E270="","",INDEX(Données_ATB!BD$3:BT$600,MATCH(E270,Medicament,0),17)),"Ce médicament n'est pas connu dans la base")</f>
        <v/>
      </c>
      <c r="I270" s="69" t="str">
        <f>IFERROR(IF(E270="","",INDEX(Données_ATB!BD$3:BL$600,MATCH(E270,Medicament,0),9)),"")</f>
        <v/>
      </c>
      <c r="J270" s="44" t="str">
        <f>IFERROR(IF(E270="","",INDEX(Données_ATB!BD$3:BP$5600,MATCH(E270,Medicament,0),13)),"")</f>
        <v/>
      </c>
      <c r="K270" s="161" t="str">
        <f>IF(COUNTIFS($B$31:B270,B270,$E$31:E270,E270,$C$31:C270,C270,$D$31:D270,D270)&gt;1,"DÉJÀ ENTRÉ",IF(AND(COUNTA(B270,C270,D270,E270,F270)&lt;5,COUNTA(B270,C270,D270,E270,F270)&gt;0),"Pensez à renseigner toutes les cases de la ligne !",IF(COUNTA(B270)=1,IF(COUNTBLANK(B270)&gt;=1,"Ne laissez pas de lignes vides. Écrivez sur la ligne supérieure.",""),"")))&amp;IF(G270="Non renseigné","Veuillez sélectionner de nouveau le nom dans la colonne Espèce traitée","")</f>
        <v/>
      </c>
      <c r="L270" s="31" t="str">
        <f>IF(E270="","",INDEX(Données_ATB!BD$3:BU$600,MATCH(E270,Medicament,0),18))</f>
        <v/>
      </c>
      <c r="M270" s="31" t="str">
        <f t="shared" si="17"/>
        <v/>
      </c>
      <c r="N270" s="31" t="str">
        <f t="shared" si="18"/>
        <v/>
      </c>
      <c r="O270" s="31" t="str">
        <f t="shared" si="19"/>
        <v/>
      </c>
      <c r="P270" s="31" t="str">
        <f t="shared" si="20"/>
        <v/>
      </c>
    </row>
    <row r="271" spans="2:16" x14ac:dyDescent="0.3">
      <c r="B271" s="155"/>
      <c r="C271" s="156"/>
      <c r="D271" s="156"/>
      <c r="E271" s="156"/>
      <c r="F271" s="182"/>
      <c r="G271" s="72" t="str">
        <f>IF(C271="","",IFERROR(INDEX(G$19:$L268,MATCH(C271,L$19:L$28,0),1),"Non renseigné"))</f>
        <v/>
      </c>
      <c r="H271" s="190" t="str">
        <f>IFERROR(IF(E271="","",INDEX(Données_ATB!BD$3:BT$600,MATCH(E271,Medicament,0),17)),"Ce médicament n'est pas connu dans la base")</f>
        <v/>
      </c>
      <c r="I271" s="69" t="str">
        <f>IFERROR(IF(E271="","",INDEX(Données_ATB!BD$3:BL$600,MATCH(E271,Medicament,0),9)),"")</f>
        <v/>
      </c>
      <c r="J271" s="44" t="str">
        <f>IFERROR(IF(E271="","",INDEX(Données_ATB!BD$3:BP$5600,MATCH(E271,Medicament,0),13)),"")</f>
        <v/>
      </c>
      <c r="K271" s="161" t="str">
        <f>IF(COUNTIFS($B$31:B271,B271,$E$31:E271,E271,$C$31:C271,C271,$D$31:D271,D271)&gt;1,"DÉJÀ ENTRÉ",IF(AND(COUNTA(B271,C271,D271,E271,F271)&lt;5,COUNTA(B271,C271,D271,E271,F271)&gt;0),"Pensez à renseigner toutes les cases de la ligne !",IF(COUNTA(B271)=1,IF(COUNTBLANK(B271)&gt;=1,"Ne laissez pas de lignes vides. Écrivez sur la ligne supérieure.",""),"")))&amp;IF(G271="Non renseigné","Veuillez sélectionner de nouveau le nom dans la colonne Espèce traitée","")</f>
        <v/>
      </c>
      <c r="L271" s="31" t="str">
        <f>IF(E271="","",INDEX(Données_ATB!BD$3:BU$600,MATCH(E271,Medicament,0),18))</f>
        <v/>
      </c>
      <c r="M271" s="31" t="str">
        <f t="shared" si="17"/>
        <v/>
      </c>
      <c r="N271" s="31" t="str">
        <f t="shared" si="18"/>
        <v/>
      </c>
      <c r="O271" s="31" t="str">
        <f t="shared" si="19"/>
        <v/>
      </c>
      <c r="P271" s="31" t="str">
        <f t="shared" si="20"/>
        <v/>
      </c>
    </row>
    <row r="272" spans="2:16" x14ac:dyDescent="0.3">
      <c r="B272" s="155"/>
      <c r="C272" s="156"/>
      <c r="D272" s="156"/>
      <c r="E272" s="156"/>
      <c r="F272" s="182"/>
      <c r="G272" s="72" t="str">
        <f>IF(C272="","",IFERROR(INDEX(G$19:$L269,MATCH(C272,L$19:L$28,0),1),"Non renseigné"))</f>
        <v/>
      </c>
      <c r="H272" s="190" t="str">
        <f>IFERROR(IF(E272="","",INDEX(Données_ATB!BD$3:BT$600,MATCH(E272,Medicament,0),17)),"Ce médicament n'est pas connu dans la base")</f>
        <v/>
      </c>
      <c r="I272" s="69" t="str">
        <f>IFERROR(IF(E272="","",INDEX(Données_ATB!BD$3:BL$600,MATCH(E272,Medicament,0),9)),"")</f>
        <v/>
      </c>
      <c r="J272" s="44" t="str">
        <f>IFERROR(IF(E272="","",INDEX(Données_ATB!BD$3:BP$5600,MATCH(E272,Medicament,0),13)),"")</f>
        <v/>
      </c>
      <c r="K272" s="161" t="str">
        <f>IF(COUNTIFS($B$31:B272,B272,$E$31:E272,E272,$C$31:C272,C272,$D$31:D272,D272)&gt;1,"DÉJÀ ENTRÉ",IF(AND(COUNTA(B272,C272,D272,E272,F272)&lt;5,COUNTA(B272,C272,D272,E272,F272)&gt;0),"Pensez à renseigner toutes les cases de la ligne !",IF(COUNTA(B272)=1,IF(COUNTBLANK(B272)&gt;=1,"Ne laissez pas de lignes vides. Écrivez sur la ligne supérieure.",""),"")))&amp;IF(G272="Non renseigné","Veuillez sélectionner de nouveau le nom dans la colonne Espèce traitée","")</f>
        <v/>
      </c>
      <c r="L272" s="31" t="str">
        <f>IF(E272="","",INDEX(Données_ATB!BD$3:BU$600,MATCH(E272,Medicament,0),18))</f>
        <v/>
      </c>
      <c r="M272" s="31" t="str">
        <f t="shared" si="17"/>
        <v/>
      </c>
      <c r="N272" s="31" t="str">
        <f t="shared" si="18"/>
        <v/>
      </c>
      <c r="O272" s="31" t="str">
        <f t="shared" si="19"/>
        <v/>
      </c>
      <c r="P272" s="31" t="str">
        <f t="shared" si="20"/>
        <v/>
      </c>
    </row>
    <row r="273" spans="2:16" x14ac:dyDescent="0.3">
      <c r="B273" s="155"/>
      <c r="C273" s="156"/>
      <c r="D273" s="156"/>
      <c r="E273" s="156"/>
      <c r="F273" s="182"/>
      <c r="G273" s="72" t="str">
        <f>IF(C273="","",IFERROR(INDEX(G$19:$L270,MATCH(C273,L$19:L$28,0),1),"Non renseigné"))</f>
        <v/>
      </c>
      <c r="H273" s="190" t="str">
        <f>IFERROR(IF(E273="","",INDEX(Données_ATB!BD$3:BT$600,MATCH(E273,Medicament,0),17)),"Ce médicament n'est pas connu dans la base")</f>
        <v/>
      </c>
      <c r="I273" s="69" t="str">
        <f>IFERROR(IF(E273="","",INDEX(Données_ATB!BD$3:BL$600,MATCH(E273,Medicament,0),9)),"")</f>
        <v/>
      </c>
      <c r="J273" s="44" t="str">
        <f>IFERROR(IF(E273="","",INDEX(Données_ATB!BD$3:BP$5600,MATCH(E273,Medicament,0),13)),"")</f>
        <v/>
      </c>
      <c r="K273" s="161" t="str">
        <f>IF(COUNTIFS($B$31:B273,B273,$E$31:E273,E273,$C$31:C273,C273,$D$31:D273,D273)&gt;1,"DÉJÀ ENTRÉ",IF(AND(COUNTA(B273,C273,D273,E273,F273)&lt;5,COUNTA(B273,C273,D273,E273,F273)&gt;0),"Pensez à renseigner toutes les cases de la ligne !",IF(COUNTA(B273)=1,IF(COUNTBLANK(B273)&gt;=1,"Ne laissez pas de lignes vides. Écrivez sur la ligne supérieure.",""),"")))&amp;IF(G273="Non renseigné","Veuillez sélectionner de nouveau le nom dans la colonne Espèce traitée","")</f>
        <v/>
      </c>
      <c r="L273" s="31" t="str">
        <f>IF(E273="","",INDEX(Données_ATB!BD$3:BU$600,MATCH(E273,Medicament,0),18))</f>
        <v/>
      </c>
      <c r="M273" s="31" t="str">
        <f t="shared" si="17"/>
        <v/>
      </c>
      <c r="N273" s="31" t="str">
        <f t="shared" si="18"/>
        <v/>
      </c>
      <c r="O273" s="31" t="str">
        <f t="shared" si="19"/>
        <v/>
      </c>
      <c r="P273" s="31" t="str">
        <f t="shared" si="20"/>
        <v/>
      </c>
    </row>
    <row r="274" spans="2:16" x14ac:dyDescent="0.3">
      <c r="B274" s="155"/>
      <c r="C274" s="156"/>
      <c r="D274" s="156"/>
      <c r="E274" s="156"/>
      <c r="F274" s="182"/>
      <c r="G274" s="72" t="str">
        <f>IF(C274="","",IFERROR(INDEX(G$19:$L271,MATCH(C274,L$19:L$28,0),1),"Non renseigné"))</f>
        <v/>
      </c>
      <c r="H274" s="190" t="str">
        <f>IFERROR(IF(E274="","",INDEX(Données_ATB!BD$3:BT$600,MATCH(E274,Medicament,0),17)),"Ce médicament n'est pas connu dans la base")</f>
        <v/>
      </c>
      <c r="I274" s="69" t="str">
        <f>IFERROR(IF(E274="","",INDEX(Données_ATB!BD$3:BL$600,MATCH(E274,Medicament,0),9)),"")</f>
        <v/>
      </c>
      <c r="J274" s="44" t="str">
        <f>IFERROR(IF(E274="","",INDEX(Données_ATB!BD$3:BP$5600,MATCH(E274,Medicament,0),13)),"")</f>
        <v/>
      </c>
      <c r="K274" s="161" t="str">
        <f>IF(COUNTIFS($B$31:B274,B274,$E$31:E274,E274,$C$31:C274,C274,$D$31:D274,D274)&gt;1,"DÉJÀ ENTRÉ",IF(AND(COUNTA(B274,C274,D274,E274,F274)&lt;5,COUNTA(B274,C274,D274,E274,F274)&gt;0),"Pensez à renseigner toutes les cases de la ligne !",IF(COUNTA(B274)=1,IF(COUNTBLANK(B274)&gt;=1,"Ne laissez pas de lignes vides. Écrivez sur la ligne supérieure.",""),"")))&amp;IF(G274="Non renseigné","Veuillez sélectionner de nouveau le nom dans la colonne Espèce traitée","")</f>
        <v/>
      </c>
      <c r="L274" s="31" t="str">
        <f>IF(E274="","",INDEX(Données_ATB!BD$3:BU$600,MATCH(E274,Medicament,0),18))</f>
        <v/>
      </c>
      <c r="M274" s="31" t="str">
        <f t="shared" si="17"/>
        <v/>
      </c>
      <c r="N274" s="31" t="str">
        <f t="shared" si="18"/>
        <v/>
      </c>
      <c r="O274" s="31" t="str">
        <f t="shared" si="19"/>
        <v/>
      </c>
      <c r="P274" s="31" t="str">
        <f t="shared" si="20"/>
        <v/>
      </c>
    </row>
    <row r="275" spans="2:16" x14ac:dyDescent="0.3">
      <c r="B275" s="155"/>
      <c r="C275" s="156"/>
      <c r="D275" s="156"/>
      <c r="E275" s="156"/>
      <c r="F275" s="182"/>
      <c r="G275" s="72" t="str">
        <f>IF(C275="","",IFERROR(INDEX(G$19:$L272,MATCH(C275,L$19:L$28,0),1),"Non renseigné"))</f>
        <v/>
      </c>
      <c r="H275" s="190" t="str">
        <f>IFERROR(IF(E275="","",INDEX(Données_ATB!BD$3:BT$600,MATCH(E275,Medicament,0),17)),"Ce médicament n'est pas connu dans la base")</f>
        <v/>
      </c>
      <c r="I275" s="69" t="str">
        <f>IFERROR(IF(E275="","",INDEX(Données_ATB!BD$3:BL$600,MATCH(E275,Medicament,0),9)),"")</f>
        <v/>
      </c>
      <c r="J275" s="44" t="str">
        <f>IFERROR(IF(E275="","",INDEX(Données_ATB!BD$3:BP$5600,MATCH(E275,Medicament,0),13)),"")</f>
        <v/>
      </c>
      <c r="K275" s="161" t="str">
        <f>IF(COUNTIFS($B$31:B275,B275,$E$31:E275,E275,$C$31:C275,C275,$D$31:D275,D275)&gt;1,"DÉJÀ ENTRÉ",IF(AND(COUNTA(B275,C275,D275,E275,F275)&lt;5,COUNTA(B275,C275,D275,E275,F275)&gt;0),"Pensez à renseigner toutes les cases de la ligne !",IF(COUNTA(B275)=1,IF(COUNTBLANK(B275)&gt;=1,"Ne laissez pas de lignes vides. Écrivez sur la ligne supérieure.",""),"")))&amp;IF(G275="Non renseigné","Veuillez sélectionner de nouveau le nom dans la colonne Espèce traitée","")</f>
        <v/>
      </c>
      <c r="L275" s="31" t="str">
        <f>IF(E275="","",INDEX(Données_ATB!BD$3:BU$600,MATCH(E275,Medicament,0),18))</f>
        <v/>
      </c>
      <c r="M275" s="31" t="str">
        <f t="shared" si="17"/>
        <v/>
      </c>
      <c r="N275" s="31" t="str">
        <f t="shared" si="18"/>
        <v/>
      </c>
      <c r="O275" s="31" t="str">
        <f t="shared" si="19"/>
        <v/>
      </c>
      <c r="P275" s="31" t="str">
        <f t="shared" si="20"/>
        <v/>
      </c>
    </row>
    <row r="276" spans="2:16" x14ac:dyDescent="0.3">
      <c r="B276" s="155"/>
      <c r="C276" s="156"/>
      <c r="D276" s="156"/>
      <c r="E276" s="156"/>
      <c r="F276" s="182"/>
      <c r="G276" s="72" t="str">
        <f>IF(C276="","",IFERROR(INDEX(G$19:$L273,MATCH(C276,L$19:L$28,0),1),"Non renseigné"))</f>
        <v/>
      </c>
      <c r="H276" s="190" t="str">
        <f>IFERROR(IF(E276="","",INDEX(Données_ATB!BD$3:BT$600,MATCH(E276,Medicament,0),17)),"Ce médicament n'est pas connu dans la base")</f>
        <v/>
      </c>
      <c r="I276" s="69" t="str">
        <f>IFERROR(IF(E276="","",INDEX(Données_ATB!BD$3:BL$600,MATCH(E276,Medicament,0),9)),"")</f>
        <v/>
      </c>
      <c r="J276" s="44" t="str">
        <f>IFERROR(IF(E276="","",INDEX(Données_ATB!BD$3:BP$5600,MATCH(E276,Medicament,0),13)),"")</f>
        <v/>
      </c>
      <c r="K276" s="161" t="str">
        <f>IF(COUNTIFS($B$31:B276,B276,$E$31:E276,E276,$C$31:C276,C276,$D$31:D276,D276)&gt;1,"DÉJÀ ENTRÉ",IF(AND(COUNTA(B276,C276,D276,E276,F276)&lt;5,COUNTA(B276,C276,D276,E276,F276)&gt;0),"Pensez à renseigner toutes les cases de la ligne !",IF(COUNTA(B276)=1,IF(COUNTBLANK(B276)&gt;=1,"Ne laissez pas de lignes vides. Écrivez sur la ligne supérieure.",""),"")))&amp;IF(G276="Non renseigné","Veuillez sélectionner de nouveau le nom dans la colonne Espèce traitée","")</f>
        <v/>
      </c>
      <c r="L276" s="31" t="str">
        <f>IF(E276="","",INDEX(Données_ATB!BD$3:BU$600,MATCH(E276,Medicament,0),18))</f>
        <v/>
      </c>
      <c r="M276" s="31" t="str">
        <f t="shared" si="17"/>
        <v/>
      </c>
      <c r="N276" s="31" t="str">
        <f t="shared" si="18"/>
        <v/>
      </c>
      <c r="O276" s="31" t="str">
        <f t="shared" si="19"/>
        <v/>
      </c>
      <c r="P276" s="31" t="str">
        <f t="shared" si="20"/>
        <v/>
      </c>
    </row>
    <row r="277" spans="2:16" x14ac:dyDescent="0.3">
      <c r="B277" s="155"/>
      <c r="C277" s="156"/>
      <c r="D277" s="156"/>
      <c r="E277" s="156"/>
      <c r="F277" s="182"/>
      <c r="G277" s="72" t="str">
        <f>IF(C277="","",IFERROR(INDEX(G$19:$L274,MATCH(C277,L$19:L$28,0),1),"Non renseigné"))</f>
        <v/>
      </c>
      <c r="H277" s="190" t="str">
        <f>IFERROR(IF(E277="","",INDEX(Données_ATB!BD$3:BT$600,MATCH(E277,Medicament,0),17)),"Ce médicament n'est pas connu dans la base")</f>
        <v/>
      </c>
      <c r="I277" s="69" t="str">
        <f>IFERROR(IF(E277="","",INDEX(Données_ATB!BD$3:BL$600,MATCH(E277,Medicament,0),9)),"")</f>
        <v/>
      </c>
      <c r="J277" s="44" t="str">
        <f>IFERROR(IF(E277="","",INDEX(Données_ATB!BD$3:BP$5600,MATCH(E277,Medicament,0),13)),"")</f>
        <v/>
      </c>
      <c r="K277" s="161" t="str">
        <f>IF(COUNTIFS($B$31:B277,B277,$E$31:E277,E277,$C$31:C277,C277,$D$31:D277,D277)&gt;1,"DÉJÀ ENTRÉ",IF(AND(COUNTA(B277,C277,D277,E277,F277)&lt;5,COUNTA(B277,C277,D277,E277,F277)&gt;0),"Pensez à renseigner toutes les cases de la ligne !",IF(COUNTA(B277)=1,IF(COUNTBLANK(B277)&gt;=1,"Ne laissez pas de lignes vides. Écrivez sur la ligne supérieure.",""),"")))&amp;IF(G277="Non renseigné","Veuillez sélectionner de nouveau le nom dans la colonne Espèce traitée","")</f>
        <v/>
      </c>
      <c r="L277" s="31" t="str">
        <f>IF(E277="","",INDEX(Données_ATB!BD$3:BU$600,MATCH(E277,Medicament,0),18))</f>
        <v/>
      </c>
      <c r="M277" s="31" t="str">
        <f t="shared" si="17"/>
        <v/>
      </c>
      <c r="N277" s="31" t="str">
        <f t="shared" si="18"/>
        <v/>
      </c>
      <c r="O277" s="31" t="str">
        <f t="shared" si="19"/>
        <v/>
      </c>
      <c r="P277" s="31" t="str">
        <f t="shared" si="20"/>
        <v/>
      </c>
    </row>
    <row r="278" spans="2:16" x14ac:dyDescent="0.3">
      <c r="B278" s="155"/>
      <c r="C278" s="156"/>
      <c r="D278" s="156"/>
      <c r="E278" s="156"/>
      <c r="F278" s="182"/>
      <c r="G278" s="72" t="str">
        <f>IF(C278="","",IFERROR(INDEX(G$19:$L275,MATCH(C278,L$19:L$28,0),1),"Non renseigné"))</f>
        <v/>
      </c>
      <c r="H278" s="190" t="str">
        <f>IFERROR(IF(E278="","",INDEX(Données_ATB!BD$3:BT$600,MATCH(E278,Medicament,0),17)),"Ce médicament n'est pas connu dans la base")</f>
        <v/>
      </c>
      <c r="I278" s="69" t="str">
        <f>IFERROR(IF(E278="","",INDEX(Données_ATB!BD$3:BL$600,MATCH(E278,Medicament,0),9)),"")</f>
        <v/>
      </c>
      <c r="J278" s="44" t="str">
        <f>IFERROR(IF(E278="","",INDEX(Données_ATB!BD$3:BP$5600,MATCH(E278,Medicament,0),13)),"")</f>
        <v/>
      </c>
      <c r="K278" s="161" t="str">
        <f>IF(COUNTIFS($B$31:B278,B278,$E$31:E278,E278,$C$31:C278,C278,$D$31:D278,D278)&gt;1,"DÉJÀ ENTRÉ",IF(AND(COUNTA(B278,C278,D278,E278,F278)&lt;5,COUNTA(B278,C278,D278,E278,F278)&gt;0),"Pensez à renseigner toutes les cases de la ligne !",IF(COUNTA(B278)=1,IF(COUNTBLANK(B278)&gt;=1,"Ne laissez pas de lignes vides. Écrivez sur la ligne supérieure.",""),"")))&amp;IF(G278="Non renseigné","Veuillez sélectionner de nouveau le nom dans la colonne Espèce traitée","")</f>
        <v/>
      </c>
      <c r="L278" s="31" t="str">
        <f>IF(E278="","",INDEX(Données_ATB!BD$3:BU$600,MATCH(E278,Medicament,0),18))</f>
        <v/>
      </c>
      <c r="M278" s="31" t="str">
        <f t="shared" si="17"/>
        <v/>
      </c>
      <c r="N278" s="31" t="str">
        <f t="shared" si="18"/>
        <v/>
      </c>
      <c r="O278" s="31" t="str">
        <f t="shared" si="19"/>
        <v/>
      </c>
      <c r="P278" s="31" t="str">
        <f t="shared" si="20"/>
        <v/>
      </c>
    </row>
    <row r="279" spans="2:16" x14ac:dyDescent="0.3">
      <c r="B279" s="155"/>
      <c r="C279" s="156"/>
      <c r="D279" s="156"/>
      <c r="E279" s="156"/>
      <c r="F279" s="182"/>
      <c r="G279" s="72" t="str">
        <f>IF(C279="","",IFERROR(INDEX(G$19:$L276,MATCH(C279,L$19:L$28,0),1),"Non renseigné"))</f>
        <v/>
      </c>
      <c r="H279" s="190" t="str">
        <f>IFERROR(IF(E279="","",INDEX(Données_ATB!BD$3:BT$600,MATCH(E279,Medicament,0),17)),"Ce médicament n'est pas connu dans la base")</f>
        <v/>
      </c>
      <c r="I279" s="69" t="str">
        <f>IFERROR(IF(E279="","",INDEX(Données_ATB!BD$3:BL$600,MATCH(E279,Medicament,0),9)),"")</f>
        <v/>
      </c>
      <c r="J279" s="44" t="str">
        <f>IFERROR(IF(E279="","",INDEX(Données_ATB!BD$3:BP$5600,MATCH(E279,Medicament,0),13)),"")</f>
        <v/>
      </c>
      <c r="K279" s="161" t="str">
        <f>IF(COUNTIFS($B$31:B279,B279,$E$31:E279,E279,$C$31:C279,C279,$D$31:D279,D279)&gt;1,"DÉJÀ ENTRÉ",IF(AND(COUNTA(B279,C279,D279,E279,F279)&lt;5,COUNTA(B279,C279,D279,E279,F279)&gt;0),"Pensez à renseigner toutes les cases de la ligne !",IF(COUNTA(B279)=1,IF(COUNTBLANK(B279)&gt;=1,"Ne laissez pas de lignes vides. Écrivez sur la ligne supérieure.",""),"")))&amp;IF(G279="Non renseigné","Veuillez sélectionner de nouveau le nom dans la colonne Espèce traitée","")</f>
        <v/>
      </c>
      <c r="L279" s="31" t="str">
        <f>IF(E279="","",INDEX(Données_ATB!BD$3:BU$600,MATCH(E279,Medicament,0),18))</f>
        <v/>
      </c>
      <c r="M279" s="31" t="str">
        <f t="shared" si="17"/>
        <v/>
      </c>
      <c r="N279" s="31" t="str">
        <f t="shared" si="18"/>
        <v/>
      </c>
      <c r="O279" s="31" t="str">
        <f t="shared" si="19"/>
        <v/>
      </c>
      <c r="P279" s="31" t="str">
        <f t="shared" si="20"/>
        <v/>
      </c>
    </row>
    <row r="280" spans="2:16" x14ac:dyDescent="0.3">
      <c r="B280" s="155"/>
      <c r="C280" s="156"/>
      <c r="D280" s="156"/>
      <c r="E280" s="156"/>
      <c r="F280" s="182"/>
      <c r="G280" s="72" t="str">
        <f>IF(C280="","",IFERROR(INDEX(G$19:$L277,MATCH(C280,L$19:L$28,0),1),"Non renseigné"))</f>
        <v/>
      </c>
      <c r="H280" s="190" t="str">
        <f>IFERROR(IF(E280="","",INDEX(Données_ATB!BD$3:BT$600,MATCH(E280,Medicament,0),17)),"Ce médicament n'est pas connu dans la base")</f>
        <v/>
      </c>
      <c r="I280" s="69" t="str">
        <f>IFERROR(IF(E280="","",INDEX(Données_ATB!BD$3:BL$600,MATCH(E280,Medicament,0),9)),"")</f>
        <v/>
      </c>
      <c r="J280" s="44" t="str">
        <f>IFERROR(IF(E280="","",INDEX(Données_ATB!BD$3:BP$5600,MATCH(E280,Medicament,0),13)),"")</f>
        <v/>
      </c>
      <c r="K280" s="161" t="str">
        <f>IF(COUNTIFS($B$31:B280,B280,$E$31:E280,E280,$C$31:C280,C280,$D$31:D280,D280)&gt;1,"DÉJÀ ENTRÉ",IF(AND(COUNTA(B280,C280,D280,E280,F280)&lt;5,COUNTA(B280,C280,D280,E280,F280)&gt;0),"Pensez à renseigner toutes les cases de la ligne !",IF(COUNTA(B280)=1,IF(COUNTBLANK(B280)&gt;=1,"Ne laissez pas de lignes vides. Écrivez sur la ligne supérieure.",""),"")))&amp;IF(G280="Non renseigné","Veuillez sélectionner de nouveau le nom dans la colonne Espèce traitée","")</f>
        <v/>
      </c>
      <c r="L280" s="31" t="str">
        <f>IF(E280="","",INDEX(Données_ATB!BD$3:BU$600,MATCH(E280,Medicament,0),18))</f>
        <v/>
      </c>
      <c r="M280" s="31" t="str">
        <f t="shared" si="17"/>
        <v/>
      </c>
      <c r="N280" s="31" t="str">
        <f t="shared" si="18"/>
        <v/>
      </c>
      <c r="O280" s="31" t="str">
        <f t="shared" si="19"/>
        <v/>
      </c>
      <c r="P280" s="31" t="str">
        <f t="shared" si="20"/>
        <v/>
      </c>
    </row>
    <row r="281" spans="2:16" x14ac:dyDescent="0.3">
      <c r="B281" s="155"/>
      <c r="C281" s="156"/>
      <c r="D281" s="156"/>
      <c r="E281" s="156"/>
      <c r="F281" s="182"/>
      <c r="G281" s="72" t="str">
        <f>IF(C281="","",IFERROR(INDEX(G$19:$L278,MATCH(C281,L$19:L$28,0),1),"Non renseigné"))</f>
        <v/>
      </c>
      <c r="H281" s="190" t="str">
        <f>IFERROR(IF(E281="","",INDEX(Données_ATB!BD$3:BT$600,MATCH(E281,Medicament,0),17)),"Ce médicament n'est pas connu dans la base")</f>
        <v/>
      </c>
      <c r="I281" s="69" t="str">
        <f>IFERROR(IF(E281="","",INDEX(Données_ATB!BD$3:BL$600,MATCH(E281,Medicament,0),9)),"")</f>
        <v/>
      </c>
      <c r="J281" s="44" t="str">
        <f>IFERROR(IF(E281="","",INDEX(Données_ATB!BD$3:BP$5600,MATCH(E281,Medicament,0),13)),"")</f>
        <v/>
      </c>
      <c r="K281" s="161" t="str">
        <f>IF(COUNTIFS($B$31:B281,B281,$E$31:E281,E281,$C$31:C281,C281,$D$31:D281,D281)&gt;1,"DÉJÀ ENTRÉ",IF(AND(COUNTA(B281,C281,D281,E281,F281)&lt;5,COUNTA(B281,C281,D281,E281,F281)&gt;0),"Pensez à renseigner toutes les cases de la ligne !",IF(COUNTA(B281)=1,IF(COUNTBLANK(B281)&gt;=1,"Ne laissez pas de lignes vides. Écrivez sur la ligne supérieure.",""),"")))&amp;IF(G281="Non renseigné","Veuillez sélectionner de nouveau le nom dans la colonne Espèce traitée","")</f>
        <v/>
      </c>
      <c r="L281" s="31" t="str">
        <f>IF(E281="","",INDEX(Données_ATB!BD$3:BU$600,MATCH(E281,Medicament,0),18))</f>
        <v/>
      </c>
      <c r="M281" s="31" t="str">
        <f t="shared" si="17"/>
        <v/>
      </c>
      <c r="N281" s="31" t="str">
        <f t="shared" si="18"/>
        <v/>
      </c>
      <c r="O281" s="31" t="str">
        <f t="shared" si="19"/>
        <v/>
      </c>
      <c r="P281" s="31" t="str">
        <f t="shared" si="20"/>
        <v/>
      </c>
    </row>
    <row r="282" spans="2:16" x14ac:dyDescent="0.3">
      <c r="B282" s="155"/>
      <c r="C282" s="156"/>
      <c r="D282" s="156"/>
      <c r="E282" s="156"/>
      <c r="F282" s="182"/>
      <c r="G282" s="72" t="str">
        <f>IF(C282="","",IFERROR(INDEX(G$19:$L279,MATCH(C282,L$19:L$28,0),1),"Non renseigné"))</f>
        <v/>
      </c>
      <c r="H282" s="190" t="str">
        <f>IFERROR(IF(E282="","",INDEX(Données_ATB!BD$3:BT$600,MATCH(E282,Medicament,0),17)),"Ce médicament n'est pas connu dans la base")</f>
        <v/>
      </c>
      <c r="I282" s="69" t="str">
        <f>IFERROR(IF(E282="","",INDEX(Données_ATB!BD$3:BL$600,MATCH(E282,Medicament,0),9)),"")</f>
        <v/>
      </c>
      <c r="J282" s="44" t="str">
        <f>IFERROR(IF(E282="","",INDEX(Données_ATB!BD$3:BP$5600,MATCH(E282,Medicament,0),13)),"")</f>
        <v/>
      </c>
      <c r="K282" s="161" t="str">
        <f>IF(COUNTIFS($B$31:B282,B282,$E$31:E282,E282,$C$31:C282,C282,$D$31:D282,D282)&gt;1,"DÉJÀ ENTRÉ",IF(AND(COUNTA(B282,C282,D282,E282,F282)&lt;5,COUNTA(B282,C282,D282,E282,F282)&gt;0),"Pensez à renseigner toutes les cases de la ligne !",IF(COUNTA(B282)=1,IF(COUNTBLANK(B282)&gt;=1,"Ne laissez pas de lignes vides. Écrivez sur la ligne supérieure.",""),"")))&amp;IF(G282="Non renseigné","Veuillez sélectionner de nouveau le nom dans la colonne Espèce traitée","")</f>
        <v/>
      </c>
      <c r="L282" s="31" t="str">
        <f>IF(E282="","",INDEX(Données_ATB!BD$3:BU$600,MATCH(E282,Medicament,0),18))</f>
        <v/>
      </c>
      <c r="M282" s="31" t="str">
        <f t="shared" si="17"/>
        <v/>
      </c>
      <c r="N282" s="31" t="str">
        <f t="shared" si="18"/>
        <v/>
      </c>
      <c r="O282" s="31" t="str">
        <f t="shared" si="19"/>
        <v/>
      </c>
      <c r="P282" s="31" t="str">
        <f t="shared" si="20"/>
        <v/>
      </c>
    </row>
    <row r="283" spans="2:16" x14ac:dyDescent="0.3">
      <c r="B283" s="155"/>
      <c r="C283" s="156"/>
      <c r="D283" s="156"/>
      <c r="E283" s="156"/>
      <c r="F283" s="182"/>
      <c r="G283" s="72" t="str">
        <f>IF(C283="","",IFERROR(INDEX(G$19:$L280,MATCH(C283,L$19:L$28,0),1),"Non renseigné"))</f>
        <v/>
      </c>
      <c r="H283" s="190" t="str">
        <f>IFERROR(IF(E283="","",INDEX(Données_ATB!BD$3:BT$600,MATCH(E283,Medicament,0),17)),"Ce médicament n'est pas connu dans la base")</f>
        <v/>
      </c>
      <c r="I283" s="69" t="str">
        <f>IFERROR(IF(E283="","",INDEX(Données_ATB!BD$3:BL$600,MATCH(E283,Medicament,0),9)),"")</f>
        <v/>
      </c>
      <c r="J283" s="44" t="str">
        <f>IFERROR(IF(E283="","",INDEX(Données_ATB!BD$3:BP$5600,MATCH(E283,Medicament,0),13)),"")</f>
        <v/>
      </c>
      <c r="K283" s="161" t="str">
        <f>IF(COUNTIFS($B$31:B283,B283,$E$31:E283,E283,$C$31:C283,C283,$D$31:D283,D283)&gt;1,"DÉJÀ ENTRÉ",IF(AND(COUNTA(B283,C283,D283,E283,F283)&lt;5,COUNTA(B283,C283,D283,E283,F283)&gt;0),"Pensez à renseigner toutes les cases de la ligne !",IF(COUNTA(B283)=1,IF(COUNTBLANK(B283)&gt;=1,"Ne laissez pas de lignes vides. Écrivez sur la ligne supérieure.",""),"")))&amp;IF(G283="Non renseigné","Veuillez sélectionner de nouveau le nom dans la colonne Espèce traitée","")</f>
        <v/>
      </c>
      <c r="L283" s="31" t="str">
        <f>IF(E283="","",INDEX(Données_ATB!BD$3:BU$600,MATCH(E283,Medicament,0),18))</f>
        <v/>
      </c>
      <c r="M283" s="31" t="str">
        <f t="shared" si="17"/>
        <v/>
      </c>
      <c r="N283" s="31" t="str">
        <f t="shared" si="18"/>
        <v/>
      </c>
      <c r="O283" s="31" t="str">
        <f t="shared" si="19"/>
        <v/>
      </c>
      <c r="P283" s="31" t="str">
        <f t="shared" si="20"/>
        <v/>
      </c>
    </row>
    <row r="284" spans="2:16" x14ac:dyDescent="0.3">
      <c r="B284" s="155"/>
      <c r="C284" s="156"/>
      <c r="D284" s="156"/>
      <c r="E284" s="156"/>
      <c r="F284" s="182"/>
      <c r="G284" s="72" t="str">
        <f>IF(C284="","",IFERROR(INDEX(G$19:$L281,MATCH(C284,L$19:L$28,0),1),"Non renseigné"))</f>
        <v/>
      </c>
      <c r="H284" s="190" t="str">
        <f>IFERROR(IF(E284="","",INDEX(Données_ATB!BD$3:BT$600,MATCH(E284,Medicament,0),17)),"Ce médicament n'est pas connu dans la base")</f>
        <v/>
      </c>
      <c r="I284" s="69" t="str">
        <f>IFERROR(IF(E284="","",INDEX(Données_ATB!BD$3:BL$600,MATCH(E284,Medicament,0),9)),"")</f>
        <v/>
      </c>
      <c r="J284" s="44" t="str">
        <f>IFERROR(IF(E284="","",INDEX(Données_ATB!BD$3:BP$5600,MATCH(E284,Medicament,0),13)),"")</f>
        <v/>
      </c>
      <c r="K284" s="161" t="str">
        <f>IF(COUNTIFS($B$31:B284,B284,$E$31:E284,E284,$C$31:C284,C284,$D$31:D284,D284)&gt;1,"DÉJÀ ENTRÉ",IF(AND(COUNTA(B284,C284,D284,E284,F284)&lt;5,COUNTA(B284,C284,D284,E284,F284)&gt;0),"Pensez à renseigner toutes les cases de la ligne !",IF(COUNTA(B284)=1,IF(COUNTBLANK(B284)&gt;=1,"Ne laissez pas de lignes vides. Écrivez sur la ligne supérieure.",""),"")))&amp;IF(G284="Non renseigné","Veuillez sélectionner de nouveau le nom dans la colonne Espèce traitée","")</f>
        <v/>
      </c>
      <c r="L284" s="31" t="str">
        <f>IF(E284="","",INDEX(Données_ATB!BD$3:BU$600,MATCH(E284,Medicament,0),18))</f>
        <v/>
      </c>
      <c r="M284" s="31" t="str">
        <f t="shared" si="17"/>
        <v/>
      </c>
      <c r="N284" s="31" t="str">
        <f t="shared" si="18"/>
        <v/>
      </c>
      <c r="O284" s="31" t="str">
        <f t="shared" si="19"/>
        <v/>
      </c>
      <c r="P284" s="31" t="str">
        <f t="shared" si="20"/>
        <v/>
      </c>
    </row>
    <row r="285" spans="2:16" x14ac:dyDescent="0.3">
      <c r="B285" s="155"/>
      <c r="C285" s="156"/>
      <c r="D285" s="156"/>
      <c r="E285" s="156"/>
      <c r="F285" s="182"/>
      <c r="G285" s="72" t="str">
        <f>IF(C285="","",IFERROR(INDEX(G$19:$L282,MATCH(C285,L$19:L$28,0),1),"Non renseigné"))</f>
        <v/>
      </c>
      <c r="H285" s="190" t="str">
        <f>IFERROR(IF(E285="","",INDEX(Données_ATB!BD$3:BT$600,MATCH(E285,Medicament,0),17)),"Ce médicament n'est pas connu dans la base")</f>
        <v/>
      </c>
      <c r="I285" s="69" t="str">
        <f>IFERROR(IF(E285="","",INDEX(Données_ATB!BD$3:BL$600,MATCH(E285,Medicament,0),9)),"")</f>
        <v/>
      </c>
      <c r="J285" s="44" t="str">
        <f>IFERROR(IF(E285="","",INDEX(Données_ATB!BD$3:BP$5600,MATCH(E285,Medicament,0),13)),"")</f>
        <v/>
      </c>
      <c r="K285" s="161" t="str">
        <f>IF(COUNTIFS($B$31:B285,B285,$E$31:E285,E285,$C$31:C285,C285,$D$31:D285,D285)&gt;1,"DÉJÀ ENTRÉ",IF(AND(COUNTA(B285,C285,D285,E285,F285)&lt;5,COUNTA(B285,C285,D285,E285,F285)&gt;0),"Pensez à renseigner toutes les cases de la ligne !",IF(COUNTA(B285)=1,IF(COUNTBLANK(B285)&gt;=1,"Ne laissez pas de lignes vides. Écrivez sur la ligne supérieure.",""),"")))&amp;IF(G285="Non renseigné","Veuillez sélectionner de nouveau le nom dans la colonne Espèce traitée","")</f>
        <v/>
      </c>
      <c r="L285" s="31" t="str">
        <f>IF(E285="","",INDEX(Données_ATB!BD$3:BU$600,MATCH(E285,Medicament,0),18))</f>
        <v/>
      </c>
      <c r="M285" s="31" t="str">
        <f t="shared" si="17"/>
        <v/>
      </c>
      <c r="N285" s="31" t="str">
        <f t="shared" si="18"/>
        <v/>
      </c>
      <c r="O285" s="31" t="str">
        <f t="shared" si="19"/>
        <v/>
      </c>
      <c r="P285" s="31" t="str">
        <f t="shared" si="20"/>
        <v/>
      </c>
    </row>
    <row r="286" spans="2:16" x14ac:dyDescent="0.3">
      <c r="B286" s="155"/>
      <c r="C286" s="156"/>
      <c r="D286" s="156"/>
      <c r="E286" s="156"/>
      <c r="F286" s="182"/>
      <c r="G286" s="72" t="str">
        <f>IF(C286="","",IFERROR(INDEX(G$19:$L283,MATCH(C286,L$19:L$28,0),1),"Non renseigné"))</f>
        <v/>
      </c>
      <c r="H286" s="190" t="str">
        <f>IFERROR(IF(E286="","",INDEX(Données_ATB!BD$3:BT$600,MATCH(E286,Medicament,0),17)),"Ce médicament n'est pas connu dans la base")</f>
        <v/>
      </c>
      <c r="I286" s="69" t="str">
        <f>IFERROR(IF(E286="","",INDEX(Données_ATB!BD$3:BL$600,MATCH(E286,Medicament,0),9)),"")</f>
        <v/>
      </c>
      <c r="J286" s="44" t="str">
        <f>IFERROR(IF(E286="","",INDEX(Données_ATB!BD$3:BP$5600,MATCH(E286,Medicament,0),13)),"")</f>
        <v/>
      </c>
      <c r="K286" s="161" t="str">
        <f>IF(COUNTIFS($B$31:B286,B286,$E$31:E286,E286,$C$31:C286,C286,$D$31:D286,D286)&gt;1,"DÉJÀ ENTRÉ",IF(AND(COUNTA(B286,C286,D286,E286,F286)&lt;5,COUNTA(B286,C286,D286,E286,F286)&gt;0),"Pensez à renseigner toutes les cases de la ligne !",IF(COUNTA(B286)=1,IF(COUNTBLANK(B286)&gt;=1,"Ne laissez pas de lignes vides. Écrivez sur la ligne supérieure.",""),"")))&amp;IF(G286="Non renseigné","Veuillez sélectionner de nouveau le nom dans la colonne Espèce traitée","")</f>
        <v/>
      </c>
      <c r="L286" s="31" t="str">
        <f>IF(E286="","",INDEX(Données_ATB!BD$3:BU$600,MATCH(E286,Medicament,0),18))</f>
        <v/>
      </c>
      <c r="M286" s="31" t="str">
        <f t="shared" si="17"/>
        <v/>
      </c>
      <c r="N286" s="31" t="str">
        <f t="shared" si="18"/>
        <v/>
      </c>
      <c r="O286" s="31" t="str">
        <f t="shared" si="19"/>
        <v/>
      </c>
      <c r="P286" s="31" t="str">
        <f t="shared" si="20"/>
        <v/>
      </c>
    </row>
    <row r="287" spans="2:16" x14ac:dyDescent="0.3">
      <c r="B287" s="155"/>
      <c r="C287" s="156"/>
      <c r="D287" s="156"/>
      <c r="E287" s="156"/>
      <c r="F287" s="182"/>
      <c r="G287" s="72" t="str">
        <f>IF(C287="","",IFERROR(INDEX(G$19:$L284,MATCH(C287,L$19:L$28,0),1),"Non renseigné"))</f>
        <v/>
      </c>
      <c r="H287" s="190" t="str">
        <f>IFERROR(IF(E287="","",INDEX(Données_ATB!BD$3:BT$600,MATCH(E287,Medicament,0),17)),"Ce médicament n'est pas connu dans la base")</f>
        <v/>
      </c>
      <c r="I287" s="69" t="str">
        <f>IFERROR(IF(E287="","",INDEX(Données_ATB!BD$3:BL$600,MATCH(E287,Medicament,0),9)),"")</f>
        <v/>
      </c>
      <c r="J287" s="44" t="str">
        <f>IFERROR(IF(E287="","",INDEX(Données_ATB!BD$3:BP$5600,MATCH(E287,Medicament,0),13)),"")</f>
        <v/>
      </c>
      <c r="K287" s="161" t="str">
        <f>IF(COUNTIFS($B$31:B287,B287,$E$31:E287,E287,$C$31:C287,C287,$D$31:D287,D287)&gt;1,"DÉJÀ ENTRÉ",IF(AND(COUNTA(B287,C287,D287,E287,F287)&lt;5,COUNTA(B287,C287,D287,E287,F287)&gt;0),"Pensez à renseigner toutes les cases de la ligne !",IF(COUNTA(B287)=1,IF(COUNTBLANK(B287)&gt;=1,"Ne laissez pas de lignes vides. Écrivez sur la ligne supérieure.",""),"")))&amp;IF(G287="Non renseigné","Veuillez sélectionner de nouveau le nom dans la colonne Espèce traitée","")</f>
        <v/>
      </c>
      <c r="L287" s="31" t="str">
        <f>IF(E287="","",INDEX(Données_ATB!BD$3:BU$600,MATCH(E287,Medicament,0),18))</f>
        <v/>
      </c>
      <c r="M287" s="31" t="str">
        <f t="shared" ref="M287:M350" si="21">IF(B287="janvier",1,IF(B287="février",2,IF(B287="mars",3,IF(B287="avril",4,IF(B287="mai",5,IF(B287="juin",6,IF(B287="juillet",7,IF(B287="août",8,IF(B287="septembre",9,IF(B287="octobre",10,IF(B287="novembre",11,IF(B287="décembre",12,""))))))))))))</f>
        <v/>
      </c>
      <c r="N287" s="31" t="str">
        <f t="shared" si="18"/>
        <v/>
      </c>
      <c r="O287" s="31" t="str">
        <f t="shared" si="19"/>
        <v/>
      </c>
      <c r="P287" s="31" t="str">
        <f t="shared" si="20"/>
        <v/>
      </c>
    </row>
    <row r="288" spans="2:16" x14ac:dyDescent="0.3">
      <c r="B288" s="155"/>
      <c r="C288" s="156"/>
      <c r="D288" s="156"/>
      <c r="E288" s="156"/>
      <c r="F288" s="182"/>
      <c r="G288" s="72" t="str">
        <f>IF(C288="","",IFERROR(INDEX(G$19:$L285,MATCH(C288,L$19:L$28,0),1),"Non renseigné"))</f>
        <v/>
      </c>
      <c r="H288" s="190" t="str">
        <f>IFERROR(IF(E288="","",INDEX(Données_ATB!BD$3:BT$600,MATCH(E288,Medicament,0),17)),"Ce médicament n'est pas connu dans la base")</f>
        <v/>
      </c>
      <c r="I288" s="69" t="str">
        <f>IFERROR(IF(E288="","",INDEX(Données_ATB!BD$3:BL$600,MATCH(E288,Medicament,0),9)),"")</f>
        <v/>
      </c>
      <c r="J288" s="44" t="str">
        <f>IFERROR(IF(E288="","",INDEX(Données_ATB!BD$3:BP$5600,MATCH(E288,Medicament,0),13)),"")</f>
        <v/>
      </c>
      <c r="K288" s="161" t="str">
        <f>IF(COUNTIFS($B$31:B288,B288,$E$31:E288,E288,$C$31:C288,C288,$D$31:D288,D288)&gt;1,"DÉJÀ ENTRÉ",IF(AND(COUNTA(B288,C288,D288,E288,F288)&lt;5,COUNTA(B288,C288,D288,E288,F288)&gt;0),"Pensez à renseigner toutes les cases de la ligne !",IF(COUNTA(B288)=1,IF(COUNTBLANK(B288)&gt;=1,"Ne laissez pas de lignes vides. Écrivez sur la ligne supérieure.",""),"")))&amp;IF(G288="Non renseigné","Veuillez sélectionner de nouveau le nom dans la colonne Espèce traitée","")</f>
        <v/>
      </c>
      <c r="L288" s="31" t="str">
        <f>IF(E288="","",INDEX(Données_ATB!BD$3:BU$600,MATCH(E288,Medicament,0),18))</f>
        <v/>
      </c>
      <c r="M288" s="31" t="str">
        <f t="shared" si="21"/>
        <v/>
      </c>
      <c r="N288" s="31" t="str">
        <f t="shared" si="18"/>
        <v/>
      </c>
      <c r="O288" s="31" t="str">
        <f t="shared" si="19"/>
        <v/>
      </c>
      <c r="P288" s="31" t="str">
        <f t="shared" si="20"/>
        <v/>
      </c>
    </row>
    <row r="289" spans="2:16" x14ac:dyDescent="0.3">
      <c r="B289" s="155"/>
      <c r="C289" s="156"/>
      <c r="D289" s="156"/>
      <c r="E289" s="156"/>
      <c r="F289" s="182"/>
      <c r="G289" s="72" t="str">
        <f>IF(C289="","",IFERROR(INDEX(G$19:$L286,MATCH(C289,L$19:L$28,0),1),"Non renseigné"))</f>
        <v/>
      </c>
      <c r="H289" s="190" t="str">
        <f>IFERROR(IF(E289="","",INDEX(Données_ATB!BD$3:BT$600,MATCH(E289,Medicament,0),17)),"Ce médicament n'est pas connu dans la base")</f>
        <v/>
      </c>
      <c r="I289" s="69" t="str">
        <f>IFERROR(IF(E289="","",INDEX(Données_ATB!BD$3:BL$600,MATCH(E289,Medicament,0),9)),"")</f>
        <v/>
      </c>
      <c r="J289" s="44" t="str">
        <f>IFERROR(IF(E289="","",INDEX(Données_ATB!BD$3:BP$5600,MATCH(E289,Medicament,0),13)),"")</f>
        <v/>
      </c>
      <c r="K289" s="161" t="str">
        <f>IF(COUNTIFS($B$31:B289,B289,$E$31:E289,E289,$C$31:C289,C289,$D$31:D289,D289)&gt;1,"DÉJÀ ENTRÉ",IF(AND(COUNTA(B289,C289,D289,E289,F289)&lt;5,COUNTA(B289,C289,D289,E289,F289)&gt;0),"Pensez à renseigner toutes les cases de la ligne !",IF(COUNTA(B289)=1,IF(COUNTBLANK(B289)&gt;=1,"Ne laissez pas de lignes vides. Écrivez sur la ligne supérieure.",""),"")))&amp;IF(G289="Non renseigné","Veuillez sélectionner de nouveau le nom dans la colonne Espèce traitée","")</f>
        <v/>
      </c>
      <c r="L289" s="31" t="str">
        <f>IF(E289="","",INDEX(Données_ATB!BD$3:BU$600,MATCH(E289,Medicament,0),18))</f>
        <v/>
      </c>
      <c r="M289" s="31" t="str">
        <f t="shared" si="21"/>
        <v/>
      </c>
      <c r="N289" s="31" t="str">
        <f t="shared" si="18"/>
        <v/>
      </c>
      <c r="O289" s="31" t="str">
        <f t="shared" si="19"/>
        <v/>
      </c>
      <c r="P289" s="31" t="str">
        <f t="shared" si="20"/>
        <v/>
      </c>
    </row>
    <row r="290" spans="2:16" x14ac:dyDescent="0.3">
      <c r="B290" s="155"/>
      <c r="C290" s="156"/>
      <c r="D290" s="156"/>
      <c r="E290" s="156"/>
      <c r="F290" s="182"/>
      <c r="G290" s="72" t="str">
        <f>IF(C290="","",IFERROR(INDEX(G$19:$L287,MATCH(C290,L$19:L$28,0),1),"Non renseigné"))</f>
        <v/>
      </c>
      <c r="H290" s="190" t="str">
        <f>IFERROR(IF(E290="","",INDEX(Données_ATB!BD$3:BT$600,MATCH(E290,Medicament,0),17)),"Ce médicament n'est pas connu dans la base")</f>
        <v/>
      </c>
      <c r="I290" s="69" t="str">
        <f>IFERROR(IF(E290="","",INDEX(Données_ATB!BD$3:BL$600,MATCH(E290,Medicament,0),9)),"")</f>
        <v/>
      </c>
      <c r="J290" s="44" t="str">
        <f>IFERROR(IF(E290="","",INDEX(Données_ATB!BD$3:BP$5600,MATCH(E290,Medicament,0),13)),"")</f>
        <v/>
      </c>
      <c r="K290" s="161" t="str">
        <f>IF(COUNTIFS($B$31:B290,B290,$E$31:E290,E290,$C$31:C290,C290,$D$31:D290,D290)&gt;1,"DÉJÀ ENTRÉ",IF(AND(COUNTA(B290,C290,D290,E290,F290)&lt;5,COUNTA(B290,C290,D290,E290,F290)&gt;0),"Pensez à renseigner toutes les cases de la ligne !",IF(COUNTA(B290)=1,IF(COUNTBLANK(B290)&gt;=1,"Ne laissez pas de lignes vides. Écrivez sur la ligne supérieure.",""),"")))&amp;IF(G290="Non renseigné","Veuillez sélectionner de nouveau le nom dans la colonne Espèce traitée","")</f>
        <v/>
      </c>
      <c r="L290" s="31" t="str">
        <f>IF(E290="","",INDEX(Données_ATB!BD$3:BU$600,MATCH(E290,Medicament,0),18))</f>
        <v/>
      </c>
      <c r="M290" s="31" t="str">
        <f t="shared" si="21"/>
        <v/>
      </c>
      <c r="N290" s="31" t="str">
        <f t="shared" si="18"/>
        <v/>
      </c>
      <c r="O290" s="31" t="str">
        <f t="shared" si="19"/>
        <v/>
      </c>
      <c r="P290" s="31" t="str">
        <f t="shared" si="20"/>
        <v/>
      </c>
    </row>
    <row r="291" spans="2:16" x14ac:dyDescent="0.3">
      <c r="B291" s="155"/>
      <c r="C291" s="156"/>
      <c r="D291" s="156"/>
      <c r="E291" s="156"/>
      <c r="F291" s="182"/>
      <c r="G291" s="72" t="str">
        <f>IF(C291="","",IFERROR(INDEX(G$19:$L288,MATCH(C291,L$19:L$28,0),1),"Non renseigné"))</f>
        <v/>
      </c>
      <c r="H291" s="190" t="str">
        <f>IFERROR(IF(E291="","",INDEX(Données_ATB!BD$3:BT$600,MATCH(E291,Medicament,0),17)),"Ce médicament n'est pas connu dans la base")</f>
        <v/>
      </c>
      <c r="I291" s="69" t="str">
        <f>IFERROR(IF(E291="","",INDEX(Données_ATB!BD$3:BL$600,MATCH(E291,Medicament,0),9)),"")</f>
        <v/>
      </c>
      <c r="J291" s="44" t="str">
        <f>IFERROR(IF(E291="","",INDEX(Données_ATB!BD$3:BP$5600,MATCH(E291,Medicament,0),13)),"")</f>
        <v/>
      </c>
      <c r="K291" s="161" t="str">
        <f>IF(COUNTIFS($B$31:B291,B291,$E$31:E291,E291,$C$31:C291,C291,$D$31:D291,D291)&gt;1,"DÉJÀ ENTRÉ",IF(AND(COUNTA(B291,C291,D291,E291,F291)&lt;5,COUNTA(B291,C291,D291,E291,F291)&gt;0),"Pensez à renseigner toutes les cases de la ligne !",IF(COUNTA(B291)=1,IF(COUNTBLANK(B291)&gt;=1,"Ne laissez pas de lignes vides. Écrivez sur la ligne supérieure.",""),"")))&amp;IF(G291="Non renseigné","Veuillez sélectionner de nouveau le nom dans la colonne Espèce traitée","")</f>
        <v/>
      </c>
      <c r="L291" s="31" t="str">
        <f>IF(E291="","",INDEX(Données_ATB!BD$3:BU$600,MATCH(E291,Medicament,0),18))</f>
        <v/>
      </c>
      <c r="M291" s="31" t="str">
        <f t="shared" si="21"/>
        <v/>
      </c>
      <c r="N291" s="31" t="str">
        <f t="shared" si="18"/>
        <v/>
      </c>
      <c r="O291" s="31" t="str">
        <f t="shared" si="19"/>
        <v/>
      </c>
      <c r="P291" s="31" t="str">
        <f t="shared" si="20"/>
        <v/>
      </c>
    </row>
    <row r="292" spans="2:16" x14ac:dyDescent="0.3">
      <c r="B292" s="155"/>
      <c r="C292" s="156"/>
      <c r="D292" s="156"/>
      <c r="E292" s="156"/>
      <c r="F292" s="182"/>
      <c r="G292" s="72" t="str">
        <f>IF(C292="","",IFERROR(INDEX(G$19:$L289,MATCH(C292,L$19:L$28,0),1),"Non renseigné"))</f>
        <v/>
      </c>
      <c r="H292" s="190" t="str">
        <f>IFERROR(IF(E292="","",INDEX(Données_ATB!BD$3:BT$600,MATCH(E292,Medicament,0),17)),"Ce médicament n'est pas connu dans la base")</f>
        <v/>
      </c>
      <c r="I292" s="69" t="str">
        <f>IFERROR(IF(E292="","",INDEX(Données_ATB!BD$3:BL$600,MATCH(E292,Medicament,0),9)),"")</f>
        <v/>
      </c>
      <c r="J292" s="44" t="str">
        <f>IFERROR(IF(E292="","",INDEX(Données_ATB!BD$3:BP$5600,MATCH(E292,Medicament,0),13)),"")</f>
        <v/>
      </c>
      <c r="K292" s="161" t="str">
        <f>IF(COUNTIFS($B$31:B292,B292,$E$31:E292,E292,$C$31:C292,C292,$D$31:D292,D292)&gt;1,"DÉJÀ ENTRÉ",IF(AND(COUNTA(B292,C292,D292,E292,F292)&lt;5,COUNTA(B292,C292,D292,E292,F292)&gt;0),"Pensez à renseigner toutes les cases de la ligne !",IF(COUNTA(B292)=1,IF(COUNTBLANK(B292)&gt;=1,"Ne laissez pas de lignes vides. Écrivez sur la ligne supérieure.",""),"")))&amp;IF(G292="Non renseigné","Veuillez sélectionner de nouveau le nom dans la colonne Espèce traitée","")</f>
        <v/>
      </c>
      <c r="L292" s="31" t="str">
        <f>IF(E292="","",INDEX(Données_ATB!BD$3:BU$600,MATCH(E292,Medicament,0),18))</f>
        <v/>
      </c>
      <c r="M292" s="31" t="str">
        <f t="shared" si="21"/>
        <v/>
      </c>
      <c r="N292" s="31" t="str">
        <f t="shared" si="18"/>
        <v/>
      </c>
      <c r="O292" s="31" t="str">
        <f t="shared" si="19"/>
        <v/>
      </c>
      <c r="P292" s="31" t="str">
        <f t="shared" si="20"/>
        <v/>
      </c>
    </row>
    <row r="293" spans="2:16" x14ac:dyDescent="0.3">
      <c r="B293" s="155"/>
      <c r="C293" s="156"/>
      <c r="D293" s="156"/>
      <c r="E293" s="156"/>
      <c r="F293" s="182"/>
      <c r="G293" s="72" t="str">
        <f>IF(C293="","",IFERROR(INDEX(G$19:$L290,MATCH(C293,L$19:L$28,0),1),"Non renseigné"))</f>
        <v/>
      </c>
      <c r="H293" s="190" t="str">
        <f>IFERROR(IF(E293="","",INDEX(Données_ATB!BD$3:BT$600,MATCH(E293,Medicament,0),17)),"Ce médicament n'est pas connu dans la base")</f>
        <v/>
      </c>
      <c r="I293" s="69" t="str">
        <f>IFERROR(IF(E293="","",INDEX(Données_ATB!BD$3:BL$600,MATCH(E293,Medicament,0),9)),"")</f>
        <v/>
      </c>
      <c r="J293" s="44" t="str">
        <f>IFERROR(IF(E293="","",INDEX(Données_ATB!BD$3:BP$5600,MATCH(E293,Medicament,0),13)),"")</f>
        <v/>
      </c>
      <c r="K293" s="161" t="str">
        <f>IF(COUNTIFS($B$31:B293,B293,$E$31:E293,E293,$C$31:C293,C293,$D$31:D293,D293)&gt;1,"DÉJÀ ENTRÉ",IF(AND(COUNTA(B293,C293,D293,E293,F293)&lt;5,COUNTA(B293,C293,D293,E293,F293)&gt;0),"Pensez à renseigner toutes les cases de la ligne !",IF(COUNTA(B293)=1,IF(COUNTBLANK(B293)&gt;=1,"Ne laissez pas de lignes vides. Écrivez sur la ligne supérieure.",""),"")))&amp;IF(G293="Non renseigné","Veuillez sélectionner de nouveau le nom dans la colonne Espèce traitée","")</f>
        <v/>
      </c>
      <c r="L293" s="31" t="str">
        <f>IF(E293="","",INDEX(Données_ATB!BD$3:BU$600,MATCH(E293,Medicament,0),18))</f>
        <v/>
      </c>
      <c r="M293" s="31" t="str">
        <f t="shared" si="21"/>
        <v/>
      </c>
      <c r="N293" s="31" t="str">
        <f t="shared" si="18"/>
        <v/>
      </c>
      <c r="O293" s="31" t="str">
        <f t="shared" si="19"/>
        <v/>
      </c>
      <c r="P293" s="31" t="str">
        <f t="shared" si="20"/>
        <v/>
      </c>
    </row>
    <row r="294" spans="2:16" x14ac:dyDescent="0.3">
      <c r="B294" s="155"/>
      <c r="C294" s="156"/>
      <c r="D294" s="156"/>
      <c r="E294" s="156"/>
      <c r="F294" s="182"/>
      <c r="G294" s="72" t="str">
        <f>IF(C294="","",IFERROR(INDEX(G$19:$L291,MATCH(C294,L$19:L$28,0),1),"Non renseigné"))</f>
        <v/>
      </c>
      <c r="H294" s="190" t="str">
        <f>IFERROR(IF(E294="","",INDEX(Données_ATB!BD$3:BT$600,MATCH(E294,Medicament,0),17)),"Ce médicament n'est pas connu dans la base")</f>
        <v/>
      </c>
      <c r="I294" s="69" t="str">
        <f>IFERROR(IF(E294="","",INDEX(Données_ATB!BD$3:BL$600,MATCH(E294,Medicament,0),9)),"")</f>
        <v/>
      </c>
      <c r="J294" s="44" t="str">
        <f>IFERROR(IF(E294="","",INDEX(Données_ATB!BD$3:BP$5600,MATCH(E294,Medicament,0),13)),"")</f>
        <v/>
      </c>
      <c r="K294" s="161" t="str">
        <f>IF(COUNTIFS($B$31:B294,B294,$E$31:E294,E294,$C$31:C294,C294,$D$31:D294,D294)&gt;1,"DÉJÀ ENTRÉ",IF(AND(COUNTA(B294,C294,D294,E294,F294)&lt;5,COUNTA(B294,C294,D294,E294,F294)&gt;0),"Pensez à renseigner toutes les cases de la ligne !",IF(COUNTA(B294)=1,IF(COUNTBLANK(B294)&gt;=1,"Ne laissez pas de lignes vides. Écrivez sur la ligne supérieure.",""),"")))&amp;IF(G294="Non renseigné","Veuillez sélectionner de nouveau le nom dans la colonne Espèce traitée","")</f>
        <v/>
      </c>
      <c r="L294" s="31" t="str">
        <f>IF(E294="","",INDEX(Données_ATB!BD$3:BU$600,MATCH(E294,Medicament,0),18))</f>
        <v/>
      </c>
      <c r="M294" s="31" t="str">
        <f t="shared" si="21"/>
        <v/>
      </c>
      <c r="N294" s="31" t="str">
        <f t="shared" si="18"/>
        <v/>
      </c>
      <c r="O294" s="31" t="str">
        <f t="shared" si="19"/>
        <v/>
      </c>
      <c r="P294" s="31" t="str">
        <f t="shared" si="20"/>
        <v/>
      </c>
    </row>
    <row r="295" spans="2:16" x14ac:dyDescent="0.3">
      <c r="B295" s="155"/>
      <c r="C295" s="156"/>
      <c r="D295" s="156"/>
      <c r="E295" s="156"/>
      <c r="F295" s="182"/>
      <c r="G295" s="72" t="str">
        <f>IF(C295="","",IFERROR(INDEX(G$19:$L292,MATCH(C295,L$19:L$28,0),1),"Non renseigné"))</f>
        <v/>
      </c>
      <c r="H295" s="190" t="str">
        <f>IFERROR(IF(E295="","",INDEX(Données_ATB!BD$3:BT$600,MATCH(E295,Medicament,0),17)),"Ce médicament n'est pas connu dans la base")</f>
        <v/>
      </c>
      <c r="I295" s="69" t="str">
        <f>IFERROR(IF(E295="","",INDEX(Données_ATB!BD$3:BL$600,MATCH(E295,Medicament,0),9)),"")</f>
        <v/>
      </c>
      <c r="J295" s="44" t="str">
        <f>IFERROR(IF(E295="","",INDEX(Données_ATB!BD$3:BP$5600,MATCH(E295,Medicament,0),13)),"")</f>
        <v/>
      </c>
      <c r="K295" s="161" t="str">
        <f>IF(COUNTIFS($B$31:B295,B295,$E$31:E295,E295,$C$31:C295,C295,$D$31:D295,D295)&gt;1,"DÉJÀ ENTRÉ",IF(AND(COUNTA(B295,C295,D295,E295,F295)&lt;5,COUNTA(B295,C295,D295,E295,F295)&gt;0),"Pensez à renseigner toutes les cases de la ligne !",IF(COUNTA(B295)=1,IF(COUNTBLANK(B295)&gt;=1,"Ne laissez pas de lignes vides. Écrivez sur la ligne supérieure.",""),"")))&amp;IF(G295="Non renseigné","Veuillez sélectionner de nouveau le nom dans la colonne Espèce traitée","")</f>
        <v/>
      </c>
      <c r="L295" s="31" t="str">
        <f>IF(E295="","",INDEX(Données_ATB!BD$3:BU$600,MATCH(E295,Medicament,0),18))</f>
        <v/>
      </c>
      <c r="M295" s="31" t="str">
        <f t="shared" si="21"/>
        <v/>
      </c>
      <c r="N295" s="31" t="str">
        <f t="shared" si="18"/>
        <v/>
      </c>
      <c r="O295" s="31" t="str">
        <f t="shared" si="19"/>
        <v/>
      </c>
      <c r="P295" s="31" t="str">
        <f t="shared" si="20"/>
        <v/>
      </c>
    </row>
    <row r="296" spans="2:16" x14ac:dyDescent="0.3">
      <c r="B296" s="155"/>
      <c r="C296" s="156"/>
      <c r="D296" s="156"/>
      <c r="E296" s="156"/>
      <c r="F296" s="182"/>
      <c r="G296" s="72" t="str">
        <f>IF(C296="","",IFERROR(INDEX(G$19:$L293,MATCH(C296,L$19:L$28,0),1),"Non renseigné"))</f>
        <v/>
      </c>
      <c r="H296" s="190" t="str">
        <f>IFERROR(IF(E296="","",INDEX(Données_ATB!BD$3:BT$600,MATCH(E296,Medicament,0),17)),"Ce médicament n'est pas connu dans la base")</f>
        <v/>
      </c>
      <c r="I296" s="69" t="str">
        <f>IFERROR(IF(E296="","",INDEX(Données_ATB!BD$3:BL$600,MATCH(E296,Medicament,0),9)),"")</f>
        <v/>
      </c>
      <c r="J296" s="44" t="str">
        <f>IFERROR(IF(E296="","",INDEX(Données_ATB!BD$3:BP$5600,MATCH(E296,Medicament,0),13)),"")</f>
        <v/>
      </c>
      <c r="K296" s="161" t="str">
        <f>IF(COUNTIFS($B$31:B296,B296,$E$31:E296,E296,$C$31:C296,C296,$D$31:D296,D296)&gt;1,"DÉJÀ ENTRÉ",IF(AND(COUNTA(B296,C296,D296,E296,F296)&lt;5,COUNTA(B296,C296,D296,E296,F296)&gt;0),"Pensez à renseigner toutes les cases de la ligne !",IF(COUNTA(B296)=1,IF(COUNTBLANK(B296)&gt;=1,"Ne laissez pas de lignes vides. Écrivez sur la ligne supérieure.",""),"")))&amp;IF(G296="Non renseigné","Veuillez sélectionner de nouveau le nom dans la colonne Espèce traitée","")</f>
        <v/>
      </c>
      <c r="L296" s="31" t="str">
        <f>IF(E296="","",INDEX(Données_ATB!BD$3:BU$600,MATCH(E296,Medicament,0),18))</f>
        <v/>
      </c>
      <c r="M296" s="31" t="str">
        <f t="shared" si="21"/>
        <v/>
      </c>
      <c r="N296" s="31" t="str">
        <f t="shared" si="18"/>
        <v/>
      </c>
      <c r="O296" s="31" t="str">
        <f t="shared" si="19"/>
        <v/>
      </c>
      <c r="P296" s="31" t="str">
        <f t="shared" si="20"/>
        <v/>
      </c>
    </row>
    <row r="297" spans="2:16" x14ac:dyDescent="0.3">
      <c r="B297" s="155"/>
      <c r="C297" s="156"/>
      <c r="D297" s="156"/>
      <c r="E297" s="156"/>
      <c r="F297" s="182"/>
      <c r="G297" s="72" t="str">
        <f>IF(C297="","",IFERROR(INDEX(G$19:$L294,MATCH(C297,L$19:L$28,0),1),"Non renseigné"))</f>
        <v/>
      </c>
      <c r="H297" s="190" t="str">
        <f>IFERROR(IF(E297="","",INDEX(Données_ATB!BD$3:BT$600,MATCH(E297,Medicament,0),17)),"Ce médicament n'est pas connu dans la base")</f>
        <v/>
      </c>
      <c r="I297" s="69" t="str">
        <f>IFERROR(IF(E297="","",INDEX(Données_ATB!BD$3:BL$600,MATCH(E297,Medicament,0),9)),"")</f>
        <v/>
      </c>
      <c r="J297" s="44" t="str">
        <f>IFERROR(IF(E297="","",INDEX(Données_ATB!BD$3:BP$5600,MATCH(E297,Medicament,0),13)),"")</f>
        <v/>
      </c>
      <c r="K297" s="161" t="str">
        <f>IF(COUNTIFS($B$31:B297,B297,$E$31:E297,E297,$C$31:C297,C297,$D$31:D297,D297)&gt;1,"DÉJÀ ENTRÉ",IF(AND(COUNTA(B297,C297,D297,E297,F297)&lt;5,COUNTA(B297,C297,D297,E297,F297)&gt;0),"Pensez à renseigner toutes les cases de la ligne !",IF(COUNTA(B297)=1,IF(COUNTBLANK(B297)&gt;=1,"Ne laissez pas de lignes vides. Écrivez sur la ligne supérieure.",""),"")))&amp;IF(G297="Non renseigné","Veuillez sélectionner de nouveau le nom dans la colonne Espèce traitée","")</f>
        <v/>
      </c>
      <c r="L297" s="31" t="str">
        <f>IF(E297="","",INDEX(Données_ATB!BD$3:BU$600,MATCH(E297,Medicament,0),18))</f>
        <v/>
      </c>
      <c r="M297" s="31" t="str">
        <f t="shared" si="21"/>
        <v/>
      </c>
      <c r="N297" s="31" t="str">
        <f t="shared" si="18"/>
        <v/>
      </c>
      <c r="O297" s="31" t="str">
        <f t="shared" si="19"/>
        <v/>
      </c>
      <c r="P297" s="31" t="str">
        <f t="shared" si="20"/>
        <v/>
      </c>
    </row>
    <row r="298" spans="2:16" x14ac:dyDescent="0.3">
      <c r="B298" s="155"/>
      <c r="C298" s="156"/>
      <c r="D298" s="156"/>
      <c r="E298" s="156"/>
      <c r="F298" s="182"/>
      <c r="G298" s="72" t="str">
        <f>IF(C298="","",IFERROR(INDEX(G$19:$L295,MATCH(C298,L$19:L$28,0),1),"Non renseigné"))</f>
        <v/>
      </c>
      <c r="H298" s="190" t="str">
        <f>IFERROR(IF(E298="","",INDEX(Données_ATB!BD$3:BT$600,MATCH(E298,Medicament,0),17)),"Ce médicament n'est pas connu dans la base")</f>
        <v/>
      </c>
      <c r="I298" s="69" t="str">
        <f>IFERROR(IF(E298="","",INDEX(Données_ATB!BD$3:BL$600,MATCH(E298,Medicament,0),9)),"")</f>
        <v/>
      </c>
      <c r="J298" s="44" t="str">
        <f>IFERROR(IF(E298="","",INDEX(Données_ATB!BD$3:BP$5600,MATCH(E298,Medicament,0),13)),"")</f>
        <v/>
      </c>
      <c r="K298" s="161" t="str">
        <f>IF(COUNTIFS($B$31:B298,B298,$E$31:E298,E298,$C$31:C298,C298,$D$31:D298,D298)&gt;1,"DÉJÀ ENTRÉ",IF(AND(COUNTA(B298,C298,D298,E298,F298)&lt;5,COUNTA(B298,C298,D298,E298,F298)&gt;0),"Pensez à renseigner toutes les cases de la ligne !",IF(COUNTA(B298)=1,IF(COUNTBLANK(B298)&gt;=1,"Ne laissez pas de lignes vides. Écrivez sur la ligne supérieure.",""),"")))&amp;IF(G298="Non renseigné","Veuillez sélectionner de nouveau le nom dans la colonne Espèce traitée","")</f>
        <v/>
      </c>
      <c r="L298" s="31" t="str">
        <f>IF(E298="","",INDEX(Données_ATB!BD$3:BU$600,MATCH(E298,Medicament,0),18))</f>
        <v/>
      </c>
      <c r="M298" s="31" t="str">
        <f t="shared" si="21"/>
        <v/>
      </c>
      <c r="N298" s="31" t="str">
        <f t="shared" si="18"/>
        <v/>
      </c>
      <c r="O298" s="31" t="str">
        <f t="shared" si="19"/>
        <v/>
      </c>
      <c r="P298" s="31" t="str">
        <f t="shared" si="20"/>
        <v/>
      </c>
    </row>
    <row r="299" spans="2:16" x14ac:dyDescent="0.3">
      <c r="B299" s="155"/>
      <c r="C299" s="156"/>
      <c r="D299" s="156"/>
      <c r="E299" s="156"/>
      <c r="F299" s="182"/>
      <c r="G299" s="72" t="str">
        <f>IF(C299="","",IFERROR(INDEX(G$19:$L296,MATCH(C299,L$19:L$28,0),1),"Non renseigné"))</f>
        <v/>
      </c>
      <c r="H299" s="190" t="str">
        <f>IFERROR(IF(E299="","",INDEX(Données_ATB!BD$3:BT$600,MATCH(E299,Medicament,0),17)),"Ce médicament n'est pas connu dans la base")</f>
        <v/>
      </c>
      <c r="I299" s="69" t="str">
        <f>IFERROR(IF(E299="","",INDEX(Données_ATB!BD$3:BL$600,MATCH(E299,Medicament,0),9)),"")</f>
        <v/>
      </c>
      <c r="J299" s="44" t="str">
        <f>IFERROR(IF(E299="","",INDEX(Données_ATB!BD$3:BP$5600,MATCH(E299,Medicament,0),13)),"")</f>
        <v/>
      </c>
      <c r="K299" s="161" t="str">
        <f>IF(COUNTIFS($B$31:B299,B299,$E$31:E299,E299,$C$31:C299,C299,$D$31:D299,D299)&gt;1,"DÉJÀ ENTRÉ",IF(AND(COUNTA(B299,C299,D299,E299,F299)&lt;5,COUNTA(B299,C299,D299,E299,F299)&gt;0),"Pensez à renseigner toutes les cases de la ligne !",IF(COUNTA(B299)=1,IF(COUNTBLANK(B299)&gt;=1,"Ne laissez pas de lignes vides. Écrivez sur la ligne supérieure.",""),"")))&amp;IF(G299="Non renseigné","Veuillez sélectionner de nouveau le nom dans la colonne Espèce traitée","")</f>
        <v/>
      </c>
      <c r="L299" s="31" t="str">
        <f>IF(E299="","",INDEX(Données_ATB!BD$3:BU$600,MATCH(E299,Medicament,0),18))</f>
        <v/>
      </c>
      <c r="M299" s="31" t="str">
        <f t="shared" si="21"/>
        <v/>
      </c>
      <c r="N299" s="31" t="str">
        <f t="shared" si="18"/>
        <v/>
      </c>
      <c r="O299" s="31" t="str">
        <f t="shared" si="19"/>
        <v/>
      </c>
      <c r="P299" s="31" t="str">
        <f t="shared" si="20"/>
        <v/>
      </c>
    </row>
    <row r="300" spans="2:16" x14ac:dyDescent="0.3">
      <c r="B300" s="155"/>
      <c r="C300" s="156"/>
      <c r="D300" s="156"/>
      <c r="E300" s="156"/>
      <c r="F300" s="182"/>
      <c r="G300" s="72" t="str">
        <f>IF(C300="","",IFERROR(INDEX(G$19:$L297,MATCH(C300,L$19:L$28,0),1),"Non renseigné"))</f>
        <v/>
      </c>
      <c r="H300" s="190" t="str">
        <f>IFERROR(IF(E300="","",INDEX(Données_ATB!BD$3:BT$600,MATCH(E300,Medicament,0),17)),"Ce médicament n'est pas connu dans la base")</f>
        <v/>
      </c>
      <c r="I300" s="69" t="str">
        <f>IFERROR(IF(E300="","",INDEX(Données_ATB!BD$3:BL$600,MATCH(E300,Medicament,0),9)),"")</f>
        <v/>
      </c>
      <c r="J300" s="44" t="str">
        <f>IFERROR(IF(E300="","",INDEX(Données_ATB!BD$3:BP$5600,MATCH(E300,Medicament,0),13)),"")</f>
        <v/>
      </c>
      <c r="K300" s="161" t="str">
        <f>IF(COUNTIFS($B$31:B300,B300,$E$31:E300,E300,$C$31:C300,C300,$D$31:D300,D300)&gt;1,"DÉJÀ ENTRÉ",IF(AND(COUNTA(B300,C300,D300,E300,F300)&lt;5,COUNTA(B300,C300,D300,E300,F300)&gt;0),"Pensez à renseigner toutes les cases de la ligne !",IF(COUNTA(B300)=1,IF(COUNTBLANK(B300)&gt;=1,"Ne laissez pas de lignes vides. Écrivez sur la ligne supérieure.",""),"")))&amp;IF(G300="Non renseigné","Veuillez sélectionner de nouveau le nom dans la colonne Espèce traitée","")</f>
        <v/>
      </c>
      <c r="L300" s="31" t="str">
        <f>IF(E300="","",INDEX(Données_ATB!BD$3:BU$600,MATCH(E300,Medicament,0),18))</f>
        <v/>
      </c>
      <c r="M300" s="31" t="str">
        <f t="shared" si="21"/>
        <v/>
      </c>
      <c r="N300" s="31" t="str">
        <f t="shared" si="18"/>
        <v/>
      </c>
      <c r="O300" s="31" t="str">
        <f t="shared" si="19"/>
        <v/>
      </c>
      <c r="P300" s="31" t="str">
        <f t="shared" si="20"/>
        <v/>
      </c>
    </row>
    <row r="301" spans="2:16" x14ac:dyDescent="0.3">
      <c r="B301" s="155"/>
      <c r="C301" s="156"/>
      <c r="D301" s="156"/>
      <c r="E301" s="156"/>
      <c r="F301" s="182"/>
      <c r="G301" s="72" t="str">
        <f>IF(C301="","",IFERROR(INDEX(G$19:$L298,MATCH(C301,L$19:L$28,0),1),"Non renseigné"))</f>
        <v/>
      </c>
      <c r="H301" s="190" t="str">
        <f>IFERROR(IF(E301="","",INDEX(Données_ATB!BD$3:BT$600,MATCH(E301,Medicament,0),17)),"Ce médicament n'est pas connu dans la base")</f>
        <v/>
      </c>
      <c r="I301" s="69" t="str">
        <f>IFERROR(IF(E301="","",INDEX(Données_ATB!BD$3:BL$600,MATCH(E301,Medicament,0),9)),"")</f>
        <v/>
      </c>
      <c r="J301" s="44" t="str">
        <f>IFERROR(IF(E301="","",INDEX(Données_ATB!BD$3:BP$5600,MATCH(E301,Medicament,0),13)),"")</f>
        <v/>
      </c>
      <c r="K301" s="161" t="str">
        <f>IF(COUNTIFS($B$31:B301,B301,$E$31:E301,E301,$C$31:C301,C301,$D$31:D301,D301)&gt;1,"DÉJÀ ENTRÉ",IF(AND(COUNTA(B301,C301,D301,E301,F301)&lt;5,COUNTA(B301,C301,D301,E301,F301)&gt;0),"Pensez à renseigner toutes les cases de la ligne !",IF(COUNTA(B301)=1,IF(COUNTBLANK(B301)&gt;=1,"Ne laissez pas de lignes vides. Écrivez sur la ligne supérieure.",""),"")))&amp;IF(G301="Non renseigné","Veuillez sélectionner de nouveau le nom dans la colonne Espèce traitée","")</f>
        <v/>
      </c>
      <c r="L301" s="31" t="str">
        <f>IF(E301="","",INDEX(Données_ATB!BD$3:BU$600,MATCH(E301,Medicament,0),18))</f>
        <v/>
      </c>
      <c r="M301" s="31" t="str">
        <f t="shared" si="21"/>
        <v/>
      </c>
      <c r="N301" s="31" t="str">
        <f t="shared" si="18"/>
        <v/>
      </c>
      <c r="O301" s="31" t="str">
        <f t="shared" si="19"/>
        <v/>
      </c>
      <c r="P301" s="31" t="str">
        <f t="shared" si="20"/>
        <v/>
      </c>
    </row>
    <row r="302" spans="2:16" x14ac:dyDescent="0.3">
      <c r="B302" s="155"/>
      <c r="C302" s="156"/>
      <c r="D302" s="156"/>
      <c r="E302" s="156"/>
      <c r="F302" s="182"/>
      <c r="G302" s="72" t="str">
        <f>IF(C302="","",IFERROR(INDEX(G$19:$L299,MATCH(C302,L$19:L$28,0),1),"Non renseigné"))</f>
        <v/>
      </c>
      <c r="H302" s="190" t="str">
        <f>IFERROR(IF(E302="","",INDEX(Données_ATB!BD$3:BT$600,MATCH(E302,Medicament,0),17)),"Ce médicament n'est pas connu dans la base")</f>
        <v/>
      </c>
      <c r="I302" s="69" t="str">
        <f>IFERROR(IF(E302="","",INDEX(Données_ATB!BD$3:BL$600,MATCH(E302,Medicament,0),9)),"")</f>
        <v/>
      </c>
      <c r="J302" s="44" t="str">
        <f>IFERROR(IF(E302="","",INDEX(Données_ATB!BD$3:BP$5600,MATCH(E302,Medicament,0),13)),"")</f>
        <v/>
      </c>
      <c r="K302" s="161" t="str">
        <f>IF(COUNTIFS($B$31:B302,B302,$E$31:E302,E302,$C$31:C302,C302,$D$31:D302,D302)&gt;1,"DÉJÀ ENTRÉ",IF(AND(COUNTA(B302,C302,D302,E302,F302)&lt;5,COUNTA(B302,C302,D302,E302,F302)&gt;0),"Pensez à renseigner toutes les cases de la ligne !",IF(COUNTA(B302)=1,IF(COUNTBLANK(B302)&gt;=1,"Ne laissez pas de lignes vides. Écrivez sur la ligne supérieure.",""),"")))&amp;IF(G302="Non renseigné","Veuillez sélectionner de nouveau le nom dans la colonne Espèce traitée","")</f>
        <v/>
      </c>
      <c r="L302" s="31" t="str">
        <f>IF(E302="","",INDEX(Données_ATB!BD$3:BU$600,MATCH(E302,Medicament,0),18))</f>
        <v/>
      </c>
      <c r="M302" s="31" t="str">
        <f t="shared" si="21"/>
        <v/>
      </c>
      <c r="N302" s="31" t="str">
        <f t="shared" si="18"/>
        <v/>
      </c>
      <c r="O302" s="31" t="str">
        <f t="shared" si="19"/>
        <v/>
      </c>
      <c r="P302" s="31" t="str">
        <f t="shared" si="20"/>
        <v/>
      </c>
    </row>
    <row r="303" spans="2:16" x14ac:dyDescent="0.3">
      <c r="B303" s="155"/>
      <c r="C303" s="156"/>
      <c r="D303" s="156"/>
      <c r="E303" s="156"/>
      <c r="F303" s="182"/>
      <c r="G303" s="72" t="str">
        <f>IF(C303="","",IFERROR(INDEX(G$19:$L300,MATCH(C303,L$19:L$28,0),1),"Non renseigné"))</f>
        <v/>
      </c>
      <c r="H303" s="190" t="str">
        <f>IFERROR(IF(E303="","",INDEX(Données_ATB!BD$3:BT$600,MATCH(E303,Medicament,0),17)),"Ce médicament n'est pas connu dans la base")</f>
        <v/>
      </c>
      <c r="I303" s="69" t="str">
        <f>IFERROR(IF(E303="","",INDEX(Données_ATB!BD$3:BL$600,MATCH(E303,Medicament,0),9)),"")</f>
        <v/>
      </c>
      <c r="J303" s="44" t="str">
        <f>IFERROR(IF(E303="","",INDEX(Données_ATB!BD$3:BP$5600,MATCH(E303,Medicament,0),13)),"")</f>
        <v/>
      </c>
      <c r="K303" s="161" t="str">
        <f>IF(COUNTIFS($B$31:B303,B303,$E$31:E303,E303,$C$31:C303,C303,$D$31:D303,D303)&gt;1,"DÉJÀ ENTRÉ",IF(AND(COUNTA(B303,C303,D303,E303,F303)&lt;5,COUNTA(B303,C303,D303,E303,F303)&gt;0),"Pensez à renseigner toutes les cases de la ligne !",IF(COUNTA(B303)=1,IF(COUNTBLANK(B303)&gt;=1,"Ne laissez pas de lignes vides. Écrivez sur la ligne supérieure.",""),"")))&amp;IF(G303="Non renseigné","Veuillez sélectionner de nouveau le nom dans la colonne Espèce traitée","")</f>
        <v/>
      </c>
      <c r="L303" s="31" t="str">
        <f>IF(E303="","",INDEX(Données_ATB!BD$3:BU$600,MATCH(E303,Medicament,0),18))</f>
        <v/>
      </c>
      <c r="M303" s="31" t="str">
        <f t="shared" si="21"/>
        <v/>
      </c>
      <c r="N303" s="31" t="str">
        <f t="shared" si="18"/>
        <v/>
      </c>
      <c r="O303" s="31" t="str">
        <f t="shared" si="19"/>
        <v/>
      </c>
      <c r="P303" s="31" t="str">
        <f t="shared" si="20"/>
        <v/>
      </c>
    </row>
    <row r="304" spans="2:16" ht="20.25" customHeight="1" x14ac:dyDescent="0.3">
      <c r="B304" s="155"/>
      <c r="C304" s="156"/>
      <c r="D304" s="156"/>
      <c r="E304" s="156"/>
      <c r="F304" s="182"/>
      <c r="G304" s="72" t="str">
        <f>IF(C304="","",IFERROR(INDEX(G$19:$L301,MATCH(C304,L$19:L$28,0),1),"Non renseigné"))</f>
        <v/>
      </c>
      <c r="H304" s="190" t="str">
        <f>IFERROR(IF(E304="","",INDEX(Données_ATB!BD$3:BT$600,MATCH(E304,Medicament,0),17)),"Ce médicament n'est pas connu dans la base")</f>
        <v/>
      </c>
      <c r="I304" s="69" t="str">
        <f>IFERROR(IF(E304="","",INDEX(Données_ATB!BD$3:BL$600,MATCH(E304,Medicament,0),9)),"")</f>
        <v/>
      </c>
      <c r="J304" s="44" t="str">
        <f>IFERROR(IF(E304="","",INDEX(Données_ATB!BD$3:BP$5600,MATCH(E304,Medicament,0),13)),"")</f>
        <v/>
      </c>
      <c r="K304" s="161" t="str">
        <f>IF(COUNTIFS($B$31:B304,B304,$E$31:E304,E304,$C$31:C304,C304,$D$31:D304,D304)&gt;1,"DÉJÀ ENTRÉ",IF(AND(COUNTA(B304,C304,D304,E304,F304)&lt;5,COUNTA(B304,C304,D304,E304,F304)&gt;0),"Pensez à renseigner toutes les cases de la ligne !",IF(COUNTA(B304)=1,IF(COUNTBLANK(B304)&gt;=1,"Ne laissez pas de lignes vides. Écrivez sur la ligne supérieure.",""),"")))&amp;IF(G304="Non renseigné","Veuillez sélectionner de nouveau le nom dans la colonne Espèce traitée","")</f>
        <v/>
      </c>
      <c r="L304" s="31" t="str">
        <f>IF(E304="","",INDEX(Données_ATB!BD$3:BU$600,MATCH(E304,Medicament,0),18))</f>
        <v/>
      </c>
      <c r="M304" s="31" t="str">
        <f t="shared" si="21"/>
        <v/>
      </c>
      <c r="N304" s="31" t="str">
        <f t="shared" si="18"/>
        <v/>
      </c>
      <c r="O304" s="31" t="str">
        <f t="shared" si="19"/>
        <v/>
      </c>
      <c r="P304" s="31" t="str">
        <f t="shared" si="20"/>
        <v/>
      </c>
    </row>
    <row r="305" spans="2:16" x14ac:dyDescent="0.3">
      <c r="B305" s="155"/>
      <c r="C305" s="156"/>
      <c r="D305" s="156"/>
      <c r="E305" s="156"/>
      <c r="F305" s="182"/>
      <c r="G305" s="72" t="str">
        <f>IF(C305="","",IFERROR(INDEX(G$19:$L302,MATCH(C305,L$19:L$28,0),1),"Non renseigné"))</f>
        <v/>
      </c>
      <c r="H305" s="190" t="str">
        <f>IFERROR(IF(E305="","",INDEX(Données_ATB!BD$3:BT$600,MATCH(E305,Medicament,0),17)),"Ce médicament n'est pas connu dans la base")</f>
        <v/>
      </c>
      <c r="I305" s="69" t="str">
        <f>IFERROR(IF(E305="","",INDEX(Données_ATB!BD$3:BL$600,MATCH(E305,Medicament,0),9)),"")</f>
        <v/>
      </c>
      <c r="J305" s="44" t="str">
        <f>IFERROR(IF(E305="","",INDEX(Données_ATB!BD$3:BP$5600,MATCH(E305,Medicament,0),13)),"")</f>
        <v/>
      </c>
      <c r="K305" s="161" t="str">
        <f>IF(COUNTIFS($B$31:B305,B305,$E$31:E305,E305,$C$31:C305,C305,$D$31:D305,D305)&gt;1,"DÉJÀ ENTRÉ",IF(AND(COUNTA(B305,C305,D305,E305,F305)&lt;5,COUNTA(B305,C305,D305,E305,F305)&gt;0),"Pensez à renseigner toutes les cases de la ligne !",IF(COUNTA(B305)=1,IF(COUNTBLANK(B305)&gt;=1,"Ne laissez pas de lignes vides. Écrivez sur la ligne supérieure.",""),"")))&amp;IF(G305="Non renseigné","Veuillez sélectionner de nouveau le nom dans la colonne Espèce traitée","")</f>
        <v/>
      </c>
      <c r="L305" s="31" t="str">
        <f>IF(E305="","",INDEX(Données_ATB!BD$3:BU$600,MATCH(E305,Medicament,0),18))</f>
        <v/>
      </c>
      <c r="M305" s="31" t="str">
        <f t="shared" si="21"/>
        <v/>
      </c>
      <c r="N305" s="31" t="str">
        <f t="shared" si="18"/>
        <v/>
      </c>
      <c r="O305" s="31" t="str">
        <f t="shared" si="19"/>
        <v/>
      </c>
      <c r="P305" s="31" t="str">
        <f t="shared" si="20"/>
        <v/>
      </c>
    </row>
    <row r="306" spans="2:16" x14ac:dyDescent="0.3">
      <c r="B306" s="155"/>
      <c r="C306" s="156"/>
      <c r="D306" s="156"/>
      <c r="E306" s="156"/>
      <c r="F306" s="182"/>
      <c r="G306" s="72" t="str">
        <f>IF(C306="","",IFERROR(INDEX(G$19:$L303,MATCH(C306,L$19:L$28,0),1),"Non renseigné"))</f>
        <v/>
      </c>
      <c r="H306" s="190" t="str">
        <f>IFERROR(IF(E306="","",INDEX(Données_ATB!BD$3:BT$600,MATCH(E306,Medicament,0),17)),"Ce médicament n'est pas connu dans la base")</f>
        <v/>
      </c>
      <c r="I306" s="69" t="str">
        <f>IFERROR(IF(E306="","",INDEX(Données_ATB!BD$3:BL$600,MATCH(E306,Medicament,0),9)),"")</f>
        <v/>
      </c>
      <c r="J306" s="44" t="str">
        <f>IFERROR(IF(E306="","",INDEX(Données_ATB!BD$3:BP$5600,MATCH(E306,Medicament,0),13)),"")</f>
        <v/>
      </c>
      <c r="K306" s="161" t="str">
        <f>IF(COUNTIFS($B$31:B306,B306,$E$31:E306,E306,$C$31:C306,C306,$D$31:D306,D306)&gt;1,"DÉJÀ ENTRÉ",IF(AND(COUNTA(B306,C306,D306,E306,F306)&lt;5,COUNTA(B306,C306,D306,E306,F306)&gt;0),"Pensez à renseigner toutes les cases de la ligne !",IF(COUNTA(B306)=1,IF(COUNTBLANK(B306)&gt;=1,"Ne laissez pas de lignes vides. Écrivez sur la ligne supérieure.",""),"")))&amp;IF(G306="Non renseigné","Veuillez sélectionner de nouveau le nom dans la colonne Espèce traitée","")</f>
        <v/>
      </c>
      <c r="L306" s="31" t="str">
        <f>IF(E306="","",INDEX(Données_ATB!BD$3:BU$600,MATCH(E306,Medicament,0),18))</f>
        <v/>
      </c>
      <c r="M306" s="31" t="str">
        <f t="shared" si="21"/>
        <v/>
      </c>
      <c r="N306" s="31" t="str">
        <f t="shared" ref="N306:N369" si="22">IF(E306="","",INDEX(C$19:L$28,MATCH(C306,L$19:L$28,0),1))</f>
        <v/>
      </c>
      <c r="O306" s="31" t="str">
        <f t="shared" ref="O306:O369" si="23">IF(E306="","",INDEX(C$19:L$28,MATCH(C306,L$19:L$28,0),2))</f>
        <v/>
      </c>
      <c r="P306" s="31" t="str">
        <f t="shared" ref="P306:P369" si="24">IF(E306="","",INDEX(C$19:L$28,MATCH(C306,L$19:L$28,0),3))</f>
        <v/>
      </c>
    </row>
    <row r="307" spans="2:16" x14ac:dyDescent="0.3">
      <c r="B307" s="155"/>
      <c r="C307" s="156"/>
      <c r="D307" s="156"/>
      <c r="E307" s="156"/>
      <c r="F307" s="182"/>
      <c r="G307" s="72" t="str">
        <f>IF(C307="","",IFERROR(INDEX(G$19:$L304,MATCH(C307,L$19:L$28,0),1),"Non renseigné"))</f>
        <v/>
      </c>
      <c r="H307" s="190" t="str">
        <f>IFERROR(IF(E307="","",INDEX(Données_ATB!BD$3:BT$600,MATCH(E307,Medicament,0),17)),"Ce médicament n'est pas connu dans la base")</f>
        <v/>
      </c>
      <c r="I307" s="69" t="str">
        <f>IFERROR(IF(E307="","",INDEX(Données_ATB!BD$3:BL$600,MATCH(E307,Medicament,0),9)),"")</f>
        <v/>
      </c>
      <c r="J307" s="44" t="str">
        <f>IFERROR(IF(E307="","",INDEX(Données_ATB!BD$3:BP$5600,MATCH(E307,Medicament,0),13)),"")</f>
        <v/>
      </c>
      <c r="K307" s="161" t="str">
        <f>IF(COUNTIFS($B$31:B307,B307,$E$31:E307,E307,$C$31:C307,C307,$D$31:D307,D307)&gt;1,"DÉJÀ ENTRÉ",IF(AND(COUNTA(B307,C307,D307,E307,F307)&lt;5,COUNTA(B307,C307,D307,E307,F307)&gt;0),"Pensez à renseigner toutes les cases de la ligne !",IF(COUNTA(B307)=1,IF(COUNTBLANK(B307)&gt;=1,"Ne laissez pas de lignes vides. Écrivez sur la ligne supérieure.",""),"")))&amp;IF(G307="Non renseigné","Veuillez sélectionner de nouveau le nom dans la colonne Espèce traitée","")</f>
        <v/>
      </c>
      <c r="L307" s="31" t="str">
        <f>IF(E307="","",INDEX(Données_ATB!BD$3:BU$600,MATCH(E307,Medicament,0),18))</f>
        <v/>
      </c>
      <c r="M307" s="31" t="str">
        <f t="shared" si="21"/>
        <v/>
      </c>
      <c r="N307" s="31" t="str">
        <f t="shared" si="22"/>
        <v/>
      </c>
      <c r="O307" s="31" t="str">
        <f t="shared" si="23"/>
        <v/>
      </c>
      <c r="P307" s="31" t="str">
        <f t="shared" si="24"/>
        <v/>
      </c>
    </row>
    <row r="308" spans="2:16" x14ac:dyDescent="0.3">
      <c r="B308" s="155"/>
      <c r="C308" s="156"/>
      <c r="D308" s="156"/>
      <c r="E308" s="156"/>
      <c r="F308" s="182"/>
      <c r="G308" s="72" t="str">
        <f>IF(C308="","",IFERROR(INDEX(G$19:$L305,MATCH(C308,L$19:L$28,0),1),"Non renseigné"))</f>
        <v/>
      </c>
      <c r="H308" s="190" t="str">
        <f>IFERROR(IF(E308="","",INDEX(Données_ATB!BD$3:BT$600,MATCH(E308,Medicament,0),17)),"Ce médicament n'est pas connu dans la base")</f>
        <v/>
      </c>
      <c r="I308" s="69" t="str">
        <f>IFERROR(IF(E308="","",INDEX(Données_ATB!BD$3:BL$600,MATCH(E308,Medicament,0),9)),"")</f>
        <v/>
      </c>
      <c r="J308" s="44" t="str">
        <f>IFERROR(IF(E308="","",INDEX(Données_ATB!BD$3:BP$5600,MATCH(E308,Medicament,0),13)),"")</f>
        <v/>
      </c>
      <c r="K308" s="161" t="str">
        <f>IF(COUNTIFS($B$31:B308,B308,$E$31:E308,E308,$C$31:C308,C308,$D$31:D308,D308)&gt;1,"DÉJÀ ENTRÉ",IF(AND(COUNTA(B308,C308,D308,E308,F308)&lt;5,COUNTA(B308,C308,D308,E308,F308)&gt;0),"Pensez à renseigner toutes les cases de la ligne !",IF(COUNTA(B308)=1,IF(COUNTBLANK(B308)&gt;=1,"Ne laissez pas de lignes vides. Écrivez sur la ligne supérieure.",""),"")))&amp;IF(G308="Non renseigné","Veuillez sélectionner de nouveau le nom dans la colonne Espèce traitée","")</f>
        <v/>
      </c>
      <c r="L308" s="31" t="str">
        <f>IF(E308="","",INDEX(Données_ATB!BD$3:BU$600,MATCH(E308,Medicament,0),18))</f>
        <v/>
      </c>
      <c r="M308" s="31" t="str">
        <f t="shared" si="21"/>
        <v/>
      </c>
      <c r="N308" s="31" t="str">
        <f t="shared" si="22"/>
        <v/>
      </c>
      <c r="O308" s="31" t="str">
        <f t="shared" si="23"/>
        <v/>
      </c>
      <c r="P308" s="31" t="str">
        <f t="shared" si="24"/>
        <v/>
      </c>
    </row>
    <row r="309" spans="2:16" x14ac:dyDescent="0.3">
      <c r="B309" s="155"/>
      <c r="C309" s="156"/>
      <c r="D309" s="156"/>
      <c r="E309" s="156"/>
      <c r="F309" s="182"/>
      <c r="G309" s="72" t="str">
        <f>IF(C309="","",IFERROR(INDEX(G$19:$L306,MATCH(C309,L$19:L$28,0),1),"Non renseigné"))</f>
        <v/>
      </c>
      <c r="H309" s="190" t="str">
        <f>IFERROR(IF(E309="","",INDEX(Données_ATB!BD$3:BT$600,MATCH(E309,Medicament,0),17)),"Ce médicament n'est pas connu dans la base")</f>
        <v/>
      </c>
      <c r="I309" s="69" t="str">
        <f>IFERROR(IF(E309="","",INDEX(Données_ATB!BD$3:BL$600,MATCH(E309,Medicament,0),9)),"")</f>
        <v/>
      </c>
      <c r="J309" s="44" t="str">
        <f>IFERROR(IF(E309="","",INDEX(Données_ATB!BD$3:BP$5600,MATCH(E309,Medicament,0),13)),"")</f>
        <v/>
      </c>
      <c r="K309" s="161" t="str">
        <f>IF(COUNTIFS($B$31:B309,B309,$E$31:E309,E309,$C$31:C309,C309,$D$31:D309,D309)&gt;1,"DÉJÀ ENTRÉ",IF(AND(COUNTA(B309,C309,D309,E309,F309)&lt;5,COUNTA(B309,C309,D309,E309,F309)&gt;0),"Pensez à renseigner toutes les cases de la ligne !",IF(COUNTA(B309)=1,IF(COUNTBLANK(B309)&gt;=1,"Ne laissez pas de lignes vides. Écrivez sur la ligne supérieure.",""),"")))&amp;IF(G309="Non renseigné","Veuillez sélectionner de nouveau le nom dans la colonne Espèce traitée","")</f>
        <v/>
      </c>
      <c r="L309" s="31" t="str">
        <f>IF(E309="","",INDEX(Données_ATB!BD$3:BU$600,MATCH(E309,Medicament,0),18))</f>
        <v/>
      </c>
      <c r="M309" s="31" t="str">
        <f t="shared" si="21"/>
        <v/>
      </c>
      <c r="N309" s="31" t="str">
        <f t="shared" si="22"/>
        <v/>
      </c>
      <c r="O309" s="31" t="str">
        <f t="shared" si="23"/>
        <v/>
      </c>
      <c r="P309" s="31" t="str">
        <f t="shared" si="24"/>
        <v/>
      </c>
    </row>
    <row r="310" spans="2:16" x14ac:dyDescent="0.3">
      <c r="B310" s="155"/>
      <c r="C310" s="156"/>
      <c r="D310" s="156"/>
      <c r="E310" s="156"/>
      <c r="F310" s="182"/>
      <c r="G310" s="72" t="str">
        <f>IF(C310="","",IFERROR(INDEX(G$19:$L307,MATCH(C310,L$19:L$28,0),1),"Non renseigné"))</f>
        <v/>
      </c>
      <c r="H310" s="190" t="str">
        <f>IFERROR(IF(E310="","",INDEX(Données_ATB!BD$3:BT$600,MATCH(E310,Medicament,0),17)),"Ce médicament n'est pas connu dans la base")</f>
        <v/>
      </c>
      <c r="I310" s="69" t="str">
        <f>IFERROR(IF(E310="","",INDEX(Données_ATB!BD$3:BL$600,MATCH(E310,Medicament,0),9)),"")</f>
        <v/>
      </c>
      <c r="J310" s="44" t="str">
        <f>IFERROR(IF(E310="","",INDEX(Données_ATB!BD$3:BP$5600,MATCH(E310,Medicament,0),13)),"")</f>
        <v/>
      </c>
      <c r="K310" s="161" t="str">
        <f>IF(COUNTIFS($B$31:B310,B310,$E$31:E310,E310,$C$31:C310,C310,$D$31:D310,D310)&gt;1,"DÉJÀ ENTRÉ",IF(AND(COUNTA(B310,C310,D310,E310,F310)&lt;5,COUNTA(B310,C310,D310,E310,F310)&gt;0),"Pensez à renseigner toutes les cases de la ligne !",IF(COUNTA(B310)=1,IF(COUNTBLANK(B310)&gt;=1,"Ne laissez pas de lignes vides. Écrivez sur la ligne supérieure.",""),"")))&amp;IF(G310="Non renseigné","Veuillez sélectionner de nouveau le nom dans la colonne Espèce traitée","")</f>
        <v/>
      </c>
      <c r="L310" s="31" t="str">
        <f>IF(E310="","",INDEX(Données_ATB!BD$3:BU$600,MATCH(E310,Medicament,0),18))</f>
        <v/>
      </c>
      <c r="M310" s="31" t="str">
        <f t="shared" si="21"/>
        <v/>
      </c>
      <c r="N310" s="31" t="str">
        <f t="shared" si="22"/>
        <v/>
      </c>
      <c r="O310" s="31" t="str">
        <f t="shared" si="23"/>
        <v/>
      </c>
      <c r="P310" s="31" t="str">
        <f t="shared" si="24"/>
        <v/>
      </c>
    </row>
    <row r="311" spans="2:16" x14ac:dyDescent="0.3">
      <c r="B311" s="155"/>
      <c r="C311" s="156"/>
      <c r="D311" s="156"/>
      <c r="E311" s="156"/>
      <c r="F311" s="182"/>
      <c r="G311" s="72" t="str">
        <f>IF(C311="","",IFERROR(INDEX(G$19:$L308,MATCH(C311,L$19:L$28,0),1),"Non renseigné"))</f>
        <v/>
      </c>
      <c r="H311" s="190" t="str">
        <f>IFERROR(IF(E311="","",INDEX(Données_ATB!BD$3:BT$600,MATCH(E311,Medicament,0),17)),"Ce médicament n'est pas connu dans la base")</f>
        <v/>
      </c>
      <c r="I311" s="69" t="str">
        <f>IFERROR(IF(E311="","",INDEX(Données_ATB!BD$3:BL$600,MATCH(E311,Medicament,0),9)),"")</f>
        <v/>
      </c>
      <c r="J311" s="44" t="str">
        <f>IFERROR(IF(E311="","",INDEX(Données_ATB!BD$3:BP$5600,MATCH(E311,Medicament,0),13)),"")</f>
        <v/>
      </c>
      <c r="K311" s="161" t="str">
        <f>IF(COUNTIFS($B$31:B311,B311,$E$31:E311,E311,$C$31:C311,C311,$D$31:D311,D311)&gt;1,"DÉJÀ ENTRÉ",IF(AND(COUNTA(B311,C311,D311,E311,F311)&lt;5,COUNTA(B311,C311,D311,E311,F311)&gt;0),"Pensez à renseigner toutes les cases de la ligne !",IF(COUNTA(B311)=1,IF(COUNTBLANK(B311)&gt;=1,"Ne laissez pas de lignes vides. Écrivez sur la ligne supérieure.",""),"")))&amp;IF(G311="Non renseigné","Veuillez sélectionner de nouveau le nom dans la colonne Espèce traitée","")</f>
        <v/>
      </c>
      <c r="L311" s="31" t="str">
        <f>IF(E311="","",INDEX(Données_ATB!BD$3:BU$600,MATCH(E311,Medicament,0),18))</f>
        <v/>
      </c>
      <c r="M311" s="31" t="str">
        <f t="shared" si="21"/>
        <v/>
      </c>
      <c r="N311" s="31" t="str">
        <f t="shared" si="22"/>
        <v/>
      </c>
      <c r="O311" s="31" t="str">
        <f t="shared" si="23"/>
        <v/>
      </c>
      <c r="P311" s="31" t="str">
        <f t="shared" si="24"/>
        <v/>
      </c>
    </row>
    <row r="312" spans="2:16" x14ac:dyDescent="0.3">
      <c r="B312" s="155"/>
      <c r="C312" s="156"/>
      <c r="D312" s="156"/>
      <c r="E312" s="156"/>
      <c r="F312" s="182"/>
      <c r="G312" s="72" t="str">
        <f>IF(C312="","",IFERROR(INDEX(G$19:$L309,MATCH(C312,L$19:L$28,0),1),"Non renseigné"))</f>
        <v/>
      </c>
      <c r="H312" s="190" t="str">
        <f>IFERROR(IF(E312="","",INDEX(Données_ATB!BD$3:BT$600,MATCH(E312,Medicament,0),17)),"Ce médicament n'est pas connu dans la base")</f>
        <v/>
      </c>
      <c r="I312" s="69" t="str">
        <f>IFERROR(IF(E312="","",INDEX(Données_ATB!BD$3:BL$600,MATCH(E312,Medicament,0),9)),"")</f>
        <v/>
      </c>
      <c r="J312" s="44" t="str">
        <f>IFERROR(IF(E312="","",INDEX(Données_ATB!BD$3:BP$5600,MATCH(E312,Medicament,0),13)),"")</f>
        <v/>
      </c>
      <c r="K312" s="161" t="str">
        <f>IF(COUNTIFS($B$31:B312,B312,$E$31:E312,E312,$C$31:C312,C312,$D$31:D312,D312)&gt;1,"DÉJÀ ENTRÉ",IF(AND(COUNTA(B312,C312,D312,E312,F312)&lt;5,COUNTA(B312,C312,D312,E312,F312)&gt;0),"Pensez à renseigner toutes les cases de la ligne !",IF(COUNTA(B312)=1,IF(COUNTBLANK(B312)&gt;=1,"Ne laissez pas de lignes vides. Écrivez sur la ligne supérieure.",""),"")))&amp;IF(G312="Non renseigné","Veuillez sélectionner de nouveau le nom dans la colonne Espèce traitée","")</f>
        <v/>
      </c>
      <c r="L312" s="31" t="str">
        <f>IF(E312="","",INDEX(Données_ATB!BD$3:BU$600,MATCH(E312,Medicament,0),18))</f>
        <v/>
      </c>
      <c r="M312" s="31" t="str">
        <f t="shared" si="21"/>
        <v/>
      </c>
      <c r="N312" s="31" t="str">
        <f t="shared" si="22"/>
        <v/>
      </c>
      <c r="O312" s="31" t="str">
        <f t="shared" si="23"/>
        <v/>
      </c>
      <c r="P312" s="31" t="str">
        <f t="shared" si="24"/>
        <v/>
      </c>
    </row>
    <row r="313" spans="2:16" x14ac:dyDescent="0.3">
      <c r="B313" s="155"/>
      <c r="C313" s="156"/>
      <c r="D313" s="156"/>
      <c r="E313" s="156"/>
      <c r="F313" s="182"/>
      <c r="G313" s="72" t="str">
        <f>IF(C313="","",IFERROR(INDEX(G$19:$L310,MATCH(C313,L$19:L$28,0),1),"Non renseigné"))</f>
        <v/>
      </c>
      <c r="H313" s="190" t="str">
        <f>IFERROR(IF(E313="","",INDEX(Données_ATB!BD$3:BT$600,MATCH(E313,Medicament,0),17)),"Ce médicament n'est pas connu dans la base")</f>
        <v/>
      </c>
      <c r="I313" s="69" t="str">
        <f>IFERROR(IF(E313="","",INDEX(Données_ATB!BD$3:BL$600,MATCH(E313,Medicament,0),9)),"")</f>
        <v/>
      </c>
      <c r="J313" s="44" t="str">
        <f>IFERROR(IF(E313="","",INDEX(Données_ATB!BD$3:BP$5600,MATCH(E313,Medicament,0),13)),"")</f>
        <v/>
      </c>
      <c r="K313" s="161" t="str">
        <f>IF(COUNTIFS($B$31:B313,B313,$E$31:E313,E313,$C$31:C313,C313,$D$31:D313,D313)&gt;1,"DÉJÀ ENTRÉ",IF(AND(COUNTA(B313,C313,D313,E313,F313)&lt;5,COUNTA(B313,C313,D313,E313,F313)&gt;0),"Pensez à renseigner toutes les cases de la ligne !",IF(COUNTA(B313)=1,IF(COUNTBLANK(B313)&gt;=1,"Ne laissez pas de lignes vides. Écrivez sur la ligne supérieure.",""),"")))&amp;IF(G313="Non renseigné","Veuillez sélectionner de nouveau le nom dans la colonne Espèce traitée","")</f>
        <v/>
      </c>
      <c r="L313" s="31" t="str">
        <f>IF(E313="","",INDEX(Données_ATB!BD$3:BU$600,MATCH(E313,Medicament,0),18))</f>
        <v/>
      </c>
      <c r="M313" s="31" t="str">
        <f t="shared" si="21"/>
        <v/>
      </c>
      <c r="N313" s="31" t="str">
        <f t="shared" si="22"/>
        <v/>
      </c>
      <c r="O313" s="31" t="str">
        <f t="shared" si="23"/>
        <v/>
      </c>
      <c r="P313" s="31" t="str">
        <f t="shared" si="24"/>
        <v/>
      </c>
    </row>
    <row r="314" spans="2:16" x14ac:dyDescent="0.3">
      <c r="B314" s="155"/>
      <c r="C314" s="156"/>
      <c r="D314" s="156"/>
      <c r="E314" s="156"/>
      <c r="F314" s="182"/>
      <c r="G314" s="72" t="str">
        <f>IF(C314="","",IFERROR(INDEX(G$19:$L311,MATCH(C314,L$19:L$28,0),1),"Non renseigné"))</f>
        <v/>
      </c>
      <c r="H314" s="190" t="str">
        <f>IFERROR(IF(E314="","",INDEX(Données_ATB!BD$3:BT$600,MATCH(E314,Medicament,0),17)),"Ce médicament n'est pas connu dans la base")</f>
        <v/>
      </c>
      <c r="I314" s="69" t="str">
        <f>IFERROR(IF(E314="","",INDEX(Données_ATB!BD$3:BL$600,MATCH(E314,Medicament,0),9)),"")</f>
        <v/>
      </c>
      <c r="J314" s="44" t="str">
        <f>IFERROR(IF(E314="","",INDEX(Données_ATB!BD$3:BP$5600,MATCH(E314,Medicament,0),13)),"")</f>
        <v/>
      </c>
      <c r="K314" s="161" t="str">
        <f>IF(COUNTIFS($B$31:B314,B314,$E$31:E314,E314,$C$31:C314,C314,$D$31:D314,D314)&gt;1,"DÉJÀ ENTRÉ",IF(AND(COUNTA(B314,C314,D314,E314,F314)&lt;5,COUNTA(B314,C314,D314,E314,F314)&gt;0),"Pensez à renseigner toutes les cases de la ligne !",IF(COUNTA(B314)=1,IF(COUNTBLANK(B314)&gt;=1,"Ne laissez pas de lignes vides. Écrivez sur la ligne supérieure.",""),"")))&amp;IF(G314="Non renseigné","Veuillez sélectionner de nouveau le nom dans la colonne Espèce traitée","")</f>
        <v/>
      </c>
      <c r="L314" s="31" t="str">
        <f>IF(E314="","",INDEX(Données_ATB!BD$3:BU$600,MATCH(E314,Medicament,0),18))</f>
        <v/>
      </c>
      <c r="M314" s="31" t="str">
        <f t="shared" si="21"/>
        <v/>
      </c>
      <c r="N314" s="31" t="str">
        <f t="shared" si="22"/>
        <v/>
      </c>
      <c r="O314" s="31" t="str">
        <f t="shared" si="23"/>
        <v/>
      </c>
      <c r="P314" s="31" t="str">
        <f t="shared" si="24"/>
        <v/>
      </c>
    </row>
    <row r="315" spans="2:16" x14ac:dyDescent="0.3">
      <c r="B315" s="155"/>
      <c r="C315" s="156"/>
      <c r="D315" s="156"/>
      <c r="E315" s="156"/>
      <c r="F315" s="182"/>
      <c r="G315" s="72" t="str">
        <f>IF(C315="","",IFERROR(INDEX(G$19:$L312,MATCH(C315,L$19:L$28,0),1),"Non renseigné"))</f>
        <v/>
      </c>
      <c r="H315" s="190" t="str">
        <f>IFERROR(IF(E315="","",INDEX(Données_ATB!BD$3:BT$600,MATCH(E315,Medicament,0),17)),"Ce médicament n'est pas connu dans la base")</f>
        <v/>
      </c>
      <c r="I315" s="69" t="str">
        <f>IFERROR(IF(E315="","",INDEX(Données_ATB!BD$3:BL$600,MATCH(E315,Medicament,0),9)),"")</f>
        <v/>
      </c>
      <c r="J315" s="44" t="str">
        <f>IFERROR(IF(E315="","",INDEX(Données_ATB!BD$3:BP$5600,MATCH(E315,Medicament,0),13)),"")</f>
        <v/>
      </c>
      <c r="K315" s="161" t="str">
        <f>IF(COUNTIFS($B$31:B315,B315,$E$31:E315,E315,$C$31:C315,C315,$D$31:D315,D315)&gt;1,"DÉJÀ ENTRÉ",IF(AND(COUNTA(B315,C315,D315,E315,F315)&lt;5,COUNTA(B315,C315,D315,E315,F315)&gt;0),"Pensez à renseigner toutes les cases de la ligne !",IF(COUNTA(B315)=1,IF(COUNTBLANK(B315)&gt;=1,"Ne laissez pas de lignes vides. Écrivez sur la ligne supérieure.",""),"")))&amp;IF(G315="Non renseigné","Veuillez sélectionner de nouveau le nom dans la colonne Espèce traitée","")</f>
        <v/>
      </c>
      <c r="L315" s="31" t="str">
        <f>IF(E315="","",INDEX(Données_ATB!BD$3:BU$600,MATCH(E315,Medicament,0),18))</f>
        <v/>
      </c>
      <c r="M315" s="31" t="str">
        <f t="shared" si="21"/>
        <v/>
      </c>
      <c r="N315" s="31" t="str">
        <f t="shared" si="22"/>
        <v/>
      </c>
      <c r="O315" s="31" t="str">
        <f t="shared" si="23"/>
        <v/>
      </c>
      <c r="P315" s="31" t="str">
        <f t="shared" si="24"/>
        <v/>
      </c>
    </row>
    <row r="316" spans="2:16" x14ac:dyDescent="0.3">
      <c r="B316" s="155"/>
      <c r="C316" s="156"/>
      <c r="D316" s="156"/>
      <c r="E316" s="156"/>
      <c r="F316" s="182"/>
      <c r="G316" s="72" t="str">
        <f>IF(C316="","",IFERROR(INDEX(G$19:$L313,MATCH(C316,L$19:L$28,0),1),"Non renseigné"))</f>
        <v/>
      </c>
      <c r="H316" s="190" t="str">
        <f>IFERROR(IF(E316="","",INDEX(Données_ATB!BD$3:BT$600,MATCH(E316,Medicament,0),17)),"Ce médicament n'est pas connu dans la base")</f>
        <v/>
      </c>
      <c r="I316" s="69" t="str">
        <f>IFERROR(IF(E316="","",INDEX(Données_ATB!BD$3:BL$600,MATCH(E316,Medicament,0),9)),"")</f>
        <v/>
      </c>
      <c r="J316" s="44" t="str">
        <f>IFERROR(IF(E316="","",INDEX(Données_ATB!BD$3:BP$5600,MATCH(E316,Medicament,0),13)),"")</f>
        <v/>
      </c>
      <c r="K316" s="161" t="str">
        <f>IF(COUNTIFS($B$31:B316,B316,$E$31:E316,E316,$C$31:C316,C316,$D$31:D316,D316)&gt;1,"DÉJÀ ENTRÉ",IF(AND(COUNTA(B316,C316,D316,E316,F316)&lt;5,COUNTA(B316,C316,D316,E316,F316)&gt;0),"Pensez à renseigner toutes les cases de la ligne !",IF(COUNTA(B316)=1,IF(COUNTBLANK(B316)&gt;=1,"Ne laissez pas de lignes vides. Écrivez sur la ligne supérieure.",""),"")))&amp;IF(G316="Non renseigné","Veuillez sélectionner de nouveau le nom dans la colonne Espèce traitée","")</f>
        <v/>
      </c>
      <c r="L316" s="31" t="str">
        <f>IF(E316="","",INDEX(Données_ATB!BD$3:BU$600,MATCH(E316,Medicament,0),18))</f>
        <v/>
      </c>
      <c r="M316" s="31" t="str">
        <f t="shared" si="21"/>
        <v/>
      </c>
      <c r="N316" s="31" t="str">
        <f t="shared" si="22"/>
        <v/>
      </c>
      <c r="O316" s="31" t="str">
        <f t="shared" si="23"/>
        <v/>
      </c>
      <c r="P316" s="31" t="str">
        <f t="shared" si="24"/>
        <v/>
      </c>
    </row>
    <row r="317" spans="2:16" x14ac:dyDescent="0.3">
      <c r="B317" s="155"/>
      <c r="C317" s="156"/>
      <c r="D317" s="156"/>
      <c r="E317" s="156"/>
      <c r="F317" s="182"/>
      <c r="G317" s="72" t="str">
        <f>IF(C317="","",IFERROR(INDEX(G$19:$L314,MATCH(C317,L$19:L$28,0),1),"Non renseigné"))</f>
        <v/>
      </c>
      <c r="H317" s="190" t="str">
        <f>IFERROR(IF(E317="","",INDEX(Données_ATB!BD$3:BT$600,MATCH(E317,Medicament,0),17)),"Ce médicament n'est pas connu dans la base")</f>
        <v/>
      </c>
      <c r="I317" s="69" t="str">
        <f>IFERROR(IF(E317="","",INDEX(Données_ATB!BD$3:BL$600,MATCH(E317,Medicament,0),9)),"")</f>
        <v/>
      </c>
      <c r="J317" s="44" t="str">
        <f>IFERROR(IF(E317="","",INDEX(Données_ATB!BD$3:BP$5600,MATCH(E317,Medicament,0),13)),"")</f>
        <v/>
      </c>
      <c r="K317" s="161" t="str">
        <f>IF(COUNTIFS($B$31:B317,B317,$E$31:E317,E317,$C$31:C317,C317,$D$31:D317,D317)&gt;1,"DÉJÀ ENTRÉ",IF(AND(COUNTA(B317,C317,D317,E317,F317)&lt;5,COUNTA(B317,C317,D317,E317,F317)&gt;0),"Pensez à renseigner toutes les cases de la ligne !",IF(COUNTA(B317)=1,IF(COUNTBLANK(B317)&gt;=1,"Ne laissez pas de lignes vides. Écrivez sur la ligne supérieure.",""),"")))&amp;IF(G317="Non renseigné","Veuillez sélectionner de nouveau le nom dans la colonne Espèce traitée","")</f>
        <v/>
      </c>
      <c r="L317" s="31" t="str">
        <f>IF(E317="","",INDEX(Données_ATB!BD$3:BU$600,MATCH(E317,Medicament,0),18))</f>
        <v/>
      </c>
      <c r="M317" s="31" t="str">
        <f t="shared" si="21"/>
        <v/>
      </c>
      <c r="N317" s="31" t="str">
        <f t="shared" si="22"/>
        <v/>
      </c>
      <c r="O317" s="31" t="str">
        <f t="shared" si="23"/>
        <v/>
      </c>
      <c r="P317" s="31" t="str">
        <f t="shared" si="24"/>
        <v/>
      </c>
    </row>
    <row r="318" spans="2:16" x14ac:dyDescent="0.3">
      <c r="B318" s="155"/>
      <c r="C318" s="156"/>
      <c r="D318" s="156"/>
      <c r="E318" s="156"/>
      <c r="F318" s="182"/>
      <c r="G318" s="72" t="str">
        <f>IF(C318="","",IFERROR(INDEX(G$19:$L315,MATCH(C318,L$19:L$28,0),1),"Non renseigné"))</f>
        <v/>
      </c>
      <c r="H318" s="190" t="str">
        <f>IFERROR(IF(E318="","",INDEX(Données_ATB!BD$3:BT$600,MATCH(E318,Medicament,0),17)),"Ce médicament n'est pas connu dans la base")</f>
        <v/>
      </c>
      <c r="I318" s="69" t="str">
        <f>IFERROR(IF(E318="","",INDEX(Données_ATB!BD$3:BL$600,MATCH(E318,Medicament,0),9)),"")</f>
        <v/>
      </c>
      <c r="J318" s="44" t="str">
        <f>IFERROR(IF(E318="","",INDEX(Données_ATB!BD$3:BP$5600,MATCH(E318,Medicament,0),13)),"")</f>
        <v/>
      </c>
      <c r="K318" s="161" t="str">
        <f>IF(COUNTIFS($B$31:B318,B318,$E$31:E318,E318,$C$31:C318,C318,$D$31:D318,D318)&gt;1,"DÉJÀ ENTRÉ",IF(AND(COUNTA(B318,C318,D318,E318,F318)&lt;5,COUNTA(B318,C318,D318,E318,F318)&gt;0),"Pensez à renseigner toutes les cases de la ligne !",IF(COUNTA(B318)=1,IF(COUNTBLANK(B318)&gt;=1,"Ne laissez pas de lignes vides. Écrivez sur la ligne supérieure.",""),"")))&amp;IF(G318="Non renseigné","Veuillez sélectionner de nouveau le nom dans la colonne Espèce traitée","")</f>
        <v/>
      </c>
      <c r="L318" s="31" t="str">
        <f>IF(E318="","",INDEX(Données_ATB!BD$3:BU$600,MATCH(E318,Medicament,0),18))</f>
        <v/>
      </c>
      <c r="M318" s="31" t="str">
        <f t="shared" si="21"/>
        <v/>
      </c>
      <c r="N318" s="31" t="str">
        <f t="shared" si="22"/>
        <v/>
      </c>
      <c r="O318" s="31" t="str">
        <f t="shared" si="23"/>
        <v/>
      </c>
      <c r="P318" s="31" t="str">
        <f t="shared" si="24"/>
        <v/>
      </c>
    </row>
    <row r="319" spans="2:16" x14ac:dyDescent="0.3">
      <c r="B319" s="155"/>
      <c r="C319" s="156"/>
      <c r="D319" s="156"/>
      <c r="E319" s="156"/>
      <c r="F319" s="182"/>
      <c r="G319" s="72" t="str">
        <f>IF(C319="","",IFERROR(INDEX(G$19:$L316,MATCH(C319,L$19:L$28,0),1),"Non renseigné"))</f>
        <v/>
      </c>
      <c r="H319" s="190" t="str">
        <f>IFERROR(IF(E319="","",INDEX(Données_ATB!BD$3:BT$600,MATCH(E319,Medicament,0),17)),"Ce médicament n'est pas connu dans la base")</f>
        <v/>
      </c>
      <c r="I319" s="69" t="str">
        <f>IFERROR(IF(E319="","",INDEX(Données_ATB!BD$3:BL$600,MATCH(E319,Medicament,0),9)),"")</f>
        <v/>
      </c>
      <c r="J319" s="44" t="str">
        <f>IFERROR(IF(E319="","",INDEX(Données_ATB!BD$3:BP$5600,MATCH(E319,Medicament,0),13)),"")</f>
        <v/>
      </c>
      <c r="K319" s="161" t="str">
        <f>IF(COUNTIFS($B$31:B319,B319,$E$31:E319,E319,$C$31:C319,C319,$D$31:D319,D319)&gt;1,"DÉJÀ ENTRÉ",IF(AND(COUNTA(B319,C319,D319,E319,F319)&lt;5,COUNTA(B319,C319,D319,E319,F319)&gt;0),"Pensez à renseigner toutes les cases de la ligne !",IF(COUNTA(B319)=1,IF(COUNTBLANK(B319)&gt;=1,"Ne laissez pas de lignes vides. Écrivez sur la ligne supérieure.",""),"")))&amp;IF(G319="Non renseigné","Veuillez sélectionner de nouveau le nom dans la colonne Espèce traitée","")</f>
        <v/>
      </c>
      <c r="L319" s="31" t="str">
        <f>IF(E319="","",INDEX(Données_ATB!BD$3:BU$600,MATCH(E319,Medicament,0),18))</f>
        <v/>
      </c>
      <c r="M319" s="31" t="str">
        <f t="shared" si="21"/>
        <v/>
      </c>
      <c r="N319" s="31" t="str">
        <f t="shared" si="22"/>
        <v/>
      </c>
      <c r="O319" s="31" t="str">
        <f t="shared" si="23"/>
        <v/>
      </c>
      <c r="P319" s="31" t="str">
        <f t="shared" si="24"/>
        <v/>
      </c>
    </row>
    <row r="320" spans="2:16" x14ac:dyDescent="0.3">
      <c r="B320" s="155"/>
      <c r="C320" s="156"/>
      <c r="D320" s="156"/>
      <c r="E320" s="156"/>
      <c r="F320" s="182"/>
      <c r="G320" s="72" t="str">
        <f>IF(C320="","",IFERROR(INDEX(G$19:$L317,MATCH(C320,L$19:L$28,0),1),"Non renseigné"))</f>
        <v/>
      </c>
      <c r="H320" s="190" t="str">
        <f>IFERROR(IF(E320="","",INDEX(Données_ATB!BD$3:BT$600,MATCH(E320,Medicament,0),17)),"Ce médicament n'est pas connu dans la base")</f>
        <v/>
      </c>
      <c r="I320" s="69" t="str">
        <f>IFERROR(IF(E320="","",INDEX(Données_ATB!BD$3:BL$600,MATCH(E320,Medicament,0),9)),"")</f>
        <v/>
      </c>
      <c r="J320" s="44" t="str">
        <f>IFERROR(IF(E320="","",INDEX(Données_ATB!BD$3:BP$5600,MATCH(E320,Medicament,0),13)),"")</f>
        <v/>
      </c>
      <c r="K320" s="161" t="str">
        <f>IF(COUNTIFS($B$31:B320,B320,$E$31:E320,E320,$C$31:C320,C320,$D$31:D320,D320)&gt;1,"DÉJÀ ENTRÉ",IF(AND(COUNTA(B320,C320,D320,E320,F320)&lt;5,COUNTA(B320,C320,D320,E320,F320)&gt;0),"Pensez à renseigner toutes les cases de la ligne !",IF(COUNTA(B320)=1,IF(COUNTBLANK(B320)&gt;=1,"Ne laissez pas de lignes vides. Écrivez sur la ligne supérieure.",""),"")))&amp;IF(G320="Non renseigné","Veuillez sélectionner de nouveau le nom dans la colonne Espèce traitée","")</f>
        <v/>
      </c>
      <c r="L320" s="31" t="str">
        <f>IF(E320="","",INDEX(Données_ATB!BD$3:BU$600,MATCH(E320,Medicament,0),18))</f>
        <v/>
      </c>
      <c r="M320" s="31" t="str">
        <f t="shared" si="21"/>
        <v/>
      </c>
      <c r="N320" s="31" t="str">
        <f t="shared" si="22"/>
        <v/>
      </c>
      <c r="O320" s="31" t="str">
        <f t="shared" si="23"/>
        <v/>
      </c>
      <c r="P320" s="31" t="str">
        <f t="shared" si="24"/>
        <v/>
      </c>
    </row>
    <row r="321" spans="2:16" x14ac:dyDescent="0.3">
      <c r="B321" s="155"/>
      <c r="C321" s="156"/>
      <c r="D321" s="156"/>
      <c r="E321" s="156"/>
      <c r="F321" s="182"/>
      <c r="G321" s="72" t="str">
        <f>IF(C321="","",IFERROR(INDEX(G$19:$L318,MATCH(C321,L$19:L$28,0),1),"Non renseigné"))</f>
        <v/>
      </c>
      <c r="H321" s="190" t="str">
        <f>IFERROR(IF(E321="","",INDEX(Données_ATB!BD$3:BT$600,MATCH(E321,Medicament,0),17)),"Ce médicament n'est pas connu dans la base")</f>
        <v/>
      </c>
      <c r="I321" s="69" t="str">
        <f>IFERROR(IF(E321="","",INDEX(Données_ATB!BD$3:BL$600,MATCH(E321,Medicament,0),9)),"")</f>
        <v/>
      </c>
      <c r="J321" s="44" t="str">
        <f>IFERROR(IF(E321="","",INDEX(Données_ATB!BD$3:BP$5600,MATCH(E321,Medicament,0),13)),"")</f>
        <v/>
      </c>
      <c r="K321" s="161" t="str">
        <f>IF(COUNTIFS($B$31:B321,B321,$E$31:E321,E321,$C$31:C321,C321,$D$31:D321,D321)&gt;1,"DÉJÀ ENTRÉ",IF(AND(COUNTA(B321,C321,D321,E321,F321)&lt;5,COUNTA(B321,C321,D321,E321,F321)&gt;0),"Pensez à renseigner toutes les cases de la ligne !",IF(COUNTA(B321)=1,IF(COUNTBLANK(B321)&gt;=1,"Ne laissez pas de lignes vides. Écrivez sur la ligne supérieure.",""),"")))&amp;IF(G321="Non renseigné","Veuillez sélectionner de nouveau le nom dans la colonne Espèce traitée","")</f>
        <v/>
      </c>
      <c r="L321" s="31" t="str">
        <f>IF(E321="","",INDEX(Données_ATB!BD$3:BU$600,MATCH(E321,Medicament,0),18))</f>
        <v/>
      </c>
      <c r="M321" s="31" t="str">
        <f t="shared" si="21"/>
        <v/>
      </c>
      <c r="N321" s="31" t="str">
        <f t="shared" si="22"/>
        <v/>
      </c>
      <c r="O321" s="31" t="str">
        <f t="shared" si="23"/>
        <v/>
      </c>
      <c r="P321" s="31" t="str">
        <f t="shared" si="24"/>
        <v/>
      </c>
    </row>
    <row r="322" spans="2:16" x14ac:dyDescent="0.3">
      <c r="B322" s="155"/>
      <c r="C322" s="156"/>
      <c r="D322" s="156"/>
      <c r="E322" s="156"/>
      <c r="F322" s="182"/>
      <c r="G322" s="72" t="str">
        <f>IF(C322="","",IFERROR(INDEX(G$19:$L319,MATCH(C322,L$19:L$28,0),1),"Non renseigné"))</f>
        <v/>
      </c>
      <c r="H322" s="190" t="str">
        <f>IFERROR(IF(E322="","",INDEX(Données_ATB!BD$3:BT$600,MATCH(E322,Medicament,0),17)),"Ce médicament n'est pas connu dans la base")</f>
        <v/>
      </c>
      <c r="I322" s="69" t="str">
        <f>IFERROR(IF(E322="","",INDEX(Données_ATB!BD$3:BL$600,MATCH(E322,Medicament,0),9)),"")</f>
        <v/>
      </c>
      <c r="J322" s="44" t="str">
        <f>IFERROR(IF(E322="","",INDEX(Données_ATB!BD$3:BP$5600,MATCH(E322,Medicament,0),13)),"")</f>
        <v/>
      </c>
      <c r="K322" s="161" t="str">
        <f>IF(COUNTIFS($B$31:B322,B322,$E$31:E322,E322,$C$31:C322,C322,$D$31:D322,D322)&gt;1,"DÉJÀ ENTRÉ",IF(AND(COUNTA(B322,C322,D322,E322,F322)&lt;5,COUNTA(B322,C322,D322,E322,F322)&gt;0),"Pensez à renseigner toutes les cases de la ligne !",IF(COUNTA(B322)=1,IF(COUNTBLANK(B322)&gt;=1,"Ne laissez pas de lignes vides. Écrivez sur la ligne supérieure.",""),"")))&amp;IF(G322="Non renseigné","Veuillez sélectionner de nouveau le nom dans la colonne Espèce traitée","")</f>
        <v/>
      </c>
      <c r="L322" s="31" t="str">
        <f>IF(E322="","",INDEX(Données_ATB!BD$3:BU$600,MATCH(E322,Medicament,0),18))</f>
        <v/>
      </c>
      <c r="M322" s="31" t="str">
        <f t="shared" si="21"/>
        <v/>
      </c>
      <c r="N322" s="31" t="str">
        <f t="shared" si="22"/>
        <v/>
      </c>
      <c r="O322" s="31" t="str">
        <f t="shared" si="23"/>
        <v/>
      </c>
      <c r="P322" s="31" t="str">
        <f t="shared" si="24"/>
        <v/>
      </c>
    </row>
    <row r="323" spans="2:16" x14ac:dyDescent="0.3">
      <c r="B323" s="155"/>
      <c r="C323" s="156"/>
      <c r="D323" s="156"/>
      <c r="E323" s="156"/>
      <c r="F323" s="182"/>
      <c r="G323" s="72" t="str">
        <f>IF(C323="","",IFERROR(INDEX(G$19:$L320,MATCH(C323,L$19:L$28,0),1),"Non renseigné"))</f>
        <v/>
      </c>
      <c r="H323" s="190" t="str">
        <f>IFERROR(IF(E323="","",INDEX(Données_ATB!BD$3:BT$600,MATCH(E323,Medicament,0),17)),"Ce médicament n'est pas connu dans la base")</f>
        <v/>
      </c>
      <c r="I323" s="69" t="str">
        <f>IFERROR(IF(E323="","",INDEX(Données_ATB!BD$3:BL$600,MATCH(E323,Medicament,0),9)),"")</f>
        <v/>
      </c>
      <c r="J323" s="44" t="str">
        <f>IFERROR(IF(E323="","",INDEX(Données_ATB!BD$3:BP$5600,MATCH(E323,Medicament,0),13)),"")</f>
        <v/>
      </c>
      <c r="K323" s="161" t="str">
        <f>IF(COUNTIFS($B$31:B323,B323,$E$31:E323,E323,$C$31:C323,C323,$D$31:D323,D323)&gt;1,"DÉJÀ ENTRÉ",IF(AND(COUNTA(B323,C323,D323,E323,F323)&lt;5,COUNTA(B323,C323,D323,E323,F323)&gt;0),"Pensez à renseigner toutes les cases de la ligne !",IF(COUNTA(B323)=1,IF(COUNTBLANK(B323)&gt;=1,"Ne laissez pas de lignes vides. Écrivez sur la ligne supérieure.",""),"")))&amp;IF(G323="Non renseigné","Veuillez sélectionner de nouveau le nom dans la colonne Espèce traitée","")</f>
        <v/>
      </c>
      <c r="L323" s="31" t="str">
        <f>IF(E323="","",INDEX(Données_ATB!BD$3:BU$600,MATCH(E323,Medicament,0),18))</f>
        <v/>
      </c>
      <c r="M323" s="31" t="str">
        <f t="shared" si="21"/>
        <v/>
      </c>
      <c r="N323" s="31" t="str">
        <f t="shared" si="22"/>
        <v/>
      </c>
      <c r="O323" s="31" t="str">
        <f t="shared" si="23"/>
        <v/>
      </c>
      <c r="P323" s="31" t="str">
        <f t="shared" si="24"/>
        <v/>
      </c>
    </row>
    <row r="324" spans="2:16" x14ac:dyDescent="0.3">
      <c r="B324" s="155"/>
      <c r="C324" s="156"/>
      <c r="D324" s="156"/>
      <c r="E324" s="156"/>
      <c r="F324" s="182"/>
      <c r="G324" s="72" t="str">
        <f>IF(C324="","",IFERROR(INDEX(G$19:$L321,MATCH(C324,L$19:L$28,0),1),"Non renseigné"))</f>
        <v/>
      </c>
      <c r="H324" s="190" t="str">
        <f>IFERROR(IF(E324="","",INDEX(Données_ATB!BD$3:BT$600,MATCH(E324,Medicament,0),17)),"Ce médicament n'est pas connu dans la base")</f>
        <v/>
      </c>
      <c r="I324" s="69" t="str">
        <f>IFERROR(IF(E324="","",INDEX(Données_ATB!BD$3:BL$600,MATCH(E324,Medicament,0),9)),"")</f>
        <v/>
      </c>
      <c r="J324" s="44" t="str">
        <f>IFERROR(IF(E324="","",INDEX(Données_ATB!BD$3:BP$5600,MATCH(E324,Medicament,0),13)),"")</f>
        <v/>
      </c>
      <c r="K324" s="161" t="str">
        <f>IF(COUNTIFS($B$31:B324,B324,$E$31:E324,E324,$C$31:C324,C324,$D$31:D324,D324)&gt;1,"DÉJÀ ENTRÉ",IF(AND(COUNTA(B324,C324,D324,E324,F324)&lt;5,COUNTA(B324,C324,D324,E324,F324)&gt;0),"Pensez à renseigner toutes les cases de la ligne !",IF(COUNTA(B324)=1,IF(COUNTBLANK(B324)&gt;=1,"Ne laissez pas de lignes vides. Écrivez sur la ligne supérieure.",""),"")))&amp;IF(G324="Non renseigné","Veuillez sélectionner de nouveau le nom dans la colonne Espèce traitée","")</f>
        <v/>
      </c>
      <c r="L324" s="31" t="str">
        <f>IF(E324="","",INDEX(Données_ATB!BD$3:BU$600,MATCH(E324,Medicament,0),18))</f>
        <v/>
      </c>
      <c r="M324" s="31" t="str">
        <f t="shared" si="21"/>
        <v/>
      </c>
      <c r="N324" s="31" t="str">
        <f t="shared" si="22"/>
        <v/>
      </c>
      <c r="O324" s="31" t="str">
        <f t="shared" si="23"/>
        <v/>
      </c>
      <c r="P324" s="31" t="str">
        <f t="shared" si="24"/>
        <v/>
      </c>
    </row>
    <row r="325" spans="2:16" x14ac:dyDescent="0.3">
      <c r="B325" s="155"/>
      <c r="C325" s="156"/>
      <c r="D325" s="156"/>
      <c r="E325" s="156"/>
      <c r="F325" s="182"/>
      <c r="G325" s="72" t="str">
        <f>IF(C325="","",IFERROR(INDEX(G$19:$L322,MATCH(C325,L$19:L$28,0),1),"Non renseigné"))</f>
        <v/>
      </c>
      <c r="H325" s="190" t="str">
        <f>IFERROR(IF(E325="","",INDEX(Données_ATB!BD$3:BT$600,MATCH(E325,Medicament,0),17)),"Ce médicament n'est pas connu dans la base")</f>
        <v/>
      </c>
      <c r="I325" s="69" t="str">
        <f>IFERROR(IF(E325="","",INDEX(Données_ATB!BD$3:BL$600,MATCH(E325,Medicament,0),9)),"")</f>
        <v/>
      </c>
      <c r="J325" s="44" t="str">
        <f>IFERROR(IF(E325="","",INDEX(Données_ATB!BD$3:BP$5600,MATCH(E325,Medicament,0),13)),"")</f>
        <v/>
      </c>
      <c r="K325" s="161" t="str">
        <f>IF(COUNTIFS($B$31:B325,B325,$E$31:E325,E325,$C$31:C325,C325,$D$31:D325,D325)&gt;1,"DÉJÀ ENTRÉ",IF(AND(COUNTA(B325,C325,D325,E325,F325)&lt;5,COUNTA(B325,C325,D325,E325,F325)&gt;0),"Pensez à renseigner toutes les cases de la ligne !",IF(COUNTA(B325)=1,IF(COUNTBLANK(B325)&gt;=1,"Ne laissez pas de lignes vides. Écrivez sur la ligne supérieure.",""),"")))&amp;IF(G325="Non renseigné","Veuillez sélectionner de nouveau le nom dans la colonne Espèce traitée","")</f>
        <v/>
      </c>
      <c r="L325" s="31" t="str">
        <f>IF(E325="","",INDEX(Données_ATB!BD$3:BU$600,MATCH(E325,Medicament,0),18))</f>
        <v/>
      </c>
      <c r="M325" s="31" t="str">
        <f t="shared" si="21"/>
        <v/>
      </c>
      <c r="N325" s="31" t="str">
        <f t="shared" si="22"/>
        <v/>
      </c>
      <c r="O325" s="31" t="str">
        <f t="shared" si="23"/>
        <v/>
      </c>
      <c r="P325" s="31" t="str">
        <f t="shared" si="24"/>
        <v/>
      </c>
    </row>
    <row r="326" spans="2:16" ht="20.25" customHeight="1" x14ac:dyDescent="0.3">
      <c r="B326" s="155"/>
      <c r="C326" s="156"/>
      <c r="D326" s="156"/>
      <c r="E326" s="156"/>
      <c r="F326" s="182"/>
      <c r="G326" s="72" t="str">
        <f>IF(C326="","",IFERROR(INDEX(G$19:$L323,MATCH(C326,L$19:L$28,0),1),"Non renseigné"))</f>
        <v/>
      </c>
      <c r="H326" s="190" t="str">
        <f>IFERROR(IF(E326="","",INDEX(Données_ATB!BD$3:BT$600,MATCH(E326,Medicament,0),17)),"Ce médicament n'est pas connu dans la base")</f>
        <v/>
      </c>
      <c r="I326" s="69" t="str">
        <f>IFERROR(IF(E326="","",INDEX(Données_ATB!BD$3:BL$600,MATCH(E326,Medicament,0),9)),"")</f>
        <v/>
      </c>
      <c r="J326" s="44" t="str">
        <f>IFERROR(IF(E326="","",INDEX(Données_ATB!BD$3:BP$5600,MATCH(E326,Medicament,0),13)),"")</f>
        <v/>
      </c>
      <c r="K326" s="161" t="str">
        <f>IF(COUNTIFS($B$31:B326,B326,$E$31:E326,E326,$C$31:C326,C326,$D$31:D326,D326)&gt;1,"DÉJÀ ENTRÉ",IF(AND(COUNTA(B326,C326,D326,E326,F326)&lt;5,COUNTA(B326,C326,D326,E326,F326)&gt;0),"Pensez à renseigner toutes les cases de la ligne !",IF(COUNTA(B326)=1,IF(COUNTBLANK(B326)&gt;=1,"Ne laissez pas de lignes vides. Écrivez sur la ligne supérieure.",""),"")))&amp;IF(G326="Non renseigné","Veuillez sélectionner de nouveau le nom dans la colonne Espèce traitée","")</f>
        <v/>
      </c>
      <c r="L326" s="31" t="str">
        <f>IF(E326="","",INDEX(Données_ATB!BD$3:BU$600,MATCH(E326,Medicament,0),18))</f>
        <v/>
      </c>
      <c r="M326" s="31" t="str">
        <f t="shared" si="21"/>
        <v/>
      </c>
      <c r="N326" s="31" t="str">
        <f t="shared" si="22"/>
        <v/>
      </c>
      <c r="O326" s="31" t="str">
        <f t="shared" si="23"/>
        <v/>
      </c>
      <c r="P326" s="31" t="str">
        <f t="shared" si="24"/>
        <v/>
      </c>
    </row>
    <row r="327" spans="2:16" x14ac:dyDescent="0.3">
      <c r="B327" s="155"/>
      <c r="C327" s="156"/>
      <c r="D327" s="156"/>
      <c r="E327" s="156"/>
      <c r="F327" s="182"/>
      <c r="G327" s="72" t="str">
        <f>IF(C327="","",IFERROR(INDEX(G$19:$L324,MATCH(C327,L$19:L$28,0),1),"Non renseigné"))</f>
        <v/>
      </c>
      <c r="H327" s="190" t="str">
        <f>IFERROR(IF(E327="","",INDEX(Données_ATB!BD$3:BT$600,MATCH(E327,Medicament,0),17)),"Ce médicament n'est pas connu dans la base")</f>
        <v/>
      </c>
      <c r="I327" s="69" t="str">
        <f>IFERROR(IF(E327="","",INDEX(Données_ATB!BD$3:BL$600,MATCH(E327,Medicament,0),9)),"")</f>
        <v/>
      </c>
      <c r="J327" s="44" t="str">
        <f>IFERROR(IF(E327="","",INDEX(Données_ATB!BD$3:BP$5600,MATCH(E327,Medicament,0),13)),"")</f>
        <v/>
      </c>
      <c r="K327" s="161" t="str">
        <f>IF(COUNTIFS($B$31:B327,B327,$E$31:E327,E327,$C$31:C327,C327,$D$31:D327,D327)&gt;1,"DÉJÀ ENTRÉ",IF(AND(COUNTA(B327,C327,D327,E327,F327)&lt;5,COUNTA(B327,C327,D327,E327,F327)&gt;0),"Pensez à renseigner toutes les cases de la ligne !",IF(COUNTA(B327)=1,IF(COUNTBLANK(B327)&gt;=1,"Ne laissez pas de lignes vides. Écrivez sur la ligne supérieure.",""),"")))&amp;IF(G327="Non renseigné","Veuillez sélectionner de nouveau le nom dans la colonne Espèce traitée","")</f>
        <v/>
      </c>
      <c r="L327" s="31" t="str">
        <f>IF(E327="","",INDEX(Données_ATB!BD$3:BU$600,MATCH(E327,Medicament,0),18))</f>
        <v/>
      </c>
      <c r="M327" s="31" t="str">
        <f t="shared" si="21"/>
        <v/>
      </c>
      <c r="N327" s="31" t="str">
        <f t="shared" si="22"/>
        <v/>
      </c>
      <c r="O327" s="31" t="str">
        <f t="shared" si="23"/>
        <v/>
      </c>
      <c r="P327" s="31" t="str">
        <f t="shared" si="24"/>
        <v/>
      </c>
    </row>
    <row r="328" spans="2:16" x14ac:dyDescent="0.3">
      <c r="B328" s="155"/>
      <c r="C328" s="156"/>
      <c r="D328" s="156"/>
      <c r="E328" s="156"/>
      <c r="F328" s="182"/>
      <c r="G328" s="72" t="str">
        <f>IF(C328="","",IFERROR(INDEX(G$19:$L325,MATCH(C328,L$19:L$28,0),1),"Non renseigné"))</f>
        <v/>
      </c>
      <c r="H328" s="190" t="str">
        <f>IFERROR(IF(E328="","",INDEX(Données_ATB!BD$3:BT$600,MATCH(E328,Medicament,0),17)),"Ce médicament n'est pas connu dans la base")</f>
        <v/>
      </c>
      <c r="I328" s="69" t="str">
        <f>IFERROR(IF(E328="","",INDEX(Données_ATB!BD$3:BL$600,MATCH(E328,Medicament,0),9)),"")</f>
        <v/>
      </c>
      <c r="J328" s="44" t="str">
        <f>IFERROR(IF(E328="","",INDEX(Données_ATB!BD$3:BP$5600,MATCH(E328,Medicament,0),13)),"")</f>
        <v/>
      </c>
      <c r="K328" s="161" t="str">
        <f>IF(COUNTIFS($B$31:B328,B328,$E$31:E328,E328,$C$31:C328,C328,$D$31:D328,D328)&gt;1,"DÉJÀ ENTRÉ",IF(AND(COUNTA(B328,C328,D328,E328,F328)&lt;5,COUNTA(B328,C328,D328,E328,F328)&gt;0),"Pensez à renseigner toutes les cases de la ligne !",IF(COUNTA(B328)=1,IF(COUNTBLANK(B328)&gt;=1,"Ne laissez pas de lignes vides. Écrivez sur la ligne supérieure.",""),"")))&amp;IF(G328="Non renseigné","Veuillez sélectionner de nouveau le nom dans la colonne Espèce traitée","")</f>
        <v/>
      </c>
      <c r="L328" s="31" t="str">
        <f>IF(E328="","",INDEX(Données_ATB!BD$3:BU$600,MATCH(E328,Medicament,0),18))</f>
        <v/>
      </c>
      <c r="M328" s="31" t="str">
        <f t="shared" si="21"/>
        <v/>
      </c>
      <c r="N328" s="31" t="str">
        <f t="shared" si="22"/>
        <v/>
      </c>
      <c r="O328" s="31" t="str">
        <f t="shared" si="23"/>
        <v/>
      </c>
      <c r="P328" s="31" t="str">
        <f t="shared" si="24"/>
        <v/>
      </c>
    </row>
    <row r="329" spans="2:16" x14ac:dyDescent="0.3">
      <c r="B329" s="155"/>
      <c r="C329" s="156"/>
      <c r="D329" s="156"/>
      <c r="E329" s="156"/>
      <c r="F329" s="182"/>
      <c r="G329" s="72" t="str">
        <f>IF(C329="","",IFERROR(INDEX(G$19:$L326,MATCH(C329,L$19:L$28,0),1),"Non renseigné"))</f>
        <v/>
      </c>
      <c r="H329" s="190" t="str">
        <f>IFERROR(IF(E329="","",INDEX(Données_ATB!BD$3:BT$600,MATCH(E329,Medicament,0),17)),"Ce médicament n'est pas connu dans la base")</f>
        <v/>
      </c>
      <c r="I329" s="69" t="str">
        <f>IFERROR(IF(E329="","",INDEX(Données_ATB!BD$3:BL$600,MATCH(E329,Medicament,0),9)),"")</f>
        <v/>
      </c>
      <c r="J329" s="44" t="str">
        <f>IFERROR(IF(E329="","",INDEX(Données_ATB!BD$3:BP$5600,MATCH(E329,Medicament,0),13)),"")</f>
        <v/>
      </c>
      <c r="K329" s="161" t="str">
        <f>IF(COUNTIFS($B$31:B329,B329,$E$31:E329,E329,$C$31:C329,C329,$D$31:D329,D329)&gt;1,"DÉJÀ ENTRÉ",IF(AND(COUNTA(B329,C329,D329,E329,F329)&lt;5,COUNTA(B329,C329,D329,E329,F329)&gt;0),"Pensez à renseigner toutes les cases de la ligne !",IF(COUNTA(B329)=1,IF(COUNTBLANK(B329)&gt;=1,"Ne laissez pas de lignes vides. Écrivez sur la ligne supérieure.",""),"")))&amp;IF(G329="Non renseigné","Veuillez sélectionner de nouveau le nom dans la colonne Espèce traitée","")</f>
        <v/>
      </c>
      <c r="L329" s="31" t="str">
        <f>IF(E329="","",INDEX(Données_ATB!BD$3:BU$600,MATCH(E329,Medicament,0),18))</f>
        <v/>
      </c>
      <c r="M329" s="31" t="str">
        <f t="shared" si="21"/>
        <v/>
      </c>
      <c r="N329" s="31" t="str">
        <f t="shared" si="22"/>
        <v/>
      </c>
      <c r="O329" s="31" t="str">
        <f t="shared" si="23"/>
        <v/>
      </c>
      <c r="P329" s="31" t="str">
        <f t="shared" si="24"/>
        <v/>
      </c>
    </row>
    <row r="330" spans="2:16" x14ac:dyDescent="0.3">
      <c r="B330" s="155"/>
      <c r="C330" s="156"/>
      <c r="D330" s="156"/>
      <c r="E330" s="156"/>
      <c r="F330" s="182"/>
      <c r="G330" s="72" t="str">
        <f>IF(C330="","",IFERROR(INDEX(G$19:$L327,MATCH(C330,L$19:L$28,0),1),"Non renseigné"))</f>
        <v/>
      </c>
      <c r="H330" s="190" t="str">
        <f>IFERROR(IF(E330="","",INDEX(Données_ATB!BD$3:BT$600,MATCH(E330,Medicament,0),17)),"Ce médicament n'est pas connu dans la base")</f>
        <v/>
      </c>
      <c r="I330" s="69" t="str">
        <f>IFERROR(IF(E330="","",INDEX(Données_ATB!BD$3:BL$600,MATCH(E330,Medicament,0),9)),"")</f>
        <v/>
      </c>
      <c r="J330" s="44" t="str">
        <f>IFERROR(IF(E330="","",INDEX(Données_ATB!BD$3:BP$5600,MATCH(E330,Medicament,0),13)),"")</f>
        <v/>
      </c>
      <c r="K330" s="161" t="str">
        <f>IF(COUNTIFS($B$31:B330,B330,$E$31:E330,E330,$C$31:C330,C330,$D$31:D330,D330)&gt;1,"DÉJÀ ENTRÉ",IF(AND(COUNTA(B330,C330,D330,E330,F330)&lt;5,COUNTA(B330,C330,D330,E330,F330)&gt;0),"Pensez à renseigner toutes les cases de la ligne !",IF(COUNTA(B330)=1,IF(COUNTBLANK(B330)&gt;=1,"Ne laissez pas de lignes vides. Écrivez sur la ligne supérieure.",""),"")))&amp;IF(G330="Non renseigné","Veuillez sélectionner de nouveau le nom dans la colonne Espèce traitée","")</f>
        <v/>
      </c>
      <c r="L330" s="31" t="str">
        <f>IF(E330="","",INDEX(Données_ATB!BD$3:BU$600,MATCH(E330,Medicament,0),18))</f>
        <v/>
      </c>
      <c r="M330" s="31" t="str">
        <f t="shared" si="21"/>
        <v/>
      </c>
      <c r="N330" s="31" t="str">
        <f t="shared" si="22"/>
        <v/>
      </c>
      <c r="O330" s="31" t="str">
        <f t="shared" si="23"/>
        <v/>
      </c>
      <c r="P330" s="31" t="str">
        <f t="shared" si="24"/>
        <v/>
      </c>
    </row>
    <row r="331" spans="2:16" x14ac:dyDescent="0.3">
      <c r="B331" s="155"/>
      <c r="C331" s="156"/>
      <c r="D331" s="156"/>
      <c r="E331" s="156"/>
      <c r="F331" s="182"/>
      <c r="G331" s="72" t="str">
        <f>IF(C331="","",IFERROR(INDEX(G$19:$L328,MATCH(C331,L$19:L$28,0),1),"Non renseigné"))</f>
        <v/>
      </c>
      <c r="H331" s="190" t="str">
        <f>IFERROR(IF(E331="","",INDEX(Données_ATB!BD$3:BT$600,MATCH(E331,Medicament,0),17)),"Ce médicament n'est pas connu dans la base")</f>
        <v/>
      </c>
      <c r="I331" s="69" t="str">
        <f>IFERROR(IF(E331="","",INDEX(Données_ATB!BD$3:BL$600,MATCH(E331,Medicament,0),9)),"")</f>
        <v/>
      </c>
      <c r="J331" s="44" t="str">
        <f>IFERROR(IF(E331="","",INDEX(Données_ATB!BD$3:BP$5600,MATCH(E331,Medicament,0),13)),"")</f>
        <v/>
      </c>
      <c r="K331" s="161" t="str">
        <f>IF(COUNTIFS($B$31:B331,B331,$E$31:E331,E331,$C$31:C331,C331,$D$31:D331,D331)&gt;1,"DÉJÀ ENTRÉ",IF(AND(COUNTA(B331,C331,D331,E331,F331)&lt;5,COUNTA(B331,C331,D331,E331,F331)&gt;0),"Pensez à renseigner toutes les cases de la ligne !",IF(COUNTA(B331)=1,IF(COUNTBLANK(B331)&gt;=1,"Ne laissez pas de lignes vides. Écrivez sur la ligne supérieure.",""),"")))&amp;IF(G331="Non renseigné","Veuillez sélectionner de nouveau le nom dans la colonne Espèce traitée","")</f>
        <v/>
      </c>
      <c r="L331" s="31" t="str">
        <f>IF(E331="","",INDEX(Données_ATB!BD$3:BU$600,MATCH(E331,Medicament,0),18))</f>
        <v/>
      </c>
      <c r="M331" s="31" t="str">
        <f t="shared" si="21"/>
        <v/>
      </c>
      <c r="N331" s="31" t="str">
        <f t="shared" si="22"/>
        <v/>
      </c>
      <c r="O331" s="31" t="str">
        <f t="shared" si="23"/>
        <v/>
      </c>
      <c r="P331" s="31" t="str">
        <f t="shared" si="24"/>
        <v/>
      </c>
    </row>
    <row r="332" spans="2:16" x14ac:dyDescent="0.3">
      <c r="B332" s="155"/>
      <c r="C332" s="156"/>
      <c r="D332" s="156"/>
      <c r="E332" s="156"/>
      <c r="F332" s="182"/>
      <c r="G332" s="72" t="str">
        <f>IF(C332="","",IFERROR(INDEX(G$19:$L329,MATCH(C332,L$19:L$28,0),1),"Non renseigné"))</f>
        <v/>
      </c>
      <c r="H332" s="190" t="str">
        <f>IFERROR(IF(E332="","",INDEX(Données_ATB!BD$3:BT$600,MATCH(E332,Medicament,0),17)),"Ce médicament n'est pas connu dans la base")</f>
        <v/>
      </c>
      <c r="I332" s="69" t="str">
        <f>IFERROR(IF(E332="","",INDEX(Données_ATB!BD$3:BL$600,MATCH(E332,Medicament,0),9)),"")</f>
        <v/>
      </c>
      <c r="J332" s="44" t="str">
        <f>IFERROR(IF(E332="","",INDEX(Données_ATB!BD$3:BP$5600,MATCH(E332,Medicament,0),13)),"")</f>
        <v/>
      </c>
      <c r="K332" s="161" t="str">
        <f>IF(COUNTIFS($B$31:B332,B332,$E$31:E332,E332,$C$31:C332,C332,$D$31:D332,D332)&gt;1,"DÉJÀ ENTRÉ",IF(AND(COUNTA(B332,C332,D332,E332,F332)&lt;5,COUNTA(B332,C332,D332,E332,F332)&gt;0),"Pensez à renseigner toutes les cases de la ligne !",IF(COUNTA(B332)=1,IF(COUNTBLANK(B332)&gt;=1,"Ne laissez pas de lignes vides. Écrivez sur la ligne supérieure.",""),"")))&amp;IF(G332="Non renseigné","Veuillez sélectionner de nouveau le nom dans la colonne Espèce traitée","")</f>
        <v/>
      </c>
      <c r="L332" s="31" t="str">
        <f>IF(E332="","",INDEX(Données_ATB!BD$3:BU$600,MATCH(E332,Medicament,0),18))</f>
        <v/>
      </c>
      <c r="M332" s="31" t="str">
        <f t="shared" si="21"/>
        <v/>
      </c>
      <c r="N332" s="31" t="str">
        <f t="shared" si="22"/>
        <v/>
      </c>
      <c r="O332" s="31" t="str">
        <f t="shared" si="23"/>
        <v/>
      </c>
      <c r="P332" s="31" t="str">
        <f t="shared" si="24"/>
        <v/>
      </c>
    </row>
    <row r="333" spans="2:16" x14ac:dyDescent="0.3">
      <c r="B333" s="155"/>
      <c r="C333" s="156"/>
      <c r="D333" s="156"/>
      <c r="E333" s="156"/>
      <c r="F333" s="182"/>
      <c r="G333" s="72" t="str">
        <f>IF(C333="","",IFERROR(INDEX(G$19:$L330,MATCH(C333,L$19:L$28,0),1),"Non renseigné"))</f>
        <v/>
      </c>
      <c r="H333" s="190" t="str">
        <f>IFERROR(IF(E333="","",INDEX(Données_ATB!BD$3:BT$600,MATCH(E333,Medicament,0),17)),"Ce médicament n'est pas connu dans la base")</f>
        <v/>
      </c>
      <c r="I333" s="69" t="str">
        <f>IFERROR(IF(E333="","",INDEX(Données_ATB!BD$3:BL$600,MATCH(E333,Medicament,0),9)),"")</f>
        <v/>
      </c>
      <c r="J333" s="44" t="str">
        <f>IFERROR(IF(E333="","",INDEX(Données_ATB!BD$3:BP$5600,MATCH(E333,Medicament,0),13)),"")</f>
        <v/>
      </c>
      <c r="K333" s="161" t="str">
        <f>IF(COUNTIFS($B$31:B333,B333,$E$31:E333,E333,$C$31:C333,C333,$D$31:D333,D333)&gt;1,"DÉJÀ ENTRÉ",IF(AND(COUNTA(B333,C333,D333,E333,F333)&lt;5,COUNTA(B333,C333,D333,E333,F333)&gt;0),"Pensez à renseigner toutes les cases de la ligne !",IF(COUNTA(B333)=1,IF(COUNTBLANK(B333)&gt;=1,"Ne laissez pas de lignes vides. Écrivez sur la ligne supérieure.",""),"")))&amp;IF(G333="Non renseigné","Veuillez sélectionner de nouveau le nom dans la colonne Espèce traitée","")</f>
        <v/>
      </c>
      <c r="L333" s="31" t="str">
        <f>IF(E333="","",INDEX(Données_ATB!BD$3:BU$600,MATCH(E333,Medicament,0),18))</f>
        <v/>
      </c>
      <c r="M333" s="31" t="str">
        <f t="shared" si="21"/>
        <v/>
      </c>
      <c r="N333" s="31" t="str">
        <f t="shared" si="22"/>
        <v/>
      </c>
      <c r="O333" s="31" t="str">
        <f t="shared" si="23"/>
        <v/>
      </c>
      <c r="P333" s="31" t="str">
        <f t="shared" si="24"/>
        <v/>
      </c>
    </row>
    <row r="334" spans="2:16" x14ac:dyDescent="0.3">
      <c r="B334" s="155"/>
      <c r="C334" s="156"/>
      <c r="D334" s="156"/>
      <c r="E334" s="156"/>
      <c r="F334" s="182"/>
      <c r="G334" s="72" t="str">
        <f>IF(C334="","",IFERROR(INDEX(G$19:$L331,MATCH(C334,L$19:L$28,0),1),"Non renseigné"))</f>
        <v/>
      </c>
      <c r="H334" s="190" t="str">
        <f>IFERROR(IF(E334="","",INDEX(Données_ATB!BD$3:BT$600,MATCH(E334,Medicament,0),17)),"Ce médicament n'est pas connu dans la base")</f>
        <v/>
      </c>
      <c r="I334" s="69" t="str">
        <f>IFERROR(IF(E334="","",INDEX(Données_ATB!BD$3:BL$600,MATCH(E334,Medicament,0),9)),"")</f>
        <v/>
      </c>
      <c r="J334" s="44" t="str">
        <f>IFERROR(IF(E334="","",INDEX(Données_ATB!BD$3:BP$5600,MATCH(E334,Medicament,0),13)),"")</f>
        <v/>
      </c>
      <c r="K334" s="161" t="str">
        <f>IF(COUNTIFS($B$31:B334,B334,$E$31:E334,E334,$C$31:C334,C334,$D$31:D334,D334)&gt;1,"DÉJÀ ENTRÉ",IF(AND(COUNTA(B334,C334,D334,E334,F334)&lt;5,COUNTA(B334,C334,D334,E334,F334)&gt;0),"Pensez à renseigner toutes les cases de la ligne !",IF(COUNTA(B334)=1,IF(COUNTBLANK(B334)&gt;=1,"Ne laissez pas de lignes vides. Écrivez sur la ligne supérieure.",""),"")))&amp;IF(G334="Non renseigné","Veuillez sélectionner de nouveau le nom dans la colonne Espèce traitée","")</f>
        <v/>
      </c>
      <c r="L334" s="31" t="str">
        <f>IF(E334="","",INDEX(Données_ATB!BD$3:BU$600,MATCH(E334,Medicament,0),18))</f>
        <v/>
      </c>
      <c r="M334" s="31" t="str">
        <f t="shared" si="21"/>
        <v/>
      </c>
      <c r="N334" s="31" t="str">
        <f t="shared" si="22"/>
        <v/>
      </c>
      <c r="O334" s="31" t="str">
        <f t="shared" si="23"/>
        <v/>
      </c>
      <c r="P334" s="31" t="str">
        <f t="shared" si="24"/>
        <v/>
      </c>
    </row>
    <row r="335" spans="2:16" x14ac:dyDescent="0.3">
      <c r="B335" s="155"/>
      <c r="C335" s="156"/>
      <c r="D335" s="156"/>
      <c r="E335" s="156"/>
      <c r="F335" s="182"/>
      <c r="G335" s="72" t="str">
        <f>IF(C335="","",IFERROR(INDEX(G$19:$L332,MATCH(C335,L$19:L$28,0),1),"Non renseigné"))</f>
        <v/>
      </c>
      <c r="H335" s="190" t="str">
        <f>IFERROR(IF(E335="","",INDEX(Données_ATB!BD$3:BT$600,MATCH(E335,Medicament,0),17)),"Ce médicament n'est pas connu dans la base")</f>
        <v/>
      </c>
      <c r="I335" s="69" t="str">
        <f>IFERROR(IF(E335="","",INDEX(Données_ATB!BD$3:BL$600,MATCH(E335,Medicament,0),9)),"")</f>
        <v/>
      </c>
      <c r="J335" s="44" t="str">
        <f>IFERROR(IF(E335="","",INDEX(Données_ATB!BD$3:BP$5600,MATCH(E335,Medicament,0),13)),"")</f>
        <v/>
      </c>
      <c r="K335" s="161" t="str">
        <f>IF(COUNTIFS($B$31:B335,B335,$E$31:E335,E335,$C$31:C335,C335,$D$31:D335,D335)&gt;1,"DÉJÀ ENTRÉ",IF(AND(COUNTA(B335,C335,D335,E335,F335)&lt;5,COUNTA(B335,C335,D335,E335,F335)&gt;0),"Pensez à renseigner toutes les cases de la ligne !",IF(COUNTA(B335)=1,IF(COUNTBLANK(B335)&gt;=1,"Ne laissez pas de lignes vides. Écrivez sur la ligne supérieure.",""),"")))&amp;IF(G335="Non renseigné","Veuillez sélectionner de nouveau le nom dans la colonne Espèce traitée","")</f>
        <v/>
      </c>
      <c r="L335" s="31" t="str">
        <f>IF(E335="","",INDEX(Données_ATB!BD$3:BU$600,MATCH(E335,Medicament,0),18))</f>
        <v/>
      </c>
      <c r="M335" s="31" t="str">
        <f t="shared" si="21"/>
        <v/>
      </c>
      <c r="N335" s="31" t="str">
        <f t="shared" si="22"/>
        <v/>
      </c>
      <c r="O335" s="31" t="str">
        <f t="shared" si="23"/>
        <v/>
      </c>
      <c r="P335" s="31" t="str">
        <f t="shared" si="24"/>
        <v/>
      </c>
    </row>
    <row r="336" spans="2:16" x14ac:dyDescent="0.3">
      <c r="B336" s="155"/>
      <c r="C336" s="156"/>
      <c r="D336" s="156"/>
      <c r="E336" s="156"/>
      <c r="F336" s="182"/>
      <c r="G336" s="72" t="str">
        <f>IF(C336="","",IFERROR(INDEX(G$19:$L333,MATCH(C336,L$19:L$28,0),1),"Non renseigné"))</f>
        <v/>
      </c>
      <c r="H336" s="190" t="str">
        <f>IFERROR(IF(E336="","",INDEX(Données_ATB!BD$3:BT$600,MATCH(E336,Medicament,0),17)),"Ce médicament n'est pas connu dans la base")</f>
        <v/>
      </c>
      <c r="I336" s="69" t="str">
        <f>IFERROR(IF(E336="","",INDEX(Données_ATB!BD$3:BL$600,MATCH(E336,Medicament,0),9)),"")</f>
        <v/>
      </c>
      <c r="J336" s="44" t="str">
        <f>IFERROR(IF(E336="","",INDEX(Données_ATB!BD$3:BP$5600,MATCH(E336,Medicament,0),13)),"")</f>
        <v/>
      </c>
      <c r="K336" s="161" t="str">
        <f>IF(COUNTIFS($B$31:B336,B336,$E$31:E336,E336,$C$31:C336,C336,$D$31:D336,D336)&gt;1,"DÉJÀ ENTRÉ",IF(AND(COUNTA(B336,C336,D336,E336,F336)&lt;5,COUNTA(B336,C336,D336,E336,F336)&gt;0),"Pensez à renseigner toutes les cases de la ligne !",IF(COUNTA(B336)=1,IF(COUNTBLANK(B336)&gt;=1,"Ne laissez pas de lignes vides. Écrivez sur la ligne supérieure.",""),"")))&amp;IF(G336="Non renseigné","Veuillez sélectionner de nouveau le nom dans la colonne Espèce traitée","")</f>
        <v/>
      </c>
      <c r="L336" s="31" t="str">
        <f>IF(E336="","",INDEX(Données_ATB!BD$3:BU$600,MATCH(E336,Medicament,0),18))</f>
        <v/>
      </c>
      <c r="M336" s="31" t="str">
        <f t="shared" si="21"/>
        <v/>
      </c>
      <c r="N336" s="31" t="str">
        <f t="shared" si="22"/>
        <v/>
      </c>
      <c r="O336" s="31" t="str">
        <f t="shared" si="23"/>
        <v/>
      </c>
      <c r="P336" s="31" t="str">
        <f t="shared" si="24"/>
        <v/>
      </c>
    </row>
    <row r="337" spans="2:16" x14ac:dyDescent="0.3">
      <c r="B337" s="155"/>
      <c r="C337" s="156"/>
      <c r="D337" s="156"/>
      <c r="E337" s="156"/>
      <c r="F337" s="182"/>
      <c r="G337" s="72" t="str">
        <f>IF(C337="","",IFERROR(INDEX(G$19:$L334,MATCH(C337,L$19:L$28,0),1),"Non renseigné"))</f>
        <v/>
      </c>
      <c r="H337" s="190" t="str">
        <f>IFERROR(IF(E337="","",INDEX(Données_ATB!BD$3:BT$600,MATCH(E337,Medicament,0),17)),"Ce médicament n'est pas connu dans la base")</f>
        <v/>
      </c>
      <c r="I337" s="69" t="str">
        <f>IFERROR(IF(E337="","",INDEX(Données_ATB!BD$3:BL$600,MATCH(E337,Medicament,0),9)),"")</f>
        <v/>
      </c>
      <c r="J337" s="44" t="str">
        <f>IFERROR(IF(E337="","",INDEX(Données_ATB!BD$3:BP$5600,MATCH(E337,Medicament,0),13)),"")</f>
        <v/>
      </c>
      <c r="K337" s="161" t="str">
        <f>IF(COUNTIFS($B$31:B337,B337,$E$31:E337,E337,$C$31:C337,C337,$D$31:D337,D337)&gt;1,"DÉJÀ ENTRÉ",IF(AND(COUNTA(B337,C337,D337,E337,F337)&lt;5,COUNTA(B337,C337,D337,E337,F337)&gt;0),"Pensez à renseigner toutes les cases de la ligne !",IF(COUNTA(B337)=1,IF(COUNTBLANK(B337)&gt;=1,"Ne laissez pas de lignes vides. Écrivez sur la ligne supérieure.",""),"")))&amp;IF(G337="Non renseigné","Veuillez sélectionner de nouveau le nom dans la colonne Espèce traitée","")</f>
        <v/>
      </c>
      <c r="L337" s="31" t="str">
        <f>IF(E337="","",INDEX(Données_ATB!BD$3:BU$600,MATCH(E337,Medicament,0),18))</f>
        <v/>
      </c>
      <c r="M337" s="31" t="str">
        <f t="shared" si="21"/>
        <v/>
      </c>
      <c r="N337" s="31" t="str">
        <f t="shared" si="22"/>
        <v/>
      </c>
      <c r="O337" s="31" t="str">
        <f t="shared" si="23"/>
        <v/>
      </c>
      <c r="P337" s="31" t="str">
        <f t="shared" si="24"/>
        <v/>
      </c>
    </row>
    <row r="338" spans="2:16" x14ac:dyDescent="0.3">
      <c r="B338" s="155"/>
      <c r="C338" s="156"/>
      <c r="D338" s="156"/>
      <c r="E338" s="156"/>
      <c r="F338" s="182"/>
      <c r="G338" s="72" t="str">
        <f>IF(C338="","",IFERROR(INDEX(G$19:$L335,MATCH(C338,L$19:L$28,0),1),"Non renseigné"))</f>
        <v/>
      </c>
      <c r="H338" s="190" t="str">
        <f>IFERROR(IF(E338="","",INDEX(Données_ATB!BD$3:BT$600,MATCH(E338,Medicament,0),17)),"Ce médicament n'est pas connu dans la base")</f>
        <v/>
      </c>
      <c r="I338" s="69" t="str">
        <f>IFERROR(IF(E338="","",INDEX(Données_ATB!BD$3:BL$600,MATCH(E338,Medicament,0),9)),"")</f>
        <v/>
      </c>
      <c r="J338" s="44" t="str">
        <f>IFERROR(IF(E338="","",INDEX(Données_ATB!BD$3:BP$5600,MATCH(E338,Medicament,0),13)),"")</f>
        <v/>
      </c>
      <c r="K338" s="161" t="str">
        <f>IF(COUNTIFS($B$31:B338,B338,$E$31:E338,E338,$C$31:C338,C338,$D$31:D338,D338)&gt;1,"DÉJÀ ENTRÉ",IF(AND(COUNTA(B338,C338,D338,E338,F338)&lt;5,COUNTA(B338,C338,D338,E338,F338)&gt;0),"Pensez à renseigner toutes les cases de la ligne !",IF(COUNTA(B338)=1,IF(COUNTBLANK(B338)&gt;=1,"Ne laissez pas de lignes vides. Écrivez sur la ligne supérieure.",""),"")))&amp;IF(G338="Non renseigné","Veuillez sélectionner de nouveau le nom dans la colonne Espèce traitée","")</f>
        <v/>
      </c>
      <c r="L338" s="31" t="str">
        <f>IF(E338="","",INDEX(Données_ATB!BD$3:BU$600,MATCH(E338,Medicament,0),18))</f>
        <v/>
      </c>
      <c r="M338" s="31" t="str">
        <f t="shared" si="21"/>
        <v/>
      </c>
      <c r="N338" s="31" t="str">
        <f t="shared" si="22"/>
        <v/>
      </c>
      <c r="O338" s="31" t="str">
        <f t="shared" si="23"/>
        <v/>
      </c>
      <c r="P338" s="31" t="str">
        <f t="shared" si="24"/>
        <v/>
      </c>
    </row>
    <row r="339" spans="2:16" x14ac:dyDescent="0.3">
      <c r="B339" s="155"/>
      <c r="C339" s="156"/>
      <c r="D339" s="156"/>
      <c r="E339" s="156"/>
      <c r="F339" s="182"/>
      <c r="G339" s="72" t="str">
        <f>IF(C339="","",IFERROR(INDEX(G$19:$L336,MATCH(C339,L$19:L$28,0),1),"Non renseigné"))</f>
        <v/>
      </c>
      <c r="H339" s="190" t="str">
        <f>IFERROR(IF(E339="","",INDEX(Données_ATB!BD$3:BT$600,MATCH(E339,Medicament,0),17)),"Ce médicament n'est pas connu dans la base")</f>
        <v/>
      </c>
      <c r="I339" s="69" t="str">
        <f>IFERROR(IF(E339="","",INDEX(Données_ATB!BD$3:BL$600,MATCH(E339,Medicament,0),9)),"")</f>
        <v/>
      </c>
      <c r="J339" s="44" t="str">
        <f>IFERROR(IF(E339="","",INDEX(Données_ATB!BD$3:BP$5600,MATCH(E339,Medicament,0),13)),"")</f>
        <v/>
      </c>
      <c r="K339" s="161" t="str">
        <f>IF(COUNTIFS($B$31:B339,B339,$E$31:E339,E339,$C$31:C339,C339,$D$31:D339,D339)&gt;1,"DÉJÀ ENTRÉ",IF(AND(COUNTA(B339,C339,D339,E339,F339)&lt;5,COUNTA(B339,C339,D339,E339,F339)&gt;0),"Pensez à renseigner toutes les cases de la ligne !",IF(COUNTA(B339)=1,IF(COUNTBLANK(B339)&gt;=1,"Ne laissez pas de lignes vides. Écrivez sur la ligne supérieure.",""),"")))&amp;IF(G339="Non renseigné","Veuillez sélectionner de nouveau le nom dans la colonne Espèce traitée","")</f>
        <v/>
      </c>
      <c r="L339" s="31" t="str">
        <f>IF(E339="","",INDEX(Données_ATB!BD$3:BU$600,MATCH(E339,Medicament,0),18))</f>
        <v/>
      </c>
      <c r="M339" s="31" t="str">
        <f t="shared" si="21"/>
        <v/>
      </c>
      <c r="N339" s="31" t="str">
        <f t="shared" si="22"/>
        <v/>
      </c>
      <c r="O339" s="31" t="str">
        <f t="shared" si="23"/>
        <v/>
      </c>
      <c r="P339" s="31" t="str">
        <f t="shared" si="24"/>
        <v/>
      </c>
    </row>
    <row r="340" spans="2:16" x14ac:dyDescent="0.3">
      <c r="B340" s="155"/>
      <c r="C340" s="156"/>
      <c r="D340" s="156"/>
      <c r="E340" s="156"/>
      <c r="F340" s="182"/>
      <c r="G340" s="72" t="str">
        <f>IF(C340="","",IFERROR(INDEX(G$19:$L337,MATCH(C340,L$19:L$28,0),1),"Non renseigné"))</f>
        <v/>
      </c>
      <c r="H340" s="190" t="str">
        <f>IFERROR(IF(E340="","",INDEX(Données_ATB!BD$3:BT$600,MATCH(E340,Medicament,0),17)),"Ce médicament n'est pas connu dans la base")</f>
        <v/>
      </c>
      <c r="I340" s="69" t="str">
        <f>IFERROR(IF(E340="","",INDEX(Données_ATB!BD$3:BL$600,MATCH(E340,Medicament,0),9)),"")</f>
        <v/>
      </c>
      <c r="J340" s="44" t="str">
        <f>IFERROR(IF(E340="","",INDEX(Données_ATB!BD$3:BP$5600,MATCH(E340,Medicament,0),13)),"")</f>
        <v/>
      </c>
      <c r="K340" s="161" t="str">
        <f>IF(COUNTIFS($B$31:B340,B340,$E$31:E340,E340,$C$31:C340,C340,$D$31:D340,D340)&gt;1,"DÉJÀ ENTRÉ",IF(AND(COUNTA(B340,C340,D340,E340,F340)&lt;5,COUNTA(B340,C340,D340,E340,F340)&gt;0),"Pensez à renseigner toutes les cases de la ligne !",IF(COUNTA(B340)=1,IF(COUNTBLANK(B340)&gt;=1,"Ne laissez pas de lignes vides. Écrivez sur la ligne supérieure.",""),"")))&amp;IF(G340="Non renseigné","Veuillez sélectionner de nouveau le nom dans la colonne Espèce traitée","")</f>
        <v/>
      </c>
      <c r="L340" s="31" t="str">
        <f>IF(E340="","",INDEX(Données_ATB!BD$3:BU$600,MATCH(E340,Medicament,0),18))</f>
        <v/>
      </c>
      <c r="M340" s="31" t="str">
        <f t="shared" si="21"/>
        <v/>
      </c>
      <c r="N340" s="31" t="str">
        <f t="shared" si="22"/>
        <v/>
      </c>
      <c r="O340" s="31" t="str">
        <f t="shared" si="23"/>
        <v/>
      </c>
      <c r="P340" s="31" t="str">
        <f t="shared" si="24"/>
        <v/>
      </c>
    </row>
    <row r="341" spans="2:16" x14ac:dyDescent="0.3">
      <c r="B341" s="155"/>
      <c r="C341" s="156"/>
      <c r="D341" s="156"/>
      <c r="E341" s="156"/>
      <c r="F341" s="182"/>
      <c r="G341" s="72" t="str">
        <f>IF(C341="","",IFERROR(INDEX(G$19:$L338,MATCH(C341,L$19:L$28,0),1),"Non renseigné"))</f>
        <v/>
      </c>
      <c r="H341" s="190" t="str">
        <f>IFERROR(IF(E341="","",INDEX(Données_ATB!BD$3:BT$600,MATCH(E341,Medicament,0),17)),"Ce médicament n'est pas connu dans la base")</f>
        <v/>
      </c>
      <c r="I341" s="69" t="str">
        <f>IFERROR(IF(E341="","",INDEX(Données_ATB!BD$3:BL$600,MATCH(E341,Medicament,0),9)),"")</f>
        <v/>
      </c>
      <c r="J341" s="44" t="str">
        <f>IFERROR(IF(E341="","",INDEX(Données_ATB!BD$3:BP$5600,MATCH(E341,Medicament,0),13)),"")</f>
        <v/>
      </c>
      <c r="K341" s="161" t="str">
        <f>IF(COUNTIFS($B$31:B341,B341,$E$31:E341,E341,$C$31:C341,C341,$D$31:D341,D341)&gt;1,"DÉJÀ ENTRÉ",IF(AND(COUNTA(B341,C341,D341,E341,F341)&lt;5,COUNTA(B341,C341,D341,E341,F341)&gt;0),"Pensez à renseigner toutes les cases de la ligne !",IF(COUNTA(B341)=1,IF(COUNTBLANK(B341)&gt;=1,"Ne laissez pas de lignes vides. Écrivez sur la ligne supérieure.",""),"")))&amp;IF(G341="Non renseigné","Veuillez sélectionner de nouveau le nom dans la colonne Espèce traitée","")</f>
        <v/>
      </c>
      <c r="L341" s="31" t="str">
        <f>IF(E341="","",INDEX(Données_ATB!BD$3:BU$600,MATCH(E341,Medicament,0),18))</f>
        <v/>
      </c>
      <c r="M341" s="31" t="str">
        <f t="shared" si="21"/>
        <v/>
      </c>
      <c r="N341" s="31" t="str">
        <f t="shared" si="22"/>
        <v/>
      </c>
      <c r="O341" s="31" t="str">
        <f t="shared" si="23"/>
        <v/>
      </c>
      <c r="P341" s="31" t="str">
        <f t="shared" si="24"/>
        <v/>
      </c>
    </row>
    <row r="342" spans="2:16" x14ac:dyDescent="0.3">
      <c r="B342" s="155"/>
      <c r="C342" s="156"/>
      <c r="D342" s="156"/>
      <c r="E342" s="156"/>
      <c r="F342" s="182"/>
      <c r="G342" s="72" t="str">
        <f>IF(C342="","",IFERROR(INDEX(G$19:$L339,MATCH(C342,L$19:L$28,0),1),"Non renseigné"))</f>
        <v/>
      </c>
      <c r="H342" s="190" t="str">
        <f>IFERROR(IF(E342="","",INDEX(Données_ATB!BD$3:BT$600,MATCH(E342,Medicament,0),17)),"Ce médicament n'est pas connu dans la base")</f>
        <v/>
      </c>
      <c r="I342" s="69" t="str">
        <f>IFERROR(IF(E342="","",INDEX(Données_ATB!BD$3:BL$600,MATCH(E342,Medicament,0),9)),"")</f>
        <v/>
      </c>
      <c r="J342" s="44" t="str">
        <f>IFERROR(IF(E342="","",INDEX(Données_ATB!BD$3:BP$5600,MATCH(E342,Medicament,0),13)),"")</f>
        <v/>
      </c>
      <c r="K342" s="161" t="str">
        <f>IF(COUNTIFS($B$31:B342,B342,$E$31:E342,E342,$C$31:C342,C342,$D$31:D342,D342)&gt;1,"DÉJÀ ENTRÉ",IF(AND(COUNTA(B342,C342,D342,E342,F342)&lt;5,COUNTA(B342,C342,D342,E342,F342)&gt;0),"Pensez à renseigner toutes les cases de la ligne !",IF(COUNTA(B342)=1,IF(COUNTBLANK(B342)&gt;=1,"Ne laissez pas de lignes vides. Écrivez sur la ligne supérieure.",""),"")))&amp;IF(G342="Non renseigné","Veuillez sélectionner de nouveau le nom dans la colonne Espèce traitée","")</f>
        <v/>
      </c>
      <c r="L342" s="31" t="str">
        <f>IF(E342="","",INDEX(Données_ATB!BD$3:BU$600,MATCH(E342,Medicament,0),18))</f>
        <v/>
      </c>
      <c r="M342" s="31" t="str">
        <f t="shared" si="21"/>
        <v/>
      </c>
      <c r="N342" s="31" t="str">
        <f t="shared" si="22"/>
        <v/>
      </c>
      <c r="O342" s="31" t="str">
        <f t="shared" si="23"/>
        <v/>
      </c>
      <c r="P342" s="31" t="str">
        <f t="shared" si="24"/>
        <v/>
      </c>
    </row>
    <row r="343" spans="2:16" x14ac:dyDescent="0.3">
      <c r="B343" s="155"/>
      <c r="C343" s="156"/>
      <c r="D343" s="156"/>
      <c r="E343" s="156"/>
      <c r="F343" s="182"/>
      <c r="G343" s="72" t="str">
        <f>IF(C343="","",IFERROR(INDEX(G$19:$L340,MATCH(C343,L$19:L$28,0),1),"Non renseigné"))</f>
        <v/>
      </c>
      <c r="H343" s="190" t="str">
        <f>IFERROR(IF(E343="","",INDEX(Données_ATB!BD$3:BT$600,MATCH(E343,Medicament,0),17)),"Ce médicament n'est pas connu dans la base")</f>
        <v/>
      </c>
      <c r="I343" s="69" t="str">
        <f>IFERROR(IF(E343="","",INDEX(Données_ATB!BD$3:BL$600,MATCH(E343,Medicament,0),9)),"")</f>
        <v/>
      </c>
      <c r="J343" s="44" t="str">
        <f>IFERROR(IF(E343="","",INDEX(Données_ATB!BD$3:BP$5600,MATCH(E343,Medicament,0),13)),"")</f>
        <v/>
      </c>
      <c r="K343" s="161" t="str">
        <f>IF(COUNTIFS($B$31:B343,B343,$E$31:E343,E343,$C$31:C343,C343,$D$31:D343,D343)&gt;1,"DÉJÀ ENTRÉ",IF(AND(COUNTA(B343,C343,D343,E343,F343)&lt;5,COUNTA(B343,C343,D343,E343,F343)&gt;0),"Pensez à renseigner toutes les cases de la ligne !",IF(COUNTA(B343)=1,IF(COUNTBLANK(B343)&gt;=1,"Ne laissez pas de lignes vides. Écrivez sur la ligne supérieure.",""),"")))&amp;IF(G343="Non renseigné","Veuillez sélectionner de nouveau le nom dans la colonne Espèce traitée","")</f>
        <v/>
      </c>
      <c r="L343" s="31" t="str">
        <f>IF(E343="","",INDEX(Données_ATB!BD$3:BU$600,MATCH(E343,Medicament,0),18))</f>
        <v/>
      </c>
      <c r="M343" s="31" t="str">
        <f t="shared" si="21"/>
        <v/>
      </c>
      <c r="N343" s="31" t="str">
        <f t="shared" si="22"/>
        <v/>
      </c>
      <c r="O343" s="31" t="str">
        <f t="shared" si="23"/>
        <v/>
      </c>
      <c r="P343" s="31" t="str">
        <f t="shared" si="24"/>
        <v/>
      </c>
    </row>
    <row r="344" spans="2:16" x14ac:dyDescent="0.3">
      <c r="B344" s="155"/>
      <c r="C344" s="156"/>
      <c r="D344" s="156"/>
      <c r="E344" s="156"/>
      <c r="F344" s="182"/>
      <c r="G344" s="72" t="str">
        <f>IF(C344="","",IFERROR(INDEX(G$19:$L341,MATCH(C344,L$19:L$28,0),1),"Non renseigné"))</f>
        <v/>
      </c>
      <c r="H344" s="190" t="str">
        <f>IFERROR(IF(E344="","",INDEX(Données_ATB!BD$3:BT$600,MATCH(E344,Medicament,0),17)),"Ce médicament n'est pas connu dans la base")</f>
        <v/>
      </c>
      <c r="I344" s="69" t="str">
        <f>IFERROR(IF(E344="","",INDEX(Données_ATB!BD$3:BL$600,MATCH(E344,Medicament,0),9)),"")</f>
        <v/>
      </c>
      <c r="J344" s="44" t="str">
        <f>IFERROR(IF(E344="","",INDEX(Données_ATB!BD$3:BP$5600,MATCH(E344,Medicament,0),13)),"")</f>
        <v/>
      </c>
      <c r="K344" s="161" t="str">
        <f>IF(COUNTIFS($B$31:B344,B344,$E$31:E344,E344,$C$31:C344,C344,$D$31:D344,D344)&gt;1,"DÉJÀ ENTRÉ",IF(AND(COUNTA(B344,C344,D344,E344,F344)&lt;5,COUNTA(B344,C344,D344,E344,F344)&gt;0),"Pensez à renseigner toutes les cases de la ligne !",IF(COUNTA(B344)=1,IF(COUNTBLANK(B344)&gt;=1,"Ne laissez pas de lignes vides. Écrivez sur la ligne supérieure.",""),"")))&amp;IF(G344="Non renseigné","Veuillez sélectionner de nouveau le nom dans la colonne Espèce traitée","")</f>
        <v/>
      </c>
      <c r="L344" s="31" t="str">
        <f>IF(E344="","",INDEX(Données_ATB!BD$3:BU$600,MATCH(E344,Medicament,0),18))</f>
        <v/>
      </c>
      <c r="M344" s="31" t="str">
        <f t="shared" si="21"/>
        <v/>
      </c>
      <c r="N344" s="31" t="str">
        <f t="shared" si="22"/>
        <v/>
      </c>
      <c r="O344" s="31" t="str">
        <f t="shared" si="23"/>
        <v/>
      </c>
      <c r="P344" s="31" t="str">
        <f t="shared" si="24"/>
        <v/>
      </c>
    </row>
    <row r="345" spans="2:16" ht="16.5" customHeight="1" x14ac:dyDescent="0.3">
      <c r="B345" s="155"/>
      <c r="C345" s="156"/>
      <c r="D345" s="156"/>
      <c r="E345" s="156"/>
      <c r="F345" s="182"/>
      <c r="G345" s="72" t="str">
        <f>IF(C345="","",IFERROR(INDEX(G$19:$L342,MATCH(C345,L$19:L$28,0),1),"Non renseigné"))</f>
        <v/>
      </c>
      <c r="H345" s="190" t="str">
        <f>IFERROR(IF(E345="","",INDEX(Données_ATB!BD$3:BT$600,MATCH(E345,Medicament,0),17)),"Ce médicament n'est pas connu dans la base")</f>
        <v/>
      </c>
      <c r="I345" s="69" t="str">
        <f>IFERROR(IF(E345="","",INDEX(Données_ATB!BD$3:BL$600,MATCH(E345,Medicament,0),9)),"")</f>
        <v/>
      </c>
      <c r="J345" s="44" t="str">
        <f>IFERROR(IF(E345="","",INDEX(Données_ATB!BD$3:BP$5600,MATCH(E345,Medicament,0),13)),"")</f>
        <v/>
      </c>
      <c r="K345" s="161" t="str">
        <f>IF(COUNTIFS($B$31:B345,B345,$E$31:E345,E345,$C$31:C345,C345,$D$31:D345,D345)&gt;1,"DÉJÀ ENTRÉ",IF(AND(COUNTA(B345,C345,D345,E345,F345)&lt;5,COUNTA(B345,C345,D345,E345,F345)&gt;0),"Pensez à renseigner toutes les cases de la ligne !",IF(COUNTA(B345)=1,IF(COUNTBLANK(B345)&gt;=1,"Ne laissez pas de lignes vides. Écrivez sur la ligne supérieure.",""),"")))&amp;IF(G345="Non renseigné","Veuillez sélectionner de nouveau le nom dans la colonne Espèce traitée","")</f>
        <v/>
      </c>
      <c r="L345" s="31" t="str">
        <f>IF(E345="","",INDEX(Données_ATB!BD$3:BU$600,MATCH(E345,Medicament,0),18))</f>
        <v/>
      </c>
      <c r="M345" s="31" t="str">
        <f t="shared" si="21"/>
        <v/>
      </c>
      <c r="N345" s="31" t="str">
        <f t="shared" si="22"/>
        <v/>
      </c>
      <c r="O345" s="31" t="str">
        <f t="shared" si="23"/>
        <v/>
      </c>
      <c r="P345" s="31" t="str">
        <f t="shared" si="24"/>
        <v/>
      </c>
    </row>
    <row r="346" spans="2:16" ht="16.5" customHeight="1" x14ac:dyDescent="0.3">
      <c r="B346" s="155"/>
      <c r="C346" s="156"/>
      <c r="D346" s="156"/>
      <c r="E346" s="156"/>
      <c r="F346" s="182"/>
      <c r="G346" s="72" t="str">
        <f>IF(C346="","",IFERROR(INDEX(G$19:$L343,MATCH(C346,L$19:L$28,0),1),"Non renseigné"))</f>
        <v/>
      </c>
      <c r="H346" s="190" t="str">
        <f>IFERROR(IF(E346="","",INDEX(Données_ATB!BD$3:BT$600,MATCH(E346,Medicament,0),17)),"Ce médicament n'est pas connu dans la base")</f>
        <v/>
      </c>
      <c r="I346" s="69" t="str">
        <f>IFERROR(IF(E346="","",INDEX(Données_ATB!BD$3:BL$600,MATCH(E346,Medicament,0),9)),"")</f>
        <v/>
      </c>
      <c r="J346" s="44" t="str">
        <f>IFERROR(IF(E346="","",INDEX(Données_ATB!BD$3:BP$5600,MATCH(E346,Medicament,0),13)),"")</f>
        <v/>
      </c>
      <c r="K346" s="161" t="str">
        <f>IF(COUNTIFS($B$31:B346,B346,$E$31:E346,E346,$C$31:C346,C346,$D$31:D346,D346)&gt;1,"DÉJÀ ENTRÉ",IF(AND(COUNTA(B346,C346,D346,E346,F346)&lt;5,COUNTA(B346,C346,D346,E346,F346)&gt;0),"Pensez à renseigner toutes les cases de la ligne !",IF(COUNTA(B346)=1,IF(COUNTBLANK(B346)&gt;=1,"Ne laissez pas de lignes vides. Écrivez sur la ligne supérieure.",""),"")))&amp;IF(G346="Non renseigné","Veuillez sélectionner de nouveau le nom dans la colonne Espèce traitée","")</f>
        <v/>
      </c>
      <c r="L346" s="31" t="str">
        <f>IF(E346="","",INDEX(Données_ATB!BD$3:BU$600,MATCH(E346,Medicament,0),18))</f>
        <v/>
      </c>
      <c r="M346" s="31" t="str">
        <f t="shared" si="21"/>
        <v/>
      </c>
      <c r="N346" s="31" t="str">
        <f t="shared" si="22"/>
        <v/>
      </c>
      <c r="O346" s="31" t="str">
        <f t="shared" si="23"/>
        <v/>
      </c>
      <c r="P346" s="31" t="str">
        <f t="shared" si="24"/>
        <v/>
      </c>
    </row>
    <row r="347" spans="2:16" x14ac:dyDescent="0.3">
      <c r="B347" s="155"/>
      <c r="C347" s="156"/>
      <c r="D347" s="156"/>
      <c r="E347" s="156"/>
      <c r="F347" s="182"/>
      <c r="G347" s="72" t="str">
        <f>IF(C347="","",IFERROR(INDEX(G$19:$L344,MATCH(C347,L$19:L$28,0),1),"Non renseigné"))</f>
        <v/>
      </c>
      <c r="H347" s="190" t="str">
        <f>IFERROR(IF(E347="","",INDEX(Données_ATB!BD$3:BT$600,MATCH(E347,Medicament,0),17)),"Ce médicament n'est pas connu dans la base")</f>
        <v/>
      </c>
      <c r="I347" s="69" t="str">
        <f>IFERROR(IF(E347="","",INDEX(Données_ATB!BD$3:BL$600,MATCH(E347,Medicament,0),9)),"")</f>
        <v/>
      </c>
      <c r="J347" s="44" t="str">
        <f>IFERROR(IF(E347="","",INDEX(Données_ATB!BD$3:BP$5600,MATCH(E347,Medicament,0),13)),"")</f>
        <v/>
      </c>
      <c r="K347" s="161" t="str">
        <f>IF(COUNTIFS($B$31:B347,B347,$E$31:E347,E347,$C$31:C347,C347,$D$31:D347,D347)&gt;1,"DÉJÀ ENTRÉ",IF(AND(COUNTA(B347,C347,D347,E347,F347)&lt;5,COUNTA(B347,C347,D347,E347,F347)&gt;0),"Pensez à renseigner toutes les cases de la ligne !",IF(COUNTA(B347)=1,IF(COUNTBLANK(B347)&gt;=1,"Ne laissez pas de lignes vides. Écrivez sur la ligne supérieure.",""),"")))&amp;IF(G347="Non renseigné","Veuillez sélectionner de nouveau le nom dans la colonne Espèce traitée","")</f>
        <v/>
      </c>
      <c r="L347" s="31" t="str">
        <f>IF(E347="","",INDEX(Données_ATB!BD$3:BU$600,MATCH(E347,Medicament,0),18))</f>
        <v/>
      </c>
      <c r="M347" s="31" t="str">
        <f t="shared" si="21"/>
        <v/>
      </c>
      <c r="N347" s="31" t="str">
        <f t="shared" si="22"/>
        <v/>
      </c>
      <c r="O347" s="31" t="str">
        <f t="shared" si="23"/>
        <v/>
      </c>
      <c r="P347" s="31" t="str">
        <f t="shared" si="24"/>
        <v/>
      </c>
    </row>
    <row r="348" spans="2:16" x14ac:dyDescent="0.3">
      <c r="B348" s="155"/>
      <c r="C348" s="156"/>
      <c r="D348" s="156"/>
      <c r="E348" s="156"/>
      <c r="F348" s="182"/>
      <c r="G348" s="72" t="str">
        <f>IF(C348="","",IFERROR(INDEX(G$19:$L345,MATCH(C348,L$19:L$28,0),1),"Non renseigné"))</f>
        <v/>
      </c>
      <c r="H348" s="190" t="str">
        <f>IFERROR(IF(E348="","",INDEX(Données_ATB!BD$3:BT$600,MATCH(E348,Medicament,0),17)),"Ce médicament n'est pas connu dans la base")</f>
        <v/>
      </c>
      <c r="I348" s="69" t="str">
        <f>IFERROR(IF(E348="","",INDEX(Données_ATB!BD$3:BL$600,MATCH(E348,Medicament,0),9)),"")</f>
        <v/>
      </c>
      <c r="J348" s="44" t="str">
        <f>IFERROR(IF(E348="","",INDEX(Données_ATB!BD$3:BP$5600,MATCH(E348,Medicament,0),13)),"")</f>
        <v/>
      </c>
      <c r="K348" s="161" t="str">
        <f>IF(COUNTIFS($B$31:B348,B348,$E$31:E348,E348,$C$31:C348,C348,$D$31:D348,D348)&gt;1,"DÉJÀ ENTRÉ",IF(AND(COUNTA(B348,C348,D348,E348,F348)&lt;5,COUNTA(B348,C348,D348,E348,F348)&gt;0),"Pensez à renseigner toutes les cases de la ligne !",IF(COUNTA(B348)=1,IF(COUNTBLANK(B348)&gt;=1,"Ne laissez pas de lignes vides. Écrivez sur la ligne supérieure.",""),"")))&amp;IF(G348="Non renseigné","Veuillez sélectionner de nouveau le nom dans la colonne Espèce traitée","")</f>
        <v/>
      </c>
      <c r="L348" s="31" t="str">
        <f>IF(E348="","",INDEX(Données_ATB!BD$3:BU$600,MATCH(E348,Medicament,0),18))</f>
        <v/>
      </c>
      <c r="M348" s="31" t="str">
        <f t="shared" si="21"/>
        <v/>
      </c>
      <c r="N348" s="31" t="str">
        <f t="shared" si="22"/>
        <v/>
      </c>
      <c r="O348" s="31" t="str">
        <f t="shared" si="23"/>
        <v/>
      </c>
      <c r="P348" s="31" t="str">
        <f t="shared" si="24"/>
        <v/>
      </c>
    </row>
    <row r="349" spans="2:16" x14ac:dyDescent="0.3">
      <c r="B349" s="155"/>
      <c r="C349" s="156"/>
      <c r="D349" s="156"/>
      <c r="E349" s="156"/>
      <c r="F349" s="182"/>
      <c r="G349" s="72" t="str">
        <f>IF(C349="","",IFERROR(INDEX(G$19:$L346,MATCH(C349,L$19:L$28,0),1),"Non renseigné"))</f>
        <v/>
      </c>
      <c r="H349" s="190" t="str">
        <f>IFERROR(IF(E349="","",INDEX(Données_ATB!BD$3:BT$600,MATCH(E349,Medicament,0),17)),"Ce médicament n'est pas connu dans la base")</f>
        <v/>
      </c>
      <c r="I349" s="69" t="str">
        <f>IFERROR(IF(E349="","",INDEX(Données_ATB!BD$3:BL$600,MATCH(E349,Medicament,0),9)),"")</f>
        <v/>
      </c>
      <c r="J349" s="44" t="str">
        <f>IFERROR(IF(E349="","",INDEX(Données_ATB!BD$3:BP$5600,MATCH(E349,Medicament,0),13)),"")</f>
        <v/>
      </c>
      <c r="K349" s="161" t="str">
        <f>IF(COUNTIFS($B$31:B349,B349,$E$31:E349,E349,$C$31:C349,C349,$D$31:D349,D349)&gt;1,"DÉJÀ ENTRÉ",IF(AND(COUNTA(B349,C349,D349,E349,F349)&lt;5,COUNTA(B349,C349,D349,E349,F349)&gt;0),"Pensez à renseigner toutes les cases de la ligne !",IF(COUNTA(B349)=1,IF(COUNTBLANK(B349)&gt;=1,"Ne laissez pas de lignes vides. Écrivez sur la ligne supérieure.",""),"")))&amp;IF(G349="Non renseigné","Veuillez sélectionner de nouveau le nom dans la colonne Espèce traitée","")</f>
        <v/>
      </c>
      <c r="L349" s="31" t="str">
        <f>IF(E349="","",INDEX(Données_ATB!BD$3:BU$600,MATCH(E349,Medicament,0),18))</f>
        <v/>
      </c>
      <c r="M349" s="31" t="str">
        <f t="shared" si="21"/>
        <v/>
      </c>
      <c r="N349" s="31" t="str">
        <f t="shared" si="22"/>
        <v/>
      </c>
      <c r="O349" s="31" t="str">
        <f t="shared" si="23"/>
        <v/>
      </c>
      <c r="P349" s="31" t="str">
        <f t="shared" si="24"/>
        <v/>
      </c>
    </row>
    <row r="350" spans="2:16" x14ac:dyDescent="0.3">
      <c r="B350" s="155"/>
      <c r="C350" s="156"/>
      <c r="D350" s="156"/>
      <c r="E350" s="156"/>
      <c r="F350" s="182"/>
      <c r="G350" s="72" t="str">
        <f>IF(C350="","",IFERROR(INDEX(G$19:$L347,MATCH(C350,L$19:L$28,0),1),"Non renseigné"))</f>
        <v/>
      </c>
      <c r="H350" s="190" t="str">
        <f>IFERROR(IF(E350="","",INDEX(Données_ATB!BD$3:BT$600,MATCH(E350,Medicament,0),17)),"Ce médicament n'est pas connu dans la base")</f>
        <v/>
      </c>
      <c r="I350" s="69" t="str">
        <f>IFERROR(IF(E350="","",INDEX(Données_ATB!BD$3:BL$600,MATCH(E350,Medicament,0),9)),"")</f>
        <v/>
      </c>
      <c r="J350" s="44" t="str">
        <f>IFERROR(IF(E350="","",INDEX(Données_ATB!BD$3:BP$5600,MATCH(E350,Medicament,0),13)),"")</f>
        <v/>
      </c>
      <c r="K350" s="161" t="str">
        <f>IF(COUNTIFS($B$31:B350,B350,$E$31:E350,E350,$C$31:C350,C350,$D$31:D350,D350)&gt;1,"DÉJÀ ENTRÉ",IF(AND(COUNTA(B350,C350,D350,E350,F350)&lt;5,COUNTA(B350,C350,D350,E350,F350)&gt;0),"Pensez à renseigner toutes les cases de la ligne !",IF(COUNTA(B350)=1,IF(COUNTBLANK(B350)&gt;=1,"Ne laissez pas de lignes vides. Écrivez sur la ligne supérieure.",""),"")))&amp;IF(G350="Non renseigné","Veuillez sélectionner de nouveau le nom dans la colonne Espèce traitée","")</f>
        <v/>
      </c>
      <c r="L350" s="31" t="str">
        <f>IF(E350="","",INDEX(Données_ATB!BD$3:BU$600,MATCH(E350,Medicament,0),18))</f>
        <v/>
      </c>
      <c r="M350" s="31" t="str">
        <f t="shared" si="21"/>
        <v/>
      </c>
      <c r="N350" s="31" t="str">
        <f t="shared" si="22"/>
        <v/>
      </c>
      <c r="O350" s="31" t="str">
        <f t="shared" si="23"/>
        <v/>
      </c>
      <c r="P350" s="31" t="str">
        <f t="shared" si="24"/>
        <v/>
      </c>
    </row>
    <row r="351" spans="2:16" x14ac:dyDescent="0.3">
      <c r="B351" s="155"/>
      <c r="C351" s="156"/>
      <c r="D351" s="156"/>
      <c r="E351" s="156"/>
      <c r="F351" s="182"/>
      <c r="G351" s="72" t="str">
        <f>IF(C351="","",IFERROR(INDEX(G$19:$L348,MATCH(C351,L$19:L$28,0),1),"Non renseigné"))</f>
        <v/>
      </c>
      <c r="H351" s="190" t="str">
        <f>IFERROR(IF(E351="","",INDEX(Données_ATB!BD$3:BT$600,MATCH(E351,Medicament,0),17)),"Ce médicament n'est pas connu dans la base")</f>
        <v/>
      </c>
      <c r="I351" s="69" t="str">
        <f>IFERROR(IF(E351="","",INDEX(Données_ATB!BD$3:BL$600,MATCH(E351,Medicament,0),9)),"")</f>
        <v/>
      </c>
      <c r="J351" s="44" t="str">
        <f>IFERROR(IF(E351="","",INDEX(Données_ATB!BD$3:BP$5600,MATCH(E351,Medicament,0),13)),"")</f>
        <v/>
      </c>
      <c r="K351" s="161" t="str">
        <f>IF(COUNTIFS($B$31:B351,B351,$E$31:E351,E351,$C$31:C351,C351,$D$31:D351,D351)&gt;1,"DÉJÀ ENTRÉ",IF(AND(COUNTA(B351,C351,D351,E351,F351)&lt;5,COUNTA(B351,C351,D351,E351,F351)&gt;0),"Pensez à renseigner toutes les cases de la ligne !",IF(COUNTA(B351)=1,IF(COUNTBLANK(B351)&gt;=1,"Ne laissez pas de lignes vides. Écrivez sur la ligne supérieure.",""),"")))&amp;IF(G351="Non renseigné","Veuillez sélectionner de nouveau le nom dans la colonne Espèce traitée","")</f>
        <v/>
      </c>
      <c r="L351" s="31" t="str">
        <f>IF(E351="","",INDEX(Données_ATB!BD$3:BU$600,MATCH(E351,Medicament,0),18))</f>
        <v/>
      </c>
      <c r="M351" s="31" t="str">
        <f t="shared" ref="M351:M400" si="25">IF(B351="janvier",1,IF(B351="février",2,IF(B351="mars",3,IF(B351="avril",4,IF(B351="mai",5,IF(B351="juin",6,IF(B351="juillet",7,IF(B351="août",8,IF(B351="septembre",9,IF(B351="octobre",10,IF(B351="novembre",11,IF(B351="décembre",12,""))))))))))))</f>
        <v/>
      </c>
      <c r="N351" s="31" t="str">
        <f t="shared" si="22"/>
        <v/>
      </c>
      <c r="O351" s="31" t="str">
        <f t="shared" si="23"/>
        <v/>
      </c>
      <c r="P351" s="31" t="str">
        <f t="shared" si="24"/>
        <v/>
      </c>
    </row>
    <row r="352" spans="2:16" x14ac:dyDescent="0.3">
      <c r="B352" s="155"/>
      <c r="C352" s="156"/>
      <c r="D352" s="156"/>
      <c r="E352" s="156"/>
      <c r="F352" s="182"/>
      <c r="G352" s="72" t="str">
        <f>IF(C352="","",IFERROR(INDEX(G$19:$L349,MATCH(C352,L$19:L$28,0),1),"Non renseigné"))</f>
        <v/>
      </c>
      <c r="H352" s="190" t="str">
        <f>IFERROR(IF(E352="","",INDEX(Données_ATB!BD$3:BT$600,MATCH(E352,Medicament,0),17)),"Ce médicament n'est pas connu dans la base")</f>
        <v/>
      </c>
      <c r="I352" s="69" t="str">
        <f>IFERROR(IF(E352="","",INDEX(Données_ATB!BD$3:BL$600,MATCH(E352,Medicament,0),9)),"")</f>
        <v/>
      </c>
      <c r="J352" s="44" t="str">
        <f>IFERROR(IF(E352="","",INDEX(Données_ATB!BD$3:BP$5600,MATCH(E352,Medicament,0),13)),"")</f>
        <v/>
      </c>
      <c r="K352" s="161" t="str">
        <f>IF(COUNTIFS($B$31:B352,B352,$E$31:E352,E352,$C$31:C352,C352,$D$31:D352,D352)&gt;1,"DÉJÀ ENTRÉ",IF(AND(COUNTA(B352,C352,D352,E352,F352)&lt;5,COUNTA(B352,C352,D352,E352,F352)&gt;0),"Pensez à renseigner toutes les cases de la ligne !",IF(COUNTA(B352)=1,IF(COUNTBLANK(B352)&gt;=1,"Ne laissez pas de lignes vides. Écrivez sur la ligne supérieure.",""),"")))&amp;IF(G352="Non renseigné","Veuillez sélectionner de nouveau le nom dans la colonne Espèce traitée","")</f>
        <v/>
      </c>
      <c r="L352" s="31" t="str">
        <f>IF(E352="","",INDEX(Données_ATB!BD$3:BU$600,MATCH(E352,Medicament,0),18))</f>
        <v/>
      </c>
      <c r="M352" s="31" t="str">
        <f t="shared" si="25"/>
        <v/>
      </c>
      <c r="N352" s="31" t="str">
        <f t="shared" si="22"/>
        <v/>
      </c>
      <c r="O352" s="31" t="str">
        <f t="shared" si="23"/>
        <v/>
      </c>
      <c r="P352" s="31" t="str">
        <f t="shared" si="24"/>
        <v/>
      </c>
    </row>
    <row r="353" spans="2:16" x14ac:dyDescent="0.3">
      <c r="B353" s="155"/>
      <c r="C353" s="156"/>
      <c r="D353" s="156"/>
      <c r="E353" s="156"/>
      <c r="F353" s="182"/>
      <c r="G353" s="72" t="str">
        <f>IF(C353="","",IFERROR(INDEX(G$19:$L350,MATCH(C353,L$19:L$28,0),1),"Non renseigné"))</f>
        <v/>
      </c>
      <c r="H353" s="190" t="str">
        <f>IFERROR(IF(E353="","",INDEX(Données_ATB!BD$3:BT$600,MATCH(E353,Medicament,0),17)),"Ce médicament n'est pas connu dans la base")</f>
        <v/>
      </c>
      <c r="I353" s="69" t="str">
        <f>IFERROR(IF(E353="","",INDEX(Données_ATB!BD$3:BL$600,MATCH(E353,Medicament,0),9)),"")</f>
        <v/>
      </c>
      <c r="J353" s="44" t="str">
        <f>IFERROR(IF(E353="","",INDEX(Données_ATB!BD$3:BP$5600,MATCH(E353,Medicament,0),13)),"")</f>
        <v/>
      </c>
      <c r="K353" s="161" t="str">
        <f>IF(COUNTIFS($B$31:B353,B353,$E$31:E353,E353,$C$31:C353,C353,$D$31:D353,D353)&gt;1,"DÉJÀ ENTRÉ",IF(AND(COUNTA(B353,C353,D353,E353,F353)&lt;5,COUNTA(B353,C353,D353,E353,F353)&gt;0),"Pensez à renseigner toutes les cases de la ligne !",IF(COUNTA(B353)=1,IF(COUNTBLANK(B353)&gt;=1,"Ne laissez pas de lignes vides. Écrivez sur la ligne supérieure.",""),"")))&amp;IF(G353="Non renseigné","Veuillez sélectionner de nouveau le nom dans la colonne Espèce traitée","")</f>
        <v/>
      </c>
      <c r="L353" s="31" t="str">
        <f>IF(E353="","",INDEX(Données_ATB!BD$3:BU$600,MATCH(E353,Medicament,0),18))</f>
        <v/>
      </c>
      <c r="M353" s="31" t="str">
        <f t="shared" si="25"/>
        <v/>
      </c>
      <c r="N353" s="31" t="str">
        <f t="shared" si="22"/>
        <v/>
      </c>
      <c r="O353" s="31" t="str">
        <f t="shared" si="23"/>
        <v/>
      </c>
      <c r="P353" s="31" t="str">
        <f t="shared" si="24"/>
        <v/>
      </c>
    </row>
    <row r="354" spans="2:16" x14ac:dyDescent="0.3">
      <c r="B354" s="155"/>
      <c r="C354" s="156"/>
      <c r="D354" s="156"/>
      <c r="E354" s="156"/>
      <c r="F354" s="182"/>
      <c r="G354" s="72" t="str">
        <f>IF(C354="","",IFERROR(INDEX(G$19:$L351,MATCH(C354,L$19:L$28,0),1),"Non renseigné"))</f>
        <v/>
      </c>
      <c r="H354" s="190" t="str">
        <f>IFERROR(IF(E354="","",INDEX(Données_ATB!BD$3:BT$600,MATCH(E354,Medicament,0),17)),"Ce médicament n'est pas connu dans la base")</f>
        <v/>
      </c>
      <c r="I354" s="69" t="str">
        <f>IFERROR(IF(E354="","",INDEX(Données_ATB!BD$3:BL$600,MATCH(E354,Medicament,0),9)),"")</f>
        <v/>
      </c>
      <c r="J354" s="44" t="str">
        <f>IFERROR(IF(E354="","",INDEX(Données_ATB!BD$3:BP$5600,MATCH(E354,Medicament,0),13)),"")</f>
        <v/>
      </c>
      <c r="K354" s="161" t="str">
        <f>IF(COUNTIFS($B$31:B354,B354,$E$31:E354,E354,$C$31:C354,C354,$D$31:D354,D354)&gt;1,"DÉJÀ ENTRÉ",IF(AND(COUNTA(B354,C354,D354,E354,F354)&lt;5,COUNTA(B354,C354,D354,E354,F354)&gt;0),"Pensez à renseigner toutes les cases de la ligne !",IF(COUNTA(B354)=1,IF(COUNTBLANK(B354)&gt;=1,"Ne laissez pas de lignes vides. Écrivez sur la ligne supérieure.",""),"")))&amp;IF(G354="Non renseigné","Veuillez sélectionner de nouveau le nom dans la colonne Espèce traitée","")</f>
        <v/>
      </c>
      <c r="L354" s="31" t="str">
        <f>IF(E354="","",INDEX(Données_ATB!BD$3:BU$600,MATCH(E354,Medicament,0),18))</f>
        <v/>
      </c>
      <c r="M354" s="31" t="str">
        <f t="shared" si="25"/>
        <v/>
      </c>
      <c r="N354" s="31" t="str">
        <f t="shared" si="22"/>
        <v/>
      </c>
      <c r="O354" s="31" t="str">
        <f t="shared" si="23"/>
        <v/>
      </c>
      <c r="P354" s="31" t="str">
        <f t="shared" si="24"/>
        <v/>
      </c>
    </row>
    <row r="355" spans="2:16" x14ac:dyDescent="0.3">
      <c r="B355" s="155"/>
      <c r="C355" s="156"/>
      <c r="D355" s="156"/>
      <c r="E355" s="156"/>
      <c r="F355" s="182"/>
      <c r="G355" s="72" t="str">
        <f>IF(C355="","",IFERROR(INDEX(G$19:$L352,MATCH(C355,L$19:L$28,0),1),"Non renseigné"))</f>
        <v/>
      </c>
      <c r="H355" s="190" t="str">
        <f>IFERROR(IF(E355="","",INDEX(Données_ATB!BD$3:BT$600,MATCH(E355,Medicament,0),17)),"Ce médicament n'est pas connu dans la base")</f>
        <v/>
      </c>
      <c r="I355" s="69" t="str">
        <f>IFERROR(IF(E355="","",INDEX(Données_ATB!BD$3:BL$600,MATCH(E355,Medicament,0),9)),"")</f>
        <v/>
      </c>
      <c r="J355" s="44" t="str">
        <f>IFERROR(IF(E355="","",INDEX(Données_ATB!BD$3:BP$5600,MATCH(E355,Medicament,0),13)),"")</f>
        <v/>
      </c>
      <c r="K355" s="161" t="str">
        <f>IF(COUNTIFS($B$31:B355,B355,$E$31:E355,E355,$C$31:C355,C355,$D$31:D355,D355)&gt;1,"DÉJÀ ENTRÉ",IF(AND(COUNTA(B355,C355,D355,E355,F355)&lt;5,COUNTA(B355,C355,D355,E355,F355)&gt;0),"Pensez à renseigner toutes les cases de la ligne !",IF(COUNTA(B355)=1,IF(COUNTBLANK(B355)&gt;=1,"Ne laissez pas de lignes vides. Écrivez sur la ligne supérieure.",""),"")))&amp;IF(G355="Non renseigné","Veuillez sélectionner de nouveau le nom dans la colonne Espèce traitée","")</f>
        <v/>
      </c>
      <c r="L355" s="31" t="str">
        <f>IF(E355="","",INDEX(Données_ATB!BD$3:BU$600,MATCH(E355,Medicament,0),18))</f>
        <v/>
      </c>
      <c r="M355" s="31" t="str">
        <f t="shared" si="25"/>
        <v/>
      </c>
      <c r="N355" s="31" t="str">
        <f t="shared" si="22"/>
        <v/>
      </c>
      <c r="O355" s="31" t="str">
        <f t="shared" si="23"/>
        <v/>
      </c>
      <c r="P355" s="31" t="str">
        <f t="shared" si="24"/>
        <v/>
      </c>
    </row>
    <row r="356" spans="2:16" x14ac:dyDescent="0.3">
      <c r="B356" s="155"/>
      <c r="C356" s="156"/>
      <c r="D356" s="156"/>
      <c r="E356" s="156"/>
      <c r="F356" s="182"/>
      <c r="G356" s="72" t="str">
        <f>IF(C356="","",IFERROR(INDEX(G$19:$L353,MATCH(C356,L$19:L$28,0),1),"Non renseigné"))</f>
        <v/>
      </c>
      <c r="H356" s="190" t="str">
        <f>IFERROR(IF(E356="","",INDEX(Données_ATB!BD$3:BT$600,MATCH(E356,Medicament,0),17)),"Ce médicament n'est pas connu dans la base")</f>
        <v/>
      </c>
      <c r="I356" s="69" t="str">
        <f>IFERROR(IF(E356="","",INDEX(Données_ATB!BD$3:BL$600,MATCH(E356,Medicament,0),9)),"")</f>
        <v/>
      </c>
      <c r="J356" s="44" t="str">
        <f>IFERROR(IF(E356="","",INDEX(Données_ATB!BD$3:BP$5600,MATCH(E356,Medicament,0),13)),"")</f>
        <v/>
      </c>
      <c r="K356" s="161" t="str">
        <f>IF(COUNTIFS($B$31:B356,B356,$E$31:E356,E356,$C$31:C356,C356,$D$31:D356,D356)&gt;1,"DÉJÀ ENTRÉ",IF(AND(COUNTA(B356,C356,D356,E356,F356)&lt;5,COUNTA(B356,C356,D356,E356,F356)&gt;0),"Pensez à renseigner toutes les cases de la ligne !",IF(COUNTA(B356)=1,IF(COUNTBLANK(B356)&gt;=1,"Ne laissez pas de lignes vides. Écrivez sur la ligne supérieure.",""),"")))&amp;IF(G356="Non renseigné","Veuillez sélectionner de nouveau le nom dans la colonne Espèce traitée","")</f>
        <v/>
      </c>
      <c r="L356" s="31" t="str">
        <f>IF(E356="","",INDEX(Données_ATB!BD$3:BU$600,MATCH(E356,Medicament,0),18))</f>
        <v/>
      </c>
      <c r="M356" s="31" t="str">
        <f t="shared" si="25"/>
        <v/>
      </c>
      <c r="N356" s="31" t="str">
        <f t="shared" si="22"/>
        <v/>
      </c>
      <c r="O356" s="31" t="str">
        <f t="shared" si="23"/>
        <v/>
      </c>
      <c r="P356" s="31" t="str">
        <f t="shared" si="24"/>
        <v/>
      </c>
    </row>
    <row r="357" spans="2:16" x14ac:dyDescent="0.3">
      <c r="B357" s="155"/>
      <c r="C357" s="156"/>
      <c r="D357" s="156"/>
      <c r="E357" s="156"/>
      <c r="F357" s="182"/>
      <c r="G357" s="72" t="str">
        <f>IF(C357="","",IFERROR(INDEX(G$19:$L354,MATCH(C357,L$19:L$28,0),1),"Non renseigné"))</f>
        <v/>
      </c>
      <c r="H357" s="190" t="str">
        <f>IFERROR(IF(E357="","",INDEX(Données_ATB!BD$3:BT$600,MATCH(E357,Medicament,0),17)),"Ce médicament n'est pas connu dans la base")</f>
        <v/>
      </c>
      <c r="I357" s="69" t="str">
        <f>IFERROR(IF(E357="","",INDEX(Données_ATB!BD$3:BL$600,MATCH(E357,Medicament,0),9)),"")</f>
        <v/>
      </c>
      <c r="J357" s="44" t="str">
        <f>IFERROR(IF(E357="","",INDEX(Données_ATB!BD$3:BP$5600,MATCH(E357,Medicament,0),13)),"")</f>
        <v/>
      </c>
      <c r="K357" s="161" t="str">
        <f>IF(COUNTIFS($B$31:B357,B357,$E$31:E357,E357,$C$31:C357,C357,$D$31:D357,D357)&gt;1,"DÉJÀ ENTRÉ",IF(AND(COUNTA(B357,C357,D357,E357,F357)&lt;5,COUNTA(B357,C357,D357,E357,F357)&gt;0),"Pensez à renseigner toutes les cases de la ligne !",IF(COUNTA(B357)=1,IF(COUNTBLANK(B357)&gt;=1,"Ne laissez pas de lignes vides. Écrivez sur la ligne supérieure.",""),"")))&amp;IF(G357="Non renseigné","Veuillez sélectionner de nouveau le nom dans la colonne Espèce traitée","")</f>
        <v/>
      </c>
      <c r="L357" s="31" t="str">
        <f>IF(E357="","",INDEX(Données_ATB!BD$3:BU$600,MATCH(E357,Medicament,0),18))</f>
        <v/>
      </c>
      <c r="M357" s="31" t="str">
        <f t="shared" si="25"/>
        <v/>
      </c>
      <c r="N357" s="31" t="str">
        <f t="shared" si="22"/>
        <v/>
      </c>
      <c r="O357" s="31" t="str">
        <f t="shared" si="23"/>
        <v/>
      </c>
      <c r="P357" s="31" t="str">
        <f t="shared" si="24"/>
        <v/>
      </c>
    </row>
    <row r="358" spans="2:16" x14ac:dyDescent="0.3">
      <c r="B358" s="155"/>
      <c r="C358" s="156"/>
      <c r="D358" s="156"/>
      <c r="E358" s="156"/>
      <c r="F358" s="182"/>
      <c r="G358" s="72" t="str">
        <f>IF(C358="","",IFERROR(INDEX(G$19:$L355,MATCH(C358,L$19:L$28,0),1),"Non renseigné"))</f>
        <v/>
      </c>
      <c r="H358" s="190" t="str">
        <f>IFERROR(IF(E358="","",INDEX(Données_ATB!BD$3:BT$600,MATCH(E358,Medicament,0),17)),"Ce médicament n'est pas connu dans la base")</f>
        <v/>
      </c>
      <c r="I358" s="69" t="str">
        <f>IFERROR(IF(E358="","",INDEX(Données_ATB!BD$3:BL$600,MATCH(E358,Medicament,0),9)),"")</f>
        <v/>
      </c>
      <c r="J358" s="44" t="str">
        <f>IFERROR(IF(E358="","",INDEX(Données_ATB!BD$3:BP$5600,MATCH(E358,Medicament,0),13)),"")</f>
        <v/>
      </c>
      <c r="K358" s="161" t="str">
        <f>IF(COUNTIFS($B$31:B358,B358,$E$31:E358,E358,$C$31:C358,C358,$D$31:D358,D358)&gt;1,"DÉJÀ ENTRÉ",IF(AND(COUNTA(B358,C358,D358,E358,F358)&lt;5,COUNTA(B358,C358,D358,E358,F358)&gt;0),"Pensez à renseigner toutes les cases de la ligne !",IF(COUNTA(B358)=1,IF(COUNTBLANK(B358)&gt;=1,"Ne laissez pas de lignes vides. Écrivez sur la ligne supérieure.",""),"")))&amp;IF(G358="Non renseigné","Veuillez sélectionner de nouveau le nom dans la colonne Espèce traitée","")</f>
        <v/>
      </c>
      <c r="L358" s="31" t="str">
        <f>IF(E358="","",INDEX(Données_ATB!BD$3:BU$600,MATCH(E358,Medicament,0),18))</f>
        <v/>
      </c>
      <c r="M358" s="31" t="str">
        <f t="shared" si="25"/>
        <v/>
      </c>
      <c r="N358" s="31" t="str">
        <f t="shared" si="22"/>
        <v/>
      </c>
      <c r="O358" s="31" t="str">
        <f t="shared" si="23"/>
        <v/>
      </c>
      <c r="P358" s="31" t="str">
        <f t="shared" si="24"/>
        <v/>
      </c>
    </row>
    <row r="359" spans="2:16" x14ac:dyDescent="0.3">
      <c r="B359" s="155"/>
      <c r="C359" s="156"/>
      <c r="D359" s="156"/>
      <c r="E359" s="156"/>
      <c r="F359" s="182"/>
      <c r="G359" s="72" t="str">
        <f>IF(C359="","",IFERROR(INDEX(G$19:$L356,MATCH(C359,L$19:L$28,0),1),"Non renseigné"))</f>
        <v/>
      </c>
      <c r="H359" s="190" t="str">
        <f>IFERROR(IF(E359="","",INDEX(Données_ATB!BD$3:BT$600,MATCH(E359,Medicament,0),17)),"Ce médicament n'est pas connu dans la base")</f>
        <v/>
      </c>
      <c r="I359" s="69" t="str">
        <f>IFERROR(IF(E359="","",INDEX(Données_ATB!BD$3:BL$600,MATCH(E359,Medicament,0),9)),"")</f>
        <v/>
      </c>
      <c r="J359" s="44" t="str">
        <f>IFERROR(IF(E359="","",INDEX(Données_ATB!BD$3:BP$5600,MATCH(E359,Medicament,0),13)),"")</f>
        <v/>
      </c>
      <c r="K359" s="161" t="str">
        <f>IF(COUNTIFS($B$31:B359,B359,$E$31:E359,E359,$C$31:C359,C359,$D$31:D359,D359)&gt;1,"DÉJÀ ENTRÉ",IF(AND(COUNTA(B359,C359,D359,E359,F359)&lt;5,COUNTA(B359,C359,D359,E359,F359)&gt;0),"Pensez à renseigner toutes les cases de la ligne !",IF(COUNTA(B359)=1,IF(COUNTBLANK(B359)&gt;=1,"Ne laissez pas de lignes vides. Écrivez sur la ligne supérieure.",""),"")))&amp;IF(G359="Non renseigné","Veuillez sélectionner de nouveau le nom dans la colonne Espèce traitée","")</f>
        <v/>
      </c>
      <c r="L359" s="31" t="str">
        <f>IF(E359="","",INDEX(Données_ATB!BD$3:BU$600,MATCH(E359,Medicament,0),18))</f>
        <v/>
      </c>
      <c r="M359" s="31" t="str">
        <f t="shared" si="25"/>
        <v/>
      </c>
      <c r="N359" s="31" t="str">
        <f t="shared" si="22"/>
        <v/>
      </c>
      <c r="O359" s="31" t="str">
        <f t="shared" si="23"/>
        <v/>
      </c>
      <c r="P359" s="31" t="str">
        <f t="shared" si="24"/>
        <v/>
      </c>
    </row>
    <row r="360" spans="2:16" x14ac:dyDescent="0.3">
      <c r="B360" s="155"/>
      <c r="C360" s="156"/>
      <c r="D360" s="156"/>
      <c r="E360" s="156"/>
      <c r="F360" s="182"/>
      <c r="G360" s="72" t="str">
        <f>IF(C360="","",IFERROR(INDEX(G$19:$L357,MATCH(C360,L$19:L$28,0),1),"Non renseigné"))</f>
        <v/>
      </c>
      <c r="H360" s="190" t="str">
        <f>IFERROR(IF(E360="","",INDEX(Données_ATB!BD$3:BT$600,MATCH(E360,Medicament,0),17)),"Ce médicament n'est pas connu dans la base")</f>
        <v/>
      </c>
      <c r="I360" s="69" t="str">
        <f>IFERROR(IF(E360="","",INDEX(Données_ATB!BD$3:BL$600,MATCH(E360,Medicament,0),9)),"")</f>
        <v/>
      </c>
      <c r="J360" s="44" t="str">
        <f>IFERROR(IF(E360="","",INDEX(Données_ATB!BD$3:BP$5600,MATCH(E360,Medicament,0),13)),"")</f>
        <v/>
      </c>
      <c r="K360" s="161" t="str">
        <f>IF(COUNTIFS($B$31:B360,B360,$E$31:E360,E360,$C$31:C360,C360,$D$31:D360,D360)&gt;1,"DÉJÀ ENTRÉ",IF(AND(COUNTA(B360,C360,D360,E360,F360)&lt;5,COUNTA(B360,C360,D360,E360,F360)&gt;0),"Pensez à renseigner toutes les cases de la ligne !",IF(COUNTA(B360)=1,IF(COUNTBLANK(B360)&gt;=1,"Ne laissez pas de lignes vides. Écrivez sur la ligne supérieure.",""),"")))&amp;IF(G360="Non renseigné","Veuillez sélectionner de nouveau le nom dans la colonne Espèce traitée","")</f>
        <v/>
      </c>
      <c r="L360" s="31" t="str">
        <f>IF(E360="","",INDEX(Données_ATB!BD$3:BU$600,MATCH(E360,Medicament,0),18))</f>
        <v/>
      </c>
      <c r="M360" s="31" t="str">
        <f t="shared" si="25"/>
        <v/>
      </c>
      <c r="N360" s="31" t="str">
        <f t="shared" si="22"/>
        <v/>
      </c>
      <c r="O360" s="31" t="str">
        <f t="shared" si="23"/>
        <v/>
      </c>
      <c r="P360" s="31" t="str">
        <f t="shared" si="24"/>
        <v/>
      </c>
    </row>
    <row r="361" spans="2:16" x14ac:dyDescent="0.3">
      <c r="B361" s="155"/>
      <c r="C361" s="156"/>
      <c r="D361" s="156"/>
      <c r="E361" s="156"/>
      <c r="F361" s="182"/>
      <c r="G361" s="72" t="str">
        <f>IF(C361="","",IFERROR(INDEX(G$19:$L358,MATCH(C361,L$19:L$28,0),1),"Non renseigné"))</f>
        <v/>
      </c>
      <c r="H361" s="190" t="str">
        <f>IFERROR(IF(E361="","",INDEX(Données_ATB!BD$3:BT$600,MATCH(E361,Medicament,0),17)),"Ce médicament n'est pas connu dans la base")</f>
        <v/>
      </c>
      <c r="I361" s="69" t="str">
        <f>IFERROR(IF(E361="","",INDEX(Données_ATB!BD$3:BL$600,MATCH(E361,Medicament,0),9)),"")</f>
        <v/>
      </c>
      <c r="J361" s="44" t="str">
        <f>IFERROR(IF(E361="","",INDEX(Données_ATB!BD$3:BP$5600,MATCH(E361,Medicament,0),13)),"")</f>
        <v/>
      </c>
      <c r="K361" s="161" t="str">
        <f>IF(COUNTIFS($B$31:B361,B361,$E$31:E361,E361,$C$31:C361,C361,$D$31:D361,D361)&gt;1,"DÉJÀ ENTRÉ",IF(AND(COUNTA(B361,C361,D361,E361,F361)&lt;5,COUNTA(B361,C361,D361,E361,F361)&gt;0),"Pensez à renseigner toutes les cases de la ligne !",IF(COUNTA(B361)=1,IF(COUNTBLANK(B361)&gt;=1,"Ne laissez pas de lignes vides. Écrivez sur la ligne supérieure.",""),"")))&amp;IF(G361="Non renseigné","Veuillez sélectionner de nouveau le nom dans la colonne Espèce traitée","")</f>
        <v/>
      </c>
      <c r="L361" s="31" t="str">
        <f>IF(E361="","",INDEX(Données_ATB!BD$3:BU$600,MATCH(E361,Medicament,0),18))</f>
        <v/>
      </c>
      <c r="M361" s="31" t="str">
        <f t="shared" si="25"/>
        <v/>
      </c>
      <c r="N361" s="31" t="str">
        <f t="shared" si="22"/>
        <v/>
      </c>
      <c r="O361" s="31" t="str">
        <f t="shared" si="23"/>
        <v/>
      </c>
      <c r="P361" s="31" t="str">
        <f t="shared" si="24"/>
        <v/>
      </c>
    </row>
    <row r="362" spans="2:16" x14ac:dyDescent="0.3">
      <c r="B362" s="155"/>
      <c r="C362" s="156"/>
      <c r="D362" s="156"/>
      <c r="E362" s="156"/>
      <c r="F362" s="182"/>
      <c r="G362" s="72" t="str">
        <f>IF(C362="","",IFERROR(INDEX(G$19:$L359,MATCH(C362,L$19:L$28,0),1),"Non renseigné"))</f>
        <v/>
      </c>
      <c r="H362" s="190" t="str">
        <f>IFERROR(IF(E362="","",INDEX(Données_ATB!BD$3:BT$600,MATCH(E362,Medicament,0),17)),"Ce médicament n'est pas connu dans la base")</f>
        <v/>
      </c>
      <c r="I362" s="69" t="str">
        <f>IFERROR(IF(E362="","",INDEX(Données_ATB!BD$3:BL$600,MATCH(E362,Medicament,0),9)),"")</f>
        <v/>
      </c>
      <c r="J362" s="44" t="str">
        <f>IFERROR(IF(E362="","",INDEX(Données_ATB!BD$3:BP$5600,MATCH(E362,Medicament,0),13)),"")</f>
        <v/>
      </c>
      <c r="K362" s="161" t="str">
        <f>IF(COUNTIFS($B$31:B362,B362,$E$31:E362,E362,$C$31:C362,C362,$D$31:D362,D362)&gt;1,"DÉJÀ ENTRÉ",IF(AND(COUNTA(B362,C362,D362,E362,F362)&lt;5,COUNTA(B362,C362,D362,E362,F362)&gt;0),"Pensez à renseigner toutes les cases de la ligne !",IF(COUNTA(B362)=1,IF(COUNTBLANK(B362)&gt;=1,"Ne laissez pas de lignes vides. Écrivez sur la ligne supérieure.",""),"")))&amp;IF(G362="Non renseigné","Veuillez sélectionner de nouveau le nom dans la colonne Espèce traitée","")</f>
        <v/>
      </c>
      <c r="L362" s="31" t="str">
        <f>IF(E362="","",INDEX(Données_ATB!BD$3:BU$600,MATCH(E362,Medicament,0),18))</f>
        <v/>
      </c>
      <c r="M362" s="31" t="str">
        <f t="shared" si="25"/>
        <v/>
      </c>
      <c r="N362" s="31" t="str">
        <f t="shared" si="22"/>
        <v/>
      </c>
      <c r="O362" s="31" t="str">
        <f t="shared" si="23"/>
        <v/>
      </c>
      <c r="P362" s="31" t="str">
        <f t="shared" si="24"/>
        <v/>
      </c>
    </row>
    <row r="363" spans="2:16" x14ac:dyDescent="0.3">
      <c r="B363" s="155"/>
      <c r="C363" s="156"/>
      <c r="D363" s="156"/>
      <c r="E363" s="156"/>
      <c r="F363" s="182"/>
      <c r="G363" s="72" t="str">
        <f>IF(C363="","",IFERROR(INDEX(G$19:$L360,MATCH(C363,L$19:L$28,0),1),"Non renseigné"))</f>
        <v/>
      </c>
      <c r="H363" s="190" t="str">
        <f>IFERROR(IF(E363="","",INDEX(Données_ATB!BD$3:BT$600,MATCH(E363,Medicament,0),17)),"Ce médicament n'est pas connu dans la base")</f>
        <v/>
      </c>
      <c r="I363" s="69" t="str">
        <f>IFERROR(IF(E363="","",INDEX(Données_ATB!BD$3:BL$600,MATCH(E363,Medicament,0),9)),"")</f>
        <v/>
      </c>
      <c r="J363" s="44" t="str">
        <f>IFERROR(IF(E363="","",INDEX(Données_ATB!BD$3:BP$5600,MATCH(E363,Medicament,0),13)),"")</f>
        <v/>
      </c>
      <c r="K363" s="161" t="str">
        <f>IF(COUNTIFS($B$31:B363,B363,$E$31:E363,E363,$C$31:C363,C363,$D$31:D363,D363)&gt;1,"DÉJÀ ENTRÉ",IF(AND(COUNTA(B363,C363,D363,E363,F363)&lt;5,COUNTA(B363,C363,D363,E363,F363)&gt;0),"Pensez à renseigner toutes les cases de la ligne !",IF(COUNTA(B363)=1,IF(COUNTBLANK(B363)&gt;=1,"Ne laissez pas de lignes vides. Écrivez sur la ligne supérieure.",""),"")))&amp;IF(G363="Non renseigné","Veuillez sélectionner de nouveau le nom dans la colonne Espèce traitée","")</f>
        <v/>
      </c>
      <c r="L363" s="31" t="str">
        <f>IF(E363="","",INDEX(Données_ATB!BD$3:BU$600,MATCH(E363,Medicament,0),18))</f>
        <v/>
      </c>
      <c r="M363" s="31" t="str">
        <f t="shared" si="25"/>
        <v/>
      </c>
      <c r="N363" s="31" t="str">
        <f t="shared" si="22"/>
        <v/>
      </c>
      <c r="O363" s="31" t="str">
        <f t="shared" si="23"/>
        <v/>
      </c>
      <c r="P363" s="31" t="str">
        <f t="shared" si="24"/>
        <v/>
      </c>
    </row>
    <row r="364" spans="2:16" x14ac:dyDescent="0.3">
      <c r="B364" s="155"/>
      <c r="C364" s="156"/>
      <c r="D364" s="156"/>
      <c r="E364" s="156"/>
      <c r="F364" s="182"/>
      <c r="G364" s="72" t="str">
        <f>IF(C364="","",IFERROR(INDEX(G$19:$L361,MATCH(C364,L$19:L$28,0),1),"Non renseigné"))</f>
        <v/>
      </c>
      <c r="H364" s="190" t="str">
        <f>IFERROR(IF(E364="","",INDEX(Données_ATB!BD$3:BT$600,MATCH(E364,Medicament,0),17)),"Ce médicament n'est pas connu dans la base")</f>
        <v/>
      </c>
      <c r="I364" s="69" t="str">
        <f>IFERROR(IF(E364="","",INDEX(Données_ATB!BD$3:BL$600,MATCH(E364,Medicament,0),9)),"")</f>
        <v/>
      </c>
      <c r="J364" s="44" t="str">
        <f>IFERROR(IF(E364="","",INDEX(Données_ATB!BD$3:BP$5600,MATCH(E364,Medicament,0),13)),"")</f>
        <v/>
      </c>
      <c r="K364" s="161" t="str">
        <f>IF(COUNTIFS($B$31:B364,B364,$E$31:E364,E364,$C$31:C364,C364,$D$31:D364,D364)&gt;1,"DÉJÀ ENTRÉ",IF(AND(COUNTA(B364,C364,D364,E364,F364)&lt;5,COUNTA(B364,C364,D364,E364,F364)&gt;0),"Pensez à renseigner toutes les cases de la ligne !",IF(COUNTA(B364)=1,IF(COUNTBLANK(B364)&gt;=1,"Ne laissez pas de lignes vides. Écrivez sur la ligne supérieure.",""),"")))&amp;IF(G364="Non renseigné","Veuillez sélectionner de nouveau le nom dans la colonne Espèce traitée","")</f>
        <v/>
      </c>
      <c r="L364" s="31" t="str">
        <f>IF(E364="","",INDEX(Données_ATB!BD$3:BU$600,MATCH(E364,Medicament,0),18))</f>
        <v/>
      </c>
      <c r="M364" s="31" t="str">
        <f t="shared" si="25"/>
        <v/>
      </c>
      <c r="N364" s="31" t="str">
        <f t="shared" si="22"/>
        <v/>
      </c>
      <c r="O364" s="31" t="str">
        <f t="shared" si="23"/>
        <v/>
      </c>
      <c r="P364" s="31" t="str">
        <f t="shared" si="24"/>
        <v/>
      </c>
    </row>
    <row r="365" spans="2:16" x14ac:dyDescent="0.3">
      <c r="B365" s="155"/>
      <c r="C365" s="156"/>
      <c r="D365" s="156"/>
      <c r="E365" s="156"/>
      <c r="F365" s="182"/>
      <c r="G365" s="72" t="str">
        <f>IF(C365="","",IFERROR(INDEX(G$19:$L362,MATCH(C365,L$19:L$28,0),1),"Non renseigné"))</f>
        <v/>
      </c>
      <c r="H365" s="190" t="str">
        <f>IFERROR(IF(E365="","",INDEX(Données_ATB!BD$3:BT$600,MATCH(E365,Medicament,0),17)),"Ce médicament n'est pas connu dans la base")</f>
        <v/>
      </c>
      <c r="I365" s="69" t="str">
        <f>IFERROR(IF(E365="","",INDEX(Données_ATB!BD$3:BL$600,MATCH(E365,Medicament,0),9)),"")</f>
        <v/>
      </c>
      <c r="J365" s="44" t="str">
        <f>IFERROR(IF(E365="","",INDEX(Données_ATB!BD$3:BP$5600,MATCH(E365,Medicament,0),13)),"")</f>
        <v/>
      </c>
      <c r="K365" s="161" t="str">
        <f>IF(COUNTIFS($B$31:B365,B365,$E$31:E365,E365,$C$31:C365,C365,$D$31:D365,D365)&gt;1,"DÉJÀ ENTRÉ",IF(AND(COUNTA(B365,C365,D365,E365,F365)&lt;5,COUNTA(B365,C365,D365,E365,F365)&gt;0),"Pensez à renseigner toutes les cases de la ligne !",IF(COUNTA(B365)=1,IF(COUNTBLANK(B365)&gt;=1,"Ne laissez pas de lignes vides. Écrivez sur la ligne supérieure.",""),"")))&amp;IF(G365="Non renseigné","Veuillez sélectionner de nouveau le nom dans la colonne Espèce traitée","")</f>
        <v/>
      </c>
      <c r="L365" s="31" t="str">
        <f>IF(E365="","",INDEX(Données_ATB!BD$3:BU$600,MATCH(E365,Medicament,0),18))</f>
        <v/>
      </c>
      <c r="M365" s="31" t="str">
        <f t="shared" si="25"/>
        <v/>
      </c>
      <c r="N365" s="31" t="str">
        <f t="shared" si="22"/>
        <v/>
      </c>
      <c r="O365" s="31" t="str">
        <f t="shared" si="23"/>
        <v/>
      </c>
      <c r="P365" s="31" t="str">
        <f t="shared" si="24"/>
        <v/>
      </c>
    </row>
    <row r="366" spans="2:16" x14ac:dyDescent="0.3">
      <c r="B366" s="155"/>
      <c r="C366" s="156"/>
      <c r="D366" s="156"/>
      <c r="E366" s="156"/>
      <c r="F366" s="182"/>
      <c r="G366" s="72" t="str">
        <f>IF(C366="","",IFERROR(INDEX(G$19:$L363,MATCH(C366,L$19:L$28,0),1),"Non renseigné"))</f>
        <v/>
      </c>
      <c r="H366" s="190" t="str">
        <f>IFERROR(IF(E366="","",INDEX(Données_ATB!BD$3:BT$600,MATCH(E366,Medicament,0),17)),"Ce médicament n'est pas connu dans la base")</f>
        <v/>
      </c>
      <c r="I366" s="69" t="str">
        <f>IFERROR(IF(E366="","",INDEX(Données_ATB!BD$3:BL$600,MATCH(E366,Medicament,0),9)),"")</f>
        <v/>
      </c>
      <c r="J366" s="44" t="str">
        <f>IFERROR(IF(E366="","",INDEX(Données_ATB!BD$3:BP$5600,MATCH(E366,Medicament,0),13)),"")</f>
        <v/>
      </c>
      <c r="K366" s="161" t="str">
        <f>IF(COUNTIFS($B$31:B366,B366,$E$31:E366,E366,$C$31:C366,C366,$D$31:D366,D366)&gt;1,"DÉJÀ ENTRÉ",IF(AND(COUNTA(B366,C366,D366,E366,F366)&lt;5,COUNTA(B366,C366,D366,E366,F366)&gt;0),"Pensez à renseigner toutes les cases de la ligne !",IF(COUNTA(B366)=1,IF(COUNTBLANK(B366)&gt;=1,"Ne laissez pas de lignes vides. Écrivez sur la ligne supérieure.",""),"")))&amp;IF(G366="Non renseigné","Veuillez sélectionner de nouveau le nom dans la colonne Espèce traitée","")</f>
        <v/>
      </c>
      <c r="L366" s="31" t="str">
        <f>IF(E366="","",INDEX(Données_ATB!BD$3:BU$600,MATCH(E366,Medicament,0),18))</f>
        <v/>
      </c>
      <c r="M366" s="31" t="str">
        <f t="shared" si="25"/>
        <v/>
      </c>
      <c r="N366" s="31" t="str">
        <f t="shared" si="22"/>
        <v/>
      </c>
      <c r="O366" s="31" t="str">
        <f t="shared" si="23"/>
        <v/>
      </c>
      <c r="P366" s="31" t="str">
        <f t="shared" si="24"/>
        <v/>
      </c>
    </row>
    <row r="367" spans="2:16" x14ac:dyDescent="0.3">
      <c r="B367" s="155"/>
      <c r="C367" s="156"/>
      <c r="D367" s="156"/>
      <c r="E367" s="156"/>
      <c r="F367" s="182"/>
      <c r="G367" s="72" t="str">
        <f>IF(C367="","",IFERROR(INDEX(G$19:$L364,MATCH(C367,L$19:L$28,0),1),"Non renseigné"))</f>
        <v/>
      </c>
      <c r="H367" s="190" t="str">
        <f>IFERROR(IF(E367="","",INDEX(Données_ATB!BD$3:BT$600,MATCH(E367,Medicament,0),17)),"Ce médicament n'est pas connu dans la base")</f>
        <v/>
      </c>
      <c r="I367" s="69" t="str">
        <f>IFERROR(IF(E367="","",INDEX(Données_ATB!BD$3:BL$600,MATCH(E367,Medicament,0),9)),"")</f>
        <v/>
      </c>
      <c r="J367" s="44" t="str">
        <f>IFERROR(IF(E367="","",INDEX(Données_ATB!BD$3:BP$5600,MATCH(E367,Medicament,0),13)),"")</f>
        <v/>
      </c>
      <c r="K367" s="161" t="str">
        <f>IF(COUNTIFS($B$31:B367,B367,$E$31:E367,E367,$C$31:C367,C367,$D$31:D367,D367)&gt;1,"DÉJÀ ENTRÉ",IF(AND(COUNTA(B367,C367,D367,E367,F367)&lt;5,COUNTA(B367,C367,D367,E367,F367)&gt;0),"Pensez à renseigner toutes les cases de la ligne !",IF(COUNTA(B367)=1,IF(COUNTBLANK(B367)&gt;=1,"Ne laissez pas de lignes vides. Écrivez sur la ligne supérieure.",""),"")))&amp;IF(G367="Non renseigné","Veuillez sélectionner de nouveau le nom dans la colonne Espèce traitée","")</f>
        <v/>
      </c>
      <c r="L367" s="31" t="str">
        <f>IF(E367="","",INDEX(Données_ATB!BD$3:BU$600,MATCH(E367,Medicament,0),18))</f>
        <v/>
      </c>
      <c r="M367" s="31" t="str">
        <f t="shared" si="25"/>
        <v/>
      </c>
      <c r="N367" s="31" t="str">
        <f t="shared" si="22"/>
        <v/>
      </c>
      <c r="O367" s="31" t="str">
        <f t="shared" si="23"/>
        <v/>
      </c>
      <c r="P367" s="31" t="str">
        <f t="shared" si="24"/>
        <v/>
      </c>
    </row>
    <row r="368" spans="2:16" x14ac:dyDescent="0.3">
      <c r="B368" s="155"/>
      <c r="C368" s="156"/>
      <c r="D368" s="156"/>
      <c r="E368" s="156"/>
      <c r="F368" s="182"/>
      <c r="G368" s="72" t="str">
        <f>IF(C368="","",IFERROR(INDEX(G$19:$L365,MATCH(C368,L$19:L$28,0),1),"Non renseigné"))</f>
        <v/>
      </c>
      <c r="H368" s="190" t="str">
        <f>IFERROR(IF(E368="","",INDEX(Données_ATB!BD$3:BT$600,MATCH(E368,Medicament,0),17)),"Ce médicament n'est pas connu dans la base")</f>
        <v/>
      </c>
      <c r="I368" s="69" t="str">
        <f>IFERROR(IF(E368="","",INDEX(Données_ATB!BD$3:BL$600,MATCH(E368,Medicament,0),9)),"")</f>
        <v/>
      </c>
      <c r="J368" s="44" t="str">
        <f>IFERROR(IF(E368="","",INDEX(Données_ATB!BD$3:BP$5600,MATCH(E368,Medicament,0),13)),"")</f>
        <v/>
      </c>
      <c r="K368" s="161" t="str">
        <f>IF(COUNTIFS($B$31:B368,B368,$E$31:E368,E368,$C$31:C368,C368,$D$31:D368,D368)&gt;1,"DÉJÀ ENTRÉ",IF(AND(COUNTA(B368,C368,D368,E368,F368)&lt;5,COUNTA(B368,C368,D368,E368,F368)&gt;0),"Pensez à renseigner toutes les cases de la ligne !",IF(COUNTA(B368)=1,IF(COUNTBLANK(B368)&gt;=1,"Ne laissez pas de lignes vides. Écrivez sur la ligne supérieure.",""),"")))&amp;IF(G368="Non renseigné","Veuillez sélectionner de nouveau le nom dans la colonne Espèce traitée","")</f>
        <v/>
      </c>
      <c r="L368" s="31" t="str">
        <f>IF(E368="","",INDEX(Données_ATB!BD$3:BU$600,MATCH(E368,Medicament,0),18))</f>
        <v/>
      </c>
      <c r="M368" s="31" t="str">
        <f t="shared" si="25"/>
        <v/>
      </c>
      <c r="N368" s="31" t="str">
        <f t="shared" si="22"/>
        <v/>
      </c>
      <c r="O368" s="31" t="str">
        <f t="shared" si="23"/>
        <v/>
      </c>
      <c r="P368" s="31" t="str">
        <f t="shared" si="24"/>
        <v/>
      </c>
    </row>
    <row r="369" spans="2:16" x14ac:dyDescent="0.3">
      <c r="B369" s="155"/>
      <c r="C369" s="156"/>
      <c r="D369" s="156"/>
      <c r="E369" s="156"/>
      <c r="F369" s="182"/>
      <c r="G369" s="72" t="str">
        <f>IF(C369="","",IFERROR(INDEX(G$19:$L366,MATCH(C369,L$19:L$28,0),1),"Non renseigné"))</f>
        <v/>
      </c>
      <c r="H369" s="190" t="str">
        <f>IFERROR(IF(E369="","",INDEX(Données_ATB!BD$3:BT$600,MATCH(E369,Medicament,0),17)),"Ce médicament n'est pas connu dans la base")</f>
        <v/>
      </c>
      <c r="I369" s="69" t="str">
        <f>IFERROR(IF(E369="","",INDEX(Données_ATB!BD$3:BL$600,MATCH(E369,Medicament,0),9)),"")</f>
        <v/>
      </c>
      <c r="J369" s="44" t="str">
        <f>IFERROR(IF(E369="","",INDEX(Données_ATB!BD$3:BP$5600,MATCH(E369,Medicament,0),13)),"")</f>
        <v/>
      </c>
      <c r="K369" s="161" t="str">
        <f>IF(COUNTIFS($B$31:B369,B369,$E$31:E369,E369,$C$31:C369,C369,$D$31:D369,D369)&gt;1,"DÉJÀ ENTRÉ",IF(AND(COUNTA(B369,C369,D369,E369,F369)&lt;5,COUNTA(B369,C369,D369,E369,F369)&gt;0),"Pensez à renseigner toutes les cases de la ligne !",IF(COUNTA(B369)=1,IF(COUNTBLANK(B369)&gt;=1,"Ne laissez pas de lignes vides. Écrivez sur la ligne supérieure.",""),"")))&amp;IF(G369="Non renseigné","Veuillez sélectionner de nouveau le nom dans la colonne Espèce traitée","")</f>
        <v/>
      </c>
      <c r="L369" s="31" t="str">
        <f>IF(E369="","",INDEX(Données_ATB!BD$3:BU$600,MATCH(E369,Medicament,0),18))</f>
        <v/>
      </c>
      <c r="M369" s="31" t="str">
        <f t="shared" si="25"/>
        <v/>
      </c>
      <c r="N369" s="31" t="str">
        <f t="shared" si="22"/>
        <v/>
      </c>
      <c r="O369" s="31" t="str">
        <f t="shared" si="23"/>
        <v/>
      </c>
      <c r="P369" s="31" t="str">
        <f t="shared" si="24"/>
        <v/>
      </c>
    </row>
    <row r="370" spans="2:16" x14ac:dyDescent="0.3">
      <c r="B370" s="155"/>
      <c r="C370" s="156"/>
      <c r="D370" s="156"/>
      <c r="E370" s="156"/>
      <c r="F370" s="182"/>
      <c r="G370" s="72" t="str">
        <f>IF(C370="","",IFERROR(INDEX(G$19:$L367,MATCH(C370,L$19:L$28,0),1),"Non renseigné"))</f>
        <v/>
      </c>
      <c r="H370" s="190" t="str">
        <f>IFERROR(IF(E370="","",INDEX(Données_ATB!BD$3:BT$600,MATCH(E370,Medicament,0),17)),"Ce médicament n'est pas connu dans la base")</f>
        <v/>
      </c>
      <c r="I370" s="69" t="str">
        <f>IFERROR(IF(E370="","",INDEX(Données_ATB!BD$3:BL$600,MATCH(E370,Medicament,0),9)),"")</f>
        <v/>
      </c>
      <c r="J370" s="44" t="str">
        <f>IFERROR(IF(E370="","",INDEX(Données_ATB!BD$3:BP$5600,MATCH(E370,Medicament,0),13)),"")</f>
        <v/>
      </c>
      <c r="K370" s="161" t="str">
        <f>IF(COUNTIFS($B$31:B370,B370,$E$31:E370,E370,$C$31:C370,C370,$D$31:D370,D370)&gt;1,"DÉJÀ ENTRÉ",IF(AND(COUNTA(B370,C370,D370,E370,F370)&lt;5,COUNTA(B370,C370,D370,E370,F370)&gt;0),"Pensez à renseigner toutes les cases de la ligne !",IF(COUNTA(B370)=1,IF(COUNTBLANK(B370)&gt;=1,"Ne laissez pas de lignes vides. Écrivez sur la ligne supérieure.",""),"")))&amp;IF(G370="Non renseigné","Veuillez sélectionner de nouveau le nom dans la colonne Espèce traitée","")</f>
        <v/>
      </c>
      <c r="L370" s="31" t="str">
        <f>IF(E370="","",INDEX(Données_ATB!BD$3:BU$600,MATCH(E370,Medicament,0),18))</f>
        <v/>
      </c>
      <c r="M370" s="31" t="str">
        <f t="shared" si="25"/>
        <v/>
      </c>
      <c r="N370" s="31" t="str">
        <f t="shared" ref="N370:N400" si="26">IF(E370="","",INDEX(C$19:L$28,MATCH(C370,L$19:L$28,0),1))</f>
        <v/>
      </c>
      <c r="O370" s="31" t="str">
        <f t="shared" ref="O370:O400" si="27">IF(E370="","",INDEX(C$19:L$28,MATCH(C370,L$19:L$28,0),2))</f>
        <v/>
      </c>
      <c r="P370" s="31" t="str">
        <f t="shared" ref="P370:P400" si="28">IF(E370="","",INDEX(C$19:L$28,MATCH(C370,L$19:L$28,0),3))</f>
        <v/>
      </c>
    </row>
    <row r="371" spans="2:16" x14ac:dyDescent="0.3">
      <c r="B371" s="155"/>
      <c r="C371" s="156"/>
      <c r="D371" s="156"/>
      <c r="E371" s="156"/>
      <c r="F371" s="182"/>
      <c r="G371" s="72" t="str">
        <f>IF(C371="","",IFERROR(INDEX(G$19:$L368,MATCH(C371,L$19:L$28,0),1),"Non renseigné"))</f>
        <v/>
      </c>
      <c r="H371" s="190" t="str">
        <f>IFERROR(IF(E371="","",INDEX(Données_ATB!BD$3:BT$600,MATCH(E371,Medicament,0),17)),"Ce médicament n'est pas connu dans la base")</f>
        <v/>
      </c>
      <c r="I371" s="69" t="str">
        <f>IFERROR(IF(E371="","",INDEX(Données_ATB!BD$3:BL$600,MATCH(E371,Medicament,0),9)),"")</f>
        <v/>
      </c>
      <c r="J371" s="44" t="str">
        <f>IFERROR(IF(E371="","",INDEX(Données_ATB!BD$3:BP$5600,MATCH(E371,Medicament,0),13)),"")</f>
        <v/>
      </c>
      <c r="K371" s="161" t="str">
        <f>IF(COUNTIFS($B$31:B371,B371,$E$31:E371,E371,$C$31:C371,C371,$D$31:D371,D371)&gt;1,"DÉJÀ ENTRÉ",IF(AND(COUNTA(B371,C371,D371,E371,F371)&lt;5,COUNTA(B371,C371,D371,E371,F371)&gt;0),"Pensez à renseigner toutes les cases de la ligne !",IF(COUNTA(B371)=1,IF(COUNTBLANK(B371)&gt;=1,"Ne laissez pas de lignes vides. Écrivez sur la ligne supérieure.",""),"")))&amp;IF(G371="Non renseigné","Veuillez sélectionner de nouveau le nom dans la colonne Espèce traitée","")</f>
        <v/>
      </c>
      <c r="L371" s="31" t="str">
        <f>IF(E371="","",INDEX(Données_ATB!BD$3:BU$600,MATCH(E371,Medicament,0),18))</f>
        <v/>
      </c>
      <c r="M371" s="31" t="str">
        <f t="shared" si="25"/>
        <v/>
      </c>
      <c r="N371" s="31" t="str">
        <f t="shared" si="26"/>
        <v/>
      </c>
      <c r="O371" s="31" t="str">
        <f t="shared" si="27"/>
        <v/>
      </c>
      <c r="P371" s="31" t="str">
        <f t="shared" si="28"/>
        <v/>
      </c>
    </row>
    <row r="372" spans="2:16" x14ac:dyDescent="0.3">
      <c r="B372" s="155"/>
      <c r="C372" s="156"/>
      <c r="D372" s="156"/>
      <c r="E372" s="156"/>
      <c r="F372" s="182"/>
      <c r="G372" s="72" t="str">
        <f>IF(C372="","",IFERROR(INDEX(G$19:$L369,MATCH(C372,L$19:L$28,0),1),"Non renseigné"))</f>
        <v/>
      </c>
      <c r="H372" s="190" t="str">
        <f>IFERROR(IF(E372="","",INDEX(Données_ATB!BD$3:BT$600,MATCH(E372,Medicament,0),17)),"Ce médicament n'est pas connu dans la base")</f>
        <v/>
      </c>
      <c r="I372" s="69" t="str">
        <f>IFERROR(IF(E372="","",INDEX(Données_ATB!BD$3:BL$600,MATCH(E372,Medicament,0),9)),"")</f>
        <v/>
      </c>
      <c r="J372" s="44" t="str">
        <f>IFERROR(IF(E372="","",INDEX(Données_ATB!BD$3:BP$5600,MATCH(E372,Medicament,0),13)),"")</f>
        <v/>
      </c>
      <c r="K372" s="161" t="str">
        <f>IF(COUNTIFS($B$31:B372,B372,$E$31:E372,E372,$C$31:C372,C372,$D$31:D372,D372)&gt;1,"DÉJÀ ENTRÉ",IF(AND(COUNTA(B372,C372,D372,E372,F372)&lt;5,COUNTA(B372,C372,D372,E372,F372)&gt;0),"Pensez à renseigner toutes les cases de la ligne !",IF(COUNTA(B372)=1,IF(COUNTBLANK(B372)&gt;=1,"Ne laissez pas de lignes vides. Écrivez sur la ligne supérieure.",""),"")))&amp;IF(G372="Non renseigné","Veuillez sélectionner de nouveau le nom dans la colonne Espèce traitée","")</f>
        <v/>
      </c>
      <c r="L372" s="31" t="str">
        <f>IF(E372="","",INDEX(Données_ATB!BD$3:BU$600,MATCH(E372,Medicament,0),18))</f>
        <v/>
      </c>
      <c r="M372" s="31" t="str">
        <f t="shared" si="25"/>
        <v/>
      </c>
      <c r="N372" s="31" t="str">
        <f t="shared" si="26"/>
        <v/>
      </c>
      <c r="O372" s="31" t="str">
        <f t="shared" si="27"/>
        <v/>
      </c>
      <c r="P372" s="31" t="str">
        <f t="shared" si="28"/>
        <v/>
      </c>
    </row>
    <row r="373" spans="2:16" x14ac:dyDescent="0.3">
      <c r="B373" s="155"/>
      <c r="C373" s="156"/>
      <c r="D373" s="156"/>
      <c r="E373" s="156"/>
      <c r="F373" s="182"/>
      <c r="G373" s="72" t="str">
        <f>IF(C373="","",IFERROR(INDEX(G$19:$L370,MATCH(C373,L$19:L$28,0),1),"Non renseigné"))</f>
        <v/>
      </c>
      <c r="H373" s="190" t="str">
        <f>IFERROR(IF(E373="","",INDEX(Données_ATB!BD$3:BT$600,MATCH(E373,Medicament,0),17)),"Ce médicament n'est pas connu dans la base")</f>
        <v/>
      </c>
      <c r="I373" s="69" t="str">
        <f>IFERROR(IF(E373="","",INDEX(Données_ATB!BD$3:BL$600,MATCH(E373,Medicament,0),9)),"")</f>
        <v/>
      </c>
      <c r="J373" s="44" t="str">
        <f>IFERROR(IF(E373="","",INDEX(Données_ATB!BD$3:BP$5600,MATCH(E373,Medicament,0),13)),"")</f>
        <v/>
      </c>
      <c r="K373" s="161" t="str">
        <f>IF(COUNTIFS($B$31:B373,B373,$E$31:E373,E373,$C$31:C373,C373,$D$31:D373,D373)&gt;1,"DÉJÀ ENTRÉ",IF(AND(COUNTA(B373,C373,D373,E373,F373)&lt;5,COUNTA(B373,C373,D373,E373,F373)&gt;0),"Pensez à renseigner toutes les cases de la ligne !",IF(COUNTA(B373)=1,IF(COUNTBLANK(B373)&gt;=1,"Ne laissez pas de lignes vides. Écrivez sur la ligne supérieure.",""),"")))&amp;IF(G373="Non renseigné","Veuillez sélectionner de nouveau le nom dans la colonne Espèce traitée","")</f>
        <v/>
      </c>
      <c r="L373" s="31" t="str">
        <f>IF(E373="","",INDEX(Données_ATB!BD$3:BU$600,MATCH(E373,Medicament,0),18))</f>
        <v/>
      </c>
      <c r="M373" s="31" t="str">
        <f t="shared" si="25"/>
        <v/>
      </c>
      <c r="N373" s="31" t="str">
        <f t="shared" si="26"/>
        <v/>
      </c>
      <c r="O373" s="31" t="str">
        <f t="shared" si="27"/>
        <v/>
      </c>
      <c r="P373" s="31" t="str">
        <f t="shared" si="28"/>
        <v/>
      </c>
    </row>
    <row r="374" spans="2:16" x14ac:dyDescent="0.3">
      <c r="B374" s="155"/>
      <c r="C374" s="156"/>
      <c r="D374" s="156"/>
      <c r="E374" s="156"/>
      <c r="F374" s="182"/>
      <c r="G374" s="72" t="str">
        <f>IF(C374="","",IFERROR(INDEX(G$19:$L371,MATCH(C374,L$19:L$28,0),1),"Non renseigné"))</f>
        <v/>
      </c>
      <c r="H374" s="190" t="str">
        <f>IFERROR(IF(E374="","",INDEX(Données_ATB!BD$3:BT$600,MATCH(E374,Medicament,0),17)),"Ce médicament n'est pas connu dans la base")</f>
        <v/>
      </c>
      <c r="I374" s="69" t="str">
        <f>IFERROR(IF(E374="","",INDEX(Données_ATB!BD$3:BL$600,MATCH(E374,Medicament,0),9)),"")</f>
        <v/>
      </c>
      <c r="J374" s="44" t="str">
        <f>IFERROR(IF(E374="","",INDEX(Données_ATB!BD$3:BP$5600,MATCH(E374,Medicament,0),13)),"")</f>
        <v/>
      </c>
      <c r="K374" s="161" t="str">
        <f>IF(COUNTIFS($B$31:B374,B374,$E$31:E374,E374,$C$31:C374,C374,$D$31:D374,D374)&gt;1,"DÉJÀ ENTRÉ",IF(AND(COUNTA(B374,C374,D374,E374,F374)&lt;5,COUNTA(B374,C374,D374,E374,F374)&gt;0),"Pensez à renseigner toutes les cases de la ligne !",IF(COUNTA(B374)=1,IF(COUNTBLANK(B374)&gt;=1,"Ne laissez pas de lignes vides. Écrivez sur la ligne supérieure.",""),"")))&amp;IF(G374="Non renseigné","Veuillez sélectionner de nouveau le nom dans la colonne Espèce traitée","")</f>
        <v/>
      </c>
      <c r="L374" s="31" t="str">
        <f>IF(E374="","",INDEX(Données_ATB!BD$3:BU$600,MATCH(E374,Medicament,0),18))</f>
        <v/>
      </c>
      <c r="M374" s="31" t="str">
        <f t="shared" si="25"/>
        <v/>
      </c>
      <c r="N374" s="31" t="str">
        <f t="shared" si="26"/>
        <v/>
      </c>
      <c r="O374" s="31" t="str">
        <f t="shared" si="27"/>
        <v/>
      </c>
      <c r="P374" s="31" t="str">
        <f t="shared" si="28"/>
        <v/>
      </c>
    </row>
    <row r="375" spans="2:16" x14ac:dyDescent="0.3">
      <c r="B375" s="155"/>
      <c r="C375" s="156"/>
      <c r="D375" s="156"/>
      <c r="E375" s="156"/>
      <c r="F375" s="182"/>
      <c r="G375" s="72" t="str">
        <f>IF(C375="","",IFERROR(INDEX(G$19:$L372,MATCH(C375,L$19:L$28,0),1),"Non renseigné"))</f>
        <v/>
      </c>
      <c r="H375" s="190" t="str">
        <f>IFERROR(IF(E375="","",INDEX(Données_ATB!BD$3:BT$600,MATCH(E375,Medicament,0),17)),"Ce médicament n'est pas connu dans la base")</f>
        <v/>
      </c>
      <c r="I375" s="69" t="str">
        <f>IFERROR(IF(E375="","",INDEX(Données_ATB!BD$3:BL$600,MATCH(E375,Medicament,0),9)),"")</f>
        <v/>
      </c>
      <c r="J375" s="44" t="str">
        <f>IFERROR(IF(E375="","",INDEX(Données_ATB!BD$3:BP$5600,MATCH(E375,Medicament,0),13)),"")</f>
        <v/>
      </c>
      <c r="K375" s="161" t="str">
        <f>IF(COUNTIFS($B$31:B375,B375,$E$31:E375,E375,$C$31:C375,C375,$D$31:D375,D375)&gt;1,"DÉJÀ ENTRÉ",IF(AND(COUNTA(B375,C375,D375,E375,F375)&lt;5,COUNTA(B375,C375,D375,E375,F375)&gt;0),"Pensez à renseigner toutes les cases de la ligne !",IF(COUNTA(B375)=1,IF(COUNTBLANK(B375)&gt;=1,"Ne laissez pas de lignes vides. Écrivez sur la ligne supérieure.",""),"")))&amp;IF(G375="Non renseigné","Veuillez sélectionner de nouveau le nom dans la colonne Espèce traitée","")</f>
        <v/>
      </c>
      <c r="L375" s="31" t="str">
        <f>IF(E375="","",INDEX(Données_ATB!BD$3:BU$600,MATCH(E375,Medicament,0),18))</f>
        <v/>
      </c>
      <c r="M375" s="31" t="str">
        <f t="shared" si="25"/>
        <v/>
      </c>
      <c r="N375" s="31" t="str">
        <f t="shared" si="26"/>
        <v/>
      </c>
      <c r="O375" s="31" t="str">
        <f t="shared" si="27"/>
        <v/>
      </c>
      <c r="P375" s="31" t="str">
        <f t="shared" si="28"/>
        <v/>
      </c>
    </row>
    <row r="376" spans="2:16" x14ac:dyDescent="0.3">
      <c r="B376" s="155"/>
      <c r="C376" s="156"/>
      <c r="D376" s="156"/>
      <c r="E376" s="156"/>
      <c r="F376" s="182"/>
      <c r="G376" s="72" t="str">
        <f>IF(C376="","",IFERROR(INDEX(G$19:$L373,MATCH(C376,L$19:L$28,0),1),"Non renseigné"))</f>
        <v/>
      </c>
      <c r="H376" s="190" t="str">
        <f>IFERROR(IF(E376="","",INDEX(Données_ATB!BD$3:BT$600,MATCH(E376,Medicament,0),17)),"Ce médicament n'est pas connu dans la base")</f>
        <v/>
      </c>
      <c r="I376" s="69" t="str">
        <f>IFERROR(IF(E376="","",INDEX(Données_ATB!BD$3:BL$600,MATCH(E376,Medicament,0),9)),"")</f>
        <v/>
      </c>
      <c r="J376" s="44" t="str">
        <f>IFERROR(IF(E376="","",INDEX(Données_ATB!BD$3:BP$5600,MATCH(E376,Medicament,0),13)),"")</f>
        <v/>
      </c>
      <c r="K376" s="161" t="str">
        <f>IF(COUNTIFS($B$31:B376,B376,$E$31:E376,E376,$C$31:C376,C376,$D$31:D376,D376)&gt;1,"DÉJÀ ENTRÉ",IF(AND(COUNTA(B376,C376,D376,E376,F376)&lt;5,COUNTA(B376,C376,D376,E376,F376)&gt;0),"Pensez à renseigner toutes les cases de la ligne !",IF(COUNTA(B376)=1,IF(COUNTBLANK(B376)&gt;=1,"Ne laissez pas de lignes vides. Écrivez sur la ligne supérieure.",""),"")))&amp;IF(G376="Non renseigné","Veuillez sélectionner de nouveau le nom dans la colonne Espèce traitée","")</f>
        <v/>
      </c>
      <c r="L376" s="31" t="str">
        <f>IF(E376="","",INDEX(Données_ATB!BD$3:BU$600,MATCH(E376,Medicament,0),18))</f>
        <v/>
      </c>
      <c r="M376" s="31" t="str">
        <f t="shared" si="25"/>
        <v/>
      </c>
      <c r="N376" s="31" t="str">
        <f t="shared" si="26"/>
        <v/>
      </c>
      <c r="O376" s="31" t="str">
        <f t="shared" si="27"/>
        <v/>
      </c>
      <c r="P376" s="31" t="str">
        <f t="shared" si="28"/>
        <v/>
      </c>
    </row>
    <row r="377" spans="2:16" x14ac:dyDescent="0.3">
      <c r="B377" s="155"/>
      <c r="C377" s="156"/>
      <c r="D377" s="156"/>
      <c r="E377" s="156"/>
      <c r="F377" s="182"/>
      <c r="G377" s="72" t="str">
        <f>IF(C377="","",IFERROR(INDEX(G$19:$L374,MATCH(C377,L$19:L$28,0),1),"Non renseigné"))</f>
        <v/>
      </c>
      <c r="H377" s="190" t="str">
        <f>IFERROR(IF(E377="","",INDEX(Données_ATB!BD$3:BT$600,MATCH(E377,Medicament,0),17)),"Ce médicament n'est pas connu dans la base")</f>
        <v/>
      </c>
      <c r="I377" s="69" t="str">
        <f>IFERROR(IF(E377="","",INDEX(Données_ATB!BD$3:BL$600,MATCH(E377,Medicament,0),9)),"")</f>
        <v/>
      </c>
      <c r="J377" s="44" t="str">
        <f>IFERROR(IF(E377="","",INDEX(Données_ATB!BD$3:BP$5600,MATCH(E377,Medicament,0),13)),"")</f>
        <v/>
      </c>
      <c r="K377" s="161" t="str">
        <f>IF(COUNTIFS($B$31:B377,B377,$E$31:E377,E377,$C$31:C377,C377,$D$31:D377,D377)&gt;1,"DÉJÀ ENTRÉ",IF(AND(COUNTA(B377,C377,D377,E377,F377)&lt;5,COUNTA(B377,C377,D377,E377,F377)&gt;0),"Pensez à renseigner toutes les cases de la ligne !",IF(COUNTA(B377)=1,IF(COUNTBLANK(B377)&gt;=1,"Ne laissez pas de lignes vides. Écrivez sur la ligne supérieure.",""),"")))&amp;IF(G377="Non renseigné","Veuillez sélectionner de nouveau le nom dans la colonne Espèce traitée","")</f>
        <v/>
      </c>
      <c r="L377" s="31" t="str">
        <f>IF(E377="","",INDEX(Données_ATB!BD$3:BU$600,MATCH(E377,Medicament,0),18))</f>
        <v/>
      </c>
      <c r="M377" s="31" t="str">
        <f t="shared" si="25"/>
        <v/>
      </c>
      <c r="N377" s="31" t="str">
        <f t="shared" si="26"/>
        <v/>
      </c>
      <c r="O377" s="31" t="str">
        <f t="shared" si="27"/>
        <v/>
      </c>
      <c r="P377" s="31" t="str">
        <f t="shared" si="28"/>
        <v/>
      </c>
    </row>
    <row r="378" spans="2:16" x14ac:dyDescent="0.3">
      <c r="B378" s="155"/>
      <c r="C378" s="156"/>
      <c r="D378" s="156"/>
      <c r="E378" s="156"/>
      <c r="F378" s="182"/>
      <c r="G378" s="72" t="str">
        <f>IF(C378="","",IFERROR(INDEX(G$19:$L375,MATCH(C378,L$19:L$28,0),1),"Non renseigné"))</f>
        <v/>
      </c>
      <c r="H378" s="190" t="str">
        <f>IFERROR(IF(E378="","",INDEX(Données_ATB!BD$3:BT$600,MATCH(E378,Medicament,0),17)),"Ce médicament n'est pas connu dans la base")</f>
        <v/>
      </c>
      <c r="I378" s="69" t="str">
        <f>IFERROR(IF(E378="","",INDEX(Données_ATB!BD$3:BL$600,MATCH(E378,Medicament,0),9)),"")</f>
        <v/>
      </c>
      <c r="J378" s="44" t="str">
        <f>IFERROR(IF(E378="","",INDEX(Données_ATB!BD$3:BP$5600,MATCH(E378,Medicament,0),13)),"")</f>
        <v/>
      </c>
      <c r="K378" s="161" t="str">
        <f>IF(COUNTIFS($B$31:B378,B378,$E$31:E378,E378,$C$31:C378,C378,$D$31:D378,D378)&gt;1,"DÉJÀ ENTRÉ",IF(AND(COUNTA(B378,C378,D378,E378,F378)&lt;5,COUNTA(B378,C378,D378,E378,F378)&gt;0),"Pensez à renseigner toutes les cases de la ligne !",IF(COUNTA(B378)=1,IF(COUNTBLANK(B378)&gt;=1,"Ne laissez pas de lignes vides. Écrivez sur la ligne supérieure.",""),"")))&amp;IF(G378="Non renseigné","Veuillez sélectionner de nouveau le nom dans la colonne Espèce traitée","")</f>
        <v/>
      </c>
      <c r="L378" s="31" t="str">
        <f>IF(E378="","",INDEX(Données_ATB!BD$3:BU$600,MATCH(E378,Medicament,0),18))</f>
        <v/>
      </c>
      <c r="M378" s="31" t="str">
        <f t="shared" si="25"/>
        <v/>
      </c>
      <c r="N378" s="31" t="str">
        <f t="shared" si="26"/>
        <v/>
      </c>
      <c r="O378" s="31" t="str">
        <f t="shared" si="27"/>
        <v/>
      </c>
      <c r="P378" s="31" t="str">
        <f t="shared" si="28"/>
        <v/>
      </c>
    </row>
    <row r="379" spans="2:16" x14ac:dyDescent="0.3">
      <c r="B379" s="155"/>
      <c r="C379" s="156"/>
      <c r="D379" s="156"/>
      <c r="E379" s="156"/>
      <c r="F379" s="182"/>
      <c r="G379" s="72" t="str">
        <f>IF(C379="","",IFERROR(INDEX(G$19:$L376,MATCH(C379,L$19:L$28,0),1),"Non renseigné"))</f>
        <v/>
      </c>
      <c r="H379" s="190" t="str">
        <f>IFERROR(IF(E379="","",INDEX(Données_ATB!BD$3:BT$600,MATCH(E379,Medicament,0),17)),"Ce médicament n'est pas connu dans la base")</f>
        <v/>
      </c>
      <c r="I379" s="69" t="str">
        <f>IFERROR(IF(E379="","",INDEX(Données_ATB!BD$3:BL$600,MATCH(E379,Medicament,0),9)),"")</f>
        <v/>
      </c>
      <c r="J379" s="44" t="str">
        <f>IFERROR(IF(E379="","",INDEX(Données_ATB!BD$3:BP$5600,MATCH(E379,Medicament,0),13)),"")</f>
        <v/>
      </c>
      <c r="K379" s="161" t="str">
        <f>IF(COUNTIFS($B$31:B379,B379,$E$31:E379,E379,$C$31:C379,C379,$D$31:D379,D379)&gt;1,"DÉJÀ ENTRÉ",IF(AND(COUNTA(B379,C379,D379,E379,F379)&lt;5,COUNTA(B379,C379,D379,E379,F379)&gt;0),"Pensez à renseigner toutes les cases de la ligne !",IF(COUNTA(B379)=1,IF(COUNTBLANK(B379)&gt;=1,"Ne laissez pas de lignes vides. Écrivez sur la ligne supérieure.",""),"")))&amp;IF(G379="Non renseigné","Veuillez sélectionner de nouveau le nom dans la colonne Espèce traitée","")</f>
        <v/>
      </c>
      <c r="L379" s="31" t="str">
        <f>IF(E379="","",INDEX(Données_ATB!BD$3:BU$600,MATCH(E379,Medicament,0),18))</f>
        <v/>
      </c>
      <c r="M379" s="31" t="str">
        <f t="shared" si="25"/>
        <v/>
      </c>
      <c r="N379" s="31" t="str">
        <f t="shared" si="26"/>
        <v/>
      </c>
      <c r="O379" s="31" t="str">
        <f t="shared" si="27"/>
        <v/>
      </c>
      <c r="P379" s="31" t="str">
        <f t="shared" si="28"/>
        <v/>
      </c>
    </row>
    <row r="380" spans="2:16" x14ac:dyDescent="0.3">
      <c r="B380" s="155"/>
      <c r="C380" s="156"/>
      <c r="D380" s="156"/>
      <c r="E380" s="156"/>
      <c r="F380" s="182"/>
      <c r="G380" s="72" t="str">
        <f>IF(C380="","",IFERROR(INDEX(G$19:$L377,MATCH(C380,L$19:L$28,0),1),"Non renseigné"))</f>
        <v/>
      </c>
      <c r="H380" s="190" t="str">
        <f>IFERROR(IF(E380="","",INDEX(Données_ATB!BD$3:BT$600,MATCH(E380,Medicament,0),17)),"Ce médicament n'est pas connu dans la base")</f>
        <v/>
      </c>
      <c r="I380" s="69" t="str">
        <f>IFERROR(IF(E380="","",INDEX(Données_ATB!BD$3:BL$600,MATCH(E380,Medicament,0),9)),"")</f>
        <v/>
      </c>
      <c r="J380" s="44" t="str">
        <f>IFERROR(IF(E380="","",INDEX(Données_ATB!BD$3:BP$5600,MATCH(E380,Medicament,0),13)),"")</f>
        <v/>
      </c>
      <c r="K380" s="161" t="str">
        <f>IF(COUNTIFS($B$31:B380,B380,$E$31:E380,E380,$C$31:C380,C380,$D$31:D380,D380)&gt;1,"DÉJÀ ENTRÉ",IF(AND(COUNTA(B380,C380,D380,E380,F380)&lt;5,COUNTA(B380,C380,D380,E380,F380)&gt;0),"Pensez à renseigner toutes les cases de la ligne !",IF(COUNTA(B380)=1,IF(COUNTBLANK(B380)&gt;=1,"Ne laissez pas de lignes vides. Écrivez sur la ligne supérieure.",""),"")))&amp;IF(G380="Non renseigné","Veuillez sélectionner de nouveau le nom dans la colonne Espèce traitée","")</f>
        <v/>
      </c>
      <c r="L380" s="31" t="str">
        <f>IF(E380="","",INDEX(Données_ATB!BD$3:BU$600,MATCH(E380,Medicament,0),18))</f>
        <v/>
      </c>
      <c r="M380" s="31" t="str">
        <f t="shared" si="25"/>
        <v/>
      </c>
      <c r="N380" s="31" t="str">
        <f t="shared" si="26"/>
        <v/>
      </c>
      <c r="O380" s="31" t="str">
        <f t="shared" si="27"/>
        <v/>
      </c>
      <c r="P380" s="31" t="str">
        <f t="shared" si="28"/>
        <v/>
      </c>
    </row>
    <row r="381" spans="2:16" x14ac:dyDescent="0.3">
      <c r="B381" s="155"/>
      <c r="C381" s="156"/>
      <c r="D381" s="156"/>
      <c r="E381" s="156"/>
      <c r="F381" s="182"/>
      <c r="G381" s="72" t="str">
        <f>IF(C381="","",IFERROR(INDEX(G$19:$L378,MATCH(C381,L$19:L$28,0),1),"Non renseigné"))</f>
        <v/>
      </c>
      <c r="H381" s="190" t="str">
        <f>IFERROR(IF(E381="","",INDEX(Données_ATB!BD$3:BT$600,MATCH(E381,Medicament,0),17)),"Ce médicament n'est pas connu dans la base")</f>
        <v/>
      </c>
      <c r="I381" s="69" t="str">
        <f>IFERROR(IF(E381="","",INDEX(Données_ATB!BD$3:BL$600,MATCH(E381,Medicament,0),9)),"")</f>
        <v/>
      </c>
      <c r="J381" s="44" t="str">
        <f>IFERROR(IF(E381="","",INDEX(Données_ATB!BD$3:BP$5600,MATCH(E381,Medicament,0),13)),"")</f>
        <v/>
      </c>
      <c r="K381" s="161" t="str">
        <f>IF(COUNTIFS($B$31:B381,B381,$E$31:E381,E381,$C$31:C381,C381,$D$31:D381,D381)&gt;1,"DÉJÀ ENTRÉ",IF(AND(COUNTA(B381,C381,D381,E381,F381)&lt;5,COUNTA(B381,C381,D381,E381,F381)&gt;0),"Pensez à renseigner toutes les cases de la ligne !",IF(COUNTA(B381)=1,IF(COUNTBLANK(B381)&gt;=1,"Ne laissez pas de lignes vides. Écrivez sur la ligne supérieure.",""),"")))&amp;IF(G381="Non renseigné","Veuillez sélectionner de nouveau le nom dans la colonne Espèce traitée","")</f>
        <v/>
      </c>
      <c r="L381" s="31" t="str">
        <f>IF(E381="","",INDEX(Données_ATB!BD$3:BU$600,MATCH(E381,Medicament,0),18))</f>
        <v/>
      </c>
      <c r="M381" s="31" t="str">
        <f t="shared" si="25"/>
        <v/>
      </c>
      <c r="N381" s="31" t="str">
        <f t="shared" si="26"/>
        <v/>
      </c>
      <c r="O381" s="31" t="str">
        <f t="shared" si="27"/>
        <v/>
      </c>
      <c r="P381" s="31" t="str">
        <f t="shared" si="28"/>
        <v/>
      </c>
    </row>
    <row r="382" spans="2:16" x14ac:dyDescent="0.3">
      <c r="B382" s="155"/>
      <c r="C382" s="156"/>
      <c r="D382" s="156"/>
      <c r="E382" s="156"/>
      <c r="F382" s="182"/>
      <c r="G382" s="72" t="str">
        <f>IF(C382="","",IFERROR(INDEX(G$19:$L379,MATCH(C382,L$19:L$28,0),1),"Non renseigné"))</f>
        <v/>
      </c>
      <c r="H382" s="190" t="str">
        <f>IFERROR(IF(E382="","",INDEX(Données_ATB!BD$3:BT$600,MATCH(E382,Medicament,0),17)),"Ce médicament n'est pas connu dans la base")</f>
        <v/>
      </c>
      <c r="I382" s="69" t="str">
        <f>IFERROR(IF(E382="","",INDEX(Données_ATB!BD$3:BL$600,MATCH(E382,Medicament,0),9)),"")</f>
        <v/>
      </c>
      <c r="J382" s="44" t="str">
        <f>IFERROR(IF(E382="","",INDEX(Données_ATB!BD$3:BP$5600,MATCH(E382,Medicament,0),13)),"")</f>
        <v/>
      </c>
      <c r="K382" s="161" t="str">
        <f>IF(COUNTIFS($B$31:B382,B382,$E$31:E382,E382,$C$31:C382,C382,$D$31:D382,D382)&gt;1,"DÉJÀ ENTRÉ",IF(AND(COUNTA(B382,C382,D382,E382,F382)&lt;5,COUNTA(B382,C382,D382,E382,F382)&gt;0),"Pensez à renseigner toutes les cases de la ligne !",IF(COUNTA(B382)=1,IF(COUNTBLANK(B382)&gt;=1,"Ne laissez pas de lignes vides. Écrivez sur la ligne supérieure.",""),"")))&amp;IF(G382="Non renseigné","Veuillez sélectionner de nouveau le nom dans la colonne Espèce traitée","")</f>
        <v/>
      </c>
      <c r="L382" s="31" t="str">
        <f>IF(E382="","",INDEX(Données_ATB!BD$3:BU$600,MATCH(E382,Medicament,0),18))</f>
        <v/>
      </c>
      <c r="M382" s="31" t="str">
        <f t="shared" si="25"/>
        <v/>
      </c>
      <c r="N382" s="31" t="str">
        <f t="shared" si="26"/>
        <v/>
      </c>
      <c r="O382" s="31" t="str">
        <f t="shared" si="27"/>
        <v/>
      </c>
      <c r="P382" s="31" t="str">
        <f t="shared" si="28"/>
        <v/>
      </c>
    </row>
    <row r="383" spans="2:16" ht="16.5" customHeight="1" x14ac:dyDescent="0.3">
      <c r="B383" s="155"/>
      <c r="C383" s="156"/>
      <c r="D383" s="156"/>
      <c r="E383" s="156"/>
      <c r="F383" s="182"/>
      <c r="G383" s="72" t="str">
        <f>IF(C383="","",IFERROR(INDEX(G$19:$L380,MATCH(C383,L$19:L$28,0),1),"Non renseigné"))</f>
        <v/>
      </c>
      <c r="H383" s="190" t="str">
        <f>IFERROR(IF(E383="","",INDEX(Données_ATB!BD$3:BT$600,MATCH(E383,Medicament,0),17)),"Ce médicament n'est pas connu dans la base")</f>
        <v/>
      </c>
      <c r="I383" s="69" t="str">
        <f>IFERROR(IF(E383="","",INDEX(Données_ATB!BD$3:BL$600,MATCH(E383,Medicament,0),9)),"")</f>
        <v/>
      </c>
      <c r="J383" s="44" t="str">
        <f>IFERROR(IF(E383="","",INDEX(Données_ATB!BD$3:BP$5600,MATCH(E383,Medicament,0),13)),"")</f>
        <v/>
      </c>
      <c r="K383" s="161" t="str">
        <f>IF(COUNTIFS($B$31:B383,B383,$E$31:E383,E383,$C$31:C383,C383,$D$31:D383,D383)&gt;1,"DÉJÀ ENTRÉ",IF(AND(COUNTA(B383,C383,D383,E383,F383)&lt;5,COUNTA(B383,C383,D383,E383,F383)&gt;0),"Pensez à renseigner toutes les cases de la ligne !",IF(COUNTA(B383)=1,IF(COUNTBLANK(B383)&gt;=1,"Ne laissez pas de lignes vides. Écrivez sur la ligne supérieure.",""),"")))&amp;IF(G383="Non renseigné","Veuillez sélectionner de nouveau le nom dans la colonne Espèce traitée","")</f>
        <v/>
      </c>
      <c r="L383" s="31" t="str">
        <f>IF(E383="","",INDEX(Données_ATB!BD$3:BU$600,MATCH(E383,Medicament,0),18))</f>
        <v/>
      </c>
      <c r="M383" s="31" t="str">
        <f t="shared" si="25"/>
        <v/>
      </c>
      <c r="N383" s="31" t="str">
        <f t="shared" si="26"/>
        <v/>
      </c>
      <c r="O383" s="31" t="str">
        <f t="shared" si="27"/>
        <v/>
      </c>
      <c r="P383" s="31" t="str">
        <f t="shared" si="28"/>
        <v/>
      </c>
    </row>
    <row r="384" spans="2:16" ht="16.5" customHeight="1" x14ac:dyDescent="0.3">
      <c r="B384" s="155"/>
      <c r="C384" s="156"/>
      <c r="D384" s="156"/>
      <c r="E384" s="156"/>
      <c r="F384" s="182"/>
      <c r="G384" s="72" t="str">
        <f>IF(C384="","",IFERROR(INDEX(G$19:$L381,MATCH(C384,L$19:L$28,0),1),"Non renseigné"))</f>
        <v/>
      </c>
      <c r="H384" s="190" t="str">
        <f>IFERROR(IF(E384="","",INDEX(Données_ATB!BD$3:BT$600,MATCH(E384,Medicament,0),17)),"Ce médicament n'est pas connu dans la base")</f>
        <v/>
      </c>
      <c r="I384" s="69" t="str">
        <f>IFERROR(IF(E384="","",INDEX(Données_ATB!BD$3:BL$600,MATCH(E384,Medicament,0),9)),"")</f>
        <v/>
      </c>
      <c r="J384" s="44" t="str">
        <f>IFERROR(IF(E384="","",INDEX(Données_ATB!BD$3:BP$5600,MATCH(E384,Medicament,0),13)),"")</f>
        <v/>
      </c>
      <c r="K384" s="161" t="str">
        <f>IF(COUNTIFS($B$31:B384,B384,$E$31:E384,E384,$C$31:C384,C384,$D$31:D384,D384)&gt;1,"DÉJÀ ENTRÉ",IF(AND(COUNTA(B384,C384,D384,E384,F384)&lt;5,COUNTA(B384,C384,D384,E384,F384)&gt;0),"Pensez à renseigner toutes les cases de la ligne !",IF(COUNTA(B384)=1,IF(COUNTBLANK(B384)&gt;=1,"Ne laissez pas de lignes vides. Écrivez sur la ligne supérieure.",""),"")))&amp;IF(G384="Non renseigné","Veuillez sélectionner de nouveau le nom dans la colonne Espèce traitée","")</f>
        <v/>
      </c>
      <c r="L384" s="31" t="str">
        <f>IF(E384="","",INDEX(Données_ATB!BD$3:BU$600,MATCH(E384,Medicament,0),18))</f>
        <v/>
      </c>
      <c r="M384" s="31" t="str">
        <f t="shared" si="25"/>
        <v/>
      </c>
      <c r="N384" s="31" t="str">
        <f t="shared" si="26"/>
        <v/>
      </c>
      <c r="O384" s="31" t="str">
        <f t="shared" si="27"/>
        <v/>
      </c>
      <c r="P384" s="31" t="str">
        <f t="shared" si="28"/>
        <v/>
      </c>
    </row>
    <row r="385" spans="2:16" x14ac:dyDescent="0.3">
      <c r="B385" s="155"/>
      <c r="C385" s="156"/>
      <c r="D385" s="156"/>
      <c r="E385" s="156"/>
      <c r="F385" s="182"/>
      <c r="G385" s="72" t="str">
        <f>IF(C385="","",IFERROR(INDEX(G$19:$L382,MATCH(C385,L$19:L$28,0),1),"Non renseigné"))</f>
        <v/>
      </c>
      <c r="H385" s="190" t="str">
        <f>IFERROR(IF(E385="","",INDEX(Données_ATB!BD$3:BT$600,MATCH(E385,Medicament,0),17)),"Ce médicament n'est pas connu dans la base")</f>
        <v/>
      </c>
      <c r="I385" s="69" t="str">
        <f>IFERROR(IF(E385="","",INDEX(Données_ATB!BD$3:BL$600,MATCH(E385,Medicament,0),9)),"")</f>
        <v/>
      </c>
      <c r="J385" s="44" t="str">
        <f>IFERROR(IF(E385="","",INDEX(Données_ATB!BD$3:BP$5600,MATCH(E385,Medicament,0),13)),"")</f>
        <v/>
      </c>
      <c r="K385" s="161" t="str">
        <f>IF(COUNTIFS($B$31:B385,B385,$E$31:E385,E385,$C$31:C385,C385,$D$31:D385,D385)&gt;1,"DÉJÀ ENTRÉ",IF(AND(COUNTA(B385,C385,D385,E385,F385)&lt;5,COUNTA(B385,C385,D385,E385,F385)&gt;0),"Pensez à renseigner toutes les cases de la ligne !",IF(COUNTA(B385)=1,IF(COUNTBLANK(B385)&gt;=1,"Ne laissez pas de lignes vides. Écrivez sur la ligne supérieure.",""),"")))&amp;IF(G385="Non renseigné","Veuillez sélectionner de nouveau le nom dans la colonne Espèce traitée","")</f>
        <v/>
      </c>
      <c r="L385" s="31" t="str">
        <f>IF(E385="","",INDEX(Données_ATB!BD$3:BU$600,MATCH(E385,Medicament,0),18))</f>
        <v/>
      </c>
      <c r="M385" s="31" t="str">
        <f t="shared" si="25"/>
        <v/>
      </c>
      <c r="N385" s="31" t="str">
        <f t="shared" si="26"/>
        <v/>
      </c>
      <c r="O385" s="31" t="str">
        <f t="shared" si="27"/>
        <v/>
      </c>
      <c r="P385" s="31" t="str">
        <f t="shared" si="28"/>
        <v/>
      </c>
    </row>
    <row r="386" spans="2:16" x14ac:dyDescent="0.3">
      <c r="B386" s="155"/>
      <c r="C386" s="156"/>
      <c r="D386" s="156"/>
      <c r="E386" s="156"/>
      <c r="F386" s="182"/>
      <c r="G386" s="72" t="str">
        <f>IF(C386="","",IFERROR(INDEX(G$19:$L383,MATCH(C386,L$19:L$28,0),1),"Non renseigné"))</f>
        <v/>
      </c>
      <c r="H386" s="190" t="str">
        <f>IFERROR(IF(E386="","",INDEX(Données_ATB!BD$3:BT$600,MATCH(E386,Medicament,0),17)),"Ce médicament n'est pas connu dans la base")</f>
        <v/>
      </c>
      <c r="I386" s="69" t="str">
        <f>IFERROR(IF(E386="","",INDEX(Données_ATB!BD$3:BL$600,MATCH(E386,Medicament,0),9)),"")</f>
        <v/>
      </c>
      <c r="J386" s="44" t="str">
        <f>IFERROR(IF(E386="","",INDEX(Données_ATB!BD$3:BP$5600,MATCH(E386,Medicament,0),13)),"")</f>
        <v/>
      </c>
      <c r="K386" s="161" t="str">
        <f>IF(COUNTIFS($B$31:B386,B386,$E$31:E386,E386,$C$31:C386,C386,$D$31:D386,D386)&gt;1,"DÉJÀ ENTRÉ",IF(AND(COUNTA(B386,C386,D386,E386,F386)&lt;5,COUNTA(B386,C386,D386,E386,F386)&gt;0),"Pensez à renseigner toutes les cases de la ligne !",IF(COUNTA(B386)=1,IF(COUNTBLANK(B386)&gt;=1,"Ne laissez pas de lignes vides. Écrivez sur la ligne supérieure.",""),"")))&amp;IF(G386="Non renseigné","Veuillez sélectionner de nouveau le nom dans la colonne Espèce traitée","")</f>
        <v/>
      </c>
      <c r="L386" s="31" t="str">
        <f>IF(E386="","",INDEX(Données_ATB!BD$3:BU$600,MATCH(E386,Medicament,0),18))</f>
        <v/>
      </c>
      <c r="M386" s="31" t="str">
        <f t="shared" si="25"/>
        <v/>
      </c>
      <c r="N386" s="31" t="str">
        <f t="shared" si="26"/>
        <v/>
      </c>
      <c r="O386" s="31" t="str">
        <f t="shared" si="27"/>
        <v/>
      </c>
      <c r="P386" s="31" t="str">
        <f t="shared" si="28"/>
        <v/>
      </c>
    </row>
    <row r="387" spans="2:16" x14ac:dyDescent="0.3">
      <c r="B387" s="155"/>
      <c r="C387" s="156"/>
      <c r="D387" s="156"/>
      <c r="E387" s="156"/>
      <c r="F387" s="182"/>
      <c r="G387" s="72" t="str">
        <f>IF(C387="","",IFERROR(INDEX(G$19:$L384,MATCH(C387,L$19:L$28,0),1),"Non renseigné"))</f>
        <v/>
      </c>
      <c r="H387" s="190" t="str">
        <f>IFERROR(IF(E387="","",INDEX(Données_ATB!BD$3:BT$600,MATCH(E387,Medicament,0),17)),"Ce médicament n'est pas connu dans la base")</f>
        <v/>
      </c>
      <c r="I387" s="69" t="str">
        <f>IFERROR(IF(E387="","",INDEX(Données_ATB!BD$3:BL$600,MATCH(E387,Medicament,0),9)),"")</f>
        <v/>
      </c>
      <c r="J387" s="44" t="str">
        <f>IFERROR(IF(E387="","",INDEX(Données_ATB!BD$3:BP$5600,MATCH(E387,Medicament,0),13)),"")</f>
        <v/>
      </c>
      <c r="K387" s="161" t="str">
        <f>IF(COUNTIFS($B$31:B387,B387,$E$31:E387,E387,$C$31:C387,C387,$D$31:D387,D387)&gt;1,"DÉJÀ ENTRÉ",IF(AND(COUNTA(B387,C387,D387,E387,F387)&lt;5,COUNTA(B387,C387,D387,E387,F387)&gt;0),"Pensez à renseigner toutes les cases de la ligne !",IF(COUNTA(B387)=1,IF(COUNTBLANK(B387)&gt;=1,"Ne laissez pas de lignes vides. Écrivez sur la ligne supérieure.",""),"")))&amp;IF(G387="Non renseigné","Veuillez sélectionner de nouveau le nom dans la colonne Espèce traitée","")</f>
        <v/>
      </c>
      <c r="L387" s="31" t="str">
        <f>IF(E387="","",INDEX(Données_ATB!BD$3:BU$600,MATCH(E387,Medicament,0),18))</f>
        <v/>
      </c>
      <c r="M387" s="31" t="str">
        <f t="shared" si="25"/>
        <v/>
      </c>
      <c r="N387" s="31" t="str">
        <f t="shared" si="26"/>
        <v/>
      </c>
      <c r="O387" s="31" t="str">
        <f t="shared" si="27"/>
        <v/>
      </c>
      <c r="P387" s="31" t="str">
        <f t="shared" si="28"/>
        <v/>
      </c>
    </row>
    <row r="388" spans="2:16" x14ac:dyDescent="0.3">
      <c r="B388" s="155"/>
      <c r="C388" s="156"/>
      <c r="D388" s="156"/>
      <c r="E388" s="156"/>
      <c r="F388" s="182"/>
      <c r="G388" s="72" t="str">
        <f>IF(C388="","",IFERROR(INDEX(G$19:$L385,MATCH(C388,L$19:L$28,0),1),"Non renseigné"))</f>
        <v/>
      </c>
      <c r="H388" s="190" t="str">
        <f>IFERROR(IF(E388="","",INDEX(Données_ATB!BD$3:BT$600,MATCH(E388,Medicament,0),17)),"Ce médicament n'est pas connu dans la base")</f>
        <v/>
      </c>
      <c r="I388" s="69" t="str">
        <f>IFERROR(IF(E388="","",INDEX(Données_ATB!BD$3:BL$600,MATCH(E388,Medicament,0),9)),"")</f>
        <v/>
      </c>
      <c r="J388" s="44" t="str">
        <f>IFERROR(IF(E388="","",INDEX(Données_ATB!BD$3:BP$5600,MATCH(E388,Medicament,0),13)),"")</f>
        <v/>
      </c>
      <c r="K388" s="161" t="str">
        <f>IF(COUNTIFS($B$31:B388,B388,$E$31:E388,E388,$C$31:C388,C388,$D$31:D388,D388)&gt;1,"DÉJÀ ENTRÉ",IF(AND(COUNTA(B388,C388,D388,E388,F388)&lt;5,COUNTA(B388,C388,D388,E388,F388)&gt;0),"Pensez à renseigner toutes les cases de la ligne !",IF(COUNTA(B388)=1,IF(COUNTBLANK(B388)&gt;=1,"Ne laissez pas de lignes vides. Écrivez sur la ligne supérieure.",""),"")))&amp;IF(G388="Non renseigné","Veuillez sélectionner de nouveau le nom dans la colonne Espèce traitée","")</f>
        <v/>
      </c>
      <c r="L388" s="31" t="str">
        <f>IF(E388="","",INDEX(Données_ATB!BD$3:BU$600,MATCH(E388,Medicament,0),18))</f>
        <v/>
      </c>
      <c r="M388" s="31" t="str">
        <f t="shared" si="25"/>
        <v/>
      </c>
      <c r="N388" s="31" t="str">
        <f t="shared" si="26"/>
        <v/>
      </c>
      <c r="O388" s="31" t="str">
        <f t="shared" si="27"/>
        <v/>
      </c>
      <c r="P388" s="31" t="str">
        <f t="shared" si="28"/>
        <v/>
      </c>
    </row>
    <row r="389" spans="2:16" x14ac:dyDescent="0.3">
      <c r="B389" s="155"/>
      <c r="C389" s="156"/>
      <c r="D389" s="156"/>
      <c r="E389" s="156"/>
      <c r="F389" s="182"/>
      <c r="G389" s="72" t="str">
        <f>IF(C389="","",IFERROR(INDEX(G$19:$L386,MATCH(C389,L$19:L$28,0),1),"Non renseigné"))</f>
        <v/>
      </c>
      <c r="H389" s="190" t="str">
        <f>IFERROR(IF(E389="","",INDEX(Données_ATB!BD$3:BT$600,MATCH(E389,Medicament,0),17)),"Ce médicament n'est pas connu dans la base")</f>
        <v/>
      </c>
      <c r="I389" s="69" t="str">
        <f>IFERROR(IF(E389="","",INDEX(Données_ATB!BD$3:BL$600,MATCH(E389,Medicament,0),9)),"")</f>
        <v/>
      </c>
      <c r="J389" s="44" t="str">
        <f>IFERROR(IF(E389="","",INDEX(Données_ATB!BD$3:BP$5600,MATCH(E389,Medicament,0),13)),"")</f>
        <v/>
      </c>
      <c r="K389" s="161" t="str">
        <f>IF(COUNTIFS($B$31:B389,B389,$E$31:E389,E389,$C$31:C389,C389,$D$31:D389,D389)&gt;1,"DÉJÀ ENTRÉ",IF(AND(COUNTA(B389,C389,D389,E389,F389)&lt;5,COUNTA(B389,C389,D389,E389,F389)&gt;0),"Pensez à renseigner toutes les cases de la ligne !",IF(COUNTA(B389)=1,IF(COUNTBLANK(B389)&gt;=1,"Ne laissez pas de lignes vides. Écrivez sur la ligne supérieure.",""),"")))&amp;IF(G389="Non renseigné","Veuillez sélectionner de nouveau le nom dans la colonne Espèce traitée","")</f>
        <v/>
      </c>
      <c r="L389" s="31" t="str">
        <f>IF(E389="","",INDEX(Données_ATB!BD$3:BU$600,MATCH(E389,Medicament,0),18))</f>
        <v/>
      </c>
      <c r="M389" s="31" t="str">
        <f t="shared" si="25"/>
        <v/>
      </c>
      <c r="N389" s="31" t="str">
        <f t="shared" si="26"/>
        <v/>
      </c>
      <c r="O389" s="31" t="str">
        <f t="shared" si="27"/>
        <v/>
      </c>
      <c r="P389" s="31" t="str">
        <f t="shared" si="28"/>
        <v/>
      </c>
    </row>
    <row r="390" spans="2:16" x14ac:dyDescent="0.3">
      <c r="B390" s="155"/>
      <c r="C390" s="156"/>
      <c r="D390" s="156"/>
      <c r="E390" s="156"/>
      <c r="F390" s="182"/>
      <c r="G390" s="72" t="str">
        <f>IF(C390="","",IFERROR(INDEX(G$19:$L387,MATCH(C390,L$19:L$28,0),1),"Non renseigné"))</f>
        <v/>
      </c>
      <c r="H390" s="190" t="str">
        <f>IFERROR(IF(E390="","",INDEX(Données_ATB!BD$3:BT$600,MATCH(E390,Medicament,0),17)),"Ce médicament n'est pas connu dans la base")</f>
        <v/>
      </c>
      <c r="I390" s="69" t="str">
        <f>IFERROR(IF(E390="","",INDEX(Données_ATB!BD$3:BL$600,MATCH(E390,Medicament,0),9)),"")</f>
        <v/>
      </c>
      <c r="J390" s="44" t="str">
        <f>IFERROR(IF(E390="","",INDEX(Données_ATB!BD$3:BP$5600,MATCH(E390,Medicament,0),13)),"")</f>
        <v/>
      </c>
      <c r="K390" s="161" t="str">
        <f>IF(COUNTIFS($B$31:B390,B390,$E$31:E390,E390,$C$31:C390,C390,$D$31:D390,D390)&gt;1,"DÉJÀ ENTRÉ",IF(AND(COUNTA(B390,C390,D390,E390,F390)&lt;5,COUNTA(B390,C390,D390,E390,F390)&gt;0),"Pensez à renseigner toutes les cases de la ligne !",IF(COUNTA(B390)=1,IF(COUNTBLANK(B390)&gt;=1,"Ne laissez pas de lignes vides. Écrivez sur la ligne supérieure.",""),"")))&amp;IF(G390="Non renseigné","Veuillez sélectionner de nouveau le nom dans la colonne Espèce traitée","")</f>
        <v/>
      </c>
      <c r="L390" s="31" t="str">
        <f>IF(E390="","",INDEX(Données_ATB!BD$3:BU$600,MATCH(E390,Medicament,0),18))</f>
        <v/>
      </c>
      <c r="M390" s="31" t="str">
        <f t="shared" si="25"/>
        <v/>
      </c>
      <c r="N390" s="31" t="str">
        <f t="shared" si="26"/>
        <v/>
      </c>
      <c r="O390" s="31" t="str">
        <f t="shared" si="27"/>
        <v/>
      </c>
      <c r="P390" s="31" t="str">
        <f t="shared" si="28"/>
        <v/>
      </c>
    </row>
    <row r="391" spans="2:16" x14ac:dyDescent="0.3">
      <c r="B391" s="155"/>
      <c r="C391" s="156"/>
      <c r="D391" s="156"/>
      <c r="E391" s="156"/>
      <c r="F391" s="182"/>
      <c r="G391" s="72" t="str">
        <f>IF(C391="","",IFERROR(INDEX(G$19:$L388,MATCH(C391,L$19:L$28,0),1),"Non renseigné"))</f>
        <v/>
      </c>
      <c r="H391" s="190" t="str">
        <f>IFERROR(IF(E391="","",INDEX(Données_ATB!BD$3:BT$600,MATCH(E391,Medicament,0),17)),"Ce médicament n'est pas connu dans la base")</f>
        <v/>
      </c>
      <c r="I391" s="69" t="str">
        <f>IFERROR(IF(E391="","",INDEX(Données_ATB!BD$3:BL$600,MATCH(E391,Medicament,0),9)),"")</f>
        <v/>
      </c>
      <c r="J391" s="44" t="str">
        <f>IFERROR(IF(E391="","",INDEX(Données_ATB!BD$3:BP$5600,MATCH(E391,Medicament,0),13)),"")</f>
        <v/>
      </c>
      <c r="K391" s="161" t="str">
        <f>IF(COUNTIFS($B$31:B391,B391,$E$31:E391,E391,$C$31:C391,C391,$D$31:D391,D391)&gt;1,"DÉJÀ ENTRÉ",IF(AND(COUNTA(B391,C391,D391,E391,F391)&lt;5,COUNTA(B391,C391,D391,E391,F391)&gt;0),"Pensez à renseigner toutes les cases de la ligne !",IF(COUNTA(B391)=1,IF(COUNTBLANK(B391)&gt;=1,"Ne laissez pas de lignes vides. Écrivez sur la ligne supérieure.",""),"")))&amp;IF(G391="Non renseigné","Veuillez sélectionner de nouveau le nom dans la colonne Espèce traitée","")</f>
        <v/>
      </c>
      <c r="L391" s="31" t="str">
        <f>IF(E391="","",INDEX(Données_ATB!BD$3:BU$600,MATCH(E391,Medicament,0),18))</f>
        <v/>
      </c>
      <c r="M391" s="31" t="str">
        <f t="shared" si="25"/>
        <v/>
      </c>
      <c r="N391" s="31" t="str">
        <f t="shared" si="26"/>
        <v/>
      </c>
      <c r="O391" s="31" t="str">
        <f t="shared" si="27"/>
        <v/>
      </c>
      <c r="P391" s="31" t="str">
        <f t="shared" si="28"/>
        <v/>
      </c>
    </row>
    <row r="392" spans="2:16" x14ac:dyDescent="0.3">
      <c r="B392" s="155"/>
      <c r="C392" s="156"/>
      <c r="D392" s="156"/>
      <c r="E392" s="156"/>
      <c r="F392" s="182"/>
      <c r="G392" s="72" t="str">
        <f>IF(C392="","",IFERROR(INDEX(G$19:$L389,MATCH(C392,L$19:L$28,0),1),"Non renseigné"))</f>
        <v/>
      </c>
      <c r="H392" s="190" t="str">
        <f>IFERROR(IF(E392="","",INDEX(Données_ATB!BD$3:BT$600,MATCH(E392,Medicament,0),17)),"Ce médicament n'est pas connu dans la base")</f>
        <v/>
      </c>
      <c r="I392" s="69" t="str">
        <f>IFERROR(IF(E392="","",INDEX(Données_ATB!BD$3:BL$600,MATCH(E392,Medicament,0),9)),"")</f>
        <v/>
      </c>
      <c r="J392" s="44" t="str">
        <f>IFERROR(IF(E392="","",INDEX(Données_ATB!BD$3:BP$5600,MATCH(E392,Medicament,0),13)),"")</f>
        <v/>
      </c>
      <c r="K392" s="161" t="str">
        <f>IF(COUNTIFS($B$31:B392,B392,$E$31:E392,E392,$C$31:C392,C392,$D$31:D392,D392)&gt;1,"DÉJÀ ENTRÉ",IF(AND(COUNTA(B392,C392,D392,E392,F392)&lt;5,COUNTA(B392,C392,D392,E392,F392)&gt;0),"Pensez à renseigner toutes les cases de la ligne !",IF(COUNTA(B392)=1,IF(COUNTBLANK(B392)&gt;=1,"Ne laissez pas de lignes vides. Écrivez sur la ligne supérieure.",""),"")))&amp;IF(G392="Non renseigné","Veuillez sélectionner de nouveau le nom dans la colonne Espèce traitée","")</f>
        <v/>
      </c>
      <c r="L392" s="31" t="str">
        <f>IF(E392="","",INDEX(Données_ATB!BD$3:BU$600,MATCH(E392,Medicament,0),18))</f>
        <v/>
      </c>
      <c r="M392" s="31" t="str">
        <f t="shared" si="25"/>
        <v/>
      </c>
      <c r="N392" s="31" t="str">
        <f t="shared" si="26"/>
        <v/>
      </c>
      <c r="O392" s="31" t="str">
        <f t="shared" si="27"/>
        <v/>
      </c>
      <c r="P392" s="31" t="str">
        <f t="shared" si="28"/>
        <v/>
      </c>
    </row>
    <row r="393" spans="2:16" x14ac:dyDescent="0.3">
      <c r="B393" s="155"/>
      <c r="C393" s="156"/>
      <c r="D393" s="156"/>
      <c r="E393" s="156"/>
      <c r="F393" s="182"/>
      <c r="G393" s="72" t="str">
        <f>IF(C393="","",IFERROR(INDEX(G$19:$L390,MATCH(C393,L$19:L$28,0),1),"Non renseigné"))</f>
        <v/>
      </c>
      <c r="H393" s="190" t="str">
        <f>IFERROR(IF(E393="","",INDEX(Données_ATB!BD$3:BT$600,MATCH(E393,Medicament,0),17)),"Ce médicament n'est pas connu dans la base")</f>
        <v/>
      </c>
      <c r="I393" s="69" t="str">
        <f>IFERROR(IF(E393="","",INDEX(Données_ATB!BD$3:BL$600,MATCH(E393,Medicament,0),9)),"")</f>
        <v/>
      </c>
      <c r="J393" s="44" t="str">
        <f>IFERROR(IF(E393="","",INDEX(Données_ATB!BD$3:BP$5600,MATCH(E393,Medicament,0),13)),"")</f>
        <v/>
      </c>
      <c r="K393" s="161" t="str">
        <f>IF(COUNTIFS($B$31:B393,B393,$E$31:E393,E393,$C$31:C393,C393,$D$31:D393,D393)&gt;1,"DÉJÀ ENTRÉ",IF(AND(COUNTA(B393,C393,D393,E393,F393)&lt;5,COUNTA(B393,C393,D393,E393,F393)&gt;0),"Pensez à renseigner toutes les cases de la ligne !",IF(COUNTA(B393)=1,IF(COUNTBLANK(B393)&gt;=1,"Ne laissez pas de lignes vides. Écrivez sur la ligne supérieure.",""),"")))&amp;IF(G393="Non renseigné","Veuillez sélectionner de nouveau le nom dans la colonne Espèce traitée","")</f>
        <v/>
      </c>
      <c r="L393" s="31" t="str">
        <f>IF(E393="","",INDEX(Données_ATB!BD$3:BU$600,MATCH(E393,Medicament,0),18))</f>
        <v/>
      </c>
      <c r="M393" s="31" t="str">
        <f t="shared" si="25"/>
        <v/>
      </c>
      <c r="N393" s="31" t="str">
        <f t="shared" si="26"/>
        <v/>
      </c>
      <c r="O393" s="31" t="str">
        <f t="shared" si="27"/>
        <v/>
      </c>
      <c r="P393" s="31" t="str">
        <f t="shared" si="28"/>
        <v/>
      </c>
    </row>
    <row r="394" spans="2:16" x14ac:dyDescent="0.3">
      <c r="B394" s="155"/>
      <c r="C394" s="156"/>
      <c r="D394" s="156"/>
      <c r="E394" s="156"/>
      <c r="F394" s="182"/>
      <c r="G394" s="72" t="str">
        <f>IF(C394="","",IFERROR(INDEX(G$19:$L391,MATCH(C394,L$19:L$28,0),1),"Non renseigné"))</f>
        <v/>
      </c>
      <c r="H394" s="190" t="str">
        <f>IFERROR(IF(E394="","",INDEX(Données_ATB!BD$3:BT$600,MATCH(E394,Medicament,0),17)),"Ce médicament n'est pas connu dans la base")</f>
        <v/>
      </c>
      <c r="I394" s="69" t="str">
        <f>IFERROR(IF(E394="","",INDEX(Données_ATB!BD$3:BL$600,MATCH(E394,Medicament,0),9)),"")</f>
        <v/>
      </c>
      <c r="J394" s="44" t="str">
        <f>IFERROR(IF(E394="","",INDEX(Données_ATB!BD$3:BP$5600,MATCH(E394,Medicament,0),13)),"")</f>
        <v/>
      </c>
      <c r="K394" s="161" t="str">
        <f>IF(COUNTIFS($B$31:B394,B394,$E$31:E394,E394,$C$31:C394,C394,$D$31:D394,D394)&gt;1,"DÉJÀ ENTRÉ",IF(AND(COUNTA(B394,C394,D394,E394,F394)&lt;5,COUNTA(B394,C394,D394,E394,F394)&gt;0),"Pensez à renseigner toutes les cases de la ligne !",IF(COUNTA(B394)=1,IF(COUNTBLANK(B394)&gt;=1,"Ne laissez pas de lignes vides. Écrivez sur la ligne supérieure.",""),"")))&amp;IF(G394="Non renseigné","Veuillez sélectionner de nouveau le nom dans la colonne Espèce traitée","")</f>
        <v/>
      </c>
      <c r="L394" s="31" t="str">
        <f>IF(E394="","",INDEX(Données_ATB!BD$3:BU$600,MATCH(E394,Medicament,0),18))</f>
        <v/>
      </c>
      <c r="M394" s="31" t="str">
        <f t="shared" si="25"/>
        <v/>
      </c>
      <c r="N394" s="31" t="str">
        <f t="shared" si="26"/>
        <v/>
      </c>
      <c r="O394" s="31" t="str">
        <f t="shared" si="27"/>
        <v/>
      </c>
      <c r="P394" s="31" t="str">
        <f t="shared" si="28"/>
        <v/>
      </c>
    </row>
    <row r="395" spans="2:16" ht="16.5" customHeight="1" x14ac:dyDescent="0.3">
      <c r="B395" s="155"/>
      <c r="C395" s="156"/>
      <c r="D395" s="156"/>
      <c r="E395" s="156"/>
      <c r="F395" s="182"/>
      <c r="G395" s="72" t="str">
        <f>IF(C395="","",IFERROR(INDEX(G$19:$L392,MATCH(C395,L$19:L$28,0),1),"Non renseigné"))</f>
        <v/>
      </c>
      <c r="H395" s="190" t="str">
        <f>IFERROR(IF(E395="","",INDEX(Données_ATB!BD$3:BT$600,MATCH(E395,Medicament,0),17)),"Ce médicament n'est pas connu dans la base")</f>
        <v/>
      </c>
      <c r="I395" s="69" t="str">
        <f>IFERROR(IF(E395="","",INDEX(Données_ATB!BD$3:BL$600,MATCH(E395,Medicament,0),9)),"")</f>
        <v/>
      </c>
      <c r="J395" s="44" t="str">
        <f>IFERROR(IF(E395="","",INDEX(Données_ATB!BD$3:BP$5600,MATCH(E395,Medicament,0),13)),"")</f>
        <v/>
      </c>
      <c r="K395" s="161" t="str">
        <f>IF(COUNTIFS($B$31:B395,B395,$E$31:E395,E395,$C$31:C395,C395,$D$31:D395,D395)&gt;1,"DÉJÀ ENTRÉ",IF(AND(COUNTA(B395,C395,D395,E395,F395)&lt;5,COUNTA(B395,C395,D395,E395,F395)&gt;0),"Pensez à renseigner toutes les cases de la ligne !",IF(COUNTA(B395)=1,IF(COUNTBLANK(B395)&gt;=1,"Ne laissez pas de lignes vides. Écrivez sur la ligne supérieure.",""),"")))&amp;IF(G395="Non renseigné","Veuillez sélectionner de nouveau le nom dans la colonne Espèce traitée","")</f>
        <v/>
      </c>
      <c r="L395" s="31" t="str">
        <f>IF(E395="","",INDEX(Données_ATB!BD$3:BU$600,MATCH(E395,Medicament,0),18))</f>
        <v/>
      </c>
      <c r="M395" s="31" t="str">
        <f t="shared" si="25"/>
        <v/>
      </c>
      <c r="N395" s="31" t="str">
        <f t="shared" si="26"/>
        <v/>
      </c>
      <c r="O395" s="31" t="str">
        <f t="shared" si="27"/>
        <v/>
      </c>
      <c r="P395" s="31" t="str">
        <f t="shared" si="28"/>
        <v/>
      </c>
    </row>
    <row r="396" spans="2:16" ht="17.25" customHeight="1" x14ac:dyDescent="0.3">
      <c r="B396" s="155"/>
      <c r="C396" s="156"/>
      <c r="D396" s="156"/>
      <c r="E396" s="156"/>
      <c r="F396" s="182"/>
      <c r="G396" s="72" t="str">
        <f>IF(C396="","",IFERROR(INDEX(G$19:$L393,MATCH(C396,L$19:L$28,0),1),"Non renseigné"))</f>
        <v/>
      </c>
      <c r="H396" s="190" t="str">
        <f>IFERROR(IF(E396="","",INDEX(Données_ATB!BD$3:BT$600,MATCH(E396,Medicament,0),17)),"Ce médicament n'est pas connu dans la base")</f>
        <v/>
      </c>
      <c r="I396" s="69" t="str">
        <f>IFERROR(IF(E396="","",INDEX(Données_ATB!BD$3:BL$600,MATCH(E396,Medicament,0),9)),"")</f>
        <v/>
      </c>
      <c r="J396" s="44" t="str">
        <f>IFERROR(IF(E396="","",INDEX(Données_ATB!BD$3:BP$5600,MATCH(E396,Medicament,0),13)),"")</f>
        <v/>
      </c>
      <c r="K396" s="161" t="str">
        <f>IF(COUNTIFS($B$31:B396,B396,$E$31:E396,E396,$C$31:C396,C396,$D$31:D396,D396)&gt;1,"DÉJÀ ENTRÉ",IF(AND(COUNTA(B396,C396,D396,E396,F396)&lt;5,COUNTA(B396,C396,D396,E396,F396)&gt;0),"Pensez à renseigner toutes les cases de la ligne !",IF(COUNTA(B396)=1,IF(COUNTBLANK(B396)&gt;=1,"Ne laissez pas de lignes vides. Écrivez sur la ligne supérieure.",""),"")))&amp;IF(G396="Non renseigné","Veuillez sélectionner de nouveau le nom dans la colonne Espèce traitée","")</f>
        <v/>
      </c>
      <c r="L396" s="31" t="str">
        <f>IF(E396="","",INDEX(Données_ATB!BD$3:BU$600,MATCH(E396,Medicament,0),18))</f>
        <v/>
      </c>
      <c r="M396" s="31" t="str">
        <f t="shared" si="25"/>
        <v/>
      </c>
      <c r="N396" s="31" t="str">
        <f t="shared" si="26"/>
        <v/>
      </c>
      <c r="O396" s="31" t="str">
        <f t="shared" si="27"/>
        <v/>
      </c>
      <c r="P396" s="31" t="str">
        <f t="shared" si="28"/>
        <v/>
      </c>
    </row>
    <row r="397" spans="2:16" x14ac:dyDescent="0.3">
      <c r="B397" s="155"/>
      <c r="C397" s="156"/>
      <c r="D397" s="156"/>
      <c r="E397" s="156"/>
      <c r="F397" s="182"/>
      <c r="G397" s="72" t="str">
        <f>IF(C397="","",IFERROR(INDEX(G$19:$L394,MATCH(C397,L$19:L$28,0),1),"Non renseigné"))</f>
        <v/>
      </c>
      <c r="H397" s="190" t="str">
        <f>IFERROR(IF(E397="","",INDEX(Données_ATB!BD$3:BT$600,MATCH(E397,Medicament,0),17)),"Ce médicament n'est pas connu dans la base")</f>
        <v/>
      </c>
      <c r="I397" s="69" t="str">
        <f>IFERROR(IF(E397="","",INDEX(Données_ATB!BD$3:BL$600,MATCH(E397,Medicament,0),9)),"")</f>
        <v/>
      </c>
      <c r="J397" s="44" t="str">
        <f>IFERROR(IF(E397="","",INDEX(Données_ATB!BD$3:BP$5600,MATCH(E397,Medicament,0),13)),"")</f>
        <v/>
      </c>
      <c r="K397" s="161" t="str">
        <f>IF(COUNTIFS($B$31:B397,B397,$E$31:E397,E397,$C$31:C397,C397,$D$31:D397,D397)&gt;1,"DÉJÀ ENTRÉ",IF(AND(COUNTA(B397,C397,D397,E397,F397)&lt;5,COUNTA(B397,C397,D397,E397,F397)&gt;0),"Pensez à renseigner toutes les cases de la ligne !",IF(COUNTA(B397)=1,IF(COUNTBLANK(B397)&gt;=1,"Ne laissez pas de lignes vides. Écrivez sur la ligne supérieure.",""),"")))&amp;IF(G397="Non renseigné","Veuillez sélectionner de nouveau le nom dans la colonne Espèce traitée","")</f>
        <v/>
      </c>
      <c r="L397" s="31" t="str">
        <f>IF(E397="","",INDEX(Données_ATB!BD$3:BU$600,MATCH(E397,Medicament,0),18))</f>
        <v/>
      </c>
      <c r="M397" s="31" t="str">
        <f t="shared" si="25"/>
        <v/>
      </c>
      <c r="N397" s="31" t="str">
        <f t="shared" si="26"/>
        <v/>
      </c>
      <c r="O397" s="31" t="str">
        <f t="shared" si="27"/>
        <v/>
      </c>
      <c r="P397" s="31" t="str">
        <f t="shared" si="28"/>
        <v/>
      </c>
    </row>
    <row r="398" spans="2:16" x14ac:dyDescent="0.3">
      <c r="B398" s="155"/>
      <c r="C398" s="156"/>
      <c r="D398" s="156"/>
      <c r="E398" s="156"/>
      <c r="F398" s="182"/>
      <c r="G398" s="72" t="str">
        <f>IF(C398="","",IFERROR(INDEX(G$19:$L395,MATCH(C398,L$19:L$28,0),1),"Non renseigné"))</f>
        <v/>
      </c>
      <c r="H398" s="190" t="str">
        <f>IFERROR(IF(E398="","",INDEX(Données_ATB!BD$3:BT$600,MATCH(E398,Medicament,0),17)),"Ce médicament n'est pas connu dans la base")</f>
        <v/>
      </c>
      <c r="I398" s="69" t="str">
        <f>IFERROR(IF(E398="","",INDEX(Données_ATB!BD$3:BL$600,MATCH(E398,Medicament,0),9)),"")</f>
        <v/>
      </c>
      <c r="J398" s="44" t="str">
        <f>IFERROR(IF(E398="","",INDEX(Données_ATB!BD$3:BP$5600,MATCH(E398,Medicament,0),13)),"")</f>
        <v/>
      </c>
      <c r="K398" s="161" t="str">
        <f>IF(COUNTIFS($B$31:B398,B398,$E$31:E398,E398,$C$31:C398,C398,$D$31:D398,D398)&gt;1,"DÉJÀ ENTRÉ",IF(AND(COUNTA(B398,C398,D398,E398,F398)&lt;5,COUNTA(B398,C398,D398,E398,F398)&gt;0),"Pensez à renseigner toutes les cases de la ligne !",IF(COUNTA(B398)=1,IF(COUNTBLANK(B398)&gt;=1,"Ne laissez pas de lignes vides. Écrivez sur la ligne supérieure.",""),"")))&amp;IF(G398="Non renseigné","Veuillez sélectionner de nouveau le nom dans la colonne Espèce traitée","")</f>
        <v/>
      </c>
      <c r="L398" s="31" t="str">
        <f>IF(E398="","",INDEX(Données_ATB!BD$3:BU$600,MATCH(E398,Medicament,0),18))</f>
        <v/>
      </c>
      <c r="M398" s="31" t="str">
        <f t="shared" si="25"/>
        <v/>
      </c>
      <c r="N398" s="31" t="str">
        <f t="shared" si="26"/>
        <v/>
      </c>
      <c r="O398" s="31" t="str">
        <f t="shared" si="27"/>
        <v/>
      </c>
      <c r="P398" s="31" t="str">
        <f t="shared" si="28"/>
        <v/>
      </c>
    </row>
    <row r="399" spans="2:16" x14ac:dyDescent="0.3">
      <c r="B399" s="155"/>
      <c r="C399" s="156"/>
      <c r="D399" s="156"/>
      <c r="E399" s="156"/>
      <c r="F399" s="182"/>
      <c r="G399" s="72" t="str">
        <f>IF(C399="","",IFERROR(INDEX(G$19:$L396,MATCH(C399,L$19:L$28,0),1),"Non renseigné"))</f>
        <v/>
      </c>
      <c r="H399" s="190" t="str">
        <f>IFERROR(IF(E399="","",INDEX(Données_ATB!BD$3:BT$600,MATCH(E399,Medicament,0),17)),"Ce médicament n'est pas connu dans la base")</f>
        <v/>
      </c>
      <c r="I399" s="69" t="str">
        <f>IFERROR(IF(E399="","",INDEX(Données_ATB!BD$3:BL$600,MATCH(E399,Medicament,0),9)),"")</f>
        <v/>
      </c>
      <c r="J399" s="44" t="str">
        <f>IFERROR(IF(E399="","",INDEX(Données_ATB!BD$3:BP$5600,MATCH(E399,Medicament,0),13)),"")</f>
        <v/>
      </c>
      <c r="K399" s="161" t="str">
        <f>IF(COUNTIFS($B$31:B399,B399,$E$31:E399,E399,$C$31:C399,C399,$D$31:D399,D399)&gt;1,"DÉJÀ ENTRÉ",IF(AND(COUNTA(B399,C399,D399,E399,F399)&lt;5,COUNTA(B399,C399,D399,E399,F399)&gt;0),"Pensez à renseigner toutes les cases de la ligne !",IF(COUNTA(B399)=1,IF(COUNTBLANK(B399)&gt;=1,"Ne laissez pas de lignes vides. Écrivez sur la ligne supérieure.",""),"")))&amp;IF(G399="Non renseigné","Veuillez sélectionner de nouveau le nom dans la colonne Espèce traitée","")</f>
        <v/>
      </c>
      <c r="L399" s="31" t="str">
        <f>IF(E399="","",INDEX(Données_ATB!BD$3:BU$600,MATCH(E399,Medicament,0),18))</f>
        <v/>
      </c>
      <c r="M399" s="31" t="str">
        <f t="shared" si="25"/>
        <v/>
      </c>
      <c r="N399" s="31" t="str">
        <f t="shared" si="26"/>
        <v/>
      </c>
      <c r="O399" s="31" t="str">
        <f t="shared" si="27"/>
        <v/>
      </c>
      <c r="P399" s="31" t="str">
        <f t="shared" si="28"/>
        <v/>
      </c>
    </row>
    <row r="400" spans="2:16" ht="15" thickBot="1" x14ac:dyDescent="0.35">
      <c r="B400" s="157"/>
      <c r="C400" s="158"/>
      <c r="D400" s="158"/>
      <c r="E400" s="158"/>
      <c r="F400" s="158"/>
      <c r="G400" s="162" t="str">
        <f>IF(C400="","",IFERROR(INDEX(G$19:$L397,MATCH(C400,L$19:L$28,0),1),"Non renseigné"))</f>
        <v/>
      </c>
      <c r="H400" s="190" t="str">
        <f>IFERROR(IF(E400="","",INDEX(Données_ATB!BD$3:BT$600,MATCH(E400,Medicament,0),17)),"Ce médicament n'est pas connu dans la base")</f>
        <v/>
      </c>
      <c r="I400" s="69" t="str">
        <f>IFERROR(IF(E400="","",INDEX(Données_ATB!BD$3:BL$600,MATCH(E400,Medicament,0),9)),"")</f>
        <v/>
      </c>
      <c r="J400" s="44" t="str">
        <f>IFERROR(IF(E400="","",INDEX(Données_ATB!BD$3:BP$5600,MATCH(E400,Medicament,0),13)),"")</f>
        <v/>
      </c>
      <c r="K400" s="163" t="str">
        <f>IF(COUNTIFS($B$31:B400,B400,$E$31:E400,E400,$C$31:C400,C400,$D$31:D400,D400)&gt;1,"DÉJÀ ENTRÉ",IF(AND(COUNTA(B400,C400,D400,E400,F400)&lt;5,COUNTA(B400,C400,D400,E400,F400)&gt;0),"Pensez à renseigner toutes les cases de la ligne !",IF(COUNTA(B400)=1,IF(COUNTBLANK(B400)&gt;=1,"Ne laissez pas de lignes vides. Écrivez sur la ligne supérieure.",""),"")))&amp;IF(G400="Non renseigné","Veuillez sélectionner de nouveau le nom dans la colonne Espèce traitée","")</f>
        <v/>
      </c>
      <c r="L400" s="31" t="str">
        <f>IF(E400="","",INDEX(Données_ATB!BD$3:BU$600,MATCH(E400,Medicament,0),18))</f>
        <v/>
      </c>
      <c r="M400" s="31" t="str">
        <f t="shared" si="25"/>
        <v/>
      </c>
      <c r="N400" s="31" t="str">
        <f t="shared" si="26"/>
        <v/>
      </c>
      <c r="O400" s="31" t="str">
        <f t="shared" si="27"/>
        <v/>
      </c>
      <c r="P400" s="31" t="str">
        <f t="shared" si="28"/>
        <v/>
      </c>
    </row>
  </sheetData>
  <sheetProtection algorithmName="SHA-512" hashValue="Nvog28h5az2W1K8yGdHw2+H3rJxYaXZHPSvYWfYvNi5vCEgipq5oOljpKaWhmghJ54rr095Cww5YyCOOXshsVQ==" saltValue="rryRTOtrPrApefkiz9vcmw==" spinCount="100000" sheet="1" formatCells="0" formatColumns="0" formatRows="0" sort="0" autoFilter="0"/>
  <sortState xmlns:xlrd2="http://schemas.microsoft.com/office/spreadsheetml/2017/richdata2" ref="T13:T23">
    <sortCondition ref="T13:T23"/>
  </sortState>
  <mergeCells count="22">
    <mergeCell ref="I19:K19"/>
    <mergeCell ref="I24:K24"/>
    <mergeCell ref="I23:K23"/>
    <mergeCell ref="I22:K22"/>
    <mergeCell ref="I21:K21"/>
    <mergeCell ref="I20:K20"/>
    <mergeCell ref="I2:I3"/>
    <mergeCell ref="S1:Y1"/>
    <mergeCell ref="AA1:AD1"/>
    <mergeCell ref="A18:A28"/>
    <mergeCell ref="A14:A15"/>
    <mergeCell ref="B2:D4"/>
    <mergeCell ref="B15:C15"/>
    <mergeCell ref="B14:C14"/>
    <mergeCell ref="D14:F14"/>
    <mergeCell ref="D15:F15"/>
    <mergeCell ref="B18:B28"/>
    <mergeCell ref="I18:K18"/>
    <mergeCell ref="I28:K28"/>
    <mergeCell ref="I27:K27"/>
    <mergeCell ref="I26:K26"/>
    <mergeCell ref="I25:K25"/>
  </mergeCells>
  <phoneticPr fontId="1" type="noConversion"/>
  <conditionalFormatting sqref="E31:E400">
    <cfRule type="expression" dxfId="61" priority="90">
      <formula>L31="x"</formula>
    </cfRule>
  </conditionalFormatting>
  <conditionalFormatting sqref="F400">
    <cfRule type="expression" dxfId="60" priority="1">
      <formula>M400="x"</formula>
    </cfRule>
  </conditionalFormatting>
  <conditionalFormatting sqref="I19:I28 K30:K400 J29">
    <cfRule type="containsText" dxfId="59" priority="19" operator="containsText" text="laissez">
      <formula>NOT(ISERROR(SEARCH("laissez",I19)))</formula>
    </cfRule>
  </conditionalFormatting>
  <conditionalFormatting sqref="I19:I28">
    <cfRule type="containsText" dxfId="58" priority="4" operator="containsText" text="remplacer">
      <formula>NOT(ISERROR(SEARCH("remplacer",I19)))</formula>
    </cfRule>
    <cfRule type="containsText" dxfId="57" priority="20" operator="containsText" text="cases">
      <formula>NOT(ISERROR(SEARCH("cases",I19)))</formula>
    </cfRule>
    <cfRule type="containsText" dxfId="56" priority="21" operator="containsText" text="ont déjà été renseignés">
      <formula>NOT(ISERROR(SEARCH("ont déjà été renseignés",I19)))</formula>
    </cfRule>
  </conditionalFormatting>
  <conditionalFormatting sqref="K31:K400">
    <cfRule type="containsText" dxfId="55" priority="3" operator="containsText" text="colonne">
      <formula>NOT(ISERROR(SEARCH("colonne",K31)))</formula>
    </cfRule>
    <cfRule type="containsText" dxfId="54" priority="22" operator="containsText" text="cases">
      <formula>NOT(ISERROR(SEARCH("cases",K31)))</formula>
    </cfRule>
    <cfRule type="containsText" dxfId="53" priority="23" operator="containsText" text="Déjà entré">
      <formula>NOT(ISERROR(SEARCH("Déjà entré",K31)))</formula>
    </cfRule>
  </conditionalFormatting>
  <dataValidations count="11">
    <dataValidation type="list" allowBlank="1" showInputMessage="1" showErrorMessage="1" sqref="D31:D400" xr:uid="{B4EF1A13-947E-41F8-B0A3-94FBDAA7AB53}">
      <formula1>Maladies</formula1>
    </dataValidation>
    <dataValidation type="list" allowBlank="1" showInputMessage="1" showErrorMessage="1" sqref="C19:C28" xr:uid="{95CDABDF-C51C-4E16-AE0A-AC11224ADFC7}">
      <formula1>"Bovin,Caprin,Equin,Ovin,Poisson,Porcin,Volaille,Autre"</formula1>
    </dataValidation>
    <dataValidation type="list" allowBlank="1" showInputMessage="1" sqref="E31:E400" xr:uid="{2FCB29D0-BF48-4544-88D7-1AC4CD9FDA84}">
      <formula1>IF(E31="",Medicament,OFFSET(Medicament,MATCH(E31,Medicament),))</formula1>
    </dataValidation>
    <dataValidation type="list" allowBlank="1" showInputMessage="1" showErrorMessage="1" sqref="E19:E28" xr:uid="{AE7EB239-E3EB-4D58-AB91-F1B3AABE0AB4}">
      <formula1>IF(C19="","",IF(C19="Bovin",$S$2:$S$4,IF(C19="Caprin",$V$2:$V$4,IF(C19="Ovin",$U$2:$U$4,IF(C19="Porcin",$T$2:$T$5,IF(C19="Equin",$W$2:$W$4,IF(C19="Volaille",$X$2:$X$5,IF(C19="Poisson",$Y$2:$Y$4,IF(C19="Autre",$V$3:$V$4,"")))))))))</formula1>
    </dataValidation>
    <dataValidation type="whole" allowBlank="1" showInputMessage="1" showErrorMessage="1" error="Veuillez renseigner un nombre entier, merci." sqref="F19:F28" xr:uid="{8466D8C7-D71C-45B2-9A1A-89FCCBB953C3}">
      <formula1>1</formula1>
      <formula2>100000</formula2>
    </dataValidation>
    <dataValidation type="list" allowBlank="1" showInputMessage="1" showErrorMessage="1" sqref="D16" xr:uid="{CB8B4BB8-4EE1-4E01-BB01-720DF895CA19}">
      <formula1>MOIS</formula1>
    </dataValidation>
    <dataValidation type="list" allowBlank="1" showInputMessage="1" showErrorMessage="1" sqref="J15 C31:C400" xr:uid="{8B1C09C5-7437-416F-A4E9-B874457967EC}">
      <formula1>OFFSET($L$19,0,0,10-COUNTBLANK($L$19:$L$28))</formula1>
    </dataValidation>
    <dataValidation type="list" allowBlank="1" showInputMessage="1" showErrorMessage="1" sqref="D19:D28" xr:uid="{8945D8F0-4F81-45CA-8E30-58D68EC600FD}">
      <formula1>IF(C19="","",IF($C19="Bovin",$AA$2:$AA$6,IF($C19="Caprin",$AA$2:$AA$6,IF($C19="Ovin",$AA$2:$AA$6,IF($C19="Porcin",$AA$3:$AA$6,IF($C19="Equin",$AB$2:$AB$6,IF($C19="Volaille",$AC$2:$AC$6,IF($C19="Poisson",$AA$3:$AA$6,IF($C19="Autre",$AA$2:$AA$6)))))))))</formula1>
    </dataValidation>
    <dataValidation type="list" allowBlank="1" showInputMessage="1" showErrorMessage="1" sqref="F31:F400" xr:uid="{D811153B-3BFA-4241-8736-D0A7958BD613}">
      <formula1>nb</formula1>
    </dataValidation>
    <dataValidation type="list" allowBlank="1" showInputMessage="1" showErrorMessage="1" sqref="B31:B400" xr:uid="{B6497C66-759D-4D23-8A94-6293DC71F667}">
      <formula1>IF(D$16="",MOIS,OFFSET(MOIS,MATCH(D$16,MOIS,0)-1,0,12,1))</formula1>
    </dataValidation>
    <dataValidation type="list" allowBlank="1" showInputMessage="1" showErrorMessage="1" sqref="G19:G28" xr:uid="{2EC236C9-7E01-4C24-9E44-9E627392F89A}">
      <formula1>"animaux,lots,kg,"</formula1>
    </dataValidation>
  </dataValidations>
  <pageMargins left="0.25" right="0.25" top="0.75" bottom="0.75" header="0.3" footer="0.3"/>
  <pageSetup paperSize="9" scale="64" fitToHeight="0"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4A664-188D-4A12-A654-45EFBF6D59C7}">
  <dimension ref="A1:CN10001"/>
  <sheetViews>
    <sheetView topLeftCell="BZ1" zoomScale="85" zoomScaleNormal="85" workbookViewId="0">
      <selection activeCell="CD18" sqref="CD12:CD18"/>
    </sheetView>
  </sheetViews>
  <sheetFormatPr baseColWidth="10" defaultRowHeight="14.4" x14ac:dyDescent="0.3"/>
  <cols>
    <col min="6" max="6" width="48.33203125" customWidth="1"/>
    <col min="8" max="8" width="31.88671875" customWidth="1"/>
    <col min="37" max="37" width="13.5546875" customWidth="1"/>
    <col min="51" max="51" width="19.44140625" customWidth="1"/>
    <col min="52" max="52" width="25.6640625" customWidth="1"/>
    <col min="56" max="56" width="41.109375" customWidth="1"/>
    <col min="57" max="57" width="12.44140625" bestFit="1" customWidth="1"/>
    <col min="64" max="64" width="30.33203125" customWidth="1"/>
    <col min="65" max="65" width="22.5546875" customWidth="1"/>
    <col min="66" max="66" width="16.33203125" customWidth="1"/>
    <col min="67" max="67" width="26" customWidth="1"/>
    <col min="68" max="68" width="27.5546875" customWidth="1"/>
    <col min="72" max="72" width="44.44140625" customWidth="1"/>
    <col min="75" max="75" width="22.88671875" customWidth="1"/>
    <col min="76" max="76" width="36" customWidth="1"/>
    <col min="78" max="78" width="24.44140625" customWidth="1"/>
    <col min="79" max="80" width="31.33203125" customWidth="1"/>
    <col min="82" max="82" width="13.88671875" customWidth="1"/>
    <col min="83" max="83" width="45.109375" customWidth="1"/>
    <col min="85" max="85" width="46.5546875" customWidth="1"/>
    <col min="89" max="89" width="88.88671875" customWidth="1"/>
    <col min="90" max="90" width="11.44140625" style="73"/>
  </cols>
  <sheetData>
    <row r="1" spans="1:92" ht="18.600000000000001" thickBot="1" x14ac:dyDescent="0.4">
      <c r="A1" s="324" t="s">
        <v>708</v>
      </c>
      <c r="B1" s="325"/>
      <c r="C1" s="325"/>
      <c r="D1" s="325"/>
      <c r="E1" s="325"/>
      <c r="F1" s="325"/>
      <c r="G1" s="325"/>
      <c r="H1" s="325"/>
      <c r="I1" s="325"/>
      <c r="J1" s="325"/>
      <c r="K1" s="325" t="s">
        <v>709</v>
      </c>
      <c r="L1" s="325"/>
      <c r="M1" s="325"/>
      <c r="N1" s="325"/>
      <c r="O1" s="325"/>
      <c r="P1" s="325"/>
      <c r="Q1" s="325"/>
      <c r="R1" s="325"/>
      <c r="S1" s="325"/>
      <c r="T1" s="325"/>
      <c r="U1" s="325"/>
      <c r="V1" s="325"/>
      <c r="W1" s="325"/>
      <c r="X1" s="325"/>
      <c r="Y1" s="325"/>
      <c r="Z1" s="325"/>
      <c r="AA1" s="325"/>
      <c r="AB1" s="325"/>
      <c r="AC1" s="325"/>
      <c r="AD1" s="325"/>
      <c r="AE1" s="325"/>
      <c r="AF1" s="325"/>
      <c r="AG1" s="325"/>
      <c r="AH1" s="325"/>
      <c r="AI1" s="325"/>
      <c r="AJ1" s="325" t="s">
        <v>710</v>
      </c>
      <c r="AK1" s="325"/>
      <c r="AL1" s="325"/>
      <c r="AM1" s="325"/>
      <c r="AN1" s="325"/>
      <c r="AO1" s="325"/>
      <c r="AP1" s="325"/>
      <c r="AQ1" s="325" t="s">
        <v>711</v>
      </c>
      <c r="AR1" s="325"/>
      <c r="AS1" s="325"/>
      <c r="AT1" s="325"/>
      <c r="AU1" s="325"/>
      <c r="AV1" s="325"/>
      <c r="AW1" s="325"/>
      <c r="AX1" s="152"/>
      <c r="AY1" s="152"/>
      <c r="AZ1" s="152"/>
      <c r="BA1" s="152"/>
      <c r="BB1" s="152"/>
      <c r="BC1" s="152"/>
      <c r="BD1" s="152" t="e">
        <f ca="1">IF(E42="",Medicament,OFFSET(Medicament,MATCH(E42,Medicament),,COUNTA(BD$3:BD$1000)-COUNTBLANK(BD$3:BD$1000)))</f>
        <v>#VALUE!</v>
      </c>
      <c r="BE1" s="152"/>
      <c r="BF1" s="152"/>
      <c r="BG1" s="152"/>
      <c r="BH1" s="152"/>
      <c r="BI1" s="152"/>
      <c r="BJ1" s="152"/>
      <c r="BK1" s="152"/>
      <c r="BL1" s="116"/>
      <c r="BM1" s="116"/>
      <c r="BN1" s="116"/>
      <c r="BO1" s="116"/>
      <c r="BP1" s="116"/>
      <c r="BQ1" s="116"/>
      <c r="BR1" s="116"/>
      <c r="BS1" s="116"/>
      <c r="BT1" s="114"/>
    </row>
    <row r="2" spans="1:92" ht="28.8" x14ac:dyDescent="0.3">
      <c r="A2" s="146" t="s">
        <v>712</v>
      </c>
      <c r="B2" s="142" t="s">
        <v>713</v>
      </c>
      <c r="C2" s="142" t="s">
        <v>714</v>
      </c>
      <c r="D2" s="143" t="s">
        <v>715</v>
      </c>
      <c r="E2" s="142" t="s">
        <v>716</v>
      </c>
      <c r="F2" s="142" t="s">
        <v>717</v>
      </c>
      <c r="G2" s="142" t="s">
        <v>718</v>
      </c>
      <c r="H2" s="142" t="s">
        <v>719</v>
      </c>
      <c r="I2" s="142" t="s">
        <v>720</v>
      </c>
      <c r="J2" s="142" t="s">
        <v>721</v>
      </c>
      <c r="K2" s="142" t="s">
        <v>722</v>
      </c>
      <c r="L2" s="142" t="s">
        <v>723</v>
      </c>
      <c r="M2" s="142" t="s">
        <v>724</v>
      </c>
      <c r="N2" s="142" t="s">
        <v>725</v>
      </c>
      <c r="O2" s="142" t="s">
        <v>726</v>
      </c>
      <c r="P2" s="142" t="s">
        <v>727</v>
      </c>
      <c r="Q2" s="142" t="s">
        <v>728</v>
      </c>
      <c r="R2" s="142" t="s">
        <v>729</v>
      </c>
      <c r="S2" s="142" t="s">
        <v>730</v>
      </c>
      <c r="T2" s="142" t="s">
        <v>731</v>
      </c>
      <c r="U2" s="142" t="s">
        <v>732</v>
      </c>
      <c r="V2" s="142" t="s">
        <v>733</v>
      </c>
      <c r="W2" s="142" t="s">
        <v>734</v>
      </c>
      <c r="X2" s="142" t="s">
        <v>735</v>
      </c>
      <c r="Y2" s="142" t="s">
        <v>736</v>
      </c>
      <c r="Z2" s="142" t="s">
        <v>737</v>
      </c>
      <c r="AA2" s="142" t="s">
        <v>738</v>
      </c>
      <c r="AB2" s="142" t="s">
        <v>739</v>
      </c>
      <c r="AC2" s="142" t="s">
        <v>740</v>
      </c>
      <c r="AD2" s="142" t="s">
        <v>741</v>
      </c>
      <c r="AE2" s="142" t="s">
        <v>742</v>
      </c>
      <c r="AF2" s="142" t="s">
        <v>743</v>
      </c>
      <c r="AG2" s="142" t="s">
        <v>744</v>
      </c>
      <c r="AH2" s="142" t="s">
        <v>745</v>
      </c>
      <c r="AI2" s="142" t="s">
        <v>746</v>
      </c>
      <c r="AJ2" s="142" t="s">
        <v>747</v>
      </c>
      <c r="AK2" s="142" t="s">
        <v>748</v>
      </c>
      <c r="AL2" s="142" t="s">
        <v>749</v>
      </c>
      <c r="AM2" s="142" t="s">
        <v>750</v>
      </c>
      <c r="AN2" s="142" t="s">
        <v>751</v>
      </c>
      <c r="AO2" s="142" t="s">
        <v>752</v>
      </c>
      <c r="AP2" s="142" t="s">
        <v>753</v>
      </c>
      <c r="AQ2" s="142" t="s">
        <v>754</v>
      </c>
      <c r="AR2" s="142" t="s">
        <v>755</v>
      </c>
      <c r="AS2" s="142" t="s">
        <v>756</v>
      </c>
      <c r="AT2" s="142" t="s">
        <v>757</v>
      </c>
      <c r="AU2" s="142" t="s">
        <v>758</v>
      </c>
      <c r="AV2" s="142" t="s">
        <v>759</v>
      </c>
      <c r="AW2" s="142" t="s">
        <v>760</v>
      </c>
      <c r="AX2" s="142"/>
      <c r="AY2" s="142"/>
      <c r="AZ2" s="142"/>
      <c r="BA2" s="142"/>
      <c r="BB2" s="142"/>
      <c r="BC2" s="142"/>
      <c r="BD2" s="142" t="s">
        <v>717</v>
      </c>
      <c r="BE2" s="142" t="s">
        <v>720</v>
      </c>
      <c r="BF2" s="142" t="s">
        <v>4322</v>
      </c>
      <c r="BG2" s="142" t="s">
        <v>4323</v>
      </c>
      <c r="BH2" s="142" t="s">
        <v>4324</v>
      </c>
      <c r="BI2" s="142" t="s">
        <v>4325</v>
      </c>
      <c r="BJ2" s="142" t="s">
        <v>4326</v>
      </c>
      <c r="BK2" s="142" t="s">
        <v>4327</v>
      </c>
      <c r="BL2" s="138" t="s">
        <v>204</v>
      </c>
      <c r="BM2" s="139" t="s">
        <v>206</v>
      </c>
      <c r="BN2" s="139" t="s">
        <v>207</v>
      </c>
      <c r="BO2" s="140" t="s">
        <v>210</v>
      </c>
      <c r="BP2" s="139" t="s">
        <v>211</v>
      </c>
      <c r="BQ2" s="139" t="s">
        <v>212</v>
      </c>
      <c r="BR2" s="139" t="s">
        <v>213</v>
      </c>
      <c r="BS2" s="140" t="s">
        <v>214</v>
      </c>
      <c r="BT2" s="147" t="s">
        <v>580</v>
      </c>
      <c r="BU2" s="141" t="s">
        <v>4307</v>
      </c>
      <c r="BV2" s="43"/>
      <c r="BW2" s="148" t="s">
        <v>4296</v>
      </c>
      <c r="BX2" s="148" t="s">
        <v>4304</v>
      </c>
      <c r="BY2" s="149"/>
      <c r="BZ2" s="148" t="s">
        <v>4305</v>
      </c>
      <c r="CA2" s="148" t="s">
        <v>4306</v>
      </c>
      <c r="CB2" s="148" t="s">
        <v>4309</v>
      </c>
      <c r="CC2" s="149"/>
      <c r="CD2" s="150" t="s">
        <v>720</v>
      </c>
      <c r="CE2" s="148" t="s">
        <v>4295</v>
      </c>
      <c r="CG2" s="151" t="s">
        <v>4308</v>
      </c>
      <c r="CH2" s="73"/>
      <c r="CI2" s="151" t="s">
        <v>579</v>
      </c>
      <c r="CK2" s="326" t="s">
        <v>4330</v>
      </c>
      <c r="CL2" s="327"/>
      <c r="CN2">
        <v>1</v>
      </c>
    </row>
    <row r="3" spans="1:92" x14ac:dyDescent="0.3">
      <c r="A3" s="118" t="s">
        <v>2337</v>
      </c>
      <c r="B3" t="s">
        <v>2338</v>
      </c>
      <c r="C3" t="s">
        <v>1222</v>
      </c>
      <c r="D3" s="144" t="s">
        <v>1063</v>
      </c>
      <c r="E3" t="s">
        <v>830</v>
      </c>
      <c r="F3" t="s">
        <v>596</v>
      </c>
      <c r="G3" t="s">
        <v>1064</v>
      </c>
      <c r="H3" t="s">
        <v>1156</v>
      </c>
      <c r="I3" t="s">
        <v>1066</v>
      </c>
      <c r="J3" t="s">
        <v>1559</v>
      </c>
      <c r="K3" t="s">
        <v>1559</v>
      </c>
      <c r="L3" t="s">
        <v>1560</v>
      </c>
      <c r="M3" t="s">
        <v>208</v>
      </c>
      <c r="N3" t="s">
        <v>797</v>
      </c>
      <c r="O3" t="s">
        <v>894</v>
      </c>
      <c r="P3" t="s">
        <v>772</v>
      </c>
      <c r="Q3" t="s">
        <v>1426</v>
      </c>
      <c r="R3">
        <v>0</v>
      </c>
      <c r="S3">
        <v>0</v>
      </c>
      <c r="T3">
        <v>0</v>
      </c>
      <c r="U3">
        <v>0</v>
      </c>
      <c r="V3">
        <v>0</v>
      </c>
      <c r="W3">
        <v>0</v>
      </c>
      <c r="X3">
        <v>0</v>
      </c>
      <c r="Y3">
        <v>0</v>
      </c>
      <c r="Z3">
        <v>0</v>
      </c>
      <c r="AA3">
        <v>0</v>
      </c>
      <c r="AB3">
        <v>0</v>
      </c>
      <c r="AC3">
        <v>0</v>
      </c>
      <c r="AD3">
        <v>0</v>
      </c>
      <c r="AE3">
        <v>0</v>
      </c>
      <c r="AF3">
        <v>15</v>
      </c>
      <c r="AG3">
        <v>7</v>
      </c>
      <c r="AH3">
        <v>0</v>
      </c>
      <c r="AI3">
        <v>0</v>
      </c>
      <c r="AY3" t="str">
        <f t="shared" ref="AY3:AY66" si="0">IF(INDEX(CK$3:CL$174,MATCH(H3,CK$3:CK$174,0),2)="x",F3,"")</f>
        <v>ACIDE OXOLINIQUE 30 VOLAILLE FRANVET</v>
      </c>
      <c r="AZ3" t="str">
        <f>IF(COUNTIF(AY:AY,AY3)=1,AY3,IF(AND(COUNTIF(AY:AY,AY3)&gt;1,COUNTIF(AZ$2:AZ2,AY3)&gt;=1),"",AY3))</f>
        <v>ACIDE OXOLINIQUE 30 VOLAILLE FRANVET</v>
      </c>
      <c r="BA3">
        <f>IF(AZ3="","",COUNTIFS(AZ$3:AZ$1439,"&lt;"&amp;AZ3,AZ$3:AZ$1439,"&lt;&gt;0")+COUNTIF(AZ$3:AZ3,AZ3)-876)</f>
        <v>1</v>
      </c>
      <c r="BC3">
        <v>1</v>
      </c>
      <c r="BD3" t="str">
        <f>IFERROR(INDEX(AZ:BA,MATCH(BC3,BA:BA,0),1),"")</f>
        <v>ACIDE OXOLINIQUE 30 VOLAILLE FRANVET</v>
      </c>
      <c r="BE3" t="str">
        <f t="shared" ref="BE3:BE66" si="1">IFERROR(INDEX(F:AR,MATCH(BD3,F:F,0),4),"")</f>
        <v>PM</v>
      </c>
      <c r="BF3" t="str">
        <f t="shared" ref="BF3:BF66" si="2">IFERROR(INDEX(F:AR,MATCH(BD3,F:F,0),6),"")</f>
        <v>QUINOLONES</v>
      </c>
      <c r="BG3" t="str">
        <f t="shared" ref="BG3:BG66" si="3">IFERROR(IF(INDEX(F:AR,MATCH(BD3,F:F,0),31)=0,"",INDEX(F:AR,MATCH(BD3,F:F,0),31)),"")</f>
        <v/>
      </c>
      <c r="BH3" t="str">
        <f t="shared" ref="BH3:BH66" si="4">IFERROR(IF(INDEX(F:AR,MATCH(BD3,F:F,0),38)=0,"",INDEX(F:AR,MATCH(BD3,F:F,0),38)),"")</f>
        <v/>
      </c>
      <c r="BI3" t="str">
        <f t="shared" ref="BI3:BI66" si="5">+IFERROR(IF(INDEX(F:AR,MATCH(BD3,F:F,0),7)=0,"",INDEX(F:AR,MATCH(BD3,F:F,0),7)),"")</f>
        <v>oxolinic acid</v>
      </c>
      <c r="BJ3" t="str">
        <f t="shared" ref="BJ3:BJ66" si="6">IFERROR(IF(INDEX(F:AR,MATCH(BD3,F:F,0),32)=0,"",INDEX(F:AR,MATCH(BD3,F:F,0),32)),"")</f>
        <v/>
      </c>
      <c r="BK3" t="str">
        <f t="shared" ref="BK3:BK66" si="7">IFERROR(IF(INDEX(F:AR,MATCH(BD3,F:F,0),39)=0,"",INDEX(F:AR,MATCH(BD3,F:F,0),39)),"")</f>
        <v/>
      </c>
      <c r="BL3" t="str">
        <f>IF(3-COUNTBLANK(BM3:BO3)=1,BM3,IF(3-COUNTBLANK(BM3:BO3)=2,BM3&amp;" + "&amp;BN3,IF(3-COUNTBLANK(BM3:BO3)=3,BM3&amp;" + "&amp;BN3&amp;" + "&amp;BO3,"")))</f>
        <v>Acide oxolinique</v>
      </c>
      <c r="BM3" t="str">
        <f t="shared" ref="BM3:BM66" si="8">IFERROR(INDEX(BZ$3:CA$63,MATCH(BI3,BZ$3:BZ$63,0),2),"")</f>
        <v>Acide oxolinique</v>
      </c>
      <c r="BN3" t="str">
        <f t="shared" ref="BN3:BN66" si="9">IFERROR(INDEX(BZ$3:CA$63,MATCH(BJ3,BZ$3:BZ$63,0),2),"")</f>
        <v/>
      </c>
      <c r="BO3" t="str">
        <f t="shared" ref="BO3:BO66" si="10">IFERROR(INDEX(BZ$3:CA$63,MATCH(BK3,BZ$3:BZ$63,0),2),"")</f>
        <v/>
      </c>
      <c r="BP3" t="str">
        <f>IF(3-COUNTBLANK(BQ3:BS3)=1,BQ3,IF(3-COUNTBLANK(BQ3:BS3)=2,IF(BQ3=BR3,BQ3,BQ3&amp;" + "&amp;BR3),IF(3-COUNTBLANK(BQ3:BS3)=3,IF(BQ3=BR3,BQ3,IF(BQ3=BS3,BQ3,IF(BR3=BS3,BR3,IF(AND(BQ3=BR3,BQ3=BS3),BQ3,BQ3&amp;" + "&amp;BR3&amp;" + "&amp;BS3)))))))</f>
        <v>Quinolones</v>
      </c>
      <c r="BQ3" t="str">
        <f>IFERROR(INDEX(BW$3:BX$18,MATCH(BF3,BW$3:BW$18,0),2),"")</f>
        <v>Quinolones</v>
      </c>
      <c r="BR3" t="str">
        <f>IFERROR(INDEX(BW$3:BX$18,MATCH(BG3,BW$3:BW$18,0),2),"")</f>
        <v/>
      </c>
      <c r="BS3" t="str">
        <f>IFERROR(INDEX(BW$3:BX$18,MATCH(BH3,BW$3:BW$18,0),2),"")</f>
        <v/>
      </c>
      <c r="BT3" s="76" t="str">
        <f>IFERROR(INDEX(CD$3:CE$9,MATCH(BE3,CD$3:CD$9,0),2),"")</f>
        <v>Prémélanges médicamenteux</v>
      </c>
      <c r="BU3" t="str">
        <f>IF(BM3="Colistine","x",IF(BN3="Colistine","x",IF(BO3="Colistine","x",IF(BQ3="Fluoroquinolones","x",IF(BR3="Fluoroquinolones","x",IF(BS3="Fluoroquinolones","x",IF(BQ3="Cephalosporines 3&amp;4G","x",IF(BR3="Cephalosporines 3&amp;4G","x",IF(BS3="Cephalosporines 3&amp;4G","x","")))))))))</f>
        <v/>
      </c>
      <c r="BW3" s="109" t="s">
        <v>2071</v>
      </c>
      <c r="BX3" s="109" t="s">
        <v>209</v>
      </c>
      <c r="BZ3" s="109" t="s">
        <v>1055</v>
      </c>
      <c r="CA3" s="109" t="s">
        <v>6</v>
      </c>
      <c r="CB3" s="109" t="s">
        <v>4298</v>
      </c>
      <c r="CD3" s="118" t="s">
        <v>766</v>
      </c>
      <c r="CE3" s="109" t="s">
        <v>589</v>
      </c>
      <c r="CG3" s="109" t="s">
        <v>153</v>
      </c>
      <c r="CI3" s="109" t="s">
        <v>185</v>
      </c>
      <c r="CJ3" s="188">
        <v>1</v>
      </c>
      <c r="CK3" s="108" t="s">
        <v>2506</v>
      </c>
      <c r="CL3" s="196" t="s">
        <v>4321</v>
      </c>
      <c r="CN3">
        <v>2</v>
      </c>
    </row>
    <row r="4" spans="1:92" x14ac:dyDescent="0.3">
      <c r="A4" s="118" t="s">
        <v>2341</v>
      </c>
      <c r="B4" t="s">
        <v>2342</v>
      </c>
      <c r="C4" t="s">
        <v>1222</v>
      </c>
      <c r="D4" s="144" t="s">
        <v>1063</v>
      </c>
      <c r="E4" t="s">
        <v>830</v>
      </c>
      <c r="F4" t="s">
        <v>597</v>
      </c>
      <c r="G4" t="s">
        <v>1064</v>
      </c>
      <c r="H4" t="s">
        <v>1213</v>
      </c>
      <c r="I4" t="s">
        <v>1066</v>
      </c>
      <c r="J4" t="s">
        <v>1559</v>
      </c>
      <c r="K4" t="s">
        <v>1559</v>
      </c>
      <c r="L4" t="s">
        <v>1560</v>
      </c>
      <c r="M4" t="s">
        <v>208</v>
      </c>
      <c r="N4" t="s">
        <v>1047</v>
      </c>
      <c r="O4" t="s">
        <v>894</v>
      </c>
      <c r="P4" t="s">
        <v>772</v>
      </c>
      <c r="Q4" t="s">
        <v>1079</v>
      </c>
      <c r="R4">
        <v>0</v>
      </c>
      <c r="S4">
        <v>0</v>
      </c>
      <c r="T4">
        <v>0</v>
      </c>
      <c r="U4">
        <v>0</v>
      </c>
      <c r="V4">
        <v>0</v>
      </c>
      <c r="W4">
        <v>0</v>
      </c>
      <c r="X4">
        <v>0</v>
      </c>
      <c r="Y4">
        <v>0</v>
      </c>
      <c r="Z4">
        <v>0</v>
      </c>
      <c r="AA4">
        <v>0</v>
      </c>
      <c r="AB4">
        <v>0</v>
      </c>
      <c r="AC4">
        <v>0</v>
      </c>
      <c r="AD4">
        <v>15</v>
      </c>
      <c r="AE4">
        <v>7</v>
      </c>
      <c r="AF4">
        <v>0</v>
      </c>
      <c r="AG4">
        <v>0</v>
      </c>
      <c r="AH4">
        <v>0</v>
      </c>
      <c r="AI4">
        <v>0</v>
      </c>
      <c r="AY4" t="str">
        <f t="shared" si="0"/>
        <v>ACIDE OXOLINIQUE 60 PORC FRANVET</v>
      </c>
      <c r="AZ4" t="str">
        <f>IF(COUNTIF(AY:AY,AY4)=1,AY4,IF(AND(COUNTIF(AY:AY,AY4)&gt;1,COUNTIF(AZ$2:AZ3,AY4)&gt;=1),"",AY4))</f>
        <v>ACIDE OXOLINIQUE 60 PORC FRANVET</v>
      </c>
      <c r="BA4">
        <f>IF(AZ4="","",COUNTIFS(AZ$3:AZ$1439,"&lt;"&amp;AZ4,AZ$3:AZ$1439,"&lt;&gt;0")+COUNTIF(AZ$3:AZ4,AZ4)-876)</f>
        <v>2</v>
      </c>
      <c r="BC4">
        <v>2</v>
      </c>
      <c r="BD4" t="str">
        <f t="shared" ref="BD4:BD67" si="11">IFERROR(INDEX(AZ:BA,MATCH(BC4,BA:BA,0),1),"")</f>
        <v>ACIDE OXOLINIQUE 60 PORC FRANVET</v>
      </c>
      <c r="BE4" t="str">
        <f t="shared" si="1"/>
        <v>PM</v>
      </c>
      <c r="BF4" t="str">
        <f t="shared" si="2"/>
        <v>QUINOLONES</v>
      </c>
      <c r="BG4" t="str">
        <f t="shared" si="3"/>
        <v/>
      </c>
      <c r="BH4" t="str">
        <f t="shared" si="4"/>
        <v/>
      </c>
      <c r="BI4" t="str">
        <f t="shared" si="5"/>
        <v>oxolinic acid</v>
      </c>
      <c r="BJ4" t="str">
        <f t="shared" si="6"/>
        <v/>
      </c>
      <c r="BK4" t="str">
        <f t="shared" si="7"/>
        <v/>
      </c>
      <c r="BL4" t="str">
        <f t="shared" ref="BL4:BL67" si="12">IF(3-COUNTBLANK(BM4:BO4)=1,BM4,IF(3-COUNTBLANK(BM4:BO4)=2,BM4&amp;" + "&amp;BN4,IF(3-COUNTBLANK(BM4:BO4)=3,BM4&amp;" + "&amp;BN4&amp;" + "&amp;BO4,"")))</f>
        <v>Acide oxolinique</v>
      </c>
      <c r="BM4" t="str">
        <f t="shared" si="8"/>
        <v>Acide oxolinique</v>
      </c>
      <c r="BN4" t="str">
        <f t="shared" si="9"/>
        <v/>
      </c>
      <c r="BO4" t="str">
        <f t="shared" si="10"/>
        <v/>
      </c>
      <c r="BP4" t="str">
        <f t="shared" ref="BP4:BP67" si="13">IF(3-COUNTBLANK(BQ4:BS4)=1,BQ4,IF(3-COUNTBLANK(BQ4:BS4)=2,IF(BQ4=BR4,BQ4,BQ4&amp;" + "&amp;BR4),IF(3-COUNTBLANK(BQ4:BS4)=3,IF(BQ4=BR4,BQ4,IF(BQ4=BS4,BQ4,IF(BR4=BS4,BR4,IF(AND(BQ4=BR4,BQ4=BS4),BQ4,BQ4&amp;" + "&amp;BR4&amp;" + "&amp;BS4)))))))</f>
        <v>Quinolones</v>
      </c>
      <c r="BQ4" t="str">
        <f t="shared" ref="BQ4:BQ67" si="14">IFERROR(INDEX(BW$3:BX$18,MATCH(BF4,BW$3:BW$18,0),2),"")</f>
        <v>Quinolones</v>
      </c>
      <c r="BR4" t="str">
        <f t="shared" ref="BR4:BR67" si="15">IFERROR(INDEX(BW$3:BX$18,MATCH(BG4,BW$3:BW$18,0),2),"")</f>
        <v/>
      </c>
      <c r="BS4" t="str">
        <f t="shared" ref="BS4:BS67" si="16">IFERROR(INDEX(BW$3:BX$18,MATCH(BH4,BW$3:BW$18,0),2),"")</f>
        <v/>
      </c>
      <c r="BT4" s="76" t="str">
        <f t="shared" ref="BT4:BT67" si="17">IFERROR(INDEX(CD$3:CE$9,MATCH(BE4,CD$3:CD$9,0),2),"")</f>
        <v>Prémélanges médicamenteux</v>
      </c>
      <c r="BU4" t="str">
        <f t="shared" ref="BU4:BU67" si="18">IF(BM4="Colistine","x",IF(BN4="Colistine","x",IF(BO4="Colistine","x",IF(BQ4="Fluoroquinolones","x",IF(BR4="Fluoroquinolones","x",IF(BS4="Fluoroquinolones","x",IF(BQ4="Cephalosporines 3&amp;4G","x",IF(BR4="Cephalosporines 3&amp;4G","x",IF(BS4="Cephalosporines 3&amp;4G","x","")))))))))</f>
        <v/>
      </c>
      <c r="BW4" s="109" t="s">
        <v>783</v>
      </c>
      <c r="BX4" s="109" t="s">
        <v>8</v>
      </c>
      <c r="BZ4" s="109" t="s">
        <v>992</v>
      </c>
      <c r="CA4" s="109" t="s">
        <v>20</v>
      </c>
      <c r="CB4" s="109" t="s">
        <v>4298</v>
      </c>
      <c r="CD4" s="118" t="s">
        <v>817</v>
      </c>
      <c r="CE4" s="109" t="s">
        <v>590</v>
      </c>
      <c r="CG4" s="109" t="s">
        <v>152</v>
      </c>
      <c r="CI4" s="109" t="s">
        <v>186</v>
      </c>
      <c r="CJ4" s="188">
        <v>2</v>
      </c>
      <c r="CK4" s="109" t="s">
        <v>1102</v>
      </c>
      <c r="CL4" s="185" t="s">
        <v>4321</v>
      </c>
      <c r="CN4">
        <v>3</v>
      </c>
    </row>
    <row r="5" spans="1:92" x14ac:dyDescent="0.3">
      <c r="A5" s="118" t="s">
        <v>2839</v>
      </c>
      <c r="B5" t="s">
        <v>2840</v>
      </c>
      <c r="C5" t="s">
        <v>763</v>
      </c>
      <c r="D5" s="144" t="s">
        <v>764</v>
      </c>
      <c r="E5" t="s">
        <v>765</v>
      </c>
      <c r="F5" t="s">
        <v>218</v>
      </c>
      <c r="G5" t="s">
        <v>956</v>
      </c>
      <c r="H5" t="s">
        <v>1070</v>
      </c>
      <c r="I5" t="s">
        <v>817</v>
      </c>
      <c r="J5" t="s">
        <v>914</v>
      </c>
      <c r="K5" t="s">
        <v>914</v>
      </c>
      <c r="L5" t="s">
        <v>995</v>
      </c>
      <c r="M5" t="s">
        <v>996</v>
      </c>
      <c r="N5" t="s">
        <v>1501</v>
      </c>
      <c r="O5" t="s">
        <v>805</v>
      </c>
      <c r="P5" t="s">
        <v>4371</v>
      </c>
      <c r="Q5" t="s">
        <v>852</v>
      </c>
      <c r="R5">
        <v>5</v>
      </c>
      <c r="S5">
        <v>5</v>
      </c>
      <c r="T5">
        <v>0</v>
      </c>
      <c r="U5">
        <v>0</v>
      </c>
      <c r="V5">
        <v>0</v>
      </c>
      <c r="W5">
        <v>0</v>
      </c>
      <c r="X5">
        <v>0</v>
      </c>
      <c r="Y5">
        <v>0</v>
      </c>
      <c r="Z5">
        <v>0</v>
      </c>
      <c r="AA5">
        <v>0</v>
      </c>
      <c r="AB5">
        <v>5</v>
      </c>
      <c r="AC5">
        <v>5</v>
      </c>
      <c r="AD5">
        <v>5</v>
      </c>
      <c r="AE5">
        <v>5</v>
      </c>
      <c r="AF5">
        <v>3.75</v>
      </c>
      <c r="AG5">
        <v>5</v>
      </c>
      <c r="AH5">
        <v>0</v>
      </c>
      <c r="AI5">
        <v>0</v>
      </c>
      <c r="AY5" t="str">
        <f t="shared" si="0"/>
        <v>ACTI COLI 2 MUI/ML</v>
      </c>
      <c r="AZ5" t="str">
        <f>IF(COUNTIF(AY:AY,AY5)=1,AY5,IF(AND(COUNTIF(AY:AY,AY5)&gt;1,COUNTIF(AZ$2:AZ4,AY5)&gt;=1),"",AY5))</f>
        <v>ACTI COLI 2 MUI/ML</v>
      </c>
      <c r="BA5">
        <f>IF(AZ5="","",COUNTIFS(AZ$3:AZ$1439,"&lt;"&amp;AZ5,AZ$3:AZ$1439,"&lt;&gt;0")+COUNTIF(AZ$3:AZ5,AZ5)-876)</f>
        <v>3</v>
      </c>
      <c r="BC5">
        <v>3</v>
      </c>
      <c r="BD5" t="str">
        <f t="shared" si="11"/>
        <v>ACTI COLI 2 MUI/ML</v>
      </c>
      <c r="BE5" t="str">
        <f t="shared" si="1"/>
        <v>ORAL</v>
      </c>
      <c r="BF5" t="str">
        <f t="shared" si="2"/>
        <v>POLYPEPTIDES</v>
      </c>
      <c r="BG5" t="str">
        <f t="shared" si="3"/>
        <v/>
      </c>
      <c r="BH5" t="str">
        <f t="shared" si="4"/>
        <v/>
      </c>
      <c r="BI5" t="str">
        <f t="shared" si="5"/>
        <v>colistin</v>
      </c>
      <c r="BJ5" t="str">
        <f t="shared" si="6"/>
        <v/>
      </c>
      <c r="BK5" t="str">
        <f t="shared" si="7"/>
        <v/>
      </c>
      <c r="BL5" t="str">
        <f t="shared" si="12"/>
        <v>Colistine</v>
      </c>
      <c r="BM5" t="str">
        <f t="shared" si="8"/>
        <v>Colistine</v>
      </c>
      <c r="BN5" t="str">
        <f t="shared" si="9"/>
        <v/>
      </c>
      <c r="BO5" t="str">
        <f t="shared" si="10"/>
        <v/>
      </c>
      <c r="BP5" t="str">
        <f t="shared" si="13"/>
        <v>Polypeptides</v>
      </c>
      <c r="BQ5" t="str">
        <f t="shared" si="14"/>
        <v>Polypeptides</v>
      </c>
      <c r="BR5" t="str">
        <f t="shared" si="15"/>
        <v/>
      </c>
      <c r="BS5" t="str">
        <f t="shared" si="16"/>
        <v/>
      </c>
      <c r="BT5" s="76" t="str">
        <f t="shared" si="17"/>
        <v>Voie orale  hors prémélanges médicamenteux</v>
      </c>
      <c r="BU5" t="str">
        <f t="shared" si="18"/>
        <v>x</v>
      </c>
      <c r="BW5" s="109" t="s">
        <v>821</v>
      </c>
      <c r="BX5" s="109" t="s">
        <v>4297</v>
      </c>
      <c r="BZ5" s="109" t="s">
        <v>1953</v>
      </c>
      <c r="CA5" s="109" t="s">
        <v>64</v>
      </c>
      <c r="CB5" s="109" t="s">
        <v>8</v>
      </c>
      <c r="CD5" s="118" t="s">
        <v>879</v>
      </c>
      <c r="CE5" s="109" t="s">
        <v>591</v>
      </c>
      <c r="CG5" s="109" t="s">
        <v>4316</v>
      </c>
      <c r="CI5" s="109" t="s">
        <v>187</v>
      </c>
      <c r="CJ5" s="188">
        <v>3</v>
      </c>
      <c r="CK5" s="109" t="s">
        <v>1688</v>
      </c>
      <c r="CL5" s="185" t="s">
        <v>4321</v>
      </c>
      <c r="CN5">
        <v>4</v>
      </c>
    </row>
    <row r="6" spans="1:92" x14ac:dyDescent="0.3">
      <c r="A6" s="118" t="s">
        <v>2839</v>
      </c>
      <c r="B6" t="s">
        <v>2841</v>
      </c>
      <c r="C6" t="s">
        <v>1002</v>
      </c>
      <c r="D6" s="144" t="s">
        <v>829</v>
      </c>
      <c r="E6" t="s">
        <v>765</v>
      </c>
      <c r="F6" t="s">
        <v>218</v>
      </c>
      <c r="G6" t="s">
        <v>956</v>
      </c>
      <c r="H6" t="s">
        <v>1070</v>
      </c>
      <c r="I6" t="s">
        <v>817</v>
      </c>
      <c r="J6" t="s">
        <v>914</v>
      </c>
      <c r="K6" t="s">
        <v>914</v>
      </c>
      <c r="L6" t="s">
        <v>995</v>
      </c>
      <c r="M6" t="s">
        <v>996</v>
      </c>
      <c r="N6" t="s">
        <v>1501</v>
      </c>
      <c r="O6" t="s">
        <v>805</v>
      </c>
      <c r="P6" t="s">
        <v>4371</v>
      </c>
      <c r="Q6" t="s">
        <v>764</v>
      </c>
      <c r="R6">
        <v>5</v>
      </c>
      <c r="S6">
        <v>5</v>
      </c>
      <c r="T6">
        <v>0</v>
      </c>
      <c r="U6">
        <v>0</v>
      </c>
      <c r="V6">
        <v>0</v>
      </c>
      <c r="W6">
        <v>0</v>
      </c>
      <c r="X6">
        <v>0</v>
      </c>
      <c r="Y6">
        <v>0</v>
      </c>
      <c r="Z6">
        <v>0</v>
      </c>
      <c r="AA6">
        <v>0</v>
      </c>
      <c r="AB6">
        <v>5</v>
      </c>
      <c r="AC6">
        <v>5</v>
      </c>
      <c r="AD6">
        <v>5</v>
      </c>
      <c r="AE6">
        <v>5</v>
      </c>
      <c r="AF6">
        <v>3.75</v>
      </c>
      <c r="AG6">
        <v>5</v>
      </c>
      <c r="AH6">
        <v>0</v>
      </c>
      <c r="AI6">
        <v>0</v>
      </c>
      <c r="AY6" t="str">
        <f t="shared" si="0"/>
        <v>ACTI COLI 2 MUI/ML</v>
      </c>
      <c r="AZ6" t="str">
        <f>IF(COUNTIF(AY:AY,AY6)=1,AY6,IF(AND(COUNTIF(AY:AY,AY6)&gt;1,COUNTIF(AZ$2:AZ5,AY6)&gt;=1),"",AY6))</f>
        <v/>
      </c>
      <c r="BA6" t="str">
        <f>IF(AZ6="","",COUNTIFS(AZ$3:AZ$1439,"&lt;"&amp;AZ6,AZ$3:AZ$1439,"&lt;&gt;0")+COUNTIF(AZ$3:AZ6,AZ6)-876)</f>
        <v/>
      </c>
      <c r="BC6">
        <v>4</v>
      </c>
      <c r="BD6" t="str">
        <f t="shared" si="11"/>
        <v>ACTI COLI B</v>
      </c>
      <c r="BE6" t="str">
        <f t="shared" si="1"/>
        <v>ORAL</v>
      </c>
      <c r="BF6" t="str">
        <f t="shared" si="2"/>
        <v>POLYPEPTIDES</v>
      </c>
      <c r="BG6" t="str">
        <f t="shared" si="3"/>
        <v/>
      </c>
      <c r="BH6" t="str">
        <f t="shared" si="4"/>
        <v/>
      </c>
      <c r="BI6" t="str">
        <f t="shared" si="5"/>
        <v>colistin</v>
      </c>
      <c r="BJ6" t="str">
        <f t="shared" si="6"/>
        <v/>
      </c>
      <c r="BK6" t="str">
        <f t="shared" si="7"/>
        <v/>
      </c>
      <c r="BL6" t="str">
        <f t="shared" si="12"/>
        <v>Colistine</v>
      </c>
      <c r="BM6" t="str">
        <f t="shared" si="8"/>
        <v>Colistine</v>
      </c>
      <c r="BN6" t="str">
        <f t="shared" si="9"/>
        <v/>
      </c>
      <c r="BO6" t="str">
        <f t="shared" si="10"/>
        <v/>
      </c>
      <c r="BP6" t="str">
        <f t="shared" si="13"/>
        <v>Polypeptides</v>
      </c>
      <c r="BQ6" t="str">
        <f t="shared" si="14"/>
        <v>Polypeptides</v>
      </c>
      <c r="BR6" t="str">
        <f t="shared" si="15"/>
        <v/>
      </c>
      <c r="BS6" t="str">
        <f t="shared" si="16"/>
        <v/>
      </c>
      <c r="BT6" s="76" t="str">
        <f t="shared" si="17"/>
        <v>Voie orale  hors prémélanges médicamenteux</v>
      </c>
      <c r="BU6" t="str">
        <f t="shared" si="18"/>
        <v>x</v>
      </c>
      <c r="BW6" s="109" t="s">
        <v>1179</v>
      </c>
      <c r="BX6" s="109" t="s">
        <v>4302</v>
      </c>
      <c r="BZ6" s="109" t="s">
        <v>1199</v>
      </c>
      <c r="CA6" s="109" t="s">
        <v>10</v>
      </c>
      <c r="CB6" s="109" t="s">
        <v>11</v>
      </c>
      <c r="CD6" s="118" t="s">
        <v>1013</v>
      </c>
      <c r="CE6" s="109" t="s">
        <v>592</v>
      </c>
      <c r="CG6" s="109" t="s">
        <v>198</v>
      </c>
      <c r="CI6" s="109" t="s">
        <v>188</v>
      </c>
      <c r="CJ6" s="188">
        <v>4</v>
      </c>
      <c r="CK6" s="109" t="s">
        <v>1852</v>
      </c>
      <c r="CL6" s="185" t="s">
        <v>4321</v>
      </c>
      <c r="CN6">
        <v>5</v>
      </c>
    </row>
    <row r="7" spans="1:92" x14ac:dyDescent="0.3">
      <c r="A7" s="118" t="s">
        <v>2839</v>
      </c>
      <c r="B7" t="s">
        <v>2842</v>
      </c>
      <c r="C7" t="s">
        <v>1233</v>
      </c>
      <c r="D7" s="144" t="s">
        <v>955</v>
      </c>
      <c r="E7" t="s">
        <v>765</v>
      </c>
      <c r="F7" t="s">
        <v>218</v>
      </c>
      <c r="G7" t="s">
        <v>956</v>
      </c>
      <c r="H7" t="s">
        <v>1070</v>
      </c>
      <c r="I7" t="s">
        <v>817</v>
      </c>
      <c r="J7" t="s">
        <v>914</v>
      </c>
      <c r="K7" t="s">
        <v>914</v>
      </c>
      <c r="L7" t="s">
        <v>995</v>
      </c>
      <c r="M7" t="s">
        <v>996</v>
      </c>
      <c r="N7" t="s">
        <v>1501</v>
      </c>
      <c r="O7" t="s">
        <v>805</v>
      </c>
      <c r="P7" t="s">
        <v>4371</v>
      </c>
      <c r="Q7" t="s">
        <v>906</v>
      </c>
      <c r="R7">
        <v>5</v>
      </c>
      <c r="S7">
        <v>5</v>
      </c>
      <c r="T7">
        <v>0</v>
      </c>
      <c r="U7">
        <v>0</v>
      </c>
      <c r="V7">
        <v>0</v>
      </c>
      <c r="W7">
        <v>0</v>
      </c>
      <c r="X7">
        <v>0</v>
      </c>
      <c r="Y7">
        <v>0</v>
      </c>
      <c r="Z7">
        <v>0</v>
      </c>
      <c r="AA7">
        <v>0</v>
      </c>
      <c r="AB7">
        <v>5</v>
      </c>
      <c r="AC7">
        <v>5</v>
      </c>
      <c r="AD7">
        <v>5</v>
      </c>
      <c r="AE7">
        <v>5</v>
      </c>
      <c r="AF7">
        <v>3.75</v>
      </c>
      <c r="AG7">
        <v>5</v>
      </c>
      <c r="AH7">
        <v>0</v>
      </c>
      <c r="AI7">
        <v>0</v>
      </c>
      <c r="AY7" t="str">
        <f t="shared" si="0"/>
        <v>ACTI COLI 2 MUI/ML</v>
      </c>
      <c r="AZ7" t="str">
        <f>IF(COUNTIF(AY:AY,AY7)=1,AY7,IF(AND(COUNTIF(AY:AY,AY7)&gt;1,COUNTIF(AZ$2:AZ6,AY7)&gt;=1),"",AY7))</f>
        <v/>
      </c>
      <c r="BA7" t="str">
        <f>IF(AZ7="","",COUNTIFS(AZ$3:AZ$1439,"&lt;"&amp;AZ7,AZ$3:AZ$1439,"&lt;&gt;0")+COUNTIF(AZ$3:AZ7,AZ7)-876)</f>
        <v/>
      </c>
      <c r="BC7">
        <v>5</v>
      </c>
      <c r="BD7" t="str">
        <f t="shared" si="11"/>
        <v>ACTI DOXY 5</v>
      </c>
      <c r="BE7" t="str">
        <f t="shared" si="1"/>
        <v>ORAL</v>
      </c>
      <c r="BF7" t="str">
        <f t="shared" si="2"/>
        <v>TETRACYCLINES</v>
      </c>
      <c r="BG7" t="str">
        <f t="shared" si="3"/>
        <v/>
      </c>
      <c r="BH7" t="str">
        <f t="shared" si="4"/>
        <v/>
      </c>
      <c r="BI7" t="str">
        <f t="shared" si="5"/>
        <v>doxycycline</v>
      </c>
      <c r="BJ7" t="str">
        <f t="shared" si="6"/>
        <v/>
      </c>
      <c r="BK7" t="str">
        <f t="shared" si="7"/>
        <v/>
      </c>
      <c r="BL7" t="str">
        <f t="shared" si="12"/>
        <v>Doxycycline</v>
      </c>
      <c r="BM7" t="str">
        <f t="shared" si="8"/>
        <v>Doxycycline</v>
      </c>
      <c r="BN7" t="str">
        <f t="shared" si="9"/>
        <v/>
      </c>
      <c r="BO7" t="str">
        <f t="shared" si="10"/>
        <v/>
      </c>
      <c r="BP7" t="str">
        <f t="shared" si="13"/>
        <v>Tetracyclines</v>
      </c>
      <c r="BQ7" t="str">
        <f t="shared" si="14"/>
        <v>Tetracyclines</v>
      </c>
      <c r="BR7" t="str">
        <f t="shared" si="15"/>
        <v/>
      </c>
      <c r="BS7" t="str">
        <f t="shared" si="16"/>
        <v/>
      </c>
      <c r="BT7" s="76" t="str">
        <f t="shared" si="17"/>
        <v>Voie orale  hors prémélanges médicamenteux</v>
      </c>
      <c r="BU7" t="str">
        <f t="shared" si="18"/>
        <v/>
      </c>
      <c r="BW7" s="109" t="s">
        <v>2165</v>
      </c>
      <c r="BX7" s="109" t="s">
        <v>4303</v>
      </c>
      <c r="BZ7" s="109" t="s">
        <v>788</v>
      </c>
      <c r="CA7" s="109" t="s">
        <v>3</v>
      </c>
      <c r="CB7" s="109" t="s">
        <v>4298</v>
      </c>
      <c r="CD7" s="118" t="s">
        <v>1066</v>
      </c>
      <c r="CE7" s="109" t="s">
        <v>593</v>
      </c>
      <c r="CG7" s="109" t="s">
        <v>4315</v>
      </c>
      <c r="CI7" s="109" t="s">
        <v>189</v>
      </c>
      <c r="CJ7" s="188">
        <v>5</v>
      </c>
      <c r="CK7" s="109" t="s">
        <v>1382</v>
      </c>
      <c r="CL7" s="185" t="s">
        <v>4321</v>
      </c>
      <c r="CN7">
        <v>6</v>
      </c>
    </row>
    <row r="8" spans="1:92" x14ac:dyDescent="0.3">
      <c r="A8" s="118" t="s">
        <v>1869</v>
      </c>
      <c r="B8" t="s">
        <v>1870</v>
      </c>
      <c r="C8" t="s">
        <v>1313</v>
      </c>
      <c r="D8" s="144" t="s">
        <v>955</v>
      </c>
      <c r="E8" t="s">
        <v>830</v>
      </c>
      <c r="F8" t="s">
        <v>219</v>
      </c>
      <c r="G8" t="s">
        <v>831</v>
      </c>
      <c r="H8" t="s">
        <v>1871</v>
      </c>
      <c r="I8" t="s">
        <v>817</v>
      </c>
      <c r="J8" t="s">
        <v>914</v>
      </c>
      <c r="K8" t="s">
        <v>914</v>
      </c>
      <c r="L8" t="s">
        <v>995</v>
      </c>
      <c r="M8" t="s">
        <v>996</v>
      </c>
      <c r="N8" t="s">
        <v>1805</v>
      </c>
      <c r="O8" t="s">
        <v>834</v>
      </c>
      <c r="P8" t="s">
        <v>4371</v>
      </c>
      <c r="Q8" t="s">
        <v>776</v>
      </c>
      <c r="R8">
        <v>5</v>
      </c>
      <c r="S8">
        <v>3</v>
      </c>
      <c r="T8">
        <v>0</v>
      </c>
      <c r="U8">
        <v>0</v>
      </c>
      <c r="V8">
        <v>0</v>
      </c>
      <c r="W8">
        <v>0</v>
      </c>
      <c r="X8">
        <v>0</v>
      </c>
      <c r="Y8">
        <v>0</v>
      </c>
      <c r="Z8">
        <v>5</v>
      </c>
      <c r="AA8">
        <v>3</v>
      </c>
      <c r="AB8">
        <v>5</v>
      </c>
      <c r="AC8">
        <v>3</v>
      </c>
      <c r="AD8">
        <v>5</v>
      </c>
      <c r="AE8">
        <v>3</v>
      </c>
      <c r="AF8">
        <v>3.75</v>
      </c>
      <c r="AG8">
        <v>3</v>
      </c>
      <c r="AH8">
        <v>0</v>
      </c>
      <c r="AI8">
        <v>0</v>
      </c>
      <c r="AY8" t="str">
        <f t="shared" si="0"/>
        <v>ACTI COLI B</v>
      </c>
      <c r="AZ8" t="str">
        <f>IF(COUNTIF(AY:AY,AY8)=1,AY8,IF(AND(COUNTIF(AY:AY,AY8)&gt;1,COUNTIF(AZ$2:AZ7,AY8)&gt;=1),"",AY8))</f>
        <v>ACTI COLI B</v>
      </c>
      <c r="BA8">
        <f>IF(AZ8="","",COUNTIFS(AZ$3:AZ$1439,"&lt;"&amp;AZ8,AZ$3:AZ$1439,"&lt;&gt;0")+COUNTIF(AZ$3:AZ8,AZ8)-876)</f>
        <v>4</v>
      </c>
      <c r="BC8">
        <v>6</v>
      </c>
      <c r="BD8" t="str">
        <f t="shared" si="11"/>
        <v>ACTI-METHOXINE</v>
      </c>
      <c r="BE8" t="str">
        <f t="shared" si="1"/>
        <v>INJ</v>
      </c>
      <c r="BF8" t="str">
        <f t="shared" si="2"/>
        <v>SULFAMIDES</v>
      </c>
      <c r="BG8" t="str">
        <f t="shared" si="3"/>
        <v/>
      </c>
      <c r="BH8" t="str">
        <f t="shared" si="4"/>
        <v/>
      </c>
      <c r="BI8" t="str">
        <f t="shared" si="5"/>
        <v>sulfadimethoxine</v>
      </c>
      <c r="BJ8" t="str">
        <f t="shared" si="6"/>
        <v/>
      </c>
      <c r="BK8" t="str">
        <f t="shared" si="7"/>
        <v/>
      </c>
      <c r="BL8" t="str">
        <f t="shared" si="12"/>
        <v>Sulfadiméthoxine</v>
      </c>
      <c r="BM8" t="str">
        <f t="shared" si="8"/>
        <v>Sulfadiméthoxine</v>
      </c>
      <c r="BN8" t="str">
        <f t="shared" si="9"/>
        <v/>
      </c>
      <c r="BO8" t="str">
        <f t="shared" si="10"/>
        <v/>
      </c>
      <c r="BP8" t="str">
        <f t="shared" si="13"/>
        <v>Sulfamides</v>
      </c>
      <c r="BQ8" t="str">
        <f t="shared" si="14"/>
        <v>Sulfamides</v>
      </c>
      <c r="BR8" t="str">
        <f t="shared" si="15"/>
        <v/>
      </c>
      <c r="BS8" t="str">
        <f t="shared" si="16"/>
        <v/>
      </c>
      <c r="BT8" s="76" t="str">
        <f t="shared" si="17"/>
        <v>Voie parentérale</v>
      </c>
      <c r="BU8" t="str">
        <f t="shared" si="18"/>
        <v/>
      </c>
      <c r="BW8" s="109" t="s">
        <v>2366</v>
      </c>
      <c r="BX8" s="109" t="s">
        <v>140</v>
      </c>
      <c r="BZ8" s="109" t="s">
        <v>1354</v>
      </c>
      <c r="CA8" s="109" t="s">
        <v>48</v>
      </c>
      <c r="CB8" s="109" t="s">
        <v>4302</v>
      </c>
      <c r="CD8" s="118" t="s">
        <v>1133</v>
      </c>
      <c r="CE8" s="109" t="s">
        <v>594</v>
      </c>
      <c r="CG8" s="109" t="s">
        <v>155</v>
      </c>
      <c r="CI8" s="109" t="s">
        <v>190</v>
      </c>
      <c r="CJ8" s="188">
        <v>6</v>
      </c>
      <c r="CK8" s="109" t="s">
        <v>1589</v>
      </c>
      <c r="CL8" s="185" t="s">
        <v>4321</v>
      </c>
      <c r="CN8">
        <v>7</v>
      </c>
    </row>
    <row r="9" spans="1:92" x14ac:dyDescent="0.3">
      <c r="A9" s="118" t="s">
        <v>1869</v>
      </c>
      <c r="B9" t="s">
        <v>1872</v>
      </c>
      <c r="C9" t="s">
        <v>1293</v>
      </c>
      <c r="D9" s="144" t="s">
        <v>924</v>
      </c>
      <c r="E9" t="s">
        <v>830</v>
      </c>
      <c r="F9" t="s">
        <v>219</v>
      </c>
      <c r="G9" t="s">
        <v>831</v>
      </c>
      <c r="H9" t="s">
        <v>1871</v>
      </c>
      <c r="I9" t="s">
        <v>817</v>
      </c>
      <c r="J9" t="s">
        <v>914</v>
      </c>
      <c r="K9" t="s">
        <v>914</v>
      </c>
      <c r="L9" t="s">
        <v>995</v>
      </c>
      <c r="M9" t="s">
        <v>996</v>
      </c>
      <c r="N9" t="s">
        <v>1805</v>
      </c>
      <c r="O9" t="s">
        <v>834</v>
      </c>
      <c r="P9" t="s">
        <v>4371</v>
      </c>
      <c r="Q9" t="s">
        <v>906</v>
      </c>
      <c r="R9">
        <v>5</v>
      </c>
      <c r="S9">
        <v>3</v>
      </c>
      <c r="T9">
        <v>0</v>
      </c>
      <c r="U9">
        <v>0</v>
      </c>
      <c r="V9">
        <v>0</v>
      </c>
      <c r="W9">
        <v>0</v>
      </c>
      <c r="X9">
        <v>0</v>
      </c>
      <c r="Y9">
        <v>0</v>
      </c>
      <c r="Z9">
        <v>5</v>
      </c>
      <c r="AA9">
        <v>3</v>
      </c>
      <c r="AB9">
        <v>5</v>
      </c>
      <c r="AC9">
        <v>3</v>
      </c>
      <c r="AD9">
        <v>5</v>
      </c>
      <c r="AE9">
        <v>3</v>
      </c>
      <c r="AF9">
        <v>3.75</v>
      </c>
      <c r="AG9">
        <v>3</v>
      </c>
      <c r="AH9">
        <v>0</v>
      </c>
      <c r="AI9">
        <v>0</v>
      </c>
      <c r="AY9" t="str">
        <f t="shared" si="0"/>
        <v>ACTI COLI B</v>
      </c>
      <c r="AZ9" t="str">
        <f>IF(COUNTIF(AY:AY,AY9)=1,AY9,IF(AND(COUNTIF(AY:AY,AY9)&gt;1,COUNTIF(AZ$2:AZ8,AY9)&gt;=1),"",AY9))</f>
        <v/>
      </c>
      <c r="BA9" t="str">
        <f>IF(AZ9="","",COUNTIFS(AZ$3:AZ$1439,"&lt;"&amp;AZ9,AZ$3:AZ$1439,"&lt;&gt;0")+COUNTIF(AZ$3:AZ9,AZ9)-876)</f>
        <v/>
      </c>
      <c r="BC9">
        <v>7</v>
      </c>
      <c r="BD9" t="str">
        <f t="shared" si="11"/>
        <v>ACTIONIS 50 MG/ML SUSPENSION INJECTABLE POUR PORCINS ET BOVINS</v>
      </c>
      <c r="BE9" t="str">
        <f t="shared" si="1"/>
        <v>INJ</v>
      </c>
      <c r="BF9" t="str">
        <f t="shared" si="2"/>
        <v>CEPHALOSPORINES 3&amp;4G</v>
      </c>
      <c r="BG9" t="str">
        <f t="shared" si="3"/>
        <v/>
      </c>
      <c r="BH9" t="str">
        <f t="shared" si="4"/>
        <v/>
      </c>
      <c r="BI9" t="str">
        <f t="shared" si="5"/>
        <v>ceftiofur</v>
      </c>
      <c r="BJ9" t="str">
        <f t="shared" si="6"/>
        <v/>
      </c>
      <c r="BK9" t="str">
        <f t="shared" si="7"/>
        <v/>
      </c>
      <c r="BL9" t="str">
        <f t="shared" si="12"/>
        <v>Ceftiofur</v>
      </c>
      <c r="BM9" t="str">
        <f t="shared" si="8"/>
        <v>Ceftiofur</v>
      </c>
      <c r="BN9" t="str">
        <f t="shared" si="9"/>
        <v/>
      </c>
      <c r="BO9" t="str">
        <f t="shared" si="10"/>
        <v/>
      </c>
      <c r="BP9" t="str">
        <f t="shared" si="13"/>
        <v>Cephalosporines 3&amp;4G</v>
      </c>
      <c r="BQ9" t="str">
        <f t="shared" si="14"/>
        <v>Cephalosporines 3&amp;4G</v>
      </c>
      <c r="BR9" t="str">
        <f t="shared" si="15"/>
        <v/>
      </c>
      <c r="BS9" t="str">
        <f t="shared" si="16"/>
        <v/>
      </c>
      <c r="BT9" s="76" t="str">
        <f t="shared" si="17"/>
        <v>Voie parentérale</v>
      </c>
      <c r="BU9" t="str">
        <f t="shared" si="18"/>
        <v>x</v>
      </c>
      <c r="BW9" s="109" t="s">
        <v>1269</v>
      </c>
      <c r="BX9" s="109" t="s">
        <v>139</v>
      </c>
      <c r="BZ9" s="109" t="s">
        <v>1180</v>
      </c>
      <c r="CA9" s="109" t="s">
        <v>27</v>
      </c>
      <c r="CB9" s="109" t="s">
        <v>4302</v>
      </c>
      <c r="CD9" s="119" t="s">
        <v>1524</v>
      </c>
      <c r="CE9" s="110" t="s">
        <v>595</v>
      </c>
      <c r="CG9" s="109" t="s">
        <v>156</v>
      </c>
      <c r="CI9" s="109" t="s">
        <v>191</v>
      </c>
      <c r="CJ9" s="188">
        <v>7</v>
      </c>
      <c r="CK9" s="109" t="s">
        <v>892</v>
      </c>
      <c r="CL9" s="185" t="s">
        <v>4321</v>
      </c>
      <c r="CN9">
        <v>8</v>
      </c>
    </row>
    <row r="10" spans="1:92" x14ac:dyDescent="0.3">
      <c r="A10" s="118" t="s">
        <v>1869</v>
      </c>
      <c r="B10" t="s">
        <v>1873</v>
      </c>
      <c r="C10" t="s">
        <v>1588</v>
      </c>
      <c r="D10" s="144" t="s">
        <v>829</v>
      </c>
      <c r="E10" t="s">
        <v>830</v>
      </c>
      <c r="F10" t="s">
        <v>219</v>
      </c>
      <c r="G10" t="s">
        <v>831</v>
      </c>
      <c r="H10" t="s">
        <v>1871</v>
      </c>
      <c r="I10" t="s">
        <v>817</v>
      </c>
      <c r="J10" t="s">
        <v>914</v>
      </c>
      <c r="K10" t="s">
        <v>914</v>
      </c>
      <c r="L10" t="s">
        <v>995</v>
      </c>
      <c r="M10" t="s">
        <v>996</v>
      </c>
      <c r="N10" t="s">
        <v>1805</v>
      </c>
      <c r="O10" t="s">
        <v>834</v>
      </c>
      <c r="P10" t="s">
        <v>4371</v>
      </c>
      <c r="Q10" t="s">
        <v>780</v>
      </c>
      <c r="R10">
        <v>5</v>
      </c>
      <c r="S10">
        <v>3</v>
      </c>
      <c r="T10">
        <v>0</v>
      </c>
      <c r="U10">
        <v>0</v>
      </c>
      <c r="V10">
        <v>0</v>
      </c>
      <c r="W10">
        <v>0</v>
      </c>
      <c r="X10">
        <v>0</v>
      </c>
      <c r="Y10">
        <v>0</v>
      </c>
      <c r="Z10">
        <v>5</v>
      </c>
      <c r="AA10">
        <v>3</v>
      </c>
      <c r="AB10">
        <v>5</v>
      </c>
      <c r="AC10">
        <v>3</v>
      </c>
      <c r="AD10">
        <v>5</v>
      </c>
      <c r="AE10">
        <v>3</v>
      </c>
      <c r="AF10">
        <v>3.75</v>
      </c>
      <c r="AG10">
        <v>3</v>
      </c>
      <c r="AH10">
        <v>0</v>
      </c>
      <c r="AI10">
        <v>0</v>
      </c>
      <c r="AY10" t="str">
        <f t="shared" si="0"/>
        <v>ACTI COLI B</v>
      </c>
      <c r="AZ10" t="str">
        <f>IF(COUNTIF(AY:AY,AY10)=1,AY10,IF(AND(COUNTIF(AY:AY,AY10)&gt;1,COUNTIF(AZ$2:AZ9,AY10)&gt;=1),"",AY10))</f>
        <v/>
      </c>
      <c r="BA10" t="str">
        <f>IF(AZ10="","",COUNTIFS(AZ$3:AZ$1439,"&lt;"&amp;AZ10,AZ$3:AZ$1439,"&lt;&gt;0")+COUNTIF(AZ$3:AZ10,AZ10)-876)</f>
        <v/>
      </c>
      <c r="BC10">
        <v>8</v>
      </c>
      <c r="BD10" t="str">
        <f t="shared" si="11"/>
        <v>ACTI-STREPTO</v>
      </c>
      <c r="BE10" t="str">
        <f t="shared" si="1"/>
        <v>ORAL</v>
      </c>
      <c r="BF10" t="str">
        <f t="shared" si="2"/>
        <v>AMINOGLYCOSIDES</v>
      </c>
      <c r="BG10" t="str">
        <f t="shared" si="3"/>
        <v/>
      </c>
      <c r="BH10" t="str">
        <f t="shared" si="4"/>
        <v/>
      </c>
      <c r="BI10" t="str">
        <f t="shared" si="5"/>
        <v>dihydrostreptomycin</v>
      </c>
      <c r="BJ10" t="str">
        <f t="shared" si="6"/>
        <v/>
      </c>
      <c r="BK10" t="str">
        <f t="shared" si="7"/>
        <v/>
      </c>
      <c r="BL10" t="str">
        <f t="shared" si="12"/>
        <v>Dihydrostreptomycine</v>
      </c>
      <c r="BM10" t="str">
        <f t="shared" si="8"/>
        <v>Dihydrostreptomycine</v>
      </c>
      <c r="BN10" t="str">
        <f t="shared" si="9"/>
        <v/>
      </c>
      <c r="BO10" t="str">
        <f t="shared" si="10"/>
        <v/>
      </c>
      <c r="BP10" t="str">
        <f t="shared" si="13"/>
        <v>Aminoglycosides</v>
      </c>
      <c r="BQ10" t="str">
        <f t="shared" si="14"/>
        <v>Aminoglycosides</v>
      </c>
      <c r="BR10" t="str">
        <f t="shared" si="15"/>
        <v/>
      </c>
      <c r="BS10" t="str">
        <f t="shared" si="16"/>
        <v/>
      </c>
      <c r="BT10" s="76" t="str">
        <f t="shared" si="17"/>
        <v>Voie orale  hors prémélanges médicamenteux</v>
      </c>
      <c r="BU10" t="str">
        <f t="shared" si="18"/>
        <v/>
      </c>
      <c r="BW10" s="109" t="s">
        <v>802</v>
      </c>
      <c r="BX10" s="109" t="s">
        <v>19</v>
      </c>
      <c r="BZ10" s="109" t="s">
        <v>2398</v>
      </c>
      <c r="CA10" s="109" t="s">
        <v>26</v>
      </c>
      <c r="CB10" s="109" t="s">
        <v>4302</v>
      </c>
      <c r="CG10" s="109" t="s">
        <v>4313</v>
      </c>
      <c r="CI10" s="109" t="s">
        <v>192</v>
      </c>
      <c r="CJ10" s="188">
        <v>8</v>
      </c>
      <c r="CK10" s="109" t="s">
        <v>1606</v>
      </c>
      <c r="CL10" s="185" t="s">
        <v>4321</v>
      </c>
      <c r="CN10">
        <v>9</v>
      </c>
    </row>
    <row r="11" spans="1:92" x14ac:dyDescent="0.3">
      <c r="A11" s="118" t="s">
        <v>1869</v>
      </c>
      <c r="B11" t="s">
        <v>1874</v>
      </c>
      <c r="C11" t="s">
        <v>828</v>
      </c>
      <c r="D11" s="144" t="s">
        <v>829</v>
      </c>
      <c r="E11" t="s">
        <v>830</v>
      </c>
      <c r="F11" t="s">
        <v>219</v>
      </c>
      <c r="G11" t="s">
        <v>831</v>
      </c>
      <c r="H11" t="s">
        <v>1871</v>
      </c>
      <c r="I11" t="s">
        <v>817</v>
      </c>
      <c r="J11" t="s">
        <v>914</v>
      </c>
      <c r="K11" t="s">
        <v>914</v>
      </c>
      <c r="L11" t="s">
        <v>995</v>
      </c>
      <c r="M11" t="s">
        <v>996</v>
      </c>
      <c r="N11" t="s">
        <v>1805</v>
      </c>
      <c r="O11" t="s">
        <v>834</v>
      </c>
      <c r="P11" t="s">
        <v>4371</v>
      </c>
      <c r="Q11" t="s">
        <v>780</v>
      </c>
      <c r="R11">
        <v>5</v>
      </c>
      <c r="S11">
        <v>3</v>
      </c>
      <c r="T11">
        <v>0</v>
      </c>
      <c r="U11">
        <v>0</v>
      </c>
      <c r="V11">
        <v>0</v>
      </c>
      <c r="W11">
        <v>0</v>
      </c>
      <c r="X11">
        <v>0</v>
      </c>
      <c r="Y11">
        <v>0</v>
      </c>
      <c r="Z11">
        <v>5</v>
      </c>
      <c r="AA11">
        <v>3</v>
      </c>
      <c r="AB11">
        <v>5</v>
      </c>
      <c r="AC11">
        <v>3</v>
      </c>
      <c r="AD11">
        <v>5</v>
      </c>
      <c r="AE11">
        <v>3</v>
      </c>
      <c r="AF11">
        <v>3.75</v>
      </c>
      <c r="AG11">
        <v>3</v>
      </c>
      <c r="AH11">
        <v>0</v>
      </c>
      <c r="AI11">
        <v>0</v>
      </c>
      <c r="AY11" t="str">
        <f t="shared" si="0"/>
        <v>ACTI COLI B</v>
      </c>
      <c r="AZ11" t="str">
        <f>IF(COUNTIF(AY:AY,AY11)=1,AY11,IF(AND(COUNTIF(AY:AY,AY11)&gt;1,COUNTIF(AZ$2:AZ10,AY11)&gt;=1),"",AY11))</f>
        <v/>
      </c>
      <c r="BA11" t="str">
        <f>IF(AZ11="","",COUNTIFS(AZ$3:AZ$1439,"&lt;"&amp;AZ11,AZ$3:AZ$1439,"&lt;&gt;0")+COUNTIF(AZ$3:AZ11,AZ11)-876)</f>
        <v/>
      </c>
      <c r="BC11">
        <v>9</v>
      </c>
      <c r="BD11" t="str">
        <f t="shared" si="11"/>
        <v>ACTI-TETRA B</v>
      </c>
      <c r="BE11" t="str">
        <f t="shared" si="1"/>
        <v>ORAL</v>
      </c>
      <c r="BF11" t="str">
        <f t="shared" si="2"/>
        <v>TETRACYCLINES</v>
      </c>
      <c r="BG11" t="str">
        <f t="shared" si="3"/>
        <v/>
      </c>
      <c r="BH11" t="str">
        <f t="shared" si="4"/>
        <v/>
      </c>
      <c r="BI11" t="str">
        <f t="shared" si="5"/>
        <v>oxytetracycline</v>
      </c>
      <c r="BJ11" t="str">
        <f t="shared" si="6"/>
        <v/>
      </c>
      <c r="BK11" t="str">
        <f t="shared" si="7"/>
        <v/>
      </c>
      <c r="BL11" t="str">
        <f t="shared" si="12"/>
        <v>Oxytétracycline</v>
      </c>
      <c r="BM11" t="str">
        <f t="shared" si="8"/>
        <v>Oxytétracycline</v>
      </c>
      <c r="BN11" t="str">
        <f t="shared" si="9"/>
        <v/>
      </c>
      <c r="BO11" t="str">
        <f t="shared" si="10"/>
        <v/>
      </c>
      <c r="BP11" t="str">
        <f t="shared" si="13"/>
        <v>Tetracyclines</v>
      </c>
      <c r="BQ11" t="str">
        <f t="shared" si="14"/>
        <v>Tetracyclines</v>
      </c>
      <c r="BR11" t="str">
        <f t="shared" si="15"/>
        <v/>
      </c>
      <c r="BS11" t="str">
        <f t="shared" si="16"/>
        <v/>
      </c>
      <c r="BT11" s="76" t="str">
        <f t="shared" si="17"/>
        <v>Voie orale  hors prémélanges médicamenteux</v>
      </c>
      <c r="BU11" t="str">
        <f t="shared" si="18"/>
        <v/>
      </c>
      <c r="BW11" s="109" t="s">
        <v>787</v>
      </c>
      <c r="BX11" s="109" t="s">
        <v>4298</v>
      </c>
      <c r="BZ11" s="109" t="s">
        <v>2629</v>
      </c>
      <c r="CA11" s="109" t="s">
        <v>75</v>
      </c>
      <c r="CB11" s="109" t="s">
        <v>4302</v>
      </c>
      <c r="CD11" t="s">
        <v>208</v>
      </c>
      <c r="CG11" s="109" t="s">
        <v>154</v>
      </c>
      <c r="CI11" s="109" t="s">
        <v>193</v>
      </c>
      <c r="CJ11" s="188">
        <v>9</v>
      </c>
      <c r="CK11" s="109" t="s">
        <v>1594</v>
      </c>
      <c r="CL11" s="185" t="s">
        <v>4321</v>
      </c>
      <c r="CN11">
        <v>10</v>
      </c>
    </row>
    <row r="12" spans="1:92" x14ac:dyDescent="0.3">
      <c r="A12" s="118" t="s">
        <v>2843</v>
      </c>
      <c r="B12" t="s">
        <v>2844</v>
      </c>
      <c r="C12" t="s">
        <v>1059</v>
      </c>
      <c r="D12" s="144" t="s">
        <v>955</v>
      </c>
      <c r="E12" t="s">
        <v>830</v>
      </c>
      <c r="F12" t="s">
        <v>220</v>
      </c>
      <c r="G12" t="s">
        <v>831</v>
      </c>
      <c r="H12" t="s">
        <v>2715</v>
      </c>
      <c r="I12" t="s">
        <v>817</v>
      </c>
      <c r="J12" t="s">
        <v>768</v>
      </c>
      <c r="K12" t="s">
        <v>768</v>
      </c>
      <c r="L12" t="s">
        <v>2121</v>
      </c>
      <c r="M12" t="s">
        <v>208</v>
      </c>
      <c r="N12" t="s">
        <v>780</v>
      </c>
      <c r="O12" t="s">
        <v>894</v>
      </c>
      <c r="P12" t="s">
        <v>772</v>
      </c>
      <c r="Q12" t="s">
        <v>776</v>
      </c>
      <c r="R12">
        <v>10</v>
      </c>
      <c r="S12">
        <v>5</v>
      </c>
      <c r="T12">
        <v>0</v>
      </c>
      <c r="U12">
        <v>0</v>
      </c>
      <c r="V12">
        <v>0</v>
      </c>
      <c r="W12">
        <v>0</v>
      </c>
      <c r="X12">
        <v>0</v>
      </c>
      <c r="Y12">
        <v>0</v>
      </c>
      <c r="Z12">
        <v>0</v>
      </c>
      <c r="AA12">
        <v>0</v>
      </c>
      <c r="AB12">
        <v>0</v>
      </c>
      <c r="AC12">
        <v>0</v>
      </c>
      <c r="AD12">
        <v>10</v>
      </c>
      <c r="AE12">
        <v>5</v>
      </c>
      <c r="AF12">
        <v>10</v>
      </c>
      <c r="AG12">
        <v>5</v>
      </c>
      <c r="AH12">
        <v>0</v>
      </c>
      <c r="AI12">
        <v>0</v>
      </c>
      <c r="AY12" t="str">
        <f t="shared" si="0"/>
        <v>ACTI DOXY 5</v>
      </c>
      <c r="AZ12" t="str">
        <f>IF(COUNTIF(AY:AY,AY12)=1,AY12,IF(AND(COUNTIF(AY:AY,AY12)&gt;1,COUNTIF(AZ$2:AZ11,AY12)&gt;=1),"",AY12))</f>
        <v>ACTI DOXY 5</v>
      </c>
      <c r="BA12">
        <f>IF(AZ12="","",COUNTIFS(AZ$3:AZ$1439,"&lt;"&amp;AZ12,AZ$3:AZ$1439,"&lt;&gt;0")+COUNTIF(AZ$3:AZ12,AZ12)-876)</f>
        <v>5</v>
      </c>
      <c r="BC12">
        <v>10</v>
      </c>
      <c r="BD12" t="str">
        <f t="shared" si="11"/>
        <v>ACTI-TETRA I</v>
      </c>
      <c r="BE12" t="str">
        <f t="shared" si="1"/>
        <v>INJ</v>
      </c>
      <c r="BF12" t="str">
        <f t="shared" si="2"/>
        <v>TETRACYCLINES</v>
      </c>
      <c r="BG12" t="str">
        <f t="shared" si="3"/>
        <v/>
      </c>
      <c r="BH12" t="str">
        <f t="shared" si="4"/>
        <v/>
      </c>
      <c r="BI12" t="str">
        <f t="shared" si="5"/>
        <v>oxytetracycline</v>
      </c>
      <c r="BJ12" t="str">
        <f t="shared" si="6"/>
        <v/>
      </c>
      <c r="BK12" t="str">
        <f t="shared" si="7"/>
        <v/>
      </c>
      <c r="BL12" t="str">
        <f t="shared" si="12"/>
        <v>Oxytétracycline</v>
      </c>
      <c r="BM12" t="str">
        <f t="shared" si="8"/>
        <v>Oxytétracycline</v>
      </c>
      <c r="BN12" t="str">
        <f t="shared" si="9"/>
        <v/>
      </c>
      <c r="BO12" t="str">
        <f t="shared" si="10"/>
        <v/>
      </c>
      <c r="BP12" t="str">
        <f t="shared" si="13"/>
        <v>Tetracyclines</v>
      </c>
      <c r="BQ12" t="str">
        <f t="shared" si="14"/>
        <v>Tetracyclines</v>
      </c>
      <c r="BR12" t="str">
        <f t="shared" si="15"/>
        <v/>
      </c>
      <c r="BS12" t="str">
        <f t="shared" si="16"/>
        <v/>
      </c>
      <c r="BT12" s="76" t="str">
        <f t="shared" si="17"/>
        <v>Voie parentérale</v>
      </c>
      <c r="BU12" t="str">
        <f t="shared" si="18"/>
        <v/>
      </c>
      <c r="BW12" s="109" t="s">
        <v>1752</v>
      </c>
      <c r="BX12" s="109" t="s">
        <v>4299</v>
      </c>
      <c r="BZ12" s="109" t="s">
        <v>2166</v>
      </c>
      <c r="CA12" s="109" t="s">
        <v>114</v>
      </c>
      <c r="CB12" s="109" t="s">
        <v>4303</v>
      </c>
      <c r="CG12" s="109" t="s">
        <v>4318</v>
      </c>
      <c r="CI12" s="109" t="s">
        <v>194</v>
      </c>
      <c r="CJ12" s="188">
        <v>10</v>
      </c>
      <c r="CK12" s="109" t="s">
        <v>1577</v>
      </c>
      <c r="CL12" s="185" t="s">
        <v>4321</v>
      </c>
      <c r="CN12">
        <v>11</v>
      </c>
    </row>
    <row r="13" spans="1:92" x14ac:dyDescent="0.3">
      <c r="A13" s="118" t="s">
        <v>1881</v>
      </c>
      <c r="B13" t="s">
        <v>1882</v>
      </c>
      <c r="C13" t="s">
        <v>1794</v>
      </c>
      <c r="D13" s="144" t="s">
        <v>906</v>
      </c>
      <c r="E13" t="s">
        <v>765</v>
      </c>
      <c r="F13" t="s">
        <v>221</v>
      </c>
      <c r="G13" t="s">
        <v>766</v>
      </c>
      <c r="H13" t="s">
        <v>1883</v>
      </c>
      <c r="I13" t="s">
        <v>766</v>
      </c>
      <c r="J13" t="s">
        <v>862</v>
      </c>
      <c r="K13" t="s">
        <v>862</v>
      </c>
      <c r="L13" t="s">
        <v>1003</v>
      </c>
      <c r="M13" t="s">
        <v>208</v>
      </c>
      <c r="N13" t="s">
        <v>864</v>
      </c>
      <c r="O13" t="s">
        <v>771</v>
      </c>
      <c r="P13" t="s">
        <v>772</v>
      </c>
      <c r="Q13" t="s">
        <v>764</v>
      </c>
      <c r="R13">
        <v>40</v>
      </c>
      <c r="S13">
        <v>3</v>
      </c>
      <c r="T13">
        <v>0</v>
      </c>
      <c r="U13">
        <v>0</v>
      </c>
      <c r="V13">
        <v>0</v>
      </c>
      <c r="W13">
        <v>0</v>
      </c>
      <c r="X13">
        <v>0</v>
      </c>
      <c r="Y13">
        <v>0</v>
      </c>
      <c r="Z13">
        <v>0</v>
      </c>
      <c r="AA13">
        <v>0</v>
      </c>
      <c r="AB13">
        <v>40</v>
      </c>
      <c r="AC13">
        <v>3</v>
      </c>
      <c r="AD13">
        <v>0</v>
      </c>
      <c r="AE13">
        <v>0</v>
      </c>
      <c r="AF13">
        <v>0</v>
      </c>
      <c r="AG13">
        <v>0</v>
      </c>
      <c r="AH13">
        <v>0</v>
      </c>
      <c r="AI13">
        <v>0</v>
      </c>
      <c r="AY13" t="str">
        <f t="shared" si="0"/>
        <v>ACTI-METHOXINE</v>
      </c>
      <c r="AZ13" t="str">
        <f>IF(COUNTIF(AY:AY,AY13)=1,AY13,IF(AND(COUNTIF(AY:AY,AY13)&gt;1,COUNTIF(AZ$2:AZ12,AY13)&gt;=1),"",AY13))</f>
        <v>ACTI-METHOXINE</v>
      </c>
      <c r="BA13">
        <f>IF(AZ13="","",COUNTIFS(AZ$3:AZ$1439,"&lt;"&amp;AZ13,AZ$3:AZ$1439,"&lt;&gt;0")+COUNTIF(AZ$3:AZ13,AZ13)-876)</f>
        <v>6</v>
      </c>
      <c r="BC13">
        <v>11</v>
      </c>
      <c r="BD13" t="str">
        <f t="shared" si="11"/>
        <v>ADJUSOL TMP SULFA LIQUIDE 16,65 MG/ML + 83,35 MG/ML SOLUTION POUR ADMINISTRATION DANS L’EAU DE BOISSON/LAIT</v>
      </c>
      <c r="BE13" t="str">
        <f t="shared" si="1"/>
        <v>ORAL</v>
      </c>
      <c r="BF13" t="str">
        <f t="shared" si="2"/>
        <v>SULFAMIDES</v>
      </c>
      <c r="BG13" t="str">
        <f t="shared" si="3"/>
        <v>TRIMETHOPRIME</v>
      </c>
      <c r="BH13" t="str">
        <f t="shared" si="4"/>
        <v/>
      </c>
      <c r="BI13" t="str">
        <f t="shared" si="5"/>
        <v>sulfadiazine</v>
      </c>
      <c r="BJ13" t="str">
        <f t="shared" si="6"/>
        <v>trimethoprim</v>
      </c>
      <c r="BK13" t="str">
        <f t="shared" si="7"/>
        <v/>
      </c>
      <c r="BL13" t="str">
        <f t="shared" si="12"/>
        <v>Sulfadiazine + Triméthoprime</v>
      </c>
      <c r="BM13" t="str">
        <f t="shared" si="8"/>
        <v>Sulfadiazine</v>
      </c>
      <c r="BN13" t="str">
        <f t="shared" si="9"/>
        <v>Triméthoprime</v>
      </c>
      <c r="BO13" t="str">
        <f t="shared" si="10"/>
        <v/>
      </c>
      <c r="BP13" t="str">
        <f t="shared" si="13"/>
        <v>Sulfamides + Trimethoprime</v>
      </c>
      <c r="BQ13" t="str">
        <f t="shared" si="14"/>
        <v>Sulfamides</v>
      </c>
      <c r="BR13" t="str">
        <f t="shared" si="15"/>
        <v>Trimethoprime</v>
      </c>
      <c r="BS13" t="str">
        <f t="shared" si="16"/>
        <v/>
      </c>
      <c r="BT13" s="76" t="str">
        <f t="shared" si="17"/>
        <v>Voie orale  hors prémélanges médicamenteux</v>
      </c>
      <c r="BU13" t="str">
        <f t="shared" si="18"/>
        <v/>
      </c>
      <c r="BW13" s="109" t="s">
        <v>2081</v>
      </c>
      <c r="BX13" s="109" t="s">
        <v>163</v>
      </c>
      <c r="BZ13" s="109" t="s">
        <v>2588</v>
      </c>
      <c r="CA13" s="109" t="s">
        <v>22</v>
      </c>
      <c r="CB13" s="109" t="s">
        <v>4303</v>
      </c>
      <c r="CG13" s="109" t="s">
        <v>4312</v>
      </c>
      <c r="CI13" s="109" t="s">
        <v>195</v>
      </c>
      <c r="CJ13" s="188">
        <v>11</v>
      </c>
      <c r="CK13" s="109" t="s">
        <v>2566</v>
      </c>
      <c r="CL13" s="185" t="s">
        <v>4321</v>
      </c>
      <c r="CN13">
        <v>12</v>
      </c>
    </row>
    <row r="14" spans="1:92" x14ac:dyDescent="0.3">
      <c r="A14" s="118" t="s">
        <v>3671</v>
      </c>
      <c r="B14" t="s">
        <v>3672</v>
      </c>
      <c r="C14" t="s">
        <v>1483</v>
      </c>
      <c r="D14" s="144" t="s">
        <v>764</v>
      </c>
      <c r="E14" t="s">
        <v>765</v>
      </c>
      <c r="F14" t="s">
        <v>598</v>
      </c>
      <c r="G14" t="s">
        <v>766</v>
      </c>
      <c r="H14" t="s">
        <v>1326</v>
      </c>
      <c r="I14" t="s">
        <v>766</v>
      </c>
      <c r="J14" t="s">
        <v>2165</v>
      </c>
      <c r="K14" t="s">
        <v>2165</v>
      </c>
      <c r="L14" t="s">
        <v>2432</v>
      </c>
      <c r="M14" t="s">
        <v>208</v>
      </c>
      <c r="N14" t="s">
        <v>780</v>
      </c>
      <c r="O14" t="s">
        <v>771</v>
      </c>
      <c r="P14" t="s">
        <v>772</v>
      </c>
      <c r="Q14" t="s">
        <v>885</v>
      </c>
      <c r="R14">
        <v>1</v>
      </c>
      <c r="S14">
        <v>5</v>
      </c>
      <c r="T14">
        <v>0</v>
      </c>
      <c r="U14">
        <v>0</v>
      </c>
      <c r="V14">
        <v>0</v>
      </c>
      <c r="W14">
        <v>0</v>
      </c>
      <c r="X14">
        <v>0</v>
      </c>
      <c r="Y14">
        <v>0</v>
      </c>
      <c r="Z14">
        <v>0</v>
      </c>
      <c r="AA14">
        <v>0</v>
      </c>
      <c r="AB14">
        <v>0</v>
      </c>
      <c r="AC14">
        <v>0</v>
      </c>
      <c r="AD14">
        <v>3</v>
      </c>
      <c r="AE14">
        <v>3</v>
      </c>
      <c r="AF14">
        <v>0</v>
      </c>
      <c r="AG14">
        <v>0</v>
      </c>
      <c r="AH14">
        <v>0</v>
      </c>
      <c r="AI14">
        <v>0</v>
      </c>
      <c r="AY14" t="str">
        <f t="shared" si="0"/>
        <v>ACTIONIS 50 MG/ML SUSPENSION INJECTABLE POUR PORCINS ET BOVINS</v>
      </c>
      <c r="AZ14" t="str">
        <f>IF(COUNTIF(AY:AY,AY14)=1,AY14,IF(AND(COUNTIF(AY:AY,AY14)&gt;1,COUNTIF(AZ$2:AZ13,AY14)&gt;=1),"",AY14))</f>
        <v>ACTIONIS 50 MG/ML SUSPENSION INJECTABLE POUR PORCINS ET BOVINS</v>
      </c>
      <c r="BA14">
        <f>IF(AZ14="","",COUNTIFS(AZ$3:AZ$1439,"&lt;"&amp;AZ14,AZ$3:AZ$1439,"&lt;&gt;0")+COUNTIF(AZ$3:AZ14,AZ14)-876)</f>
        <v>7</v>
      </c>
      <c r="BC14">
        <v>12</v>
      </c>
      <c r="BD14" t="str">
        <f t="shared" si="11"/>
        <v>ADVOCINE 180, 180 MG/ML, SOLUTION INJECTABLE POUR BOVINS</v>
      </c>
      <c r="BE14" t="str">
        <f t="shared" si="1"/>
        <v>INJ</v>
      </c>
      <c r="BF14" t="str">
        <f t="shared" si="2"/>
        <v>FLUOROQUINOLONES</v>
      </c>
      <c r="BG14" t="str">
        <f t="shared" si="3"/>
        <v/>
      </c>
      <c r="BH14" t="str">
        <f t="shared" si="4"/>
        <v/>
      </c>
      <c r="BI14" t="str">
        <f t="shared" si="5"/>
        <v>danofloxacin</v>
      </c>
      <c r="BJ14" t="str">
        <f t="shared" si="6"/>
        <v/>
      </c>
      <c r="BK14" t="str">
        <f t="shared" si="7"/>
        <v/>
      </c>
      <c r="BL14" t="str">
        <f t="shared" si="12"/>
        <v>Danofloxacine</v>
      </c>
      <c r="BM14" t="str">
        <f t="shared" si="8"/>
        <v>Danofloxacine</v>
      </c>
      <c r="BN14" t="str">
        <f t="shared" si="9"/>
        <v/>
      </c>
      <c r="BO14" t="str">
        <f t="shared" si="10"/>
        <v/>
      </c>
      <c r="BP14" t="str">
        <f t="shared" si="13"/>
        <v>Fluoroquinolones</v>
      </c>
      <c r="BQ14" t="str">
        <f t="shared" si="14"/>
        <v>Fluoroquinolones</v>
      </c>
      <c r="BR14" t="str">
        <f t="shared" si="15"/>
        <v/>
      </c>
      <c r="BS14" t="str">
        <f t="shared" si="16"/>
        <v/>
      </c>
      <c r="BT14" s="76" t="str">
        <f t="shared" si="17"/>
        <v>Voie parentérale</v>
      </c>
      <c r="BU14" t="str">
        <f t="shared" si="18"/>
        <v>x</v>
      </c>
      <c r="BW14" s="109" t="s">
        <v>914</v>
      </c>
      <c r="BX14" s="109" t="s">
        <v>11</v>
      </c>
      <c r="BZ14" s="109" t="s">
        <v>2432</v>
      </c>
      <c r="CA14" s="109" t="s">
        <v>25</v>
      </c>
      <c r="CB14" s="109" t="s">
        <v>4303</v>
      </c>
      <c r="CG14" s="109" t="s">
        <v>4310</v>
      </c>
      <c r="CI14" s="110" t="s">
        <v>196</v>
      </c>
      <c r="CJ14" s="188">
        <v>12</v>
      </c>
      <c r="CK14" s="109" t="s">
        <v>1896</v>
      </c>
      <c r="CL14" s="185" t="s">
        <v>4321</v>
      </c>
      <c r="CN14">
        <v>13</v>
      </c>
    </row>
    <row r="15" spans="1:92" x14ac:dyDescent="0.3">
      <c r="A15" s="118" t="s">
        <v>1859</v>
      </c>
      <c r="B15" t="s">
        <v>1860</v>
      </c>
      <c r="C15" t="s">
        <v>1588</v>
      </c>
      <c r="D15" s="144" t="s">
        <v>829</v>
      </c>
      <c r="E15" t="s">
        <v>830</v>
      </c>
      <c r="F15" t="s">
        <v>222</v>
      </c>
      <c r="G15" t="s">
        <v>831</v>
      </c>
      <c r="H15" t="s">
        <v>1861</v>
      </c>
      <c r="I15" t="s">
        <v>817</v>
      </c>
      <c r="J15" t="s">
        <v>783</v>
      </c>
      <c r="K15" t="s">
        <v>783</v>
      </c>
      <c r="L15" t="s">
        <v>945</v>
      </c>
      <c r="M15" t="s">
        <v>208</v>
      </c>
      <c r="N15" t="s">
        <v>906</v>
      </c>
      <c r="O15" t="s">
        <v>894</v>
      </c>
      <c r="P15" t="s">
        <v>772</v>
      </c>
      <c r="Q15" t="s">
        <v>906</v>
      </c>
      <c r="R15">
        <v>50</v>
      </c>
      <c r="S15">
        <v>3</v>
      </c>
      <c r="T15">
        <v>0</v>
      </c>
      <c r="U15">
        <v>0</v>
      </c>
      <c r="V15">
        <v>0</v>
      </c>
      <c r="W15">
        <v>0</v>
      </c>
      <c r="X15">
        <v>0</v>
      </c>
      <c r="Y15">
        <v>0</v>
      </c>
      <c r="Z15">
        <v>50</v>
      </c>
      <c r="AA15">
        <v>3</v>
      </c>
      <c r="AB15">
        <v>50</v>
      </c>
      <c r="AC15">
        <v>3</v>
      </c>
      <c r="AD15">
        <v>50</v>
      </c>
      <c r="AE15">
        <v>3</v>
      </c>
      <c r="AF15">
        <v>50</v>
      </c>
      <c r="AG15">
        <v>3</v>
      </c>
      <c r="AH15">
        <v>0</v>
      </c>
      <c r="AI15">
        <v>0</v>
      </c>
      <c r="AY15" t="str">
        <f t="shared" si="0"/>
        <v>ACTI-STREPTO</v>
      </c>
      <c r="AZ15" t="str">
        <f>IF(COUNTIF(AY:AY,AY15)=1,AY15,IF(AND(COUNTIF(AY:AY,AY15)&gt;1,COUNTIF(AZ$2:AZ14,AY15)&gt;=1),"",AY15))</f>
        <v>ACTI-STREPTO</v>
      </c>
      <c r="BA15">
        <f>IF(AZ15="","",COUNTIFS(AZ$3:AZ$1439,"&lt;"&amp;AZ15,AZ$3:AZ$1439,"&lt;&gt;0")+COUNTIF(AZ$3:AZ15,AZ15)-876)</f>
        <v>8</v>
      </c>
      <c r="BC15">
        <v>13</v>
      </c>
      <c r="BD15" t="str">
        <f t="shared" si="11"/>
        <v>ADVOCINE 25</v>
      </c>
      <c r="BE15" t="str">
        <f t="shared" si="1"/>
        <v>INJ</v>
      </c>
      <c r="BF15" t="str">
        <f t="shared" si="2"/>
        <v>FLUOROQUINOLONES</v>
      </c>
      <c r="BG15" t="str">
        <f t="shared" si="3"/>
        <v/>
      </c>
      <c r="BH15" t="str">
        <f t="shared" si="4"/>
        <v/>
      </c>
      <c r="BI15" t="str">
        <f t="shared" si="5"/>
        <v>danofloxacin</v>
      </c>
      <c r="BJ15" t="str">
        <f t="shared" si="6"/>
        <v/>
      </c>
      <c r="BK15" t="str">
        <f t="shared" si="7"/>
        <v/>
      </c>
      <c r="BL15" t="str">
        <f t="shared" si="12"/>
        <v>Danofloxacine</v>
      </c>
      <c r="BM15" t="str">
        <f t="shared" si="8"/>
        <v>Danofloxacine</v>
      </c>
      <c r="BN15" t="str">
        <f t="shared" si="9"/>
        <v/>
      </c>
      <c r="BO15" t="str">
        <f t="shared" si="10"/>
        <v/>
      </c>
      <c r="BP15" t="str">
        <f t="shared" si="13"/>
        <v>Fluoroquinolones</v>
      </c>
      <c r="BQ15" t="str">
        <f t="shared" si="14"/>
        <v>Fluoroquinolones</v>
      </c>
      <c r="BR15" t="str">
        <f t="shared" si="15"/>
        <v/>
      </c>
      <c r="BS15" t="str">
        <f t="shared" si="16"/>
        <v/>
      </c>
      <c r="BT15" s="76" t="str">
        <f t="shared" si="17"/>
        <v>Voie parentérale</v>
      </c>
      <c r="BU15" t="str">
        <f t="shared" si="18"/>
        <v>x</v>
      </c>
      <c r="BW15" s="109" t="s">
        <v>1559</v>
      </c>
      <c r="BX15" s="109" t="s">
        <v>141</v>
      </c>
      <c r="BZ15" s="109" t="s">
        <v>1087</v>
      </c>
      <c r="CA15" s="109" t="s">
        <v>9</v>
      </c>
      <c r="CB15" s="109" t="s">
        <v>4300</v>
      </c>
      <c r="CG15" s="109" t="s">
        <v>4314</v>
      </c>
      <c r="CI15" s="109" t="s">
        <v>185</v>
      </c>
      <c r="CJ15" s="188">
        <v>1</v>
      </c>
      <c r="CK15" s="109" t="s">
        <v>1427</v>
      </c>
      <c r="CL15" s="185" t="s">
        <v>4321</v>
      </c>
      <c r="CN15">
        <v>14</v>
      </c>
    </row>
    <row r="16" spans="1:92" x14ac:dyDescent="0.3">
      <c r="A16" s="118" t="s">
        <v>1865</v>
      </c>
      <c r="B16" t="s">
        <v>1866</v>
      </c>
      <c r="C16" t="s">
        <v>1313</v>
      </c>
      <c r="D16" s="144" t="s">
        <v>955</v>
      </c>
      <c r="E16" t="s">
        <v>830</v>
      </c>
      <c r="F16" t="s">
        <v>223</v>
      </c>
      <c r="G16" t="s">
        <v>831</v>
      </c>
      <c r="H16" t="s">
        <v>1577</v>
      </c>
      <c r="I16" t="s">
        <v>817</v>
      </c>
      <c r="J16" t="s">
        <v>768</v>
      </c>
      <c r="K16" t="s">
        <v>768</v>
      </c>
      <c r="L16" t="s">
        <v>769</v>
      </c>
      <c r="M16" t="s">
        <v>208</v>
      </c>
      <c r="N16" t="s">
        <v>906</v>
      </c>
      <c r="O16" t="s">
        <v>894</v>
      </c>
      <c r="P16" t="s">
        <v>772</v>
      </c>
      <c r="Q16" t="s">
        <v>966</v>
      </c>
      <c r="R16">
        <v>20</v>
      </c>
      <c r="S16">
        <v>5</v>
      </c>
      <c r="T16">
        <v>0</v>
      </c>
      <c r="U16">
        <v>0</v>
      </c>
      <c r="V16">
        <v>0</v>
      </c>
      <c r="W16">
        <v>0</v>
      </c>
      <c r="X16">
        <v>0</v>
      </c>
      <c r="Y16">
        <v>0</v>
      </c>
      <c r="Z16">
        <v>20</v>
      </c>
      <c r="AA16">
        <v>5</v>
      </c>
      <c r="AB16">
        <v>20</v>
      </c>
      <c r="AC16">
        <v>5</v>
      </c>
      <c r="AD16">
        <v>20</v>
      </c>
      <c r="AE16">
        <v>5</v>
      </c>
      <c r="AF16">
        <v>20</v>
      </c>
      <c r="AG16">
        <v>5</v>
      </c>
      <c r="AH16">
        <v>0</v>
      </c>
      <c r="AI16">
        <v>0</v>
      </c>
      <c r="AY16" t="str">
        <f t="shared" si="0"/>
        <v>ACTI-TETRA B</v>
      </c>
      <c r="AZ16" t="str">
        <f>IF(COUNTIF(AY:AY,AY16)=1,AY16,IF(AND(COUNTIF(AY:AY,AY16)&gt;1,COUNTIF(AZ$2:AZ15,AY16)&gt;=1),"",AY16))</f>
        <v>ACTI-TETRA B</v>
      </c>
      <c r="BA16">
        <f>IF(AZ16="","",COUNTIFS(AZ$3:AZ$1439,"&lt;"&amp;AZ16,AZ$3:AZ$1439,"&lt;&gt;0")+COUNTIF(AZ$3:AZ16,AZ16)-876)</f>
        <v>9</v>
      </c>
      <c r="BC16">
        <v>14</v>
      </c>
      <c r="BD16" t="str">
        <f t="shared" si="11"/>
        <v>AIVLOSIN 42,5 MG/G POUDRE ORALE POUR PORCS</v>
      </c>
      <c r="BE16" t="str">
        <f t="shared" si="1"/>
        <v>ORAL</v>
      </c>
      <c r="BF16" t="str">
        <f t="shared" si="2"/>
        <v>MACROLIDES</v>
      </c>
      <c r="BG16" t="str">
        <f t="shared" si="3"/>
        <v/>
      </c>
      <c r="BH16" t="str">
        <f t="shared" si="4"/>
        <v/>
      </c>
      <c r="BI16" t="str">
        <f t="shared" si="5"/>
        <v>tylvalosin</v>
      </c>
      <c r="BJ16" t="str">
        <f t="shared" si="6"/>
        <v/>
      </c>
      <c r="BK16" t="str">
        <f t="shared" si="7"/>
        <v/>
      </c>
      <c r="BL16" t="str">
        <f t="shared" si="12"/>
        <v>Tylvalosine</v>
      </c>
      <c r="BM16" t="str">
        <f t="shared" si="8"/>
        <v>Tylvalosine</v>
      </c>
      <c r="BN16" t="str">
        <f t="shared" si="9"/>
        <v/>
      </c>
      <c r="BO16" t="str">
        <f t="shared" si="10"/>
        <v/>
      </c>
      <c r="BP16" t="str">
        <f t="shared" si="13"/>
        <v>Macrolides</v>
      </c>
      <c r="BQ16" t="str">
        <f t="shared" si="14"/>
        <v>Macrolides</v>
      </c>
      <c r="BR16" t="str">
        <f t="shared" si="15"/>
        <v/>
      </c>
      <c r="BS16" t="str">
        <f t="shared" si="16"/>
        <v/>
      </c>
      <c r="BT16" s="76" t="str">
        <f t="shared" si="17"/>
        <v>Voie orale  hors prémélanges médicamenteux</v>
      </c>
      <c r="BU16" t="str">
        <f t="shared" si="18"/>
        <v/>
      </c>
      <c r="BW16" s="109" t="s">
        <v>862</v>
      </c>
      <c r="BX16" s="109" t="s">
        <v>14</v>
      </c>
      <c r="BZ16" s="109" t="s">
        <v>2072</v>
      </c>
      <c r="CA16" s="109" t="s">
        <v>209</v>
      </c>
      <c r="CB16" s="109" t="s">
        <v>209</v>
      </c>
      <c r="CG16" s="109" t="s">
        <v>4311</v>
      </c>
      <c r="CI16" s="109" t="s">
        <v>186</v>
      </c>
      <c r="CJ16" s="188">
        <v>2</v>
      </c>
      <c r="CK16" s="109" t="s">
        <v>1584</v>
      </c>
      <c r="CL16" s="185" t="s">
        <v>4321</v>
      </c>
      <c r="CN16">
        <v>15</v>
      </c>
    </row>
    <row r="17" spans="1:92" x14ac:dyDescent="0.3">
      <c r="A17" s="118" t="s">
        <v>1865</v>
      </c>
      <c r="B17" t="s">
        <v>1867</v>
      </c>
      <c r="C17" t="s">
        <v>891</v>
      </c>
      <c r="D17" s="144" t="s">
        <v>829</v>
      </c>
      <c r="E17" t="s">
        <v>830</v>
      </c>
      <c r="F17" t="s">
        <v>223</v>
      </c>
      <c r="G17" t="s">
        <v>831</v>
      </c>
      <c r="H17" t="s">
        <v>1577</v>
      </c>
      <c r="I17" t="s">
        <v>817</v>
      </c>
      <c r="J17" t="s">
        <v>768</v>
      </c>
      <c r="K17" t="s">
        <v>768</v>
      </c>
      <c r="L17" t="s">
        <v>769</v>
      </c>
      <c r="M17" t="s">
        <v>208</v>
      </c>
      <c r="N17" t="s">
        <v>906</v>
      </c>
      <c r="O17" t="s">
        <v>894</v>
      </c>
      <c r="P17" t="s">
        <v>772</v>
      </c>
      <c r="Q17" t="s">
        <v>906</v>
      </c>
      <c r="R17">
        <v>20</v>
      </c>
      <c r="S17">
        <v>5</v>
      </c>
      <c r="T17">
        <v>0</v>
      </c>
      <c r="U17">
        <v>0</v>
      </c>
      <c r="V17">
        <v>0</v>
      </c>
      <c r="W17">
        <v>0</v>
      </c>
      <c r="X17">
        <v>0</v>
      </c>
      <c r="Y17">
        <v>0</v>
      </c>
      <c r="Z17">
        <v>20</v>
      </c>
      <c r="AA17">
        <v>5</v>
      </c>
      <c r="AB17">
        <v>20</v>
      </c>
      <c r="AC17">
        <v>5</v>
      </c>
      <c r="AD17">
        <v>20</v>
      </c>
      <c r="AE17">
        <v>5</v>
      </c>
      <c r="AF17">
        <v>20</v>
      </c>
      <c r="AG17">
        <v>5</v>
      </c>
      <c r="AH17">
        <v>0</v>
      </c>
      <c r="AI17">
        <v>0</v>
      </c>
      <c r="AY17" t="str">
        <f t="shared" si="0"/>
        <v>ACTI-TETRA B</v>
      </c>
      <c r="AZ17" t="str">
        <f>IF(COUNTIF(AY:AY,AY17)=1,AY17,IF(AND(COUNTIF(AY:AY,AY17)&gt;1,COUNTIF(AZ$2:AZ16,AY17)&gt;=1),"",AY17))</f>
        <v/>
      </c>
      <c r="BA17" t="str">
        <f>IF(AZ17="","",COUNTIFS(AZ$3:AZ$1439,"&lt;"&amp;AZ17,AZ$3:AZ$1439,"&lt;&gt;0")+COUNTIF(AZ$3:AZ17,AZ17)-876)</f>
        <v/>
      </c>
      <c r="BC17">
        <v>15</v>
      </c>
      <c r="BD17" t="str">
        <f t="shared" si="11"/>
        <v>AIVLOSIN 42,5 MG/G PREMELANGE MEDICAMENTEUX POUR PORCS</v>
      </c>
      <c r="BE17" t="str">
        <f t="shared" si="1"/>
        <v>PM</v>
      </c>
      <c r="BF17" t="str">
        <f t="shared" si="2"/>
        <v>MACROLIDES</v>
      </c>
      <c r="BG17" t="str">
        <f t="shared" si="3"/>
        <v/>
      </c>
      <c r="BH17" t="str">
        <f t="shared" si="4"/>
        <v/>
      </c>
      <c r="BI17" t="str">
        <f t="shared" si="5"/>
        <v>tylvalosin</v>
      </c>
      <c r="BJ17" t="str">
        <f t="shared" si="6"/>
        <v/>
      </c>
      <c r="BK17" t="str">
        <f t="shared" si="7"/>
        <v/>
      </c>
      <c r="BL17" t="str">
        <f t="shared" si="12"/>
        <v>Tylvalosine</v>
      </c>
      <c r="BM17" t="str">
        <f t="shared" si="8"/>
        <v>Tylvalosine</v>
      </c>
      <c r="BN17" t="str">
        <f t="shared" si="9"/>
        <v/>
      </c>
      <c r="BO17" t="str">
        <f t="shared" si="10"/>
        <v/>
      </c>
      <c r="BP17" t="str">
        <f t="shared" si="13"/>
        <v>Macrolides</v>
      </c>
      <c r="BQ17" t="str">
        <f t="shared" si="14"/>
        <v>Macrolides</v>
      </c>
      <c r="BR17" t="str">
        <f t="shared" si="15"/>
        <v/>
      </c>
      <c r="BS17" t="str">
        <f t="shared" si="16"/>
        <v/>
      </c>
      <c r="BT17" s="76" t="str">
        <f t="shared" si="17"/>
        <v>Prémélanges médicamenteux</v>
      </c>
      <c r="BU17" t="str">
        <f t="shared" si="18"/>
        <v/>
      </c>
      <c r="BW17" s="109" t="s">
        <v>768</v>
      </c>
      <c r="BX17" s="109" t="s">
        <v>4300</v>
      </c>
      <c r="BZ17" s="109" t="s">
        <v>1014</v>
      </c>
      <c r="CA17" s="109" t="s">
        <v>24</v>
      </c>
      <c r="CB17" s="109" t="s">
        <v>4298</v>
      </c>
      <c r="CG17" s="109" t="s">
        <v>4319</v>
      </c>
      <c r="CI17" s="109" t="s">
        <v>187</v>
      </c>
      <c r="CJ17" s="188">
        <v>3</v>
      </c>
      <c r="CK17" s="109" t="s">
        <v>1082</v>
      </c>
      <c r="CL17" s="185" t="s">
        <v>4321</v>
      </c>
      <c r="CN17">
        <v>16</v>
      </c>
    </row>
    <row r="18" spans="1:92" x14ac:dyDescent="0.3">
      <c r="A18" s="118" t="s">
        <v>1865</v>
      </c>
      <c r="B18" t="s">
        <v>1868</v>
      </c>
      <c r="C18" t="s">
        <v>1293</v>
      </c>
      <c r="D18" s="144" t="s">
        <v>924</v>
      </c>
      <c r="E18" t="s">
        <v>830</v>
      </c>
      <c r="F18" t="s">
        <v>223</v>
      </c>
      <c r="G18" t="s">
        <v>831</v>
      </c>
      <c r="H18" t="s">
        <v>1577</v>
      </c>
      <c r="I18" t="s">
        <v>817</v>
      </c>
      <c r="J18" t="s">
        <v>768</v>
      </c>
      <c r="K18" t="s">
        <v>768</v>
      </c>
      <c r="L18" t="s">
        <v>769</v>
      </c>
      <c r="M18" t="s">
        <v>208</v>
      </c>
      <c r="N18" t="s">
        <v>906</v>
      </c>
      <c r="O18" t="s">
        <v>894</v>
      </c>
      <c r="P18" t="s">
        <v>772</v>
      </c>
      <c r="Q18" t="s">
        <v>955</v>
      </c>
      <c r="R18">
        <v>20</v>
      </c>
      <c r="S18">
        <v>5</v>
      </c>
      <c r="T18">
        <v>0</v>
      </c>
      <c r="U18">
        <v>0</v>
      </c>
      <c r="V18">
        <v>0</v>
      </c>
      <c r="W18">
        <v>0</v>
      </c>
      <c r="X18">
        <v>0</v>
      </c>
      <c r="Y18">
        <v>0</v>
      </c>
      <c r="Z18">
        <v>20</v>
      </c>
      <c r="AA18">
        <v>5</v>
      </c>
      <c r="AB18">
        <v>20</v>
      </c>
      <c r="AC18">
        <v>5</v>
      </c>
      <c r="AD18">
        <v>20</v>
      </c>
      <c r="AE18">
        <v>5</v>
      </c>
      <c r="AF18">
        <v>20</v>
      </c>
      <c r="AG18">
        <v>5</v>
      </c>
      <c r="AH18">
        <v>0</v>
      </c>
      <c r="AI18">
        <v>0</v>
      </c>
      <c r="AY18" t="str">
        <f t="shared" si="0"/>
        <v>ACTI-TETRA B</v>
      </c>
      <c r="AZ18" t="str">
        <f>IF(COUNTIF(AY:AY,AY18)=1,AY18,IF(AND(COUNTIF(AY:AY,AY18)&gt;1,COUNTIF(AZ$2:AZ17,AY18)&gt;=1),"",AY18))</f>
        <v/>
      </c>
      <c r="BA18" t="str">
        <f>IF(AZ18="","",COUNTIFS(AZ$3:AZ$1439,"&lt;"&amp;AZ18,AZ$3:AZ$1439,"&lt;&gt;0")+COUNTIF(AZ$3:AZ18,AZ18)-876)</f>
        <v/>
      </c>
      <c r="BC18">
        <v>16</v>
      </c>
      <c r="BD18" t="str">
        <f t="shared" si="11"/>
        <v>AIVLOSIN 625 MG/G GRANULES POUR ADMINISTRATION DANS L'EAU DE BOISSON POUR FAISANS</v>
      </c>
      <c r="BE18" t="str">
        <f t="shared" si="1"/>
        <v>ORAL</v>
      </c>
      <c r="BF18" t="str">
        <f t="shared" si="2"/>
        <v>MACROLIDES</v>
      </c>
      <c r="BG18" t="str">
        <f t="shared" si="3"/>
        <v/>
      </c>
      <c r="BH18" t="str">
        <f t="shared" si="4"/>
        <v/>
      </c>
      <c r="BI18" t="str">
        <f t="shared" si="5"/>
        <v>tylvalosin</v>
      </c>
      <c r="BJ18" t="str">
        <f t="shared" si="6"/>
        <v/>
      </c>
      <c r="BK18" t="str">
        <f t="shared" si="7"/>
        <v/>
      </c>
      <c r="BL18" t="str">
        <f t="shared" si="12"/>
        <v>Tylvalosine</v>
      </c>
      <c r="BM18" t="str">
        <f t="shared" si="8"/>
        <v>Tylvalosine</v>
      </c>
      <c r="BN18" t="str">
        <f t="shared" si="9"/>
        <v/>
      </c>
      <c r="BO18" t="str">
        <f t="shared" si="10"/>
        <v/>
      </c>
      <c r="BP18" t="str">
        <f t="shared" si="13"/>
        <v>Macrolides</v>
      </c>
      <c r="BQ18" t="str">
        <f t="shared" si="14"/>
        <v>Macrolides</v>
      </c>
      <c r="BR18" t="str">
        <f t="shared" si="15"/>
        <v/>
      </c>
      <c r="BS18" t="str">
        <f t="shared" si="16"/>
        <v/>
      </c>
      <c r="BT18" s="76" t="str">
        <f t="shared" si="17"/>
        <v>Voie orale  hors prémélanges médicamenteux</v>
      </c>
      <c r="BU18" t="str">
        <f t="shared" si="18"/>
        <v/>
      </c>
      <c r="BW18" s="110" t="s">
        <v>930</v>
      </c>
      <c r="BX18" s="110" t="s">
        <v>4301</v>
      </c>
      <c r="BZ18" s="109" t="s">
        <v>995</v>
      </c>
      <c r="CA18" s="109" t="s">
        <v>2</v>
      </c>
      <c r="CB18" s="109" t="s">
        <v>11</v>
      </c>
      <c r="CG18" s="109" t="s">
        <v>202</v>
      </c>
      <c r="CI18" s="109" t="s">
        <v>188</v>
      </c>
      <c r="CJ18" s="188">
        <v>4</v>
      </c>
      <c r="CK18" s="109" t="s">
        <v>1816</v>
      </c>
      <c r="CL18" s="185" t="s">
        <v>4321</v>
      </c>
      <c r="CN18">
        <v>17</v>
      </c>
    </row>
    <row r="19" spans="1:92" x14ac:dyDescent="0.3">
      <c r="A19" s="118" t="s">
        <v>1862</v>
      </c>
      <c r="B19" t="s">
        <v>1863</v>
      </c>
      <c r="C19" t="s">
        <v>775</v>
      </c>
      <c r="D19" s="144" t="s">
        <v>776</v>
      </c>
      <c r="E19" t="s">
        <v>765</v>
      </c>
      <c r="F19" t="s">
        <v>224</v>
      </c>
      <c r="G19" t="s">
        <v>766</v>
      </c>
      <c r="H19" t="s">
        <v>1864</v>
      </c>
      <c r="I19" t="s">
        <v>766</v>
      </c>
      <c r="J19" t="s">
        <v>768</v>
      </c>
      <c r="K19" t="s">
        <v>768</v>
      </c>
      <c r="L19" t="s">
        <v>769</v>
      </c>
      <c r="M19" t="s">
        <v>208</v>
      </c>
      <c r="N19" t="s">
        <v>780</v>
      </c>
      <c r="O19" t="s">
        <v>771</v>
      </c>
      <c r="P19" t="s">
        <v>772</v>
      </c>
      <c r="Q19" t="s">
        <v>1072</v>
      </c>
      <c r="R19">
        <v>10</v>
      </c>
      <c r="S19">
        <v>5</v>
      </c>
      <c r="T19">
        <v>10</v>
      </c>
      <c r="U19">
        <v>5</v>
      </c>
      <c r="V19">
        <v>10</v>
      </c>
      <c r="W19">
        <v>5</v>
      </c>
      <c r="X19">
        <v>0</v>
      </c>
      <c r="Y19">
        <v>0</v>
      </c>
      <c r="Z19">
        <v>0</v>
      </c>
      <c r="AA19">
        <v>0</v>
      </c>
      <c r="AB19">
        <v>10</v>
      </c>
      <c r="AC19">
        <v>5</v>
      </c>
      <c r="AD19">
        <v>10</v>
      </c>
      <c r="AE19">
        <v>5</v>
      </c>
      <c r="AF19">
        <v>0</v>
      </c>
      <c r="AG19">
        <v>0</v>
      </c>
      <c r="AH19">
        <v>0</v>
      </c>
      <c r="AI19">
        <v>0</v>
      </c>
      <c r="AY19" t="str">
        <f t="shared" si="0"/>
        <v>ACTI-TETRA I</v>
      </c>
      <c r="AZ19" t="str">
        <f>IF(COUNTIF(AY:AY,AY19)=1,AY19,IF(AND(COUNTIF(AY:AY,AY19)&gt;1,COUNTIF(AZ$2:AZ18,AY19)&gt;=1),"",AY19))</f>
        <v>ACTI-TETRA I</v>
      </c>
      <c r="BA19">
        <f>IF(AZ19="","",COUNTIFS(AZ$3:AZ$1439,"&lt;"&amp;AZ19,AZ$3:AZ$1439,"&lt;&gt;0")+COUNTIF(AZ$3:AZ19,AZ19)-876)</f>
        <v>10</v>
      </c>
      <c r="BC19">
        <v>17</v>
      </c>
      <c r="BD19" t="str">
        <f t="shared" si="11"/>
        <v>AIVLOSIN 625 MG/G GRANULES POUR EAU DE BOISSON POUR POULETS/DINDONS</v>
      </c>
      <c r="BE19" t="str">
        <f t="shared" si="1"/>
        <v>ORAL</v>
      </c>
      <c r="BF19" t="str">
        <f t="shared" si="2"/>
        <v>MACROLIDES</v>
      </c>
      <c r="BG19" t="str">
        <f t="shared" si="3"/>
        <v/>
      </c>
      <c r="BH19" t="str">
        <f t="shared" si="4"/>
        <v/>
      </c>
      <c r="BI19" t="str">
        <f t="shared" si="5"/>
        <v>tylvalosin</v>
      </c>
      <c r="BJ19" t="str">
        <f t="shared" si="6"/>
        <v/>
      </c>
      <c r="BK19" t="str">
        <f t="shared" si="7"/>
        <v/>
      </c>
      <c r="BL19" t="str">
        <f t="shared" si="12"/>
        <v>Tylvalosine</v>
      </c>
      <c r="BM19" t="str">
        <f t="shared" si="8"/>
        <v>Tylvalosine</v>
      </c>
      <c r="BN19" t="str">
        <f t="shared" si="9"/>
        <v/>
      </c>
      <c r="BO19" t="str">
        <f t="shared" si="10"/>
        <v/>
      </c>
      <c r="BP19" t="str">
        <f t="shared" si="13"/>
        <v>Macrolides</v>
      </c>
      <c r="BQ19" t="str">
        <f t="shared" si="14"/>
        <v>Macrolides</v>
      </c>
      <c r="BR19" t="str">
        <f t="shared" si="15"/>
        <v/>
      </c>
      <c r="BS19" t="str">
        <f t="shared" si="16"/>
        <v/>
      </c>
      <c r="BT19" s="76" t="str">
        <f t="shared" si="17"/>
        <v>Voie orale  hors prémélanges médicamenteux</v>
      </c>
      <c r="BU19" t="str">
        <f t="shared" si="18"/>
        <v/>
      </c>
      <c r="BZ19" s="109" t="s">
        <v>2535</v>
      </c>
      <c r="CA19" s="109" t="s">
        <v>157</v>
      </c>
      <c r="CB19" s="109" t="s">
        <v>140</v>
      </c>
      <c r="CG19" s="109" t="s">
        <v>151</v>
      </c>
      <c r="CI19" s="109" t="s">
        <v>189</v>
      </c>
      <c r="CJ19" s="188">
        <v>5</v>
      </c>
      <c r="CK19" s="109" t="s">
        <v>1099</v>
      </c>
      <c r="CL19" s="185" t="s">
        <v>4321</v>
      </c>
      <c r="CN19">
        <v>18</v>
      </c>
    </row>
    <row r="20" spans="1:92" x14ac:dyDescent="0.3">
      <c r="A20" s="118" t="s">
        <v>2317</v>
      </c>
      <c r="B20" t="s">
        <v>2318</v>
      </c>
      <c r="C20" t="s">
        <v>792</v>
      </c>
      <c r="D20" s="144" t="s">
        <v>764</v>
      </c>
      <c r="E20" t="s">
        <v>765</v>
      </c>
      <c r="F20" t="s">
        <v>4455</v>
      </c>
      <c r="G20" t="s">
        <v>956</v>
      </c>
      <c r="H20" t="s">
        <v>4456</v>
      </c>
      <c r="I20" t="s">
        <v>817</v>
      </c>
      <c r="J20" t="s">
        <v>928</v>
      </c>
      <c r="K20" t="s">
        <v>862</v>
      </c>
      <c r="L20" t="s">
        <v>938</v>
      </c>
      <c r="M20" t="s">
        <v>208</v>
      </c>
      <c r="N20" t="s">
        <v>2319</v>
      </c>
      <c r="O20" t="s">
        <v>771</v>
      </c>
      <c r="P20" t="s">
        <v>772</v>
      </c>
      <c r="Q20" t="s">
        <v>2320</v>
      </c>
      <c r="R20">
        <v>25</v>
      </c>
      <c r="S20">
        <v>7</v>
      </c>
      <c r="T20">
        <v>0</v>
      </c>
      <c r="U20">
        <v>0</v>
      </c>
      <c r="V20">
        <v>25</v>
      </c>
      <c r="W20">
        <v>7</v>
      </c>
      <c r="X20">
        <v>0</v>
      </c>
      <c r="Y20">
        <v>0</v>
      </c>
      <c r="Z20">
        <v>25</v>
      </c>
      <c r="AA20">
        <v>7</v>
      </c>
      <c r="AB20">
        <v>25</v>
      </c>
      <c r="AC20">
        <v>7</v>
      </c>
      <c r="AD20">
        <v>25</v>
      </c>
      <c r="AE20">
        <v>7</v>
      </c>
      <c r="AF20">
        <v>25</v>
      </c>
      <c r="AG20">
        <v>7</v>
      </c>
      <c r="AH20">
        <v>0</v>
      </c>
      <c r="AI20">
        <v>0</v>
      </c>
      <c r="AJ20" t="s">
        <v>930</v>
      </c>
      <c r="AK20" t="s">
        <v>931</v>
      </c>
      <c r="AL20" t="s">
        <v>208</v>
      </c>
      <c r="AM20" t="s">
        <v>2321</v>
      </c>
      <c r="AN20" t="s">
        <v>771</v>
      </c>
      <c r="AO20" t="s">
        <v>772</v>
      </c>
      <c r="AP20" t="s">
        <v>2322</v>
      </c>
      <c r="AY20" t="str">
        <f t="shared" si="0"/>
        <v>ADJUSOL TMP SULFA LIQUIDE 16,65 MG/ML + 83,35 MG/ML SOLUTION POUR ADMINISTRATION DANS L’EAU DE BOISSON/LAIT</v>
      </c>
      <c r="AZ20" t="str">
        <f>IF(COUNTIF(AY:AY,AY20)=1,AY20,IF(AND(COUNTIF(AY:AY,AY20)&gt;1,COUNTIF(AZ$2:AZ19,AY20)&gt;=1),"",AY20))</f>
        <v>ADJUSOL TMP SULFA LIQUIDE 16,65 MG/ML + 83,35 MG/ML SOLUTION POUR ADMINISTRATION DANS L’EAU DE BOISSON/LAIT</v>
      </c>
      <c r="BA20">
        <f>IF(AZ20="","",COUNTIFS(AZ$3:AZ$1439,"&lt;"&amp;AZ20,AZ$3:AZ$1439,"&lt;&gt;0")+COUNTIF(AZ$3:AZ20,AZ20)-876)</f>
        <v>11</v>
      </c>
      <c r="BC20">
        <v>18</v>
      </c>
      <c r="BD20" t="str">
        <f t="shared" si="11"/>
        <v>AIVLOSIN 625 MG/G GRANULES POUR L'EAU DE BOISSON POUR PORCS</v>
      </c>
      <c r="BE20" t="str">
        <f t="shared" si="1"/>
        <v>ORAL</v>
      </c>
      <c r="BF20" t="str">
        <f t="shared" si="2"/>
        <v>MACROLIDES</v>
      </c>
      <c r="BG20" t="str">
        <f t="shared" si="3"/>
        <v/>
      </c>
      <c r="BH20" t="str">
        <f t="shared" si="4"/>
        <v/>
      </c>
      <c r="BI20" t="str">
        <f t="shared" si="5"/>
        <v>tylvalosin</v>
      </c>
      <c r="BJ20" t="str">
        <f t="shared" si="6"/>
        <v/>
      </c>
      <c r="BK20" t="str">
        <f t="shared" si="7"/>
        <v/>
      </c>
      <c r="BL20" t="str">
        <f t="shared" si="12"/>
        <v>Tylvalosine</v>
      </c>
      <c r="BM20" t="str">
        <f t="shared" si="8"/>
        <v>Tylvalosine</v>
      </c>
      <c r="BN20" t="str">
        <f t="shared" si="9"/>
        <v/>
      </c>
      <c r="BO20" t="str">
        <f t="shared" si="10"/>
        <v/>
      </c>
      <c r="BP20" t="str">
        <f t="shared" si="13"/>
        <v>Macrolides</v>
      </c>
      <c r="BQ20" t="str">
        <f t="shared" si="14"/>
        <v>Macrolides</v>
      </c>
      <c r="BR20" t="str">
        <f t="shared" si="15"/>
        <v/>
      </c>
      <c r="BS20" t="str">
        <f t="shared" si="16"/>
        <v/>
      </c>
      <c r="BT20" s="76" t="str">
        <f t="shared" si="17"/>
        <v>Voie orale  hors prémélanges médicamenteux</v>
      </c>
      <c r="BU20" t="str">
        <f t="shared" si="18"/>
        <v/>
      </c>
      <c r="BZ20" s="109" t="s">
        <v>2662</v>
      </c>
      <c r="CA20" s="109" t="s">
        <v>637</v>
      </c>
      <c r="CB20" s="109" t="s">
        <v>140</v>
      </c>
      <c r="CG20" s="109" t="s">
        <v>4317</v>
      </c>
      <c r="CI20" s="109" t="s">
        <v>190</v>
      </c>
      <c r="CJ20" s="188">
        <v>6</v>
      </c>
      <c r="CK20" s="109" t="s">
        <v>1599</v>
      </c>
      <c r="CL20" s="185" t="s">
        <v>4321</v>
      </c>
      <c r="CN20">
        <v>19</v>
      </c>
    </row>
    <row r="21" spans="1:92" x14ac:dyDescent="0.3">
      <c r="A21" s="118" t="s">
        <v>2317</v>
      </c>
      <c r="B21" t="s">
        <v>2323</v>
      </c>
      <c r="C21" t="s">
        <v>796</v>
      </c>
      <c r="D21" s="144" t="s">
        <v>776</v>
      </c>
      <c r="E21" t="s">
        <v>765</v>
      </c>
      <c r="F21" t="s">
        <v>4455</v>
      </c>
      <c r="G21" t="s">
        <v>956</v>
      </c>
      <c r="H21" t="s">
        <v>4456</v>
      </c>
      <c r="I21" t="s">
        <v>817</v>
      </c>
      <c r="J21" t="s">
        <v>928</v>
      </c>
      <c r="K21" t="s">
        <v>862</v>
      </c>
      <c r="L21" t="s">
        <v>938</v>
      </c>
      <c r="M21" t="s">
        <v>208</v>
      </c>
      <c r="N21" t="s">
        <v>2319</v>
      </c>
      <c r="O21" t="s">
        <v>771</v>
      </c>
      <c r="P21" t="s">
        <v>772</v>
      </c>
      <c r="Q21" t="s">
        <v>2324</v>
      </c>
      <c r="R21">
        <v>25</v>
      </c>
      <c r="S21">
        <v>7</v>
      </c>
      <c r="T21">
        <v>0</v>
      </c>
      <c r="U21">
        <v>0</v>
      </c>
      <c r="V21">
        <v>25</v>
      </c>
      <c r="W21">
        <v>7</v>
      </c>
      <c r="X21">
        <v>0</v>
      </c>
      <c r="Y21">
        <v>0</v>
      </c>
      <c r="Z21">
        <v>25</v>
      </c>
      <c r="AA21">
        <v>7</v>
      </c>
      <c r="AB21">
        <v>25</v>
      </c>
      <c r="AC21">
        <v>7</v>
      </c>
      <c r="AD21">
        <v>25</v>
      </c>
      <c r="AE21">
        <v>7</v>
      </c>
      <c r="AF21">
        <v>25</v>
      </c>
      <c r="AG21">
        <v>7</v>
      </c>
      <c r="AH21">
        <v>0</v>
      </c>
      <c r="AI21">
        <v>0</v>
      </c>
      <c r="AJ21" t="s">
        <v>930</v>
      </c>
      <c r="AK21" t="s">
        <v>931</v>
      </c>
      <c r="AL21" t="s">
        <v>208</v>
      </c>
      <c r="AM21" t="s">
        <v>2321</v>
      </c>
      <c r="AN21" t="s">
        <v>771</v>
      </c>
      <c r="AO21" t="s">
        <v>772</v>
      </c>
      <c r="AP21" t="s">
        <v>2325</v>
      </c>
      <c r="AY21" t="str">
        <f t="shared" si="0"/>
        <v>ADJUSOL TMP SULFA LIQUIDE 16,65 MG/ML + 83,35 MG/ML SOLUTION POUR ADMINISTRATION DANS L’EAU DE BOISSON/LAIT</v>
      </c>
      <c r="AZ21" t="str">
        <f>IF(COUNTIF(AY:AY,AY21)=1,AY21,IF(AND(COUNTIF(AY:AY,AY21)&gt;1,COUNTIF(AZ$2:AZ20,AY21)&gt;=1),"",AY21))</f>
        <v/>
      </c>
      <c r="BA21" t="str">
        <f>IF(AZ21="","",COUNTIFS(AZ$3:AZ$1439,"&lt;"&amp;AZ21,AZ$3:AZ$1439,"&lt;&gt;0")+COUNTIF(AZ$3:AZ21,AZ21)-876)</f>
        <v/>
      </c>
      <c r="BC21">
        <v>19</v>
      </c>
      <c r="BD21" t="str">
        <f t="shared" si="11"/>
        <v>AIVLOSIN 8,5 MG/G PREMELANGE MEDICAMENTEUX POUR PORCS</v>
      </c>
      <c r="BE21" t="str">
        <f t="shared" si="1"/>
        <v>PM</v>
      </c>
      <c r="BF21" t="str">
        <f t="shared" si="2"/>
        <v>MACROLIDES</v>
      </c>
      <c r="BG21" t="str">
        <f t="shared" si="3"/>
        <v/>
      </c>
      <c r="BH21" t="str">
        <f t="shared" si="4"/>
        <v/>
      </c>
      <c r="BI21" t="str">
        <f t="shared" si="5"/>
        <v>tylvalosin</v>
      </c>
      <c r="BJ21" t="str">
        <f t="shared" si="6"/>
        <v/>
      </c>
      <c r="BK21" t="str">
        <f t="shared" si="7"/>
        <v/>
      </c>
      <c r="BL21" t="str">
        <f t="shared" si="12"/>
        <v>Tylvalosine</v>
      </c>
      <c r="BM21" t="str">
        <f t="shared" si="8"/>
        <v>Tylvalosine</v>
      </c>
      <c r="BN21" t="str">
        <f t="shared" si="9"/>
        <v/>
      </c>
      <c r="BO21" t="str">
        <f t="shared" si="10"/>
        <v/>
      </c>
      <c r="BP21" t="str">
        <f t="shared" si="13"/>
        <v>Macrolides</v>
      </c>
      <c r="BQ21" t="str">
        <f t="shared" si="14"/>
        <v>Macrolides</v>
      </c>
      <c r="BR21" t="str">
        <f t="shared" si="15"/>
        <v/>
      </c>
      <c r="BS21" t="str">
        <f t="shared" si="16"/>
        <v/>
      </c>
      <c r="BT21" s="76" t="str">
        <f t="shared" si="17"/>
        <v>Prémélanges médicamenteux</v>
      </c>
      <c r="BU21" t="str">
        <f t="shared" si="18"/>
        <v/>
      </c>
      <c r="BZ21" s="109" t="s">
        <v>945</v>
      </c>
      <c r="CA21" s="109" t="s">
        <v>4</v>
      </c>
      <c r="CB21" s="109" t="s">
        <v>8</v>
      </c>
      <c r="CG21" s="109" t="s">
        <v>184</v>
      </c>
      <c r="CI21" s="109" t="s">
        <v>191</v>
      </c>
      <c r="CJ21" s="188">
        <v>7</v>
      </c>
      <c r="CK21" s="109" t="s">
        <v>1037</v>
      </c>
      <c r="CL21" s="185" t="s">
        <v>4321</v>
      </c>
      <c r="CN21">
        <v>20</v>
      </c>
    </row>
    <row r="22" spans="1:92" x14ac:dyDescent="0.3">
      <c r="A22" s="118" t="s">
        <v>2317</v>
      </c>
      <c r="B22" t="s">
        <v>2326</v>
      </c>
      <c r="C22" t="s">
        <v>2327</v>
      </c>
      <c r="D22" s="144" t="s">
        <v>902</v>
      </c>
      <c r="E22" t="s">
        <v>765</v>
      </c>
      <c r="F22" t="s">
        <v>4455</v>
      </c>
      <c r="G22" t="s">
        <v>956</v>
      </c>
      <c r="H22" t="s">
        <v>4456</v>
      </c>
      <c r="I22" t="s">
        <v>817</v>
      </c>
      <c r="J22" t="s">
        <v>928</v>
      </c>
      <c r="K22" t="s">
        <v>862</v>
      </c>
      <c r="L22" t="s">
        <v>938</v>
      </c>
      <c r="M22" t="s">
        <v>208</v>
      </c>
      <c r="N22" t="s">
        <v>2319</v>
      </c>
      <c r="O22" t="s">
        <v>771</v>
      </c>
      <c r="P22" t="s">
        <v>772</v>
      </c>
      <c r="Q22" t="s">
        <v>2328</v>
      </c>
      <c r="R22">
        <v>25</v>
      </c>
      <c r="S22">
        <v>7</v>
      </c>
      <c r="T22">
        <v>0</v>
      </c>
      <c r="U22">
        <v>0</v>
      </c>
      <c r="V22">
        <v>25</v>
      </c>
      <c r="W22">
        <v>7</v>
      </c>
      <c r="X22">
        <v>0</v>
      </c>
      <c r="Y22">
        <v>0</v>
      </c>
      <c r="Z22">
        <v>25</v>
      </c>
      <c r="AA22">
        <v>7</v>
      </c>
      <c r="AB22">
        <v>25</v>
      </c>
      <c r="AC22">
        <v>7</v>
      </c>
      <c r="AD22">
        <v>25</v>
      </c>
      <c r="AE22">
        <v>7</v>
      </c>
      <c r="AF22">
        <v>25</v>
      </c>
      <c r="AG22">
        <v>7</v>
      </c>
      <c r="AH22">
        <v>0</v>
      </c>
      <c r="AI22">
        <v>0</v>
      </c>
      <c r="AJ22" t="s">
        <v>930</v>
      </c>
      <c r="AK22" t="s">
        <v>931</v>
      </c>
      <c r="AL22" t="s">
        <v>208</v>
      </c>
      <c r="AM22" t="s">
        <v>2321</v>
      </c>
      <c r="AN22" t="s">
        <v>771</v>
      </c>
      <c r="AO22" t="s">
        <v>772</v>
      </c>
      <c r="AP22" t="s">
        <v>1272</v>
      </c>
      <c r="AY22" t="str">
        <f t="shared" si="0"/>
        <v>ADJUSOL TMP SULFA LIQUIDE 16,65 MG/ML + 83,35 MG/ML SOLUTION POUR ADMINISTRATION DANS L’EAU DE BOISSON/LAIT</v>
      </c>
      <c r="AZ22" t="str">
        <f>IF(COUNTIF(AY:AY,AY22)=1,AY22,IF(AND(COUNTIF(AY:AY,AY22)&gt;1,COUNTIF(AZ$2:AZ21,AY22)&gt;=1),"",AY22))</f>
        <v/>
      </c>
      <c r="BA22" t="str">
        <f>IF(AZ22="","",COUNTIFS(AZ$3:AZ$1439,"&lt;"&amp;AZ22,AZ$3:AZ$1439,"&lt;&gt;0")+COUNTIF(AZ$3:AZ22,AZ22)-876)</f>
        <v/>
      </c>
      <c r="BC22">
        <v>20</v>
      </c>
      <c r="BD22" t="str">
        <f t="shared" si="11"/>
        <v>ALBIOTIC 330 MG /100 MG SOLUTION INTRAMAMMAIRE</v>
      </c>
      <c r="BE22" t="str">
        <f t="shared" si="1"/>
        <v>INTRAMAM</v>
      </c>
      <c r="BF22" t="str">
        <f t="shared" si="2"/>
        <v>LINCOSAMIDES</v>
      </c>
      <c r="BG22" t="str">
        <f t="shared" si="3"/>
        <v>AMINOGLYCOSIDES</v>
      </c>
      <c r="BH22" t="str">
        <f t="shared" si="4"/>
        <v/>
      </c>
      <c r="BI22" t="str">
        <f t="shared" si="5"/>
        <v>lincomycin</v>
      </c>
      <c r="BJ22" t="str">
        <f t="shared" si="6"/>
        <v>neomycin</v>
      </c>
      <c r="BK22" t="str">
        <f t="shared" si="7"/>
        <v/>
      </c>
      <c r="BL22" t="str">
        <f t="shared" si="12"/>
        <v>Lincomycine + Néomycine</v>
      </c>
      <c r="BM22" t="str">
        <f t="shared" si="8"/>
        <v>Lincomycine</v>
      </c>
      <c r="BN22" t="str">
        <f t="shared" si="9"/>
        <v>Néomycine</v>
      </c>
      <c r="BO22" t="str">
        <f t="shared" si="10"/>
        <v/>
      </c>
      <c r="BP22" t="str">
        <f t="shared" si="13"/>
        <v>Lincosamides + Aminoglycosides</v>
      </c>
      <c r="BQ22" t="str">
        <f t="shared" si="14"/>
        <v>Lincosamides</v>
      </c>
      <c r="BR22" t="str">
        <f t="shared" si="15"/>
        <v>Aminoglycosides</v>
      </c>
      <c r="BS22" t="str">
        <f t="shared" si="16"/>
        <v/>
      </c>
      <c r="BT22" s="76" t="str">
        <f t="shared" si="17"/>
        <v>Voie intramammaire</v>
      </c>
      <c r="BU22" t="str">
        <f t="shared" si="18"/>
        <v/>
      </c>
      <c r="BZ22" s="109" t="s">
        <v>2121</v>
      </c>
      <c r="CA22" s="109" t="s">
        <v>57</v>
      </c>
      <c r="CB22" s="109" t="s">
        <v>4300</v>
      </c>
      <c r="CG22" s="110" t="s">
        <v>53</v>
      </c>
      <c r="CI22" s="109" t="s">
        <v>192</v>
      </c>
      <c r="CJ22" s="188">
        <v>8</v>
      </c>
      <c r="CK22" s="109" t="s">
        <v>1192</v>
      </c>
      <c r="CL22" s="185" t="s">
        <v>4321</v>
      </c>
      <c r="CN22">
        <v>21</v>
      </c>
    </row>
    <row r="23" spans="1:92" x14ac:dyDescent="0.3">
      <c r="A23" s="118" t="s">
        <v>2317</v>
      </c>
      <c r="B23" t="s">
        <v>2329</v>
      </c>
      <c r="C23" t="s">
        <v>2330</v>
      </c>
      <c r="D23" s="144" t="s">
        <v>955</v>
      </c>
      <c r="E23" t="s">
        <v>765</v>
      </c>
      <c r="F23" t="s">
        <v>4455</v>
      </c>
      <c r="G23" t="s">
        <v>956</v>
      </c>
      <c r="H23" t="s">
        <v>4456</v>
      </c>
      <c r="I23" t="s">
        <v>817</v>
      </c>
      <c r="J23" t="s">
        <v>928</v>
      </c>
      <c r="K23" t="s">
        <v>862</v>
      </c>
      <c r="L23" t="s">
        <v>938</v>
      </c>
      <c r="M23" t="s">
        <v>208</v>
      </c>
      <c r="N23" t="s">
        <v>2319</v>
      </c>
      <c r="O23" t="s">
        <v>771</v>
      </c>
      <c r="P23" t="s">
        <v>772</v>
      </c>
      <c r="Q23" t="s">
        <v>2331</v>
      </c>
      <c r="R23">
        <v>25</v>
      </c>
      <c r="S23">
        <v>7</v>
      </c>
      <c r="T23">
        <v>0</v>
      </c>
      <c r="U23">
        <v>0</v>
      </c>
      <c r="V23">
        <v>25</v>
      </c>
      <c r="W23">
        <v>7</v>
      </c>
      <c r="X23">
        <v>0</v>
      </c>
      <c r="Y23">
        <v>0</v>
      </c>
      <c r="Z23">
        <v>25</v>
      </c>
      <c r="AA23">
        <v>7</v>
      </c>
      <c r="AB23">
        <v>25</v>
      </c>
      <c r="AC23">
        <v>7</v>
      </c>
      <c r="AD23">
        <v>25</v>
      </c>
      <c r="AE23">
        <v>7</v>
      </c>
      <c r="AF23">
        <v>25</v>
      </c>
      <c r="AG23">
        <v>7</v>
      </c>
      <c r="AH23">
        <v>0</v>
      </c>
      <c r="AI23">
        <v>0</v>
      </c>
      <c r="AJ23" t="s">
        <v>930</v>
      </c>
      <c r="AK23" t="s">
        <v>931</v>
      </c>
      <c r="AL23" t="s">
        <v>208</v>
      </c>
      <c r="AM23" t="s">
        <v>2321</v>
      </c>
      <c r="AN23" t="s">
        <v>771</v>
      </c>
      <c r="AO23" t="s">
        <v>772</v>
      </c>
      <c r="AP23" t="s">
        <v>2332</v>
      </c>
      <c r="AY23" t="str">
        <f t="shared" si="0"/>
        <v>ADJUSOL TMP SULFA LIQUIDE 16,65 MG/ML + 83,35 MG/ML SOLUTION POUR ADMINISTRATION DANS L’EAU DE BOISSON/LAIT</v>
      </c>
      <c r="AZ23" t="str">
        <f>IF(COUNTIF(AY:AY,AY23)=1,AY23,IF(AND(COUNTIF(AY:AY,AY23)&gt;1,COUNTIF(AZ$2:AZ22,AY23)&gt;=1),"",AY23))</f>
        <v/>
      </c>
      <c r="BA23" t="str">
        <f>IF(AZ23="","",COUNTIFS(AZ$3:AZ$1439,"&lt;"&amp;AZ23,AZ$3:AZ$1439,"&lt;&gt;0")+COUNTIF(AZ$3:AZ23,AZ23)-876)</f>
        <v/>
      </c>
      <c r="BC23">
        <v>21</v>
      </c>
      <c r="BD23" t="str">
        <f t="shared" si="11"/>
        <v>ALLEGROCINE</v>
      </c>
      <c r="BE23" t="str">
        <f t="shared" si="1"/>
        <v>INJ</v>
      </c>
      <c r="BF23" t="str">
        <f t="shared" si="2"/>
        <v>PENICILLINES</v>
      </c>
      <c r="BG23" t="str">
        <f t="shared" si="3"/>
        <v>POLYPEPTIDES</v>
      </c>
      <c r="BH23" t="str">
        <f t="shared" si="4"/>
        <v/>
      </c>
      <c r="BI23" t="str">
        <f t="shared" si="5"/>
        <v>ampicillin</v>
      </c>
      <c r="BJ23" t="str">
        <f t="shared" si="6"/>
        <v>colistin</v>
      </c>
      <c r="BK23" t="str">
        <f t="shared" si="7"/>
        <v/>
      </c>
      <c r="BL23" t="str">
        <f t="shared" si="12"/>
        <v>Ampicilline + Colistine</v>
      </c>
      <c r="BM23" t="str">
        <f t="shared" si="8"/>
        <v>Ampicilline</v>
      </c>
      <c r="BN23" t="str">
        <f t="shared" si="9"/>
        <v>Colistine</v>
      </c>
      <c r="BO23" t="str">
        <f t="shared" si="10"/>
        <v/>
      </c>
      <c r="BP23" t="str">
        <f t="shared" si="13"/>
        <v>Penicillines + Polypeptides</v>
      </c>
      <c r="BQ23" t="str">
        <f t="shared" si="14"/>
        <v>Penicillines</v>
      </c>
      <c r="BR23" t="str">
        <f t="shared" si="15"/>
        <v>Polypeptides</v>
      </c>
      <c r="BS23" t="str">
        <f t="shared" si="16"/>
        <v/>
      </c>
      <c r="BT23" s="76" t="str">
        <f t="shared" si="17"/>
        <v>Voie parentérale</v>
      </c>
      <c r="BU23" t="str">
        <f t="shared" si="18"/>
        <v>x</v>
      </c>
      <c r="BZ23" s="109" t="s">
        <v>2367</v>
      </c>
      <c r="CA23" s="109" t="s">
        <v>67</v>
      </c>
      <c r="CB23" s="109" t="s">
        <v>140</v>
      </c>
      <c r="CI23" s="109" t="s">
        <v>193</v>
      </c>
      <c r="CJ23" s="188">
        <v>9</v>
      </c>
      <c r="CK23" s="109" t="s">
        <v>1500</v>
      </c>
      <c r="CL23" s="185" t="s">
        <v>4321</v>
      </c>
      <c r="CN23">
        <v>22</v>
      </c>
    </row>
    <row r="24" spans="1:92" x14ac:dyDescent="0.3">
      <c r="A24" s="118" t="s">
        <v>2868</v>
      </c>
      <c r="B24" t="s">
        <v>2869</v>
      </c>
      <c r="C24" t="s">
        <v>2510</v>
      </c>
      <c r="D24" s="144" t="s">
        <v>780</v>
      </c>
      <c r="E24" t="s">
        <v>765</v>
      </c>
      <c r="F24" t="s">
        <v>225</v>
      </c>
      <c r="G24" t="s">
        <v>766</v>
      </c>
      <c r="H24" t="s">
        <v>801</v>
      </c>
      <c r="I24" t="s">
        <v>766</v>
      </c>
      <c r="J24" t="s">
        <v>2366</v>
      </c>
      <c r="K24" t="s">
        <v>2366</v>
      </c>
      <c r="L24" t="s">
        <v>2535</v>
      </c>
      <c r="M24" t="s">
        <v>208</v>
      </c>
      <c r="N24" t="s">
        <v>1442</v>
      </c>
      <c r="O24" t="s">
        <v>771</v>
      </c>
      <c r="P24" t="s">
        <v>772</v>
      </c>
      <c r="Q24" t="s">
        <v>2870</v>
      </c>
      <c r="R24">
        <v>6</v>
      </c>
      <c r="S24">
        <v>1</v>
      </c>
      <c r="T24">
        <v>0</v>
      </c>
      <c r="U24">
        <v>0</v>
      </c>
      <c r="V24">
        <v>0</v>
      </c>
      <c r="W24">
        <v>0</v>
      </c>
      <c r="X24">
        <v>0</v>
      </c>
      <c r="Y24">
        <v>0</v>
      </c>
      <c r="Z24">
        <v>0</v>
      </c>
      <c r="AA24">
        <v>0</v>
      </c>
      <c r="AB24">
        <v>0</v>
      </c>
      <c r="AC24">
        <v>0</v>
      </c>
      <c r="AD24">
        <v>1.25</v>
      </c>
      <c r="AE24">
        <v>3</v>
      </c>
      <c r="AF24">
        <v>0</v>
      </c>
      <c r="AG24">
        <v>0</v>
      </c>
      <c r="AH24">
        <v>0</v>
      </c>
      <c r="AI24">
        <v>0</v>
      </c>
      <c r="AY24" t="str">
        <f t="shared" si="0"/>
        <v>ADVOCINE 180, 180 MG/ML, SOLUTION INJECTABLE POUR BOVINS</v>
      </c>
      <c r="AZ24" t="str">
        <f>IF(COUNTIF(AY:AY,AY24)=1,AY24,IF(AND(COUNTIF(AY:AY,AY24)&gt;1,COUNTIF(AZ$2:AZ23,AY24)&gt;=1),"",AY24))</f>
        <v>ADVOCINE 180, 180 MG/ML, SOLUTION INJECTABLE POUR BOVINS</v>
      </c>
      <c r="BA24">
        <f>IF(AZ24="","",COUNTIFS(AZ$3:AZ$1439,"&lt;"&amp;AZ24,AZ$3:AZ$1439,"&lt;&gt;0")+COUNTIF(AZ$3:AZ24,AZ24)-876)</f>
        <v>12</v>
      </c>
      <c r="BC24">
        <v>22</v>
      </c>
      <c r="BD24" t="str">
        <f t="shared" si="11"/>
        <v>ALTIDOX 433 MG/G POUDRE POUR ADMINISTRATION DANS L'EAU DE BOISSON POUR PORCS, POULES ET DINDES</v>
      </c>
      <c r="BE24" t="str">
        <f t="shared" si="1"/>
        <v>ORAL</v>
      </c>
      <c r="BF24" t="str">
        <f t="shared" si="2"/>
        <v>TETRACYCLINES</v>
      </c>
      <c r="BG24" t="str">
        <f t="shared" si="3"/>
        <v/>
      </c>
      <c r="BH24" t="str">
        <f t="shared" si="4"/>
        <v/>
      </c>
      <c r="BI24" t="str">
        <f t="shared" si="5"/>
        <v>doxycycline</v>
      </c>
      <c r="BJ24" t="str">
        <f t="shared" si="6"/>
        <v/>
      </c>
      <c r="BK24" t="str">
        <f t="shared" si="7"/>
        <v/>
      </c>
      <c r="BL24" t="str">
        <f t="shared" si="12"/>
        <v>Doxycycline</v>
      </c>
      <c r="BM24" t="str">
        <f t="shared" si="8"/>
        <v>Doxycycline</v>
      </c>
      <c r="BN24" t="str">
        <f t="shared" si="9"/>
        <v/>
      </c>
      <c r="BO24" t="str">
        <f t="shared" si="10"/>
        <v/>
      </c>
      <c r="BP24" t="str">
        <f t="shared" si="13"/>
        <v>Tetracyclines</v>
      </c>
      <c r="BQ24" t="str">
        <f t="shared" si="14"/>
        <v>Tetracyclines</v>
      </c>
      <c r="BR24" t="str">
        <f t="shared" si="15"/>
        <v/>
      </c>
      <c r="BS24" t="str">
        <f t="shared" si="16"/>
        <v/>
      </c>
      <c r="BT24" s="76" t="str">
        <f t="shared" si="17"/>
        <v>Voie orale  hors prémélanges médicamenteux</v>
      </c>
      <c r="BU24" t="str">
        <f t="shared" si="18"/>
        <v/>
      </c>
      <c r="BZ24" s="109" t="s">
        <v>1429</v>
      </c>
      <c r="CA24" s="109" t="s">
        <v>21</v>
      </c>
      <c r="CB24" s="109" t="s">
        <v>19</v>
      </c>
      <c r="CI24" s="109" t="s">
        <v>194</v>
      </c>
      <c r="CJ24" s="188">
        <v>10</v>
      </c>
      <c r="CK24" s="109" t="s">
        <v>4067</v>
      </c>
      <c r="CL24" s="185" t="s">
        <v>4321</v>
      </c>
      <c r="CN24">
        <v>23</v>
      </c>
    </row>
    <row r="25" spans="1:92" x14ac:dyDescent="0.3">
      <c r="A25" s="118" t="s">
        <v>2868</v>
      </c>
      <c r="B25" t="s">
        <v>2871</v>
      </c>
      <c r="C25" t="s">
        <v>2590</v>
      </c>
      <c r="D25" s="144" t="s">
        <v>764</v>
      </c>
      <c r="E25" t="s">
        <v>765</v>
      </c>
      <c r="F25" t="s">
        <v>225</v>
      </c>
      <c r="G25" t="s">
        <v>766</v>
      </c>
      <c r="H25" t="s">
        <v>801</v>
      </c>
      <c r="I25" t="s">
        <v>766</v>
      </c>
      <c r="J25" t="s">
        <v>2366</v>
      </c>
      <c r="K25" t="s">
        <v>2366</v>
      </c>
      <c r="L25" t="s">
        <v>2535</v>
      </c>
      <c r="M25" t="s">
        <v>208</v>
      </c>
      <c r="N25" t="s">
        <v>1442</v>
      </c>
      <c r="O25" t="s">
        <v>771</v>
      </c>
      <c r="P25" t="s">
        <v>772</v>
      </c>
      <c r="Q25" t="s">
        <v>1184</v>
      </c>
      <c r="R25">
        <v>6</v>
      </c>
      <c r="S25">
        <v>1</v>
      </c>
      <c r="T25">
        <v>0</v>
      </c>
      <c r="U25">
        <v>0</v>
      </c>
      <c r="V25">
        <v>0</v>
      </c>
      <c r="W25">
        <v>0</v>
      </c>
      <c r="X25">
        <v>0</v>
      </c>
      <c r="Y25">
        <v>0</v>
      </c>
      <c r="Z25">
        <v>0</v>
      </c>
      <c r="AA25">
        <v>0</v>
      </c>
      <c r="AB25">
        <v>0</v>
      </c>
      <c r="AC25">
        <v>0</v>
      </c>
      <c r="AD25">
        <v>1.25</v>
      </c>
      <c r="AE25">
        <v>3</v>
      </c>
      <c r="AF25">
        <v>0</v>
      </c>
      <c r="AG25">
        <v>0</v>
      </c>
      <c r="AH25">
        <v>0</v>
      </c>
      <c r="AI25">
        <v>0</v>
      </c>
      <c r="AY25" t="str">
        <f t="shared" si="0"/>
        <v>ADVOCINE 180, 180 MG/ML, SOLUTION INJECTABLE POUR BOVINS</v>
      </c>
      <c r="AZ25" t="str">
        <f>IF(COUNTIF(AY:AY,AY25)=1,AY25,IF(AND(COUNTIF(AY:AY,AY25)&gt;1,COUNTIF(AZ$2:AZ24,AY25)&gt;=1),"",AY25))</f>
        <v/>
      </c>
      <c r="BA25" t="str">
        <f>IF(AZ25="","",COUNTIFS(AZ$3:AZ$1439,"&lt;"&amp;AZ25,AZ$3:AZ$1439,"&lt;&gt;0")+COUNTIF(AZ$3:AZ25,AZ25)-876)</f>
        <v/>
      </c>
      <c r="BC25">
        <v>23</v>
      </c>
      <c r="BD25" t="str">
        <f t="shared" si="11"/>
        <v>AMATIB 697 MG/G POUDRE ORALE POUR PORCS ET POULES</v>
      </c>
      <c r="BE25" t="str">
        <f t="shared" si="1"/>
        <v>ORAL</v>
      </c>
      <c r="BF25" t="str">
        <f t="shared" si="2"/>
        <v>PENICILLINES</v>
      </c>
      <c r="BG25" t="str">
        <f t="shared" si="3"/>
        <v/>
      </c>
      <c r="BH25" t="str">
        <f t="shared" si="4"/>
        <v/>
      </c>
      <c r="BI25" t="str">
        <f t="shared" si="5"/>
        <v>amoxicillin</v>
      </c>
      <c r="BJ25" t="str">
        <f t="shared" si="6"/>
        <v/>
      </c>
      <c r="BK25" t="str">
        <f t="shared" si="7"/>
        <v/>
      </c>
      <c r="BL25" t="str">
        <f t="shared" si="12"/>
        <v>Amoxicilline</v>
      </c>
      <c r="BM25" t="str">
        <f t="shared" si="8"/>
        <v>Amoxicilline</v>
      </c>
      <c r="BN25" t="str">
        <f t="shared" si="9"/>
        <v/>
      </c>
      <c r="BO25" t="str">
        <f t="shared" si="10"/>
        <v/>
      </c>
      <c r="BP25" t="str">
        <f t="shared" si="13"/>
        <v>Penicillines</v>
      </c>
      <c r="BQ25" t="str">
        <f t="shared" si="14"/>
        <v>Penicillines</v>
      </c>
      <c r="BR25" t="str">
        <f t="shared" si="15"/>
        <v/>
      </c>
      <c r="BS25" t="str">
        <f t="shared" si="16"/>
        <v/>
      </c>
      <c r="BT25" s="76" t="str">
        <f t="shared" si="17"/>
        <v>Voie orale  hors prémélanges médicamenteux</v>
      </c>
      <c r="BU25" t="str">
        <f t="shared" si="18"/>
        <v/>
      </c>
      <c r="BZ25" s="109" t="s">
        <v>2511</v>
      </c>
      <c r="CA25" s="109" t="s">
        <v>5</v>
      </c>
      <c r="CB25" s="109" t="s">
        <v>4299</v>
      </c>
      <c r="CI25" s="109" t="s">
        <v>195</v>
      </c>
      <c r="CJ25" s="188">
        <v>11</v>
      </c>
      <c r="CK25" s="109" t="s">
        <v>1065</v>
      </c>
      <c r="CL25" s="185" t="s">
        <v>4321</v>
      </c>
      <c r="CN25">
        <v>24</v>
      </c>
    </row>
    <row r="26" spans="1:92" x14ac:dyDescent="0.3">
      <c r="A26" s="118" t="s">
        <v>2868</v>
      </c>
      <c r="B26" t="s">
        <v>4500</v>
      </c>
      <c r="C26" t="s">
        <v>1238</v>
      </c>
      <c r="D26" s="144" t="s">
        <v>780</v>
      </c>
      <c r="E26" t="s">
        <v>765</v>
      </c>
      <c r="F26" t="s">
        <v>225</v>
      </c>
      <c r="G26" t="s">
        <v>766</v>
      </c>
      <c r="H26" t="s">
        <v>801</v>
      </c>
      <c r="I26" t="s">
        <v>766</v>
      </c>
      <c r="J26" t="s">
        <v>2366</v>
      </c>
      <c r="K26" t="s">
        <v>2366</v>
      </c>
      <c r="L26" t="s">
        <v>2535</v>
      </c>
      <c r="M26" t="s">
        <v>208</v>
      </c>
      <c r="N26" t="s">
        <v>1442</v>
      </c>
      <c r="O26" t="s">
        <v>771</v>
      </c>
      <c r="P26" t="s">
        <v>772</v>
      </c>
      <c r="Q26" t="s">
        <v>2870</v>
      </c>
      <c r="R26">
        <v>6</v>
      </c>
      <c r="S26">
        <v>1</v>
      </c>
      <c r="T26">
        <v>0</v>
      </c>
      <c r="U26">
        <v>0</v>
      </c>
      <c r="V26">
        <v>0</v>
      </c>
      <c r="W26">
        <v>0</v>
      </c>
      <c r="X26">
        <v>0</v>
      </c>
      <c r="Y26">
        <v>0</v>
      </c>
      <c r="Z26">
        <v>0</v>
      </c>
      <c r="AA26">
        <v>0</v>
      </c>
      <c r="AB26">
        <v>0</v>
      </c>
      <c r="AC26">
        <v>0</v>
      </c>
      <c r="AD26">
        <v>1.25</v>
      </c>
      <c r="AE26">
        <v>3</v>
      </c>
      <c r="AF26">
        <v>0</v>
      </c>
      <c r="AG26">
        <v>0</v>
      </c>
      <c r="AH26">
        <v>0</v>
      </c>
      <c r="AI26">
        <v>0</v>
      </c>
      <c r="AY26" t="str">
        <f t="shared" si="0"/>
        <v>ADVOCINE 180, 180 MG/ML, SOLUTION INJECTABLE POUR BOVINS</v>
      </c>
      <c r="AZ26" t="str">
        <f>IF(COUNTIF(AY:AY,AY26)=1,AY26,IF(AND(COUNTIF(AY:AY,AY26)&gt;1,COUNTIF(AZ$2:AZ25,AY26)&gt;=1),"",AY26))</f>
        <v/>
      </c>
      <c r="BA26" t="str">
        <f>IF(AZ26="","",COUNTIFS(AZ$3:AZ$1439,"&lt;"&amp;AZ26,AZ$3:AZ$1439,"&lt;&gt;0")+COUNTIF(AZ$3:AZ26,AZ26)-876)</f>
        <v/>
      </c>
      <c r="BC26">
        <v>24</v>
      </c>
      <c r="BD26" t="str">
        <f t="shared" si="11"/>
        <v>AMDOCYL 697 MG/G POUDRE ORALE POUR PORCS ET POULETS</v>
      </c>
      <c r="BE26" t="str">
        <f t="shared" si="1"/>
        <v>ORAL</v>
      </c>
      <c r="BF26" t="str">
        <f t="shared" si="2"/>
        <v>PENICILLINES</v>
      </c>
      <c r="BG26" t="str">
        <f t="shared" si="3"/>
        <v/>
      </c>
      <c r="BH26" t="str">
        <f t="shared" si="4"/>
        <v/>
      </c>
      <c r="BI26" t="str">
        <f t="shared" si="5"/>
        <v>amoxicillin</v>
      </c>
      <c r="BJ26" t="str">
        <f t="shared" si="6"/>
        <v/>
      </c>
      <c r="BK26" t="str">
        <f t="shared" si="7"/>
        <v/>
      </c>
      <c r="BL26" t="str">
        <f t="shared" si="12"/>
        <v>Amoxicilline</v>
      </c>
      <c r="BM26" t="str">
        <f t="shared" si="8"/>
        <v>Amoxicilline</v>
      </c>
      <c r="BN26" t="str">
        <f t="shared" si="9"/>
        <v/>
      </c>
      <c r="BO26" t="str">
        <f t="shared" si="10"/>
        <v/>
      </c>
      <c r="BP26" t="str">
        <f t="shared" si="13"/>
        <v>Penicillines</v>
      </c>
      <c r="BQ26" t="str">
        <f t="shared" si="14"/>
        <v>Penicillines</v>
      </c>
      <c r="BR26" t="str">
        <f t="shared" si="15"/>
        <v/>
      </c>
      <c r="BS26" t="str">
        <f t="shared" si="16"/>
        <v/>
      </c>
      <c r="BT26" s="76" t="str">
        <f t="shared" si="17"/>
        <v>Voie orale  hors prémélanges médicamenteux</v>
      </c>
      <c r="BU26" t="str">
        <f t="shared" si="18"/>
        <v/>
      </c>
      <c r="BZ26" s="109" t="s">
        <v>1938</v>
      </c>
      <c r="CA26" s="109" t="s">
        <v>92</v>
      </c>
      <c r="CB26" s="109" t="s">
        <v>141</v>
      </c>
      <c r="CI26" s="110" t="s">
        <v>196</v>
      </c>
      <c r="CJ26" s="188">
        <v>12</v>
      </c>
      <c r="CK26" s="109" t="s">
        <v>1408</v>
      </c>
      <c r="CL26" s="185" t="s">
        <v>4321</v>
      </c>
      <c r="CN26">
        <v>25</v>
      </c>
    </row>
    <row r="27" spans="1:92" x14ac:dyDescent="0.3">
      <c r="A27" s="118" t="s">
        <v>2868</v>
      </c>
      <c r="B27" t="s">
        <v>4501</v>
      </c>
      <c r="C27" t="s">
        <v>792</v>
      </c>
      <c r="D27" s="144" t="s">
        <v>764</v>
      </c>
      <c r="E27" t="s">
        <v>765</v>
      </c>
      <c r="F27" t="s">
        <v>225</v>
      </c>
      <c r="G27" t="s">
        <v>766</v>
      </c>
      <c r="H27" t="s">
        <v>801</v>
      </c>
      <c r="I27" t="s">
        <v>766</v>
      </c>
      <c r="J27" t="s">
        <v>2366</v>
      </c>
      <c r="K27" t="s">
        <v>2366</v>
      </c>
      <c r="L27" t="s">
        <v>2535</v>
      </c>
      <c r="M27" t="s">
        <v>208</v>
      </c>
      <c r="N27" t="s">
        <v>1442</v>
      </c>
      <c r="O27" t="s">
        <v>771</v>
      </c>
      <c r="P27" t="s">
        <v>772</v>
      </c>
      <c r="Q27" t="s">
        <v>1184</v>
      </c>
      <c r="R27">
        <v>6</v>
      </c>
      <c r="S27">
        <v>1</v>
      </c>
      <c r="T27">
        <v>0</v>
      </c>
      <c r="U27">
        <v>0</v>
      </c>
      <c r="V27">
        <v>0</v>
      </c>
      <c r="W27">
        <v>0</v>
      </c>
      <c r="X27">
        <v>0</v>
      </c>
      <c r="Y27">
        <v>0</v>
      </c>
      <c r="Z27">
        <v>0</v>
      </c>
      <c r="AA27">
        <v>0</v>
      </c>
      <c r="AB27">
        <v>0</v>
      </c>
      <c r="AC27">
        <v>0</v>
      </c>
      <c r="AD27">
        <v>1.25</v>
      </c>
      <c r="AE27">
        <v>3</v>
      </c>
      <c r="AF27">
        <v>0</v>
      </c>
      <c r="AG27">
        <v>0</v>
      </c>
      <c r="AH27">
        <v>0</v>
      </c>
      <c r="AI27">
        <v>0</v>
      </c>
      <c r="AY27" t="str">
        <f t="shared" si="0"/>
        <v>ADVOCINE 180, 180 MG/ML, SOLUTION INJECTABLE POUR BOVINS</v>
      </c>
      <c r="AZ27" t="str">
        <f>IF(COUNTIF(AY:AY,AY27)=1,AY27,IF(AND(COUNTIF(AY:AY,AY27)&gt;1,COUNTIF(AZ$2:AZ26,AY27)&gt;=1),"",AY27))</f>
        <v/>
      </c>
      <c r="BA27" t="str">
        <f>IF(AZ27="","",COUNTIFS(AZ$3:AZ$1439,"&lt;"&amp;AZ27,AZ$3:AZ$1439,"&lt;&gt;0")+COUNTIF(AZ$3:AZ27,AZ27)-876)</f>
        <v/>
      </c>
      <c r="BC27">
        <v>25</v>
      </c>
      <c r="BD27" t="str">
        <f t="shared" si="11"/>
        <v>AMDOCYL CTD 697 MG/G POUDRE POUR ADMINISTRATION DANS L'EAU DE BOISSON POUR POULES, DINDES ET CANARDS</v>
      </c>
      <c r="BE27" t="str">
        <f t="shared" si="1"/>
        <v>ORAL</v>
      </c>
      <c r="BF27" t="str">
        <f t="shared" si="2"/>
        <v>PENICILLINES</v>
      </c>
      <c r="BG27" t="str">
        <f t="shared" si="3"/>
        <v/>
      </c>
      <c r="BH27" t="str">
        <f t="shared" si="4"/>
        <v/>
      </c>
      <c r="BI27" t="str">
        <f t="shared" si="5"/>
        <v>amoxicillin</v>
      </c>
      <c r="BJ27" t="str">
        <f t="shared" si="6"/>
        <v/>
      </c>
      <c r="BK27" t="str">
        <f t="shared" si="7"/>
        <v/>
      </c>
      <c r="BL27" t="str">
        <f t="shared" si="12"/>
        <v>Amoxicilline</v>
      </c>
      <c r="BM27" t="str">
        <f t="shared" si="8"/>
        <v>Amoxicilline</v>
      </c>
      <c r="BN27" t="str">
        <f t="shared" si="9"/>
        <v/>
      </c>
      <c r="BO27" t="str">
        <f t="shared" si="10"/>
        <v/>
      </c>
      <c r="BP27" t="str">
        <f t="shared" si="13"/>
        <v>Penicillines</v>
      </c>
      <c r="BQ27" t="str">
        <f t="shared" si="14"/>
        <v>Penicillines</v>
      </c>
      <c r="BR27" t="str">
        <f t="shared" si="15"/>
        <v/>
      </c>
      <c r="BS27" t="str">
        <f t="shared" si="16"/>
        <v/>
      </c>
      <c r="BT27" s="76" t="str">
        <f t="shared" si="17"/>
        <v>Voie orale  hors prémélanges médicamenteux</v>
      </c>
      <c r="BU27" t="str">
        <f t="shared" si="18"/>
        <v/>
      </c>
      <c r="BZ27" s="109" t="s">
        <v>865</v>
      </c>
      <c r="CA27" s="109" t="s">
        <v>49</v>
      </c>
      <c r="CB27" s="109" t="s">
        <v>8</v>
      </c>
      <c r="CK27" s="109" t="s">
        <v>4456</v>
      </c>
      <c r="CL27" s="185" t="s">
        <v>4321</v>
      </c>
      <c r="CN27">
        <v>26</v>
      </c>
    </row>
    <row r="28" spans="1:92" x14ac:dyDescent="0.3">
      <c r="A28" s="118" t="s">
        <v>2533</v>
      </c>
      <c r="B28" t="s">
        <v>2534</v>
      </c>
      <c r="C28" t="s">
        <v>2590</v>
      </c>
      <c r="D28" s="144" t="s">
        <v>764</v>
      </c>
      <c r="E28" t="s">
        <v>765</v>
      </c>
      <c r="F28" t="s">
        <v>226</v>
      </c>
      <c r="G28" t="s">
        <v>766</v>
      </c>
      <c r="H28" t="s">
        <v>1326</v>
      </c>
      <c r="I28" t="s">
        <v>766</v>
      </c>
      <c r="J28" t="s">
        <v>2366</v>
      </c>
      <c r="K28" t="s">
        <v>2366</v>
      </c>
      <c r="L28" t="s">
        <v>2535</v>
      </c>
      <c r="M28" t="s">
        <v>208</v>
      </c>
      <c r="N28" t="s">
        <v>855</v>
      </c>
      <c r="O28" t="s">
        <v>771</v>
      </c>
      <c r="P28" t="s">
        <v>772</v>
      </c>
      <c r="Q28" t="s">
        <v>1126</v>
      </c>
      <c r="R28">
        <v>1.25</v>
      </c>
      <c r="S28">
        <v>3</v>
      </c>
      <c r="T28">
        <v>0</v>
      </c>
      <c r="U28">
        <v>0</v>
      </c>
      <c r="V28">
        <v>0</v>
      </c>
      <c r="W28">
        <v>0</v>
      </c>
      <c r="X28">
        <v>0</v>
      </c>
      <c r="Y28">
        <v>0</v>
      </c>
      <c r="Z28">
        <v>0</v>
      </c>
      <c r="AA28">
        <v>0</v>
      </c>
      <c r="AB28">
        <v>0</v>
      </c>
      <c r="AC28">
        <v>0</v>
      </c>
      <c r="AD28">
        <v>1.25</v>
      </c>
      <c r="AE28">
        <v>3</v>
      </c>
      <c r="AF28">
        <v>0</v>
      </c>
      <c r="AG28">
        <v>0</v>
      </c>
      <c r="AH28">
        <v>0</v>
      </c>
      <c r="AI28">
        <v>0</v>
      </c>
      <c r="AY28" t="str">
        <f t="shared" si="0"/>
        <v>ADVOCINE 25</v>
      </c>
      <c r="AZ28" t="str">
        <f>IF(COUNTIF(AY:AY,AY28)=1,AY28,IF(AND(COUNTIF(AY:AY,AY28)&gt;1,COUNTIF(AZ$2:AZ27,AY28)&gt;=1),"",AY28))</f>
        <v>ADVOCINE 25</v>
      </c>
      <c r="BA28">
        <f>IF(AZ28="","",COUNTIFS(AZ$3:AZ$1439,"&lt;"&amp;AZ28,AZ$3:AZ$1439,"&lt;&gt;0")+COUNTIF(AZ$3:AZ28,AZ28)-876)</f>
        <v>13</v>
      </c>
      <c r="BC28">
        <v>26</v>
      </c>
      <c r="BD28" t="str">
        <f t="shared" si="11"/>
        <v>AMIDURENE</v>
      </c>
      <c r="BE28" t="str">
        <f t="shared" si="1"/>
        <v>ORAL</v>
      </c>
      <c r="BF28" t="str">
        <f t="shared" si="2"/>
        <v>SULFAMIDES</v>
      </c>
      <c r="BG28" t="str">
        <f t="shared" si="3"/>
        <v/>
      </c>
      <c r="BH28" t="str">
        <f t="shared" si="4"/>
        <v/>
      </c>
      <c r="BI28" t="str">
        <f t="shared" si="5"/>
        <v>sulfadimethoxine</v>
      </c>
      <c r="BJ28" t="str">
        <f t="shared" si="6"/>
        <v/>
      </c>
      <c r="BK28" t="str">
        <f t="shared" si="7"/>
        <v/>
      </c>
      <c r="BL28" t="str">
        <f t="shared" si="12"/>
        <v>Sulfadiméthoxine</v>
      </c>
      <c r="BM28" t="str">
        <f t="shared" si="8"/>
        <v>Sulfadiméthoxine</v>
      </c>
      <c r="BN28" t="str">
        <f t="shared" si="9"/>
        <v/>
      </c>
      <c r="BO28" t="str">
        <f t="shared" si="10"/>
        <v/>
      </c>
      <c r="BP28" t="str">
        <f t="shared" si="13"/>
        <v>Sulfamides</v>
      </c>
      <c r="BQ28" t="str">
        <f t="shared" si="14"/>
        <v>Sulfamides</v>
      </c>
      <c r="BR28" t="str">
        <f t="shared" si="15"/>
        <v/>
      </c>
      <c r="BS28" t="str">
        <f t="shared" si="16"/>
        <v/>
      </c>
      <c r="BT28" s="76" t="str">
        <f t="shared" si="17"/>
        <v>Voie orale  hors prémélanges médicamenteux</v>
      </c>
      <c r="BU28" t="str">
        <f t="shared" si="18"/>
        <v/>
      </c>
      <c r="BZ28" s="109" t="s">
        <v>3342</v>
      </c>
      <c r="CA28" s="109" t="s">
        <v>50</v>
      </c>
      <c r="CB28" s="109" t="s">
        <v>19</v>
      </c>
      <c r="CK28" s="109" t="s">
        <v>1697</v>
      </c>
      <c r="CL28" s="185" t="s">
        <v>4321</v>
      </c>
      <c r="CN28">
        <v>27</v>
      </c>
    </row>
    <row r="29" spans="1:92" x14ac:dyDescent="0.3">
      <c r="A29" s="118" t="s">
        <v>3042</v>
      </c>
      <c r="B29" t="s">
        <v>208</v>
      </c>
      <c r="C29" t="s">
        <v>3043</v>
      </c>
      <c r="D29" s="144" t="s">
        <v>1948</v>
      </c>
      <c r="E29" t="s">
        <v>830</v>
      </c>
      <c r="F29" t="s">
        <v>227</v>
      </c>
      <c r="G29" t="s">
        <v>831</v>
      </c>
      <c r="H29" t="s">
        <v>1213</v>
      </c>
      <c r="I29" t="s">
        <v>817</v>
      </c>
      <c r="J29" t="s">
        <v>802</v>
      </c>
      <c r="K29" t="s">
        <v>802</v>
      </c>
      <c r="L29" t="s">
        <v>2914</v>
      </c>
      <c r="M29" t="s">
        <v>208</v>
      </c>
      <c r="N29" t="s">
        <v>2915</v>
      </c>
      <c r="O29" t="s">
        <v>894</v>
      </c>
      <c r="P29" t="s">
        <v>772</v>
      </c>
      <c r="Q29" t="s">
        <v>3044</v>
      </c>
      <c r="R29">
        <v>0</v>
      </c>
      <c r="S29">
        <v>0</v>
      </c>
      <c r="T29">
        <v>0</v>
      </c>
      <c r="U29">
        <v>0</v>
      </c>
      <c r="V29">
        <v>0</v>
      </c>
      <c r="W29">
        <v>0</v>
      </c>
      <c r="X29">
        <v>0</v>
      </c>
      <c r="Y29">
        <v>0</v>
      </c>
      <c r="Z29">
        <v>0</v>
      </c>
      <c r="AA29">
        <v>0</v>
      </c>
      <c r="AB29">
        <v>0</v>
      </c>
      <c r="AC29">
        <v>0</v>
      </c>
      <c r="AD29">
        <v>4.25</v>
      </c>
      <c r="AE29">
        <v>10</v>
      </c>
      <c r="AF29">
        <v>0</v>
      </c>
      <c r="AG29">
        <v>0</v>
      </c>
      <c r="AH29">
        <v>0</v>
      </c>
      <c r="AI29">
        <v>0</v>
      </c>
      <c r="AY29" t="str">
        <f t="shared" si="0"/>
        <v>AIVLOSIN 42,5 MG/G POUDRE ORALE POUR PORCS</v>
      </c>
      <c r="AZ29" t="str">
        <f>IF(COUNTIF(AY:AY,AY29)=1,AY29,IF(AND(COUNTIF(AY:AY,AY29)&gt;1,COUNTIF(AZ$2:AZ28,AY29)&gt;=1),"",AY29))</f>
        <v>AIVLOSIN 42,5 MG/G POUDRE ORALE POUR PORCS</v>
      </c>
      <c r="BA29">
        <f>IF(AZ29="","",COUNTIFS(AZ$3:AZ$1439,"&lt;"&amp;AZ29,AZ$3:AZ$1439,"&lt;&gt;0")+COUNTIF(AZ$3:AZ29,AZ29)-876)</f>
        <v>14</v>
      </c>
      <c r="BC29">
        <v>27</v>
      </c>
      <c r="BD29" t="str">
        <f t="shared" si="11"/>
        <v>AMOXICILLINE CALIER GLOBULIT 50 MG/G PREMELANGE MEDICAMENTEUX</v>
      </c>
      <c r="BE29" t="str">
        <f t="shared" si="1"/>
        <v>PM</v>
      </c>
      <c r="BF29" t="str">
        <f t="shared" si="2"/>
        <v>PENICILLINES</v>
      </c>
      <c r="BG29" t="str">
        <f t="shared" si="3"/>
        <v/>
      </c>
      <c r="BH29" t="str">
        <f t="shared" si="4"/>
        <v/>
      </c>
      <c r="BI29" t="str">
        <f t="shared" si="5"/>
        <v>amoxicillin</v>
      </c>
      <c r="BJ29" t="str">
        <f t="shared" si="6"/>
        <v/>
      </c>
      <c r="BK29" t="str">
        <f t="shared" si="7"/>
        <v/>
      </c>
      <c r="BL29" t="str">
        <f t="shared" si="12"/>
        <v>Amoxicilline</v>
      </c>
      <c r="BM29" t="str">
        <f t="shared" si="8"/>
        <v>Amoxicilline</v>
      </c>
      <c r="BN29" t="str">
        <f t="shared" si="9"/>
        <v/>
      </c>
      <c r="BO29" t="str">
        <f t="shared" si="10"/>
        <v/>
      </c>
      <c r="BP29" t="str">
        <f t="shared" si="13"/>
        <v>Penicillines</v>
      </c>
      <c r="BQ29" t="str">
        <f t="shared" si="14"/>
        <v>Penicillines</v>
      </c>
      <c r="BR29" t="str">
        <f t="shared" si="15"/>
        <v/>
      </c>
      <c r="BS29" t="str">
        <f t="shared" si="16"/>
        <v/>
      </c>
      <c r="BT29" s="76" t="str">
        <f t="shared" si="17"/>
        <v>Prémélanges médicamenteux</v>
      </c>
      <c r="BU29" t="str">
        <f t="shared" si="18"/>
        <v/>
      </c>
      <c r="BZ29" s="109" t="s">
        <v>2037</v>
      </c>
      <c r="CA29" s="109" t="s">
        <v>93</v>
      </c>
      <c r="CB29" s="109" t="s">
        <v>8</v>
      </c>
      <c r="CK29" s="109" t="s">
        <v>1826</v>
      </c>
      <c r="CL29" s="185" t="s">
        <v>4321</v>
      </c>
      <c r="CN29">
        <v>28</v>
      </c>
    </row>
    <row r="30" spans="1:92" x14ac:dyDescent="0.3">
      <c r="A30" s="118" t="s">
        <v>3042</v>
      </c>
      <c r="B30" t="s">
        <v>3045</v>
      </c>
      <c r="C30" t="s">
        <v>3046</v>
      </c>
      <c r="D30" s="144" t="s">
        <v>906</v>
      </c>
      <c r="E30" t="s">
        <v>830</v>
      </c>
      <c r="F30" t="s">
        <v>227</v>
      </c>
      <c r="G30" t="s">
        <v>831</v>
      </c>
      <c r="H30" t="s">
        <v>1213</v>
      </c>
      <c r="I30" t="s">
        <v>817</v>
      </c>
      <c r="J30" t="s">
        <v>802</v>
      </c>
      <c r="K30" t="s">
        <v>802</v>
      </c>
      <c r="L30" t="s">
        <v>2914</v>
      </c>
      <c r="M30" t="s">
        <v>208</v>
      </c>
      <c r="N30" t="s">
        <v>2915</v>
      </c>
      <c r="O30" t="s">
        <v>894</v>
      </c>
      <c r="P30" t="s">
        <v>772</v>
      </c>
      <c r="Q30" t="s">
        <v>3047</v>
      </c>
      <c r="R30">
        <v>0</v>
      </c>
      <c r="S30">
        <v>0</v>
      </c>
      <c r="T30">
        <v>0</v>
      </c>
      <c r="U30">
        <v>0</v>
      </c>
      <c r="V30">
        <v>0</v>
      </c>
      <c r="W30">
        <v>0</v>
      </c>
      <c r="X30">
        <v>0</v>
      </c>
      <c r="Y30">
        <v>0</v>
      </c>
      <c r="Z30">
        <v>0</v>
      </c>
      <c r="AA30">
        <v>0</v>
      </c>
      <c r="AB30">
        <v>0</v>
      </c>
      <c r="AC30">
        <v>0</v>
      </c>
      <c r="AD30">
        <v>4.25</v>
      </c>
      <c r="AE30">
        <v>10</v>
      </c>
      <c r="AF30">
        <v>0</v>
      </c>
      <c r="AG30">
        <v>0</v>
      </c>
      <c r="AH30">
        <v>0</v>
      </c>
      <c r="AI30">
        <v>0</v>
      </c>
      <c r="AY30" t="str">
        <f t="shared" si="0"/>
        <v>AIVLOSIN 42,5 MG/G POUDRE ORALE POUR PORCS</v>
      </c>
      <c r="AZ30" t="str">
        <f>IF(COUNTIF(AY:AY,AY30)=1,AY30,IF(AND(COUNTIF(AY:AY,AY30)&gt;1,COUNTIF(AZ$2:AZ29,AY30)&gt;=1),"",AY30))</f>
        <v/>
      </c>
      <c r="BA30" t="str">
        <f>IF(AZ30="","",COUNTIFS(AZ$3:AZ$1439,"&lt;"&amp;AZ30,AZ$3:AZ$1439,"&lt;&gt;0")+COUNTIF(AZ$3:AZ30,AZ30)-876)</f>
        <v/>
      </c>
      <c r="BC30">
        <v>28</v>
      </c>
      <c r="BD30" t="str">
        <f t="shared" si="11"/>
        <v>AMOXICILLINE GLOBAL VET HEALTH 436 MG/G POUDRE POUR ADMINISTRATION DANS L'EAU DE BOISSON POUR POULES DINDES CANARDS ET PORCINS</v>
      </c>
      <c r="BE30" t="str">
        <f t="shared" si="1"/>
        <v>ORAL</v>
      </c>
      <c r="BF30" t="str">
        <f t="shared" si="2"/>
        <v>PENICILLINES</v>
      </c>
      <c r="BG30" t="str">
        <f t="shared" si="3"/>
        <v/>
      </c>
      <c r="BH30" t="str">
        <f t="shared" si="4"/>
        <v/>
      </c>
      <c r="BI30" t="str">
        <f t="shared" si="5"/>
        <v>amoxicillin</v>
      </c>
      <c r="BJ30" t="str">
        <f t="shared" si="6"/>
        <v/>
      </c>
      <c r="BK30" t="str">
        <f t="shared" si="7"/>
        <v/>
      </c>
      <c r="BL30" t="str">
        <f t="shared" si="12"/>
        <v>Amoxicilline</v>
      </c>
      <c r="BM30" t="str">
        <f t="shared" si="8"/>
        <v>Amoxicilline</v>
      </c>
      <c r="BN30" t="str">
        <f t="shared" si="9"/>
        <v/>
      </c>
      <c r="BO30" t="str">
        <f t="shared" si="10"/>
        <v/>
      </c>
      <c r="BP30" t="str">
        <f t="shared" si="13"/>
        <v>Penicillines</v>
      </c>
      <c r="BQ30" t="str">
        <f t="shared" si="14"/>
        <v>Penicillines</v>
      </c>
      <c r="BR30" t="str">
        <f t="shared" si="15"/>
        <v/>
      </c>
      <c r="BS30" t="str">
        <f t="shared" si="16"/>
        <v/>
      </c>
      <c r="BT30" s="76" t="str">
        <f t="shared" si="17"/>
        <v>Voie orale  hors prémélanges médicamenteux</v>
      </c>
      <c r="BU30" t="str">
        <f t="shared" si="18"/>
        <v/>
      </c>
      <c r="BZ30" s="109" t="s">
        <v>3457</v>
      </c>
      <c r="CA30" s="109" t="s">
        <v>23</v>
      </c>
      <c r="CB30" s="109" t="s">
        <v>8</v>
      </c>
      <c r="CK30" s="109" t="s">
        <v>2245</v>
      </c>
      <c r="CL30" s="185" t="s">
        <v>4321</v>
      </c>
      <c r="CN30">
        <v>29</v>
      </c>
    </row>
    <row r="31" spans="1:92" x14ac:dyDescent="0.3">
      <c r="A31" s="118" t="s">
        <v>2912</v>
      </c>
      <c r="B31" t="s">
        <v>2913</v>
      </c>
      <c r="C31" t="s">
        <v>2263</v>
      </c>
      <c r="D31" s="144" t="s">
        <v>1536</v>
      </c>
      <c r="E31" t="s">
        <v>830</v>
      </c>
      <c r="F31" t="s">
        <v>228</v>
      </c>
      <c r="G31" t="s">
        <v>1064</v>
      </c>
      <c r="H31" t="s">
        <v>1213</v>
      </c>
      <c r="I31" t="s">
        <v>1066</v>
      </c>
      <c r="J31" t="s">
        <v>802</v>
      </c>
      <c r="K31" t="s">
        <v>802</v>
      </c>
      <c r="L31" t="s">
        <v>2914</v>
      </c>
      <c r="M31" t="s">
        <v>208</v>
      </c>
      <c r="N31" t="s">
        <v>2915</v>
      </c>
      <c r="O31" t="s">
        <v>894</v>
      </c>
      <c r="P31" t="s">
        <v>772</v>
      </c>
      <c r="Q31" t="s">
        <v>2916</v>
      </c>
      <c r="R31">
        <v>0</v>
      </c>
      <c r="S31">
        <v>0</v>
      </c>
      <c r="T31">
        <v>0</v>
      </c>
      <c r="U31">
        <v>0</v>
      </c>
      <c r="V31">
        <v>0</v>
      </c>
      <c r="W31">
        <v>0</v>
      </c>
      <c r="X31">
        <v>0</v>
      </c>
      <c r="Y31">
        <v>0</v>
      </c>
      <c r="Z31">
        <v>0</v>
      </c>
      <c r="AA31">
        <v>0</v>
      </c>
      <c r="AB31">
        <v>0</v>
      </c>
      <c r="AC31">
        <v>0</v>
      </c>
      <c r="AD31">
        <v>4.25</v>
      </c>
      <c r="AE31">
        <v>10</v>
      </c>
      <c r="AF31">
        <v>0</v>
      </c>
      <c r="AG31">
        <v>0</v>
      </c>
      <c r="AH31">
        <v>0</v>
      </c>
      <c r="AI31">
        <v>0</v>
      </c>
      <c r="AY31" t="str">
        <f t="shared" si="0"/>
        <v>AIVLOSIN 42,5 MG/G PREMELANGE MEDICAMENTEUX POUR PORCS</v>
      </c>
      <c r="AZ31" t="str">
        <f>IF(COUNTIF(AY:AY,AY31)=1,AY31,IF(AND(COUNTIF(AY:AY,AY31)&gt;1,COUNTIF(AZ$2:AZ30,AY31)&gt;=1),"",AY31))</f>
        <v>AIVLOSIN 42,5 MG/G PREMELANGE MEDICAMENTEUX POUR PORCS</v>
      </c>
      <c r="BA31">
        <f>IF(AZ31="","",COUNTIFS(AZ$3:AZ$1439,"&lt;"&amp;AZ31,AZ$3:AZ$1439,"&lt;&gt;0")+COUNTIF(AZ$3:AZ31,AZ31)-876)</f>
        <v>15</v>
      </c>
      <c r="BC31">
        <v>29</v>
      </c>
      <c r="BD31" t="str">
        <f t="shared" si="11"/>
        <v>AMOXIPRO 10 % POUDRE POUR ADMINISTRATION DANS L’EAU DE BOISSON/ LE LAIT VEAU PORC POULET CANARD DINDE</v>
      </c>
      <c r="BE31" t="str">
        <f t="shared" si="1"/>
        <v>ORAL</v>
      </c>
      <c r="BF31" t="str">
        <f t="shared" si="2"/>
        <v>PENICILLINES</v>
      </c>
      <c r="BG31" t="str">
        <f t="shared" si="3"/>
        <v/>
      </c>
      <c r="BH31" t="str">
        <f t="shared" si="4"/>
        <v/>
      </c>
      <c r="BI31" t="str">
        <f t="shared" si="5"/>
        <v>amoxicillin</v>
      </c>
      <c r="BJ31" t="str">
        <f t="shared" si="6"/>
        <v/>
      </c>
      <c r="BK31" t="str">
        <f t="shared" si="7"/>
        <v/>
      </c>
      <c r="BL31" t="str">
        <f t="shared" si="12"/>
        <v>Amoxicilline</v>
      </c>
      <c r="BM31" t="str">
        <f t="shared" si="8"/>
        <v>Amoxicilline</v>
      </c>
      <c r="BN31" t="str">
        <f t="shared" si="9"/>
        <v/>
      </c>
      <c r="BO31" t="str">
        <f t="shared" si="10"/>
        <v/>
      </c>
      <c r="BP31" t="str">
        <f t="shared" si="13"/>
        <v>Penicillines</v>
      </c>
      <c r="BQ31" t="str">
        <f t="shared" si="14"/>
        <v>Penicillines</v>
      </c>
      <c r="BR31" t="str">
        <f t="shared" si="15"/>
        <v/>
      </c>
      <c r="BS31" t="str">
        <f t="shared" si="16"/>
        <v/>
      </c>
      <c r="BT31" s="76" t="str">
        <f t="shared" si="17"/>
        <v>Voie orale  hors prémélanges médicamenteux</v>
      </c>
      <c r="BU31" t="str">
        <f t="shared" si="18"/>
        <v/>
      </c>
      <c r="BZ31" s="109" t="s">
        <v>1270</v>
      </c>
      <c r="CA31" s="109" t="s">
        <v>56</v>
      </c>
      <c r="CB31" s="109" t="s">
        <v>139</v>
      </c>
      <c r="CK31" s="109" t="s">
        <v>1076</v>
      </c>
      <c r="CL31" s="185" t="s">
        <v>4321</v>
      </c>
      <c r="CN31">
        <v>30</v>
      </c>
    </row>
    <row r="32" spans="1:92" x14ac:dyDescent="0.3">
      <c r="A32" s="118" t="s">
        <v>3629</v>
      </c>
      <c r="B32" t="s">
        <v>3630</v>
      </c>
      <c r="C32" t="s">
        <v>3359</v>
      </c>
      <c r="D32" s="144" t="s">
        <v>932</v>
      </c>
      <c r="E32" t="s">
        <v>830</v>
      </c>
      <c r="F32" t="s">
        <v>599</v>
      </c>
      <c r="G32" t="s">
        <v>831</v>
      </c>
      <c r="H32" t="s">
        <v>3631</v>
      </c>
      <c r="I32" t="s">
        <v>817</v>
      </c>
      <c r="J32" t="s">
        <v>802</v>
      </c>
      <c r="K32" t="s">
        <v>802</v>
      </c>
      <c r="L32" t="s">
        <v>2914</v>
      </c>
      <c r="M32" t="s">
        <v>208</v>
      </c>
      <c r="N32" t="s">
        <v>3361</v>
      </c>
      <c r="O32" t="s">
        <v>894</v>
      </c>
      <c r="P32" t="s">
        <v>772</v>
      </c>
      <c r="Q32" t="s">
        <v>855</v>
      </c>
      <c r="R32">
        <v>0</v>
      </c>
      <c r="S32">
        <v>0</v>
      </c>
      <c r="T32">
        <v>0</v>
      </c>
      <c r="U32">
        <v>0</v>
      </c>
      <c r="V32">
        <v>0</v>
      </c>
      <c r="W32">
        <v>0</v>
      </c>
      <c r="X32">
        <v>0</v>
      </c>
      <c r="Y32">
        <v>0</v>
      </c>
      <c r="Z32">
        <v>0</v>
      </c>
      <c r="AA32">
        <v>0</v>
      </c>
      <c r="AB32">
        <v>0</v>
      </c>
      <c r="AC32">
        <v>0</v>
      </c>
      <c r="AD32">
        <v>0</v>
      </c>
      <c r="AE32">
        <v>0</v>
      </c>
      <c r="AF32">
        <v>0</v>
      </c>
      <c r="AG32">
        <v>0</v>
      </c>
      <c r="AH32">
        <v>25</v>
      </c>
      <c r="AI32">
        <v>3</v>
      </c>
      <c r="AY32" t="str">
        <f t="shared" si="0"/>
        <v>AIVLOSIN 625 MG/G GRANULES POUR ADMINISTRATION DANS L'EAU DE BOISSON POUR FAISANS</v>
      </c>
      <c r="AZ32" t="str">
        <f>IF(COUNTIF(AY:AY,AY32)=1,AY32,IF(AND(COUNTIF(AY:AY,AY32)&gt;1,COUNTIF(AZ$2:AZ31,AY32)&gt;=1),"",AY32))</f>
        <v>AIVLOSIN 625 MG/G GRANULES POUR ADMINISTRATION DANS L'EAU DE BOISSON POUR FAISANS</v>
      </c>
      <c r="BA32">
        <f>IF(AZ32="","",COUNTIFS(AZ$3:AZ$1439,"&lt;"&amp;AZ32,AZ$3:AZ$1439,"&lt;&gt;0")+COUNTIF(AZ$3:AZ32,AZ32)-876)</f>
        <v>16</v>
      </c>
      <c r="BC32">
        <v>30</v>
      </c>
      <c r="BD32" t="str">
        <f t="shared" si="11"/>
        <v>AMOXIPRO INJECTABLE</v>
      </c>
      <c r="BE32" t="str">
        <f t="shared" si="1"/>
        <v>INJ</v>
      </c>
      <c r="BF32" t="str">
        <f t="shared" si="2"/>
        <v>PENICILLINES</v>
      </c>
      <c r="BG32" t="str">
        <f t="shared" si="3"/>
        <v/>
      </c>
      <c r="BH32" t="str">
        <f t="shared" si="4"/>
        <v/>
      </c>
      <c r="BI32" t="str">
        <f t="shared" si="5"/>
        <v>amoxicillin</v>
      </c>
      <c r="BJ32" t="str">
        <f t="shared" si="6"/>
        <v/>
      </c>
      <c r="BK32" t="str">
        <f t="shared" si="7"/>
        <v/>
      </c>
      <c r="BL32" t="str">
        <f t="shared" si="12"/>
        <v>Amoxicilline</v>
      </c>
      <c r="BM32" t="str">
        <f t="shared" si="8"/>
        <v>Amoxicilline</v>
      </c>
      <c r="BN32" t="str">
        <f t="shared" si="9"/>
        <v/>
      </c>
      <c r="BO32" t="str">
        <f t="shared" si="10"/>
        <v/>
      </c>
      <c r="BP32" t="str">
        <f t="shared" si="13"/>
        <v>Penicillines</v>
      </c>
      <c r="BQ32" t="str">
        <f t="shared" si="14"/>
        <v>Penicillines</v>
      </c>
      <c r="BR32" t="str">
        <f t="shared" si="15"/>
        <v/>
      </c>
      <c r="BS32" t="str">
        <f t="shared" si="16"/>
        <v/>
      </c>
      <c r="BT32" s="76" t="str">
        <f t="shared" si="17"/>
        <v>Voie parentérale</v>
      </c>
      <c r="BU32" t="str">
        <f t="shared" si="18"/>
        <v/>
      </c>
      <c r="BZ32" s="109" t="s">
        <v>2690</v>
      </c>
      <c r="CA32" s="109" t="s">
        <v>16</v>
      </c>
      <c r="CB32" s="109" t="s">
        <v>140</v>
      </c>
      <c r="CK32" s="109" t="s">
        <v>1070</v>
      </c>
      <c r="CL32" s="185" t="s">
        <v>4321</v>
      </c>
      <c r="CN32">
        <v>31</v>
      </c>
    </row>
    <row r="33" spans="1:92" x14ac:dyDescent="0.3">
      <c r="A33" s="118" t="s">
        <v>3357</v>
      </c>
      <c r="B33" t="s">
        <v>3358</v>
      </c>
      <c r="C33" t="s">
        <v>3359</v>
      </c>
      <c r="D33" s="144" t="s">
        <v>932</v>
      </c>
      <c r="E33" t="s">
        <v>830</v>
      </c>
      <c r="F33" t="s">
        <v>229</v>
      </c>
      <c r="G33" t="s">
        <v>831</v>
      </c>
      <c r="H33" t="s">
        <v>3360</v>
      </c>
      <c r="I33" t="s">
        <v>817</v>
      </c>
      <c r="J33" t="s">
        <v>802</v>
      </c>
      <c r="K33" t="s">
        <v>802</v>
      </c>
      <c r="L33" t="s">
        <v>2914</v>
      </c>
      <c r="M33" t="s">
        <v>208</v>
      </c>
      <c r="N33" t="s">
        <v>3361</v>
      </c>
      <c r="O33" t="s">
        <v>894</v>
      </c>
      <c r="P33" t="s">
        <v>772</v>
      </c>
      <c r="Q33" t="s">
        <v>855</v>
      </c>
      <c r="R33">
        <v>0</v>
      </c>
      <c r="S33">
        <v>0</v>
      </c>
      <c r="T33">
        <v>0</v>
      </c>
      <c r="U33">
        <v>0</v>
      </c>
      <c r="V33">
        <v>0</v>
      </c>
      <c r="W33">
        <v>0</v>
      </c>
      <c r="X33">
        <v>0</v>
      </c>
      <c r="Y33">
        <v>0</v>
      </c>
      <c r="Z33">
        <v>0</v>
      </c>
      <c r="AA33">
        <v>0</v>
      </c>
      <c r="AB33">
        <v>0</v>
      </c>
      <c r="AC33">
        <v>0</v>
      </c>
      <c r="AD33">
        <v>0</v>
      </c>
      <c r="AE33">
        <v>0</v>
      </c>
      <c r="AF33">
        <v>25</v>
      </c>
      <c r="AG33">
        <v>3</v>
      </c>
      <c r="AH33">
        <v>0</v>
      </c>
      <c r="AI33">
        <v>0</v>
      </c>
      <c r="AY33" t="str">
        <f t="shared" si="0"/>
        <v>AIVLOSIN 625 MG/G GRANULES POUR EAU DE BOISSON POUR POULETS/DINDONS</v>
      </c>
      <c r="AZ33" t="str">
        <f>IF(COUNTIF(AY:AY,AY33)=1,AY33,IF(AND(COUNTIF(AY:AY,AY33)&gt;1,COUNTIF(AZ$2:AZ32,AY33)&gt;=1),"",AY33))</f>
        <v>AIVLOSIN 625 MG/G GRANULES POUR EAU DE BOISSON POUR POULETS/DINDONS</v>
      </c>
      <c r="BA33">
        <f>IF(AZ33="","",COUNTIFS(AZ$3:AZ$1439,"&lt;"&amp;AZ33,AZ$3:AZ$1439,"&lt;&gt;0")+COUNTIF(AZ$3:AZ33,AZ33)-876)</f>
        <v>17</v>
      </c>
      <c r="BC33">
        <v>31</v>
      </c>
      <c r="BD33" t="str">
        <f t="shared" si="11"/>
        <v>AMOXIVAL 20 % POUDRE ORALE VOLAILLE</v>
      </c>
      <c r="BE33" t="str">
        <f t="shared" si="1"/>
        <v>ORAL</v>
      </c>
      <c r="BF33" t="str">
        <f t="shared" si="2"/>
        <v>PENICILLINES</v>
      </c>
      <c r="BG33" t="str">
        <f t="shared" si="3"/>
        <v/>
      </c>
      <c r="BH33" t="str">
        <f t="shared" si="4"/>
        <v/>
      </c>
      <c r="BI33" t="str">
        <f t="shared" si="5"/>
        <v>amoxicillin</v>
      </c>
      <c r="BJ33" t="str">
        <f t="shared" si="6"/>
        <v/>
      </c>
      <c r="BK33" t="str">
        <f t="shared" si="7"/>
        <v/>
      </c>
      <c r="BL33" t="str">
        <f t="shared" si="12"/>
        <v>Amoxicilline</v>
      </c>
      <c r="BM33" t="str">
        <f t="shared" si="8"/>
        <v>Amoxicilline</v>
      </c>
      <c r="BN33" t="str">
        <f t="shared" si="9"/>
        <v/>
      </c>
      <c r="BO33" t="str">
        <f t="shared" si="10"/>
        <v/>
      </c>
      <c r="BP33" t="str">
        <f t="shared" si="13"/>
        <v>Penicillines</v>
      </c>
      <c r="BQ33" t="str">
        <f t="shared" si="14"/>
        <v>Penicillines</v>
      </c>
      <c r="BR33" t="str">
        <f t="shared" si="15"/>
        <v/>
      </c>
      <c r="BS33" t="str">
        <f t="shared" si="16"/>
        <v/>
      </c>
      <c r="BT33" s="76" t="str">
        <f t="shared" si="17"/>
        <v>Voie orale  hors prémélanges médicamenteux</v>
      </c>
      <c r="BU33" t="str">
        <f t="shared" si="18"/>
        <v/>
      </c>
      <c r="BZ33" s="109"/>
      <c r="CA33" s="109" t="s">
        <v>160</v>
      </c>
      <c r="CB33" s="109" t="s">
        <v>706</v>
      </c>
      <c r="CK33" s="109" t="s">
        <v>1086</v>
      </c>
      <c r="CL33" s="185" t="s">
        <v>4321</v>
      </c>
      <c r="CN33">
        <v>32</v>
      </c>
    </row>
    <row r="34" spans="1:92" x14ac:dyDescent="0.3">
      <c r="A34" s="118" t="s">
        <v>3357</v>
      </c>
      <c r="B34" t="s">
        <v>3362</v>
      </c>
      <c r="C34" t="s">
        <v>3363</v>
      </c>
      <c r="D34" s="144" t="s">
        <v>939</v>
      </c>
      <c r="E34" t="s">
        <v>830</v>
      </c>
      <c r="F34" t="s">
        <v>229</v>
      </c>
      <c r="G34" t="s">
        <v>831</v>
      </c>
      <c r="H34" t="s">
        <v>3360</v>
      </c>
      <c r="I34" t="s">
        <v>817</v>
      </c>
      <c r="J34" t="s">
        <v>802</v>
      </c>
      <c r="K34" t="s">
        <v>802</v>
      </c>
      <c r="L34" t="s">
        <v>2914</v>
      </c>
      <c r="M34" t="s">
        <v>208</v>
      </c>
      <c r="N34" t="s">
        <v>3361</v>
      </c>
      <c r="O34" t="s">
        <v>894</v>
      </c>
      <c r="P34" t="s">
        <v>772</v>
      </c>
      <c r="Q34" t="s">
        <v>776</v>
      </c>
      <c r="R34">
        <v>0</v>
      </c>
      <c r="S34">
        <v>0</v>
      </c>
      <c r="T34">
        <v>0</v>
      </c>
      <c r="U34">
        <v>0</v>
      </c>
      <c r="V34">
        <v>0</v>
      </c>
      <c r="W34">
        <v>0</v>
      </c>
      <c r="X34">
        <v>0</v>
      </c>
      <c r="Y34">
        <v>0</v>
      </c>
      <c r="Z34">
        <v>0</v>
      </c>
      <c r="AA34">
        <v>0</v>
      </c>
      <c r="AB34">
        <v>0</v>
      </c>
      <c r="AC34">
        <v>0</v>
      </c>
      <c r="AD34">
        <v>0</v>
      </c>
      <c r="AE34">
        <v>0</v>
      </c>
      <c r="AF34">
        <v>25</v>
      </c>
      <c r="AG34">
        <v>3</v>
      </c>
      <c r="AH34">
        <v>0</v>
      </c>
      <c r="AI34">
        <v>0</v>
      </c>
      <c r="AY34" t="str">
        <f t="shared" si="0"/>
        <v>AIVLOSIN 625 MG/G GRANULES POUR EAU DE BOISSON POUR POULETS/DINDONS</v>
      </c>
      <c r="AZ34" t="str">
        <f>IF(COUNTIF(AY:AY,AY34)=1,AY34,IF(AND(COUNTIF(AY:AY,AY34)&gt;1,COUNTIF(AZ$2:AZ33,AY34)&gt;=1),"",AY34))</f>
        <v/>
      </c>
      <c r="BA34" t="str">
        <f>IF(AZ34="","",COUNTIFS(AZ$3:AZ$1439,"&lt;"&amp;AZ34,AZ$3:AZ$1439,"&lt;&gt;0")+COUNTIF(AZ$3:AZ34,AZ34)-876)</f>
        <v/>
      </c>
      <c r="BC34">
        <v>32</v>
      </c>
      <c r="BD34" t="str">
        <f t="shared" si="11"/>
        <v>AMOXIVAL AMOXICILLINE 40 PREMELANGE MEDICAMENTEUX VOLAILLES</v>
      </c>
      <c r="BE34" t="str">
        <f t="shared" si="1"/>
        <v>PM</v>
      </c>
      <c r="BF34" t="str">
        <f t="shared" si="2"/>
        <v>PENICILLINES</v>
      </c>
      <c r="BG34" t="str">
        <f t="shared" si="3"/>
        <v/>
      </c>
      <c r="BH34" t="str">
        <f t="shared" si="4"/>
        <v/>
      </c>
      <c r="BI34" t="str">
        <f t="shared" si="5"/>
        <v>amoxicillin</v>
      </c>
      <c r="BJ34" t="str">
        <f t="shared" si="6"/>
        <v/>
      </c>
      <c r="BK34" t="str">
        <f t="shared" si="7"/>
        <v/>
      </c>
      <c r="BL34" t="str">
        <f t="shared" si="12"/>
        <v>Amoxicilline</v>
      </c>
      <c r="BM34" t="str">
        <f t="shared" si="8"/>
        <v>Amoxicilline</v>
      </c>
      <c r="BN34" t="str">
        <f t="shared" si="9"/>
        <v/>
      </c>
      <c r="BO34" t="str">
        <f t="shared" si="10"/>
        <v/>
      </c>
      <c r="BP34" t="str">
        <f t="shared" si="13"/>
        <v>Penicillines</v>
      </c>
      <c r="BQ34" t="str">
        <f t="shared" si="14"/>
        <v>Penicillines</v>
      </c>
      <c r="BR34" t="str">
        <f t="shared" si="15"/>
        <v/>
      </c>
      <c r="BS34" t="str">
        <f t="shared" si="16"/>
        <v/>
      </c>
      <c r="BT34" s="76" t="str">
        <f t="shared" si="17"/>
        <v>Prémélanges médicamenteux</v>
      </c>
      <c r="BU34" t="str">
        <f t="shared" si="18"/>
        <v/>
      </c>
      <c r="BZ34" s="109" t="s">
        <v>1029</v>
      </c>
      <c r="CA34" s="109" t="s">
        <v>106</v>
      </c>
      <c r="CB34" s="109" t="s">
        <v>4298</v>
      </c>
      <c r="CK34" s="109" t="s">
        <v>1682</v>
      </c>
      <c r="CL34" s="185" t="s">
        <v>4321</v>
      </c>
      <c r="CN34">
        <v>33</v>
      </c>
    </row>
    <row r="35" spans="1:92" x14ac:dyDescent="0.3">
      <c r="A35" s="118" t="s">
        <v>3479</v>
      </c>
      <c r="B35" t="s">
        <v>3480</v>
      </c>
      <c r="C35" t="s">
        <v>3043</v>
      </c>
      <c r="D35" s="144" t="s">
        <v>1948</v>
      </c>
      <c r="E35" t="s">
        <v>830</v>
      </c>
      <c r="F35" t="s">
        <v>230</v>
      </c>
      <c r="G35" t="s">
        <v>831</v>
      </c>
      <c r="H35" t="s">
        <v>1213</v>
      </c>
      <c r="I35" t="s">
        <v>817</v>
      </c>
      <c r="J35" t="s">
        <v>802</v>
      </c>
      <c r="K35" t="s">
        <v>802</v>
      </c>
      <c r="L35" t="s">
        <v>2914</v>
      </c>
      <c r="M35" t="s">
        <v>208</v>
      </c>
      <c r="N35" t="s">
        <v>3361</v>
      </c>
      <c r="O35" t="s">
        <v>894</v>
      </c>
      <c r="P35" t="s">
        <v>772</v>
      </c>
      <c r="Q35" t="s">
        <v>764</v>
      </c>
      <c r="R35">
        <v>0</v>
      </c>
      <c r="S35">
        <v>0</v>
      </c>
      <c r="T35">
        <v>0</v>
      </c>
      <c r="U35">
        <v>0</v>
      </c>
      <c r="V35">
        <v>0</v>
      </c>
      <c r="W35">
        <v>0</v>
      </c>
      <c r="X35">
        <v>0</v>
      </c>
      <c r="Y35">
        <v>0</v>
      </c>
      <c r="Z35">
        <v>0</v>
      </c>
      <c r="AA35">
        <v>0</v>
      </c>
      <c r="AB35">
        <v>0</v>
      </c>
      <c r="AC35">
        <v>0</v>
      </c>
      <c r="AD35">
        <v>5</v>
      </c>
      <c r="AE35">
        <v>5</v>
      </c>
      <c r="AF35">
        <v>0</v>
      </c>
      <c r="AG35">
        <v>0</v>
      </c>
      <c r="AH35">
        <v>0</v>
      </c>
      <c r="AI35">
        <v>0</v>
      </c>
      <c r="AY35" t="str">
        <f t="shared" si="0"/>
        <v>AIVLOSIN 625 MG/G GRANULES POUR L'EAU DE BOISSON POUR PORCS</v>
      </c>
      <c r="AZ35" t="str">
        <f>IF(COUNTIF(AY:AY,AY35)=1,AY35,IF(AND(COUNTIF(AY:AY,AY35)&gt;1,COUNTIF(AZ$2:AZ34,AY35)&gt;=1),"",AY35))</f>
        <v>AIVLOSIN 625 MG/G GRANULES POUR L'EAU DE BOISSON POUR PORCS</v>
      </c>
      <c r="BA35">
        <f>IF(AZ35="","",COUNTIFS(AZ$3:AZ$1439,"&lt;"&amp;AZ35,AZ$3:AZ$1439,"&lt;&gt;0")+COUNTIF(AZ$3:AZ35,AZ35)-876)</f>
        <v>18</v>
      </c>
      <c r="BC35">
        <v>33</v>
      </c>
      <c r="BD35" t="str">
        <f t="shared" si="11"/>
        <v>AMPHEN 200 MG/G GRANULES POUR ADMINISTRATION DANS L'EAU DE BOISSON POUR PORCS</v>
      </c>
      <c r="BE35" t="str">
        <f t="shared" si="1"/>
        <v>ORAL</v>
      </c>
      <c r="BF35" t="str">
        <f t="shared" si="2"/>
        <v>PHENICOLES</v>
      </c>
      <c r="BG35" t="str">
        <f t="shared" si="3"/>
        <v/>
      </c>
      <c r="BH35" t="str">
        <f t="shared" si="4"/>
        <v/>
      </c>
      <c r="BI35" t="str">
        <f t="shared" si="5"/>
        <v>florfenicol</v>
      </c>
      <c r="BJ35" t="str">
        <f t="shared" si="6"/>
        <v/>
      </c>
      <c r="BK35" t="str">
        <f t="shared" si="7"/>
        <v/>
      </c>
      <c r="BL35" t="str">
        <f t="shared" si="12"/>
        <v>Florfénicol</v>
      </c>
      <c r="BM35" t="str">
        <f t="shared" si="8"/>
        <v>Florfénicol</v>
      </c>
      <c r="BN35" t="str">
        <f t="shared" si="9"/>
        <v/>
      </c>
      <c r="BO35" t="str">
        <f t="shared" si="10"/>
        <v/>
      </c>
      <c r="BP35" t="str">
        <f t="shared" si="13"/>
        <v>Phenicoles</v>
      </c>
      <c r="BQ35" t="str">
        <f t="shared" si="14"/>
        <v>Phenicoles</v>
      </c>
      <c r="BR35" t="str">
        <f t="shared" si="15"/>
        <v/>
      </c>
      <c r="BS35" t="str">
        <f t="shared" si="16"/>
        <v/>
      </c>
      <c r="BT35" s="76" t="str">
        <f t="shared" si="17"/>
        <v>Voie orale  hors prémélanges médicamenteux</v>
      </c>
      <c r="BU35" t="str">
        <f t="shared" si="18"/>
        <v/>
      </c>
      <c r="BZ35" s="109" t="s">
        <v>784</v>
      </c>
      <c r="CA35" s="109" t="s">
        <v>7</v>
      </c>
      <c r="CB35" s="109" t="s">
        <v>8</v>
      </c>
      <c r="CK35" s="109" t="s">
        <v>801</v>
      </c>
      <c r="CL35" s="185" t="s">
        <v>4321</v>
      </c>
      <c r="CN35">
        <v>34</v>
      </c>
    </row>
    <row r="36" spans="1:92" x14ac:dyDescent="0.3">
      <c r="A36" s="118" t="s">
        <v>3176</v>
      </c>
      <c r="B36" t="s">
        <v>3177</v>
      </c>
      <c r="C36" t="s">
        <v>2263</v>
      </c>
      <c r="D36" s="144" t="s">
        <v>1536</v>
      </c>
      <c r="E36" t="s">
        <v>830</v>
      </c>
      <c r="F36" t="s">
        <v>231</v>
      </c>
      <c r="G36" t="s">
        <v>1064</v>
      </c>
      <c r="H36" t="s">
        <v>1213</v>
      </c>
      <c r="I36" t="s">
        <v>1066</v>
      </c>
      <c r="J36" t="s">
        <v>802</v>
      </c>
      <c r="K36" t="s">
        <v>802</v>
      </c>
      <c r="L36" t="s">
        <v>2914</v>
      </c>
      <c r="M36" t="s">
        <v>208</v>
      </c>
      <c r="N36" t="s">
        <v>3178</v>
      </c>
      <c r="O36" t="s">
        <v>894</v>
      </c>
      <c r="P36" t="s">
        <v>772</v>
      </c>
      <c r="Q36" t="s">
        <v>3179</v>
      </c>
      <c r="R36">
        <v>0</v>
      </c>
      <c r="S36">
        <v>0</v>
      </c>
      <c r="T36">
        <v>0</v>
      </c>
      <c r="U36">
        <v>0</v>
      </c>
      <c r="V36">
        <v>0</v>
      </c>
      <c r="W36">
        <v>0</v>
      </c>
      <c r="X36">
        <v>0</v>
      </c>
      <c r="Y36">
        <v>0</v>
      </c>
      <c r="Z36">
        <v>0</v>
      </c>
      <c r="AA36">
        <v>0</v>
      </c>
      <c r="AB36">
        <v>0</v>
      </c>
      <c r="AC36">
        <v>0</v>
      </c>
      <c r="AD36">
        <v>4.25</v>
      </c>
      <c r="AE36">
        <v>10</v>
      </c>
      <c r="AF36">
        <v>0</v>
      </c>
      <c r="AG36">
        <v>0</v>
      </c>
      <c r="AH36">
        <v>0</v>
      </c>
      <c r="AI36">
        <v>0</v>
      </c>
      <c r="AY36" t="str">
        <f t="shared" si="0"/>
        <v>AIVLOSIN 8,5 MG/G PREMELANGE MEDICAMENTEUX POUR PORCS</v>
      </c>
      <c r="AZ36" t="str">
        <f>IF(COUNTIF(AY:AY,AY36)=1,AY36,IF(AND(COUNTIF(AY:AY,AY36)&gt;1,COUNTIF(AZ$2:AZ35,AY36)&gt;=1),"",AY36))</f>
        <v>AIVLOSIN 8,5 MG/G PREMELANGE MEDICAMENTEUX POUR PORCS</v>
      </c>
      <c r="BA36">
        <f>IF(AZ36="","",COUNTIFS(AZ$3:AZ$1439,"&lt;"&amp;AZ36,AZ$3:AZ$1439,"&lt;&gt;0")+COUNTIF(AZ$3:AZ36,AZ36)-876)</f>
        <v>19</v>
      </c>
      <c r="BC36">
        <v>34</v>
      </c>
      <c r="BD36" t="str">
        <f t="shared" si="11"/>
        <v>AMPHEN 200 MG/G GRANULES POUR SOLUTION BUVABLE POUR PORCS</v>
      </c>
      <c r="BE36" t="str">
        <f t="shared" si="1"/>
        <v>ORAL</v>
      </c>
      <c r="BF36" t="str">
        <f t="shared" si="2"/>
        <v>PHENICOLES</v>
      </c>
      <c r="BG36" t="str">
        <f t="shared" si="3"/>
        <v/>
      </c>
      <c r="BH36" t="str">
        <f t="shared" si="4"/>
        <v/>
      </c>
      <c r="BI36" t="str">
        <f t="shared" si="5"/>
        <v>florfenicol</v>
      </c>
      <c r="BJ36" t="str">
        <f t="shared" si="6"/>
        <v/>
      </c>
      <c r="BK36" t="str">
        <f t="shared" si="7"/>
        <v/>
      </c>
      <c r="BL36" t="str">
        <f t="shared" si="12"/>
        <v>Florfénicol</v>
      </c>
      <c r="BM36" t="str">
        <f t="shared" si="8"/>
        <v>Florfénicol</v>
      </c>
      <c r="BN36" t="str">
        <f t="shared" si="9"/>
        <v/>
      </c>
      <c r="BO36" t="str">
        <f t="shared" si="10"/>
        <v/>
      </c>
      <c r="BP36" t="str">
        <f t="shared" si="13"/>
        <v>Phenicoles</v>
      </c>
      <c r="BQ36" t="str">
        <f t="shared" si="14"/>
        <v>Phenicoles</v>
      </c>
      <c r="BR36" t="str">
        <f t="shared" si="15"/>
        <v/>
      </c>
      <c r="BS36" t="str">
        <f t="shared" si="16"/>
        <v/>
      </c>
      <c r="BT36" s="76" t="str">
        <f t="shared" si="17"/>
        <v>Voie orale  hors prémélanges médicamenteux</v>
      </c>
      <c r="BU36" t="str">
        <f t="shared" si="18"/>
        <v/>
      </c>
      <c r="BZ36" s="109" t="s">
        <v>1560</v>
      </c>
      <c r="CA36" s="109" t="s">
        <v>97</v>
      </c>
      <c r="CB36" s="109" t="s">
        <v>141</v>
      </c>
      <c r="CK36" s="109" t="s">
        <v>1864</v>
      </c>
      <c r="CL36" s="185" t="s">
        <v>4321</v>
      </c>
      <c r="CN36">
        <v>35</v>
      </c>
    </row>
    <row r="37" spans="1:92" x14ac:dyDescent="0.3">
      <c r="A37" s="118" t="s">
        <v>2760</v>
      </c>
      <c r="B37" t="s">
        <v>2761</v>
      </c>
      <c r="C37" t="s">
        <v>4495</v>
      </c>
      <c r="D37" s="144" t="s">
        <v>1132</v>
      </c>
      <c r="E37" t="s">
        <v>813</v>
      </c>
      <c r="F37" t="s">
        <v>232</v>
      </c>
      <c r="G37" t="s">
        <v>1013</v>
      </c>
      <c r="H37" t="s">
        <v>1387</v>
      </c>
      <c r="I37" t="s">
        <v>1013</v>
      </c>
      <c r="J37" t="s">
        <v>1265</v>
      </c>
      <c r="K37" t="s">
        <v>1269</v>
      </c>
      <c r="L37" t="s">
        <v>1270</v>
      </c>
      <c r="M37" t="s">
        <v>208</v>
      </c>
      <c r="N37" t="s">
        <v>2762</v>
      </c>
      <c r="O37" t="s">
        <v>824</v>
      </c>
      <c r="P37" t="s">
        <v>772</v>
      </c>
      <c r="Q37" t="s">
        <v>2763</v>
      </c>
      <c r="R37">
        <v>0</v>
      </c>
      <c r="S37">
        <v>0</v>
      </c>
      <c r="T37">
        <v>0</v>
      </c>
      <c r="U37">
        <v>0</v>
      </c>
      <c r="V37">
        <v>0</v>
      </c>
      <c r="W37">
        <v>0</v>
      </c>
      <c r="X37">
        <v>0</v>
      </c>
      <c r="Y37">
        <v>0</v>
      </c>
      <c r="Z37">
        <v>0</v>
      </c>
      <c r="AA37">
        <v>0</v>
      </c>
      <c r="AB37">
        <v>0</v>
      </c>
      <c r="AC37">
        <v>0</v>
      </c>
      <c r="AD37">
        <v>0</v>
      </c>
      <c r="AE37">
        <v>0</v>
      </c>
      <c r="AF37">
        <v>0</v>
      </c>
      <c r="AG37">
        <v>0</v>
      </c>
      <c r="AH37">
        <v>0</v>
      </c>
      <c r="AI37">
        <v>0</v>
      </c>
      <c r="AJ37" t="s">
        <v>783</v>
      </c>
      <c r="AK37" t="s">
        <v>784</v>
      </c>
      <c r="AL37" t="s">
        <v>208</v>
      </c>
      <c r="AM37" t="s">
        <v>764</v>
      </c>
      <c r="AN37" t="s">
        <v>824</v>
      </c>
      <c r="AO37" t="s">
        <v>772</v>
      </c>
      <c r="AP37" t="s">
        <v>1015</v>
      </c>
      <c r="AY37" t="str">
        <f t="shared" si="0"/>
        <v>ALBIOTIC 330 MG /100 MG SOLUTION INTRAMAMMAIRE</v>
      </c>
      <c r="AZ37" t="str">
        <f>IF(COUNTIF(AY:AY,AY37)=1,AY37,IF(AND(COUNTIF(AY:AY,AY37)&gt;1,COUNTIF(AZ$2:AZ36,AY37)&gt;=1),"",AY37))</f>
        <v>ALBIOTIC 330 MG /100 MG SOLUTION INTRAMAMMAIRE</v>
      </c>
      <c r="BA37">
        <f>IF(AZ37="","",COUNTIFS(AZ$3:AZ$1439,"&lt;"&amp;AZ37,AZ$3:AZ$1439,"&lt;&gt;0")+COUNTIF(AZ$3:AZ37,AZ37)-876)</f>
        <v>20</v>
      </c>
      <c r="BC37">
        <v>35</v>
      </c>
      <c r="BD37" t="str">
        <f t="shared" si="11"/>
        <v>AMPHOPRIM</v>
      </c>
      <c r="BE37" t="str">
        <f t="shared" si="1"/>
        <v>INJ</v>
      </c>
      <c r="BF37" t="str">
        <f t="shared" si="2"/>
        <v>SULFAMIDES</v>
      </c>
      <c r="BG37" t="str">
        <f t="shared" si="3"/>
        <v>TRIMETHOPRIME</v>
      </c>
      <c r="BH37" t="str">
        <f t="shared" si="4"/>
        <v/>
      </c>
      <c r="BI37" t="str">
        <f t="shared" si="5"/>
        <v>sulfadimidine</v>
      </c>
      <c r="BJ37" t="str">
        <f t="shared" si="6"/>
        <v>trimethoprim</v>
      </c>
      <c r="BK37" t="str">
        <f t="shared" si="7"/>
        <v/>
      </c>
      <c r="BL37" t="str">
        <f t="shared" si="12"/>
        <v>Sulfadimidine + Triméthoprime</v>
      </c>
      <c r="BM37" t="str">
        <f t="shared" si="8"/>
        <v>Sulfadimidine</v>
      </c>
      <c r="BN37" t="str">
        <f t="shared" si="9"/>
        <v>Triméthoprime</v>
      </c>
      <c r="BO37" t="str">
        <f t="shared" si="10"/>
        <v/>
      </c>
      <c r="BP37" t="str">
        <f t="shared" si="13"/>
        <v>Sulfamides + Trimethoprime</v>
      </c>
      <c r="BQ37" t="str">
        <f t="shared" si="14"/>
        <v>Sulfamides</v>
      </c>
      <c r="BR37" t="str">
        <f t="shared" si="15"/>
        <v>Trimethoprime</v>
      </c>
      <c r="BS37" t="str">
        <f t="shared" si="16"/>
        <v/>
      </c>
      <c r="BT37" s="76" t="str">
        <f t="shared" si="17"/>
        <v>Voie parentérale</v>
      </c>
      <c r="BU37" t="str">
        <f t="shared" si="18"/>
        <v/>
      </c>
      <c r="BZ37" s="109" t="s">
        <v>769</v>
      </c>
      <c r="CA37" s="109" t="s">
        <v>17</v>
      </c>
      <c r="CB37" s="109" t="s">
        <v>4300</v>
      </c>
      <c r="CK37" s="109" t="s">
        <v>1465</v>
      </c>
      <c r="CL37" s="185" t="s">
        <v>4321</v>
      </c>
      <c r="CN37">
        <v>36</v>
      </c>
    </row>
    <row r="38" spans="1:92" x14ac:dyDescent="0.3">
      <c r="A38" s="118" t="s">
        <v>2760</v>
      </c>
      <c r="B38" t="s">
        <v>2764</v>
      </c>
      <c r="C38" t="s">
        <v>2765</v>
      </c>
      <c r="D38" s="144" t="s">
        <v>1132</v>
      </c>
      <c r="E38" t="s">
        <v>813</v>
      </c>
      <c r="F38" t="s">
        <v>232</v>
      </c>
      <c r="G38" t="s">
        <v>1013</v>
      </c>
      <c r="H38" t="s">
        <v>1387</v>
      </c>
      <c r="I38" t="s">
        <v>1013</v>
      </c>
      <c r="J38" t="s">
        <v>1265</v>
      </c>
      <c r="K38" t="s">
        <v>1269</v>
      </c>
      <c r="L38" t="s">
        <v>1270</v>
      </c>
      <c r="M38" t="s">
        <v>208</v>
      </c>
      <c r="N38" t="s">
        <v>2762</v>
      </c>
      <c r="O38" t="s">
        <v>824</v>
      </c>
      <c r="P38" t="s">
        <v>772</v>
      </c>
      <c r="Q38" t="s">
        <v>2763</v>
      </c>
      <c r="R38">
        <v>0</v>
      </c>
      <c r="S38">
        <v>0</v>
      </c>
      <c r="T38">
        <v>0</v>
      </c>
      <c r="U38">
        <v>0</v>
      </c>
      <c r="V38">
        <v>0</v>
      </c>
      <c r="W38">
        <v>0</v>
      </c>
      <c r="X38">
        <v>0</v>
      </c>
      <c r="Y38">
        <v>0</v>
      </c>
      <c r="Z38">
        <v>0</v>
      </c>
      <c r="AA38">
        <v>0</v>
      </c>
      <c r="AB38">
        <v>0</v>
      </c>
      <c r="AC38">
        <v>0</v>
      </c>
      <c r="AD38">
        <v>0</v>
      </c>
      <c r="AE38">
        <v>0</v>
      </c>
      <c r="AF38">
        <v>0</v>
      </c>
      <c r="AG38">
        <v>0</v>
      </c>
      <c r="AH38">
        <v>0</v>
      </c>
      <c r="AI38">
        <v>0</v>
      </c>
      <c r="AJ38" t="s">
        <v>783</v>
      </c>
      <c r="AK38" t="s">
        <v>784</v>
      </c>
      <c r="AL38" t="s">
        <v>208</v>
      </c>
      <c r="AM38" t="s">
        <v>764</v>
      </c>
      <c r="AN38" t="s">
        <v>824</v>
      </c>
      <c r="AO38" t="s">
        <v>772</v>
      </c>
      <c r="AP38" t="s">
        <v>1015</v>
      </c>
      <c r="AY38" t="str">
        <f t="shared" si="0"/>
        <v>ALBIOTIC 330 MG /100 MG SOLUTION INTRAMAMMAIRE</v>
      </c>
      <c r="AZ38" t="str">
        <f>IF(COUNTIF(AY:AY,AY38)=1,AY38,IF(AND(COUNTIF(AY:AY,AY38)&gt;1,COUNTIF(AZ$2:AZ37,AY38)&gt;=1),"",AY38))</f>
        <v/>
      </c>
      <c r="BA38" t="str">
        <f>IF(AZ38="","",COUNTIFS(AZ$3:AZ$1439,"&lt;"&amp;AZ38,AZ$3:AZ$1439,"&lt;&gt;0")+COUNTIF(AZ$3:AZ38,AZ38)-876)</f>
        <v/>
      </c>
      <c r="BC38">
        <v>36</v>
      </c>
      <c r="BD38" t="str">
        <f t="shared" si="11"/>
        <v>AMPICLOX</v>
      </c>
      <c r="BE38" t="str">
        <f t="shared" si="1"/>
        <v>INTRAMAM</v>
      </c>
      <c r="BF38" t="str">
        <f t="shared" si="2"/>
        <v>PENICILLINES</v>
      </c>
      <c r="BG38" t="str">
        <f t="shared" si="3"/>
        <v>PENICILLINES</v>
      </c>
      <c r="BH38" t="str">
        <f t="shared" si="4"/>
        <v/>
      </c>
      <c r="BI38" t="str">
        <f t="shared" si="5"/>
        <v>cloxacillin</v>
      </c>
      <c r="BJ38" t="str">
        <f t="shared" si="6"/>
        <v>ampicillin</v>
      </c>
      <c r="BK38" t="str">
        <f t="shared" si="7"/>
        <v/>
      </c>
      <c r="BL38" t="str">
        <f t="shared" si="12"/>
        <v>Cloxacilline + Ampicilline</v>
      </c>
      <c r="BM38" t="str">
        <f t="shared" si="8"/>
        <v>Cloxacilline</v>
      </c>
      <c r="BN38" t="str">
        <f t="shared" si="9"/>
        <v>Ampicilline</v>
      </c>
      <c r="BO38" t="str">
        <f t="shared" si="10"/>
        <v/>
      </c>
      <c r="BP38" t="str">
        <f t="shared" si="13"/>
        <v>Penicillines</v>
      </c>
      <c r="BQ38" t="str">
        <f t="shared" si="14"/>
        <v>Penicillines</v>
      </c>
      <c r="BR38" t="str">
        <f t="shared" si="15"/>
        <v>Penicillines</v>
      </c>
      <c r="BS38" t="str">
        <f t="shared" si="16"/>
        <v/>
      </c>
      <c r="BT38" s="76" t="str">
        <f t="shared" si="17"/>
        <v>Voie intramammaire</v>
      </c>
      <c r="BU38" t="str">
        <f t="shared" si="18"/>
        <v/>
      </c>
      <c r="BZ38" s="109" t="s">
        <v>3994</v>
      </c>
      <c r="CA38" s="109" t="s">
        <v>94</v>
      </c>
      <c r="CB38" s="109" t="s">
        <v>8</v>
      </c>
      <c r="CK38" s="109" t="s">
        <v>1797</v>
      </c>
      <c r="CL38" s="185" t="s">
        <v>4321</v>
      </c>
      <c r="CN38">
        <v>37</v>
      </c>
    </row>
    <row r="39" spans="1:92" x14ac:dyDescent="0.3">
      <c r="A39" s="118" t="s">
        <v>2760</v>
      </c>
      <c r="B39" t="s">
        <v>2766</v>
      </c>
      <c r="C39" t="s">
        <v>2765</v>
      </c>
      <c r="D39" s="144" t="s">
        <v>1132</v>
      </c>
      <c r="E39" t="s">
        <v>813</v>
      </c>
      <c r="F39" t="s">
        <v>232</v>
      </c>
      <c r="G39" t="s">
        <v>1013</v>
      </c>
      <c r="H39" t="s">
        <v>1387</v>
      </c>
      <c r="I39" t="s">
        <v>1013</v>
      </c>
      <c r="J39" t="s">
        <v>1265</v>
      </c>
      <c r="K39" t="s">
        <v>1269</v>
      </c>
      <c r="L39" t="s">
        <v>1270</v>
      </c>
      <c r="M39" t="s">
        <v>208</v>
      </c>
      <c r="N39" t="s">
        <v>2762</v>
      </c>
      <c r="O39" t="s">
        <v>824</v>
      </c>
      <c r="P39" t="s">
        <v>772</v>
      </c>
      <c r="Q39" t="s">
        <v>2763</v>
      </c>
      <c r="R39">
        <v>0</v>
      </c>
      <c r="S39">
        <v>0</v>
      </c>
      <c r="T39">
        <v>0</v>
      </c>
      <c r="U39">
        <v>0</v>
      </c>
      <c r="V39">
        <v>0</v>
      </c>
      <c r="W39">
        <v>0</v>
      </c>
      <c r="X39">
        <v>0</v>
      </c>
      <c r="Y39">
        <v>0</v>
      </c>
      <c r="Z39">
        <v>0</v>
      </c>
      <c r="AA39">
        <v>0</v>
      </c>
      <c r="AB39">
        <v>0</v>
      </c>
      <c r="AC39">
        <v>0</v>
      </c>
      <c r="AD39">
        <v>0</v>
      </c>
      <c r="AE39">
        <v>0</v>
      </c>
      <c r="AF39">
        <v>0</v>
      </c>
      <c r="AG39">
        <v>0</v>
      </c>
      <c r="AH39">
        <v>0</v>
      </c>
      <c r="AI39">
        <v>0</v>
      </c>
      <c r="AJ39" t="s">
        <v>783</v>
      </c>
      <c r="AK39" t="s">
        <v>784</v>
      </c>
      <c r="AL39" t="s">
        <v>208</v>
      </c>
      <c r="AM39" t="s">
        <v>764</v>
      </c>
      <c r="AN39" t="s">
        <v>824</v>
      </c>
      <c r="AO39" t="s">
        <v>772</v>
      </c>
      <c r="AP39" t="s">
        <v>1015</v>
      </c>
      <c r="AY39" t="str">
        <f t="shared" si="0"/>
        <v>ALBIOTIC 330 MG /100 MG SOLUTION INTRAMAMMAIRE</v>
      </c>
      <c r="AZ39" t="str">
        <f>IF(COUNTIF(AY:AY,AY39)=1,AY39,IF(AND(COUNTIF(AY:AY,AY39)&gt;1,COUNTIF(AZ$2:AZ38,AY39)&gt;=1),"",AY39))</f>
        <v/>
      </c>
      <c r="BA39" t="str">
        <f>IF(AZ39="","",COUNTIFS(AZ$3:AZ$1439,"&lt;"&amp;AZ39,AZ$3:AZ$1439,"&lt;&gt;0")+COUNTIF(AZ$3:AZ39,AZ39)-876)</f>
        <v/>
      </c>
      <c r="BC39">
        <v>37</v>
      </c>
      <c r="BD39" t="str">
        <f t="shared" si="11"/>
        <v>AMPICOLINE</v>
      </c>
      <c r="BE39" t="str">
        <f t="shared" si="1"/>
        <v>INJ</v>
      </c>
      <c r="BF39" t="str">
        <f t="shared" si="2"/>
        <v>PENICILLINES</v>
      </c>
      <c r="BG39" t="str">
        <f t="shared" si="3"/>
        <v>POLYPEPTIDES</v>
      </c>
      <c r="BH39" t="str">
        <f t="shared" si="4"/>
        <v/>
      </c>
      <c r="BI39" t="str">
        <f t="shared" si="5"/>
        <v>ampicillin</v>
      </c>
      <c r="BJ39" t="str">
        <f t="shared" si="6"/>
        <v>colistin</v>
      </c>
      <c r="BK39" t="str">
        <f t="shared" si="7"/>
        <v/>
      </c>
      <c r="BL39" t="str">
        <f t="shared" si="12"/>
        <v>Ampicilline + Colistine</v>
      </c>
      <c r="BM39" t="str">
        <f t="shared" si="8"/>
        <v>Ampicilline</v>
      </c>
      <c r="BN39" t="str">
        <f t="shared" si="9"/>
        <v>Colistine</v>
      </c>
      <c r="BO39" t="str">
        <f t="shared" si="10"/>
        <v/>
      </c>
      <c r="BP39" t="str">
        <f t="shared" si="13"/>
        <v>Penicillines + Polypeptides</v>
      </c>
      <c r="BQ39" t="str">
        <f t="shared" si="14"/>
        <v>Penicillines</v>
      </c>
      <c r="BR39" t="str">
        <f t="shared" si="15"/>
        <v>Polypeptides</v>
      </c>
      <c r="BS39" t="str">
        <f t="shared" si="16"/>
        <v/>
      </c>
      <c r="BT39" s="76" t="str">
        <f t="shared" si="17"/>
        <v>Voie parentérale</v>
      </c>
      <c r="BU39" t="str">
        <f t="shared" si="18"/>
        <v>x</v>
      </c>
      <c r="BZ39" s="109" t="s">
        <v>2522</v>
      </c>
      <c r="CA39" s="109" t="s">
        <v>205</v>
      </c>
      <c r="CB39" s="109" t="s">
        <v>4298</v>
      </c>
      <c r="CK39" s="109" t="s">
        <v>1840</v>
      </c>
      <c r="CL39" s="185" t="s">
        <v>4321</v>
      </c>
      <c r="CN39">
        <v>38</v>
      </c>
    </row>
    <row r="40" spans="1:92" x14ac:dyDescent="0.3">
      <c r="A40" s="118" t="s">
        <v>1007</v>
      </c>
      <c r="B40" t="s">
        <v>1008</v>
      </c>
      <c r="C40" t="s">
        <v>807</v>
      </c>
      <c r="D40" s="144" t="s">
        <v>764</v>
      </c>
      <c r="E40" t="s">
        <v>765</v>
      </c>
      <c r="F40" t="s">
        <v>600</v>
      </c>
      <c r="G40" t="s">
        <v>766</v>
      </c>
      <c r="H40" t="s">
        <v>767</v>
      </c>
      <c r="I40" t="s">
        <v>766</v>
      </c>
      <c r="J40" t="s">
        <v>991</v>
      </c>
      <c r="K40" t="s">
        <v>787</v>
      </c>
      <c r="L40" t="s">
        <v>992</v>
      </c>
      <c r="M40" t="s">
        <v>208</v>
      </c>
      <c r="N40" t="s">
        <v>764</v>
      </c>
      <c r="O40" t="s">
        <v>771</v>
      </c>
      <c r="P40" t="s">
        <v>772</v>
      </c>
      <c r="Q40" t="s">
        <v>852</v>
      </c>
      <c r="R40">
        <v>20</v>
      </c>
      <c r="S40">
        <v>3</v>
      </c>
      <c r="T40">
        <v>0</v>
      </c>
      <c r="U40">
        <v>0</v>
      </c>
      <c r="V40">
        <v>20</v>
      </c>
      <c r="W40">
        <v>3</v>
      </c>
      <c r="X40">
        <v>0</v>
      </c>
      <c r="Y40">
        <v>0</v>
      </c>
      <c r="Z40">
        <v>0</v>
      </c>
      <c r="AA40">
        <v>0</v>
      </c>
      <c r="AB40">
        <v>20</v>
      </c>
      <c r="AC40">
        <v>3</v>
      </c>
      <c r="AD40">
        <v>20</v>
      </c>
      <c r="AE40">
        <v>3</v>
      </c>
      <c r="AF40">
        <v>0</v>
      </c>
      <c r="AG40">
        <v>0</v>
      </c>
      <c r="AH40">
        <v>0</v>
      </c>
      <c r="AI40">
        <v>0</v>
      </c>
      <c r="AJ40" t="s">
        <v>914</v>
      </c>
      <c r="AK40" t="s">
        <v>995</v>
      </c>
      <c r="AL40" t="s">
        <v>996</v>
      </c>
      <c r="AM40" t="s">
        <v>997</v>
      </c>
      <c r="AN40" t="s">
        <v>805</v>
      </c>
      <c r="AO40" t="s">
        <v>4371</v>
      </c>
      <c r="AP40" t="s">
        <v>1128</v>
      </c>
      <c r="AY40" t="str">
        <f t="shared" si="0"/>
        <v>ALLEGROCINE</v>
      </c>
      <c r="AZ40" t="str">
        <f>IF(COUNTIF(AY:AY,AY40)=1,AY40,IF(AND(COUNTIF(AY:AY,AY40)&gt;1,COUNTIF(AZ$2:AZ39,AY40)&gt;=1),"",AY40))</f>
        <v>ALLEGROCINE</v>
      </c>
      <c r="BA40">
        <f>IF(AZ40="","",COUNTIFS(AZ$3:AZ$1439,"&lt;"&amp;AZ40,AZ$3:AZ$1439,"&lt;&gt;0")+COUNTIF(AZ$3:AZ40,AZ40)-876)</f>
        <v>21</v>
      </c>
      <c r="BC40">
        <v>38</v>
      </c>
      <c r="BD40" t="str">
        <f t="shared" si="11"/>
        <v>AMPIDEXALONE</v>
      </c>
      <c r="BE40" t="str">
        <f t="shared" si="1"/>
        <v>INJ</v>
      </c>
      <c r="BF40" t="str">
        <f t="shared" si="2"/>
        <v>PENICILLINES</v>
      </c>
      <c r="BG40" t="str">
        <f t="shared" si="3"/>
        <v>POLYPEPTIDES</v>
      </c>
      <c r="BH40" t="str">
        <f t="shared" si="4"/>
        <v/>
      </c>
      <c r="BI40" t="str">
        <f t="shared" si="5"/>
        <v>ampicillin</v>
      </c>
      <c r="BJ40" t="str">
        <f t="shared" si="6"/>
        <v>colistin</v>
      </c>
      <c r="BK40" t="str">
        <f t="shared" si="7"/>
        <v/>
      </c>
      <c r="BL40" t="str">
        <f t="shared" si="12"/>
        <v>Ampicilline + Colistine</v>
      </c>
      <c r="BM40" t="str">
        <f t="shared" si="8"/>
        <v>Ampicilline</v>
      </c>
      <c r="BN40" t="str">
        <f t="shared" si="9"/>
        <v>Colistine</v>
      </c>
      <c r="BO40" t="str">
        <f t="shared" si="10"/>
        <v/>
      </c>
      <c r="BP40" t="str">
        <f t="shared" si="13"/>
        <v>Penicillines + Polypeptides</v>
      </c>
      <c r="BQ40" t="str">
        <f t="shared" si="14"/>
        <v>Penicillines</v>
      </c>
      <c r="BR40" t="str">
        <f t="shared" si="15"/>
        <v>Polypeptides</v>
      </c>
      <c r="BS40" t="str">
        <f t="shared" si="16"/>
        <v/>
      </c>
      <c r="BT40" s="76" t="str">
        <f t="shared" si="17"/>
        <v>Voie parentérale</v>
      </c>
      <c r="BU40" t="str">
        <f t="shared" si="18"/>
        <v>x</v>
      </c>
      <c r="BZ40" s="109" t="s">
        <v>3252</v>
      </c>
      <c r="CA40" s="109" t="s">
        <v>66</v>
      </c>
      <c r="CB40" s="109" t="s">
        <v>4298</v>
      </c>
      <c r="CK40" s="109" t="s">
        <v>3973</v>
      </c>
      <c r="CL40" s="185" t="s">
        <v>4321</v>
      </c>
      <c r="CN40">
        <v>39</v>
      </c>
    </row>
    <row r="41" spans="1:92" x14ac:dyDescent="0.3">
      <c r="A41" s="118" t="s">
        <v>1007</v>
      </c>
      <c r="B41" t="s">
        <v>1009</v>
      </c>
      <c r="C41" t="s">
        <v>809</v>
      </c>
      <c r="D41" s="144" t="s">
        <v>776</v>
      </c>
      <c r="E41" t="s">
        <v>765</v>
      </c>
      <c r="F41" t="s">
        <v>600</v>
      </c>
      <c r="G41" t="s">
        <v>766</v>
      </c>
      <c r="H41" t="s">
        <v>767</v>
      </c>
      <c r="I41" t="s">
        <v>766</v>
      </c>
      <c r="J41" t="s">
        <v>991</v>
      </c>
      <c r="K41" t="s">
        <v>787</v>
      </c>
      <c r="L41" t="s">
        <v>992</v>
      </c>
      <c r="M41" t="s">
        <v>208</v>
      </c>
      <c r="N41" t="s">
        <v>764</v>
      </c>
      <c r="O41" t="s">
        <v>771</v>
      </c>
      <c r="P41" t="s">
        <v>772</v>
      </c>
      <c r="Q41" t="s">
        <v>855</v>
      </c>
      <c r="R41">
        <v>20</v>
      </c>
      <c r="S41">
        <v>3</v>
      </c>
      <c r="T41">
        <v>0</v>
      </c>
      <c r="U41">
        <v>0</v>
      </c>
      <c r="V41">
        <v>20</v>
      </c>
      <c r="W41">
        <v>3</v>
      </c>
      <c r="X41">
        <v>0</v>
      </c>
      <c r="Y41">
        <v>0</v>
      </c>
      <c r="Z41">
        <v>0</v>
      </c>
      <c r="AA41">
        <v>0</v>
      </c>
      <c r="AB41">
        <v>20</v>
      </c>
      <c r="AC41">
        <v>3</v>
      </c>
      <c r="AD41">
        <v>20</v>
      </c>
      <c r="AE41">
        <v>3</v>
      </c>
      <c r="AF41">
        <v>0</v>
      </c>
      <c r="AG41">
        <v>0</v>
      </c>
      <c r="AH41">
        <v>0</v>
      </c>
      <c r="AI41">
        <v>0</v>
      </c>
      <c r="AJ41" t="s">
        <v>914</v>
      </c>
      <c r="AK41" t="s">
        <v>995</v>
      </c>
      <c r="AL41" t="s">
        <v>996</v>
      </c>
      <c r="AM41" t="s">
        <v>997</v>
      </c>
      <c r="AN41" t="s">
        <v>805</v>
      </c>
      <c r="AO41" t="s">
        <v>4371</v>
      </c>
      <c r="AP41" t="s">
        <v>4372</v>
      </c>
      <c r="AY41" t="str">
        <f t="shared" si="0"/>
        <v>ALLEGROCINE</v>
      </c>
      <c r="AZ41" t="str">
        <f>IF(COUNTIF(AY:AY,AY41)=1,AY41,IF(AND(COUNTIF(AY:AY,AY41)&gt;1,COUNTIF(AZ$2:AZ40,AY41)&gt;=1),"",AY41))</f>
        <v/>
      </c>
      <c r="BA41" t="str">
        <f>IF(AZ41="","",COUNTIFS(AZ$3:AZ$1439,"&lt;"&amp;AZ41,AZ$3:AZ$1439,"&lt;&gt;0")+COUNTIF(AZ$3:AZ41,AZ41)-876)</f>
        <v/>
      </c>
      <c r="BC41">
        <v>39</v>
      </c>
      <c r="BD41" t="str">
        <f t="shared" si="11"/>
        <v>AMPIDIAR</v>
      </c>
      <c r="BE41" t="str">
        <f t="shared" si="1"/>
        <v>ORAL</v>
      </c>
      <c r="BF41" t="str">
        <f t="shared" si="2"/>
        <v>SULFAMIDES</v>
      </c>
      <c r="BG41" t="str">
        <f t="shared" si="3"/>
        <v>PENICILLINES</v>
      </c>
      <c r="BH41" t="str">
        <f t="shared" si="4"/>
        <v/>
      </c>
      <c r="BI41" t="str">
        <f t="shared" si="5"/>
        <v>sulfadimethoxine</v>
      </c>
      <c r="BJ41" t="str">
        <f t="shared" si="6"/>
        <v>ampicillin</v>
      </c>
      <c r="BK41" t="str">
        <f t="shared" si="7"/>
        <v/>
      </c>
      <c r="BL41" t="str">
        <f t="shared" si="12"/>
        <v>Sulfadiméthoxine + Ampicilline</v>
      </c>
      <c r="BM41" t="str">
        <f t="shared" si="8"/>
        <v>Sulfadiméthoxine</v>
      </c>
      <c r="BN41" t="str">
        <f t="shared" si="9"/>
        <v>Ampicilline</v>
      </c>
      <c r="BO41" t="str">
        <f t="shared" si="10"/>
        <v/>
      </c>
      <c r="BP41" t="str">
        <f t="shared" si="13"/>
        <v>Sulfamides + Penicillines</v>
      </c>
      <c r="BQ41" t="str">
        <f t="shared" si="14"/>
        <v>Sulfamides</v>
      </c>
      <c r="BR41" t="str">
        <f t="shared" si="15"/>
        <v>Penicillines</v>
      </c>
      <c r="BS41" t="str">
        <f t="shared" si="16"/>
        <v/>
      </c>
      <c r="BT41" s="76" t="str">
        <f t="shared" si="17"/>
        <v>Voie orale  hors prémélanges médicamenteux</v>
      </c>
      <c r="BU41" t="str">
        <f t="shared" si="18"/>
        <v/>
      </c>
      <c r="BZ41" s="109" t="s">
        <v>2837</v>
      </c>
      <c r="CA41" s="109" t="s">
        <v>115</v>
      </c>
      <c r="CB41" s="109" t="s">
        <v>139</v>
      </c>
      <c r="CK41" s="109" t="s">
        <v>1478</v>
      </c>
      <c r="CL41" s="185" t="s">
        <v>4321</v>
      </c>
      <c r="CN41">
        <v>40</v>
      </c>
    </row>
    <row r="42" spans="1:92" x14ac:dyDescent="0.3">
      <c r="A42" s="118" t="s">
        <v>4176</v>
      </c>
      <c r="B42" t="s">
        <v>4177</v>
      </c>
      <c r="C42" t="s">
        <v>1835</v>
      </c>
      <c r="D42" s="144" t="s">
        <v>829</v>
      </c>
      <c r="E42" t="s">
        <v>830</v>
      </c>
      <c r="F42" t="s">
        <v>4589</v>
      </c>
      <c r="G42" t="s">
        <v>831</v>
      </c>
      <c r="H42" t="s">
        <v>4178</v>
      </c>
      <c r="I42" t="s">
        <v>817</v>
      </c>
      <c r="J42" t="s">
        <v>768</v>
      </c>
      <c r="K42" t="s">
        <v>768</v>
      </c>
      <c r="L42" t="s">
        <v>2121</v>
      </c>
      <c r="M42" t="s">
        <v>208</v>
      </c>
      <c r="N42" t="s">
        <v>3557</v>
      </c>
      <c r="O42" t="s">
        <v>894</v>
      </c>
      <c r="P42" t="s">
        <v>772</v>
      </c>
      <c r="Q42" t="s">
        <v>3557</v>
      </c>
      <c r="R42">
        <v>0</v>
      </c>
      <c r="S42">
        <v>0</v>
      </c>
      <c r="T42">
        <v>0</v>
      </c>
      <c r="U42">
        <v>0</v>
      </c>
      <c r="V42">
        <v>0</v>
      </c>
      <c r="W42">
        <v>0</v>
      </c>
      <c r="X42">
        <v>0</v>
      </c>
      <c r="Y42">
        <v>0</v>
      </c>
      <c r="Z42">
        <v>0</v>
      </c>
      <c r="AA42">
        <v>0</v>
      </c>
      <c r="AB42">
        <v>0</v>
      </c>
      <c r="AC42">
        <v>0</v>
      </c>
      <c r="AD42">
        <v>20</v>
      </c>
      <c r="AE42">
        <v>5</v>
      </c>
      <c r="AF42">
        <v>25</v>
      </c>
      <c r="AG42">
        <v>5</v>
      </c>
      <c r="AH42">
        <v>0</v>
      </c>
      <c r="AI42">
        <v>0</v>
      </c>
      <c r="AY42" t="str">
        <f t="shared" si="0"/>
        <v>ALTIDOX 433 MG/G POUDRE POUR ADMINISTRATION DANS L'EAU DE BOISSON POUR PORCS, POULES ET DINDES</v>
      </c>
      <c r="AZ42" t="str">
        <f>IF(COUNTIF(AY:AY,AY42)=1,AY42,IF(AND(COUNTIF(AY:AY,AY42)&gt;1,COUNTIF(AZ$2:AZ41,AY42)&gt;=1),"",AY42))</f>
        <v>ALTIDOX 433 MG/G POUDRE POUR ADMINISTRATION DANS L'EAU DE BOISSON POUR PORCS, POULES ET DINDES</v>
      </c>
      <c r="BA42">
        <f>IF(AZ42="","",COUNTIFS(AZ$3:AZ$1439,"&lt;"&amp;AZ42,AZ$3:AZ$1439,"&lt;&gt;0")+COUNTIF(AZ$3:AZ42,AZ42)-876)</f>
        <v>22</v>
      </c>
      <c r="BC42">
        <v>40</v>
      </c>
      <c r="BD42" t="str">
        <f t="shared" si="11"/>
        <v>AMPIJECT 10 G</v>
      </c>
      <c r="BE42" t="str">
        <f t="shared" si="1"/>
        <v>INJ</v>
      </c>
      <c r="BF42" t="str">
        <f t="shared" si="2"/>
        <v>PENICILLINES</v>
      </c>
      <c r="BG42" t="str">
        <f t="shared" si="3"/>
        <v/>
      </c>
      <c r="BH42" t="str">
        <f t="shared" si="4"/>
        <v/>
      </c>
      <c r="BI42" t="str">
        <f t="shared" si="5"/>
        <v>ampicillin</v>
      </c>
      <c r="BJ42" t="str">
        <f t="shared" si="6"/>
        <v/>
      </c>
      <c r="BK42" t="str">
        <f t="shared" si="7"/>
        <v/>
      </c>
      <c r="BL42" t="str">
        <f t="shared" si="12"/>
        <v>Ampicilline</v>
      </c>
      <c r="BM42" t="str">
        <f t="shared" si="8"/>
        <v>Ampicilline</v>
      </c>
      <c r="BN42" t="str">
        <f t="shared" si="9"/>
        <v/>
      </c>
      <c r="BO42" t="str">
        <f t="shared" si="10"/>
        <v/>
      </c>
      <c r="BP42" t="str">
        <f t="shared" si="13"/>
        <v>Penicillines</v>
      </c>
      <c r="BQ42" t="str">
        <f t="shared" si="14"/>
        <v>Penicillines</v>
      </c>
      <c r="BR42" t="str">
        <f t="shared" si="15"/>
        <v/>
      </c>
      <c r="BS42" t="str">
        <f t="shared" si="16"/>
        <v/>
      </c>
      <c r="BT42" s="76" t="str">
        <f t="shared" si="17"/>
        <v>Voie parentérale</v>
      </c>
      <c r="BU42" t="str">
        <f t="shared" si="18"/>
        <v/>
      </c>
      <c r="BZ42" s="109" t="s">
        <v>2495</v>
      </c>
      <c r="CA42" s="109" t="s">
        <v>28</v>
      </c>
      <c r="CB42" s="109" t="s">
        <v>4297</v>
      </c>
      <c r="CK42" s="109" t="s">
        <v>2361</v>
      </c>
      <c r="CL42" s="185" t="s">
        <v>4321</v>
      </c>
      <c r="CN42">
        <v>41</v>
      </c>
    </row>
    <row r="43" spans="1:92" x14ac:dyDescent="0.3">
      <c r="A43" s="118" t="s">
        <v>4121</v>
      </c>
      <c r="B43" t="s">
        <v>4122</v>
      </c>
      <c r="C43" t="s">
        <v>3610</v>
      </c>
      <c r="D43" s="144" t="s">
        <v>906</v>
      </c>
      <c r="E43" t="s">
        <v>830</v>
      </c>
      <c r="F43" t="s">
        <v>4580</v>
      </c>
      <c r="G43" t="s">
        <v>831</v>
      </c>
      <c r="H43" t="s">
        <v>4123</v>
      </c>
      <c r="I43" t="s">
        <v>817</v>
      </c>
      <c r="J43" t="s">
        <v>787</v>
      </c>
      <c r="K43" t="s">
        <v>787</v>
      </c>
      <c r="L43" t="s">
        <v>1055</v>
      </c>
      <c r="M43" t="s">
        <v>208</v>
      </c>
      <c r="N43" t="s">
        <v>3611</v>
      </c>
      <c r="O43" t="s">
        <v>894</v>
      </c>
      <c r="P43" t="s">
        <v>772</v>
      </c>
      <c r="Q43" t="s">
        <v>3612</v>
      </c>
      <c r="R43">
        <v>0</v>
      </c>
      <c r="S43">
        <v>0</v>
      </c>
      <c r="T43">
        <v>0</v>
      </c>
      <c r="U43">
        <v>0</v>
      </c>
      <c r="V43">
        <v>0</v>
      </c>
      <c r="W43">
        <v>0</v>
      </c>
      <c r="X43">
        <v>0</v>
      </c>
      <c r="Y43">
        <v>0</v>
      </c>
      <c r="Z43">
        <v>0</v>
      </c>
      <c r="AA43">
        <v>0</v>
      </c>
      <c r="AB43">
        <v>0</v>
      </c>
      <c r="AC43">
        <v>0</v>
      </c>
      <c r="AD43">
        <v>14</v>
      </c>
      <c r="AE43">
        <v>5</v>
      </c>
      <c r="AF43">
        <v>14</v>
      </c>
      <c r="AG43">
        <v>5</v>
      </c>
      <c r="AH43">
        <v>0</v>
      </c>
      <c r="AI43">
        <v>0</v>
      </c>
      <c r="AY43" t="str">
        <f t="shared" si="0"/>
        <v>AMATIB 697 MG/G POUDRE ORALE POUR PORCS ET POULES</v>
      </c>
      <c r="AZ43" t="str">
        <f>IF(COUNTIF(AY:AY,AY43)=1,AY43,IF(AND(COUNTIF(AY:AY,AY43)&gt;1,COUNTIF(AZ$2:AZ42,AY43)&gt;=1),"",AY43))</f>
        <v>AMATIB 697 MG/G POUDRE ORALE POUR PORCS ET POULES</v>
      </c>
      <c r="BA43">
        <f>IF(AZ43="","",COUNTIFS(AZ$3:AZ$1439,"&lt;"&amp;AZ43,AZ$3:AZ$1439,"&lt;&gt;0")+COUNTIF(AZ$3:AZ43,AZ43)-876)</f>
        <v>23</v>
      </c>
      <c r="BC43">
        <v>41</v>
      </c>
      <c r="BD43" t="str">
        <f t="shared" si="11"/>
        <v>AMPIMYCINE DEX</v>
      </c>
      <c r="BE43" t="str">
        <f t="shared" si="1"/>
        <v>INJ</v>
      </c>
      <c r="BF43" t="str">
        <f t="shared" si="2"/>
        <v>PENICILLINES</v>
      </c>
      <c r="BG43" t="str">
        <f t="shared" si="3"/>
        <v>POLYPEPTIDES</v>
      </c>
      <c r="BH43" t="str">
        <f t="shared" si="4"/>
        <v/>
      </c>
      <c r="BI43" t="str">
        <f t="shared" si="5"/>
        <v>ampicillin</v>
      </c>
      <c r="BJ43" t="str">
        <f t="shared" si="6"/>
        <v>colistin</v>
      </c>
      <c r="BK43" t="str">
        <f t="shared" si="7"/>
        <v/>
      </c>
      <c r="BL43" t="str">
        <f t="shared" si="12"/>
        <v>Ampicilline + Colistine</v>
      </c>
      <c r="BM43" t="str">
        <f t="shared" si="8"/>
        <v>Ampicilline</v>
      </c>
      <c r="BN43" t="str">
        <f t="shared" si="9"/>
        <v>Colistine</v>
      </c>
      <c r="BO43" t="str">
        <f t="shared" si="10"/>
        <v/>
      </c>
      <c r="BP43" t="str">
        <f t="shared" si="13"/>
        <v>Penicillines + Polypeptides</v>
      </c>
      <c r="BQ43" t="str">
        <f t="shared" si="14"/>
        <v>Penicillines</v>
      </c>
      <c r="BR43" t="str">
        <f t="shared" si="15"/>
        <v>Polypeptides</v>
      </c>
      <c r="BS43" t="str">
        <f t="shared" si="16"/>
        <v/>
      </c>
      <c r="BT43" s="76" t="str">
        <f t="shared" si="17"/>
        <v>Voie parentérale</v>
      </c>
      <c r="BU43" t="str">
        <f t="shared" si="18"/>
        <v>x</v>
      </c>
      <c r="BZ43" s="109" t="s">
        <v>1266</v>
      </c>
      <c r="CA43" s="109" t="s">
        <v>99</v>
      </c>
      <c r="CB43" s="109" t="s">
        <v>8</v>
      </c>
      <c r="CK43" s="109" t="s">
        <v>1937</v>
      </c>
      <c r="CL43" s="185" t="s">
        <v>4321</v>
      </c>
      <c r="CN43">
        <v>42</v>
      </c>
    </row>
    <row r="44" spans="1:92" x14ac:dyDescent="0.3">
      <c r="A44" s="118" t="s">
        <v>4121</v>
      </c>
      <c r="B44" t="s">
        <v>4124</v>
      </c>
      <c r="C44" t="s">
        <v>3556</v>
      </c>
      <c r="D44" s="144" t="s">
        <v>829</v>
      </c>
      <c r="E44" t="s">
        <v>830</v>
      </c>
      <c r="F44" t="s">
        <v>4580</v>
      </c>
      <c r="G44" t="s">
        <v>831</v>
      </c>
      <c r="H44" t="s">
        <v>4123</v>
      </c>
      <c r="I44" t="s">
        <v>817</v>
      </c>
      <c r="J44" t="s">
        <v>787</v>
      </c>
      <c r="K44" t="s">
        <v>787</v>
      </c>
      <c r="L44" t="s">
        <v>1055</v>
      </c>
      <c r="M44" t="s">
        <v>208</v>
      </c>
      <c r="N44" t="s">
        <v>3611</v>
      </c>
      <c r="O44" t="s">
        <v>894</v>
      </c>
      <c r="P44" t="s">
        <v>772</v>
      </c>
      <c r="Q44" t="s">
        <v>3611</v>
      </c>
      <c r="R44">
        <v>0</v>
      </c>
      <c r="S44">
        <v>0</v>
      </c>
      <c r="T44">
        <v>0</v>
      </c>
      <c r="U44">
        <v>0</v>
      </c>
      <c r="V44">
        <v>0</v>
      </c>
      <c r="W44">
        <v>0</v>
      </c>
      <c r="X44">
        <v>0</v>
      </c>
      <c r="Y44">
        <v>0</v>
      </c>
      <c r="Z44">
        <v>0</v>
      </c>
      <c r="AA44">
        <v>0</v>
      </c>
      <c r="AB44">
        <v>0</v>
      </c>
      <c r="AC44">
        <v>0</v>
      </c>
      <c r="AD44">
        <v>14</v>
      </c>
      <c r="AE44">
        <v>5</v>
      </c>
      <c r="AF44">
        <v>14</v>
      </c>
      <c r="AG44">
        <v>5</v>
      </c>
      <c r="AH44">
        <v>0</v>
      </c>
      <c r="AI44">
        <v>0</v>
      </c>
      <c r="AY44" t="str">
        <f t="shared" si="0"/>
        <v>AMATIB 697 MG/G POUDRE ORALE POUR PORCS ET POULES</v>
      </c>
      <c r="AZ44" t="str">
        <f>IF(COUNTIF(AY:AY,AY44)=1,AY44,IF(AND(COUNTIF(AY:AY,AY44)&gt;1,COUNTIF(AZ$2:AZ43,AY44)&gt;=1),"",AY44))</f>
        <v/>
      </c>
      <c r="BA44" t="str">
        <f>IF(AZ44="","",COUNTIFS(AZ$3:AZ$1439,"&lt;"&amp;AZ44,AZ$3:AZ$1439,"&lt;&gt;0")+COUNTIF(AZ$3:AZ44,AZ44)-876)</f>
        <v/>
      </c>
      <c r="BC44">
        <v>42</v>
      </c>
      <c r="BD44" t="str">
        <f t="shared" si="11"/>
        <v>AMPINA</v>
      </c>
      <c r="BE44" t="str">
        <f t="shared" si="1"/>
        <v>ORAL</v>
      </c>
      <c r="BF44" t="str">
        <f t="shared" si="2"/>
        <v>PENICILLINES</v>
      </c>
      <c r="BG44" t="str">
        <f t="shared" si="3"/>
        <v/>
      </c>
      <c r="BH44" t="str">
        <f t="shared" si="4"/>
        <v/>
      </c>
      <c r="BI44" t="str">
        <f t="shared" si="5"/>
        <v>ampicillin</v>
      </c>
      <c r="BJ44" t="str">
        <f t="shared" si="6"/>
        <v/>
      </c>
      <c r="BK44" t="str">
        <f t="shared" si="7"/>
        <v/>
      </c>
      <c r="BL44" t="str">
        <f t="shared" si="12"/>
        <v>Ampicilline</v>
      </c>
      <c r="BM44" t="str">
        <f t="shared" si="8"/>
        <v>Ampicilline</v>
      </c>
      <c r="BN44" t="str">
        <f t="shared" si="9"/>
        <v/>
      </c>
      <c r="BO44" t="str">
        <f t="shared" si="10"/>
        <v/>
      </c>
      <c r="BP44" t="str">
        <f t="shared" si="13"/>
        <v>Penicillines</v>
      </c>
      <c r="BQ44" t="str">
        <f t="shared" si="14"/>
        <v>Penicillines</v>
      </c>
      <c r="BR44" t="str">
        <f t="shared" si="15"/>
        <v/>
      </c>
      <c r="BS44" t="str">
        <f t="shared" si="16"/>
        <v/>
      </c>
      <c r="BT44" s="76" t="str">
        <f t="shared" si="17"/>
        <v>Voie orale  hors prémélanges médicamenteux</v>
      </c>
      <c r="BU44" t="str">
        <f t="shared" si="18"/>
        <v/>
      </c>
      <c r="BZ44" s="109" t="s">
        <v>803</v>
      </c>
      <c r="CA44" s="109" t="s">
        <v>73</v>
      </c>
      <c r="CB44" s="109" t="s">
        <v>19</v>
      </c>
      <c r="CK44" s="109" t="s">
        <v>1962</v>
      </c>
      <c r="CL44" s="185" t="s">
        <v>4321</v>
      </c>
      <c r="CN44">
        <v>43</v>
      </c>
    </row>
    <row r="45" spans="1:92" x14ac:dyDescent="0.3">
      <c r="A45" s="118" t="s">
        <v>3995</v>
      </c>
      <c r="B45" t="s">
        <v>3996</v>
      </c>
      <c r="C45" t="s">
        <v>891</v>
      </c>
      <c r="D45" s="144" t="s">
        <v>829</v>
      </c>
      <c r="E45" t="s">
        <v>830</v>
      </c>
      <c r="F45" t="s">
        <v>233</v>
      </c>
      <c r="G45" t="s">
        <v>831</v>
      </c>
      <c r="H45" t="s">
        <v>1264</v>
      </c>
      <c r="I45" t="s">
        <v>817</v>
      </c>
      <c r="J45" t="s">
        <v>787</v>
      </c>
      <c r="K45" t="s">
        <v>787</v>
      </c>
      <c r="L45" t="s">
        <v>1055</v>
      </c>
      <c r="M45" t="s">
        <v>208</v>
      </c>
      <c r="N45" t="s">
        <v>3611</v>
      </c>
      <c r="O45" t="s">
        <v>894</v>
      </c>
      <c r="P45" t="s">
        <v>772</v>
      </c>
      <c r="Q45" t="s">
        <v>3611</v>
      </c>
      <c r="R45">
        <v>0</v>
      </c>
      <c r="S45">
        <v>0</v>
      </c>
      <c r="T45">
        <v>0</v>
      </c>
      <c r="U45">
        <v>0</v>
      </c>
      <c r="V45">
        <v>0</v>
      </c>
      <c r="W45">
        <v>0</v>
      </c>
      <c r="X45">
        <v>0</v>
      </c>
      <c r="Y45">
        <v>0</v>
      </c>
      <c r="Z45">
        <v>0</v>
      </c>
      <c r="AA45">
        <v>0</v>
      </c>
      <c r="AB45">
        <v>0</v>
      </c>
      <c r="AC45">
        <v>0</v>
      </c>
      <c r="AD45">
        <v>11.2</v>
      </c>
      <c r="AE45">
        <v>5</v>
      </c>
      <c r="AF45">
        <v>20</v>
      </c>
      <c r="AG45">
        <v>5</v>
      </c>
      <c r="AH45">
        <v>0</v>
      </c>
      <c r="AI45">
        <v>0</v>
      </c>
      <c r="AY45" t="str">
        <f t="shared" si="0"/>
        <v>AMDOCYL 697 MG/G POUDRE ORALE POUR PORCS ET POULETS</v>
      </c>
      <c r="AZ45" t="str">
        <f>IF(COUNTIF(AY:AY,AY45)=1,AY45,IF(AND(COUNTIF(AY:AY,AY45)&gt;1,COUNTIF(AZ$2:AZ44,AY45)&gt;=1),"",AY45))</f>
        <v>AMDOCYL 697 MG/G POUDRE ORALE POUR PORCS ET POULETS</v>
      </c>
      <c r="BA45">
        <f>IF(AZ45="","",COUNTIFS(AZ$3:AZ$1439,"&lt;"&amp;AZ45,AZ$3:AZ$1439,"&lt;&gt;0")+COUNTIF(AZ$3:AZ45,AZ45)-876)</f>
        <v>24</v>
      </c>
      <c r="BC45">
        <v>43</v>
      </c>
      <c r="BD45" t="str">
        <f t="shared" si="11"/>
        <v>AMPISOL</v>
      </c>
      <c r="BE45" t="str">
        <f t="shared" si="1"/>
        <v>ORAL</v>
      </c>
      <c r="BF45" t="str">
        <f t="shared" si="2"/>
        <v>PENICILLINES</v>
      </c>
      <c r="BG45" t="str">
        <f t="shared" si="3"/>
        <v/>
      </c>
      <c r="BH45" t="str">
        <f t="shared" si="4"/>
        <v/>
      </c>
      <c r="BI45" t="str">
        <f t="shared" si="5"/>
        <v>ampicillin</v>
      </c>
      <c r="BJ45" t="str">
        <f t="shared" si="6"/>
        <v/>
      </c>
      <c r="BK45" t="str">
        <f t="shared" si="7"/>
        <v/>
      </c>
      <c r="BL45" t="str">
        <f t="shared" si="12"/>
        <v>Ampicilline</v>
      </c>
      <c r="BM45" t="str">
        <f t="shared" si="8"/>
        <v>Ampicilline</v>
      </c>
      <c r="BN45" t="str">
        <f t="shared" si="9"/>
        <v/>
      </c>
      <c r="BO45" t="str">
        <f t="shared" si="10"/>
        <v/>
      </c>
      <c r="BP45" t="str">
        <f t="shared" si="13"/>
        <v>Penicillines</v>
      </c>
      <c r="BQ45" t="str">
        <f t="shared" si="14"/>
        <v>Penicillines</v>
      </c>
      <c r="BR45" t="str">
        <f t="shared" si="15"/>
        <v/>
      </c>
      <c r="BS45" t="str">
        <f t="shared" si="16"/>
        <v/>
      </c>
      <c r="BT45" s="76" t="str">
        <f t="shared" si="17"/>
        <v>Voie orale  hors prémélanges médicamenteux</v>
      </c>
      <c r="BU45" t="str">
        <f t="shared" si="18"/>
        <v/>
      </c>
      <c r="BZ45" s="109" t="s">
        <v>938</v>
      </c>
      <c r="CA45" s="109" t="s">
        <v>77</v>
      </c>
      <c r="CB45" s="109" t="s">
        <v>14</v>
      </c>
      <c r="CK45" s="109" t="s">
        <v>2276</v>
      </c>
      <c r="CL45" s="185" t="s">
        <v>4321</v>
      </c>
      <c r="CN45">
        <v>44</v>
      </c>
    </row>
    <row r="46" spans="1:92" x14ac:dyDescent="0.3">
      <c r="A46" s="118" t="s">
        <v>3995</v>
      </c>
      <c r="B46" t="s">
        <v>4559</v>
      </c>
      <c r="C46" t="s">
        <v>891</v>
      </c>
      <c r="D46" s="144" t="s">
        <v>829</v>
      </c>
      <c r="E46" t="s">
        <v>830</v>
      </c>
      <c r="F46" t="s">
        <v>233</v>
      </c>
      <c r="G46" t="s">
        <v>831</v>
      </c>
      <c r="H46" t="s">
        <v>1264</v>
      </c>
      <c r="I46" t="s">
        <v>817</v>
      </c>
      <c r="J46" t="s">
        <v>787</v>
      </c>
      <c r="K46" t="s">
        <v>787</v>
      </c>
      <c r="L46" t="s">
        <v>1055</v>
      </c>
      <c r="M46" t="s">
        <v>208</v>
      </c>
      <c r="N46" t="s">
        <v>3611</v>
      </c>
      <c r="O46" t="s">
        <v>894</v>
      </c>
      <c r="P46" t="s">
        <v>772</v>
      </c>
      <c r="Q46" t="s">
        <v>3611</v>
      </c>
      <c r="R46">
        <v>0</v>
      </c>
      <c r="S46">
        <v>0</v>
      </c>
      <c r="T46">
        <v>0</v>
      </c>
      <c r="U46">
        <v>0</v>
      </c>
      <c r="V46">
        <v>0</v>
      </c>
      <c r="W46">
        <v>0</v>
      </c>
      <c r="X46">
        <v>0</v>
      </c>
      <c r="Y46">
        <v>0</v>
      </c>
      <c r="Z46">
        <v>0</v>
      </c>
      <c r="AA46">
        <v>0</v>
      </c>
      <c r="AB46">
        <v>0</v>
      </c>
      <c r="AC46">
        <v>0</v>
      </c>
      <c r="AD46">
        <v>11.2</v>
      </c>
      <c r="AE46">
        <v>5</v>
      </c>
      <c r="AF46">
        <v>20</v>
      </c>
      <c r="AG46">
        <v>5</v>
      </c>
      <c r="AH46">
        <v>0</v>
      </c>
      <c r="AI46">
        <v>0</v>
      </c>
      <c r="AY46" t="str">
        <f t="shared" si="0"/>
        <v>AMDOCYL 697 MG/G POUDRE ORALE POUR PORCS ET POULETS</v>
      </c>
      <c r="AZ46" t="str">
        <f>IF(COUNTIF(AY:AY,AY46)=1,AY46,IF(AND(COUNTIF(AY:AY,AY46)&gt;1,COUNTIF(AZ$2:AZ45,AY46)&gt;=1),"",AY46))</f>
        <v/>
      </c>
      <c r="BA46" t="str">
        <f>IF(AZ46="","",COUNTIFS(AZ$3:AZ$1439,"&lt;"&amp;AZ46,AZ$3:AZ$1439,"&lt;&gt;0")+COUNTIF(AZ$3:AZ46,AZ46)-876)</f>
        <v/>
      </c>
      <c r="BC46">
        <v>44</v>
      </c>
      <c r="BD46" t="str">
        <f t="shared" si="11"/>
        <v>ANIMEDAZON SPRAY</v>
      </c>
      <c r="BE46" t="str">
        <f t="shared" si="1"/>
        <v>EXTERNE</v>
      </c>
      <c r="BF46" t="str">
        <f t="shared" si="2"/>
        <v>TETRACYCLINES</v>
      </c>
      <c r="BG46" t="str">
        <f t="shared" si="3"/>
        <v/>
      </c>
      <c r="BH46" t="str">
        <f t="shared" si="4"/>
        <v/>
      </c>
      <c r="BI46" t="str">
        <f t="shared" si="5"/>
        <v>chlortetracycline</v>
      </c>
      <c r="BJ46" t="str">
        <f t="shared" si="6"/>
        <v/>
      </c>
      <c r="BK46" t="str">
        <f t="shared" si="7"/>
        <v/>
      </c>
      <c r="BL46" t="str">
        <f t="shared" si="12"/>
        <v>Chlortétracycline</v>
      </c>
      <c r="BM46" t="str">
        <f t="shared" si="8"/>
        <v>Chlortétracycline</v>
      </c>
      <c r="BN46" t="str">
        <f t="shared" si="9"/>
        <v/>
      </c>
      <c r="BO46" t="str">
        <f t="shared" si="10"/>
        <v/>
      </c>
      <c r="BP46" t="str">
        <f t="shared" si="13"/>
        <v>Tetracyclines</v>
      </c>
      <c r="BQ46" t="str">
        <f t="shared" si="14"/>
        <v>Tetracyclines</v>
      </c>
      <c r="BR46" t="str">
        <f t="shared" si="15"/>
        <v/>
      </c>
      <c r="BS46" t="str">
        <f t="shared" si="16"/>
        <v/>
      </c>
      <c r="BT46" s="76" t="str">
        <f t="shared" si="17"/>
        <v>Voie externe</v>
      </c>
      <c r="BU46" t="str">
        <f t="shared" si="18"/>
        <v/>
      </c>
      <c r="BZ46" s="109" t="s">
        <v>1003</v>
      </c>
      <c r="CA46" s="109" t="s">
        <v>54</v>
      </c>
      <c r="CB46" s="109" t="s">
        <v>14</v>
      </c>
      <c r="CK46" s="109" t="s">
        <v>927</v>
      </c>
      <c r="CL46" s="185" t="s">
        <v>4321</v>
      </c>
      <c r="CN46">
        <v>45</v>
      </c>
    </row>
    <row r="47" spans="1:92" x14ac:dyDescent="0.3">
      <c r="A47" s="118" t="s">
        <v>4607</v>
      </c>
      <c r="B47" t="s">
        <v>4608</v>
      </c>
      <c r="C47" t="s">
        <v>891</v>
      </c>
      <c r="D47" t="s">
        <v>829</v>
      </c>
      <c r="E47" t="s">
        <v>830</v>
      </c>
      <c r="F47" t="s">
        <v>234</v>
      </c>
      <c r="G47" t="s">
        <v>831</v>
      </c>
      <c r="H47" t="s">
        <v>4072</v>
      </c>
      <c r="I47" t="s">
        <v>817</v>
      </c>
      <c r="J47" t="s">
        <v>787</v>
      </c>
      <c r="K47" t="s">
        <v>787</v>
      </c>
      <c r="L47" t="s">
        <v>1055</v>
      </c>
      <c r="M47" t="s">
        <v>208</v>
      </c>
      <c r="N47" t="s">
        <v>3611</v>
      </c>
      <c r="O47" t="s">
        <v>894</v>
      </c>
      <c r="P47" t="s">
        <v>772</v>
      </c>
      <c r="Q47" t="s">
        <v>3611</v>
      </c>
      <c r="R47">
        <v>0</v>
      </c>
      <c r="S47">
        <v>0</v>
      </c>
      <c r="T47">
        <v>0</v>
      </c>
      <c r="U47">
        <v>0</v>
      </c>
      <c r="V47">
        <v>0</v>
      </c>
      <c r="W47">
        <v>0</v>
      </c>
      <c r="X47">
        <v>0</v>
      </c>
      <c r="Y47">
        <v>0</v>
      </c>
      <c r="Z47">
        <v>0</v>
      </c>
      <c r="AA47">
        <v>0</v>
      </c>
      <c r="AB47">
        <v>0</v>
      </c>
      <c r="AC47">
        <v>0</v>
      </c>
      <c r="AD47">
        <v>0</v>
      </c>
      <c r="AE47">
        <v>0</v>
      </c>
      <c r="AF47">
        <v>20</v>
      </c>
      <c r="AG47">
        <v>5</v>
      </c>
      <c r="AH47">
        <v>0</v>
      </c>
      <c r="AI47">
        <v>0</v>
      </c>
      <c r="AY47" t="str">
        <f t="shared" si="0"/>
        <v>AMDOCYL CTD 697 MG/G POUDRE POUR ADMINISTRATION DANS L'EAU DE BOISSON POUR POULES, DINDES ET CANARDS</v>
      </c>
      <c r="AZ47" t="str">
        <f>IF(COUNTIF(AY:AY,AY47)=1,AY47,IF(AND(COUNTIF(AY:AY,AY47)&gt;1,COUNTIF(AZ$2:AZ46,AY47)&gt;=1),"",AY47))</f>
        <v>AMDOCYL CTD 697 MG/G POUDRE POUR ADMINISTRATION DANS L'EAU DE BOISSON POUR POULES, DINDES ET CANARDS</v>
      </c>
      <c r="BA47">
        <f>IF(AZ47="","",COUNTIFS(AZ$3:AZ$1439,"&lt;"&amp;AZ47,AZ$3:AZ$1439,"&lt;&gt;0")+COUNTIF(AZ$3:AZ47,AZ47)-876)</f>
        <v>25</v>
      </c>
      <c r="BC47">
        <v>45</v>
      </c>
      <c r="BD47" t="str">
        <f t="shared" si="11"/>
        <v>ANTI CORYZA MOUREAU</v>
      </c>
      <c r="BE47" t="str">
        <f t="shared" si="1"/>
        <v>ORAL</v>
      </c>
      <c r="BF47" t="str">
        <f t="shared" si="2"/>
        <v>MACROLIDES</v>
      </c>
      <c r="BG47" t="str">
        <f t="shared" si="3"/>
        <v/>
      </c>
      <c r="BH47" t="str">
        <f t="shared" si="4"/>
        <v/>
      </c>
      <c r="BI47" t="str">
        <f t="shared" si="5"/>
        <v>spiramycin</v>
      </c>
      <c r="BJ47" t="str">
        <f t="shared" si="6"/>
        <v/>
      </c>
      <c r="BK47" t="str">
        <f t="shared" si="7"/>
        <v/>
      </c>
      <c r="BL47" t="str">
        <f t="shared" si="12"/>
        <v>Spiramycine</v>
      </c>
      <c r="BM47" t="str">
        <f t="shared" si="8"/>
        <v>Spiramycine</v>
      </c>
      <c r="BN47" t="str">
        <f t="shared" si="9"/>
        <v/>
      </c>
      <c r="BO47" t="str">
        <f t="shared" si="10"/>
        <v/>
      </c>
      <c r="BP47" t="str">
        <f t="shared" si="13"/>
        <v>Macrolides</v>
      </c>
      <c r="BQ47" t="str">
        <f t="shared" si="14"/>
        <v>Macrolides</v>
      </c>
      <c r="BR47" t="str">
        <f t="shared" si="15"/>
        <v/>
      </c>
      <c r="BS47" t="str">
        <f t="shared" si="16"/>
        <v/>
      </c>
      <c r="BT47" s="76" t="str">
        <f t="shared" si="17"/>
        <v>Voie orale  hors prémélanges médicamenteux</v>
      </c>
      <c r="BU47" t="str">
        <f t="shared" si="18"/>
        <v/>
      </c>
      <c r="BZ47" s="109" t="s">
        <v>895</v>
      </c>
      <c r="CA47" s="109" t="s">
        <v>72</v>
      </c>
      <c r="CB47" s="109" t="s">
        <v>14</v>
      </c>
      <c r="CK47" s="109" t="s">
        <v>1674</v>
      </c>
      <c r="CL47" s="185" t="s">
        <v>4321</v>
      </c>
      <c r="CN47">
        <v>46</v>
      </c>
    </row>
    <row r="48" spans="1:92" x14ac:dyDescent="0.3">
      <c r="A48" s="118" t="s">
        <v>1236</v>
      </c>
      <c r="B48" t="s">
        <v>1237</v>
      </c>
      <c r="C48" t="s">
        <v>1238</v>
      </c>
      <c r="D48" s="144" t="s">
        <v>780</v>
      </c>
      <c r="E48" t="s">
        <v>765</v>
      </c>
      <c r="F48" t="s">
        <v>58</v>
      </c>
      <c r="G48" t="s">
        <v>956</v>
      </c>
      <c r="H48" t="s">
        <v>957</v>
      </c>
      <c r="I48" t="s">
        <v>817</v>
      </c>
      <c r="J48" t="s">
        <v>862</v>
      </c>
      <c r="K48" t="s">
        <v>862</v>
      </c>
      <c r="L48" t="s">
        <v>1003</v>
      </c>
      <c r="M48" t="s">
        <v>208</v>
      </c>
      <c r="N48" t="s">
        <v>776</v>
      </c>
      <c r="O48" t="s">
        <v>771</v>
      </c>
      <c r="P48" t="s">
        <v>772</v>
      </c>
      <c r="Q48" t="s">
        <v>1072</v>
      </c>
      <c r="R48">
        <v>0</v>
      </c>
      <c r="S48">
        <v>0</v>
      </c>
      <c r="T48">
        <v>0</v>
      </c>
      <c r="U48">
        <v>0</v>
      </c>
      <c r="V48">
        <v>0</v>
      </c>
      <c r="W48">
        <v>0</v>
      </c>
      <c r="X48">
        <v>0</v>
      </c>
      <c r="Y48">
        <v>0</v>
      </c>
      <c r="Z48">
        <v>50</v>
      </c>
      <c r="AA48">
        <v>8</v>
      </c>
      <c r="AB48">
        <v>0</v>
      </c>
      <c r="AC48">
        <v>0</v>
      </c>
      <c r="AD48">
        <v>0</v>
      </c>
      <c r="AE48">
        <v>0</v>
      </c>
      <c r="AF48">
        <v>25</v>
      </c>
      <c r="AG48">
        <v>6</v>
      </c>
      <c r="AH48">
        <v>0</v>
      </c>
      <c r="AI48">
        <v>0</v>
      </c>
      <c r="AY48" t="str">
        <f t="shared" si="0"/>
        <v>AMIDURENE</v>
      </c>
      <c r="AZ48" t="str">
        <f>IF(COUNTIF(AY:AY,AY48)=1,AY48,IF(AND(COUNTIF(AY:AY,AY48)&gt;1,COUNTIF(AZ$2:AZ47,AY48)&gt;=1),"",AY48))</f>
        <v>AMIDURENE</v>
      </c>
      <c r="BA48">
        <f>IF(AZ48="","",COUNTIFS(AZ$3:AZ$1439,"&lt;"&amp;AZ48,AZ$3:AZ$1439,"&lt;&gt;0")+COUNTIF(AZ$3:AZ48,AZ48)-876)</f>
        <v>26</v>
      </c>
      <c r="BC48">
        <v>46</v>
      </c>
      <c r="BD48" t="str">
        <f t="shared" si="11"/>
        <v>APRALAN APRAMYCINE 20-SJ PORC-LAPIN</v>
      </c>
      <c r="BE48" t="str">
        <f t="shared" si="1"/>
        <v>PM</v>
      </c>
      <c r="BF48" t="str">
        <f t="shared" si="2"/>
        <v>AMINOGLYCOSIDES</v>
      </c>
      <c r="BG48" t="str">
        <f t="shared" si="3"/>
        <v/>
      </c>
      <c r="BH48" t="str">
        <f t="shared" si="4"/>
        <v/>
      </c>
      <c r="BI48" t="str">
        <f t="shared" si="5"/>
        <v>apramycin</v>
      </c>
      <c r="BJ48" t="str">
        <f t="shared" si="6"/>
        <v/>
      </c>
      <c r="BK48" t="str">
        <f t="shared" si="7"/>
        <v/>
      </c>
      <c r="BL48" t="str">
        <f t="shared" si="12"/>
        <v>Apramycine</v>
      </c>
      <c r="BM48" t="str">
        <f t="shared" si="8"/>
        <v>Apramycine</v>
      </c>
      <c r="BN48" t="str">
        <f t="shared" si="9"/>
        <v/>
      </c>
      <c r="BO48" t="str">
        <f t="shared" si="10"/>
        <v/>
      </c>
      <c r="BP48" t="str">
        <f t="shared" si="13"/>
        <v>Aminoglycosides</v>
      </c>
      <c r="BQ48" t="str">
        <f t="shared" si="14"/>
        <v>Aminoglycosides</v>
      </c>
      <c r="BR48" t="str">
        <f t="shared" si="15"/>
        <v/>
      </c>
      <c r="BS48" t="str">
        <f t="shared" si="16"/>
        <v/>
      </c>
      <c r="BT48" s="76" t="str">
        <f t="shared" si="17"/>
        <v>Prémélanges médicamenteux</v>
      </c>
      <c r="BU48" t="str">
        <f t="shared" si="18"/>
        <v/>
      </c>
      <c r="BZ48" s="109" t="s">
        <v>929</v>
      </c>
      <c r="CA48" s="109" t="s">
        <v>29</v>
      </c>
      <c r="CB48" s="109" t="s">
        <v>14</v>
      </c>
      <c r="CK48" s="109" t="s">
        <v>2296</v>
      </c>
      <c r="CL48" s="185" t="s">
        <v>4321</v>
      </c>
      <c r="CN48">
        <v>47</v>
      </c>
    </row>
    <row r="49" spans="1:92" x14ac:dyDescent="0.3">
      <c r="A49" s="118" t="s">
        <v>1236</v>
      </c>
      <c r="B49" t="s">
        <v>1239</v>
      </c>
      <c r="C49" t="s">
        <v>949</v>
      </c>
      <c r="D49" s="144" t="s">
        <v>776</v>
      </c>
      <c r="E49" t="s">
        <v>765</v>
      </c>
      <c r="F49" t="s">
        <v>58</v>
      </c>
      <c r="G49" t="s">
        <v>956</v>
      </c>
      <c r="H49" t="s">
        <v>957</v>
      </c>
      <c r="I49" t="s">
        <v>817</v>
      </c>
      <c r="J49" t="s">
        <v>862</v>
      </c>
      <c r="K49" t="s">
        <v>862</v>
      </c>
      <c r="L49" t="s">
        <v>1003</v>
      </c>
      <c r="M49" t="s">
        <v>208</v>
      </c>
      <c r="N49" t="s">
        <v>776</v>
      </c>
      <c r="O49" t="s">
        <v>771</v>
      </c>
      <c r="P49" t="s">
        <v>772</v>
      </c>
      <c r="Q49" t="s">
        <v>950</v>
      </c>
      <c r="R49">
        <v>0</v>
      </c>
      <c r="S49">
        <v>0</v>
      </c>
      <c r="T49">
        <v>0</v>
      </c>
      <c r="U49">
        <v>0</v>
      </c>
      <c r="V49">
        <v>0</v>
      </c>
      <c r="W49">
        <v>0</v>
      </c>
      <c r="X49">
        <v>0</v>
      </c>
      <c r="Y49">
        <v>0</v>
      </c>
      <c r="Z49">
        <v>50</v>
      </c>
      <c r="AA49">
        <v>8</v>
      </c>
      <c r="AB49">
        <v>0</v>
      </c>
      <c r="AC49">
        <v>0</v>
      </c>
      <c r="AD49">
        <v>0</v>
      </c>
      <c r="AE49">
        <v>0</v>
      </c>
      <c r="AF49">
        <v>25</v>
      </c>
      <c r="AG49">
        <v>6</v>
      </c>
      <c r="AH49">
        <v>0</v>
      </c>
      <c r="AI49">
        <v>0</v>
      </c>
      <c r="AY49" t="str">
        <f t="shared" si="0"/>
        <v>AMIDURENE</v>
      </c>
      <c r="AZ49" t="str">
        <f>IF(COUNTIF(AY:AY,AY49)=1,AY49,IF(AND(COUNTIF(AY:AY,AY49)&gt;1,COUNTIF(AZ$2:AZ48,AY49)&gt;=1),"",AY49))</f>
        <v/>
      </c>
      <c r="BA49" t="str">
        <f>IF(AZ49="","",COUNTIFS(AZ$3:AZ$1439,"&lt;"&amp;AZ49,AZ$3:AZ$1439,"&lt;&gt;0")+COUNTIF(AZ$3:AZ49,AZ49)-876)</f>
        <v/>
      </c>
      <c r="BC49">
        <v>47</v>
      </c>
      <c r="BD49" t="str">
        <f t="shared" si="11"/>
        <v>APRALAN BUVABLE POUDRE POUR ADMINISTRATION DANS L’EAU DE BOISSON/LAIT DE REMPLACEMENT POUR PORCS, VEAUX, POULETS ET LAPINS</v>
      </c>
      <c r="BE49" t="str">
        <f t="shared" si="1"/>
        <v>ORAL</v>
      </c>
      <c r="BF49" t="str">
        <f t="shared" si="2"/>
        <v>AMINOGLYCOSIDES</v>
      </c>
      <c r="BG49" t="str">
        <f t="shared" si="3"/>
        <v/>
      </c>
      <c r="BH49" t="str">
        <f t="shared" si="4"/>
        <v/>
      </c>
      <c r="BI49" t="str">
        <f t="shared" si="5"/>
        <v>apramycin</v>
      </c>
      <c r="BJ49" t="str">
        <f t="shared" si="6"/>
        <v/>
      </c>
      <c r="BK49" t="str">
        <f t="shared" si="7"/>
        <v/>
      </c>
      <c r="BL49" t="str">
        <f t="shared" si="12"/>
        <v>Apramycine</v>
      </c>
      <c r="BM49" t="str">
        <f t="shared" si="8"/>
        <v>Apramycine</v>
      </c>
      <c r="BN49" t="str">
        <f t="shared" si="9"/>
        <v/>
      </c>
      <c r="BO49" t="str">
        <f t="shared" si="10"/>
        <v/>
      </c>
      <c r="BP49" t="str">
        <f t="shared" si="13"/>
        <v>Aminoglycosides</v>
      </c>
      <c r="BQ49" t="str">
        <f t="shared" si="14"/>
        <v>Aminoglycosides</v>
      </c>
      <c r="BR49" t="str">
        <f t="shared" si="15"/>
        <v/>
      </c>
      <c r="BS49" t="str">
        <f t="shared" si="16"/>
        <v/>
      </c>
      <c r="BT49" s="76" t="str">
        <f t="shared" si="17"/>
        <v>Voie orale  hors prémélanges médicamenteux</v>
      </c>
      <c r="BU49" t="str">
        <f t="shared" si="18"/>
        <v/>
      </c>
      <c r="BZ49" s="109" t="s">
        <v>863</v>
      </c>
      <c r="CA49" s="109" t="s">
        <v>123</v>
      </c>
      <c r="CB49" s="109" t="s">
        <v>14</v>
      </c>
      <c r="CK49" s="109" t="s">
        <v>4052</v>
      </c>
      <c r="CL49" s="185" t="s">
        <v>4321</v>
      </c>
      <c r="CN49">
        <v>48</v>
      </c>
    </row>
    <row r="50" spans="1:92" x14ac:dyDescent="0.3">
      <c r="A50" s="118" t="s">
        <v>1236</v>
      </c>
      <c r="B50" t="s">
        <v>1240</v>
      </c>
      <c r="C50" t="s">
        <v>1241</v>
      </c>
      <c r="D50" s="144" t="s">
        <v>829</v>
      </c>
      <c r="E50" t="s">
        <v>765</v>
      </c>
      <c r="F50" t="s">
        <v>58</v>
      </c>
      <c r="G50" t="s">
        <v>956</v>
      </c>
      <c r="H50" t="s">
        <v>957</v>
      </c>
      <c r="I50" t="s">
        <v>817</v>
      </c>
      <c r="J50" t="s">
        <v>862</v>
      </c>
      <c r="K50" t="s">
        <v>862</v>
      </c>
      <c r="L50" t="s">
        <v>1003</v>
      </c>
      <c r="M50" t="s">
        <v>208</v>
      </c>
      <c r="N50" t="s">
        <v>776</v>
      </c>
      <c r="O50" t="s">
        <v>771</v>
      </c>
      <c r="P50" t="s">
        <v>772</v>
      </c>
      <c r="Q50" t="s">
        <v>776</v>
      </c>
      <c r="R50">
        <v>0</v>
      </c>
      <c r="S50">
        <v>0</v>
      </c>
      <c r="T50">
        <v>0</v>
      </c>
      <c r="U50">
        <v>0</v>
      </c>
      <c r="V50">
        <v>0</v>
      </c>
      <c r="W50">
        <v>0</v>
      </c>
      <c r="X50">
        <v>0</v>
      </c>
      <c r="Y50">
        <v>0</v>
      </c>
      <c r="Z50">
        <v>50</v>
      </c>
      <c r="AA50">
        <v>8</v>
      </c>
      <c r="AB50">
        <v>0</v>
      </c>
      <c r="AC50">
        <v>0</v>
      </c>
      <c r="AD50">
        <v>0</v>
      </c>
      <c r="AE50">
        <v>0</v>
      </c>
      <c r="AF50">
        <v>25</v>
      </c>
      <c r="AG50">
        <v>6</v>
      </c>
      <c r="AH50">
        <v>0</v>
      </c>
      <c r="AI50">
        <v>0</v>
      </c>
      <c r="AY50" t="str">
        <f t="shared" si="0"/>
        <v>AMIDURENE</v>
      </c>
      <c r="AZ50" t="str">
        <f>IF(COUNTIF(AY:AY,AY50)=1,AY50,IF(AND(COUNTIF(AY:AY,AY50)&gt;1,COUNTIF(AZ$2:AZ49,AY50)&gt;=1),"",AY50))</f>
        <v/>
      </c>
      <c r="BA50" t="str">
        <f>IF(AZ50="","",COUNTIFS(AZ$3:AZ$1439,"&lt;"&amp;AZ50,AZ$3:AZ$1439,"&lt;&gt;0")+COUNTIF(AZ$3:AZ50,AZ50)-876)</f>
        <v/>
      </c>
      <c r="BC50">
        <v>48</v>
      </c>
      <c r="BD50" t="str">
        <f t="shared" si="11"/>
        <v>APRAVET 100 000 UI/G PREMELANGE MEDICAMENTEUX POUR PORCS ET LAPINS</v>
      </c>
      <c r="BE50" t="str">
        <f t="shared" si="1"/>
        <v>PM</v>
      </c>
      <c r="BF50" t="str">
        <f t="shared" si="2"/>
        <v>AMINOGLYCOSIDES</v>
      </c>
      <c r="BG50" t="str">
        <f t="shared" si="3"/>
        <v/>
      </c>
      <c r="BH50" t="str">
        <f t="shared" si="4"/>
        <v/>
      </c>
      <c r="BI50" t="str">
        <f t="shared" si="5"/>
        <v>apramycin</v>
      </c>
      <c r="BJ50" t="str">
        <f t="shared" si="6"/>
        <v/>
      </c>
      <c r="BK50" t="str">
        <f t="shared" si="7"/>
        <v/>
      </c>
      <c r="BL50" t="str">
        <f t="shared" si="12"/>
        <v>Apramycine</v>
      </c>
      <c r="BM50" t="str">
        <f t="shared" si="8"/>
        <v>Apramycine</v>
      </c>
      <c r="BN50" t="str">
        <f t="shared" si="9"/>
        <v/>
      </c>
      <c r="BO50" t="str">
        <f t="shared" si="10"/>
        <v/>
      </c>
      <c r="BP50" t="str">
        <f t="shared" si="13"/>
        <v>Aminoglycosides</v>
      </c>
      <c r="BQ50" t="str">
        <f t="shared" si="14"/>
        <v>Aminoglycosides</v>
      </c>
      <c r="BR50" t="str">
        <f t="shared" si="15"/>
        <v/>
      </c>
      <c r="BS50" t="str">
        <f t="shared" si="16"/>
        <v/>
      </c>
      <c r="BT50" s="76" t="str">
        <f t="shared" si="17"/>
        <v>Prémélanges médicamenteux</v>
      </c>
      <c r="BU50" t="str">
        <f t="shared" si="18"/>
        <v/>
      </c>
      <c r="BZ50" s="109" t="s">
        <v>1943</v>
      </c>
      <c r="CA50" s="109" t="s">
        <v>161</v>
      </c>
      <c r="CB50" s="109" t="s">
        <v>14</v>
      </c>
      <c r="CK50" s="109" t="s">
        <v>767</v>
      </c>
      <c r="CL50" s="185" t="s">
        <v>4321</v>
      </c>
      <c r="CN50">
        <v>49</v>
      </c>
    </row>
    <row r="51" spans="1:92" x14ac:dyDescent="0.3">
      <c r="A51" s="118" t="s">
        <v>1236</v>
      </c>
      <c r="B51" t="s">
        <v>1242</v>
      </c>
      <c r="C51" t="s">
        <v>1243</v>
      </c>
      <c r="D51" s="144" t="s">
        <v>955</v>
      </c>
      <c r="E51" t="s">
        <v>765</v>
      </c>
      <c r="F51" t="s">
        <v>58</v>
      </c>
      <c r="G51" t="s">
        <v>956</v>
      </c>
      <c r="H51" t="s">
        <v>957</v>
      </c>
      <c r="I51" t="s">
        <v>817</v>
      </c>
      <c r="J51" t="s">
        <v>862</v>
      </c>
      <c r="K51" t="s">
        <v>862</v>
      </c>
      <c r="L51" t="s">
        <v>1003</v>
      </c>
      <c r="M51" t="s">
        <v>208</v>
      </c>
      <c r="N51" t="s">
        <v>776</v>
      </c>
      <c r="O51" t="s">
        <v>771</v>
      </c>
      <c r="P51" t="s">
        <v>772</v>
      </c>
      <c r="Q51" t="s">
        <v>1244</v>
      </c>
      <c r="R51">
        <v>0</v>
      </c>
      <c r="S51">
        <v>0</v>
      </c>
      <c r="T51">
        <v>0</v>
      </c>
      <c r="U51">
        <v>0</v>
      </c>
      <c r="V51">
        <v>0</v>
      </c>
      <c r="W51">
        <v>0</v>
      </c>
      <c r="X51">
        <v>0</v>
      </c>
      <c r="Y51">
        <v>0</v>
      </c>
      <c r="Z51">
        <v>50</v>
      </c>
      <c r="AA51">
        <v>8</v>
      </c>
      <c r="AB51">
        <v>0</v>
      </c>
      <c r="AC51">
        <v>0</v>
      </c>
      <c r="AD51">
        <v>0</v>
      </c>
      <c r="AE51">
        <v>0</v>
      </c>
      <c r="AF51">
        <v>25</v>
      </c>
      <c r="AG51">
        <v>6</v>
      </c>
      <c r="AH51">
        <v>0</v>
      </c>
      <c r="AI51">
        <v>0</v>
      </c>
      <c r="AY51" t="str">
        <f t="shared" si="0"/>
        <v>AMIDURENE</v>
      </c>
      <c r="AZ51" t="str">
        <f>IF(COUNTIF(AY:AY,AY51)=1,AY51,IF(AND(COUNTIF(AY:AY,AY51)&gt;1,COUNTIF(AZ$2:AZ50,AY51)&gt;=1),"",AY51))</f>
        <v/>
      </c>
      <c r="BA51" t="str">
        <f>IF(AZ51="","",COUNTIFS(AZ$3:AZ$1439,"&lt;"&amp;AZ51,AZ$3:AZ$1439,"&lt;&gt;0")+COUNTIF(AZ$3:AZ51,AZ51)-876)</f>
        <v/>
      </c>
      <c r="BC51">
        <v>49</v>
      </c>
      <c r="BD51" t="str">
        <f t="shared" si="11"/>
        <v>APRAVET 552 UI / MG, POUDRE POUR ADMINISTRATION DANS L'EAU DE BOISSON / LE LAIT POUR PORCINS, VEAUX, POULETS ET LAPINS</v>
      </c>
      <c r="BE51" t="str">
        <f t="shared" si="1"/>
        <v>ORAL</v>
      </c>
      <c r="BF51" t="str">
        <f t="shared" si="2"/>
        <v>AMINOGLYCOSIDES</v>
      </c>
      <c r="BG51" t="str">
        <f t="shared" si="3"/>
        <v/>
      </c>
      <c r="BH51" t="str">
        <f t="shared" si="4"/>
        <v/>
      </c>
      <c r="BI51" t="str">
        <f t="shared" si="5"/>
        <v>apramycin</v>
      </c>
      <c r="BJ51" t="str">
        <f t="shared" si="6"/>
        <v/>
      </c>
      <c r="BK51" t="str">
        <f t="shared" si="7"/>
        <v/>
      </c>
      <c r="BL51" t="str">
        <f t="shared" si="12"/>
        <v>Apramycine</v>
      </c>
      <c r="BM51" t="str">
        <f t="shared" si="8"/>
        <v>Apramycine</v>
      </c>
      <c r="BN51" t="str">
        <f t="shared" si="9"/>
        <v/>
      </c>
      <c r="BO51" t="str">
        <f t="shared" si="10"/>
        <v/>
      </c>
      <c r="BP51" t="str">
        <f t="shared" si="13"/>
        <v>Aminoglycosides</v>
      </c>
      <c r="BQ51" t="str">
        <f t="shared" si="14"/>
        <v>Aminoglycosides</v>
      </c>
      <c r="BR51" t="str">
        <f t="shared" si="15"/>
        <v/>
      </c>
      <c r="BS51" t="str">
        <f t="shared" si="16"/>
        <v/>
      </c>
      <c r="BT51" s="76" t="str">
        <f t="shared" si="17"/>
        <v>Voie orale  hors prémélanges médicamenteux</v>
      </c>
      <c r="BU51" t="str">
        <f t="shared" si="18"/>
        <v/>
      </c>
      <c r="BZ51" s="109" t="s">
        <v>1409</v>
      </c>
      <c r="CA51" s="109" t="s">
        <v>13</v>
      </c>
      <c r="CB51" s="109" t="s">
        <v>14</v>
      </c>
      <c r="CK51" s="109" t="s">
        <v>1829</v>
      </c>
      <c r="CL51" s="185" t="s">
        <v>4321</v>
      </c>
      <c r="CN51">
        <v>50</v>
      </c>
    </row>
    <row r="52" spans="1:92" x14ac:dyDescent="0.3">
      <c r="A52" s="118" t="s">
        <v>4035</v>
      </c>
      <c r="B52" t="s">
        <v>4036</v>
      </c>
      <c r="C52" t="s">
        <v>2990</v>
      </c>
      <c r="D52" s="144" t="s">
        <v>776</v>
      </c>
      <c r="E52" t="s">
        <v>813</v>
      </c>
      <c r="F52" t="s">
        <v>4037</v>
      </c>
      <c r="G52" t="s">
        <v>815</v>
      </c>
      <c r="H52" t="s">
        <v>860</v>
      </c>
      <c r="I52" t="s">
        <v>817</v>
      </c>
      <c r="J52" t="s">
        <v>787</v>
      </c>
      <c r="K52" t="s">
        <v>787</v>
      </c>
      <c r="L52" t="s">
        <v>1055</v>
      </c>
      <c r="M52" t="s">
        <v>208</v>
      </c>
      <c r="N52" t="s">
        <v>776</v>
      </c>
      <c r="O52" t="s">
        <v>824</v>
      </c>
      <c r="P52" t="s">
        <v>772</v>
      </c>
      <c r="Q52" t="s">
        <v>950</v>
      </c>
      <c r="R52">
        <v>0</v>
      </c>
      <c r="S52">
        <v>0</v>
      </c>
      <c r="T52">
        <v>20</v>
      </c>
      <c r="U52">
        <v>7</v>
      </c>
      <c r="V52">
        <v>0</v>
      </c>
      <c r="W52">
        <v>0</v>
      </c>
      <c r="X52">
        <v>0</v>
      </c>
      <c r="Y52">
        <v>0</v>
      </c>
      <c r="Z52">
        <v>0</v>
      </c>
      <c r="AA52">
        <v>0</v>
      </c>
      <c r="AB52">
        <v>0</v>
      </c>
      <c r="AC52">
        <v>0</v>
      </c>
      <c r="AD52">
        <v>0</v>
      </c>
      <c r="AE52">
        <v>0</v>
      </c>
      <c r="AF52">
        <v>0</v>
      </c>
      <c r="AG52">
        <v>0</v>
      </c>
      <c r="AH52">
        <v>0</v>
      </c>
      <c r="AI52">
        <v>0</v>
      </c>
      <c r="AY52" t="str">
        <f t="shared" si="0"/>
        <v/>
      </c>
      <c r="AZ52" t="str">
        <f>IF(COUNTIF(AY:AY,AY52)=1,AY52,IF(AND(COUNTIF(AY:AY,AY52)&gt;1,COUNTIF(AZ$2:AZ51,AY52)&gt;=1),"",AY52))</f>
        <v/>
      </c>
      <c r="BA52" t="str">
        <f>IF(AZ52="","",COUNTIFS(AZ$3:AZ$1439,"&lt;"&amp;AZ52,AZ$3:AZ$1439,"&lt;&gt;0")+COUNTIF(AZ$3:AZ52,AZ52)-876)</f>
        <v/>
      </c>
      <c r="BC52">
        <v>50</v>
      </c>
      <c r="BD52" t="str">
        <f t="shared" si="11"/>
        <v>ARENTOR DC 250 MG SUSPENSION INTRAMAMMAIRE POUR VACHES TARIES</v>
      </c>
      <c r="BE52" t="str">
        <f t="shared" si="1"/>
        <v>INTRAMAM</v>
      </c>
      <c r="BF52" t="str">
        <f t="shared" si="2"/>
        <v>CEPHALOSPORINES 1&amp;2G</v>
      </c>
      <c r="BG52" t="str">
        <f t="shared" si="3"/>
        <v/>
      </c>
      <c r="BH52" t="str">
        <f t="shared" si="4"/>
        <v/>
      </c>
      <c r="BI52" t="str">
        <f t="shared" si="5"/>
        <v>cefalonium</v>
      </c>
      <c r="BJ52" t="str">
        <f t="shared" si="6"/>
        <v/>
      </c>
      <c r="BK52" t="str">
        <f t="shared" si="7"/>
        <v/>
      </c>
      <c r="BL52" t="str">
        <f t="shared" si="12"/>
        <v>Céfalonium</v>
      </c>
      <c r="BM52" t="str">
        <f t="shared" si="8"/>
        <v>Céfalonium</v>
      </c>
      <c r="BN52" t="str">
        <f t="shared" si="9"/>
        <v/>
      </c>
      <c r="BO52" t="str">
        <f t="shared" si="10"/>
        <v/>
      </c>
      <c r="BP52" t="str">
        <f t="shared" si="13"/>
        <v>Cephalosporines 1&amp;2G</v>
      </c>
      <c r="BQ52" t="str">
        <f t="shared" si="14"/>
        <v>Cephalosporines 1&amp;2G</v>
      </c>
      <c r="BR52" t="str">
        <f t="shared" si="15"/>
        <v/>
      </c>
      <c r="BS52" t="str">
        <f t="shared" si="16"/>
        <v/>
      </c>
      <c r="BT52" s="76" t="str">
        <f t="shared" si="17"/>
        <v>Voie intramammaire</v>
      </c>
      <c r="BU52" t="str">
        <f t="shared" si="18"/>
        <v/>
      </c>
      <c r="BZ52" s="109" t="s">
        <v>1466</v>
      </c>
      <c r="CA52" s="109" t="s">
        <v>110</v>
      </c>
      <c r="CB52" s="109" t="s">
        <v>14</v>
      </c>
      <c r="CK52" s="109" t="s">
        <v>1966</v>
      </c>
      <c r="CL52" s="185" t="s">
        <v>4321</v>
      </c>
      <c r="CN52">
        <v>51</v>
      </c>
    </row>
    <row r="53" spans="1:92" x14ac:dyDescent="0.3">
      <c r="A53" s="118" t="s">
        <v>4032</v>
      </c>
      <c r="B53" t="s">
        <v>4033</v>
      </c>
      <c r="C53" t="s">
        <v>2990</v>
      </c>
      <c r="D53" s="144" t="s">
        <v>776</v>
      </c>
      <c r="E53" t="s">
        <v>813</v>
      </c>
      <c r="F53" t="s">
        <v>4034</v>
      </c>
      <c r="G53" t="s">
        <v>815</v>
      </c>
      <c r="H53" t="s">
        <v>816</v>
      </c>
      <c r="I53" t="s">
        <v>817</v>
      </c>
      <c r="J53" t="s">
        <v>787</v>
      </c>
      <c r="K53" t="s">
        <v>787</v>
      </c>
      <c r="L53" t="s">
        <v>1055</v>
      </c>
      <c r="M53" t="s">
        <v>208</v>
      </c>
      <c r="N53" t="s">
        <v>780</v>
      </c>
      <c r="O53" t="s">
        <v>824</v>
      </c>
      <c r="P53" t="s">
        <v>772</v>
      </c>
      <c r="Q53" t="s">
        <v>1072</v>
      </c>
      <c r="R53">
        <v>0</v>
      </c>
      <c r="S53">
        <v>0</v>
      </c>
      <c r="T53">
        <v>20</v>
      </c>
      <c r="U53">
        <v>7</v>
      </c>
      <c r="V53">
        <v>0</v>
      </c>
      <c r="W53">
        <v>0</v>
      </c>
      <c r="X53">
        <v>0</v>
      </c>
      <c r="Y53">
        <v>0</v>
      </c>
      <c r="Z53">
        <v>0</v>
      </c>
      <c r="AA53">
        <v>0</v>
      </c>
      <c r="AB53">
        <v>0</v>
      </c>
      <c r="AC53">
        <v>0</v>
      </c>
      <c r="AD53">
        <v>0</v>
      </c>
      <c r="AE53">
        <v>0</v>
      </c>
      <c r="AF53">
        <v>0</v>
      </c>
      <c r="AG53">
        <v>0</v>
      </c>
      <c r="AH53">
        <v>0</v>
      </c>
      <c r="AI53">
        <v>0</v>
      </c>
      <c r="AY53" t="str">
        <f t="shared" si="0"/>
        <v/>
      </c>
      <c r="AZ53" t="str">
        <f>IF(COUNTIF(AY:AY,AY53)=1,AY53,IF(AND(COUNTIF(AY:AY,AY53)&gt;1,COUNTIF(AZ$2:AZ52,AY53)&gt;=1),"",AY53))</f>
        <v/>
      </c>
      <c r="BA53" t="str">
        <f>IF(AZ53="","",COUNTIFS(AZ$3:AZ$1439,"&lt;"&amp;AZ53,AZ$3:AZ$1439,"&lt;&gt;0")+COUNTIF(AZ$3:AZ53,AZ53)-876)</f>
        <v/>
      </c>
      <c r="BC53">
        <v>51</v>
      </c>
      <c r="BD53" t="str">
        <f t="shared" si="11"/>
        <v>AUREOMYCINE MERIAL</v>
      </c>
      <c r="BE53" t="str">
        <f t="shared" si="1"/>
        <v>INTRAUT</v>
      </c>
      <c r="BF53" t="str">
        <f t="shared" si="2"/>
        <v>TETRACYCLINES</v>
      </c>
      <c r="BG53" t="str">
        <f t="shared" si="3"/>
        <v/>
      </c>
      <c r="BH53" t="str">
        <f t="shared" si="4"/>
        <v/>
      </c>
      <c r="BI53" t="str">
        <f t="shared" si="5"/>
        <v>chlortetracycline</v>
      </c>
      <c r="BJ53" t="str">
        <f t="shared" si="6"/>
        <v/>
      </c>
      <c r="BK53" t="str">
        <f t="shared" si="7"/>
        <v/>
      </c>
      <c r="BL53" t="str">
        <f t="shared" si="12"/>
        <v>Chlortétracycline</v>
      </c>
      <c r="BM53" t="str">
        <f t="shared" si="8"/>
        <v>Chlortétracycline</v>
      </c>
      <c r="BN53" t="str">
        <f t="shared" si="9"/>
        <v/>
      </c>
      <c r="BO53" t="str">
        <f t="shared" si="10"/>
        <v/>
      </c>
      <c r="BP53" t="str">
        <f t="shared" si="13"/>
        <v>Tetracyclines</v>
      </c>
      <c r="BQ53" t="str">
        <f t="shared" si="14"/>
        <v>Tetracyclines</v>
      </c>
      <c r="BR53" t="str">
        <f t="shared" si="15"/>
        <v/>
      </c>
      <c r="BS53" t="str">
        <f t="shared" si="16"/>
        <v/>
      </c>
      <c r="BT53" s="76" t="str">
        <f t="shared" si="17"/>
        <v>Voie intra-utérine</v>
      </c>
      <c r="BU53" t="str">
        <f t="shared" si="18"/>
        <v/>
      </c>
      <c r="BZ53" s="109" t="s">
        <v>1158</v>
      </c>
      <c r="CA53" s="109" t="s">
        <v>136</v>
      </c>
      <c r="CB53" s="109" t="s">
        <v>14</v>
      </c>
      <c r="CK53" s="109" t="s">
        <v>1288</v>
      </c>
      <c r="CL53" s="185" t="s">
        <v>4321</v>
      </c>
      <c r="CN53">
        <v>52</v>
      </c>
    </row>
    <row r="54" spans="1:92" x14ac:dyDescent="0.3">
      <c r="A54" s="118" t="s">
        <v>4038</v>
      </c>
      <c r="B54" t="s">
        <v>4039</v>
      </c>
      <c r="C54" t="s">
        <v>2990</v>
      </c>
      <c r="D54" s="144" t="s">
        <v>776</v>
      </c>
      <c r="E54" t="s">
        <v>813</v>
      </c>
      <c r="F54" t="s">
        <v>4040</v>
      </c>
      <c r="G54" t="s">
        <v>815</v>
      </c>
      <c r="H54" t="s">
        <v>860</v>
      </c>
      <c r="I54" t="s">
        <v>817</v>
      </c>
      <c r="J54" t="s">
        <v>787</v>
      </c>
      <c r="K54" t="s">
        <v>787</v>
      </c>
      <c r="L54" t="s">
        <v>1055</v>
      </c>
      <c r="M54" t="s">
        <v>208</v>
      </c>
      <c r="N54" t="s">
        <v>906</v>
      </c>
      <c r="O54" t="s">
        <v>824</v>
      </c>
      <c r="P54" t="s">
        <v>772</v>
      </c>
      <c r="Q54" t="s">
        <v>1125</v>
      </c>
      <c r="R54">
        <v>0</v>
      </c>
      <c r="S54">
        <v>0</v>
      </c>
      <c r="T54">
        <v>20</v>
      </c>
      <c r="U54">
        <v>7</v>
      </c>
      <c r="V54">
        <v>0</v>
      </c>
      <c r="W54">
        <v>0</v>
      </c>
      <c r="X54">
        <v>0</v>
      </c>
      <c r="Y54">
        <v>0</v>
      </c>
      <c r="Z54">
        <v>0</v>
      </c>
      <c r="AA54">
        <v>0</v>
      </c>
      <c r="AB54">
        <v>0</v>
      </c>
      <c r="AC54">
        <v>0</v>
      </c>
      <c r="AD54">
        <v>0</v>
      </c>
      <c r="AE54">
        <v>0</v>
      </c>
      <c r="AF54">
        <v>0</v>
      </c>
      <c r="AG54">
        <v>0</v>
      </c>
      <c r="AH54">
        <v>0</v>
      </c>
      <c r="AI54">
        <v>0</v>
      </c>
      <c r="AY54" t="str">
        <f t="shared" si="0"/>
        <v/>
      </c>
      <c r="AZ54" t="str">
        <f>IF(COUNTIF(AY:AY,AY54)=1,AY54,IF(AND(COUNTIF(AY:AY,AY54)&gt;1,COUNTIF(AZ$2:AZ53,AY54)&gt;=1),"",AY54))</f>
        <v/>
      </c>
      <c r="BA54" t="str">
        <f>IF(AZ54="","",COUNTIFS(AZ$3:AZ$1439,"&lt;"&amp;AZ54,AZ$3:AZ$1439,"&lt;&gt;0")+COUNTIF(AZ$3:AZ54,AZ54)-876)</f>
        <v/>
      </c>
      <c r="BC54">
        <v>52</v>
      </c>
      <c r="BD54" t="str">
        <f t="shared" si="11"/>
        <v>AUROFAC CHLORTETRACYCLINE 93 PORC ET AGNEAU-CHEVREAU SEVRES</v>
      </c>
      <c r="BE54" t="str">
        <f t="shared" si="1"/>
        <v>PM</v>
      </c>
      <c r="BF54" t="str">
        <f t="shared" si="2"/>
        <v>TETRACYCLINES</v>
      </c>
      <c r="BG54" t="str">
        <f t="shared" si="3"/>
        <v/>
      </c>
      <c r="BH54" t="str">
        <f t="shared" si="4"/>
        <v/>
      </c>
      <c r="BI54" t="str">
        <f t="shared" si="5"/>
        <v>chlortetracycline</v>
      </c>
      <c r="BJ54" t="str">
        <f t="shared" si="6"/>
        <v/>
      </c>
      <c r="BK54" t="str">
        <f t="shared" si="7"/>
        <v/>
      </c>
      <c r="BL54" t="str">
        <f t="shared" si="12"/>
        <v>Chlortétracycline</v>
      </c>
      <c r="BM54" t="str">
        <f t="shared" si="8"/>
        <v>Chlortétracycline</v>
      </c>
      <c r="BN54" t="str">
        <f t="shared" si="9"/>
        <v/>
      </c>
      <c r="BO54" t="str">
        <f t="shared" si="10"/>
        <v/>
      </c>
      <c r="BP54" t="str">
        <f t="shared" si="13"/>
        <v>Tetracyclines</v>
      </c>
      <c r="BQ54" t="str">
        <f t="shared" si="14"/>
        <v>Tetracyclines</v>
      </c>
      <c r="BR54" t="str">
        <f t="shared" si="15"/>
        <v/>
      </c>
      <c r="BS54" t="str">
        <f t="shared" si="16"/>
        <v/>
      </c>
      <c r="BT54" s="76" t="str">
        <f t="shared" si="17"/>
        <v>Prémélanges médicamenteux</v>
      </c>
      <c r="BU54" t="str">
        <f t="shared" si="18"/>
        <v/>
      </c>
      <c r="BZ54" s="109" t="s">
        <v>1051</v>
      </c>
      <c r="CA54" s="109" t="s">
        <v>12</v>
      </c>
      <c r="CB54" s="109" t="s">
        <v>4300</v>
      </c>
      <c r="CK54" s="109" t="s">
        <v>1883</v>
      </c>
      <c r="CL54" s="185" t="s">
        <v>4321</v>
      </c>
      <c r="CN54">
        <v>53</v>
      </c>
    </row>
    <row r="55" spans="1:92" x14ac:dyDescent="0.3">
      <c r="A55" s="118" t="s">
        <v>3233</v>
      </c>
      <c r="B55" t="s">
        <v>3234</v>
      </c>
      <c r="C55" t="s">
        <v>1062</v>
      </c>
      <c r="D55" s="144" t="s">
        <v>1063</v>
      </c>
      <c r="E55" t="s">
        <v>830</v>
      </c>
      <c r="F55" t="s">
        <v>235</v>
      </c>
      <c r="G55" t="s">
        <v>1064</v>
      </c>
      <c r="H55" t="s">
        <v>1213</v>
      </c>
      <c r="I55" t="s">
        <v>1066</v>
      </c>
      <c r="J55" t="s">
        <v>787</v>
      </c>
      <c r="K55" t="s">
        <v>787</v>
      </c>
      <c r="L55" t="s">
        <v>1055</v>
      </c>
      <c r="M55" t="s">
        <v>208</v>
      </c>
      <c r="N55" t="s">
        <v>780</v>
      </c>
      <c r="O55" t="s">
        <v>894</v>
      </c>
      <c r="P55" t="s">
        <v>772</v>
      </c>
      <c r="Q55" t="s">
        <v>1244</v>
      </c>
      <c r="R55">
        <v>0</v>
      </c>
      <c r="S55">
        <v>0</v>
      </c>
      <c r="T55">
        <v>0</v>
      </c>
      <c r="U55">
        <v>0</v>
      </c>
      <c r="V55">
        <v>0</v>
      </c>
      <c r="W55">
        <v>0</v>
      </c>
      <c r="X55">
        <v>0</v>
      </c>
      <c r="Y55">
        <v>0</v>
      </c>
      <c r="Z55">
        <v>0</v>
      </c>
      <c r="AA55">
        <v>0</v>
      </c>
      <c r="AB55">
        <v>0</v>
      </c>
      <c r="AC55">
        <v>0</v>
      </c>
      <c r="AD55">
        <v>15</v>
      </c>
      <c r="AE55">
        <v>15</v>
      </c>
      <c r="AF55">
        <v>0</v>
      </c>
      <c r="AG55">
        <v>0</v>
      </c>
      <c r="AH55">
        <v>0</v>
      </c>
      <c r="AI55">
        <v>0</v>
      </c>
      <c r="AY55" t="str">
        <f t="shared" si="0"/>
        <v>AMOXICILLINE CALIER GLOBULIT 50 MG/G PREMELANGE MEDICAMENTEUX</v>
      </c>
      <c r="AZ55" t="str">
        <f>IF(COUNTIF(AY:AY,AY55)=1,AY55,IF(AND(COUNTIF(AY:AY,AY55)&gt;1,COUNTIF(AZ$2:AZ54,AY55)&gt;=1),"",AY55))</f>
        <v>AMOXICILLINE CALIER GLOBULIT 50 MG/G PREMELANGE MEDICAMENTEUX</v>
      </c>
      <c r="BA55">
        <f>IF(AZ55="","",COUNTIFS(AZ$3:AZ$1439,"&lt;"&amp;AZ55,AZ$3:AZ$1439,"&lt;&gt;0")+COUNTIF(AZ$3:AZ55,AZ55)-876)</f>
        <v>27</v>
      </c>
      <c r="BC55">
        <v>53</v>
      </c>
      <c r="BD55" t="str">
        <f t="shared" si="11"/>
        <v>AVEMIX N° 150</v>
      </c>
      <c r="BE55" t="str">
        <f t="shared" si="1"/>
        <v>ORAL</v>
      </c>
      <c r="BF55" t="str">
        <f t="shared" si="2"/>
        <v>SULFAMIDES</v>
      </c>
      <c r="BG55" t="str">
        <f t="shared" si="3"/>
        <v>TRIMETHOPRIME</v>
      </c>
      <c r="BH55" t="str">
        <f t="shared" si="4"/>
        <v/>
      </c>
      <c r="BI55" t="str">
        <f t="shared" si="5"/>
        <v>sulfamethoxypyridazine</v>
      </c>
      <c r="BJ55" t="str">
        <f t="shared" si="6"/>
        <v>trimethoprim</v>
      </c>
      <c r="BK55" t="str">
        <f t="shared" si="7"/>
        <v/>
      </c>
      <c r="BL55" t="str">
        <f t="shared" si="12"/>
        <v>Sulfaméthoxypyridazine + Triméthoprime</v>
      </c>
      <c r="BM55" t="str">
        <f t="shared" si="8"/>
        <v>Sulfaméthoxypyridazine</v>
      </c>
      <c r="BN55" t="str">
        <f t="shared" si="9"/>
        <v>Triméthoprime</v>
      </c>
      <c r="BO55" t="str">
        <f t="shared" si="10"/>
        <v/>
      </c>
      <c r="BP55" t="str">
        <f t="shared" si="13"/>
        <v>Sulfamides + Trimethoprime</v>
      </c>
      <c r="BQ55" t="str">
        <f t="shared" si="14"/>
        <v>Sulfamides</v>
      </c>
      <c r="BR55" t="str">
        <f t="shared" si="15"/>
        <v>Trimethoprime</v>
      </c>
      <c r="BS55" t="str">
        <f t="shared" si="16"/>
        <v/>
      </c>
      <c r="BT55" s="76" t="str">
        <f t="shared" si="17"/>
        <v>Voie orale  hors prémélanges médicamenteux</v>
      </c>
      <c r="BU55" t="str">
        <f t="shared" si="18"/>
        <v/>
      </c>
      <c r="BZ55" s="109" t="s">
        <v>2277</v>
      </c>
      <c r="CA55" s="109" t="s">
        <v>124</v>
      </c>
      <c r="CB55" s="109" t="s">
        <v>4299</v>
      </c>
      <c r="CK55" s="109" t="s">
        <v>851</v>
      </c>
      <c r="CL55" s="185" t="s">
        <v>4321</v>
      </c>
      <c r="CN55">
        <v>54</v>
      </c>
    </row>
    <row r="56" spans="1:92" x14ac:dyDescent="0.3">
      <c r="A56" s="118" t="s">
        <v>4288</v>
      </c>
      <c r="B56" t="s">
        <v>4289</v>
      </c>
      <c r="C56" t="s">
        <v>3740</v>
      </c>
      <c r="D56" t="s">
        <v>829</v>
      </c>
      <c r="E56" t="s">
        <v>830</v>
      </c>
      <c r="F56" t="s">
        <v>4640</v>
      </c>
      <c r="G56" t="s">
        <v>831</v>
      </c>
      <c r="H56" t="s">
        <v>4247</v>
      </c>
      <c r="I56" t="s">
        <v>817</v>
      </c>
      <c r="J56" t="s">
        <v>787</v>
      </c>
      <c r="K56" t="s">
        <v>787</v>
      </c>
      <c r="L56" t="s">
        <v>1055</v>
      </c>
      <c r="M56" t="s">
        <v>208</v>
      </c>
      <c r="N56" t="s">
        <v>4290</v>
      </c>
      <c r="O56" t="s">
        <v>894</v>
      </c>
      <c r="P56" t="s">
        <v>772</v>
      </c>
      <c r="Q56" t="s">
        <v>4290</v>
      </c>
      <c r="R56">
        <v>0</v>
      </c>
      <c r="S56">
        <v>0</v>
      </c>
      <c r="T56">
        <v>0</v>
      </c>
      <c r="U56">
        <v>0</v>
      </c>
      <c r="V56">
        <v>0</v>
      </c>
      <c r="W56">
        <v>0</v>
      </c>
      <c r="X56">
        <v>0</v>
      </c>
      <c r="Y56">
        <v>0</v>
      </c>
      <c r="Z56">
        <v>0</v>
      </c>
      <c r="AA56">
        <v>0</v>
      </c>
      <c r="AB56">
        <v>0</v>
      </c>
      <c r="AC56">
        <v>0</v>
      </c>
      <c r="AD56">
        <v>17.399999999999999</v>
      </c>
      <c r="AE56">
        <v>5</v>
      </c>
      <c r="AF56">
        <v>17.399999999999999</v>
      </c>
      <c r="AG56">
        <v>5</v>
      </c>
      <c r="AH56">
        <v>0</v>
      </c>
      <c r="AI56">
        <v>0</v>
      </c>
      <c r="AY56" t="str">
        <f t="shared" si="0"/>
        <v>AMOXICILLINE GLOBAL VET HEALTH 436 MG/G POUDRE POUR ADMINISTRATION DANS L'EAU DE BOISSON POUR POULES DINDES CANARDS ET PORCINS</v>
      </c>
      <c r="AZ56" t="str">
        <f>IF(COUNTIF(AY:AY,AY56)=1,AY56,IF(AND(COUNTIF(AY:AY,AY56)&gt;1,COUNTIF(AZ$2:AZ55,AY56)&gt;=1),"",AY56))</f>
        <v>AMOXICILLINE GLOBAL VET HEALTH 436 MG/G POUDRE POUR ADMINISTRATION DANS L'EAU DE BOISSON POUR POULES DINDES CANARDS ET PORCINS</v>
      </c>
      <c r="BA56">
        <f>IF(AZ56="","",COUNTIFS(AZ$3:AZ$1439,"&lt;"&amp;AZ56,AZ$3:AZ$1439,"&lt;&gt;0")+COUNTIF(AZ$3:AZ56,AZ56)-876)</f>
        <v>28</v>
      </c>
      <c r="BC56">
        <v>54</v>
      </c>
      <c r="BD56" t="str">
        <f t="shared" si="11"/>
        <v>AVIPEN</v>
      </c>
      <c r="BE56" t="str">
        <f t="shared" si="1"/>
        <v>ORAL</v>
      </c>
      <c r="BF56" t="str">
        <f t="shared" si="2"/>
        <v>PENICILLINES</v>
      </c>
      <c r="BG56" t="str">
        <f t="shared" si="3"/>
        <v/>
      </c>
      <c r="BH56" t="str">
        <f t="shared" si="4"/>
        <v/>
      </c>
      <c r="BI56" t="str">
        <f t="shared" si="5"/>
        <v>phenoxymethylpenicillin</v>
      </c>
      <c r="BJ56" t="str">
        <f t="shared" si="6"/>
        <v/>
      </c>
      <c r="BK56" t="str">
        <f t="shared" si="7"/>
        <v/>
      </c>
      <c r="BL56" t="str">
        <f t="shared" si="12"/>
        <v>Phénoxyméthylpénicilline</v>
      </c>
      <c r="BM56" t="str">
        <f t="shared" si="8"/>
        <v>Phénoxyméthylpénicilline</v>
      </c>
      <c r="BN56" t="str">
        <f t="shared" si="9"/>
        <v/>
      </c>
      <c r="BO56" t="str">
        <f t="shared" si="10"/>
        <v/>
      </c>
      <c r="BP56" t="str">
        <f t="shared" si="13"/>
        <v>Penicillines</v>
      </c>
      <c r="BQ56" t="str">
        <f t="shared" si="14"/>
        <v>Penicillines</v>
      </c>
      <c r="BR56" t="str">
        <f t="shared" si="15"/>
        <v/>
      </c>
      <c r="BS56" t="str">
        <f t="shared" si="16"/>
        <v/>
      </c>
      <c r="BT56" s="76" t="str">
        <f t="shared" si="17"/>
        <v>Voie orale  hors prémélanges médicamenteux</v>
      </c>
      <c r="BU56" t="str">
        <f t="shared" si="18"/>
        <v/>
      </c>
      <c r="BZ56" s="109" t="s">
        <v>2082</v>
      </c>
      <c r="CA56" s="109" t="s">
        <v>69</v>
      </c>
      <c r="CB56" s="109" t="s">
        <v>163</v>
      </c>
      <c r="CK56" s="109" t="s">
        <v>944</v>
      </c>
      <c r="CL56" s="185" t="s">
        <v>4321</v>
      </c>
      <c r="CN56">
        <v>55</v>
      </c>
    </row>
    <row r="57" spans="1:92" x14ac:dyDescent="0.3">
      <c r="A57" s="118" t="s">
        <v>2724</v>
      </c>
      <c r="B57" t="s">
        <v>2725</v>
      </c>
      <c r="C57" t="s">
        <v>2726</v>
      </c>
      <c r="D57" s="144" t="s">
        <v>829</v>
      </c>
      <c r="E57" t="s">
        <v>830</v>
      </c>
      <c r="F57" t="s">
        <v>236</v>
      </c>
      <c r="G57" t="s">
        <v>831</v>
      </c>
      <c r="H57" t="s">
        <v>2727</v>
      </c>
      <c r="I57" t="s">
        <v>817</v>
      </c>
      <c r="J57" t="s">
        <v>787</v>
      </c>
      <c r="K57" t="s">
        <v>787</v>
      </c>
      <c r="L57" t="s">
        <v>1055</v>
      </c>
      <c r="M57" t="s">
        <v>208</v>
      </c>
      <c r="N57" t="s">
        <v>764</v>
      </c>
      <c r="O57" t="s">
        <v>894</v>
      </c>
      <c r="P57" t="s">
        <v>772</v>
      </c>
      <c r="Q57" t="s">
        <v>764</v>
      </c>
      <c r="R57">
        <v>10</v>
      </c>
      <c r="S57">
        <v>5</v>
      </c>
      <c r="T57">
        <v>0</v>
      </c>
      <c r="U57">
        <v>0</v>
      </c>
      <c r="V57">
        <v>0</v>
      </c>
      <c r="W57">
        <v>0</v>
      </c>
      <c r="X57">
        <v>0</v>
      </c>
      <c r="Y57">
        <v>0</v>
      </c>
      <c r="Z57">
        <v>0</v>
      </c>
      <c r="AA57">
        <v>0</v>
      </c>
      <c r="AB57">
        <v>0</v>
      </c>
      <c r="AC57">
        <v>0</v>
      </c>
      <c r="AD57">
        <v>10</v>
      </c>
      <c r="AE57">
        <v>5</v>
      </c>
      <c r="AF57">
        <v>10</v>
      </c>
      <c r="AG57">
        <v>5</v>
      </c>
      <c r="AH57">
        <v>10</v>
      </c>
      <c r="AI57">
        <v>5</v>
      </c>
      <c r="AY57" t="str">
        <f t="shared" si="0"/>
        <v>AMOXIPRO 10 % POUDRE POUR ADMINISTRATION DANS L’EAU DE BOISSON/ LE LAIT VEAU PORC POULET CANARD DINDE</v>
      </c>
      <c r="AZ57" t="str">
        <f>IF(COUNTIF(AY:AY,AY57)=1,AY57,IF(AND(COUNTIF(AY:AY,AY57)&gt;1,COUNTIF(AZ$2:AZ56,AY57)&gt;=1),"",AY57))</f>
        <v>AMOXIPRO 10 % POUDRE POUR ADMINISTRATION DANS L’EAU DE BOISSON/ LE LAIT VEAU PORC POULET CANARD DINDE</v>
      </c>
      <c r="BA57">
        <f>IF(AZ57="","",COUNTIFS(AZ$3:AZ$1439,"&lt;"&amp;AZ57,AZ$3:AZ$1439,"&lt;&gt;0")+COUNTIF(AZ$3:AZ57,AZ57)-876)</f>
        <v>29</v>
      </c>
      <c r="BC57">
        <v>55</v>
      </c>
      <c r="BD57" t="str">
        <f t="shared" si="11"/>
        <v>AXENTYL</v>
      </c>
      <c r="BE57" t="str">
        <f t="shared" si="1"/>
        <v>ORAL</v>
      </c>
      <c r="BF57" t="str">
        <f t="shared" si="2"/>
        <v>MACROLIDES</v>
      </c>
      <c r="BG57" t="str">
        <f t="shared" si="3"/>
        <v/>
      </c>
      <c r="BH57" t="str">
        <f t="shared" si="4"/>
        <v/>
      </c>
      <c r="BI57" t="str">
        <f t="shared" si="5"/>
        <v>tylosin</v>
      </c>
      <c r="BJ57" t="str">
        <f t="shared" si="6"/>
        <v/>
      </c>
      <c r="BK57" t="str">
        <f t="shared" si="7"/>
        <v/>
      </c>
      <c r="BL57" t="str">
        <f t="shared" si="12"/>
        <v>Tylosine</v>
      </c>
      <c r="BM57" t="str">
        <f t="shared" si="8"/>
        <v>Tylosine</v>
      </c>
      <c r="BN57" t="str">
        <f t="shared" si="9"/>
        <v/>
      </c>
      <c r="BO57" t="str">
        <f t="shared" si="10"/>
        <v/>
      </c>
      <c r="BP57" t="str">
        <f t="shared" si="13"/>
        <v>Macrolides</v>
      </c>
      <c r="BQ57" t="str">
        <f t="shared" si="14"/>
        <v>Macrolides</v>
      </c>
      <c r="BR57" t="str">
        <f t="shared" si="15"/>
        <v/>
      </c>
      <c r="BS57" t="str">
        <f t="shared" si="16"/>
        <v/>
      </c>
      <c r="BT57" s="76" t="str">
        <f t="shared" si="17"/>
        <v>Voie orale  hors prémélanges médicamenteux</v>
      </c>
      <c r="BU57" t="str">
        <f t="shared" si="18"/>
        <v/>
      </c>
      <c r="BZ57" s="109" t="s">
        <v>3663</v>
      </c>
      <c r="CA57" s="109" t="s">
        <v>162</v>
      </c>
      <c r="CB57" s="109" t="s">
        <v>19</v>
      </c>
      <c r="CK57" s="109" t="s">
        <v>1472</v>
      </c>
      <c r="CL57" s="185" t="s">
        <v>4321</v>
      </c>
      <c r="CN57">
        <v>56</v>
      </c>
    </row>
    <row r="58" spans="1:92" x14ac:dyDescent="0.3">
      <c r="A58" s="118" t="s">
        <v>2724</v>
      </c>
      <c r="B58" t="s">
        <v>2728</v>
      </c>
      <c r="C58" t="s">
        <v>4492</v>
      </c>
      <c r="D58" s="144" t="s">
        <v>955</v>
      </c>
      <c r="E58" t="s">
        <v>830</v>
      </c>
      <c r="F58" t="s">
        <v>236</v>
      </c>
      <c r="G58" t="s">
        <v>831</v>
      </c>
      <c r="H58" t="s">
        <v>2727</v>
      </c>
      <c r="I58" t="s">
        <v>817</v>
      </c>
      <c r="J58" t="s">
        <v>787</v>
      </c>
      <c r="K58" t="s">
        <v>787</v>
      </c>
      <c r="L58" t="s">
        <v>1055</v>
      </c>
      <c r="M58" t="s">
        <v>208</v>
      </c>
      <c r="N58" t="s">
        <v>764</v>
      </c>
      <c r="O58" t="s">
        <v>894</v>
      </c>
      <c r="P58" t="s">
        <v>772</v>
      </c>
      <c r="Q58" t="s">
        <v>906</v>
      </c>
      <c r="R58">
        <v>10</v>
      </c>
      <c r="S58">
        <v>5</v>
      </c>
      <c r="T58">
        <v>0</v>
      </c>
      <c r="U58">
        <v>0</v>
      </c>
      <c r="V58">
        <v>0</v>
      </c>
      <c r="W58">
        <v>0</v>
      </c>
      <c r="X58">
        <v>0</v>
      </c>
      <c r="Y58">
        <v>0</v>
      </c>
      <c r="Z58">
        <v>0</v>
      </c>
      <c r="AA58">
        <v>0</v>
      </c>
      <c r="AB58">
        <v>0</v>
      </c>
      <c r="AC58">
        <v>0</v>
      </c>
      <c r="AD58">
        <v>10</v>
      </c>
      <c r="AE58">
        <v>5</v>
      </c>
      <c r="AF58">
        <v>10</v>
      </c>
      <c r="AG58">
        <v>5</v>
      </c>
      <c r="AH58">
        <v>10</v>
      </c>
      <c r="AI58">
        <v>5</v>
      </c>
      <c r="AY58" t="str">
        <f t="shared" si="0"/>
        <v>AMOXIPRO 10 % POUDRE POUR ADMINISTRATION DANS L’EAU DE BOISSON/ LE LAIT VEAU PORC POULET CANARD DINDE</v>
      </c>
      <c r="AZ58" t="str">
        <f>IF(COUNTIF(AY:AY,AY58)=1,AY58,IF(AND(COUNTIF(AY:AY,AY58)&gt;1,COUNTIF(AZ$2:AZ57,AY58)&gt;=1),"",AY58))</f>
        <v/>
      </c>
      <c r="BA58" t="str">
        <f>IF(AZ58="","",COUNTIFS(AZ$3:AZ$1439,"&lt;"&amp;AZ58,AZ$3:AZ$1439,"&lt;&gt;0")+COUNTIF(AZ$3:AZ58,AZ58)-876)</f>
        <v/>
      </c>
      <c r="BC58">
        <v>56</v>
      </c>
      <c r="BD58" t="str">
        <f t="shared" si="11"/>
        <v>AXENTYL 200 MG/ML SOLUTION INJECTABLE POUR BOVINS, OVINS, CAPRINS ET PORCINS</v>
      </c>
      <c r="BE58" t="str">
        <f t="shared" si="1"/>
        <v>INJ</v>
      </c>
      <c r="BF58" t="str">
        <f t="shared" si="2"/>
        <v>MACROLIDES</v>
      </c>
      <c r="BG58" t="str">
        <f t="shared" si="3"/>
        <v/>
      </c>
      <c r="BH58" t="str">
        <f t="shared" si="4"/>
        <v/>
      </c>
      <c r="BI58" t="str">
        <f t="shared" si="5"/>
        <v>tylosin</v>
      </c>
      <c r="BJ58" t="str">
        <f t="shared" si="6"/>
        <v/>
      </c>
      <c r="BK58" t="str">
        <f t="shared" si="7"/>
        <v/>
      </c>
      <c r="BL58" t="str">
        <f t="shared" si="12"/>
        <v>Tylosine</v>
      </c>
      <c r="BM58" t="str">
        <f t="shared" si="8"/>
        <v>Tylosine</v>
      </c>
      <c r="BN58" t="str">
        <f t="shared" si="9"/>
        <v/>
      </c>
      <c r="BO58" t="str">
        <f t="shared" si="10"/>
        <v/>
      </c>
      <c r="BP58" t="str">
        <f t="shared" si="13"/>
        <v>Macrolides</v>
      </c>
      <c r="BQ58" t="str">
        <f t="shared" si="14"/>
        <v>Macrolides</v>
      </c>
      <c r="BR58" t="str">
        <f t="shared" si="15"/>
        <v/>
      </c>
      <c r="BS58" t="str">
        <f t="shared" si="16"/>
        <v/>
      </c>
      <c r="BT58" s="76" t="str">
        <f t="shared" si="17"/>
        <v>Voie parentérale</v>
      </c>
      <c r="BU58" t="str">
        <f t="shared" si="18"/>
        <v/>
      </c>
      <c r="BZ58" s="109" t="s">
        <v>2470</v>
      </c>
      <c r="CA58" s="109" t="s">
        <v>81</v>
      </c>
      <c r="CB58" s="109" t="s">
        <v>19</v>
      </c>
      <c r="CK58" s="109" t="s">
        <v>4390</v>
      </c>
      <c r="CL58" s="185" t="s">
        <v>4321</v>
      </c>
      <c r="CN58">
        <v>57</v>
      </c>
    </row>
    <row r="59" spans="1:92" x14ac:dyDescent="0.3">
      <c r="A59" s="118" t="s">
        <v>2724</v>
      </c>
      <c r="B59" t="s">
        <v>2729</v>
      </c>
      <c r="C59" t="s">
        <v>1835</v>
      </c>
      <c r="D59" s="144" t="s">
        <v>829</v>
      </c>
      <c r="E59" t="s">
        <v>830</v>
      </c>
      <c r="F59" t="s">
        <v>236</v>
      </c>
      <c r="G59" t="s">
        <v>831</v>
      </c>
      <c r="H59" t="s">
        <v>2727</v>
      </c>
      <c r="I59" t="s">
        <v>817</v>
      </c>
      <c r="J59" t="s">
        <v>787</v>
      </c>
      <c r="K59" t="s">
        <v>787</v>
      </c>
      <c r="L59" t="s">
        <v>1055</v>
      </c>
      <c r="M59" t="s">
        <v>208</v>
      </c>
      <c r="N59" t="s">
        <v>764</v>
      </c>
      <c r="O59" t="s">
        <v>894</v>
      </c>
      <c r="P59" t="s">
        <v>772</v>
      </c>
      <c r="Q59" t="s">
        <v>764</v>
      </c>
      <c r="R59">
        <v>10</v>
      </c>
      <c r="S59">
        <v>5</v>
      </c>
      <c r="T59">
        <v>0</v>
      </c>
      <c r="U59">
        <v>0</v>
      </c>
      <c r="V59">
        <v>0</v>
      </c>
      <c r="W59">
        <v>0</v>
      </c>
      <c r="X59">
        <v>0</v>
      </c>
      <c r="Y59">
        <v>0</v>
      </c>
      <c r="Z59">
        <v>0</v>
      </c>
      <c r="AA59">
        <v>0</v>
      </c>
      <c r="AB59">
        <v>0</v>
      </c>
      <c r="AC59">
        <v>0</v>
      </c>
      <c r="AD59">
        <v>10</v>
      </c>
      <c r="AE59">
        <v>5</v>
      </c>
      <c r="AF59">
        <v>10</v>
      </c>
      <c r="AG59">
        <v>5</v>
      </c>
      <c r="AH59">
        <v>10</v>
      </c>
      <c r="AI59">
        <v>5</v>
      </c>
      <c r="AY59" t="str">
        <f t="shared" si="0"/>
        <v>AMOXIPRO 10 % POUDRE POUR ADMINISTRATION DANS L’EAU DE BOISSON/ LE LAIT VEAU PORC POULET CANARD DINDE</v>
      </c>
      <c r="AZ59" t="str">
        <f>IF(COUNTIF(AY:AY,AY59)=1,AY59,IF(AND(COUNTIF(AY:AY,AY59)&gt;1,COUNTIF(AZ$2:AZ58,AY59)&gt;=1),"",AY59))</f>
        <v/>
      </c>
      <c r="BA59" t="str">
        <f>IF(AZ59="","",COUNTIFS(AZ$3:AZ$1439,"&lt;"&amp;AZ59,AZ$3:AZ$1439,"&lt;&gt;0")+COUNTIF(AZ$3:AZ59,AZ59)-876)</f>
        <v/>
      </c>
      <c r="BC59">
        <v>57</v>
      </c>
      <c r="BD59" t="str">
        <f t="shared" si="11"/>
        <v>AXILLIN</v>
      </c>
      <c r="BE59" t="str">
        <f t="shared" si="1"/>
        <v>ORAL</v>
      </c>
      <c r="BF59" t="str">
        <f t="shared" si="2"/>
        <v>PENICILLINES</v>
      </c>
      <c r="BG59" t="str">
        <f t="shared" si="3"/>
        <v/>
      </c>
      <c r="BH59" t="str">
        <f t="shared" si="4"/>
        <v/>
      </c>
      <c r="BI59" t="str">
        <f t="shared" si="5"/>
        <v>amoxicillin</v>
      </c>
      <c r="BJ59" t="str">
        <f t="shared" si="6"/>
        <v/>
      </c>
      <c r="BK59" t="str">
        <f t="shared" si="7"/>
        <v/>
      </c>
      <c r="BL59" t="str">
        <f t="shared" si="12"/>
        <v>Amoxicilline</v>
      </c>
      <c r="BM59" t="str">
        <f t="shared" si="8"/>
        <v>Amoxicilline</v>
      </c>
      <c r="BN59" t="str">
        <f t="shared" si="9"/>
        <v/>
      </c>
      <c r="BO59" t="str">
        <f t="shared" si="10"/>
        <v/>
      </c>
      <c r="BP59" t="str">
        <f t="shared" si="13"/>
        <v>Penicillines</v>
      </c>
      <c r="BQ59" t="str">
        <f t="shared" si="14"/>
        <v>Penicillines</v>
      </c>
      <c r="BR59" t="str">
        <f t="shared" si="15"/>
        <v/>
      </c>
      <c r="BS59" t="str">
        <f t="shared" si="16"/>
        <v/>
      </c>
      <c r="BT59" s="76" t="str">
        <f t="shared" si="17"/>
        <v>Voie orale  hors prémélanges médicamenteux</v>
      </c>
      <c r="BU59" t="str">
        <f t="shared" si="18"/>
        <v/>
      </c>
      <c r="BZ59" s="109" t="s">
        <v>931</v>
      </c>
      <c r="CA59" s="109" t="s">
        <v>15</v>
      </c>
      <c r="CB59" s="109" t="s">
        <v>4301</v>
      </c>
      <c r="CK59" s="109" t="s">
        <v>781</v>
      </c>
      <c r="CL59" s="185" t="s">
        <v>4321</v>
      </c>
      <c r="CN59">
        <v>58</v>
      </c>
    </row>
    <row r="60" spans="1:92" x14ac:dyDescent="0.3">
      <c r="A60" s="118" t="s">
        <v>2724</v>
      </c>
      <c r="B60" t="s">
        <v>4493</v>
      </c>
      <c r="C60" t="s">
        <v>1835</v>
      </c>
      <c r="D60" s="144" t="s">
        <v>829</v>
      </c>
      <c r="E60" t="s">
        <v>830</v>
      </c>
      <c r="F60" t="s">
        <v>236</v>
      </c>
      <c r="G60" t="s">
        <v>831</v>
      </c>
      <c r="H60" t="s">
        <v>2727</v>
      </c>
      <c r="I60" t="s">
        <v>817</v>
      </c>
      <c r="J60" t="s">
        <v>787</v>
      </c>
      <c r="K60" t="s">
        <v>787</v>
      </c>
      <c r="L60" t="s">
        <v>1055</v>
      </c>
      <c r="M60" t="s">
        <v>208</v>
      </c>
      <c r="N60" t="s">
        <v>764</v>
      </c>
      <c r="O60" t="s">
        <v>894</v>
      </c>
      <c r="P60" t="s">
        <v>772</v>
      </c>
      <c r="Q60" t="s">
        <v>764</v>
      </c>
      <c r="R60">
        <v>10</v>
      </c>
      <c r="S60">
        <v>5</v>
      </c>
      <c r="T60">
        <v>0</v>
      </c>
      <c r="U60">
        <v>0</v>
      </c>
      <c r="V60">
        <v>0</v>
      </c>
      <c r="W60">
        <v>0</v>
      </c>
      <c r="X60">
        <v>0</v>
      </c>
      <c r="Y60">
        <v>0</v>
      </c>
      <c r="Z60">
        <v>0</v>
      </c>
      <c r="AA60">
        <v>0</v>
      </c>
      <c r="AB60">
        <v>0</v>
      </c>
      <c r="AC60">
        <v>0</v>
      </c>
      <c r="AD60">
        <v>10</v>
      </c>
      <c r="AE60">
        <v>5</v>
      </c>
      <c r="AF60">
        <v>10</v>
      </c>
      <c r="AG60">
        <v>5</v>
      </c>
      <c r="AH60">
        <v>10</v>
      </c>
      <c r="AI60">
        <v>5</v>
      </c>
      <c r="AY60" t="str">
        <f t="shared" si="0"/>
        <v>AMOXIPRO 10 % POUDRE POUR ADMINISTRATION DANS L’EAU DE BOISSON/ LE LAIT VEAU PORC POULET CANARD DINDE</v>
      </c>
      <c r="AZ60" t="str">
        <f>IF(COUNTIF(AY:AY,AY60)=1,AY60,IF(AND(COUNTIF(AY:AY,AY60)&gt;1,COUNTIF(AZ$2:AZ59,AY60)&gt;=1),"",AY60))</f>
        <v/>
      </c>
      <c r="BA60" t="str">
        <f>IF(AZ60="","",COUNTIFS(AZ$3:AZ$1439,"&lt;"&amp;AZ60,AZ$3:AZ$1439,"&lt;&gt;0")+COUNTIF(AZ$3:AZ60,AZ60)-876)</f>
        <v/>
      </c>
      <c r="BC60">
        <v>58</v>
      </c>
      <c r="BD60" t="str">
        <f t="shared" si="11"/>
        <v>BACIVET S</v>
      </c>
      <c r="BE60" t="str">
        <f t="shared" si="1"/>
        <v>ORAL</v>
      </c>
      <c r="BF60" t="str">
        <f t="shared" si="2"/>
        <v>POLYPEPTIDES</v>
      </c>
      <c r="BG60" t="str">
        <f t="shared" si="3"/>
        <v/>
      </c>
      <c r="BH60" t="str">
        <f t="shared" si="4"/>
        <v/>
      </c>
      <c r="BI60" t="str">
        <f t="shared" si="5"/>
        <v>bacitracin</v>
      </c>
      <c r="BJ60" t="str">
        <f t="shared" si="6"/>
        <v/>
      </c>
      <c r="BK60" t="str">
        <f t="shared" si="7"/>
        <v/>
      </c>
      <c r="BL60" t="str">
        <f t="shared" si="12"/>
        <v>Bacitracine</v>
      </c>
      <c r="BM60" t="str">
        <f t="shared" si="8"/>
        <v>Bacitracine</v>
      </c>
      <c r="BN60" t="str">
        <f t="shared" si="9"/>
        <v/>
      </c>
      <c r="BO60" t="str">
        <f t="shared" si="10"/>
        <v/>
      </c>
      <c r="BP60" t="str">
        <f t="shared" si="13"/>
        <v>Polypeptides</v>
      </c>
      <c r="BQ60" t="str">
        <f t="shared" si="14"/>
        <v>Polypeptides</v>
      </c>
      <c r="BR60" t="str">
        <f t="shared" si="15"/>
        <v/>
      </c>
      <c r="BS60" t="str">
        <f t="shared" si="16"/>
        <v/>
      </c>
      <c r="BT60" s="76" t="str">
        <f t="shared" si="17"/>
        <v>Voie orale  hors prémélanges médicamenteux</v>
      </c>
      <c r="BU60" t="str">
        <f t="shared" si="18"/>
        <v/>
      </c>
      <c r="BZ60" s="109" t="s">
        <v>3008</v>
      </c>
      <c r="CA60" s="109" t="s">
        <v>87</v>
      </c>
      <c r="CB60" s="109" t="s">
        <v>19</v>
      </c>
      <c r="CK60" s="109" t="s">
        <v>840</v>
      </c>
      <c r="CL60" s="185" t="s">
        <v>4321</v>
      </c>
      <c r="CN60">
        <v>59</v>
      </c>
    </row>
    <row r="61" spans="1:92" x14ac:dyDescent="0.3">
      <c r="A61" s="118" t="s">
        <v>2724</v>
      </c>
      <c r="B61" t="s">
        <v>4494</v>
      </c>
      <c r="C61" t="s">
        <v>1313</v>
      </c>
      <c r="D61" s="144" t="s">
        <v>955</v>
      </c>
      <c r="E61" t="s">
        <v>830</v>
      </c>
      <c r="F61" t="s">
        <v>236</v>
      </c>
      <c r="G61" t="s">
        <v>831</v>
      </c>
      <c r="H61" t="s">
        <v>2727</v>
      </c>
      <c r="I61" t="s">
        <v>817</v>
      </c>
      <c r="J61" t="s">
        <v>787</v>
      </c>
      <c r="K61" t="s">
        <v>787</v>
      </c>
      <c r="L61" t="s">
        <v>1055</v>
      </c>
      <c r="M61" t="s">
        <v>208</v>
      </c>
      <c r="N61" t="s">
        <v>764</v>
      </c>
      <c r="O61" t="s">
        <v>894</v>
      </c>
      <c r="P61" t="s">
        <v>772</v>
      </c>
      <c r="Q61" t="s">
        <v>906</v>
      </c>
      <c r="R61">
        <v>10</v>
      </c>
      <c r="S61">
        <v>5</v>
      </c>
      <c r="T61">
        <v>0</v>
      </c>
      <c r="U61">
        <v>0</v>
      </c>
      <c r="V61">
        <v>0</v>
      </c>
      <c r="W61">
        <v>0</v>
      </c>
      <c r="X61">
        <v>0</v>
      </c>
      <c r="Y61">
        <v>0</v>
      </c>
      <c r="Z61">
        <v>0</v>
      </c>
      <c r="AA61">
        <v>0</v>
      </c>
      <c r="AB61">
        <v>0</v>
      </c>
      <c r="AC61">
        <v>0</v>
      </c>
      <c r="AD61">
        <v>10</v>
      </c>
      <c r="AE61">
        <v>5</v>
      </c>
      <c r="AF61">
        <v>10</v>
      </c>
      <c r="AG61">
        <v>5</v>
      </c>
      <c r="AH61">
        <v>10</v>
      </c>
      <c r="AI61">
        <v>5</v>
      </c>
      <c r="AY61" t="str">
        <f t="shared" si="0"/>
        <v>AMOXIPRO 10 % POUDRE POUR ADMINISTRATION DANS L’EAU DE BOISSON/ LE LAIT VEAU PORC POULET CANARD DINDE</v>
      </c>
      <c r="AZ61" t="str">
        <f>IF(COUNTIF(AY:AY,AY61)=1,AY61,IF(AND(COUNTIF(AY:AY,AY61)&gt;1,COUNTIF(AZ$2:AZ60,AY61)&gt;=1),"",AY61))</f>
        <v/>
      </c>
      <c r="BA61" t="str">
        <f>IF(AZ61="","",COUNTIFS(AZ$3:AZ$1439,"&lt;"&amp;AZ61,AZ$3:AZ$1439,"&lt;&gt;0")+COUNTIF(AZ$3:AZ61,AZ61)-876)</f>
        <v/>
      </c>
      <c r="BC61">
        <v>59</v>
      </c>
      <c r="BD61" t="str">
        <f t="shared" si="11"/>
        <v>BAYCUBIS 293 MG/G POUDRE POUR SOLUTION BUVABLE POUR POULETS</v>
      </c>
      <c r="BE61" t="str">
        <f t="shared" si="1"/>
        <v>ORAL</v>
      </c>
      <c r="BF61" t="str">
        <f t="shared" si="2"/>
        <v>PENICILLINES</v>
      </c>
      <c r="BG61" t="str">
        <f t="shared" si="3"/>
        <v/>
      </c>
      <c r="BH61" t="str">
        <f t="shared" si="4"/>
        <v/>
      </c>
      <c r="BI61" t="str">
        <f t="shared" si="5"/>
        <v>phenoxymethylpenicillin</v>
      </c>
      <c r="BJ61" t="str">
        <f t="shared" si="6"/>
        <v/>
      </c>
      <c r="BK61" t="str">
        <f t="shared" si="7"/>
        <v/>
      </c>
      <c r="BL61" t="str">
        <f t="shared" si="12"/>
        <v>Phénoxyméthylpénicilline</v>
      </c>
      <c r="BM61" t="str">
        <f t="shared" si="8"/>
        <v>Phénoxyméthylpénicilline</v>
      </c>
      <c r="BN61" t="str">
        <f t="shared" si="9"/>
        <v/>
      </c>
      <c r="BO61" t="str">
        <f t="shared" si="10"/>
        <v/>
      </c>
      <c r="BP61" t="str">
        <f t="shared" si="13"/>
        <v>Penicillines</v>
      </c>
      <c r="BQ61" t="str">
        <f t="shared" si="14"/>
        <v>Penicillines</v>
      </c>
      <c r="BR61" t="str">
        <f t="shared" si="15"/>
        <v/>
      </c>
      <c r="BS61" t="str">
        <f t="shared" si="16"/>
        <v/>
      </c>
      <c r="BT61" s="76" t="str">
        <f t="shared" si="17"/>
        <v>Voie orale  hors prémélanges médicamenteux</v>
      </c>
      <c r="BU61" t="str">
        <f t="shared" si="18"/>
        <v/>
      </c>
      <c r="BZ61" s="109" t="s">
        <v>1092</v>
      </c>
      <c r="CA61" s="109" t="s">
        <v>18</v>
      </c>
      <c r="CB61" s="109" t="s">
        <v>19</v>
      </c>
      <c r="CK61" s="109" t="s">
        <v>1979</v>
      </c>
      <c r="CL61" s="185" t="s">
        <v>4321</v>
      </c>
      <c r="CN61">
        <v>60</v>
      </c>
    </row>
    <row r="62" spans="1:92" x14ac:dyDescent="0.3">
      <c r="A62" s="118" t="s">
        <v>4291</v>
      </c>
      <c r="B62" t="s">
        <v>4292</v>
      </c>
      <c r="C62" t="s">
        <v>4293</v>
      </c>
      <c r="D62" t="s">
        <v>780</v>
      </c>
      <c r="E62" t="s">
        <v>765</v>
      </c>
      <c r="F62" t="s">
        <v>237</v>
      </c>
      <c r="G62" t="s">
        <v>766</v>
      </c>
      <c r="H62" t="s">
        <v>1326</v>
      </c>
      <c r="I62" t="s">
        <v>766</v>
      </c>
      <c r="J62" t="s">
        <v>787</v>
      </c>
      <c r="K62" t="s">
        <v>787</v>
      </c>
      <c r="L62" t="s">
        <v>1055</v>
      </c>
      <c r="M62" t="s">
        <v>208</v>
      </c>
      <c r="N62" t="s">
        <v>1155</v>
      </c>
      <c r="O62" t="s">
        <v>771</v>
      </c>
      <c r="P62" t="s">
        <v>772</v>
      </c>
      <c r="Q62" t="s">
        <v>962</v>
      </c>
      <c r="R62">
        <v>15</v>
      </c>
      <c r="S62">
        <v>2</v>
      </c>
      <c r="T62">
        <v>0</v>
      </c>
      <c r="U62">
        <v>0</v>
      </c>
      <c r="V62">
        <v>0</v>
      </c>
      <c r="W62">
        <v>0</v>
      </c>
      <c r="X62">
        <v>0</v>
      </c>
      <c r="Y62">
        <v>0</v>
      </c>
      <c r="Z62">
        <v>0</v>
      </c>
      <c r="AA62">
        <v>0</v>
      </c>
      <c r="AB62">
        <v>0</v>
      </c>
      <c r="AC62">
        <v>0</v>
      </c>
      <c r="AD62">
        <v>15</v>
      </c>
      <c r="AE62">
        <v>2</v>
      </c>
      <c r="AF62">
        <v>15</v>
      </c>
      <c r="AG62">
        <v>2</v>
      </c>
      <c r="AH62">
        <v>0</v>
      </c>
      <c r="AI62">
        <v>0</v>
      </c>
      <c r="AY62" t="str">
        <f t="shared" si="0"/>
        <v>AMOXIPRO INJECTABLE</v>
      </c>
      <c r="AZ62" t="str">
        <f>IF(COUNTIF(AY:AY,AY62)=1,AY62,IF(AND(COUNTIF(AY:AY,AY62)&gt;1,COUNTIF(AZ$2:AZ61,AY62)&gt;=1),"",AY62))</f>
        <v>AMOXIPRO INJECTABLE</v>
      </c>
      <c r="BA62">
        <f>IF(AZ62="","",COUNTIFS(AZ$3:AZ$1439,"&lt;"&amp;AZ62,AZ$3:AZ$1439,"&lt;&gt;0")+COUNTIF(AZ$3:AZ62,AZ62)-876)</f>
        <v>30</v>
      </c>
      <c r="BC62">
        <v>60</v>
      </c>
      <c r="BD62" t="str">
        <f t="shared" si="11"/>
        <v>BAYTRIL 10 % SOLUTION BUVABLE</v>
      </c>
      <c r="BE62" t="str">
        <f t="shared" si="1"/>
        <v>ORAL</v>
      </c>
      <c r="BF62" t="str">
        <f t="shared" si="2"/>
        <v>FLUOROQUINOLONES</v>
      </c>
      <c r="BG62" t="str">
        <f t="shared" si="3"/>
        <v/>
      </c>
      <c r="BH62" t="str">
        <f t="shared" si="4"/>
        <v/>
      </c>
      <c r="BI62" t="str">
        <f t="shared" si="5"/>
        <v>enrofloxacin</v>
      </c>
      <c r="BJ62" t="str">
        <f t="shared" si="6"/>
        <v/>
      </c>
      <c r="BK62" t="str">
        <f t="shared" si="7"/>
        <v/>
      </c>
      <c r="BL62" t="str">
        <f t="shared" si="12"/>
        <v>Enrofloxacine</v>
      </c>
      <c r="BM62" t="str">
        <f t="shared" si="8"/>
        <v>Enrofloxacine</v>
      </c>
      <c r="BN62" t="str">
        <f t="shared" si="9"/>
        <v/>
      </c>
      <c r="BO62" t="str">
        <f t="shared" si="10"/>
        <v/>
      </c>
      <c r="BP62" t="str">
        <f t="shared" si="13"/>
        <v>Fluoroquinolones</v>
      </c>
      <c r="BQ62" t="str">
        <f t="shared" si="14"/>
        <v>Fluoroquinolones</v>
      </c>
      <c r="BR62" t="str">
        <f t="shared" si="15"/>
        <v/>
      </c>
      <c r="BS62" t="str">
        <f t="shared" si="16"/>
        <v/>
      </c>
      <c r="BT62" s="76" t="str">
        <f t="shared" si="17"/>
        <v>Voie orale  hors prémélanges médicamenteux</v>
      </c>
      <c r="BU62" t="str">
        <f t="shared" si="18"/>
        <v>x</v>
      </c>
      <c r="BZ62" s="109" t="s">
        <v>2914</v>
      </c>
      <c r="CA62" s="109" t="s">
        <v>55</v>
      </c>
      <c r="CB62" s="109" t="s">
        <v>19</v>
      </c>
      <c r="CK62" s="109" t="s">
        <v>1342</v>
      </c>
      <c r="CL62" s="185" t="s">
        <v>4321</v>
      </c>
      <c r="CN62">
        <v>61</v>
      </c>
    </row>
    <row r="63" spans="1:92" x14ac:dyDescent="0.3">
      <c r="A63" s="118" t="s">
        <v>4291</v>
      </c>
      <c r="B63" t="s">
        <v>4294</v>
      </c>
      <c r="C63" t="s">
        <v>2483</v>
      </c>
      <c r="D63" t="s">
        <v>776</v>
      </c>
      <c r="E63" t="s">
        <v>765</v>
      </c>
      <c r="F63" t="s">
        <v>237</v>
      </c>
      <c r="G63" t="s">
        <v>766</v>
      </c>
      <c r="H63" t="s">
        <v>1326</v>
      </c>
      <c r="I63" t="s">
        <v>766</v>
      </c>
      <c r="J63" t="s">
        <v>787</v>
      </c>
      <c r="K63" t="s">
        <v>787</v>
      </c>
      <c r="L63" t="s">
        <v>1055</v>
      </c>
      <c r="M63" t="s">
        <v>208</v>
      </c>
      <c r="N63" t="s">
        <v>1155</v>
      </c>
      <c r="O63" t="s">
        <v>771</v>
      </c>
      <c r="P63" t="s">
        <v>772</v>
      </c>
      <c r="Q63" t="s">
        <v>1773</v>
      </c>
      <c r="R63">
        <v>15</v>
      </c>
      <c r="S63">
        <v>2</v>
      </c>
      <c r="T63">
        <v>0</v>
      </c>
      <c r="U63">
        <v>0</v>
      </c>
      <c r="V63">
        <v>0</v>
      </c>
      <c r="W63">
        <v>0</v>
      </c>
      <c r="X63">
        <v>0</v>
      </c>
      <c r="Y63">
        <v>0</v>
      </c>
      <c r="Z63">
        <v>0</v>
      </c>
      <c r="AA63">
        <v>0</v>
      </c>
      <c r="AB63">
        <v>0</v>
      </c>
      <c r="AC63">
        <v>0</v>
      </c>
      <c r="AD63">
        <v>15</v>
      </c>
      <c r="AE63">
        <v>2</v>
      </c>
      <c r="AF63">
        <v>15</v>
      </c>
      <c r="AG63">
        <v>2</v>
      </c>
      <c r="AH63">
        <v>0</v>
      </c>
      <c r="AI63">
        <v>0</v>
      </c>
      <c r="AY63" t="str">
        <f t="shared" si="0"/>
        <v>AMOXIPRO INJECTABLE</v>
      </c>
      <c r="AZ63" t="str">
        <f>IF(COUNTIF(AY:AY,AY63)=1,AY63,IF(AND(COUNTIF(AY:AY,AY63)&gt;1,COUNTIF(AZ$2:AZ62,AY63)&gt;=1),"",AY63))</f>
        <v/>
      </c>
      <c r="BA63" t="str">
        <f>IF(AZ63="","",COUNTIFS(AZ$3:AZ$1439,"&lt;"&amp;AZ63,AZ$3:AZ$1439,"&lt;&gt;0")+COUNTIF(AZ$3:AZ63,AZ63)-876)</f>
        <v/>
      </c>
      <c r="BC63">
        <v>61</v>
      </c>
      <c r="BD63" t="str">
        <f t="shared" si="11"/>
        <v>BAYTRIL 10 % SOLUTION INJECTABLE</v>
      </c>
      <c r="BE63" t="str">
        <f t="shared" si="1"/>
        <v>INJ</v>
      </c>
      <c r="BF63" t="str">
        <f t="shared" si="2"/>
        <v>FLUOROQUINOLONES</v>
      </c>
      <c r="BG63" t="str">
        <f t="shared" si="3"/>
        <v/>
      </c>
      <c r="BH63" t="str">
        <f t="shared" si="4"/>
        <v/>
      </c>
      <c r="BI63" t="str">
        <f t="shared" si="5"/>
        <v>enrofloxacin</v>
      </c>
      <c r="BJ63" t="str">
        <f t="shared" si="6"/>
        <v/>
      </c>
      <c r="BK63" t="str">
        <f t="shared" si="7"/>
        <v/>
      </c>
      <c r="BL63" t="str">
        <f t="shared" si="12"/>
        <v>Enrofloxacine</v>
      </c>
      <c r="BM63" t="str">
        <f t="shared" si="8"/>
        <v>Enrofloxacine</v>
      </c>
      <c r="BN63" t="str">
        <f t="shared" si="9"/>
        <v/>
      </c>
      <c r="BO63" t="str">
        <f t="shared" si="10"/>
        <v/>
      </c>
      <c r="BP63" t="str">
        <f t="shared" si="13"/>
        <v>Fluoroquinolones</v>
      </c>
      <c r="BQ63" t="str">
        <f t="shared" si="14"/>
        <v>Fluoroquinolones</v>
      </c>
      <c r="BR63" t="str">
        <f t="shared" si="15"/>
        <v/>
      </c>
      <c r="BS63" t="str">
        <f t="shared" si="16"/>
        <v/>
      </c>
      <c r="BT63" s="76" t="str">
        <f t="shared" si="17"/>
        <v>Voie parentérale</v>
      </c>
      <c r="BU63" t="str">
        <f t="shared" si="18"/>
        <v>x</v>
      </c>
      <c r="BZ63" s="110" t="s">
        <v>4337</v>
      </c>
      <c r="CA63" s="110" t="s">
        <v>159</v>
      </c>
      <c r="CB63" s="110" t="s">
        <v>163</v>
      </c>
      <c r="CK63" s="109" t="s">
        <v>3425</v>
      </c>
      <c r="CL63" s="185" t="s">
        <v>4321</v>
      </c>
      <c r="CN63">
        <v>62</v>
      </c>
    </row>
    <row r="64" spans="1:92" x14ac:dyDescent="0.3">
      <c r="A64" s="118" t="s">
        <v>4291</v>
      </c>
      <c r="B64" t="s">
        <v>4685</v>
      </c>
      <c r="C64" t="s">
        <v>2481</v>
      </c>
      <c r="D64" t="s">
        <v>764</v>
      </c>
      <c r="E64" t="s">
        <v>765</v>
      </c>
      <c r="F64" t="s">
        <v>237</v>
      </c>
      <c r="G64" t="s">
        <v>766</v>
      </c>
      <c r="H64" t="s">
        <v>1326</v>
      </c>
      <c r="I64" t="s">
        <v>766</v>
      </c>
      <c r="J64" t="s">
        <v>787</v>
      </c>
      <c r="K64" t="s">
        <v>787</v>
      </c>
      <c r="L64" t="s">
        <v>1055</v>
      </c>
      <c r="M64" t="s">
        <v>208</v>
      </c>
      <c r="N64" t="s">
        <v>1155</v>
      </c>
      <c r="O64" t="s">
        <v>771</v>
      </c>
      <c r="P64" t="s">
        <v>772</v>
      </c>
      <c r="Q64" t="s">
        <v>972</v>
      </c>
      <c r="R64">
        <v>15</v>
      </c>
      <c r="S64">
        <v>2</v>
      </c>
      <c r="T64">
        <v>0</v>
      </c>
      <c r="U64">
        <v>0</v>
      </c>
      <c r="V64">
        <v>0</v>
      </c>
      <c r="W64">
        <v>0</v>
      </c>
      <c r="X64">
        <v>0</v>
      </c>
      <c r="Y64">
        <v>0</v>
      </c>
      <c r="Z64">
        <v>0</v>
      </c>
      <c r="AA64">
        <v>0</v>
      </c>
      <c r="AB64">
        <v>0</v>
      </c>
      <c r="AC64">
        <v>0</v>
      </c>
      <c r="AD64">
        <v>15</v>
      </c>
      <c r="AE64">
        <v>2</v>
      </c>
      <c r="AF64">
        <v>15</v>
      </c>
      <c r="AG64">
        <v>2</v>
      </c>
      <c r="AH64">
        <v>0</v>
      </c>
      <c r="AI64">
        <v>0</v>
      </c>
      <c r="AY64" t="str">
        <f t="shared" si="0"/>
        <v>AMOXIPRO INJECTABLE</v>
      </c>
      <c r="AZ64" t="str">
        <f>IF(COUNTIF(AY:AY,AY64)=1,AY64,IF(AND(COUNTIF(AY:AY,AY64)&gt;1,COUNTIF(AZ$2:AZ63,AY64)&gt;=1),"",AY64))</f>
        <v/>
      </c>
      <c r="BA64" t="str">
        <f>IF(AZ64="","",COUNTIFS(AZ$3:AZ$1439,"&lt;"&amp;AZ64,AZ$3:AZ$1439,"&lt;&gt;0")+COUNTIF(AZ$3:AZ64,AZ64)-876)</f>
        <v/>
      </c>
      <c r="BC64">
        <v>62</v>
      </c>
      <c r="BD64" t="str">
        <f t="shared" si="11"/>
        <v>BAYTRIL 1NJECT PORC</v>
      </c>
      <c r="BE64" t="str">
        <f t="shared" si="1"/>
        <v>INJ</v>
      </c>
      <c r="BF64" t="str">
        <f t="shared" si="2"/>
        <v>FLUOROQUINOLONES</v>
      </c>
      <c r="BG64" t="str">
        <f t="shared" si="3"/>
        <v/>
      </c>
      <c r="BH64" t="str">
        <f t="shared" si="4"/>
        <v/>
      </c>
      <c r="BI64" t="str">
        <f t="shared" si="5"/>
        <v>enrofloxacin</v>
      </c>
      <c r="BJ64" t="str">
        <f t="shared" si="6"/>
        <v/>
      </c>
      <c r="BK64" t="str">
        <f t="shared" si="7"/>
        <v/>
      </c>
      <c r="BL64" t="str">
        <f t="shared" si="12"/>
        <v>Enrofloxacine</v>
      </c>
      <c r="BM64" t="str">
        <f t="shared" si="8"/>
        <v>Enrofloxacine</v>
      </c>
      <c r="BN64" t="str">
        <f t="shared" si="9"/>
        <v/>
      </c>
      <c r="BO64" t="str">
        <f t="shared" si="10"/>
        <v/>
      </c>
      <c r="BP64" t="str">
        <f t="shared" si="13"/>
        <v>Fluoroquinolones</v>
      </c>
      <c r="BQ64" t="str">
        <f t="shared" si="14"/>
        <v>Fluoroquinolones</v>
      </c>
      <c r="BR64" t="str">
        <f t="shared" si="15"/>
        <v/>
      </c>
      <c r="BS64" t="str">
        <f t="shared" si="16"/>
        <v/>
      </c>
      <c r="BT64" s="76" t="str">
        <f t="shared" si="17"/>
        <v>Voie parentérale</v>
      </c>
      <c r="BU64" t="str">
        <f t="shared" si="18"/>
        <v>x</v>
      </c>
      <c r="CK64" s="109" t="s">
        <v>3101</v>
      </c>
      <c r="CL64" s="185" t="s">
        <v>4321</v>
      </c>
      <c r="CN64">
        <v>63</v>
      </c>
    </row>
    <row r="65" spans="1:92" x14ac:dyDescent="0.3">
      <c r="A65" s="118" t="s">
        <v>4291</v>
      </c>
      <c r="B65" t="s">
        <v>4686</v>
      </c>
      <c r="C65" t="s">
        <v>2483</v>
      </c>
      <c r="D65" t="s">
        <v>776</v>
      </c>
      <c r="E65" t="s">
        <v>765</v>
      </c>
      <c r="F65" t="s">
        <v>237</v>
      </c>
      <c r="G65" t="s">
        <v>766</v>
      </c>
      <c r="H65" t="s">
        <v>1326</v>
      </c>
      <c r="I65" t="s">
        <v>766</v>
      </c>
      <c r="J65" t="s">
        <v>787</v>
      </c>
      <c r="K65" t="s">
        <v>787</v>
      </c>
      <c r="L65" t="s">
        <v>1055</v>
      </c>
      <c r="M65" t="s">
        <v>208</v>
      </c>
      <c r="N65" t="s">
        <v>1155</v>
      </c>
      <c r="O65" t="s">
        <v>771</v>
      </c>
      <c r="P65" t="s">
        <v>772</v>
      </c>
      <c r="Q65" t="s">
        <v>1773</v>
      </c>
      <c r="R65">
        <v>15</v>
      </c>
      <c r="S65">
        <v>2</v>
      </c>
      <c r="T65">
        <v>0</v>
      </c>
      <c r="U65">
        <v>0</v>
      </c>
      <c r="V65">
        <v>0</v>
      </c>
      <c r="W65">
        <v>0</v>
      </c>
      <c r="X65">
        <v>0</v>
      </c>
      <c r="Y65">
        <v>0</v>
      </c>
      <c r="Z65">
        <v>0</v>
      </c>
      <c r="AA65">
        <v>0</v>
      </c>
      <c r="AB65">
        <v>0</v>
      </c>
      <c r="AC65">
        <v>0</v>
      </c>
      <c r="AD65">
        <v>15</v>
      </c>
      <c r="AE65">
        <v>2</v>
      </c>
      <c r="AF65">
        <v>15</v>
      </c>
      <c r="AG65">
        <v>2</v>
      </c>
      <c r="AH65">
        <v>0</v>
      </c>
      <c r="AI65">
        <v>0</v>
      </c>
      <c r="AY65" t="str">
        <f t="shared" si="0"/>
        <v>AMOXIPRO INJECTABLE</v>
      </c>
      <c r="AZ65" t="str">
        <f>IF(COUNTIF(AY:AY,AY65)=1,AY65,IF(AND(COUNTIF(AY:AY,AY65)&gt;1,COUNTIF(AZ$2:AZ64,AY65)&gt;=1),"",AY65))</f>
        <v/>
      </c>
      <c r="BA65" t="str">
        <f>IF(AZ65="","",COUNTIFS(AZ$3:AZ$1439,"&lt;"&amp;AZ65,AZ$3:AZ$1439,"&lt;&gt;0")+COUNTIF(AZ$3:AZ65,AZ65)-876)</f>
        <v/>
      </c>
      <c r="BC65">
        <v>63</v>
      </c>
      <c r="BD65" t="str">
        <f t="shared" si="11"/>
        <v>BAYTRIL 2,5 % SOLUTION BUVABLE</v>
      </c>
      <c r="BE65" t="str">
        <f t="shared" si="1"/>
        <v>ORAL</v>
      </c>
      <c r="BF65" t="str">
        <f t="shared" si="2"/>
        <v>FLUOROQUINOLONES</v>
      </c>
      <c r="BG65" t="str">
        <f t="shared" si="3"/>
        <v/>
      </c>
      <c r="BH65" t="str">
        <f t="shared" si="4"/>
        <v/>
      </c>
      <c r="BI65" t="str">
        <f t="shared" si="5"/>
        <v>enrofloxacin</v>
      </c>
      <c r="BJ65" t="str">
        <f t="shared" si="6"/>
        <v/>
      </c>
      <c r="BK65" t="str">
        <f t="shared" si="7"/>
        <v/>
      </c>
      <c r="BL65" t="str">
        <f t="shared" si="12"/>
        <v>Enrofloxacine</v>
      </c>
      <c r="BM65" t="str">
        <f t="shared" si="8"/>
        <v>Enrofloxacine</v>
      </c>
      <c r="BN65" t="str">
        <f t="shared" si="9"/>
        <v/>
      </c>
      <c r="BO65" t="str">
        <f t="shared" si="10"/>
        <v/>
      </c>
      <c r="BP65" t="str">
        <f t="shared" si="13"/>
        <v>Fluoroquinolones</v>
      </c>
      <c r="BQ65" t="str">
        <f t="shared" si="14"/>
        <v>Fluoroquinolones</v>
      </c>
      <c r="BR65" t="str">
        <f t="shared" si="15"/>
        <v/>
      </c>
      <c r="BS65" t="str">
        <f t="shared" si="16"/>
        <v/>
      </c>
      <c r="BT65" s="76" t="str">
        <f t="shared" si="17"/>
        <v>Voie orale  hors prémélanges médicamenteux</v>
      </c>
      <c r="BU65" t="str">
        <f t="shared" si="18"/>
        <v>x</v>
      </c>
      <c r="CK65" s="109" t="s">
        <v>4240</v>
      </c>
      <c r="CL65" s="185" t="s">
        <v>4321</v>
      </c>
      <c r="CN65">
        <v>64</v>
      </c>
    </row>
    <row r="66" spans="1:92" x14ac:dyDescent="0.3">
      <c r="A66" s="118" t="s">
        <v>2847</v>
      </c>
      <c r="B66" t="s">
        <v>2848</v>
      </c>
      <c r="C66" t="s">
        <v>1632</v>
      </c>
      <c r="D66" s="144" t="s">
        <v>966</v>
      </c>
      <c r="E66" t="s">
        <v>830</v>
      </c>
      <c r="F66" t="s">
        <v>238</v>
      </c>
      <c r="G66" t="s">
        <v>831</v>
      </c>
      <c r="H66" t="s">
        <v>2683</v>
      </c>
      <c r="I66" t="s">
        <v>817</v>
      </c>
      <c r="J66" t="s">
        <v>787</v>
      </c>
      <c r="K66" t="s">
        <v>787</v>
      </c>
      <c r="L66" t="s">
        <v>1055</v>
      </c>
      <c r="M66" t="s">
        <v>208</v>
      </c>
      <c r="N66" t="s">
        <v>864</v>
      </c>
      <c r="O66" t="s">
        <v>894</v>
      </c>
      <c r="P66" t="s">
        <v>772</v>
      </c>
      <c r="Q66" t="s">
        <v>906</v>
      </c>
      <c r="R66">
        <v>0</v>
      </c>
      <c r="S66">
        <v>0</v>
      </c>
      <c r="T66">
        <v>0</v>
      </c>
      <c r="U66">
        <v>0</v>
      </c>
      <c r="V66">
        <v>0</v>
      </c>
      <c r="W66">
        <v>0</v>
      </c>
      <c r="X66">
        <v>0</v>
      </c>
      <c r="Y66">
        <v>0</v>
      </c>
      <c r="Z66">
        <v>0</v>
      </c>
      <c r="AA66">
        <v>0</v>
      </c>
      <c r="AB66">
        <v>0</v>
      </c>
      <c r="AC66">
        <v>0</v>
      </c>
      <c r="AD66">
        <v>0</v>
      </c>
      <c r="AE66">
        <v>0</v>
      </c>
      <c r="AF66">
        <v>20</v>
      </c>
      <c r="AG66">
        <v>5</v>
      </c>
      <c r="AH66">
        <v>0</v>
      </c>
      <c r="AI66">
        <v>0</v>
      </c>
      <c r="AY66" t="str">
        <f t="shared" si="0"/>
        <v>AMOXIVAL 20 % POUDRE ORALE VOLAILLE</v>
      </c>
      <c r="AZ66" t="str">
        <f>IF(COUNTIF(AY:AY,AY66)=1,AY66,IF(AND(COUNTIF(AY:AY,AY66)&gt;1,COUNTIF(AZ$2:AZ65,AY66)&gt;=1),"",AY66))</f>
        <v>AMOXIVAL 20 % POUDRE ORALE VOLAILLE</v>
      </c>
      <c r="BA66">
        <f>IF(AZ66="","",COUNTIFS(AZ$3:AZ$1439,"&lt;"&amp;AZ66,AZ$3:AZ$1439,"&lt;&gt;0")+COUNTIF(AZ$3:AZ66,AZ66)-876)</f>
        <v>31</v>
      </c>
      <c r="BC66">
        <v>64</v>
      </c>
      <c r="BD66" t="str">
        <f t="shared" si="11"/>
        <v>BAYTRIL 2,5 % SOLUTION INJECTABLE</v>
      </c>
      <c r="BE66" t="str">
        <f t="shared" si="1"/>
        <v>INJ</v>
      </c>
      <c r="BF66" t="str">
        <f t="shared" si="2"/>
        <v>FLUOROQUINOLONES</v>
      </c>
      <c r="BG66" t="str">
        <f t="shared" si="3"/>
        <v/>
      </c>
      <c r="BH66" t="str">
        <f t="shared" si="4"/>
        <v/>
      </c>
      <c r="BI66" t="str">
        <f t="shared" si="5"/>
        <v>enrofloxacin</v>
      </c>
      <c r="BJ66" t="str">
        <f t="shared" si="6"/>
        <v/>
      </c>
      <c r="BK66" t="str">
        <f t="shared" si="7"/>
        <v/>
      </c>
      <c r="BL66" t="str">
        <f t="shared" si="12"/>
        <v>Enrofloxacine</v>
      </c>
      <c r="BM66" t="str">
        <f t="shared" si="8"/>
        <v>Enrofloxacine</v>
      </c>
      <c r="BN66" t="str">
        <f t="shared" si="9"/>
        <v/>
      </c>
      <c r="BO66" t="str">
        <f t="shared" si="10"/>
        <v/>
      </c>
      <c r="BP66" t="str">
        <f t="shared" si="13"/>
        <v>Fluoroquinolones</v>
      </c>
      <c r="BQ66" t="str">
        <f t="shared" si="14"/>
        <v>Fluoroquinolones</v>
      </c>
      <c r="BR66" t="str">
        <f t="shared" si="15"/>
        <v/>
      </c>
      <c r="BS66" t="str">
        <f t="shared" si="16"/>
        <v/>
      </c>
      <c r="BT66" s="76" t="str">
        <f t="shared" si="17"/>
        <v>Voie parentérale</v>
      </c>
      <c r="BU66" t="str">
        <f t="shared" si="18"/>
        <v>x</v>
      </c>
      <c r="CK66" s="109" t="s">
        <v>1904</v>
      </c>
      <c r="CL66" s="185" t="s">
        <v>4321</v>
      </c>
      <c r="CN66">
        <v>65</v>
      </c>
    </row>
    <row r="67" spans="1:92" x14ac:dyDescent="0.3">
      <c r="A67" s="118" t="s">
        <v>2952</v>
      </c>
      <c r="B67" t="s">
        <v>2953</v>
      </c>
      <c r="C67" t="s">
        <v>2954</v>
      </c>
      <c r="D67" s="144" t="s">
        <v>864</v>
      </c>
      <c r="E67" t="s">
        <v>813</v>
      </c>
      <c r="F67" t="s">
        <v>2955</v>
      </c>
      <c r="G67" t="s">
        <v>815</v>
      </c>
      <c r="H67" t="s">
        <v>816</v>
      </c>
      <c r="I67" t="s">
        <v>817</v>
      </c>
      <c r="J67" t="s">
        <v>787</v>
      </c>
      <c r="K67" t="s">
        <v>787</v>
      </c>
      <c r="L67" t="s">
        <v>1055</v>
      </c>
      <c r="M67" t="s">
        <v>208</v>
      </c>
      <c r="N67" t="s">
        <v>864</v>
      </c>
      <c r="O67" t="s">
        <v>824</v>
      </c>
      <c r="P67" t="s">
        <v>772</v>
      </c>
      <c r="Q67" t="s">
        <v>932</v>
      </c>
      <c r="R67">
        <v>0</v>
      </c>
      <c r="S67">
        <v>0</v>
      </c>
      <c r="T67">
        <v>20</v>
      </c>
      <c r="U67">
        <v>5</v>
      </c>
      <c r="V67">
        <v>0</v>
      </c>
      <c r="W67">
        <v>0</v>
      </c>
      <c r="X67">
        <v>0</v>
      </c>
      <c r="Y67">
        <v>0</v>
      </c>
      <c r="Z67">
        <v>0</v>
      </c>
      <c r="AA67">
        <v>0</v>
      </c>
      <c r="AB67">
        <v>0</v>
      </c>
      <c r="AC67">
        <v>0</v>
      </c>
      <c r="AD67">
        <v>0</v>
      </c>
      <c r="AE67">
        <v>0</v>
      </c>
      <c r="AF67">
        <v>0</v>
      </c>
      <c r="AG67">
        <v>0</v>
      </c>
      <c r="AH67">
        <v>0</v>
      </c>
      <c r="AI67">
        <v>0</v>
      </c>
      <c r="AY67" t="str">
        <f t="shared" ref="AY67:AY130" si="19">IF(INDEX(CK$3:CL$174,MATCH(H67,CK$3:CK$174,0),2)="x",F67,"")</f>
        <v/>
      </c>
      <c r="AZ67" t="str">
        <f>IF(COUNTIF(AY:AY,AY67)=1,AY67,IF(AND(COUNTIF(AY:AY,AY67)&gt;1,COUNTIF(AZ$2:AZ66,AY67)&gt;=1),"",AY67))</f>
        <v/>
      </c>
      <c r="BA67" t="str">
        <f>IF(AZ67="","",COUNTIFS(AZ$3:AZ$1439,"&lt;"&amp;AZ67,AZ$3:AZ$1439,"&lt;&gt;0")+COUNTIF(AZ$3:AZ67,AZ67)-876)</f>
        <v/>
      </c>
      <c r="BC67">
        <v>65</v>
      </c>
      <c r="BD67" t="str">
        <f t="shared" si="11"/>
        <v>BAYTRIL 5 % SOLUTION INJECTABLE</v>
      </c>
      <c r="BE67" t="str">
        <f t="shared" ref="BE67:BE130" si="20">IFERROR(INDEX(F:AR,MATCH(BD67,F:F,0),4),"")</f>
        <v>INJ</v>
      </c>
      <c r="BF67" t="str">
        <f t="shared" ref="BF67:BF130" si="21">IFERROR(INDEX(F:AR,MATCH(BD67,F:F,0),6),"")</f>
        <v>FLUOROQUINOLONES</v>
      </c>
      <c r="BG67" t="str">
        <f t="shared" ref="BG67:BG130" si="22">IFERROR(IF(INDEX(F:AR,MATCH(BD67,F:F,0),31)=0,"",INDEX(F:AR,MATCH(BD67,F:F,0),31)),"")</f>
        <v/>
      </c>
      <c r="BH67" t="str">
        <f t="shared" ref="BH67:BH130" si="23">IFERROR(IF(INDEX(F:AR,MATCH(BD67,F:F,0),38)=0,"",INDEX(F:AR,MATCH(BD67,F:F,0),38)),"")</f>
        <v/>
      </c>
      <c r="BI67" t="str">
        <f t="shared" ref="BI67:BI130" si="24">+IFERROR(IF(INDEX(F:AR,MATCH(BD67,F:F,0),7)=0,"",INDEX(F:AR,MATCH(BD67,F:F,0),7)),"")</f>
        <v>enrofloxacin</v>
      </c>
      <c r="BJ67" t="str">
        <f t="shared" ref="BJ67:BJ130" si="25">IFERROR(IF(INDEX(F:AR,MATCH(BD67,F:F,0),32)=0,"",INDEX(F:AR,MATCH(BD67,F:F,0),32)),"")</f>
        <v/>
      </c>
      <c r="BK67" t="str">
        <f t="shared" ref="BK67:BK130" si="26">IFERROR(IF(INDEX(F:AR,MATCH(BD67,F:F,0),39)=0,"",INDEX(F:AR,MATCH(BD67,F:F,0),39)),"")</f>
        <v/>
      </c>
      <c r="BL67" t="str">
        <f t="shared" si="12"/>
        <v>Enrofloxacine</v>
      </c>
      <c r="BM67" t="str">
        <f t="shared" ref="BM67:BM130" si="27">IFERROR(INDEX(BZ$3:CA$63,MATCH(BI67,BZ$3:BZ$63,0),2),"")</f>
        <v>Enrofloxacine</v>
      </c>
      <c r="BN67" t="str">
        <f t="shared" ref="BN67:BN130" si="28">IFERROR(INDEX(BZ$3:CA$63,MATCH(BJ67,BZ$3:BZ$63,0),2),"")</f>
        <v/>
      </c>
      <c r="BO67" t="str">
        <f t="shared" ref="BO67:BO130" si="29">IFERROR(INDEX(BZ$3:CA$63,MATCH(BK67,BZ$3:BZ$63,0),2),"")</f>
        <v/>
      </c>
      <c r="BP67" t="str">
        <f t="shared" si="13"/>
        <v>Fluoroquinolones</v>
      </c>
      <c r="BQ67" t="str">
        <f t="shared" si="14"/>
        <v>Fluoroquinolones</v>
      </c>
      <c r="BR67" t="str">
        <f t="shared" si="15"/>
        <v/>
      </c>
      <c r="BS67" t="str">
        <f t="shared" si="16"/>
        <v/>
      </c>
      <c r="BT67" s="76" t="str">
        <f t="shared" si="17"/>
        <v>Voie parentérale</v>
      </c>
      <c r="BU67" t="str">
        <f t="shared" si="18"/>
        <v>x</v>
      </c>
      <c r="CK67" s="109" t="s">
        <v>990</v>
      </c>
      <c r="CL67" s="185" t="s">
        <v>4321</v>
      </c>
      <c r="CN67">
        <v>66</v>
      </c>
    </row>
    <row r="68" spans="1:92" x14ac:dyDescent="0.3">
      <c r="A68" s="118" t="s">
        <v>2525</v>
      </c>
      <c r="B68" t="s">
        <v>2526</v>
      </c>
      <c r="C68" t="s">
        <v>2527</v>
      </c>
      <c r="D68" s="144" t="s">
        <v>793</v>
      </c>
      <c r="E68" t="s">
        <v>813</v>
      </c>
      <c r="F68" t="s">
        <v>2528</v>
      </c>
      <c r="G68" t="s">
        <v>815</v>
      </c>
      <c r="H68" t="s">
        <v>871</v>
      </c>
      <c r="I68" t="s">
        <v>817</v>
      </c>
      <c r="J68" t="s">
        <v>787</v>
      </c>
      <c r="K68" t="s">
        <v>787</v>
      </c>
      <c r="L68" t="s">
        <v>1055</v>
      </c>
      <c r="M68" t="s">
        <v>208</v>
      </c>
      <c r="N68" t="s">
        <v>932</v>
      </c>
      <c r="O68" t="s">
        <v>824</v>
      </c>
      <c r="P68" t="s">
        <v>772</v>
      </c>
      <c r="Q68" t="s">
        <v>1143</v>
      </c>
      <c r="R68">
        <v>0</v>
      </c>
      <c r="S68">
        <v>0</v>
      </c>
      <c r="T68">
        <v>20</v>
      </c>
      <c r="U68">
        <v>5</v>
      </c>
      <c r="V68">
        <v>0</v>
      </c>
      <c r="W68">
        <v>0</v>
      </c>
      <c r="X68">
        <v>0</v>
      </c>
      <c r="Y68">
        <v>0</v>
      </c>
      <c r="Z68">
        <v>0</v>
      </c>
      <c r="AA68">
        <v>0</v>
      </c>
      <c r="AB68">
        <v>0</v>
      </c>
      <c r="AC68">
        <v>0</v>
      </c>
      <c r="AD68">
        <v>0</v>
      </c>
      <c r="AE68">
        <v>0</v>
      </c>
      <c r="AF68">
        <v>0</v>
      </c>
      <c r="AG68">
        <v>0</v>
      </c>
      <c r="AH68">
        <v>0</v>
      </c>
      <c r="AI68">
        <v>0</v>
      </c>
      <c r="AY68" t="str">
        <f t="shared" si="19"/>
        <v/>
      </c>
      <c r="AZ68" t="str">
        <f>IF(COUNTIF(AY:AY,AY68)=1,AY68,IF(AND(COUNTIF(AY:AY,AY68)&gt;1,COUNTIF(AZ$2:AZ67,AY68)&gt;=1),"",AY68))</f>
        <v/>
      </c>
      <c r="BA68" t="str">
        <f>IF(AZ68="","",COUNTIFS(AZ$3:AZ$1439,"&lt;"&amp;AZ68,AZ$3:AZ$1439,"&lt;&gt;0")+COUNTIF(AZ$3:AZ68,AZ68)-876)</f>
        <v/>
      </c>
      <c r="BC68">
        <v>66</v>
      </c>
      <c r="BD68" t="str">
        <f t="shared" ref="BD68:BD131" si="30">IFERROR(INDEX(AZ:BA,MATCH(BC68,BA:BA,0),1),"")</f>
        <v>BAYTRIL BOLUS</v>
      </c>
      <c r="BE68" t="str">
        <f t="shared" si="20"/>
        <v>ORAL</v>
      </c>
      <c r="BF68" t="str">
        <f t="shared" si="21"/>
        <v>FLUOROQUINOLONES</v>
      </c>
      <c r="BG68" t="str">
        <f t="shared" si="22"/>
        <v/>
      </c>
      <c r="BH68" t="str">
        <f t="shared" si="23"/>
        <v/>
      </c>
      <c r="BI68" t="str">
        <f t="shared" si="24"/>
        <v>enrofloxacin</v>
      </c>
      <c r="BJ68" t="str">
        <f t="shared" si="25"/>
        <v/>
      </c>
      <c r="BK68" t="str">
        <f t="shared" si="26"/>
        <v/>
      </c>
      <c r="BL68" t="str">
        <f t="shared" ref="BL68:BL131" si="31">IF(3-COUNTBLANK(BM68:BO68)=1,BM68,IF(3-COUNTBLANK(BM68:BO68)=2,BM68&amp;" + "&amp;BN68,IF(3-COUNTBLANK(BM68:BO68)=3,BM68&amp;" + "&amp;BN68&amp;" + "&amp;BO68,"")))</f>
        <v>Enrofloxacine</v>
      </c>
      <c r="BM68" t="str">
        <f t="shared" si="27"/>
        <v>Enrofloxacine</v>
      </c>
      <c r="BN68" t="str">
        <f t="shared" si="28"/>
        <v/>
      </c>
      <c r="BO68" t="str">
        <f t="shared" si="29"/>
        <v/>
      </c>
      <c r="BP68" t="str">
        <f t="shared" ref="BP68:BP131" si="32">IF(3-COUNTBLANK(BQ68:BS68)=1,BQ68,IF(3-COUNTBLANK(BQ68:BS68)=2,IF(BQ68=BR68,BQ68,BQ68&amp;" + "&amp;BR68),IF(3-COUNTBLANK(BQ68:BS68)=3,IF(BQ68=BR68,BQ68,IF(BQ68=BS68,BQ68,IF(BR68=BS68,BR68,IF(AND(BQ68=BR68,BQ68=BS68),BQ68,BQ68&amp;" + "&amp;BR68&amp;" + "&amp;BS68)))))))</f>
        <v>Fluoroquinolones</v>
      </c>
      <c r="BQ68" t="str">
        <f t="shared" ref="BQ68:BQ131" si="33">IFERROR(INDEX(BW$3:BX$18,MATCH(BF68,BW$3:BW$18,0),2),"")</f>
        <v>Fluoroquinolones</v>
      </c>
      <c r="BR68" t="str">
        <f t="shared" ref="BR68:BR131" si="34">IFERROR(INDEX(BW$3:BX$18,MATCH(BG68,BW$3:BW$18,0),2),"")</f>
        <v/>
      </c>
      <c r="BS68" t="str">
        <f t="shared" ref="BS68:BS131" si="35">IFERROR(INDEX(BW$3:BX$18,MATCH(BH68,BW$3:BW$18,0),2),"")</f>
        <v/>
      </c>
      <c r="BT68" s="76" t="str">
        <f t="shared" ref="BT68:BT131" si="36">IFERROR(INDEX(CD$3:CE$9,MATCH(BE68,CD$3:CD$9,0),2),"")</f>
        <v>Voie orale  hors prémélanges médicamenteux</v>
      </c>
      <c r="BU68" t="str">
        <f t="shared" ref="BU68:BU131" si="37">IF(BM68="Colistine","x",IF(BN68="Colistine","x",IF(BO68="Colistine","x",IF(BQ68="Fluoroquinolones","x",IF(BR68="Fluoroquinolones","x",IF(BS68="Fluoroquinolones","x",IF(BQ68="Cephalosporines 3&amp;4G","x",IF(BR68="Cephalosporines 3&amp;4G","x",IF(BS68="Cephalosporines 3&amp;4G","x","")))))))))</f>
        <v>x</v>
      </c>
      <c r="CK68" s="109" t="s">
        <v>4235</v>
      </c>
      <c r="CL68" s="185" t="s">
        <v>4321</v>
      </c>
      <c r="CN68">
        <v>67</v>
      </c>
    </row>
    <row r="69" spans="1:92" x14ac:dyDescent="0.3">
      <c r="A69" s="118" t="s">
        <v>2525</v>
      </c>
      <c r="B69" t="s">
        <v>2529</v>
      </c>
      <c r="C69" t="s">
        <v>2530</v>
      </c>
      <c r="D69" s="144" t="s">
        <v>785</v>
      </c>
      <c r="E69" t="s">
        <v>813</v>
      </c>
      <c r="F69" t="s">
        <v>2528</v>
      </c>
      <c r="G69" t="s">
        <v>815</v>
      </c>
      <c r="H69" t="s">
        <v>871</v>
      </c>
      <c r="I69" t="s">
        <v>817</v>
      </c>
      <c r="J69" t="s">
        <v>787</v>
      </c>
      <c r="K69" t="s">
        <v>787</v>
      </c>
      <c r="L69" t="s">
        <v>1055</v>
      </c>
      <c r="M69" t="s">
        <v>208</v>
      </c>
      <c r="N69" t="s">
        <v>932</v>
      </c>
      <c r="O69" t="s">
        <v>824</v>
      </c>
      <c r="P69" t="s">
        <v>772</v>
      </c>
      <c r="Q69" t="s">
        <v>1361</v>
      </c>
      <c r="R69">
        <v>0</v>
      </c>
      <c r="S69">
        <v>0</v>
      </c>
      <c r="T69">
        <v>20</v>
      </c>
      <c r="U69">
        <v>5</v>
      </c>
      <c r="V69">
        <v>0</v>
      </c>
      <c r="W69">
        <v>0</v>
      </c>
      <c r="X69">
        <v>0</v>
      </c>
      <c r="Y69">
        <v>0</v>
      </c>
      <c r="Z69">
        <v>0</v>
      </c>
      <c r="AA69">
        <v>0</v>
      </c>
      <c r="AB69">
        <v>0</v>
      </c>
      <c r="AC69">
        <v>0</v>
      </c>
      <c r="AD69">
        <v>0</v>
      </c>
      <c r="AE69">
        <v>0</v>
      </c>
      <c r="AF69">
        <v>0</v>
      </c>
      <c r="AG69">
        <v>0</v>
      </c>
      <c r="AH69">
        <v>0</v>
      </c>
      <c r="AI69">
        <v>0</v>
      </c>
      <c r="AY69" t="str">
        <f t="shared" si="19"/>
        <v/>
      </c>
      <c r="AZ69" t="str">
        <f>IF(COUNTIF(AY:AY,AY69)=1,AY69,IF(AND(COUNTIF(AY:AY,AY69)&gt;1,COUNTIF(AZ$2:AZ68,AY69)&gt;=1),"",AY69))</f>
        <v/>
      </c>
      <c r="BA69" t="str">
        <f>IF(AZ69="","",COUNTIFS(AZ$3:AZ$1439,"&lt;"&amp;AZ69,AZ$3:AZ$1439,"&lt;&gt;0")+COUNTIF(AZ$3:AZ69,AZ69)-876)</f>
        <v/>
      </c>
      <c r="BC69">
        <v>67</v>
      </c>
      <c r="BD69" t="str">
        <f t="shared" si="30"/>
        <v>BAYTRIL XM 100 MG/ML SOLUTION INJECTABLE POUR BOVINS ET PORCINS</v>
      </c>
      <c r="BE69" t="str">
        <f t="shared" si="20"/>
        <v>INJ</v>
      </c>
      <c r="BF69" t="str">
        <f t="shared" si="21"/>
        <v>FLUOROQUINOLONES</v>
      </c>
      <c r="BG69" t="str">
        <f t="shared" si="22"/>
        <v/>
      </c>
      <c r="BH69" t="str">
        <f t="shared" si="23"/>
        <v/>
      </c>
      <c r="BI69" t="str">
        <f t="shared" si="24"/>
        <v>enrofloxacin</v>
      </c>
      <c r="BJ69" t="str">
        <f t="shared" si="25"/>
        <v/>
      </c>
      <c r="BK69" t="str">
        <f t="shared" si="26"/>
        <v/>
      </c>
      <c r="BL69" t="str">
        <f t="shared" si="31"/>
        <v>Enrofloxacine</v>
      </c>
      <c r="BM69" t="str">
        <f t="shared" si="27"/>
        <v>Enrofloxacine</v>
      </c>
      <c r="BN69" t="str">
        <f t="shared" si="28"/>
        <v/>
      </c>
      <c r="BO69" t="str">
        <f t="shared" si="29"/>
        <v/>
      </c>
      <c r="BP69" t="str">
        <f t="shared" si="32"/>
        <v>Fluoroquinolones</v>
      </c>
      <c r="BQ69" t="str">
        <f t="shared" si="33"/>
        <v>Fluoroquinolones</v>
      </c>
      <c r="BR69" t="str">
        <f t="shared" si="34"/>
        <v/>
      </c>
      <c r="BS69" t="str">
        <f t="shared" si="35"/>
        <v/>
      </c>
      <c r="BT69" s="76" t="str">
        <f t="shared" si="36"/>
        <v>Voie parentérale</v>
      </c>
      <c r="BU69" t="str">
        <f t="shared" si="37"/>
        <v>x</v>
      </c>
      <c r="CK69" s="109" t="s">
        <v>2469</v>
      </c>
      <c r="CL69" s="185" t="s">
        <v>4321</v>
      </c>
      <c r="CN69">
        <v>68</v>
      </c>
    </row>
    <row r="70" spans="1:92" x14ac:dyDescent="0.3">
      <c r="A70" s="118" t="s">
        <v>3096</v>
      </c>
      <c r="B70" t="s">
        <v>3097</v>
      </c>
      <c r="C70" t="s">
        <v>2954</v>
      </c>
      <c r="D70" s="144" t="s">
        <v>864</v>
      </c>
      <c r="E70" t="s">
        <v>813</v>
      </c>
      <c r="F70" t="s">
        <v>3098</v>
      </c>
      <c r="G70" t="s">
        <v>815</v>
      </c>
      <c r="H70" t="s">
        <v>860</v>
      </c>
      <c r="I70" t="s">
        <v>817</v>
      </c>
      <c r="J70" t="s">
        <v>787</v>
      </c>
      <c r="K70" t="s">
        <v>787</v>
      </c>
      <c r="L70" t="s">
        <v>1055</v>
      </c>
      <c r="M70" t="s">
        <v>208</v>
      </c>
      <c r="N70" t="s">
        <v>939</v>
      </c>
      <c r="O70" t="s">
        <v>824</v>
      </c>
      <c r="P70" t="s">
        <v>772</v>
      </c>
      <c r="Q70" t="s">
        <v>940</v>
      </c>
      <c r="R70">
        <v>0</v>
      </c>
      <c r="S70">
        <v>0</v>
      </c>
      <c r="T70">
        <v>20</v>
      </c>
      <c r="U70">
        <v>5</v>
      </c>
      <c r="V70">
        <v>0</v>
      </c>
      <c r="W70">
        <v>0</v>
      </c>
      <c r="X70">
        <v>0</v>
      </c>
      <c r="Y70">
        <v>0</v>
      </c>
      <c r="Z70">
        <v>0</v>
      </c>
      <c r="AA70">
        <v>0</v>
      </c>
      <c r="AB70">
        <v>0</v>
      </c>
      <c r="AC70">
        <v>0</v>
      </c>
      <c r="AD70">
        <v>0</v>
      </c>
      <c r="AE70">
        <v>0</v>
      </c>
      <c r="AF70">
        <v>0</v>
      </c>
      <c r="AG70">
        <v>0</v>
      </c>
      <c r="AH70">
        <v>0</v>
      </c>
      <c r="AI70">
        <v>0</v>
      </c>
      <c r="AY70" t="str">
        <f t="shared" si="19"/>
        <v/>
      </c>
      <c r="AZ70" t="str">
        <f>IF(COUNTIF(AY:AY,AY70)=1,AY70,IF(AND(COUNTIF(AY:AY,AY70)&gt;1,COUNTIF(AZ$2:AZ69,AY70)&gt;=1),"",AY70))</f>
        <v/>
      </c>
      <c r="BA70" t="str">
        <f>IF(AZ70="","",COUNTIFS(AZ$3:AZ$1439,"&lt;"&amp;AZ70,AZ$3:AZ$1439,"&lt;&gt;0")+COUNTIF(AZ$3:AZ70,AZ70)-876)</f>
        <v/>
      </c>
      <c r="BC70">
        <v>68</v>
      </c>
      <c r="BD70" t="str">
        <f t="shared" si="30"/>
        <v>BELCOMYCINE S</v>
      </c>
      <c r="BE70" t="str">
        <f t="shared" si="20"/>
        <v>INJ</v>
      </c>
      <c r="BF70" t="str">
        <f t="shared" si="21"/>
        <v>POLYPEPTIDES</v>
      </c>
      <c r="BG70" t="str">
        <f t="shared" si="22"/>
        <v/>
      </c>
      <c r="BH70" t="str">
        <f t="shared" si="23"/>
        <v/>
      </c>
      <c r="BI70" t="str">
        <f t="shared" si="24"/>
        <v>colistin</v>
      </c>
      <c r="BJ70" t="str">
        <f t="shared" si="25"/>
        <v/>
      </c>
      <c r="BK70" t="str">
        <f t="shared" si="26"/>
        <v/>
      </c>
      <c r="BL70" t="str">
        <f t="shared" si="31"/>
        <v>Colistine</v>
      </c>
      <c r="BM70" t="str">
        <f t="shared" si="27"/>
        <v>Colistine</v>
      </c>
      <c r="BN70" t="str">
        <f t="shared" si="28"/>
        <v/>
      </c>
      <c r="BO70" t="str">
        <f t="shared" si="29"/>
        <v/>
      </c>
      <c r="BP70" t="str">
        <f t="shared" si="32"/>
        <v>Polypeptides</v>
      </c>
      <c r="BQ70" t="str">
        <f t="shared" si="33"/>
        <v>Polypeptides</v>
      </c>
      <c r="BR70" t="str">
        <f t="shared" si="34"/>
        <v/>
      </c>
      <c r="BS70" t="str">
        <f t="shared" si="35"/>
        <v/>
      </c>
      <c r="BT70" s="76" t="str">
        <f t="shared" si="36"/>
        <v>Voie parentérale</v>
      </c>
      <c r="BU70" t="str">
        <f t="shared" si="37"/>
        <v>x</v>
      </c>
      <c r="CK70" s="109" t="s">
        <v>1926</v>
      </c>
      <c r="CL70" s="185" t="s">
        <v>4321</v>
      </c>
      <c r="CN70">
        <v>69</v>
      </c>
    </row>
    <row r="71" spans="1:92" x14ac:dyDescent="0.3">
      <c r="A71" s="118" t="s">
        <v>2845</v>
      </c>
      <c r="B71" t="s">
        <v>2846</v>
      </c>
      <c r="C71" t="s">
        <v>1062</v>
      </c>
      <c r="D71" s="144" t="s">
        <v>1063</v>
      </c>
      <c r="E71" t="s">
        <v>830</v>
      </c>
      <c r="F71" t="s">
        <v>239</v>
      </c>
      <c r="G71" t="s">
        <v>1064</v>
      </c>
      <c r="H71" t="s">
        <v>2683</v>
      </c>
      <c r="I71" t="s">
        <v>1066</v>
      </c>
      <c r="J71" t="s">
        <v>787</v>
      </c>
      <c r="K71" t="s">
        <v>787</v>
      </c>
      <c r="L71" t="s">
        <v>1055</v>
      </c>
      <c r="M71" t="s">
        <v>208</v>
      </c>
      <c r="N71" t="s">
        <v>932</v>
      </c>
      <c r="O71" t="s">
        <v>894</v>
      </c>
      <c r="P71" t="s">
        <v>772</v>
      </c>
      <c r="Q71" t="s">
        <v>829</v>
      </c>
      <c r="R71">
        <v>0</v>
      </c>
      <c r="S71">
        <v>0</v>
      </c>
      <c r="T71">
        <v>0</v>
      </c>
      <c r="U71">
        <v>0</v>
      </c>
      <c r="V71">
        <v>0</v>
      </c>
      <c r="W71">
        <v>0</v>
      </c>
      <c r="X71">
        <v>0</v>
      </c>
      <c r="Y71">
        <v>0</v>
      </c>
      <c r="Z71">
        <v>0</v>
      </c>
      <c r="AA71">
        <v>0</v>
      </c>
      <c r="AB71">
        <v>0</v>
      </c>
      <c r="AC71">
        <v>0</v>
      </c>
      <c r="AD71">
        <v>0</v>
      </c>
      <c r="AE71">
        <v>0</v>
      </c>
      <c r="AF71">
        <v>20</v>
      </c>
      <c r="AG71">
        <v>5</v>
      </c>
      <c r="AH71">
        <v>0</v>
      </c>
      <c r="AI71">
        <v>0</v>
      </c>
      <c r="AY71" t="str">
        <f t="shared" si="19"/>
        <v>AMOXIVAL AMOXICILLINE 40 PREMELANGE MEDICAMENTEUX VOLAILLES</v>
      </c>
      <c r="AZ71" t="str">
        <f>IF(COUNTIF(AY:AY,AY71)=1,AY71,IF(AND(COUNTIF(AY:AY,AY71)&gt;1,COUNTIF(AZ$2:AZ70,AY71)&gt;=1),"",AY71))</f>
        <v>AMOXIVAL AMOXICILLINE 40 PREMELANGE MEDICAMENTEUX VOLAILLES</v>
      </c>
      <c r="BA71">
        <f>IF(AZ71="","",COUNTIFS(AZ$3:AZ$1439,"&lt;"&amp;AZ71,AZ$3:AZ$1439,"&lt;&gt;0")+COUNTIF(AZ$3:AZ71,AZ71)-876)</f>
        <v>32</v>
      </c>
      <c r="BC71">
        <v>69</v>
      </c>
      <c r="BD71" t="str">
        <f t="shared" si="30"/>
        <v>BELCOPENI 5</v>
      </c>
      <c r="BE71" t="str">
        <f t="shared" si="20"/>
        <v>INJ</v>
      </c>
      <c r="BF71" t="str">
        <f t="shared" si="21"/>
        <v>PENICILLINES</v>
      </c>
      <c r="BG71" t="str">
        <f t="shared" si="22"/>
        <v>POLYPEPTIDES</v>
      </c>
      <c r="BH71" t="str">
        <f t="shared" si="23"/>
        <v/>
      </c>
      <c r="BI71" t="str">
        <f t="shared" si="24"/>
        <v>benzylpenicillin</v>
      </c>
      <c r="BJ71" t="str">
        <f t="shared" si="25"/>
        <v>colistin</v>
      </c>
      <c r="BK71" t="str">
        <f t="shared" si="26"/>
        <v/>
      </c>
      <c r="BL71" t="str">
        <f t="shared" si="31"/>
        <v>Benzylpénicilline + Colistine</v>
      </c>
      <c r="BM71" t="str">
        <f t="shared" si="27"/>
        <v>Benzylpénicilline</v>
      </c>
      <c r="BN71" t="str">
        <f t="shared" si="28"/>
        <v>Colistine</v>
      </c>
      <c r="BO71" t="str">
        <f t="shared" si="29"/>
        <v/>
      </c>
      <c r="BP71" t="str">
        <f t="shared" si="32"/>
        <v>Penicillines + Polypeptides</v>
      </c>
      <c r="BQ71" t="str">
        <f t="shared" si="33"/>
        <v>Penicillines</v>
      </c>
      <c r="BR71" t="str">
        <f t="shared" si="34"/>
        <v>Polypeptides</v>
      </c>
      <c r="BS71" t="str">
        <f t="shared" si="35"/>
        <v/>
      </c>
      <c r="BT71" s="76" t="str">
        <f t="shared" si="36"/>
        <v>Voie parentérale</v>
      </c>
      <c r="BU71" t="str">
        <f t="shared" si="37"/>
        <v>x</v>
      </c>
      <c r="CK71" s="109" t="s">
        <v>1484</v>
      </c>
      <c r="CL71" s="185" t="s">
        <v>4321</v>
      </c>
      <c r="CN71">
        <v>70</v>
      </c>
    </row>
    <row r="72" spans="1:92" x14ac:dyDescent="0.3">
      <c r="A72" s="118" t="s">
        <v>4657</v>
      </c>
      <c r="B72" t="s">
        <v>3947</v>
      </c>
      <c r="C72" t="s">
        <v>1835</v>
      </c>
      <c r="D72" t="s">
        <v>829</v>
      </c>
      <c r="E72" t="s">
        <v>830</v>
      </c>
      <c r="F72" t="s">
        <v>4658</v>
      </c>
      <c r="G72" t="s">
        <v>831</v>
      </c>
      <c r="H72" t="s">
        <v>1213</v>
      </c>
      <c r="I72" t="s">
        <v>817</v>
      </c>
      <c r="J72" t="s">
        <v>1752</v>
      </c>
      <c r="K72" t="s">
        <v>1752</v>
      </c>
      <c r="L72" t="s">
        <v>2511</v>
      </c>
      <c r="M72" t="s">
        <v>208</v>
      </c>
      <c r="N72" t="s">
        <v>864</v>
      </c>
      <c r="O72" t="s">
        <v>894</v>
      </c>
      <c r="P72" t="s">
        <v>772</v>
      </c>
      <c r="Q72" t="s">
        <v>864</v>
      </c>
      <c r="R72">
        <v>0</v>
      </c>
      <c r="S72">
        <v>0</v>
      </c>
      <c r="T72">
        <v>0</v>
      </c>
      <c r="U72">
        <v>0</v>
      </c>
      <c r="V72">
        <v>0</v>
      </c>
      <c r="W72">
        <v>0</v>
      </c>
      <c r="X72">
        <v>15</v>
      </c>
      <c r="Y72">
        <v>10</v>
      </c>
      <c r="Z72">
        <v>0</v>
      </c>
      <c r="AA72">
        <v>0</v>
      </c>
      <c r="AB72">
        <v>0</v>
      </c>
      <c r="AC72">
        <v>0</v>
      </c>
      <c r="AD72">
        <v>10</v>
      </c>
      <c r="AE72">
        <v>5</v>
      </c>
      <c r="AF72">
        <v>0</v>
      </c>
      <c r="AG72">
        <v>0</v>
      </c>
      <c r="AH72">
        <v>0</v>
      </c>
      <c r="AI72">
        <v>0</v>
      </c>
      <c r="AY72" t="str">
        <f t="shared" si="19"/>
        <v>AMPHEN 200 MG/G GRANULES POUR ADMINISTRATION DANS L'EAU DE BOISSON POUR PORCS</v>
      </c>
      <c r="AZ72" t="str">
        <f>IF(COUNTIF(AY:AY,AY72)=1,AY72,IF(AND(COUNTIF(AY:AY,AY72)&gt;1,COUNTIF(AZ$2:AZ71,AY72)&gt;=1),"",AY72))</f>
        <v>AMPHEN 200 MG/G GRANULES POUR ADMINISTRATION DANS L'EAU DE BOISSON POUR PORCS</v>
      </c>
      <c r="BA72">
        <f>IF(AZ72="","",COUNTIFS(AZ$3:AZ$1439,"&lt;"&amp;AZ72,AZ$3:AZ$1439,"&lt;&gt;0")+COUNTIF(AZ$3:AZ72,AZ72)-876)</f>
        <v>33</v>
      </c>
      <c r="BC72">
        <v>70</v>
      </c>
      <c r="BD72" t="str">
        <f t="shared" si="30"/>
        <v>BIAMULINE</v>
      </c>
      <c r="BE72" t="str">
        <f t="shared" si="20"/>
        <v>ORAL</v>
      </c>
      <c r="BF72" t="str">
        <f t="shared" si="21"/>
        <v>PLEUROMUTILINES</v>
      </c>
      <c r="BG72" t="str">
        <f t="shared" si="22"/>
        <v/>
      </c>
      <c r="BH72" t="str">
        <f t="shared" si="23"/>
        <v/>
      </c>
      <c r="BI72" t="str">
        <f t="shared" si="24"/>
        <v>tiamulin</v>
      </c>
      <c r="BJ72" t="str">
        <f t="shared" si="25"/>
        <v/>
      </c>
      <c r="BK72" t="str">
        <f t="shared" si="26"/>
        <v/>
      </c>
      <c r="BL72" t="str">
        <f t="shared" si="31"/>
        <v>Tiamuline</v>
      </c>
      <c r="BM72" t="str">
        <f t="shared" si="27"/>
        <v>Tiamuline</v>
      </c>
      <c r="BN72" t="str">
        <f t="shared" si="28"/>
        <v/>
      </c>
      <c r="BO72" t="str">
        <f t="shared" si="29"/>
        <v/>
      </c>
      <c r="BP72" t="str">
        <f t="shared" si="32"/>
        <v>Pleuromutilines</v>
      </c>
      <c r="BQ72" t="str">
        <f t="shared" si="33"/>
        <v>Pleuromutilines</v>
      </c>
      <c r="BR72" t="str">
        <f t="shared" si="34"/>
        <v/>
      </c>
      <c r="BS72" t="str">
        <f t="shared" si="35"/>
        <v/>
      </c>
      <c r="BT72" s="76" t="str">
        <f t="shared" si="36"/>
        <v>Voie orale  hors prémélanges médicamenteux</v>
      </c>
      <c r="BU72" t="str">
        <f t="shared" si="37"/>
        <v/>
      </c>
      <c r="CK72" s="109" t="s">
        <v>2152</v>
      </c>
      <c r="CL72" s="185" t="s">
        <v>4321</v>
      </c>
      <c r="CN72">
        <v>71</v>
      </c>
    </row>
    <row r="73" spans="1:92" x14ac:dyDescent="0.3">
      <c r="A73" s="118" t="s">
        <v>3946</v>
      </c>
      <c r="B73" t="s">
        <v>208</v>
      </c>
      <c r="C73" t="s">
        <v>1835</v>
      </c>
      <c r="D73" s="144" t="s">
        <v>829</v>
      </c>
      <c r="E73" t="s">
        <v>830</v>
      </c>
      <c r="F73" t="s">
        <v>601</v>
      </c>
      <c r="G73" t="s">
        <v>831</v>
      </c>
      <c r="H73" t="s">
        <v>1213</v>
      </c>
      <c r="I73" t="s">
        <v>817</v>
      </c>
      <c r="J73" t="s">
        <v>1752</v>
      </c>
      <c r="K73" t="s">
        <v>1752</v>
      </c>
      <c r="L73" t="s">
        <v>2511</v>
      </c>
      <c r="M73" t="s">
        <v>208</v>
      </c>
      <c r="N73" t="s">
        <v>864</v>
      </c>
      <c r="O73" t="s">
        <v>894</v>
      </c>
      <c r="P73" t="s">
        <v>772</v>
      </c>
      <c r="Q73" t="s">
        <v>864</v>
      </c>
      <c r="R73">
        <v>0</v>
      </c>
      <c r="S73">
        <v>0</v>
      </c>
      <c r="T73">
        <v>0</v>
      </c>
      <c r="U73">
        <v>0</v>
      </c>
      <c r="V73">
        <v>0</v>
      </c>
      <c r="W73">
        <v>0</v>
      </c>
      <c r="X73">
        <v>0</v>
      </c>
      <c r="Y73">
        <v>0</v>
      </c>
      <c r="Z73">
        <v>0</v>
      </c>
      <c r="AA73">
        <v>0</v>
      </c>
      <c r="AB73">
        <v>0</v>
      </c>
      <c r="AC73">
        <v>0</v>
      </c>
      <c r="AD73">
        <v>10</v>
      </c>
      <c r="AE73">
        <v>5</v>
      </c>
      <c r="AF73">
        <v>0</v>
      </c>
      <c r="AG73">
        <v>0</v>
      </c>
      <c r="AH73">
        <v>0</v>
      </c>
      <c r="AI73">
        <v>0</v>
      </c>
      <c r="AY73" t="str">
        <f t="shared" si="19"/>
        <v>AMPHEN 200 MG/G GRANULES POUR SOLUTION BUVABLE POUR PORCS</v>
      </c>
      <c r="AZ73" t="str">
        <f>IF(COUNTIF(AY:AY,AY73)=1,AY73,IF(AND(COUNTIF(AY:AY,AY73)&gt;1,COUNTIF(AZ$2:AZ72,AY73)&gt;=1),"",AY73))</f>
        <v>AMPHEN 200 MG/G GRANULES POUR SOLUTION BUVABLE POUR PORCS</v>
      </c>
      <c r="BA73">
        <f>IF(AZ73="","",COUNTIFS(AZ$3:AZ$1439,"&lt;"&amp;AZ73,AZ$3:AZ$1439,"&lt;&gt;0")+COUNTIF(AZ$3:AZ73,AZ73)-876)</f>
        <v>34</v>
      </c>
      <c r="BC73">
        <v>71</v>
      </c>
      <c r="BD73" t="str">
        <f t="shared" si="30"/>
        <v>BIAPRIM BUVABLE</v>
      </c>
      <c r="BE73" t="str">
        <f t="shared" si="20"/>
        <v>ORAL</v>
      </c>
      <c r="BF73" t="str">
        <f t="shared" si="21"/>
        <v>SULFAMIDES</v>
      </c>
      <c r="BG73" t="str">
        <f t="shared" si="22"/>
        <v>TRIMETHOPRIME</v>
      </c>
      <c r="BH73" t="str">
        <f t="shared" si="23"/>
        <v/>
      </c>
      <c r="BI73" t="str">
        <f t="shared" si="24"/>
        <v>sulfadimethoxine</v>
      </c>
      <c r="BJ73" t="str">
        <f t="shared" si="25"/>
        <v>trimethoprim</v>
      </c>
      <c r="BK73" t="str">
        <f t="shared" si="26"/>
        <v/>
      </c>
      <c r="BL73" t="str">
        <f t="shared" si="31"/>
        <v>Sulfadiméthoxine + Triméthoprime</v>
      </c>
      <c r="BM73" t="str">
        <f t="shared" si="27"/>
        <v>Sulfadiméthoxine</v>
      </c>
      <c r="BN73" t="str">
        <f t="shared" si="28"/>
        <v>Triméthoprime</v>
      </c>
      <c r="BO73" t="str">
        <f t="shared" si="29"/>
        <v/>
      </c>
      <c r="BP73" t="str">
        <f t="shared" si="32"/>
        <v>Sulfamides + Trimethoprime</v>
      </c>
      <c r="BQ73" t="str">
        <f t="shared" si="33"/>
        <v>Sulfamides</v>
      </c>
      <c r="BR73" t="str">
        <f t="shared" si="34"/>
        <v>Trimethoprime</v>
      </c>
      <c r="BS73" t="str">
        <f t="shared" si="35"/>
        <v/>
      </c>
      <c r="BT73" s="76" t="str">
        <f t="shared" si="36"/>
        <v>Voie orale  hors prémélanges médicamenteux</v>
      </c>
      <c r="BU73" t="str">
        <f t="shared" si="37"/>
        <v/>
      </c>
      <c r="CK73" s="109" t="s">
        <v>1326</v>
      </c>
      <c r="CL73" s="185" t="s">
        <v>4321</v>
      </c>
      <c r="CN73">
        <v>72</v>
      </c>
    </row>
    <row r="74" spans="1:92" x14ac:dyDescent="0.3">
      <c r="A74" s="118" t="s">
        <v>3946</v>
      </c>
      <c r="B74" t="s">
        <v>4548</v>
      </c>
      <c r="C74" t="s">
        <v>4549</v>
      </c>
      <c r="D74" s="144" t="s">
        <v>906</v>
      </c>
      <c r="E74" t="s">
        <v>830</v>
      </c>
      <c r="F74" t="s">
        <v>601</v>
      </c>
      <c r="G74" t="s">
        <v>831</v>
      </c>
      <c r="H74" t="s">
        <v>1213</v>
      </c>
      <c r="I74" t="s">
        <v>817</v>
      </c>
      <c r="J74" t="s">
        <v>1752</v>
      </c>
      <c r="K74" t="s">
        <v>1752</v>
      </c>
      <c r="L74" t="s">
        <v>2511</v>
      </c>
      <c r="M74" t="s">
        <v>208</v>
      </c>
      <c r="N74" t="s">
        <v>864</v>
      </c>
      <c r="O74" t="s">
        <v>894</v>
      </c>
      <c r="P74" t="s">
        <v>772</v>
      </c>
      <c r="Q74" t="s">
        <v>764</v>
      </c>
      <c r="R74">
        <v>0</v>
      </c>
      <c r="S74">
        <v>0</v>
      </c>
      <c r="T74">
        <v>0</v>
      </c>
      <c r="U74">
        <v>0</v>
      </c>
      <c r="V74">
        <v>0</v>
      </c>
      <c r="W74">
        <v>0</v>
      </c>
      <c r="X74">
        <v>0</v>
      </c>
      <c r="Y74">
        <v>0</v>
      </c>
      <c r="Z74">
        <v>0</v>
      </c>
      <c r="AA74">
        <v>0</v>
      </c>
      <c r="AB74">
        <v>0</v>
      </c>
      <c r="AC74">
        <v>0</v>
      </c>
      <c r="AD74">
        <v>10</v>
      </c>
      <c r="AE74">
        <v>5</v>
      </c>
      <c r="AF74">
        <v>0</v>
      </c>
      <c r="AG74">
        <v>0</v>
      </c>
      <c r="AH74">
        <v>0</v>
      </c>
      <c r="AI74">
        <v>0</v>
      </c>
      <c r="AY74" t="str">
        <f t="shared" si="19"/>
        <v>AMPHEN 200 MG/G GRANULES POUR SOLUTION BUVABLE POUR PORCS</v>
      </c>
      <c r="AZ74" t="str">
        <f>IF(COUNTIF(AY:AY,AY74)=1,AY74,IF(AND(COUNTIF(AY:AY,AY74)&gt;1,COUNTIF(AZ$2:AZ73,AY74)&gt;=1),"",AY74))</f>
        <v/>
      </c>
      <c r="BA74" t="str">
        <f>IF(AZ74="","",COUNTIFS(AZ$3:AZ$1439,"&lt;"&amp;AZ74,AZ$3:AZ$1439,"&lt;&gt;0")+COUNTIF(AZ$3:AZ74,AZ74)-876)</f>
        <v/>
      </c>
      <c r="BC74">
        <v>72</v>
      </c>
      <c r="BD74" t="str">
        <f t="shared" si="30"/>
        <v>BIMOXYL LA 150 MG/ML SUSPENSION INJECTABLE POUR BOVINS OVINS ET PORCINS</v>
      </c>
      <c r="BE74" t="str">
        <f t="shared" si="20"/>
        <v>INJ</v>
      </c>
      <c r="BF74" t="str">
        <f t="shared" si="21"/>
        <v>PENICILLINES</v>
      </c>
      <c r="BG74" t="str">
        <f t="shared" si="22"/>
        <v/>
      </c>
      <c r="BH74" t="str">
        <f t="shared" si="23"/>
        <v/>
      </c>
      <c r="BI74" t="str">
        <f t="shared" si="24"/>
        <v>amoxicillin</v>
      </c>
      <c r="BJ74" t="str">
        <f t="shared" si="25"/>
        <v/>
      </c>
      <c r="BK74" t="str">
        <f t="shared" si="26"/>
        <v/>
      </c>
      <c r="BL74" t="str">
        <f t="shared" si="31"/>
        <v>Amoxicilline</v>
      </c>
      <c r="BM74" t="str">
        <f t="shared" si="27"/>
        <v>Amoxicilline</v>
      </c>
      <c r="BN74" t="str">
        <f t="shared" si="28"/>
        <v/>
      </c>
      <c r="BO74" t="str">
        <f t="shared" si="29"/>
        <v/>
      </c>
      <c r="BP74" t="str">
        <f t="shared" si="32"/>
        <v>Penicillines</v>
      </c>
      <c r="BQ74" t="str">
        <f t="shared" si="33"/>
        <v>Penicillines</v>
      </c>
      <c r="BR74" t="str">
        <f t="shared" si="34"/>
        <v/>
      </c>
      <c r="BS74" t="str">
        <f t="shared" si="35"/>
        <v/>
      </c>
      <c r="BT74" s="76" t="str">
        <f t="shared" si="36"/>
        <v>Voie parentérale</v>
      </c>
      <c r="BU74" t="str">
        <f t="shared" si="37"/>
        <v/>
      </c>
      <c r="CK74" s="109" t="s">
        <v>3999</v>
      </c>
      <c r="CL74" s="185" t="s">
        <v>4321</v>
      </c>
      <c r="CN74">
        <v>73</v>
      </c>
    </row>
    <row r="75" spans="1:92" x14ac:dyDescent="0.3">
      <c r="A75" s="118" t="s">
        <v>1983</v>
      </c>
      <c r="B75" t="s">
        <v>1984</v>
      </c>
      <c r="C75" t="s">
        <v>943</v>
      </c>
      <c r="D75" s="144" t="s">
        <v>764</v>
      </c>
      <c r="E75" t="s">
        <v>765</v>
      </c>
      <c r="F75" t="s">
        <v>34</v>
      </c>
      <c r="G75" t="s">
        <v>766</v>
      </c>
      <c r="H75" t="s">
        <v>781</v>
      </c>
      <c r="I75" t="s">
        <v>766</v>
      </c>
      <c r="J75" t="s">
        <v>928</v>
      </c>
      <c r="K75" t="s">
        <v>862</v>
      </c>
      <c r="L75" t="s">
        <v>895</v>
      </c>
      <c r="M75" t="s">
        <v>208</v>
      </c>
      <c r="N75" t="s">
        <v>864</v>
      </c>
      <c r="O75" t="s">
        <v>771</v>
      </c>
      <c r="P75" t="s">
        <v>772</v>
      </c>
      <c r="Q75" t="s">
        <v>869</v>
      </c>
      <c r="R75">
        <v>12.5</v>
      </c>
      <c r="S75">
        <v>3</v>
      </c>
      <c r="T75">
        <v>12.5</v>
      </c>
      <c r="U75">
        <v>3</v>
      </c>
      <c r="V75">
        <v>12.5</v>
      </c>
      <c r="W75">
        <v>3</v>
      </c>
      <c r="X75">
        <v>0</v>
      </c>
      <c r="Y75">
        <v>0</v>
      </c>
      <c r="Z75">
        <v>0</v>
      </c>
      <c r="AA75">
        <v>0</v>
      </c>
      <c r="AB75">
        <v>0</v>
      </c>
      <c r="AC75">
        <v>0</v>
      </c>
      <c r="AD75">
        <v>0</v>
      </c>
      <c r="AE75">
        <v>0</v>
      </c>
      <c r="AF75">
        <v>0</v>
      </c>
      <c r="AG75">
        <v>0</v>
      </c>
      <c r="AH75">
        <v>0</v>
      </c>
      <c r="AI75">
        <v>0</v>
      </c>
      <c r="AJ75" t="s">
        <v>930</v>
      </c>
      <c r="AK75" t="s">
        <v>931</v>
      </c>
      <c r="AL75" t="s">
        <v>208</v>
      </c>
      <c r="AM75" t="s">
        <v>932</v>
      </c>
      <c r="AN75" t="s">
        <v>771</v>
      </c>
      <c r="AO75" t="s">
        <v>772</v>
      </c>
      <c r="AP75" t="s">
        <v>934</v>
      </c>
      <c r="AY75" t="str">
        <f t="shared" si="19"/>
        <v>AMPHOPRIM</v>
      </c>
      <c r="AZ75" t="str">
        <f>IF(COUNTIF(AY:AY,AY75)=1,AY75,IF(AND(COUNTIF(AY:AY,AY75)&gt;1,COUNTIF(AZ$2:AZ74,AY75)&gt;=1),"",AY75))</f>
        <v>AMPHOPRIM</v>
      </c>
      <c r="BA75">
        <f>IF(AZ75="","",COUNTIFS(AZ$3:AZ$1439,"&lt;"&amp;AZ75,AZ$3:AZ$1439,"&lt;&gt;0")+COUNTIF(AZ$3:AZ75,AZ75)-876)</f>
        <v>35</v>
      </c>
      <c r="BC75">
        <v>73</v>
      </c>
      <c r="BD75" t="str">
        <f t="shared" si="30"/>
        <v>BIOAMOXI</v>
      </c>
      <c r="BE75" t="str">
        <f t="shared" si="20"/>
        <v>ORAL</v>
      </c>
      <c r="BF75" t="str">
        <f t="shared" si="21"/>
        <v>PENICILLINES</v>
      </c>
      <c r="BG75" t="str">
        <f t="shared" si="22"/>
        <v/>
      </c>
      <c r="BH75" t="str">
        <f t="shared" si="23"/>
        <v/>
      </c>
      <c r="BI75" t="str">
        <f t="shared" si="24"/>
        <v>amoxicillin</v>
      </c>
      <c r="BJ75" t="str">
        <f t="shared" si="25"/>
        <v/>
      </c>
      <c r="BK75" t="str">
        <f t="shared" si="26"/>
        <v/>
      </c>
      <c r="BL75" t="str">
        <f t="shared" si="31"/>
        <v>Amoxicilline</v>
      </c>
      <c r="BM75" t="str">
        <f t="shared" si="27"/>
        <v>Amoxicilline</v>
      </c>
      <c r="BN75" t="str">
        <f t="shared" si="28"/>
        <v/>
      </c>
      <c r="BO75" t="str">
        <f t="shared" si="29"/>
        <v/>
      </c>
      <c r="BP75" t="str">
        <f t="shared" si="32"/>
        <v>Penicillines</v>
      </c>
      <c r="BQ75" t="str">
        <f t="shared" si="33"/>
        <v>Penicillines</v>
      </c>
      <c r="BR75" t="str">
        <f t="shared" si="34"/>
        <v/>
      </c>
      <c r="BS75" t="str">
        <f t="shared" si="35"/>
        <v/>
      </c>
      <c r="BT75" s="76" t="str">
        <f t="shared" si="36"/>
        <v>Voie orale  hors prémélanges médicamenteux</v>
      </c>
      <c r="BU75" t="str">
        <f t="shared" si="37"/>
        <v/>
      </c>
      <c r="CK75" s="109" t="s">
        <v>2689</v>
      </c>
      <c r="CL75" s="185" t="s">
        <v>4321</v>
      </c>
      <c r="CN75">
        <v>74</v>
      </c>
    </row>
    <row r="76" spans="1:92" x14ac:dyDescent="0.3">
      <c r="A76" s="118" t="s">
        <v>1983</v>
      </c>
      <c r="B76" t="s">
        <v>1985</v>
      </c>
      <c r="C76" t="s">
        <v>949</v>
      </c>
      <c r="D76" s="144" t="s">
        <v>776</v>
      </c>
      <c r="E76" t="s">
        <v>765</v>
      </c>
      <c r="F76" t="s">
        <v>34</v>
      </c>
      <c r="G76" t="s">
        <v>766</v>
      </c>
      <c r="H76" t="s">
        <v>781</v>
      </c>
      <c r="I76" t="s">
        <v>766</v>
      </c>
      <c r="J76" t="s">
        <v>928</v>
      </c>
      <c r="K76" t="s">
        <v>862</v>
      </c>
      <c r="L76" t="s">
        <v>895</v>
      </c>
      <c r="M76" t="s">
        <v>208</v>
      </c>
      <c r="N76" t="s">
        <v>864</v>
      </c>
      <c r="O76" t="s">
        <v>771</v>
      </c>
      <c r="P76" t="s">
        <v>772</v>
      </c>
      <c r="Q76" t="s">
        <v>780</v>
      </c>
      <c r="R76">
        <v>12.5</v>
      </c>
      <c r="S76">
        <v>3</v>
      </c>
      <c r="T76">
        <v>12.5</v>
      </c>
      <c r="U76">
        <v>3</v>
      </c>
      <c r="V76">
        <v>12.5</v>
      </c>
      <c r="W76">
        <v>3</v>
      </c>
      <c r="X76">
        <v>0</v>
      </c>
      <c r="Y76">
        <v>0</v>
      </c>
      <c r="Z76">
        <v>0</v>
      </c>
      <c r="AA76">
        <v>0</v>
      </c>
      <c r="AB76">
        <v>0</v>
      </c>
      <c r="AC76">
        <v>0</v>
      </c>
      <c r="AD76">
        <v>0</v>
      </c>
      <c r="AE76">
        <v>0</v>
      </c>
      <c r="AF76">
        <v>0</v>
      </c>
      <c r="AG76">
        <v>0</v>
      </c>
      <c r="AH76">
        <v>0</v>
      </c>
      <c r="AI76">
        <v>0</v>
      </c>
      <c r="AJ76" t="s">
        <v>930</v>
      </c>
      <c r="AK76" t="s">
        <v>931</v>
      </c>
      <c r="AL76" t="s">
        <v>208</v>
      </c>
      <c r="AM76" t="s">
        <v>932</v>
      </c>
      <c r="AN76" t="s">
        <v>771</v>
      </c>
      <c r="AO76" t="s">
        <v>772</v>
      </c>
      <c r="AP76" t="s">
        <v>852</v>
      </c>
      <c r="AY76" t="str">
        <f t="shared" si="19"/>
        <v>AMPHOPRIM</v>
      </c>
      <c r="AZ76" t="str">
        <f>IF(COUNTIF(AY:AY,AY76)=1,AY76,IF(AND(COUNTIF(AY:AY,AY76)&gt;1,COUNTIF(AZ$2:AZ75,AY76)&gt;=1),"",AY76))</f>
        <v/>
      </c>
      <c r="BA76" t="str">
        <f>IF(AZ76="","",COUNTIFS(AZ$3:AZ$1439,"&lt;"&amp;AZ76,AZ$3:AZ$1439,"&lt;&gt;0")+COUNTIF(AZ$3:AZ76,AZ76)-876)</f>
        <v/>
      </c>
      <c r="BC76">
        <v>74</v>
      </c>
      <c r="BD76" t="str">
        <f t="shared" si="30"/>
        <v>BIOREPAS</v>
      </c>
      <c r="BE76" t="str">
        <f t="shared" si="20"/>
        <v>ORAL</v>
      </c>
      <c r="BF76" t="str">
        <f t="shared" si="21"/>
        <v>POLYPEPTIDES</v>
      </c>
      <c r="BG76" t="str">
        <f t="shared" si="22"/>
        <v/>
      </c>
      <c r="BH76" t="str">
        <f t="shared" si="23"/>
        <v/>
      </c>
      <c r="BI76" t="str">
        <f t="shared" si="24"/>
        <v>colistin</v>
      </c>
      <c r="BJ76" t="str">
        <f t="shared" si="25"/>
        <v/>
      </c>
      <c r="BK76" t="str">
        <f t="shared" si="26"/>
        <v/>
      </c>
      <c r="BL76" t="str">
        <f t="shared" si="31"/>
        <v>Colistine</v>
      </c>
      <c r="BM76" t="str">
        <f t="shared" si="27"/>
        <v>Colistine</v>
      </c>
      <c r="BN76" t="str">
        <f t="shared" si="28"/>
        <v/>
      </c>
      <c r="BO76" t="str">
        <f t="shared" si="29"/>
        <v/>
      </c>
      <c r="BP76" t="str">
        <f t="shared" si="32"/>
        <v>Polypeptides</v>
      </c>
      <c r="BQ76" t="str">
        <f t="shared" si="33"/>
        <v>Polypeptides</v>
      </c>
      <c r="BR76" t="str">
        <f t="shared" si="34"/>
        <v/>
      </c>
      <c r="BS76" t="str">
        <f t="shared" si="35"/>
        <v/>
      </c>
      <c r="BT76" s="76" t="str">
        <f t="shared" si="36"/>
        <v>Voie orale  hors prémélanges médicamenteux</v>
      </c>
      <c r="BU76" t="str">
        <f t="shared" si="37"/>
        <v>x</v>
      </c>
      <c r="CK76" s="109" t="s">
        <v>1025</v>
      </c>
      <c r="CL76" s="185" t="s">
        <v>4321</v>
      </c>
      <c r="CN76">
        <v>75</v>
      </c>
    </row>
    <row r="77" spans="1:92" x14ac:dyDescent="0.3">
      <c r="A77" s="118" t="s">
        <v>1393</v>
      </c>
      <c r="B77" t="s">
        <v>1394</v>
      </c>
      <c r="C77" t="s">
        <v>1395</v>
      </c>
      <c r="D77" s="144" t="s">
        <v>793</v>
      </c>
      <c r="E77" t="s">
        <v>813</v>
      </c>
      <c r="F77" t="s">
        <v>59</v>
      </c>
      <c r="G77" t="s">
        <v>1013</v>
      </c>
      <c r="H77" t="s">
        <v>801</v>
      </c>
      <c r="I77" t="s">
        <v>1013</v>
      </c>
      <c r="J77" t="s">
        <v>1396</v>
      </c>
      <c r="K77" t="s">
        <v>787</v>
      </c>
      <c r="L77" t="s">
        <v>1014</v>
      </c>
      <c r="M77" t="s">
        <v>208</v>
      </c>
      <c r="N77" t="s">
        <v>864</v>
      </c>
      <c r="O77" t="s">
        <v>824</v>
      </c>
      <c r="P77" t="s">
        <v>772</v>
      </c>
      <c r="Q77" t="s">
        <v>1015</v>
      </c>
      <c r="R77">
        <v>0</v>
      </c>
      <c r="S77">
        <v>0</v>
      </c>
      <c r="T77">
        <v>0</v>
      </c>
      <c r="U77">
        <v>0</v>
      </c>
      <c r="V77">
        <v>0</v>
      </c>
      <c r="W77">
        <v>0</v>
      </c>
      <c r="X77">
        <v>0</v>
      </c>
      <c r="Y77">
        <v>0</v>
      </c>
      <c r="Z77">
        <v>0</v>
      </c>
      <c r="AA77">
        <v>0</v>
      </c>
      <c r="AB77">
        <v>0</v>
      </c>
      <c r="AC77">
        <v>0</v>
      </c>
      <c r="AD77">
        <v>0</v>
      </c>
      <c r="AE77">
        <v>0</v>
      </c>
      <c r="AF77">
        <v>0</v>
      </c>
      <c r="AG77">
        <v>0</v>
      </c>
      <c r="AH77">
        <v>0</v>
      </c>
      <c r="AI77">
        <v>0</v>
      </c>
      <c r="AJ77" t="s">
        <v>787</v>
      </c>
      <c r="AK77" t="s">
        <v>992</v>
      </c>
      <c r="AL77" t="s">
        <v>208</v>
      </c>
      <c r="AM77" t="s">
        <v>1255</v>
      </c>
      <c r="AN77" t="s">
        <v>824</v>
      </c>
      <c r="AO77" t="s">
        <v>772</v>
      </c>
      <c r="AP77" t="s">
        <v>1257</v>
      </c>
      <c r="AY77" t="str">
        <f t="shared" si="19"/>
        <v>AMPICLOX</v>
      </c>
      <c r="AZ77" t="str">
        <f>IF(COUNTIF(AY:AY,AY77)=1,AY77,IF(AND(COUNTIF(AY:AY,AY77)&gt;1,COUNTIF(AZ$2:AZ76,AY77)&gt;=1),"",AY77))</f>
        <v>AMPICLOX</v>
      </c>
      <c r="BA77">
        <f>IF(AZ77="","",COUNTIFS(AZ$3:AZ$1439,"&lt;"&amp;AZ77,AZ$3:AZ$1439,"&lt;&gt;0")+COUNTIF(AZ$3:AZ77,AZ77)-876)</f>
        <v>36</v>
      </c>
      <c r="BC77">
        <v>75</v>
      </c>
      <c r="BD77" t="str">
        <f t="shared" si="30"/>
        <v>BIOTILINA 100 MG/G PREMELANGE MEDICAMENTEUX POUR PORCINS ET LAPINS</v>
      </c>
      <c r="BE77" t="str">
        <f t="shared" si="20"/>
        <v>PM</v>
      </c>
      <c r="BF77" t="str">
        <f t="shared" si="21"/>
        <v>PLEUROMUTILINES</v>
      </c>
      <c r="BG77" t="str">
        <f t="shared" si="22"/>
        <v/>
      </c>
      <c r="BH77" t="str">
        <f t="shared" si="23"/>
        <v/>
      </c>
      <c r="BI77" t="str">
        <f t="shared" si="24"/>
        <v>valnemulin</v>
      </c>
      <c r="BJ77" t="str">
        <f t="shared" si="25"/>
        <v/>
      </c>
      <c r="BK77" t="str">
        <f t="shared" si="26"/>
        <v/>
      </c>
      <c r="BL77" t="str">
        <f t="shared" si="31"/>
        <v>Valnémuline</v>
      </c>
      <c r="BM77" t="str">
        <f t="shared" si="27"/>
        <v>Valnémuline</v>
      </c>
      <c r="BN77" t="str">
        <f t="shared" si="28"/>
        <v/>
      </c>
      <c r="BO77" t="str">
        <f t="shared" si="29"/>
        <v/>
      </c>
      <c r="BP77" t="str">
        <f t="shared" si="32"/>
        <v>Pleuromutilines</v>
      </c>
      <c r="BQ77" t="str">
        <f t="shared" si="33"/>
        <v>Pleuromutilines</v>
      </c>
      <c r="BR77" t="str">
        <f t="shared" si="34"/>
        <v/>
      </c>
      <c r="BS77" t="str">
        <f t="shared" si="35"/>
        <v/>
      </c>
      <c r="BT77" s="76" t="str">
        <f t="shared" si="36"/>
        <v>Prémélanges médicamenteux</v>
      </c>
      <c r="BU77" t="str">
        <f t="shared" si="37"/>
        <v/>
      </c>
      <c r="CK77" s="109" t="s">
        <v>2401</v>
      </c>
      <c r="CL77" s="185" t="s">
        <v>4321</v>
      </c>
      <c r="CN77">
        <v>76</v>
      </c>
    </row>
    <row r="78" spans="1:92" x14ac:dyDescent="0.3">
      <c r="A78" s="118" t="s">
        <v>1393</v>
      </c>
      <c r="B78" t="s">
        <v>1397</v>
      </c>
      <c r="C78" t="s">
        <v>1398</v>
      </c>
      <c r="D78" s="144" t="s">
        <v>1132</v>
      </c>
      <c r="E78" t="s">
        <v>813</v>
      </c>
      <c r="F78" t="s">
        <v>59</v>
      </c>
      <c r="G78" t="s">
        <v>1013</v>
      </c>
      <c r="H78" t="s">
        <v>801</v>
      </c>
      <c r="I78" t="s">
        <v>1013</v>
      </c>
      <c r="J78" t="s">
        <v>1396</v>
      </c>
      <c r="K78" t="s">
        <v>787</v>
      </c>
      <c r="L78" t="s">
        <v>1014</v>
      </c>
      <c r="M78" t="s">
        <v>208</v>
      </c>
      <c r="N78" t="s">
        <v>864</v>
      </c>
      <c r="O78" t="s">
        <v>824</v>
      </c>
      <c r="P78" t="s">
        <v>772</v>
      </c>
      <c r="Q78" t="s">
        <v>1361</v>
      </c>
      <c r="R78">
        <v>0</v>
      </c>
      <c r="S78">
        <v>0</v>
      </c>
      <c r="T78">
        <v>0</v>
      </c>
      <c r="U78">
        <v>0</v>
      </c>
      <c r="V78">
        <v>0</v>
      </c>
      <c r="W78">
        <v>0</v>
      </c>
      <c r="X78">
        <v>0</v>
      </c>
      <c r="Y78">
        <v>0</v>
      </c>
      <c r="Z78">
        <v>0</v>
      </c>
      <c r="AA78">
        <v>0</v>
      </c>
      <c r="AB78">
        <v>0</v>
      </c>
      <c r="AC78">
        <v>0</v>
      </c>
      <c r="AD78">
        <v>0</v>
      </c>
      <c r="AE78">
        <v>0</v>
      </c>
      <c r="AF78">
        <v>0</v>
      </c>
      <c r="AG78">
        <v>0</v>
      </c>
      <c r="AH78">
        <v>0</v>
      </c>
      <c r="AI78">
        <v>0</v>
      </c>
      <c r="AJ78" t="s">
        <v>787</v>
      </c>
      <c r="AK78" t="s">
        <v>992</v>
      </c>
      <c r="AL78" t="s">
        <v>208</v>
      </c>
      <c r="AM78" t="s">
        <v>1255</v>
      </c>
      <c r="AN78" t="s">
        <v>824</v>
      </c>
      <c r="AO78" t="s">
        <v>772</v>
      </c>
      <c r="AP78" t="s">
        <v>1399</v>
      </c>
      <c r="AY78" t="str">
        <f t="shared" si="19"/>
        <v>AMPICLOX</v>
      </c>
      <c r="AZ78" t="str">
        <f>IF(COUNTIF(AY:AY,AY78)=1,AY78,IF(AND(COUNTIF(AY:AY,AY78)&gt;1,COUNTIF(AZ$2:AZ77,AY78)&gt;=1),"",AY78))</f>
        <v/>
      </c>
      <c r="BA78" t="str">
        <f>IF(AZ78="","",COUNTIFS(AZ$3:AZ$1439,"&lt;"&amp;AZ78,AZ$3:AZ$1439,"&lt;&gt;0")+COUNTIF(AZ$3:AZ78,AZ78)-876)</f>
        <v/>
      </c>
      <c r="BC78">
        <v>76</v>
      </c>
      <c r="BD78" t="str">
        <f t="shared" si="30"/>
        <v>BIOTORNIS</v>
      </c>
      <c r="BE78" t="str">
        <f t="shared" si="20"/>
        <v>ORAL</v>
      </c>
      <c r="BF78" t="str">
        <f t="shared" si="21"/>
        <v>PENICILLINES</v>
      </c>
      <c r="BG78" t="str">
        <f t="shared" si="22"/>
        <v/>
      </c>
      <c r="BH78" t="str">
        <f t="shared" si="23"/>
        <v/>
      </c>
      <c r="BI78" t="str">
        <f t="shared" si="24"/>
        <v>amoxicillin</v>
      </c>
      <c r="BJ78" t="str">
        <f t="shared" si="25"/>
        <v/>
      </c>
      <c r="BK78" t="str">
        <f t="shared" si="26"/>
        <v/>
      </c>
      <c r="BL78" t="str">
        <f t="shared" si="31"/>
        <v>Amoxicilline</v>
      </c>
      <c r="BM78" t="str">
        <f t="shared" si="27"/>
        <v>Amoxicilline</v>
      </c>
      <c r="BN78" t="str">
        <f t="shared" si="28"/>
        <v/>
      </c>
      <c r="BO78" t="str">
        <f t="shared" si="29"/>
        <v/>
      </c>
      <c r="BP78" t="str">
        <f t="shared" si="32"/>
        <v>Penicillines</v>
      </c>
      <c r="BQ78" t="str">
        <f t="shared" si="33"/>
        <v>Penicillines</v>
      </c>
      <c r="BR78" t="str">
        <f t="shared" si="34"/>
        <v/>
      </c>
      <c r="BS78" t="str">
        <f t="shared" si="35"/>
        <v/>
      </c>
      <c r="BT78" s="76" t="str">
        <f t="shared" si="36"/>
        <v>Voie orale  hors prémélanges médicamenteux</v>
      </c>
      <c r="BU78" t="str">
        <f t="shared" si="37"/>
        <v/>
      </c>
      <c r="CK78" s="109" t="s">
        <v>4155</v>
      </c>
      <c r="CL78" s="185" t="s">
        <v>4321</v>
      </c>
      <c r="CN78">
        <v>77</v>
      </c>
    </row>
    <row r="79" spans="1:92" x14ac:dyDescent="0.3">
      <c r="A79" s="118" t="s">
        <v>1691</v>
      </c>
      <c r="B79" t="s">
        <v>1692</v>
      </c>
      <c r="C79" t="s">
        <v>3865</v>
      </c>
      <c r="D79" s="144" t="s">
        <v>764</v>
      </c>
      <c r="E79" t="s">
        <v>765</v>
      </c>
      <c r="F79" t="s">
        <v>60</v>
      </c>
      <c r="G79" t="s">
        <v>766</v>
      </c>
      <c r="H79" t="s">
        <v>840</v>
      </c>
      <c r="I79" t="s">
        <v>766</v>
      </c>
      <c r="J79" t="s">
        <v>991</v>
      </c>
      <c r="K79" t="s">
        <v>787</v>
      </c>
      <c r="L79" t="s">
        <v>992</v>
      </c>
      <c r="M79" t="s">
        <v>208</v>
      </c>
      <c r="N79" t="s">
        <v>764</v>
      </c>
      <c r="O79" t="s">
        <v>771</v>
      </c>
      <c r="P79" t="s">
        <v>772</v>
      </c>
      <c r="Q79" t="s">
        <v>852</v>
      </c>
      <c r="R79">
        <v>20</v>
      </c>
      <c r="S79">
        <v>3</v>
      </c>
      <c r="T79">
        <v>20</v>
      </c>
      <c r="U79">
        <v>3</v>
      </c>
      <c r="V79">
        <v>20</v>
      </c>
      <c r="W79">
        <v>3</v>
      </c>
      <c r="X79">
        <v>0</v>
      </c>
      <c r="Y79">
        <v>0</v>
      </c>
      <c r="Z79">
        <v>0</v>
      </c>
      <c r="AA79">
        <v>0</v>
      </c>
      <c r="AB79">
        <v>20</v>
      </c>
      <c r="AC79">
        <v>3</v>
      </c>
      <c r="AD79">
        <v>20</v>
      </c>
      <c r="AE79">
        <v>3</v>
      </c>
      <c r="AF79">
        <v>40</v>
      </c>
      <c r="AG79">
        <v>3</v>
      </c>
      <c r="AH79">
        <v>0</v>
      </c>
      <c r="AI79">
        <v>0</v>
      </c>
      <c r="AJ79" t="s">
        <v>914</v>
      </c>
      <c r="AK79" t="s">
        <v>995</v>
      </c>
      <c r="AL79" t="s">
        <v>996</v>
      </c>
      <c r="AM79" t="s">
        <v>997</v>
      </c>
      <c r="AN79" t="s">
        <v>805</v>
      </c>
      <c r="AO79" t="s">
        <v>4371</v>
      </c>
      <c r="AP79" t="s">
        <v>1128</v>
      </c>
      <c r="AY79" t="str">
        <f t="shared" si="19"/>
        <v>AMPICOLINE</v>
      </c>
      <c r="AZ79" t="str">
        <f>IF(COUNTIF(AY:AY,AY79)=1,AY79,IF(AND(COUNTIF(AY:AY,AY79)&gt;1,COUNTIF(AZ$2:AZ78,AY79)&gt;=1),"",AY79))</f>
        <v>AMPICOLINE</v>
      </c>
      <c r="BA79">
        <f>IF(AZ79="","",COUNTIFS(AZ$3:AZ$1439,"&lt;"&amp;AZ79,AZ$3:AZ$1439,"&lt;&gt;0")+COUNTIF(AZ$3:AZ79,AZ79)-876)</f>
        <v>37</v>
      </c>
      <c r="BC79">
        <v>77</v>
      </c>
      <c r="BD79" t="str">
        <f t="shared" si="30"/>
        <v>BORGAL 24 %</v>
      </c>
      <c r="BE79" t="str">
        <f t="shared" si="20"/>
        <v>INJ</v>
      </c>
      <c r="BF79" t="str">
        <f t="shared" si="21"/>
        <v>SULFAMIDES</v>
      </c>
      <c r="BG79" t="str">
        <f t="shared" si="22"/>
        <v>TRIMETHOPRIME</v>
      </c>
      <c r="BH79" t="str">
        <f t="shared" si="23"/>
        <v/>
      </c>
      <c r="BI79" t="str">
        <f t="shared" si="24"/>
        <v>sulfadoxine</v>
      </c>
      <c r="BJ79" t="str">
        <f t="shared" si="25"/>
        <v>trimethoprim</v>
      </c>
      <c r="BK79" t="str">
        <f t="shared" si="26"/>
        <v/>
      </c>
      <c r="BL79" t="str">
        <f t="shared" si="31"/>
        <v>Sulfadoxine + Triméthoprime</v>
      </c>
      <c r="BM79" t="str">
        <f t="shared" si="27"/>
        <v>Sulfadoxine</v>
      </c>
      <c r="BN79" t="str">
        <f t="shared" si="28"/>
        <v>Triméthoprime</v>
      </c>
      <c r="BO79" t="str">
        <f t="shared" si="29"/>
        <v/>
      </c>
      <c r="BP79" t="str">
        <f t="shared" si="32"/>
        <v>Sulfamides + Trimethoprime</v>
      </c>
      <c r="BQ79" t="str">
        <f t="shared" si="33"/>
        <v>Sulfamides</v>
      </c>
      <c r="BR79" t="str">
        <f t="shared" si="34"/>
        <v>Trimethoprime</v>
      </c>
      <c r="BS79" t="str">
        <f t="shared" si="35"/>
        <v/>
      </c>
      <c r="BT79" s="76" t="str">
        <f t="shared" si="36"/>
        <v>Voie parentérale</v>
      </c>
      <c r="BU79" t="str">
        <f t="shared" si="37"/>
        <v/>
      </c>
      <c r="CK79" s="109" t="s">
        <v>4247</v>
      </c>
      <c r="CL79" s="185" t="s">
        <v>4321</v>
      </c>
      <c r="CN79">
        <v>78</v>
      </c>
    </row>
    <row r="80" spans="1:92" x14ac:dyDescent="0.3">
      <c r="A80" s="118" t="s">
        <v>1691</v>
      </c>
      <c r="B80" t="s">
        <v>1693</v>
      </c>
      <c r="C80" t="s">
        <v>2462</v>
      </c>
      <c r="D80" s="144" t="s">
        <v>776</v>
      </c>
      <c r="E80" t="s">
        <v>765</v>
      </c>
      <c r="F80" t="s">
        <v>60</v>
      </c>
      <c r="G80" t="s">
        <v>766</v>
      </c>
      <c r="H80" t="s">
        <v>840</v>
      </c>
      <c r="I80" t="s">
        <v>766</v>
      </c>
      <c r="J80" t="s">
        <v>991</v>
      </c>
      <c r="K80" t="s">
        <v>787</v>
      </c>
      <c r="L80" t="s">
        <v>992</v>
      </c>
      <c r="M80" t="s">
        <v>208</v>
      </c>
      <c r="N80" t="s">
        <v>764</v>
      </c>
      <c r="O80" t="s">
        <v>771</v>
      </c>
      <c r="P80" t="s">
        <v>772</v>
      </c>
      <c r="Q80" t="s">
        <v>855</v>
      </c>
      <c r="R80">
        <v>20</v>
      </c>
      <c r="S80">
        <v>3</v>
      </c>
      <c r="T80">
        <v>20</v>
      </c>
      <c r="U80">
        <v>3</v>
      </c>
      <c r="V80">
        <v>20</v>
      </c>
      <c r="W80">
        <v>3</v>
      </c>
      <c r="X80">
        <v>0</v>
      </c>
      <c r="Y80">
        <v>0</v>
      </c>
      <c r="Z80">
        <v>0</v>
      </c>
      <c r="AA80">
        <v>0</v>
      </c>
      <c r="AB80">
        <v>20</v>
      </c>
      <c r="AC80">
        <v>3</v>
      </c>
      <c r="AD80">
        <v>20</v>
      </c>
      <c r="AE80">
        <v>3</v>
      </c>
      <c r="AF80">
        <v>40</v>
      </c>
      <c r="AG80">
        <v>3</v>
      </c>
      <c r="AH80">
        <v>0</v>
      </c>
      <c r="AI80">
        <v>0</v>
      </c>
      <c r="AJ80" t="s">
        <v>914</v>
      </c>
      <c r="AK80" t="s">
        <v>995</v>
      </c>
      <c r="AL80" t="s">
        <v>996</v>
      </c>
      <c r="AM80" t="s">
        <v>997</v>
      </c>
      <c r="AN80" t="s">
        <v>805</v>
      </c>
      <c r="AO80" t="s">
        <v>4371</v>
      </c>
      <c r="AP80" t="s">
        <v>4372</v>
      </c>
      <c r="AY80" t="str">
        <f t="shared" si="19"/>
        <v>AMPICOLINE</v>
      </c>
      <c r="AZ80" t="str">
        <f>IF(COUNTIF(AY:AY,AY80)=1,AY80,IF(AND(COUNTIF(AY:AY,AY80)&gt;1,COUNTIF(AZ$2:AZ79,AY80)&gt;=1),"",AY80))</f>
        <v/>
      </c>
      <c r="BA80" t="str">
        <f>IF(AZ80="","",COUNTIFS(AZ$3:AZ$1439,"&lt;"&amp;AZ80,AZ$3:AZ$1439,"&lt;&gt;0")+COUNTIF(AZ$3:AZ80,AZ80)-876)</f>
        <v/>
      </c>
      <c r="BC80">
        <v>78</v>
      </c>
      <c r="BD80" t="str">
        <f t="shared" si="30"/>
        <v>CAFMIX ACIDE OXOLINIQUE 80 PORC</v>
      </c>
      <c r="BE80" t="str">
        <f t="shared" si="20"/>
        <v>PM</v>
      </c>
      <c r="BF80" t="str">
        <f t="shared" si="21"/>
        <v>QUINOLONES</v>
      </c>
      <c r="BG80" t="str">
        <f t="shared" si="22"/>
        <v/>
      </c>
      <c r="BH80" t="str">
        <f t="shared" si="23"/>
        <v/>
      </c>
      <c r="BI80" t="str">
        <f t="shared" si="24"/>
        <v>oxolinic acid</v>
      </c>
      <c r="BJ80" t="str">
        <f t="shared" si="25"/>
        <v/>
      </c>
      <c r="BK80" t="str">
        <f t="shared" si="26"/>
        <v/>
      </c>
      <c r="BL80" t="str">
        <f t="shared" si="31"/>
        <v>Acide oxolinique</v>
      </c>
      <c r="BM80" t="str">
        <f t="shared" si="27"/>
        <v>Acide oxolinique</v>
      </c>
      <c r="BN80" t="str">
        <f t="shared" si="28"/>
        <v/>
      </c>
      <c r="BO80" t="str">
        <f t="shared" si="29"/>
        <v/>
      </c>
      <c r="BP80" t="str">
        <f t="shared" si="32"/>
        <v>Quinolones</v>
      </c>
      <c r="BQ80" t="str">
        <f t="shared" si="33"/>
        <v>Quinolones</v>
      </c>
      <c r="BR80" t="str">
        <f t="shared" si="34"/>
        <v/>
      </c>
      <c r="BS80" t="str">
        <f t="shared" si="35"/>
        <v/>
      </c>
      <c r="BT80" s="76" t="str">
        <f t="shared" si="36"/>
        <v>Prémélanges médicamenteux</v>
      </c>
      <c r="BU80" t="str">
        <f t="shared" si="37"/>
        <v/>
      </c>
      <c r="CK80" s="109" t="s">
        <v>2727</v>
      </c>
      <c r="CL80" s="185" t="s">
        <v>4321</v>
      </c>
      <c r="CN80">
        <v>79</v>
      </c>
    </row>
    <row r="81" spans="1:92" x14ac:dyDescent="0.3">
      <c r="A81" s="118" t="s">
        <v>988</v>
      </c>
      <c r="B81" t="s">
        <v>989</v>
      </c>
      <c r="C81" t="s">
        <v>792</v>
      </c>
      <c r="D81" s="144" t="s">
        <v>764</v>
      </c>
      <c r="E81" t="s">
        <v>765</v>
      </c>
      <c r="F81" t="s">
        <v>61</v>
      </c>
      <c r="G81" t="s">
        <v>766</v>
      </c>
      <c r="H81" t="s">
        <v>990</v>
      </c>
      <c r="I81" t="s">
        <v>766</v>
      </c>
      <c r="J81" t="s">
        <v>991</v>
      </c>
      <c r="K81" t="s">
        <v>787</v>
      </c>
      <c r="L81" t="s">
        <v>992</v>
      </c>
      <c r="M81" t="s">
        <v>208</v>
      </c>
      <c r="N81" t="s">
        <v>993</v>
      </c>
      <c r="O81" t="s">
        <v>771</v>
      </c>
      <c r="P81" t="s">
        <v>772</v>
      </c>
      <c r="Q81" t="s">
        <v>994</v>
      </c>
      <c r="R81">
        <v>17.399999999999999</v>
      </c>
      <c r="S81">
        <v>3</v>
      </c>
      <c r="T81">
        <v>0</v>
      </c>
      <c r="U81">
        <v>0</v>
      </c>
      <c r="V81">
        <v>17.399999999999999</v>
      </c>
      <c r="W81">
        <v>3</v>
      </c>
      <c r="X81">
        <v>0</v>
      </c>
      <c r="Y81">
        <v>0</v>
      </c>
      <c r="Z81">
        <v>0</v>
      </c>
      <c r="AA81">
        <v>0</v>
      </c>
      <c r="AB81">
        <v>17.399999999999999</v>
      </c>
      <c r="AC81">
        <v>3</v>
      </c>
      <c r="AD81">
        <v>17.399999999999999</v>
      </c>
      <c r="AE81">
        <v>3</v>
      </c>
      <c r="AF81">
        <v>17.399999999999999</v>
      </c>
      <c r="AG81">
        <v>3</v>
      </c>
      <c r="AH81">
        <v>0</v>
      </c>
      <c r="AI81">
        <v>0</v>
      </c>
      <c r="AJ81" t="s">
        <v>914</v>
      </c>
      <c r="AK81" t="s">
        <v>995</v>
      </c>
      <c r="AL81" t="s">
        <v>996</v>
      </c>
      <c r="AM81" t="s">
        <v>997</v>
      </c>
      <c r="AN81" t="s">
        <v>805</v>
      </c>
      <c r="AO81" t="s">
        <v>4371</v>
      </c>
      <c r="AP81" t="s">
        <v>1128</v>
      </c>
      <c r="AY81" t="str">
        <f t="shared" si="19"/>
        <v>AMPIDEXALONE</v>
      </c>
      <c r="AZ81" t="str">
        <f>IF(COUNTIF(AY:AY,AY81)=1,AY81,IF(AND(COUNTIF(AY:AY,AY81)&gt;1,COUNTIF(AZ$2:AZ80,AY81)&gt;=1),"",AY81))</f>
        <v>AMPIDEXALONE</v>
      </c>
      <c r="BA81">
        <f>IF(AZ81="","",COUNTIFS(AZ$3:AZ$1439,"&lt;"&amp;AZ81,AZ$3:AZ$1439,"&lt;&gt;0")+COUNTIF(AZ$3:AZ81,AZ81)-876)</f>
        <v>38</v>
      </c>
      <c r="BC81">
        <v>79</v>
      </c>
      <c r="BD81" t="str">
        <f t="shared" si="30"/>
        <v>CAFMIX LINCOMYCINE 22 PNEUMONIE PORC</v>
      </c>
      <c r="BE81" t="str">
        <f t="shared" si="20"/>
        <v>PM</v>
      </c>
      <c r="BF81" t="str">
        <f t="shared" si="21"/>
        <v>LINCOSAMIDES</v>
      </c>
      <c r="BG81" t="str">
        <f t="shared" si="22"/>
        <v/>
      </c>
      <c r="BH81" t="str">
        <f t="shared" si="23"/>
        <v/>
      </c>
      <c r="BI81" t="str">
        <f t="shared" si="24"/>
        <v>lincomycin</v>
      </c>
      <c r="BJ81" t="str">
        <f t="shared" si="25"/>
        <v/>
      </c>
      <c r="BK81" t="str">
        <f t="shared" si="26"/>
        <v/>
      </c>
      <c r="BL81" t="str">
        <f t="shared" si="31"/>
        <v>Lincomycine</v>
      </c>
      <c r="BM81" t="str">
        <f t="shared" si="27"/>
        <v>Lincomycine</v>
      </c>
      <c r="BN81" t="str">
        <f t="shared" si="28"/>
        <v/>
      </c>
      <c r="BO81" t="str">
        <f t="shared" si="29"/>
        <v/>
      </c>
      <c r="BP81" t="str">
        <f t="shared" si="32"/>
        <v>Lincosamides</v>
      </c>
      <c r="BQ81" t="str">
        <f t="shared" si="33"/>
        <v>Lincosamides</v>
      </c>
      <c r="BR81" t="str">
        <f t="shared" si="34"/>
        <v/>
      </c>
      <c r="BS81" t="str">
        <f t="shared" si="35"/>
        <v/>
      </c>
      <c r="BT81" s="76" t="str">
        <f t="shared" si="36"/>
        <v>Prémélanges médicamenteux</v>
      </c>
      <c r="BU81" t="str">
        <f t="shared" si="37"/>
        <v/>
      </c>
      <c r="CK81" s="109" t="s">
        <v>4072</v>
      </c>
      <c r="CL81" s="185" t="s">
        <v>4321</v>
      </c>
      <c r="CN81">
        <v>80</v>
      </c>
    </row>
    <row r="82" spans="1:92" x14ac:dyDescent="0.3">
      <c r="A82" s="118" t="s">
        <v>988</v>
      </c>
      <c r="B82" t="s">
        <v>998</v>
      </c>
      <c r="C82" t="s">
        <v>796</v>
      </c>
      <c r="D82" s="144" t="s">
        <v>776</v>
      </c>
      <c r="E82" t="s">
        <v>765</v>
      </c>
      <c r="F82" t="s">
        <v>61</v>
      </c>
      <c r="G82" t="s">
        <v>766</v>
      </c>
      <c r="H82" t="s">
        <v>990</v>
      </c>
      <c r="I82" t="s">
        <v>766</v>
      </c>
      <c r="J82" t="s">
        <v>991</v>
      </c>
      <c r="K82" t="s">
        <v>787</v>
      </c>
      <c r="L82" t="s">
        <v>992</v>
      </c>
      <c r="M82" t="s">
        <v>208</v>
      </c>
      <c r="N82" t="s">
        <v>993</v>
      </c>
      <c r="O82" t="s">
        <v>771</v>
      </c>
      <c r="P82" t="s">
        <v>772</v>
      </c>
      <c r="Q82" t="s">
        <v>999</v>
      </c>
      <c r="R82">
        <v>17.399999999999999</v>
      </c>
      <c r="S82">
        <v>3</v>
      </c>
      <c r="T82">
        <v>0</v>
      </c>
      <c r="U82">
        <v>0</v>
      </c>
      <c r="V82">
        <v>17.399999999999999</v>
      </c>
      <c r="W82">
        <v>3</v>
      </c>
      <c r="X82">
        <v>0</v>
      </c>
      <c r="Y82">
        <v>0</v>
      </c>
      <c r="Z82">
        <v>0</v>
      </c>
      <c r="AA82">
        <v>0</v>
      </c>
      <c r="AB82">
        <v>17.399999999999999</v>
      </c>
      <c r="AC82">
        <v>3</v>
      </c>
      <c r="AD82">
        <v>17.399999999999999</v>
      </c>
      <c r="AE82">
        <v>3</v>
      </c>
      <c r="AF82">
        <v>17.399999999999999</v>
      </c>
      <c r="AG82">
        <v>3</v>
      </c>
      <c r="AH82">
        <v>0</v>
      </c>
      <c r="AI82">
        <v>0</v>
      </c>
      <c r="AJ82" t="s">
        <v>914</v>
      </c>
      <c r="AK82" t="s">
        <v>995</v>
      </c>
      <c r="AL82" t="s">
        <v>996</v>
      </c>
      <c r="AM82" t="s">
        <v>997</v>
      </c>
      <c r="AN82" t="s">
        <v>805</v>
      </c>
      <c r="AO82" t="s">
        <v>4371</v>
      </c>
      <c r="AP82" t="s">
        <v>4372</v>
      </c>
      <c r="AY82" t="str">
        <f t="shared" si="19"/>
        <v>AMPIDEXALONE</v>
      </c>
      <c r="AZ82" t="str">
        <f>IF(COUNTIF(AY:AY,AY82)=1,AY82,IF(AND(COUNTIF(AY:AY,AY82)&gt;1,COUNTIF(AZ$2:AZ81,AY82)&gt;=1),"",AY82))</f>
        <v/>
      </c>
      <c r="BA82" t="str">
        <f>IF(AZ82="","",COUNTIFS(AZ$3:AZ$1439,"&lt;"&amp;AZ82,AZ$3:AZ$1439,"&lt;&gt;0")+COUNTIF(AZ$3:AZ82,AZ82)-876)</f>
        <v/>
      </c>
      <c r="BC82">
        <v>80</v>
      </c>
      <c r="BD82" t="str">
        <f t="shared" si="30"/>
        <v>CAFMIX LINCOMYCINE 8.8 ENTERITE PORC</v>
      </c>
      <c r="BE82" t="str">
        <f t="shared" si="20"/>
        <v>PM</v>
      </c>
      <c r="BF82" t="str">
        <f t="shared" si="21"/>
        <v>LINCOSAMIDES</v>
      </c>
      <c r="BG82" t="str">
        <f t="shared" si="22"/>
        <v/>
      </c>
      <c r="BH82" t="str">
        <f t="shared" si="23"/>
        <v/>
      </c>
      <c r="BI82" t="str">
        <f t="shared" si="24"/>
        <v>lincomycin</v>
      </c>
      <c r="BJ82" t="str">
        <f t="shared" si="25"/>
        <v/>
      </c>
      <c r="BK82" t="str">
        <f t="shared" si="26"/>
        <v/>
      </c>
      <c r="BL82" t="str">
        <f t="shared" si="31"/>
        <v>Lincomycine</v>
      </c>
      <c r="BM82" t="str">
        <f t="shared" si="27"/>
        <v>Lincomycine</v>
      </c>
      <c r="BN82" t="str">
        <f t="shared" si="28"/>
        <v/>
      </c>
      <c r="BO82" t="str">
        <f t="shared" si="29"/>
        <v/>
      </c>
      <c r="BP82" t="str">
        <f t="shared" si="32"/>
        <v>Lincosamides</v>
      </c>
      <c r="BQ82" t="str">
        <f t="shared" si="33"/>
        <v>Lincosamides</v>
      </c>
      <c r="BR82" t="str">
        <f t="shared" si="34"/>
        <v/>
      </c>
      <c r="BS82" t="str">
        <f t="shared" si="35"/>
        <v/>
      </c>
      <c r="BT82" s="76" t="str">
        <f t="shared" si="36"/>
        <v>Prémélanges médicamenteux</v>
      </c>
      <c r="BU82" t="str">
        <f t="shared" si="37"/>
        <v/>
      </c>
      <c r="CK82" s="109" t="s">
        <v>1283</v>
      </c>
      <c r="CL82" s="185" t="s">
        <v>4321</v>
      </c>
      <c r="CN82">
        <v>81</v>
      </c>
    </row>
    <row r="83" spans="1:92" x14ac:dyDescent="0.3">
      <c r="A83" s="118" t="s">
        <v>988</v>
      </c>
      <c r="B83" t="s">
        <v>4373</v>
      </c>
      <c r="C83" t="s">
        <v>792</v>
      </c>
      <c r="D83" s="144" t="s">
        <v>764</v>
      </c>
      <c r="E83" t="s">
        <v>765</v>
      </c>
      <c r="F83" t="s">
        <v>61</v>
      </c>
      <c r="G83" t="s">
        <v>766</v>
      </c>
      <c r="H83" t="s">
        <v>990</v>
      </c>
      <c r="I83" t="s">
        <v>766</v>
      </c>
      <c r="J83" t="s">
        <v>991</v>
      </c>
      <c r="K83" t="s">
        <v>787</v>
      </c>
      <c r="L83" t="s">
        <v>992</v>
      </c>
      <c r="M83" t="s">
        <v>208</v>
      </c>
      <c r="N83" t="s">
        <v>993</v>
      </c>
      <c r="O83" t="s">
        <v>771</v>
      </c>
      <c r="P83" t="s">
        <v>772</v>
      </c>
      <c r="Q83" t="s">
        <v>994</v>
      </c>
      <c r="R83">
        <v>17.399999999999999</v>
      </c>
      <c r="S83">
        <v>3</v>
      </c>
      <c r="T83">
        <v>0</v>
      </c>
      <c r="U83">
        <v>0</v>
      </c>
      <c r="V83">
        <v>17.399999999999999</v>
      </c>
      <c r="W83">
        <v>3</v>
      </c>
      <c r="X83">
        <v>0</v>
      </c>
      <c r="Y83">
        <v>0</v>
      </c>
      <c r="Z83">
        <v>0</v>
      </c>
      <c r="AA83">
        <v>0</v>
      </c>
      <c r="AB83">
        <v>17.399999999999999</v>
      </c>
      <c r="AC83">
        <v>3</v>
      </c>
      <c r="AD83">
        <v>17.399999999999999</v>
      </c>
      <c r="AE83">
        <v>3</v>
      </c>
      <c r="AF83">
        <v>17.399999999999999</v>
      </c>
      <c r="AG83">
        <v>3</v>
      </c>
      <c r="AH83">
        <v>0</v>
      </c>
      <c r="AI83">
        <v>0</v>
      </c>
      <c r="AJ83" t="s">
        <v>914</v>
      </c>
      <c r="AK83" t="s">
        <v>995</v>
      </c>
      <c r="AL83" t="s">
        <v>996</v>
      </c>
      <c r="AM83" t="s">
        <v>997</v>
      </c>
      <c r="AN83" t="s">
        <v>805</v>
      </c>
      <c r="AO83" t="s">
        <v>4371</v>
      </c>
      <c r="AP83" t="s">
        <v>1128</v>
      </c>
      <c r="AY83" t="str">
        <f t="shared" si="19"/>
        <v>AMPIDEXALONE</v>
      </c>
      <c r="AZ83" t="str">
        <f>IF(COUNTIF(AY:AY,AY83)=1,AY83,IF(AND(COUNTIF(AY:AY,AY83)&gt;1,COUNTIF(AZ$2:AZ82,AY83)&gt;=1),"",AY83))</f>
        <v/>
      </c>
      <c r="BA83" t="str">
        <f>IF(AZ83="","",COUNTIFS(AZ$3:AZ$1439,"&lt;"&amp;AZ83,AZ$3:AZ$1439,"&lt;&gt;0")+COUNTIF(AZ$3:AZ83,AZ83)-876)</f>
        <v/>
      </c>
      <c r="BC83">
        <v>81</v>
      </c>
      <c r="BD83" t="str">
        <f t="shared" si="30"/>
        <v>CALFLOR 300 MG/ML SOLUTION INJECTABLE POUR BOVINS ET PORCINS</v>
      </c>
      <c r="BE83" t="str">
        <f t="shared" si="20"/>
        <v>INJ</v>
      </c>
      <c r="BF83" t="str">
        <f t="shared" si="21"/>
        <v>PHENICOLES</v>
      </c>
      <c r="BG83" t="str">
        <f t="shared" si="22"/>
        <v/>
      </c>
      <c r="BH83" t="str">
        <f t="shared" si="23"/>
        <v/>
      </c>
      <c r="BI83" t="str">
        <f t="shared" si="24"/>
        <v>florfenicol</v>
      </c>
      <c r="BJ83" t="str">
        <f t="shared" si="25"/>
        <v/>
      </c>
      <c r="BK83" t="str">
        <f t="shared" si="26"/>
        <v/>
      </c>
      <c r="BL83" t="str">
        <f t="shared" si="31"/>
        <v>Florfénicol</v>
      </c>
      <c r="BM83" t="str">
        <f t="shared" si="27"/>
        <v>Florfénicol</v>
      </c>
      <c r="BN83" t="str">
        <f t="shared" si="28"/>
        <v/>
      </c>
      <c r="BO83" t="str">
        <f t="shared" si="29"/>
        <v/>
      </c>
      <c r="BP83" t="str">
        <f t="shared" si="32"/>
        <v>Phenicoles</v>
      </c>
      <c r="BQ83" t="str">
        <f t="shared" si="33"/>
        <v>Phenicoles</v>
      </c>
      <c r="BR83" t="str">
        <f t="shared" si="34"/>
        <v/>
      </c>
      <c r="BS83" t="str">
        <f t="shared" si="35"/>
        <v/>
      </c>
      <c r="BT83" s="76" t="str">
        <f t="shared" si="36"/>
        <v>Voie parentérale</v>
      </c>
      <c r="BU83" t="str">
        <f t="shared" si="37"/>
        <v/>
      </c>
      <c r="CK83" s="109" t="s">
        <v>871</v>
      </c>
      <c r="CL83" s="185"/>
      <c r="CN83">
        <v>82</v>
      </c>
    </row>
    <row r="84" spans="1:92" x14ac:dyDescent="0.3">
      <c r="A84" s="118" t="s">
        <v>1812</v>
      </c>
      <c r="B84" t="s">
        <v>1813</v>
      </c>
      <c r="C84" t="s">
        <v>1814</v>
      </c>
      <c r="D84" s="144" t="s">
        <v>1815</v>
      </c>
      <c r="E84" t="s">
        <v>830</v>
      </c>
      <c r="F84" t="s">
        <v>602</v>
      </c>
      <c r="G84" t="s">
        <v>831</v>
      </c>
      <c r="H84" t="s">
        <v>1816</v>
      </c>
      <c r="I84" t="s">
        <v>817</v>
      </c>
      <c r="J84" t="s">
        <v>1817</v>
      </c>
      <c r="K84" t="s">
        <v>862</v>
      </c>
      <c r="L84" t="s">
        <v>1003</v>
      </c>
      <c r="M84" t="s">
        <v>208</v>
      </c>
      <c r="N84" t="s">
        <v>855</v>
      </c>
      <c r="O84" t="s">
        <v>894</v>
      </c>
      <c r="P84" t="s">
        <v>772</v>
      </c>
      <c r="Q84" t="s">
        <v>1184</v>
      </c>
      <c r="R84">
        <v>28</v>
      </c>
      <c r="S84">
        <v>3</v>
      </c>
      <c r="T84">
        <v>0</v>
      </c>
      <c r="U84">
        <v>0</v>
      </c>
      <c r="V84">
        <v>28</v>
      </c>
      <c r="W84">
        <v>3</v>
      </c>
      <c r="X84">
        <v>0</v>
      </c>
      <c r="Y84">
        <v>0</v>
      </c>
      <c r="Z84">
        <v>0</v>
      </c>
      <c r="AA84">
        <v>0</v>
      </c>
      <c r="AB84">
        <v>28</v>
      </c>
      <c r="AC84">
        <v>3</v>
      </c>
      <c r="AD84">
        <v>28</v>
      </c>
      <c r="AE84">
        <v>3</v>
      </c>
      <c r="AF84">
        <v>0</v>
      </c>
      <c r="AG84">
        <v>0</v>
      </c>
      <c r="AH84">
        <v>0</v>
      </c>
      <c r="AI84">
        <v>0</v>
      </c>
      <c r="AJ84" t="s">
        <v>787</v>
      </c>
      <c r="AK84" t="s">
        <v>992</v>
      </c>
      <c r="AL84" t="s">
        <v>208</v>
      </c>
      <c r="AM84" t="s">
        <v>1818</v>
      </c>
      <c r="AN84" t="s">
        <v>894</v>
      </c>
      <c r="AO84" t="s">
        <v>772</v>
      </c>
      <c r="AP84" t="s">
        <v>1819</v>
      </c>
      <c r="AY84" t="str">
        <f t="shared" si="19"/>
        <v>AMPIDIAR</v>
      </c>
      <c r="AZ84" t="str">
        <f>IF(COUNTIF(AY:AY,AY84)=1,AY84,IF(AND(COUNTIF(AY:AY,AY84)&gt;1,COUNTIF(AZ$2:AZ83,AY84)&gt;=1),"",AY84))</f>
        <v>AMPIDIAR</v>
      </c>
      <c r="BA84">
        <f>IF(AZ84="","",COUNTIFS(AZ$3:AZ$1439,"&lt;"&amp;AZ84,AZ$3:AZ$1439,"&lt;&gt;0")+COUNTIF(AZ$3:AZ84,AZ84)-876)</f>
        <v>39</v>
      </c>
      <c r="BC84">
        <v>82</v>
      </c>
      <c r="BD84" t="str">
        <f t="shared" si="30"/>
        <v>CALF-MEAL</v>
      </c>
      <c r="BE84" t="str">
        <f t="shared" si="20"/>
        <v>ORAL</v>
      </c>
      <c r="BF84" t="str">
        <f t="shared" si="21"/>
        <v>SULFAMIDES</v>
      </c>
      <c r="BG84" t="str">
        <f t="shared" si="22"/>
        <v>AMINOGLYCOSIDES</v>
      </c>
      <c r="BH84" t="str">
        <f t="shared" si="23"/>
        <v/>
      </c>
      <c r="BI84" t="str">
        <f t="shared" si="24"/>
        <v>sulfadimidine</v>
      </c>
      <c r="BJ84" t="str">
        <f t="shared" si="25"/>
        <v>neomycin</v>
      </c>
      <c r="BK84" t="str">
        <f t="shared" si="26"/>
        <v/>
      </c>
      <c r="BL84" t="str">
        <f t="shared" si="31"/>
        <v>Sulfadimidine + Néomycine</v>
      </c>
      <c r="BM84" t="str">
        <f t="shared" si="27"/>
        <v>Sulfadimidine</v>
      </c>
      <c r="BN84" t="str">
        <f t="shared" si="28"/>
        <v>Néomycine</v>
      </c>
      <c r="BO84" t="str">
        <f t="shared" si="29"/>
        <v/>
      </c>
      <c r="BP84" t="str">
        <f t="shared" si="32"/>
        <v>Sulfamides + Aminoglycosides</v>
      </c>
      <c r="BQ84" t="str">
        <f t="shared" si="33"/>
        <v>Sulfamides</v>
      </c>
      <c r="BR84" t="str">
        <f t="shared" si="34"/>
        <v>Aminoglycosides</v>
      </c>
      <c r="BS84" t="str">
        <f t="shared" si="35"/>
        <v/>
      </c>
      <c r="BT84" s="76" t="str">
        <f t="shared" si="36"/>
        <v>Voie orale  hors prémélanges médicamenteux</v>
      </c>
      <c r="BU84" t="str">
        <f t="shared" si="37"/>
        <v/>
      </c>
      <c r="CK84" s="109" t="s">
        <v>845</v>
      </c>
      <c r="CL84" s="185" t="s">
        <v>4321</v>
      </c>
      <c r="CN84">
        <v>83</v>
      </c>
    </row>
    <row r="85" spans="1:92" x14ac:dyDescent="0.3">
      <c r="A85" s="118" t="s">
        <v>1812</v>
      </c>
      <c r="B85" t="s">
        <v>1820</v>
      </c>
      <c r="C85" t="s">
        <v>1821</v>
      </c>
      <c r="D85" s="144" t="s">
        <v>902</v>
      </c>
      <c r="E85" t="s">
        <v>830</v>
      </c>
      <c r="F85" t="s">
        <v>602</v>
      </c>
      <c r="G85" t="s">
        <v>831</v>
      </c>
      <c r="H85" t="s">
        <v>1816</v>
      </c>
      <c r="I85" t="s">
        <v>817</v>
      </c>
      <c r="J85" t="s">
        <v>1817</v>
      </c>
      <c r="K85" t="s">
        <v>862</v>
      </c>
      <c r="L85" t="s">
        <v>1003</v>
      </c>
      <c r="M85" t="s">
        <v>208</v>
      </c>
      <c r="N85" t="s">
        <v>855</v>
      </c>
      <c r="O85" t="s">
        <v>894</v>
      </c>
      <c r="P85" t="s">
        <v>772</v>
      </c>
      <c r="Q85" t="s">
        <v>780</v>
      </c>
      <c r="R85">
        <v>28</v>
      </c>
      <c r="S85">
        <v>3</v>
      </c>
      <c r="T85">
        <v>0</v>
      </c>
      <c r="U85">
        <v>0</v>
      </c>
      <c r="V85">
        <v>28</v>
      </c>
      <c r="W85">
        <v>3</v>
      </c>
      <c r="X85">
        <v>0</v>
      </c>
      <c r="Y85">
        <v>0</v>
      </c>
      <c r="Z85">
        <v>0</v>
      </c>
      <c r="AA85">
        <v>0</v>
      </c>
      <c r="AB85">
        <v>28</v>
      </c>
      <c r="AC85">
        <v>3</v>
      </c>
      <c r="AD85">
        <v>28</v>
      </c>
      <c r="AE85">
        <v>3</v>
      </c>
      <c r="AF85">
        <v>0</v>
      </c>
      <c r="AG85">
        <v>0</v>
      </c>
      <c r="AH85">
        <v>0</v>
      </c>
      <c r="AI85">
        <v>0</v>
      </c>
      <c r="AJ85" t="s">
        <v>787</v>
      </c>
      <c r="AK85" t="s">
        <v>992</v>
      </c>
      <c r="AL85" t="s">
        <v>208</v>
      </c>
      <c r="AM85" t="s">
        <v>1818</v>
      </c>
      <c r="AN85" t="s">
        <v>894</v>
      </c>
      <c r="AO85" t="s">
        <v>772</v>
      </c>
      <c r="AP85" t="s">
        <v>1822</v>
      </c>
      <c r="AY85" t="str">
        <f t="shared" si="19"/>
        <v>AMPIDIAR</v>
      </c>
      <c r="AZ85" t="str">
        <f>IF(COUNTIF(AY:AY,AY85)=1,AY85,IF(AND(COUNTIF(AY:AY,AY85)&gt;1,COUNTIF(AZ$2:AZ84,AY85)&gt;=1),"",AY85))</f>
        <v/>
      </c>
      <c r="BA85" t="str">
        <f>IF(AZ85="","",COUNTIFS(AZ$3:AZ$1439,"&lt;"&amp;AZ85,AZ$3:AZ$1439,"&lt;&gt;0")+COUNTIF(AZ$3:AZ85,AZ85)-876)</f>
        <v/>
      </c>
      <c r="BC85">
        <v>83</v>
      </c>
      <c r="BD85" t="str">
        <f t="shared" si="30"/>
        <v>CAPTALIN</v>
      </c>
      <c r="BE85" t="str">
        <f t="shared" si="20"/>
        <v>INJ</v>
      </c>
      <c r="BF85" t="str">
        <f t="shared" si="21"/>
        <v>MACROLIDES</v>
      </c>
      <c r="BG85" t="str">
        <f t="shared" si="22"/>
        <v/>
      </c>
      <c r="BH85" t="str">
        <f t="shared" si="23"/>
        <v/>
      </c>
      <c r="BI85" t="str">
        <f t="shared" si="24"/>
        <v>spiramycin</v>
      </c>
      <c r="BJ85" t="str">
        <f t="shared" si="25"/>
        <v/>
      </c>
      <c r="BK85" t="str">
        <f t="shared" si="26"/>
        <v/>
      </c>
      <c r="BL85" t="str">
        <f t="shared" si="31"/>
        <v>Spiramycine</v>
      </c>
      <c r="BM85" t="str">
        <f t="shared" si="27"/>
        <v>Spiramycine</v>
      </c>
      <c r="BN85" t="str">
        <f t="shared" si="28"/>
        <v/>
      </c>
      <c r="BO85" t="str">
        <f t="shared" si="29"/>
        <v/>
      </c>
      <c r="BP85" t="str">
        <f t="shared" si="32"/>
        <v>Macrolides</v>
      </c>
      <c r="BQ85" t="str">
        <f t="shared" si="33"/>
        <v>Macrolides</v>
      </c>
      <c r="BR85" t="str">
        <f t="shared" si="34"/>
        <v/>
      </c>
      <c r="BS85" t="str">
        <f t="shared" si="35"/>
        <v/>
      </c>
      <c r="BT85" s="76" t="str">
        <f t="shared" si="36"/>
        <v>Voie parentérale</v>
      </c>
      <c r="BU85" t="str">
        <f t="shared" si="37"/>
        <v/>
      </c>
      <c r="CK85" s="109" t="s">
        <v>816</v>
      </c>
      <c r="CL85" s="185"/>
      <c r="CN85">
        <v>84</v>
      </c>
    </row>
    <row r="86" spans="1:92" x14ac:dyDescent="0.3">
      <c r="A86" s="118" t="s">
        <v>2149</v>
      </c>
      <c r="B86" t="s">
        <v>2150</v>
      </c>
      <c r="C86" t="s">
        <v>2151</v>
      </c>
      <c r="D86" s="144" t="s">
        <v>906</v>
      </c>
      <c r="E86" t="s">
        <v>765</v>
      </c>
      <c r="F86" t="s">
        <v>240</v>
      </c>
      <c r="G86" t="s">
        <v>766</v>
      </c>
      <c r="H86" t="s">
        <v>2152</v>
      </c>
      <c r="I86" t="s">
        <v>766</v>
      </c>
      <c r="J86" t="s">
        <v>787</v>
      </c>
      <c r="K86" t="s">
        <v>787</v>
      </c>
      <c r="L86" t="s">
        <v>992</v>
      </c>
      <c r="M86" t="s">
        <v>208</v>
      </c>
      <c r="N86" t="s">
        <v>869</v>
      </c>
      <c r="O86" t="s">
        <v>771</v>
      </c>
      <c r="P86" t="s">
        <v>772</v>
      </c>
      <c r="Q86" t="s">
        <v>852</v>
      </c>
      <c r="R86">
        <v>28</v>
      </c>
      <c r="S86">
        <v>3</v>
      </c>
      <c r="T86">
        <v>0</v>
      </c>
      <c r="U86">
        <v>0</v>
      </c>
      <c r="V86">
        <v>0</v>
      </c>
      <c r="W86">
        <v>0</v>
      </c>
      <c r="X86">
        <v>0</v>
      </c>
      <c r="Y86">
        <v>0</v>
      </c>
      <c r="Z86">
        <v>0</v>
      </c>
      <c r="AA86">
        <v>0</v>
      </c>
      <c r="AB86">
        <v>28</v>
      </c>
      <c r="AC86">
        <v>3</v>
      </c>
      <c r="AD86">
        <v>28</v>
      </c>
      <c r="AE86">
        <v>3</v>
      </c>
      <c r="AF86">
        <v>28</v>
      </c>
      <c r="AG86">
        <v>3</v>
      </c>
      <c r="AH86">
        <v>0</v>
      </c>
      <c r="AI86">
        <v>0</v>
      </c>
      <c r="AY86" t="str">
        <f t="shared" si="19"/>
        <v>AMPIJECT 10 G</v>
      </c>
      <c r="AZ86" t="str">
        <f>IF(COUNTIF(AY:AY,AY86)=1,AY86,IF(AND(COUNTIF(AY:AY,AY86)&gt;1,COUNTIF(AZ$2:AZ85,AY86)&gt;=1),"",AY86))</f>
        <v>AMPIJECT 10 G</v>
      </c>
      <c r="BA86">
        <f>IF(AZ86="","",COUNTIFS(AZ$3:AZ$1439,"&lt;"&amp;AZ86,AZ$3:AZ$1439,"&lt;&gt;0")+COUNTIF(AZ$3:AZ86,AZ86)-876)</f>
        <v>40</v>
      </c>
      <c r="BC86">
        <v>84</v>
      </c>
      <c r="BD86" t="str">
        <f t="shared" si="30"/>
        <v>CEFENIL 50 MG/ML</v>
      </c>
      <c r="BE86" t="str">
        <f t="shared" si="20"/>
        <v>INJ</v>
      </c>
      <c r="BF86" t="str">
        <f t="shared" si="21"/>
        <v>CEPHALOSPORINES 3&amp;4G</v>
      </c>
      <c r="BG86" t="str">
        <f t="shared" si="22"/>
        <v/>
      </c>
      <c r="BH86" t="str">
        <f t="shared" si="23"/>
        <v/>
      </c>
      <c r="BI86" t="str">
        <f t="shared" si="24"/>
        <v>ceftiofur</v>
      </c>
      <c r="BJ86" t="str">
        <f t="shared" si="25"/>
        <v/>
      </c>
      <c r="BK86" t="str">
        <f t="shared" si="26"/>
        <v/>
      </c>
      <c r="BL86" t="str">
        <f t="shared" si="31"/>
        <v>Ceftiofur</v>
      </c>
      <c r="BM86" t="str">
        <f t="shared" si="27"/>
        <v>Ceftiofur</v>
      </c>
      <c r="BN86" t="str">
        <f t="shared" si="28"/>
        <v/>
      </c>
      <c r="BO86" t="str">
        <f t="shared" si="29"/>
        <v/>
      </c>
      <c r="BP86" t="str">
        <f t="shared" si="32"/>
        <v>Cephalosporines 3&amp;4G</v>
      </c>
      <c r="BQ86" t="str">
        <f t="shared" si="33"/>
        <v>Cephalosporines 3&amp;4G</v>
      </c>
      <c r="BR86" t="str">
        <f t="shared" si="34"/>
        <v/>
      </c>
      <c r="BS86" t="str">
        <f t="shared" si="35"/>
        <v/>
      </c>
      <c r="BT86" s="76" t="str">
        <f t="shared" si="36"/>
        <v>Voie parentérale</v>
      </c>
      <c r="BU86" t="str">
        <f t="shared" si="37"/>
        <v>x</v>
      </c>
      <c r="CK86" s="109" t="s">
        <v>1454</v>
      </c>
      <c r="CL86" s="185" t="s">
        <v>4321</v>
      </c>
      <c r="CN86">
        <v>85</v>
      </c>
    </row>
    <row r="87" spans="1:92" x14ac:dyDescent="0.3">
      <c r="A87" s="118" t="s">
        <v>1781</v>
      </c>
      <c r="B87" t="s">
        <v>1782</v>
      </c>
      <c r="C87" t="s">
        <v>809</v>
      </c>
      <c r="D87" s="144" t="s">
        <v>776</v>
      </c>
      <c r="E87" t="s">
        <v>765</v>
      </c>
      <c r="F87" t="s">
        <v>603</v>
      </c>
      <c r="G87" t="s">
        <v>766</v>
      </c>
      <c r="H87" t="s">
        <v>944</v>
      </c>
      <c r="I87" t="s">
        <v>766</v>
      </c>
      <c r="J87" t="s">
        <v>991</v>
      </c>
      <c r="K87" t="s">
        <v>787</v>
      </c>
      <c r="L87" t="s">
        <v>992</v>
      </c>
      <c r="M87" t="s">
        <v>208</v>
      </c>
      <c r="N87" t="s">
        <v>764</v>
      </c>
      <c r="O87" t="s">
        <v>771</v>
      </c>
      <c r="P87" t="s">
        <v>772</v>
      </c>
      <c r="Q87" t="s">
        <v>855</v>
      </c>
      <c r="R87">
        <v>20</v>
      </c>
      <c r="S87">
        <v>3</v>
      </c>
      <c r="T87">
        <v>0</v>
      </c>
      <c r="U87">
        <v>0</v>
      </c>
      <c r="V87">
        <v>0</v>
      </c>
      <c r="W87">
        <v>0</v>
      </c>
      <c r="X87">
        <v>0</v>
      </c>
      <c r="Y87">
        <v>0</v>
      </c>
      <c r="Z87">
        <v>0</v>
      </c>
      <c r="AA87">
        <v>0</v>
      </c>
      <c r="AB87">
        <v>20</v>
      </c>
      <c r="AC87">
        <v>3</v>
      </c>
      <c r="AD87">
        <v>20</v>
      </c>
      <c r="AE87">
        <v>3</v>
      </c>
      <c r="AF87">
        <v>20</v>
      </c>
      <c r="AG87">
        <v>3</v>
      </c>
      <c r="AH87">
        <v>0</v>
      </c>
      <c r="AI87">
        <v>0</v>
      </c>
      <c r="AJ87" t="s">
        <v>914</v>
      </c>
      <c r="AK87" t="s">
        <v>995</v>
      </c>
      <c r="AL87" t="s">
        <v>996</v>
      </c>
      <c r="AM87" t="s">
        <v>997</v>
      </c>
      <c r="AN87" t="s">
        <v>805</v>
      </c>
      <c r="AO87" t="s">
        <v>4371</v>
      </c>
      <c r="AP87" t="s">
        <v>4372</v>
      </c>
      <c r="AY87" t="str">
        <f t="shared" si="19"/>
        <v>AMPIMYCINE DEX</v>
      </c>
      <c r="AZ87" t="str">
        <f>IF(COUNTIF(AY:AY,AY87)=1,AY87,IF(AND(COUNTIF(AY:AY,AY87)&gt;1,COUNTIF(AZ$2:AZ86,AY87)&gt;=1),"",AY87))</f>
        <v>AMPIMYCINE DEX</v>
      </c>
      <c r="BA87">
        <f>IF(AZ87="","",COUNTIFS(AZ$3:AZ$1439,"&lt;"&amp;AZ87,AZ$3:AZ$1439,"&lt;&gt;0")+COUNTIF(AZ$3:AZ87,AZ87)-876)</f>
        <v>41</v>
      </c>
      <c r="BC87">
        <v>85</v>
      </c>
      <c r="BD87" t="str">
        <f t="shared" si="30"/>
        <v>CEFENIL RTU VET 50 MG/ML SUSPENSION INJECTABLE POUR PORCS ET BOVINS</v>
      </c>
      <c r="BE87" t="str">
        <f t="shared" si="20"/>
        <v>INJ</v>
      </c>
      <c r="BF87" t="str">
        <f t="shared" si="21"/>
        <v>CEPHALOSPORINES 3&amp;4G</v>
      </c>
      <c r="BG87" t="str">
        <f t="shared" si="22"/>
        <v/>
      </c>
      <c r="BH87" t="str">
        <f t="shared" si="23"/>
        <v/>
      </c>
      <c r="BI87" t="str">
        <f t="shared" si="24"/>
        <v>ceftiofur</v>
      </c>
      <c r="BJ87" t="str">
        <f t="shared" si="25"/>
        <v/>
      </c>
      <c r="BK87" t="str">
        <f t="shared" si="26"/>
        <v/>
      </c>
      <c r="BL87" t="str">
        <f t="shared" si="31"/>
        <v>Ceftiofur</v>
      </c>
      <c r="BM87" t="str">
        <f t="shared" si="27"/>
        <v>Ceftiofur</v>
      </c>
      <c r="BN87" t="str">
        <f t="shared" si="28"/>
        <v/>
      </c>
      <c r="BO87" t="str">
        <f t="shared" si="29"/>
        <v/>
      </c>
      <c r="BP87" t="str">
        <f t="shared" si="32"/>
        <v>Cephalosporines 3&amp;4G</v>
      </c>
      <c r="BQ87" t="str">
        <f t="shared" si="33"/>
        <v>Cephalosporines 3&amp;4G</v>
      </c>
      <c r="BR87" t="str">
        <f t="shared" si="34"/>
        <v/>
      </c>
      <c r="BS87" t="str">
        <f t="shared" si="35"/>
        <v/>
      </c>
      <c r="BT87" s="76" t="str">
        <f t="shared" si="36"/>
        <v>Voie parentérale</v>
      </c>
      <c r="BU87" t="str">
        <f t="shared" si="37"/>
        <v>x</v>
      </c>
      <c r="CK87" s="109" t="s">
        <v>3249</v>
      </c>
      <c r="CL87" s="185" t="s">
        <v>4321</v>
      </c>
      <c r="CN87">
        <v>86</v>
      </c>
    </row>
    <row r="88" spans="1:92" x14ac:dyDescent="0.3">
      <c r="A88" s="118" t="s">
        <v>1823</v>
      </c>
      <c r="B88" t="s">
        <v>1824</v>
      </c>
      <c r="C88" t="s">
        <v>1825</v>
      </c>
      <c r="D88" s="144" t="s">
        <v>955</v>
      </c>
      <c r="E88" t="s">
        <v>830</v>
      </c>
      <c r="F88" t="s">
        <v>62</v>
      </c>
      <c r="G88" t="s">
        <v>831</v>
      </c>
      <c r="H88" t="s">
        <v>1826</v>
      </c>
      <c r="I88" t="s">
        <v>817</v>
      </c>
      <c r="J88" t="s">
        <v>787</v>
      </c>
      <c r="K88" t="s">
        <v>787</v>
      </c>
      <c r="L88" t="s">
        <v>992</v>
      </c>
      <c r="M88" t="s">
        <v>208</v>
      </c>
      <c r="N88" t="s">
        <v>764</v>
      </c>
      <c r="O88" t="s">
        <v>894</v>
      </c>
      <c r="P88" t="s">
        <v>772</v>
      </c>
      <c r="Q88" t="s">
        <v>906</v>
      </c>
      <c r="R88">
        <v>20</v>
      </c>
      <c r="S88">
        <v>3</v>
      </c>
      <c r="T88">
        <v>0</v>
      </c>
      <c r="U88">
        <v>0</v>
      </c>
      <c r="V88">
        <v>0</v>
      </c>
      <c r="W88">
        <v>0</v>
      </c>
      <c r="X88">
        <v>0</v>
      </c>
      <c r="Y88">
        <v>0</v>
      </c>
      <c r="Z88">
        <v>0</v>
      </c>
      <c r="AA88">
        <v>0</v>
      </c>
      <c r="AB88">
        <v>20</v>
      </c>
      <c r="AC88">
        <v>3</v>
      </c>
      <c r="AD88">
        <v>20</v>
      </c>
      <c r="AE88">
        <v>3</v>
      </c>
      <c r="AF88">
        <v>20</v>
      </c>
      <c r="AG88">
        <v>3</v>
      </c>
      <c r="AH88">
        <v>0</v>
      </c>
      <c r="AI88">
        <v>0</v>
      </c>
      <c r="AY88" t="str">
        <f t="shared" si="19"/>
        <v>AMPINA</v>
      </c>
      <c r="AZ88" t="str">
        <f>IF(COUNTIF(AY:AY,AY88)=1,AY88,IF(AND(COUNTIF(AY:AY,AY88)&gt;1,COUNTIF(AZ$2:AZ87,AY88)&gt;=1),"",AY88))</f>
        <v>AMPINA</v>
      </c>
      <c r="BA88">
        <f>IF(AZ88="","",COUNTIFS(AZ$3:AZ$1439,"&lt;"&amp;AZ88,AZ$3:AZ$1439,"&lt;&gt;0")+COUNTIF(AZ$3:AZ88,AZ88)-876)</f>
        <v>42</v>
      </c>
      <c r="BC88">
        <v>86</v>
      </c>
      <c r="BD88" t="str">
        <f t="shared" si="30"/>
        <v>CEFOKEL 50 MG/ML SUSPENSION INJECTABLE POUR PORCINS ET BOVINS</v>
      </c>
      <c r="BE88" t="str">
        <f t="shared" si="20"/>
        <v>INJ</v>
      </c>
      <c r="BF88" t="str">
        <f t="shared" si="21"/>
        <v>CEPHALOSPORINES 3&amp;4G</v>
      </c>
      <c r="BG88" t="str">
        <f t="shared" si="22"/>
        <v/>
      </c>
      <c r="BH88" t="str">
        <f t="shared" si="23"/>
        <v/>
      </c>
      <c r="BI88" t="str">
        <f t="shared" si="24"/>
        <v>ceftiofur</v>
      </c>
      <c r="BJ88" t="str">
        <f t="shared" si="25"/>
        <v/>
      </c>
      <c r="BK88" t="str">
        <f t="shared" si="26"/>
        <v/>
      </c>
      <c r="BL88" t="str">
        <f t="shared" si="31"/>
        <v>Ceftiofur</v>
      </c>
      <c r="BM88" t="str">
        <f t="shared" si="27"/>
        <v>Ceftiofur</v>
      </c>
      <c r="BN88" t="str">
        <f t="shared" si="28"/>
        <v/>
      </c>
      <c r="BO88" t="str">
        <f t="shared" si="29"/>
        <v/>
      </c>
      <c r="BP88" t="str">
        <f t="shared" si="32"/>
        <v>Cephalosporines 3&amp;4G</v>
      </c>
      <c r="BQ88" t="str">
        <f t="shared" si="33"/>
        <v>Cephalosporines 3&amp;4G</v>
      </c>
      <c r="BR88" t="str">
        <f t="shared" si="34"/>
        <v/>
      </c>
      <c r="BS88" t="str">
        <f t="shared" si="35"/>
        <v/>
      </c>
      <c r="BT88" s="76" t="str">
        <f t="shared" si="36"/>
        <v>Voie parentérale</v>
      </c>
      <c r="BU88" t="str">
        <f t="shared" si="37"/>
        <v>x</v>
      </c>
      <c r="CK88" s="109" t="s">
        <v>3530</v>
      </c>
      <c r="CL88" s="185"/>
      <c r="CN88">
        <v>87</v>
      </c>
    </row>
    <row r="89" spans="1:92" x14ac:dyDescent="0.3">
      <c r="A89" s="118" t="s">
        <v>1582</v>
      </c>
      <c r="B89" t="s">
        <v>1583</v>
      </c>
      <c r="C89" t="s">
        <v>1313</v>
      </c>
      <c r="D89" s="144" t="s">
        <v>955</v>
      </c>
      <c r="E89" t="s">
        <v>830</v>
      </c>
      <c r="F89" t="s">
        <v>63</v>
      </c>
      <c r="G89" t="s">
        <v>831</v>
      </c>
      <c r="H89" t="s">
        <v>1584</v>
      </c>
      <c r="I89" t="s">
        <v>817</v>
      </c>
      <c r="J89" t="s">
        <v>787</v>
      </c>
      <c r="K89" t="s">
        <v>787</v>
      </c>
      <c r="L89" t="s">
        <v>992</v>
      </c>
      <c r="M89" t="s">
        <v>208</v>
      </c>
      <c r="N89" t="s">
        <v>764</v>
      </c>
      <c r="O89" t="s">
        <v>894</v>
      </c>
      <c r="P89" t="s">
        <v>772</v>
      </c>
      <c r="Q89" t="s">
        <v>906</v>
      </c>
      <c r="R89">
        <v>20</v>
      </c>
      <c r="S89">
        <v>5</v>
      </c>
      <c r="T89">
        <v>0</v>
      </c>
      <c r="U89">
        <v>0</v>
      </c>
      <c r="V89">
        <v>0</v>
      </c>
      <c r="W89">
        <v>0</v>
      </c>
      <c r="X89">
        <v>0</v>
      </c>
      <c r="Y89">
        <v>0</v>
      </c>
      <c r="Z89">
        <v>0</v>
      </c>
      <c r="AA89">
        <v>0</v>
      </c>
      <c r="AB89">
        <v>20</v>
      </c>
      <c r="AC89">
        <v>5</v>
      </c>
      <c r="AD89">
        <v>20</v>
      </c>
      <c r="AE89">
        <v>5</v>
      </c>
      <c r="AF89">
        <v>20</v>
      </c>
      <c r="AG89">
        <v>3</v>
      </c>
      <c r="AH89">
        <v>0</v>
      </c>
      <c r="AI89">
        <v>0</v>
      </c>
      <c r="AY89" t="str">
        <f t="shared" si="19"/>
        <v>AMPISOL</v>
      </c>
      <c r="AZ89" t="str">
        <f>IF(COUNTIF(AY:AY,AY89)=1,AY89,IF(AND(COUNTIF(AY:AY,AY89)&gt;1,COUNTIF(AZ$2:AZ88,AY89)&gt;=1),"",AY89))</f>
        <v>AMPISOL</v>
      </c>
      <c r="BA89">
        <f>IF(AZ89="","",COUNTIFS(AZ$3:AZ$1439,"&lt;"&amp;AZ89,AZ$3:AZ$1439,"&lt;&gt;0")+COUNTIF(AZ$3:AZ89,AZ89)-876)</f>
        <v>43</v>
      </c>
      <c r="BC89">
        <v>87</v>
      </c>
      <c r="BD89" t="str">
        <f t="shared" si="30"/>
        <v>CEFOVET</v>
      </c>
      <c r="BE89" t="str">
        <f t="shared" si="20"/>
        <v>INTRAMAM</v>
      </c>
      <c r="BF89" t="str">
        <f t="shared" si="21"/>
        <v>CEPHALOSPORINES 1&amp;2G</v>
      </c>
      <c r="BG89" t="str">
        <f t="shared" si="22"/>
        <v/>
      </c>
      <c r="BH89" t="str">
        <f t="shared" si="23"/>
        <v/>
      </c>
      <c r="BI89" t="str">
        <f t="shared" si="24"/>
        <v>cefazolin</v>
      </c>
      <c r="BJ89" t="str">
        <f t="shared" si="25"/>
        <v/>
      </c>
      <c r="BK89" t="str">
        <f t="shared" si="26"/>
        <v/>
      </c>
      <c r="BL89" t="str">
        <f t="shared" si="31"/>
        <v>Céfazoline</v>
      </c>
      <c r="BM89" t="str">
        <f t="shared" si="27"/>
        <v>Céfazoline</v>
      </c>
      <c r="BN89" t="str">
        <f t="shared" si="28"/>
        <v/>
      </c>
      <c r="BO89" t="str">
        <f t="shared" si="29"/>
        <v/>
      </c>
      <c r="BP89" t="str">
        <f t="shared" si="32"/>
        <v>Cephalosporines 1&amp;2G</v>
      </c>
      <c r="BQ89" t="str">
        <f t="shared" si="33"/>
        <v>Cephalosporines 1&amp;2G</v>
      </c>
      <c r="BR89" t="str">
        <f t="shared" si="34"/>
        <v/>
      </c>
      <c r="BS89" t="str">
        <f t="shared" si="35"/>
        <v/>
      </c>
      <c r="BT89" s="76" t="str">
        <f t="shared" si="36"/>
        <v>Voie intramammaire</v>
      </c>
      <c r="BU89" t="str">
        <f t="shared" si="37"/>
        <v/>
      </c>
      <c r="CK89" s="109" t="s">
        <v>1969</v>
      </c>
      <c r="CL89" s="185" t="s">
        <v>4321</v>
      </c>
      <c r="CN89">
        <v>88</v>
      </c>
    </row>
    <row r="90" spans="1:92" x14ac:dyDescent="0.3">
      <c r="A90" s="118" t="s">
        <v>1582</v>
      </c>
      <c r="B90" t="s">
        <v>1585</v>
      </c>
      <c r="C90" t="s">
        <v>828</v>
      </c>
      <c r="D90" s="144" t="s">
        <v>829</v>
      </c>
      <c r="E90" t="s">
        <v>830</v>
      </c>
      <c r="F90" t="s">
        <v>63</v>
      </c>
      <c r="G90" t="s">
        <v>831</v>
      </c>
      <c r="H90" t="s">
        <v>1584</v>
      </c>
      <c r="I90" t="s">
        <v>817</v>
      </c>
      <c r="J90" t="s">
        <v>787</v>
      </c>
      <c r="K90" t="s">
        <v>787</v>
      </c>
      <c r="L90" t="s">
        <v>992</v>
      </c>
      <c r="M90" t="s">
        <v>208</v>
      </c>
      <c r="N90" t="s">
        <v>764</v>
      </c>
      <c r="O90" t="s">
        <v>894</v>
      </c>
      <c r="P90" t="s">
        <v>772</v>
      </c>
      <c r="Q90" t="s">
        <v>764</v>
      </c>
      <c r="R90">
        <v>20</v>
      </c>
      <c r="S90">
        <v>5</v>
      </c>
      <c r="T90">
        <v>0</v>
      </c>
      <c r="U90">
        <v>0</v>
      </c>
      <c r="V90">
        <v>0</v>
      </c>
      <c r="W90">
        <v>0</v>
      </c>
      <c r="X90">
        <v>0</v>
      </c>
      <c r="Y90">
        <v>0</v>
      </c>
      <c r="Z90">
        <v>0</v>
      </c>
      <c r="AA90">
        <v>0</v>
      </c>
      <c r="AB90">
        <v>20</v>
      </c>
      <c r="AC90">
        <v>5</v>
      </c>
      <c r="AD90">
        <v>20</v>
      </c>
      <c r="AE90">
        <v>5</v>
      </c>
      <c r="AF90">
        <v>20</v>
      </c>
      <c r="AG90">
        <v>3</v>
      </c>
      <c r="AH90">
        <v>0</v>
      </c>
      <c r="AI90">
        <v>0</v>
      </c>
      <c r="AY90" t="str">
        <f t="shared" si="19"/>
        <v>AMPISOL</v>
      </c>
      <c r="AZ90" t="str">
        <f>IF(COUNTIF(AY:AY,AY90)=1,AY90,IF(AND(COUNTIF(AY:AY,AY90)&gt;1,COUNTIF(AZ$2:AZ89,AY90)&gt;=1),"",AY90))</f>
        <v/>
      </c>
      <c r="BA90" t="str">
        <f>IF(AZ90="","",COUNTIFS(AZ$3:AZ$1439,"&lt;"&amp;AZ90,AZ$3:AZ$1439,"&lt;&gt;0")+COUNTIF(AZ$3:AZ90,AZ90)-876)</f>
        <v/>
      </c>
      <c r="BC90">
        <v>88</v>
      </c>
      <c r="BD90" t="str">
        <f t="shared" si="30"/>
        <v>CEFOVET HL</v>
      </c>
      <c r="BE90" t="str">
        <f t="shared" si="20"/>
        <v>INTRAMAM</v>
      </c>
      <c r="BF90" t="str">
        <f t="shared" si="21"/>
        <v>CEPHALOSPORINES 1&amp;2G</v>
      </c>
      <c r="BG90" t="str">
        <f t="shared" si="22"/>
        <v/>
      </c>
      <c r="BH90" t="str">
        <f t="shared" si="23"/>
        <v/>
      </c>
      <c r="BI90" t="str">
        <f t="shared" si="24"/>
        <v>cefazolin</v>
      </c>
      <c r="BJ90" t="str">
        <f t="shared" si="25"/>
        <v/>
      </c>
      <c r="BK90" t="str">
        <f t="shared" si="26"/>
        <v/>
      </c>
      <c r="BL90" t="str">
        <f t="shared" si="31"/>
        <v>Céfazoline</v>
      </c>
      <c r="BM90" t="str">
        <f t="shared" si="27"/>
        <v>Céfazoline</v>
      </c>
      <c r="BN90" t="str">
        <f t="shared" si="28"/>
        <v/>
      </c>
      <c r="BO90" t="str">
        <f t="shared" si="29"/>
        <v/>
      </c>
      <c r="BP90" t="str">
        <f t="shared" si="32"/>
        <v>Cephalosporines 1&amp;2G</v>
      </c>
      <c r="BQ90" t="str">
        <f t="shared" si="33"/>
        <v>Cephalosporines 1&amp;2G</v>
      </c>
      <c r="BR90" t="str">
        <f t="shared" si="34"/>
        <v/>
      </c>
      <c r="BS90" t="str">
        <f t="shared" si="35"/>
        <v/>
      </c>
      <c r="BT90" s="76" t="str">
        <f t="shared" si="36"/>
        <v>Voie intramammaire</v>
      </c>
      <c r="BU90" t="str">
        <f t="shared" si="37"/>
        <v/>
      </c>
      <c r="CK90" s="109" t="s">
        <v>1279</v>
      </c>
      <c r="CL90" s="185" t="s">
        <v>4321</v>
      </c>
      <c r="CN90">
        <v>89</v>
      </c>
    </row>
    <row r="91" spans="1:92" x14ac:dyDescent="0.3">
      <c r="A91" s="118" t="s">
        <v>3350</v>
      </c>
      <c r="B91" t="s">
        <v>3351</v>
      </c>
      <c r="C91" t="s">
        <v>3352</v>
      </c>
      <c r="D91" s="144" t="s">
        <v>772</v>
      </c>
      <c r="E91" t="s">
        <v>813</v>
      </c>
      <c r="F91" t="s">
        <v>241</v>
      </c>
      <c r="G91" t="s">
        <v>985</v>
      </c>
      <c r="H91" t="s">
        <v>1484</v>
      </c>
      <c r="I91" t="s">
        <v>879</v>
      </c>
      <c r="J91" t="s">
        <v>768</v>
      </c>
      <c r="K91" t="s">
        <v>768</v>
      </c>
      <c r="L91" t="s">
        <v>1087</v>
      </c>
      <c r="M91" t="s">
        <v>208</v>
      </c>
      <c r="N91" t="s">
        <v>3353</v>
      </c>
      <c r="O91" t="s">
        <v>824</v>
      </c>
      <c r="P91" t="s">
        <v>772</v>
      </c>
      <c r="Q91" t="s">
        <v>2932</v>
      </c>
      <c r="R91">
        <v>0</v>
      </c>
      <c r="S91">
        <v>0</v>
      </c>
      <c r="T91">
        <v>0</v>
      </c>
      <c r="U91">
        <v>0</v>
      </c>
      <c r="V91">
        <v>0</v>
      </c>
      <c r="W91">
        <v>0</v>
      </c>
      <c r="X91">
        <v>0</v>
      </c>
      <c r="Y91">
        <v>0</v>
      </c>
      <c r="Z91">
        <v>0</v>
      </c>
      <c r="AA91">
        <v>0</v>
      </c>
      <c r="AB91">
        <v>0</v>
      </c>
      <c r="AC91">
        <v>0</v>
      </c>
      <c r="AD91">
        <v>0</v>
      </c>
      <c r="AE91">
        <v>0</v>
      </c>
      <c r="AF91">
        <v>0</v>
      </c>
      <c r="AG91">
        <v>0</v>
      </c>
      <c r="AH91">
        <v>0</v>
      </c>
      <c r="AI91">
        <v>0</v>
      </c>
      <c r="AY91" t="str">
        <f t="shared" si="19"/>
        <v>ANIMEDAZON SPRAY</v>
      </c>
      <c r="AZ91" t="str">
        <f>IF(COUNTIF(AY:AY,AY91)=1,AY91,IF(AND(COUNTIF(AY:AY,AY91)&gt;1,COUNTIF(AZ$2:AZ90,AY91)&gt;=1),"",AY91))</f>
        <v>ANIMEDAZON SPRAY</v>
      </c>
      <c r="BA91">
        <f>IF(AZ91="","",COUNTIFS(AZ$3:AZ$1439,"&lt;"&amp;AZ91,AZ$3:AZ$1439,"&lt;&gt;0")+COUNTIF(AZ$3:AZ91,AZ91)-876)</f>
        <v>44</v>
      </c>
      <c r="BC91">
        <v>89</v>
      </c>
      <c r="BD91" t="str">
        <f t="shared" si="30"/>
        <v>CEFSHOT 250 MG SUSPENSION INTRAMAMMAIRE POUR VACHES AU TARISSEMENT</v>
      </c>
      <c r="BE91" t="str">
        <f t="shared" si="20"/>
        <v>INTRAMAM</v>
      </c>
      <c r="BF91" t="str">
        <f t="shared" si="21"/>
        <v>CEPHALOSPORINES 1&amp;2G</v>
      </c>
      <c r="BG91" t="str">
        <f t="shared" si="22"/>
        <v/>
      </c>
      <c r="BH91" t="str">
        <f t="shared" si="23"/>
        <v/>
      </c>
      <c r="BI91" t="str">
        <f t="shared" si="24"/>
        <v>cefalonium</v>
      </c>
      <c r="BJ91" t="str">
        <f t="shared" si="25"/>
        <v/>
      </c>
      <c r="BK91" t="str">
        <f t="shared" si="26"/>
        <v/>
      </c>
      <c r="BL91" t="str">
        <f t="shared" si="31"/>
        <v>Céfalonium</v>
      </c>
      <c r="BM91" t="str">
        <f t="shared" si="27"/>
        <v>Céfalonium</v>
      </c>
      <c r="BN91" t="str">
        <f t="shared" si="28"/>
        <v/>
      </c>
      <c r="BO91" t="str">
        <f t="shared" si="29"/>
        <v/>
      </c>
      <c r="BP91" t="str">
        <f t="shared" si="32"/>
        <v>Cephalosporines 1&amp;2G</v>
      </c>
      <c r="BQ91" t="str">
        <f t="shared" si="33"/>
        <v>Cephalosporines 1&amp;2G</v>
      </c>
      <c r="BR91" t="str">
        <f t="shared" si="34"/>
        <v/>
      </c>
      <c r="BS91" t="str">
        <f t="shared" si="35"/>
        <v/>
      </c>
      <c r="BT91" s="76" t="str">
        <f t="shared" si="36"/>
        <v>Voie intramammaire</v>
      </c>
      <c r="BU91" t="str">
        <f t="shared" si="37"/>
        <v/>
      </c>
      <c r="CK91" s="109" t="s">
        <v>3534</v>
      </c>
      <c r="CL91" s="185" t="s">
        <v>4321</v>
      </c>
      <c r="CN91">
        <v>90</v>
      </c>
    </row>
    <row r="92" spans="1:92" x14ac:dyDescent="0.3">
      <c r="A92" s="118" t="s">
        <v>1541</v>
      </c>
      <c r="B92" t="s">
        <v>1542</v>
      </c>
      <c r="C92" t="s">
        <v>1543</v>
      </c>
      <c r="D92" s="144" t="s">
        <v>1544</v>
      </c>
      <c r="E92" t="s">
        <v>830</v>
      </c>
      <c r="F92" t="s">
        <v>604</v>
      </c>
      <c r="G92" t="s">
        <v>831</v>
      </c>
      <c r="H92" t="s">
        <v>1545</v>
      </c>
      <c r="I92" t="s">
        <v>817</v>
      </c>
      <c r="J92" t="s">
        <v>802</v>
      </c>
      <c r="K92" t="s">
        <v>802</v>
      </c>
      <c r="L92" t="s">
        <v>803</v>
      </c>
      <c r="M92" t="s">
        <v>208</v>
      </c>
      <c r="N92" t="s">
        <v>1546</v>
      </c>
      <c r="O92" t="s">
        <v>834</v>
      </c>
      <c r="P92" t="s">
        <v>4363</v>
      </c>
      <c r="Q92" t="s">
        <v>4402</v>
      </c>
      <c r="R92">
        <v>0</v>
      </c>
      <c r="S92">
        <v>0</v>
      </c>
      <c r="T92">
        <v>0</v>
      </c>
      <c r="U92">
        <v>0</v>
      </c>
      <c r="V92">
        <v>0</v>
      </c>
      <c r="W92">
        <v>0</v>
      </c>
      <c r="X92">
        <v>0</v>
      </c>
      <c r="Y92">
        <v>0</v>
      </c>
      <c r="Z92">
        <v>0</v>
      </c>
      <c r="AA92">
        <v>0</v>
      </c>
      <c r="AB92">
        <v>0</v>
      </c>
      <c r="AC92">
        <v>0</v>
      </c>
      <c r="AD92">
        <v>0</v>
      </c>
      <c r="AE92">
        <v>0</v>
      </c>
      <c r="AF92">
        <v>46.88</v>
      </c>
      <c r="AG92">
        <v>7</v>
      </c>
      <c r="AH92">
        <v>46.88</v>
      </c>
      <c r="AI92">
        <v>7</v>
      </c>
      <c r="AY92" t="str">
        <f t="shared" si="19"/>
        <v>ANTI CORYZA MOUREAU</v>
      </c>
      <c r="AZ92" t="str">
        <f>IF(COUNTIF(AY:AY,AY92)=1,AY92,IF(AND(COUNTIF(AY:AY,AY92)&gt;1,COUNTIF(AZ$2:AZ91,AY92)&gt;=1),"",AY92))</f>
        <v>ANTI CORYZA MOUREAU</v>
      </c>
      <c r="BA92">
        <f>IF(AZ92="","",COUNTIFS(AZ$3:AZ$1439,"&lt;"&amp;AZ92,AZ$3:AZ$1439,"&lt;&gt;0")+COUNTIF(AZ$3:AZ92,AZ92)-876)</f>
        <v>45</v>
      </c>
      <c r="BC92">
        <v>90</v>
      </c>
      <c r="BD92" t="str">
        <f t="shared" si="30"/>
        <v>CEFTIOCYL 50 MG/ML SUSPENSION INJECTABLE POUR BOVINS ET PORCINS</v>
      </c>
      <c r="BE92" t="str">
        <f t="shared" si="20"/>
        <v>INJ</v>
      </c>
      <c r="BF92" t="str">
        <f t="shared" si="21"/>
        <v>CEPHALOSPORINES 3&amp;4G</v>
      </c>
      <c r="BG92" t="str">
        <f t="shared" si="22"/>
        <v/>
      </c>
      <c r="BH92" t="str">
        <f t="shared" si="23"/>
        <v/>
      </c>
      <c r="BI92" t="str">
        <f t="shared" si="24"/>
        <v>ceftiofur</v>
      </c>
      <c r="BJ92" t="str">
        <f t="shared" si="25"/>
        <v/>
      </c>
      <c r="BK92" t="str">
        <f t="shared" si="26"/>
        <v/>
      </c>
      <c r="BL92" t="str">
        <f t="shared" si="31"/>
        <v>Ceftiofur</v>
      </c>
      <c r="BM92" t="str">
        <f t="shared" si="27"/>
        <v>Ceftiofur</v>
      </c>
      <c r="BN92" t="str">
        <f t="shared" si="28"/>
        <v/>
      </c>
      <c r="BO92" t="str">
        <f t="shared" si="29"/>
        <v/>
      </c>
      <c r="BP92" t="str">
        <f t="shared" si="32"/>
        <v>Cephalosporines 3&amp;4G</v>
      </c>
      <c r="BQ92" t="str">
        <f t="shared" si="33"/>
        <v>Cephalosporines 3&amp;4G</v>
      </c>
      <c r="BR92" t="str">
        <f t="shared" si="34"/>
        <v/>
      </c>
      <c r="BS92" t="str">
        <f t="shared" si="35"/>
        <v/>
      </c>
      <c r="BT92" s="76" t="str">
        <f t="shared" si="36"/>
        <v>Voie parentérale</v>
      </c>
      <c r="BU92" t="str">
        <f t="shared" si="37"/>
        <v>x</v>
      </c>
      <c r="CK92" s="109" t="s">
        <v>2036</v>
      </c>
      <c r="CL92" s="185" t="s">
        <v>4321</v>
      </c>
      <c r="CN92">
        <v>91</v>
      </c>
    </row>
    <row r="93" spans="1:92" x14ac:dyDescent="0.3">
      <c r="A93" s="118" t="s">
        <v>2392</v>
      </c>
      <c r="B93" t="s">
        <v>2393</v>
      </c>
      <c r="C93" t="s">
        <v>2387</v>
      </c>
      <c r="D93" s="144" t="s">
        <v>940</v>
      </c>
      <c r="E93" t="s">
        <v>813</v>
      </c>
      <c r="F93" t="s">
        <v>2394</v>
      </c>
      <c r="G93" t="s">
        <v>815</v>
      </c>
      <c r="H93" t="s">
        <v>860</v>
      </c>
      <c r="I93" t="s">
        <v>817</v>
      </c>
      <c r="J93" t="s">
        <v>1269</v>
      </c>
      <c r="K93" t="s">
        <v>1269</v>
      </c>
      <c r="L93" t="s">
        <v>2389</v>
      </c>
      <c r="M93" t="s">
        <v>208</v>
      </c>
      <c r="N93" t="s">
        <v>1155</v>
      </c>
      <c r="O93" t="s">
        <v>824</v>
      </c>
      <c r="P93" t="s">
        <v>772</v>
      </c>
      <c r="Q93" t="s">
        <v>793</v>
      </c>
      <c r="R93">
        <v>0</v>
      </c>
      <c r="S93">
        <v>0</v>
      </c>
      <c r="T93">
        <v>22</v>
      </c>
      <c r="U93">
        <v>28</v>
      </c>
      <c r="V93">
        <v>0</v>
      </c>
      <c r="W93">
        <v>0</v>
      </c>
      <c r="X93">
        <v>0</v>
      </c>
      <c r="Y93">
        <v>0</v>
      </c>
      <c r="Z93">
        <v>0</v>
      </c>
      <c r="AA93">
        <v>0</v>
      </c>
      <c r="AB93">
        <v>0</v>
      </c>
      <c r="AC93">
        <v>0</v>
      </c>
      <c r="AD93">
        <v>0</v>
      </c>
      <c r="AE93">
        <v>0</v>
      </c>
      <c r="AF93">
        <v>0</v>
      </c>
      <c r="AG93">
        <v>0</v>
      </c>
      <c r="AH93">
        <v>0</v>
      </c>
      <c r="AI93">
        <v>0</v>
      </c>
      <c r="AY93" t="str">
        <f t="shared" si="19"/>
        <v/>
      </c>
      <c r="AZ93" t="str">
        <f>IF(COUNTIF(AY:AY,AY93)=1,AY93,IF(AND(COUNTIF(AY:AY,AY93)&gt;1,COUNTIF(AZ$2:AZ92,AY93)&gt;=1),"",AY93))</f>
        <v/>
      </c>
      <c r="BA93" t="str">
        <f>IF(AZ93="","",COUNTIFS(AZ$3:AZ$1439,"&lt;"&amp;AZ93,AZ$3:AZ$1439,"&lt;&gt;0")+COUNTIF(AZ$3:AZ93,AZ93)-876)</f>
        <v/>
      </c>
      <c r="BC93">
        <v>91</v>
      </c>
      <c r="BD93" t="str">
        <f t="shared" si="30"/>
        <v>CEMAY 50 MG/ML SUSPENSION INJECTABLE POUR PORCS ET BOVINS</v>
      </c>
      <c r="BE93" t="str">
        <f t="shared" si="20"/>
        <v>INJ</v>
      </c>
      <c r="BF93" t="str">
        <f t="shared" si="21"/>
        <v>CEPHALOSPORINES 3&amp;4G</v>
      </c>
      <c r="BG93" t="str">
        <f t="shared" si="22"/>
        <v/>
      </c>
      <c r="BH93" t="str">
        <f t="shared" si="23"/>
        <v/>
      </c>
      <c r="BI93" t="str">
        <f t="shared" si="24"/>
        <v>ceftiofur</v>
      </c>
      <c r="BJ93" t="str">
        <f t="shared" si="25"/>
        <v/>
      </c>
      <c r="BK93" t="str">
        <f t="shared" si="26"/>
        <v/>
      </c>
      <c r="BL93" t="str">
        <f t="shared" si="31"/>
        <v>Ceftiofur</v>
      </c>
      <c r="BM93" t="str">
        <f t="shared" si="27"/>
        <v>Ceftiofur</v>
      </c>
      <c r="BN93" t="str">
        <f t="shared" si="28"/>
        <v/>
      </c>
      <c r="BO93" t="str">
        <f t="shared" si="29"/>
        <v/>
      </c>
      <c r="BP93" t="str">
        <f t="shared" si="32"/>
        <v>Cephalosporines 3&amp;4G</v>
      </c>
      <c r="BQ93" t="str">
        <f t="shared" si="33"/>
        <v>Cephalosporines 3&amp;4G</v>
      </c>
      <c r="BR93" t="str">
        <f t="shared" si="34"/>
        <v/>
      </c>
      <c r="BS93" t="str">
        <f t="shared" si="35"/>
        <v/>
      </c>
      <c r="BT93" s="76" t="str">
        <f t="shared" si="36"/>
        <v>Voie parentérale</v>
      </c>
      <c r="BU93" t="str">
        <f t="shared" si="37"/>
        <v>x</v>
      </c>
      <c r="CK93" s="109" t="s">
        <v>3267</v>
      </c>
      <c r="CL93" s="185" t="s">
        <v>4321</v>
      </c>
      <c r="CN93">
        <v>92</v>
      </c>
    </row>
    <row r="94" spans="1:92" x14ac:dyDescent="0.3">
      <c r="A94" s="118" t="s">
        <v>2392</v>
      </c>
      <c r="B94" t="s">
        <v>2395</v>
      </c>
      <c r="C94" t="s">
        <v>2391</v>
      </c>
      <c r="D94" s="144" t="s">
        <v>1494</v>
      </c>
      <c r="E94" t="s">
        <v>813</v>
      </c>
      <c r="F94" t="s">
        <v>2394</v>
      </c>
      <c r="G94" t="s">
        <v>815</v>
      </c>
      <c r="H94" t="s">
        <v>860</v>
      </c>
      <c r="I94" t="s">
        <v>817</v>
      </c>
      <c r="J94" t="s">
        <v>1269</v>
      </c>
      <c r="K94" t="s">
        <v>1269</v>
      </c>
      <c r="L94" t="s">
        <v>2389</v>
      </c>
      <c r="M94" t="s">
        <v>208</v>
      </c>
      <c r="N94" t="s">
        <v>1155</v>
      </c>
      <c r="O94" t="s">
        <v>824</v>
      </c>
      <c r="P94" t="s">
        <v>772</v>
      </c>
      <c r="Q94" t="s">
        <v>1015</v>
      </c>
      <c r="R94">
        <v>0</v>
      </c>
      <c r="S94">
        <v>0</v>
      </c>
      <c r="T94">
        <v>22</v>
      </c>
      <c r="U94">
        <v>28</v>
      </c>
      <c r="V94">
        <v>0</v>
      </c>
      <c r="W94">
        <v>0</v>
      </c>
      <c r="X94">
        <v>0</v>
      </c>
      <c r="Y94">
        <v>0</v>
      </c>
      <c r="Z94">
        <v>0</v>
      </c>
      <c r="AA94">
        <v>0</v>
      </c>
      <c r="AB94">
        <v>0</v>
      </c>
      <c r="AC94">
        <v>0</v>
      </c>
      <c r="AD94">
        <v>0</v>
      </c>
      <c r="AE94">
        <v>0</v>
      </c>
      <c r="AF94">
        <v>0</v>
      </c>
      <c r="AG94">
        <v>0</v>
      </c>
      <c r="AH94">
        <v>0</v>
      </c>
      <c r="AI94">
        <v>0</v>
      </c>
      <c r="AY94" t="str">
        <f t="shared" si="19"/>
        <v/>
      </c>
      <c r="AZ94" t="str">
        <f>IF(COUNTIF(AY:AY,AY94)=1,AY94,IF(AND(COUNTIF(AY:AY,AY94)&gt;1,COUNTIF(AZ$2:AZ93,AY94)&gt;=1),"",AY94))</f>
        <v/>
      </c>
      <c r="BA94" t="str">
        <f>IF(AZ94="","",COUNTIFS(AZ$3:AZ$1439,"&lt;"&amp;AZ94,AZ$3:AZ$1439,"&lt;&gt;0")+COUNTIF(AZ$3:AZ94,AZ94)-876)</f>
        <v/>
      </c>
      <c r="BC94">
        <v>92</v>
      </c>
      <c r="BD94" t="str">
        <f t="shared" si="30"/>
        <v>CENTRAUREO</v>
      </c>
      <c r="BE94" t="str">
        <f t="shared" si="20"/>
        <v>INTRAUT</v>
      </c>
      <c r="BF94" t="str">
        <f t="shared" si="21"/>
        <v>TETRACYCLINES</v>
      </c>
      <c r="BG94" t="str">
        <f t="shared" si="22"/>
        <v/>
      </c>
      <c r="BH94" t="str">
        <f t="shared" si="23"/>
        <v/>
      </c>
      <c r="BI94" t="str">
        <f t="shared" si="24"/>
        <v>chlortetracycline</v>
      </c>
      <c r="BJ94" t="str">
        <f t="shared" si="25"/>
        <v/>
      </c>
      <c r="BK94" t="str">
        <f t="shared" si="26"/>
        <v/>
      </c>
      <c r="BL94" t="str">
        <f t="shared" si="31"/>
        <v>Chlortétracycline</v>
      </c>
      <c r="BM94" t="str">
        <f t="shared" si="27"/>
        <v>Chlortétracycline</v>
      </c>
      <c r="BN94" t="str">
        <f t="shared" si="28"/>
        <v/>
      </c>
      <c r="BO94" t="str">
        <f t="shared" si="29"/>
        <v/>
      </c>
      <c r="BP94" t="str">
        <f t="shared" si="32"/>
        <v>Tetracyclines</v>
      </c>
      <c r="BQ94" t="str">
        <f t="shared" si="33"/>
        <v>Tetracyclines</v>
      </c>
      <c r="BR94" t="str">
        <f t="shared" si="34"/>
        <v/>
      </c>
      <c r="BS94" t="str">
        <f t="shared" si="35"/>
        <v/>
      </c>
      <c r="BT94" s="76" t="str">
        <f t="shared" si="36"/>
        <v>Voie intra-utérine</v>
      </c>
      <c r="BU94" t="str">
        <f t="shared" si="37"/>
        <v/>
      </c>
      <c r="CK94" s="109" t="s">
        <v>860</v>
      </c>
      <c r="CL94" s="185"/>
      <c r="CN94">
        <v>93</v>
      </c>
    </row>
    <row r="95" spans="1:92" x14ac:dyDescent="0.3">
      <c r="A95" s="118" t="s">
        <v>2419</v>
      </c>
      <c r="B95" t="s">
        <v>2420</v>
      </c>
      <c r="C95" t="s">
        <v>2391</v>
      </c>
      <c r="D95" s="144" t="s">
        <v>1494</v>
      </c>
      <c r="E95" t="s">
        <v>813</v>
      </c>
      <c r="F95" t="s">
        <v>2421</v>
      </c>
      <c r="G95" t="s">
        <v>815</v>
      </c>
      <c r="H95" t="s">
        <v>860</v>
      </c>
      <c r="I95" t="s">
        <v>817</v>
      </c>
      <c r="J95" t="s">
        <v>1269</v>
      </c>
      <c r="K95" t="s">
        <v>1269</v>
      </c>
      <c r="L95" t="s">
        <v>2389</v>
      </c>
      <c r="M95" t="s">
        <v>208</v>
      </c>
      <c r="N95" t="s">
        <v>855</v>
      </c>
      <c r="O95" t="s">
        <v>824</v>
      </c>
      <c r="P95" t="s">
        <v>772</v>
      </c>
      <c r="Q95" t="s">
        <v>1028</v>
      </c>
      <c r="R95">
        <v>0</v>
      </c>
      <c r="S95">
        <v>0</v>
      </c>
      <c r="T95">
        <v>22</v>
      </c>
      <c r="U95">
        <v>28</v>
      </c>
      <c r="V95">
        <v>0</v>
      </c>
      <c r="W95">
        <v>0</v>
      </c>
      <c r="X95">
        <v>0</v>
      </c>
      <c r="Y95">
        <v>0</v>
      </c>
      <c r="Z95">
        <v>0</v>
      </c>
      <c r="AA95">
        <v>0</v>
      </c>
      <c r="AB95">
        <v>0</v>
      </c>
      <c r="AC95">
        <v>0</v>
      </c>
      <c r="AD95">
        <v>0</v>
      </c>
      <c r="AE95">
        <v>0</v>
      </c>
      <c r="AF95">
        <v>0</v>
      </c>
      <c r="AG95">
        <v>0</v>
      </c>
      <c r="AH95">
        <v>0</v>
      </c>
      <c r="AI95">
        <v>0</v>
      </c>
      <c r="AY95" t="str">
        <f t="shared" si="19"/>
        <v/>
      </c>
      <c r="AZ95" t="str">
        <f>IF(COUNTIF(AY:AY,AY95)=1,AY95,IF(AND(COUNTIF(AY:AY,AY95)&gt;1,COUNTIF(AZ$2:AZ94,AY95)&gt;=1),"",AY95))</f>
        <v/>
      </c>
      <c r="BA95" t="str">
        <f>IF(AZ95="","",COUNTIFS(AZ$3:AZ$1439,"&lt;"&amp;AZ95,AZ$3:AZ$1439,"&lt;&gt;0")+COUNTIF(AZ$3:AZ95,AZ95)-876)</f>
        <v/>
      </c>
      <c r="BC95">
        <v>93</v>
      </c>
      <c r="BD95" t="str">
        <f t="shared" si="30"/>
        <v>CEPRAVIN</v>
      </c>
      <c r="BE95" t="str">
        <f t="shared" si="20"/>
        <v>INTRAMAM</v>
      </c>
      <c r="BF95" t="str">
        <f t="shared" si="21"/>
        <v>CEPHALOSPORINES 1&amp;2G</v>
      </c>
      <c r="BG95" t="str">
        <f t="shared" si="22"/>
        <v/>
      </c>
      <c r="BH95" t="str">
        <f t="shared" si="23"/>
        <v/>
      </c>
      <c r="BI95" t="str">
        <f t="shared" si="24"/>
        <v>cefalonium</v>
      </c>
      <c r="BJ95" t="str">
        <f t="shared" si="25"/>
        <v/>
      </c>
      <c r="BK95" t="str">
        <f t="shared" si="26"/>
        <v/>
      </c>
      <c r="BL95" t="str">
        <f t="shared" si="31"/>
        <v>Céfalonium</v>
      </c>
      <c r="BM95" t="str">
        <f t="shared" si="27"/>
        <v>Céfalonium</v>
      </c>
      <c r="BN95" t="str">
        <f t="shared" si="28"/>
        <v/>
      </c>
      <c r="BO95" t="str">
        <f t="shared" si="29"/>
        <v/>
      </c>
      <c r="BP95" t="str">
        <f t="shared" si="32"/>
        <v>Cephalosporines 1&amp;2G</v>
      </c>
      <c r="BQ95" t="str">
        <f t="shared" si="33"/>
        <v>Cephalosporines 1&amp;2G</v>
      </c>
      <c r="BR95" t="str">
        <f t="shared" si="34"/>
        <v/>
      </c>
      <c r="BS95" t="str">
        <f t="shared" si="35"/>
        <v/>
      </c>
      <c r="BT95" s="76" t="str">
        <f t="shared" si="36"/>
        <v>Voie intramammaire</v>
      </c>
      <c r="BU95" t="str">
        <f t="shared" si="37"/>
        <v/>
      </c>
      <c r="CK95" s="109" t="s">
        <v>3880</v>
      </c>
      <c r="CL95" s="185" t="s">
        <v>4321</v>
      </c>
      <c r="CN95">
        <v>94</v>
      </c>
    </row>
    <row r="96" spans="1:92" x14ac:dyDescent="0.3">
      <c r="A96" s="118" t="s">
        <v>2981</v>
      </c>
      <c r="B96" t="s">
        <v>2982</v>
      </c>
      <c r="C96" t="s">
        <v>2391</v>
      </c>
      <c r="D96" s="144" t="s">
        <v>1494</v>
      </c>
      <c r="E96" t="s">
        <v>813</v>
      </c>
      <c r="F96" t="s">
        <v>2983</v>
      </c>
      <c r="G96" t="s">
        <v>815</v>
      </c>
      <c r="H96" t="s">
        <v>860</v>
      </c>
      <c r="I96" t="s">
        <v>817</v>
      </c>
      <c r="J96" t="s">
        <v>1269</v>
      </c>
      <c r="K96" t="s">
        <v>1269</v>
      </c>
      <c r="L96" t="s">
        <v>2389</v>
      </c>
      <c r="M96" t="s">
        <v>208</v>
      </c>
      <c r="N96" t="s">
        <v>1163</v>
      </c>
      <c r="O96" t="s">
        <v>824</v>
      </c>
      <c r="P96" t="s">
        <v>772</v>
      </c>
      <c r="Q96" t="s">
        <v>1361</v>
      </c>
      <c r="R96">
        <v>0</v>
      </c>
      <c r="S96">
        <v>0</v>
      </c>
      <c r="T96">
        <v>22</v>
      </c>
      <c r="U96">
        <v>28</v>
      </c>
      <c r="V96">
        <v>0</v>
      </c>
      <c r="W96">
        <v>0</v>
      </c>
      <c r="X96">
        <v>0</v>
      </c>
      <c r="Y96">
        <v>0</v>
      </c>
      <c r="Z96">
        <v>0</v>
      </c>
      <c r="AA96">
        <v>0</v>
      </c>
      <c r="AB96">
        <v>0</v>
      </c>
      <c r="AC96">
        <v>0</v>
      </c>
      <c r="AD96">
        <v>0</v>
      </c>
      <c r="AE96">
        <v>0</v>
      </c>
      <c r="AF96">
        <v>0</v>
      </c>
      <c r="AG96">
        <v>0</v>
      </c>
      <c r="AH96">
        <v>0</v>
      </c>
      <c r="AI96">
        <v>0</v>
      </c>
      <c r="AY96" t="str">
        <f t="shared" si="19"/>
        <v/>
      </c>
      <c r="AZ96" t="str">
        <f>IF(COUNTIF(AY:AY,AY96)=1,AY96,IF(AND(COUNTIF(AY:AY,AY96)&gt;1,COUNTIF(AZ$2:AZ95,AY96)&gt;=1),"",AY96))</f>
        <v/>
      </c>
      <c r="BA96" t="str">
        <f>IF(AZ96="","",COUNTIFS(AZ$3:AZ$1439,"&lt;"&amp;AZ96,AZ$3:AZ$1439,"&lt;&gt;0")+COUNTIF(AZ$3:AZ96,AZ96)-876)</f>
        <v/>
      </c>
      <c r="BC96">
        <v>94</v>
      </c>
      <c r="BD96" t="str">
        <f t="shared" si="30"/>
        <v>CEVAMULINE SOLUTION LAPIN</v>
      </c>
      <c r="BE96" t="str">
        <f t="shared" si="20"/>
        <v>ORAL</v>
      </c>
      <c r="BF96" t="str">
        <f t="shared" si="21"/>
        <v>PLEUROMUTILINES</v>
      </c>
      <c r="BG96" t="str">
        <f t="shared" si="22"/>
        <v/>
      </c>
      <c r="BH96" t="str">
        <f t="shared" si="23"/>
        <v/>
      </c>
      <c r="BI96" t="str">
        <f t="shared" si="24"/>
        <v>tiamulin</v>
      </c>
      <c r="BJ96" t="str">
        <f t="shared" si="25"/>
        <v/>
      </c>
      <c r="BK96" t="str">
        <f t="shared" si="26"/>
        <v/>
      </c>
      <c r="BL96" t="str">
        <f t="shared" si="31"/>
        <v>Tiamuline</v>
      </c>
      <c r="BM96" t="str">
        <f t="shared" si="27"/>
        <v>Tiamuline</v>
      </c>
      <c r="BN96" t="str">
        <f t="shared" si="28"/>
        <v/>
      </c>
      <c r="BO96" t="str">
        <f t="shared" si="29"/>
        <v/>
      </c>
      <c r="BP96" t="str">
        <f t="shared" si="32"/>
        <v>Pleuromutilines</v>
      </c>
      <c r="BQ96" t="str">
        <f t="shared" si="33"/>
        <v>Pleuromutilines</v>
      </c>
      <c r="BR96" t="str">
        <f t="shared" si="34"/>
        <v/>
      </c>
      <c r="BS96" t="str">
        <f t="shared" si="35"/>
        <v/>
      </c>
      <c r="BT96" s="76" t="str">
        <f t="shared" si="36"/>
        <v>Voie orale  hors prémélanges médicamenteux</v>
      </c>
      <c r="BU96" t="str">
        <f t="shared" si="37"/>
        <v/>
      </c>
      <c r="CK96" s="109" t="s">
        <v>3399</v>
      </c>
      <c r="CL96" s="185" t="s">
        <v>4321</v>
      </c>
      <c r="CN96">
        <v>95</v>
      </c>
    </row>
    <row r="97" spans="1:92" x14ac:dyDescent="0.3">
      <c r="A97" s="118" t="s">
        <v>2981</v>
      </c>
      <c r="B97" t="s">
        <v>2984</v>
      </c>
      <c r="C97" t="s">
        <v>2387</v>
      </c>
      <c r="D97" s="144" t="s">
        <v>940</v>
      </c>
      <c r="E97" t="s">
        <v>813</v>
      </c>
      <c r="F97" t="s">
        <v>2983</v>
      </c>
      <c r="G97" t="s">
        <v>815</v>
      </c>
      <c r="H97" t="s">
        <v>860</v>
      </c>
      <c r="I97" t="s">
        <v>817</v>
      </c>
      <c r="J97" t="s">
        <v>1269</v>
      </c>
      <c r="K97" t="s">
        <v>1269</v>
      </c>
      <c r="L97" t="s">
        <v>2389</v>
      </c>
      <c r="M97" t="s">
        <v>208</v>
      </c>
      <c r="N97" t="s">
        <v>1163</v>
      </c>
      <c r="O97" t="s">
        <v>824</v>
      </c>
      <c r="P97" t="s">
        <v>772</v>
      </c>
      <c r="Q97" t="s">
        <v>1132</v>
      </c>
      <c r="R97">
        <v>0</v>
      </c>
      <c r="S97">
        <v>0</v>
      </c>
      <c r="T97">
        <v>22</v>
      </c>
      <c r="U97">
        <v>28</v>
      </c>
      <c r="V97">
        <v>0</v>
      </c>
      <c r="W97">
        <v>0</v>
      </c>
      <c r="X97">
        <v>0</v>
      </c>
      <c r="Y97">
        <v>0</v>
      </c>
      <c r="Z97">
        <v>0</v>
      </c>
      <c r="AA97">
        <v>0</v>
      </c>
      <c r="AB97">
        <v>0</v>
      </c>
      <c r="AC97">
        <v>0</v>
      </c>
      <c r="AD97">
        <v>0</v>
      </c>
      <c r="AE97">
        <v>0</v>
      </c>
      <c r="AF97">
        <v>0</v>
      </c>
      <c r="AG97">
        <v>0</v>
      </c>
      <c r="AH97">
        <v>0</v>
      </c>
      <c r="AI97">
        <v>0</v>
      </c>
      <c r="AY97" t="str">
        <f t="shared" si="19"/>
        <v/>
      </c>
      <c r="AZ97" t="str">
        <f>IF(COUNTIF(AY:AY,AY97)=1,AY97,IF(AND(COUNTIF(AY:AY,AY97)&gt;1,COUNTIF(AZ$2:AZ96,AY97)&gt;=1),"",AY97))</f>
        <v/>
      </c>
      <c r="BA97" t="str">
        <f>IF(AZ97="","",COUNTIFS(AZ$3:AZ$1439,"&lt;"&amp;AZ97,AZ$3:AZ$1439,"&lt;&gt;0")+COUNTIF(AZ$3:AZ97,AZ97)-876)</f>
        <v/>
      </c>
      <c r="BC97">
        <v>95</v>
      </c>
      <c r="BD97" t="str">
        <f t="shared" si="30"/>
        <v>CEVAXEL 50 MG/ML</v>
      </c>
      <c r="BE97" t="str">
        <f t="shared" si="20"/>
        <v>INJ</v>
      </c>
      <c r="BF97" t="str">
        <f t="shared" si="21"/>
        <v>CEPHALOSPORINES 3&amp;4G</v>
      </c>
      <c r="BG97" t="str">
        <f t="shared" si="22"/>
        <v/>
      </c>
      <c r="BH97" t="str">
        <f t="shared" si="23"/>
        <v/>
      </c>
      <c r="BI97" t="str">
        <f t="shared" si="24"/>
        <v>ceftiofur</v>
      </c>
      <c r="BJ97" t="str">
        <f t="shared" si="25"/>
        <v/>
      </c>
      <c r="BK97" t="str">
        <f t="shared" si="26"/>
        <v/>
      </c>
      <c r="BL97" t="str">
        <f t="shared" si="31"/>
        <v>Ceftiofur</v>
      </c>
      <c r="BM97" t="str">
        <f t="shared" si="27"/>
        <v>Ceftiofur</v>
      </c>
      <c r="BN97" t="str">
        <f t="shared" si="28"/>
        <v/>
      </c>
      <c r="BO97" t="str">
        <f t="shared" si="29"/>
        <v/>
      </c>
      <c r="BP97" t="str">
        <f t="shared" si="32"/>
        <v>Cephalosporines 3&amp;4G</v>
      </c>
      <c r="BQ97" t="str">
        <f t="shared" si="33"/>
        <v>Cephalosporines 3&amp;4G</v>
      </c>
      <c r="BR97" t="str">
        <f t="shared" si="34"/>
        <v/>
      </c>
      <c r="BS97" t="str">
        <f t="shared" si="35"/>
        <v/>
      </c>
      <c r="BT97" s="76" t="str">
        <f t="shared" si="36"/>
        <v>Voie parentérale</v>
      </c>
      <c r="BU97" t="str">
        <f t="shared" si="37"/>
        <v>x</v>
      </c>
      <c r="CK97" s="109" t="s">
        <v>2380</v>
      </c>
      <c r="CL97" s="185" t="s">
        <v>4321</v>
      </c>
      <c r="CN97">
        <v>96</v>
      </c>
    </row>
    <row r="98" spans="1:92" x14ac:dyDescent="0.3">
      <c r="A98" s="118" t="s">
        <v>2385</v>
      </c>
      <c r="B98" t="s">
        <v>2386</v>
      </c>
      <c r="C98" t="s">
        <v>2387</v>
      </c>
      <c r="D98" s="144" t="s">
        <v>940</v>
      </c>
      <c r="E98" t="s">
        <v>813</v>
      </c>
      <c r="F98" t="s">
        <v>2388</v>
      </c>
      <c r="G98" t="s">
        <v>815</v>
      </c>
      <c r="H98" t="s">
        <v>860</v>
      </c>
      <c r="I98" t="s">
        <v>817</v>
      </c>
      <c r="J98" t="s">
        <v>1269</v>
      </c>
      <c r="K98" t="s">
        <v>1269</v>
      </c>
      <c r="L98" t="s">
        <v>2389</v>
      </c>
      <c r="M98" t="s">
        <v>208</v>
      </c>
      <c r="N98" t="s">
        <v>1255</v>
      </c>
      <c r="O98" t="s">
        <v>824</v>
      </c>
      <c r="P98" t="s">
        <v>772</v>
      </c>
      <c r="Q98" t="s">
        <v>786</v>
      </c>
      <c r="R98">
        <v>0</v>
      </c>
      <c r="S98">
        <v>0</v>
      </c>
      <c r="T98">
        <v>22</v>
      </c>
      <c r="U98">
        <v>28</v>
      </c>
      <c r="V98">
        <v>0</v>
      </c>
      <c r="W98">
        <v>0</v>
      </c>
      <c r="X98">
        <v>0</v>
      </c>
      <c r="Y98">
        <v>0</v>
      </c>
      <c r="Z98">
        <v>0</v>
      </c>
      <c r="AA98">
        <v>0</v>
      </c>
      <c r="AB98">
        <v>0</v>
      </c>
      <c r="AC98">
        <v>0</v>
      </c>
      <c r="AD98">
        <v>0</v>
      </c>
      <c r="AE98">
        <v>0</v>
      </c>
      <c r="AF98">
        <v>0</v>
      </c>
      <c r="AG98">
        <v>0</v>
      </c>
      <c r="AH98">
        <v>0</v>
      </c>
      <c r="AI98">
        <v>0</v>
      </c>
      <c r="AY98" t="str">
        <f t="shared" si="19"/>
        <v/>
      </c>
      <c r="AZ98" t="str">
        <f>IF(COUNTIF(AY:AY,AY98)=1,AY98,IF(AND(COUNTIF(AY:AY,AY98)&gt;1,COUNTIF(AZ$2:AZ97,AY98)&gt;=1),"",AY98))</f>
        <v/>
      </c>
      <c r="BA98" t="str">
        <f>IF(AZ98="","",COUNTIFS(AZ$3:AZ$1439,"&lt;"&amp;AZ98,AZ$3:AZ$1439,"&lt;&gt;0")+COUNTIF(AZ$3:AZ98,AZ98)-876)</f>
        <v/>
      </c>
      <c r="BC98">
        <v>96</v>
      </c>
      <c r="BD98" t="str">
        <f t="shared" si="30"/>
        <v>CEVAXEL-RTU 50 MG/ML SUSPENSION INJECTABLE POUR BOVINS ET PORCINS</v>
      </c>
      <c r="BE98" t="str">
        <f t="shared" si="20"/>
        <v>INJ</v>
      </c>
      <c r="BF98" t="str">
        <f t="shared" si="21"/>
        <v>CEPHALOSPORINES 3&amp;4G</v>
      </c>
      <c r="BG98" t="str">
        <f t="shared" si="22"/>
        <v/>
      </c>
      <c r="BH98" t="str">
        <f t="shared" si="23"/>
        <v/>
      </c>
      <c r="BI98" t="str">
        <f t="shared" si="24"/>
        <v>ceftiofur</v>
      </c>
      <c r="BJ98" t="str">
        <f t="shared" si="25"/>
        <v/>
      </c>
      <c r="BK98" t="str">
        <f t="shared" si="26"/>
        <v/>
      </c>
      <c r="BL98" t="str">
        <f t="shared" si="31"/>
        <v>Ceftiofur</v>
      </c>
      <c r="BM98" t="str">
        <f t="shared" si="27"/>
        <v>Ceftiofur</v>
      </c>
      <c r="BN98" t="str">
        <f t="shared" si="28"/>
        <v/>
      </c>
      <c r="BO98" t="str">
        <f t="shared" si="29"/>
        <v/>
      </c>
      <c r="BP98" t="str">
        <f t="shared" si="32"/>
        <v>Cephalosporines 3&amp;4G</v>
      </c>
      <c r="BQ98" t="str">
        <f t="shared" si="33"/>
        <v>Cephalosporines 3&amp;4G</v>
      </c>
      <c r="BR98" t="str">
        <f t="shared" si="34"/>
        <v/>
      </c>
      <c r="BS98" t="str">
        <f t="shared" si="35"/>
        <v/>
      </c>
      <c r="BT98" s="76" t="str">
        <f t="shared" si="36"/>
        <v>Voie parentérale</v>
      </c>
      <c r="BU98" t="str">
        <f t="shared" si="37"/>
        <v>x</v>
      </c>
      <c r="CK98" s="109" t="s">
        <v>4178</v>
      </c>
      <c r="CL98" s="185" t="s">
        <v>4321</v>
      </c>
      <c r="CN98">
        <v>97</v>
      </c>
    </row>
    <row r="99" spans="1:92" x14ac:dyDescent="0.3">
      <c r="A99" s="118" t="s">
        <v>2385</v>
      </c>
      <c r="B99" t="s">
        <v>2390</v>
      </c>
      <c r="C99" t="s">
        <v>2391</v>
      </c>
      <c r="D99" s="144" t="s">
        <v>1494</v>
      </c>
      <c r="E99" t="s">
        <v>813</v>
      </c>
      <c r="F99" t="s">
        <v>2388</v>
      </c>
      <c r="G99" t="s">
        <v>815</v>
      </c>
      <c r="H99" t="s">
        <v>860</v>
      </c>
      <c r="I99" t="s">
        <v>817</v>
      </c>
      <c r="J99" t="s">
        <v>1269</v>
      </c>
      <c r="K99" t="s">
        <v>1269</v>
      </c>
      <c r="L99" t="s">
        <v>2389</v>
      </c>
      <c r="M99" t="s">
        <v>208</v>
      </c>
      <c r="N99" t="s">
        <v>1255</v>
      </c>
      <c r="O99" t="s">
        <v>824</v>
      </c>
      <c r="P99" t="s">
        <v>772</v>
      </c>
      <c r="Q99" t="s">
        <v>2288</v>
      </c>
      <c r="R99">
        <v>0</v>
      </c>
      <c r="S99">
        <v>0</v>
      </c>
      <c r="T99">
        <v>22</v>
      </c>
      <c r="U99">
        <v>28</v>
      </c>
      <c r="V99">
        <v>0</v>
      </c>
      <c r="W99">
        <v>0</v>
      </c>
      <c r="X99">
        <v>0</v>
      </c>
      <c r="Y99">
        <v>0</v>
      </c>
      <c r="Z99">
        <v>0</v>
      </c>
      <c r="AA99">
        <v>0</v>
      </c>
      <c r="AB99">
        <v>0</v>
      </c>
      <c r="AC99">
        <v>0</v>
      </c>
      <c r="AD99">
        <v>0</v>
      </c>
      <c r="AE99">
        <v>0</v>
      </c>
      <c r="AF99">
        <v>0</v>
      </c>
      <c r="AG99">
        <v>0</v>
      </c>
      <c r="AH99">
        <v>0</v>
      </c>
      <c r="AI99">
        <v>0</v>
      </c>
      <c r="AY99" t="str">
        <f t="shared" si="19"/>
        <v/>
      </c>
      <c r="AZ99" t="str">
        <f>IF(COUNTIF(AY:AY,AY99)=1,AY99,IF(AND(COUNTIF(AY:AY,AY99)&gt;1,COUNTIF(AZ$2:AZ98,AY99)&gt;=1),"",AY99))</f>
        <v/>
      </c>
      <c r="BA99" t="str">
        <f>IF(AZ99="","",COUNTIFS(AZ$3:AZ$1439,"&lt;"&amp;AZ99,AZ$3:AZ$1439,"&lt;&gt;0")+COUNTIF(AZ$3:AZ99,AZ99)-876)</f>
        <v/>
      </c>
      <c r="BC99">
        <v>97</v>
      </c>
      <c r="BD99" t="str">
        <f t="shared" si="30"/>
        <v>CHANENRO 100 MG/ML SOLUTION INJECTABLE POUR BOVINS ET PORCINS</v>
      </c>
      <c r="BE99" t="str">
        <f t="shared" si="20"/>
        <v>INJ</v>
      </c>
      <c r="BF99" t="str">
        <f t="shared" si="21"/>
        <v>FLUOROQUINOLONES</v>
      </c>
      <c r="BG99" t="str">
        <f t="shared" si="22"/>
        <v/>
      </c>
      <c r="BH99" t="str">
        <f t="shared" si="23"/>
        <v/>
      </c>
      <c r="BI99" t="str">
        <f t="shared" si="24"/>
        <v>enrofloxacin</v>
      </c>
      <c r="BJ99" t="str">
        <f t="shared" si="25"/>
        <v/>
      </c>
      <c r="BK99" t="str">
        <f t="shared" si="26"/>
        <v/>
      </c>
      <c r="BL99" t="str">
        <f t="shared" si="31"/>
        <v>Enrofloxacine</v>
      </c>
      <c r="BM99" t="str">
        <f t="shared" si="27"/>
        <v>Enrofloxacine</v>
      </c>
      <c r="BN99" t="str">
        <f t="shared" si="28"/>
        <v/>
      </c>
      <c r="BO99" t="str">
        <f t="shared" si="29"/>
        <v/>
      </c>
      <c r="BP99" t="str">
        <f t="shared" si="32"/>
        <v>Fluoroquinolones</v>
      </c>
      <c r="BQ99" t="str">
        <f t="shared" si="33"/>
        <v>Fluoroquinolones</v>
      </c>
      <c r="BR99" t="str">
        <f t="shared" si="34"/>
        <v/>
      </c>
      <c r="BS99" t="str">
        <f t="shared" si="35"/>
        <v/>
      </c>
      <c r="BT99" s="76" t="str">
        <f t="shared" si="36"/>
        <v>Voie parentérale</v>
      </c>
      <c r="BU99" t="str">
        <f t="shared" si="37"/>
        <v>x</v>
      </c>
      <c r="CK99" s="109" t="s">
        <v>4586</v>
      </c>
      <c r="CL99" s="185" t="s">
        <v>4321</v>
      </c>
      <c r="CN99">
        <v>98</v>
      </c>
    </row>
    <row r="100" spans="1:92" x14ac:dyDescent="0.3">
      <c r="A100" s="118" t="s">
        <v>2422</v>
      </c>
      <c r="B100" t="s">
        <v>2423</v>
      </c>
      <c r="C100" t="s">
        <v>2424</v>
      </c>
      <c r="D100" s="144" t="s">
        <v>869</v>
      </c>
      <c r="E100" t="s">
        <v>765</v>
      </c>
      <c r="F100" t="s">
        <v>2425</v>
      </c>
      <c r="G100" t="s">
        <v>956</v>
      </c>
      <c r="H100" t="s">
        <v>816</v>
      </c>
      <c r="I100" t="s">
        <v>817</v>
      </c>
      <c r="J100" t="s">
        <v>1269</v>
      </c>
      <c r="K100" t="s">
        <v>1269</v>
      </c>
      <c r="L100" t="s">
        <v>2389</v>
      </c>
      <c r="M100" t="s">
        <v>208</v>
      </c>
      <c r="N100" t="s">
        <v>855</v>
      </c>
      <c r="O100" t="s">
        <v>771</v>
      </c>
      <c r="P100" t="s">
        <v>772</v>
      </c>
      <c r="Q100" t="s">
        <v>825</v>
      </c>
      <c r="R100">
        <v>0</v>
      </c>
      <c r="S100">
        <v>0</v>
      </c>
      <c r="T100">
        <v>11</v>
      </c>
      <c r="U100">
        <v>10</v>
      </c>
      <c r="V100">
        <v>0</v>
      </c>
      <c r="W100">
        <v>0</v>
      </c>
      <c r="X100">
        <v>0</v>
      </c>
      <c r="Y100">
        <v>0</v>
      </c>
      <c r="Z100">
        <v>0</v>
      </c>
      <c r="AA100">
        <v>0</v>
      </c>
      <c r="AB100">
        <v>0</v>
      </c>
      <c r="AC100">
        <v>0</v>
      </c>
      <c r="AD100">
        <v>0</v>
      </c>
      <c r="AE100">
        <v>0</v>
      </c>
      <c r="AF100">
        <v>0</v>
      </c>
      <c r="AG100">
        <v>0</v>
      </c>
      <c r="AH100">
        <v>0</v>
      </c>
      <c r="AI100">
        <v>0</v>
      </c>
      <c r="AY100" t="str">
        <f t="shared" si="19"/>
        <v/>
      </c>
      <c r="AZ100" t="str">
        <f>IF(COUNTIF(AY:AY,AY100)=1,AY100,IF(AND(COUNTIF(AY:AY,AY100)&gt;1,COUNTIF(AZ$2:AZ99,AY100)&gt;=1),"",AY100))</f>
        <v/>
      </c>
      <c r="BA100" t="str">
        <f>IF(AZ100="","",COUNTIFS(AZ$3:AZ$1439,"&lt;"&amp;AZ100,AZ$3:AZ$1439,"&lt;&gt;0")+COUNTIF(AZ$3:AZ100,AZ100)-876)</f>
        <v/>
      </c>
      <c r="BC100">
        <v>98</v>
      </c>
      <c r="BD100" t="str">
        <f t="shared" si="30"/>
        <v>CHANENRO 50 MG/ML SOLUTION INJECTABLE POUR BOVINS, PORCINS, CHIENS ET CHATS</v>
      </c>
      <c r="BE100" t="str">
        <f t="shared" si="20"/>
        <v>INJ</v>
      </c>
      <c r="BF100" t="str">
        <f t="shared" si="21"/>
        <v>FLUOROQUINOLONES</v>
      </c>
      <c r="BG100" t="str">
        <f t="shared" si="22"/>
        <v/>
      </c>
      <c r="BH100" t="str">
        <f t="shared" si="23"/>
        <v/>
      </c>
      <c r="BI100" t="str">
        <f t="shared" si="24"/>
        <v>enrofloxacin</v>
      </c>
      <c r="BJ100" t="str">
        <f t="shared" si="25"/>
        <v/>
      </c>
      <c r="BK100" t="str">
        <f t="shared" si="26"/>
        <v/>
      </c>
      <c r="BL100" t="str">
        <f t="shared" si="31"/>
        <v>Enrofloxacine</v>
      </c>
      <c r="BM100" t="str">
        <f t="shared" si="27"/>
        <v>Enrofloxacine</v>
      </c>
      <c r="BN100" t="str">
        <f t="shared" si="28"/>
        <v/>
      </c>
      <c r="BO100" t="str">
        <f t="shared" si="29"/>
        <v/>
      </c>
      <c r="BP100" t="str">
        <f t="shared" si="32"/>
        <v>Fluoroquinolones</v>
      </c>
      <c r="BQ100" t="str">
        <f t="shared" si="33"/>
        <v>Fluoroquinolones</v>
      </c>
      <c r="BR100" t="str">
        <f t="shared" si="34"/>
        <v/>
      </c>
      <c r="BS100" t="str">
        <f t="shared" si="35"/>
        <v/>
      </c>
      <c r="BT100" s="76" t="str">
        <f t="shared" si="36"/>
        <v>Voie parentérale</v>
      </c>
      <c r="BU100" t="str">
        <f t="shared" si="37"/>
        <v>x</v>
      </c>
      <c r="CK100" s="109" t="s">
        <v>2653</v>
      </c>
      <c r="CL100" s="185" t="s">
        <v>4321</v>
      </c>
      <c r="CN100">
        <v>99</v>
      </c>
    </row>
    <row r="101" spans="1:92" x14ac:dyDescent="0.3">
      <c r="A101" s="118" t="s">
        <v>1957</v>
      </c>
      <c r="B101" t="s">
        <v>1958</v>
      </c>
      <c r="C101" t="s">
        <v>1222</v>
      </c>
      <c r="D101" s="144" t="s">
        <v>1063</v>
      </c>
      <c r="E101" t="s">
        <v>830</v>
      </c>
      <c r="F101" t="s">
        <v>605</v>
      </c>
      <c r="G101" t="s">
        <v>1064</v>
      </c>
      <c r="H101" t="s">
        <v>1959</v>
      </c>
      <c r="I101" t="s">
        <v>1066</v>
      </c>
      <c r="J101" t="s">
        <v>783</v>
      </c>
      <c r="K101" t="s">
        <v>783</v>
      </c>
      <c r="L101" t="s">
        <v>1953</v>
      </c>
      <c r="M101" t="s">
        <v>208</v>
      </c>
      <c r="N101" t="s">
        <v>869</v>
      </c>
      <c r="O101" t="s">
        <v>894</v>
      </c>
      <c r="P101" t="s">
        <v>772</v>
      </c>
      <c r="Q101" t="s">
        <v>906</v>
      </c>
      <c r="R101">
        <v>0</v>
      </c>
      <c r="S101">
        <v>0</v>
      </c>
      <c r="T101">
        <v>0</v>
      </c>
      <c r="U101">
        <v>0</v>
      </c>
      <c r="V101">
        <v>0</v>
      </c>
      <c r="W101">
        <v>0</v>
      </c>
      <c r="X101">
        <v>0</v>
      </c>
      <c r="Y101">
        <v>0</v>
      </c>
      <c r="Z101">
        <v>12</v>
      </c>
      <c r="AA101">
        <v>21</v>
      </c>
      <c r="AB101">
        <v>0</v>
      </c>
      <c r="AC101">
        <v>0</v>
      </c>
      <c r="AD101">
        <v>5</v>
      </c>
      <c r="AE101">
        <v>21</v>
      </c>
      <c r="AF101">
        <v>0</v>
      </c>
      <c r="AG101">
        <v>0</v>
      </c>
      <c r="AH101">
        <v>0</v>
      </c>
      <c r="AI101">
        <v>0</v>
      </c>
      <c r="AY101" t="str">
        <f t="shared" si="19"/>
        <v>APRALAN APRAMYCINE 20-SJ PORC-LAPIN</v>
      </c>
      <c r="AZ101" t="str">
        <f>IF(COUNTIF(AY:AY,AY101)=1,AY101,IF(AND(COUNTIF(AY:AY,AY101)&gt;1,COUNTIF(AZ$2:AZ100,AY101)&gt;=1),"",AY101))</f>
        <v>APRALAN APRAMYCINE 20-SJ PORC-LAPIN</v>
      </c>
      <c r="BA101">
        <f>IF(AZ101="","",COUNTIFS(AZ$3:AZ$1439,"&lt;"&amp;AZ101,AZ$3:AZ$1439,"&lt;&gt;0")+COUNTIF(AZ$3:AZ101,AZ101)-876)</f>
        <v>46</v>
      </c>
      <c r="BC101">
        <v>99</v>
      </c>
      <c r="BD101" t="str">
        <f t="shared" si="30"/>
        <v>CHLORIDAZINE S</v>
      </c>
      <c r="BE101" t="str">
        <f t="shared" si="20"/>
        <v>ORAL</v>
      </c>
      <c r="BF101" t="str">
        <f t="shared" si="21"/>
        <v>TETRACYCLINES</v>
      </c>
      <c r="BG101" t="str">
        <f t="shared" si="22"/>
        <v>SULFAMIDES</v>
      </c>
      <c r="BH101" t="str">
        <f t="shared" si="23"/>
        <v/>
      </c>
      <c r="BI101" t="str">
        <f t="shared" si="24"/>
        <v>chlortetracycline</v>
      </c>
      <c r="BJ101" t="str">
        <f t="shared" si="25"/>
        <v>sulfamethoxypyridazine</v>
      </c>
      <c r="BK101" t="str">
        <f t="shared" si="26"/>
        <v/>
      </c>
      <c r="BL101" t="str">
        <f t="shared" si="31"/>
        <v>Chlortétracycline + Sulfaméthoxypyridazine</v>
      </c>
      <c r="BM101" t="str">
        <f t="shared" si="27"/>
        <v>Chlortétracycline</v>
      </c>
      <c r="BN101" t="str">
        <f t="shared" si="28"/>
        <v>Sulfaméthoxypyridazine</v>
      </c>
      <c r="BO101" t="str">
        <f t="shared" si="29"/>
        <v/>
      </c>
      <c r="BP101" t="str">
        <f t="shared" si="32"/>
        <v>Tetracyclines + Sulfamides</v>
      </c>
      <c r="BQ101" t="str">
        <f t="shared" si="33"/>
        <v>Tetracyclines</v>
      </c>
      <c r="BR101" t="str">
        <f t="shared" si="34"/>
        <v>Sulfamides</v>
      </c>
      <c r="BS101" t="str">
        <f t="shared" si="35"/>
        <v/>
      </c>
      <c r="BT101" s="76" t="str">
        <f t="shared" si="36"/>
        <v>Voie orale  hors prémélanges médicamenteux</v>
      </c>
      <c r="BU101" t="str">
        <f t="shared" si="37"/>
        <v/>
      </c>
      <c r="CK101" s="109" t="s">
        <v>4755</v>
      </c>
      <c r="CL101" s="185" t="s">
        <v>4321</v>
      </c>
      <c r="CN101">
        <v>100</v>
      </c>
    </row>
    <row r="102" spans="1:92" x14ac:dyDescent="0.3">
      <c r="A102" s="118" t="s">
        <v>1950</v>
      </c>
      <c r="B102" t="s">
        <v>1951</v>
      </c>
      <c r="C102" t="s">
        <v>4433</v>
      </c>
      <c r="D102" s="144" t="s">
        <v>1544</v>
      </c>
      <c r="E102" t="s">
        <v>830</v>
      </c>
      <c r="F102" t="s">
        <v>242</v>
      </c>
      <c r="G102" t="s">
        <v>831</v>
      </c>
      <c r="H102" t="s">
        <v>1952</v>
      </c>
      <c r="I102" t="s">
        <v>817</v>
      </c>
      <c r="J102" t="s">
        <v>783</v>
      </c>
      <c r="K102" t="s">
        <v>783</v>
      </c>
      <c r="L102" t="s">
        <v>1953</v>
      </c>
      <c r="M102" t="s">
        <v>208</v>
      </c>
      <c r="N102" t="s">
        <v>1954</v>
      </c>
      <c r="O102" t="s">
        <v>834</v>
      </c>
      <c r="P102" t="s">
        <v>4434</v>
      </c>
      <c r="Q102" t="s">
        <v>4435</v>
      </c>
      <c r="R102">
        <v>72.400000000000006</v>
      </c>
      <c r="S102">
        <v>5</v>
      </c>
      <c r="T102">
        <v>0</v>
      </c>
      <c r="U102">
        <v>0</v>
      </c>
      <c r="V102">
        <v>0</v>
      </c>
      <c r="W102">
        <v>0</v>
      </c>
      <c r="X102">
        <v>0</v>
      </c>
      <c r="Y102">
        <v>0</v>
      </c>
      <c r="Z102">
        <v>36.200000000000003</v>
      </c>
      <c r="AA102">
        <v>5</v>
      </c>
      <c r="AB102">
        <v>0</v>
      </c>
      <c r="AC102">
        <v>0</v>
      </c>
      <c r="AD102">
        <v>22.63</v>
      </c>
      <c r="AE102">
        <v>7</v>
      </c>
      <c r="AF102">
        <v>144.80000000000001</v>
      </c>
      <c r="AG102">
        <v>5</v>
      </c>
      <c r="AH102">
        <v>0</v>
      </c>
      <c r="AI102">
        <v>0</v>
      </c>
      <c r="AY102" t="str">
        <f t="shared" si="19"/>
        <v>APRALAN BUVABLE POUDRE POUR ADMINISTRATION DANS L’EAU DE BOISSON/LAIT DE REMPLACEMENT POUR PORCS, VEAUX, POULETS ET LAPINS</v>
      </c>
      <c r="AZ102" t="str">
        <f>IF(COUNTIF(AY:AY,AY102)=1,AY102,IF(AND(COUNTIF(AY:AY,AY102)&gt;1,COUNTIF(AZ$2:AZ101,AY102)&gt;=1),"",AY102))</f>
        <v>APRALAN BUVABLE POUDRE POUR ADMINISTRATION DANS L’EAU DE BOISSON/LAIT DE REMPLACEMENT POUR PORCS, VEAUX, POULETS ET LAPINS</v>
      </c>
      <c r="BA102">
        <f>IF(AZ102="","",COUNTIFS(AZ$3:AZ$1439,"&lt;"&amp;AZ102,AZ$3:AZ$1439,"&lt;&gt;0")+COUNTIF(AZ$3:AZ102,AZ102)-876)</f>
        <v>47</v>
      </c>
      <c r="BC102">
        <v>100</v>
      </c>
      <c r="BD102" t="str">
        <f t="shared" si="30"/>
        <v>CHLORTERACYCLINE 0,50G VETOQUINOL</v>
      </c>
      <c r="BE102" t="str">
        <f t="shared" si="20"/>
        <v>INTRAUT</v>
      </c>
      <c r="BF102" t="str">
        <f t="shared" si="21"/>
        <v>TETRACYCLINES</v>
      </c>
      <c r="BG102" t="str">
        <f t="shared" si="22"/>
        <v/>
      </c>
      <c r="BH102" t="str">
        <f t="shared" si="23"/>
        <v/>
      </c>
      <c r="BI102" t="str">
        <f t="shared" si="24"/>
        <v>chlortetracycline</v>
      </c>
      <c r="BJ102" t="str">
        <f t="shared" si="25"/>
        <v/>
      </c>
      <c r="BK102" t="str">
        <f t="shared" si="26"/>
        <v/>
      </c>
      <c r="BL102" t="str">
        <f t="shared" si="31"/>
        <v>Chlortétracycline</v>
      </c>
      <c r="BM102" t="str">
        <f t="shared" si="27"/>
        <v>Chlortétracycline</v>
      </c>
      <c r="BN102" t="str">
        <f t="shared" si="28"/>
        <v/>
      </c>
      <c r="BO102" t="str">
        <f t="shared" si="29"/>
        <v/>
      </c>
      <c r="BP102" t="str">
        <f t="shared" si="32"/>
        <v>Tetracyclines</v>
      </c>
      <c r="BQ102" t="str">
        <f t="shared" si="33"/>
        <v>Tetracyclines</v>
      </c>
      <c r="BR102" t="str">
        <f t="shared" si="34"/>
        <v/>
      </c>
      <c r="BS102" t="str">
        <f t="shared" si="35"/>
        <v/>
      </c>
      <c r="BT102" s="76" t="str">
        <f t="shared" si="36"/>
        <v>Voie intra-utérine</v>
      </c>
      <c r="BU102" t="str">
        <f t="shared" si="37"/>
        <v/>
      </c>
      <c r="CK102" s="109" t="s">
        <v>3349</v>
      </c>
      <c r="CL102" s="185" t="s">
        <v>4321</v>
      </c>
      <c r="CN102">
        <v>101</v>
      </c>
    </row>
    <row r="103" spans="1:92" x14ac:dyDescent="0.3">
      <c r="A103" s="118" t="s">
        <v>1950</v>
      </c>
      <c r="B103" t="s">
        <v>1955</v>
      </c>
      <c r="C103" t="s">
        <v>1956</v>
      </c>
      <c r="D103" s="144" t="s">
        <v>764</v>
      </c>
      <c r="E103" t="s">
        <v>830</v>
      </c>
      <c r="F103" t="s">
        <v>242</v>
      </c>
      <c r="G103" t="s">
        <v>831</v>
      </c>
      <c r="H103" t="s">
        <v>1952</v>
      </c>
      <c r="I103" t="s">
        <v>817</v>
      </c>
      <c r="J103" t="s">
        <v>783</v>
      </c>
      <c r="K103" t="s">
        <v>783</v>
      </c>
      <c r="L103" t="s">
        <v>1953</v>
      </c>
      <c r="M103" t="s">
        <v>208</v>
      </c>
      <c r="N103" t="s">
        <v>1954</v>
      </c>
      <c r="O103" t="s">
        <v>834</v>
      </c>
      <c r="P103" t="s">
        <v>4434</v>
      </c>
      <c r="Q103" t="s">
        <v>4436</v>
      </c>
      <c r="R103">
        <v>72.400000000000006</v>
      </c>
      <c r="S103">
        <v>5</v>
      </c>
      <c r="T103">
        <v>0</v>
      </c>
      <c r="U103">
        <v>0</v>
      </c>
      <c r="V103">
        <v>0</v>
      </c>
      <c r="W103">
        <v>0</v>
      </c>
      <c r="X103">
        <v>0</v>
      </c>
      <c r="Y103">
        <v>0</v>
      </c>
      <c r="Z103">
        <v>36.200000000000003</v>
      </c>
      <c r="AA103">
        <v>5</v>
      </c>
      <c r="AB103">
        <v>0</v>
      </c>
      <c r="AC103">
        <v>0</v>
      </c>
      <c r="AD103">
        <v>22.63</v>
      </c>
      <c r="AE103">
        <v>7</v>
      </c>
      <c r="AF103">
        <v>144.80000000000001</v>
      </c>
      <c r="AG103">
        <v>5</v>
      </c>
      <c r="AH103">
        <v>0</v>
      </c>
      <c r="AI103">
        <v>0</v>
      </c>
      <c r="AY103" t="str">
        <f t="shared" si="19"/>
        <v>APRALAN BUVABLE POUDRE POUR ADMINISTRATION DANS L’EAU DE BOISSON/LAIT DE REMPLACEMENT POUR PORCS, VEAUX, POULETS ET LAPINS</v>
      </c>
      <c r="AZ103" t="str">
        <f>IF(COUNTIF(AY:AY,AY103)=1,AY103,IF(AND(COUNTIF(AY:AY,AY103)&gt;1,COUNTIF(AZ$2:AZ102,AY103)&gt;=1),"",AY103))</f>
        <v/>
      </c>
      <c r="BA103" t="str">
        <f>IF(AZ103="","",COUNTIFS(AZ$3:AZ$1439,"&lt;"&amp;AZ103,AZ$3:AZ$1439,"&lt;&gt;0")+COUNTIF(AZ$3:AZ103,AZ103)-876)</f>
        <v/>
      </c>
      <c r="BC103">
        <v>101</v>
      </c>
      <c r="BD103" t="str">
        <f t="shared" si="30"/>
        <v>CHLORTETRACYCLINE 100 PORC ET AGNEAU-CHEVREAU SEVRES SANTAMIX</v>
      </c>
      <c r="BE103" t="str">
        <f t="shared" si="20"/>
        <v>PM</v>
      </c>
      <c r="BF103" t="str">
        <f t="shared" si="21"/>
        <v>TETRACYCLINES</v>
      </c>
      <c r="BG103" t="str">
        <f t="shared" si="22"/>
        <v/>
      </c>
      <c r="BH103" t="str">
        <f t="shared" si="23"/>
        <v/>
      </c>
      <c r="BI103" t="str">
        <f t="shared" si="24"/>
        <v>chlortetracycline</v>
      </c>
      <c r="BJ103" t="str">
        <f t="shared" si="25"/>
        <v/>
      </c>
      <c r="BK103" t="str">
        <f t="shared" si="26"/>
        <v/>
      </c>
      <c r="BL103" t="str">
        <f t="shared" si="31"/>
        <v>Chlortétracycline</v>
      </c>
      <c r="BM103" t="str">
        <f t="shared" si="27"/>
        <v>Chlortétracycline</v>
      </c>
      <c r="BN103" t="str">
        <f t="shared" si="28"/>
        <v/>
      </c>
      <c r="BO103" t="str">
        <f t="shared" si="29"/>
        <v/>
      </c>
      <c r="BP103" t="str">
        <f t="shared" si="32"/>
        <v>Tetracyclines</v>
      </c>
      <c r="BQ103" t="str">
        <f t="shared" si="33"/>
        <v>Tetracyclines</v>
      </c>
      <c r="BR103" t="str">
        <f t="shared" si="34"/>
        <v/>
      </c>
      <c r="BS103" t="str">
        <f t="shared" si="35"/>
        <v/>
      </c>
      <c r="BT103" s="76" t="str">
        <f t="shared" si="36"/>
        <v>Prémélanges médicamenteux</v>
      </c>
      <c r="BU103" t="str">
        <f t="shared" si="37"/>
        <v/>
      </c>
      <c r="CK103" s="109" t="s">
        <v>2803</v>
      </c>
      <c r="CL103" s="185" t="s">
        <v>4321</v>
      </c>
      <c r="CN103">
        <v>102</v>
      </c>
    </row>
    <row r="104" spans="1:92" x14ac:dyDescent="0.3">
      <c r="A104" s="118" t="s">
        <v>1950</v>
      </c>
      <c r="B104" t="s">
        <v>4437</v>
      </c>
      <c r="C104" t="s">
        <v>4433</v>
      </c>
      <c r="D104" s="144" t="s">
        <v>4438</v>
      </c>
      <c r="E104" t="s">
        <v>830</v>
      </c>
      <c r="F104" t="s">
        <v>242</v>
      </c>
      <c r="G104" t="s">
        <v>831</v>
      </c>
      <c r="H104" t="s">
        <v>1952</v>
      </c>
      <c r="I104" t="s">
        <v>817</v>
      </c>
      <c r="J104" t="s">
        <v>783</v>
      </c>
      <c r="K104" t="s">
        <v>783</v>
      </c>
      <c r="L104" t="s">
        <v>1953</v>
      </c>
      <c r="M104" t="s">
        <v>208</v>
      </c>
      <c r="N104" t="s">
        <v>1954</v>
      </c>
      <c r="O104" t="s">
        <v>834</v>
      </c>
      <c r="P104" t="s">
        <v>4434</v>
      </c>
      <c r="Q104" t="s">
        <v>4439</v>
      </c>
      <c r="R104">
        <v>72.400000000000006</v>
      </c>
      <c r="S104">
        <v>5</v>
      </c>
      <c r="T104">
        <v>0</v>
      </c>
      <c r="U104">
        <v>0</v>
      </c>
      <c r="V104">
        <v>0</v>
      </c>
      <c r="W104">
        <v>0</v>
      </c>
      <c r="X104">
        <v>0</v>
      </c>
      <c r="Y104">
        <v>0</v>
      </c>
      <c r="Z104">
        <v>36.200000000000003</v>
      </c>
      <c r="AA104">
        <v>5</v>
      </c>
      <c r="AB104">
        <v>0</v>
      </c>
      <c r="AC104">
        <v>0</v>
      </c>
      <c r="AD104">
        <v>22.63</v>
      </c>
      <c r="AE104">
        <v>7</v>
      </c>
      <c r="AF104">
        <v>144.80000000000001</v>
      </c>
      <c r="AG104">
        <v>5</v>
      </c>
      <c r="AH104">
        <v>0</v>
      </c>
      <c r="AI104">
        <v>0</v>
      </c>
      <c r="AY104" t="str">
        <f t="shared" si="19"/>
        <v>APRALAN BUVABLE POUDRE POUR ADMINISTRATION DANS L’EAU DE BOISSON/LAIT DE REMPLACEMENT POUR PORCS, VEAUX, POULETS ET LAPINS</v>
      </c>
      <c r="AZ104" t="str">
        <f>IF(COUNTIF(AY:AY,AY104)=1,AY104,IF(AND(COUNTIF(AY:AY,AY104)&gt;1,COUNTIF(AZ$2:AZ103,AY104)&gt;=1),"",AY104))</f>
        <v/>
      </c>
      <c r="BA104" t="str">
        <f>IF(AZ104="","",COUNTIFS(AZ$3:AZ$1439,"&lt;"&amp;AZ104,AZ$3:AZ$1439,"&lt;&gt;0")+COUNTIF(AZ$3:AZ104,AZ104)-876)</f>
        <v/>
      </c>
      <c r="BC104">
        <v>102</v>
      </c>
      <c r="BD104" t="str">
        <f t="shared" si="30"/>
        <v>CHLORTETRACYCLINE 40 LAPIN-VOLAILLE-PORC ET AGNEAU-CHEVREAU SEVRES SANTAMIX</v>
      </c>
      <c r="BE104" t="str">
        <f t="shared" si="20"/>
        <v>PM</v>
      </c>
      <c r="BF104" t="str">
        <f t="shared" si="21"/>
        <v>TETRACYCLINES</v>
      </c>
      <c r="BG104" t="str">
        <f t="shared" si="22"/>
        <v/>
      </c>
      <c r="BH104" t="str">
        <f t="shared" si="23"/>
        <v/>
      </c>
      <c r="BI104" t="str">
        <f t="shared" si="24"/>
        <v>chlortetracycline</v>
      </c>
      <c r="BJ104" t="str">
        <f t="shared" si="25"/>
        <v/>
      </c>
      <c r="BK104" t="str">
        <f t="shared" si="26"/>
        <v/>
      </c>
      <c r="BL104" t="str">
        <f t="shared" si="31"/>
        <v>Chlortétracycline</v>
      </c>
      <c r="BM104" t="str">
        <f t="shared" si="27"/>
        <v>Chlortétracycline</v>
      </c>
      <c r="BN104" t="str">
        <f t="shared" si="28"/>
        <v/>
      </c>
      <c r="BO104" t="str">
        <f t="shared" si="29"/>
        <v/>
      </c>
      <c r="BP104" t="str">
        <f t="shared" si="32"/>
        <v>Tetracyclines</v>
      </c>
      <c r="BQ104" t="str">
        <f t="shared" si="33"/>
        <v>Tetracyclines</v>
      </c>
      <c r="BR104" t="str">
        <f t="shared" si="34"/>
        <v/>
      </c>
      <c r="BS104" t="str">
        <f t="shared" si="35"/>
        <v/>
      </c>
      <c r="BT104" s="76" t="str">
        <f t="shared" si="36"/>
        <v>Prémélanges médicamenteux</v>
      </c>
      <c r="BU104" t="str">
        <f t="shared" si="37"/>
        <v/>
      </c>
      <c r="CK104" s="109" t="s">
        <v>3214</v>
      </c>
      <c r="CL104" s="185" t="s">
        <v>4321</v>
      </c>
      <c r="CN104">
        <v>103</v>
      </c>
    </row>
    <row r="105" spans="1:92" x14ac:dyDescent="0.3">
      <c r="A105" s="118" t="s">
        <v>4160</v>
      </c>
      <c r="B105" t="s">
        <v>4161</v>
      </c>
      <c r="C105" t="s">
        <v>2263</v>
      </c>
      <c r="D105" s="144" t="s">
        <v>1536</v>
      </c>
      <c r="E105" t="s">
        <v>830</v>
      </c>
      <c r="F105" t="s">
        <v>243</v>
      </c>
      <c r="G105" t="s">
        <v>1064</v>
      </c>
      <c r="H105" t="s">
        <v>1959</v>
      </c>
      <c r="I105" t="s">
        <v>1066</v>
      </c>
      <c r="J105" t="s">
        <v>783</v>
      </c>
      <c r="K105" t="s">
        <v>783</v>
      </c>
      <c r="L105" t="s">
        <v>1953</v>
      </c>
      <c r="M105" t="s">
        <v>208</v>
      </c>
      <c r="N105" t="s">
        <v>819</v>
      </c>
      <c r="O105" t="s">
        <v>834</v>
      </c>
      <c r="P105" t="s">
        <v>4434</v>
      </c>
      <c r="Q105" t="s">
        <v>4588</v>
      </c>
      <c r="R105">
        <v>0</v>
      </c>
      <c r="S105">
        <v>0</v>
      </c>
      <c r="T105">
        <v>0</v>
      </c>
      <c r="U105">
        <v>0</v>
      </c>
      <c r="V105">
        <v>0</v>
      </c>
      <c r="W105">
        <v>0</v>
      </c>
      <c r="X105">
        <v>0</v>
      </c>
      <c r="Y105">
        <v>0</v>
      </c>
      <c r="Z105">
        <v>21.72</v>
      </c>
      <c r="AA105">
        <v>21</v>
      </c>
      <c r="AB105">
        <v>0</v>
      </c>
      <c r="AC105">
        <v>0</v>
      </c>
      <c r="AD105">
        <v>14.48</v>
      </c>
      <c r="AE105">
        <v>21</v>
      </c>
      <c r="AF105">
        <v>0</v>
      </c>
      <c r="AG105">
        <v>0</v>
      </c>
      <c r="AH105">
        <v>0</v>
      </c>
      <c r="AI105">
        <v>0</v>
      </c>
      <c r="AY105" t="str">
        <f t="shared" si="19"/>
        <v>APRAVET 100 000 UI/G PREMELANGE MEDICAMENTEUX POUR PORCS ET LAPINS</v>
      </c>
      <c r="AZ105" t="str">
        <f>IF(COUNTIF(AY:AY,AY105)=1,AY105,IF(AND(COUNTIF(AY:AY,AY105)&gt;1,COUNTIF(AZ$2:AZ104,AY105)&gt;=1),"",AY105))</f>
        <v>APRAVET 100 000 UI/G PREMELANGE MEDICAMENTEUX POUR PORCS ET LAPINS</v>
      </c>
      <c r="BA105">
        <f>IF(AZ105="","",COUNTIFS(AZ$3:AZ$1439,"&lt;"&amp;AZ105,AZ$3:AZ$1439,"&lt;&gt;0")+COUNTIF(AZ$3:AZ105,AZ105)-876)</f>
        <v>48</v>
      </c>
      <c r="BC105">
        <v>103</v>
      </c>
      <c r="BD105" t="str">
        <f t="shared" si="30"/>
        <v>CITRAMOX L.A. 150 MG/ML SUSPENSION INJECTABLE POUR BOVINS ET PORCINS</v>
      </c>
      <c r="BE105" t="str">
        <f t="shared" si="20"/>
        <v>INJ</v>
      </c>
      <c r="BF105" t="str">
        <f t="shared" si="21"/>
        <v>PENICILLINES</v>
      </c>
      <c r="BG105" t="str">
        <f t="shared" si="22"/>
        <v/>
      </c>
      <c r="BH105" t="str">
        <f t="shared" si="23"/>
        <v/>
      </c>
      <c r="BI105" t="str">
        <f t="shared" si="24"/>
        <v>amoxicillin</v>
      </c>
      <c r="BJ105" t="str">
        <f t="shared" si="25"/>
        <v/>
      </c>
      <c r="BK105" t="str">
        <f t="shared" si="26"/>
        <v/>
      </c>
      <c r="BL105" t="str">
        <f t="shared" si="31"/>
        <v>Amoxicilline</v>
      </c>
      <c r="BM105" t="str">
        <f t="shared" si="27"/>
        <v>Amoxicilline</v>
      </c>
      <c r="BN105" t="str">
        <f t="shared" si="28"/>
        <v/>
      </c>
      <c r="BO105" t="str">
        <f t="shared" si="29"/>
        <v/>
      </c>
      <c r="BP105" t="str">
        <f t="shared" si="32"/>
        <v>Penicillines</v>
      </c>
      <c r="BQ105" t="str">
        <f t="shared" si="33"/>
        <v>Penicillines</v>
      </c>
      <c r="BR105" t="str">
        <f t="shared" si="34"/>
        <v/>
      </c>
      <c r="BS105" t="str">
        <f t="shared" si="35"/>
        <v/>
      </c>
      <c r="BT105" s="76" t="str">
        <f t="shared" si="36"/>
        <v>Voie parentérale</v>
      </c>
      <c r="BU105" t="str">
        <f t="shared" si="37"/>
        <v/>
      </c>
      <c r="CK105" s="109" t="s">
        <v>4076</v>
      </c>
      <c r="CL105" s="185" t="s">
        <v>4321</v>
      </c>
      <c r="CN105">
        <v>104</v>
      </c>
    </row>
    <row r="106" spans="1:92" x14ac:dyDescent="0.3">
      <c r="A106" s="118" t="s">
        <v>4179</v>
      </c>
      <c r="B106" t="s">
        <v>4180</v>
      </c>
      <c r="C106" t="s">
        <v>4590</v>
      </c>
      <c r="D106" s="144" t="s">
        <v>1544</v>
      </c>
      <c r="E106" t="s">
        <v>830</v>
      </c>
      <c r="F106" t="s">
        <v>244</v>
      </c>
      <c r="G106" t="s">
        <v>831</v>
      </c>
      <c r="H106" t="s">
        <v>1952</v>
      </c>
      <c r="I106" t="s">
        <v>817</v>
      </c>
      <c r="J106" t="s">
        <v>783</v>
      </c>
      <c r="K106" t="s">
        <v>783</v>
      </c>
      <c r="L106" t="s">
        <v>1953</v>
      </c>
      <c r="M106" t="s">
        <v>208</v>
      </c>
      <c r="N106" t="s">
        <v>1954</v>
      </c>
      <c r="O106" t="s">
        <v>834</v>
      </c>
      <c r="P106" t="s">
        <v>4434</v>
      </c>
      <c r="Q106" t="s">
        <v>4435</v>
      </c>
      <c r="R106">
        <v>72.400000000000006</v>
      </c>
      <c r="S106">
        <v>5</v>
      </c>
      <c r="T106">
        <v>0</v>
      </c>
      <c r="U106">
        <v>0</v>
      </c>
      <c r="V106">
        <v>0</v>
      </c>
      <c r="W106">
        <v>0</v>
      </c>
      <c r="X106">
        <v>0</v>
      </c>
      <c r="Y106">
        <v>0</v>
      </c>
      <c r="Z106">
        <v>36.200000000000003</v>
      </c>
      <c r="AA106">
        <v>5</v>
      </c>
      <c r="AB106">
        <v>0</v>
      </c>
      <c r="AC106">
        <v>0</v>
      </c>
      <c r="AD106">
        <v>22.63</v>
      </c>
      <c r="AE106">
        <v>7</v>
      </c>
      <c r="AF106">
        <v>144.80000000000001</v>
      </c>
      <c r="AG106">
        <v>5</v>
      </c>
      <c r="AH106">
        <v>0</v>
      </c>
      <c r="AI106">
        <v>0</v>
      </c>
      <c r="AY106" t="str">
        <f t="shared" si="19"/>
        <v>APRAVET 552 UI / MG, POUDRE POUR ADMINISTRATION DANS L'EAU DE BOISSON / LE LAIT POUR PORCINS, VEAUX, POULETS ET LAPINS</v>
      </c>
      <c r="AZ106" t="str">
        <f>IF(COUNTIF(AY:AY,AY106)=1,AY106,IF(AND(COUNTIF(AY:AY,AY106)&gt;1,COUNTIF(AZ$2:AZ105,AY106)&gt;=1),"",AY106))</f>
        <v>APRAVET 552 UI / MG, POUDRE POUR ADMINISTRATION DANS L'EAU DE BOISSON / LE LAIT POUR PORCINS, VEAUX, POULETS ET LAPINS</v>
      </c>
      <c r="BA106">
        <f>IF(AZ106="","",COUNTIFS(AZ$3:AZ$1439,"&lt;"&amp;AZ106,AZ$3:AZ$1439,"&lt;&gt;0")+COUNTIF(AZ$3:AZ106,AZ106)-876)</f>
        <v>49</v>
      </c>
      <c r="BC106">
        <v>104</v>
      </c>
      <c r="BD106" t="str">
        <f t="shared" si="30"/>
        <v>CK 2 - COLISTINE 2 000 000 UI/ML</v>
      </c>
      <c r="BE106" t="str">
        <f t="shared" si="20"/>
        <v>ORAL</v>
      </c>
      <c r="BF106" t="str">
        <f t="shared" si="21"/>
        <v>POLYPEPTIDES</v>
      </c>
      <c r="BG106" t="str">
        <f t="shared" si="22"/>
        <v/>
      </c>
      <c r="BH106" t="str">
        <f t="shared" si="23"/>
        <v/>
      </c>
      <c r="BI106" t="str">
        <f t="shared" si="24"/>
        <v>colistin</v>
      </c>
      <c r="BJ106" t="str">
        <f t="shared" si="25"/>
        <v/>
      </c>
      <c r="BK106" t="str">
        <f t="shared" si="26"/>
        <v/>
      </c>
      <c r="BL106" t="str">
        <f t="shared" si="31"/>
        <v>Colistine</v>
      </c>
      <c r="BM106" t="str">
        <f t="shared" si="27"/>
        <v>Colistine</v>
      </c>
      <c r="BN106" t="str">
        <f t="shared" si="28"/>
        <v/>
      </c>
      <c r="BO106" t="str">
        <f t="shared" si="29"/>
        <v/>
      </c>
      <c r="BP106" t="str">
        <f t="shared" si="32"/>
        <v>Polypeptides</v>
      </c>
      <c r="BQ106" t="str">
        <f t="shared" si="33"/>
        <v>Polypeptides</v>
      </c>
      <c r="BR106" t="str">
        <f t="shared" si="34"/>
        <v/>
      </c>
      <c r="BS106" t="str">
        <f t="shared" si="35"/>
        <v/>
      </c>
      <c r="BT106" s="76" t="str">
        <f t="shared" si="36"/>
        <v>Voie orale  hors prémélanges médicamenteux</v>
      </c>
      <c r="BU106" t="str">
        <f t="shared" si="37"/>
        <v>x</v>
      </c>
      <c r="CK106" s="109" t="s">
        <v>2661</v>
      </c>
      <c r="CL106" s="185" t="s">
        <v>4321</v>
      </c>
      <c r="CN106">
        <v>105</v>
      </c>
    </row>
    <row r="107" spans="1:92" x14ac:dyDescent="0.3">
      <c r="A107" s="118" t="s">
        <v>4179</v>
      </c>
      <c r="B107" t="s">
        <v>4181</v>
      </c>
      <c r="C107" t="s">
        <v>4182</v>
      </c>
      <c r="D107" s="144" t="s">
        <v>4591</v>
      </c>
      <c r="E107" t="s">
        <v>830</v>
      </c>
      <c r="F107" t="s">
        <v>244</v>
      </c>
      <c r="G107" t="s">
        <v>831</v>
      </c>
      <c r="H107" t="s">
        <v>1952</v>
      </c>
      <c r="I107" t="s">
        <v>817</v>
      </c>
      <c r="J107" t="s">
        <v>783</v>
      </c>
      <c r="K107" t="s">
        <v>783</v>
      </c>
      <c r="L107" t="s">
        <v>1953</v>
      </c>
      <c r="M107" t="s">
        <v>208</v>
      </c>
      <c r="N107" t="s">
        <v>1954</v>
      </c>
      <c r="O107" t="s">
        <v>834</v>
      </c>
      <c r="P107" t="s">
        <v>4434</v>
      </c>
      <c r="Q107" t="s">
        <v>4592</v>
      </c>
      <c r="R107">
        <v>72.400000000000006</v>
      </c>
      <c r="S107">
        <v>5</v>
      </c>
      <c r="T107">
        <v>0</v>
      </c>
      <c r="U107">
        <v>0</v>
      </c>
      <c r="V107">
        <v>0</v>
      </c>
      <c r="W107">
        <v>0</v>
      </c>
      <c r="X107">
        <v>0</v>
      </c>
      <c r="Y107">
        <v>0</v>
      </c>
      <c r="Z107">
        <v>36.200000000000003</v>
      </c>
      <c r="AA107">
        <v>5</v>
      </c>
      <c r="AB107">
        <v>0</v>
      </c>
      <c r="AC107">
        <v>0</v>
      </c>
      <c r="AD107">
        <v>22.63</v>
      </c>
      <c r="AE107">
        <v>7</v>
      </c>
      <c r="AF107">
        <v>144.80000000000001</v>
      </c>
      <c r="AG107">
        <v>5</v>
      </c>
      <c r="AH107">
        <v>0</v>
      </c>
      <c r="AI107">
        <v>0</v>
      </c>
      <c r="AY107" t="str">
        <f t="shared" si="19"/>
        <v>APRAVET 552 UI / MG, POUDRE POUR ADMINISTRATION DANS L'EAU DE BOISSON / LE LAIT POUR PORCINS, VEAUX, POULETS ET LAPINS</v>
      </c>
      <c r="AZ107" t="str">
        <f>IF(COUNTIF(AY:AY,AY107)=1,AY107,IF(AND(COUNTIF(AY:AY,AY107)&gt;1,COUNTIF(AZ$2:AZ106,AY107)&gt;=1),"",AY107))</f>
        <v/>
      </c>
      <c r="BA107" t="str">
        <f>IF(AZ107="","",COUNTIFS(AZ$3:AZ$1439,"&lt;"&amp;AZ107,AZ$3:AZ$1439,"&lt;&gt;0")+COUNTIF(AZ$3:AZ107,AZ107)-876)</f>
        <v/>
      </c>
      <c r="BC107">
        <v>105</v>
      </c>
      <c r="BD107" t="str">
        <f t="shared" si="30"/>
        <v>CK 4 - DOXYCYCLINE 50 MG/G</v>
      </c>
      <c r="BE107" t="str">
        <f t="shared" si="20"/>
        <v>ORAL</v>
      </c>
      <c r="BF107" t="str">
        <f t="shared" si="21"/>
        <v>TETRACYCLINES</v>
      </c>
      <c r="BG107" t="str">
        <f t="shared" si="22"/>
        <v/>
      </c>
      <c r="BH107" t="str">
        <f t="shared" si="23"/>
        <v/>
      </c>
      <c r="BI107" t="str">
        <f t="shared" si="24"/>
        <v>doxycycline</v>
      </c>
      <c r="BJ107" t="str">
        <f t="shared" si="25"/>
        <v/>
      </c>
      <c r="BK107" t="str">
        <f t="shared" si="26"/>
        <v/>
      </c>
      <c r="BL107" t="str">
        <f t="shared" si="31"/>
        <v>Doxycycline</v>
      </c>
      <c r="BM107" t="str">
        <f t="shared" si="27"/>
        <v>Doxycycline</v>
      </c>
      <c r="BN107" t="str">
        <f t="shared" si="28"/>
        <v/>
      </c>
      <c r="BO107" t="str">
        <f t="shared" si="29"/>
        <v/>
      </c>
      <c r="BP107" t="str">
        <f t="shared" si="32"/>
        <v>Tetracyclines</v>
      </c>
      <c r="BQ107" t="str">
        <f t="shared" si="33"/>
        <v>Tetracyclines</v>
      </c>
      <c r="BR107" t="str">
        <f t="shared" si="34"/>
        <v/>
      </c>
      <c r="BS107" t="str">
        <f t="shared" si="35"/>
        <v/>
      </c>
      <c r="BT107" s="76" t="str">
        <f t="shared" si="36"/>
        <v>Voie orale  hors prémélanges médicamenteux</v>
      </c>
      <c r="BU107" t="str">
        <f t="shared" si="37"/>
        <v/>
      </c>
      <c r="CK107" s="109" t="s">
        <v>2715</v>
      </c>
      <c r="CL107" s="185" t="s">
        <v>4321</v>
      </c>
      <c r="CN107">
        <v>106</v>
      </c>
    </row>
    <row r="108" spans="1:92" x14ac:dyDescent="0.3">
      <c r="A108" s="118" t="s">
        <v>4276</v>
      </c>
      <c r="B108" t="s">
        <v>4277</v>
      </c>
      <c r="C108" t="s">
        <v>4278</v>
      </c>
      <c r="D108" t="s">
        <v>785</v>
      </c>
      <c r="E108" t="s">
        <v>813</v>
      </c>
      <c r="F108" t="s">
        <v>245</v>
      </c>
      <c r="G108" t="s">
        <v>1024</v>
      </c>
      <c r="H108" t="s">
        <v>1387</v>
      </c>
      <c r="I108" t="s">
        <v>1013</v>
      </c>
      <c r="J108" t="s">
        <v>1179</v>
      </c>
      <c r="K108" t="s">
        <v>1179</v>
      </c>
      <c r="L108" t="s">
        <v>1180</v>
      </c>
      <c r="M108" t="s">
        <v>208</v>
      </c>
      <c r="N108" t="s">
        <v>776</v>
      </c>
      <c r="O108" t="s">
        <v>824</v>
      </c>
      <c r="P108" t="s">
        <v>772</v>
      </c>
      <c r="Q108" t="s">
        <v>797</v>
      </c>
      <c r="R108">
        <v>0</v>
      </c>
      <c r="S108">
        <v>0</v>
      </c>
      <c r="T108">
        <v>0</v>
      </c>
      <c r="U108">
        <v>0</v>
      </c>
      <c r="V108">
        <v>0</v>
      </c>
      <c r="W108">
        <v>0</v>
      </c>
      <c r="X108">
        <v>0</v>
      </c>
      <c r="Y108">
        <v>0</v>
      </c>
      <c r="Z108">
        <v>0</v>
      </c>
      <c r="AA108">
        <v>0</v>
      </c>
      <c r="AB108">
        <v>0</v>
      </c>
      <c r="AC108">
        <v>0</v>
      </c>
      <c r="AD108">
        <v>0</v>
      </c>
      <c r="AE108">
        <v>0</v>
      </c>
      <c r="AF108">
        <v>0</v>
      </c>
      <c r="AG108">
        <v>0</v>
      </c>
      <c r="AH108">
        <v>0</v>
      </c>
      <c r="AI108">
        <v>0</v>
      </c>
      <c r="AY108" t="str">
        <f t="shared" si="19"/>
        <v>ARENTOR DC 250 MG SUSPENSION INTRAMAMMAIRE POUR VACHES TARIES</v>
      </c>
      <c r="AZ108" t="str">
        <f>IF(COUNTIF(AY:AY,AY108)=1,AY108,IF(AND(COUNTIF(AY:AY,AY108)&gt;1,COUNTIF(AZ$2:AZ107,AY108)&gt;=1),"",AY108))</f>
        <v>ARENTOR DC 250 MG SUSPENSION INTRAMAMMAIRE POUR VACHES TARIES</v>
      </c>
      <c r="BA108">
        <f>IF(AZ108="","",COUNTIFS(AZ$3:AZ$1439,"&lt;"&amp;AZ108,AZ$3:AZ$1439,"&lt;&gt;0")+COUNTIF(AZ$3:AZ108,AZ108)-876)</f>
        <v>50</v>
      </c>
      <c r="BC108">
        <v>106</v>
      </c>
      <c r="BD108" t="str">
        <f t="shared" si="30"/>
        <v>CK 5 - OXYTETRACYCLINE 500 MG/G</v>
      </c>
      <c r="BE108" t="str">
        <f t="shared" si="20"/>
        <v>ORAL</v>
      </c>
      <c r="BF108" t="str">
        <f t="shared" si="21"/>
        <v>TETRACYCLINES</v>
      </c>
      <c r="BG108" t="str">
        <f t="shared" si="22"/>
        <v/>
      </c>
      <c r="BH108" t="str">
        <f t="shared" si="23"/>
        <v/>
      </c>
      <c r="BI108" t="str">
        <f t="shared" si="24"/>
        <v>oxytetracycline</v>
      </c>
      <c r="BJ108" t="str">
        <f t="shared" si="25"/>
        <v/>
      </c>
      <c r="BK108" t="str">
        <f t="shared" si="26"/>
        <v/>
      </c>
      <c r="BL108" t="str">
        <f t="shared" si="31"/>
        <v>Oxytétracycline</v>
      </c>
      <c r="BM108" t="str">
        <f t="shared" si="27"/>
        <v>Oxytétracycline</v>
      </c>
      <c r="BN108" t="str">
        <f t="shared" si="28"/>
        <v/>
      </c>
      <c r="BO108" t="str">
        <f t="shared" si="29"/>
        <v/>
      </c>
      <c r="BP108" t="str">
        <f t="shared" si="32"/>
        <v>Tetracyclines</v>
      </c>
      <c r="BQ108" t="str">
        <f t="shared" si="33"/>
        <v>Tetracyclines</v>
      </c>
      <c r="BR108" t="str">
        <f t="shared" si="34"/>
        <v/>
      </c>
      <c r="BS108" t="str">
        <f t="shared" si="35"/>
        <v/>
      </c>
      <c r="BT108" s="76" t="str">
        <f t="shared" si="36"/>
        <v>Voie orale  hors prémélanges médicamenteux</v>
      </c>
      <c r="BU108" t="str">
        <f t="shared" si="37"/>
        <v/>
      </c>
      <c r="CK108" s="109" t="s">
        <v>2120</v>
      </c>
      <c r="CL108" s="185" t="s">
        <v>4321</v>
      </c>
      <c r="CN108">
        <v>107</v>
      </c>
    </row>
    <row r="109" spans="1:92" x14ac:dyDescent="0.3">
      <c r="A109" s="118" t="s">
        <v>4276</v>
      </c>
      <c r="B109" t="s">
        <v>4279</v>
      </c>
      <c r="C109" t="s">
        <v>4280</v>
      </c>
      <c r="D109" t="s">
        <v>869</v>
      </c>
      <c r="E109" t="s">
        <v>813</v>
      </c>
      <c r="F109" t="s">
        <v>245</v>
      </c>
      <c r="G109" t="s">
        <v>1024</v>
      </c>
      <c r="H109" t="s">
        <v>1387</v>
      </c>
      <c r="I109" t="s">
        <v>1013</v>
      </c>
      <c r="J109" t="s">
        <v>1179</v>
      </c>
      <c r="K109" t="s">
        <v>1179</v>
      </c>
      <c r="L109" t="s">
        <v>1180</v>
      </c>
      <c r="M109" t="s">
        <v>208</v>
      </c>
      <c r="N109" t="s">
        <v>776</v>
      </c>
      <c r="O109" t="s">
        <v>824</v>
      </c>
      <c r="P109" t="s">
        <v>772</v>
      </c>
      <c r="Q109" t="s">
        <v>885</v>
      </c>
      <c r="R109">
        <v>0</v>
      </c>
      <c r="S109">
        <v>0</v>
      </c>
      <c r="T109">
        <v>0</v>
      </c>
      <c r="U109">
        <v>0</v>
      </c>
      <c r="V109">
        <v>0</v>
      </c>
      <c r="W109">
        <v>0</v>
      </c>
      <c r="X109">
        <v>0</v>
      </c>
      <c r="Y109">
        <v>0</v>
      </c>
      <c r="Z109">
        <v>0</v>
      </c>
      <c r="AA109">
        <v>0</v>
      </c>
      <c r="AB109">
        <v>0</v>
      </c>
      <c r="AC109">
        <v>0</v>
      </c>
      <c r="AD109">
        <v>0</v>
      </c>
      <c r="AE109">
        <v>0</v>
      </c>
      <c r="AF109">
        <v>0</v>
      </c>
      <c r="AG109">
        <v>0</v>
      </c>
      <c r="AH109">
        <v>0</v>
      </c>
      <c r="AI109">
        <v>0</v>
      </c>
      <c r="AY109" t="str">
        <f t="shared" si="19"/>
        <v>ARENTOR DC 250 MG SUSPENSION INTRAMAMMAIRE POUR VACHES TARIES</v>
      </c>
      <c r="AZ109" t="str">
        <f>IF(COUNTIF(AY:AY,AY109)=1,AY109,IF(AND(COUNTIF(AY:AY,AY109)&gt;1,COUNTIF(AZ$2:AZ108,AY109)&gt;=1),"",AY109))</f>
        <v/>
      </c>
      <c r="BA109" t="str">
        <f>IF(AZ109="","",COUNTIFS(AZ$3:AZ$1439,"&lt;"&amp;AZ109,AZ$3:AZ$1439,"&lt;&gt;0")+COUNTIF(AZ$3:AZ109,AZ109)-876)</f>
        <v/>
      </c>
      <c r="BC109">
        <v>107</v>
      </c>
      <c r="BD109" t="str">
        <f t="shared" si="30"/>
        <v>CK 7 - TRIMETHOPRIME 16,65 MG/ML SULFADIAZINE 83,35 MG/ML</v>
      </c>
      <c r="BE109" t="str">
        <f t="shared" si="20"/>
        <v>ORAL</v>
      </c>
      <c r="BF109" t="str">
        <f t="shared" si="21"/>
        <v>SULFAMIDES</v>
      </c>
      <c r="BG109" t="str">
        <f t="shared" si="22"/>
        <v>TRIMETHOPRIME</v>
      </c>
      <c r="BH109" t="str">
        <f t="shared" si="23"/>
        <v/>
      </c>
      <c r="BI109" t="str">
        <f t="shared" si="24"/>
        <v>sulfadiazine</v>
      </c>
      <c r="BJ109" t="str">
        <f t="shared" si="25"/>
        <v>trimethoprim</v>
      </c>
      <c r="BK109" t="str">
        <f t="shared" si="26"/>
        <v/>
      </c>
      <c r="BL109" t="str">
        <f t="shared" si="31"/>
        <v>Sulfadiazine + Triméthoprime</v>
      </c>
      <c r="BM109" t="str">
        <f t="shared" si="27"/>
        <v>Sulfadiazine</v>
      </c>
      <c r="BN109" t="str">
        <f t="shared" si="28"/>
        <v>Triméthoprime</v>
      </c>
      <c r="BO109" t="str">
        <f t="shared" si="29"/>
        <v/>
      </c>
      <c r="BP109" t="str">
        <f t="shared" si="32"/>
        <v>Sulfamides + Trimethoprime</v>
      </c>
      <c r="BQ109" t="str">
        <f t="shared" si="33"/>
        <v>Sulfamides</v>
      </c>
      <c r="BR109" t="str">
        <f t="shared" si="34"/>
        <v>Trimethoprime</v>
      </c>
      <c r="BS109" t="str">
        <f t="shared" si="35"/>
        <v/>
      </c>
      <c r="BT109" s="76" t="str">
        <f t="shared" si="36"/>
        <v>Voie orale  hors prémélanges médicamenteux</v>
      </c>
      <c r="BU109" t="str">
        <f t="shared" si="37"/>
        <v/>
      </c>
      <c r="CK109" s="109" t="s">
        <v>3054</v>
      </c>
      <c r="CL109" s="185" t="s">
        <v>4321</v>
      </c>
      <c r="CN109">
        <v>108</v>
      </c>
    </row>
    <row r="110" spans="1:92" x14ac:dyDescent="0.3">
      <c r="A110" s="118" t="s">
        <v>1129</v>
      </c>
      <c r="B110" t="s">
        <v>1130</v>
      </c>
      <c r="C110" t="s">
        <v>1131</v>
      </c>
      <c r="D110" s="144" t="s">
        <v>1132</v>
      </c>
      <c r="E110" t="s">
        <v>813</v>
      </c>
      <c r="F110" t="s">
        <v>246</v>
      </c>
      <c r="G110" t="s">
        <v>1133</v>
      </c>
      <c r="H110" t="s">
        <v>801</v>
      </c>
      <c r="I110" t="s">
        <v>1133</v>
      </c>
      <c r="J110" t="s">
        <v>768</v>
      </c>
      <c r="K110" t="s">
        <v>768</v>
      </c>
      <c r="L110" t="s">
        <v>1087</v>
      </c>
      <c r="M110" t="s">
        <v>208</v>
      </c>
      <c r="N110" t="s">
        <v>829</v>
      </c>
      <c r="O110" t="s">
        <v>824</v>
      </c>
      <c r="P110" t="s">
        <v>772</v>
      </c>
      <c r="Q110" t="s">
        <v>1132</v>
      </c>
      <c r="R110">
        <v>0</v>
      </c>
      <c r="S110">
        <v>0</v>
      </c>
      <c r="T110">
        <v>0</v>
      </c>
      <c r="U110">
        <v>0</v>
      </c>
      <c r="V110">
        <v>0</v>
      </c>
      <c r="W110">
        <v>0</v>
      </c>
      <c r="X110">
        <v>0</v>
      </c>
      <c r="Y110">
        <v>0</v>
      </c>
      <c r="Z110">
        <v>0</v>
      </c>
      <c r="AA110">
        <v>0</v>
      </c>
      <c r="AB110">
        <v>0</v>
      </c>
      <c r="AC110">
        <v>0</v>
      </c>
      <c r="AD110">
        <v>0</v>
      </c>
      <c r="AE110">
        <v>0</v>
      </c>
      <c r="AF110">
        <v>0</v>
      </c>
      <c r="AG110">
        <v>0</v>
      </c>
      <c r="AH110">
        <v>0</v>
      </c>
      <c r="AI110">
        <v>0</v>
      </c>
      <c r="AY110" t="str">
        <f t="shared" si="19"/>
        <v>AUREOMYCINE MERIAL</v>
      </c>
      <c r="AZ110" t="str">
        <f>IF(COUNTIF(AY:AY,AY110)=1,AY110,IF(AND(COUNTIF(AY:AY,AY110)&gt;1,COUNTIF(AZ$2:AZ109,AY110)&gt;=1),"",AY110))</f>
        <v>AUREOMYCINE MERIAL</v>
      </c>
      <c r="BA110">
        <f>IF(AZ110="","",COUNTIFS(AZ$3:AZ$1439,"&lt;"&amp;AZ110,AZ$3:AZ$1439,"&lt;&gt;0")+COUNTIF(AZ$3:AZ110,AZ110)-876)</f>
        <v>51</v>
      </c>
      <c r="BC110">
        <v>108</v>
      </c>
      <c r="BD110" t="str">
        <f t="shared" si="30"/>
        <v>CK 8 - TYLOSINE 100 MUI</v>
      </c>
      <c r="BE110" t="str">
        <f t="shared" si="20"/>
        <v>ORAL</v>
      </c>
      <c r="BF110" t="str">
        <f t="shared" si="21"/>
        <v>MACROLIDES</v>
      </c>
      <c r="BG110" t="str">
        <f t="shared" si="22"/>
        <v/>
      </c>
      <c r="BH110" t="str">
        <f t="shared" si="23"/>
        <v/>
      </c>
      <c r="BI110" t="str">
        <f t="shared" si="24"/>
        <v>tylosin</v>
      </c>
      <c r="BJ110" t="str">
        <f t="shared" si="25"/>
        <v/>
      </c>
      <c r="BK110" t="str">
        <f t="shared" si="26"/>
        <v/>
      </c>
      <c r="BL110" t="str">
        <f t="shared" si="31"/>
        <v>Tylosine</v>
      </c>
      <c r="BM110" t="str">
        <f t="shared" si="27"/>
        <v>Tylosine</v>
      </c>
      <c r="BN110" t="str">
        <f t="shared" si="28"/>
        <v/>
      </c>
      <c r="BO110" t="str">
        <f t="shared" si="29"/>
        <v/>
      </c>
      <c r="BP110" t="str">
        <f t="shared" si="32"/>
        <v>Macrolides</v>
      </c>
      <c r="BQ110" t="str">
        <f t="shared" si="33"/>
        <v>Macrolides</v>
      </c>
      <c r="BR110" t="str">
        <f t="shared" si="34"/>
        <v/>
      </c>
      <c r="BS110" t="str">
        <f t="shared" si="35"/>
        <v/>
      </c>
      <c r="BT110" s="76" t="str">
        <f t="shared" si="36"/>
        <v>Voie orale  hors prémélanges médicamenteux</v>
      </c>
      <c r="BU110" t="str">
        <f t="shared" si="37"/>
        <v/>
      </c>
      <c r="CK110" s="109" t="s">
        <v>3360</v>
      </c>
      <c r="CL110" s="185" t="s">
        <v>4321</v>
      </c>
      <c r="CN110">
        <v>109</v>
      </c>
    </row>
    <row r="111" spans="1:92" x14ac:dyDescent="0.3">
      <c r="A111" s="118" t="s">
        <v>4724</v>
      </c>
      <c r="B111" t="s">
        <v>4725</v>
      </c>
      <c r="C111" t="s">
        <v>4063</v>
      </c>
      <c r="D111" t="s">
        <v>869</v>
      </c>
      <c r="E111" t="s">
        <v>765</v>
      </c>
      <c r="F111" t="s">
        <v>4726</v>
      </c>
      <c r="G111" t="s">
        <v>964</v>
      </c>
      <c r="H111" t="s">
        <v>816</v>
      </c>
      <c r="I111" t="s">
        <v>879</v>
      </c>
      <c r="J111" t="s">
        <v>914</v>
      </c>
      <c r="K111" t="s">
        <v>914</v>
      </c>
      <c r="L111" t="s">
        <v>915</v>
      </c>
      <c r="M111" t="s">
        <v>208</v>
      </c>
      <c r="N111" t="s">
        <v>4568</v>
      </c>
      <c r="O111" t="s">
        <v>771</v>
      </c>
      <c r="P111" t="s">
        <v>772</v>
      </c>
      <c r="Q111" t="s">
        <v>918</v>
      </c>
      <c r="R111">
        <v>0</v>
      </c>
      <c r="S111">
        <v>0</v>
      </c>
      <c r="T111">
        <v>0</v>
      </c>
      <c r="U111">
        <v>0</v>
      </c>
      <c r="V111">
        <v>0</v>
      </c>
      <c r="W111">
        <v>0</v>
      </c>
      <c r="X111">
        <v>0</v>
      </c>
      <c r="Y111">
        <v>0</v>
      </c>
      <c r="Z111">
        <v>0</v>
      </c>
      <c r="AA111">
        <v>0</v>
      </c>
      <c r="AB111">
        <v>0</v>
      </c>
      <c r="AC111">
        <v>0</v>
      </c>
      <c r="AD111">
        <v>0</v>
      </c>
      <c r="AE111">
        <v>0</v>
      </c>
      <c r="AF111">
        <v>0</v>
      </c>
      <c r="AG111">
        <v>0</v>
      </c>
      <c r="AH111">
        <v>0</v>
      </c>
      <c r="AI111">
        <v>0</v>
      </c>
      <c r="AY111" t="str">
        <f t="shared" si="19"/>
        <v/>
      </c>
      <c r="AZ111" t="str">
        <f>IF(COUNTIF(AY:AY,AY111)=1,AY111,IF(AND(COUNTIF(AY:AY,AY111)&gt;1,COUNTIF(AZ$2:AZ110,AY111)&gt;=1),"",AY111))</f>
        <v/>
      </c>
      <c r="BA111" t="str">
        <f>IF(AZ111="","",COUNTIFS(AZ$3:AZ$1439,"&lt;"&amp;AZ111,AZ$3:AZ$1439,"&lt;&gt;0")+COUNTIF(AZ$3:AZ111,AZ111)-876)</f>
        <v/>
      </c>
      <c r="BC111">
        <v>109</v>
      </c>
      <c r="BD111" t="str">
        <f t="shared" si="30"/>
        <v>CK 9 - TYLOSINE 92 000 UI/G</v>
      </c>
      <c r="BE111" t="str">
        <f t="shared" si="20"/>
        <v>ORAL</v>
      </c>
      <c r="BF111" t="str">
        <f t="shared" si="21"/>
        <v>MACROLIDES</v>
      </c>
      <c r="BG111" t="str">
        <f t="shared" si="22"/>
        <v/>
      </c>
      <c r="BH111" t="str">
        <f t="shared" si="23"/>
        <v/>
      </c>
      <c r="BI111" t="str">
        <f t="shared" si="24"/>
        <v>tylosin</v>
      </c>
      <c r="BJ111" t="str">
        <f t="shared" si="25"/>
        <v/>
      </c>
      <c r="BK111" t="str">
        <f t="shared" si="26"/>
        <v/>
      </c>
      <c r="BL111" t="str">
        <f t="shared" si="31"/>
        <v>Tylosine</v>
      </c>
      <c r="BM111" t="str">
        <f t="shared" si="27"/>
        <v>Tylosine</v>
      </c>
      <c r="BN111" t="str">
        <f t="shared" si="28"/>
        <v/>
      </c>
      <c r="BO111" t="str">
        <f t="shared" si="29"/>
        <v/>
      </c>
      <c r="BP111" t="str">
        <f t="shared" si="32"/>
        <v>Macrolides</v>
      </c>
      <c r="BQ111" t="str">
        <f t="shared" si="33"/>
        <v>Macrolides</v>
      </c>
      <c r="BR111" t="str">
        <f t="shared" si="34"/>
        <v/>
      </c>
      <c r="BS111" t="str">
        <f t="shared" si="35"/>
        <v/>
      </c>
      <c r="BT111" s="76" t="str">
        <f t="shared" si="36"/>
        <v>Voie orale  hors prémélanges médicamenteux</v>
      </c>
      <c r="BU111" t="str">
        <f t="shared" si="37"/>
        <v/>
      </c>
      <c r="CK111" s="109" t="s">
        <v>2521</v>
      </c>
      <c r="CL111" s="185" t="s">
        <v>4321</v>
      </c>
      <c r="CN111">
        <v>110</v>
      </c>
    </row>
    <row r="112" spans="1:92" x14ac:dyDescent="0.3">
      <c r="A112" s="118" t="s">
        <v>2209</v>
      </c>
      <c r="B112" t="s">
        <v>2210</v>
      </c>
      <c r="C112" t="s">
        <v>2270</v>
      </c>
      <c r="D112" s="144" t="s">
        <v>852</v>
      </c>
      <c r="E112" t="s">
        <v>765</v>
      </c>
      <c r="F112" t="s">
        <v>2211</v>
      </c>
      <c r="G112" t="s">
        <v>964</v>
      </c>
      <c r="H112" t="s">
        <v>816</v>
      </c>
      <c r="I112" t="s">
        <v>879</v>
      </c>
      <c r="J112" t="s">
        <v>783</v>
      </c>
      <c r="K112" t="s">
        <v>783</v>
      </c>
      <c r="L112" t="s">
        <v>2037</v>
      </c>
      <c r="M112" t="s">
        <v>208</v>
      </c>
      <c r="N112" t="s">
        <v>1304</v>
      </c>
      <c r="O112" t="s">
        <v>771</v>
      </c>
      <c r="P112" t="s">
        <v>772</v>
      </c>
      <c r="Q112" t="s">
        <v>2212</v>
      </c>
      <c r="R112">
        <v>0</v>
      </c>
      <c r="S112">
        <v>0</v>
      </c>
      <c r="T112">
        <v>0</v>
      </c>
      <c r="U112">
        <v>0</v>
      </c>
      <c r="V112">
        <v>0</v>
      </c>
      <c r="W112">
        <v>0</v>
      </c>
      <c r="X112">
        <v>0</v>
      </c>
      <c r="Y112">
        <v>0</v>
      </c>
      <c r="Z112">
        <v>0</v>
      </c>
      <c r="AA112">
        <v>0</v>
      </c>
      <c r="AB112">
        <v>0</v>
      </c>
      <c r="AC112">
        <v>0</v>
      </c>
      <c r="AD112">
        <v>0</v>
      </c>
      <c r="AE112">
        <v>0</v>
      </c>
      <c r="AF112">
        <v>0</v>
      </c>
      <c r="AG112">
        <v>0</v>
      </c>
      <c r="AH112">
        <v>0</v>
      </c>
      <c r="AI112">
        <v>0</v>
      </c>
      <c r="AY112" t="str">
        <f t="shared" si="19"/>
        <v/>
      </c>
      <c r="AZ112" t="str">
        <f>IF(COUNTIF(AY:AY,AY112)=1,AY112,IF(AND(COUNTIF(AY:AY,AY112)&gt;1,COUNTIF(AZ$2:AZ111,AY112)&gt;=1),"",AY112))</f>
        <v/>
      </c>
      <c r="BA112" t="str">
        <f>IF(AZ112="","",COUNTIFS(AZ$3:AZ$1439,"&lt;"&amp;AZ112,AZ$3:AZ$1439,"&lt;&gt;0")+COUNTIF(AZ$3:AZ112,AZ112)-876)</f>
        <v/>
      </c>
      <c r="BC112">
        <v>110</v>
      </c>
      <c r="BD112" t="str">
        <f t="shared" si="30"/>
        <v>CK6 - SOLU OXYTETRACYCLINE 500 MG/G</v>
      </c>
      <c r="BE112" t="str">
        <f t="shared" si="20"/>
        <v>ORAL</v>
      </c>
      <c r="BF112" t="str">
        <f t="shared" si="21"/>
        <v>TETRACYCLINES</v>
      </c>
      <c r="BG112" t="str">
        <f t="shared" si="22"/>
        <v/>
      </c>
      <c r="BH112" t="str">
        <f t="shared" si="23"/>
        <v/>
      </c>
      <c r="BI112" t="str">
        <f t="shared" si="24"/>
        <v>oxytetracycline</v>
      </c>
      <c r="BJ112" t="str">
        <f t="shared" si="25"/>
        <v/>
      </c>
      <c r="BK112" t="str">
        <f t="shared" si="26"/>
        <v/>
      </c>
      <c r="BL112" t="str">
        <f t="shared" si="31"/>
        <v>Oxytétracycline</v>
      </c>
      <c r="BM112" t="str">
        <f t="shared" si="27"/>
        <v>Oxytétracycline</v>
      </c>
      <c r="BN112" t="str">
        <f t="shared" si="28"/>
        <v/>
      </c>
      <c r="BO112" t="str">
        <f t="shared" si="29"/>
        <v/>
      </c>
      <c r="BP112" t="str">
        <f t="shared" si="32"/>
        <v>Tetracyclines</v>
      </c>
      <c r="BQ112" t="str">
        <f t="shared" si="33"/>
        <v>Tetracyclines</v>
      </c>
      <c r="BR112" t="str">
        <f t="shared" si="34"/>
        <v/>
      </c>
      <c r="BS112" t="str">
        <f t="shared" si="35"/>
        <v/>
      </c>
      <c r="BT112" s="76" t="str">
        <f t="shared" si="36"/>
        <v>Voie orale  hors prémélanges médicamenteux</v>
      </c>
      <c r="BU112" t="str">
        <f t="shared" si="37"/>
        <v/>
      </c>
      <c r="CK112" s="109" t="s">
        <v>2856</v>
      </c>
      <c r="CL112" s="185" t="s">
        <v>4321</v>
      </c>
      <c r="CN112">
        <v>111</v>
      </c>
    </row>
    <row r="113" spans="1:92" x14ac:dyDescent="0.3">
      <c r="A113" s="118" t="s">
        <v>2892</v>
      </c>
      <c r="B113" t="s">
        <v>2893</v>
      </c>
      <c r="C113" t="s">
        <v>2894</v>
      </c>
      <c r="D113" s="144" t="s">
        <v>852</v>
      </c>
      <c r="E113" t="s">
        <v>765</v>
      </c>
      <c r="F113" t="s">
        <v>2895</v>
      </c>
      <c r="G113" t="s">
        <v>964</v>
      </c>
      <c r="H113" t="s">
        <v>860</v>
      </c>
      <c r="I113" t="s">
        <v>879</v>
      </c>
      <c r="J113" t="s">
        <v>2366</v>
      </c>
      <c r="K113" t="s">
        <v>2366</v>
      </c>
      <c r="L113" t="s">
        <v>2690</v>
      </c>
      <c r="M113" t="s">
        <v>208</v>
      </c>
      <c r="N113" t="s">
        <v>1304</v>
      </c>
      <c r="O113" t="s">
        <v>771</v>
      </c>
      <c r="P113" t="s">
        <v>772</v>
      </c>
      <c r="Q113" t="s">
        <v>2212</v>
      </c>
      <c r="R113">
        <v>0</v>
      </c>
      <c r="S113">
        <v>0</v>
      </c>
      <c r="T113">
        <v>0</v>
      </c>
      <c r="U113">
        <v>0</v>
      </c>
      <c r="V113">
        <v>0</v>
      </c>
      <c r="W113">
        <v>0</v>
      </c>
      <c r="X113">
        <v>0</v>
      </c>
      <c r="Y113">
        <v>0</v>
      </c>
      <c r="Z113">
        <v>0</v>
      </c>
      <c r="AA113">
        <v>0</v>
      </c>
      <c r="AB113">
        <v>0</v>
      </c>
      <c r="AC113">
        <v>0</v>
      </c>
      <c r="AD113">
        <v>0</v>
      </c>
      <c r="AE113">
        <v>0</v>
      </c>
      <c r="AF113">
        <v>0</v>
      </c>
      <c r="AG113">
        <v>0</v>
      </c>
      <c r="AH113">
        <v>0</v>
      </c>
      <c r="AI113">
        <v>0</v>
      </c>
      <c r="AY113" t="str">
        <f t="shared" si="19"/>
        <v/>
      </c>
      <c r="AZ113" t="str">
        <f>IF(COUNTIF(AY:AY,AY113)=1,AY113,IF(AND(COUNTIF(AY:AY,AY113)&gt;1,COUNTIF(AZ$2:AZ112,AY113)&gt;=1),"",AY113))</f>
        <v/>
      </c>
      <c r="BA113" t="str">
        <f>IF(AZ113="","",COUNTIFS(AZ$3:AZ$1439,"&lt;"&amp;AZ113,AZ$3:AZ$1439,"&lt;&gt;0")+COUNTIF(AZ$3:AZ113,AZ113)-876)</f>
        <v/>
      </c>
      <c r="BC113">
        <v>111</v>
      </c>
      <c r="BD113" t="str">
        <f t="shared" si="30"/>
        <v>CLAMOXYL LA</v>
      </c>
      <c r="BE113" t="str">
        <f t="shared" si="20"/>
        <v>INJ</v>
      </c>
      <c r="BF113" t="str">
        <f t="shared" si="21"/>
        <v>PENICILLINES</v>
      </c>
      <c r="BG113" t="str">
        <f t="shared" si="22"/>
        <v/>
      </c>
      <c r="BH113" t="str">
        <f t="shared" si="23"/>
        <v/>
      </c>
      <c r="BI113" t="str">
        <f t="shared" si="24"/>
        <v>amoxicillin</v>
      </c>
      <c r="BJ113" t="str">
        <f t="shared" si="25"/>
        <v/>
      </c>
      <c r="BK113" t="str">
        <f t="shared" si="26"/>
        <v/>
      </c>
      <c r="BL113" t="str">
        <f t="shared" si="31"/>
        <v>Amoxicilline</v>
      </c>
      <c r="BM113" t="str">
        <f t="shared" si="27"/>
        <v>Amoxicilline</v>
      </c>
      <c r="BN113" t="str">
        <f t="shared" si="28"/>
        <v/>
      </c>
      <c r="BO113" t="str">
        <f t="shared" si="29"/>
        <v/>
      </c>
      <c r="BP113" t="str">
        <f t="shared" si="32"/>
        <v>Penicillines</v>
      </c>
      <c r="BQ113" t="str">
        <f t="shared" si="33"/>
        <v>Penicillines</v>
      </c>
      <c r="BR113" t="str">
        <f t="shared" si="34"/>
        <v/>
      </c>
      <c r="BS113" t="str">
        <f t="shared" si="35"/>
        <v/>
      </c>
      <c r="BT113" s="76" t="str">
        <f t="shared" si="36"/>
        <v>Voie parentérale</v>
      </c>
      <c r="BU113" t="str">
        <f t="shared" si="37"/>
        <v/>
      </c>
      <c r="CK113" s="109" t="s">
        <v>3631</v>
      </c>
      <c r="CL113" s="185" t="s">
        <v>4321</v>
      </c>
      <c r="CN113">
        <v>112</v>
      </c>
    </row>
    <row r="114" spans="1:92" x14ac:dyDescent="0.3">
      <c r="A114" s="118" t="s">
        <v>2892</v>
      </c>
      <c r="B114" t="s">
        <v>2896</v>
      </c>
      <c r="C114" t="s">
        <v>2897</v>
      </c>
      <c r="D114" s="144" t="s">
        <v>869</v>
      </c>
      <c r="E114" t="s">
        <v>765</v>
      </c>
      <c r="F114" t="s">
        <v>2895</v>
      </c>
      <c r="G114" t="s">
        <v>964</v>
      </c>
      <c r="H114" t="s">
        <v>860</v>
      </c>
      <c r="I114" t="s">
        <v>879</v>
      </c>
      <c r="J114" t="s">
        <v>2366</v>
      </c>
      <c r="K114" t="s">
        <v>2366</v>
      </c>
      <c r="L114" t="s">
        <v>2690</v>
      </c>
      <c r="M114" t="s">
        <v>208</v>
      </c>
      <c r="N114" t="s">
        <v>1304</v>
      </c>
      <c r="O114" t="s">
        <v>771</v>
      </c>
      <c r="P114" t="s">
        <v>772</v>
      </c>
      <c r="Q114" t="s">
        <v>975</v>
      </c>
      <c r="R114">
        <v>0</v>
      </c>
      <c r="S114">
        <v>0</v>
      </c>
      <c r="T114">
        <v>0</v>
      </c>
      <c r="U114">
        <v>0</v>
      </c>
      <c r="V114">
        <v>0</v>
      </c>
      <c r="W114">
        <v>0</v>
      </c>
      <c r="X114">
        <v>0</v>
      </c>
      <c r="Y114">
        <v>0</v>
      </c>
      <c r="Z114">
        <v>0</v>
      </c>
      <c r="AA114">
        <v>0</v>
      </c>
      <c r="AB114">
        <v>0</v>
      </c>
      <c r="AC114">
        <v>0</v>
      </c>
      <c r="AD114">
        <v>0</v>
      </c>
      <c r="AE114">
        <v>0</v>
      </c>
      <c r="AF114">
        <v>0</v>
      </c>
      <c r="AG114">
        <v>0</v>
      </c>
      <c r="AH114">
        <v>0</v>
      </c>
      <c r="AI114">
        <v>0</v>
      </c>
      <c r="AY114" t="str">
        <f t="shared" si="19"/>
        <v/>
      </c>
      <c r="AZ114" t="str">
        <f>IF(COUNTIF(AY:AY,AY114)=1,AY114,IF(AND(COUNTIF(AY:AY,AY114)&gt;1,COUNTIF(AZ$2:AZ113,AY114)&gt;=1),"",AY114))</f>
        <v/>
      </c>
      <c r="BA114" t="str">
        <f>IF(AZ114="","",COUNTIFS(AZ$3:AZ$1439,"&lt;"&amp;AZ114,AZ$3:AZ$1439,"&lt;&gt;0")+COUNTIF(AZ$3:AZ114,AZ114)-876)</f>
        <v/>
      </c>
      <c r="BC114">
        <v>112</v>
      </c>
      <c r="BD114" t="str">
        <f t="shared" si="30"/>
        <v>CLAMOXYL OBLET GYNECOLOGIQUE</v>
      </c>
      <c r="BE114" t="str">
        <f t="shared" si="20"/>
        <v>INTRAUT</v>
      </c>
      <c r="BF114" t="str">
        <f t="shared" si="21"/>
        <v>PENICILLINES</v>
      </c>
      <c r="BG114" t="str">
        <f t="shared" si="22"/>
        <v/>
      </c>
      <c r="BH114" t="str">
        <f t="shared" si="23"/>
        <v/>
      </c>
      <c r="BI114" t="str">
        <f t="shared" si="24"/>
        <v>amoxicillin</v>
      </c>
      <c r="BJ114" t="str">
        <f t="shared" si="25"/>
        <v/>
      </c>
      <c r="BK114" t="str">
        <f t="shared" si="26"/>
        <v/>
      </c>
      <c r="BL114" t="str">
        <f t="shared" si="31"/>
        <v>Amoxicilline</v>
      </c>
      <c r="BM114" t="str">
        <f t="shared" si="27"/>
        <v>Amoxicilline</v>
      </c>
      <c r="BN114" t="str">
        <f t="shared" si="28"/>
        <v/>
      </c>
      <c r="BO114" t="str">
        <f t="shared" si="29"/>
        <v/>
      </c>
      <c r="BP114" t="str">
        <f t="shared" si="32"/>
        <v>Penicillines</v>
      </c>
      <c r="BQ114" t="str">
        <f t="shared" si="33"/>
        <v>Penicillines</v>
      </c>
      <c r="BR114" t="str">
        <f t="shared" si="34"/>
        <v/>
      </c>
      <c r="BS114" t="str">
        <f t="shared" si="35"/>
        <v/>
      </c>
      <c r="BT114" s="76" t="str">
        <f t="shared" si="36"/>
        <v>Voie intra-utérine</v>
      </c>
      <c r="BU114" t="str">
        <f t="shared" si="37"/>
        <v/>
      </c>
      <c r="CK114" s="109" t="s">
        <v>1331</v>
      </c>
      <c r="CL114" s="185" t="s">
        <v>4321</v>
      </c>
      <c r="CN114">
        <v>113</v>
      </c>
    </row>
    <row r="115" spans="1:92" x14ac:dyDescent="0.3">
      <c r="A115" s="118" t="s">
        <v>1886</v>
      </c>
      <c r="B115" t="s">
        <v>1887</v>
      </c>
      <c r="C115" t="s">
        <v>1062</v>
      </c>
      <c r="D115" s="144" t="s">
        <v>1063</v>
      </c>
      <c r="E115" t="s">
        <v>830</v>
      </c>
      <c r="F115" t="s">
        <v>247</v>
      </c>
      <c r="G115" t="s">
        <v>1064</v>
      </c>
      <c r="H115" t="s">
        <v>1082</v>
      </c>
      <c r="I115" t="s">
        <v>1066</v>
      </c>
      <c r="J115" t="s">
        <v>768</v>
      </c>
      <c r="K115" t="s">
        <v>768</v>
      </c>
      <c r="L115" t="s">
        <v>1087</v>
      </c>
      <c r="M115" t="s">
        <v>208</v>
      </c>
      <c r="N115" t="s">
        <v>1888</v>
      </c>
      <c r="O115" t="s">
        <v>894</v>
      </c>
      <c r="P115" t="s">
        <v>772</v>
      </c>
      <c r="Q115" t="s">
        <v>1889</v>
      </c>
      <c r="R115">
        <v>0</v>
      </c>
      <c r="S115">
        <v>0</v>
      </c>
      <c r="T115">
        <v>0</v>
      </c>
      <c r="U115">
        <v>0</v>
      </c>
      <c r="V115">
        <v>0</v>
      </c>
      <c r="W115">
        <v>0</v>
      </c>
      <c r="X115">
        <v>0</v>
      </c>
      <c r="Y115">
        <v>0</v>
      </c>
      <c r="Z115">
        <v>0</v>
      </c>
      <c r="AA115">
        <v>0</v>
      </c>
      <c r="AB115">
        <v>40</v>
      </c>
      <c r="AC115">
        <v>10</v>
      </c>
      <c r="AD115">
        <v>50</v>
      </c>
      <c r="AE115">
        <v>10</v>
      </c>
      <c r="AF115">
        <v>0</v>
      </c>
      <c r="AG115">
        <v>0</v>
      </c>
      <c r="AH115">
        <v>0</v>
      </c>
      <c r="AI115">
        <v>0</v>
      </c>
      <c r="AY115" t="str">
        <f t="shared" si="19"/>
        <v>AUROFAC CHLORTETRACYCLINE 93 PORC ET AGNEAU-CHEVREAU SEVRES</v>
      </c>
      <c r="AZ115" t="str">
        <f>IF(COUNTIF(AY:AY,AY115)=1,AY115,IF(AND(COUNTIF(AY:AY,AY115)&gt;1,COUNTIF(AZ$2:AZ114,AY115)&gt;=1),"",AY115))</f>
        <v>AUROFAC CHLORTETRACYCLINE 93 PORC ET AGNEAU-CHEVREAU SEVRES</v>
      </c>
      <c r="BA115">
        <f>IF(AZ115="","",COUNTIFS(AZ$3:AZ$1439,"&lt;"&amp;AZ115,AZ$3:AZ$1439,"&lt;&gt;0")+COUNTIF(AZ$3:AZ115,AZ115)-876)</f>
        <v>52</v>
      </c>
      <c r="BC115">
        <v>113</v>
      </c>
      <c r="BD115" t="str">
        <f t="shared" si="30"/>
        <v>CLAMOXYL SUSPENSION</v>
      </c>
      <c r="BE115" t="str">
        <f t="shared" si="20"/>
        <v>INJ</v>
      </c>
      <c r="BF115" t="str">
        <f t="shared" si="21"/>
        <v>PENICILLINES</v>
      </c>
      <c r="BG115" t="str">
        <f t="shared" si="22"/>
        <v/>
      </c>
      <c r="BH115" t="str">
        <f t="shared" si="23"/>
        <v/>
      </c>
      <c r="BI115" t="str">
        <f t="shared" si="24"/>
        <v>amoxicillin</v>
      </c>
      <c r="BJ115" t="str">
        <f t="shared" si="25"/>
        <v/>
      </c>
      <c r="BK115" t="str">
        <f t="shared" si="26"/>
        <v/>
      </c>
      <c r="BL115" t="str">
        <f t="shared" si="31"/>
        <v>Amoxicilline</v>
      </c>
      <c r="BM115" t="str">
        <f t="shared" si="27"/>
        <v>Amoxicilline</v>
      </c>
      <c r="BN115" t="str">
        <f t="shared" si="28"/>
        <v/>
      </c>
      <c r="BO115" t="str">
        <f t="shared" si="29"/>
        <v/>
      </c>
      <c r="BP115" t="str">
        <f t="shared" si="32"/>
        <v>Penicillines</v>
      </c>
      <c r="BQ115" t="str">
        <f t="shared" si="33"/>
        <v>Penicillines</v>
      </c>
      <c r="BR115" t="str">
        <f t="shared" si="34"/>
        <v/>
      </c>
      <c r="BS115" t="str">
        <f t="shared" si="35"/>
        <v/>
      </c>
      <c r="BT115" s="76" t="str">
        <f t="shared" si="36"/>
        <v>Voie parentérale</v>
      </c>
      <c r="BU115" t="str">
        <f t="shared" si="37"/>
        <v/>
      </c>
      <c r="CK115" s="109" t="s">
        <v>1173</v>
      </c>
      <c r="CL115" s="185" t="s">
        <v>4321</v>
      </c>
      <c r="CN115">
        <v>114</v>
      </c>
    </row>
    <row r="116" spans="1:92" x14ac:dyDescent="0.3">
      <c r="A116" s="118" t="s">
        <v>1405</v>
      </c>
      <c r="B116" t="s">
        <v>1406</v>
      </c>
      <c r="C116" t="s">
        <v>1407</v>
      </c>
      <c r="D116" s="144" t="s">
        <v>829</v>
      </c>
      <c r="E116" t="s">
        <v>830</v>
      </c>
      <c r="F116" t="s">
        <v>248</v>
      </c>
      <c r="G116" t="s">
        <v>831</v>
      </c>
      <c r="H116" t="s">
        <v>1408</v>
      </c>
      <c r="I116" t="s">
        <v>817</v>
      </c>
      <c r="J116" t="s">
        <v>928</v>
      </c>
      <c r="K116" t="s">
        <v>862</v>
      </c>
      <c r="L116" t="s">
        <v>1409</v>
      </c>
      <c r="M116" t="s">
        <v>208</v>
      </c>
      <c r="N116" t="s">
        <v>1410</v>
      </c>
      <c r="O116" t="s">
        <v>894</v>
      </c>
      <c r="P116" t="s">
        <v>772</v>
      </c>
      <c r="Q116" t="s">
        <v>1410</v>
      </c>
      <c r="R116">
        <v>23.24</v>
      </c>
      <c r="S116">
        <v>5</v>
      </c>
      <c r="T116">
        <v>0</v>
      </c>
      <c r="U116">
        <v>0</v>
      </c>
      <c r="V116">
        <v>23.24</v>
      </c>
      <c r="W116">
        <v>5</v>
      </c>
      <c r="X116">
        <v>0</v>
      </c>
      <c r="Y116">
        <v>0</v>
      </c>
      <c r="Z116">
        <v>23.24</v>
      </c>
      <c r="AA116">
        <v>5</v>
      </c>
      <c r="AB116">
        <v>23.24</v>
      </c>
      <c r="AC116">
        <v>5</v>
      </c>
      <c r="AD116">
        <v>23.24</v>
      </c>
      <c r="AE116">
        <v>5</v>
      </c>
      <c r="AF116">
        <v>23.24</v>
      </c>
      <c r="AG116">
        <v>5</v>
      </c>
      <c r="AH116">
        <v>0</v>
      </c>
      <c r="AI116">
        <v>0</v>
      </c>
      <c r="AJ116" t="s">
        <v>930</v>
      </c>
      <c r="AK116" t="s">
        <v>931</v>
      </c>
      <c r="AL116" t="s">
        <v>208</v>
      </c>
      <c r="AM116" t="s">
        <v>855</v>
      </c>
      <c r="AN116" t="s">
        <v>894</v>
      </c>
      <c r="AO116" t="s">
        <v>772</v>
      </c>
      <c r="AP116" t="s">
        <v>855</v>
      </c>
      <c r="AY116" t="str">
        <f t="shared" si="19"/>
        <v>AVEMIX N° 150</v>
      </c>
      <c r="AZ116" t="str">
        <f>IF(COUNTIF(AY:AY,AY116)=1,AY116,IF(AND(COUNTIF(AY:AY,AY116)&gt;1,COUNTIF(AZ$2:AZ115,AY116)&gt;=1),"",AY116))</f>
        <v>AVEMIX N° 150</v>
      </c>
      <c r="BA116">
        <f>IF(AZ116="","",COUNTIFS(AZ$3:AZ$1439,"&lt;"&amp;AZ116,AZ$3:AZ$1439,"&lt;&gt;0")+COUNTIF(AZ$3:AZ116,AZ116)-876)</f>
        <v>53</v>
      </c>
      <c r="BC116">
        <v>114</v>
      </c>
      <c r="BD116" t="str">
        <f t="shared" si="30"/>
        <v>CLAVOBAY SUSPENSION INJECTABLE</v>
      </c>
      <c r="BE116" t="str">
        <f t="shared" si="20"/>
        <v>INJ</v>
      </c>
      <c r="BF116" t="str">
        <f t="shared" si="21"/>
        <v>PENICILLINES</v>
      </c>
      <c r="BG116" t="str">
        <f t="shared" si="22"/>
        <v>ACIDE CLAVULANIQUE</v>
      </c>
      <c r="BH116" t="str">
        <f t="shared" si="23"/>
        <v/>
      </c>
      <c r="BI116" t="str">
        <f t="shared" si="24"/>
        <v>amoxicillin</v>
      </c>
      <c r="BJ116" t="str">
        <f t="shared" si="25"/>
        <v>clavulanic acid</v>
      </c>
      <c r="BK116" t="str">
        <f t="shared" si="26"/>
        <v/>
      </c>
      <c r="BL116" t="str">
        <f t="shared" si="31"/>
        <v>Amoxicilline + Acide clavulanique</v>
      </c>
      <c r="BM116" t="str">
        <f t="shared" si="27"/>
        <v>Amoxicilline</v>
      </c>
      <c r="BN116" t="str">
        <f t="shared" si="28"/>
        <v>Acide clavulanique</v>
      </c>
      <c r="BO116" t="str">
        <f t="shared" si="29"/>
        <v/>
      </c>
      <c r="BP116" t="str">
        <f t="shared" si="32"/>
        <v>Penicillines + Acide clavulanique</v>
      </c>
      <c r="BQ116" t="str">
        <f t="shared" si="33"/>
        <v>Penicillines</v>
      </c>
      <c r="BR116" t="str">
        <f t="shared" si="34"/>
        <v>Acide clavulanique</v>
      </c>
      <c r="BS116" t="str">
        <f t="shared" si="35"/>
        <v/>
      </c>
      <c r="BT116" s="76" t="str">
        <f t="shared" si="36"/>
        <v>Voie parentérale</v>
      </c>
      <c r="BU116" t="str">
        <f t="shared" si="37"/>
        <v/>
      </c>
      <c r="CK116" s="109" t="s">
        <v>4096</v>
      </c>
      <c r="CL116" s="185" t="s">
        <v>4321</v>
      </c>
      <c r="CN116">
        <v>115</v>
      </c>
    </row>
    <row r="117" spans="1:92" x14ac:dyDescent="0.3">
      <c r="A117" s="118" t="s">
        <v>1405</v>
      </c>
      <c r="B117" t="s">
        <v>1411</v>
      </c>
      <c r="C117" t="s">
        <v>1412</v>
      </c>
      <c r="D117" s="144" t="s">
        <v>1244</v>
      </c>
      <c r="E117" t="s">
        <v>830</v>
      </c>
      <c r="F117" t="s">
        <v>248</v>
      </c>
      <c r="G117" t="s">
        <v>831</v>
      </c>
      <c r="H117" t="s">
        <v>1408</v>
      </c>
      <c r="I117" t="s">
        <v>817</v>
      </c>
      <c r="J117" t="s">
        <v>928</v>
      </c>
      <c r="K117" t="s">
        <v>862</v>
      </c>
      <c r="L117" t="s">
        <v>1409</v>
      </c>
      <c r="M117" t="s">
        <v>208</v>
      </c>
      <c r="N117" t="s">
        <v>1410</v>
      </c>
      <c r="O117" t="s">
        <v>894</v>
      </c>
      <c r="P117" t="s">
        <v>772</v>
      </c>
      <c r="Q117" t="s">
        <v>1413</v>
      </c>
      <c r="R117">
        <v>23.24</v>
      </c>
      <c r="S117">
        <v>5</v>
      </c>
      <c r="T117">
        <v>0</v>
      </c>
      <c r="U117">
        <v>0</v>
      </c>
      <c r="V117">
        <v>23.24</v>
      </c>
      <c r="W117">
        <v>5</v>
      </c>
      <c r="X117">
        <v>0</v>
      </c>
      <c r="Y117">
        <v>0</v>
      </c>
      <c r="Z117">
        <v>23.24</v>
      </c>
      <c r="AA117">
        <v>5</v>
      </c>
      <c r="AB117">
        <v>23.24</v>
      </c>
      <c r="AC117">
        <v>5</v>
      </c>
      <c r="AD117">
        <v>23.24</v>
      </c>
      <c r="AE117">
        <v>5</v>
      </c>
      <c r="AF117">
        <v>23.24</v>
      </c>
      <c r="AG117">
        <v>5</v>
      </c>
      <c r="AH117">
        <v>0</v>
      </c>
      <c r="AI117">
        <v>0</v>
      </c>
      <c r="AJ117" t="s">
        <v>930</v>
      </c>
      <c r="AK117" t="s">
        <v>931</v>
      </c>
      <c r="AL117" t="s">
        <v>208</v>
      </c>
      <c r="AM117" t="s">
        <v>855</v>
      </c>
      <c r="AN117" t="s">
        <v>894</v>
      </c>
      <c r="AO117" t="s">
        <v>772</v>
      </c>
      <c r="AP117" t="s">
        <v>1414</v>
      </c>
      <c r="AY117" t="str">
        <f t="shared" si="19"/>
        <v>AVEMIX N° 150</v>
      </c>
      <c r="AZ117" t="str">
        <f>IF(COUNTIF(AY:AY,AY117)=1,AY117,IF(AND(COUNTIF(AY:AY,AY117)&gt;1,COUNTIF(AZ$2:AZ116,AY117)&gt;=1),"",AY117))</f>
        <v/>
      </c>
      <c r="BA117" t="str">
        <f>IF(AZ117="","",COUNTIFS(AZ$3:AZ$1439,"&lt;"&amp;AZ117,AZ$3:AZ$1439,"&lt;&gt;0")+COUNTIF(AZ$3:AZ117,AZ117)-876)</f>
        <v/>
      </c>
      <c r="BC117">
        <v>115</v>
      </c>
      <c r="BD117" t="str">
        <f t="shared" si="30"/>
        <v>CLOXAGEL HL 500</v>
      </c>
      <c r="BE117" t="str">
        <f t="shared" si="20"/>
        <v>INTRAMAM</v>
      </c>
      <c r="BF117" t="str">
        <f t="shared" si="21"/>
        <v>PENICILLINES</v>
      </c>
      <c r="BG117" t="str">
        <f t="shared" si="22"/>
        <v>AMINOGLYCOSIDES</v>
      </c>
      <c r="BH117" t="str">
        <f t="shared" si="23"/>
        <v/>
      </c>
      <c r="BI117" t="str">
        <f t="shared" si="24"/>
        <v>cloxacillin</v>
      </c>
      <c r="BJ117" t="str">
        <f t="shared" si="25"/>
        <v>neomycin</v>
      </c>
      <c r="BK117" t="str">
        <f t="shared" si="26"/>
        <v/>
      </c>
      <c r="BL117" t="str">
        <f t="shared" si="31"/>
        <v>Cloxacilline + Néomycine</v>
      </c>
      <c r="BM117" t="str">
        <f t="shared" si="27"/>
        <v>Cloxacilline</v>
      </c>
      <c r="BN117" t="str">
        <f t="shared" si="28"/>
        <v>Néomycine</v>
      </c>
      <c r="BO117" t="str">
        <f t="shared" si="29"/>
        <v/>
      </c>
      <c r="BP117" t="str">
        <f t="shared" si="32"/>
        <v>Penicillines + Aminoglycosides</v>
      </c>
      <c r="BQ117" t="str">
        <f t="shared" si="33"/>
        <v>Penicillines</v>
      </c>
      <c r="BR117" t="str">
        <f t="shared" si="34"/>
        <v>Aminoglycosides</v>
      </c>
      <c r="BS117" t="str">
        <f t="shared" si="35"/>
        <v/>
      </c>
      <c r="BT117" s="76" t="str">
        <f t="shared" si="36"/>
        <v>Voie intramammaire</v>
      </c>
      <c r="BU117" t="str">
        <f t="shared" si="37"/>
        <v/>
      </c>
      <c r="CK117" s="109" t="s">
        <v>3396</v>
      </c>
      <c r="CL117" s="185" t="s">
        <v>4321</v>
      </c>
      <c r="CN117">
        <v>116</v>
      </c>
    </row>
    <row r="118" spans="1:92" x14ac:dyDescent="0.3">
      <c r="A118" s="118" t="s">
        <v>1405</v>
      </c>
      <c r="B118" t="s">
        <v>1415</v>
      </c>
      <c r="C118" t="s">
        <v>1416</v>
      </c>
      <c r="D118" s="144" t="s">
        <v>955</v>
      </c>
      <c r="E118" t="s">
        <v>830</v>
      </c>
      <c r="F118" t="s">
        <v>248</v>
      </c>
      <c r="G118" t="s">
        <v>831</v>
      </c>
      <c r="H118" t="s">
        <v>1408</v>
      </c>
      <c r="I118" t="s">
        <v>817</v>
      </c>
      <c r="J118" t="s">
        <v>928</v>
      </c>
      <c r="K118" t="s">
        <v>862</v>
      </c>
      <c r="L118" t="s">
        <v>1409</v>
      </c>
      <c r="M118" t="s">
        <v>208</v>
      </c>
      <c r="N118" t="s">
        <v>1410</v>
      </c>
      <c r="O118" t="s">
        <v>894</v>
      </c>
      <c r="P118" t="s">
        <v>772</v>
      </c>
      <c r="Q118" t="s">
        <v>1417</v>
      </c>
      <c r="R118">
        <v>23.24</v>
      </c>
      <c r="S118">
        <v>5</v>
      </c>
      <c r="T118">
        <v>0</v>
      </c>
      <c r="U118">
        <v>0</v>
      </c>
      <c r="V118">
        <v>23.24</v>
      </c>
      <c r="W118">
        <v>5</v>
      </c>
      <c r="X118">
        <v>0</v>
      </c>
      <c r="Y118">
        <v>0</v>
      </c>
      <c r="Z118">
        <v>23.24</v>
      </c>
      <c r="AA118">
        <v>5</v>
      </c>
      <c r="AB118">
        <v>23.24</v>
      </c>
      <c r="AC118">
        <v>5</v>
      </c>
      <c r="AD118">
        <v>23.24</v>
      </c>
      <c r="AE118">
        <v>5</v>
      </c>
      <c r="AF118">
        <v>23.24</v>
      </c>
      <c r="AG118">
        <v>5</v>
      </c>
      <c r="AH118">
        <v>0</v>
      </c>
      <c r="AI118">
        <v>0</v>
      </c>
      <c r="AJ118" t="s">
        <v>930</v>
      </c>
      <c r="AK118" t="s">
        <v>931</v>
      </c>
      <c r="AL118" t="s">
        <v>208</v>
      </c>
      <c r="AM118" t="s">
        <v>855</v>
      </c>
      <c r="AN118" t="s">
        <v>894</v>
      </c>
      <c r="AO118" t="s">
        <v>772</v>
      </c>
      <c r="AP118" t="s">
        <v>1125</v>
      </c>
      <c r="AY118" t="str">
        <f t="shared" si="19"/>
        <v>AVEMIX N° 150</v>
      </c>
      <c r="AZ118" t="str">
        <f>IF(COUNTIF(AY:AY,AY118)=1,AY118,IF(AND(COUNTIF(AY:AY,AY118)&gt;1,COUNTIF(AZ$2:AZ117,AY118)&gt;=1),"",AY118))</f>
        <v/>
      </c>
      <c r="BA118" t="str">
        <f>IF(AZ118="","",COUNTIFS(AZ$3:AZ$1439,"&lt;"&amp;AZ118,AZ$3:AZ$1439,"&lt;&gt;0")+COUNTIF(AZ$3:AZ118,AZ118)-876)</f>
        <v/>
      </c>
      <c r="BC118">
        <v>116</v>
      </c>
      <c r="BD118" t="str">
        <f t="shared" si="30"/>
        <v>CLOXAMAM</v>
      </c>
      <c r="BE118" t="str">
        <f t="shared" si="20"/>
        <v>INTRAMAM</v>
      </c>
      <c r="BF118" t="str">
        <f t="shared" si="21"/>
        <v>PENICILLINES</v>
      </c>
      <c r="BG118" t="str">
        <f t="shared" si="22"/>
        <v/>
      </c>
      <c r="BH118" t="str">
        <f t="shared" si="23"/>
        <v/>
      </c>
      <c r="BI118" t="str">
        <f t="shared" si="24"/>
        <v>cloxacillin</v>
      </c>
      <c r="BJ118" t="str">
        <f t="shared" si="25"/>
        <v/>
      </c>
      <c r="BK118" t="str">
        <f t="shared" si="26"/>
        <v/>
      </c>
      <c r="BL118" t="str">
        <f t="shared" si="31"/>
        <v>Cloxacilline</v>
      </c>
      <c r="BM118" t="str">
        <f t="shared" si="27"/>
        <v>Cloxacilline</v>
      </c>
      <c r="BN118" t="str">
        <f t="shared" si="28"/>
        <v/>
      </c>
      <c r="BO118" t="str">
        <f t="shared" si="29"/>
        <v/>
      </c>
      <c r="BP118" t="str">
        <f t="shared" si="32"/>
        <v>Penicillines</v>
      </c>
      <c r="BQ118" t="str">
        <f t="shared" si="33"/>
        <v>Penicillines</v>
      </c>
      <c r="BR118" t="str">
        <f t="shared" si="34"/>
        <v/>
      </c>
      <c r="BS118" t="str">
        <f t="shared" si="35"/>
        <v/>
      </c>
      <c r="BT118" s="76" t="str">
        <f t="shared" si="36"/>
        <v>Voie intramammaire</v>
      </c>
      <c r="BU118" t="str">
        <f t="shared" si="37"/>
        <v/>
      </c>
      <c r="CK118" s="109" t="s">
        <v>1959</v>
      </c>
      <c r="CL118" s="185" t="s">
        <v>4321</v>
      </c>
      <c r="CN118">
        <v>117</v>
      </c>
    </row>
    <row r="119" spans="1:92" x14ac:dyDescent="0.3">
      <c r="A119" s="118" t="s">
        <v>4785</v>
      </c>
      <c r="B119" t="s">
        <v>4786</v>
      </c>
      <c r="C119" t="s">
        <v>1729</v>
      </c>
      <c r="D119" t="s">
        <v>955</v>
      </c>
      <c r="E119" t="s">
        <v>830</v>
      </c>
      <c r="F119" t="s">
        <v>4787</v>
      </c>
      <c r="G119" t="s">
        <v>831</v>
      </c>
      <c r="H119" t="s">
        <v>4788</v>
      </c>
      <c r="I119" t="s">
        <v>817</v>
      </c>
      <c r="J119" t="s">
        <v>787</v>
      </c>
      <c r="K119" t="s">
        <v>787</v>
      </c>
      <c r="L119" t="s">
        <v>3252</v>
      </c>
      <c r="M119" t="s">
        <v>208</v>
      </c>
      <c r="N119" t="s">
        <v>3253</v>
      </c>
      <c r="O119" t="s">
        <v>894</v>
      </c>
      <c r="P119" t="s">
        <v>772</v>
      </c>
      <c r="Q119" t="s">
        <v>4789</v>
      </c>
      <c r="R119">
        <v>0</v>
      </c>
      <c r="S119">
        <v>0</v>
      </c>
      <c r="T119">
        <v>0</v>
      </c>
      <c r="U119">
        <v>0</v>
      </c>
      <c r="V119">
        <v>0</v>
      </c>
      <c r="W119">
        <v>0</v>
      </c>
      <c r="X119">
        <v>0</v>
      </c>
      <c r="Y119">
        <v>0</v>
      </c>
      <c r="Z119">
        <v>0</v>
      </c>
      <c r="AA119">
        <v>0</v>
      </c>
      <c r="AB119">
        <v>0</v>
      </c>
      <c r="AC119">
        <v>0</v>
      </c>
      <c r="AD119">
        <v>0</v>
      </c>
      <c r="AE119">
        <v>0</v>
      </c>
      <c r="AF119">
        <v>20</v>
      </c>
      <c r="AG119">
        <v>5</v>
      </c>
      <c r="AH119">
        <v>0</v>
      </c>
      <c r="AI119">
        <v>0</v>
      </c>
      <c r="AY119" t="str">
        <f t="shared" si="19"/>
        <v>AVIPEN</v>
      </c>
      <c r="AZ119" t="str">
        <f>IF(COUNTIF(AY:AY,AY119)=1,AY119,IF(AND(COUNTIF(AY:AY,AY119)&gt;1,COUNTIF(AZ$2:AZ118,AY119)&gt;=1),"",AY119))</f>
        <v>AVIPEN</v>
      </c>
      <c r="BA119">
        <f>IF(AZ119="","",COUNTIFS(AZ$3:AZ$1439,"&lt;"&amp;AZ119,AZ$3:AZ$1439,"&lt;&gt;0")+COUNTIF(AZ$3:AZ119,AZ119)-876)</f>
        <v>54</v>
      </c>
      <c r="BC119">
        <v>117</v>
      </c>
      <c r="BD119" t="str">
        <f t="shared" si="30"/>
        <v>CLOXINE HL</v>
      </c>
      <c r="BE119" t="str">
        <f t="shared" si="20"/>
        <v>INTRAMAM</v>
      </c>
      <c r="BF119" t="str">
        <f t="shared" si="21"/>
        <v>PENICILLINES</v>
      </c>
      <c r="BG119" t="str">
        <f t="shared" si="22"/>
        <v/>
      </c>
      <c r="BH119" t="str">
        <f t="shared" si="23"/>
        <v/>
      </c>
      <c r="BI119" t="str">
        <f t="shared" si="24"/>
        <v>cloxacillin</v>
      </c>
      <c r="BJ119" t="str">
        <f t="shared" si="25"/>
        <v/>
      </c>
      <c r="BK119" t="str">
        <f t="shared" si="26"/>
        <v/>
      </c>
      <c r="BL119" t="str">
        <f t="shared" si="31"/>
        <v>Cloxacilline</v>
      </c>
      <c r="BM119" t="str">
        <f t="shared" si="27"/>
        <v>Cloxacilline</v>
      </c>
      <c r="BN119" t="str">
        <f t="shared" si="28"/>
        <v/>
      </c>
      <c r="BO119" t="str">
        <f t="shared" si="29"/>
        <v/>
      </c>
      <c r="BP119" t="str">
        <f t="shared" si="32"/>
        <v>Penicillines</v>
      </c>
      <c r="BQ119" t="str">
        <f t="shared" si="33"/>
        <v>Penicillines</v>
      </c>
      <c r="BR119" t="str">
        <f t="shared" si="34"/>
        <v/>
      </c>
      <c r="BS119" t="str">
        <f t="shared" si="35"/>
        <v/>
      </c>
      <c r="BT119" s="76" t="str">
        <f t="shared" si="36"/>
        <v>Voie intramammaire</v>
      </c>
      <c r="BU119" t="str">
        <f t="shared" si="37"/>
        <v/>
      </c>
      <c r="CK119" s="109" t="s">
        <v>1952</v>
      </c>
      <c r="CL119" s="185" t="s">
        <v>4321</v>
      </c>
      <c r="CN119">
        <v>118</v>
      </c>
    </row>
    <row r="120" spans="1:92" x14ac:dyDescent="0.3">
      <c r="A120" s="118" t="s">
        <v>4785</v>
      </c>
      <c r="B120" t="s">
        <v>4790</v>
      </c>
      <c r="C120" t="s">
        <v>828</v>
      </c>
      <c r="D120" t="s">
        <v>829</v>
      </c>
      <c r="E120" t="s">
        <v>830</v>
      </c>
      <c r="F120" t="s">
        <v>4787</v>
      </c>
      <c r="G120" t="s">
        <v>831</v>
      </c>
      <c r="H120" t="s">
        <v>4788</v>
      </c>
      <c r="I120" t="s">
        <v>817</v>
      </c>
      <c r="J120" t="s">
        <v>787</v>
      </c>
      <c r="K120" t="s">
        <v>787</v>
      </c>
      <c r="L120" t="s">
        <v>3252</v>
      </c>
      <c r="M120" t="s">
        <v>208</v>
      </c>
      <c r="N120" t="s">
        <v>3253</v>
      </c>
      <c r="O120" t="s">
        <v>894</v>
      </c>
      <c r="P120" t="s">
        <v>772</v>
      </c>
      <c r="Q120" t="s">
        <v>3253</v>
      </c>
      <c r="R120">
        <v>0</v>
      </c>
      <c r="S120">
        <v>0</v>
      </c>
      <c r="T120">
        <v>0</v>
      </c>
      <c r="U120">
        <v>0</v>
      </c>
      <c r="V120">
        <v>0</v>
      </c>
      <c r="W120">
        <v>0</v>
      </c>
      <c r="X120">
        <v>0</v>
      </c>
      <c r="Y120">
        <v>0</v>
      </c>
      <c r="Z120">
        <v>0</v>
      </c>
      <c r="AA120">
        <v>0</v>
      </c>
      <c r="AB120">
        <v>0</v>
      </c>
      <c r="AC120">
        <v>0</v>
      </c>
      <c r="AD120">
        <v>0</v>
      </c>
      <c r="AE120">
        <v>0</v>
      </c>
      <c r="AF120">
        <v>20</v>
      </c>
      <c r="AG120">
        <v>5</v>
      </c>
      <c r="AH120">
        <v>0</v>
      </c>
      <c r="AI120">
        <v>0</v>
      </c>
      <c r="AY120" t="str">
        <f t="shared" si="19"/>
        <v>AVIPEN</v>
      </c>
      <c r="AZ120" t="str">
        <f>IF(COUNTIF(AY:AY,AY120)=1,AY120,IF(AND(COUNTIF(AY:AY,AY120)&gt;1,COUNTIF(AZ$2:AZ119,AY120)&gt;=1),"",AY120))</f>
        <v/>
      </c>
      <c r="BA120" t="str">
        <f>IF(AZ120="","",COUNTIFS(AZ$3:AZ$1439,"&lt;"&amp;AZ120,AZ$3:AZ$1439,"&lt;&gt;0")+COUNTIF(AZ$3:AZ120,AZ120)-876)</f>
        <v/>
      </c>
      <c r="BC120">
        <v>118</v>
      </c>
      <c r="BD120" t="str">
        <f t="shared" si="30"/>
        <v>COBACTAN 2,5 %</v>
      </c>
      <c r="BE120" t="str">
        <f t="shared" si="20"/>
        <v>INJ</v>
      </c>
      <c r="BF120" t="str">
        <f t="shared" si="21"/>
        <v>CEPHALOSPORINES 3&amp;4G</v>
      </c>
      <c r="BG120" t="str">
        <f t="shared" si="22"/>
        <v/>
      </c>
      <c r="BH120" t="str">
        <f t="shared" si="23"/>
        <v/>
      </c>
      <c r="BI120" t="str">
        <f t="shared" si="24"/>
        <v>cefquinome</v>
      </c>
      <c r="BJ120" t="str">
        <f t="shared" si="25"/>
        <v/>
      </c>
      <c r="BK120" t="str">
        <f t="shared" si="26"/>
        <v/>
      </c>
      <c r="BL120" t="str">
        <f t="shared" si="31"/>
        <v>Cefquinome</v>
      </c>
      <c r="BM120" t="str">
        <f t="shared" si="27"/>
        <v>Cefquinome</v>
      </c>
      <c r="BN120" t="str">
        <f t="shared" si="28"/>
        <v/>
      </c>
      <c r="BO120" t="str">
        <f t="shared" si="29"/>
        <v/>
      </c>
      <c r="BP120" t="str">
        <f t="shared" si="32"/>
        <v>Cephalosporines 3&amp;4G</v>
      </c>
      <c r="BQ120" t="str">
        <f t="shared" si="33"/>
        <v>Cephalosporines 3&amp;4G</v>
      </c>
      <c r="BR120" t="str">
        <f t="shared" si="34"/>
        <v/>
      </c>
      <c r="BS120" t="str">
        <f t="shared" si="35"/>
        <v/>
      </c>
      <c r="BT120" s="76" t="str">
        <f t="shared" si="36"/>
        <v>Voie parentérale</v>
      </c>
      <c r="BU120" t="str">
        <f t="shared" si="37"/>
        <v>x</v>
      </c>
      <c r="CK120" s="109" t="s">
        <v>1861</v>
      </c>
      <c r="CL120" s="185" t="s">
        <v>4321</v>
      </c>
      <c r="CN120">
        <v>119</v>
      </c>
    </row>
    <row r="121" spans="1:92" x14ac:dyDescent="0.3">
      <c r="A121" s="118" t="s">
        <v>1209</v>
      </c>
      <c r="B121" t="s">
        <v>1210</v>
      </c>
      <c r="C121" t="s">
        <v>1211</v>
      </c>
      <c r="D121" s="144" t="s">
        <v>1212</v>
      </c>
      <c r="E121" t="s">
        <v>830</v>
      </c>
      <c r="F121" t="s">
        <v>606</v>
      </c>
      <c r="G121" t="s">
        <v>831</v>
      </c>
      <c r="H121" t="s">
        <v>1213</v>
      </c>
      <c r="I121" t="s">
        <v>817</v>
      </c>
      <c r="J121" t="s">
        <v>802</v>
      </c>
      <c r="K121" t="s">
        <v>802</v>
      </c>
      <c r="L121" t="s">
        <v>1092</v>
      </c>
      <c r="M121" t="s">
        <v>208</v>
      </c>
      <c r="N121" t="s">
        <v>940</v>
      </c>
      <c r="O121" t="s">
        <v>894</v>
      </c>
      <c r="P121" t="s">
        <v>772</v>
      </c>
      <c r="Q121" t="s">
        <v>1214</v>
      </c>
      <c r="R121">
        <v>0</v>
      </c>
      <c r="S121">
        <v>0</v>
      </c>
      <c r="T121">
        <v>0</v>
      </c>
      <c r="U121">
        <v>0</v>
      </c>
      <c r="V121">
        <v>0</v>
      </c>
      <c r="W121">
        <v>0</v>
      </c>
      <c r="X121">
        <v>0</v>
      </c>
      <c r="Y121">
        <v>0</v>
      </c>
      <c r="Z121">
        <v>0</v>
      </c>
      <c r="AA121">
        <v>0</v>
      </c>
      <c r="AB121">
        <v>0</v>
      </c>
      <c r="AC121">
        <v>0</v>
      </c>
      <c r="AD121">
        <v>25</v>
      </c>
      <c r="AE121">
        <v>10</v>
      </c>
      <c r="AF121">
        <v>0</v>
      </c>
      <c r="AG121">
        <v>0</v>
      </c>
      <c r="AH121">
        <v>0</v>
      </c>
      <c r="AI121">
        <v>0</v>
      </c>
      <c r="AY121" t="str">
        <f t="shared" si="19"/>
        <v>AXENTYL</v>
      </c>
      <c r="AZ121" t="str">
        <f>IF(COUNTIF(AY:AY,AY121)=1,AY121,IF(AND(COUNTIF(AY:AY,AY121)&gt;1,COUNTIF(AZ$2:AZ120,AY121)&gt;=1),"",AY121))</f>
        <v>AXENTYL</v>
      </c>
      <c r="BA121">
        <f>IF(AZ121="","",COUNTIFS(AZ$3:AZ$1439,"&lt;"&amp;AZ121,AZ$3:AZ$1439,"&lt;&gt;0")+COUNTIF(AZ$3:AZ121,AZ121)-876)</f>
        <v>55</v>
      </c>
      <c r="BC121">
        <v>119</v>
      </c>
      <c r="BD121" t="str">
        <f t="shared" si="30"/>
        <v>COBACTAN 4,5 % PS</v>
      </c>
      <c r="BE121" t="str">
        <f t="shared" si="20"/>
        <v>INJ</v>
      </c>
      <c r="BF121" t="str">
        <f t="shared" si="21"/>
        <v>CEPHALOSPORINES 3&amp;4G</v>
      </c>
      <c r="BG121" t="str">
        <f t="shared" si="22"/>
        <v/>
      </c>
      <c r="BH121" t="str">
        <f t="shared" si="23"/>
        <v/>
      </c>
      <c r="BI121" t="str">
        <f t="shared" si="24"/>
        <v>cefquinome</v>
      </c>
      <c r="BJ121" t="str">
        <f t="shared" si="25"/>
        <v/>
      </c>
      <c r="BK121" t="str">
        <f t="shared" si="26"/>
        <v/>
      </c>
      <c r="BL121" t="str">
        <f t="shared" si="31"/>
        <v>Cefquinome</v>
      </c>
      <c r="BM121" t="str">
        <f t="shared" si="27"/>
        <v>Cefquinome</v>
      </c>
      <c r="BN121" t="str">
        <f t="shared" si="28"/>
        <v/>
      </c>
      <c r="BO121" t="str">
        <f t="shared" si="29"/>
        <v/>
      </c>
      <c r="BP121" t="str">
        <f t="shared" si="32"/>
        <v>Cephalosporines 3&amp;4G</v>
      </c>
      <c r="BQ121" t="str">
        <f t="shared" si="33"/>
        <v>Cephalosporines 3&amp;4G</v>
      </c>
      <c r="BR121" t="str">
        <f t="shared" si="34"/>
        <v/>
      </c>
      <c r="BS121" t="str">
        <f t="shared" si="35"/>
        <v/>
      </c>
      <c r="BT121" s="76" t="str">
        <f t="shared" si="36"/>
        <v>Voie parentérale</v>
      </c>
      <c r="BU121" t="str">
        <f t="shared" si="37"/>
        <v>x</v>
      </c>
      <c r="CK121" s="109" t="s">
        <v>1871</v>
      </c>
      <c r="CL121" s="185" t="s">
        <v>4321</v>
      </c>
      <c r="CN121">
        <v>120</v>
      </c>
    </row>
    <row r="122" spans="1:92" x14ac:dyDescent="0.3">
      <c r="A122" s="118" t="s">
        <v>3870</v>
      </c>
      <c r="B122" t="s">
        <v>3871</v>
      </c>
      <c r="C122" t="s">
        <v>1483</v>
      </c>
      <c r="D122" s="144" t="s">
        <v>764</v>
      </c>
      <c r="E122" t="s">
        <v>765</v>
      </c>
      <c r="F122" t="s">
        <v>249</v>
      </c>
      <c r="G122" t="s">
        <v>766</v>
      </c>
      <c r="H122" t="s">
        <v>851</v>
      </c>
      <c r="I122" t="s">
        <v>766</v>
      </c>
      <c r="J122" t="s">
        <v>802</v>
      </c>
      <c r="K122" t="s">
        <v>802</v>
      </c>
      <c r="L122" t="s">
        <v>1092</v>
      </c>
      <c r="M122" t="s">
        <v>208</v>
      </c>
      <c r="N122" t="s">
        <v>1103</v>
      </c>
      <c r="O122" t="s">
        <v>805</v>
      </c>
      <c r="P122" t="s">
        <v>1537</v>
      </c>
      <c r="Q122" t="s">
        <v>869</v>
      </c>
      <c r="R122">
        <v>10</v>
      </c>
      <c r="S122">
        <v>3</v>
      </c>
      <c r="T122">
        <v>0</v>
      </c>
      <c r="U122">
        <v>0</v>
      </c>
      <c r="V122">
        <v>0</v>
      </c>
      <c r="W122">
        <v>0</v>
      </c>
      <c r="X122">
        <v>0</v>
      </c>
      <c r="Y122">
        <v>0</v>
      </c>
      <c r="Z122">
        <v>0</v>
      </c>
      <c r="AA122">
        <v>0</v>
      </c>
      <c r="AB122">
        <v>10</v>
      </c>
      <c r="AC122">
        <v>3</v>
      </c>
      <c r="AD122">
        <v>10</v>
      </c>
      <c r="AE122">
        <v>3</v>
      </c>
      <c r="AF122">
        <v>10</v>
      </c>
      <c r="AG122">
        <v>3</v>
      </c>
      <c r="AH122">
        <v>0</v>
      </c>
      <c r="AI122">
        <v>0</v>
      </c>
      <c r="AY122" t="str">
        <f t="shared" si="19"/>
        <v>AXENTYL 200 MG/ML SOLUTION INJECTABLE POUR BOVINS, OVINS, CAPRINS ET PORCINS</v>
      </c>
      <c r="AZ122" t="str">
        <f>IF(COUNTIF(AY:AY,AY122)=1,AY122,IF(AND(COUNTIF(AY:AY,AY122)&gt;1,COUNTIF(AZ$2:AZ121,AY122)&gt;=1),"",AY122))</f>
        <v>AXENTYL 200 MG/ML SOLUTION INJECTABLE POUR BOVINS, OVINS, CAPRINS ET PORCINS</v>
      </c>
      <c r="BA122">
        <f>IF(AZ122="","",COUNTIFS(AZ$3:AZ$1439,"&lt;"&amp;AZ122,AZ$3:AZ$1439,"&lt;&gt;0")+COUNTIF(AZ$3:AZ122,AZ122)-876)</f>
        <v>56</v>
      </c>
      <c r="BC122">
        <v>120</v>
      </c>
      <c r="BD122" t="str">
        <f t="shared" si="30"/>
        <v>COBACTAN LA 7,5 % SUSPENSION INJECTABLE POUR BOVINS</v>
      </c>
      <c r="BE122" t="str">
        <f t="shared" si="20"/>
        <v>INJ</v>
      </c>
      <c r="BF122" t="str">
        <f t="shared" si="21"/>
        <v>CEPHALOSPORINES 3&amp;4G</v>
      </c>
      <c r="BG122" t="str">
        <f t="shared" si="22"/>
        <v/>
      </c>
      <c r="BH122" t="str">
        <f t="shared" si="23"/>
        <v/>
      </c>
      <c r="BI122" t="str">
        <f t="shared" si="24"/>
        <v>cefquinome</v>
      </c>
      <c r="BJ122" t="str">
        <f t="shared" si="25"/>
        <v/>
      </c>
      <c r="BK122" t="str">
        <f t="shared" si="26"/>
        <v/>
      </c>
      <c r="BL122" t="str">
        <f t="shared" si="31"/>
        <v>Cefquinome</v>
      </c>
      <c r="BM122" t="str">
        <f t="shared" si="27"/>
        <v>Cefquinome</v>
      </c>
      <c r="BN122" t="str">
        <f t="shared" si="28"/>
        <v/>
      </c>
      <c r="BO122" t="str">
        <f t="shared" si="29"/>
        <v/>
      </c>
      <c r="BP122" t="str">
        <f t="shared" si="32"/>
        <v>Cephalosporines 3&amp;4G</v>
      </c>
      <c r="BQ122" t="str">
        <f t="shared" si="33"/>
        <v>Cephalosporines 3&amp;4G</v>
      </c>
      <c r="BR122" t="str">
        <f t="shared" si="34"/>
        <v/>
      </c>
      <c r="BS122" t="str">
        <f t="shared" si="35"/>
        <v/>
      </c>
      <c r="BT122" s="76" t="str">
        <f t="shared" si="36"/>
        <v>Voie parentérale</v>
      </c>
      <c r="BU122" t="str">
        <f t="shared" si="37"/>
        <v>x</v>
      </c>
      <c r="CK122" s="109" t="s">
        <v>2477</v>
      </c>
      <c r="CL122" s="185" t="s">
        <v>4321</v>
      </c>
      <c r="CN122">
        <v>121</v>
      </c>
    </row>
    <row r="123" spans="1:92" x14ac:dyDescent="0.3">
      <c r="A123" s="118" t="s">
        <v>3870</v>
      </c>
      <c r="B123" t="s">
        <v>3872</v>
      </c>
      <c r="C123" t="s">
        <v>1474</v>
      </c>
      <c r="D123" s="144" t="s">
        <v>776</v>
      </c>
      <c r="E123" t="s">
        <v>765</v>
      </c>
      <c r="F123" t="s">
        <v>249</v>
      </c>
      <c r="G123" t="s">
        <v>766</v>
      </c>
      <c r="H123" t="s">
        <v>851</v>
      </c>
      <c r="I123" t="s">
        <v>766</v>
      </c>
      <c r="J123" t="s">
        <v>802</v>
      </c>
      <c r="K123" t="s">
        <v>802</v>
      </c>
      <c r="L123" t="s">
        <v>1092</v>
      </c>
      <c r="M123" t="s">
        <v>208</v>
      </c>
      <c r="N123" t="s">
        <v>1103</v>
      </c>
      <c r="O123" t="s">
        <v>805</v>
      </c>
      <c r="P123" t="s">
        <v>1537</v>
      </c>
      <c r="Q123" t="s">
        <v>780</v>
      </c>
      <c r="R123">
        <v>10</v>
      </c>
      <c r="S123">
        <v>3</v>
      </c>
      <c r="T123">
        <v>0</v>
      </c>
      <c r="U123">
        <v>0</v>
      </c>
      <c r="V123">
        <v>0</v>
      </c>
      <c r="W123">
        <v>0</v>
      </c>
      <c r="X123">
        <v>0</v>
      </c>
      <c r="Y123">
        <v>0</v>
      </c>
      <c r="Z123">
        <v>0</v>
      </c>
      <c r="AA123">
        <v>0</v>
      </c>
      <c r="AB123">
        <v>10</v>
      </c>
      <c r="AC123">
        <v>3</v>
      </c>
      <c r="AD123">
        <v>10</v>
      </c>
      <c r="AE123">
        <v>3</v>
      </c>
      <c r="AF123">
        <v>10</v>
      </c>
      <c r="AG123">
        <v>3</v>
      </c>
      <c r="AH123">
        <v>0</v>
      </c>
      <c r="AI123">
        <v>0</v>
      </c>
      <c r="AY123" t="str">
        <f t="shared" si="19"/>
        <v>AXENTYL 200 MG/ML SOLUTION INJECTABLE POUR BOVINS, OVINS, CAPRINS ET PORCINS</v>
      </c>
      <c r="AZ123" t="str">
        <f>IF(COUNTIF(AY:AY,AY123)=1,AY123,IF(AND(COUNTIF(AY:AY,AY123)&gt;1,COUNTIF(AZ$2:AZ122,AY123)&gt;=1),"",AY123))</f>
        <v/>
      </c>
      <c r="BA123" t="str">
        <f>IF(AZ123="","",COUNTIFS(AZ$3:AZ$1439,"&lt;"&amp;AZ123,AZ$3:AZ$1439,"&lt;&gt;0")+COUNTIF(AZ$3:AZ123,AZ123)-876)</f>
        <v/>
      </c>
      <c r="BC123">
        <v>121</v>
      </c>
      <c r="BD123" t="str">
        <f t="shared" si="30"/>
        <v>COBACTAN LC POMMADE INTRAMAMMAIRE</v>
      </c>
      <c r="BE123" t="str">
        <f t="shared" si="20"/>
        <v>INTRAMAM</v>
      </c>
      <c r="BF123" t="str">
        <f t="shared" si="21"/>
        <v>CEPHALOSPORINES 3&amp;4G</v>
      </c>
      <c r="BG123" t="str">
        <f t="shared" si="22"/>
        <v/>
      </c>
      <c r="BH123" t="str">
        <f t="shared" si="23"/>
        <v/>
      </c>
      <c r="BI123" t="str">
        <f t="shared" si="24"/>
        <v>cefquinome</v>
      </c>
      <c r="BJ123" t="str">
        <f t="shared" si="25"/>
        <v/>
      </c>
      <c r="BK123" t="str">
        <f t="shared" si="26"/>
        <v/>
      </c>
      <c r="BL123" t="str">
        <f t="shared" si="31"/>
        <v>Cefquinome</v>
      </c>
      <c r="BM123" t="str">
        <f t="shared" si="27"/>
        <v>Cefquinome</v>
      </c>
      <c r="BN123" t="str">
        <f t="shared" si="28"/>
        <v/>
      </c>
      <c r="BO123" t="str">
        <f t="shared" si="29"/>
        <v/>
      </c>
      <c r="BP123" t="str">
        <f t="shared" si="32"/>
        <v>Cephalosporines 3&amp;4G</v>
      </c>
      <c r="BQ123" t="str">
        <f t="shared" si="33"/>
        <v>Cephalosporines 3&amp;4G</v>
      </c>
      <c r="BR123" t="str">
        <f t="shared" si="34"/>
        <v/>
      </c>
      <c r="BS123" t="str">
        <f t="shared" si="35"/>
        <v/>
      </c>
      <c r="BT123" s="76" t="str">
        <f t="shared" si="36"/>
        <v>Voie intramammaire</v>
      </c>
      <c r="BU123" t="str">
        <f t="shared" si="37"/>
        <v>x</v>
      </c>
      <c r="CK123" s="109" t="s">
        <v>957</v>
      </c>
      <c r="CL123" s="185" t="s">
        <v>4321</v>
      </c>
      <c r="CN123">
        <v>122</v>
      </c>
    </row>
    <row r="124" spans="1:92" x14ac:dyDescent="0.3">
      <c r="A124" s="118" t="s">
        <v>3870</v>
      </c>
      <c r="B124" t="s">
        <v>3873</v>
      </c>
      <c r="C124" t="s">
        <v>792</v>
      </c>
      <c r="D124" s="144" t="s">
        <v>764</v>
      </c>
      <c r="E124" t="s">
        <v>765</v>
      </c>
      <c r="F124" t="s">
        <v>249</v>
      </c>
      <c r="G124" t="s">
        <v>766</v>
      </c>
      <c r="H124" t="s">
        <v>851</v>
      </c>
      <c r="I124" t="s">
        <v>766</v>
      </c>
      <c r="J124" t="s">
        <v>802</v>
      </c>
      <c r="K124" t="s">
        <v>802</v>
      </c>
      <c r="L124" t="s">
        <v>1092</v>
      </c>
      <c r="M124" t="s">
        <v>208</v>
      </c>
      <c r="N124" t="s">
        <v>1103</v>
      </c>
      <c r="O124" t="s">
        <v>805</v>
      </c>
      <c r="P124" t="s">
        <v>1537</v>
      </c>
      <c r="Q124" t="s">
        <v>869</v>
      </c>
      <c r="R124">
        <v>10</v>
      </c>
      <c r="S124">
        <v>3</v>
      </c>
      <c r="T124">
        <v>0</v>
      </c>
      <c r="U124">
        <v>0</v>
      </c>
      <c r="V124">
        <v>0</v>
      </c>
      <c r="W124">
        <v>0</v>
      </c>
      <c r="X124">
        <v>0</v>
      </c>
      <c r="Y124">
        <v>0</v>
      </c>
      <c r="Z124">
        <v>0</v>
      </c>
      <c r="AA124">
        <v>0</v>
      </c>
      <c r="AB124">
        <v>10</v>
      </c>
      <c r="AC124">
        <v>3</v>
      </c>
      <c r="AD124">
        <v>10</v>
      </c>
      <c r="AE124">
        <v>3</v>
      </c>
      <c r="AF124">
        <v>10</v>
      </c>
      <c r="AG124">
        <v>3</v>
      </c>
      <c r="AH124">
        <v>0</v>
      </c>
      <c r="AI124">
        <v>0</v>
      </c>
      <c r="AY124" t="str">
        <f t="shared" si="19"/>
        <v>AXENTYL 200 MG/ML SOLUTION INJECTABLE POUR BOVINS, OVINS, CAPRINS ET PORCINS</v>
      </c>
      <c r="AZ124" t="str">
        <f>IF(COUNTIF(AY:AY,AY124)=1,AY124,IF(AND(COUNTIF(AY:AY,AY124)&gt;1,COUNTIF(AZ$2:AZ123,AY124)&gt;=1),"",AY124))</f>
        <v/>
      </c>
      <c r="BA124" t="str">
        <f>IF(AZ124="","",COUNTIFS(AZ$3:AZ$1439,"&lt;"&amp;AZ124,AZ$3:AZ$1439,"&lt;&gt;0")+COUNTIF(AZ$3:AZ124,AZ124)-876)</f>
        <v/>
      </c>
      <c r="BC124">
        <v>122</v>
      </c>
      <c r="BD124" t="str">
        <f t="shared" si="30"/>
        <v>COFACOLI POUDRE</v>
      </c>
      <c r="BE124" t="str">
        <f t="shared" si="20"/>
        <v>ORAL</v>
      </c>
      <c r="BF124" t="str">
        <f t="shared" si="21"/>
        <v>POLYPEPTIDES</v>
      </c>
      <c r="BG124" t="str">
        <f t="shared" si="22"/>
        <v/>
      </c>
      <c r="BH124" t="str">
        <f t="shared" si="23"/>
        <v/>
      </c>
      <c r="BI124" t="str">
        <f t="shared" si="24"/>
        <v>colistin</v>
      </c>
      <c r="BJ124" t="str">
        <f t="shared" si="25"/>
        <v/>
      </c>
      <c r="BK124" t="str">
        <f t="shared" si="26"/>
        <v/>
      </c>
      <c r="BL124" t="str">
        <f t="shared" si="31"/>
        <v>Colistine</v>
      </c>
      <c r="BM124" t="str">
        <f t="shared" si="27"/>
        <v>Colistine</v>
      </c>
      <c r="BN124" t="str">
        <f t="shared" si="28"/>
        <v/>
      </c>
      <c r="BO124" t="str">
        <f t="shared" si="29"/>
        <v/>
      </c>
      <c r="BP124" t="str">
        <f t="shared" si="32"/>
        <v>Polypeptides</v>
      </c>
      <c r="BQ124" t="str">
        <f t="shared" si="33"/>
        <v>Polypeptides</v>
      </c>
      <c r="BR124" t="str">
        <f t="shared" si="34"/>
        <v/>
      </c>
      <c r="BS124" t="str">
        <f t="shared" si="35"/>
        <v/>
      </c>
      <c r="BT124" s="76" t="str">
        <f t="shared" si="36"/>
        <v>Voie orale  hors prémélanges médicamenteux</v>
      </c>
      <c r="BU124" t="str">
        <f t="shared" si="37"/>
        <v>x</v>
      </c>
      <c r="CK124" s="109" t="s">
        <v>2103</v>
      </c>
      <c r="CL124" s="185"/>
      <c r="CN124">
        <v>123</v>
      </c>
    </row>
    <row r="125" spans="1:92" x14ac:dyDescent="0.3">
      <c r="A125" s="118" t="s">
        <v>3870</v>
      </c>
      <c r="B125" t="s">
        <v>3874</v>
      </c>
      <c r="C125" t="s">
        <v>796</v>
      </c>
      <c r="D125" s="144" t="s">
        <v>776</v>
      </c>
      <c r="E125" t="s">
        <v>765</v>
      </c>
      <c r="F125" t="s">
        <v>249</v>
      </c>
      <c r="G125" t="s">
        <v>766</v>
      </c>
      <c r="H125" t="s">
        <v>851</v>
      </c>
      <c r="I125" t="s">
        <v>766</v>
      </c>
      <c r="J125" t="s">
        <v>802</v>
      </c>
      <c r="K125" t="s">
        <v>802</v>
      </c>
      <c r="L125" t="s">
        <v>1092</v>
      </c>
      <c r="M125" t="s">
        <v>208</v>
      </c>
      <c r="N125" t="s">
        <v>1103</v>
      </c>
      <c r="O125" t="s">
        <v>805</v>
      </c>
      <c r="P125" t="s">
        <v>1537</v>
      </c>
      <c r="Q125" t="s">
        <v>780</v>
      </c>
      <c r="R125">
        <v>10</v>
      </c>
      <c r="S125">
        <v>3</v>
      </c>
      <c r="T125">
        <v>0</v>
      </c>
      <c r="U125">
        <v>0</v>
      </c>
      <c r="V125">
        <v>0</v>
      </c>
      <c r="W125">
        <v>0</v>
      </c>
      <c r="X125">
        <v>0</v>
      </c>
      <c r="Y125">
        <v>0</v>
      </c>
      <c r="Z125">
        <v>0</v>
      </c>
      <c r="AA125">
        <v>0</v>
      </c>
      <c r="AB125">
        <v>10</v>
      </c>
      <c r="AC125">
        <v>3</v>
      </c>
      <c r="AD125">
        <v>10</v>
      </c>
      <c r="AE125">
        <v>3</v>
      </c>
      <c r="AF125">
        <v>10</v>
      </c>
      <c r="AG125">
        <v>3</v>
      </c>
      <c r="AH125">
        <v>0</v>
      </c>
      <c r="AI125">
        <v>0</v>
      </c>
      <c r="AY125" t="str">
        <f t="shared" si="19"/>
        <v>AXENTYL 200 MG/ML SOLUTION INJECTABLE POUR BOVINS, OVINS, CAPRINS ET PORCINS</v>
      </c>
      <c r="AZ125" t="str">
        <f>IF(COUNTIF(AY:AY,AY125)=1,AY125,IF(AND(COUNTIF(AY:AY,AY125)&gt;1,COUNTIF(AZ$2:AZ124,AY125)&gt;=1),"",AY125))</f>
        <v/>
      </c>
      <c r="BA125" t="str">
        <f>IF(AZ125="","",COUNTIFS(AZ$3:AZ$1439,"&lt;"&amp;AZ125,AZ$3:AZ$1439,"&lt;&gt;0")+COUNTIF(AZ$3:AZ125,AZ125)-876)</f>
        <v/>
      </c>
      <c r="BC125">
        <v>123</v>
      </c>
      <c r="BD125" t="str">
        <f t="shared" si="30"/>
        <v>COFACOLI SOLUTION</v>
      </c>
      <c r="BE125" t="str">
        <f t="shared" si="20"/>
        <v>ORAL</v>
      </c>
      <c r="BF125" t="str">
        <f t="shared" si="21"/>
        <v>POLYPEPTIDES</v>
      </c>
      <c r="BG125" t="str">
        <f t="shared" si="22"/>
        <v/>
      </c>
      <c r="BH125" t="str">
        <f t="shared" si="23"/>
        <v/>
      </c>
      <c r="BI125" t="str">
        <f t="shared" si="24"/>
        <v>colistin</v>
      </c>
      <c r="BJ125" t="str">
        <f t="shared" si="25"/>
        <v/>
      </c>
      <c r="BK125" t="str">
        <f t="shared" si="26"/>
        <v/>
      </c>
      <c r="BL125" t="str">
        <f t="shared" si="31"/>
        <v>Colistine</v>
      </c>
      <c r="BM125" t="str">
        <f t="shared" si="27"/>
        <v>Colistine</v>
      </c>
      <c r="BN125" t="str">
        <f t="shared" si="28"/>
        <v/>
      </c>
      <c r="BO125" t="str">
        <f t="shared" si="29"/>
        <v/>
      </c>
      <c r="BP125" t="str">
        <f t="shared" si="32"/>
        <v>Polypeptides</v>
      </c>
      <c r="BQ125" t="str">
        <f t="shared" si="33"/>
        <v>Polypeptides</v>
      </c>
      <c r="BR125" t="str">
        <f t="shared" si="34"/>
        <v/>
      </c>
      <c r="BS125" t="str">
        <f t="shared" si="35"/>
        <v/>
      </c>
      <c r="BT125" s="76" t="str">
        <f t="shared" si="36"/>
        <v>Voie orale  hors prémélanges médicamenteux</v>
      </c>
      <c r="BU125" t="str">
        <f t="shared" si="37"/>
        <v>x</v>
      </c>
      <c r="CK125" s="109" t="s">
        <v>4149</v>
      </c>
      <c r="CL125" s="185"/>
      <c r="CN125">
        <v>124</v>
      </c>
    </row>
    <row r="126" spans="1:92" x14ac:dyDescent="0.3">
      <c r="A126" s="118" t="s">
        <v>2669</v>
      </c>
      <c r="B126" t="s">
        <v>2670</v>
      </c>
      <c r="C126" t="s">
        <v>2671</v>
      </c>
      <c r="D126" s="144" t="s">
        <v>829</v>
      </c>
      <c r="E126" t="s">
        <v>830</v>
      </c>
      <c r="F126" t="s">
        <v>65</v>
      </c>
      <c r="G126" t="s">
        <v>831</v>
      </c>
      <c r="H126" t="s">
        <v>832</v>
      </c>
      <c r="I126" t="s">
        <v>817</v>
      </c>
      <c r="J126" t="s">
        <v>787</v>
      </c>
      <c r="K126" t="s">
        <v>787</v>
      </c>
      <c r="L126" t="s">
        <v>1055</v>
      </c>
      <c r="M126" t="s">
        <v>208</v>
      </c>
      <c r="N126" t="s">
        <v>764</v>
      </c>
      <c r="O126" t="s">
        <v>894</v>
      </c>
      <c r="P126" t="s">
        <v>772</v>
      </c>
      <c r="Q126" t="s">
        <v>764</v>
      </c>
      <c r="R126">
        <v>10</v>
      </c>
      <c r="S126">
        <v>5</v>
      </c>
      <c r="T126">
        <v>0</v>
      </c>
      <c r="U126">
        <v>0</v>
      </c>
      <c r="V126">
        <v>0</v>
      </c>
      <c r="W126">
        <v>0</v>
      </c>
      <c r="X126">
        <v>0</v>
      </c>
      <c r="Y126">
        <v>0</v>
      </c>
      <c r="Z126">
        <v>0</v>
      </c>
      <c r="AA126">
        <v>0</v>
      </c>
      <c r="AB126">
        <v>0</v>
      </c>
      <c r="AC126">
        <v>0</v>
      </c>
      <c r="AD126">
        <v>10</v>
      </c>
      <c r="AE126">
        <v>5</v>
      </c>
      <c r="AF126">
        <v>10</v>
      </c>
      <c r="AG126">
        <v>5</v>
      </c>
      <c r="AH126">
        <v>0</v>
      </c>
      <c r="AI126">
        <v>0</v>
      </c>
      <c r="AY126" t="str">
        <f t="shared" si="19"/>
        <v>AXILLIN</v>
      </c>
      <c r="AZ126" t="str">
        <f>IF(COUNTIF(AY:AY,AY126)=1,AY126,IF(AND(COUNTIF(AY:AY,AY126)&gt;1,COUNTIF(AZ$2:AZ125,AY126)&gt;=1),"",AY126))</f>
        <v>AXILLIN</v>
      </c>
      <c r="BA126">
        <f>IF(AZ126="","",COUNTIFS(AZ$3:AZ$1439,"&lt;"&amp;AZ126,AZ$3:AZ$1439,"&lt;&gt;0")+COUNTIF(AZ$3:AZ126,AZ126)-876)</f>
        <v>57</v>
      </c>
      <c r="BC126">
        <v>124</v>
      </c>
      <c r="BD126" t="str">
        <f t="shared" si="30"/>
        <v>COFALAC</v>
      </c>
      <c r="BE126" t="str">
        <f t="shared" si="20"/>
        <v>ORAL</v>
      </c>
      <c r="BF126" t="str">
        <f t="shared" si="21"/>
        <v>POLYPEPTIDES</v>
      </c>
      <c r="BG126" t="str">
        <f t="shared" si="22"/>
        <v/>
      </c>
      <c r="BH126" t="str">
        <f t="shared" si="23"/>
        <v/>
      </c>
      <c r="BI126" t="str">
        <f t="shared" si="24"/>
        <v>colistin</v>
      </c>
      <c r="BJ126" t="str">
        <f t="shared" si="25"/>
        <v/>
      </c>
      <c r="BK126" t="str">
        <f t="shared" si="26"/>
        <v/>
      </c>
      <c r="BL126" t="str">
        <f t="shared" si="31"/>
        <v>Colistine</v>
      </c>
      <c r="BM126" t="str">
        <f t="shared" si="27"/>
        <v>Colistine</v>
      </c>
      <c r="BN126" t="str">
        <f t="shared" si="28"/>
        <v/>
      </c>
      <c r="BO126" t="str">
        <f t="shared" si="29"/>
        <v/>
      </c>
      <c r="BP126" t="str">
        <f t="shared" si="32"/>
        <v>Polypeptides</v>
      </c>
      <c r="BQ126" t="str">
        <f t="shared" si="33"/>
        <v>Polypeptides</v>
      </c>
      <c r="BR126" t="str">
        <f t="shared" si="34"/>
        <v/>
      </c>
      <c r="BS126" t="str">
        <f t="shared" si="35"/>
        <v/>
      </c>
      <c r="BT126" s="76" t="str">
        <f t="shared" si="36"/>
        <v>Voie orale  hors prémélanges médicamenteux</v>
      </c>
      <c r="BU126" t="str">
        <f t="shared" si="37"/>
        <v>x</v>
      </c>
      <c r="CK126" s="109" t="s">
        <v>1138</v>
      </c>
      <c r="CL126" s="185"/>
      <c r="CN126">
        <v>125</v>
      </c>
    </row>
    <row r="127" spans="1:92" x14ac:dyDescent="0.3">
      <c r="A127" s="118" t="s">
        <v>2669</v>
      </c>
      <c r="B127" t="s">
        <v>2672</v>
      </c>
      <c r="C127" t="s">
        <v>1313</v>
      </c>
      <c r="D127" s="144" t="s">
        <v>955</v>
      </c>
      <c r="E127" t="s">
        <v>830</v>
      </c>
      <c r="F127" t="s">
        <v>65</v>
      </c>
      <c r="G127" t="s">
        <v>831</v>
      </c>
      <c r="H127" t="s">
        <v>832</v>
      </c>
      <c r="I127" t="s">
        <v>817</v>
      </c>
      <c r="J127" t="s">
        <v>787</v>
      </c>
      <c r="K127" t="s">
        <v>787</v>
      </c>
      <c r="L127" t="s">
        <v>1055</v>
      </c>
      <c r="M127" t="s">
        <v>208</v>
      </c>
      <c r="N127" t="s">
        <v>764</v>
      </c>
      <c r="O127" t="s">
        <v>894</v>
      </c>
      <c r="P127" t="s">
        <v>772</v>
      </c>
      <c r="Q127" t="s">
        <v>906</v>
      </c>
      <c r="R127">
        <v>10</v>
      </c>
      <c r="S127">
        <v>5</v>
      </c>
      <c r="T127">
        <v>0</v>
      </c>
      <c r="U127">
        <v>0</v>
      </c>
      <c r="V127">
        <v>0</v>
      </c>
      <c r="W127">
        <v>0</v>
      </c>
      <c r="X127">
        <v>0</v>
      </c>
      <c r="Y127">
        <v>0</v>
      </c>
      <c r="Z127">
        <v>0</v>
      </c>
      <c r="AA127">
        <v>0</v>
      </c>
      <c r="AB127">
        <v>0</v>
      </c>
      <c r="AC127">
        <v>0</v>
      </c>
      <c r="AD127">
        <v>10</v>
      </c>
      <c r="AE127">
        <v>5</v>
      </c>
      <c r="AF127">
        <v>10</v>
      </c>
      <c r="AG127">
        <v>5</v>
      </c>
      <c r="AH127">
        <v>0</v>
      </c>
      <c r="AI127">
        <v>0</v>
      </c>
      <c r="AY127" t="str">
        <f t="shared" si="19"/>
        <v>AXILLIN</v>
      </c>
      <c r="AZ127" t="str">
        <f>IF(COUNTIF(AY:AY,AY127)=1,AY127,IF(AND(COUNTIF(AY:AY,AY127)&gt;1,COUNTIF(AZ$2:AZ126,AY127)&gt;=1),"",AY127))</f>
        <v/>
      </c>
      <c r="BA127" t="str">
        <f>IF(AZ127="","",COUNTIFS(AZ$3:AZ$1439,"&lt;"&amp;AZ127,AZ$3:AZ$1439,"&lt;&gt;0")+COUNTIF(AZ$3:AZ127,AZ127)-876)</f>
        <v/>
      </c>
      <c r="BC127">
        <v>125</v>
      </c>
      <c r="BD127" t="str">
        <f t="shared" si="30"/>
        <v>COFAMIX ACIDE OXOLINIQUE 40 VOLAILLE</v>
      </c>
      <c r="BE127" t="str">
        <f t="shared" si="20"/>
        <v>PM</v>
      </c>
      <c r="BF127" t="str">
        <f t="shared" si="21"/>
        <v>QUINOLONES</v>
      </c>
      <c r="BG127" t="str">
        <f t="shared" si="22"/>
        <v/>
      </c>
      <c r="BH127" t="str">
        <f t="shared" si="23"/>
        <v/>
      </c>
      <c r="BI127" t="str">
        <f t="shared" si="24"/>
        <v>oxolinic acid</v>
      </c>
      <c r="BJ127" t="str">
        <f t="shared" si="25"/>
        <v/>
      </c>
      <c r="BK127" t="str">
        <f t="shared" si="26"/>
        <v/>
      </c>
      <c r="BL127" t="str">
        <f t="shared" si="31"/>
        <v>Acide oxolinique</v>
      </c>
      <c r="BM127" t="str">
        <f t="shared" si="27"/>
        <v>Acide oxolinique</v>
      </c>
      <c r="BN127" t="str">
        <f t="shared" si="28"/>
        <v/>
      </c>
      <c r="BO127" t="str">
        <f t="shared" si="29"/>
        <v/>
      </c>
      <c r="BP127" t="str">
        <f t="shared" si="32"/>
        <v>Quinolones</v>
      </c>
      <c r="BQ127" t="str">
        <f t="shared" si="33"/>
        <v>Quinolones</v>
      </c>
      <c r="BR127" t="str">
        <f t="shared" si="34"/>
        <v/>
      </c>
      <c r="BS127" t="str">
        <f t="shared" si="35"/>
        <v/>
      </c>
      <c r="BT127" s="76" t="str">
        <f t="shared" si="36"/>
        <v>Prémélanges médicamenteux</v>
      </c>
      <c r="BU127" t="str">
        <f t="shared" si="37"/>
        <v/>
      </c>
      <c r="CK127" s="109" t="s">
        <v>1545</v>
      </c>
      <c r="CL127" s="185" t="s">
        <v>4321</v>
      </c>
      <c r="CN127">
        <v>126</v>
      </c>
    </row>
    <row r="128" spans="1:92" x14ac:dyDescent="0.3">
      <c r="A128" s="118" t="s">
        <v>2669</v>
      </c>
      <c r="B128" t="s">
        <v>2673</v>
      </c>
      <c r="C128" t="s">
        <v>1062</v>
      </c>
      <c r="D128" s="144" t="s">
        <v>1063</v>
      </c>
      <c r="E128" t="s">
        <v>830</v>
      </c>
      <c r="F128" t="s">
        <v>65</v>
      </c>
      <c r="G128" t="s">
        <v>831</v>
      </c>
      <c r="H128" t="s">
        <v>832</v>
      </c>
      <c r="I128" t="s">
        <v>817</v>
      </c>
      <c r="J128" t="s">
        <v>787</v>
      </c>
      <c r="K128" t="s">
        <v>787</v>
      </c>
      <c r="L128" t="s">
        <v>1055</v>
      </c>
      <c r="M128" t="s">
        <v>208</v>
      </c>
      <c r="N128" t="s">
        <v>764</v>
      </c>
      <c r="O128" t="s">
        <v>894</v>
      </c>
      <c r="P128" t="s">
        <v>772</v>
      </c>
      <c r="Q128" t="s">
        <v>966</v>
      </c>
      <c r="R128">
        <v>10</v>
      </c>
      <c r="S128">
        <v>5</v>
      </c>
      <c r="T128">
        <v>0</v>
      </c>
      <c r="U128">
        <v>0</v>
      </c>
      <c r="V128">
        <v>0</v>
      </c>
      <c r="W128">
        <v>0</v>
      </c>
      <c r="X128">
        <v>0</v>
      </c>
      <c r="Y128">
        <v>0</v>
      </c>
      <c r="Z128">
        <v>0</v>
      </c>
      <c r="AA128">
        <v>0</v>
      </c>
      <c r="AB128">
        <v>0</v>
      </c>
      <c r="AC128">
        <v>0</v>
      </c>
      <c r="AD128">
        <v>10</v>
      </c>
      <c r="AE128">
        <v>5</v>
      </c>
      <c r="AF128">
        <v>10</v>
      </c>
      <c r="AG128">
        <v>5</v>
      </c>
      <c r="AH128">
        <v>0</v>
      </c>
      <c r="AI128">
        <v>0</v>
      </c>
      <c r="AY128" t="str">
        <f t="shared" si="19"/>
        <v>AXILLIN</v>
      </c>
      <c r="AZ128" t="str">
        <f>IF(COUNTIF(AY:AY,AY128)=1,AY128,IF(AND(COUNTIF(AY:AY,AY128)&gt;1,COUNTIF(AZ$2:AZ127,AY128)&gt;=1),"",AY128))</f>
        <v/>
      </c>
      <c r="BA128" t="str">
        <f>IF(AZ128="","",COUNTIFS(AZ$3:AZ$1439,"&lt;"&amp;AZ128,AZ$3:AZ$1439,"&lt;&gt;0")+COUNTIF(AZ$3:AZ128,AZ128)-876)</f>
        <v/>
      </c>
      <c r="BC128">
        <v>126</v>
      </c>
      <c r="BD128" t="str">
        <f t="shared" si="30"/>
        <v>COFAMIX ACIDE OXOLINIQUE 80 porc</v>
      </c>
      <c r="BE128" t="str">
        <f t="shared" si="20"/>
        <v>PM</v>
      </c>
      <c r="BF128" t="str">
        <f t="shared" si="21"/>
        <v>QUINOLONES</v>
      </c>
      <c r="BG128" t="str">
        <f t="shared" si="22"/>
        <v/>
      </c>
      <c r="BH128" t="str">
        <f t="shared" si="23"/>
        <v/>
      </c>
      <c r="BI128" t="str">
        <f t="shared" si="24"/>
        <v>oxolinic acid</v>
      </c>
      <c r="BJ128" t="str">
        <f t="shared" si="25"/>
        <v/>
      </c>
      <c r="BK128" t="str">
        <f t="shared" si="26"/>
        <v/>
      </c>
      <c r="BL128" t="str">
        <f t="shared" si="31"/>
        <v>Acide oxolinique</v>
      </c>
      <c r="BM128" t="str">
        <f t="shared" si="27"/>
        <v>Acide oxolinique</v>
      </c>
      <c r="BN128" t="str">
        <f t="shared" si="28"/>
        <v/>
      </c>
      <c r="BO128" t="str">
        <f t="shared" si="29"/>
        <v/>
      </c>
      <c r="BP128" t="str">
        <f t="shared" si="32"/>
        <v>Quinolones</v>
      </c>
      <c r="BQ128" t="str">
        <f t="shared" si="33"/>
        <v>Quinolones</v>
      </c>
      <c r="BR128" t="str">
        <f t="shared" si="34"/>
        <v/>
      </c>
      <c r="BS128" t="str">
        <f t="shared" si="35"/>
        <v/>
      </c>
      <c r="BT128" s="76" t="str">
        <f t="shared" si="36"/>
        <v>Prémélanges médicamenteux</v>
      </c>
      <c r="BU128" t="str">
        <f t="shared" si="37"/>
        <v/>
      </c>
      <c r="CK128" s="109" t="s">
        <v>2373</v>
      </c>
      <c r="CL128" s="185" t="s">
        <v>4321</v>
      </c>
      <c r="CN128">
        <v>127</v>
      </c>
    </row>
    <row r="129" spans="1:92" x14ac:dyDescent="0.3">
      <c r="A129" s="118" t="s">
        <v>3017</v>
      </c>
      <c r="B129" t="s">
        <v>3018</v>
      </c>
      <c r="C129" t="s">
        <v>1054</v>
      </c>
      <c r="D129" s="144" t="s">
        <v>829</v>
      </c>
      <c r="E129" t="s">
        <v>830</v>
      </c>
      <c r="F129" t="s">
        <v>3019</v>
      </c>
      <c r="G129" t="s">
        <v>831</v>
      </c>
      <c r="H129" t="s">
        <v>1173</v>
      </c>
      <c r="I129" t="s">
        <v>817</v>
      </c>
      <c r="J129" t="s">
        <v>914</v>
      </c>
      <c r="K129" t="s">
        <v>914</v>
      </c>
      <c r="L129" t="s">
        <v>1199</v>
      </c>
      <c r="M129" t="s">
        <v>208</v>
      </c>
      <c r="N129" t="s">
        <v>3020</v>
      </c>
      <c r="O129" t="s">
        <v>834</v>
      </c>
      <c r="P129" t="s">
        <v>4383</v>
      </c>
      <c r="Q129" t="s">
        <v>4515</v>
      </c>
      <c r="R129">
        <v>0</v>
      </c>
      <c r="S129">
        <v>0</v>
      </c>
      <c r="T129">
        <v>0</v>
      </c>
      <c r="U129">
        <v>0</v>
      </c>
      <c r="V129">
        <v>0</v>
      </c>
      <c r="W129">
        <v>0</v>
      </c>
      <c r="X129">
        <v>0</v>
      </c>
      <c r="Y129">
        <v>0</v>
      </c>
      <c r="Z129">
        <v>5.67</v>
      </c>
      <c r="AA129">
        <v>14</v>
      </c>
      <c r="AB129">
        <v>0</v>
      </c>
      <c r="AC129">
        <v>0</v>
      </c>
      <c r="AD129">
        <v>0</v>
      </c>
      <c r="AE129">
        <v>0</v>
      </c>
      <c r="AF129">
        <v>0</v>
      </c>
      <c r="AG129">
        <v>0</v>
      </c>
      <c r="AH129">
        <v>0</v>
      </c>
      <c r="AI129">
        <v>0</v>
      </c>
      <c r="AY129" t="str">
        <f t="shared" si="19"/>
        <v>BACIVET S</v>
      </c>
      <c r="AZ129" t="str">
        <f>IF(COUNTIF(AY:AY,AY129)=1,AY129,IF(AND(COUNTIF(AY:AY,AY129)&gt;1,COUNTIF(AZ$2:AZ128,AY129)&gt;=1),"",AY129))</f>
        <v>BACIVET S</v>
      </c>
      <c r="BA129">
        <f>IF(AZ129="","",COUNTIFS(AZ$3:AZ$1439,"&lt;"&amp;AZ129,AZ$3:AZ$1439,"&lt;&gt;0")+COUNTIF(AZ$3:AZ129,AZ129)-876)</f>
        <v>58</v>
      </c>
      <c r="BC129">
        <v>127</v>
      </c>
      <c r="BD129" t="str">
        <f t="shared" si="30"/>
        <v>COFAMIX AMOXICILLINE 100 PORC</v>
      </c>
      <c r="BE129" t="str">
        <f t="shared" si="20"/>
        <v>PM</v>
      </c>
      <c r="BF129" t="str">
        <f t="shared" si="21"/>
        <v>PENICILLINES</v>
      </c>
      <c r="BG129" t="str">
        <f t="shared" si="22"/>
        <v/>
      </c>
      <c r="BH129" t="str">
        <f t="shared" si="23"/>
        <v/>
      </c>
      <c r="BI129" t="str">
        <f t="shared" si="24"/>
        <v>amoxicillin</v>
      </c>
      <c r="BJ129" t="str">
        <f t="shared" si="25"/>
        <v/>
      </c>
      <c r="BK129" t="str">
        <f t="shared" si="26"/>
        <v/>
      </c>
      <c r="BL129" t="str">
        <f t="shared" si="31"/>
        <v>Amoxicilline</v>
      </c>
      <c r="BM129" t="str">
        <f t="shared" si="27"/>
        <v>Amoxicilline</v>
      </c>
      <c r="BN129" t="str">
        <f t="shared" si="28"/>
        <v/>
      </c>
      <c r="BO129" t="str">
        <f t="shared" si="29"/>
        <v/>
      </c>
      <c r="BP129" t="str">
        <f t="shared" si="32"/>
        <v>Penicillines</v>
      </c>
      <c r="BQ129" t="str">
        <f t="shared" si="33"/>
        <v>Penicillines</v>
      </c>
      <c r="BR129" t="str">
        <f t="shared" si="34"/>
        <v/>
      </c>
      <c r="BS129" t="str">
        <f t="shared" si="35"/>
        <v/>
      </c>
      <c r="BT129" s="76" t="str">
        <f t="shared" si="36"/>
        <v>Prémélanges médicamenteux</v>
      </c>
      <c r="BU129" t="str">
        <f t="shared" si="37"/>
        <v/>
      </c>
      <c r="CK129" s="109" t="s">
        <v>3111</v>
      </c>
      <c r="CL129" s="185" t="s">
        <v>4321</v>
      </c>
      <c r="CN129">
        <v>128</v>
      </c>
    </row>
    <row r="130" spans="1:92" x14ac:dyDescent="0.3">
      <c r="A130" s="118" t="s">
        <v>3017</v>
      </c>
      <c r="B130" t="s">
        <v>3021</v>
      </c>
      <c r="C130" t="s">
        <v>3022</v>
      </c>
      <c r="D130" s="144" t="s">
        <v>829</v>
      </c>
      <c r="E130" t="s">
        <v>830</v>
      </c>
      <c r="F130" t="s">
        <v>3019</v>
      </c>
      <c r="G130" t="s">
        <v>831</v>
      </c>
      <c r="H130" t="s">
        <v>1173</v>
      </c>
      <c r="I130" t="s">
        <v>817</v>
      </c>
      <c r="J130" t="s">
        <v>914</v>
      </c>
      <c r="K130" t="s">
        <v>914</v>
      </c>
      <c r="L130" t="s">
        <v>1199</v>
      </c>
      <c r="M130" t="s">
        <v>208</v>
      </c>
      <c r="N130" t="s">
        <v>3020</v>
      </c>
      <c r="O130" t="s">
        <v>834</v>
      </c>
      <c r="P130" t="s">
        <v>4383</v>
      </c>
      <c r="Q130" t="s">
        <v>4515</v>
      </c>
      <c r="R130">
        <v>0</v>
      </c>
      <c r="S130">
        <v>0</v>
      </c>
      <c r="T130">
        <v>0</v>
      </c>
      <c r="U130">
        <v>0</v>
      </c>
      <c r="V130">
        <v>0</v>
      </c>
      <c r="W130">
        <v>0</v>
      </c>
      <c r="X130">
        <v>0</v>
      </c>
      <c r="Y130">
        <v>0</v>
      </c>
      <c r="Z130">
        <v>5.67</v>
      </c>
      <c r="AA130">
        <v>14</v>
      </c>
      <c r="AB130">
        <v>0</v>
      </c>
      <c r="AC130">
        <v>0</v>
      </c>
      <c r="AD130">
        <v>0</v>
      </c>
      <c r="AE130">
        <v>0</v>
      </c>
      <c r="AF130">
        <v>0</v>
      </c>
      <c r="AG130">
        <v>0</v>
      </c>
      <c r="AH130">
        <v>0</v>
      </c>
      <c r="AI130">
        <v>0</v>
      </c>
      <c r="AY130" t="str">
        <f t="shared" si="19"/>
        <v>BACIVET S</v>
      </c>
      <c r="AZ130" t="str">
        <f>IF(COUNTIF(AY:AY,AY130)=1,AY130,IF(AND(COUNTIF(AY:AY,AY130)&gt;1,COUNTIF(AZ$2:AZ129,AY130)&gt;=1),"",AY130))</f>
        <v/>
      </c>
      <c r="BA130" t="str">
        <f>IF(AZ130="","",COUNTIFS(AZ$3:AZ$1439,"&lt;"&amp;AZ130,AZ$3:AZ$1439,"&lt;&gt;0")+COUNTIF(AZ$3:AZ130,AZ130)-876)</f>
        <v/>
      </c>
      <c r="BC130">
        <v>128</v>
      </c>
      <c r="BD130" t="str">
        <f t="shared" si="30"/>
        <v>COFAMOX 10</v>
      </c>
      <c r="BE130" t="str">
        <f t="shared" si="20"/>
        <v>ORAL</v>
      </c>
      <c r="BF130" t="str">
        <f t="shared" si="21"/>
        <v>PENICILLINES</v>
      </c>
      <c r="BG130" t="str">
        <f t="shared" si="22"/>
        <v/>
      </c>
      <c r="BH130" t="str">
        <f t="shared" si="23"/>
        <v/>
      </c>
      <c r="BI130" t="str">
        <f t="shared" si="24"/>
        <v>amoxicillin</v>
      </c>
      <c r="BJ130" t="str">
        <f t="shared" si="25"/>
        <v/>
      </c>
      <c r="BK130" t="str">
        <f t="shared" si="26"/>
        <v/>
      </c>
      <c r="BL130" t="str">
        <f t="shared" si="31"/>
        <v>Amoxicilline</v>
      </c>
      <c r="BM130" t="str">
        <f t="shared" si="27"/>
        <v>Amoxicilline</v>
      </c>
      <c r="BN130" t="str">
        <f t="shared" si="28"/>
        <v/>
      </c>
      <c r="BO130" t="str">
        <f t="shared" si="29"/>
        <v/>
      </c>
      <c r="BP130" t="str">
        <f t="shared" si="32"/>
        <v>Penicillines</v>
      </c>
      <c r="BQ130" t="str">
        <f t="shared" si="33"/>
        <v>Penicillines</v>
      </c>
      <c r="BR130" t="str">
        <f t="shared" si="34"/>
        <v/>
      </c>
      <c r="BS130" t="str">
        <f t="shared" si="35"/>
        <v/>
      </c>
      <c r="BT130" s="76" t="str">
        <f t="shared" si="36"/>
        <v>Voie orale  hors prémélanges médicamenteux</v>
      </c>
      <c r="BU130" t="str">
        <f t="shared" si="37"/>
        <v/>
      </c>
      <c r="CK130" s="109" t="s">
        <v>170</v>
      </c>
      <c r="CL130" s="185" t="s">
        <v>4321</v>
      </c>
      <c r="CN130">
        <v>129</v>
      </c>
    </row>
    <row r="131" spans="1:92" x14ac:dyDescent="0.3">
      <c r="A131" s="118" t="s">
        <v>3017</v>
      </c>
      <c r="B131" t="s">
        <v>3023</v>
      </c>
      <c r="C131" t="s">
        <v>1588</v>
      </c>
      <c r="D131" s="144" t="s">
        <v>829</v>
      </c>
      <c r="E131" t="s">
        <v>830</v>
      </c>
      <c r="F131" t="s">
        <v>3019</v>
      </c>
      <c r="G131" t="s">
        <v>831</v>
      </c>
      <c r="H131" t="s">
        <v>1173</v>
      </c>
      <c r="I131" t="s">
        <v>817</v>
      </c>
      <c r="J131" t="s">
        <v>914</v>
      </c>
      <c r="K131" t="s">
        <v>914</v>
      </c>
      <c r="L131" t="s">
        <v>1199</v>
      </c>
      <c r="M131" t="s">
        <v>208</v>
      </c>
      <c r="N131" t="s">
        <v>3020</v>
      </c>
      <c r="O131" t="s">
        <v>834</v>
      </c>
      <c r="P131" t="s">
        <v>4383</v>
      </c>
      <c r="Q131" t="s">
        <v>4515</v>
      </c>
      <c r="R131">
        <v>0</v>
      </c>
      <c r="S131">
        <v>0</v>
      </c>
      <c r="T131">
        <v>0</v>
      </c>
      <c r="U131">
        <v>0</v>
      </c>
      <c r="V131">
        <v>0</v>
      </c>
      <c r="W131">
        <v>0</v>
      </c>
      <c r="X131">
        <v>0</v>
      </c>
      <c r="Y131">
        <v>0</v>
      </c>
      <c r="Z131">
        <v>5.67</v>
      </c>
      <c r="AA131">
        <v>14</v>
      </c>
      <c r="AB131">
        <v>0</v>
      </c>
      <c r="AC131">
        <v>0</v>
      </c>
      <c r="AD131">
        <v>0</v>
      </c>
      <c r="AE131">
        <v>0</v>
      </c>
      <c r="AF131">
        <v>0</v>
      </c>
      <c r="AG131">
        <v>0</v>
      </c>
      <c r="AH131">
        <v>0</v>
      </c>
      <c r="AI131">
        <v>0</v>
      </c>
      <c r="AY131" t="str">
        <f t="shared" ref="AY131:AY194" si="38">IF(INDEX(CK$3:CL$174,MATCH(H131,CK$3:CK$174,0),2)="x",F131,"")</f>
        <v>BACIVET S</v>
      </c>
      <c r="AZ131" t="str">
        <f>IF(COUNTIF(AY:AY,AY131)=1,AY131,IF(AND(COUNTIF(AY:AY,AY131)&gt;1,COUNTIF(AZ$2:AZ130,AY131)&gt;=1),"",AY131))</f>
        <v/>
      </c>
      <c r="BA131" t="str">
        <f>IF(AZ131="","",COUNTIFS(AZ$3:AZ$1439,"&lt;"&amp;AZ131,AZ$3:AZ$1439,"&lt;&gt;0")+COUNTIF(AZ$3:AZ131,AZ131)-876)</f>
        <v/>
      </c>
      <c r="BC131">
        <v>129</v>
      </c>
      <c r="BD131" t="str">
        <f t="shared" si="30"/>
        <v>COFAMOX 15 L.A.</v>
      </c>
      <c r="BE131" t="str">
        <f t="shared" ref="BE131:BE194" si="39">IFERROR(INDEX(F:AR,MATCH(BD131,F:F,0),4),"")</f>
        <v>INJ</v>
      </c>
      <c r="BF131" t="str">
        <f t="shared" ref="BF131:BF194" si="40">IFERROR(INDEX(F:AR,MATCH(BD131,F:F,0),6),"")</f>
        <v>PENICILLINES</v>
      </c>
      <c r="BG131" t="str">
        <f t="shared" ref="BG131:BG194" si="41">IFERROR(IF(INDEX(F:AR,MATCH(BD131,F:F,0),31)=0,"",INDEX(F:AR,MATCH(BD131,F:F,0),31)),"")</f>
        <v/>
      </c>
      <c r="BH131" t="str">
        <f t="shared" ref="BH131:BH194" si="42">IFERROR(IF(INDEX(F:AR,MATCH(BD131,F:F,0),38)=0,"",INDEX(F:AR,MATCH(BD131,F:F,0),38)),"")</f>
        <v/>
      </c>
      <c r="BI131" t="str">
        <f t="shared" ref="BI131:BI194" si="43">+IFERROR(IF(INDEX(F:AR,MATCH(BD131,F:F,0),7)=0,"",INDEX(F:AR,MATCH(BD131,F:F,0),7)),"")</f>
        <v>amoxicillin</v>
      </c>
      <c r="BJ131" t="str">
        <f t="shared" ref="BJ131:BJ194" si="44">IFERROR(IF(INDEX(F:AR,MATCH(BD131,F:F,0),32)=0,"",INDEX(F:AR,MATCH(BD131,F:F,0),32)),"")</f>
        <v/>
      </c>
      <c r="BK131" t="str">
        <f t="shared" ref="BK131:BK194" si="45">IFERROR(IF(INDEX(F:AR,MATCH(BD131,F:F,0),39)=0,"",INDEX(F:AR,MATCH(BD131,F:F,0),39)),"")</f>
        <v/>
      </c>
      <c r="BL131" t="str">
        <f t="shared" si="31"/>
        <v>Amoxicilline</v>
      </c>
      <c r="BM131" t="str">
        <f t="shared" ref="BM131:BM194" si="46">IFERROR(INDEX(BZ$3:CA$63,MATCH(BI131,BZ$3:BZ$63,0),2),"")</f>
        <v>Amoxicilline</v>
      </c>
      <c r="BN131" t="str">
        <f t="shared" ref="BN131:BN194" si="47">IFERROR(INDEX(BZ$3:CA$63,MATCH(BJ131,BZ$3:BZ$63,0),2),"")</f>
        <v/>
      </c>
      <c r="BO131" t="str">
        <f t="shared" ref="BO131:BO194" si="48">IFERROR(INDEX(BZ$3:CA$63,MATCH(BK131,BZ$3:BZ$63,0),2),"")</f>
        <v/>
      </c>
      <c r="BP131" t="str">
        <f t="shared" si="32"/>
        <v>Penicillines</v>
      </c>
      <c r="BQ131" t="str">
        <f t="shared" si="33"/>
        <v>Penicillines</v>
      </c>
      <c r="BR131" t="str">
        <f t="shared" si="34"/>
        <v/>
      </c>
      <c r="BS131" t="str">
        <f t="shared" si="35"/>
        <v/>
      </c>
      <c r="BT131" s="76" t="str">
        <f t="shared" si="36"/>
        <v>Voie parentérale</v>
      </c>
      <c r="BU131" t="str">
        <f t="shared" si="37"/>
        <v/>
      </c>
      <c r="CK131" s="109" t="s">
        <v>1449</v>
      </c>
      <c r="CL131" s="185" t="s">
        <v>4321</v>
      </c>
      <c r="CN131">
        <v>130</v>
      </c>
    </row>
    <row r="132" spans="1:92" x14ac:dyDescent="0.3">
      <c r="A132" s="118" t="s">
        <v>3769</v>
      </c>
      <c r="B132" t="s">
        <v>3770</v>
      </c>
      <c r="C132" t="s">
        <v>3771</v>
      </c>
      <c r="D132" s="144" t="s">
        <v>829</v>
      </c>
      <c r="E132" t="s">
        <v>830</v>
      </c>
      <c r="F132" t="s">
        <v>250</v>
      </c>
      <c r="G132" t="s">
        <v>956</v>
      </c>
      <c r="H132" t="s">
        <v>2683</v>
      </c>
      <c r="I132" t="s">
        <v>817</v>
      </c>
      <c r="J132" t="s">
        <v>787</v>
      </c>
      <c r="K132" t="s">
        <v>787</v>
      </c>
      <c r="L132" t="s">
        <v>3252</v>
      </c>
      <c r="M132" t="s">
        <v>208</v>
      </c>
      <c r="N132" t="s">
        <v>3253</v>
      </c>
      <c r="O132" t="s">
        <v>894</v>
      </c>
      <c r="P132" t="s">
        <v>772</v>
      </c>
      <c r="Q132" t="s">
        <v>3253</v>
      </c>
      <c r="R132">
        <v>0</v>
      </c>
      <c r="S132">
        <v>0</v>
      </c>
      <c r="T132">
        <v>0</v>
      </c>
      <c r="U132">
        <v>0</v>
      </c>
      <c r="V132">
        <v>0</v>
      </c>
      <c r="W132">
        <v>0</v>
      </c>
      <c r="X132">
        <v>0</v>
      </c>
      <c r="Y132">
        <v>0</v>
      </c>
      <c r="Z132">
        <v>0</v>
      </c>
      <c r="AA132">
        <v>0</v>
      </c>
      <c r="AB132">
        <v>0</v>
      </c>
      <c r="AC132">
        <v>0</v>
      </c>
      <c r="AD132">
        <v>0</v>
      </c>
      <c r="AE132">
        <v>0</v>
      </c>
      <c r="AF132">
        <v>20</v>
      </c>
      <c r="AG132">
        <v>5</v>
      </c>
      <c r="AH132">
        <v>0</v>
      </c>
      <c r="AI132">
        <v>0</v>
      </c>
      <c r="AY132" t="str">
        <f t="shared" si="38"/>
        <v>BAYCUBIS 293 MG/G POUDRE POUR SOLUTION BUVABLE POUR POULETS</v>
      </c>
      <c r="AZ132" t="str">
        <f>IF(COUNTIF(AY:AY,AY132)=1,AY132,IF(AND(COUNTIF(AY:AY,AY132)&gt;1,COUNTIF(AZ$2:AZ131,AY132)&gt;=1),"",AY132))</f>
        <v>BAYCUBIS 293 MG/G POUDRE POUR SOLUTION BUVABLE POUR POULETS</v>
      </c>
      <c r="BA132">
        <f>IF(AZ132="","",COUNTIFS(AZ$3:AZ$1439,"&lt;"&amp;AZ132,AZ$3:AZ$1439,"&lt;&gt;0")+COUNTIF(AZ$3:AZ132,AZ132)-876)</f>
        <v>59</v>
      </c>
      <c r="BC132">
        <v>130</v>
      </c>
      <c r="BD132" t="str">
        <f t="shared" ref="BD132:BD195" si="49">IFERROR(INDEX(AZ:BA,MATCH(BC132,BA:BA,0),1),"")</f>
        <v>COFOXYL PO</v>
      </c>
      <c r="BE132" t="str">
        <f t="shared" si="39"/>
        <v>ORAL</v>
      </c>
      <c r="BF132" t="str">
        <f t="shared" si="40"/>
        <v>QUINOLONES</v>
      </c>
      <c r="BG132" t="str">
        <f t="shared" si="41"/>
        <v/>
      </c>
      <c r="BH132" t="str">
        <f t="shared" si="42"/>
        <v/>
      </c>
      <c r="BI132" t="str">
        <f t="shared" si="43"/>
        <v>oxolinic acid</v>
      </c>
      <c r="BJ132" t="str">
        <f t="shared" si="44"/>
        <v/>
      </c>
      <c r="BK132" t="str">
        <f t="shared" si="45"/>
        <v/>
      </c>
      <c r="BL132" t="str">
        <f t="shared" ref="BL132:BL195" si="50">IF(3-COUNTBLANK(BM132:BO132)=1,BM132,IF(3-COUNTBLANK(BM132:BO132)=2,BM132&amp;" + "&amp;BN132,IF(3-COUNTBLANK(BM132:BO132)=3,BM132&amp;" + "&amp;BN132&amp;" + "&amp;BO132,"")))</f>
        <v>Acide oxolinique</v>
      </c>
      <c r="BM132" t="str">
        <f t="shared" si="46"/>
        <v>Acide oxolinique</v>
      </c>
      <c r="BN132" t="str">
        <f t="shared" si="47"/>
        <v/>
      </c>
      <c r="BO132" t="str">
        <f t="shared" si="48"/>
        <v/>
      </c>
      <c r="BP132" t="str">
        <f t="shared" ref="BP132:BP195" si="51">IF(3-COUNTBLANK(BQ132:BS132)=1,BQ132,IF(3-COUNTBLANK(BQ132:BS132)=2,IF(BQ132=BR132,BQ132,BQ132&amp;" + "&amp;BR132),IF(3-COUNTBLANK(BQ132:BS132)=3,IF(BQ132=BR132,BQ132,IF(BQ132=BS132,BQ132,IF(BR132=BS132,BR132,IF(AND(BQ132=BR132,BQ132=BS132),BQ132,BQ132&amp;" + "&amp;BR132&amp;" + "&amp;BS132)))))))</f>
        <v>Quinolones</v>
      </c>
      <c r="BQ132" t="str">
        <f t="shared" ref="BQ132:BQ195" si="52">IFERROR(INDEX(BW$3:BX$18,MATCH(BF132,BW$3:BW$18,0),2),"")</f>
        <v>Quinolones</v>
      </c>
      <c r="BR132" t="str">
        <f t="shared" ref="BR132:BR195" si="53">IFERROR(INDEX(BW$3:BX$18,MATCH(BG132,BW$3:BW$18,0),2),"")</f>
        <v/>
      </c>
      <c r="BS132" t="str">
        <f t="shared" ref="BS132:BS195" si="54">IFERROR(INDEX(BW$3:BX$18,MATCH(BH132,BW$3:BW$18,0),2),"")</f>
        <v/>
      </c>
      <c r="BT132" s="76" t="str">
        <f t="shared" ref="BT132:BT195" si="55">IFERROR(INDEX(CD$3:CE$9,MATCH(BE132,CD$3:CD$9,0),2),"")</f>
        <v>Voie orale  hors prémélanges médicamenteux</v>
      </c>
      <c r="BU132" t="str">
        <f t="shared" ref="BU132:BU195" si="56">IF(BM132="Colistine","x",IF(BN132="Colistine","x",IF(BO132="Colistine","x",IF(BQ132="Fluoroquinolones","x",IF(BR132="Fluoroquinolones","x",IF(BS132="Fluoroquinolones","x",IF(BQ132="Cephalosporines 3&amp;4G","x",IF(BR132="Cephalosporines 3&amp;4G","x",IF(BS132="Cephalosporines 3&amp;4G","x","")))))))))</f>
        <v/>
      </c>
      <c r="CK132" s="109" t="s">
        <v>1847</v>
      </c>
      <c r="CL132" s="185" t="s">
        <v>4321</v>
      </c>
      <c r="CN132">
        <v>131</v>
      </c>
    </row>
    <row r="133" spans="1:92" x14ac:dyDescent="0.3">
      <c r="A133" s="118" t="s">
        <v>3769</v>
      </c>
      <c r="B133" t="s">
        <v>3772</v>
      </c>
      <c r="C133" t="s">
        <v>3773</v>
      </c>
      <c r="D133" s="144" t="s">
        <v>829</v>
      </c>
      <c r="E133" t="s">
        <v>830</v>
      </c>
      <c r="F133" t="s">
        <v>250</v>
      </c>
      <c r="G133" t="s">
        <v>956</v>
      </c>
      <c r="H133" t="s">
        <v>2683</v>
      </c>
      <c r="I133" t="s">
        <v>817</v>
      </c>
      <c r="J133" t="s">
        <v>787</v>
      </c>
      <c r="K133" t="s">
        <v>787</v>
      </c>
      <c r="L133" t="s">
        <v>3252</v>
      </c>
      <c r="M133" t="s">
        <v>208</v>
      </c>
      <c r="N133" t="s">
        <v>3253</v>
      </c>
      <c r="O133" t="s">
        <v>894</v>
      </c>
      <c r="P133" t="s">
        <v>772</v>
      </c>
      <c r="Q133" t="s">
        <v>3253</v>
      </c>
      <c r="R133">
        <v>0</v>
      </c>
      <c r="S133">
        <v>0</v>
      </c>
      <c r="T133">
        <v>0</v>
      </c>
      <c r="U133">
        <v>0</v>
      </c>
      <c r="V133">
        <v>0</v>
      </c>
      <c r="W133">
        <v>0</v>
      </c>
      <c r="X133">
        <v>0</v>
      </c>
      <c r="Y133">
        <v>0</v>
      </c>
      <c r="Z133">
        <v>0</v>
      </c>
      <c r="AA133">
        <v>0</v>
      </c>
      <c r="AB133">
        <v>0</v>
      </c>
      <c r="AC133">
        <v>0</v>
      </c>
      <c r="AD133">
        <v>0</v>
      </c>
      <c r="AE133">
        <v>0</v>
      </c>
      <c r="AF133">
        <v>20</v>
      </c>
      <c r="AG133">
        <v>5</v>
      </c>
      <c r="AH133">
        <v>0</v>
      </c>
      <c r="AI133">
        <v>0</v>
      </c>
      <c r="AY133" t="str">
        <f t="shared" si="38"/>
        <v>BAYCUBIS 293 MG/G POUDRE POUR SOLUTION BUVABLE POUR POULETS</v>
      </c>
      <c r="AZ133" t="str">
        <f>IF(COUNTIF(AY:AY,AY133)=1,AY133,IF(AND(COUNTIF(AY:AY,AY133)&gt;1,COUNTIF(AZ$2:AZ132,AY133)&gt;=1),"",AY133))</f>
        <v/>
      </c>
      <c r="BA133" t="str">
        <f>IF(AZ133="","",COUNTIFS(AZ$3:AZ$1439,"&lt;"&amp;AZ133,AZ$3:AZ$1439,"&lt;&gt;0")+COUNTIF(AZ$3:AZ133,AZ133)-876)</f>
        <v/>
      </c>
      <c r="BC133">
        <v>131</v>
      </c>
      <c r="BD133" t="str">
        <f t="shared" si="49"/>
        <v>COLAMPI I</v>
      </c>
      <c r="BE133" t="str">
        <f t="shared" si="39"/>
        <v>INJ</v>
      </c>
      <c r="BF133" t="str">
        <f t="shared" si="40"/>
        <v>PENICILLINES</v>
      </c>
      <c r="BG133" t="str">
        <f t="shared" si="41"/>
        <v>POLYPEPTIDES</v>
      </c>
      <c r="BH133" t="str">
        <f t="shared" si="42"/>
        <v/>
      </c>
      <c r="BI133" t="str">
        <f t="shared" si="43"/>
        <v>ampicillin</v>
      </c>
      <c r="BJ133" t="str">
        <f t="shared" si="44"/>
        <v>colistin</v>
      </c>
      <c r="BK133" t="str">
        <f t="shared" si="45"/>
        <v/>
      </c>
      <c r="BL133" t="str">
        <f t="shared" si="50"/>
        <v>Ampicilline + Colistine</v>
      </c>
      <c r="BM133" t="str">
        <f t="shared" si="46"/>
        <v>Ampicilline</v>
      </c>
      <c r="BN133" t="str">
        <f t="shared" si="47"/>
        <v>Colistine</v>
      </c>
      <c r="BO133" t="str">
        <f t="shared" si="48"/>
        <v/>
      </c>
      <c r="BP133" t="str">
        <f t="shared" si="51"/>
        <v>Penicillines + Polypeptides</v>
      </c>
      <c r="BQ133" t="str">
        <f t="shared" si="52"/>
        <v>Penicillines</v>
      </c>
      <c r="BR133" t="str">
        <f t="shared" si="53"/>
        <v>Polypeptides</v>
      </c>
      <c r="BS133" t="str">
        <f t="shared" si="54"/>
        <v/>
      </c>
      <c r="BT133" s="76" t="str">
        <f t="shared" si="55"/>
        <v>Voie parentérale</v>
      </c>
      <c r="BU133" t="str">
        <f t="shared" si="56"/>
        <v>x</v>
      </c>
      <c r="CK133" s="109" t="s">
        <v>1213</v>
      </c>
      <c r="CL133" s="185" t="s">
        <v>4321</v>
      </c>
      <c r="CN133">
        <v>132</v>
      </c>
    </row>
    <row r="134" spans="1:92" x14ac:dyDescent="0.3">
      <c r="A134" s="118" t="s">
        <v>2378</v>
      </c>
      <c r="B134" t="s">
        <v>2379</v>
      </c>
      <c r="C134" t="s">
        <v>943</v>
      </c>
      <c r="D134" s="144" t="s">
        <v>764</v>
      </c>
      <c r="E134" t="s">
        <v>765</v>
      </c>
      <c r="F134" t="s">
        <v>251</v>
      </c>
      <c r="G134" t="s">
        <v>956</v>
      </c>
      <c r="H134" t="s">
        <v>2380</v>
      </c>
      <c r="I134" t="s">
        <v>817</v>
      </c>
      <c r="J134" t="s">
        <v>2366</v>
      </c>
      <c r="K134" t="s">
        <v>2366</v>
      </c>
      <c r="L134" t="s">
        <v>2367</v>
      </c>
      <c r="M134" t="s">
        <v>208</v>
      </c>
      <c r="N134" t="s">
        <v>764</v>
      </c>
      <c r="O134" t="s">
        <v>771</v>
      </c>
      <c r="P134" t="s">
        <v>772</v>
      </c>
      <c r="Q134" t="s">
        <v>852</v>
      </c>
      <c r="R134">
        <v>5</v>
      </c>
      <c r="S134">
        <v>5</v>
      </c>
      <c r="T134">
        <v>0</v>
      </c>
      <c r="U134">
        <v>0</v>
      </c>
      <c r="V134">
        <v>0</v>
      </c>
      <c r="W134">
        <v>0</v>
      </c>
      <c r="X134">
        <v>0</v>
      </c>
      <c r="Y134">
        <v>0</v>
      </c>
      <c r="Z134">
        <v>10</v>
      </c>
      <c r="AA134">
        <v>5</v>
      </c>
      <c r="AB134">
        <v>0</v>
      </c>
      <c r="AC134">
        <v>0</v>
      </c>
      <c r="AD134">
        <v>0</v>
      </c>
      <c r="AE134">
        <v>0</v>
      </c>
      <c r="AF134">
        <v>10</v>
      </c>
      <c r="AG134">
        <v>5</v>
      </c>
      <c r="AH134">
        <v>0</v>
      </c>
      <c r="AI134">
        <v>0</v>
      </c>
      <c r="AY134" t="str">
        <f t="shared" si="38"/>
        <v>BAYTRIL 10 % SOLUTION BUVABLE</v>
      </c>
      <c r="AZ134" t="str">
        <f>IF(COUNTIF(AY:AY,AY134)=1,AY134,IF(AND(COUNTIF(AY:AY,AY134)&gt;1,COUNTIF(AZ$2:AZ133,AY134)&gt;=1),"",AY134))</f>
        <v>BAYTRIL 10 % SOLUTION BUVABLE</v>
      </c>
      <c r="BA134">
        <f>IF(AZ134="","",COUNTIFS(AZ$3:AZ$1439,"&lt;"&amp;AZ134,AZ$3:AZ$1439,"&lt;&gt;0")+COUNTIF(AZ$3:AZ134,AZ134)-876)</f>
        <v>60</v>
      </c>
      <c r="BC134">
        <v>132</v>
      </c>
      <c r="BD134" t="str">
        <f t="shared" si="49"/>
        <v>COLFEN 300 MG/ML SOLUTION INJECTABLE POUR BOVINS ET PORCINS</v>
      </c>
      <c r="BE134" t="str">
        <f t="shared" si="39"/>
        <v>INJ</v>
      </c>
      <c r="BF134" t="str">
        <f t="shared" si="40"/>
        <v>PHENICOLES</v>
      </c>
      <c r="BG134" t="str">
        <f t="shared" si="41"/>
        <v/>
      </c>
      <c r="BH134" t="str">
        <f t="shared" si="42"/>
        <v/>
      </c>
      <c r="BI134" t="str">
        <f t="shared" si="43"/>
        <v>florfenicol</v>
      </c>
      <c r="BJ134" t="str">
        <f t="shared" si="44"/>
        <v/>
      </c>
      <c r="BK134" t="str">
        <f t="shared" si="45"/>
        <v/>
      </c>
      <c r="BL134" t="str">
        <f t="shared" si="50"/>
        <v>Florfénicol</v>
      </c>
      <c r="BM134" t="str">
        <f t="shared" si="46"/>
        <v>Florfénicol</v>
      </c>
      <c r="BN134" t="str">
        <f t="shared" si="47"/>
        <v/>
      </c>
      <c r="BO134" t="str">
        <f t="shared" si="48"/>
        <v/>
      </c>
      <c r="BP134" t="str">
        <f t="shared" si="51"/>
        <v>Phenicoles</v>
      </c>
      <c r="BQ134" t="str">
        <f t="shared" si="52"/>
        <v>Phenicoles</v>
      </c>
      <c r="BR134" t="str">
        <f t="shared" si="53"/>
        <v/>
      </c>
      <c r="BS134" t="str">
        <f t="shared" si="54"/>
        <v/>
      </c>
      <c r="BT134" s="76" t="str">
        <f t="shared" si="55"/>
        <v>Voie parentérale</v>
      </c>
      <c r="BU134" t="str">
        <f t="shared" si="56"/>
        <v/>
      </c>
      <c r="CK134" s="109" t="s">
        <v>4270</v>
      </c>
      <c r="CL134" s="185" t="s">
        <v>4321</v>
      </c>
      <c r="CN134">
        <v>133</v>
      </c>
    </row>
    <row r="135" spans="1:92" x14ac:dyDescent="0.3">
      <c r="A135" s="118" t="s">
        <v>2378</v>
      </c>
      <c r="B135" t="s">
        <v>2381</v>
      </c>
      <c r="C135" t="s">
        <v>2382</v>
      </c>
      <c r="D135" s="144" t="s">
        <v>829</v>
      </c>
      <c r="E135" t="s">
        <v>765</v>
      </c>
      <c r="F135" t="s">
        <v>251</v>
      </c>
      <c r="G135" t="s">
        <v>956</v>
      </c>
      <c r="H135" t="s">
        <v>2380</v>
      </c>
      <c r="I135" t="s">
        <v>817</v>
      </c>
      <c r="J135" t="s">
        <v>2366</v>
      </c>
      <c r="K135" t="s">
        <v>2366</v>
      </c>
      <c r="L135" t="s">
        <v>2367</v>
      </c>
      <c r="M135" t="s">
        <v>208</v>
      </c>
      <c r="N135" t="s">
        <v>764</v>
      </c>
      <c r="O135" t="s">
        <v>771</v>
      </c>
      <c r="P135" t="s">
        <v>772</v>
      </c>
      <c r="Q135" t="s">
        <v>764</v>
      </c>
      <c r="R135">
        <v>5</v>
      </c>
      <c r="S135">
        <v>5</v>
      </c>
      <c r="T135">
        <v>0</v>
      </c>
      <c r="U135">
        <v>0</v>
      </c>
      <c r="V135">
        <v>0</v>
      </c>
      <c r="W135">
        <v>0</v>
      </c>
      <c r="X135">
        <v>0</v>
      </c>
      <c r="Y135">
        <v>0</v>
      </c>
      <c r="Z135">
        <v>10</v>
      </c>
      <c r="AA135">
        <v>5</v>
      </c>
      <c r="AB135">
        <v>0</v>
      </c>
      <c r="AC135">
        <v>0</v>
      </c>
      <c r="AD135">
        <v>0</v>
      </c>
      <c r="AE135">
        <v>0</v>
      </c>
      <c r="AF135">
        <v>10</v>
      </c>
      <c r="AG135">
        <v>5</v>
      </c>
      <c r="AH135">
        <v>0</v>
      </c>
      <c r="AI135">
        <v>0</v>
      </c>
      <c r="AY135" t="str">
        <f t="shared" si="38"/>
        <v>BAYTRIL 10 % SOLUTION BUVABLE</v>
      </c>
      <c r="AZ135" t="str">
        <f>IF(COUNTIF(AY:AY,AY135)=1,AY135,IF(AND(COUNTIF(AY:AY,AY135)&gt;1,COUNTIF(AZ$2:AZ134,AY135)&gt;=1),"",AY135))</f>
        <v/>
      </c>
      <c r="BA135" t="str">
        <f>IF(AZ135="","",COUNTIFS(AZ$3:AZ$1439,"&lt;"&amp;AZ135,AZ$3:AZ$1439,"&lt;&gt;0")+COUNTIF(AZ$3:AZ135,AZ135)-876)</f>
        <v/>
      </c>
      <c r="BC135">
        <v>133</v>
      </c>
      <c r="BD135" t="str">
        <f t="shared" si="49"/>
        <v>COLFIVE 5 000 000 UI/ML CONCENTRE POUR SOLUTION BUVABLE POUR VEAUX PORCINS AGNEAUX POULETS ET DINDES</v>
      </c>
      <c r="BE135" t="str">
        <f t="shared" si="39"/>
        <v>ORAL</v>
      </c>
      <c r="BF135" t="str">
        <f t="shared" si="40"/>
        <v>POLYPEPTIDES</v>
      </c>
      <c r="BG135" t="str">
        <f t="shared" si="41"/>
        <v/>
      </c>
      <c r="BH135" t="str">
        <f t="shared" si="42"/>
        <v/>
      </c>
      <c r="BI135" t="str">
        <f t="shared" si="43"/>
        <v>colistin</v>
      </c>
      <c r="BJ135" t="str">
        <f t="shared" si="44"/>
        <v/>
      </c>
      <c r="BK135" t="str">
        <f t="shared" si="45"/>
        <v/>
      </c>
      <c r="BL135" t="str">
        <f t="shared" si="50"/>
        <v>Colistine</v>
      </c>
      <c r="BM135" t="str">
        <f t="shared" si="46"/>
        <v>Colistine</v>
      </c>
      <c r="BN135" t="str">
        <f t="shared" si="47"/>
        <v/>
      </c>
      <c r="BO135" t="str">
        <f t="shared" si="48"/>
        <v/>
      </c>
      <c r="BP135" t="str">
        <f t="shared" si="51"/>
        <v>Polypeptides</v>
      </c>
      <c r="BQ135" t="str">
        <f t="shared" si="52"/>
        <v>Polypeptides</v>
      </c>
      <c r="BR135" t="str">
        <f t="shared" si="53"/>
        <v/>
      </c>
      <c r="BS135" t="str">
        <f t="shared" si="54"/>
        <v/>
      </c>
      <c r="BT135" s="76" t="str">
        <f t="shared" si="55"/>
        <v>Voie orale  hors prémélanges médicamenteux</v>
      </c>
      <c r="BU135" t="str">
        <f t="shared" si="56"/>
        <v>x</v>
      </c>
      <c r="CK135" s="109" t="s">
        <v>4123</v>
      </c>
      <c r="CL135" s="185" t="s">
        <v>4321</v>
      </c>
      <c r="CN135">
        <v>134</v>
      </c>
    </row>
    <row r="136" spans="1:92" x14ac:dyDescent="0.3">
      <c r="A136" s="118" t="s">
        <v>2378</v>
      </c>
      <c r="B136" t="s">
        <v>2383</v>
      </c>
      <c r="C136" t="s">
        <v>2384</v>
      </c>
      <c r="D136" s="144" t="s">
        <v>955</v>
      </c>
      <c r="E136" t="s">
        <v>765</v>
      </c>
      <c r="F136" t="s">
        <v>251</v>
      </c>
      <c r="G136" t="s">
        <v>956</v>
      </c>
      <c r="H136" t="s">
        <v>2380</v>
      </c>
      <c r="I136" t="s">
        <v>817</v>
      </c>
      <c r="J136" t="s">
        <v>2366</v>
      </c>
      <c r="K136" t="s">
        <v>2366</v>
      </c>
      <c r="L136" t="s">
        <v>2367</v>
      </c>
      <c r="M136" t="s">
        <v>208</v>
      </c>
      <c r="N136" t="s">
        <v>764</v>
      </c>
      <c r="O136" t="s">
        <v>771</v>
      </c>
      <c r="P136" t="s">
        <v>772</v>
      </c>
      <c r="Q136" t="s">
        <v>906</v>
      </c>
      <c r="R136">
        <v>5</v>
      </c>
      <c r="S136">
        <v>5</v>
      </c>
      <c r="T136">
        <v>0</v>
      </c>
      <c r="U136">
        <v>0</v>
      </c>
      <c r="V136">
        <v>0</v>
      </c>
      <c r="W136">
        <v>0</v>
      </c>
      <c r="X136">
        <v>0</v>
      </c>
      <c r="Y136">
        <v>0</v>
      </c>
      <c r="Z136">
        <v>10</v>
      </c>
      <c r="AA136">
        <v>5</v>
      </c>
      <c r="AB136">
        <v>0</v>
      </c>
      <c r="AC136">
        <v>0</v>
      </c>
      <c r="AD136">
        <v>0</v>
      </c>
      <c r="AE136">
        <v>0</v>
      </c>
      <c r="AF136">
        <v>10</v>
      </c>
      <c r="AG136">
        <v>5</v>
      </c>
      <c r="AH136">
        <v>0</v>
      </c>
      <c r="AI136">
        <v>0</v>
      </c>
      <c r="AY136" t="str">
        <f t="shared" si="38"/>
        <v>BAYTRIL 10 % SOLUTION BUVABLE</v>
      </c>
      <c r="AZ136" t="str">
        <f>IF(COUNTIF(AY:AY,AY136)=1,AY136,IF(AND(COUNTIF(AY:AY,AY136)&gt;1,COUNTIF(AZ$2:AZ135,AY136)&gt;=1),"",AY136))</f>
        <v/>
      </c>
      <c r="BA136" t="str">
        <f>IF(AZ136="","",COUNTIFS(AZ$3:AZ$1439,"&lt;"&amp;AZ136,AZ$3:AZ$1439,"&lt;&gt;0")+COUNTIF(AZ$3:AZ136,AZ136)-876)</f>
        <v/>
      </c>
      <c r="BC136">
        <v>134</v>
      </c>
      <c r="BD136" t="str">
        <f t="shared" si="49"/>
        <v>COLIBOLUS</v>
      </c>
      <c r="BE136" t="str">
        <f t="shared" si="39"/>
        <v>ORAL</v>
      </c>
      <c r="BF136" t="str">
        <f t="shared" si="40"/>
        <v>POLYPEPTIDES</v>
      </c>
      <c r="BG136" t="str">
        <f t="shared" si="41"/>
        <v/>
      </c>
      <c r="BH136" t="str">
        <f t="shared" si="42"/>
        <v/>
      </c>
      <c r="BI136" t="str">
        <f t="shared" si="43"/>
        <v>colistin</v>
      </c>
      <c r="BJ136" t="str">
        <f t="shared" si="44"/>
        <v/>
      </c>
      <c r="BK136" t="str">
        <f t="shared" si="45"/>
        <v/>
      </c>
      <c r="BL136" t="str">
        <f t="shared" si="50"/>
        <v>Colistine</v>
      </c>
      <c r="BM136" t="str">
        <f t="shared" si="46"/>
        <v>Colistine</v>
      </c>
      <c r="BN136" t="str">
        <f t="shared" si="47"/>
        <v/>
      </c>
      <c r="BO136" t="str">
        <f t="shared" si="48"/>
        <v/>
      </c>
      <c r="BP136" t="str">
        <f t="shared" si="51"/>
        <v>Polypeptides</v>
      </c>
      <c r="BQ136" t="str">
        <f t="shared" si="52"/>
        <v>Polypeptides</v>
      </c>
      <c r="BR136" t="str">
        <f t="shared" si="53"/>
        <v/>
      </c>
      <c r="BS136" t="str">
        <f t="shared" si="54"/>
        <v/>
      </c>
      <c r="BT136" s="76" t="str">
        <f t="shared" si="55"/>
        <v>Voie orale  hors prémélanges médicamenteux</v>
      </c>
      <c r="BU136" t="str">
        <f t="shared" si="56"/>
        <v>x</v>
      </c>
      <c r="CK136" s="109" t="s">
        <v>3466</v>
      </c>
      <c r="CL136" s="185" t="s">
        <v>4321</v>
      </c>
      <c r="CN136">
        <v>135</v>
      </c>
    </row>
    <row r="137" spans="1:92" x14ac:dyDescent="0.3">
      <c r="A137" s="118" t="s">
        <v>2574</v>
      </c>
      <c r="B137" t="s">
        <v>2575</v>
      </c>
      <c r="C137" t="s">
        <v>1369</v>
      </c>
      <c r="D137" s="144" t="s">
        <v>780</v>
      </c>
      <c r="E137" t="s">
        <v>765</v>
      </c>
      <c r="F137" t="s">
        <v>252</v>
      </c>
      <c r="G137" t="s">
        <v>766</v>
      </c>
      <c r="H137" t="s">
        <v>851</v>
      </c>
      <c r="I137" t="s">
        <v>766</v>
      </c>
      <c r="J137" t="s">
        <v>2366</v>
      </c>
      <c r="K137" t="s">
        <v>2366</v>
      </c>
      <c r="L137" t="s">
        <v>2367</v>
      </c>
      <c r="M137" t="s">
        <v>208</v>
      </c>
      <c r="N137" t="s">
        <v>764</v>
      </c>
      <c r="O137" t="s">
        <v>771</v>
      </c>
      <c r="P137" t="s">
        <v>772</v>
      </c>
      <c r="Q137" t="s">
        <v>885</v>
      </c>
      <c r="R137">
        <v>5</v>
      </c>
      <c r="S137">
        <v>5</v>
      </c>
      <c r="T137">
        <v>0</v>
      </c>
      <c r="U137">
        <v>0</v>
      </c>
      <c r="V137">
        <v>0</v>
      </c>
      <c r="W137">
        <v>0</v>
      </c>
      <c r="X137">
        <v>0</v>
      </c>
      <c r="Y137">
        <v>0</v>
      </c>
      <c r="Z137">
        <v>0</v>
      </c>
      <c r="AA137">
        <v>0</v>
      </c>
      <c r="AB137">
        <v>5</v>
      </c>
      <c r="AC137">
        <v>3</v>
      </c>
      <c r="AD137">
        <v>2.5</v>
      </c>
      <c r="AE137">
        <v>3</v>
      </c>
      <c r="AF137">
        <v>0</v>
      </c>
      <c r="AG137">
        <v>0</v>
      </c>
      <c r="AH137">
        <v>0</v>
      </c>
      <c r="AI137">
        <v>0</v>
      </c>
      <c r="AY137" t="str">
        <f t="shared" si="38"/>
        <v>BAYTRIL 10 % SOLUTION INJECTABLE</v>
      </c>
      <c r="AZ137" t="str">
        <f>IF(COUNTIF(AY:AY,AY137)=1,AY137,IF(AND(COUNTIF(AY:AY,AY137)&gt;1,COUNTIF(AZ$2:AZ136,AY137)&gt;=1),"",AY137))</f>
        <v>BAYTRIL 10 % SOLUTION INJECTABLE</v>
      </c>
      <c r="BA137">
        <f>IF(AZ137="","",COUNTIFS(AZ$3:AZ$1439,"&lt;"&amp;AZ137,AZ$3:AZ$1439,"&lt;&gt;0")+COUNTIF(AZ$3:AZ137,AZ137)-876)</f>
        <v>61</v>
      </c>
      <c r="BC137">
        <v>135</v>
      </c>
      <c r="BD137" t="str">
        <f t="shared" si="49"/>
        <v>COLICILLINE</v>
      </c>
      <c r="BE137" t="str">
        <f t="shared" si="39"/>
        <v>INJ</v>
      </c>
      <c r="BF137" t="str">
        <f t="shared" si="40"/>
        <v>PENICILLINES</v>
      </c>
      <c r="BG137" t="str">
        <f t="shared" si="41"/>
        <v>POLYPEPTIDES</v>
      </c>
      <c r="BH137" t="str">
        <f t="shared" si="42"/>
        <v/>
      </c>
      <c r="BI137" t="str">
        <f t="shared" si="43"/>
        <v>ampicillin</v>
      </c>
      <c r="BJ137" t="str">
        <f t="shared" si="44"/>
        <v>colistin</v>
      </c>
      <c r="BK137" t="str">
        <f t="shared" si="45"/>
        <v/>
      </c>
      <c r="BL137" t="str">
        <f t="shared" si="50"/>
        <v>Ampicilline + Colistine</v>
      </c>
      <c r="BM137" t="str">
        <f t="shared" si="46"/>
        <v>Ampicilline</v>
      </c>
      <c r="BN137" t="str">
        <f t="shared" si="47"/>
        <v>Colistine</v>
      </c>
      <c r="BO137" t="str">
        <f t="shared" si="48"/>
        <v/>
      </c>
      <c r="BP137" t="str">
        <f t="shared" si="51"/>
        <v>Penicillines + Polypeptides</v>
      </c>
      <c r="BQ137" t="str">
        <f t="shared" si="52"/>
        <v>Penicillines</v>
      </c>
      <c r="BR137" t="str">
        <f t="shared" si="53"/>
        <v>Polypeptides</v>
      </c>
      <c r="BS137" t="str">
        <f t="shared" si="54"/>
        <v/>
      </c>
      <c r="BT137" s="76" t="str">
        <f t="shared" si="55"/>
        <v>Voie parentérale</v>
      </c>
      <c r="BU137" t="str">
        <f t="shared" si="56"/>
        <v>x</v>
      </c>
      <c r="CK137" s="109" t="s">
        <v>4230</v>
      </c>
      <c r="CL137" s="185" t="s">
        <v>4321</v>
      </c>
      <c r="CN137">
        <v>136</v>
      </c>
    </row>
    <row r="138" spans="1:92" x14ac:dyDescent="0.3">
      <c r="A138" s="118" t="s">
        <v>2574</v>
      </c>
      <c r="B138" t="s">
        <v>2576</v>
      </c>
      <c r="C138" t="s">
        <v>1483</v>
      </c>
      <c r="D138" s="144" t="s">
        <v>764</v>
      </c>
      <c r="E138" t="s">
        <v>765</v>
      </c>
      <c r="F138" t="s">
        <v>252</v>
      </c>
      <c r="G138" t="s">
        <v>766</v>
      </c>
      <c r="H138" t="s">
        <v>851</v>
      </c>
      <c r="I138" t="s">
        <v>766</v>
      </c>
      <c r="J138" t="s">
        <v>2366</v>
      </c>
      <c r="K138" t="s">
        <v>2366</v>
      </c>
      <c r="L138" t="s">
        <v>2367</v>
      </c>
      <c r="M138" t="s">
        <v>208</v>
      </c>
      <c r="N138" t="s">
        <v>764</v>
      </c>
      <c r="O138" t="s">
        <v>771</v>
      </c>
      <c r="P138" t="s">
        <v>772</v>
      </c>
      <c r="Q138" t="s">
        <v>852</v>
      </c>
      <c r="R138">
        <v>5</v>
      </c>
      <c r="S138">
        <v>5</v>
      </c>
      <c r="T138">
        <v>0</v>
      </c>
      <c r="U138">
        <v>0</v>
      </c>
      <c r="V138">
        <v>0</v>
      </c>
      <c r="W138">
        <v>0</v>
      </c>
      <c r="X138">
        <v>0</v>
      </c>
      <c r="Y138">
        <v>0</v>
      </c>
      <c r="Z138">
        <v>0</v>
      </c>
      <c r="AA138">
        <v>0</v>
      </c>
      <c r="AB138">
        <v>5</v>
      </c>
      <c r="AC138">
        <v>3</v>
      </c>
      <c r="AD138">
        <v>2.5</v>
      </c>
      <c r="AE138">
        <v>3</v>
      </c>
      <c r="AF138">
        <v>0</v>
      </c>
      <c r="AG138">
        <v>0</v>
      </c>
      <c r="AH138">
        <v>0</v>
      </c>
      <c r="AI138">
        <v>0</v>
      </c>
      <c r="AY138" t="str">
        <f t="shared" si="38"/>
        <v>BAYTRIL 10 % SOLUTION INJECTABLE</v>
      </c>
      <c r="AZ138" t="str">
        <f>IF(COUNTIF(AY:AY,AY138)=1,AY138,IF(AND(COUNTIF(AY:AY,AY138)&gt;1,COUNTIF(AZ$2:AZ137,AY138)&gt;=1),"",AY138))</f>
        <v/>
      </c>
      <c r="BA138" t="str">
        <f>IF(AZ138="","",COUNTIFS(AZ$3:AZ$1439,"&lt;"&amp;AZ138,AZ$3:AZ$1439,"&lt;&gt;0")+COUNTIF(AZ$3:AZ138,AZ138)-876)</f>
        <v/>
      </c>
      <c r="BC138">
        <v>136</v>
      </c>
      <c r="BD138" t="str">
        <f t="shared" si="49"/>
        <v>COLICLOX POMMADE</v>
      </c>
      <c r="BE138" t="str">
        <f t="shared" si="39"/>
        <v>INTRAMAM</v>
      </c>
      <c r="BF138" t="str">
        <f t="shared" si="40"/>
        <v>PENICILLINES</v>
      </c>
      <c r="BG138" t="str">
        <f t="shared" si="41"/>
        <v>POLYPEPTIDES</v>
      </c>
      <c r="BH138" t="str">
        <f t="shared" si="42"/>
        <v/>
      </c>
      <c r="BI138" t="str">
        <f t="shared" si="43"/>
        <v>cloxacillin</v>
      </c>
      <c r="BJ138" t="str">
        <f t="shared" si="44"/>
        <v>colistin</v>
      </c>
      <c r="BK138" t="str">
        <f t="shared" si="45"/>
        <v/>
      </c>
      <c r="BL138" t="str">
        <f t="shared" si="50"/>
        <v>Cloxacilline + Colistine</v>
      </c>
      <c r="BM138" t="str">
        <f t="shared" si="46"/>
        <v>Cloxacilline</v>
      </c>
      <c r="BN138" t="str">
        <f t="shared" si="47"/>
        <v>Colistine</v>
      </c>
      <c r="BO138" t="str">
        <f t="shared" si="48"/>
        <v/>
      </c>
      <c r="BP138" t="str">
        <f t="shared" si="51"/>
        <v>Penicillines + Polypeptides</v>
      </c>
      <c r="BQ138" t="str">
        <f t="shared" si="52"/>
        <v>Penicillines</v>
      </c>
      <c r="BR138" t="str">
        <f t="shared" si="53"/>
        <v>Polypeptides</v>
      </c>
      <c r="BS138" t="str">
        <f t="shared" si="54"/>
        <v/>
      </c>
      <c r="BT138" s="76" t="str">
        <f t="shared" si="55"/>
        <v>Voie intramammaire</v>
      </c>
      <c r="BU138" t="str">
        <f t="shared" si="56"/>
        <v>x</v>
      </c>
      <c r="CK138" s="109" t="s">
        <v>1264</v>
      </c>
      <c r="CL138" s="185" t="s">
        <v>4321</v>
      </c>
      <c r="CN138">
        <v>137</v>
      </c>
    </row>
    <row r="139" spans="1:92" x14ac:dyDescent="0.3">
      <c r="A139" s="118" t="s">
        <v>3732</v>
      </c>
      <c r="B139" t="s">
        <v>3733</v>
      </c>
      <c r="C139" t="s">
        <v>3590</v>
      </c>
      <c r="D139" s="144" t="s">
        <v>764</v>
      </c>
      <c r="E139" t="s">
        <v>765</v>
      </c>
      <c r="F139" t="s">
        <v>607</v>
      </c>
      <c r="G139" t="s">
        <v>766</v>
      </c>
      <c r="H139" t="s">
        <v>1213</v>
      </c>
      <c r="I139" t="s">
        <v>766</v>
      </c>
      <c r="J139" t="s">
        <v>2366</v>
      </c>
      <c r="K139" t="s">
        <v>2366</v>
      </c>
      <c r="L139" t="s">
        <v>2367</v>
      </c>
      <c r="M139" t="s">
        <v>208</v>
      </c>
      <c r="N139" t="s">
        <v>764</v>
      </c>
      <c r="O139" t="s">
        <v>771</v>
      </c>
      <c r="P139" t="s">
        <v>772</v>
      </c>
      <c r="Q139" t="s">
        <v>852</v>
      </c>
      <c r="R139">
        <v>0</v>
      </c>
      <c r="S139">
        <v>0</v>
      </c>
      <c r="T139">
        <v>0</v>
      </c>
      <c r="U139">
        <v>0</v>
      </c>
      <c r="V139">
        <v>0</v>
      </c>
      <c r="W139">
        <v>0</v>
      </c>
      <c r="X139">
        <v>0</v>
      </c>
      <c r="Y139">
        <v>0</v>
      </c>
      <c r="Z139">
        <v>0</v>
      </c>
      <c r="AA139">
        <v>0</v>
      </c>
      <c r="AB139">
        <v>0</v>
      </c>
      <c r="AC139">
        <v>0</v>
      </c>
      <c r="AD139">
        <v>7.5</v>
      </c>
      <c r="AE139">
        <v>1</v>
      </c>
      <c r="AF139">
        <v>0</v>
      </c>
      <c r="AG139">
        <v>0</v>
      </c>
      <c r="AH139">
        <v>0</v>
      </c>
      <c r="AI139">
        <v>0</v>
      </c>
      <c r="AY139" t="str">
        <f t="shared" si="38"/>
        <v>BAYTRIL 1NJECT PORC</v>
      </c>
      <c r="AZ139" t="str">
        <f>IF(COUNTIF(AY:AY,AY139)=1,AY139,IF(AND(COUNTIF(AY:AY,AY139)&gt;1,COUNTIF(AZ$2:AZ138,AY139)&gt;=1),"",AY139))</f>
        <v>BAYTRIL 1NJECT PORC</v>
      </c>
      <c r="BA139">
        <f>IF(AZ139="","",COUNTIFS(AZ$3:AZ$1439,"&lt;"&amp;AZ139,AZ$3:AZ$1439,"&lt;&gt;0")+COUNTIF(AZ$3:AZ139,AZ139)-876)</f>
        <v>62</v>
      </c>
      <c r="BC139">
        <v>137</v>
      </c>
      <c r="BD139" t="str">
        <f t="shared" si="49"/>
        <v>COLIDIARYL</v>
      </c>
      <c r="BE139" t="str">
        <f t="shared" si="39"/>
        <v>ORAL</v>
      </c>
      <c r="BF139" t="str">
        <f t="shared" si="40"/>
        <v>MACROLIDES</v>
      </c>
      <c r="BG139" t="str">
        <f t="shared" si="41"/>
        <v>POLYPEPTIDES</v>
      </c>
      <c r="BH139" t="str">
        <f t="shared" si="42"/>
        <v/>
      </c>
      <c r="BI139" t="str">
        <f t="shared" si="43"/>
        <v>erythromycin</v>
      </c>
      <c r="BJ139" t="str">
        <f t="shared" si="44"/>
        <v>colistin</v>
      </c>
      <c r="BK139" t="str">
        <f t="shared" si="45"/>
        <v/>
      </c>
      <c r="BL139" t="str">
        <f t="shared" si="50"/>
        <v>Erythromycine + Colistine</v>
      </c>
      <c r="BM139" t="str">
        <f t="shared" si="46"/>
        <v>Erythromycine</v>
      </c>
      <c r="BN139" t="str">
        <f t="shared" si="47"/>
        <v>Colistine</v>
      </c>
      <c r="BO139" t="str">
        <f t="shared" si="48"/>
        <v/>
      </c>
      <c r="BP139" t="str">
        <f t="shared" si="51"/>
        <v>Macrolides + Polypeptides</v>
      </c>
      <c r="BQ139" t="str">
        <f t="shared" si="52"/>
        <v>Macrolides</v>
      </c>
      <c r="BR139" t="str">
        <f t="shared" si="53"/>
        <v>Polypeptides</v>
      </c>
      <c r="BS139" t="str">
        <f t="shared" si="54"/>
        <v/>
      </c>
      <c r="BT139" s="76" t="str">
        <f t="shared" si="55"/>
        <v>Voie orale  hors prémélanges médicamenteux</v>
      </c>
      <c r="BU139" t="str">
        <f t="shared" si="56"/>
        <v>x</v>
      </c>
      <c r="CK139" s="109" t="s">
        <v>4057</v>
      </c>
      <c r="CL139" s="185" t="s">
        <v>4321</v>
      </c>
      <c r="CN139">
        <v>138</v>
      </c>
    </row>
    <row r="140" spans="1:92" x14ac:dyDescent="0.3">
      <c r="A140" s="118" t="s">
        <v>2364</v>
      </c>
      <c r="B140" t="s">
        <v>2365</v>
      </c>
      <c r="C140" t="s">
        <v>763</v>
      </c>
      <c r="D140" s="144" t="s">
        <v>764</v>
      </c>
      <c r="E140" t="s">
        <v>765</v>
      </c>
      <c r="F140" t="s">
        <v>253</v>
      </c>
      <c r="G140" t="s">
        <v>956</v>
      </c>
      <c r="H140" t="s">
        <v>169</v>
      </c>
      <c r="I140" t="s">
        <v>817</v>
      </c>
      <c r="J140" t="s">
        <v>2366</v>
      </c>
      <c r="K140" t="s">
        <v>2366</v>
      </c>
      <c r="L140" t="s">
        <v>2367</v>
      </c>
      <c r="M140" t="s">
        <v>208</v>
      </c>
      <c r="N140" t="s">
        <v>855</v>
      </c>
      <c r="O140" t="s">
        <v>771</v>
      </c>
      <c r="P140" t="s">
        <v>772</v>
      </c>
      <c r="Q140" t="s">
        <v>1126</v>
      </c>
      <c r="R140">
        <v>5</v>
      </c>
      <c r="S140">
        <v>5</v>
      </c>
      <c r="T140">
        <v>0</v>
      </c>
      <c r="U140">
        <v>0</v>
      </c>
      <c r="V140">
        <v>0</v>
      </c>
      <c r="W140">
        <v>0</v>
      </c>
      <c r="X140">
        <v>0</v>
      </c>
      <c r="Y140">
        <v>0</v>
      </c>
      <c r="Z140">
        <v>0</v>
      </c>
      <c r="AA140">
        <v>0</v>
      </c>
      <c r="AB140">
        <v>5</v>
      </c>
      <c r="AC140">
        <v>5</v>
      </c>
      <c r="AD140">
        <v>0</v>
      </c>
      <c r="AE140">
        <v>0</v>
      </c>
      <c r="AF140">
        <v>0</v>
      </c>
      <c r="AG140">
        <v>0</v>
      </c>
      <c r="AH140">
        <v>0</v>
      </c>
      <c r="AI140">
        <v>0</v>
      </c>
      <c r="AY140" t="str">
        <f t="shared" si="38"/>
        <v>BAYTRIL 2,5 % SOLUTION BUVABLE</v>
      </c>
      <c r="AZ140" t="str">
        <f>IF(COUNTIF(AY:AY,AY140)=1,AY140,IF(AND(COUNTIF(AY:AY,AY140)&gt;1,COUNTIF(AZ$2:AZ139,AY140)&gt;=1),"",AY140))</f>
        <v>BAYTRIL 2,5 % SOLUTION BUVABLE</v>
      </c>
      <c r="BA140">
        <f>IF(AZ140="","",COUNTIFS(AZ$3:AZ$1439,"&lt;"&amp;AZ140,AZ$3:AZ$1439,"&lt;&gt;0")+COUNTIF(AZ$3:AZ140,AZ140)-876)</f>
        <v>63</v>
      </c>
      <c r="BC140">
        <v>138</v>
      </c>
      <c r="BD140" t="str">
        <f t="shared" si="49"/>
        <v>COLIPATE</v>
      </c>
      <c r="BE140" t="str">
        <f t="shared" si="39"/>
        <v>ORAL</v>
      </c>
      <c r="BF140" t="str">
        <f t="shared" si="40"/>
        <v>POLYPEPTIDES</v>
      </c>
      <c r="BG140" t="str">
        <f t="shared" si="41"/>
        <v/>
      </c>
      <c r="BH140" t="str">
        <f t="shared" si="42"/>
        <v/>
      </c>
      <c r="BI140" t="str">
        <f t="shared" si="43"/>
        <v>colistin</v>
      </c>
      <c r="BJ140" t="str">
        <f t="shared" si="44"/>
        <v/>
      </c>
      <c r="BK140" t="str">
        <f t="shared" si="45"/>
        <v/>
      </c>
      <c r="BL140" t="str">
        <f t="shared" si="50"/>
        <v>Colistine</v>
      </c>
      <c r="BM140" t="str">
        <f t="shared" si="46"/>
        <v>Colistine</v>
      </c>
      <c r="BN140" t="str">
        <f t="shared" si="47"/>
        <v/>
      </c>
      <c r="BO140" t="str">
        <f t="shared" si="48"/>
        <v/>
      </c>
      <c r="BP140" t="str">
        <f t="shared" si="51"/>
        <v>Polypeptides</v>
      </c>
      <c r="BQ140" t="str">
        <f t="shared" si="52"/>
        <v>Polypeptides</v>
      </c>
      <c r="BR140" t="str">
        <f t="shared" si="53"/>
        <v/>
      </c>
      <c r="BS140" t="str">
        <f t="shared" si="54"/>
        <v/>
      </c>
      <c r="BT140" s="76" t="str">
        <f t="shared" si="55"/>
        <v>Voie orale  hors prémélanges médicamenteux</v>
      </c>
      <c r="BU140" t="str">
        <f t="shared" si="56"/>
        <v>x</v>
      </c>
      <c r="CK140" s="109" t="s">
        <v>1558</v>
      </c>
      <c r="CL140" s="185" t="s">
        <v>4321</v>
      </c>
      <c r="CN140">
        <v>139</v>
      </c>
    </row>
    <row r="141" spans="1:92" x14ac:dyDescent="0.3">
      <c r="A141" s="118" t="s">
        <v>2364</v>
      </c>
      <c r="B141" t="s">
        <v>2368</v>
      </c>
      <c r="C141" t="s">
        <v>1794</v>
      </c>
      <c r="D141" s="144" t="s">
        <v>906</v>
      </c>
      <c r="E141" t="s">
        <v>765</v>
      </c>
      <c r="F141" t="s">
        <v>253</v>
      </c>
      <c r="G141" t="s">
        <v>956</v>
      </c>
      <c r="H141" t="s">
        <v>169</v>
      </c>
      <c r="I141" t="s">
        <v>817</v>
      </c>
      <c r="J141" t="s">
        <v>2366</v>
      </c>
      <c r="K141" t="s">
        <v>2366</v>
      </c>
      <c r="L141" t="s">
        <v>2367</v>
      </c>
      <c r="M141" t="s">
        <v>208</v>
      </c>
      <c r="N141" t="s">
        <v>855</v>
      </c>
      <c r="O141" t="s">
        <v>771</v>
      </c>
      <c r="P141" t="s">
        <v>772</v>
      </c>
      <c r="Q141" t="s">
        <v>1072</v>
      </c>
      <c r="R141">
        <v>5</v>
      </c>
      <c r="S141">
        <v>5</v>
      </c>
      <c r="T141">
        <v>0</v>
      </c>
      <c r="U141">
        <v>0</v>
      </c>
      <c r="V141">
        <v>0</v>
      </c>
      <c r="W141">
        <v>0</v>
      </c>
      <c r="X141">
        <v>0</v>
      </c>
      <c r="Y141">
        <v>0</v>
      </c>
      <c r="Z141">
        <v>0</v>
      </c>
      <c r="AA141">
        <v>0</v>
      </c>
      <c r="AB141">
        <v>5</v>
      </c>
      <c r="AC141">
        <v>5</v>
      </c>
      <c r="AD141">
        <v>0</v>
      </c>
      <c r="AE141">
        <v>0</v>
      </c>
      <c r="AF141">
        <v>0</v>
      </c>
      <c r="AG141">
        <v>0</v>
      </c>
      <c r="AH141">
        <v>0</v>
      </c>
      <c r="AI141">
        <v>0</v>
      </c>
      <c r="AY141" t="str">
        <f t="shared" si="38"/>
        <v>BAYTRIL 2,5 % SOLUTION BUVABLE</v>
      </c>
      <c r="AZ141" t="str">
        <f>IF(COUNTIF(AY:AY,AY141)=1,AY141,IF(AND(COUNTIF(AY:AY,AY141)&gt;1,COUNTIF(AZ$2:AZ140,AY141)&gt;=1),"",AY141))</f>
        <v/>
      </c>
      <c r="BA141" t="str">
        <f>IF(AZ141="","",COUNTIFS(AZ$3:AZ$1439,"&lt;"&amp;AZ141,AZ$3:AZ$1439,"&lt;&gt;0")+COUNTIF(AZ$3:AZ141,AZ141)-876)</f>
        <v/>
      </c>
      <c r="BC141">
        <v>139</v>
      </c>
      <c r="BD141" t="str">
        <f t="shared" si="49"/>
        <v>COLIPRO 2 MUI/ML CONCENTRE POUR SOLUTION BUVABLE POUR PORCINS ET VOLAILLES</v>
      </c>
      <c r="BE141" t="str">
        <f t="shared" si="39"/>
        <v>ORAL</v>
      </c>
      <c r="BF141" t="str">
        <f t="shared" si="40"/>
        <v>POLYPEPTIDES</v>
      </c>
      <c r="BG141" t="str">
        <f t="shared" si="41"/>
        <v/>
      </c>
      <c r="BH141" t="str">
        <f t="shared" si="42"/>
        <v/>
      </c>
      <c r="BI141" t="str">
        <f t="shared" si="43"/>
        <v>colistin</v>
      </c>
      <c r="BJ141" t="str">
        <f t="shared" si="44"/>
        <v/>
      </c>
      <c r="BK141" t="str">
        <f t="shared" si="45"/>
        <v/>
      </c>
      <c r="BL141" t="str">
        <f t="shared" si="50"/>
        <v>Colistine</v>
      </c>
      <c r="BM141" t="str">
        <f t="shared" si="46"/>
        <v>Colistine</v>
      </c>
      <c r="BN141" t="str">
        <f t="shared" si="47"/>
        <v/>
      </c>
      <c r="BO141" t="str">
        <f t="shared" si="48"/>
        <v/>
      </c>
      <c r="BP141" t="str">
        <f t="shared" si="51"/>
        <v>Polypeptides</v>
      </c>
      <c r="BQ141" t="str">
        <f t="shared" si="52"/>
        <v>Polypeptides</v>
      </c>
      <c r="BR141" t="str">
        <f t="shared" si="53"/>
        <v/>
      </c>
      <c r="BS141" t="str">
        <f t="shared" si="54"/>
        <v/>
      </c>
      <c r="BT141" s="76" t="str">
        <f t="shared" si="55"/>
        <v>Voie orale  hors prémélanges médicamenteux</v>
      </c>
      <c r="BU141" t="str">
        <f t="shared" si="56"/>
        <v>x</v>
      </c>
      <c r="CK141" s="109" t="s">
        <v>832</v>
      </c>
      <c r="CL141" s="185" t="s">
        <v>4321</v>
      </c>
      <c r="CN141">
        <v>140</v>
      </c>
    </row>
    <row r="142" spans="1:92" x14ac:dyDescent="0.3">
      <c r="A142" s="118" t="s">
        <v>2364</v>
      </c>
      <c r="B142" t="s">
        <v>2369</v>
      </c>
      <c r="C142" t="s">
        <v>954</v>
      </c>
      <c r="D142" s="144" t="s">
        <v>955</v>
      </c>
      <c r="E142" t="s">
        <v>765</v>
      </c>
      <c r="F142" t="s">
        <v>253</v>
      </c>
      <c r="G142" t="s">
        <v>956</v>
      </c>
      <c r="H142" t="s">
        <v>169</v>
      </c>
      <c r="I142" t="s">
        <v>817</v>
      </c>
      <c r="J142" t="s">
        <v>2366</v>
      </c>
      <c r="K142" t="s">
        <v>2366</v>
      </c>
      <c r="L142" t="s">
        <v>2367</v>
      </c>
      <c r="M142" t="s">
        <v>208</v>
      </c>
      <c r="N142" t="s">
        <v>855</v>
      </c>
      <c r="O142" t="s">
        <v>771</v>
      </c>
      <c r="P142" t="s">
        <v>772</v>
      </c>
      <c r="Q142" t="s">
        <v>1125</v>
      </c>
      <c r="R142">
        <v>5</v>
      </c>
      <c r="S142">
        <v>5</v>
      </c>
      <c r="T142">
        <v>0</v>
      </c>
      <c r="U142">
        <v>0</v>
      </c>
      <c r="V142">
        <v>0</v>
      </c>
      <c r="W142">
        <v>0</v>
      </c>
      <c r="X142">
        <v>0</v>
      </c>
      <c r="Y142">
        <v>0</v>
      </c>
      <c r="Z142">
        <v>0</v>
      </c>
      <c r="AA142">
        <v>0</v>
      </c>
      <c r="AB142">
        <v>5</v>
      </c>
      <c r="AC142">
        <v>5</v>
      </c>
      <c r="AD142">
        <v>0</v>
      </c>
      <c r="AE142">
        <v>0</v>
      </c>
      <c r="AF142">
        <v>0</v>
      </c>
      <c r="AG142">
        <v>0</v>
      </c>
      <c r="AH142">
        <v>0</v>
      </c>
      <c r="AI142">
        <v>0</v>
      </c>
      <c r="AY142" t="str">
        <f t="shared" si="38"/>
        <v>BAYTRIL 2,5 % SOLUTION BUVABLE</v>
      </c>
      <c r="AZ142" t="str">
        <f>IF(COUNTIF(AY:AY,AY142)=1,AY142,IF(AND(COUNTIF(AY:AY,AY142)&gt;1,COUNTIF(AZ$2:AZ141,AY142)&gt;=1),"",AY142))</f>
        <v/>
      </c>
      <c r="BA142" t="str">
        <f>IF(AZ142="","",COUNTIFS(AZ$3:AZ$1439,"&lt;"&amp;AZ142,AZ$3:AZ$1439,"&lt;&gt;0")+COUNTIF(AZ$3:AZ142,AZ142)-876)</f>
        <v/>
      </c>
      <c r="BC142">
        <v>140</v>
      </c>
      <c r="BD142" t="str">
        <f t="shared" si="49"/>
        <v>COLISTINE 200-CB LAPIN-VOLAILLE-PORC ET AGNEAU-CHEVREAU SEVRES FRANVET</v>
      </c>
      <c r="BE142" t="str">
        <f t="shared" si="39"/>
        <v>PM</v>
      </c>
      <c r="BF142" t="str">
        <f t="shared" si="40"/>
        <v>POLYPEPTIDES</v>
      </c>
      <c r="BG142" t="str">
        <f t="shared" si="41"/>
        <v/>
      </c>
      <c r="BH142" t="str">
        <f t="shared" si="42"/>
        <v/>
      </c>
      <c r="BI142" t="str">
        <f t="shared" si="43"/>
        <v>colistin</v>
      </c>
      <c r="BJ142" t="str">
        <f t="shared" si="44"/>
        <v/>
      </c>
      <c r="BK142" t="str">
        <f t="shared" si="45"/>
        <v/>
      </c>
      <c r="BL142" t="str">
        <f t="shared" si="50"/>
        <v>Colistine</v>
      </c>
      <c r="BM142" t="str">
        <f t="shared" si="46"/>
        <v>Colistine</v>
      </c>
      <c r="BN142" t="str">
        <f t="shared" si="47"/>
        <v/>
      </c>
      <c r="BO142" t="str">
        <f t="shared" si="48"/>
        <v/>
      </c>
      <c r="BP142" t="str">
        <f t="shared" si="51"/>
        <v>Polypeptides</v>
      </c>
      <c r="BQ142" t="str">
        <f t="shared" si="52"/>
        <v>Polypeptides</v>
      </c>
      <c r="BR142" t="str">
        <f t="shared" si="53"/>
        <v/>
      </c>
      <c r="BS142" t="str">
        <f t="shared" si="54"/>
        <v/>
      </c>
      <c r="BT142" s="76" t="str">
        <f t="shared" si="55"/>
        <v>Prémélanges médicamenteux</v>
      </c>
      <c r="BU142" t="str">
        <f t="shared" si="56"/>
        <v>x</v>
      </c>
      <c r="CK142" s="109" t="s">
        <v>1091</v>
      </c>
      <c r="CL142" s="185" t="s">
        <v>4321</v>
      </c>
      <c r="CN142">
        <v>141</v>
      </c>
    </row>
    <row r="143" spans="1:92" x14ac:dyDescent="0.3">
      <c r="A143" s="118" t="s">
        <v>3246</v>
      </c>
      <c r="B143" t="s">
        <v>3247</v>
      </c>
      <c r="C143" t="s">
        <v>792</v>
      </c>
      <c r="D143" s="144" t="s">
        <v>764</v>
      </c>
      <c r="E143" t="s">
        <v>765</v>
      </c>
      <c r="F143" t="s">
        <v>3248</v>
      </c>
      <c r="G143" t="s">
        <v>766</v>
      </c>
      <c r="H143" t="s">
        <v>3249</v>
      </c>
      <c r="I143" t="s">
        <v>766</v>
      </c>
      <c r="J143" t="s">
        <v>2366</v>
      </c>
      <c r="K143" t="s">
        <v>2366</v>
      </c>
      <c r="L143" t="s">
        <v>2367</v>
      </c>
      <c r="M143" t="s">
        <v>208</v>
      </c>
      <c r="N143" t="s">
        <v>855</v>
      </c>
      <c r="O143" t="s">
        <v>771</v>
      </c>
      <c r="P143" t="s">
        <v>772</v>
      </c>
      <c r="Q143" t="s">
        <v>1126</v>
      </c>
      <c r="R143">
        <v>0</v>
      </c>
      <c r="S143">
        <v>0</v>
      </c>
      <c r="T143">
        <v>5</v>
      </c>
      <c r="U143">
        <v>5</v>
      </c>
      <c r="V143">
        <v>0</v>
      </c>
      <c r="W143">
        <v>0</v>
      </c>
      <c r="X143">
        <v>0</v>
      </c>
      <c r="Y143">
        <v>0</v>
      </c>
      <c r="Z143">
        <v>10</v>
      </c>
      <c r="AA143">
        <v>10</v>
      </c>
      <c r="AB143">
        <v>0</v>
      </c>
      <c r="AC143">
        <v>0</v>
      </c>
      <c r="AD143">
        <v>2.5</v>
      </c>
      <c r="AE143">
        <v>3</v>
      </c>
      <c r="AF143">
        <v>0</v>
      </c>
      <c r="AG143">
        <v>0</v>
      </c>
      <c r="AH143">
        <v>20</v>
      </c>
      <c r="AI143">
        <v>10</v>
      </c>
      <c r="AY143" t="str">
        <f t="shared" si="38"/>
        <v>BAYTRIL 2,5 % SOLUTION INJECTABLE</v>
      </c>
      <c r="AZ143" t="str">
        <f>IF(COUNTIF(AY:AY,AY143)=1,AY143,IF(AND(COUNTIF(AY:AY,AY143)&gt;1,COUNTIF(AZ$2:AZ142,AY143)&gt;=1),"",AY143))</f>
        <v>BAYTRIL 2,5 % SOLUTION INJECTABLE</v>
      </c>
      <c r="BA143">
        <f>IF(AZ143="","",COUNTIFS(AZ$3:AZ$1439,"&lt;"&amp;AZ143,AZ$3:AZ$1439,"&lt;&gt;0")+COUNTIF(AZ$3:AZ143,AZ143)-876)</f>
        <v>64</v>
      </c>
      <c r="BC143">
        <v>141</v>
      </c>
      <c r="BD143" t="str">
        <f t="shared" si="49"/>
        <v>COLISTINE 400-CB PORC ET AGNEAU-CHEVREAU SEVRES FRANVET</v>
      </c>
      <c r="BE143" t="str">
        <f t="shared" si="39"/>
        <v>PM</v>
      </c>
      <c r="BF143" t="str">
        <f t="shared" si="40"/>
        <v>POLYPEPTIDES</v>
      </c>
      <c r="BG143" t="str">
        <f t="shared" si="41"/>
        <v/>
      </c>
      <c r="BH143" t="str">
        <f t="shared" si="42"/>
        <v/>
      </c>
      <c r="BI143" t="str">
        <f t="shared" si="43"/>
        <v>colistin</v>
      </c>
      <c r="BJ143" t="str">
        <f t="shared" si="44"/>
        <v/>
      </c>
      <c r="BK143" t="str">
        <f t="shared" si="45"/>
        <v/>
      </c>
      <c r="BL143" t="str">
        <f t="shared" si="50"/>
        <v>Colistine</v>
      </c>
      <c r="BM143" t="str">
        <f t="shared" si="46"/>
        <v>Colistine</v>
      </c>
      <c r="BN143" t="str">
        <f t="shared" si="47"/>
        <v/>
      </c>
      <c r="BO143" t="str">
        <f t="shared" si="48"/>
        <v/>
      </c>
      <c r="BP143" t="str">
        <f t="shared" si="51"/>
        <v>Polypeptides</v>
      </c>
      <c r="BQ143" t="str">
        <f t="shared" si="52"/>
        <v>Polypeptides</v>
      </c>
      <c r="BR143" t="str">
        <f t="shared" si="53"/>
        <v/>
      </c>
      <c r="BS143" t="str">
        <f t="shared" si="54"/>
        <v/>
      </c>
      <c r="BT143" s="76" t="str">
        <f t="shared" si="55"/>
        <v>Prémélanges médicamenteux</v>
      </c>
      <c r="BU143" t="str">
        <f t="shared" si="56"/>
        <v>x</v>
      </c>
      <c r="CK143" s="109" t="s">
        <v>1513</v>
      </c>
      <c r="CL143" s="185" t="s">
        <v>4321</v>
      </c>
      <c r="CN143">
        <v>142</v>
      </c>
    </row>
    <row r="144" spans="1:92" x14ac:dyDescent="0.3">
      <c r="A144" s="118" t="s">
        <v>2567</v>
      </c>
      <c r="B144" t="s">
        <v>2568</v>
      </c>
      <c r="C144" t="s">
        <v>1369</v>
      </c>
      <c r="D144" s="144" t="s">
        <v>780</v>
      </c>
      <c r="E144" t="s">
        <v>765</v>
      </c>
      <c r="F144" t="s">
        <v>254</v>
      </c>
      <c r="G144" t="s">
        <v>766</v>
      </c>
      <c r="H144" t="s">
        <v>1840</v>
      </c>
      <c r="I144" t="s">
        <v>766</v>
      </c>
      <c r="J144" t="s">
        <v>2366</v>
      </c>
      <c r="K144" t="s">
        <v>2366</v>
      </c>
      <c r="L144" t="s">
        <v>2367</v>
      </c>
      <c r="M144" t="s">
        <v>208</v>
      </c>
      <c r="N144" t="s">
        <v>780</v>
      </c>
      <c r="O144" t="s">
        <v>771</v>
      </c>
      <c r="P144" t="s">
        <v>772</v>
      </c>
      <c r="Q144" t="s">
        <v>1126</v>
      </c>
      <c r="R144">
        <v>5</v>
      </c>
      <c r="S144">
        <v>5</v>
      </c>
      <c r="T144">
        <v>5</v>
      </c>
      <c r="U144">
        <v>5</v>
      </c>
      <c r="V144">
        <v>0</v>
      </c>
      <c r="W144">
        <v>0</v>
      </c>
      <c r="X144">
        <v>0</v>
      </c>
      <c r="Y144">
        <v>0</v>
      </c>
      <c r="Z144">
        <v>0</v>
      </c>
      <c r="AA144">
        <v>0</v>
      </c>
      <c r="AB144">
        <v>5</v>
      </c>
      <c r="AC144">
        <v>3</v>
      </c>
      <c r="AD144">
        <v>2.5</v>
      </c>
      <c r="AE144">
        <v>3</v>
      </c>
      <c r="AF144">
        <v>0</v>
      </c>
      <c r="AG144">
        <v>0</v>
      </c>
      <c r="AH144">
        <v>0</v>
      </c>
      <c r="AI144">
        <v>0</v>
      </c>
      <c r="AY144" t="str">
        <f t="shared" si="38"/>
        <v>BAYTRIL 5 % SOLUTION INJECTABLE</v>
      </c>
      <c r="AZ144" t="str">
        <f>IF(COUNTIF(AY:AY,AY144)=1,AY144,IF(AND(COUNTIF(AY:AY,AY144)&gt;1,COUNTIF(AZ$2:AZ143,AY144)&gt;=1),"",AY144))</f>
        <v>BAYTRIL 5 % SOLUTION INJECTABLE</v>
      </c>
      <c r="BA144">
        <f>IF(AZ144="","",COUNTIFS(AZ$3:AZ$1439,"&lt;"&amp;AZ144,AZ$3:AZ$1439,"&lt;&gt;0")+COUNTIF(AZ$3:AZ144,AZ144)-876)</f>
        <v>65</v>
      </c>
      <c r="BC144">
        <v>142</v>
      </c>
      <c r="BD144" t="str">
        <f t="shared" si="49"/>
        <v>COLISTINE 400-F PORC ET AGNEAU-CHEVREAU SEVRES FRANVET</v>
      </c>
      <c r="BE144" t="str">
        <f t="shared" si="39"/>
        <v>PM</v>
      </c>
      <c r="BF144" t="str">
        <f t="shared" si="40"/>
        <v>POLYPEPTIDES</v>
      </c>
      <c r="BG144" t="str">
        <f t="shared" si="41"/>
        <v/>
      </c>
      <c r="BH144" t="str">
        <f t="shared" si="42"/>
        <v/>
      </c>
      <c r="BI144" t="str">
        <f t="shared" si="43"/>
        <v>colistin</v>
      </c>
      <c r="BJ144" t="str">
        <f t="shared" si="44"/>
        <v/>
      </c>
      <c r="BK144" t="str">
        <f t="shared" si="45"/>
        <v/>
      </c>
      <c r="BL144" t="str">
        <f t="shared" si="50"/>
        <v>Colistine</v>
      </c>
      <c r="BM144" t="str">
        <f t="shared" si="46"/>
        <v>Colistine</v>
      </c>
      <c r="BN144" t="str">
        <f t="shared" si="47"/>
        <v/>
      </c>
      <c r="BO144" t="str">
        <f t="shared" si="48"/>
        <v/>
      </c>
      <c r="BP144" t="str">
        <f t="shared" si="51"/>
        <v>Polypeptides</v>
      </c>
      <c r="BQ144" t="str">
        <f t="shared" si="52"/>
        <v>Polypeptides</v>
      </c>
      <c r="BR144" t="str">
        <f t="shared" si="53"/>
        <v/>
      </c>
      <c r="BS144" t="str">
        <f t="shared" si="54"/>
        <v/>
      </c>
      <c r="BT144" s="76" t="str">
        <f t="shared" si="55"/>
        <v>Prémélanges médicamenteux</v>
      </c>
      <c r="BU144" t="str">
        <f t="shared" si="56"/>
        <v>x</v>
      </c>
      <c r="CK144" s="109" t="s">
        <v>4788</v>
      </c>
      <c r="CL144" s="185" t="s">
        <v>4321</v>
      </c>
      <c r="CN144">
        <v>143</v>
      </c>
    </row>
    <row r="145" spans="1:92" x14ac:dyDescent="0.3">
      <c r="A145" s="118" t="s">
        <v>2567</v>
      </c>
      <c r="B145" t="s">
        <v>2569</v>
      </c>
      <c r="C145" t="s">
        <v>1483</v>
      </c>
      <c r="D145" s="144" t="s">
        <v>764</v>
      </c>
      <c r="E145" t="s">
        <v>765</v>
      </c>
      <c r="F145" t="s">
        <v>254</v>
      </c>
      <c r="G145" t="s">
        <v>766</v>
      </c>
      <c r="H145" t="s">
        <v>1840</v>
      </c>
      <c r="I145" t="s">
        <v>766</v>
      </c>
      <c r="J145" t="s">
        <v>2366</v>
      </c>
      <c r="K145" t="s">
        <v>2366</v>
      </c>
      <c r="L145" t="s">
        <v>2367</v>
      </c>
      <c r="M145" t="s">
        <v>208</v>
      </c>
      <c r="N145" t="s">
        <v>780</v>
      </c>
      <c r="O145" t="s">
        <v>771</v>
      </c>
      <c r="P145" t="s">
        <v>772</v>
      </c>
      <c r="Q145" t="s">
        <v>885</v>
      </c>
      <c r="R145">
        <v>5</v>
      </c>
      <c r="S145">
        <v>5</v>
      </c>
      <c r="T145">
        <v>5</v>
      </c>
      <c r="U145">
        <v>5</v>
      </c>
      <c r="V145">
        <v>0</v>
      </c>
      <c r="W145">
        <v>0</v>
      </c>
      <c r="X145">
        <v>0</v>
      </c>
      <c r="Y145">
        <v>0</v>
      </c>
      <c r="Z145">
        <v>0</v>
      </c>
      <c r="AA145">
        <v>0</v>
      </c>
      <c r="AB145">
        <v>5</v>
      </c>
      <c r="AC145">
        <v>3</v>
      </c>
      <c r="AD145">
        <v>2.5</v>
      </c>
      <c r="AE145">
        <v>3</v>
      </c>
      <c r="AF145">
        <v>0</v>
      </c>
      <c r="AG145">
        <v>0</v>
      </c>
      <c r="AH145">
        <v>0</v>
      </c>
      <c r="AI145">
        <v>0</v>
      </c>
      <c r="AY145" t="str">
        <f t="shared" si="38"/>
        <v>BAYTRIL 5 % SOLUTION INJECTABLE</v>
      </c>
      <c r="AZ145" t="str">
        <f>IF(COUNTIF(AY:AY,AY145)=1,AY145,IF(AND(COUNTIF(AY:AY,AY145)&gt;1,COUNTIF(AZ$2:AZ144,AY145)&gt;=1),"",AY145))</f>
        <v/>
      </c>
      <c r="BA145" t="str">
        <f>IF(AZ145="","",COUNTIFS(AZ$3:AZ$1439,"&lt;"&amp;AZ145,AZ$3:AZ$1439,"&lt;&gt;0")+COUNTIF(AZ$3:AZ145,AZ145)-876)</f>
        <v/>
      </c>
      <c r="BC145">
        <v>143</v>
      </c>
      <c r="BD145" t="str">
        <f t="shared" si="49"/>
        <v>COLISTINE SULFATE 2 000 000 UI/ML BUVABLE VIRBAC</v>
      </c>
      <c r="BE145" t="str">
        <f t="shared" si="39"/>
        <v>ORAL</v>
      </c>
      <c r="BF145" t="str">
        <f t="shared" si="40"/>
        <v>POLYPEPTIDES</v>
      </c>
      <c r="BG145" t="str">
        <f t="shared" si="41"/>
        <v/>
      </c>
      <c r="BH145" t="str">
        <f t="shared" si="42"/>
        <v/>
      </c>
      <c r="BI145" t="str">
        <f t="shared" si="43"/>
        <v>colistin</v>
      </c>
      <c r="BJ145" t="str">
        <f t="shared" si="44"/>
        <v/>
      </c>
      <c r="BK145" t="str">
        <f t="shared" si="45"/>
        <v/>
      </c>
      <c r="BL145" t="str">
        <f t="shared" si="50"/>
        <v>Colistine</v>
      </c>
      <c r="BM145" t="str">
        <f t="shared" si="46"/>
        <v>Colistine</v>
      </c>
      <c r="BN145" t="str">
        <f t="shared" si="47"/>
        <v/>
      </c>
      <c r="BO145" t="str">
        <f t="shared" si="48"/>
        <v/>
      </c>
      <c r="BP145" t="str">
        <f t="shared" si="51"/>
        <v>Polypeptides</v>
      </c>
      <c r="BQ145" t="str">
        <f t="shared" si="52"/>
        <v>Polypeptides</v>
      </c>
      <c r="BR145" t="str">
        <f t="shared" si="53"/>
        <v/>
      </c>
      <c r="BS145" t="str">
        <f t="shared" si="54"/>
        <v/>
      </c>
      <c r="BT145" s="76" t="str">
        <f t="shared" si="55"/>
        <v>Voie orale  hors prémélanges médicamenteux</v>
      </c>
      <c r="BU145" t="str">
        <f t="shared" si="56"/>
        <v>x</v>
      </c>
      <c r="CK145" s="109" t="s">
        <v>2126</v>
      </c>
      <c r="CL145" s="185" t="s">
        <v>4321</v>
      </c>
      <c r="CN145">
        <v>144</v>
      </c>
    </row>
    <row r="146" spans="1:92" x14ac:dyDescent="0.3">
      <c r="A146" s="118" t="s">
        <v>2773</v>
      </c>
      <c r="B146" t="s">
        <v>2774</v>
      </c>
      <c r="C146" t="s">
        <v>2775</v>
      </c>
      <c r="D146" s="144" t="s">
        <v>786</v>
      </c>
      <c r="E146" t="s">
        <v>813</v>
      </c>
      <c r="F146" t="s">
        <v>255</v>
      </c>
      <c r="G146" t="s">
        <v>815</v>
      </c>
      <c r="H146" t="s">
        <v>169</v>
      </c>
      <c r="I146" t="s">
        <v>817</v>
      </c>
      <c r="J146" t="s">
        <v>2366</v>
      </c>
      <c r="K146" t="s">
        <v>2366</v>
      </c>
      <c r="L146" t="s">
        <v>2367</v>
      </c>
      <c r="M146" t="s">
        <v>208</v>
      </c>
      <c r="N146" t="s">
        <v>906</v>
      </c>
      <c r="O146" t="s">
        <v>824</v>
      </c>
      <c r="P146" t="s">
        <v>772</v>
      </c>
      <c r="Q146" t="s">
        <v>1304</v>
      </c>
      <c r="R146">
        <v>5</v>
      </c>
      <c r="S146">
        <v>3</v>
      </c>
      <c r="T146">
        <v>0</v>
      </c>
      <c r="U146">
        <v>0</v>
      </c>
      <c r="V146">
        <v>0</v>
      </c>
      <c r="W146">
        <v>0</v>
      </c>
      <c r="X146">
        <v>0</v>
      </c>
      <c r="Y146">
        <v>0</v>
      </c>
      <c r="Z146">
        <v>0</v>
      </c>
      <c r="AA146">
        <v>0</v>
      </c>
      <c r="AB146">
        <v>0</v>
      </c>
      <c r="AC146">
        <v>0</v>
      </c>
      <c r="AD146">
        <v>0</v>
      </c>
      <c r="AE146">
        <v>0</v>
      </c>
      <c r="AF146">
        <v>0</v>
      </c>
      <c r="AG146">
        <v>0</v>
      </c>
      <c r="AH146">
        <v>0</v>
      </c>
      <c r="AI146">
        <v>0</v>
      </c>
      <c r="AY146" t="str">
        <f t="shared" si="38"/>
        <v>BAYTRIL BOLUS</v>
      </c>
      <c r="AZ146" t="str">
        <f>IF(COUNTIF(AY:AY,AY146)=1,AY146,IF(AND(COUNTIF(AY:AY,AY146)&gt;1,COUNTIF(AZ$2:AZ145,AY146)&gt;=1),"",AY146))</f>
        <v>BAYTRIL BOLUS</v>
      </c>
      <c r="BA146">
        <f>IF(AZ146="","",COUNTIFS(AZ$3:AZ$1439,"&lt;"&amp;AZ146,AZ$3:AZ$1439,"&lt;&gt;0")+COUNTIF(AZ$3:AZ146,AZ146)-876)</f>
        <v>66</v>
      </c>
      <c r="BC146">
        <v>144</v>
      </c>
      <c r="BD146" t="str">
        <f t="shared" si="49"/>
        <v>COLISULTRIX POUDRE</v>
      </c>
      <c r="BE146" t="str">
        <f t="shared" si="39"/>
        <v>ORAL</v>
      </c>
      <c r="BF146" t="str">
        <f t="shared" si="40"/>
        <v>TRIMETHOPRIME</v>
      </c>
      <c r="BG146" t="str">
        <f t="shared" si="41"/>
        <v>POLYPEPTIDES</v>
      </c>
      <c r="BH146" t="str">
        <f t="shared" si="42"/>
        <v/>
      </c>
      <c r="BI146" t="str">
        <f t="shared" si="43"/>
        <v>trimethoprim</v>
      </c>
      <c r="BJ146" t="str">
        <f t="shared" si="44"/>
        <v>colistin</v>
      </c>
      <c r="BK146" t="str">
        <f t="shared" si="45"/>
        <v/>
      </c>
      <c r="BL146" t="str">
        <f t="shared" si="50"/>
        <v>Triméthoprime + Colistine</v>
      </c>
      <c r="BM146" t="str">
        <f t="shared" si="46"/>
        <v>Triméthoprime</v>
      </c>
      <c r="BN146" t="str">
        <f t="shared" si="47"/>
        <v>Colistine</v>
      </c>
      <c r="BO146" t="str">
        <f t="shared" si="48"/>
        <v/>
      </c>
      <c r="BP146" t="str">
        <f t="shared" si="51"/>
        <v>Trimethoprime + Polypeptides</v>
      </c>
      <c r="BQ146" t="str">
        <f t="shared" si="52"/>
        <v>Trimethoprime</v>
      </c>
      <c r="BR146" t="str">
        <f t="shared" si="53"/>
        <v>Polypeptides</v>
      </c>
      <c r="BS146" t="str">
        <f t="shared" si="54"/>
        <v/>
      </c>
      <c r="BT146" s="76" t="str">
        <f t="shared" si="55"/>
        <v>Voie orale  hors prémélanges médicamenteux</v>
      </c>
      <c r="BU146" t="str">
        <f t="shared" si="56"/>
        <v>x</v>
      </c>
      <c r="CK146" s="109" t="s">
        <v>2683</v>
      </c>
      <c r="CL146" s="185" t="s">
        <v>4321</v>
      </c>
      <c r="CN146">
        <v>145</v>
      </c>
    </row>
    <row r="147" spans="1:92" x14ac:dyDescent="0.3">
      <c r="A147" s="118" t="s">
        <v>2773</v>
      </c>
      <c r="B147" t="s">
        <v>2776</v>
      </c>
      <c r="C147" t="s">
        <v>2777</v>
      </c>
      <c r="D147" s="144" t="s">
        <v>785</v>
      </c>
      <c r="E147" t="s">
        <v>813</v>
      </c>
      <c r="F147" t="s">
        <v>255</v>
      </c>
      <c r="G147" t="s">
        <v>815</v>
      </c>
      <c r="H147" t="s">
        <v>169</v>
      </c>
      <c r="I147" t="s">
        <v>817</v>
      </c>
      <c r="J147" t="s">
        <v>2366</v>
      </c>
      <c r="K147" t="s">
        <v>2366</v>
      </c>
      <c r="L147" t="s">
        <v>2367</v>
      </c>
      <c r="M147" t="s">
        <v>208</v>
      </c>
      <c r="N147" t="s">
        <v>906</v>
      </c>
      <c r="O147" t="s">
        <v>824</v>
      </c>
      <c r="P147" t="s">
        <v>772</v>
      </c>
      <c r="Q147" t="s">
        <v>1047</v>
      </c>
      <c r="R147">
        <v>5</v>
      </c>
      <c r="S147">
        <v>3</v>
      </c>
      <c r="T147">
        <v>0</v>
      </c>
      <c r="U147">
        <v>0</v>
      </c>
      <c r="V147">
        <v>0</v>
      </c>
      <c r="W147">
        <v>0</v>
      </c>
      <c r="X147">
        <v>0</v>
      </c>
      <c r="Y147">
        <v>0</v>
      </c>
      <c r="Z147">
        <v>0</v>
      </c>
      <c r="AA147">
        <v>0</v>
      </c>
      <c r="AB147">
        <v>0</v>
      </c>
      <c r="AC147">
        <v>0</v>
      </c>
      <c r="AD147">
        <v>0</v>
      </c>
      <c r="AE147">
        <v>0</v>
      </c>
      <c r="AF147">
        <v>0</v>
      </c>
      <c r="AG147">
        <v>0</v>
      </c>
      <c r="AH147">
        <v>0</v>
      </c>
      <c r="AI147">
        <v>0</v>
      </c>
      <c r="AY147" t="str">
        <f t="shared" si="38"/>
        <v>BAYTRIL BOLUS</v>
      </c>
      <c r="AZ147" t="str">
        <f>IF(COUNTIF(AY:AY,AY147)=1,AY147,IF(AND(COUNTIF(AY:AY,AY147)&gt;1,COUNTIF(AZ$2:AZ146,AY147)&gt;=1),"",AY147))</f>
        <v/>
      </c>
      <c r="BA147" t="str">
        <f>IF(AZ147="","",COUNTIFS(AZ$3:AZ$1439,"&lt;"&amp;AZ147,AZ$3:AZ$1439,"&lt;&gt;0")+COUNTIF(AZ$3:AZ147,AZ147)-876)</f>
        <v/>
      </c>
      <c r="BC147">
        <v>145</v>
      </c>
      <c r="BD147" t="str">
        <f t="shared" si="49"/>
        <v>COLIVET</v>
      </c>
      <c r="BE147" t="str">
        <f t="shared" si="39"/>
        <v>ORAL</v>
      </c>
      <c r="BF147" t="str">
        <f t="shared" si="40"/>
        <v>POLYPEPTIDES</v>
      </c>
      <c r="BG147" t="str">
        <f t="shared" si="41"/>
        <v/>
      </c>
      <c r="BH147" t="str">
        <f t="shared" si="42"/>
        <v/>
      </c>
      <c r="BI147" t="str">
        <f t="shared" si="43"/>
        <v>colistin</v>
      </c>
      <c r="BJ147" t="str">
        <f t="shared" si="44"/>
        <v/>
      </c>
      <c r="BK147" t="str">
        <f t="shared" si="45"/>
        <v/>
      </c>
      <c r="BL147" t="str">
        <f t="shared" si="50"/>
        <v>Colistine</v>
      </c>
      <c r="BM147" t="str">
        <f t="shared" si="46"/>
        <v>Colistine</v>
      </c>
      <c r="BN147" t="str">
        <f t="shared" si="47"/>
        <v/>
      </c>
      <c r="BO147" t="str">
        <f t="shared" si="48"/>
        <v/>
      </c>
      <c r="BP147" t="str">
        <f t="shared" si="51"/>
        <v>Polypeptides</v>
      </c>
      <c r="BQ147" t="str">
        <f t="shared" si="52"/>
        <v>Polypeptides</v>
      </c>
      <c r="BR147" t="str">
        <f t="shared" si="53"/>
        <v/>
      </c>
      <c r="BS147" t="str">
        <f t="shared" si="54"/>
        <v/>
      </c>
      <c r="BT147" s="76" t="str">
        <f t="shared" si="55"/>
        <v>Voie orale  hors prémélanges médicamenteux</v>
      </c>
      <c r="BU147" t="str">
        <f t="shared" si="56"/>
        <v>x</v>
      </c>
      <c r="CK147" s="109" t="s">
        <v>2443</v>
      </c>
      <c r="CL147" s="185" t="s">
        <v>4321</v>
      </c>
      <c r="CN147">
        <v>146</v>
      </c>
    </row>
    <row r="148" spans="1:92" x14ac:dyDescent="0.3">
      <c r="A148" s="118" t="s">
        <v>2773</v>
      </c>
      <c r="B148" t="s">
        <v>2778</v>
      </c>
      <c r="C148" t="s">
        <v>2779</v>
      </c>
      <c r="D148" s="144" t="s">
        <v>1214</v>
      </c>
      <c r="E148" t="s">
        <v>813</v>
      </c>
      <c r="F148" t="s">
        <v>255</v>
      </c>
      <c r="G148" t="s">
        <v>815</v>
      </c>
      <c r="H148" t="s">
        <v>169</v>
      </c>
      <c r="I148" t="s">
        <v>817</v>
      </c>
      <c r="J148" t="s">
        <v>2366</v>
      </c>
      <c r="K148" t="s">
        <v>2366</v>
      </c>
      <c r="L148" t="s">
        <v>2367</v>
      </c>
      <c r="M148" t="s">
        <v>208</v>
      </c>
      <c r="N148" t="s">
        <v>906</v>
      </c>
      <c r="O148" t="s">
        <v>824</v>
      </c>
      <c r="P148" t="s">
        <v>772</v>
      </c>
      <c r="Q148" t="s">
        <v>785</v>
      </c>
      <c r="R148">
        <v>5</v>
      </c>
      <c r="S148">
        <v>3</v>
      </c>
      <c r="T148">
        <v>0</v>
      </c>
      <c r="U148">
        <v>0</v>
      </c>
      <c r="V148">
        <v>0</v>
      </c>
      <c r="W148">
        <v>0</v>
      </c>
      <c r="X148">
        <v>0</v>
      </c>
      <c r="Y148">
        <v>0</v>
      </c>
      <c r="Z148">
        <v>0</v>
      </c>
      <c r="AA148">
        <v>0</v>
      </c>
      <c r="AB148">
        <v>0</v>
      </c>
      <c r="AC148">
        <v>0</v>
      </c>
      <c r="AD148">
        <v>0</v>
      </c>
      <c r="AE148">
        <v>0</v>
      </c>
      <c r="AF148">
        <v>0</v>
      </c>
      <c r="AG148">
        <v>0</v>
      </c>
      <c r="AH148">
        <v>0</v>
      </c>
      <c r="AI148">
        <v>0</v>
      </c>
      <c r="AY148" t="str">
        <f t="shared" si="38"/>
        <v>BAYTRIL BOLUS</v>
      </c>
      <c r="AZ148" t="str">
        <f>IF(COUNTIF(AY:AY,AY148)=1,AY148,IF(AND(COUNTIF(AY:AY,AY148)&gt;1,COUNTIF(AZ$2:AZ147,AY148)&gt;=1),"",AY148))</f>
        <v/>
      </c>
      <c r="BA148" t="str">
        <f>IF(AZ148="","",COUNTIFS(AZ$3:AZ$1439,"&lt;"&amp;AZ148,AZ$3:AZ$1439,"&lt;&gt;0")+COUNTIF(AZ$3:AZ148,AZ148)-876)</f>
        <v/>
      </c>
      <c r="BC148">
        <v>146</v>
      </c>
      <c r="BD148" t="str">
        <f t="shared" si="49"/>
        <v>COLIVET SOLUTION</v>
      </c>
      <c r="BE148" t="str">
        <f t="shared" si="39"/>
        <v>ORAL</v>
      </c>
      <c r="BF148" t="str">
        <f t="shared" si="40"/>
        <v>POLYPEPTIDES</v>
      </c>
      <c r="BG148" t="str">
        <f t="shared" si="41"/>
        <v/>
      </c>
      <c r="BH148" t="str">
        <f t="shared" si="42"/>
        <v/>
      </c>
      <c r="BI148" t="str">
        <f t="shared" si="43"/>
        <v>colistin</v>
      </c>
      <c r="BJ148" t="str">
        <f t="shared" si="44"/>
        <v/>
      </c>
      <c r="BK148" t="str">
        <f t="shared" si="45"/>
        <v/>
      </c>
      <c r="BL148" t="str">
        <f t="shared" si="50"/>
        <v>Colistine</v>
      </c>
      <c r="BM148" t="str">
        <f t="shared" si="46"/>
        <v>Colistine</v>
      </c>
      <c r="BN148" t="str">
        <f t="shared" si="47"/>
        <v/>
      </c>
      <c r="BO148" t="str">
        <f t="shared" si="48"/>
        <v/>
      </c>
      <c r="BP148" t="str">
        <f t="shared" si="51"/>
        <v>Polypeptides</v>
      </c>
      <c r="BQ148" t="str">
        <f t="shared" si="52"/>
        <v>Polypeptides</v>
      </c>
      <c r="BR148" t="str">
        <f t="shared" si="53"/>
        <v/>
      </c>
      <c r="BS148" t="str">
        <f t="shared" si="54"/>
        <v/>
      </c>
      <c r="BT148" s="76" t="str">
        <f t="shared" si="55"/>
        <v>Voie orale  hors prémélanges médicamenteux</v>
      </c>
      <c r="BU148" t="str">
        <f t="shared" si="56"/>
        <v>x</v>
      </c>
      <c r="CK148" s="109" t="s">
        <v>2160</v>
      </c>
      <c r="CL148" s="185" t="s">
        <v>4321</v>
      </c>
      <c r="CN148">
        <v>147</v>
      </c>
    </row>
    <row r="149" spans="1:92" x14ac:dyDescent="0.3">
      <c r="A149" s="118" t="s">
        <v>2788</v>
      </c>
      <c r="B149" t="s">
        <v>2789</v>
      </c>
      <c r="C149" t="s">
        <v>2601</v>
      </c>
      <c r="D149" s="144" t="s">
        <v>852</v>
      </c>
      <c r="E149" t="s">
        <v>813</v>
      </c>
      <c r="F149" t="s">
        <v>2790</v>
      </c>
      <c r="G149" t="s">
        <v>815</v>
      </c>
      <c r="H149" t="s">
        <v>871</v>
      </c>
      <c r="I149" t="s">
        <v>817</v>
      </c>
      <c r="J149" t="s">
        <v>2366</v>
      </c>
      <c r="K149" t="s">
        <v>2366</v>
      </c>
      <c r="L149" t="s">
        <v>2367</v>
      </c>
      <c r="M149" t="s">
        <v>208</v>
      </c>
      <c r="N149" t="s">
        <v>972</v>
      </c>
      <c r="O149" t="s">
        <v>824</v>
      </c>
      <c r="P149" t="s">
        <v>772</v>
      </c>
      <c r="Q149" t="s">
        <v>2106</v>
      </c>
      <c r="R149">
        <v>0</v>
      </c>
      <c r="S149">
        <v>0</v>
      </c>
      <c r="T149">
        <v>5</v>
      </c>
      <c r="U149">
        <v>5</v>
      </c>
      <c r="V149">
        <v>0</v>
      </c>
      <c r="W149">
        <v>0</v>
      </c>
      <c r="X149">
        <v>0</v>
      </c>
      <c r="Y149">
        <v>0</v>
      </c>
      <c r="Z149">
        <v>0</v>
      </c>
      <c r="AA149">
        <v>0</v>
      </c>
      <c r="AB149">
        <v>0</v>
      </c>
      <c r="AC149">
        <v>0</v>
      </c>
      <c r="AD149">
        <v>0</v>
      </c>
      <c r="AE149">
        <v>0</v>
      </c>
      <c r="AF149">
        <v>0</v>
      </c>
      <c r="AG149">
        <v>0</v>
      </c>
      <c r="AH149">
        <v>0</v>
      </c>
      <c r="AI149">
        <v>0</v>
      </c>
      <c r="AY149" t="str">
        <f t="shared" si="38"/>
        <v/>
      </c>
      <c r="AZ149" t="str">
        <f>IF(COUNTIF(AY:AY,AY149)=1,AY149,IF(AND(COUNTIF(AY:AY,AY149)&gt;1,COUNTIF(AZ$2:AZ148,AY149)&gt;=1),"",AY149))</f>
        <v/>
      </c>
      <c r="BA149" t="str">
        <f>IF(AZ149="","",COUNTIFS(AZ$3:AZ$1439,"&lt;"&amp;AZ149,AZ$3:AZ$1439,"&lt;&gt;0")+COUNTIF(AZ$3:AZ149,AZ149)-876)</f>
        <v/>
      </c>
      <c r="BC149">
        <v>147</v>
      </c>
      <c r="BD149" t="str">
        <f t="shared" si="49"/>
        <v>COMPOMIX V AMPICILLINE</v>
      </c>
      <c r="BE149" t="str">
        <f t="shared" si="39"/>
        <v>ORAL</v>
      </c>
      <c r="BF149" t="str">
        <f t="shared" si="40"/>
        <v>PENICILLINES</v>
      </c>
      <c r="BG149" t="str">
        <f t="shared" si="41"/>
        <v/>
      </c>
      <c r="BH149" t="str">
        <f t="shared" si="42"/>
        <v/>
      </c>
      <c r="BI149" t="str">
        <f t="shared" si="43"/>
        <v>ampicillin</v>
      </c>
      <c r="BJ149" t="str">
        <f t="shared" si="44"/>
        <v/>
      </c>
      <c r="BK149" t="str">
        <f t="shared" si="45"/>
        <v/>
      </c>
      <c r="BL149" t="str">
        <f t="shared" si="50"/>
        <v>Ampicilline</v>
      </c>
      <c r="BM149" t="str">
        <f t="shared" si="46"/>
        <v>Ampicilline</v>
      </c>
      <c r="BN149" t="str">
        <f t="shared" si="47"/>
        <v/>
      </c>
      <c r="BO149" t="str">
        <f t="shared" si="48"/>
        <v/>
      </c>
      <c r="BP149" t="str">
        <f t="shared" si="51"/>
        <v>Penicillines</v>
      </c>
      <c r="BQ149" t="str">
        <f t="shared" si="52"/>
        <v>Penicillines</v>
      </c>
      <c r="BR149" t="str">
        <f t="shared" si="53"/>
        <v/>
      </c>
      <c r="BS149" t="str">
        <f t="shared" si="54"/>
        <v/>
      </c>
      <c r="BT149" s="76" t="str">
        <f t="shared" si="55"/>
        <v>Voie orale  hors prémélanges médicamenteux</v>
      </c>
      <c r="BU149" t="str">
        <f t="shared" si="56"/>
        <v/>
      </c>
      <c r="CK149" s="109" t="s">
        <v>1387</v>
      </c>
      <c r="CL149" s="185" t="s">
        <v>4321</v>
      </c>
      <c r="CN149">
        <v>148</v>
      </c>
    </row>
    <row r="150" spans="1:92" x14ac:dyDescent="0.3">
      <c r="A150" s="118" t="s">
        <v>2788</v>
      </c>
      <c r="B150" t="s">
        <v>2791</v>
      </c>
      <c r="C150" t="s">
        <v>2604</v>
      </c>
      <c r="D150" s="144" t="s">
        <v>764</v>
      </c>
      <c r="E150" t="s">
        <v>813</v>
      </c>
      <c r="F150" t="s">
        <v>2790</v>
      </c>
      <c r="G150" t="s">
        <v>815</v>
      </c>
      <c r="H150" t="s">
        <v>871</v>
      </c>
      <c r="I150" t="s">
        <v>817</v>
      </c>
      <c r="J150" t="s">
        <v>2366</v>
      </c>
      <c r="K150" t="s">
        <v>2366</v>
      </c>
      <c r="L150" t="s">
        <v>2367</v>
      </c>
      <c r="M150" t="s">
        <v>208</v>
      </c>
      <c r="N150" t="s">
        <v>972</v>
      </c>
      <c r="O150" t="s">
        <v>824</v>
      </c>
      <c r="P150" t="s">
        <v>772</v>
      </c>
      <c r="Q150" t="s">
        <v>1118</v>
      </c>
      <c r="R150">
        <v>0</v>
      </c>
      <c r="S150">
        <v>0</v>
      </c>
      <c r="T150">
        <v>5</v>
      </c>
      <c r="U150">
        <v>5</v>
      </c>
      <c r="V150">
        <v>0</v>
      </c>
      <c r="W150">
        <v>0</v>
      </c>
      <c r="X150">
        <v>0</v>
      </c>
      <c r="Y150">
        <v>0</v>
      </c>
      <c r="Z150">
        <v>0</v>
      </c>
      <c r="AA150">
        <v>0</v>
      </c>
      <c r="AB150">
        <v>0</v>
      </c>
      <c r="AC150">
        <v>0</v>
      </c>
      <c r="AD150">
        <v>0</v>
      </c>
      <c r="AE150">
        <v>0</v>
      </c>
      <c r="AF150">
        <v>0</v>
      </c>
      <c r="AG150">
        <v>0</v>
      </c>
      <c r="AH150">
        <v>0</v>
      </c>
      <c r="AI150">
        <v>0</v>
      </c>
      <c r="AY150" t="str">
        <f t="shared" si="38"/>
        <v/>
      </c>
      <c r="AZ150" t="str">
        <f>IF(COUNTIF(AY:AY,AY150)=1,AY150,IF(AND(COUNTIF(AY:AY,AY150)&gt;1,COUNTIF(AZ$2:AZ149,AY150)&gt;=1),"",AY150))</f>
        <v/>
      </c>
      <c r="BA150" t="str">
        <f>IF(AZ150="","",COUNTIFS(AZ$3:AZ$1439,"&lt;"&amp;AZ150,AZ$3:AZ$1439,"&lt;&gt;0")+COUNTIF(AZ$3:AZ150,AZ150)-876)</f>
        <v/>
      </c>
      <c r="BC150">
        <v>148</v>
      </c>
      <c r="BD150" t="str">
        <f t="shared" si="49"/>
        <v>COMPOMIX V COLI 1.000</v>
      </c>
      <c r="BE150" t="str">
        <f t="shared" si="39"/>
        <v>ORAL</v>
      </c>
      <c r="BF150" t="str">
        <f t="shared" si="40"/>
        <v>POLYPEPTIDES</v>
      </c>
      <c r="BG150" t="str">
        <f t="shared" si="41"/>
        <v/>
      </c>
      <c r="BH150" t="str">
        <f t="shared" si="42"/>
        <v/>
      </c>
      <c r="BI150" t="str">
        <f t="shared" si="43"/>
        <v>colistin</v>
      </c>
      <c r="BJ150" t="str">
        <f t="shared" si="44"/>
        <v/>
      </c>
      <c r="BK150" t="str">
        <f t="shared" si="45"/>
        <v/>
      </c>
      <c r="BL150" t="str">
        <f t="shared" si="50"/>
        <v>Colistine</v>
      </c>
      <c r="BM150" t="str">
        <f t="shared" si="46"/>
        <v>Colistine</v>
      </c>
      <c r="BN150" t="str">
        <f t="shared" si="47"/>
        <v/>
      </c>
      <c r="BO150" t="str">
        <f t="shared" si="48"/>
        <v/>
      </c>
      <c r="BP150" t="str">
        <f t="shared" si="51"/>
        <v>Polypeptides</v>
      </c>
      <c r="BQ150" t="str">
        <f t="shared" si="52"/>
        <v>Polypeptides</v>
      </c>
      <c r="BR150" t="str">
        <f t="shared" si="53"/>
        <v/>
      </c>
      <c r="BS150" t="str">
        <f t="shared" si="54"/>
        <v/>
      </c>
      <c r="BT150" s="76" t="str">
        <f t="shared" si="55"/>
        <v>Voie orale  hors prémélanges médicamenteux</v>
      </c>
      <c r="BU150" t="str">
        <f t="shared" si="56"/>
        <v>x</v>
      </c>
      <c r="CK150" s="109" t="s">
        <v>169</v>
      </c>
      <c r="CL150" s="185" t="s">
        <v>4321</v>
      </c>
      <c r="CN150">
        <v>149</v>
      </c>
    </row>
    <row r="151" spans="1:92" x14ac:dyDescent="0.3">
      <c r="A151" s="118" t="s">
        <v>2605</v>
      </c>
      <c r="B151" t="s">
        <v>2606</v>
      </c>
      <c r="C151" t="s">
        <v>2601</v>
      </c>
      <c r="D151" s="144" t="s">
        <v>852</v>
      </c>
      <c r="E151" t="s">
        <v>813</v>
      </c>
      <c r="F151" t="s">
        <v>2607</v>
      </c>
      <c r="G151" t="s">
        <v>815</v>
      </c>
      <c r="H151" t="s">
        <v>860</v>
      </c>
      <c r="I151" t="s">
        <v>817</v>
      </c>
      <c r="J151" t="s">
        <v>2366</v>
      </c>
      <c r="K151" t="s">
        <v>2366</v>
      </c>
      <c r="L151" t="s">
        <v>2367</v>
      </c>
      <c r="M151" t="s">
        <v>208</v>
      </c>
      <c r="N151" t="s">
        <v>1155</v>
      </c>
      <c r="O151" t="s">
        <v>824</v>
      </c>
      <c r="P151" t="s">
        <v>772</v>
      </c>
      <c r="Q151" t="s">
        <v>1118</v>
      </c>
      <c r="R151">
        <v>0</v>
      </c>
      <c r="S151">
        <v>0</v>
      </c>
      <c r="T151">
        <v>5</v>
      </c>
      <c r="U151">
        <v>21</v>
      </c>
      <c r="V151">
        <v>0</v>
      </c>
      <c r="W151">
        <v>0</v>
      </c>
      <c r="X151">
        <v>0</v>
      </c>
      <c r="Y151">
        <v>0</v>
      </c>
      <c r="Z151">
        <v>0</v>
      </c>
      <c r="AA151">
        <v>0</v>
      </c>
      <c r="AB151">
        <v>0</v>
      </c>
      <c r="AC151">
        <v>0</v>
      </c>
      <c r="AD151">
        <v>0</v>
      </c>
      <c r="AE151">
        <v>0</v>
      </c>
      <c r="AF151">
        <v>0</v>
      </c>
      <c r="AG151">
        <v>0</v>
      </c>
      <c r="AH151">
        <v>0</v>
      </c>
      <c r="AI151">
        <v>0</v>
      </c>
      <c r="AY151" t="str">
        <f t="shared" si="38"/>
        <v/>
      </c>
      <c r="AZ151" t="str">
        <f>IF(COUNTIF(AY:AY,AY151)=1,AY151,IF(AND(COUNTIF(AY:AY,AY151)&gt;1,COUNTIF(AZ$2:AZ150,AY151)&gt;=1),"",AY151))</f>
        <v/>
      </c>
      <c r="BA151" t="str">
        <f>IF(AZ151="","",COUNTIFS(AZ$3:AZ$1439,"&lt;"&amp;AZ151,AZ$3:AZ$1439,"&lt;&gt;0")+COUNTIF(AZ$3:AZ151,AZ151)-876)</f>
        <v/>
      </c>
      <c r="BC151">
        <v>149</v>
      </c>
      <c r="BD151" t="str">
        <f t="shared" si="49"/>
        <v>COMPOMIX V NEOSTARTER</v>
      </c>
      <c r="BE151" t="str">
        <f t="shared" si="39"/>
        <v>ORAL</v>
      </c>
      <c r="BF151" t="str">
        <f t="shared" si="40"/>
        <v>TETRACYCLINES</v>
      </c>
      <c r="BG151" t="str">
        <f t="shared" si="41"/>
        <v>AMINOGLYCOSIDES</v>
      </c>
      <c r="BH151" t="str">
        <f t="shared" si="42"/>
        <v/>
      </c>
      <c r="BI151" t="str">
        <f t="shared" si="43"/>
        <v>oxytetracycline</v>
      </c>
      <c r="BJ151" t="str">
        <f t="shared" si="44"/>
        <v>neomycin</v>
      </c>
      <c r="BK151" t="str">
        <f t="shared" si="45"/>
        <v/>
      </c>
      <c r="BL151" t="str">
        <f t="shared" si="50"/>
        <v>Oxytétracycline + Néomycine</v>
      </c>
      <c r="BM151" t="str">
        <f t="shared" si="46"/>
        <v>Oxytétracycline</v>
      </c>
      <c r="BN151" t="str">
        <f t="shared" si="47"/>
        <v>Néomycine</v>
      </c>
      <c r="BO151" t="str">
        <f t="shared" si="48"/>
        <v/>
      </c>
      <c r="BP151" t="str">
        <f t="shared" si="51"/>
        <v>Tetracyclines + Aminoglycosides</v>
      </c>
      <c r="BQ151" t="str">
        <f t="shared" si="52"/>
        <v>Tetracyclines</v>
      </c>
      <c r="BR151" t="str">
        <f t="shared" si="53"/>
        <v>Aminoglycosides</v>
      </c>
      <c r="BS151" t="str">
        <f t="shared" si="54"/>
        <v/>
      </c>
      <c r="BT151" s="76" t="str">
        <f t="shared" si="55"/>
        <v>Voie orale  hors prémélanges médicamenteux</v>
      </c>
      <c r="BU151" t="str">
        <f t="shared" si="56"/>
        <v/>
      </c>
      <c r="CK151" s="109" t="s">
        <v>1706</v>
      </c>
      <c r="CL151" s="185" t="s">
        <v>4321</v>
      </c>
      <c r="CN151">
        <v>150</v>
      </c>
    </row>
    <row r="152" spans="1:92" x14ac:dyDescent="0.3">
      <c r="A152" s="118" t="s">
        <v>2605</v>
      </c>
      <c r="B152" t="s">
        <v>2608</v>
      </c>
      <c r="C152" t="s">
        <v>2604</v>
      </c>
      <c r="D152" s="144" t="s">
        <v>764</v>
      </c>
      <c r="E152" t="s">
        <v>813</v>
      </c>
      <c r="F152" t="s">
        <v>2607</v>
      </c>
      <c r="G152" t="s">
        <v>815</v>
      </c>
      <c r="H152" t="s">
        <v>860</v>
      </c>
      <c r="I152" t="s">
        <v>817</v>
      </c>
      <c r="J152" t="s">
        <v>2366</v>
      </c>
      <c r="K152" t="s">
        <v>2366</v>
      </c>
      <c r="L152" t="s">
        <v>2367</v>
      </c>
      <c r="M152" t="s">
        <v>208</v>
      </c>
      <c r="N152" t="s">
        <v>1155</v>
      </c>
      <c r="O152" t="s">
        <v>824</v>
      </c>
      <c r="P152" t="s">
        <v>772</v>
      </c>
      <c r="Q152" t="s">
        <v>972</v>
      </c>
      <c r="R152">
        <v>0</v>
      </c>
      <c r="S152">
        <v>0</v>
      </c>
      <c r="T152">
        <v>5</v>
      </c>
      <c r="U152">
        <v>21</v>
      </c>
      <c r="V152">
        <v>0</v>
      </c>
      <c r="W152">
        <v>0</v>
      </c>
      <c r="X152">
        <v>0</v>
      </c>
      <c r="Y152">
        <v>0</v>
      </c>
      <c r="Z152">
        <v>0</v>
      </c>
      <c r="AA152">
        <v>0</v>
      </c>
      <c r="AB152">
        <v>0</v>
      </c>
      <c r="AC152">
        <v>0</v>
      </c>
      <c r="AD152">
        <v>0</v>
      </c>
      <c r="AE152">
        <v>0</v>
      </c>
      <c r="AF152">
        <v>0</v>
      </c>
      <c r="AG152">
        <v>0</v>
      </c>
      <c r="AH152">
        <v>0</v>
      </c>
      <c r="AI152">
        <v>0</v>
      </c>
      <c r="AY152" t="str">
        <f t="shared" si="38"/>
        <v/>
      </c>
      <c r="AZ152" t="str">
        <f>IF(COUNTIF(AY:AY,AY152)=1,AY152,IF(AND(COUNTIF(AY:AY,AY152)&gt;1,COUNTIF(AZ$2:AZ151,AY152)&gt;=1),"",AY152))</f>
        <v/>
      </c>
      <c r="BA152" t="str">
        <f>IF(AZ152="","",COUNTIFS(AZ$3:AZ$1439,"&lt;"&amp;AZ152,AZ$3:AZ$1439,"&lt;&gt;0")+COUNTIF(AZ$3:AZ152,AZ152)-876)</f>
        <v/>
      </c>
      <c r="BC152">
        <v>150</v>
      </c>
      <c r="BD152" t="str">
        <f t="shared" si="49"/>
        <v>COMPOMIX V SULFAPRIM</v>
      </c>
      <c r="BE152" t="str">
        <f t="shared" si="39"/>
        <v>ORAL</v>
      </c>
      <c r="BF152" t="str">
        <f t="shared" si="40"/>
        <v>SULFAMIDES</v>
      </c>
      <c r="BG152" t="str">
        <f t="shared" si="41"/>
        <v>TRIMETHOPRIME</v>
      </c>
      <c r="BH152" t="str">
        <f t="shared" si="42"/>
        <v/>
      </c>
      <c r="BI152" t="str">
        <f t="shared" si="43"/>
        <v>sulfadimethoxine</v>
      </c>
      <c r="BJ152" t="str">
        <f t="shared" si="44"/>
        <v>trimethoprim</v>
      </c>
      <c r="BK152" t="str">
        <f t="shared" si="45"/>
        <v/>
      </c>
      <c r="BL152" t="str">
        <f t="shared" si="50"/>
        <v>Sulfadiméthoxine + Triméthoprime</v>
      </c>
      <c r="BM152" t="str">
        <f t="shared" si="46"/>
        <v>Sulfadiméthoxine</v>
      </c>
      <c r="BN152" t="str">
        <f t="shared" si="47"/>
        <v>Triméthoprime</v>
      </c>
      <c r="BO152" t="str">
        <f t="shared" si="48"/>
        <v/>
      </c>
      <c r="BP152" t="str">
        <f t="shared" si="51"/>
        <v>Sulfamides + Trimethoprime</v>
      </c>
      <c r="BQ152" t="str">
        <f t="shared" si="52"/>
        <v>Sulfamides</v>
      </c>
      <c r="BR152" t="str">
        <f t="shared" si="53"/>
        <v>Trimethoprime</v>
      </c>
      <c r="BS152" t="str">
        <f t="shared" si="54"/>
        <v/>
      </c>
      <c r="BT152" s="76" t="str">
        <f t="shared" si="55"/>
        <v>Voie orale  hors prémélanges médicamenteux</v>
      </c>
      <c r="BU152" t="str">
        <f t="shared" si="56"/>
        <v/>
      </c>
      <c r="CK152" s="109" t="s">
        <v>1156</v>
      </c>
      <c r="CL152" s="185" t="s">
        <v>4321</v>
      </c>
      <c r="CN152">
        <v>151</v>
      </c>
    </row>
    <row r="153" spans="1:92" x14ac:dyDescent="0.3">
      <c r="A153" s="118" t="s">
        <v>3472</v>
      </c>
      <c r="B153" t="s">
        <v>3473</v>
      </c>
      <c r="C153" t="s">
        <v>4530</v>
      </c>
      <c r="D153" s="144" t="s">
        <v>793</v>
      </c>
      <c r="E153" t="s">
        <v>813</v>
      </c>
      <c r="F153" t="s">
        <v>3474</v>
      </c>
      <c r="G153" t="s">
        <v>815</v>
      </c>
      <c r="H153" t="s">
        <v>860</v>
      </c>
      <c r="I153" t="s">
        <v>817</v>
      </c>
      <c r="J153" t="s">
        <v>2366</v>
      </c>
      <c r="K153" t="s">
        <v>2366</v>
      </c>
      <c r="L153" t="s">
        <v>2367</v>
      </c>
      <c r="M153" t="s">
        <v>208</v>
      </c>
      <c r="N153" t="s">
        <v>776</v>
      </c>
      <c r="O153" t="s">
        <v>824</v>
      </c>
      <c r="P153" t="s">
        <v>772</v>
      </c>
      <c r="Q153" t="s">
        <v>1304</v>
      </c>
      <c r="R153">
        <v>0</v>
      </c>
      <c r="S153">
        <v>0</v>
      </c>
      <c r="T153">
        <v>5</v>
      </c>
      <c r="U153">
        <v>21</v>
      </c>
      <c r="V153">
        <v>0</v>
      </c>
      <c r="W153">
        <v>0</v>
      </c>
      <c r="X153">
        <v>0</v>
      </c>
      <c r="Y153">
        <v>0</v>
      </c>
      <c r="Z153">
        <v>0</v>
      </c>
      <c r="AA153">
        <v>0</v>
      </c>
      <c r="AB153">
        <v>0</v>
      </c>
      <c r="AC153">
        <v>0</v>
      </c>
      <c r="AD153">
        <v>0</v>
      </c>
      <c r="AE153">
        <v>0</v>
      </c>
      <c r="AF153">
        <v>0</v>
      </c>
      <c r="AG153">
        <v>0</v>
      </c>
      <c r="AH153">
        <v>0</v>
      </c>
      <c r="AI153">
        <v>0</v>
      </c>
      <c r="AY153" t="str">
        <f t="shared" si="38"/>
        <v/>
      </c>
      <c r="AZ153" t="str">
        <f>IF(COUNTIF(AY:AY,AY153)=1,AY153,IF(AND(COUNTIF(AY:AY,AY153)&gt;1,COUNTIF(AZ$2:AZ152,AY153)&gt;=1),"",AY153))</f>
        <v/>
      </c>
      <c r="BA153" t="str">
        <f>IF(AZ153="","",COUNTIFS(AZ$3:AZ$1439,"&lt;"&amp;AZ153,AZ$3:AZ$1439,"&lt;&gt;0")+COUNTIF(AZ$3:AZ153,AZ153)-876)</f>
        <v/>
      </c>
      <c r="BC153">
        <v>151</v>
      </c>
      <c r="BD153" t="str">
        <f t="shared" si="49"/>
        <v>CONCENTRAT V002 SPIRA 100</v>
      </c>
      <c r="BE153" t="str">
        <f t="shared" si="39"/>
        <v>PM</v>
      </c>
      <c r="BF153" t="str">
        <f t="shared" si="40"/>
        <v>MACROLIDES</v>
      </c>
      <c r="BG153" t="str">
        <f t="shared" si="41"/>
        <v/>
      </c>
      <c r="BH153" t="str">
        <f t="shared" si="42"/>
        <v/>
      </c>
      <c r="BI153" t="str">
        <f t="shared" si="43"/>
        <v>spiramycin</v>
      </c>
      <c r="BJ153" t="str">
        <f t="shared" si="44"/>
        <v/>
      </c>
      <c r="BK153" t="str">
        <f t="shared" si="45"/>
        <v/>
      </c>
      <c r="BL153" t="str">
        <f t="shared" si="50"/>
        <v>Spiramycine</v>
      </c>
      <c r="BM153" t="str">
        <f t="shared" si="46"/>
        <v>Spiramycine</v>
      </c>
      <c r="BN153" t="str">
        <f t="shared" si="47"/>
        <v/>
      </c>
      <c r="BO153" t="str">
        <f t="shared" si="48"/>
        <v/>
      </c>
      <c r="BP153" t="str">
        <f t="shared" si="51"/>
        <v>Macrolides</v>
      </c>
      <c r="BQ153" t="str">
        <f t="shared" si="52"/>
        <v>Macrolides</v>
      </c>
      <c r="BR153" t="str">
        <f t="shared" si="53"/>
        <v/>
      </c>
      <c r="BS153" t="str">
        <f t="shared" si="54"/>
        <v/>
      </c>
      <c r="BT153" s="76" t="str">
        <f t="shared" si="55"/>
        <v>Prémélanges médicamenteux</v>
      </c>
      <c r="BU153" t="str">
        <f t="shared" si="56"/>
        <v/>
      </c>
      <c r="CK153" s="116"/>
      <c r="CL153" s="229"/>
      <c r="CN153">
        <v>152</v>
      </c>
    </row>
    <row r="154" spans="1:92" x14ac:dyDescent="0.3">
      <c r="A154" s="118" t="s">
        <v>3472</v>
      </c>
      <c r="B154" t="s">
        <v>3475</v>
      </c>
      <c r="C154" t="s">
        <v>2757</v>
      </c>
      <c r="D154" s="144" t="s">
        <v>1506</v>
      </c>
      <c r="E154" t="s">
        <v>813</v>
      </c>
      <c r="F154" t="s">
        <v>3474</v>
      </c>
      <c r="G154" t="s">
        <v>815</v>
      </c>
      <c r="H154" t="s">
        <v>860</v>
      </c>
      <c r="I154" t="s">
        <v>817</v>
      </c>
      <c r="J154" t="s">
        <v>2366</v>
      </c>
      <c r="K154" t="s">
        <v>2366</v>
      </c>
      <c r="L154" t="s">
        <v>2367</v>
      </c>
      <c r="M154" t="s">
        <v>208</v>
      </c>
      <c r="N154" t="s">
        <v>776</v>
      </c>
      <c r="O154" t="s">
        <v>824</v>
      </c>
      <c r="P154" t="s">
        <v>772</v>
      </c>
      <c r="Q154" t="s">
        <v>1132</v>
      </c>
      <c r="R154">
        <v>0</v>
      </c>
      <c r="S154">
        <v>0</v>
      </c>
      <c r="T154">
        <v>5</v>
      </c>
      <c r="U154">
        <v>21</v>
      </c>
      <c r="V154">
        <v>0</v>
      </c>
      <c r="W154">
        <v>0</v>
      </c>
      <c r="X154">
        <v>0</v>
      </c>
      <c r="Y154">
        <v>0</v>
      </c>
      <c r="Z154">
        <v>0</v>
      </c>
      <c r="AA154">
        <v>0</v>
      </c>
      <c r="AB154">
        <v>0</v>
      </c>
      <c r="AC154">
        <v>0</v>
      </c>
      <c r="AD154">
        <v>0</v>
      </c>
      <c r="AE154">
        <v>0</v>
      </c>
      <c r="AF154">
        <v>0</v>
      </c>
      <c r="AG154">
        <v>0</v>
      </c>
      <c r="AH154">
        <v>0</v>
      </c>
      <c r="AI154">
        <v>0</v>
      </c>
      <c r="AY154" t="str">
        <f t="shared" si="38"/>
        <v/>
      </c>
      <c r="AZ154" t="str">
        <f>IF(COUNTIF(AY:AY,AY154)=1,AY154,IF(AND(COUNTIF(AY:AY,AY154)&gt;1,COUNTIF(AZ$2:AZ153,AY154)&gt;=1),"",AY154))</f>
        <v/>
      </c>
      <c r="BA154" t="str">
        <f>IF(AZ154="","",COUNTIFS(AZ$3:AZ$1439,"&lt;"&amp;AZ154,AZ$3:AZ$1439,"&lt;&gt;0")+COUNTIF(AZ$3:AZ154,AZ154)-876)</f>
        <v/>
      </c>
      <c r="BC154">
        <v>152</v>
      </c>
      <c r="BD154" t="str">
        <f t="shared" si="49"/>
        <v>CONCENTRAT V007 TYLAN 100</v>
      </c>
      <c r="BE154" t="str">
        <f t="shared" si="39"/>
        <v>PM</v>
      </c>
      <c r="BF154" t="str">
        <f t="shared" si="40"/>
        <v>MACROLIDES</v>
      </c>
      <c r="BG154" t="str">
        <f t="shared" si="41"/>
        <v/>
      </c>
      <c r="BH154" t="str">
        <f t="shared" si="42"/>
        <v/>
      </c>
      <c r="BI154" t="str">
        <f t="shared" si="43"/>
        <v>tylosin</v>
      </c>
      <c r="BJ154" t="str">
        <f t="shared" si="44"/>
        <v/>
      </c>
      <c r="BK154" t="str">
        <f t="shared" si="45"/>
        <v/>
      </c>
      <c r="BL154" t="str">
        <f t="shared" si="50"/>
        <v>Tylosine</v>
      </c>
      <c r="BM154" t="str">
        <f t="shared" si="46"/>
        <v>Tylosine</v>
      </c>
      <c r="BN154" t="str">
        <f t="shared" si="47"/>
        <v/>
      </c>
      <c r="BO154" t="str">
        <f t="shared" si="48"/>
        <v/>
      </c>
      <c r="BP154" t="str">
        <f t="shared" si="51"/>
        <v>Macrolides</v>
      </c>
      <c r="BQ154" t="str">
        <f t="shared" si="52"/>
        <v>Macrolides</v>
      </c>
      <c r="BR154" t="str">
        <f t="shared" si="53"/>
        <v/>
      </c>
      <c r="BS154" t="str">
        <f t="shared" si="54"/>
        <v/>
      </c>
      <c r="BT154" s="76" t="str">
        <f t="shared" si="55"/>
        <v>Prémélanges médicamenteux</v>
      </c>
      <c r="BU154" t="str">
        <f t="shared" si="56"/>
        <v/>
      </c>
      <c r="CN154">
        <v>153</v>
      </c>
    </row>
    <row r="155" spans="1:92" x14ac:dyDescent="0.3">
      <c r="A155" s="118" t="s">
        <v>2599</v>
      </c>
      <c r="B155" t="s">
        <v>2600</v>
      </c>
      <c r="C155" t="s">
        <v>2601</v>
      </c>
      <c r="D155" s="144" t="s">
        <v>852</v>
      </c>
      <c r="E155" t="s">
        <v>813</v>
      </c>
      <c r="F155" t="s">
        <v>2602</v>
      </c>
      <c r="G155" t="s">
        <v>815</v>
      </c>
      <c r="H155" t="s">
        <v>860</v>
      </c>
      <c r="I155" t="s">
        <v>817</v>
      </c>
      <c r="J155" t="s">
        <v>2366</v>
      </c>
      <c r="K155" t="s">
        <v>2366</v>
      </c>
      <c r="L155" t="s">
        <v>2367</v>
      </c>
      <c r="M155" t="s">
        <v>208</v>
      </c>
      <c r="N155" t="s">
        <v>780</v>
      </c>
      <c r="O155" t="s">
        <v>824</v>
      </c>
      <c r="P155" t="s">
        <v>772</v>
      </c>
      <c r="Q155" t="s">
        <v>825</v>
      </c>
      <c r="R155">
        <v>0</v>
      </c>
      <c r="S155">
        <v>0</v>
      </c>
      <c r="T155">
        <v>5</v>
      </c>
      <c r="U155">
        <v>21</v>
      </c>
      <c r="V155">
        <v>0</v>
      </c>
      <c r="W155">
        <v>0</v>
      </c>
      <c r="X155">
        <v>0</v>
      </c>
      <c r="Y155">
        <v>0</v>
      </c>
      <c r="Z155">
        <v>0</v>
      </c>
      <c r="AA155">
        <v>0</v>
      </c>
      <c r="AB155">
        <v>0</v>
      </c>
      <c r="AC155">
        <v>0</v>
      </c>
      <c r="AD155">
        <v>0</v>
      </c>
      <c r="AE155">
        <v>0</v>
      </c>
      <c r="AF155">
        <v>0</v>
      </c>
      <c r="AG155">
        <v>0</v>
      </c>
      <c r="AH155">
        <v>0</v>
      </c>
      <c r="AI155">
        <v>0</v>
      </c>
      <c r="AY155" t="str">
        <f t="shared" si="38"/>
        <v/>
      </c>
      <c r="AZ155" t="str">
        <f>IF(COUNTIF(AY:AY,AY155)=1,AY155,IF(AND(COUNTIF(AY:AY,AY155)&gt;1,COUNTIF(AZ$2:AZ154,AY155)&gt;=1),"",AY155))</f>
        <v/>
      </c>
      <c r="BA155" t="str">
        <f>IF(AZ155="","",COUNTIFS(AZ$3:AZ$1439,"&lt;"&amp;AZ155,AZ$3:AZ$1439,"&lt;&gt;0")+COUNTIF(AZ$3:AZ155,AZ155)-876)</f>
        <v/>
      </c>
      <c r="BC155">
        <v>153</v>
      </c>
      <c r="BD155" t="str">
        <f t="shared" si="49"/>
        <v>CONCENTRAT V028</v>
      </c>
      <c r="BE155" t="str">
        <f t="shared" si="39"/>
        <v>PM</v>
      </c>
      <c r="BF155" t="str">
        <f t="shared" si="40"/>
        <v>TETRACYCLINES</v>
      </c>
      <c r="BG155" t="str">
        <f t="shared" si="41"/>
        <v>SULFAMIDES</v>
      </c>
      <c r="BH155" t="str">
        <f t="shared" si="42"/>
        <v/>
      </c>
      <c r="BI155" t="str">
        <f t="shared" si="43"/>
        <v>chlortetracycline</v>
      </c>
      <c r="BJ155" t="str">
        <f t="shared" si="44"/>
        <v>sulfadimidine</v>
      </c>
      <c r="BK155" t="str">
        <f t="shared" si="45"/>
        <v/>
      </c>
      <c r="BL155" t="str">
        <f t="shared" si="50"/>
        <v>Chlortétracycline + Sulfadimidine</v>
      </c>
      <c r="BM155" t="str">
        <f t="shared" si="46"/>
        <v>Chlortétracycline</v>
      </c>
      <c r="BN155" t="str">
        <f t="shared" si="47"/>
        <v>Sulfadimidine</v>
      </c>
      <c r="BO155" t="str">
        <f t="shared" si="48"/>
        <v/>
      </c>
      <c r="BP155" t="str">
        <f t="shared" si="51"/>
        <v>Tetracyclines + Sulfamides</v>
      </c>
      <c r="BQ155" t="str">
        <f t="shared" si="52"/>
        <v>Tetracyclines</v>
      </c>
      <c r="BR155" t="str">
        <f t="shared" si="53"/>
        <v>Sulfamides</v>
      </c>
      <c r="BS155" t="str">
        <f t="shared" si="54"/>
        <v/>
      </c>
      <c r="BT155" s="76" t="str">
        <f t="shared" si="55"/>
        <v>Prémélanges médicamenteux</v>
      </c>
      <c r="BU155" t="str">
        <f t="shared" si="56"/>
        <v/>
      </c>
      <c r="CN155">
        <v>154</v>
      </c>
    </row>
    <row r="156" spans="1:92" x14ac:dyDescent="0.3">
      <c r="A156" s="118" t="s">
        <v>2599</v>
      </c>
      <c r="B156" t="s">
        <v>2603</v>
      </c>
      <c r="C156" t="s">
        <v>2604</v>
      </c>
      <c r="D156" s="144" t="s">
        <v>764</v>
      </c>
      <c r="E156" t="s">
        <v>813</v>
      </c>
      <c r="F156" t="s">
        <v>2602</v>
      </c>
      <c r="G156" t="s">
        <v>815</v>
      </c>
      <c r="H156" t="s">
        <v>860</v>
      </c>
      <c r="I156" t="s">
        <v>817</v>
      </c>
      <c r="J156" t="s">
        <v>2366</v>
      </c>
      <c r="K156" t="s">
        <v>2366</v>
      </c>
      <c r="L156" t="s">
        <v>2367</v>
      </c>
      <c r="M156" t="s">
        <v>208</v>
      </c>
      <c r="N156" t="s">
        <v>780</v>
      </c>
      <c r="O156" t="s">
        <v>824</v>
      </c>
      <c r="P156" t="s">
        <v>772</v>
      </c>
      <c r="Q156" t="s">
        <v>885</v>
      </c>
      <c r="R156">
        <v>0</v>
      </c>
      <c r="S156">
        <v>0</v>
      </c>
      <c r="T156">
        <v>5</v>
      </c>
      <c r="U156">
        <v>21</v>
      </c>
      <c r="V156">
        <v>0</v>
      </c>
      <c r="W156">
        <v>0</v>
      </c>
      <c r="X156">
        <v>0</v>
      </c>
      <c r="Y156">
        <v>0</v>
      </c>
      <c r="Z156">
        <v>0</v>
      </c>
      <c r="AA156">
        <v>0</v>
      </c>
      <c r="AB156">
        <v>0</v>
      </c>
      <c r="AC156">
        <v>0</v>
      </c>
      <c r="AD156">
        <v>0</v>
      </c>
      <c r="AE156">
        <v>0</v>
      </c>
      <c r="AF156">
        <v>0</v>
      </c>
      <c r="AG156">
        <v>0</v>
      </c>
      <c r="AH156">
        <v>0</v>
      </c>
      <c r="AI156">
        <v>0</v>
      </c>
      <c r="AY156" t="str">
        <f t="shared" si="38"/>
        <v/>
      </c>
      <c r="AZ156" t="str">
        <f>IF(COUNTIF(AY:AY,AY156)=1,AY156,IF(AND(COUNTIF(AY:AY,AY156)&gt;1,COUNTIF(AZ$2:AZ155,AY156)&gt;=1),"",AY156))</f>
        <v/>
      </c>
      <c r="BA156" t="str">
        <f>IF(AZ156="","",COUNTIFS(AZ$3:AZ$1439,"&lt;"&amp;AZ156,AZ$3:AZ$1439,"&lt;&gt;0")+COUNTIF(AZ$3:AZ156,AZ156)-876)</f>
        <v/>
      </c>
      <c r="BC156">
        <v>154</v>
      </c>
      <c r="BD156" t="str">
        <f t="shared" si="49"/>
        <v>CONCENTRAT V050 TS</v>
      </c>
      <c r="BE156" t="str">
        <f t="shared" si="39"/>
        <v>PM</v>
      </c>
      <c r="BF156" t="str">
        <f t="shared" si="40"/>
        <v>SULFAMIDES</v>
      </c>
      <c r="BG156" t="str">
        <f t="shared" si="41"/>
        <v>TRIMETHOPRIME</v>
      </c>
      <c r="BH156" t="str">
        <f t="shared" si="42"/>
        <v/>
      </c>
      <c r="BI156" t="str">
        <f t="shared" si="43"/>
        <v>sulfadimethoxine</v>
      </c>
      <c r="BJ156" t="str">
        <f t="shared" si="44"/>
        <v>trimethoprim</v>
      </c>
      <c r="BK156" t="str">
        <f t="shared" si="45"/>
        <v/>
      </c>
      <c r="BL156" t="str">
        <f t="shared" si="50"/>
        <v>Sulfadiméthoxine + Triméthoprime</v>
      </c>
      <c r="BM156" t="str">
        <f t="shared" si="46"/>
        <v>Sulfadiméthoxine</v>
      </c>
      <c r="BN156" t="str">
        <f t="shared" si="47"/>
        <v>Triméthoprime</v>
      </c>
      <c r="BO156" t="str">
        <f t="shared" si="48"/>
        <v/>
      </c>
      <c r="BP156" t="str">
        <f t="shared" si="51"/>
        <v>Sulfamides + Trimethoprime</v>
      </c>
      <c r="BQ156" t="str">
        <f t="shared" si="52"/>
        <v>Sulfamides</v>
      </c>
      <c r="BR156" t="str">
        <f t="shared" si="53"/>
        <v>Trimethoprime</v>
      </c>
      <c r="BS156" t="str">
        <f t="shared" si="54"/>
        <v/>
      </c>
      <c r="BT156" s="76" t="str">
        <f t="shared" si="55"/>
        <v>Prémélanges médicamenteux</v>
      </c>
      <c r="BU156" t="str">
        <f t="shared" si="56"/>
        <v/>
      </c>
      <c r="CN156">
        <v>155</v>
      </c>
    </row>
    <row r="157" spans="1:92" x14ac:dyDescent="0.3">
      <c r="A157" s="118" t="s">
        <v>3902</v>
      </c>
      <c r="B157" t="s">
        <v>3903</v>
      </c>
      <c r="C157" t="s">
        <v>763</v>
      </c>
      <c r="D157" s="144" t="s">
        <v>764</v>
      </c>
      <c r="E157" t="s">
        <v>765</v>
      </c>
      <c r="F157" t="s">
        <v>256</v>
      </c>
      <c r="G157" t="s">
        <v>766</v>
      </c>
      <c r="H157" t="s">
        <v>1326</v>
      </c>
      <c r="I157" t="s">
        <v>766</v>
      </c>
      <c r="J157" t="s">
        <v>2366</v>
      </c>
      <c r="K157" t="s">
        <v>2366</v>
      </c>
      <c r="L157" t="s">
        <v>2367</v>
      </c>
      <c r="M157" t="s">
        <v>208</v>
      </c>
      <c r="N157" t="s">
        <v>764</v>
      </c>
      <c r="O157" t="s">
        <v>771</v>
      </c>
      <c r="P157" t="s">
        <v>772</v>
      </c>
      <c r="Q157" t="s">
        <v>852</v>
      </c>
      <c r="R157">
        <v>7.5</v>
      </c>
      <c r="S157">
        <v>1</v>
      </c>
      <c r="T157">
        <v>0</v>
      </c>
      <c r="U157">
        <v>0</v>
      </c>
      <c r="V157">
        <v>0</v>
      </c>
      <c r="W157">
        <v>0</v>
      </c>
      <c r="X157">
        <v>0</v>
      </c>
      <c r="Y157">
        <v>0</v>
      </c>
      <c r="Z157">
        <v>0</v>
      </c>
      <c r="AA157">
        <v>0</v>
      </c>
      <c r="AB157">
        <v>0</v>
      </c>
      <c r="AC157">
        <v>0</v>
      </c>
      <c r="AD157">
        <v>7.5</v>
      </c>
      <c r="AE157">
        <v>1</v>
      </c>
      <c r="AF157">
        <v>0</v>
      </c>
      <c r="AG157">
        <v>0</v>
      </c>
      <c r="AH157">
        <v>0</v>
      </c>
      <c r="AI157">
        <v>0</v>
      </c>
      <c r="AY157" t="str">
        <f t="shared" si="38"/>
        <v>BAYTRIL XM 100 MG/ML SOLUTION INJECTABLE POUR BOVINS ET PORCINS</v>
      </c>
      <c r="AZ157" t="str">
        <f>IF(COUNTIF(AY:AY,AY157)=1,AY157,IF(AND(COUNTIF(AY:AY,AY157)&gt;1,COUNTIF(AZ$2:AZ156,AY157)&gt;=1),"",AY157))</f>
        <v>BAYTRIL XM 100 MG/ML SOLUTION INJECTABLE POUR BOVINS ET PORCINS</v>
      </c>
      <c r="BA157">
        <f>IF(AZ157="","",COUNTIFS(AZ$3:AZ$1439,"&lt;"&amp;AZ157,AZ$3:AZ$1439,"&lt;&gt;0")+COUNTIF(AZ$3:AZ157,AZ157)-876)</f>
        <v>67</v>
      </c>
      <c r="BC157">
        <v>155</v>
      </c>
      <c r="BD157" t="str">
        <f t="shared" si="49"/>
        <v>CONCENTRAT V061 LINCOMYCINE 4.4 SPECTINOMYCINE 4.4 PORC</v>
      </c>
      <c r="BE157" t="str">
        <f t="shared" si="39"/>
        <v>PM</v>
      </c>
      <c r="BF157" t="str">
        <f t="shared" si="40"/>
        <v>LINCOSAMIDES</v>
      </c>
      <c r="BG157" t="str">
        <f t="shared" si="41"/>
        <v>AMINOGLYCOSIDES</v>
      </c>
      <c r="BH157" t="str">
        <f t="shared" si="42"/>
        <v/>
      </c>
      <c r="BI157" t="str">
        <f t="shared" si="43"/>
        <v>lincomycin</v>
      </c>
      <c r="BJ157" t="str">
        <f t="shared" si="44"/>
        <v>spectinomycin</v>
      </c>
      <c r="BK157" t="str">
        <f t="shared" si="45"/>
        <v/>
      </c>
      <c r="BL157" t="str">
        <f t="shared" si="50"/>
        <v>Lincomycine + Spectinomycine</v>
      </c>
      <c r="BM157" t="str">
        <f t="shared" si="46"/>
        <v>Lincomycine</v>
      </c>
      <c r="BN157" t="str">
        <f t="shared" si="47"/>
        <v>Spectinomycine</v>
      </c>
      <c r="BO157" t="str">
        <f t="shared" si="48"/>
        <v/>
      </c>
      <c r="BP157" t="str">
        <f t="shared" si="51"/>
        <v>Lincosamides + Aminoglycosides</v>
      </c>
      <c r="BQ157" t="str">
        <f t="shared" si="52"/>
        <v>Lincosamides</v>
      </c>
      <c r="BR157" t="str">
        <f t="shared" si="53"/>
        <v>Aminoglycosides</v>
      </c>
      <c r="BS157" t="str">
        <f t="shared" si="54"/>
        <v/>
      </c>
      <c r="BT157" s="76" t="str">
        <f t="shared" si="55"/>
        <v>Prémélanges médicamenteux</v>
      </c>
      <c r="BU157" t="str">
        <f t="shared" si="56"/>
        <v/>
      </c>
      <c r="CN157">
        <v>156</v>
      </c>
    </row>
    <row r="158" spans="1:92" x14ac:dyDescent="0.3">
      <c r="A158" s="118" t="s">
        <v>1802</v>
      </c>
      <c r="B158" t="s">
        <v>1803</v>
      </c>
      <c r="C158" t="s">
        <v>1804</v>
      </c>
      <c r="D158" s="144" t="s">
        <v>764</v>
      </c>
      <c r="E158" t="s">
        <v>765</v>
      </c>
      <c r="F158" t="s">
        <v>608</v>
      </c>
      <c r="G158" t="s">
        <v>766</v>
      </c>
      <c r="H158" t="s">
        <v>767</v>
      </c>
      <c r="I158" t="s">
        <v>766</v>
      </c>
      <c r="J158" t="s">
        <v>914</v>
      </c>
      <c r="K158" t="s">
        <v>914</v>
      </c>
      <c r="L158" t="s">
        <v>995</v>
      </c>
      <c r="M158" t="s">
        <v>996</v>
      </c>
      <c r="N158" t="s">
        <v>1805</v>
      </c>
      <c r="O158" t="s">
        <v>805</v>
      </c>
      <c r="P158" t="s">
        <v>4371</v>
      </c>
      <c r="Q158" t="s">
        <v>885</v>
      </c>
      <c r="R158">
        <v>2.5</v>
      </c>
      <c r="S158">
        <v>3</v>
      </c>
      <c r="T158">
        <v>0</v>
      </c>
      <c r="U158">
        <v>0</v>
      </c>
      <c r="V158">
        <v>2.5</v>
      </c>
      <c r="W158">
        <v>3</v>
      </c>
      <c r="X158">
        <v>0</v>
      </c>
      <c r="Y158">
        <v>0</v>
      </c>
      <c r="Z158">
        <v>0</v>
      </c>
      <c r="AA158">
        <v>0</v>
      </c>
      <c r="AB158">
        <v>2.5</v>
      </c>
      <c r="AC158">
        <v>3</v>
      </c>
      <c r="AD158">
        <v>2.5</v>
      </c>
      <c r="AE158">
        <v>3</v>
      </c>
      <c r="AF158">
        <v>0</v>
      </c>
      <c r="AG158">
        <v>0</v>
      </c>
      <c r="AH158">
        <v>0</v>
      </c>
      <c r="AI158">
        <v>0</v>
      </c>
      <c r="AY158" t="str">
        <f t="shared" si="38"/>
        <v>BELCOMYCINE S</v>
      </c>
      <c r="AZ158" t="str">
        <f>IF(COUNTIF(AY:AY,AY158)=1,AY158,IF(AND(COUNTIF(AY:AY,AY158)&gt;1,COUNTIF(AZ$2:AZ157,AY158)&gt;=1),"",AY158))</f>
        <v>BELCOMYCINE S</v>
      </c>
      <c r="BA158">
        <f>IF(AZ158="","",COUNTIFS(AZ$3:AZ$1439,"&lt;"&amp;AZ158,AZ$3:AZ$1439,"&lt;&gt;0")+COUNTIF(AZ$3:AZ158,AZ158)-876)</f>
        <v>68</v>
      </c>
      <c r="BC158">
        <v>156</v>
      </c>
      <c r="BD158" t="str">
        <f t="shared" si="49"/>
        <v>CONCENTRAT V069 ACIDE OXOLINIQUE 80 PORC</v>
      </c>
      <c r="BE158" t="str">
        <f t="shared" si="39"/>
        <v>PM</v>
      </c>
      <c r="BF158" t="str">
        <f t="shared" si="40"/>
        <v>QUINOLONES</v>
      </c>
      <c r="BG158" t="str">
        <f t="shared" si="41"/>
        <v/>
      </c>
      <c r="BH158" t="str">
        <f t="shared" si="42"/>
        <v/>
      </c>
      <c r="BI158" t="str">
        <f t="shared" si="43"/>
        <v>oxolinic acid</v>
      </c>
      <c r="BJ158" t="str">
        <f t="shared" si="44"/>
        <v/>
      </c>
      <c r="BK158" t="str">
        <f t="shared" si="45"/>
        <v/>
      </c>
      <c r="BL158" t="str">
        <f t="shared" si="50"/>
        <v>Acide oxolinique</v>
      </c>
      <c r="BM158" t="str">
        <f t="shared" si="46"/>
        <v>Acide oxolinique</v>
      </c>
      <c r="BN158" t="str">
        <f t="shared" si="47"/>
        <v/>
      </c>
      <c r="BO158" t="str">
        <f t="shared" si="48"/>
        <v/>
      </c>
      <c r="BP158" t="str">
        <f t="shared" si="51"/>
        <v>Quinolones</v>
      </c>
      <c r="BQ158" t="str">
        <f t="shared" si="52"/>
        <v>Quinolones</v>
      </c>
      <c r="BR158" t="str">
        <f t="shared" si="53"/>
        <v/>
      </c>
      <c r="BS158" t="str">
        <f t="shared" si="54"/>
        <v/>
      </c>
      <c r="BT158" s="76" t="str">
        <f t="shared" si="55"/>
        <v>Prémélanges médicamenteux</v>
      </c>
      <c r="BU158" t="str">
        <f t="shared" si="56"/>
        <v/>
      </c>
      <c r="CN158">
        <v>157</v>
      </c>
    </row>
    <row r="159" spans="1:92" x14ac:dyDescent="0.3">
      <c r="A159" s="118" t="s">
        <v>1799</v>
      </c>
      <c r="B159" t="s">
        <v>1800</v>
      </c>
      <c r="C159" t="s">
        <v>4426</v>
      </c>
      <c r="D159" s="144" t="s">
        <v>764</v>
      </c>
      <c r="E159" t="s">
        <v>765</v>
      </c>
      <c r="F159" t="s">
        <v>257</v>
      </c>
      <c r="G159" t="s">
        <v>766</v>
      </c>
      <c r="H159" t="s">
        <v>1465</v>
      </c>
      <c r="I159" t="s">
        <v>766</v>
      </c>
      <c r="J159" t="s">
        <v>991</v>
      </c>
      <c r="K159" t="s">
        <v>787</v>
      </c>
      <c r="L159" t="s">
        <v>788</v>
      </c>
      <c r="M159" t="s">
        <v>208</v>
      </c>
      <c r="N159" t="s">
        <v>1163</v>
      </c>
      <c r="O159" t="s">
        <v>771</v>
      </c>
      <c r="P159" t="s">
        <v>772</v>
      </c>
      <c r="Q159" t="s">
        <v>797</v>
      </c>
      <c r="R159">
        <v>30</v>
      </c>
      <c r="S159">
        <v>3</v>
      </c>
      <c r="T159">
        <v>30</v>
      </c>
      <c r="U159">
        <v>3</v>
      </c>
      <c r="V159">
        <v>30</v>
      </c>
      <c r="W159">
        <v>3</v>
      </c>
      <c r="X159">
        <v>0</v>
      </c>
      <c r="Y159">
        <v>0</v>
      </c>
      <c r="Z159">
        <v>0</v>
      </c>
      <c r="AA159">
        <v>0</v>
      </c>
      <c r="AB159">
        <v>30</v>
      </c>
      <c r="AC159">
        <v>3</v>
      </c>
      <c r="AD159">
        <v>30</v>
      </c>
      <c r="AE159">
        <v>3</v>
      </c>
      <c r="AF159">
        <v>0</v>
      </c>
      <c r="AG159">
        <v>0</v>
      </c>
      <c r="AH159">
        <v>0</v>
      </c>
      <c r="AI159">
        <v>0</v>
      </c>
      <c r="AJ159" t="s">
        <v>914</v>
      </c>
      <c r="AK159" t="s">
        <v>995</v>
      </c>
      <c r="AL159" t="s">
        <v>1801</v>
      </c>
      <c r="AM159" t="s">
        <v>1016</v>
      </c>
      <c r="AN159" t="s">
        <v>805</v>
      </c>
      <c r="AO159" t="s">
        <v>4427</v>
      </c>
      <c r="AP159" t="s">
        <v>934</v>
      </c>
      <c r="AY159" t="str">
        <f t="shared" si="38"/>
        <v>BELCOPENI 5</v>
      </c>
      <c r="AZ159" t="str">
        <f>IF(COUNTIF(AY:AY,AY159)=1,AY159,IF(AND(COUNTIF(AY:AY,AY159)&gt;1,COUNTIF(AZ$2:AZ158,AY159)&gt;=1),"",AY159))</f>
        <v>BELCOPENI 5</v>
      </c>
      <c r="BA159">
        <f>IF(AZ159="","",COUNTIFS(AZ$3:AZ$1439,"&lt;"&amp;AZ159,AZ$3:AZ$1439,"&lt;&gt;0")+COUNTIF(AZ$3:AZ159,AZ159)-876)</f>
        <v>69</v>
      </c>
      <c r="BC159">
        <v>157</v>
      </c>
      <c r="BD159" t="str">
        <f t="shared" si="49"/>
        <v>CONCENTRAT VO 08 TILMICOSINE PORCIN-LAPIN</v>
      </c>
      <c r="BE159" t="str">
        <f t="shared" si="39"/>
        <v>PM</v>
      </c>
      <c r="BF159" t="str">
        <f t="shared" si="40"/>
        <v>MACROLIDES</v>
      </c>
      <c r="BG159" t="str">
        <f t="shared" si="41"/>
        <v/>
      </c>
      <c r="BH159" t="str">
        <f t="shared" si="42"/>
        <v/>
      </c>
      <c r="BI159" t="str">
        <f t="shared" si="43"/>
        <v>tilmicosin</v>
      </c>
      <c r="BJ159" t="str">
        <f t="shared" si="44"/>
        <v/>
      </c>
      <c r="BK159" t="str">
        <f t="shared" si="45"/>
        <v/>
      </c>
      <c r="BL159" t="str">
        <f t="shared" si="50"/>
        <v>Tilmicosine</v>
      </c>
      <c r="BM159" t="str">
        <f t="shared" si="46"/>
        <v>Tilmicosine</v>
      </c>
      <c r="BN159" t="str">
        <f t="shared" si="47"/>
        <v/>
      </c>
      <c r="BO159" t="str">
        <f t="shared" si="48"/>
        <v/>
      </c>
      <c r="BP159" t="str">
        <f t="shared" si="51"/>
        <v>Macrolides</v>
      </c>
      <c r="BQ159" t="str">
        <f t="shared" si="52"/>
        <v>Macrolides</v>
      </c>
      <c r="BR159" t="str">
        <f t="shared" si="53"/>
        <v/>
      </c>
      <c r="BS159" t="str">
        <f t="shared" si="54"/>
        <v/>
      </c>
      <c r="BT159" s="76" t="str">
        <f t="shared" si="55"/>
        <v>Prémélanges médicamenteux</v>
      </c>
      <c r="BU159" t="str">
        <f t="shared" si="56"/>
        <v/>
      </c>
      <c r="CN159">
        <v>158</v>
      </c>
    </row>
    <row r="160" spans="1:92" x14ac:dyDescent="0.3">
      <c r="A160" s="118" t="s">
        <v>3417</v>
      </c>
      <c r="B160" t="s">
        <v>3418</v>
      </c>
      <c r="C160" t="s">
        <v>3419</v>
      </c>
      <c r="D160" s="144" t="s">
        <v>829</v>
      </c>
      <c r="E160" t="s">
        <v>765</v>
      </c>
      <c r="F160" t="s">
        <v>68</v>
      </c>
      <c r="G160" t="s">
        <v>956</v>
      </c>
      <c r="H160" t="s">
        <v>2653</v>
      </c>
      <c r="I160" t="s">
        <v>817</v>
      </c>
      <c r="J160" t="s">
        <v>2081</v>
      </c>
      <c r="K160" t="s">
        <v>2081</v>
      </c>
      <c r="L160" t="s">
        <v>2082</v>
      </c>
      <c r="M160" t="s">
        <v>208</v>
      </c>
      <c r="N160" t="s">
        <v>3135</v>
      </c>
      <c r="O160" t="s">
        <v>771</v>
      </c>
      <c r="P160" t="s">
        <v>772</v>
      </c>
      <c r="Q160" t="s">
        <v>3135</v>
      </c>
      <c r="R160">
        <v>0</v>
      </c>
      <c r="S160">
        <v>0</v>
      </c>
      <c r="T160">
        <v>0</v>
      </c>
      <c r="U160">
        <v>0</v>
      </c>
      <c r="V160">
        <v>0</v>
      </c>
      <c r="W160">
        <v>0</v>
      </c>
      <c r="X160">
        <v>0</v>
      </c>
      <c r="Y160">
        <v>0</v>
      </c>
      <c r="Z160">
        <v>0</v>
      </c>
      <c r="AA160">
        <v>0</v>
      </c>
      <c r="AB160">
        <v>0</v>
      </c>
      <c r="AC160">
        <v>0</v>
      </c>
      <c r="AD160">
        <v>8.1</v>
      </c>
      <c r="AE160">
        <v>5</v>
      </c>
      <c r="AF160">
        <v>32.4</v>
      </c>
      <c r="AG160">
        <v>5</v>
      </c>
      <c r="AH160">
        <v>0</v>
      </c>
      <c r="AI160">
        <v>0</v>
      </c>
      <c r="AY160" t="str">
        <f t="shared" si="38"/>
        <v>BIAMULINE</v>
      </c>
      <c r="AZ160" t="str">
        <f>IF(COUNTIF(AY:AY,AY160)=1,AY160,IF(AND(COUNTIF(AY:AY,AY160)&gt;1,COUNTIF(AZ$2:AZ159,AY160)&gt;=1),"",AY160))</f>
        <v>BIAMULINE</v>
      </c>
      <c r="BA160">
        <f>IF(AZ160="","",COUNTIFS(AZ$3:AZ$1439,"&lt;"&amp;AZ160,AZ$3:AZ$1439,"&lt;&gt;0")+COUNTIF(AZ$3:AZ160,AZ160)-876)</f>
        <v>70</v>
      </c>
      <c r="BC160">
        <v>158</v>
      </c>
      <c r="BD160" t="str">
        <f t="shared" si="49"/>
        <v>CONCENTRAT VO 31-1 OXYTETRACYCLINE 100 PORC ET AGNEAU-CHEVREAU SEVRES</v>
      </c>
      <c r="BE160" t="str">
        <f t="shared" si="39"/>
        <v>PM</v>
      </c>
      <c r="BF160" t="str">
        <f t="shared" si="40"/>
        <v>TETRACYCLINES</v>
      </c>
      <c r="BG160" t="str">
        <f t="shared" si="41"/>
        <v/>
      </c>
      <c r="BH160" t="str">
        <f t="shared" si="42"/>
        <v/>
      </c>
      <c r="BI160" t="str">
        <f t="shared" si="43"/>
        <v>oxytetracycline</v>
      </c>
      <c r="BJ160" t="str">
        <f t="shared" si="44"/>
        <v/>
      </c>
      <c r="BK160" t="str">
        <f t="shared" si="45"/>
        <v/>
      </c>
      <c r="BL160" t="str">
        <f t="shared" si="50"/>
        <v>Oxytétracycline</v>
      </c>
      <c r="BM160" t="str">
        <f t="shared" si="46"/>
        <v>Oxytétracycline</v>
      </c>
      <c r="BN160" t="str">
        <f t="shared" si="47"/>
        <v/>
      </c>
      <c r="BO160" t="str">
        <f t="shared" si="48"/>
        <v/>
      </c>
      <c r="BP160" t="str">
        <f t="shared" si="51"/>
        <v>Tetracyclines</v>
      </c>
      <c r="BQ160" t="str">
        <f t="shared" si="52"/>
        <v>Tetracyclines</v>
      </c>
      <c r="BR160" t="str">
        <f t="shared" si="53"/>
        <v/>
      </c>
      <c r="BS160" t="str">
        <f t="shared" si="54"/>
        <v/>
      </c>
      <c r="BT160" s="76" t="str">
        <f t="shared" si="55"/>
        <v>Prémélanges médicamenteux</v>
      </c>
      <c r="BU160" t="str">
        <f t="shared" si="56"/>
        <v/>
      </c>
      <c r="CN160">
        <v>159</v>
      </c>
    </row>
    <row r="161" spans="1:92" x14ac:dyDescent="0.3">
      <c r="A161" s="118" t="s">
        <v>3417</v>
      </c>
      <c r="B161" t="s">
        <v>3420</v>
      </c>
      <c r="C161" t="s">
        <v>3421</v>
      </c>
      <c r="D161" s="144" t="s">
        <v>955</v>
      </c>
      <c r="E161" t="s">
        <v>765</v>
      </c>
      <c r="F161" t="s">
        <v>68</v>
      </c>
      <c r="G161" t="s">
        <v>956</v>
      </c>
      <c r="H161" t="s">
        <v>2653</v>
      </c>
      <c r="I161" t="s">
        <v>817</v>
      </c>
      <c r="J161" t="s">
        <v>2081</v>
      </c>
      <c r="K161" t="s">
        <v>2081</v>
      </c>
      <c r="L161" t="s">
        <v>2082</v>
      </c>
      <c r="M161" t="s">
        <v>208</v>
      </c>
      <c r="N161" t="s">
        <v>3135</v>
      </c>
      <c r="O161" t="s">
        <v>771</v>
      </c>
      <c r="P161" t="s">
        <v>772</v>
      </c>
      <c r="Q161" t="s">
        <v>3137</v>
      </c>
      <c r="R161">
        <v>0</v>
      </c>
      <c r="S161">
        <v>0</v>
      </c>
      <c r="T161">
        <v>0</v>
      </c>
      <c r="U161">
        <v>0</v>
      </c>
      <c r="V161">
        <v>0</v>
      </c>
      <c r="W161">
        <v>0</v>
      </c>
      <c r="X161">
        <v>0</v>
      </c>
      <c r="Y161">
        <v>0</v>
      </c>
      <c r="Z161">
        <v>0</v>
      </c>
      <c r="AA161">
        <v>0</v>
      </c>
      <c r="AB161">
        <v>0</v>
      </c>
      <c r="AC161">
        <v>0</v>
      </c>
      <c r="AD161">
        <v>8.1</v>
      </c>
      <c r="AE161">
        <v>5</v>
      </c>
      <c r="AF161">
        <v>32.4</v>
      </c>
      <c r="AG161">
        <v>5</v>
      </c>
      <c r="AH161">
        <v>0</v>
      </c>
      <c r="AI161">
        <v>0</v>
      </c>
      <c r="AY161" t="str">
        <f t="shared" si="38"/>
        <v>BIAMULINE</v>
      </c>
      <c r="AZ161" t="str">
        <f>IF(COUNTIF(AY:AY,AY161)=1,AY161,IF(AND(COUNTIF(AY:AY,AY161)&gt;1,COUNTIF(AZ$2:AZ160,AY161)&gt;=1),"",AY161))</f>
        <v/>
      </c>
      <c r="BA161" t="str">
        <f>IF(AZ161="","",COUNTIFS(AZ$3:AZ$1439,"&lt;"&amp;AZ161,AZ$3:AZ$1439,"&lt;&gt;0")+COUNTIF(AZ$3:AZ161,AZ161)-876)</f>
        <v/>
      </c>
      <c r="BC161">
        <v>159</v>
      </c>
      <c r="BD161" t="str">
        <f t="shared" si="49"/>
        <v>CONCENTRAT VO 31-2 OXYTETRACYCLINE 40 LAPIN-VOLAILLE-PORC ET AGNEAU-CHEVREAU SEVRES</v>
      </c>
      <c r="BE161" t="str">
        <f t="shared" si="39"/>
        <v>PM</v>
      </c>
      <c r="BF161" t="str">
        <f t="shared" si="40"/>
        <v>TETRACYCLINES</v>
      </c>
      <c r="BG161" t="str">
        <f t="shared" si="41"/>
        <v/>
      </c>
      <c r="BH161" t="str">
        <f t="shared" si="42"/>
        <v/>
      </c>
      <c r="BI161" t="str">
        <f t="shared" si="43"/>
        <v>oxytetracycline</v>
      </c>
      <c r="BJ161" t="str">
        <f t="shared" si="44"/>
        <v/>
      </c>
      <c r="BK161" t="str">
        <f t="shared" si="45"/>
        <v/>
      </c>
      <c r="BL161" t="str">
        <f t="shared" si="50"/>
        <v>Oxytétracycline</v>
      </c>
      <c r="BM161" t="str">
        <f t="shared" si="46"/>
        <v>Oxytétracycline</v>
      </c>
      <c r="BN161" t="str">
        <f t="shared" si="47"/>
        <v/>
      </c>
      <c r="BO161" t="str">
        <f t="shared" si="48"/>
        <v/>
      </c>
      <c r="BP161" t="str">
        <f t="shared" si="51"/>
        <v>Tetracyclines</v>
      </c>
      <c r="BQ161" t="str">
        <f t="shared" si="52"/>
        <v>Tetracyclines</v>
      </c>
      <c r="BR161" t="str">
        <f t="shared" si="53"/>
        <v/>
      </c>
      <c r="BS161" t="str">
        <f t="shared" si="54"/>
        <v/>
      </c>
      <c r="BT161" s="76" t="str">
        <f t="shared" si="55"/>
        <v>Prémélanges médicamenteux</v>
      </c>
      <c r="BU161" t="str">
        <f t="shared" si="56"/>
        <v/>
      </c>
      <c r="CN161">
        <v>160</v>
      </c>
    </row>
    <row r="162" spans="1:92" x14ac:dyDescent="0.3">
      <c r="A162" s="118" t="s">
        <v>2449</v>
      </c>
      <c r="B162" t="s">
        <v>2450</v>
      </c>
      <c r="C162" t="s">
        <v>2451</v>
      </c>
      <c r="D162" s="144" t="s">
        <v>1125</v>
      </c>
      <c r="E162" t="s">
        <v>765</v>
      </c>
      <c r="F162" t="s">
        <v>258</v>
      </c>
      <c r="G162" t="s">
        <v>956</v>
      </c>
      <c r="H162" t="s">
        <v>1156</v>
      </c>
      <c r="I162" t="s">
        <v>817</v>
      </c>
      <c r="J162" t="s">
        <v>928</v>
      </c>
      <c r="K162" t="s">
        <v>862</v>
      </c>
      <c r="L162" t="s">
        <v>1003</v>
      </c>
      <c r="M162" t="s">
        <v>208</v>
      </c>
      <c r="N162" t="s">
        <v>1004</v>
      </c>
      <c r="O162" t="s">
        <v>771</v>
      </c>
      <c r="P162" t="s">
        <v>772</v>
      </c>
      <c r="Q162" t="s">
        <v>2452</v>
      </c>
      <c r="R162">
        <v>0</v>
      </c>
      <c r="S162">
        <v>0</v>
      </c>
      <c r="T162">
        <v>0</v>
      </c>
      <c r="U162">
        <v>0</v>
      </c>
      <c r="V162">
        <v>0</v>
      </c>
      <c r="W162">
        <v>0</v>
      </c>
      <c r="X162">
        <v>0</v>
      </c>
      <c r="Y162">
        <v>0</v>
      </c>
      <c r="Z162">
        <v>0</v>
      </c>
      <c r="AA162">
        <v>0</v>
      </c>
      <c r="AB162">
        <v>0</v>
      </c>
      <c r="AC162">
        <v>0</v>
      </c>
      <c r="AD162">
        <v>0</v>
      </c>
      <c r="AE162">
        <v>0</v>
      </c>
      <c r="AF162">
        <v>37.36</v>
      </c>
      <c r="AG162">
        <v>5</v>
      </c>
      <c r="AH162">
        <v>0</v>
      </c>
      <c r="AI162">
        <v>0</v>
      </c>
      <c r="AJ162" t="s">
        <v>930</v>
      </c>
      <c r="AK162" t="s">
        <v>931</v>
      </c>
      <c r="AL162" t="s">
        <v>208</v>
      </c>
      <c r="AM162" t="s">
        <v>932</v>
      </c>
      <c r="AN162" t="s">
        <v>771</v>
      </c>
      <c r="AO162" t="s">
        <v>772</v>
      </c>
      <c r="AP162" t="s">
        <v>885</v>
      </c>
      <c r="AY162" t="str">
        <f t="shared" si="38"/>
        <v>BIAPRIM BUVABLE</v>
      </c>
      <c r="AZ162" t="str">
        <f>IF(COUNTIF(AY:AY,AY162)=1,AY162,IF(AND(COUNTIF(AY:AY,AY162)&gt;1,COUNTIF(AZ$2:AZ161,AY162)&gt;=1),"",AY162))</f>
        <v>BIAPRIM BUVABLE</v>
      </c>
      <c r="BA162">
        <f>IF(AZ162="","",COUNTIFS(AZ$3:AZ$1439,"&lt;"&amp;AZ162,AZ$3:AZ$1439,"&lt;&gt;0")+COUNTIF(AZ$3:AZ162,AZ162)-876)</f>
        <v>71</v>
      </c>
      <c r="BC162">
        <v>160</v>
      </c>
      <c r="BD162" t="str">
        <f t="shared" si="49"/>
        <v>CONCENTRAT VO 49-1 COLISTINE 400 PORC ET AGNEAU-CHEVREAU SEVRES</v>
      </c>
      <c r="BE162" t="str">
        <f t="shared" si="39"/>
        <v>PM</v>
      </c>
      <c r="BF162" t="str">
        <f t="shared" si="40"/>
        <v>POLYPEPTIDES</v>
      </c>
      <c r="BG162" t="str">
        <f t="shared" si="41"/>
        <v/>
      </c>
      <c r="BH162" t="str">
        <f t="shared" si="42"/>
        <v/>
      </c>
      <c r="BI162" t="str">
        <f t="shared" si="43"/>
        <v>colistin</v>
      </c>
      <c r="BJ162" t="str">
        <f t="shared" si="44"/>
        <v/>
      </c>
      <c r="BK162" t="str">
        <f t="shared" si="45"/>
        <v/>
      </c>
      <c r="BL162" t="str">
        <f t="shared" si="50"/>
        <v>Colistine</v>
      </c>
      <c r="BM162" t="str">
        <f t="shared" si="46"/>
        <v>Colistine</v>
      </c>
      <c r="BN162" t="str">
        <f t="shared" si="47"/>
        <v/>
      </c>
      <c r="BO162" t="str">
        <f t="shared" si="48"/>
        <v/>
      </c>
      <c r="BP162" t="str">
        <f t="shared" si="51"/>
        <v>Polypeptides</v>
      </c>
      <c r="BQ162" t="str">
        <f t="shared" si="52"/>
        <v>Polypeptides</v>
      </c>
      <c r="BR162" t="str">
        <f t="shared" si="53"/>
        <v/>
      </c>
      <c r="BS162" t="str">
        <f t="shared" si="54"/>
        <v/>
      </c>
      <c r="BT162" s="76" t="str">
        <f t="shared" si="55"/>
        <v>Prémélanges médicamenteux</v>
      </c>
      <c r="BU162" t="str">
        <f t="shared" si="56"/>
        <v>x</v>
      </c>
      <c r="CN162">
        <v>161</v>
      </c>
    </row>
    <row r="163" spans="1:92" x14ac:dyDescent="0.3">
      <c r="A163" s="118" t="s">
        <v>2449</v>
      </c>
      <c r="B163" t="s">
        <v>2453</v>
      </c>
      <c r="C163" t="s">
        <v>796</v>
      </c>
      <c r="D163" s="144" t="s">
        <v>776</v>
      </c>
      <c r="E163" t="s">
        <v>765</v>
      </c>
      <c r="F163" t="s">
        <v>258</v>
      </c>
      <c r="G163" t="s">
        <v>956</v>
      </c>
      <c r="H163" t="s">
        <v>1156</v>
      </c>
      <c r="I163" t="s">
        <v>817</v>
      </c>
      <c r="J163" t="s">
        <v>928</v>
      </c>
      <c r="K163" t="s">
        <v>862</v>
      </c>
      <c r="L163" t="s">
        <v>1003</v>
      </c>
      <c r="M163" t="s">
        <v>208</v>
      </c>
      <c r="N163" t="s">
        <v>1004</v>
      </c>
      <c r="O163" t="s">
        <v>771</v>
      </c>
      <c r="P163" t="s">
        <v>772</v>
      </c>
      <c r="Q163" t="s">
        <v>2454</v>
      </c>
      <c r="R163">
        <v>0</v>
      </c>
      <c r="S163">
        <v>0</v>
      </c>
      <c r="T163">
        <v>0</v>
      </c>
      <c r="U163">
        <v>0</v>
      </c>
      <c r="V163">
        <v>0</v>
      </c>
      <c r="W163">
        <v>0</v>
      </c>
      <c r="X163">
        <v>0</v>
      </c>
      <c r="Y163">
        <v>0</v>
      </c>
      <c r="Z163">
        <v>0</v>
      </c>
      <c r="AA163">
        <v>0</v>
      </c>
      <c r="AB163">
        <v>0</v>
      </c>
      <c r="AC163">
        <v>0</v>
      </c>
      <c r="AD163">
        <v>0</v>
      </c>
      <c r="AE163">
        <v>0</v>
      </c>
      <c r="AF163">
        <v>37.36</v>
      </c>
      <c r="AG163">
        <v>5</v>
      </c>
      <c r="AH163">
        <v>0</v>
      </c>
      <c r="AI163">
        <v>0</v>
      </c>
      <c r="AJ163" t="s">
        <v>930</v>
      </c>
      <c r="AK163" t="s">
        <v>931</v>
      </c>
      <c r="AL163" t="s">
        <v>208</v>
      </c>
      <c r="AM163" t="s">
        <v>932</v>
      </c>
      <c r="AN163" t="s">
        <v>771</v>
      </c>
      <c r="AO163" t="s">
        <v>772</v>
      </c>
      <c r="AP163" t="s">
        <v>852</v>
      </c>
      <c r="AY163" t="str">
        <f t="shared" si="38"/>
        <v>BIAPRIM BUVABLE</v>
      </c>
      <c r="AZ163" t="str">
        <f>IF(COUNTIF(AY:AY,AY163)=1,AY163,IF(AND(COUNTIF(AY:AY,AY163)&gt;1,COUNTIF(AZ$2:AZ162,AY163)&gt;=1),"",AY163))</f>
        <v/>
      </c>
      <c r="BA163" t="str">
        <f>IF(AZ163="","",COUNTIFS(AZ$3:AZ$1439,"&lt;"&amp;AZ163,AZ$3:AZ$1439,"&lt;&gt;0")+COUNTIF(AZ$3:AZ163,AZ163)-876)</f>
        <v/>
      </c>
      <c r="BC163">
        <v>161</v>
      </c>
      <c r="BD163" t="str">
        <f t="shared" si="49"/>
        <v>CONCENTRAT VO 49-2 COLISTINE 200 LAPIN-VOLAILLE-PORC ET AGNEAU-CHEVREAU SEVRES</v>
      </c>
      <c r="BE163" t="str">
        <f t="shared" si="39"/>
        <v>PM</v>
      </c>
      <c r="BF163" t="str">
        <f t="shared" si="40"/>
        <v>POLYPEPTIDES</v>
      </c>
      <c r="BG163" t="str">
        <f t="shared" si="41"/>
        <v/>
      </c>
      <c r="BH163" t="str">
        <f t="shared" si="42"/>
        <v/>
      </c>
      <c r="BI163" t="str">
        <f t="shared" si="43"/>
        <v>colistin</v>
      </c>
      <c r="BJ163" t="str">
        <f t="shared" si="44"/>
        <v/>
      </c>
      <c r="BK163" t="str">
        <f t="shared" si="45"/>
        <v/>
      </c>
      <c r="BL163" t="str">
        <f t="shared" si="50"/>
        <v>Colistine</v>
      </c>
      <c r="BM163" t="str">
        <f t="shared" si="46"/>
        <v>Colistine</v>
      </c>
      <c r="BN163" t="str">
        <f t="shared" si="47"/>
        <v/>
      </c>
      <c r="BO163" t="str">
        <f t="shared" si="48"/>
        <v/>
      </c>
      <c r="BP163" t="str">
        <f t="shared" si="51"/>
        <v>Polypeptides</v>
      </c>
      <c r="BQ163" t="str">
        <f t="shared" si="52"/>
        <v>Polypeptides</v>
      </c>
      <c r="BR163" t="str">
        <f t="shared" si="53"/>
        <v/>
      </c>
      <c r="BS163" t="str">
        <f t="shared" si="54"/>
        <v/>
      </c>
      <c r="BT163" s="76" t="str">
        <f t="shared" si="55"/>
        <v>Prémélanges médicamenteux</v>
      </c>
      <c r="BU163" t="str">
        <f t="shared" si="56"/>
        <v>x</v>
      </c>
      <c r="CN163">
        <v>162</v>
      </c>
    </row>
    <row r="164" spans="1:92" x14ac:dyDescent="0.3">
      <c r="A164" s="118" t="s">
        <v>2449</v>
      </c>
      <c r="B164" t="s">
        <v>2455</v>
      </c>
      <c r="C164" t="s">
        <v>1241</v>
      </c>
      <c r="D164" s="144" t="s">
        <v>829</v>
      </c>
      <c r="E164" t="s">
        <v>765</v>
      </c>
      <c r="F164" t="s">
        <v>258</v>
      </c>
      <c r="G164" t="s">
        <v>956</v>
      </c>
      <c r="H164" t="s">
        <v>1156</v>
      </c>
      <c r="I164" t="s">
        <v>817</v>
      </c>
      <c r="J164" t="s">
        <v>928</v>
      </c>
      <c r="K164" t="s">
        <v>862</v>
      </c>
      <c r="L164" t="s">
        <v>1003</v>
      </c>
      <c r="M164" t="s">
        <v>208</v>
      </c>
      <c r="N164" t="s">
        <v>1004</v>
      </c>
      <c r="O164" t="s">
        <v>771</v>
      </c>
      <c r="P164" t="s">
        <v>772</v>
      </c>
      <c r="Q164" t="s">
        <v>1004</v>
      </c>
      <c r="R164">
        <v>0</v>
      </c>
      <c r="S164">
        <v>0</v>
      </c>
      <c r="T164">
        <v>0</v>
      </c>
      <c r="U164">
        <v>0</v>
      </c>
      <c r="V164">
        <v>0</v>
      </c>
      <c r="W164">
        <v>0</v>
      </c>
      <c r="X164">
        <v>0</v>
      </c>
      <c r="Y164">
        <v>0</v>
      </c>
      <c r="Z164">
        <v>0</v>
      </c>
      <c r="AA164">
        <v>0</v>
      </c>
      <c r="AB164">
        <v>0</v>
      </c>
      <c r="AC164">
        <v>0</v>
      </c>
      <c r="AD164">
        <v>0</v>
      </c>
      <c r="AE164">
        <v>0</v>
      </c>
      <c r="AF164">
        <v>37.36</v>
      </c>
      <c r="AG164">
        <v>5</v>
      </c>
      <c r="AH164">
        <v>0</v>
      </c>
      <c r="AI164">
        <v>0</v>
      </c>
      <c r="AJ164" t="s">
        <v>930</v>
      </c>
      <c r="AK164" t="s">
        <v>931</v>
      </c>
      <c r="AL164" t="s">
        <v>208</v>
      </c>
      <c r="AM164" t="s">
        <v>932</v>
      </c>
      <c r="AN164" t="s">
        <v>771</v>
      </c>
      <c r="AO164" t="s">
        <v>772</v>
      </c>
      <c r="AP164" t="s">
        <v>932</v>
      </c>
      <c r="AY164" t="str">
        <f t="shared" si="38"/>
        <v>BIAPRIM BUVABLE</v>
      </c>
      <c r="AZ164" t="str">
        <f>IF(COUNTIF(AY:AY,AY164)=1,AY164,IF(AND(COUNTIF(AY:AY,AY164)&gt;1,COUNTIF(AZ$2:AZ163,AY164)&gt;=1),"",AY164))</f>
        <v/>
      </c>
      <c r="BA164" t="str">
        <f>IF(AZ164="","",COUNTIFS(AZ$3:AZ$1439,"&lt;"&amp;AZ164,AZ$3:AZ$1439,"&lt;&gt;0")+COUNTIF(AZ$3:AZ164,AZ164)-876)</f>
        <v/>
      </c>
      <c r="BC164">
        <v>162</v>
      </c>
      <c r="BD164" t="str">
        <f t="shared" si="49"/>
        <v>CONCENTRAT VO 57 APRAMYCINE 20 PORC-LAPIN</v>
      </c>
      <c r="BE164" t="str">
        <f t="shared" si="39"/>
        <v>PM</v>
      </c>
      <c r="BF164" t="str">
        <f t="shared" si="40"/>
        <v>AMINOGLYCOSIDES</v>
      </c>
      <c r="BG164" t="str">
        <f t="shared" si="41"/>
        <v/>
      </c>
      <c r="BH164" t="str">
        <f t="shared" si="42"/>
        <v/>
      </c>
      <c r="BI164" t="str">
        <f t="shared" si="43"/>
        <v>apramycin</v>
      </c>
      <c r="BJ164" t="str">
        <f t="shared" si="44"/>
        <v/>
      </c>
      <c r="BK164" t="str">
        <f t="shared" si="45"/>
        <v/>
      </c>
      <c r="BL164" t="str">
        <f t="shared" si="50"/>
        <v>Apramycine</v>
      </c>
      <c r="BM164" t="str">
        <f t="shared" si="46"/>
        <v>Apramycine</v>
      </c>
      <c r="BN164" t="str">
        <f t="shared" si="47"/>
        <v/>
      </c>
      <c r="BO164" t="str">
        <f t="shared" si="48"/>
        <v/>
      </c>
      <c r="BP164" t="str">
        <f t="shared" si="51"/>
        <v>Aminoglycosides</v>
      </c>
      <c r="BQ164" t="str">
        <f t="shared" si="52"/>
        <v>Aminoglycosides</v>
      </c>
      <c r="BR164" t="str">
        <f t="shared" si="53"/>
        <v/>
      </c>
      <c r="BS164" t="str">
        <f t="shared" si="54"/>
        <v/>
      </c>
      <c r="BT164" s="76" t="str">
        <f t="shared" si="55"/>
        <v>Prémélanges médicamenteux</v>
      </c>
      <c r="BU164" t="str">
        <f t="shared" si="56"/>
        <v/>
      </c>
      <c r="CN164">
        <v>163</v>
      </c>
    </row>
    <row r="165" spans="1:92" x14ac:dyDescent="0.3">
      <c r="A165" s="118" t="s">
        <v>2449</v>
      </c>
      <c r="B165" t="s">
        <v>2456</v>
      </c>
      <c r="C165" t="s">
        <v>1243</v>
      </c>
      <c r="D165" s="144" t="s">
        <v>955</v>
      </c>
      <c r="E165" t="s">
        <v>765</v>
      </c>
      <c r="F165" t="s">
        <v>258</v>
      </c>
      <c r="G165" t="s">
        <v>956</v>
      </c>
      <c r="H165" t="s">
        <v>1156</v>
      </c>
      <c r="I165" t="s">
        <v>817</v>
      </c>
      <c r="J165" t="s">
        <v>928</v>
      </c>
      <c r="K165" t="s">
        <v>862</v>
      </c>
      <c r="L165" t="s">
        <v>1003</v>
      </c>
      <c r="M165" t="s">
        <v>208</v>
      </c>
      <c r="N165" t="s">
        <v>1004</v>
      </c>
      <c r="O165" t="s">
        <v>771</v>
      </c>
      <c r="P165" t="s">
        <v>772</v>
      </c>
      <c r="Q165" t="s">
        <v>1006</v>
      </c>
      <c r="R165">
        <v>0</v>
      </c>
      <c r="S165">
        <v>0</v>
      </c>
      <c r="T165">
        <v>0</v>
      </c>
      <c r="U165">
        <v>0</v>
      </c>
      <c r="V165">
        <v>0</v>
      </c>
      <c r="W165">
        <v>0</v>
      </c>
      <c r="X165">
        <v>0</v>
      </c>
      <c r="Y165">
        <v>0</v>
      </c>
      <c r="Z165">
        <v>0</v>
      </c>
      <c r="AA165">
        <v>0</v>
      </c>
      <c r="AB165">
        <v>0</v>
      </c>
      <c r="AC165">
        <v>0</v>
      </c>
      <c r="AD165">
        <v>0</v>
      </c>
      <c r="AE165">
        <v>0</v>
      </c>
      <c r="AF165">
        <v>37.36</v>
      </c>
      <c r="AG165">
        <v>5</v>
      </c>
      <c r="AH165">
        <v>0</v>
      </c>
      <c r="AI165">
        <v>0</v>
      </c>
      <c r="AJ165" t="s">
        <v>930</v>
      </c>
      <c r="AK165" t="s">
        <v>931</v>
      </c>
      <c r="AL165" t="s">
        <v>208</v>
      </c>
      <c r="AM165" t="s">
        <v>932</v>
      </c>
      <c r="AN165" t="s">
        <v>771</v>
      </c>
      <c r="AO165" t="s">
        <v>772</v>
      </c>
      <c r="AP165" t="s">
        <v>864</v>
      </c>
      <c r="AY165" t="str">
        <f t="shared" si="38"/>
        <v>BIAPRIM BUVABLE</v>
      </c>
      <c r="AZ165" t="str">
        <f>IF(COUNTIF(AY:AY,AY165)=1,AY165,IF(AND(COUNTIF(AY:AY,AY165)&gt;1,COUNTIF(AZ$2:AZ164,AY165)&gt;=1),"",AY165))</f>
        <v/>
      </c>
      <c r="BA165" t="str">
        <f>IF(AZ165="","",COUNTIFS(AZ$3:AZ$1439,"&lt;"&amp;AZ165,AZ$3:AZ$1439,"&lt;&gt;0")+COUNTIF(AZ$3:AZ165,AZ165)-876)</f>
        <v/>
      </c>
      <c r="BC165">
        <v>163</v>
      </c>
      <c r="BD165" t="str">
        <f t="shared" si="49"/>
        <v>CONCENTRAT VO 59-1 NEOMYCINE 80 PORC</v>
      </c>
      <c r="BE165" t="str">
        <f t="shared" si="39"/>
        <v>PM</v>
      </c>
      <c r="BF165" t="str">
        <f t="shared" si="40"/>
        <v>AMINOGLYCOSIDES</v>
      </c>
      <c r="BG165" t="str">
        <f t="shared" si="41"/>
        <v/>
      </c>
      <c r="BH165" t="str">
        <f t="shared" si="42"/>
        <v/>
      </c>
      <c r="BI165" t="str">
        <f t="shared" si="43"/>
        <v>neomycin</v>
      </c>
      <c r="BJ165" t="str">
        <f t="shared" si="44"/>
        <v/>
      </c>
      <c r="BK165" t="str">
        <f t="shared" si="45"/>
        <v/>
      </c>
      <c r="BL165" t="str">
        <f t="shared" si="50"/>
        <v>Néomycine</v>
      </c>
      <c r="BM165" t="str">
        <f t="shared" si="46"/>
        <v>Néomycine</v>
      </c>
      <c r="BN165" t="str">
        <f t="shared" si="47"/>
        <v/>
      </c>
      <c r="BO165" t="str">
        <f t="shared" si="48"/>
        <v/>
      </c>
      <c r="BP165" t="str">
        <f t="shared" si="51"/>
        <v>Aminoglycosides</v>
      </c>
      <c r="BQ165" t="str">
        <f t="shared" si="52"/>
        <v>Aminoglycosides</v>
      </c>
      <c r="BR165" t="str">
        <f t="shared" si="53"/>
        <v/>
      </c>
      <c r="BS165" t="str">
        <f t="shared" si="54"/>
        <v/>
      </c>
      <c r="BT165" s="76" t="str">
        <f t="shared" si="55"/>
        <v>Prémélanges médicamenteux</v>
      </c>
      <c r="BU165" t="str">
        <f t="shared" si="56"/>
        <v/>
      </c>
      <c r="CN165">
        <v>164</v>
      </c>
    </row>
    <row r="166" spans="1:92" x14ac:dyDescent="0.3">
      <c r="A166" s="118" t="s">
        <v>1305</v>
      </c>
      <c r="B166" t="s">
        <v>1306</v>
      </c>
      <c r="C166" t="s">
        <v>1307</v>
      </c>
      <c r="D166" s="144" t="s">
        <v>764</v>
      </c>
      <c r="E166" t="s">
        <v>765</v>
      </c>
      <c r="F166" t="s">
        <v>1308</v>
      </c>
      <c r="G166" t="s">
        <v>1309</v>
      </c>
      <c r="H166" t="s">
        <v>816</v>
      </c>
      <c r="I166" t="s">
        <v>817</v>
      </c>
      <c r="J166" t="s">
        <v>861</v>
      </c>
      <c r="K166" t="s">
        <v>862</v>
      </c>
      <c r="L166" t="s">
        <v>863</v>
      </c>
      <c r="M166" t="s">
        <v>208</v>
      </c>
      <c r="N166" t="s">
        <v>864</v>
      </c>
      <c r="O166" t="s">
        <v>771</v>
      </c>
      <c r="P166" t="s">
        <v>772</v>
      </c>
      <c r="Q166" t="s">
        <v>869</v>
      </c>
      <c r="R166">
        <v>0</v>
      </c>
      <c r="S166">
        <v>0</v>
      </c>
      <c r="T166">
        <v>600</v>
      </c>
      <c r="U166">
        <v>4</v>
      </c>
      <c r="V166">
        <v>0</v>
      </c>
      <c r="W166">
        <v>0</v>
      </c>
      <c r="X166">
        <v>0</v>
      </c>
      <c r="Y166">
        <v>0</v>
      </c>
      <c r="Z166">
        <v>0</v>
      </c>
      <c r="AA166">
        <v>0</v>
      </c>
      <c r="AB166">
        <v>0</v>
      </c>
      <c r="AC166">
        <v>0</v>
      </c>
      <c r="AD166">
        <v>0</v>
      </c>
      <c r="AE166">
        <v>0</v>
      </c>
      <c r="AF166">
        <v>0</v>
      </c>
      <c r="AG166">
        <v>0</v>
      </c>
      <c r="AH166">
        <v>0</v>
      </c>
      <c r="AI166">
        <v>0</v>
      </c>
      <c r="AJ166" t="s">
        <v>783</v>
      </c>
      <c r="AK166" t="s">
        <v>865</v>
      </c>
      <c r="AL166" t="s">
        <v>208</v>
      </c>
      <c r="AM166" t="s">
        <v>1310</v>
      </c>
      <c r="AN166" t="s">
        <v>805</v>
      </c>
      <c r="AO166" t="s">
        <v>4367</v>
      </c>
      <c r="AP166" t="s">
        <v>4389</v>
      </c>
      <c r="AY166" t="str">
        <f t="shared" si="38"/>
        <v/>
      </c>
      <c r="AZ166" t="str">
        <f>IF(COUNTIF(AY:AY,AY166)=1,AY166,IF(AND(COUNTIF(AY:AY,AY166)&gt;1,COUNTIF(AZ$2:AZ165,AY166)&gt;=1),"",AY166))</f>
        <v/>
      </c>
      <c r="BA166" t="str">
        <f>IF(AZ166="","",COUNTIFS(AZ$3:AZ$1439,"&lt;"&amp;AZ166,AZ$3:AZ$1439,"&lt;&gt;0")+COUNTIF(AZ$3:AZ166,AZ166)-876)</f>
        <v/>
      </c>
      <c r="BC166">
        <v>164</v>
      </c>
      <c r="BD166" t="str">
        <f t="shared" si="49"/>
        <v>CONCENTRAT VO 59-2 NEOMYCINE 40 LAPIN-VOLAILLE-PORC</v>
      </c>
      <c r="BE166" t="str">
        <f t="shared" si="39"/>
        <v>PM</v>
      </c>
      <c r="BF166" t="str">
        <f t="shared" si="40"/>
        <v>AMINOGLYCOSIDES</v>
      </c>
      <c r="BG166" t="str">
        <f t="shared" si="41"/>
        <v/>
      </c>
      <c r="BH166" t="str">
        <f t="shared" si="42"/>
        <v/>
      </c>
      <c r="BI166" t="str">
        <f t="shared" si="43"/>
        <v>neomycin</v>
      </c>
      <c r="BJ166" t="str">
        <f t="shared" si="44"/>
        <v/>
      </c>
      <c r="BK166" t="str">
        <f t="shared" si="45"/>
        <v/>
      </c>
      <c r="BL166" t="str">
        <f t="shared" si="50"/>
        <v>Néomycine</v>
      </c>
      <c r="BM166" t="str">
        <f t="shared" si="46"/>
        <v>Néomycine</v>
      </c>
      <c r="BN166" t="str">
        <f t="shared" si="47"/>
        <v/>
      </c>
      <c r="BO166" t="str">
        <f t="shared" si="48"/>
        <v/>
      </c>
      <c r="BP166" t="str">
        <f t="shared" si="51"/>
        <v>Aminoglycosides</v>
      </c>
      <c r="BQ166" t="str">
        <f t="shared" si="52"/>
        <v>Aminoglycosides</v>
      </c>
      <c r="BR166" t="str">
        <f t="shared" si="53"/>
        <v/>
      </c>
      <c r="BS166" t="str">
        <f t="shared" si="54"/>
        <v/>
      </c>
      <c r="BT166" s="76" t="str">
        <f t="shared" si="55"/>
        <v>Prémélanges médicamenteux</v>
      </c>
      <c r="BU166" t="str">
        <f t="shared" si="56"/>
        <v/>
      </c>
      <c r="CN166">
        <v>165</v>
      </c>
    </row>
    <row r="167" spans="1:92" x14ac:dyDescent="0.3">
      <c r="A167" s="118" t="s">
        <v>4196</v>
      </c>
      <c r="B167" t="s">
        <v>4197</v>
      </c>
      <c r="C167" t="s">
        <v>792</v>
      </c>
      <c r="D167" t="s">
        <v>764</v>
      </c>
      <c r="E167" t="s">
        <v>765</v>
      </c>
      <c r="F167" t="s">
        <v>259</v>
      </c>
      <c r="G167" t="s">
        <v>766</v>
      </c>
      <c r="H167" t="s">
        <v>1484</v>
      </c>
      <c r="I167" t="s">
        <v>766</v>
      </c>
      <c r="J167" t="s">
        <v>787</v>
      </c>
      <c r="K167" t="s">
        <v>787</v>
      </c>
      <c r="L167" t="s">
        <v>1055</v>
      </c>
      <c r="M167" t="s">
        <v>208</v>
      </c>
      <c r="N167" t="s">
        <v>1155</v>
      </c>
      <c r="O167" t="s">
        <v>771</v>
      </c>
      <c r="P167" t="s">
        <v>772</v>
      </c>
      <c r="Q167" t="s">
        <v>972</v>
      </c>
      <c r="R167">
        <v>15</v>
      </c>
      <c r="S167">
        <v>2</v>
      </c>
      <c r="T167">
        <v>0</v>
      </c>
      <c r="U167">
        <v>0</v>
      </c>
      <c r="V167">
        <v>0</v>
      </c>
      <c r="W167">
        <v>0</v>
      </c>
      <c r="X167">
        <v>0</v>
      </c>
      <c r="Y167">
        <v>0</v>
      </c>
      <c r="Z167">
        <v>0</v>
      </c>
      <c r="AA167">
        <v>0</v>
      </c>
      <c r="AB167">
        <v>15</v>
      </c>
      <c r="AC167">
        <v>2</v>
      </c>
      <c r="AD167">
        <v>15</v>
      </c>
      <c r="AE167">
        <v>2</v>
      </c>
      <c r="AF167">
        <v>0</v>
      </c>
      <c r="AG167">
        <v>0</v>
      </c>
      <c r="AH167">
        <v>0</v>
      </c>
      <c r="AI167">
        <v>0</v>
      </c>
      <c r="AY167" t="str">
        <f t="shared" si="38"/>
        <v>BIMOXYL LA 150 MG/ML SUSPENSION INJECTABLE POUR BOVINS OVINS ET PORCINS</v>
      </c>
      <c r="AZ167" t="str">
        <f>IF(COUNTIF(AY:AY,AY167)=1,AY167,IF(AND(COUNTIF(AY:AY,AY167)&gt;1,COUNTIF(AZ$2:AZ166,AY167)&gt;=1),"",AY167))</f>
        <v>BIMOXYL LA 150 MG/ML SUSPENSION INJECTABLE POUR BOVINS OVINS ET PORCINS</v>
      </c>
      <c r="BA167">
        <f>IF(AZ167="","",COUNTIFS(AZ$3:AZ$1439,"&lt;"&amp;AZ167,AZ$3:AZ$1439,"&lt;&gt;0")+COUNTIF(AZ$3:AZ167,AZ167)-876)</f>
        <v>72</v>
      </c>
      <c r="BC167">
        <v>165</v>
      </c>
      <c r="BD167" t="str">
        <f t="shared" si="49"/>
        <v>CORTEXILINE</v>
      </c>
      <c r="BE167" t="str">
        <f t="shared" si="39"/>
        <v>INJ</v>
      </c>
      <c r="BF167" t="str">
        <f t="shared" si="40"/>
        <v>AMINOGLYCOSIDES</v>
      </c>
      <c r="BG167" t="str">
        <f t="shared" si="41"/>
        <v>PENICILLINES</v>
      </c>
      <c r="BH167" t="str">
        <f t="shared" si="42"/>
        <v/>
      </c>
      <c r="BI167" t="str">
        <f t="shared" si="43"/>
        <v>neomycin</v>
      </c>
      <c r="BJ167" t="str">
        <f t="shared" si="44"/>
        <v>benzylpenicillin</v>
      </c>
      <c r="BK167" t="str">
        <f t="shared" si="45"/>
        <v/>
      </c>
      <c r="BL167" t="str">
        <f t="shared" si="50"/>
        <v>Néomycine + Benzylpénicilline</v>
      </c>
      <c r="BM167" t="str">
        <f t="shared" si="46"/>
        <v>Néomycine</v>
      </c>
      <c r="BN167" t="str">
        <f t="shared" si="47"/>
        <v>Benzylpénicilline</v>
      </c>
      <c r="BO167" t="str">
        <f t="shared" si="48"/>
        <v/>
      </c>
      <c r="BP167" t="str">
        <f t="shared" si="51"/>
        <v>Aminoglycosides + Penicillines</v>
      </c>
      <c r="BQ167" t="str">
        <f t="shared" si="52"/>
        <v>Aminoglycosides</v>
      </c>
      <c r="BR167" t="str">
        <f t="shared" si="53"/>
        <v>Penicillines</v>
      </c>
      <c r="BS167" t="str">
        <f t="shared" si="54"/>
        <v/>
      </c>
      <c r="BT167" s="76" t="str">
        <f t="shared" si="55"/>
        <v>Voie parentérale</v>
      </c>
      <c r="BU167" t="str">
        <f t="shared" si="56"/>
        <v/>
      </c>
      <c r="CN167">
        <v>166</v>
      </c>
    </row>
    <row r="168" spans="1:92" x14ac:dyDescent="0.3">
      <c r="A168" s="118" t="s">
        <v>4196</v>
      </c>
      <c r="B168" t="s">
        <v>4198</v>
      </c>
      <c r="C168" t="s">
        <v>796</v>
      </c>
      <c r="D168" t="s">
        <v>776</v>
      </c>
      <c r="E168" t="s">
        <v>765</v>
      </c>
      <c r="F168" t="s">
        <v>259</v>
      </c>
      <c r="G168" t="s">
        <v>766</v>
      </c>
      <c r="H168" t="s">
        <v>1484</v>
      </c>
      <c r="I168" t="s">
        <v>766</v>
      </c>
      <c r="J168" t="s">
        <v>787</v>
      </c>
      <c r="K168" t="s">
        <v>787</v>
      </c>
      <c r="L168" t="s">
        <v>1055</v>
      </c>
      <c r="M168" t="s">
        <v>208</v>
      </c>
      <c r="N168" t="s">
        <v>1155</v>
      </c>
      <c r="O168" t="s">
        <v>771</v>
      </c>
      <c r="P168" t="s">
        <v>772</v>
      </c>
      <c r="Q168" t="s">
        <v>1773</v>
      </c>
      <c r="R168">
        <v>15</v>
      </c>
      <c r="S168">
        <v>2</v>
      </c>
      <c r="T168">
        <v>0</v>
      </c>
      <c r="U168">
        <v>0</v>
      </c>
      <c r="V168">
        <v>0</v>
      </c>
      <c r="W168">
        <v>0</v>
      </c>
      <c r="X168">
        <v>0</v>
      </c>
      <c r="Y168">
        <v>0</v>
      </c>
      <c r="Z168">
        <v>0</v>
      </c>
      <c r="AA168">
        <v>0</v>
      </c>
      <c r="AB168">
        <v>15</v>
      </c>
      <c r="AC168">
        <v>2</v>
      </c>
      <c r="AD168">
        <v>15</v>
      </c>
      <c r="AE168">
        <v>2</v>
      </c>
      <c r="AF168">
        <v>0</v>
      </c>
      <c r="AG168">
        <v>0</v>
      </c>
      <c r="AH168">
        <v>0</v>
      </c>
      <c r="AI168">
        <v>0</v>
      </c>
      <c r="AY168" t="str">
        <f t="shared" si="38"/>
        <v>BIMOXYL LA 150 MG/ML SUSPENSION INJECTABLE POUR BOVINS OVINS ET PORCINS</v>
      </c>
      <c r="AZ168" t="str">
        <f>IF(COUNTIF(AY:AY,AY168)=1,AY168,IF(AND(COUNTIF(AY:AY,AY168)&gt;1,COUNTIF(AZ$2:AZ167,AY168)&gt;=1),"",AY168))</f>
        <v/>
      </c>
      <c r="BA168" t="str">
        <f>IF(AZ168="","",COUNTIFS(AZ$3:AZ$1439,"&lt;"&amp;AZ168,AZ$3:AZ$1439,"&lt;&gt;0")+COUNTIF(AZ$3:AZ168,AZ168)-876)</f>
        <v/>
      </c>
      <c r="BC168">
        <v>166</v>
      </c>
      <c r="BD168" t="str">
        <f t="shared" si="49"/>
        <v>CORYLAP</v>
      </c>
      <c r="BE168" t="str">
        <f t="shared" si="39"/>
        <v>ORAL</v>
      </c>
      <c r="BF168" t="str">
        <f t="shared" si="40"/>
        <v>SULFAMIDES</v>
      </c>
      <c r="BG168" t="str">
        <f t="shared" si="41"/>
        <v>TRIMETHOPRIME</v>
      </c>
      <c r="BH168" t="str">
        <f t="shared" si="42"/>
        <v/>
      </c>
      <c r="BI168" t="str">
        <f t="shared" si="43"/>
        <v>sulfadimethoxine</v>
      </c>
      <c r="BJ168" t="str">
        <f t="shared" si="44"/>
        <v>trimethoprim</v>
      </c>
      <c r="BK168" t="str">
        <f t="shared" si="45"/>
        <v/>
      </c>
      <c r="BL168" t="str">
        <f t="shared" si="50"/>
        <v>Sulfadiméthoxine + Triméthoprime</v>
      </c>
      <c r="BM168" t="str">
        <f t="shared" si="46"/>
        <v>Sulfadiméthoxine</v>
      </c>
      <c r="BN168" t="str">
        <f t="shared" si="47"/>
        <v>Triméthoprime</v>
      </c>
      <c r="BO168" t="str">
        <f t="shared" si="48"/>
        <v/>
      </c>
      <c r="BP168" t="str">
        <f t="shared" si="51"/>
        <v>Sulfamides + Trimethoprime</v>
      </c>
      <c r="BQ168" t="str">
        <f t="shared" si="52"/>
        <v>Sulfamides</v>
      </c>
      <c r="BR168" t="str">
        <f t="shared" si="53"/>
        <v>Trimethoprime</v>
      </c>
      <c r="BS168" t="str">
        <f t="shared" si="54"/>
        <v/>
      </c>
      <c r="BT168" s="76" t="str">
        <f t="shared" si="55"/>
        <v>Voie orale  hors prémélanges médicamenteux</v>
      </c>
      <c r="BU168" t="str">
        <f t="shared" si="56"/>
        <v/>
      </c>
      <c r="CN168">
        <v>167</v>
      </c>
    </row>
    <row r="169" spans="1:92" x14ac:dyDescent="0.3">
      <c r="A169" s="118" t="s">
        <v>2813</v>
      </c>
      <c r="B169" t="s">
        <v>2814</v>
      </c>
      <c r="C169" t="s">
        <v>891</v>
      </c>
      <c r="D169" s="144" t="s">
        <v>829</v>
      </c>
      <c r="E169" t="s">
        <v>830</v>
      </c>
      <c r="F169" t="s">
        <v>70</v>
      </c>
      <c r="G169" t="s">
        <v>831</v>
      </c>
      <c r="H169" t="s">
        <v>2683</v>
      </c>
      <c r="I169" t="s">
        <v>817</v>
      </c>
      <c r="J169" t="s">
        <v>787</v>
      </c>
      <c r="K169" t="s">
        <v>787</v>
      </c>
      <c r="L169" t="s">
        <v>1055</v>
      </c>
      <c r="M169" t="s">
        <v>208</v>
      </c>
      <c r="N169" t="s">
        <v>906</v>
      </c>
      <c r="O169" t="s">
        <v>894</v>
      </c>
      <c r="P169" t="s">
        <v>772</v>
      </c>
      <c r="Q169" t="s">
        <v>906</v>
      </c>
      <c r="R169">
        <v>0</v>
      </c>
      <c r="S169">
        <v>0</v>
      </c>
      <c r="T169">
        <v>0</v>
      </c>
      <c r="U169">
        <v>0</v>
      </c>
      <c r="V169">
        <v>0</v>
      </c>
      <c r="W169">
        <v>0</v>
      </c>
      <c r="X169">
        <v>0</v>
      </c>
      <c r="Y169">
        <v>0</v>
      </c>
      <c r="Z169">
        <v>0</v>
      </c>
      <c r="AA169">
        <v>0</v>
      </c>
      <c r="AB169">
        <v>0</v>
      </c>
      <c r="AC169">
        <v>0</v>
      </c>
      <c r="AD169">
        <v>0</v>
      </c>
      <c r="AE169">
        <v>0</v>
      </c>
      <c r="AF169">
        <v>20</v>
      </c>
      <c r="AG169">
        <v>5</v>
      </c>
      <c r="AH169">
        <v>0</v>
      </c>
      <c r="AI169">
        <v>0</v>
      </c>
      <c r="AY169" t="str">
        <f t="shared" si="38"/>
        <v>BIOAMOXI</v>
      </c>
      <c r="AZ169" t="str">
        <f>IF(COUNTIF(AY:AY,AY169)=1,AY169,IF(AND(COUNTIF(AY:AY,AY169)&gt;1,COUNTIF(AZ$2:AZ168,AY169)&gt;=1),"",AY169))</f>
        <v>BIOAMOXI</v>
      </c>
      <c r="BA169">
        <f>IF(AZ169="","",COUNTIFS(AZ$3:AZ$1439,"&lt;"&amp;AZ169,AZ$3:AZ$1439,"&lt;&gt;0")+COUNTIF(AZ$3:AZ169,AZ169)-876)</f>
        <v>73</v>
      </c>
      <c r="BC169">
        <v>167</v>
      </c>
      <c r="BD169" t="str">
        <f t="shared" si="49"/>
        <v>COVUNIL</v>
      </c>
      <c r="BE169" t="str">
        <f t="shared" si="39"/>
        <v>INJ</v>
      </c>
      <c r="BF169" t="str">
        <f t="shared" si="40"/>
        <v>TETRACYCLINES</v>
      </c>
      <c r="BG169" t="str">
        <f t="shared" si="41"/>
        <v/>
      </c>
      <c r="BH169" t="str">
        <f t="shared" si="42"/>
        <v/>
      </c>
      <c r="BI169" t="str">
        <f t="shared" si="43"/>
        <v>oxytetracycline</v>
      </c>
      <c r="BJ169" t="str">
        <f t="shared" si="44"/>
        <v/>
      </c>
      <c r="BK169" t="str">
        <f t="shared" si="45"/>
        <v/>
      </c>
      <c r="BL169" t="str">
        <f t="shared" si="50"/>
        <v>Oxytétracycline</v>
      </c>
      <c r="BM169" t="str">
        <f t="shared" si="46"/>
        <v>Oxytétracycline</v>
      </c>
      <c r="BN169" t="str">
        <f t="shared" si="47"/>
        <v/>
      </c>
      <c r="BO169" t="str">
        <f t="shared" si="48"/>
        <v/>
      </c>
      <c r="BP169" t="str">
        <f t="shared" si="51"/>
        <v>Tetracyclines</v>
      </c>
      <c r="BQ169" t="str">
        <f t="shared" si="52"/>
        <v>Tetracyclines</v>
      </c>
      <c r="BR169" t="str">
        <f t="shared" si="53"/>
        <v/>
      </c>
      <c r="BS169" t="str">
        <f t="shared" si="54"/>
        <v/>
      </c>
      <c r="BT169" s="76" t="str">
        <f t="shared" si="55"/>
        <v>Voie parentérale</v>
      </c>
      <c r="BU169" t="str">
        <f t="shared" si="56"/>
        <v/>
      </c>
      <c r="CN169">
        <v>168</v>
      </c>
    </row>
    <row r="170" spans="1:92" x14ac:dyDescent="0.3">
      <c r="A170" s="118" t="s">
        <v>2813</v>
      </c>
      <c r="B170" t="s">
        <v>2815</v>
      </c>
      <c r="C170" t="s">
        <v>2816</v>
      </c>
      <c r="D170" s="144" t="s">
        <v>902</v>
      </c>
      <c r="E170" t="s">
        <v>830</v>
      </c>
      <c r="F170" t="s">
        <v>70</v>
      </c>
      <c r="G170" t="s">
        <v>831</v>
      </c>
      <c r="H170" t="s">
        <v>2683</v>
      </c>
      <c r="I170" t="s">
        <v>817</v>
      </c>
      <c r="J170" t="s">
        <v>787</v>
      </c>
      <c r="K170" t="s">
        <v>787</v>
      </c>
      <c r="L170" t="s">
        <v>1055</v>
      </c>
      <c r="M170" t="s">
        <v>208</v>
      </c>
      <c r="N170" t="s">
        <v>906</v>
      </c>
      <c r="O170" t="s">
        <v>894</v>
      </c>
      <c r="P170" t="s">
        <v>772</v>
      </c>
      <c r="Q170" t="s">
        <v>829</v>
      </c>
      <c r="R170">
        <v>0</v>
      </c>
      <c r="S170">
        <v>0</v>
      </c>
      <c r="T170">
        <v>0</v>
      </c>
      <c r="U170">
        <v>0</v>
      </c>
      <c r="V170">
        <v>0</v>
      </c>
      <c r="W170">
        <v>0</v>
      </c>
      <c r="X170">
        <v>0</v>
      </c>
      <c r="Y170">
        <v>0</v>
      </c>
      <c r="Z170">
        <v>0</v>
      </c>
      <c r="AA170">
        <v>0</v>
      </c>
      <c r="AB170">
        <v>0</v>
      </c>
      <c r="AC170">
        <v>0</v>
      </c>
      <c r="AD170">
        <v>0</v>
      </c>
      <c r="AE170">
        <v>0</v>
      </c>
      <c r="AF170">
        <v>20</v>
      </c>
      <c r="AG170">
        <v>5</v>
      </c>
      <c r="AH170">
        <v>0</v>
      </c>
      <c r="AI170">
        <v>0</v>
      </c>
      <c r="AY170" t="str">
        <f t="shared" si="38"/>
        <v>BIOAMOXI</v>
      </c>
      <c r="AZ170" t="str">
        <f>IF(COUNTIF(AY:AY,AY170)=1,AY170,IF(AND(COUNTIF(AY:AY,AY170)&gt;1,COUNTIF(AZ$2:AZ169,AY170)&gt;=1),"",AY170))</f>
        <v/>
      </c>
      <c r="BA170" t="str">
        <f>IF(AZ170="","",COUNTIFS(AZ$3:AZ$1439,"&lt;"&amp;AZ170,AZ$3:AZ$1439,"&lt;&gt;0")+COUNTIF(AZ$3:AZ170,AZ170)-876)</f>
        <v/>
      </c>
      <c r="BC170">
        <v>168</v>
      </c>
      <c r="BD170" t="str">
        <f t="shared" si="49"/>
        <v>CRD 92</v>
      </c>
      <c r="BE170" t="str">
        <f t="shared" si="39"/>
        <v>ORAL</v>
      </c>
      <c r="BF170" t="str">
        <f t="shared" si="40"/>
        <v>MACROLIDES</v>
      </c>
      <c r="BG170" t="str">
        <f t="shared" si="41"/>
        <v>TRIMETHOPRIME</v>
      </c>
      <c r="BH170" t="str">
        <f t="shared" si="42"/>
        <v/>
      </c>
      <c r="BI170" t="str">
        <f t="shared" si="43"/>
        <v>spiramycin</v>
      </c>
      <c r="BJ170" t="str">
        <f t="shared" si="44"/>
        <v>trimethoprim</v>
      </c>
      <c r="BK170" t="str">
        <f t="shared" si="45"/>
        <v/>
      </c>
      <c r="BL170" t="str">
        <f t="shared" si="50"/>
        <v>Spiramycine + Triméthoprime</v>
      </c>
      <c r="BM170" t="str">
        <f t="shared" si="46"/>
        <v>Spiramycine</v>
      </c>
      <c r="BN170" t="str">
        <f t="shared" si="47"/>
        <v>Triméthoprime</v>
      </c>
      <c r="BO170" t="str">
        <f t="shared" si="48"/>
        <v/>
      </c>
      <c r="BP170" t="str">
        <f t="shared" si="51"/>
        <v>Macrolides + Trimethoprime</v>
      </c>
      <c r="BQ170" t="str">
        <f t="shared" si="52"/>
        <v>Macrolides</v>
      </c>
      <c r="BR170" t="str">
        <f t="shared" si="53"/>
        <v>Trimethoprime</v>
      </c>
      <c r="BS170" t="str">
        <f t="shared" si="54"/>
        <v/>
      </c>
      <c r="BT170" s="76" t="str">
        <f t="shared" si="55"/>
        <v>Voie orale  hors prémélanges médicamenteux</v>
      </c>
      <c r="BU170" t="str">
        <f t="shared" si="56"/>
        <v/>
      </c>
      <c r="CN170">
        <v>169</v>
      </c>
    </row>
    <row r="171" spans="1:92" x14ac:dyDescent="0.3">
      <c r="A171" s="118" t="s">
        <v>4742</v>
      </c>
      <c r="B171" t="s">
        <v>4743</v>
      </c>
      <c r="C171" t="s">
        <v>3647</v>
      </c>
      <c r="D171" t="s">
        <v>776</v>
      </c>
      <c r="E171" t="s">
        <v>813</v>
      </c>
      <c r="F171" t="s">
        <v>4744</v>
      </c>
      <c r="G171" t="s">
        <v>815</v>
      </c>
      <c r="H171" t="s">
        <v>816</v>
      </c>
      <c r="I171" t="s">
        <v>817</v>
      </c>
      <c r="J171" t="s">
        <v>2070</v>
      </c>
      <c r="K171" t="s">
        <v>787</v>
      </c>
      <c r="L171" t="s">
        <v>1055</v>
      </c>
      <c r="M171" t="s">
        <v>208</v>
      </c>
      <c r="N171" t="s">
        <v>776</v>
      </c>
      <c r="O171" t="s">
        <v>824</v>
      </c>
      <c r="P171" t="s">
        <v>772</v>
      </c>
      <c r="Q171" t="s">
        <v>950</v>
      </c>
      <c r="R171">
        <v>0</v>
      </c>
      <c r="S171">
        <v>0</v>
      </c>
      <c r="T171">
        <v>20</v>
      </c>
      <c r="U171">
        <v>7</v>
      </c>
      <c r="V171">
        <v>0</v>
      </c>
      <c r="W171">
        <v>0</v>
      </c>
      <c r="X171">
        <v>0</v>
      </c>
      <c r="Y171">
        <v>0</v>
      </c>
      <c r="Z171">
        <v>0</v>
      </c>
      <c r="AA171">
        <v>0</v>
      </c>
      <c r="AB171">
        <v>0</v>
      </c>
      <c r="AC171">
        <v>0</v>
      </c>
      <c r="AD171">
        <v>0</v>
      </c>
      <c r="AE171">
        <v>0</v>
      </c>
      <c r="AF171">
        <v>0</v>
      </c>
      <c r="AG171">
        <v>0</v>
      </c>
      <c r="AH171">
        <v>0</v>
      </c>
      <c r="AI171">
        <v>0</v>
      </c>
      <c r="AJ171" t="s">
        <v>2071</v>
      </c>
      <c r="AK171" t="s">
        <v>2072</v>
      </c>
      <c r="AL171" t="s">
        <v>208</v>
      </c>
      <c r="AM171" t="s">
        <v>950</v>
      </c>
      <c r="AN171" t="s">
        <v>824</v>
      </c>
      <c r="AO171" t="s">
        <v>2073</v>
      </c>
      <c r="AP171" t="s">
        <v>2073</v>
      </c>
      <c r="AY171" t="str">
        <f t="shared" si="38"/>
        <v/>
      </c>
      <c r="AZ171" t="str">
        <f>IF(COUNTIF(AY:AY,AY171)=1,AY171,IF(AND(COUNTIF(AY:AY,AY171)&gt;1,COUNTIF(AZ$2:AZ170,AY171)&gt;=1),"",AY171))</f>
        <v/>
      </c>
      <c r="BA171" t="str">
        <f>IF(AZ171="","",COUNTIFS(AZ$3:AZ$1439,"&lt;"&amp;AZ171,AZ$3:AZ$1439,"&lt;&gt;0")+COUNTIF(AZ$3:AZ171,AZ171)-876)</f>
        <v/>
      </c>
      <c r="BC171">
        <v>169</v>
      </c>
      <c r="BD171" t="str">
        <f t="shared" si="49"/>
        <v>CUBARMIX</v>
      </c>
      <c r="BE171" t="str">
        <f t="shared" si="39"/>
        <v>ORAL</v>
      </c>
      <c r="BF171" t="str">
        <f t="shared" si="40"/>
        <v>SULFAMIDES</v>
      </c>
      <c r="BG171" t="str">
        <f t="shared" si="41"/>
        <v>TRIMETHOPRIME</v>
      </c>
      <c r="BH171" t="str">
        <f t="shared" si="42"/>
        <v/>
      </c>
      <c r="BI171" t="str">
        <f t="shared" si="43"/>
        <v>sulfadiazine</v>
      </c>
      <c r="BJ171" t="str">
        <f t="shared" si="44"/>
        <v>trimethoprim</v>
      </c>
      <c r="BK171" t="str">
        <f t="shared" si="45"/>
        <v/>
      </c>
      <c r="BL171" t="str">
        <f t="shared" si="50"/>
        <v>Sulfadiazine + Triméthoprime</v>
      </c>
      <c r="BM171" t="str">
        <f t="shared" si="46"/>
        <v>Sulfadiazine</v>
      </c>
      <c r="BN171" t="str">
        <f t="shared" si="47"/>
        <v>Triméthoprime</v>
      </c>
      <c r="BO171" t="str">
        <f t="shared" si="48"/>
        <v/>
      </c>
      <c r="BP171" t="str">
        <f t="shared" si="51"/>
        <v>Sulfamides + Trimethoprime</v>
      </c>
      <c r="BQ171" t="str">
        <f t="shared" si="52"/>
        <v>Sulfamides</v>
      </c>
      <c r="BR171" t="str">
        <f t="shared" si="53"/>
        <v>Trimethoprime</v>
      </c>
      <c r="BS171" t="str">
        <f t="shared" si="54"/>
        <v/>
      </c>
      <c r="BT171" s="76" t="str">
        <f t="shared" si="55"/>
        <v>Voie orale  hors prémélanges médicamenteux</v>
      </c>
      <c r="BU171" t="str">
        <f t="shared" si="56"/>
        <v/>
      </c>
      <c r="CN171">
        <v>170</v>
      </c>
    </row>
    <row r="172" spans="1:92" x14ac:dyDescent="0.3">
      <c r="A172" s="118" t="s">
        <v>4739</v>
      </c>
      <c r="B172" t="s">
        <v>4740</v>
      </c>
      <c r="C172" t="s">
        <v>3647</v>
      </c>
      <c r="D172" t="s">
        <v>776</v>
      </c>
      <c r="E172" t="s">
        <v>813</v>
      </c>
      <c r="F172" t="s">
        <v>4741</v>
      </c>
      <c r="G172" t="s">
        <v>815</v>
      </c>
      <c r="H172" t="s">
        <v>816</v>
      </c>
      <c r="I172" t="s">
        <v>817</v>
      </c>
      <c r="J172" t="s">
        <v>2070</v>
      </c>
      <c r="K172" t="s">
        <v>787</v>
      </c>
      <c r="L172" t="s">
        <v>1055</v>
      </c>
      <c r="M172" t="s">
        <v>208</v>
      </c>
      <c r="N172" t="s">
        <v>780</v>
      </c>
      <c r="O172" t="s">
        <v>824</v>
      </c>
      <c r="P172" t="s">
        <v>772</v>
      </c>
      <c r="Q172" t="s">
        <v>1072</v>
      </c>
      <c r="R172">
        <v>0</v>
      </c>
      <c r="S172">
        <v>0</v>
      </c>
      <c r="T172">
        <v>20</v>
      </c>
      <c r="U172">
        <v>7</v>
      </c>
      <c r="V172">
        <v>0</v>
      </c>
      <c r="W172">
        <v>0</v>
      </c>
      <c r="X172">
        <v>0</v>
      </c>
      <c r="Y172">
        <v>0</v>
      </c>
      <c r="Z172">
        <v>0</v>
      </c>
      <c r="AA172">
        <v>0</v>
      </c>
      <c r="AB172">
        <v>0</v>
      </c>
      <c r="AC172">
        <v>0</v>
      </c>
      <c r="AD172">
        <v>0</v>
      </c>
      <c r="AE172">
        <v>0</v>
      </c>
      <c r="AF172">
        <v>0</v>
      </c>
      <c r="AG172">
        <v>0</v>
      </c>
      <c r="AH172">
        <v>0</v>
      </c>
      <c r="AI172">
        <v>0</v>
      </c>
      <c r="AJ172" t="s">
        <v>2071</v>
      </c>
      <c r="AK172" t="s">
        <v>2072</v>
      </c>
      <c r="AL172" t="s">
        <v>208</v>
      </c>
      <c r="AM172" t="s">
        <v>1072</v>
      </c>
      <c r="AN172" t="s">
        <v>824</v>
      </c>
      <c r="AO172" t="s">
        <v>2073</v>
      </c>
      <c r="AP172" t="s">
        <v>2073</v>
      </c>
      <c r="AY172" t="str">
        <f t="shared" si="38"/>
        <v/>
      </c>
      <c r="AZ172" t="str">
        <f>IF(COUNTIF(AY:AY,AY172)=1,AY172,IF(AND(COUNTIF(AY:AY,AY172)&gt;1,COUNTIF(AZ$2:AZ171,AY172)&gt;=1),"",AY172))</f>
        <v/>
      </c>
      <c r="BA172" t="str">
        <f>IF(AZ172="","",COUNTIFS(AZ$3:AZ$1439,"&lt;"&amp;AZ172,AZ$3:AZ$1439,"&lt;&gt;0")+COUNTIF(AZ$3:AZ172,AZ172)-876)</f>
        <v/>
      </c>
      <c r="BC172">
        <v>170</v>
      </c>
      <c r="BD172" t="str">
        <f t="shared" si="49"/>
        <v>CUNICOXIL</v>
      </c>
      <c r="BE172" t="str">
        <f t="shared" si="39"/>
        <v>ORAL</v>
      </c>
      <c r="BF172" t="str">
        <f t="shared" si="40"/>
        <v>SULFAMIDES</v>
      </c>
      <c r="BG172" t="str">
        <f t="shared" si="41"/>
        <v/>
      </c>
      <c r="BH172" t="str">
        <f t="shared" si="42"/>
        <v/>
      </c>
      <c r="BI172" t="str">
        <f t="shared" si="43"/>
        <v>sulfadimethoxine</v>
      </c>
      <c r="BJ172" t="str">
        <f t="shared" si="44"/>
        <v/>
      </c>
      <c r="BK172" t="str">
        <f t="shared" si="45"/>
        <v/>
      </c>
      <c r="BL172" t="str">
        <f t="shared" si="50"/>
        <v>Sulfadiméthoxine</v>
      </c>
      <c r="BM172" t="str">
        <f t="shared" si="46"/>
        <v>Sulfadiméthoxine</v>
      </c>
      <c r="BN172" t="str">
        <f t="shared" si="47"/>
        <v/>
      </c>
      <c r="BO172" t="str">
        <f t="shared" si="48"/>
        <v/>
      </c>
      <c r="BP172" t="str">
        <f t="shared" si="51"/>
        <v>Sulfamides</v>
      </c>
      <c r="BQ172" t="str">
        <f t="shared" si="52"/>
        <v>Sulfamides</v>
      </c>
      <c r="BR172" t="str">
        <f t="shared" si="53"/>
        <v/>
      </c>
      <c r="BS172" t="str">
        <f t="shared" si="54"/>
        <v/>
      </c>
      <c r="BT172" s="76" t="str">
        <f t="shared" si="55"/>
        <v>Voie orale  hors prémélanges médicamenteux</v>
      </c>
      <c r="BU172" t="str">
        <f t="shared" si="56"/>
        <v/>
      </c>
      <c r="CN172">
        <v>171</v>
      </c>
    </row>
    <row r="173" spans="1:92" x14ac:dyDescent="0.3">
      <c r="A173" s="118" t="s">
        <v>4745</v>
      </c>
      <c r="B173" t="s">
        <v>4746</v>
      </c>
      <c r="C173" t="s">
        <v>3647</v>
      </c>
      <c r="D173" t="s">
        <v>776</v>
      </c>
      <c r="E173" t="s">
        <v>813</v>
      </c>
      <c r="F173" t="s">
        <v>4747</v>
      </c>
      <c r="G173" t="s">
        <v>815</v>
      </c>
      <c r="H173" t="s">
        <v>860</v>
      </c>
      <c r="I173" t="s">
        <v>817</v>
      </c>
      <c r="J173" t="s">
        <v>2070</v>
      </c>
      <c r="K173" t="s">
        <v>787</v>
      </c>
      <c r="L173" t="s">
        <v>1055</v>
      </c>
      <c r="M173" t="s">
        <v>208</v>
      </c>
      <c r="N173" t="s">
        <v>906</v>
      </c>
      <c r="O173" t="s">
        <v>824</v>
      </c>
      <c r="P173" t="s">
        <v>772</v>
      </c>
      <c r="Q173" t="s">
        <v>1125</v>
      </c>
      <c r="R173">
        <v>0</v>
      </c>
      <c r="S173">
        <v>0</v>
      </c>
      <c r="T173">
        <v>20</v>
      </c>
      <c r="U173">
        <v>7</v>
      </c>
      <c r="V173">
        <v>0</v>
      </c>
      <c r="W173">
        <v>0</v>
      </c>
      <c r="X173">
        <v>0</v>
      </c>
      <c r="Y173">
        <v>0</v>
      </c>
      <c r="Z173">
        <v>0</v>
      </c>
      <c r="AA173">
        <v>0</v>
      </c>
      <c r="AB173">
        <v>0</v>
      </c>
      <c r="AC173">
        <v>0</v>
      </c>
      <c r="AD173">
        <v>0</v>
      </c>
      <c r="AE173">
        <v>0</v>
      </c>
      <c r="AF173">
        <v>0</v>
      </c>
      <c r="AG173">
        <v>0</v>
      </c>
      <c r="AH173">
        <v>0</v>
      </c>
      <c r="AI173">
        <v>0</v>
      </c>
      <c r="AJ173" t="s">
        <v>2071</v>
      </c>
      <c r="AK173" t="s">
        <v>2072</v>
      </c>
      <c r="AL173" t="s">
        <v>208</v>
      </c>
      <c r="AM173" t="s">
        <v>1125</v>
      </c>
      <c r="AN173" t="s">
        <v>824</v>
      </c>
      <c r="AO173" t="s">
        <v>2073</v>
      </c>
      <c r="AP173" t="s">
        <v>2073</v>
      </c>
      <c r="AY173" t="str">
        <f t="shared" si="38"/>
        <v/>
      </c>
      <c r="AZ173" t="str">
        <f>IF(COUNTIF(AY:AY,AY173)=1,AY173,IF(AND(COUNTIF(AY:AY,AY173)&gt;1,COUNTIF(AZ$2:AZ172,AY173)&gt;=1),"",AY173))</f>
        <v/>
      </c>
      <c r="BA173" t="str">
        <f>IF(AZ173="","",COUNTIFS(AZ$3:AZ$1439,"&lt;"&amp;AZ173,AZ$3:AZ$1439,"&lt;&gt;0")+COUNTIF(AZ$3:AZ173,AZ173)-876)</f>
        <v/>
      </c>
      <c r="BC173">
        <v>171</v>
      </c>
      <c r="BD173" t="str">
        <f t="shared" si="49"/>
        <v>CYCLO SPRAY</v>
      </c>
      <c r="BE173" t="str">
        <f t="shared" si="39"/>
        <v>EXTERNE</v>
      </c>
      <c r="BF173" t="str">
        <f t="shared" si="40"/>
        <v>TETRACYCLINES</v>
      </c>
      <c r="BG173" t="str">
        <f t="shared" si="41"/>
        <v/>
      </c>
      <c r="BH173" t="str">
        <f t="shared" si="42"/>
        <v/>
      </c>
      <c r="BI173" t="str">
        <f t="shared" si="43"/>
        <v>chlortetracycline</v>
      </c>
      <c r="BJ173" t="str">
        <f t="shared" si="44"/>
        <v/>
      </c>
      <c r="BK173" t="str">
        <f t="shared" si="45"/>
        <v/>
      </c>
      <c r="BL173" t="str">
        <f t="shared" si="50"/>
        <v>Chlortétracycline</v>
      </c>
      <c r="BM173" t="str">
        <f t="shared" si="46"/>
        <v>Chlortétracycline</v>
      </c>
      <c r="BN173" t="str">
        <f t="shared" si="47"/>
        <v/>
      </c>
      <c r="BO173" t="str">
        <f t="shared" si="48"/>
        <v/>
      </c>
      <c r="BP173" t="str">
        <f t="shared" si="51"/>
        <v>Tetracyclines</v>
      </c>
      <c r="BQ173" t="str">
        <f t="shared" si="52"/>
        <v>Tetracyclines</v>
      </c>
      <c r="BR173" t="str">
        <f t="shared" si="53"/>
        <v/>
      </c>
      <c r="BS173" t="str">
        <f t="shared" si="54"/>
        <v/>
      </c>
      <c r="BT173" s="76" t="str">
        <f t="shared" si="55"/>
        <v>Voie externe</v>
      </c>
      <c r="BU173" t="str">
        <f t="shared" si="56"/>
        <v/>
      </c>
      <c r="CN173">
        <v>172</v>
      </c>
    </row>
    <row r="174" spans="1:92" x14ac:dyDescent="0.3">
      <c r="A174" s="118" t="s">
        <v>1783</v>
      </c>
      <c r="B174" t="s">
        <v>1784</v>
      </c>
      <c r="C174" t="s">
        <v>1720</v>
      </c>
      <c r="D174" s="144" t="s">
        <v>764</v>
      </c>
      <c r="E174" t="s">
        <v>830</v>
      </c>
      <c r="F174" t="s">
        <v>71</v>
      </c>
      <c r="G174" t="s">
        <v>831</v>
      </c>
      <c r="H174" t="s">
        <v>169</v>
      </c>
      <c r="I174" t="s">
        <v>817</v>
      </c>
      <c r="J174" t="s">
        <v>914</v>
      </c>
      <c r="K174" t="s">
        <v>914</v>
      </c>
      <c r="L174" t="s">
        <v>995</v>
      </c>
      <c r="M174" t="s">
        <v>996</v>
      </c>
      <c r="N174" t="s">
        <v>1063</v>
      </c>
      <c r="O174" t="s">
        <v>834</v>
      </c>
      <c r="P174" t="s">
        <v>4371</v>
      </c>
      <c r="Q174" t="s">
        <v>4425</v>
      </c>
      <c r="R174">
        <v>5</v>
      </c>
      <c r="S174">
        <v>2</v>
      </c>
      <c r="T174">
        <v>0</v>
      </c>
      <c r="U174">
        <v>0</v>
      </c>
      <c r="V174">
        <v>0</v>
      </c>
      <c r="W174">
        <v>0</v>
      </c>
      <c r="X174">
        <v>0</v>
      </c>
      <c r="Y174">
        <v>0</v>
      </c>
      <c r="Z174">
        <v>0</v>
      </c>
      <c r="AA174">
        <v>0</v>
      </c>
      <c r="AB174">
        <v>5</v>
      </c>
      <c r="AC174">
        <v>3</v>
      </c>
      <c r="AD174">
        <v>5</v>
      </c>
      <c r="AE174">
        <v>3</v>
      </c>
      <c r="AF174">
        <v>3.75</v>
      </c>
      <c r="AG174">
        <v>3</v>
      </c>
      <c r="AH174">
        <v>0</v>
      </c>
      <c r="AI174">
        <v>0</v>
      </c>
      <c r="AY174" t="str">
        <f t="shared" si="38"/>
        <v>BIOREPAS</v>
      </c>
      <c r="AZ174" t="str">
        <f>IF(COUNTIF(AY:AY,AY174)=1,AY174,IF(AND(COUNTIF(AY:AY,AY174)&gt;1,COUNTIF(AZ$2:AZ173,AY174)&gt;=1),"",AY174))</f>
        <v>BIOREPAS</v>
      </c>
      <c r="BA174">
        <f>IF(AZ174="","",COUNTIFS(AZ$3:AZ$1439,"&lt;"&amp;AZ174,AZ$3:AZ$1439,"&lt;&gt;0")+COUNTIF(AZ$3:AZ174,AZ174)-876)</f>
        <v>74</v>
      </c>
      <c r="BC174">
        <v>172</v>
      </c>
      <c r="BD174" t="str">
        <f t="shared" si="49"/>
        <v>CYCLOSOL 200 LA</v>
      </c>
      <c r="BE174" t="str">
        <f t="shared" si="39"/>
        <v>INJ</v>
      </c>
      <c r="BF174" t="str">
        <f t="shared" si="40"/>
        <v>TETRACYCLINES</v>
      </c>
      <c r="BG174" t="str">
        <f t="shared" si="41"/>
        <v/>
      </c>
      <c r="BH174" t="str">
        <f t="shared" si="42"/>
        <v/>
      </c>
      <c r="BI174" t="str">
        <f t="shared" si="43"/>
        <v>oxytetracycline</v>
      </c>
      <c r="BJ174" t="str">
        <f t="shared" si="44"/>
        <v/>
      </c>
      <c r="BK174" t="str">
        <f t="shared" si="45"/>
        <v/>
      </c>
      <c r="BL174" t="str">
        <f t="shared" si="50"/>
        <v>Oxytétracycline</v>
      </c>
      <c r="BM174" t="str">
        <f t="shared" si="46"/>
        <v>Oxytétracycline</v>
      </c>
      <c r="BN174" t="str">
        <f t="shared" si="47"/>
        <v/>
      </c>
      <c r="BO174" t="str">
        <f t="shared" si="48"/>
        <v/>
      </c>
      <c r="BP174" t="str">
        <f t="shared" si="51"/>
        <v>Tetracyclines</v>
      </c>
      <c r="BQ174" t="str">
        <f t="shared" si="52"/>
        <v>Tetracyclines</v>
      </c>
      <c r="BR174" t="str">
        <f t="shared" si="53"/>
        <v/>
      </c>
      <c r="BS174" t="str">
        <f t="shared" si="54"/>
        <v/>
      </c>
      <c r="BT174" s="76" t="str">
        <f t="shared" si="55"/>
        <v>Voie parentérale</v>
      </c>
      <c r="BU174" t="str">
        <f t="shared" si="56"/>
        <v/>
      </c>
      <c r="CN174">
        <v>173</v>
      </c>
    </row>
    <row r="175" spans="1:92" x14ac:dyDescent="0.3">
      <c r="A175" s="118" t="s">
        <v>4670</v>
      </c>
      <c r="B175" t="s">
        <v>4671</v>
      </c>
      <c r="C175" t="s">
        <v>1062</v>
      </c>
      <c r="D175" t="s">
        <v>1063</v>
      </c>
      <c r="E175" t="s">
        <v>830</v>
      </c>
      <c r="F175" t="s">
        <v>4672</v>
      </c>
      <c r="G175" t="s">
        <v>1064</v>
      </c>
      <c r="H175" t="s">
        <v>1959</v>
      </c>
      <c r="I175" t="s">
        <v>1066</v>
      </c>
      <c r="J175" t="s">
        <v>2081</v>
      </c>
      <c r="K175" t="s">
        <v>2081</v>
      </c>
      <c r="L175" t="s">
        <v>4337</v>
      </c>
      <c r="M175" t="s">
        <v>208</v>
      </c>
      <c r="N175" t="s">
        <v>764</v>
      </c>
      <c r="O175" t="s">
        <v>894</v>
      </c>
      <c r="P175" t="s">
        <v>772</v>
      </c>
      <c r="Q175" t="s">
        <v>966</v>
      </c>
      <c r="R175">
        <v>0</v>
      </c>
      <c r="S175">
        <v>0</v>
      </c>
      <c r="T175">
        <v>0</v>
      </c>
      <c r="U175">
        <v>0</v>
      </c>
      <c r="V175">
        <v>0</v>
      </c>
      <c r="W175">
        <v>0</v>
      </c>
      <c r="X175">
        <v>0</v>
      </c>
      <c r="Y175">
        <v>0</v>
      </c>
      <c r="Z175">
        <v>3</v>
      </c>
      <c r="AA175">
        <v>21</v>
      </c>
      <c r="AB175">
        <v>0</v>
      </c>
      <c r="AC175">
        <v>0</v>
      </c>
      <c r="AD175">
        <v>12</v>
      </c>
      <c r="AE175">
        <v>21</v>
      </c>
      <c r="AF175">
        <v>0</v>
      </c>
      <c r="AG175">
        <v>0</v>
      </c>
      <c r="AH175">
        <v>0</v>
      </c>
      <c r="AI175">
        <v>0</v>
      </c>
      <c r="AY175" t="str">
        <f t="shared" si="38"/>
        <v>BIOTILINA 100 MG/G PREMELANGE MEDICAMENTEUX POUR PORCINS ET LAPINS</v>
      </c>
      <c r="AZ175" t="str">
        <f>IF(COUNTIF(AY:AY,AY175)=1,AY175,IF(AND(COUNTIF(AY:AY,AY175)&gt;1,COUNTIF(AZ$2:AZ174,AY175)&gt;=1),"",AY175))</f>
        <v>BIOTILINA 100 MG/G PREMELANGE MEDICAMENTEUX POUR PORCINS ET LAPINS</v>
      </c>
      <c r="BA175">
        <f>IF(AZ175="","",COUNTIFS(AZ$3:AZ$1439,"&lt;"&amp;AZ175,AZ$3:AZ$1439,"&lt;&gt;0")+COUNTIF(AZ$3:AZ175,AZ175)-876)</f>
        <v>75</v>
      </c>
      <c r="BC175">
        <v>173</v>
      </c>
      <c r="BD175" t="str">
        <f t="shared" si="49"/>
        <v>DENAGARD INJECTABLE 162,2</v>
      </c>
      <c r="BE175" t="str">
        <f t="shared" si="39"/>
        <v>INJ</v>
      </c>
      <c r="BF175" t="str">
        <f t="shared" si="40"/>
        <v>PLEUROMUTILINES</v>
      </c>
      <c r="BG175" t="str">
        <f t="shared" si="41"/>
        <v/>
      </c>
      <c r="BH175" t="str">
        <f t="shared" si="42"/>
        <v/>
      </c>
      <c r="BI175" t="str">
        <f t="shared" si="43"/>
        <v>tiamulin</v>
      </c>
      <c r="BJ175" t="str">
        <f t="shared" si="44"/>
        <v/>
      </c>
      <c r="BK175" t="str">
        <f t="shared" si="45"/>
        <v/>
      </c>
      <c r="BL175" t="str">
        <f t="shared" si="50"/>
        <v>Tiamuline</v>
      </c>
      <c r="BM175" t="str">
        <f t="shared" si="46"/>
        <v>Tiamuline</v>
      </c>
      <c r="BN175" t="str">
        <f t="shared" si="47"/>
        <v/>
      </c>
      <c r="BO175" t="str">
        <f t="shared" si="48"/>
        <v/>
      </c>
      <c r="BP175" t="str">
        <f t="shared" si="51"/>
        <v>Pleuromutilines</v>
      </c>
      <c r="BQ175" t="str">
        <f t="shared" si="52"/>
        <v>Pleuromutilines</v>
      </c>
      <c r="BR175" t="str">
        <f t="shared" si="53"/>
        <v/>
      </c>
      <c r="BS175" t="str">
        <f t="shared" si="54"/>
        <v/>
      </c>
      <c r="BT175" s="76" t="str">
        <f t="shared" si="55"/>
        <v>Voie parentérale</v>
      </c>
      <c r="BU175" t="str">
        <f t="shared" si="56"/>
        <v/>
      </c>
      <c r="CN175">
        <v>174</v>
      </c>
    </row>
    <row r="176" spans="1:92" x14ac:dyDescent="0.3">
      <c r="A176" s="118" t="s">
        <v>2820</v>
      </c>
      <c r="B176" t="s">
        <v>208</v>
      </c>
      <c r="C176" t="s">
        <v>2821</v>
      </c>
      <c r="D176" s="144" t="s">
        <v>829</v>
      </c>
      <c r="E176" t="s">
        <v>830</v>
      </c>
      <c r="F176" t="s">
        <v>609</v>
      </c>
      <c r="G176" t="s">
        <v>831</v>
      </c>
      <c r="H176" t="s">
        <v>832</v>
      </c>
      <c r="I176" t="s">
        <v>817</v>
      </c>
      <c r="J176" t="s">
        <v>787</v>
      </c>
      <c r="K176" t="s">
        <v>787</v>
      </c>
      <c r="L176" t="s">
        <v>1055</v>
      </c>
      <c r="M176" t="s">
        <v>208</v>
      </c>
      <c r="N176" t="s">
        <v>764</v>
      </c>
      <c r="O176" t="s">
        <v>894</v>
      </c>
      <c r="P176" t="s">
        <v>772</v>
      </c>
      <c r="Q176" t="s">
        <v>764</v>
      </c>
      <c r="R176">
        <v>10</v>
      </c>
      <c r="S176">
        <v>5</v>
      </c>
      <c r="T176">
        <v>0</v>
      </c>
      <c r="U176">
        <v>0</v>
      </c>
      <c r="V176">
        <v>0</v>
      </c>
      <c r="W176">
        <v>0</v>
      </c>
      <c r="X176">
        <v>0</v>
      </c>
      <c r="Y176">
        <v>0</v>
      </c>
      <c r="Z176">
        <v>0</v>
      </c>
      <c r="AA176">
        <v>0</v>
      </c>
      <c r="AB176">
        <v>0</v>
      </c>
      <c r="AC176">
        <v>0</v>
      </c>
      <c r="AD176">
        <v>10</v>
      </c>
      <c r="AE176">
        <v>5</v>
      </c>
      <c r="AF176">
        <v>10</v>
      </c>
      <c r="AG176">
        <v>5</v>
      </c>
      <c r="AH176">
        <v>0</v>
      </c>
      <c r="AI176">
        <v>0</v>
      </c>
      <c r="AY176" t="str">
        <f t="shared" si="38"/>
        <v>BIOTORNIS</v>
      </c>
      <c r="AZ176" t="str">
        <f>IF(COUNTIF(AY:AY,AY176)=1,AY176,IF(AND(COUNTIF(AY:AY,AY176)&gt;1,COUNTIF(AZ$2:AZ175,AY176)&gt;=1),"",AY176))</f>
        <v>BIOTORNIS</v>
      </c>
      <c r="BA176">
        <f>IF(AZ176="","",COUNTIFS(AZ$3:AZ$1439,"&lt;"&amp;AZ176,AZ$3:AZ$1439,"&lt;&gt;0")+COUNTIF(AZ$3:AZ176,AZ176)-876)</f>
        <v>76</v>
      </c>
      <c r="BC176">
        <v>174</v>
      </c>
      <c r="BD176" t="str">
        <f t="shared" si="49"/>
        <v>DENAGARD SOLUTION BUVABLE</v>
      </c>
      <c r="BE176" t="str">
        <f t="shared" si="39"/>
        <v>ORAL</v>
      </c>
      <c r="BF176" t="str">
        <f t="shared" si="40"/>
        <v>PLEUROMUTILINES</v>
      </c>
      <c r="BG176" t="str">
        <f t="shared" si="41"/>
        <v/>
      </c>
      <c r="BH176" t="str">
        <f t="shared" si="42"/>
        <v/>
      </c>
      <c r="BI176" t="str">
        <f t="shared" si="43"/>
        <v>tiamulin</v>
      </c>
      <c r="BJ176" t="str">
        <f t="shared" si="44"/>
        <v/>
      </c>
      <c r="BK176" t="str">
        <f t="shared" si="45"/>
        <v/>
      </c>
      <c r="BL176" t="str">
        <f t="shared" si="50"/>
        <v>Tiamuline</v>
      </c>
      <c r="BM176" t="str">
        <f t="shared" si="46"/>
        <v>Tiamuline</v>
      </c>
      <c r="BN176" t="str">
        <f t="shared" si="47"/>
        <v/>
      </c>
      <c r="BO176" t="str">
        <f t="shared" si="48"/>
        <v/>
      </c>
      <c r="BP176" t="str">
        <f t="shared" si="51"/>
        <v>Pleuromutilines</v>
      </c>
      <c r="BQ176" t="str">
        <f t="shared" si="52"/>
        <v>Pleuromutilines</v>
      </c>
      <c r="BR176" t="str">
        <f t="shared" si="53"/>
        <v/>
      </c>
      <c r="BS176" t="str">
        <f t="shared" si="54"/>
        <v/>
      </c>
      <c r="BT176" s="76" t="str">
        <f t="shared" si="55"/>
        <v>Voie orale  hors prémélanges médicamenteux</v>
      </c>
      <c r="BU176" t="str">
        <f t="shared" si="56"/>
        <v/>
      </c>
      <c r="CN176">
        <v>175</v>
      </c>
    </row>
    <row r="177" spans="1:92" x14ac:dyDescent="0.3">
      <c r="A177" s="118" t="s">
        <v>2820</v>
      </c>
      <c r="B177" t="s">
        <v>2822</v>
      </c>
      <c r="C177" t="s">
        <v>1720</v>
      </c>
      <c r="D177" s="144" t="s">
        <v>764</v>
      </c>
      <c r="E177" t="s">
        <v>830</v>
      </c>
      <c r="F177" t="s">
        <v>609</v>
      </c>
      <c r="G177" t="s">
        <v>831</v>
      </c>
      <c r="H177" t="s">
        <v>832</v>
      </c>
      <c r="I177" t="s">
        <v>817</v>
      </c>
      <c r="J177" t="s">
        <v>787</v>
      </c>
      <c r="K177" t="s">
        <v>787</v>
      </c>
      <c r="L177" t="s">
        <v>1055</v>
      </c>
      <c r="M177" t="s">
        <v>208</v>
      </c>
      <c r="N177" t="s">
        <v>764</v>
      </c>
      <c r="O177" t="s">
        <v>894</v>
      </c>
      <c r="P177" t="s">
        <v>772</v>
      </c>
      <c r="Q177" t="s">
        <v>852</v>
      </c>
      <c r="R177">
        <v>10</v>
      </c>
      <c r="S177">
        <v>5</v>
      </c>
      <c r="T177">
        <v>0</v>
      </c>
      <c r="U177">
        <v>0</v>
      </c>
      <c r="V177">
        <v>0</v>
      </c>
      <c r="W177">
        <v>0</v>
      </c>
      <c r="X177">
        <v>0</v>
      </c>
      <c r="Y177">
        <v>0</v>
      </c>
      <c r="Z177">
        <v>0</v>
      </c>
      <c r="AA177">
        <v>0</v>
      </c>
      <c r="AB177">
        <v>0</v>
      </c>
      <c r="AC177">
        <v>0</v>
      </c>
      <c r="AD177">
        <v>10</v>
      </c>
      <c r="AE177">
        <v>5</v>
      </c>
      <c r="AF177">
        <v>10</v>
      </c>
      <c r="AG177">
        <v>5</v>
      </c>
      <c r="AH177">
        <v>0</v>
      </c>
      <c r="AI177">
        <v>0</v>
      </c>
      <c r="AY177" t="str">
        <f t="shared" si="38"/>
        <v>BIOTORNIS</v>
      </c>
      <c r="AZ177" t="str">
        <f>IF(COUNTIF(AY:AY,AY177)=1,AY177,IF(AND(COUNTIF(AY:AY,AY177)&gt;1,COUNTIF(AZ$2:AZ176,AY177)&gt;=1),"",AY177))</f>
        <v/>
      </c>
      <c r="BA177" t="str">
        <f>IF(AZ177="","",COUNTIFS(AZ$3:AZ$1439,"&lt;"&amp;AZ177,AZ$3:AZ$1439,"&lt;&gt;0")+COUNTIF(AZ$3:AZ177,AZ177)-876)</f>
        <v/>
      </c>
      <c r="BC177">
        <v>175</v>
      </c>
      <c r="BD177" t="str">
        <f t="shared" si="49"/>
        <v>DEPOCILLINE</v>
      </c>
      <c r="BE177" t="str">
        <f t="shared" si="39"/>
        <v>INJ</v>
      </c>
      <c r="BF177" t="str">
        <f t="shared" si="40"/>
        <v>PENICILLINES</v>
      </c>
      <c r="BG177" t="str">
        <f t="shared" si="41"/>
        <v/>
      </c>
      <c r="BH177" t="str">
        <f t="shared" si="42"/>
        <v/>
      </c>
      <c r="BI177" t="str">
        <f t="shared" si="43"/>
        <v>benzylpenicillin</v>
      </c>
      <c r="BJ177" t="str">
        <f t="shared" si="44"/>
        <v/>
      </c>
      <c r="BK177" t="str">
        <f t="shared" si="45"/>
        <v/>
      </c>
      <c r="BL177" t="str">
        <f t="shared" si="50"/>
        <v>Benzylpénicilline</v>
      </c>
      <c r="BM177" t="str">
        <f t="shared" si="46"/>
        <v>Benzylpénicilline</v>
      </c>
      <c r="BN177" t="str">
        <f t="shared" si="47"/>
        <v/>
      </c>
      <c r="BO177" t="str">
        <f t="shared" si="48"/>
        <v/>
      </c>
      <c r="BP177" t="str">
        <f t="shared" si="51"/>
        <v>Penicillines</v>
      </c>
      <c r="BQ177" t="str">
        <f t="shared" si="52"/>
        <v>Penicillines</v>
      </c>
      <c r="BR177" t="str">
        <f t="shared" si="53"/>
        <v/>
      </c>
      <c r="BS177" t="str">
        <f t="shared" si="54"/>
        <v/>
      </c>
      <c r="BT177" s="76" t="str">
        <f t="shared" si="55"/>
        <v>Voie parentérale</v>
      </c>
      <c r="BU177" t="str">
        <f t="shared" si="56"/>
        <v/>
      </c>
      <c r="CN177">
        <v>176</v>
      </c>
    </row>
    <row r="178" spans="1:92" x14ac:dyDescent="0.3">
      <c r="A178" s="118" t="s">
        <v>1744</v>
      </c>
      <c r="B178" t="s">
        <v>1745</v>
      </c>
      <c r="C178" t="s">
        <v>1238</v>
      </c>
      <c r="D178" s="144" t="s">
        <v>780</v>
      </c>
      <c r="E178" t="s">
        <v>765</v>
      </c>
      <c r="F178" t="s">
        <v>260</v>
      </c>
      <c r="G178" t="s">
        <v>766</v>
      </c>
      <c r="H178" t="s">
        <v>1962</v>
      </c>
      <c r="I178" t="s">
        <v>766</v>
      </c>
      <c r="J178" t="s">
        <v>928</v>
      </c>
      <c r="K178" t="s">
        <v>862</v>
      </c>
      <c r="L178" t="s">
        <v>929</v>
      </c>
      <c r="M178" t="s">
        <v>208</v>
      </c>
      <c r="N178" t="s">
        <v>864</v>
      </c>
      <c r="O178" t="s">
        <v>771</v>
      </c>
      <c r="P178" t="s">
        <v>772</v>
      </c>
      <c r="Q178" t="s">
        <v>852</v>
      </c>
      <c r="R178">
        <v>13.4</v>
      </c>
      <c r="S178">
        <v>5</v>
      </c>
      <c r="T178">
        <v>0</v>
      </c>
      <c r="U178">
        <v>0</v>
      </c>
      <c r="V178">
        <v>13.4</v>
      </c>
      <c r="W178">
        <v>5</v>
      </c>
      <c r="X178">
        <v>0</v>
      </c>
      <c r="Y178">
        <v>0</v>
      </c>
      <c r="Z178">
        <v>0</v>
      </c>
      <c r="AA178">
        <v>0</v>
      </c>
      <c r="AB178">
        <v>13.4</v>
      </c>
      <c r="AC178">
        <v>5</v>
      </c>
      <c r="AD178">
        <v>13.4</v>
      </c>
      <c r="AE178">
        <v>5</v>
      </c>
      <c r="AF178">
        <v>0</v>
      </c>
      <c r="AG178">
        <v>0</v>
      </c>
      <c r="AH178">
        <v>0</v>
      </c>
      <c r="AI178">
        <v>0</v>
      </c>
      <c r="AJ178" t="s">
        <v>930</v>
      </c>
      <c r="AK178" t="s">
        <v>931</v>
      </c>
      <c r="AL178" t="s">
        <v>208</v>
      </c>
      <c r="AM178" t="s">
        <v>932</v>
      </c>
      <c r="AN178" t="s">
        <v>771</v>
      </c>
      <c r="AO178" t="s">
        <v>772</v>
      </c>
      <c r="AP178" t="s">
        <v>1033</v>
      </c>
      <c r="AY178" t="str">
        <f t="shared" si="38"/>
        <v>BORGAL 24 %</v>
      </c>
      <c r="AZ178" t="str">
        <f>IF(COUNTIF(AY:AY,AY178)=1,AY178,IF(AND(COUNTIF(AY:AY,AY178)&gt;1,COUNTIF(AZ$2:AZ177,AY178)&gt;=1),"",AY178))</f>
        <v>BORGAL 24 %</v>
      </c>
      <c r="BA178">
        <f>IF(AZ178="","",COUNTIFS(AZ$3:AZ$1439,"&lt;"&amp;AZ178,AZ$3:AZ$1439,"&lt;&gt;0")+COUNTIF(AZ$3:AZ178,AZ178)-876)</f>
        <v>77</v>
      </c>
      <c r="BC178">
        <v>176</v>
      </c>
      <c r="BD178" t="str">
        <f t="shared" si="49"/>
        <v>DFV DOXIVET 200 MG/ML SOLUTION POUR ADMINISTRATION DANS L'EAU DE BOISSON POUR PORCS ET POULETS</v>
      </c>
      <c r="BE178" t="str">
        <f t="shared" si="39"/>
        <v>ORAL</v>
      </c>
      <c r="BF178" t="str">
        <f t="shared" si="40"/>
        <v>TETRACYCLINES</v>
      </c>
      <c r="BG178" t="str">
        <f t="shared" si="41"/>
        <v/>
      </c>
      <c r="BH178" t="str">
        <f t="shared" si="42"/>
        <v/>
      </c>
      <c r="BI178" t="str">
        <f t="shared" si="43"/>
        <v>doxycycline</v>
      </c>
      <c r="BJ178" t="str">
        <f t="shared" si="44"/>
        <v/>
      </c>
      <c r="BK178" t="str">
        <f t="shared" si="45"/>
        <v/>
      </c>
      <c r="BL178" t="str">
        <f t="shared" si="50"/>
        <v>Doxycycline</v>
      </c>
      <c r="BM178" t="str">
        <f t="shared" si="46"/>
        <v>Doxycycline</v>
      </c>
      <c r="BN178" t="str">
        <f t="shared" si="47"/>
        <v/>
      </c>
      <c r="BO178" t="str">
        <f t="shared" si="48"/>
        <v/>
      </c>
      <c r="BP178" t="str">
        <f t="shared" si="51"/>
        <v>Tetracyclines</v>
      </c>
      <c r="BQ178" t="str">
        <f t="shared" si="52"/>
        <v>Tetracyclines</v>
      </c>
      <c r="BR178" t="str">
        <f t="shared" si="53"/>
        <v/>
      </c>
      <c r="BS178" t="str">
        <f t="shared" si="54"/>
        <v/>
      </c>
      <c r="BT178" s="76" t="str">
        <f t="shared" si="55"/>
        <v>Voie orale  hors prémélanges médicamenteux</v>
      </c>
      <c r="BU178" t="str">
        <f t="shared" si="56"/>
        <v/>
      </c>
      <c r="CN178">
        <v>177</v>
      </c>
    </row>
    <row r="179" spans="1:92" x14ac:dyDescent="0.3">
      <c r="A179" s="118" t="s">
        <v>1744</v>
      </c>
      <c r="B179" t="s">
        <v>1746</v>
      </c>
      <c r="C179" t="s">
        <v>792</v>
      </c>
      <c r="D179" s="144" t="s">
        <v>764</v>
      </c>
      <c r="E179" t="s">
        <v>765</v>
      </c>
      <c r="F179" t="s">
        <v>260</v>
      </c>
      <c r="G179" t="s">
        <v>766</v>
      </c>
      <c r="H179" t="s">
        <v>1962</v>
      </c>
      <c r="I179" t="s">
        <v>766</v>
      </c>
      <c r="J179" t="s">
        <v>928</v>
      </c>
      <c r="K179" t="s">
        <v>862</v>
      </c>
      <c r="L179" t="s">
        <v>929</v>
      </c>
      <c r="M179" t="s">
        <v>208</v>
      </c>
      <c r="N179" t="s">
        <v>864</v>
      </c>
      <c r="O179" t="s">
        <v>771</v>
      </c>
      <c r="P179" t="s">
        <v>772</v>
      </c>
      <c r="Q179" t="s">
        <v>869</v>
      </c>
      <c r="R179">
        <v>13.4</v>
      </c>
      <c r="S179">
        <v>5</v>
      </c>
      <c r="T179">
        <v>0</v>
      </c>
      <c r="U179">
        <v>0</v>
      </c>
      <c r="V179">
        <v>13.4</v>
      </c>
      <c r="W179">
        <v>5</v>
      </c>
      <c r="X179">
        <v>0</v>
      </c>
      <c r="Y179">
        <v>0</v>
      </c>
      <c r="Z179">
        <v>0</v>
      </c>
      <c r="AA179">
        <v>0</v>
      </c>
      <c r="AB179">
        <v>13.4</v>
      </c>
      <c r="AC179">
        <v>5</v>
      </c>
      <c r="AD179">
        <v>13.4</v>
      </c>
      <c r="AE179">
        <v>5</v>
      </c>
      <c r="AF179">
        <v>0</v>
      </c>
      <c r="AG179">
        <v>0</v>
      </c>
      <c r="AH179">
        <v>0</v>
      </c>
      <c r="AI179">
        <v>0</v>
      </c>
      <c r="AJ179" t="s">
        <v>930</v>
      </c>
      <c r="AK179" t="s">
        <v>931</v>
      </c>
      <c r="AL179" t="s">
        <v>208</v>
      </c>
      <c r="AM179" t="s">
        <v>932</v>
      </c>
      <c r="AN179" t="s">
        <v>771</v>
      </c>
      <c r="AO179" t="s">
        <v>772</v>
      </c>
      <c r="AP179" t="s">
        <v>934</v>
      </c>
      <c r="AY179" t="str">
        <f t="shared" si="38"/>
        <v>BORGAL 24 %</v>
      </c>
      <c r="AZ179" t="str">
        <f>IF(COUNTIF(AY:AY,AY179)=1,AY179,IF(AND(COUNTIF(AY:AY,AY179)&gt;1,COUNTIF(AZ$2:AZ178,AY179)&gt;=1),"",AY179))</f>
        <v/>
      </c>
      <c r="BA179" t="str">
        <f>IF(AZ179="","",COUNTIFS(AZ$3:AZ$1439,"&lt;"&amp;AZ179,AZ$3:AZ$1439,"&lt;&gt;0")+COUNTIF(AZ$3:AZ179,AZ179)-876)</f>
        <v/>
      </c>
      <c r="BC179">
        <v>177</v>
      </c>
      <c r="BD179" t="str">
        <f t="shared" si="49"/>
        <v>DHS 50 COOPHAVET</v>
      </c>
      <c r="BE179" t="str">
        <f t="shared" si="39"/>
        <v>ORAL</v>
      </c>
      <c r="BF179" t="str">
        <f t="shared" si="40"/>
        <v>AMINOGLYCOSIDES</v>
      </c>
      <c r="BG179" t="str">
        <f t="shared" si="41"/>
        <v/>
      </c>
      <c r="BH179" t="str">
        <f t="shared" si="42"/>
        <v/>
      </c>
      <c r="BI179" t="str">
        <f t="shared" si="43"/>
        <v>dihydrostreptomycin</v>
      </c>
      <c r="BJ179" t="str">
        <f t="shared" si="44"/>
        <v/>
      </c>
      <c r="BK179" t="str">
        <f t="shared" si="45"/>
        <v/>
      </c>
      <c r="BL179" t="str">
        <f t="shared" si="50"/>
        <v>Dihydrostreptomycine</v>
      </c>
      <c r="BM179" t="str">
        <f t="shared" si="46"/>
        <v>Dihydrostreptomycine</v>
      </c>
      <c r="BN179" t="str">
        <f t="shared" si="47"/>
        <v/>
      </c>
      <c r="BO179" t="str">
        <f t="shared" si="48"/>
        <v/>
      </c>
      <c r="BP179" t="str">
        <f t="shared" si="51"/>
        <v>Aminoglycosides</v>
      </c>
      <c r="BQ179" t="str">
        <f t="shared" si="52"/>
        <v>Aminoglycosides</v>
      </c>
      <c r="BR179" t="str">
        <f t="shared" si="53"/>
        <v/>
      </c>
      <c r="BS179" t="str">
        <f t="shared" si="54"/>
        <v/>
      </c>
      <c r="BT179" s="76" t="str">
        <f t="shared" si="55"/>
        <v>Voie orale  hors prémélanges médicamenteux</v>
      </c>
      <c r="BU179" t="str">
        <f t="shared" si="56"/>
        <v/>
      </c>
      <c r="CN179">
        <v>178</v>
      </c>
    </row>
    <row r="180" spans="1:92" x14ac:dyDescent="0.3">
      <c r="A180" s="118" t="s">
        <v>1744</v>
      </c>
      <c r="B180" t="s">
        <v>1747</v>
      </c>
      <c r="C180" t="s">
        <v>796</v>
      </c>
      <c r="D180" s="144" t="s">
        <v>776</v>
      </c>
      <c r="E180" t="s">
        <v>765</v>
      </c>
      <c r="F180" t="s">
        <v>260</v>
      </c>
      <c r="G180" t="s">
        <v>766</v>
      </c>
      <c r="H180" t="s">
        <v>1962</v>
      </c>
      <c r="I180" t="s">
        <v>766</v>
      </c>
      <c r="J180" t="s">
        <v>928</v>
      </c>
      <c r="K180" t="s">
        <v>862</v>
      </c>
      <c r="L180" t="s">
        <v>929</v>
      </c>
      <c r="M180" t="s">
        <v>208</v>
      </c>
      <c r="N180" t="s">
        <v>864</v>
      </c>
      <c r="O180" t="s">
        <v>771</v>
      </c>
      <c r="P180" t="s">
        <v>772</v>
      </c>
      <c r="Q180" t="s">
        <v>780</v>
      </c>
      <c r="R180">
        <v>13.4</v>
      </c>
      <c r="S180">
        <v>5</v>
      </c>
      <c r="T180">
        <v>0</v>
      </c>
      <c r="U180">
        <v>0</v>
      </c>
      <c r="V180">
        <v>13.4</v>
      </c>
      <c r="W180">
        <v>5</v>
      </c>
      <c r="X180">
        <v>0</v>
      </c>
      <c r="Y180">
        <v>0</v>
      </c>
      <c r="Z180">
        <v>0</v>
      </c>
      <c r="AA180">
        <v>0</v>
      </c>
      <c r="AB180">
        <v>13.4</v>
      </c>
      <c r="AC180">
        <v>5</v>
      </c>
      <c r="AD180">
        <v>13.4</v>
      </c>
      <c r="AE180">
        <v>5</v>
      </c>
      <c r="AF180">
        <v>0</v>
      </c>
      <c r="AG180">
        <v>0</v>
      </c>
      <c r="AH180">
        <v>0</v>
      </c>
      <c r="AI180">
        <v>0</v>
      </c>
      <c r="AJ180" t="s">
        <v>930</v>
      </c>
      <c r="AK180" t="s">
        <v>931</v>
      </c>
      <c r="AL180" t="s">
        <v>208</v>
      </c>
      <c r="AM180" t="s">
        <v>932</v>
      </c>
      <c r="AN180" t="s">
        <v>771</v>
      </c>
      <c r="AO180" t="s">
        <v>772</v>
      </c>
      <c r="AP180" t="s">
        <v>852</v>
      </c>
      <c r="AY180" t="str">
        <f t="shared" si="38"/>
        <v>BORGAL 24 %</v>
      </c>
      <c r="AZ180" t="str">
        <f>IF(COUNTIF(AY:AY,AY180)=1,AY180,IF(AND(COUNTIF(AY:AY,AY180)&gt;1,COUNTIF(AZ$2:AZ179,AY180)&gt;=1),"",AY180))</f>
        <v/>
      </c>
      <c r="BA180" t="str">
        <f>IF(AZ180="","",COUNTIFS(AZ$3:AZ$1439,"&lt;"&amp;AZ180,AZ$3:AZ$1439,"&lt;&gt;0")+COUNTIF(AZ$3:AZ180,AZ180)-876)</f>
        <v/>
      </c>
      <c r="BC180">
        <v>178</v>
      </c>
      <c r="BD180" t="str">
        <f t="shared" si="49"/>
        <v>DIATRIM 200 MG/ML + 40 MG/ML  SOLUTION INJECTABLE</v>
      </c>
      <c r="BE180" t="str">
        <f t="shared" si="39"/>
        <v>INJ</v>
      </c>
      <c r="BF180" t="str">
        <f t="shared" si="40"/>
        <v>SULFAMIDES</v>
      </c>
      <c r="BG180" t="str">
        <f t="shared" si="41"/>
        <v>TRIMETHOPRIME</v>
      </c>
      <c r="BH180" t="str">
        <f t="shared" si="42"/>
        <v/>
      </c>
      <c r="BI180" t="str">
        <f t="shared" si="43"/>
        <v>sulfadiazine</v>
      </c>
      <c r="BJ180" t="str">
        <f t="shared" si="44"/>
        <v>trimethoprim</v>
      </c>
      <c r="BK180" t="str">
        <f t="shared" si="45"/>
        <v/>
      </c>
      <c r="BL180" t="str">
        <f t="shared" si="50"/>
        <v>Sulfadiazine + Triméthoprime</v>
      </c>
      <c r="BM180" t="str">
        <f t="shared" si="46"/>
        <v>Sulfadiazine</v>
      </c>
      <c r="BN180" t="str">
        <f t="shared" si="47"/>
        <v>Triméthoprime</v>
      </c>
      <c r="BO180" t="str">
        <f t="shared" si="48"/>
        <v/>
      </c>
      <c r="BP180" t="str">
        <f t="shared" si="51"/>
        <v>Sulfamides + Trimethoprime</v>
      </c>
      <c r="BQ180" t="str">
        <f t="shared" si="52"/>
        <v>Sulfamides</v>
      </c>
      <c r="BR180" t="str">
        <f t="shared" si="53"/>
        <v>Trimethoprime</v>
      </c>
      <c r="BS180" t="str">
        <f t="shared" si="54"/>
        <v/>
      </c>
      <c r="BT180" s="76" t="str">
        <f t="shared" si="55"/>
        <v>Voie parentérale</v>
      </c>
      <c r="BU180" t="str">
        <f t="shared" si="56"/>
        <v/>
      </c>
      <c r="CN180">
        <v>179</v>
      </c>
    </row>
    <row r="181" spans="1:92" x14ac:dyDescent="0.3">
      <c r="A181" s="118" t="s">
        <v>2615</v>
      </c>
      <c r="B181" t="s">
        <v>2616</v>
      </c>
      <c r="C181" t="s">
        <v>4462</v>
      </c>
      <c r="D181" s="144" t="s">
        <v>869</v>
      </c>
      <c r="E181" t="s">
        <v>813</v>
      </c>
      <c r="F181" t="s">
        <v>2617</v>
      </c>
      <c r="G181" t="s">
        <v>815</v>
      </c>
      <c r="H181" t="s">
        <v>860</v>
      </c>
      <c r="I181" t="s">
        <v>817</v>
      </c>
      <c r="J181" t="s">
        <v>818</v>
      </c>
      <c r="K181" t="s">
        <v>802</v>
      </c>
      <c r="L181" t="s">
        <v>803</v>
      </c>
      <c r="M181" t="s">
        <v>208</v>
      </c>
      <c r="N181" t="s">
        <v>2618</v>
      </c>
      <c r="O181" t="s">
        <v>820</v>
      </c>
      <c r="P181" t="s">
        <v>4363</v>
      </c>
      <c r="Q181" t="s">
        <v>2619</v>
      </c>
      <c r="R181">
        <v>0</v>
      </c>
      <c r="S181">
        <v>0</v>
      </c>
      <c r="T181">
        <v>23.25</v>
      </c>
      <c r="U181">
        <v>10</v>
      </c>
      <c r="V181">
        <v>0</v>
      </c>
      <c r="W181">
        <v>0</v>
      </c>
      <c r="X181">
        <v>0</v>
      </c>
      <c r="Y181">
        <v>0</v>
      </c>
      <c r="Z181">
        <v>0</v>
      </c>
      <c r="AA181">
        <v>0</v>
      </c>
      <c r="AB181">
        <v>0</v>
      </c>
      <c r="AC181">
        <v>0</v>
      </c>
      <c r="AD181">
        <v>0</v>
      </c>
      <c r="AE181">
        <v>0</v>
      </c>
      <c r="AF181">
        <v>0</v>
      </c>
      <c r="AG181">
        <v>0</v>
      </c>
      <c r="AH181">
        <v>0</v>
      </c>
      <c r="AI181">
        <v>0</v>
      </c>
      <c r="AJ181" t="s">
        <v>821</v>
      </c>
      <c r="AK181" t="s">
        <v>822</v>
      </c>
      <c r="AL181" t="s">
        <v>208</v>
      </c>
      <c r="AM181" t="s">
        <v>1072</v>
      </c>
      <c r="AN181" t="s">
        <v>824</v>
      </c>
      <c r="AO181" t="s">
        <v>772</v>
      </c>
      <c r="AP181" t="s">
        <v>1571</v>
      </c>
      <c r="AY181" t="str">
        <f t="shared" si="38"/>
        <v/>
      </c>
      <c r="AZ181" t="str">
        <f>IF(COUNTIF(AY:AY,AY181)=1,AY181,IF(AND(COUNTIF(AY:AY,AY181)&gt;1,COUNTIF(AZ$2:AZ180,AY181)&gt;=1),"",AY181))</f>
        <v/>
      </c>
      <c r="BA181" t="str">
        <f>IF(AZ181="","",COUNTIFS(AZ$3:AZ$1439,"&lt;"&amp;AZ181,AZ$3:AZ$1439,"&lt;&gt;0")+COUNTIF(AZ$3:AZ181,AZ181)-876)</f>
        <v/>
      </c>
      <c r="BC181">
        <v>179</v>
      </c>
      <c r="BD181" t="str">
        <f t="shared" si="49"/>
        <v>DIAZIPRIM</v>
      </c>
      <c r="BE181" t="str">
        <f t="shared" si="39"/>
        <v>ORAL</v>
      </c>
      <c r="BF181" t="str">
        <f t="shared" si="40"/>
        <v>SULFAMIDES</v>
      </c>
      <c r="BG181" t="str">
        <f t="shared" si="41"/>
        <v>TRIMETHOPRIME</v>
      </c>
      <c r="BH181" t="str">
        <f t="shared" si="42"/>
        <v/>
      </c>
      <c r="BI181" t="str">
        <f t="shared" si="43"/>
        <v>sulfadiazine</v>
      </c>
      <c r="BJ181" t="str">
        <f t="shared" si="44"/>
        <v>trimethoprim</v>
      </c>
      <c r="BK181" t="str">
        <f t="shared" si="45"/>
        <v/>
      </c>
      <c r="BL181" t="str">
        <f t="shared" si="50"/>
        <v>Sulfadiazine + Triméthoprime</v>
      </c>
      <c r="BM181" t="str">
        <f t="shared" si="46"/>
        <v>Sulfadiazine</v>
      </c>
      <c r="BN181" t="str">
        <f t="shared" si="47"/>
        <v>Triméthoprime</v>
      </c>
      <c r="BO181" t="str">
        <f t="shared" si="48"/>
        <v/>
      </c>
      <c r="BP181" t="str">
        <f t="shared" si="51"/>
        <v>Sulfamides + Trimethoprime</v>
      </c>
      <c r="BQ181" t="str">
        <f t="shared" si="52"/>
        <v>Sulfamides</v>
      </c>
      <c r="BR181" t="str">
        <f t="shared" si="53"/>
        <v>Trimethoprime</v>
      </c>
      <c r="BS181" t="str">
        <f t="shared" si="54"/>
        <v/>
      </c>
      <c r="BT181" s="76" t="str">
        <f t="shared" si="55"/>
        <v>Voie orale  hors prémélanges médicamenteux</v>
      </c>
      <c r="BU181" t="str">
        <f t="shared" si="56"/>
        <v/>
      </c>
      <c r="CN181">
        <v>180</v>
      </c>
    </row>
    <row r="182" spans="1:92" x14ac:dyDescent="0.3">
      <c r="A182" s="118" t="s">
        <v>2615</v>
      </c>
      <c r="B182" t="s">
        <v>2620</v>
      </c>
      <c r="C182" t="s">
        <v>2621</v>
      </c>
      <c r="D182" s="144" t="s">
        <v>1948</v>
      </c>
      <c r="E182" t="s">
        <v>813</v>
      </c>
      <c r="F182" t="s">
        <v>2617</v>
      </c>
      <c r="G182" t="s">
        <v>815</v>
      </c>
      <c r="H182" t="s">
        <v>860</v>
      </c>
      <c r="I182" t="s">
        <v>817</v>
      </c>
      <c r="J182" t="s">
        <v>818</v>
      </c>
      <c r="K182" t="s">
        <v>802</v>
      </c>
      <c r="L182" t="s">
        <v>803</v>
      </c>
      <c r="M182" t="s">
        <v>208</v>
      </c>
      <c r="N182" t="s">
        <v>2618</v>
      </c>
      <c r="O182" t="s">
        <v>820</v>
      </c>
      <c r="P182" t="s">
        <v>4363</v>
      </c>
      <c r="Q182" t="s">
        <v>4480</v>
      </c>
      <c r="R182">
        <v>0</v>
      </c>
      <c r="S182">
        <v>0</v>
      </c>
      <c r="T182">
        <v>23.25</v>
      </c>
      <c r="U182">
        <v>10</v>
      </c>
      <c r="V182">
        <v>0</v>
      </c>
      <c r="W182">
        <v>0</v>
      </c>
      <c r="X182">
        <v>0</v>
      </c>
      <c r="Y182">
        <v>0</v>
      </c>
      <c r="Z182">
        <v>0</v>
      </c>
      <c r="AA182">
        <v>0</v>
      </c>
      <c r="AB182">
        <v>0</v>
      </c>
      <c r="AC182">
        <v>0</v>
      </c>
      <c r="AD182">
        <v>0</v>
      </c>
      <c r="AE182">
        <v>0</v>
      </c>
      <c r="AF182">
        <v>0</v>
      </c>
      <c r="AG182">
        <v>0</v>
      </c>
      <c r="AH182">
        <v>0</v>
      </c>
      <c r="AI182">
        <v>0</v>
      </c>
      <c r="AJ182" t="s">
        <v>821</v>
      </c>
      <c r="AK182" t="s">
        <v>822</v>
      </c>
      <c r="AL182" t="s">
        <v>208</v>
      </c>
      <c r="AM182" t="s">
        <v>1072</v>
      </c>
      <c r="AN182" t="s">
        <v>824</v>
      </c>
      <c r="AO182" t="s">
        <v>772</v>
      </c>
      <c r="AP182" t="s">
        <v>1033</v>
      </c>
      <c r="AY182" t="str">
        <f t="shared" si="38"/>
        <v/>
      </c>
      <c r="AZ182" t="str">
        <f>IF(COUNTIF(AY:AY,AY182)=1,AY182,IF(AND(COUNTIF(AY:AY,AY182)&gt;1,COUNTIF(AZ$2:AZ181,AY182)&gt;=1),"",AY182))</f>
        <v/>
      </c>
      <c r="BA182" t="str">
        <f>IF(AZ182="","",COUNTIFS(AZ$3:AZ$1439,"&lt;"&amp;AZ182,AZ$3:AZ$1439,"&lt;&gt;0")+COUNTIF(AZ$3:AZ182,AZ182)-876)</f>
        <v/>
      </c>
      <c r="BC182">
        <v>180</v>
      </c>
      <c r="BD182" t="str">
        <f t="shared" si="49"/>
        <v>DICLOMAM TARISSEMENT</v>
      </c>
      <c r="BE182" t="str">
        <f t="shared" si="39"/>
        <v>INTRAMAM</v>
      </c>
      <c r="BF182" t="str">
        <f t="shared" si="40"/>
        <v>PENICILLINES</v>
      </c>
      <c r="BG182" t="str">
        <f t="shared" si="41"/>
        <v/>
      </c>
      <c r="BH182" t="str">
        <f t="shared" si="42"/>
        <v/>
      </c>
      <c r="BI182" t="str">
        <f t="shared" si="43"/>
        <v>cloxacillin</v>
      </c>
      <c r="BJ182" t="str">
        <f t="shared" si="44"/>
        <v/>
      </c>
      <c r="BK182" t="str">
        <f t="shared" si="45"/>
        <v/>
      </c>
      <c r="BL182" t="str">
        <f t="shared" si="50"/>
        <v>Cloxacilline</v>
      </c>
      <c r="BM182" t="str">
        <f t="shared" si="46"/>
        <v>Cloxacilline</v>
      </c>
      <c r="BN182" t="str">
        <f t="shared" si="47"/>
        <v/>
      </c>
      <c r="BO182" t="str">
        <f t="shared" si="48"/>
        <v/>
      </c>
      <c r="BP182" t="str">
        <f t="shared" si="51"/>
        <v>Penicillines</v>
      </c>
      <c r="BQ182" t="str">
        <f t="shared" si="52"/>
        <v>Penicillines</v>
      </c>
      <c r="BR182" t="str">
        <f t="shared" si="53"/>
        <v/>
      </c>
      <c r="BS182" t="str">
        <f t="shared" si="54"/>
        <v/>
      </c>
      <c r="BT182" s="76" t="str">
        <f t="shared" si="55"/>
        <v>Voie intramammaire</v>
      </c>
      <c r="BU182" t="str">
        <f t="shared" si="56"/>
        <v/>
      </c>
      <c r="CN182">
        <v>181</v>
      </c>
    </row>
    <row r="183" spans="1:92" x14ac:dyDescent="0.3">
      <c r="A183" s="118" t="s">
        <v>2622</v>
      </c>
      <c r="B183" t="s">
        <v>2623</v>
      </c>
      <c r="C183" t="s">
        <v>4481</v>
      </c>
      <c r="D183" s="144" t="s">
        <v>1494</v>
      </c>
      <c r="E183" t="s">
        <v>813</v>
      </c>
      <c r="F183" t="s">
        <v>2624</v>
      </c>
      <c r="G183" t="s">
        <v>815</v>
      </c>
      <c r="H183" t="s">
        <v>860</v>
      </c>
      <c r="I183" t="s">
        <v>817</v>
      </c>
      <c r="J183" t="s">
        <v>818</v>
      </c>
      <c r="K183" t="s">
        <v>802</v>
      </c>
      <c r="L183" t="s">
        <v>803</v>
      </c>
      <c r="M183" t="s">
        <v>208</v>
      </c>
      <c r="N183" t="s">
        <v>1124</v>
      </c>
      <c r="O183" t="s">
        <v>820</v>
      </c>
      <c r="P183" t="s">
        <v>4363</v>
      </c>
      <c r="Q183" t="s">
        <v>4480</v>
      </c>
      <c r="R183">
        <v>0</v>
      </c>
      <c r="S183">
        <v>0</v>
      </c>
      <c r="T183">
        <v>23.25</v>
      </c>
      <c r="U183">
        <v>10</v>
      </c>
      <c r="V183">
        <v>0</v>
      </c>
      <c r="W183">
        <v>0</v>
      </c>
      <c r="X183">
        <v>0</v>
      </c>
      <c r="Y183">
        <v>0</v>
      </c>
      <c r="Z183">
        <v>0</v>
      </c>
      <c r="AA183">
        <v>0</v>
      </c>
      <c r="AB183">
        <v>0</v>
      </c>
      <c r="AC183">
        <v>0</v>
      </c>
      <c r="AD183">
        <v>0</v>
      </c>
      <c r="AE183">
        <v>0</v>
      </c>
      <c r="AF183">
        <v>0</v>
      </c>
      <c r="AG183">
        <v>0</v>
      </c>
      <c r="AH183">
        <v>0</v>
      </c>
      <c r="AI183">
        <v>0</v>
      </c>
      <c r="AJ183" t="s">
        <v>821</v>
      </c>
      <c r="AK183" t="s">
        <v>822</v>
      </c>
      <c r="AL183" t="s">
        <v>208</v>
      </c>
      <c r="AM183" t="s">
        <v>1125</v>
      </c>
      <c r="AN183" t="s">
        <v>824</v>
      </c>
      <c r="AO183" t="s">
        <v>772</v>
      </c>
      <c r="AP183" t="s">
        <v>1033</v>
      </c>
      <c r="AY183" t="str">
        <f t="shared" si="38"/>
        <v/>
      </c>
      <c r="AZ183" t="str">
        <f>IF(COUNTIF(AY:AY,AY183)=1,AY183,IF(AND(COUNTIF(AY:AY,AY183)&gt;1,COUNTIF(AZ$2:AZ182,AY183)&gt;=1),"",AY183))</f>
        <v/>
      </c>
      <c r="BA183" t="str">
        <f>IF(AZ183="","",COUNTIFS(AZ$3:AZ$1439,"&lt;"&amp;AZ183,AZ$3:AZ$1439,"&lt;&gt;0")+COUNTIF(AZ$3:AZ183,AZ183)-876)</f>
        <v/>
      </c>
      <c r="BC183">
        <v>181</v>
      </c>
      <c r="BD183" t="str">
        <f t="shared" si="49"/>
        <v>DICURAL 100 MG/ML SOLUTION ORALE POUR POULES ET DINDES</v>
      </c>
      <c r="BE183" t="str">
        <f t="shared" si="39"/>
        <v>ORAL</v>
      </c>
      <c r="BF183" t="str">
        <f t="shared" si="40"/>
        <v>FLUOROQUINOLONES</v>
      </c>
      <c r="BG183" t="str">
        <f t="shared" si="41"/>
        <v/>
      </c>
      <c r="BH183" t="str">
        <f t="shared" si="42"/>
        <v/>
      </c>
      <c r="BI183" t="str">
        <f t="shared" si="43"/>
        <v>difloxacin</v>
      </c>
      <c r="BJ183" t="str">
        <f t="shared" si="44"/>
        <v/>
      </c>
      <c r="BK183" t="str">
        <f t="shared" si="45"/>
        <v/>
      </c>
      <c r="BL183" t="str">
        <f t="shared" si="50"/>
        <v>Difloxacine</v>
      </c>
      <c r="BM183" t="str">
        <f t="shared" si="46"/>
        <v>Difloxacine</v>
      </c>
      <c r="BN183" t="str">
        <f t="shared" si="47"/>
        <v/>
      </c>
      <c r="BO183" t="str">
        <f t="shared" si="48"/>
        <v/>
      </c>
      <c r="BP183" t="str">
        <f t="shared" si="51"/>
        <v>Fluoroquinolones</v>
      </c>
      <c r="BQ183" t="str">
        <f t="shared" si="52"/>
        <v>Fluoroquinolones</v>
      </c>
      <c r="BR183" t="str">
        <f t="shared" si="53"/>
        <v/>
      </c>
      <c r="BS183" t="str">
        <f t="shared" si="54"/>
        <v/>
      </c>
      <c r="BT183" s="76" t="str">
        <f t="shared" si="55"/>
        <v>Voie orale  hors prémélanges médicamenteux</v>
      </c>
      <c r="BU183" t="str">
        <f t="shared" si="56"/>
        <v>x</v>
      </c>
      <c r="CN183">
        <v>182</v>
      </c>
    </row>
    <row r="184" spans="1:92" x14ac:dyDescent="0.3">
      <c r="A184" s="118" t="s">
        <v>2622</v>
      </c>
      <c r="B184" t="s">
        <v>2625</v>
      </c>
      <c r="C184" t="s">
        <v>4482</v>
      </c>
      <c r="D184" s="144" t="s">
        <v>2626</v>
      </c>
      <c r="E184" t="s">
        <v>813</v>
      </c>
      <c r="F184" t="s">
        <v>2624</v>
      </c>
      <c r="G184" t="s">
        <v>815</v>
      </c>
      <c r="H184" t="s">
        <v>860</v>
      </c>
      <c r="I184" t="s">
        <v>817</v>
      </c>
      <c r="J184" t="s">
        <v>818</v>
      </c>
      <c r="K184" t="s">
        <v>802</v>
      </c>
      <c r="L184" t="s">
        <v>803</v>
      </c>
      <c r="M184" t="s">
        <v>208</v>
      </c>
      <c r="N184" t="s">
        <v>1124</v>
      </c>
      <c r="O184" t="s">
        <v>820</v>
      </c>
      <c r="P184" t="s">
        <v>4363</v>
      </c>
      <c r="Q184" t="s">
        <v>4483</v>
      </c>
      <c r="R184">
        <v>0</v>
      </c>
      <c r="S184">
        <v>0</v>
      </c>
      <c r="T184">
        <v>23.25</v>
      </c>
      <c r="U184">
        <v>10</v>
      </c>
      <c r="V184">
        <v>0</v>
      </c>
      <c r="W184">
        <v>0</v>
      </c>
      <c r="X184">
        <v>0</v>
      </c>
      <c r="Y184">
        <v>0</v>
      </c>
      <c r="Z184">
        <v>0</v>
      </c>
      <c r="AA184">
        <v>0</v>
      </c>
      <c r="AB184">
        <v>0</v>
      </c>
      <c r="AC184">
        <v>0</v>
      </c>
      <c r="AD184">
        <v>0</v>
      </c>
      <c r="AE184">
        <v>0</v>
      </c>
      <c r="AF184">
        <v>0</v>
      </c>
      <c r="AG184">
        <v>0</v>
      </c>
      <c r="AH184">
        <v>0</v>
      </c>
      <c r="AI184">
        <v>0</v>
      </c>
      <c r="AJ184" t="s">
        <v>821</v>
      </c>
      <c r="AK184" t="s">
        <v>822</v>
      </c>
      <c r="AL184" t="s">
        <v>208</v>
      </c>
      <c r="AM184" t="s">
        <v>1125</v>
      </c>
      <c r="AN184" t="s">
        <v>824</v>
      </c>
      <c r="AO184" t="s">
        <v>772</v>
      </c>
      <c r="AP184" t="s">
        <v>1494</v>
      </c>
      <c r="AY184" t="str">
        <f t="shared" si="38"/>
        <v/>
      </c>
      <c r="AZ184" t="str">
        <f>IF(COUNTIF(AY:AY,AY184)=1,AY184,IF(AND(COUNTIF(AY:AY,AY184)&gt;1,COUNTIF(AZ$2:AZ183,AY184)&gt;=1),"",AY184))</f>
        <v/>
      </c>
      <c r="BA184" t="str">
        <f>IF(AZ184="","",COUNTIFS(AZ$3:AZ$1439,"&lt;"&amp;AZ184,AZ$3:AZ$1439,"&lt;&gt;0")+COUNTIF(AZ$3:AZ184,AZ184)-876)</f>
        <v/>
      </c>
      <c r="BC184">
        <v>182</v>
      </c>
      <c r="BD184" t="str">
        <f t="shared" si="49"/>
        <v>DIMERAL TS PORCIN</v>
      </c>
      <c r="BE184" t="str">
        <f t="shared" si="39"/>
        <v>PM</v>
      </c>
      <c r="BF184" t="str">
        <f t="shared" si="40"/>
        <v>SULFAMIDES</v>
      </c>
      <c r="BG184" t="str">
        <f t="shared" si="41"/>
        <v>TRIMETHOPRIME</v>
      </c>
      <c r="BH184" t="str">
        <f t="shared" si="42"/>
        <v/>
      </c>
      <c r="BI184" t="str">
        <f t="shared" si="43"/>
        <v>sulfadiazine</v>
      </c>
      <c r="BJ184" t="str">
        <f t="shared" si="44"/>
        <v>trimethoprim</v>
      </c>
      <c r="BK184" t="str">
        <f t="shared" si="45"/>
        <v/>
      </c>
      <c r="BL184" t="str">
        <f t="shared" si="50"/>
        <v>Sulfadiazine + Triméthoprime</v>
      </c>
      <c r="BM184" t="str">
        <f t="shared" si="46"/>
        <v>Sulfadiazine</v>
      </c>
      <c r="BN184" t="str">
        <f t="shared" si="47"/>
        <v>Triméthoprime</v>
      </c>
      <c r="BO184" t="str">
        <f t="shared" si="48"/>
        <v/>
      </c>
      <c r="BP184" t="str">
        <f t="shared" si="51"/>
        <v>Sulfamides + Trimethoprime</v>
      </c>
      <c r="BQ184" t="str">
        <f t="shared" si="52"/>
        <v>Sulfamides</v>
      </c>
      <c r="BR184" t="str">
        <f t="shared" si="53"/>
        <v>Trimethoprime</v>
      </c>
      <c r="BS184" t="str">
        <f t="shared" si="54"/>
        <v/>
      </c>
      <c r="BT184" s="76" t="str">
        <f t="shared" si="55"/>
        <v>Prémélanges médicamenteux</v>
      </c>
      <c r="BU184" t="str">
        <f t="shared" si="56"/>
        <v/>
      </c>
      <c r="CN184">
        <v>183</v>
      </c>
    </row>
    <row r="185" spans="1:92" x14ac:dyDescent="0.3">
      <c r="A185" s="118" t="s">
        <v>2433</v>
      </c>
      <c r="B185" t="s">
        <v>2434</v>
      </c>
      <c r="C185" t="s">
        <v>4462</v>
      </c>
      <c r="D185" s="144" t="s">
        <v>869</v>
      </c>
      <c r="E185" t="s">
        <v>813</v>
      </c>
      <c r="F185" t="s">
        <v>2435</v>
      </c>
      <c r="G185" t="s">
        <v>815</v>
      </c>
      <c r="H185" t="s">
        <v>860</v>
      </c>
      <c r="I185" t="s">
        <v>817</v>
      </c>
      <c r="J185" t="s">
        <v>818</v>
      </c>
      <c r="K185" t="s">
        <v>802</v>
      </c>
      <c r="L185" t="s">
        <v>803</v>
      </c>
      <c r="M185" t="s">
        <v>208</v>
      </c>
      <c r="N185" t="s">
        <v>2436</v>
      </c>
      <c r="O185" t="s">
        <v>820</v>
      </c>
      <c r="P185" t="s">
        <v>4363</v>
      </c>
      <c r="Q185" t="s">
        <v>4382</v>
      </c>
      <c r="R185">
        <v>0</v>
      </c>
      <c r="S185">
        <v>0</v>
      </c>
      <c r="T185">
        <v>23.25</v>
      </c>
      <c r="U185">
        <v>10</v>
      </c>
      <c r="V185">
        <v>0</v>
      </c>
      <c r="W185">
        <v>0</v>
      </c>
      <c r="X185">
        <v>0</v>
      </c>
      <c r="Y185">
        <v>0</v>
      </c>
      <c r="Z185">
        <v>0</v>
      </c>
      <c r="AA185">
        <v>0</v>
      </c>
      <c r="AB185">
        <v>0</v>
      </c>
      <c r="AC185">
        <v>0</v>
      </c>
      <c r="AD185">
        <v>0</v>
      </c>
      <c r="AE185">
        <v>0</v>
      </c>
      <c r="AF185">
        <v>0</v>
      </c>
      <c r="AG185">
        <v>0</v>
      </c>
      <c r="AH185">
        <v>0</v>
      </c>
      <c r="AI185">
        <v>0</v>
      </c>
      <c r="AJ185" t="s">
        <v>821</v>
      </c>
      <c r="AK185" t="s">
        <v>822</v>
      </c>
      <c r="AL185" t="s">
        <v>208</v>
      </c>
      <c r="AM185" t="s">
        <v>950</v>
      </c>
      <c r="AN185" t="s">
        <v>824</v>
      </c>
      <c r="AO185" t="s">
        <v>772</v>
      </c>
      <c r="AP185" t="s">
        <v>1128</v>
      </c>
      <c r="AY185" t="str">
        <f t="shared" si="38"/>
        <v/>
      </c>
      <c r="AZ185" t="str">
        <f>IF(COUNTIF(AY:AY,AY185)=1,AY185,IF(AND(COUNTIF(AY:AY,AY185)&gt;1,COUNTIF(AZ$2:AZ184,AY185)&gt;=1),"",AY185))</f>
        <v/>
      </c>
      <c r="BA185" t="str">
        <f>IF(AZ185="","",COUNTIFS(AZ$3:AZ$1439,"&lt;"&amp;AZ185,AZ$3:AZ$1439,"&lt;&gt;0")+COUNTIF(AZ$3:AZ185,AZ185)-876)</f>
        <v/>
      </c>
      <c r="BC185">
        <v>183</v>
      </c>
      <c r="BD185" t="str">
        <f t="shared" si="49"/>
        <v>DIPROXINE</v>
      </c>
      <c r="BE185" t="str">
        <f t="shared" si="39"/>
        <v>ORAL</v>
      </c>
      <c r="BF185" t="str">
        <f t="shared" si="40"/>
        <v>SULFAMIDES</v>
      </c>
      <c r="BG185" t="str">
        <f t="shared" si="41"/>
        <v>TRIMETHOPRIME</v>
      </c>
      <c r="BH185" t="str">
        <f t="shared" si="42"/>
        <v/>
      </c>
      <c r="BI185" t="str">
        <f t="shared" si="43"/>
        <v>sulfadiazine</v>
      </c>
      <c r="BJ185" t="str">
        <f t="shared" si="44"/>
        <v>trimethoprim</v>
      </c>
      <c r="BK185" t="str">
        <f t="shared" si="45"/>
        <v/>
      </c>
      <c r="BL185" t="str">
        <f t="shared" si="50"/>
        <v>Sulfadiazine + Triméthoprime</v>
      </c>
      <c r="BM185" t="str">
        <f t="shared" si="46"/>
        <v>Sulfadiazine</v>
      </c>
      <c r="BN185" t="str">
        <f t="shared" si="47"/>
        <v>Triméthoprime</v>
      </c>
      <c r="BO185" t="str">
        <f t="shared" si="48"/>
        <v/>
      </c>
      <c r="BP185" t="str">
        <f t="shared" si="51"/>
        <v>Sulfamides + Trimethoprime</v>
      </c>
      <c r="BQ185" t="str">
        <f t="shared" si="52"/>
        <v>Sulfamides</v>
      </c>
      <c r="BR185" t="str">
        <f t="shared" si="53"/>
        <v>Trimethoprime</v>
      </c>
      <c r="BS185" t="str">
        <f t="shared" si="54"/>
        <v/>
      </c>
      <c r="BT185" s="76" t="str">
        <f t="shared" si="55"/>
        <v>Voie orale  hors prémélanges médicamenteux</v>
      </c>
      <c r="BU185" t="str">
        <f t="shared" si="56"/>
        <v/>
      </c>
      <c r="CN185">
        <v>184</v>
      </c>
    </row>
    <row r="186" spans="1:92" x14ac:dyDescent="0.3">
      <c r="A186" s="118" t="s">
        <v>2433</v>
      </c>
      <c r="B186" t="s">
        <v>2437</v>
      </c>
      <c r="C186" t="s">
        <v>2621</v>
      </c>
      <c r="D186" s="144" t="s">
        <v>1948</v>
      </c>
      <c r="E186" t="s">
        <v>813</v>
      </c>
      <c r="F186" t="s">
        <v>2435</v>
      </c>
      <c r="G186" t="s">
        <v>815</v>
      </c>
      <c r="H186" t="s">
        <v>860</v>
      </c>
      <c r="I186" t="s">
        <v>817</v>
      </c>
      <c r="J186" t="s">
        <v>818</v>
      </c>
      <c r="K186" t="s">
        <v>802</v>
      </c>
      <c r="L186" t="s">
        <v>803</v>
      </c>
      <c r="M186" t="s">
        <v>208</v>
      </c>
      <c r="N186" t="s">
        <v>2436</v>
      </c>
      <c r="O186" t="s">
        <v>820</v>
      </c>
      <c r="P186" t="s">
        <v>4363</v>
      </c>
      <c r="Q186" t="s">
        <v>1757</v>
      </c>
      <c r="R186">
        <v>0</v>
      </c>
      <c r="S186">
        <v>0</v>
      </c>
      <c r="T186">
        <v>23.25</v>
      </c>
      <c r="U186">
        <v>10</v>
      </c>
      <c r="V186">
        <v>0</v>
      </c>
      <c r="W186">
        <v>0</v>
      </c>
      <c r="X186">
        <v>0</v>
      </c>
      <c r="Y186">
        <v>0</v>
      </c>
      <c r="Z186">
        <v>0</v>
      </c>
      <c r="AA186">
        <v>0</v>
      </c>
      <c r="AB186">
        <v>0</v>
      </c>
      <c r="AC186">
        <v>0</v>
      </c>
      <c r="AD186">
        <v>0</v>
      </c>
      <c r="AE186">
        <v>0</v>
      </c>
      <c r="AF186">
        <v>0</v>
      </c>
      <c r="AG186">
        <v>0</v>
      </c>
      <c r="AH186">
        <v>0</v>
      </c>
      <c r="AI186">
        <v>0</v>
      </c>
      <c r="AJ186" t="s">
        <v>821</v>
      </c>
      <c r="AK186" t="s">
        <v>822</v>
      </c>
      <c r="AL186" t="s">
        <v>208</v>
      </c>
      <c r="AM186" t="s">
        <v>950</v>
      </c>
      <c r="AN186" t="s">
        <v>824</v>
      </c>
      <c r="AO186" t="s">
        <v>772</v>
      </c>
      <c r="AP186" t="s">
        <v>852</v>
      </c>
      <c r="AY186" t="str">
        <f t="shared" si="38"/>
        <v/>
      </c>
      <c r="AZ186" t="str">
        <f>IF(COUNTIF(AY:AY,AY186)=1,AY186,IF(AND(COUNTIF(AY:AY,AY186)&gt;1,COUNTIF(AZ$2:AZ185,AY186)&gt;=1),"",AY186))</f>
        <v/>
      </c>
      <c r="BA186" t="str">
        <f>IF(AZ186="","",COUNTIFS(AZ$3:AZ$1439,"&lt;"&amp;AZ186,AZ$3:AZ$1439,"&lt;&gt;0")+COUNTIF(AZ$3:AZ186,AZ186)-876)</f>
        <v/>
      </c>
      <c r="BC186">
        <v>184</v>
      </c>
      <c r="BD186" t="str">
        <f t="shared" si="49"/>
        <v>DOPHALIN 400 MG/G POUDRE POUR ADMINISTRATION DANS L'EAU DE BOISSON</v>
      </c>
      <c r="BE186" t="str">
        <f t="shared" si="39"/>
        <v>ORAL</v>
      </c>
      <c r="BF186" t="str">
        <f t="shared" si="40"/>
        <v>LINCOSAMIDES</v>
      </c>
      <c r="BG186" t="str">
        <f t="shared" si="41"/>
        <v/>
      </c>
      <c r="BH186" t="str">
        <f t="shared" si="42"/>
        <v/>
      </c>
      <c r="BI186" t="str">
        <f t="shared" si="43"/>
        <v>lincomycin</v>
      </c>
      <c r="BJ186" t="str">
        <f t="shared" si="44"/>
        <v/>
      </c>
      <c r="BK186" t="str">
        <f t="shared" si="45"/>
        <v/>
      </c>
      <c r="BL186" t="str">
        <f t="shared" si="50"/>
        <v>Lincomycine</v>
      </c>
      <c r="BM186" t="str">
        <f t="shared" si="46"/>
        <v>Lincomycine</v>
      </c>
      <c r="BN186" t="str">
        <f t="shared" si="47"/>
        <v/>
      </c>
      <c r="BO186" t="str">
        <f t="shared" si="48"/>
        <v/>
      </c>
      <c r="BP186" t="str">
        <f t="shared" si="51"/>
        <v>Lincosamides</v>
      </c>
      <c r="BQ186" t="str">
        <f t="shared" si="52"/>
        <v>Lincosamides</v>
      </c>
      <c r="BR186" t="str">
        <f t="shared" si="53"/>
        <v/>
      </c>
      <c r="BS186" t="str">
        <f t="shared" si="54"/>
        <v/>
      </c>
      <c r="BT186" s="76" t="str">
        <f t="shared" si="55"/>
        <v>Voie orale  hors prémélanges médicamenteux</v>
      </c>
      <c r="BU186" t="str">
        <f t="shared" si="56"/>
        <v/>
      </c>
      <c r="CN186">
        <v>185</v>
      </c>
    </row>
    <row r="187" spans="1:92" x14ac:dyDescent="0.3">
      <c r="A187" s="118" t="s">
        <v>2676</v>
      </c>
      <c r="B187" t="s">
        <v>2677</v>
      </c>
      <c r="C187" t="s">
        <v>1222</v>
      </c>
      <c r="D187" s="144" t="s">
        <v>1063</v>
      </c>
      <c r="E187" t="s">
        <v>830</v>
      </c>
      <c r="F187" t="s">
        <v>610</v>
      </c>
      <c r="G187" t="s">
        <v>1064</v>
      </c>
      <c r="H187" t="s">
        <v>170</v>
      </c>
      <c r="I187" t="s">
        <v>1066</v>
      </c>
      <c r="J187" t="s">
        <v>1559</v>
      </c>
      <c r="K187" t="s">
        <v>1559</v>
      </c>
      <c r="L187" t="s">
        <v>1560</v>
      </c>
      <c r="M187" t="s">
        <v>208</v>
      </c>
      <c r="N187" t="s">
        <v>940</v>
      </c>
      <c r="O187" t="s">
        <v>894</v>
      </c>
      <c r="P187" t="s">
        <v>772</v>
      </c>
      <c r="Q187" t="s">
        <v>902</v>
      </c>
      <c r="R187">
        <v>0</v>
      </c>
      <c r="S187">
        <v>0</v>
      </c>
      <c r="T187">
        <v>0</v>
      </c>
      <c r="U187">
        <v>0</v>
      </c>
      <c r="V187">
        <v>0</v>
      </c>
      <c r="W187">
        <v>0</v>
      </c>
      <c r="X187">
        <v>0</v>
      </c>
      <c r="Y187">
        <v>0</v>
      </c>
      <c r="Z187">
        <v>0</v>
      </c>
      <c r="AA187">
        <v>0</v>
      </c>
      <c r="AB187">
        <v>0</v>
      </c>
      <c r="AC187">
        <v>0</v>
      </c>
      <c r="AD187">
        <v>20</v>
      </c>
      <c r="AE187">
        <v>5</v>
      </c>
      <c r="AF187">
        <v>0</v>
      </c>
      <c r="AG187">
        <v>0</v>
      </c>
      <c r="AH187">
        <v>0</v>
      </c>
      <c r="AI187">
        <v>0</v>
      </c>
      <c r="AY187" t="str">
        <f t="shared" si="38"/>
        <v>CAFMIX ACIDE OXOLINIQUE 80 PORC</v>
      </c>
      <c r="AZ187" t="str">
        <f>IF(COUNTIF(AY:AY,AY187)=1,AY187,IF(AND(COUNTIF(AY:AY,AY187)&gt;1,COUNTIF(AZ$2:AZ186,AY187)&gt;=1),"",AY187))</f>
        <v>CAFMIX ACIDE OXOLINIQUE 80 PORC</v>
      </c>
      <c r="BA187">
        <f>IF(AZ187="","",COUNTIFS(AZ$3:AZ$1439,"&lt;"&amp;AZ187,AZ$3:AZ$1439,"&lt;&gt;0")+COUNTIF(AZ$3:AZ187,AZ187)-876)</f>
        <v>78</v>
      </c>
      <c r="BC187">
        <v>185</v>
      </c>
      <c r="BD187" t="str">
        <f t="shared" si="49"/>
        <v>DOXIPULVIS 500 MG/G POUDRE POUR ADMINISTRATION DANS  L’EAU DE BOISSON / LAIT DE REMPLACEMENT</v>
      </c>
      <c r="BE187" t="str">
        <f t="shared" si="39"/>
        <v>ORAL</v>
      </c>
      <c r="BF187" t="str">
        <f t="shared" si="40"/>
        <v>TETRACYCLINES</v>
      </c>
      <c r="BG187" t="str">
        <f t="shared" si="41"/>
        <v/>
      </c>
      <c r="BH187" t="str">
        <f t="shared" si="42"/>
        <v/>
      </c>
      <c r="BI187" t="str">
        <f t="shared" si="43"/>
        <v>doxycycline</v>
      </c>
      <c r="BJ187" t="str">
        <f t="shared" si="44"/>
        <v/>
      </c>
      <c r="BK187" t="str">
        <f t="shared" si="45"/>
        <v/>
      </c>
      <c r="BL187" t="str">
        <f t="shared" si="50"/>
        <v>Doxycycline</v>
      </c>
      <c r="BM187" t="str">
        <f t="shared" si="46"/>
        <v>Doxycycline</v>
      </c>
      <c r="BN187" t="str">
        <f t="shared" si="47"/>
        <v/>
      </c>
      <c r="BO187" t="str">
        <f t="shared" si="48"/>
        <v/>
      </c>
      <c r="BP187" t="str">
        <f t="shared" si="51"/>
        <v>Tetracyclines</v>
      </c>
      <c r="BQ187" t="str">
        <f t="shared" si="52"/>
        <v>Tetracyclines</v>
      </c>
      <c r="BR187" t="str">
        <f t="shared" si="53"/>
        <v/>
      </c>
      <c r="BS187" t="str">
        <f t="shared" si="54"/>
        <v/>
      </c>
      <c r="BT187" s="76" t="str">
        <f t="shared" si="55"/>
        <v>Voie orale  hors prémélanges médicamenteux</v>
      </c>
      <c r="BU187" t="str">
        <f t="shared" si="56"/>
        <v/>
      </c>
      <c r="CN187">
        <v>186</v>
      </c>
    </row>
    <row r="188" spans="1:92" x14ac:dyDescent="0.3">
      <c r="A188" s="118" t="s">
        <v>2500</v>
      </c>
      <c r="B188" t="s">
        <v>2501</v>
      </c>
      <c r="C188" t="s">
        <v>2502</v>
      </c>
      <c r="D188" s="144" t="s">
        <v>1063</v>
      </c>
      <c r="E188" t="s">
        <v>830</v>
      </c>
      <c r="F188" t="s">
        <v>611</v>
      </c>
      <c r="G188" t="s">
        <v>1064</v>
      </c>
      <c r="H188" t="s">
        <v>1213</v>
      </c>
      <c r="I188" t="s">
        <v>1066</v>
      </c>
      <c r="J188" t="s">
        <v>1269</v>
      </c>
      <c r="K188" t="s">
        <v>1269</v>
      </c>
      <c r="L188" t="s">
        <v>1270</v>
      </c>
      <c r="M188" t="s">
        <v>208</v>
      </c>
      <c r="N188" t="s">
        <v>2503</v>
      </c>
      <c r="O188" t="s">
        <v>894</v>
      </c>
      <c r="P188" t="s">
        <v>772</v>
      </c>
      <c r="Q188" t="s">
        <v>1550</v>
      </c>
      <c r="R188">
        <v>0</v>
      </c>
      <c r="S188">
        <v>0</v>
      </c>
      <c r="T188">
        <v>0</v>
      </c>
      <c r="U188">
        <v>0</v>
      </c>
      <c r="V188">
        <v>0</v>
      </c>
      <c r="W188">
        <v>0</v>
      </c>
      <c r="X188">
        <v>0</v>
      </c>
      <c r="Y188">
        <v>0</v>
      </c>
      <c r="Z188">
        <v>0</v>
      </c>
      <c r="AA188">
        <v>0</v>
      </c>
      <c r="AB188">
        <v>0</v>
      </c>
      <c r="AC188">
        <v>0</v>
      </c>
      <c r="AD188">
        <v>11</v>
      </c>
      <c r="AE188">
        <v>21</v>
      </c>
      <c r="AF188">
        <v>0</v>
      </c>
      <c r="AG188">
        <v>0</v>
      </c>
      <c r="AH188">
        <v>0</v>
      </c>
      <c r="AI188">
        <v>0</v>
      </c>
      <c r="AY188" t="str">
        <f t="shared" si="38"/>
        <v>CAFMIX LINCOMYCINE 22 PNEUMONIE PORC</v>
      </c>
      <c r="AZ188" t="str">
        <f>IF(COUNTIF(AY:AY,AY188)=1,AY188,IF(AND(COUNTIF(AY:AY,AY188)&gt;1,COUNTIF(AZ$2:AZ187,AY188)&gt;=1),"",AY188))</f>
        <v>CAFMIX LINCOMYCINE 22 PNEUMONIE PORC</v>
      </c>
      <c r="BA188">
        <f>IF(AZ188="","",COUNTIFS(AZ$3:AZ$1439,"&lt;"&amp;AZ188,AZ$3:AZ$1439,"&lt;&gt;0")+COUNTIF(AZ$3:AZ188,AZ188)-876)</f>
        <v>79</v>
      </c>
      <c r="BC188">
        <v>186</v>
      </c>
      <c r="BD188" t="str">
        <f t="shared" si="49"/>
        <v>DOXX-SOL 433 MG/G POUDRE POUR ADMINISTRATION DANS L'EAU DE BOISSON/LE SUBSTITUT DE LAIT POUR LES VEAUX PRE-RUMINANTS LES PORCS ET LES POULES</v>
      </c>
      <c r="BE188" t="str">
        <f t="shared" si="39"/>
        <v>ORAL</v>
      </c>
      <c r="BF188" t="str">
        <f t="shared" si="40"/>
        <v>TETRACYCLINES</v>
      </c>
      <c r="BG188" t="str">
        <f t="shared" si="41"/>
        <v/>
      </c>
      <c r="BH188" t="str">
        <f t="shared" si="42"/>
        <v/>
      </c>
      <c r="BI188" t="str">
        <f t="shared" si="43"/>
        <v>doxycycline</v>
      </c>
      <c r="BJ188" t="str">
        <f t="shared" si="44"/>
        <v/>
      </c>
      <c r="BK188" t="str">
        <f t="shared" si="45"/>
        <v/>
      </c>
      <c r="BL188" t="str">
        <f t="shared" si="50"/>
        <v>Doxycycline</v>
      </c>
      <c r="BM188" t="str">
        <f t="shared" si="46"/>
        <v>Doxycycline</v>
      </c>
      <c r="BN188" t="str">
        <f t="shared" si="47"/>
        <v/>
      </c>
      <c r="BO188" t="str">
        <f t="shared" si="48"/>
        <v/>
      </c>
      <c r="BP188" t="str">
        <f t="shared" si="51"/>
        <v>Tetracyclines</v>
      </c>
      <c r="BQ188" t="str">
        <f t="shared" si="52"/>
        <v>Tetracyclines</v>
      </c>
      <c r="BR188" t="str">
        <f t="shared" si="53"/>
        <v/>
      </c>
      <c r="BS188" t="str">
        <f t="shared" si="54"/>
        <v/>
      </c>
      <c r="BT188" s="76" t="str">
        <f t="shared" si="55"/>
        <v>Voie orale  hors prémélanges médicamenteux</v>
      </c>
      <c r="BU188" t="str">
        <f t="shared" si="56"/>
        <v/>
      </c>
      <c r="CN188">
        <v>187</v>
      </c>
    </row>
    <row r="189" spans="1:92" x14ac:dyDescent="0.3">
      <c r="A189" s="118" t="s">
        <v>2647</v>
      </c>
      <c r="B189" t="s">
        <v>2648</v>
      </c>
      <c r="C189" t="s">
        <v>2649</v>
      </c>
      <c r="D189" s="144" t="s">
        <v>1063</v>
      </c>
      <c r="E189" t="s">
        <v>830</v>
      </c>
      <c r="F189" t="s">
        <v>612</v>
      </c>
      <c r="G189" t="s">
        <v>1064</v>
      </c>
      <c r="H189" t="s">
        <v>1213</v>
      </c>
      <c r="I189" t="s">
        <v>1066</v>
      </c>
      <c r="J189" t="s">
        <v>1269</v>
      </c>
      <c r="K189" t="s">
        <v>1269</v>
      </c>
      <c r="L189" t="s">
        <v>1270</v>
      </c>
      <c r="M189" t="s">
        <v>208</v>
      </c>
      <c r="N189" t="s">
        <v>2650</v>
      </c>
      <c r="O189" t="s">
        <v>894</v>
      </c>
      <c r="P189" t="s">
        <v>772</v>
      </c>
      <c r="Q189" t="s">
        <v>1554</v>
      </c>
      <c r="R189">
        <v>0</v>
      </c>
      <c r="S189">
        <v>0</v>
      </c>
      <c r="T189">
        <v>0</v>
      </c>
      <c r="U189">
        <v>0</v>
      </c>
      <c r="V189">
        <v>0</v>
      </c>
      <c r="W189">
        <v>0</v>
      </c>
      <c r="X189">
        <v>0</v>
      </c>
      <c r="Y189">
        <v>0</v>
      </c>
      <c r="Z189">
        <v>0</v>
      </c>
      <c r="AA189">
        <v>0</v>
      </c>
      <c r="AB189">
        <v>0</v>
      </c>
      <c r="AC189">
        <v>0</v>
      </c>
      <c r="AD189">
        <v>5.5</v>
      </c>
      <c r="AE189">
        <v>21</v>
      </c>
      <c r="AF189">
        <v>0</v>
      </c>
      <c r="AG189">
        <v>0</v>
      </c>
      <c r="AH189">
        <v>0</v>
      </c>
      <c r="AI189">
        <v>0</v>
      </c>
      <c r="AY189" t="str">
        <f t="shared" si="38"/>
        <v>CAFMIX LINCOMYCINE 8.8 ENTERITE PORC</v>
      </c>
      <c r="AZ189" t="str">
        <f>IF(COUNTIF(AY:AY,AY189)=1,AY189,IF(AND(COUNTIF(AY:AY,AY189)&gt;1,COUNTIF(AZ$2:AZ188,AY189)&gt;=1),"",AY189))</f>
        <v>CAFMIX LINCOMYCINE 8.8 ENTERITE PORC</v>
      </c>
      <c r="BA189">
        <f>IF(AZ189="","",COUNTIFS(AZ$3:AZ$1439,"&lt;"&amp;AZ189,AZ$3:AZ$1439,"&lt;&gt;0")+COUNTIF(AZ$3:AZ189,AZ189)-876)</f>
        <v>80</v>
      </c>
      <c r="BC189">
        <v>187</v>
      </c>
      <c r="BD189" t="str">
        <f t="shared" si="49"/>
        <v>DOXY 2% PM</v>
      </c>
      <c r="BE189" t="str">
        <f t="shared" si="39"/>
        <v>PM</v>
      </c>
      <c r="BF189" t="str">
        <f t="shared" si="40"/>
        <v>TETRACYCLINES</v>
      </c>
      <c r="BG189" t="str">
        <f t="shared" si="41"/>
        <v/>
      </c>
      <c r="BH189" t="str">
        <f t="shared" si="42"/>
        <v/>
      </c>
      <c r="BI189" t="str">
        <f t="shared" si="43"/>
        <v>doxycycline</v>
      </c>
      <c r="BJ189" t="str">
        <f t="shared" si="44"/>
        <v/>
      </c>
      <c r="BK189" t="str">
        <f t="shared" si="45"/>
        <v/>
      </c>
      <c r="BL189" t="str">
        <f t="shared" si="50"/>
        <v>Doxycycline</v>
      </c>
      <c r="BM189" t="str">
        <f t="shared" si="46"/>
        <v>Doxycycline</v>
      </c>
      <c r="BN189" t="str">
        <f t="shared" si="47"/>
        <v/>
      </c>
      <c r="BO189" t="str">
        <f t="shared" si="48"/>
        <v/>
      </c>
      <c r="BP189" t="str">
        <f t="shared" si="51"/>
        <v>Tetracyclines</v>
      </c>
      <c r="BQ189" t="str">
        <f t="shared" si="52"/>
        <v>Tetracyclines</v>
      </c>
      <c r="BR189" t="str">
        <f t="shared" si="53"/>
        <v/>
      </c>
      <c r="BS189" t="str">
        <f t="shared" si="54"/>
        <v/>
      </c>
      <c r="BT189" s="76" t="str">
        <f t="shared" si="55"/>
        <v>Prémélanges médicamenteux</v>
      </c>
      <c r="BU189" t="str">
        <f t="shared" si="56"/>
        <v/>
      </c>
      <c r="CN189">
        <v>188</v>
      </c>
    </row>
    <row r="190" spans="1:92" x14ac:dyDescent="0.3">
      <c r="A190" s="118" t="s">
        <v>3963</v>
      </c>
      <c r="B190" t="s">
        <v>3964</v>
      </c>
      <c r="C190" t="s">
        <v>796</v>
      </c>
      <c r="D190" s="144" t="s">
        <v>776</v>
      </c>
      <c r="E190" t="s">
        <v>765</v>
      </c>
      <c r="F190" t="s">
        <v>261</v>
      </c>
      <c r="G190" t="s">
        <v>766</v>
      </c>
      <c r="H190" t="s">
        <v>1326</v>
      </c>
      <c r="I190" t="s">
        <v>766</v>
      </c>
      <c r="J190" t="s">
        <v>1752</v>
      </c>
      <c r="K190" t="s">
        <v>1752</v>
      </c>
      <c r="L190" t="s">
        <v>2511</v>
      </c>
      <c r="M190" t="s">
        <v>208</v>
      </c>
      <c r="N190" t="s">
        <v>1163</v>
      </c>
      <c r="O190" t="s">
        <v>771</v>
      </c>
      <c r="P190" t="s">
        <v>772</v>
      </c>
      <c r="Q190" t="s">
        <v>1255</v>
      </c>
      <c r="R190">
        <v>40</v>
      </c>
      <c r="S190">
        <v>1</v>
      </c>
      <c r="T190">
        <v>0</v>
      </c>
      <c r="U190">
        <v>0</v>
      </c>
      <c r="V190">
        <v>0</v>
      </c>
      <c r="W190">
        <v>0</v>
      </c>
      <c r="X190">
        <v>0</v>
      </c>
      <c r="Y190">
        <v>0</v>
      </c>
      <c r="Z190">
        <v>0</v>
      </c>
      <c r="AA190">
        <v>0</v>
      </c>
      <c r="AB190">
        <v>0</v>
      </c>
      <c r="AC190">
        <v>0</v>
      </c>
      <c r="AD190">
        <v>15</v>
      </c>
      <c r="AE190">
        <v>2</v>
      </c>
      <c r="AF190">
        <v>0</v>
      </c>
      <c r="AG190">
        <v>0</v>
      </c>
      <c r="AH190">
        <v>0</v>
      </c>
      <c r="AI190">
        <v>0</v>
      </c>
      <c r="AY190" t="str">
        <f t="shared" si="38"/>
        <v>CALFLOR 300 MG/ML SOLUTION INJECTABLE POUR BOVINS ET PORCINS</v>
      </c>
      <c r="AZ190" t="str">
        <f>IF(COUNTIF(AY:AY,AY190)=1,AY190,IF(AND(COUNTIF(AY:AY,AY190)&gt;1,COUNTIF(AZ$2:AZ189,AY190)&gt;=1),"",AY190))</f>
        <v>CALFLOR 300 MG/ML SOLUTION INJECTABLE POUR BOVINS ET PORCINS</v>
      </c>
      <c r="BA190">
        <f>IF(AZ190="","",COUNTIFS(AZ$3:AZ$1439,"&lt;"&amp;AZ190,AZ$3:AZ$1439,"&lt;&gt;0")+COUNTIF(AZ$3:AZ190,AZ190)-876)</f>
        <v>81</v>
      </c>
      <c r="BC190">
        <v>188</v>
      </c>
      <c r="BD190" t="str">
        <f t="shared" si="49"/>
        <v>DOXY 20 FRANVET</v>
      </c>
      <c r="BE190" t="str">
        <f t="shared" si="39"/>
        <v>ORAL</v>
      </c>
      <c r="BF190" t="str">
        <f t="shared" si="40"/>
        <v>TETRACYCLINES</v>
      </c>
      <c r="BG190" t="str">
        <f t="shared" si="41"/>
        <v/>
      </c>
      <c r="BH190" t="str">
        <f t="shared" si="42"/>
        <v/>
      </c>
      <c r="BI190" t="str">
        <f t="shared" si="43"/>
        <v>doxycycline</v>
      </c>
      <c r="BJ190" t="str">
        <f t="shared" si="44"/>
        <v/>
      </c>
      <c r="BK190" t="str">
        <f t="shared" si="45"/>
        <v/>
      </c>
      <c r="BL190" t="str">
        <f t="shared" si="50"/>
        <v>Doxycycline</v>
      </c>
      <c r="BM190" t="str">
        <f t="shared" si="46"/>
        <v>Doxycycline</v>
      </c>
      <c r="BN190" t="str">
        <f t="shared" si="47"/>
        <v/>
      </c>
      <c r="BO190" t="str">
        <f t="shared" si="48"/>
        <v/>
      </c>
      <c r="BP190" t="str">
        <f t="shared" si="51"/>
        <v>Tetracyclines</v>
      </c>
      <c r="BQ190" t="str">
        <f t="shared" si="52"/>
        <v>Tetracyclines</v>
      </c>
      <c r="BR190" t="str">
        <f t="shared" si="53"/>
        <v/>
      </c>
      <c r="BS190" t="str">
        <f t="shared" si="54"/>
        <v/>
      </c>
      <c r="BT190" s="76" t="str">
        <f t="shared" si="55"/>
        <v>Voie orale  hors prémélanges médicamenteux</v>
      </c>
      <c r="BU190" t="str">
        <f t="shared" si="56"/>
        <v/>
      </c>
      <c r="CN190">
        <v>189</v>
      </c>
    </row>
    <row r="191" spans="1:92" x14ac:dyDescent="0.3">
      <c r="A191" s="118" t="s">
        <v>1884</v>
      </c>
      <c r="B191" t="s">
        <v>1885</v>
      </c>
      <c r="C191" t="s">
        <v>1720</v>
      </c>
      <c r="D191" s="144" t="s">
        <v>764</v>
      </c>
      <c r="E191" t="s">
        <v>830</v>
      </c>
      <c r="F191" t="s">
        <v>262</v>
      </c>
      <c r="G191" t="s">
        <v>831</v>
      </c>
      <c r="H191" t="s">
        <v>169</v>
      </c>
      <c r="I191" t="s">
        <v>817</v>
      </c>
      <c r="J191" t="s">
        <v>861</v>
      </c>
      <c r="K191" t="s">
        <v>862</v>
      </c>
      <c r="L191" t="s">
        <v>895</v>
      </c>
      <c r="M191" t="s">
        <v>208</v>
      </c>
      <c r="N191" t="s">
        <v>972</v>
      </c>
      <c r="O191" t="s">
        <v>894</v>
      </c>
      <c r="P191" t="s">
        <v>772</v>
      </c>
      <c r="Q191" t="s">
        <v>1118</v>
      </c>
      <c r="R191">
        <v>60</v>
      </c>
      <c r="S191">
        <v>3</v>
      </c>
      <c r="T191">
        <v>0</v>
      </c>
      <c r="U191">
        <v>0</v>
      </c>
      <c r="V191">
        <v>0</v>
      </c>
      <c r="W191">
        <v>0</v>
      </c>
      <c r="X191">
        <v>0</v>
      </c>
      <c r="Y191">
        <v>0</v>
      </c>
      <c r="Z191">
        <v>0</v>
      </c>
      <c r="AA191">
        <v>0</v>
      </c>
      <c r="AB191">
        <v>60</v>
      </c>
      <c r="AC191">
        <v>3</v>
      </c>
      <c r="AD191">
        <v>0</v>
      </c>
      <c r="AE191">
        <v>0</v>
      </c>
      <c r="AF191">
        <v>0</v>
      </c>
      <c r="AG191">
        <v>0</v>
      </c>
      <c r="AH191">
        <v>0</v>
      </c>
      <c r="AI191">
        <v>0</v>
      </c>
      <c r="AJ191" t="s">
        <v>783</v>
      </c>
      <c r="AK191" t="s">
        <v>784</v>
      </c>
      <c r="AL191" t="s">
        <v>208</v>
      </c>
      <c r="AM191" t="s">
        <v>885</v>
      </c>
      <c r="AN191" t="s">
        <v>894</v>
      </c>
      <c r="AO191" t="s">
        <v>772</v>
      </c>
      <c r="AP191" t="s">
        <v>825</v>
      </c>
      <c r="AY191" t="str">
        <f t="shared" si="38"/>
        <v>CALF-MEAL</v>
      </c>
      <c r="AZ191" t="str">
        <f>IF(COUNTIF(AY:AY,AY191)=1,AY191,IF(AND(COUNTIF(AY:AY,AY191)&gt;1,COUNTIF(AZ$2:AZ190,AY191)&gt;=1),"",AY191))</f>
        <v>CALF-MEAL</v>
      </c>
      <c r="BA191">
        <f>IF(AZ191="","",COUNTIFS(AZ$3:AZ$1439,"&lt;"&amp;AZ191,AZ$3:AZ$1439,"&lt;&gt;0")+COUNTIF(AZ$3:AZ191,AZ191)-876)</f>
        <v>82</v>
      </c>
      <c r="BC191">
        <v>189</v>
      </c>
      <c r="BD191" t="str">
        <f t="shared" si="49"/>
        <v>DOXY 4% PM</v>
      </c>
      <c r="BE191" t="str">
        <f t="shared" si="39"/>
        <v>PM</v>
      </c>
      <c r="BF191" t="str">
        <f t="shared" si="40"/>
        <v>TETRACYCLINES</v>
      </c>
      <c r="BG191" t="str">
        <f t="shared" si="41"/>
        <v/>
      </c>
      <c r="BH191" t="str">
        <f t="shared" si="42"/>
        <v/>
      </c>
      <c r="BI191" t="str">
        <f t="shared" si="43"/>
        <v>doxycycline</v>
      </c>
      <c r="BJ191" t="str">
        <f t="shared" si="44"/>
        <v/>
      </c>
      <c r="BK191" t="str">
        <f t="shared" si="45"/>
        <v/>
      </c>
      <c r="BL191" t="str">
        <f t="shared" si="50"/>
        <v>Doxycycline</v>
      </c>
      <c r="BM191" t="str">
        <f t="shared" si="46"/>
        <v>Doxycycline</v>
      </c>
      <c r="BN191" t="str">
        <f t="shared" si="47"/>
        <v/>
      </c>
      <c r="BO191" t="str">
        <f t="shared" si="48"/>
        <v/>
      </c>
      <c r="BP191" t="str">
        <f t="shared" si="51"/>
        <v>Tetracyclines</v>
      </c>
      <c r="BQ191" t="str">
        <f t="shared" si="52"/>
        <v>Tetracyclines</v>
      </c>
      <c r="BR191" t="str">
        <f t="shared" si="53"/>
        <v/>
      </c>
      <c r="BS191" t="str">
        <f t="shared" si="54"/>
        <v/>
      </c>
      <c r="BT191" s="76" t="str">
        <f t="shared" si="55"/>
        <v>Prémélanges médicamenteux</v>
      </c>
      <c r="BU191" t="str">
        <f t="shared" si="56"/>
        <v/>
      </c>
      <c r="CN191">
        <v>190</v>
      </c>
    </row>
    <row r="192" spans="1:92" x14ac:dyDescent="0.3">
      <c r="A192" s="118" t="s">
        <v>969</v>
      </c>
      <c r="B192" t="s">
        <v>970</v>
      </c>
      <c r="C192" t="s">
        <v>971</v>
      </c>
      <c r="D192" s="144" t="s">
        <v>972</v>
      </c>
      <c r="E192" t="s">
        <v>765</v>
      </c>
      <c r="F192" t="s">
        <v>973</v>
      </c>
      <c r="G192" t="s">
        <v>964</v>
      </c>
      <c r="H192" t="s">
        <v>816</v>
      </c>
      <c r="I192" t="s">
        <v>879</v>
      </c>
      <c r="J192" t="s">
        <v>965</v>
      </c>
      <c r="K192" t="s">
        <v>783</v>
      </c>
      <c r="L192" t="s">
        <v>865</v>
      </c>
      <c r="M192" t="s">
        <v>208</v>
      </c>
      <c r="N192" t="s">
        <v>974</v>
      </c>
      <c r="O192" t="s">
        <v>771</v>
      </c>
      <c r="P192" t="s">
        <v>772</v>
      </c>
      <c r="Q192" t="s">
        <v>975</v>
      </c>
      <c r="R192">
        <v>0</v>
      </c>
      <c r="S192">
        <v>0</v>
      </c>
      <c r="T192">
        <v>0</v>
      </c>
      <c r="U192">
        <v>0</v>
      </c>
      <c r="V192">
        <v>0</v>
      </c>
      <c r="W192">
        <v>0</v>
      </c>
      <c r="X192">
        <v>0</v>
      </c>
      <c r="Y192">
        <v>0</v>
      </c>
      <c r="Z192">
        <v>0</v>
      </c>
      <c r="AA192">
        <v>0</v>
      </c>
      <c r="AB192">
        <v>0</v>
      </c>
      <c r="AC192">
        <v>0</v>
      </c>
      <c r="AD192">
        <v>0</v>
      </c>
      <c r="AE192">
        <v>0</v>
      </c>
      <c r="AF192">
        <v>0</v>
      </c>
      <c r="AG192">
        <v>0</v>
      </c>
      <c r="AH192">
        <v>0</v>
      </c>
      <c r="AI192">
        <v>0</v>
      </c>
      <c r="AJ192" t="s">
        <v>821</v>
      </c>
      <c r="AK192" t="s">
        <v>976</v>
      </c>
      <c r="AL192" t="s">
        <v>208</v>
      </c>
      <c r="AM192" t="s">
        <v>977</v>
      </c>
      <c r="AN192" t="s">
        <v>771</v>
      </c>
      <c r="AO192" t="s">
        <v>772</v>
      </c>
      <c r="AP192" t="s">
        <v>975</v>
      </c>
      <c r="AY192" t="str">
        <f t="shared" si="38"/>
        <v/>
      </c>
      <c r="AZ192" t="str">
        <f>IF(COUNTIF(AY:AY,AY192)=1,AY192,IF(AND(COUNTIF(AY:AY,AY192)&gt;1,COUNTIF(AZ$2:AZ191,AY192)&gt;=1),"",AY192))</f>
        <v/>
      </c>
      <c r="BA192" t="str">
        <f>IF(AZ192="","",COUNTIFS(AZ$3:AZ$1439,"&lt;"&amp;AZ192,AZ$3:AZ$1439,"&lt;&gt;0")+COUNTIF(AZ$3:AZ192,AZ192)-876)</f>
        <v/>
      </c>
      <c r="BC192">
        <v>190</v>
      </c>
      <c r="BD192" t="str">
        <f t="shared" si="49"/>
        <v>DOXY 5 FRANVET</v>
      </c>
      <c r="BE192" t="str">
        <f t="shared" si="39"/>
        <v>ORAL</v>
      </c>
      <c r="BF192" t="str">
        <f t="shared" si="40"/>
        <v>TETRACYCLINES</v>
      </c>
      <c r="BG192" t="str">
        <f t="shared" si="41"/>
        <v/>
      </c>
      <c r="BH192" t="str">
        <f t="shared" si="42"/>
        <v/>
      </c>
      <c r="BI192" t="str">
        <f t="shared" si="43"/>
        <v>doxycycline</v>
      </c>
      <c r="BJ192" t="str">
        <f t="shared" si="44"/>
        <v/>
      </c>
      <c r="BK192" t="str">
        <f t="shared" si="45"/>
        <v/>
      </c>
      <c r="BL192" t="str">
        <f t="shared" si="50"/>
        <v>Doxycycline</v>
      </c>
      <c r="BM192" t="str">
        <f t="shared" si="46"/>
        <v>Doxycycline</v>
      </c>
      <c r="BN192" t="str">
        <f t="shared" si="47"/>
        <v/>
      </c>
      <c r="BO192" t="str">
        <f t="shared" si="48"/>
        <v/>
      </c>
      <c r="BP192" t="str">
        <f t="shared" si="51"/>
        <v>Tetracyclines</v>
      </c>
      <c r="BQ192" t="str">
        <f t="shared" si="52"/>
        <v>Tetracyclines</v>
      </c>
      <c r="BR192" t="str">
        <f t="shared" si="53"/>
        <v/>
      </c>
      <c r="BS192" t="str">
        <f t="shared" si="54"/>
        <v/>
      </c>
      <c r="BT192" s="76" t="str">
        <f t="shared" si="55"/>
        <v>Voie orale  hors prémélanges médicamenteux</v>
      </c>
      <c r="BU192" t="str">
        <f t="shared" si="56"/>
        <v/>
      </c>
      <c r="CN192">
        <v>191</v>
      </c>
    </row>
    <row r="193" spans="1:92" x14ac:dyDescent="0.3">
      <c r="A193" s="118" t="s">
        <v>969</v>
      </c>
      <c r="B193" t="s">
        <v>978</v>
      </c>
      <c r="C193" t="s">
        <v>979</v>
      </c>
      <c r="D193" s="144" t="s">
        <v>855</v>
      </c>
      <c r="E193" t="s">
        <v>765</v>
      </c>
      <c r="F193" t="s">
        <v>973</v>
      </c>
      <c r="G193" t="s">
        <v>964</v>
      </c>
      <c r="H193" t="s">
        <v>816</v>
      </c>
      <c r="I193" t="s">
        <v>879</v>
      </c>
      <c r="J193" t="s">
        <v>965</v>
      </c>
      <c r="K193" t="s">
        <v>783</v>
      </c>
      <c r="L193" t="s">
        <v>865</v>
      </c>
      <c r="M193" t="s">
        <v>208</v>
      </c>
      <c r="N193" t="s">
        <v>974</v>
      </c>
      <c r="O193" t="s">
        <v>771</v>
      </c>
      <c r="P193" t="s">
        <v>772</v>
      </c>
      <c r="Q193" t="s">
        <v>980</v>
      </c>
      <c r="R193">
        <v>0</v>
      </c>
      <c r="S193">
        <v>0</v>
      </c>
      <c r="T193">
        <v>0</v>
      </c>
      <c r="U193">
        <v>0</v>
      </c>
      <c r="V193">
        <v>0</v>
      </c>
      <c r="W193">
        <v>0</v>
      </c>
      <c r="X193">
        <v>0</v>
      </c>
      <c r="Y193">
        <v>0</v>
      </c>
      <c r="Z193">
        <v>0</v>
      </c>
      <c r="AA193">
        <v>0</v>
      </c>
      <c r="AB193">
        <v>0</v>
      </c>
      <c r="AC193">
        <v>0</v>
      </c>
      <c r="AD193">
        <v>0</v>
      </c>
      <c r="AE193">
        <v>0</v>
      </c>
      <c r="AF193">
        <v>0</v>
      </c>
      <c r="AG193">
        <v>0</v>
      </c>
      <c r="AH193">
        <v>0</v>
      </c>
      <c r="AI193">
        <v>0</v>
      </c>
      <c r="AJ193" t="s">
        <v>821</v>
      </c>
      <c r="AK193" t="s">
        <v>976</v>
      </c>
      <c r="AL193" t="s">
        <v>208</v>
      </c>
      <c r="AM193" t="s">
        <v>977</v>
      </c>
      <c r="AN193" t="s">
        <v>771</v>
      </c>
      <c r="AO193" t="s">
        <v>772</v>
      </c>
      <c r="AP193" t="s">
        <v>980</v>
      </c>
      <c r="AY193" t="str">
        <f t="shared" si="38"/>
        <v/>
      </c>
      <c r="AZ193" t="str">
        <f>IF(COUNTIF(AY:AY,AY193)=1,AY193,IF(AND(COUNTIF(AY:AY,AY193)&gt;1,COUNTIF(AZ$2:AZ192,AY193)&gt;=1),"",AY193))</f>
        <v/>
      </c>
      <c r="BA193" t="str">
        <f>IF(AZ193="","",COUNTIFS(AZ$3:AZ$1439,"&lt;"&amp;AZ193,AZ$3:AZ$1439,"&lt;&gt;0")+COUNTIF(AZ$3:AZ193,AZ193)-876)</f>
        <v/>
      </c>
      <c r="BC193">
        <v>191</v>
      </c>
      <c r="BD193" t="str">
        <f t="shared" si="49"/>
        <v>DOXYCYCLINE CALIER 500 MG/G POUDRE POUR ADMINISTRATION DANS L'EAU DE BOISSON POUR POULETS, DINDES ET PORCINS</v>
      </c>
      <c r="BE193" t="str">
        <f t="shared" si="39"/>
        <v>ORAL</v>
      </c>
      <c r="BF193" t="str">
        <f t="shared" si="40"/>
        <v>TETRACYCLINES</v>
      </c>
      <c r="BG193" t="str">
        <f t="shared" si="41"/>
        <v/>
      </c>
      <c r="BH193" t="str">
        <f t="shared" si="42"/>
        <v/>
      </c>
      <c r="BI193" t="str">
        <f t="shared" si="43"/>
        <v>doxycycline</v>
      </c>
      <c r="BJ193" t="str">
        <f t="shared" si="44"/>
        <v/>
      </c>
      <c r="BK193" t="str">
        <f t="shared" si="45"/>
        <v/>
      </c>
      <c r="BL193" t="str">
        <f t="shared" si="50"/>
        <v>Doxycycline</v>
      </c>
      <c r="BM193" t="str">
        <f t="shared" si="46"/>
        <v>Doxycycline</v>
      </c>
      <c r="BN193" t="str">
        <f t="shared" si="47"/>
        <v/>
      </c>
      <c r="BO193" t="str">
        <f t="shared" si="48"/>
        <v/>
      </c>
      <c r="BP193" t="str">
        <f t="shared" si="51"/>
        <v>Tetracyclines</v>
      </c>
      <c r="BQ193" t="str">
        <f t="shared" si="52"/>
        <v>Tetracyclines</v>
      </c>
      <c r="BR193" t="str">
        <f t="shared" si="53"/>
        <v/>
      </c>
      <c r="BS193" t="str">
        <f t="shared" si="54"/>
        <v/>
      </c>
      <c r="BT193" s="76" t="str">
        <f t="shared" si="55"/>
        <v>Voie orale  hors prémélanges médicamenteux</v>
      </c>
      <c r="BU193" t="str">
        <f t="shared" si="56"/>
        <v/>
      </c>
      <c r="CN193">
        <v>192</v>
      </c>
    </row>
    <row r="194" spans="1:92" x14ac:dyDescent="0.3">
      <c r="A194" s="118" t="s">
        <v>856</v>
      </c>
      <c r="B194" t="s">
        <v>857</v>
      </c>
      <c r="C194" t="s">
        <v>858</v>
      </c>
      <c r="D194" s="144" t="s">
        <v>797</v>
      </c>
      <c r="E194" t="s">
        <v>813</v>
      </c>
      <c r="F194" t="s">
        <v>859</v>
      </c>
      <c r="G194" t="s">
        <v>815</v>
      </c>
      <c r="H194" t="s">
        <v>860</v>
      </c>
      <c r="I194" t="s">
        <v>817</v>
      </c>
      <c r="J194" t="s">
        <v>861</v>
      </c>
      <c r="K194" t="s">
        <v>862</v>
      </c>
      <c r="L194" t="s">
        <v>863</v>
      </c>
      <c r="M194" t="s">
        <v>208</v>
      </c>
      <c r="N194" t="s">
        <v>864</v>
      </c>
      <c r="O194" t="s">
        <v>824</v>
      </c>
      <c r="P194" t="s">
        <v>772</v>
      </c>
      <c r="Q194" t="s">
        <v>786</v>
      </c>
      <c r="R194">
        <v>0</v>
      </c>
      <c r="S194">
        <v>0</v>
      </c>
      <c r="T194">
        <v>40.6</v>
      </c>
      <c r="U194">
        <v>5</v>
      </c>
      <c r="V194">
        <v>0</v>
      </c>
      <c r="W194">
        <v>0</v>
      </c>
      <c r="X194">
        <v>0</v>
      </c>
      <c r="Y194">
        <v>0</v>
      </c>
      <c r="Z194">
        <v>0</v>
      </c>
      <c r="AA194">
        <v>0</v>
      </c>
      <c r="AB194">
        <v>0</v>
      </c>
      <c r="AC194">
        <v>0</v>
      </c>
      <c r="AD194">
        <v>0</v>
      </c>
      <c r="AE194">
        <v>0</v>
      </c>
      <c r="AF194">
        <v>0</v>
      </c>
      <c r="AG194">
        <v>0</v>
      </c>
      <c r="AH194">
        <v>0</v>
      </c>
      <c r="AI194">
        <v>0</v>
      </c>
      <c r="AJ194" t="s">
        <v>783</v>
      </c>
      <c r="AK194" t="s">
        <v>865</v>
      </c>
      <c r="AL194" t="s">
        <v>208</v>
      </c>
      <c r="AM194" t="s">
        <v>4366</v>
      </c>
      <c r="AN194" t="s">
        <v>820</v>
      </c>
      <c r="AO194" t="s">
        <v>4367</v>
      </c>
      <c r="AP194" t="s">
        <v>4368</v>
      </c>
      <c r="AY194" t="str">
        <f t="shared" si="38"/>
        <v/>
      </c>
      <c r="AZ194" t="str">
        <f>IF(COUNTIF(AY:AY,AY194)=1,AY194,IF(AND(COUNTIF(AY:AY,AY194)&gt;1,COUNTIF(AZ$2:AZ193,AY194)&gt;=1),"",AY194))</f>
        <v/>
      </c>
      <c r="BA194" t="str">
        <f>IF(AZ194="","",COUNTIFS(AZ$3:AZ$1439,"&lt;"&amp;AZ194,AZ$3:AZ$1439,"&lt;&gt;0")+COUNTIF(AZ$3:AZ194,AZ194)-876)</f>
        <v/>
      </c>
      <c r="BC194">
        <v>192</v>
      </c>
      <c r="BD194" t="str">
        <f t="shared" si="49"/>
        <v>DOXYLIN 867 MG/G POUDRE POUR ADMINISTRATION DANS L’EAU DE BOISSON/LE LAIT POUR VEAUX ET PORCS</v>
      </c>
      <c r="BE194" t="str">
        <f t="shared" si="39"/>
        <v>ORAL</v>
      </c>
      <c r="BF194" t="str">
        <f t="shared" si="40"/>
        <v>TETRACYCLINES</v>
      </c>
      <c r="BG194" t="str">
        <f t="shared" si="41"/>
        <v/>
      </c>
      <c r="BH194" t="str">
        <f t="shared" si="42"/>
        <v/>
      </c>
      <c r="BI194" t="str">
        <f t="shared" si="43"/>
        <v>doxycycline</v>
      </c>
      <c r="BJ194" t="str">
        <f t="shared" si="44"/>
        <v/>
      </c>
      <c r="BK194" t="str">
        <f t="shared" si="45"/>
        <v/>
      </c>
      <c r="BL194" t="str">
        <f t="shared" si="50"/>
        <v>Doxycycline</v>
      </c>
      <c r="BM194" t="str">
        <f t="shared" si="46"/>
        <v>Doxycycline</v>
      </c>
      <c r="BN194" t="str">
        <f t="shared" si="47"/>
        <v/>
      </c>
      <c r="BO194" t="str">
        <f t="shared" si="48"/>
        <v/>
      </c>
      <c r="BP194" t="str">
        <f t="shared" si="51"/>
        <v>Tetracyclines</v>
      </c>
      <c r="BQ194" t="str">
        <f t="shared" si="52"/>
        <v>Tetracyclines</v>
      </c>
      <c r="BR194" t="str">
        <f t="shared" si="53"/>
        <v/>
      </c>
      <c r="BS194" t="str">
        <f t="shared" si="54"/>
        <v/>
      </c>
      <c r="BT194" s="76" t="str">
        <f t="shared" si="55"/>
        <v>Voie orale  hors prémélanges médicamenteux</v>
      </c>
      <c r="BU194" t="str">
        <f t="shared" si="56"/>
        <v/>
      </c>
      <c r="CN194">
        <v>193</v>
      </c>
    </row>
    <row r="195" spans="1:92" x14ac:dyDescent="0.3">
      <c r="A195" s="118" t="s">
        <v>2459</v>
      </c>
      <c r="B195" t="s">
        <v>2460</v>
      </c>
      <c r="C195" t="s">
        <v>807</v>
      </c>
      <c r="D195" s="144" t="s">
        <v>764</v>
      </c>
      <c r="E195" t="s">
        <v>765</v>
      </c>
      <c r="F195" t="s">
        <v>613</v>
      </c>
      <c r="G195" t="s">
        <v>766</v>
      </c>
      <c r="H195" t="s">
        <v>801</v>
      </c>
      <c r="I195" t="s">
        <v>766</v>
      </c>
      <c r="J195" t="s">
        <v>802</v>
      </c>
      <c r="K195" t="s">
        <v>802</v>
      </c>
      <c r="L195" t="s">
        <v>803</v>
      </c>
      <c r="M195" t="s">
        <v>208</v>
      </c>
      <c r="N195" t="s">
        <v>1805</v>
      </c>
      <c r="O195" t="s">
        <v>805</v>
      </c>
      <c r="P195" t="s">
        <v>4363</v>
      </c>
      <c r="Q195" t="s">
        <v>4465</v>
      </c>
      <c r="R195">
        <v>31</v>
      </c>
      <c r="S195">
        <v>2</v>
      </c>
      <c r="T195">
        <v>0</v>
      </c>
      <c r="U195">
        <v>0</v>
      </c>
      <c r="V195">
        <v>0</v>
      </c>
      <c r="W195">
        <v>0</v>
      </c>
      <c r="X195">
        <v>0</v>
      </c>
      <c r="Y195">
        <v>0</v>
      </c>
      <c r="Z195">
        <v>0</v>
      </c>
      <c r="AA195">
        <v>0</v>
      </c>
      <c r="AB195">
        <v>0</v>
      </c>
      <c r="AC195">
        <v>0</v>
      </c>
      <c r="AD195">
        <v>0</v>
      </c>
      <c r="AE195">
        <v>0</v>
      </c>
      <c r="AF195">
        <v>0</v>
      </c>
      <c r="AG195">
        <v>0</v>
      </c>
      <c r="AH195">
        <v>0</v>
      </c>
      <c r="AI195">
        <v>0</v>
      </c>
      <c r="AY195" t="str">
        <f t="shared" ref="AY195:AY258" si="57">IF(INDEX(CK$3:CL$174,MATCH(H195,CK$3:CK$174,0),2)="x",F195,"")</f>
        <v>CAPTALIN</v>
      </c>
      <c r="AZ195" t="str">
        <f>IF(COUNTIF(AY:AY,AY195)=1,AY195,IF(AND(COUNTIF(AY:AY,AY195)&gt;1,COUNTIF(AZ$2:AZ194,AY195)&gt;=1),"",AY195))</f>
        <v>CAPTALIN</v>
      </c>
      <c r="BA195">
        <f>IF(AZ195="","",COUNTIFS(AZ$3:AZ$1439,"&lt;"&amp;AZ195,AZ$3:AZ$1439,"&lt;&gt;0")+COUNTIF(AZ$3:AZ195,AZ195)-876)</f>
        <v>83</v>
      </c>
      <c r="BC195">
        <v>193</v>
      </c>
      <c r="BD195" t="str">
        <f t="shared" si="49"/>
        <v>DOXYLIN CT WSP 433 MG/G POUDRE POUR ADMINISTRATION DANS L'EAU DE BOISSON POUR POULES ET DINDES</v>
      </c>
      <c r="BE195" t="str">
        <f t="shared" ref="BE195:BE258" si="58">IFERROR(INDEX(F:AR,MATCH(BD195,F:F,0),4),"")</f>
        <v>ORAL</v>
      </c>
      <c r="BF195" t="str">
        <f t="shared" ref="BF195:BF258" si="59">IFERROR(INDEX(F:AR,MATCH(BD195,F:F,0),6),"")</f>
        <v>TETRACYCLINES</v>
      </c>
      <c r="BG195" t="str">
        <f t="shared" ref="BG195:BG258" si="60">IFERROR(IF(INDEX(F:AR,MATCH(BD195,F:F,0),31)=0,"",INDEX(F:AR,MATCH(BD195,F:F,0),31)),"")</f>
        <v/>
      </c>
      <c r="BH195" t="str">
        <f t="shared" ref="BH195:BH258" si="61">IFERROR(IF(INDEX(F:AR,MATCH(BD195,F:F,0),38)=0,"",INDEX(F:AR,MATCH(BD195,F:F,0),38)),"")</f>
        <v/>
      </c>
      <c r="BI195" t="str">
        <f t="shared" ref="BI195:BI258" si="62">+IFERROR(IF(INDEX(F:AR,MATCH(BD195,F:F,0),7)=0,"",INDEX(F:AR,MATCH(BD195,F:F,0),7)),"")</f>
        <v>doxycycline</v>
      </c>
      <c r="BJ195" t="str">
        <f t="shared" ref="BJ195:BJ258" si="63">IFERROR(IF(INDEX(F:AR,MATCH(BD195,F:F,0),32)=0,"",INDEX(F:AR,MATCH(BD195,F:F,0),32)),"")</f>
        <v/>
      </c>
      <c r="BK195" t="str">
        <f t="shared" ref="BK195:BK258" si="64">IFERROR(IF(INDEX(F:AR,MATCH(BD195,F:F,0),39)=0,"",INDEX(F:AR,MATCH(BD195,F:F,0),39)),"")</f>
        <v/>
      </c>
      <c r="BL195" t="str">
        <f t="shared" si="50"/>
        <v>Doxycycline</v>
      </c>
      <c r="BM195" t="str">
        <f t="shared" ref="BM195:BM258" si="65">IFERROR(INDEX(BZ$3:CA$63,MATCH(BI195,BZ$3:BZ$63,0),2),"")</f>
        <v>Doxycycline</v>
      </c>
      <c r="BN195" t="str">
        <f t="shared" ref="BN195:BN258" si="66">IFERROR(INDEX(BZ$3:CA$63,MATCH(BJ195,BZ$3:BZ$63,0),2),"")</f>
        <v/>
      </c>
      <c r="BO195" t="str">
        <f t="shared" ref="BO195:BO258" si="67">IFERROR(INDEX(BZ$3:CA$63,MATCH(BK195,BZ$3:BZ$63,0),2),"")</f>
        <v/>
      </c>
      <c r="BP195" t="str">
        <f t="shared" si="51"/>
        <v>Tetracyclines</v>
      </c>
      <c r="BQ195" t="str">
        <f t="shared" si="52"/>
        <v>Tetracyclines</v>
      </c>
      <c r="BR195" t="str">
        <f t="shared" si="53"/>
        <v/>
      </c>
      <c r="BS195" t="str">
        <f t="shared" si="54"/>
        <v/>
      </c>
      <c r="BT195" s="76" t="str">
        <f t="shared" si="55"/>
        <v>Voie orale  hors prémélanges médicamenteux</v>
      </c>
      <c r="BU195" t="str">
        <f t="shared" si="56"/>
        <v/>
      </c>
      <c r="CN195">
        <v>194</v>
      </c>
    </row>
    <row r="196" spans="1:92" x14ac:dyDescent="0.3">
      <c r="A196" s="118" t="s">
        <v>2459</v>
      </c>
      <c r="B196" t="s">
        <v>2461</v>
      </c>
      <c r="C196" t="s">
        <v>2462</v>
      </c>
      <c r="D196" s="144" t="s">
        <v>776</v>
      </c>
      <c r="E196" t="s">
        <v>765</v>
      </c>
      <c r="F196" t="s">
        <v>613</v>
      </c>
      <c r="G196" t="s">
        <v>766</v>
      </c>
      <c r="H196" t="s">
        <v>801</v>
      </c>
      <c r="I196" t="s">
        <v>766</v>
      </c>
      <c r="J196" t="s">
        <v>802</v>
      </c>
      <c r="K196" t="s">
        <v>802</v>
      </c>
      <c r="L196" t="s">
        <v>803</v>
      </c>
      <c r="M196" t="s">
        <v>208</v>
      </c>
      <c r="N196" t="s">
        <v>1805</v>
      </c>
      <c r="O196" t="s">
        <v>805</v>
      </c>
      <c r="P196" t="s">
        <v>4363</v>
      </c>
      <c r="Q196" t="s">
        <v>4417</v>
      </c>
      <c r="R196">
        <v>31</v>
      </c>
      <c r="S196">
        <v>2</v>
      </c>
      <c r="T196">
        <v>0</v>
      </c>
      <c r="U196">
        <v>0</v>
      </c>
      <c r="V196">
        <v>0</v>
      </c>
      <c r="W196">
        <v>0</v>
      </c>
      <c r="X196">
        <v>0</v>
      </c>
      <c r="Y196">
        <v>0</v>
      </c>
      <c r="Z196">
        <v>0</v>
      </c>
      <c r="AA196">
        <v>0</v>
      </c>
      <c r="AB196">
        <v>0</v>
      </c>
      <c r="AC196">
        <v>0</v>
      </c>
      <c r="AD196">
        <v>0</v>
      </c>
      <c r="AE196">
        <v>0</v>
      </c>
      <c r="AF196">
        <v>0</v>
      </c>
      <c r="AG196">
        <v>0</v>
      </c>
      <c r="AH196">
        <v>0</v>
      </c>
      <c r="AI196">
        <v>0</v>
      </c>
      <c r="AY196" t="str">
        <f t="shared" si="57"/>
        <v>CAPTALIN</v>
      </c>
      <c r="AZ196" t="str">
        <f>IF(COUNTIF(AY:AY,AY196)=1,AY196,IF(AND(COUNTIF(AY:AY,AY196)&gt;1,COUNTIF(AZ$2:AZ195,AY196)&gt;=1),"",AY196))</f>
        <v/>
      </c>
      <c r="BA196" t="str">
        <f>IF(AZ196="","",COUNTIFS(AZ$3:AZ$1439,"&lt;"&amp;AZ196,AZ$3:AZ$1439,"&lt;&gt;0")+COUNTIF(AZ$3:AZ196,AZ196)-876)</f>
        <v/>
      </c>
      <c r="BC196">
        <v>194</v>
      </c>
      <c r="BD196" t="str">
        <f t="shared" ref="BD196:BD259" si="68">IFERROR(INDEX(AZ:BA,MATCH(BC196,BA:BA,0),1),"")</f>
        <v>DOXYPRO 200 MG / G POUDRE ORALE VEAUX</v>
      </c>
      <c r="BE196" t="str">
        <f t="shared" si="58"/>
        <v>ORAL</v>
      </c>
      <c r="BF196" t="str">
        <f t="shared" si="59"/>
        <v>TETRACYCLINES</v>
      </c>
      <c r="BG196" t="str">
        <f t="shared" si="60"/>
        <v/>
      </c>
      <c r="BH196" t="str">
        <f t="shared" si="61"/>
        <v/>
      </c>
      <c r="BI196" t="str">
        <f t="shared" si="62"/>
        <v>doxycycline</v>
      </c>
      <c r="BJ196" t="str">
        <f t="shared" si="63"/>
        <v/>
      </c>
      <c r="BK196" t="str">
        <f t="shared" si="64"/>
        <v/>
      </c>
      <c r="BL196" t="str">
        <f t="shared" ref="BL196:BL259" si="69">IF(3-COUNTBLANK(BM196:BO196)=1,BM196,IF(3-COUNTBLANK(BM196:BO196)=2,BM196&amp;" + "&amp;BN196,IF(3-COUNTBLANK(BM196:BO196)=3,BM196&amp;" + "&amp;BN196&amp;" + "&amp;BO196,"")))</f>
        <v>Doxycycline</v>
      </c>
      <c r="BM196" t="str">
        <f t="shared" si="65"/>
        <v>Doxycycline</v>
      </c>
      <c r="BN196" t="str">
        <f t="shared" si="66"/>
        <v/>
      </c>
      <c r="BO196" t="str">
        <f t="shared" si="67"/>
        <v/>
      </c>
      <c r="BP196" t="str">
        <f t="shared" ref="BP196:BP259" si="70">IF(3-COUNTBLANK(BQ196:BS196)=1,BQ196,IF(3-COUNTBLANK(BQ196:BS196)=2,IF(BQ196=BR196,BQ196,BQ196&amp;" + "&amp;BR196),IF(3-COUNTBLANK(BQ196:BS196)=3,IF(BQ196=BR196,BQ196,IF(BQ196=BS196,BQ196,IF(BR196=BS196,BR196,IF(AND(BQ196=BR196,BQ196=BS196),BQ196,BQ196&amp;" + "&amp;BR196&amp;" + "&amp;BS196)))))))</f>
        <v>Tetracyclines</v>
      </c>
      <c r="BQ196" t="str">
        <f t="shared" ref="BQ196:BQ259" si="71">IFERROR(INDEX(BW$3:BX$18,MATCH(BF196,BW$3:BW$18,0),2),"")</f>
        <v>Tetracyclines</v>
      </c>
      <c r="BR196" t="str">
        <f t="shared" ref="BR196:BR259" si="72">IFERROR(INDEX(BW$3:BX$18,MATCH(BG196,BW$3:BW$18,0),2),"")</f>
        <v/>
      </c>
      <c r="BS196" t="str">
        <f t="shared" ref="BS196:BS259" si="73">IFERROR(INDEX(BW$3:BX$18,MATCH(BH196,BW$3:BW$18,0),2),"")</f>
        <v/>
      </c>
      <c r="BT196" s="76" t="str">
        <f t="shared" ref="BT196:BT259" si="74">IFERROR(INDEX(CD$3:CE$9,MATCH(BE196,CD$3:CD$9,0),2),"")</f>
        <v>Voie orale  hors prémélanges médicamenteux</v>
      </c>
      <c r="BU196" t="str">
        <f t="shared" ref="BU196:BU259" si="75">IF(BM196="Colistine","x",IF(BN196="Colistine","x",IF(BO196="Colistine","x",IF(BQ196="Fluoroquinolones","x",IF(BR196="Fluoroquinolones","x",IF(BS196="Fluoroquinolones","x",IF(BQ196="Cephalosporines 3&amp;4G","x",IF(BR196="Cephalosporines 3&amp;4G","x",IF(BS196="Cephalosporines 3&amp;4G","x","")))))))))</f>
        <v/>
      </c>
      <c r="CN196">
        <v>195</v>
      </c>
    </row>
    <row r="197" spans="1:92" x14ac:dyDescent="0.3">
      <c r="A197" s="118" t="s">
        <v>4171</v>
      </c>
      <c r="B197" t="s">
        <v>4172</v>
      </c>
      <c r="C197" t="s">
        <v>3371</v>
      </c>
      <c r="D197" s="144" t="s">
        <v>764</v>
      </c>
      <c r="E197" t="s">
        <v>813</v>
      </c>
      <c r="F197" t="s">
        <v>4173</v>
      </c>
      <c r="G197" t="s">
        <v>815</v>
      </c>
      <c r="H197" t="s">
        <v>860</v>
      </c>
      <c r="I197" t="s">
        <v>817</v>
      </c>
      <c r="J197" t="s">
        <v>1179</v>
      </c>
      <c r="K197" t="s">
        <v>1179</v>
      </c>
      <c r="L197" t="s">
        <v>1354</v>
      </c>
      <c r="M197" t="s">
        <v>208</v>
      </c>
      <c r="N197" t="s">
        <v>829</v>
      </c>
      <c r="O197" t="s">
        <v>824</v>
      </c>
      <c r="P197" t="s">
        <v>772</v>
      </c>
      <c r="Q197" t="s">
        <v>764</v>
      </c>
      <c r="R197">
        <v>0</v>
      </c>
      <c r="S197">
        <v>0</v>
      </c>
      <c r="T197">
        <v>30</v>
      </c>
      <c r="U197">
        <v>5</v>
      </c>
      <c r="V197">
        <v>0</v>
      </c>
      <c r="W197">
        <v>0</v>
      </c>
      <c r="X197">
        <v>0</v>
      </c>
      <c r="Y197">
        <v>0</v>
      </c>
      <c r="Z197">
        <v>0</v>
      </c>
      <c r="AA197">
        <v>0</v>
      </c>
      <c r="AB197">
        <v>0</v>
      </c>
      <c r="AC197">
        <v>0</v>
      </c>
      <c r="AD197">
        <v>0</v>
      </c>
      <c r="AE197">
        <v>0</v>
      </c>
      <c r="AF197">
        <v>0</v>
      </c>
      <c r="AG197">
        <v>0</v>
      </c>
      <c r="AH197">
        <v>0</v>
      </c>
      <c r="AI197">
        <v>0</v>
      </c>
      <c r="AY197" t="str">
        <f t="shared" si="57"/>
        <v/>
      </c>
      <c r="AZ197" t="str">
        <f>IF(COUNTIF(AY:AY,AY197)=1,AY197,IF(AND(COUNTIF(AY:AY,AY197)&gt;1,COUNTIF(AZ$2:AZ196,AY197)&gt;=1),"",AY197))</f>
        <v/>
      </c>
      <c r="BA197" t="str">
        <f>IF(AZ197="","",COUNTIFS(AZ$3:AZ$1439,"&lt;"&amp;AZ197,AZ$3:AZ$1439,"&lt;&gt;0")+COUNTIF(AZ$3:AZ197,AZ197)-876)</f>
        <v/>
      </c>
      <c r="BC197">
        <v>195</v>
      </c>
      <c r="BD197" t="str">
        <f t="shared" si="68"/>
        <v>DOXYSOL 10 %</v>
      </c>
      <c r="BE197" t="str">
        <f t="shared" si="58"/>
        <v>ORAL</v>
      </c>
      <c r="BF197" t="str">
        <f t="shared" si="59"/>
        <v>TETRACYCLINES</v>
      </c>
      <c r="BG197" t="str">
        <f t="shared" si="60"/>
        <v/>
      </c>
      <c r="BH197" t="str">
        <f t="shared" si="61"/>
        <v/>
      </c>
      <c r="BI197" t="str">
        <f t="shared" si="62"/>
        <v>doxycycline</v>
      </c>
      <c r="BJ197" t="str">
        <f t="shared" si="63"/>
        <v/>
      </c>
      <c r="BK197" t="str">
        <f t="shared" si="64"/>
        <v/>
      </c>
      <c r="BL197" t="str">
        <f t="shared" si="69"/>
        <v>Doxycycline</v>
      </c>
      <c r="BM197" t="str">
        <f t="shared" si="65"/>
        <v>Doxycycline</v>
      </c>
      <c r="BN197" t="str">
        <f t="shared" si="66"/>
        <v/>
      </c>
      <c r="BO197" t="str">
        <f t="shared" si="67"/>
        <v/>
      </c>
      <c r="BP197" t="str">
        <f t="shared" si="70"/>
        <v>Tetracyclines</v>
      </c>
      <c r="BQ197" t="str">
        <f t="shared" si="71"/>
        <v>Tetracyclines</v>
      </c>
      <c r="BR197" t="str">
        <f t="shared" si="72"/>
        <v/>
      </c>
      <c r="BS197" t="str">
        <f t="shared" si="73"/>
        <v/>
      </c>
      <c r="BT197" s="76" t="str">
        <f t="shared" si="74"/>
        <v>Voie orale  hors prémélanges médicamenteux</v>
      </c>
      <c r="BU197" t="str">
        <f t="shared" si="75"/>
        <v/>
      </c>
      <c r="CN197">
        <v>196</v>
      </c>
    </row>
    <row r="198" spans="1:92" x14ac:dyDescent="0.3">
      <c r="A198" s="118" t="s">
        <v>4165</v>
      </c>
      <c r="B198" t="s">
        <v>4166</v>
      </c>
      <c r="C198" t="s">
        <v>3647</v>
      </c>
      <c r="D198" s="144" t="s">
        <v>776</v>
      </c>
      <c r="E198" t="s">
        <v>813</v>
      </c>
      <c r="F198" t="s">
        <v>4167</v>
      </c>
      <c r="G198" t="s">
        <v>815</v>
      </c>
      <c r="H198" t="s">
        <v>816</v>
      </c>
      <c r="I198" t="s">
        <v>817</v>
      </c>
      <c r="J198" t="s">
        <v>1179</v>
      </c>
      <c r="K198" t="s">
        <v>1179</v>
      </c>
      <c r="L198" t="s">
        <v>1354</v>
      </c>
      <c r="M198" t="s">
        <v>208</v>
      </c>
      <c r="N198" t="s">
        <v>776</v>
      </c>
      <c r="O198" t="s">
        <v>824</v>
      </c>
      <c r="P198" t="s">
        <v>772</v>
      </c>
      <c r="Q198" t="s">
        <v>950</v>
      </c>
      <c r="R198">
        <v>0</v>
      </c>
      <c r="S198">
        <v>0</v>
      </c>
      <c r="T198">
        <v>30</v>
      </c>
      <c r="U198">
        <v>5</v>
      </c>
      <c r="V198">
        <v>0</v>
      </c>
      <c r="W198">
        <v>0</v>
      </c>
      <c r="X198">
        <v>0</v>
      </c>
      <c r="Y198">
        <v>0</v>
      </c>
      <c r="Z198">
        <v>0</v>
      </c>
      <c r="AA198">
        <v>0</v>
      </c>
      <c r="AB198">
        <v>0</v>
      </c>
      <c r="AC198">
        <v>0</v>
      </c>
      <c r="AD198">
        <v>0</v>
      </c>
      <c r="AE198">
        <v>0</v>
      </c>
      <c r="AF198">
        <v>0</v>
      </c>
      <c r="AG198">
        <v>0</v>
      </c>
      <c r="AH198">
        <v>0</v>
      </c>
      <c r="AI198">
        <v>0</v>
      </c>
      <c r="AY198" t="str">
        <f t="shared" si="57"/>
        <v/>
      </c>
      <c r="AZ198" t="str">
        <f>IF(COUNTIF(AY:AY,AY198)=1,AY198,IF(AND(COUNTIF(AY:AY,AY198)&gt;1,COUNTIF(AZ$2:AZ197,AY198)&gt;=1),"",AY198))</f>
        <v/>
      </c>
      <c r="BA198" t="str">
        <f>IF(AZ198="","",COUNTIFS(AZ$3:AZ$1439,"&lt;"&amp;AZ198,AZ$3:AZ$1439,"&lt;&gt;0")+COUNTIF(AZ$3:AZ198,AZ198)-876)</f>
        <v/>
      </c>
      <c r="BC198">
        <v>196</v>
      </c>
      <c r="BD198" t="str">
        <f t="shared" si="68"/>
        <v>DOXYVAL 20 %</v>
      </c>
      <c r="BE198" t="str">
        <f t="shared" si="58"/>
        <v>ORAL</v>
      </c>
      <c r="BF198" t="str">
        <f t="shared" si="59"/>
        <v>TETRACYCLINES</v>
      </c>
      <c r="BG198" t="str">
        <f t="shared" si="60"/>
        <v/>
      </c>
      <c r="BH198" t="str">
        <f t="shared" si="61"/>
        <v/>
      </c>
      <c r="BI198" t="str">
        <f t="shared" si="62"/>
        <v>doxycycline</v>
      </c>
      <c r="BJ198" t="str">
        <f t="shared" si="63"/>
        <v/>
      </c>
      <c r="BK198" t="str">
        <f t="shared" si="64"/>
        <v/>
      </c>
      <c r="BL198" t="str">
        <f t="shared" si="69"/>
        <v>Doxycycline</v>
      </c>
      <c r="BM198" t="str">
        <f t="shared" si="65"/>
        <v>Doxycycline</v>
      </c>
      <c r="BN198" t="str">
        <f t="shared" si="66"/>
        <v/>
      </c>
      <c r="BO198" t="str">
        <f t="shared" si="67"/>
        <v/>
      </c>
      <c r="BP198" t="str">
        <f t="shared" si="70"/>
        <v>Tetracyclines</v>
      </c>
      <c r="BQ198" t="str">
        <f t="shared" si="71"/>
        <v>Tetracyclines</v>
      </c>
      <c r="BR198" t="str">
        <f t="shared" si="72"/>
        <v/>
      </c>
      <c r="BS198" t="str">
        <f t="shared" si="73"/>
        <v/>
      </c>
      <c r="BT198" s="76" t="str">
        <f t="shared" si="74"/>
        <v>Voie orale  hors prémélanges médicamenteux</v>
      </c>
      <c r="BU198" t="str">
        <f t="shared" si="75"/>
        <v/>
      </c>
      <c r="CN198">
        <v>197</v>
      </c>
    </row>
    <row r="199" spans="1:92" x14ac:dyDescent="0.3">
      <c r="A199" s="118" t="s">
        <v>4162</v>
      </c>
      <c r="B199" t="s">
        <v>4163</v>
      </c>
      <c r="C199" t="s">
        <v>3647</v>
      </c>
      <c r="D199" s="144" t="s">
        <v>776</v>
      </c>
      <c r="E199" t="s">
        <v>813</v>
      </c>
      <c r="F199" t="s">
        <v>4164</v>
      </c>
      <c r="G199" t="s">
        <v>815</v>
      </c>
      <c r="H199" t="s">
        <v>816</v>
      </c>
      <c r="I199" t="s">
        <v>817</v>
      </c>
      <c r="J199" t="s">
        <v>1179</v>
      </c>
      <c r="K199" t="s">
        <v>1179</v>
      </c>
      <c r="L199" t="s">
        <v>1354</v>
      </c>
      <c r="M199" t="s">
        <v>208</v>
      </c>
      <c r="N199" t="s">
        <v>780</v>
      </c>
      <c r="O199" t="s">
        <v>824</v>
      </c>
      <c r="P199" t="s">
        <v>772</v>
      </c>
      <c r="Q199" t="s">
        <v>1072</v>
      </c>
      <c r="R199">
        <v>0</v>
      </c>
      <c r="S199">
        <v>0</v>
      </c>
      <c r="T199">
        <v>30</v>
      </c>
      <c r="U199">
        <v>5</v>
      </c>
      <c r="V199">
        <v>0</v>
      </c>
      <c r="W199">
        <v>0</v>
      </c>
      <c r="X199">
        <v>0</v>
      </c>
      <c r="Y199">
        <v>0</v>
      </c>
      <c r="Z199">
        <v>0</v>
      </c>
      <c r="AA199">
        <v>0</v>
      </c>
      <c r="AB199">
        <v>0</v>
      </c>
      <c r="AC199">
        <v>0</v>
      </c>
      <c r="AD199">
        <v>0</v>
      </c>
      <c r="AE199">
        <v>0</v>
      </c>
      <c r="AF199">
        <v>0</v>
      </c>
      <c r="AG199">
        <v>0</v>
      </c>
      <c r="AH199">
        <v>0</v>
      </c>
      <c r="AI199">
        <v>0</v>
      </c>
      <c r="AY199" t="str">
        <f t="shared" si="57"/>
        <v/>
      </c>
      <c r="AZ199" t="str">
        <f>IF(COUNTIF(AY:AY,AY199)=1,AY199,IF(AND(COUNTIF(AY:AY,AY199)&gt;1,COUNTIF(AZ$2:AZ198,AY199)&gt;=1),"",AY199))</f>
        <v/>
      </c>
      <c r="BA199" t="str">
        <f>IF(AZ199="","",COUNTIFS(AZ$3:AZ$1439,"&lt;"&amp;AZ199,AZ$3:AZ$1439,"&lt;&gt;0")+COUNTIF(AZ$3:AZ199,AZ199)-876)</f>
        <v/>
      </c>
      <c r="BC199">
        <v>197</v>
      </c>
      <c r="BD199" t="str">
        <f t="shared" si="68"/>
        <v>DOXYVETO-C 433 MG/G POUDRE POUR ADMINISTRATION DANS L'EAU DE BOISSON / LE LAIT DE REMPLACEMENT POUR LES BOVINS, PORCINS ET POULETS</v>
      </c>
      <c r="BE199" t="str">
        <f t="shared" si="58"/>
        <v>ORAL</v>
      </c>
      <c r="BF199" t="str">
        <f t="shared" si="59"/>
        <v>TETRACYCLINES</v>
      </c>
      <c r="BG199" t="str">
        <f t="shared" si="60"/>
        <v/>
      </c>
      <c r="BH199" t="str">
        <f t="shared" si="61"/>
        <v/>
      </c>
      <c r="BI199" t="str">
        <f t="shared" si="62"/>
        <v>doxycycline</v>
      </c>
      <c r="BJ199" t="str">
        <f t="shared" si="63"/>
        <v/>
      </c>
      <c r="BK199" t="str">
        <f t="shared" si="64"/>
        <v/>
      </c>
      <c r="BL199" t="str">
        <f t="shared" si="69"/>
        <v>Doxycycline</v>
      </c>
      <c r="BM199" t="str">
        <f t="shared" si="65"/>
        <v>Doxycycline</v>
      </c>
      <c r="BN199" t="str">
        <f t="shared" si="66"/>
        <v/>
      </c>
      <c r="BO199" t="str">
        <f t="shared" si="67"/>
        <v/>
      </c>
      <c r="BP199" t="str">
        <f t="shared" si="70"/>
        <v>Tetracyclines</v>
      </c>
      <c r="BQ199" t="str">
        <f t="shared" si="71"/>
        <v>Tetracyclines</v>
      </c>
      <c r="BR199" t="str">
        <f t="shared" si="72"/>
        <v/>
      </c>
      <c r="BS199" t="str">
        <f t="shared" si="73"/>
        <v/>
      </c>
      <c r="BT199" s="76" t="str">
        <f t="shared" si="74"/>
        <v>Voie orale  hors prémélanges médicamenteux</v>
      </c>
      <c r="BU199" t="str">
        <f t="shared" si="75"/>
        <v/>
      </c>
      <c r="CN199">
        <v>198</v>
      </c>
    </row>
    <row r="200" spans="1:92" x14ac:dyDescent="0.3">
      <c r="A200" s="118" t="s">
        <v>4168</v>
      </c>
      <c r="B200" t="s">
        <v>4169</v>
      </c>
      <c r="C200" t="s">
        <v>3647</v>
      </c>
      <c r="D200" s="144" t="s">
        <v>776</v>
      </c>
      <c r="E200" t="s">
        <v>813</v>
      </c>
      <c r="F200" t="s">
        <v>4170</v>
      </c>
      <c r="G200" t="s">
        <v>815</v>
      </c>
      <c r="H200" t="s">
        <v>860</v>
      </c>
      <c r="I200" t="s">
        <v>817</v>
      </c>
      <c r="J200" t="s">
        <v>1179</v>
      </c>
      <c r="K200" t="s">
        <v>1179</v>
      </c>
      <c r="L200" t="s">
        <v>1354</v>
      </c>
      <c r="M200" t="s">
        <v>208</v>
      </c>
      <c r="N200" t="s">
        <v>906</v>
      </c>
      <c r="O200" t="s">
        <v>824</v>
      </c>
      <c r="P200" t="s">
        <v>772</v>
      </c>
      <c r="Q200" t="s">
        <v>1125</v>
      </c>
      <c r="R200">
        <v>0</v>
      </c>
      <c r="S200">
        <v>0</v>
      </c>
      <c r="T200">
        <v>30</v>
      </c>
      <c r="U200">
        <v>5</v>
      </c>
      <c r="V200">
        <v>0</v>
      </c>
      <c r="W200">
        <v>0</v>
      </c>
      <c r="X200">
        <v>0</v>
      </c>
      <c r="Y200">
        <v>0</v>
      </c>
      <c r="Z200">
        <v>0</v>
      </c>
      <c r="AA200">
        <v>0</v>
      </c>
      <c r="AB200">
        <v>0</v>
      </c>
      <c r="AC200">
        <v>0</v>
      </c>
      <c r="AD200">
        <v>0</v>
      </c>
      <c r="AE200">
        <v>0</v>
      </c>
      <c r="AF200">
        <v>0</v>
      </c>
      <c r="AG200">
        <v>0</v>
      </c>
      <c r="AH200">
        <v>0</v>
      </c>
      <c r="AI200">
        <v>0</v>
      </c>
      <c r="AY200" t="str">
        <f t="shared" si="57"/>
        <v/>
      </c>
      <c r="AZ200" t="str">
        <f>IF(COUNTIF(AY:AY,AY200)=1,AY200,IF(AND(COUNTIF(AY:AY,AY200)&gt;1,COUNTIF(AZ$2:AZ199,AY200)&gt;=1),"",AY200))</f>
        <v/>
      </c>
      <c r="BA200" t="str">
        <f>IF(AZ200="","",COUNTIFS(AZ$3:AZ$1439,"&lt;"&amp;AZ200,AZ$3:AZ$1439,"&lt;&gt;0")+COUNTIF(AZ$3:AZ200,AZ200)-876)</f>
        <v/>
      </c>
      <c r="BC200">
        <v>198</v>
      </c>
      <c r="BD200" t="str">
        <f t="shared" si="68"/>
        <v>DRAXXIN 100 MG/ML SOLUTION INJECTABLE POUR BOVINS, PORCINS ET OVINS</v>
      </c>
      <c r="BE200" t="str">
        <f t="shared" si="58"/>
        <v>INJ</v>
      </c>
      <c r="BF200" t="str">
        <f t="shared" si="59"/>
        <v>MACROLIDES</v>
      </c>
      <c r="BG200" t="str">
        <f t="shared" si="60"/>
        <v/>
      </c>
      <c r="BH200" t="str">
        <f t="shared" si="61"/>
        <v/>
      </c>
      <c r="BI200" t="str">
        <f t="shared" si="62"/>
        <v>tulathromycin</v>
      </c>
      <c r="BJ200" t="str">
        <f t="shared" si="63"/>
        <v/>
      </c>
      <c r="BK200" t="str">
        <f t="shared" si="64"/>
        <v/>
      </c>
      <c r="BL200" t="str">
        <f t="shared" si="69"/>
        <v>Tulathromycine</v>
      </c>
      <c r="BM200" t="str">
        <f t="shared" si="65"/>
        <v>Tulathromycine</v>
      </c>
      <c r="BN200" t="str">
        <f t="shared" si="66"/>
        <v/>
      </c>
      <c r="BO200" t="str">
        <f t="shared" si="67"/>
        <v/>
      </c>
      <c r="BP200" t="str">
        <f t="shared" si="70"/>
        <v>Macrolides</v>
      </c>
      <c r="BQ200" t="str">
        <f t="shared" si="71"/>
        <v>Macrolides</v>
      </c>
      <c r="BR200" t="str">
        <f t="shared" si="72"/>
        <v/>
      </c>
      <c r="BS200" t="str">
        <f t="shared" si="73"/>
        <v/>
      </c>
      <c r="BT200" s="76" t="str">
        <f t="shared" si="74"/>
        <v>Voie parentérale</v>
      </c>
      <c r="BU200" t="str">
        <f t="shared" si="75"/>
        <v/>
      </c>
      <c r="CN200">
        <v>199</v>
      </c>
    </row>
    <row r="201" spans="1:92" x14ac:dyDescent="0.3">
      <c r="A201" s="118" t="s">
        <v>3758</v>
      </c>
      <c r="B201" t="s">
        <v>3759</v>
      </c>
      <c r="C201" t="s">
        <v>3760</v>
      </c>
      <c r="D201" s="144" t="s">
        <v>864</v>
      </c>
      <c r="E201" t="s">
        <v>813</v>
      </c>
      <c r="F201" t="s">
        <v>3761</v>
      </c>
      <c r="G201" t="s">
        <v>815</v>
      </c>
      <c r="H201" t="s">
        <v>860</v>
      </c>
      <c r="I201" t="s">
        <v>817</v>
      </c>
      <c r="J201" t="s">
        <v>1179</v>
      </c>
      <c r="K201" t="s">
        <v>1179</v>
      </c>
      <c r="L201" t="s">
        <v>1354</v>
      </c>
      <c r="M201" t="s">
        <v>208</v>
      </c>
      <c r="N201" t="s">
        <v>1163</v>
      </c>
      <c r="O201" t="s">
        <v>824</v>
      </c>
      <c r="P201" t="s">
        <v>772</v>
      </c>
      <c r="Q201" t="s">
        <v>1047</v>
      </c>
      <c r="R201">
        <v>0</v>
      </c>
      <c r="S201">
        <v>0</v>
      </c>
      <c r="T201">
        <v>30</v>
      </c>
      <c r="U201">
        <v>21</v>
      </c>
      <c r="V201">
        <v>0</v>
      </c>
      <c r="W201">
        <v>0</v>
      </c>
      <c r="X201">
        <v>0</v>
      </c>
      <c r="Y201">
        <v>0</v>
      </c>
      <c r="Z201">
        <v>0</v>
      </c>
      <c r="AA201">
        <v>0</v>
      </c>
      <c r="AB201">
        <v>0</v>
      </c>
      <c r="AC201">
        <v>0</v>
      </c>
      <c r="AD201">
        <v>0</v>
      </c>
      <c r="AE201">
        <v>0</v>
      </c>
      <c r="AF201">
        <v>0</v>
      </c>
      <c r="AG201">
        <v>0</v>
      </c>
      <c r="AH201">
        <v>0</v>
      </c>
      <c r="AI201">
        <v>0</v>
      </c>
      <c r="AY201" t="str">
        <f t="shared" si="57"/>
        <v/>
      </c>
      <c r="AZ201" t="str">
        <f>IF(COUNTIF(AY:AY,AY201)=1,AY201,IF(AND(COUNTIF(AY:AY,AY201)&gt;1,COUNTIF(AZ$2:AZ200,AY201)&gt;=1),"",AY201))</f>
        <v/>
      </c>
      <c r="BA201" t="str">
        <f>IF(AZ201="","",COUNTIFS(AZ$3:AZ$1439,"&lt;"&amp;AZ201,AZ$3:AZ$1439,"&lt;&gt;0")+COUNTIF(AZ$3:AZ201,AZ201)-876)</f>
        <v/>
      </c>
      <c r="BC201">
        <v>199</v>
      </c>
      <c r="BD201" t="str">
        <f t="shared" si="68"/>
        <v>DRAXXIN 25 MG/ML SOLUTION INJECTABLE POUR PORCINS</v>
      </c>
      <c r="BE201" t="str">
        <f t="shared" si="58"/>
        <v>INJ</v>
      </c>
      <c r="BF201" t="str">
        <f t="shared" si="59"/>
        <v>MACROLIDES</v>
      </c>
      <c r="BG201" t="str">
        <f t="shared" si="60"/>
        <v/>
      </c>
      <c r="BH201" t="str">
        <f t="shared" si="61"/>
        <v/>
      </c>
      <c r="BI201" t="str">
        <f t="shared" si="62"/>
        <v>tulathromycin</v>
      </c>
      <c r="BJ201" t="str">
        <f t="shared" si="63"/>
        <v/>
      </c>
      <c r="BK201" t="str">
        <f t="shared" si="64"/>
        <v/>
      </c>
      <c r="BL201" t="str">
        <f t="shared" si="69"/>
        <v>Tulathromycine</v>
      </c>
      <c r="BM201" t="str">
        <f t="shared" si="65"/>
        <v>Tulathromycine</v>
      </c>
      <c r="BN201" t="str">
        <f t="shared" si="66"/>
        <v/>
      </c>
      <c r="BO201" t="str">
        <f t="shared" si="67"/>
        <v/>
      </c>
      <c r="BP201" t="str">
        <f t="shared" si="70"/>
        <v>Macrolides</v>
      </c>
      <c r="BQ201" t="str">
        <f t="shared" si="71"/>
        <v>Macrolides</v>
      </c>
      <c r="BR201" t="str">
        <f t="shared" si="72"/>
        <v/>
      </c>
      <c r="BS201" t="str">
        <f t="shared" si="73"/>
        <v/>
      </c>
      <c r="BT201" s="76" t="str">
        <f t="shared" si="74"/>
        <v>Voie parentérale</v>
      </c>
      <c r="BU201" t="str">
        <f t="shared" si="75"/>
        <v/>
      </c>
      <c r="CN201">
        <v>200</v>
      </c>
    </row>
    <row r="202" spans="1:92" x14ac:dyDescent="0.3">
      <c r="A202" s="118" t="s">
        <v>3754</v>
      </c>
      <c r="B202" t="s">
        <v>3755</v>
      </c>
      <c r="C202" t="s">
        <v>3756</v>
      </c>
      <c r="D202" s="144" t="s">
        <v>864</v>
      </c>
      <c r="E202" t="s">
        <v>813</v>
      </c>
      <c r="F202" t="s">
        <v>3757</v>
      </c>
      <c r="G202" t="s">
        <v>815</v>
      </c>
      <c r="H202" t="s">
        <v>871</v>
      </c>
      <c r="I202" t="s">
        <v>817</v>
      </c>
      <c r="J202" t="s">
        <v>1179</v>
      </c>
      <c r="K202" t="s">
        <v>1179</v>
      </c>
      <c r="L202" t="s">
        <v>1354</v>
      </c>
      <c r="M202" t="s">
        <v>208</v>
      </c>
      <c r="N202" t="s">
        <v>1255</v>
      </c>
      <c r="O202" t="s">
        <v>824</v>
      </c>
      <c r="P202" t="s">
        <v>772</v>
      </c>
      <c r="Q202" t="s">
        <v>972</v>
      </c>
      <c r="R202">
        <v>0</v>
      </c>
      <c r="S202">
        <v>0</v>
      </c>
      <c r="T202">
        <v>30</v>
      </c>
      <c r="U202">
        <v>21</v>
      </c>
      <c r="V202">
        <v>0</v>
      </c>
      <c r="W202">
        <v>0</v>
      </c>
      <c r="X202">
        <v>0</v>
      </c>
      <c r="Y202">
        <v>0</v>
      </c>
      <c r="Z202">
        <v>0</v>
      </c>
      <c r="AA202">
        <v>0</v>
      </c>
      <c r="AB202">
        <v>0</v>
      </c>
      <c r="AC202">
        <v>0</v>
      </c>
      <c r="AD202">
        <v>0</v>
      </c>
      <c r="AE202">
        <v>0</v>
      </c>
      <c r="AF202">
        <v>0</v>
      </c>
      <c r="AG202">
        <v>0</v>
      </c>
      <c r="AH202">
        <v>0</v>
      </c>
      <c r="AI202">
        <v>0</v>
      </c>
      <c r="AY202" t="str">
        <f t="shared" si="57"/>
        <v/>
      </c>
      <c r="AZ202" t="str">
        <f>IF(COUNTIF(AY:AY,AY202)=1,AY202,IF(AND(COUNTIF(AY:AY,AY202)&gt;1,COUNTIF(AZ$2:AZ201,AY202)&gt;=1),"",AY202))</f>
        <v/>
      </c>
      <c r="BA202" t="str">
        <f>IF(AZ202="","",COUNTIFS(AZ$3:AZ$1439,"&lt;"&amp;AZ202,AZ$3:AZ$1439,"&lt;&gt;0")+COUNTIF(AZ$3:AZ202,AZ202)-876)</f>
        <v/>
      </c>
      <c r="BC202">
        <v>200</v>
      </c>
      <c r="BD202" t="str">
        <f t="shared" si="68"/>
        <v>DRAXXIN KP 100 MG/ML + 120 MG/ML SOLUTION INJECTABLE POUR BOVINS</v>
      </c>
      <c r="BE202" t="str">
        <f t="shared" si="58"/>
        <v>INJ</v>
      </c>
      <c r="BF202" t="str">
        <f t="shared" si="59"/>
        <v>MACROLIDES</v>
      </c>
      <c r="BG202" t="str">
        <f t="shared" si="60"/>
        <v/>
      </c>
      <c r="BH202" t="str">
        <f t="shared" si="61"/>
        <v/>
      </c>
      <c r="BI202" t="str">
        <f t="shared" si="62"/>
        <v>tulathromycin</v>
      </c>
      <c r="BJ202" t="str">
        <f t="shared" si="63"/>
        <v/>
      </c>
      <c r="BK202" t="str">
        <f t="shared" si="64"/>
        <v/>
      </c>
      <c r="BL202" t="str">
        <f t="shared" si="69"/>
        <v>Tulathromycine</v>
      </c>
      <c r="BM202" t="str">
        <f t="shared" si="65"/>
        <v>Tulathromycine</v>
      </c>
      <c r="BN202" t="str">
        <f t="shared" si="66"/>
        <v/>
      </c>
      <c r="BO202" t="str">
        <f t="shared" si="67"/>
        <v/>
      </c>
      <c r="BP202" t="str">
        <f t="shared" si="70"/>
        <v>Macrolides</v>
      </c>
      <c r="BQ202" t="str">
        <f t="shared" si="71"/>
        <v>Macrolides</v>
      </c>
      <c r="BR202" t="str">
        <f t="shared" si="72"/>
        <v/>
      </c>
      <c r="BS202" t="str">
        <f t="shared" si="73"/>
        <v/>
      </c>
      <c r="BT202" s="76" t="str">
        <f t="shared" si="74"/>
        <v>Voie parentérale</v>
      </c>
      <c r="BU202" t="str">
        <f t="shared" si="75"/>
        <v/>
      </c>
      <c r="CN202">
        <v>201</v>
      </c>
    </row>
    <row r="203" spans="1:92" x14ac:dyDescent="0.3">
      <c r="A203" s="118" t="s">
        <v>3762</v>
      </c>
      <c r="B203" t="s">
        <v>3763</v>
      </c>
      <c r="C203" t="s">
        <v>2947</v>
      </c>
      <c r="D203" s="144" t="s">
        <v>864</v>
      </c>
      <c r="E203" t="s">
        <v>813</v>
      </c>
      <c r="F203" t="s">
        <v>3764</v>
      </c>
      <c r="G203" t="s">
        <v>815</v>
      </c>
      <c r="H203" t="s">
        <v>860</v>
      </c>
      <c r="I203" t="s">
        <v>817</v>
      </c>
      <c r="J203" t="s">
        <v>1179</v>
      </c>
      <c r="K203" t="s">
        <v>1179</v>
      </c>
      <c r="L203" t="s">
        <v>1354</v>
      </c>
      <c r="M203" t="s">
        <v>208</v>
      </c>
      <c r="N203" t="s">
        <v>1426</v>
      </c>
      <c r="O203" t="s">
        <v>824</v>
      </c>
      <c r="P203" t="s">
        <v>772</v>
      </c>
      <c r="Q203" t="s">
        <v>1155</v>
      </c>
      <c r="R203">
        <v>0</v>
      </c>
      <c r="S203">
        <v>0</v>
      </c>
      <c r="T203">
        <v>30</v>
      </c>
      <c r="U203">
        <v>21</v>
      </c>
      <c r="V203">
        <v>0</v>
      </c>
      <c r="W203">
        <v>0</v>
      </c>
      <c r="X203">
        <v>0</v>
      </c>
      <c r="Y203">
        <v>0</v>
      </c>
      <c r="Z203">
        <v>0</v>
      </c>
      <c r="AA203">
        <v>0</v>
      </c>
      <c r="AB203">
        <v>0</v>
      </c>
      <c r="AC203">
        <v>0</v>
      </c>
      <c r="AD203">
        <v>0</v>
      </c>
      <c r="AE203">
        <v>0</v>
      </c>
      <c r="AF203">
        <v>0</v>
      </c>
      <c r="AG203">
        <v>0</v>
      </c>
      <c r="AH203">
        <v>0</v>
      </c>
      <c r="AI203">
        <v>0</v>
      </c>
      <c r="AY203" t="str">
        <f t="shared" si="57"/>
        <v/>
      </c>
      <c r="AZ203" t="str">
        <f>IF(COUNTIF(AY:AY,AY203)=1,AY203,IF(AND(COUNTIF(AY:AY,AY203)&gt;1,COUNTIF(AZ$2:AZ202,AY203)&gt;=1),"",AY203))</f>
        <v/>
      </c>
      <c r="BA203" t="str">
        <f>IF(AZ203="","",COUNTIFS(AZ$3:AZ$1439,"&lt;"&amp;AZ203,AZ$3:AZ$1439,"&lt;&gt;0")+COUNTIF(AZ$3:AZ203,AZ203)-876)</f>
        <v/>
      </c>
      <c r="BC203">
        <v>201</v>
      </c>
      <c r="BD203" t="str">
        <f t="shared" si="68"/>
        <v>DUOPRIM</v>
      </c>
      <c r="BE203" t="str">
        <f t="shared" si="58"/>
        <v>INJ</v>
      </c>
      <c r="BF203" t="str">
        <f t="shared" si="59"/>
        <v>SULFAMIDES</v>
      </c>
      <c r="BG203" t="str">
        <f t="shared" si="60"/>
        <v>TRIMETHOPRIME</v>
      </c>
      <c r="BH203" t="str">
        <f t="shared" si="61"/>
        <v/>
      </c>
      <c r="BI203" t="str">
        <f t="shared" si="62"/>
        <v>sulfadoxine</v>
      </c>
      <c r="BJ203" t="str">
        <f t="shared" si="63"/>
        <v>trimethoprim</v>
      </c>
      <c r="BK203" t="str">
        <f t="shared" si="64"/>
        <v/>
      </c>
      <c r="BL203" t="str">
        <f t="shared" si="69"/>
        <v>Sulfadoxine + Triméthoprime</v>
      </c>
      <c r="BM203" t="str">
        <f t="shared" si="65"/>
        <v>Sulfadoxine</v>
      </c>
      <c r="BN203" t="str">
        <f t="shared" si="66"/>
        <v>Triméthoprime</v>
      </c>
      <c r="BO203" t="str">
        <f t="shared" si="67"/>
        <v/>
      </c>
      <c r="BP203" t="str">
        <f t="shared" si="70"/>
        <v>Sulfamides + Trimethoprime</v>
      </c>
      <c r="BQ203" t="str">
        <f t="shared" si="71"/>
        <v>Sulfamides</v>
      </c>
      <c r="BR203" t="str">
        <f t="shared" si="72"/>
        <v>Trimethoprime</v>
      </c>
      <c r="BS203" t="str">
        <f t="shared" si="73"/>
        <v/>
      </c>
      <c r="BT203" s="76" t="str">
        <f t="shared" si="74"/>
        <v>Voie parentérale</v>
      </c>
      <c r="BU203" t="str">
        <f t="shared" si="75"/>
        <v/>
      </c>
      <c r="CN203">
        <v>202</v>
      </c>
    </row>
    <row r="204" spans="1:92" x14ac:dyDescent="0.3">
      <c r="A204" s="118" t="s">
        <v>2942</v>
      </c>
      <c r="B204" t="s">
        <v>2943</v>
      </c>
      <c r="C204" t="s">
        <v>2944</v>
      </c>
      <c r="D204" s="144" t="s">
        <v>852</v>
      </c>
      <c r="E204" t="s">
        <v>813</v>
      </c>
      <c r="F204" t="s">
        <v>2945</v>
      </c>
      <c r="G204" t="s">
        <v>815</v>
      </c>
      <c r="H204" t="s">
        <v>860</v>
      </c>
      <c r="I204" t="s">
        <v>817</v>
      </c>
      <c r="J204" t="s">
        <v>1179</v>
      </c>
      <c r="K204" t="s">
        <v>1179</v>
      </c>
      <c r="L204" t="s">
        <v>1354</v>
      </c>
      <c r="M204" t="s">
        <v>208</v>
      </c>
      <c r="N204" t="s">
        <v>1163</v>
      </c>
      <c r="O204" t="s">
        <v>824</v>
      </c>
      <c r="P204" t="s">
        <v>772</v>
      </c>
      <c r="Q204" t="s">
        <v>1304</v>
      </c>
      <c r="R204">
        <v>0</v>
      </c>
      <c r="S204">
        <v>0</v>
      </c>
      <c r="T204">
        <v>30</v>
      </c>
      <c r="U204">
        <v>21</v>
      </c>
      <c r="V204">
        <v>0</v>
      </c>
      <c r="W204">
        <v>0</v>
      </c>
      <c r="X204">
        <v>0</v>
      </c>
      <c r="Y204">
        <v>0</v>
      </c>
      <c r="Z204">
        <v>0</v>
      </c>
      <c r="AA204">
        <v>0</v>
      </c>
      <c r="AB204">
        <v>0</v>
      </c>
      <c r="AC204">
        <v>0</v>
      </c>
      <c r="AD204">
        <v>0</v>
      </c>
      <c r="AE204">
        <v>0</v>
      </c>
      <c r="AF204">
        <v>0</v>
      </c>
      <c r="AG204">
        <v>0</v>
      </c>
      <c r="AH204">
        <v>0</v>
      </c>
      <c r="AI204">
        <v>0</v>
      </c>
      <c r="AY204" t="str">
        <f t="shared" si="57"/>
        <v/>
      </c>
      <c r="AZ204" t="str">
        <f>IF(COUNTIF(AY:AY,AY204)=1,AY204,IF(AND(COUNTIF(AY:AY,AY204)&gt;1,COUNTIF(AZ$2:AZ203,AY204)&gt;=1),"",AY204))</f>
        <v/>
      </c>
      <c r="BA204" t="str">
        <f>IF(AZ204="","",COUNTIFS(AZ$3:AZ$1439,"&lt;"&amp;AZ204,AZ$3:AZ$1439,"&lt;&gt;0")+COUNTIF(AZ$3:AZ204,AZ204)-876)</f>
        <v/>
      </c>
      <c r="BC204">
        <v>202</v>
      </c>
      <c r="BD204" t="str">
        <f t="shared" si="68"/>
        <v>DUPHACYCLINE LA</v>
      </c>
      <c r="BE204" t="str">
        <f t="shared" si="58"/>
        <v>INJ</v>
      </c>
      <c r="BF204" t="str">
        <f t="shared" si="59"/>
        <v>TETRACYCLINES</v>
      </c>
      <c r="BG204" t="str">
        <f t="shared" si="60"/>
        <v/>
      </c>
      <c r="BH204" t="str">
        <f t="shared" si="61"/>
        <v/>
      </c>
      <c r="BI204" t="str">
        <f t="shared" si="62"/>
        <v>oxytetracycline</v>
      </c>
      <c r="BJ204" t="str">
        <f t="shared" si="63"/>
        <v/>
      </c>
      <c r="BK204" t="str">
        <f t="shared" si="64"/>
        <v/>
      </c>
      <c r="BL204" t="str">
        <f t="shared" si="69"/>
        <v>Oxytétracycline</v>
      </c>
      <c r="BM204" t="str">
        <f t="shared" si="65"/>
        <v>Oxytétracycline</v>
      </c>
      <c r="BN204" t="str">
        <f t="shared" si="66"/>
        <v/>
      </c>
      <c r="BO204" t="str">
        <f t="shared" si="67"/>
        <v/>
      </c>
      <c r="BP204" t="str">
        <f t="shared" si="70"/>
        <v>Tetracyclines</v>
      </c>
      <c r="BQ204" t="str">
        <f t="shared" si="71"/>
        <v>Tetracyclines</v>
      </c>
      <c r="BR204" t="str">
        <f t="shared" si="72"/>
        <v/>
      </c>
      <c r="BS204" t="str">
        <f t="shared" si="73"/>
        <v/>
      </c>
      <c r="BT204" s="76" t="str">
        <f t="shared" si="74"/>
        <v>Voie parentérale</v>
      </c>
      <c r="BU204" t="str">
        <f t="shared" si="75"/>
        <v/>
      </c>
      <c r="CN204">
        <v>203</v>
      </c>
    </row>
    <row r="205" spans="1:92" x14ac:dyDescent="0.3">
      <c r="A205" s="118" t="s">
        <v>2942</v>
      </c>
      <c r="B205" t="s">
        <v>2946</v>
      </c>
      <c r="C205" t="s">
        <v>2947</v>
      </c>
      <c r="D205" s="144" t="s">
        <v>864</v>
      </c>
      <c r="E205" t="s">
        <v>813</v>
      </c>
      <c r="F205" t="s">
        <v>2945</v>
      </c>
      <c r="G205" t="s">
        <v>815</v>
      </c>
      <c r="H205" t="s">
        <v>860</v>
      </c>
      <c r="I205" t="s">
        <v>817</v>
      </c>
      <c r="J205" t="s">
        <v>1179</v>
      </c>
      <c r="K205" t="s">
        <v>1179</v>
      </c>
      <c r="L205" t="s">
        <v>1354</v>
      </c>
      <c r="M205" t="s">
        <v>208</v>
      </c>
      <c r="N205" t="s">
        <v>1163</v>
      </c>
      <c r="O205" t="s">
        <v>824</v>
      </c>
      <c r="P205" t="s">
        <v>772</v>
      </c>
      <c r="Q205" t="s">
        <v>1047</v>
      </c>
      <c r="R205">
        <v>0</v>
      </c>
      <c r="S205">
        <v>0</v>
      </c>
      <c r="T205">
        <v>30</v>
      </c>
      <c r="U205">
        <v>21</v>
      </c>
      <c r="V205">
        <v>0</v>
      </c>
      <c r="W205">
        <v>0</v>
      </c>
      <c r="X205">
        <v>0</v>
      </c>
      <c r="Y205">
        <v>0</v>
      </c>
      <c r="Z205">
        <v>0</v>
      </c>
      <c r="AA205">
        <v>0</v>
      </c>
      <c r="AB205">
        <v>0</v>
      </c>
      <c r="AC205">
        <v>0</v>
      </c>
      <c r="AD205">
        <v>0</v>
      </c>
      <c r="AE205">
        <v>0</v>
      </c>
      <c r="AF205">
        <v>0</v>
      </c>
      <c r="AG205">
        <v>0</v>
      </c>
      <c r="AH205">
        <v>0</v>
      </c>
      <c r="AI205">
        <v>0</v>
      </c>
      <c r="AY205" t="str">
        <f t="shared" si="57"/>
        <v/>
      </c>
      <c r="AZ205" t="str">
        <f>IF(COUNTIF(AY:AY,AY205)=1,AY205,IF(AND(COUNTIF(AY:AY,AY205)&gt;1,COUNTIF(AZ$2:AZ204,AY205)&gt;=1),"",AY205))</f>
        <v/>
      </c>
      <c r="BA205" t="str">
        <f>IF(AZ205="","",COUNTIFS(AZ$3:AZ$1439,"&lt;"&amp;AZ205,AZ$3:AZ$1439,"&lt;&gt;0")+COUNTIF(AZ$3:AZ205,AZ205)-876)</f>
        <v/>
      </c>
      <c r="BC205">
        <v>203</v>
      </c>
      <c r="BD205" t="str">
        <f t="shared" si="68"/>
        <v>DUPHAMOX LA</v>
      </c>
      <c r="BE205" t="str">
        <f t="shared" si="58"/>
        <v>INJ</v>
      </c>
      <c r="BF205" t="str">
        <f t="shared" si="59"/>
        <v>PENICILLINES</v>
      </c>
      <c r="BG205" t="str">
        <f t="shared" si="60"/>
        <v/>
      </c>
      <c r="BH205" t="str">
        <f t="shared" si="61"/>
        <v/>
      </c>
      <c r="BI205" t="str">
        <f t="shared" si="62"/>
        <v>amoxicillin</v>
      </c>
      <c r="BJ205" t="str">
        <f t="shared" si="63"/>
        <v/>
      </c>
      <c r="BK205" t="str">
        <f t="shared" si="64"/>
        <v/>
      </c>
      <c r="BL205" t="str">
        <f t="shared" si="69"/>
        <v>Amoxicilline</v>
      </c>
      <c r="BM205" t="str">
        <f t="shared" si="65"/>
        <v>Amoxicilline</v>
      </c>
      <c r="BN205" t="str">
        <f t="shared" si="66"/>
        <v/>
      </c>
      <c r="BO205" t="str">
        <f t="shared" si="67"/>
        <v/>
      </c>
      <c r="BP205" t="str">
        <f t="shared" si="70"/>
        <v>Penicillines</v>
      </c>
      <c r="BQ205" t="str">
        <f t="shared" si="71"/>
        <v>Penicillines</v>
      </c>
      <c r="BR205" t="str">
        <f t="shared" si="72"/>
        <v/>
      </c>
      <c r="BS205" t="str">
        <f t="shared" si="73"/>
        <v/>
      </c>
      <c r="BT205" s="76" t="str">
        <f t="shared" si="74"/>
        <v>Voie parentérale</v>
      </c>
      <c r="BU205" t="str">
        <f t="shared" si="75"/>
        <v/>
      </c>
      <c r="CN205">
        <v>204</v>
      </c>
    </row>
    <row r="206" spans="1:92" x14ac:dyDescent="0.3">
      <c r="A206" s="118" t="s">
        <v>4111</v>
      </c>
      <c r="B206" t="s">
        <v>4112</v>
      </c>
      <c r="C206" t="s">
        <v>2238</v>
      </c>
      <c r="D206" s="144" t="s">
        <v>764</v>
      </c>
      <c r="E206" t="s">
        <v>813</v>
      </c>
      <c r="F206" t="s">
        <v>4113</v>
      </c>
      <c r="G206" t="s">
        <v>815</v>
      </c>
      <c r="H206" t="s">
        <v>860</v>
      </c>
      <c r="I206" t="s">
        <v>817</v>
      </c>
      <c r="J206" t="s">
        <v>1179</v>
      </c>
      <c r="K206" t="s">
        <v>1179</v>
      </c>
      <c r="L206" t="s">
        <v>1354</v>
      </c>
      <c r="M206" t="s">
        <v>208</v>
      </c>
      <c r="N206" t="s">
        <v>1163</v>
      </c>
      <c r="O206" t="s">
        <v>824</v>
      </c>
      <c r="P206" t="s">
        <v>772</v>
      </c>
      <c r="Q206" t="s">
        <v>797</v>
      </c>
      <c r="R206">
        <v>0</v>
      </c>
      <c r="S206">
        <v>0</v>
      </c>
      <c r="T206">
        <v>30</v>
      </c>
      <c r="U206">
        <v>28</v>
      </c>
      <c r="V206">
        <v>0</v>
      </c>
      <c r="W206">
        <v>0</v>
      </c>
      <c r="X206">
        <v>0</v>
      </c>
      <c r="Y206">
        <v>0</v>
      </c>
      <c r="Z206">
        <v>0</v>
      </c>
      <c r="AA206">
        <v>0</v>
      </c>
      <c r="AB206">
        <v>0</v>
      </c>
      <c r="AC206">
        <v>0</v>
      </c>
      <c r="AD206">
        <v>0</v>
      </c>
      <c r="AE206">
        <v>0</v>
      </c>
      <c r="AF206">
        <v>0</v>
      </c>
      <c r="AG206">
        <v>0</v>
      </c>
      <c r="AH206">
        <v>0</v>
      </c>
      <c r="AI206">
        <v>0</v>
      </c>
      <c r="AY206" t="str">
        <f t="shared" si="57"/>
        <v/>
      </c>
      <c r="AZ206" t="str">
        <f>IF(COUNTIF(AY:AY,AY206)=1,AY206,IF(AND(COUNTIF(AY:AY,AY206)&gt;1,COUNTIF(AZ$2:AZ205,AY206)&gt;=1),"",AY206))</f>
        <v/>
      </c>
      <c r="BA206" t="str">
        <f>IF(AZ206="","",COUNTIFS(AZ$3:AZ$1439,"&lt;"&amp;AZ206,AZ$3:AZ$1439,"&lt;&gt;0")+COUNTIF(AZ$3:AZ206,AZ206)-876)</f>
        <v/>
      </c>
      <c r="BC206">
        <v>204</v>
      </c>
      <c r="BD206" t="str">
        <f t="shared" si="68"/>
        <v>DUPLOCILLINE</v>
      </c>
      <c r="BE206" t="str">
        <f t="shared" si="58"/>
        <v>INJ</v>
      </c>
      <c r="BF206" t="str">
        <f t="shared" si="59"/>
        <v>PENICILLINES</v>
      </c>
      <c r="BG206" t="str">
        <f t="shared" si="60"/>
        <v/>
      </c>
      <c r="BH206" t="str">
        <f t="shared" si="61"/>
        <v/>
      </c>
      <c r="BI206" t="str">
        <f t="shared" si="62"/>
        <v>benzylpenicillin</v>
      </c>
      <c r="BJ206" t="str">
        <f t="shared" si="63"/>
        <v/>
      </c>
      <c r="BK206" t="str">
        <f t="shared" si="64"/>
        <v/>
      </c>
      <c r="BL206" t="str">
        <f t="shared" si="69"/>
        <v>Benzylpénicilline</v>
      </c>
      <c r="BM206" t="str">
        <f t="shared" si="65"/>
        <v>Benzylpénicilline</v>
      </c>
      <c r="BN206" t="str">
        <f t="shared" si="66"/>
        <v/>
      </c>
      <c r="BO206" t="str">
        <f t="shared" si="67"/>
        <v/>
      </c>
      <c r="BP206" t="str">
        <f t="shared" si="70"/>
        <v>Penicillines</v>
      </c>
      <c r="BQ206" t="str">
        <f t="shared" si="71"/>
        <v>Penicillines</v>
      </c>
      <c r="BR206" t="str">
        <f t="shared" si="72"/>
        <v/>
      </c>
      <c r="BS206" t="str">
        <f t="shared" si="73"/>
        <v/>
      </c>
      <c r="BT206" s="76" t="str">
        <f t="shared" si="74"/>
        <v>Voie parentérale</v>
      </c>
      <c r="BU206" t="str">
        <f t="shared" si="75"/>
        <v/>
      </c>
      <c r="CN206">
        <v>205</v>
      </c>
    </row>
    <row r="207" spans="1:92" x14ac:dyDescent="0.3">
      <c r="A207" s="118" t="s">
        <v>4111</v>
      </c>
      <c r="B207" t="s">
        <v>4114</v>
      </c>
      <c r="C207" t="s">
        <v>2068</v>
      </c>
      <c r="D207" s="144" t="s">
        <v>776</v>
      </c>
      <c r="E207" t="s">
        <v>813</v>
      </c>
      <c r="F207" t="s">
        <v>4113</v>
      </c>
      <c r="G207" t="s">
        <v>815</v>
      </c>
      <c r="H207" t="s">
        <v>860</v>
      </c>
      <c r="I207" t="s">
        <v>817</v>
      </c>
      <c r="J207" t="s">
        <v>1179</v>
      </c>
      <c r="K207" t="s">
        <v>1179</v>
      </c>
      <c r="L207" t="s">
        <v>1354</v>
      </c>
      <c r="M207" t="s">
        <v>208</v>
      </c>
      <c r="N207" t="s">
        <v>1163</v>
      </c>
      <c r="O207" t="s">
        <v>824</v>
      </c>
      <c r="P207" t="s">
        <v>772</v>
      </c>
      <c r="Q207" t="s">
        <v>1255</v>
      </c>
      <c r="R207">
        <v>0</v>
      </c>
      <c r="S207">
        <v>0</v>
      </c>
      <c r="T207">
        <v>30</v>
      </c>
      <c r="U207">
        <v>28</v>
      </c>
      <c r="V207">
        <v>0</v>
      </c>
      <c r="W207">
        <v>0</v>
      </c>
      <c r="X207">
        <v>0</v>
      </c>
      <c r="Y207">
        <v>0</v>
      </c>
      <c r="Z207">
        <v>0</v>
      </c>
      <c r="AA207">
        <v>0</v>
      </c>
      <c r="AB207">
        <v>0</v>
      </c>
      <c r="AC207">
        <v>0</v>
      </c>
      <c r="AD207">
        <v>0</v>
      </c>
      <c r="AE207">
        <v>0</v>
      </c>
      <c r="AF207">
        <v>0</v>
      </c>
      <c r="AG207">
        <v>0</v>
      </c>
      <c r="AH207">
        <v>0</v>
      </c>
      <c r="AI207">
        <v>0</v>
      </c>
      <c r="AY207" t="str">
        <f t="shared" si="57"/>
        <v/>
      </c>
      <c r="AZ207" t="str">
        <f>IF(COUNTIF(AY:AY,AY207)=1,AY207,IF(AND(COUNTIF(AY:AY,AY207)&gt;1,COUNTIF(AZ$2:AZ206,AY207)&gt;=1),"",AY207))</f>
        <v/>
      </c>
      <c r="BA207" t="str">
        <f>IF(AZ207="","",COUNTIFS(AZ$3:AZ$1439,"&lt;"&amp;AZ207,AZ$3:AZ$1439,"&lt;&gt;0")+COUNTIF(AZ$3:AZ207,AZ207)-876)</f>
        <v/>
      </c>
      <c r="BC207">
        <v>205</v>
      </c>
      <c r="BD207" t="str">
        <f t="shared" si="68"/>
        <v>DURACYKLINE</v>
      </c>
      <c r="BE207" t="str">
        <f t="shared" si="58"/>
        <v>INJ</v>
      </c>
      <c r="BF207" t="str">
        <f t="shared" si="59"/>
        <v>TETRACYCLINES</v>
      </c>
      <c r="BG207" t="str">
        <f t="shared" si="60"/>
        <v/>
      </c>
      <c r="BH207" t="str">
        <f t="shared" si="61"/>
        <v/>
      </c>
      <c r="BI207" t="str">
        <f t="shared" si="62"/>
        <v>oxytetracycline</v>
      </c>
      <c r="BJ207" t="str">
        <f t="shared" si="63"/>
        <v/>
      </c>
      <c r="BK207" t="str">
        <f t="shared" si="64"/>
        <v/>
      </c>
      <c r="BL207" t="str">
        <f t="shared" si="69"/>
        <v>Oxytétracycline</v>
      </c>
      <c r="BM207" t="str">
        <f t="shared" si="65"/>
        <v>Oxytétracycline</v>
      </c>
      <c r="BN207" t="str">
        <f t="shared" si="66"/>
        <v/>
      </c>
      <c r="BO207" t="str">
        <f t="shared" si="67"/>
        <v/>
      </c>
      <c r="BP207" t="str">
        <f t="shared" si="70"/>
        <v>Tetracyclines</v>
      </c>
      <c r="BQ207" t="str">
        <f t="shared" si="71"/>
        <v>Tetracyclines</v>
      </c>
      <c r="BR207" t="str">
        <f t="shared" si="72"/>
        <v/>
      </c>
      <c r="BS207" t="str">
        <f t="shared" si="73"/>
        <v/>
      </c>
      <c r="BT207" s="76" t="str">
        <f t="shared" si="74"/>
        <v>Voie parentérale</v>
      </c>
      <c r="BU207" t="str">
        <f t="shared" si="75"/>
        <v/>
      </c>
      <c r="CN207">
        <v>206</v>
      </c>
    </row>
    <row r="208" spans="1:92" x14ac:dyDescent="0.3">
      <c r="A208" s="118" t="s">
        <v>2898</v>
      </c>
      <c r="B208" t="s">
        <v>2899</v>
      </c>
      <c r="C208" t="s">
        <v>2900</v>
      </c>
      <c r="D208" s="144" t="s">
        <v>1791</v>
      </c>
      <c r="E208" t="s">
        <v>813</v>
      </c>
      <c r="F208" t="s">
        <v>2901</v>
      </c>
      <c r="G208" t="s">
        <v>815</v>
      </c>
      <c r="H208" t="s">
        <v>816</v>
      </c>
      <c r="I208" t="s">
        <v>817</v>
      </c>
      <c r="J208" t="s">
        <v>1179</v>
      </c>
      <c r="K208" t="s">
        <v>1179</v>
      </c>
      <c r="L208" t="s">
        <v>1354</v>
      </c>
      <c r="M208" t="s">
        <v>208</v>
      </c>
      <c r="N208" t="s">
        <v>1255</v>
      </c>
      <c r="O208" t="s">
        <v>824</v>
      </c>
      <c r="P208" t="s">
        <v>772</v>
      </c>
      <c r="Q208" t="s">
        <v>2524</v>
      </c>
      <c r="R208">
        <v>0</v>
      </c>
      <c r="S208">
        <v>0</v>
      </c>
      <c r="T208">
        <v>30</v>
      </c>
      <c r="U208">
        <v>21</v>
      </c>
      <c r="V208">
        <v>0</v>
      </c>
      <c r="W208">
        <v>0</v>
      </c>
      <c r="X208">
        <v>0</v>
      </c>
      <c r="Y208">
        <v>0</v>
      </c>
      <c r="Z208">
        <v>0</v>
      </c>
      <c r="AA208">
        <v>0</v>
      </c>
      <c r="AB208">
        <v>0</v>
      </c>
      <c r="AC208">
        <v>0</v>
      </c>
      <c r="AD208">
        <v>0</v>
      </c>
      <c r="AE208">
        <v>0</v>
      </c>
      <c r="AF208">
        <v>0</v>
      </c>
      <c r="AG208">
        <v>0</v>
      </c>
      <c r="AH208">
        <v>0</v>
      </c>
      <c r="AI208">
        <v>0</v>
      </c>
      <c r="AY208" t="str">
        <f t="shared" si="57"/>
        <v/>
      </c>
      <c r="AZ208" t="str">
        <f>IF(COUNTIF(AY:AY,AY208)=1,AY208,IF(AND(COUNTIF(AY:AY,AY208)&gt;1,COUNTIF(AZ$2:AZ207,AY208)&gt;=1),"",AY208))</f>
        <v/>
      </c>
      <c r="BA208" t="str">
        <f>IF(AZ208="","",COUNTIFS(AZ$3:AZ$1439,"&lt;"&amp;AZ208,AZ$3:AZ$1439,"&lt;&gt;0")+COUNTIF(AZ$3:AZ208,AZ208)-876)</f>
        <v/>
      </c>
      <c r="BC208">
        <v>206</v>
      </c>
      <c r="BD208" t="str">
        <f t="shared" si="68"/>
        <v>EFICUR 50 MG/ML SUSPENSION INJECTABLE POUR PORCINS ET BOVINS</v>
      </c>
      <c r="BE208" t="str">
        <f t="shared" si="58"/>
        <v>INJ</v>
      </c>
      <c r="BF208" t="str">
        <f t="shared" si="59"/>
        <v>CEPHALOSPORINES 3&amp;4G</v>
      </c>
      <c r="BG208" t="str">
        <f t="shared" si="60"/>
        <v/>
      </c>
      <c r="BH208" t="str">
        <f t="shared" si="61"/>
        <v/>
      </c>
      <c r="BI208" t="str">
        <f t="shared" si="62"/>
        <v>ceftiofur</v>
      </c>
      <c r="BJ208" t="str">
        <f t="shared" si="63"/>
        <v/>
      </c>
      <c r="BK208" t="str">
        <f t="shared" si="64"/>
        <v/>
      </c>
      <c r="BL208" t="str">
        <f t="shared" si="69"/>
        <v>Ceftiofur</v>
      </c>
      <c r="BM208" t="str">
        <f t="shared" si="65"/>
        <v>Ceftiofur</v>
      </c>
      <c r="BN208" t="str">
        <f t="shared" si="66"/>
        <v/>
      </c>
      <c r="BO208" t="str">
        <f t="shared" si="67"/>
        <v/>
      </c>
      <c r="BP208" t="str">
        <f t="shared" si="70"/>
        <v>Cephalosporines 3&amp;4G</v>
      </c>
      <c r="BQ208" t="str">
        <f t="shared" si="71"/>
        <v>Cephalosporines 3&amp;4G</v>
      </c>
      <c r="BR208" t="str">
        <f t="shared" si="72"/>
        <v/>
      </c>
      <c r="BS208" t="str">
        <f t="shared" si="73"/>
        <v/>
      </c>
      <c r="BT208" s="76" t="str">
        <f t="shared" si="74"/>
        <v>Voie parentérale</v>
      </c>
      <c r="BU208" t="str">
        <f t="shared" si="75"/>
        <v>x</v>
      </c>
      <c r="CN208">
        <v>207</v>
      </c>
    </row>
    <row r="209" spans="1:92" x14ac:dyDescent="0.3">
      <c r="A209" s="118" t="s">
        <v>2898</v>
      </c>
      <c r="B209" t="s">
        <v>2902</v>
      </c>
      <c r="C209" t="s">
        <v>2903</v>
      </c>
      <c r="D209" s="144" t="s">
        <v>1948</v>
      </c>
      <c r="E209" t="s">
        <v>813</v>
      </c>
      <c r="F209" t="s">
        <v>2901</v>
      </c>
      <c r="G209" t="s">
        <v>815</v>
      </c>
      <c r="H209" t="s">
        <v>816</v>
      </c>
      <c r="I209" t="s">
        <v>817</v>
      </c>
      <c r="J209" t="s">
        <v>1179</v>
      </c>
      <c r="K209" t="s">
        <v>1179</v>
      </c>
      <c r="L209" t="s">
        <v>1354</v>
      </c>
      <c r="M209" t="s">
        <v>208</v>
      </c>
      <c r="N209" t="s">
        <v>1255</v>
      </c>
      <c r="O209" t="s">
        <v>824</v>
      </c>
      <c r="P209" t="s">
        <v>772</v>
      </c>
      <c r="Q209" t="s">
        <v>793</v>
      </c>
      <c r="R209">
        <v>0</v>
      </c>
      <c r="S209">
        <v>0</v>
      </c>
      <c r="T209">
        <v>30</v>
      </c>
      <c r="U209">
        <v>21</v>
      </c>
      <c r="V209">
        <v>0</v>
      </c>
      <c r="W209">
        <v>0</v>
      </c>
      <c r="X209">
        <v>0</v>
      </c>
      <c r="Y209">
        <v>0</v>
      </c>
      <c r="Z209">
        <v>0</v>
      </c>
      <c r="AA209">
        <v>0</v>
      </c>
      <c r="AB209">
        <v>0</v>
      </c>
      <c r="AC209">
        <v>0</v>
      </c>
      <c r="AD209">
        <v>0</v>
      </c>
      <c r="AE209">
        <v>0</v>
      </c>
      <c r="AF209">
        <v>0</v>
      </c>
      <c r="AG209">
        <v>0</v>
      </c>
      <c r="AH209">
        <v>0</v>
      </c>
      <c r="AI209">
        <v>0</v>
      </c>
      <c r="AY209" t="str">
        <f t="shared" si="57"/>
        <v/>
      </c>
      <c r="AZ209" t="str">
        <f>IF(COUNTIF(AY:AY,AY209)=1,AY209,IF(AND(COUNTIF(AY:AY,AY209)&gt;1,COUNTIF(AZ$2:AZ208,AY209)&gt;=1),"",AY209))</f>
        <v/>
      </c>
      <c r="BA209" t="str">
        <f>IF(AZ209="","",COUNTIFS(AZ$3:AZ$1439,"&lt;"&amp;AZ209,AZ$3:AZ$1439,"&lt;&gt;0")+COUNTIF(AZ$3:AZ209,AZ209)-876)</f>
        <v/>
      </c>
      <c r="BC209">
        <v>207</v>
      </c>
      <c r="BD209" t="str">
        <f t="shared" si="68"/>
        <v>EMERICID SULFADIMETHOXINE</v>
      </c>
      <c r="BE209" t="str">
        <f t="shared" si="58"/>
        <v>ORAL</v>
      </c>
      <c r="BF209" t="str">
        <f t="shared" si="59"/>
        <v>SULFAMIDES</v>
      </c>
      <c r="BG209" t="str">
        <f t="shared" si="60"/>
        <v/>
      </c>
      <c r="BH209" t="str">
        <f t="shared" si="61"/>
        <v/>
      </c>
      <c r="BI209" t="str">
        <f t="shared" si="62"/>
        <v>sulfadimethoxine</v>
      </c>
      <c r="BJ209" t="str">
        <f t="shared" si="63"/>
        <v/>
      </c>
      <c r="BK209" t="str">
        <f t="shared" si="64"/>
        <v/>
      </c>
      <c r="BL209" t="str">
        <f t="shared" si="69"/>
        <v>Sulfadiméthoxine</v>
      </c>
      <c r="BM209" t="str">
        <f t="shared" si="65"/>
        <v>Sulfadiméthoxine</v>
      </c>
      <c r="BN209" t="str">
        <f t="shared" si="66"/>
        <v/>
      </c>
      <c r="BO209" t="str">
        <f t="shared" si="67"/>
        <v/>
      </c>
      <c r="BP209" t="str">
        <f t="shared" si="70"/>
        <v>Sulfamides</v>
      </c>
      <c r="BQ209" t="str">
        <f t="shared" si="71"/>
        <v>Sulfamides</v>
      </c>
      <c r="BR209" t="str">
        <f t="shared" si="72"/>
        <v/>
      </c>
      <c r="BS209" t="str">
        <f t="shared" si="73"/>
        <v/>
      </c>
      <c r="BT209" s="76" t="str">
        <f t="shared" si="74"/>
        <v>Voie orale  hors prémélanges médicamenteux</v>
      </c>
      <c r="BU209" t="str">
        <f t="shared" si="75"/>
        <v/>
      </c>
      <c r="CN209">
        <v>208</v>
      </c>
    </row>
    <row r="210" spans="1:92" x14ac:dyDescent="0.3">
      <c r="A210" s="118" t="s">
        <v>4107</v>
      </c>
      <c r="B210" t="s">
        <v>4108</v>
      </c>
      <c r="C210" t="s">
        <v>2238</v>
      </c>
      <c r="D210" s="144" t="s">
        <v>764</v>
      </c>
      <c r="E210" t="s">
        <v>813</v>
      </c>
      <c r="F210" t="s">
        <v>4109</v>
      </c>
      <c r="G210" t="s">
        <v>815</v>
      </c>
      <c r="H210" t="s">
        <v>816</v>
      </c>
      <c r="I210" t="s">
        <v>817</v>
      </c>
      <c r="J210" t="s">
        <v>1179</v>
      </c>
      <c r="K210" t="s">
        <v>1179</v>
      </c>
      <c r="L210" t="s">
        <v>1354</v>
      </c>
      <c r="M210" t="s">
        <v>208</v>
      </c>
      <c r="N210" t="s">
        <v>1255</v>
      </c>
      <c r="O210" t="s">
        <v>824</v>
      </c>
      <c r="P210" t="s">
        <v>772</v>
      </c>
      <c r="Q210" t="s">
        <v>962</v>
      </c>
      <c r="R210">
        <v>0</v>
      </c>
      <c r="S210">
        <v>0</v>
      </c>
      <c r="T210">
        <v>30</v>
      </c>
      <c r="U210">
        <v>28</v>
      </c>
      <c r="V210">
        <v>0</v>
      </c>
      <c r="W210">
        <v>0</v>
      </c>
      <c r="X210">
        <v>0</v>
      </c>
      <c r="Y210">
        <v>0</v>
      </c>
      <c r="Z210">
        <v>0</v>
      </c>
      <c r="AA210">
        <v>0</v>
      </c>
      <c r="AB210">
        <v>0</v>
      </c>
      <c r="AC210">
        <v>0</v>
      </c>
      <c r="AD210">
        <v>0</v>
      </c>
      <c r="AE210">
        <v>0</v>
      </c>
      <c r="AF210">
        <v>0</v>
      </c>
      <c r="AG210">
        <v>0</v>
      </c>
      <c r="AH210">
        <v>0</v>
      </c>
      <c r="AI210">
        <v>0</v>
      </c>
      <c r="AY210" t="str">
        <f t="shared" si="57"/>
        <v/>
      </c>
      <c r="AZ210" t="str">
        <f>IF(COUNTIF(AY:AY,AY210)=1,AY210,IF(AND(COUNTIF(AY:AY,AY210)&gt;1,COUNTIF(AZ$2:AZ209,AY210)&gt;=1),"",AY210))</f>
        <v/>
      </c>
      <c r="BA210" t="str">
        <f>IF(AZ210="","",COUNTIFS(AZ$3:AZ$1439,"&lt;"&amp;AZ210,AZ$3:AZ$1439,"&lt;&gt;0")+COUNTIF(AZ$3:AZ210,AZ210)-876)</f>
        <v/>
      </c>
      <c r="BC210">
        <v>208</v>
      </c>
      <c r="BD210" t="str">
        <f t="shared" si="68"/>
        <v>ENGEMYCINE 10 %</v>
      </c>
      <c r="BE210" t="str">
        <f t="shared" si="58"/>
        <v>INJ</v>
      </c>
      <c r="BF210" t="str">
        <f t="shared" si="59"/>
        <v>TETRACYCLINES</v>
      </c>
      <c r="BG210" t="str">
        <f t="shared" si="60"/>
        <v/>
      </c>
      <c r="BH210" t="str">
        <f t="shared" si="61"/>
        <v/>
      </c>
      <c r="BI210" t="str">
        <f t="shared" si="62"/>
        <v>oxytetracycline</v>
      </c>
      <c r="BJ210" t="str">
        <f t="shared" si="63"/>
        <v/>
      </c>
      <c r="BK210" t="str">
        <f t="shared" si="64"/>
        <v/>
      </c>
      <c r="BL210" t="str">
        <f t="shared" si="69"/>
        <v>Oxytétracycline</v>
      </c>
      <c r="BM210" t="str">
        <f t="shared" si="65"/>
        <v>Oxytétracycline</v>
      </c>
      <c r="BN210" t="str">
        <f t="shared" si="66"/>
        <v/>
      </c>
      <c r="BO210" t="str">
        <f t="shared" si="67"/>
        <v/>
      </c>
      <c r="BP210" t="str">
        <f t="shared" si="70"/>
        <v>Tetracyclines</v>
      </c>
      <c r="BQ210" t="str">
        <f t="shared" si="71"/>
        <v>Tetracyclines</v>
      </c>
      <c r="BR210" t="str">
        <f t="shared" si="72"/>
        <v/>
      </c>
      <c r="BS210" t="str">
        <f t="shared" si="73"/>
        <v/>
      </c>
      <c r="BT210" s="76" t="str">
        <f t="shared" si="74"/>
        <v>Voie parentérale</v>
      </c>
      <c r="BU210" t="str">
        <f t="shared" si="75"/>
        <v/>
      </c>
      <c r="CN210">
        <v>209</v>
      </c>
    </row>
    <row r="211" spans="1:92" x14ac:dyDescent="0.3">
      <c r="A211" s="118" t="s">
        <v>4107</v>
      </c>
      <c r="B211" t="s">
        <v>4110</v>
      </c>
      <c r="C211" t="s">
        <v>2068</v>
      </c>
      <c r="D211" s="144" t="s">
        <v>776</v>
      </c>
      <c r="E211" t="s">
        <v>813</v>
      </c>
      <c r="F211" t="s">
        <v>4109</v>
      </c>
      <c r="G211" t="s">
        <v>815</v>
      </c>
      <c r="H211" t="s">
        <v>816</v>
      </c>
      <c r="I211" t="s">
        <v>817</v>
      </c>
      <c r="J211" t="s">
        <v>1179</v>
      </c>
      <c r="K211" t="s">
        <v>1179</v>
      </c>
      <c r="L211" t="s">
        <v>1354</v>
      </c>
      <c r="M211" t="s">
        <v>208</v>
      </c>
      <c r="N211" t="s">
        <v>1255</v>
      </c>
      <c r="O211" t="s">
        <v>824</v>
      </c>
      <c r="P211" t="s">
        <v>772</v>
      </c>
      <c r="Q211" t="s">
        <v>1259</v>
      </c>
      <c r="R211">
        <v>0</v>
      </c>
      <c r="S211">
        <v>0</v>
      </c>
      <c r="T211">
        <v>30</v>
      </c>
      <c r="U211">
        <v>28</v>
      </c>
      <c r="V211">
        <v>0</v>
      </c>
      <c r="W211">
        <v>0</v>
      </c>
      <c r="X211">
        <v>0</v>
      </c>
      <c r="Y211">
        <v>0</v>
      </c>
      <c r="Z211">
        <v>0</v>
      </c>
      <c r="AA211">
        <v>0</v>
      </c>
      <c r="AB211">
        <v>0</v>
      </c>
      <c r="AC211">
        <v>0</v>
      </c>
      <c r="AD211">
        <v>0</v>
      </c>
      <c r="AE211">
        <v>0</v>
      </c>
      <c r="AF211">
        <v>0</v>
      </c>
      <c r="AG211">
        <v>0</v>
      </c>
      <c r="AH211">
        <v>0</v>
      </c>
      <c r="AI211">
        <v>0</v>
      </c>
      <c r="AY211" t="str">
        <f t="shared" si="57"/>
        <v/>
      </c>
      <c r="AZ211" t="str">
        <f>IF(COUNTIF(AY:AY,AY211)=1,AY211,IF(AND(COUNTIF(AY:AY,AY211)&gt;1,COUNTIF(AZ$2:AZ210,AY211)&gt;=1),"",AY211))</f>
        <v/>
      </c>
      <c r="BA211" t="str">
        <f>IF(AZ211="","",COUNTIFS(AZ$3:AZ$1439,"&lt;"&amp;AZ211,AZ$3:AZ$1439,"&lt;&gt;0")+COUNTIF(AZ$3:AZ211,AZ211)-876)</f>
        <v/>
      </c>
      <c r="BC211">
        <v>209</v>
      </c>
      <c r="BD211" t="str">
        <f t="shared" si="68"/>
        <v>ENROBACTIN 25 MG/ML SOLUTION A DILUER POUR SOLUTION BUVABLE POUR LAPINS DE COMPAGNIE, RONGEURS, OISEAUX ORNEMENTAUX ET REPTILES</v>
      </c>
      <c r="BE211" t="str">
        <f t="shared" si="58"/>
        <v>ORAL</v>
      </c>
      <c r="BF211" t="str">
        <f t="shared" si="59"/>
        <v>FLUOROQUINOLONES</v>
      </c>
      <c r="BG211" t="str">
        <f t="shared" si="60"/>
        <v/>
      </c>
      <c r="BH211" t="str">
        <f t="shared" si="61"/>
        <v/>
      </c>
      <c r="BI211" t="str">
        <f t="shared" si="62"/>
        <v>enrofloxacin</v>
      </c>
      <c r="BJ211" t="str">
        <f t="shared" si="63"/>
        <v/>
      </c>
      <c r="BK211" t="str">
        <f t="shared" si="64"/>
        <v/>
      </c>
      <c r="BL211" t="str">
        <f t="shared" si="69"/>
        <v>Enrofloxacine</v>
      </c>
      <c r="BM211" t="str">
        <f t="shared" si="65"/>
        <v>Enrofloxacine</v>
      </c>
      <c r="BN211" t="str">
        <f t="shared" si="66"/>
        <v/>
      </c>
      <c r="BO211" t="str">
        <f t="shared" si="67"/>
        <v/>
      </c>
      <c r="BP211" t="str">
        <f t="shared" si="70"/>
        <v>Fluoroquinolones</v>
      </c>
      <c r="BQ211" t="str">
        <f t="shared" si="71"/>
        <v>Fluoroquinolones</v>
      </c>
      <c r="BR211" t="str">
        <f t="shared" si="72"/>
        <v/>
      </c>
      <c r="BS211" t="str">
        <f t="shared" si="73"/>
        <v/>
      </c>
      <c r="BT211" s="76" t="str">
        <f t="shared" si="74"/>
        <v>Voie orale  hors prémélanges médicamenteux</v>
      </c>
      <c r="BU211" t="str">
        <f t="shared" si="75"/>
        <v>x</v>
      </c>
      <c r="CN211">
        <v>210</v>
      </c>
    </row>
    <row r="212" spans="1:92" x14ac:dyDescent="0.3">
      <c r="A212" s="118" t="s">
        <v>4115</v>
      </c>
      <c r="B212" t="s">
        <v>4116</v>
      </c>
      <c r="C212" t="s">
        <v>4117</v>
      </c>
      <c r="D212" s="144" t="s">
        <v>1183</v>
      </c>
      <c r="E212" t="s">
        <v>813</v>
      </c>
      <c r="F212" t="s">
        <v>4118</v>
      </c>
      <c r="G212" t="s">
        <v>815</v>
      </c>
      <c r="H212" t="s">
        <v>860</v>
      </c>
      <c r="I212" t="s">
        <v>817</v>
      </c>
      <c r="J212" t="s">
        <v>1179</v>
      </c>
      <c r="K212" t="s">
        <v>1179</v>
      </c>
      <c r="L212" t="s">
        <v>1354</v>
      </c>
      <c r="M212" t="s">
        <v>208</v>
      </c>
      <c r="N212" t="s">
        <v>1426</v>
      </c>
      <c r="O212" t="s">
        <v>824</v>
      </c>
      <c r="P212" t="s">
        <v>772</v>
      </c>
      <c r="Q212" t="s">
        <v>3846</v>
      </c>
      <c r="R212">
        <v>0</v>
      </c>
      <c r="S212">
        <v>0</v>
      </c>
      <c r="T212">
        <v>30</v>
      </c>
      <c r="U212">
        <v>28</v>
      </c>
      <c r="V212">
        <v>0</v>
      </c>
      <c r="W212">
        <v>0</v>
      </c>
      <c r="X212">
        <v>0</v>
      </c>
      <c r="Y212">
        <v>0</v>
      </c>
      <c r="Z212">
        <v>0</v>
      </c>
      <c r="AA212">
        <v>0</v>
      </c>
      <c r="AB212">
        <v>0</v>
      </c>
      <c r="AC212">
        <v>0</v>
      </c>
      <c r="AD212">
        <v>0</v>
      </c>
      <c r="AE212">
        <v>0</v>
      </c>
      <c r="AF212">
        <v>0</v>
      </c>
      <c r="AG212">
        <v>0</v>
      </c>
      <c r="AH212">
        <v>0</v>
      </c>
      <c r="AI212">
        <v>0</v>
      </c>
      <c r="AY212" t="str">
        <f t="shared" si="57"/>
        <v/>
      </c>
      <c r="AZ212" t="str">
        <f>IF(COUNTIF(AY:AY,AY212)=1,AY212,IF(AND(COUNTIF(AY:AY,AY212)&gt;1,COUNTIF(AZ$2:AZ211,AY212)&gt;=1),"",AY212))</f>
        <v/>
      </c>
      <c r="BA212" t="str">
        <f>IF(AZ212="","",COUNTIFS(AZ$3:AZ$1439,"&lt;"&amp;AZ212,AZ$3:AZ$1439,"&lt;&gt;0")+COUNTIF(AZ$3:AZ212,AZ212)-876)</f>
        <v/>
      </c>
      <c r="BC212">
        <v>210</v>
      </c>
      <c r="BD212" t="str">
        <f t="shared" si="68"/>
        <v>ENROCARE 10 % INJECTABLE POUR BOVINS ET PORCINS</v>
      </c>
      <c r="BE212" t="str">
        <f t="shared" si="58"/>
        <v>INJ</v>
      </c>
      <c r="BF212" t="str">
        <f t="shared" si="59"/>
        <v>FLUOROQUINOLONES</v>
      </c>
      <c r="BG212" t="str">
        <f t="shared" si="60"/>
        <v/>
      </c>
      <c r="BH212" t="str">
        <f t="shared" si="61"/>
        <v/>
      </c>
      <c r="BI212" t="str">
        <f t="shared" si="62"/>
        <v>enrofloxacin</v>
      </c>
      <c r="BJ212" t="str">
        <f t="shared" si="63"/>
        <v/>
      </c>
      <c r="BK212" t="str">
        <f t="shared" si="64"/>
        <v/>
      </c>
      <c r="BL212" t="str">
        <f t="shared" si="69"/>
        <v>Enrofloxacine</v>
      </c>
      <c r="BM212" t="str">
        <f t="shared" si="65"/>
        <v>Enrofloxacine</v>
      </c>
      <c r="BN212" t="str">
        <f t="shared" si="66"/>
        <v/>
      </c>
      <c r="BO212" t="str">
        <f t="shared" si="67"/>
        <v/>
      </c>
      <c r="BP212" t="str">
        <f t="shared" si="70"/>
        <v>Fluoroquinolones</v>
      </c>
      <c r="BQ212" t="str">
        <f t="shared" si="71"/>
        <v>Fluoroquinolones</v>
      </c>
      <c r="BR212" t="str">
        <f t="shared" si="72"/>
        <v/>
      </c>
      <c r="BS212" t="str">
        <f t="shared" si="73"/>
        <v/>
      </c>
      <c r="BT212" s="76" t="str">
        <f t="shared" si="74"/>
        <v>Voie parentérale</v>
      </c>
      <c r="BU212" t="str">
        <f t="shared" si="75"/>
        <v>x</v>
      </c>
      <c r="CN212">
        <v>211</v>
      </c>
    </row>
    <row r="213" spans="1:92" x14ac:dyDescent="0.3">
      <c r="A213" s="118" t="s">
        <v>4115</v>
      </c>
      <c r="B213" t="s">
        <v>4119</v>
      </c>
      <c r="C213" t="s">
        <v>4120</v>
      </c>
      <c r="D213" s="144" t="s">
        <v>1155</v>
      </c>
      <c r="E213" t="s">
        <v>813</v>
      </c>
      <c r="F213" t="s">
        <v>4118</v>
      </c>
      <c r="G213" t="s">
        <v>815</v>
      </c>
      <c r="H213" t="s">
        <v>860</v>
      </c>
      <c r="I213" t="s">
        <v>817</v>
      </c>
      <c r="J213" t="s">
        <v>1179</v>
      </c>
      <c r="K213" t="s">
        <v>1179</v>
      </c>
      <c r="L213" t="s">
        <v>1354</v>
      </c>
      <c r="M213" t="s">
        <v>208</v>
      </c>
      <c r="N213" t="s">
        <v>1426</v>
      </c>
      <c r="O213" t="s">
        <v>824</v>
      </c>
      <c r="P213" t="s">
        <v>772</v>
      </c>
      <c r="Q213" t="s">
        <v>1077</v>
      </c>
      <c r="R213">
        <v>0</v>
      </c>
      <c r="S213">
        <v>0</v>
      </c>
      <c r="T213">
        <v>30</v>
      </c>
      <c r="U213">
        <v>28</v>
      </c>
      <c r="V213">
        <v>0</v>
      </c>
      <c r="W213">
        <v>0</v>
      </c>
      <c r="X213">
        <v>0</v>
      </c>
      <c r="Y213">
        <v>0</v>
      </c>
      <c r="Z213">
        <v>0</v>
      </c>
      <c r="AA213">
        <v>0</v>
      </c>
      <c r="AB213">
        <v>0</v>
      </c>
      <c r="AC213">
        <v>0</v>
      </c>
      <c r="AD213">
        <v>0</v>
      </c>
      <c r="AE213">
        <v>0</v>
      </c>
      <c r="AF213">
        <v>0</v>
      </c>
      <c r="AG213">
        <v>0</v>
      </c>
      <c r="AH213">
        <v>0</v>
      </c>
      <c r="AI213">
        <v>0</v>
      </c>
      <c r="AY213" t="str">
        <f t="shared" si="57"/>
        <v/>
      </c>
      <c r="AZ213" t="str">
        <f>IF(COUNTIF(AY:AY,AY213)=1,AY213,IF(AND(COUNTIF(AY:AY,AY213)&gt;1,COUNTIF(AZ$2:AZ212,AY213)&gt;=1),"",AY213))</f>
        <v/>
      </c>
      <c r="BA213" t="str">
        <f>IF(AZ213="","",COUNTIFS(AZ$3:AZ$1439,"&lt;"&amp;AZ213,AZ$3:AZ$1439,"&lt;&gt;0")+COUNTIF(AZ$3:AZ213,AZ213)-876)</f>
        <v/>
      </c>
      <c r="BC213">
        <v>211</v>
      </c>
      <c r="BD213" t="str">
        <f t="shared" si="68"/>
        <v>ENROCARE 5 % INJECTABLE POUR BOVINS PORCINS CHIENS ET CHATS</v>
      </c>
      <c r="BE213" t="str">
        <f t="shared" si="58"/>
        <v>INJ</v>
      </c>
      <c r="BF213" t="str">
        <f t="shared" si="59"/>
        <v>FLUOROQUINOLONES</v>
      </c>
      <c r="BG213" t="str">
        <f t="shared" si="60"/>
        <v/>
      </c>
      <c r="BH213" t="str">
        <f t="shared" si="61"/>
        <v/>
      </c>
      <c r="BI213" t="str">
        <f t="shared" si="62"/>
        <v>enrofloxacin</v>
      </c>
      <c r="BJ213" t="str">
        <f t="shared" si="63"/>
        <v/>
      </c>
      <c r="BK213" t="str">
        <f t="shared" si="64"/>
        <v/>
      </c>
      <c r="BL213" t="str">
        <f t="shared" si="69"/>
        <v>Enrofloxacine</v>
      </c>
      <c r="BM213" t="str">
        <f t="shared" si="65"/>
        <v>Enrofloxacine</v>
      </c>
      <c r="BN213" t="str">
        <f t="shared" si="66"/>
        <v/>
      </c>
      <c r="BO213" t="str">
        <f t="shared" si="67"/>
        <v/>
      </c>
      <c r="BP213" t="str">
        <f t="shared" si="70"/>
        <v>Fluoroquinolones</v>
      </c>
      <c r="BQ213" t="str">
        <f t="shared" si="71"/>
        <v>Fluoroquinolones</v>
      </c>
      <c r="BR213" t="str">
        <f t="shared" si="72"/>
        <v/>
      </c>
      <c r="BS213" t="str">
        <f t="shared" si="73"/>
        <v/>
      </c>
      <c r="BT213" s="76" t="str">
        <f t="shared" si="74"/>
        <v>Voie parentérale</v>
      </c>
      <c r="BU213" t="str">
        <f t="shared" si="75"/>
        <v>x</v>
      </c>
      <c r="CN213">
        <v>212</v>
      </c>
    </row>
    <row r="214" spans="1:92" x14ac:dyDescent="0.3">
      <c r="A214" s="118" t="s">
        <v>3461</v>
      </c>
      <c r="B214" t="s">
        <v>3462</v>
      </c>
      <c r="C214" t="s">
        <v>4528</v>
      </c>
      <c r="D214" s="144" t="s">
        <v>869</v>
      </c>
      <c r="E214" t="s">
        <v>765</v>
      </c>
      <c r="F214" t="s">
        <v>263</v>
      </c>
      <c r="G214" t="s">
        <v>766</v>
      </c>
      <c r="H214" t="s">
        <v>1326</v>
      </c>
      <c r="I214" t="s">
        <v>766</v>
      </c>
      <c r="J214" t="s">
        <v>2165</v>
      </c>
      <c r="K214" t="s">
        <v>2165</v>
      </c>
      <c r="L214" t="s">
        <v>2432</v>
      </c>
      <c r="M214" t="s">
        <v>208</v>
      </c>
      <c r="N214" t="s">
        <v>780</v>
      </c>
      <c r="O214" t="s">
        <v>771</v>
      </c>
      <c r="P214" t="s">
        <v>772</v>
      </c>
      <c r="Q214" t="s">
        <v>772</v>
      </c>
      <c r="R214">
        <v>1</v>
      </c>
      <c r="S214">
        <v>5</v>
      </c>
      <c r="T214">
        <v>0</v>
      </c>
      <c r="U214">
        <v>0</v>
      </c>
      <c r="V214">
        <v>0</v>
      </c>
      <c r="W214">
        <v>0</v>
      </c>
      <c r="X214">
        <v>0</v>
      </c>
      <c r="Y214">
        <v>0</v>
      </c>
      <c r="Z214">
        <v>0</v>
      </c>
      <c r="AA214">
        <v>0</v>
      </c>
      <c r="AB214">
        <v>0</v>
      </c>
      <c r="AC214">
        <v>0</v>
      </c>
      <c r="AD214">
        <v>3</v>
      </c>
      <c r="AE214">
        <v>3</v>
      </c>
      <c r="AF214">
        <v>0</v>
      </c>
      <c r="AG214">
        <v>0</v>
      </c>
      <c r="AH214">
        <v>0</v>
      </c>
      <c r="AI214">
        <v>0</v>
      </c>
      <c r="AY214" t="str">
        <f t="shared" si="57"/>
        <v>CEFENIL 50 MG/ML</v>
      </c>
      <c r="AZ214" t="str">
        <f>IF(COUNTIF(AY:AY,AY214)=1,AY214,IF(AND(COUNTIF(AY:AY,AY214)&gt;1,COUNTIF(AZ$2:AZ213,AY214)&gt;=1),"",AY214))</f>
        <v>CEFENIL 50 MG/ML</v>
      </c>
      <c r="BA214">
        <f>IF(AZ214="","",COUNTIFS(AZ$3:AZ$1439,"&lt;"&amp;AZ214,AZ$3:AZ$1439,"&lt;&gt;0")+COUNTIF(AZ$3:AZ214,AZ214)-876)</f>
        <v>84</v>
      </c>
      <c r="BC214">
        <v>212</v>
      </c>
      <c r="BD214" t="str">
        <f t="shared" si="68"/>
        <v>ENROTRON 100 MG/ML SOLUTION BUVABLE POUR POULES, DINDES ET LAPINS</v>
      </c>
      <c r="BE214" t="str">
        <f t="shared" si="58"/>
        <v>ORAL</v>
      </c>
      <c r="BF214" t="str">
        <f t="shared" si="59"/>
        <v>FLUOROQUINOLONES</v>
      </c>
      <c r="BG214" t="str">
        <f t="shared" si="60"/>
        <v/>
      </c>
      <c r="BH214" t="str">
        <f t="shared" si="61"/>
        <v/>
      </c>
      <c r="BI214" t="str">
        <f t="shared" si="62"/>
        <v>enrofloxacin</v>
      </c>
      <c r="BJ214" t="str">
        <f t="shared" si="63"/>
        <v/>
      </c>
      <c r="BK214" t="str">
        <f t="shared" si="64"/>
        <v/>
      </c>
      <c r="BL214" t="str">
        <f t="shared" si="69"/>
        <v>Enrofloxacine</v>
      </c>
      <c r="BM214" t="str">
        <f t="shared" si="65"/>
        <v>Enrofloxacine</v>
      </c>
      <c r="BN214" t="str">
        <f t="shared" si="66"/>
        <v/>
      </c>
      <c r="BO214" t="str">
        <f t="shared" si="67"/>
        <v/>
      </c>
      <c r="BP214" t="str">
        <f t="shared" si="70"/>
        <v>Fluoroquinolones</v>
      </c>
      <c r="BQ214" t="str">
        <f t="shared" si="71"/>
        <v>Fluoroquinolones</v>
      </c>
      <c r="BR214" t="str">
        <f t="shared" si="72"/>
        <v/>
      </c>
      <c r="BS214" t="str">
        <f t="shared" si="73"/>
        <v/>
      </c>
      <c r="BT214" s="76" t="str">
        <f t="shared" si="74"/>
        <v>Voie orale  hors prémélanges médicamenteux</v>
      </c>
      <c r="BU214" t="str">
        <f t="shared" si="75"/>
        <v>x</v>
      </c>
      <c r="CN214">
        <v>213</v>
      </c>
    </row>
    <row r="215" spans="1:92" x14ac:dyDescent="0.3">
      <c r="A215" s="118" t="s">
        <v>3461</v>
      </c>
      <c r="B215" t="s">
        <v>3463</v>
      </c>
      <c r="C215" t="s">
        <v>4529</v>
      </c>
      <c r="D215" s="144" t="s">
        <v>940</v>
      </c>
      <c r="E215" t="s">
        <v>765</v>
      </c>
      <c r="F215" t="s">
        <v>263</v>
      </c>
      <c r="G215" t="s">
        <v>766</v>
      </c>
      <c r="H215" t="s">
        <v>1326</v>
      </c>
      <c r="I215" t="s">
        <v>766</v>
      </c>
      <c r="J215" t="s">
        <v>2165</v>
      </c>
      <c r="K215" t="s">
        <v>2165</v>
      </c>
      <c r="L215" t="s">
        <v>2432</v>
      </c>
      <c r="M215" t="s">
        <v>208</v>
      </c>
      <c r="N215" t="s">
        <v>780</v>
      </c>
      <c r="O215" t="s">
        <v>771</v>
      </c>
      <c r="P215" t="s">
        <v>772</v>
      </c>
      <c r="Q215" t="s">
        <v>934</v>
      </c>
      <c r="R215">
        <v>1</v>
      </c>
      <c r="S215">
        <v>5</v>
      </c>
      <c r="T215">
        <v>0</v>
      </c>
      <c r="U215">
        <v>0</v>
      </c>
      <c r="V215">
        <v>0</v>
      </c>
      <c r="W215">
        <v>0</v>
      </c>
      <c r="X215">
        <v>0</v>
      </c>
      <c r="Y215">
        <v>0</v>
      </c>
      <c r="Z215">
        <v>0</v>
      </c>
      <c r="AA215">
        <v>0</v>
      </c>
      <c r="AB215">
        <v>0</v>
      </c>
      <c r="AC215">
        <v>0</v>
      </c>
      <c r="AD215">
        <v>3</v>
      </c>
      <c r="AE215">
        <v>3</v>
      </c>
      <c r="AF215">
        <v>0</v>
      </c>
      <c r="AG215">
        <v>0</v>
      </c>
      <c r="AH215">
        <v>0</v>
      </c>
      <c r="AI215">
        <v>0</v>
      </c>
      <c r="AY215" t="str">
        <f t="shared" si="57"/>
        <v>CEFENIL 50 MG/ML</v>
      </c>
      <c r="AZ215" t="str">
        <f>IF(COUNTIF(AY:AY,AY215)=1,AY215,IF(AND(COUNTIF(AY:AY,AY215)&gt;1,COUNTIF(AZ$2:AZ214,AY215)&gt;=1),"",AY215))</f>
        <v/>
      </c>
      <c r="BA215" t="str">
        <f>IF(AZ215="","",COUNTIFS(AZ$3:AZ$1439,"&lt;"&amp;AZ215,AZ$3:AZ$1439,"&lt;&gt;0")+COUNTIF(AZ$3:AZ215,AZ215)-876)</f>
        <v/>
      </c>
      <c r="BC215">
        <v>213</v>
      </c>
      <c r="BD215" t="str">
        <f t="shared" si="68"/>
        <v>ENROVAL 10 % SOLUTION BUVABLE POUR VOLAILLES</v>
      </c>
      <c r="BE215" t="str">
        <f t="shared" si="58"/>
        <v>ORAL</v>
      </c>
      <c r="BF215" t="str">
        <f t="shared" si="59"/>
        <v>FLUOROQUINOLONES</v>
      </c>
      <c r="BG215" t="str">
        <f t="shared" si="60"/>
        <v/>
      </c>
      <c r="BH215" t="str">
        <f t="shared" si="61"/>
        <v/>
      </c>
      <c r="BI215" t="str">
        <f t="shared" si="62"/>
        <v>enrofloxacin</v>
      </c>
      <c r="BJ215" t="str">
        <f t="shared" si="63"/>
        <v/>
      </c>
      <c r="BK215" t="str">
        <f t="shared" si="64"/>
        <v/>
      </c>
      <c r="BL215" t="str">
        <f t="shared" si="69"/>
        <v>Enrofloxacine</v>
      </c>
      <c r="BM215" t="str">
        <f t="shared" si="65"/>
        <v>Enrofloxacine</v>
      </c>
      <c r="BN215" t="str">
        <f t="shared" si="66"/>
        <v/>
      </c>
      <c r="BO215" t="str">
        <f t="shared" si="67"/>
        <v/>
      </c>
      <c r="BP215" t="str">
        <f t="shared" si="70"/>
        <v>Fluoroquinolones</v>
      </c>
      <c r="BQ215" t="str">
        <f t="shared" si="71"/>
        <v>Fluoroquinolones</v>
      </c>
      <c r="BR215" t="str">
        <f t="shared" si="72"/>
        <v/>
      </c>
      <c r="BS215" t="str">
        <f t="shared" si="73"/>
        <v/>
      </c>
      <c r="BT215" s="76" t="str">
        <f t="shared" si="74"/>
        <v>Voie orale  hors prémélanges médicamenteux</v>
      </c>
      <c r="BU215" t="str">
        <f t="shared" si="75"/>
        <v>x</v>
      </c>
      <c r="CN215">
        <v>214</v>
      </c>
    </row>
    <row r="216" spans="1:92" x14ac:dyDescent="0.3">
      <c r="A216" s="118" t="s">
        <v>3834</v>
      </c>
      <c r="B216" t="s">
        <v>3835</v>
      </c>
      <c r="C216" t="s">
        <v>3836</v>
      </c>
      <c r="D216" s="144" t="s">
        <v>764</v>
      </c>
      <c r="E216" t="s">
        <v>765</v>
      </c>
      <c r="F216" t="s">
        <v>614</v>
      </c>
      <c r="G216" t="s">
        <v>766</v>
      </c>
      <c r="H216" t="s">
        <v>1326</v>
      </c>
      <c r="I216" t="s">
        <v>766</v>
      </c>
      <c r="J216" t="s">
        <v>2165</v>
      </c>
      <c r="K216" t="s">
        <v>2165</v>
      </c>
      <c r="L216" t="s">
        <v>2432</v>
      </c>
      <c r="M216" t="s">
        <v>208</v>
      </c>
      <c r="N216" t="s">
        <v>780</v>
      </c>
      <c r="O216" t="s">
        <v>771</v>
      </c>
      <c r="P216" t="s">
        <v>772</v>
      </c>
      <c r="Q216" t="s">
        <v>885</v>
      </c>
      <c r="R216">
        <v>1</v>
      </c>
      <c r="S216">
        <v>5</v>
      </c>
      <c r="T216">
        <v>0</v>
      </c>
      <c r="U216">
        <v>0</v>
      </c>
      <c r="V216">
        <v>0</v>
      </c>
      <c r="W216">
        <v>0</v>
      </c>
      <c r="X216">
        <v>0</v>
      </c>
      <c r="Y216">
        <v>0</v>
      </c>
      <c r="Z216">
        <v>0</v>
      </c>
      <c r="AA216">
        <v>0</v>
      </c>
      <c r="AB216">
        <v>0</v>
      </c>
      <c r="AC216">
        <v>0</v>
      </c>
      <c r="AD216">
        <v>3</v>
      </c>
      <c r="AE216">
        <v>3</v>
      </c>
      <c r="AF216">
        <v>0</v>
      </c>
      <c r="AG216">
        <v>0</v>
      </c>
      <c r="AH216">
        <v>0</v>
      </c>
      <c r="AI216">
        <v>0</v>
      </c>
      <c r="AY216" t="str">
        <f t="shared" si="57"/>
        <v>CEFENIL RTU VET 50 MG/ML SUSPENSION INJECTABLE POUR PORCS ET BOVINS</v>
      </c>
      <c r="AZ216" t="str">
        <f>IF(COUNTIF(AY:AY,AY216)=1,AY216,IF(AND(COUNTIF(AY:AY,AY216)&gt;1,COUNTIF(AZ$2:AZ215,AY216)&gt;=1),"",AY216))</f>
        <v>CEFENIL RTU VET 50 MG/ML SUSPENSION INJECTABLE POUR PORCS ET BOVINS</v>
      </c>
      <c r="BA216">
        <f>IF(AZ216="","",COUNTIFS(AZ$3:AZ$1439,"&lt;"&amp;AZ216,AZ$3:AZ$1439,"&lt;&gt;0")+COUNTIF(AZ$3:AZ216,AZ216)-876)</f>
        <v>85</v>
      </c>
      <c r="BC216">
        <v>214</v>
      </c>
      <c r="BD216" t="str">
        <f t="shared" si="68"/>
        <v>ENTEROGEL 30</v>
      </c>
      <c r="BE216" t="str">
        <f t="shared" si="58"/>
        <v>ORAL</v>
      </c>
      <c r="BF216" t="str">
        <f t="shared" si="59"/>
        <v>SULFAMIDES</v>
      </c>
      <c r="BG216" t="str">
        <f t="shared" si="60"/>
        <v>POLYPEPTIDES</v>
      </c>
      <c r="BH216" t="str">
        <f t="shared" si="61"/>
        <v/>
      </c>
      <c r="BI216" t="str">
        <f t="shared" si="62"/>
        <v>sulfaguanidine</v>
      </c>
      <c r="BJ216" t="str">
        <f t="shared" si="63"/>
        <v>colistin</v>
      </c>
      <c r="BK216" t="str">
        <f t="shared" si="64"/>
        <v/>
      </c>
      <c r="BL216" t="str">
        <f t="shared" si="69"/>
        <v>Sulfaguanidine + Colistine</v>
      </c>
      <c r="BM216" t="str">
        <f t="shared" si="65"/>
        <v>Sulfaguanidine</v>
      </c>
      <c r="BN216" t="str">
        <f t="shared" si="66"/>
        <v>Colistine</v>
      </c>
      <c r="BO216" t="str">
        <f t="shared" si="67"/>
        <v/>
      </c>
      <c r="BP216" t="str">
        <f t="shared" si="70"/>
        <v>Sulfamides + Polypeptides</v>
      </c>
      <c r="BQ216" t="str">
        <f t="shared" si="71"/>
        <v>Sulfamides</v>
      </c>
      <c r="BR216" t="str">
        <f t="shared" si="72"/>
        <v>Polypeptides</v>
      </c>
      <c r="BS216" t="str">
        <f t="shared" si="73"/>
        <v/>
      </c>
      <c r="BT216" s="76" t="str">
        <f t="shared" si="74"/>
        <v>Voie orale  hors prémélanges médicamenteux</v>
      </c>
      <c r="BU216" t="str">
        <f t="shared" si="75"/>
        <v>x</v>
      </c>
      <c r="CN216">
        <v>215</v>
      </c>
    </row>
    <row r="217" spans="1:92" x14ac:dyDescent="0.3">
      <c r="A217" s="118" t="s">
        <v>3834</v>
      </c>
      <c r="B217" t="s">
        <v>3837</v>
      </c>
      <c r="C217" t="s">
        <v>3838</v>
      </c>
      <c r="D217" s="144" t="s">
        <v>776</v>
      </c>
      <c r="E217" t="s">
        <v>765</v>
      </c>
      <c r="F217" t="s">
        <v>614</v>
      </c>
      <c r="G217" t="s">
        <v>766</v>
      </c>
      <c r="H217" t="s">
        <v>1326</v>
      </c>
      <c r="I217" t="s">
        <v>766</v>
      </c>
      <c r="J217" t="s">
        <v>2165</v>
      </c>
      <c r="K217" t="s">
        <v>2165</v>
      </c>
      <c r="L217" t="s">
        <v>2432</v>
      </c>
      <c r="M217" t="s">
        <v>208</v>
      </c>
      <c r="N217" t="s">
        <v>780</v>
      </c>
      <c r="O217" t="s">
        <v>771</v>
      </c>
      <c r="P217" t="s">
        <v>772</v>
      </c>
      <c r="Q217" t="s">
        <v>1072</v>
      </c>
      <c r="R217">
        <v>1</v>
      </c>
      <c r="S217">
        <v>5</v>
      </c>
      <c r="T217">
        <v>0</v>
      </c>
      <c r="U217">
        <v>0</v>
      </c>
      <c r="V217">
        <v>0</v>
      </c>
      <c r="W217">
        <v>0</v>
      </c>
      <c r="X217">
        <v>0</v>
      </c>
      <c r="Y217">
        <v>0</v>
      </c>
      <c r="Z217">
        <v>0</v>
      </c>
      <c r="AA217">
        <v>0</v>
      </c>
      <c r="AB217">
        <v>0</v>
      </c>
      <c r="AC217">
        <v>0</v>
      </c>
      <c r="AD217">
        <v>3</v>
      </c>
      <c r="AE217">
        <v>3</v>
      </c>
      <c r="AF217">
        <v>0</v>
      </c>
      <c r="AG217">
        <v>0</v>
      </c>
      <c r="AH217">
        <v>0</v>
      </c>
      <c r="AI217">
        <v>0</v>
      </c>
      <c r="AY217" t="str">
        <f t="shared" si="57"/>
        <v>CEFENIL RTU VET 50 MG/ML SUSPENSION INJECTABLE POUR PORCS ET BOVINS</v>
      </c>
      <c r="AZ217" t="str">
        <f>IF(COUNTIF(AY:AY,AY217)=1,AY217,IF(AND(COUNTIF(AY:AY,AY217)&gt;1,COUNTIF(AZ$2:AZ216,AY217)&gt;=1),"",AY217))</f>
        <v/>
      </c>
      <c r="BA217" t="str">
        <f>IF(AZ217="","",COUNTIFS(AZ$3:AZ$1439,"&lt;"&amp;AZ217,AZ$3:AZ$1439,"&lt;&gt;0")+COUNTIF(AZ$3:AZ217,AZ217)-876)</f>
        <v/>
      </c>
      <c r="BC217">
        <v>215</v>
      </c>
      <c r="BD217" t="str">
        <f t="shared" si="68"/>
        <v>ENTEROGRAM</v>
      </c>
      <c r="BE217" t="str">
        <f t="shared" si="58"/>
        <v>ORAL</v>
      </c>
      <c r="BF217" t="str">
        <f t="shared" si="59"/>
        <v>POLYPEPTIDES</v>
      </c>
      <c r="BG217" t="str">
        <f t="shared" si="60"/>
        <v/>
      </c>
      <c r="BH217" t="str">
        <f t="shared" si="61"/>
        <v/>
      </c>
      <c r="BI217" t="str">
        <f t="shared" si="62"/>
        <v>colistin</v>
      </c>
      <c r="BJ217" t="str">
        <f t="shared" si="63"/>
        <v/>
      </c>
      <c r="BK217" t="str">
        <f t="shared" si="64"/>
        <v/>
      </c>
      <c r="BL217" t="str">
        <f t="shared" si="69"/>
        <v>Colistine</v>
      </c>
      <c r="BM217" t="str">
        <f t="shared" si="65"/>
        <v>Colistine</v>
      </c>
      <c r="BN217" t="str">
        <f t="shared" si="66"/>
        <v/>
      </c>
      <c r="BO217" t="str">
        <f t="shared" si="67"/>
        <v/>
      </c>
      <c r="BP217" t="str">
        <f t="shared" si="70"/>
        <v>Polypeptides</v>
      </c>
      <c r="BQ217" t="str">
        <f t="shared" si="71"/>
        <v>Polypeptides</v>
      </c>
      <c r="BR217" t="str">
        <f t="shared" si="72"/>
        <v/>
      </c>
      <c r="BS217" t="str">
        <f t="shared" si="73"/>
        <v/>
      </c>
      <c r="BT217" s="76" t="str">
        <f t="shared" si="74"/>
        <v>Voie orale  hors prémélanges médicamenteux</v>
      </c>
      <c r="BU217" t="str">
        <f t="shared" si="75"/>
        <v>x</v>
      </c>
      <c r="CN217">
        <v>216</v>
      </c>
    </row>
    <row r="218" spans="1:92" x14ac:dyDescent="0.3">
      <c r="A218" s="118" t="s">
        <v>3953</v>
      </c>
      <c r="B218" t="s">
        <v>3954</v>
      </c>
      <c r="C218" t="s">
        <v>3955</v>
      </c>
      <c r="D218" s="144" t="s">
        <v>764</v>
      </c>
      <c r="E218" t="s">
        <v>765</v>
      </c>
      <c r="F218" t="s">
        <v>615</v>
      </c>
      <c r="G218" t="s">
        <v>766</v>
      </c>
      <c r="H218" t="s">
        <v>1326</v>
      </c>
      <c r="I218" t="s">
        <v>766</v>
      </c>
      <c r="J218" t="s">
        <v>2165</v>
      </c>
      <c r="K218" t="s">
        <v>2165</v>
      </c>
      <c r="L218" t="s">
        <v>2432</v>
      </c>
      <c r="M218" t="s">
        <v>208</v>
      </c>
      <c r="N218" t="s">
        <v>780</v>
      </c>
      <c r="O218" t="s">
        <v>771</v>
      </c>
      <c r="P218" t="s">
        <v>772</v>
      </c>
      <c r="Q218" t="s">
        <v>885</v>
      </c>
      <c r="R218">
        <v>1</v>
      </c>
      <c r="S218">
        <v>5</v>
      </c>
      <c r="T218">
        <v>0</v>
      </c>
      <c r="U218">
        <v>0</v>
      </c>
      <c r="V218">
        <v>0</v>
      </c>
      <c r="W218">
        <v>0</v>
      </c>
      <c r="X218">
        <v>0</v>
      </c>
      <c r="Y218">
        <v>0</v>
      </c>
      <c r="Z218">
        <v>0</v>
      </c>
      <c r="AA218">
        <v>0</v>
      </c>
      <c r="AB218">
        <v>0</v>
      </c>
      <c r="AC218">
        <v>0</v>
      </c>
      <c r="AD218">
        <v>3</v>
      </c>
      <c r="AE218">
        <v>3</v>
      </c>
      <c r="AF218">
        <v>0</v>
      </c>
      <c r="AG218">
        <v>0</v>
      </c>
      <c r="AH218">
        <v>0</v>
      </c>
      <c r="AI218">
        <v>0</v>
      </c>
      <c r="AY218" t="str">
        <f t="shared" si="57"/>
        <v>CEFOKEL 50 MG/ML SUSPENSION INJECTABLE POUR PORCINS ET BOVINS</v>
      </c>
      <c r="AZ218" t="str">
        <f>IF(COUNTIF(AY:AY,AY218)=1,AY218,IF(AND(COUNTIF(AY:AY,AY218)&gt;1,COUNTIF(AZ$2:AZ217,AY218)&gt;=1),"",AY218))</f>
        <v>CEFOKEL 50 MG/ML SUSPENSION INJECTABLE POUR PORCINS ET BOVINS</v>
      </c>
      <c r="BA218">
        <f>IF(AZ218="","",COUNTIFS(AZ$3:AZ$1439,"&lt;"&amp;AZ218,AZ$3:AZ$1439,"&lt;&gt;0")+COUNTIF(AZ$3:AZ218,AZ218)-876)</f>
        <v>86</v>
      </c>
      <c r="BC218">
        <v>216</v>
      </c>
      <c r="BD218" t="str">
        <f t="shared" si="68"/>
        <v>ENTOCUNIMYCINE</v>
      </c>
      <c r="BE218" t="str">
        <f t="shared" si="58"/>
        <v>ORAL</v>
      </c>
      <c r="BF218" t="str">
        <f t="shared" si="59"/>
        <v>AMINOGLYCOSIDES</v>
      </c>
      <c r="BG218" t="str">
        <f t="shared" si="60"/>
        <v/>
      </c>
      <c r="BH218" t="str">
        <f t="shared" si="61"/>
        <v/>
      </c>
      <c r="BI218" t="str">
        <f t="shared" si="62"/>
        <v>neomycin</v>
      </c>
      <c r="BJ218" t="str">
        <f t="shared" si="63"/>
        <v/>
      </c>
      <c r="BK218" t="str">
        <f t="shared" si="64"/>
        <v/>
      </c>
      <c r="BL218" t="str">
        <f t="shared" si="69"/>
        <v>Néomycine</v>
      </c>
      <c r="BM218" t="str">
        <f t="shared" si="65"/>
        <v>Néomycine</v>
      </c>
      <c r="BN218" t="str">
        <f t="shared" si="66"/>
        <v/>
      </c>
      <c r="BO218" t="str">
        <f t="shared" si="67"/>
        <v/>
      </c>
      <c r="BP218" t="str">
        <f t="shared" si="70"/>
        <v>Aminoglycosides</v>
      </c>
      <c r="BQ218" t="str">
        <f t="shared" si="71"/>
        <v>Aminoglycosides</v>
      </c>
      <c r="BR218" t="str">
        <f t="shared" si="72"/>
        <v/>
      </c>
      <c r="BS218" t="str">
        <f t="shared" si="73"/>
        <v/>
      </c>
      <c r="BT218" s="76" t="str">
        <f t="shared" si="74"/>
        <v>Voie orale  hors prémélanges médicamenteux</v>
      </c>
      <c r="BU218" t="str">
        <f t="shared" si="75"/>
        <v/>
      </c>
      <c r="CN218">
        <v>217</v>
      </c>
    </row>
    <row r="219" spans="1:92" x14ac:dyDescent="0.3">
      <c r="A219" s="118" t="s">
        <v>2627</v>
      </c>
      <c r="B219" t="s">
        <v>2628</v>
      </c>
      <c r="C219" t="s">
        <v>4484</v>
      </c>
      <c r="D219" s="144" t="s">
        <v>1033</v>
      </c>
      <c r="E219" t="s">
        <v>813</v>
      </c>
      <c r="F219" t="s">
        <v>74</v>
      </c>
      <c r="G219" t="s">
        <v>1013</v>
      </c>
      <c r="H219" t="s">
        <v>801</v>
      </c>
      <c r="I219" t="s">
        <v>1013</v>
      </c>
      <c r="J219" t="s">
        <v>1179</v>
      </c>
      <c r="K219" t="s">
        <v>1179</v>
      </c>
      <c r="L219" t="s">
        <v>2629</v>
      </c>
      <c r="M219" t="s">
        <v>208</v>
      </c>
      <c r="N219" t="s">
        <v>1163</v>
      </c>
      <c r="O219" t="s">
        <v>824</v>
      </c>
      <c r="P219" t="s">
        <v>772</v>
      </c>
      <c r="Q219" t="s">
        <v>2524</v>
      </c>
      <c r="R219">
        <v>0</v>
      </c>
      <c r="S219">
        <v>0</v>
      </c>
      <c r="T219">
        <v>0</v>
      </c>
      <c r="U219">
        <v>0</v>
      </c>
      <c r="V219">
        <v>0</v>
      </c>
      <c r="W219">
        <v>0</v>
      </c>
      <c r="X219">
        <v>0</v>
      </c>
      <c r="Y219">
        <v>0</v>
      </c>
      <c r="Z219">
        <v>0</v>
      </c>
      <c r="AA219">
        <v>0</v>
      </c>
      <c r="AB219">
        <v>0</v>
      </c>
      <c r="AC219">
        <v>0</v>
      </c>
      <c r="AD219">
        <v>0</v>
      </c>
      <c r="AE219">
        <v>0</v>
      </c>
      <c r="AF219">
        <v>0</v>
      </c>
      <c r="AG219">
        <v>0</v>
      </c>
      <c r="AH219">
        <v>0</v>
      </c>
      <c r="AI219">
        <v>0</v>
      </c>
      <c r="AY219" t="str">
        <f t="shared" si="57"/>
        <v>CEFOVET</v>
      </c>
      <c r="AZ219" t="str">
        <f>IF(COUNTIF(AY:AY,AY219)=1,AY219,IF(AND(COUNTIF(AY:AY,AY219)&gt;1,COUNTIF(AZ$2:AZ218,AY219)&gt;=1),"",AY219))</f>
        <v>CEFOVET</v>
      </c>
      <c r="BA219">
        <f>IF(AZ219="","",COUNTIFS(AZ$3:AZ$1439,"&lt;"&amp;AZ219,AZ$3:AZ$1439,"&lt;&gt;0")+COUNTIF(AZ$3:AZ219,AZ219)-876)</f>
        <v>87</v>
      </c>
      <c r="BC219">
        <v>217</v>
      </c>
      <c r="BD219" t="str">
        <f t="shared" si="68"/>
        <v>ENZOO-GROUP</v>
      </c>
      <c r="BE219" t="str">
        <f t="shared" si="58"/>
        <v>ORAL</v>
      </c>
      <c r="BF219" t="str">
        <f t="shared" si="59"/>
        <v>SULFAMIDES</v>
      </c>
      <c r="BG219" t="str">
        <f t="shared" si="60"/>
        <v/>
      </c>
      <c r="BH219" t="str">
        <f t="shared" si="61"/>
        <v/>
      </c>
      <c r="BI219" t="str">
        <f t="shared" si="62"/>
        <v>sulfaguanidine</v>
      </c>
      <c r="BJ219" t="str">
        <f t="shared" si="63"/>
        <v/>
      </c>
      <c r="BK219" t="str">
        <f t="shared" si="64"/>
        <v/>
      </c>
      <c r="BL219" t="str">
        <f t="shared" si="69"/>
        <v>Sulfaguanidine</v>
      </c>
      <c r="BM219" t="str">
        <f t="shared" si="65"/>
        <v>Sulfaguanidine</v>
      </c>
      <c r="BN219" t="str">
        <f t="shared" si="66"/>
        <v/>
      </c>
      <c r="BO219" t="str">
        <f t="shared" si="67"/>
        <v/>
      </c>
      <c r="BP219" t="str">
        <f t="shared" si="70"/>
        <v>Sulfamides</v>
      </c>
      <c r="BQ219" t="str">
        <f t="shared" si="71"/>
        <v>Sulfamides</v>
      </c>
      <c r="BR219" t="str">
        <f t="shared" si="72"/>
        <v/>
      </c>
      <c r="BS219" t="str">
        <f t="shared" si="73"/>
        <v/>
      </c>
      <c r="BT219" s="76" t="str">
        <f t="shared" si="74"/>
        <v>Voie orale  hors prémélanges médicamenteux</v>
      </c>
      <c r="BU219" t="str">
        <f t="shared" si="75"/>
        <v/>
      </c>
      <c r="CN219">
        <v>218</v>
      </c>
    </row>
    <row r="220" spans="1:92" x14ac:dyDescent="0.3">
      <c r="A220" s="118" t="s">
        <v>2627</v>
      </c>
      <c r="B220" t="s">
        <v>2630</v>
      </c>
      <c r="C220" t="s">
        <v>4485</v>
      </c>
      <c r="D220" s="144" t="s">
        <v>852</v>
      </c>
      <c r="E220" t="s">
        <v>813</v>
      </c>
      <c r="F220" t="s">
        <v>74</v>
      </c>
      <c r="G220" t="s">
        <v>1013</v>
      </c>
      <c r="H220" t="s">
        <v>801</v>
      </c>
      <c r="I220" t="s">
        <v>1013</v>
      </c>
      <c r="J220" t="s">
        <v>1179</v>
      </c>
      <c r="K220" t="s">
        <v>1179</v>
      </c>
      <c r="L220" t="s">
        <v>2629</v>
      </c>
      <c r="M220" t="s">
        <v>208</v>
      </c>
      <c r="N220" t="s">
        <v>1163</v>
      </c>
      <c r="O220" t="s">
        <v>824</v>
      </c>
      <c r="P220" t="s">
        <v>772</v>
      </c>
      <c r="Q220" t="s">
        <v>1304</v>
      </c>
      <c r="R220">
        <v>0</v>
      </c>
      <c r="S220">
        <v>0</v>
      </c>
      <c r="T220">
        <v>0</v>
      </c>
      <c r="U220">
        <v>0</v>
      </c>
      <c r="V220">
        <v>0</v>
      </c>
      <c r="W220">
        <v>0</v>
      </c>
      <c r="X220">
        <v>0</v>
      </c>
      <c r="Y220">
        <v>0</v>
      </c>
      <c r="Z220">
        <v>0</v>
      </c>
      <c r="AA220">
        <v>0</v>
      </c>
      <c r="AB220">
        <v>0</v>
      </c>
      <c r="AC220">
        <v>0</v>
      </c>
      <c r="AD220">
        <v>0</v>
      </c>
      <c r="AE220">
        <v>0</v>
      </c>
      <c r="AF220">
        <v>0</v>
      </c>
      <c r="AG220">
        <v>0</v>
      </c>
      <c r="AH220">
        <v>0</v>
      </c>
      <c r="AI220">
        <v>0</v>
      </c>
      <c r="AY220" t="str">
        <f t="shared" si="57"/>
        <v>CEFOVET</v>
      </c>
      <c r="AZ220" t="str">
        <f>IF(COUNTIF(AY:AY,AY220)=1,AY220,IF(AND(COUNTIF(AY:AY,AY220)&gt;1,COUNTIF(AZ$2:AZ219,AY220)&gt;=1),"",AY220))</f>
        <v/>
      </c>
      <c r="BA220" t="str">
        <f>IF(AZ220="","",COUNTIFS(AZ$3:AZ$1439,"&lt;"&amp;AZ220,AZ$3:AZ$1439,"&lt;&gt;0")+COUNTIF(AZ$3:AZ220,AZ220)-876)</f>
        <v/>
      </c>
      <c r="BC220">
        <v>218</v>
      </c>
      <c r="BD220" t="str">
        <f t="shared" si="68"/>
        <v>EQUIBACTIN VET (333 MG/G + 67 MG/G) PATE ORALE POUR CHEVAUX</v>
      </c>
      <c r="BE220" t="str">
        <f t="shared" si="58"/>
        <v>ORAL</v>
      </c>
      <c r="BF220" t="str">
        <f t="shared" si="59"/>
        <v>SULFAMIDES</v>
      </c>
      <c r="BG220" t="str">
        <f t="shared" si="60"/>
        <v>TRIMETHOPRIME</v>
      </c>
      <c r="BH220" t="str">
        <f t="shared" si="61"/>
        <v/>
      </c>
      <c r="BI220" t="str">
        <f t="shared" si="62"/>
        <v>sulfadiazine</v>
      </c>
      <c r="BJ220" t="str">
        <f t="shared" si="63"/>
        <v>trimethoprim</v>
      </c>
      <c r="BK220" t="str">
        <f t="shared" si="64"/>
        <v/>
      </c>
      <c r="BL220" t="str">
        <f t="shared" si="69"/>
        <v>Sulfadiazine + Triméthoprime</v>
      </c>
      <c r="BM220" t="str">
        <f t="shared" si="65"/>
        <v>Sulfadiazine</v>
      </c>
      <c r="BN220" t="str">
        <f t="shared" si="66"/>
        <v>Triméthoprime</v>
      </c>
      <c r="BO220" t="str">
        <f t="shared" si="67"/>
        <v/>
      </c>
      <c r="BP220" t="str">
        <f t="shared" si="70"/>
        <v>Sulfamides + Trimethoprime</v>
      </c>
      <c r="BQ220" t="str">
        <f t="shared" si="71"/>
        <v>Sulfamides</v>
      </c>
      <c r="BR220" t="str">
        <f t="shared" si="72"/>
        <v>Trimethoprime</v>
      </c>
      <c r="BS220" t="str">
        <f t="shared" si="73"/>
        <v/>
      </c>
      <c r="BT220" s="76" t="str">
        <f t="shared" si="74"/>
        <v>Voie orale  hors prémélanges médicamenteux</v>
      </c>
      <c r="BU220" t="str">
        <f t="shared" si="75"/>
        <v/>
      </c>
      <c r="CN220">
        <v>219</v>
      </c>
    </row>
    <row r="221" spans="1:92" x14ac:dyDescent="0.3">
      <c r="A221" s="118" t="s">
        <v>2627</v>
      </c>
      <c r="B221" t="s">
        <v>4486</v>
      </c>
      <c r="C221" t="s">
        <v>4485</v>
      </c>
      <c r="D221" s="144" t="s">
        <v>852</v>
      </c>
      <c r="E221" t="s">
        <v>813</v>
      </c>
      <c r="F221" t="s">
        <v>74</v>
      </c>
      <c r="G221" t="s">
        <v>1013</v>
      </c>
      <c r="H221" t="s">
        <v>801</v>
      </c>
      <c r="I221" t="s">
        <v>1013</v>
      </c>
      <c r="J221" t="s">
        <v>1179</v>
      </c>
      <c r="K221" t="s">
        <v>1179</v>
      </c>
      <c r="L221" t="s">
        <v>2629</v>
      </c>
      <c r="M221" t="s">
        <v>208</v>
      </c>
      <c r="N221" t="s">
        <v>1163</v>
      </c>
      <c r="O221" t="s">
        <v>824</v>
      </c>
      <c r="P221" t="s">
        <v>772</v>
      </c>
      <c r="Q221" t="s">
        <v>1304</v>
      </c>
      <c r="R221">
        <v>0</v>
      </c>
      <c r="S221">
        <v>0</v>
      </c>
      <c r="T221">
        <v>0</v>
      </c>
      <c r="U221">
        <v>0</v>
      </c>
      <c r="V221">
        <v>0</v>
      </c>
      <c r="W221">
        <v>0</v>
      </c>
      <c r="X221">
        <v>0</v>
      </c>
      <c r="Y221">
        <v>0</v>
      </c>
      <c r="Z221">
        <v>0</v>
      </c>
      <c r="AA221">
        <v>0</v>
      </c>
      <c r="AB221">
        <v>0</v>
      </c>
      <c r="AC221">
        <v>0</v>
      </c>
      <c r="AD221">
        <v>0</v>
      </c>
      <c r="AE221">
        <v>0</v>
      </c>
      <c r="AF221">
        <v>0</v>
      </c>
      <c r="AG221">
        <v>0</v>
      </c>
      <c r="AH221">
        <v>0</v>
      </c>
      <c r="AI221">
        <v>0</v>
      </c>
      <c r="AY221" t="str">
        <f t="shared" si="57"/>
        <v>CEFOVET</v>
      </c>
      <c r="AZ221" t="str">
        <f>IF(COUNTIF(AY:AY,AY221)=1,AY221,IF(AND(COUNTIF(AY:AY,AY221)&gt;1,COUNTIF(AZ$2:AZ220,AY221)&gt;=1),"",AY221))</f>
        <v/>
      </c>
      <c r="BA221" t="str">
        <f>IF(AZ221="","",COUNTIFS(AZ$3:AZ$1439,"&lt;"&amp;AZ221,AZ$3:AZ$1439,"&lt;&gt;0")+COUNTIF(AZ$3:AZ221,AZ221)-876)</f>
        <v/>
      </c>
      <c r="BC221">
        <v>219</v>
      </c>
      <c r="BD221" t="str">
        <f t="shared" si="68"/>
        <v>EQUIBACTIN VET 250 MG/G + 50 MG/G POUDRE ORALE POUR CHEVAUX</v>
      </c>
      <c r="BE221" t="str">
        <f t="shared" si="58"/>
        <v>ORAL</v>
      </c>
      <c r="BF221" t="str">
        <f t="shared" si="59"/>
        <v>SULFAMIDES</v>
      </c>
      <c r="BG221" t="str">
        <f t="shared" si="60"/>
        <v>TRIMETHOPRIME</v>
      </c>
      <c r="BH221" t="str">
        <f t="shared" si="61"/>
        <v/>
      </c>
      <c r="BI221" t="str">
        <f t="shared" si="62"/>
        <v>sulfadiazine</v>
      </c>
      <c r="BJ221" t="str">
        <f t="shared" si="63"/>
        <v>trimethoprim</v>
      </c>
      <c r="BK221" t="str">
        <f t="shared" si="64"/>
        <v/>
      </c>
      <c r="BL221" t="str">
        <f t="shared" si="69"/>
        <v>Sulfadiazine + Triméthoprime</v>
      </c>
      <c r="BM221" t="str">
        <f t="shared" si="65"/>
        <v>Sulfadiazine</v>
      </c>
      <c r="BN221" t="str">
        <f t="shared" si="66"/>
        <v>Triméthoprime</v>
      </c>
      <c r="BO221" t="str">
        <f t="shared" si="67"/>
        <v/>
      </c>
      <c r="BP221" t="str">
        <f t="shared" si="70"/>
        <v>Sulfamides + Trimethoprime</v>
      </c>
      <c r="BQ221" t="str">
        <f t="shared" si="71"/>
        <v>Sulfamides</v>
      </c>
      <c r="BR221" t="str">
        <f t="shared" si="72"/>
        <v>Trimethoprime</v>
      </c>
      <c r="BS221" t="str">
        <f t="shared" si="73"/>
        <v/>
      </c>
      <c r="BT221" s="76" t="str">
        <f t="shared" si="74"/>
        <v>Voie orale  hors prémélanges médicamenteux</v>
      </c>
      <c r="BU221" t="str">
        <f t="shared" si="75"/>
        <v/>
      </c>
      <c r="CN221">
        <v>220</v>
      </c>
    </row>
    <row r="222" spans="1:92" x14ac:dyDescent="0.3">
      <c r="A222" s="118" t="s">
        <v>2636</v>
      </c>
      <c r="B222" t="s">
        <v>2637</v>
      </c>
      <c r="C222" t="s">
        <v>4487</v>
      </c>
      <c r="D222" s="144" t="s">
        <v>934</v>
      </c>
      <c r="E222" t="s">
        <v>813</v>
      </c>
      <c r="F222" t="s">
        <v>264</v>
      </c>
      <c r="G222" t="s">
        <v>1024</v>
      </c>
      <c r="H222" t="s">
        <v>2469</v>
      </c>
      <c r="I222" t="s">
        <v>1013</v>
      </c>
      <c r="J222" t="s">
        <v>1179</v>
      </c>
      <c r="K222" t="s">
        <v>1179</v>
      </c>
      <c r="L222" t="s">
        <v>2629</v>
      </c>
      <c r="M222" t="s">
        <v>208</v>
      </c>
      <c r="N222" t="s">
        <v>776</v>
      </c>
      <c r="O222" t="s">
        <v>824</v>
      </c>
      <c r="P222" t="s">
        <v>772</v>
      </c>
      <c r="Q222" t="s">
        <v>772</v>
      </c>
      <c r="R222">
        <v>0</v>
      </c>
      <c r="S222">
        <v>0</v>
      </c>
      <c r="T222">
        <v>0</v>
      </c>
      <c r="U222">
        <v>0</v>
      </c>
      <c r="V222">
        <v>0</v>
      </c>
      <c r="W222">
        <v>0</v>
      </c>
      <c r="X222">
        <v>0</v>
      </c>
      <c r="Y222">
        <v>0</v>
      </c>
      <c r="Z222">
        <v>0</v>
      </c>
      <c r="AA222">
        <v>0</v>
      </c>
      <c r="AB222">
        <v>0</v>
      </c>
      <c r="AC222">
        <v>0</v>
      </c>
      <c r="AD222">
        <v>0</v>
      </c>
      <c r="AE222">
        <v>0</v>
      </c>
      <c r="AF222">
        <v>0</v>
      </c>
      <c r="AG222">
        <v>0</v>
      </c>
      <c r="AH222">
        <v>0</v>
      </c>
      <c r="AI222">
        <v>0</v>
      </c>
      <c r="AY222" t="str">
        <f t="shared" si="57"/>
        <v>CEFOVET HL</v>
      </c>
      <c r="AZ222" t="str">
        <f>IF(COUNTIF(AY:AY,AY222)=1,AY222,IF(AND(COUNTIF(AY:AY,AY222)&gt;1,COUNTIF(AZ$2:AZ221,AY222)&gt;=1),"",AY222))</f>
        <v>CEFOVET HL</v>
      </c>
      <c r="BA222">
        <f>IF(AZ222="","",COUNTIFS(AZ$3:AZ$1439,"&lt;"&amp;AZ222,AZ$3:AZ$1439,"&lt;&gt;0")+COUNTIF(AZ$3:AZ222,AZ222)-876)</f>
        <v>88</v>
      </c>
      <c r="BC222">
        <v>220</v>
      </c>
      <c r="BD222" t="str">
        <f t="shared" si="68"/>
        <v>ERYTAVICOL</v>
      </c>
      <c r="BE222" t="str">
        <f t="shared" si="58"/>
        <v>ORAL</v>
      </c>
      <c r="BF222" t="str">
        <f t="shared" si="59"/>
        <v>MACROLIDES</v>
      </c>
      <c r="BG222" t="str">
        <f t="shared" si="60"/>
        <v>TETRACYCLINES</v>
      </c>
      <c r="BH222" t="str">
        <f t="shared" si="61"/>
        <v/>
      </c>
      <c r="BI222" t="str">
        <f t="shared" si="62"/>
        <v>erythromycin</v>
      </c>
      <c r="BJ222" t="str">
        <f t="shared" si="63"/>
        <v>tetracycline</v>
      </c>
      <c r="BK222" t="str">
        <f t="shared" si="64"/>
        <v/>
      </c>
      <c r="BL222" t="str">
        <f t="shared" si="69"/>
        <v>Erythromycine + Tétracycline</v>
      </c>
      <c r="BM222" t="str">
        <f t="shared" si="65"/>
        <v>Erythromycine</v>
      </c>
      <c r="BN222" t="str">
        <f t="shared" si="66"/>
        <v>Tétracycline</v>
      </c>
      <c r="BO222" t="str">
        <f t="shared" si="67"/>
        <v/>
      </c>
      <c r="BP222" t="str">
        <f t="shared" si="70"/>
        <v>Macrolides + Tetracyclines</v>
      </c>
      <c r="BQ222" t="str">
        <f t="shared" si="71"/>
        <v>Macrolides</v>
      </c>
      <c r="BR222" t="str">
        <f t="shared" si="72"/>
        <v>Tetracyclines</v>
      </c>
      <c r="BS222" t="str">
        <f t="shared" si="73"/>
        <v/>
      </c>
      <c r="BT222" s="76" t="str">
        <f t="shared" si="74"/>
        <v>Voie orale  hors prémélanges médicamenteux</v>
      </c>
      <c r="BU222" t="str">
        <f t="shared" si="75"/>
        <v/>
      </c>
      <c r="CN222">
        <v>221</v>
      </c>
    </row>
    <row r="223" spans="1:92" x14ac:dyDescent="0.3">
      <c r="A223" s="118" t="s">
        <v>2636</v>
      </c>
      <c r="B223" t="s">
        <v>2638</v>
      </c>
      <c r="C223" t="s">
        <v>2639</v>
      </c>
      <c r="D223" s="144" t="s">
        <v>1047</v>
      </c>
      <c r="E223" t="s">
        <v>813</v>
      </c>
      <c r="F223" t="s">
        <v>264</v>
      </c>
      <c r="G223" t="s">
        <v>1024</v>
      </c>
      <c r="H223" t="s">
        <v>2469</v>
      </c>
      <c r="I223" t="s">
        <v>1013</v>
      </c>
      <c r="J223" t="s">
        <v>1179</v>
      </c>
      <c r="K223" t="s">
        <v>1179</v>
      </c>
      <c r="L223" t="s">
        <v>2629</v>
      </c>
      <c r="M223" t="s">
        <v>208</v>
      </c>
      <c r="N223" t="s">
        <v>776</v>
      </c>
      <c r="O223" t="s">
        <v>824</v>
      </c>
      <c r="P223" t="s">
        <v>772</v>
      </c>
      <c r="Q223" t="s">
        <v>972</v>
      </c>
      <c r="R223">
        <v>0</v>
      </c>
      <c r="S223">
        <v>0</v>
      </c>
      <c r="T223">
        <v>0</v>
      </c>
      <c r="U223">
        <v>0</v>
      </c>
      <c r="V223">
        <v>0</v>
      </c>
      <c r="W223">
        <v>0</v>
      </c>
      <c r="X223">
        <v>0</v>
      </c>
      <c r="Y223">
        <v>0</v>
      </c>
      <c r="Z223">
        <v>0</v>
      </c>
      <c r="AA223">
        <v>0</v>
      </c>
      <c r="AB223">
        <v>0</v>
      </c>
      <c r="AC223">
        <v>0</v>
      </c>
      <c r="AD223">
        <v>0</v>
      </c>
      <c r="AE223">
        <v>0</v>
      </c>
      <c r="AF223">
        <v>0</v>
      </c>
      <c r="AG223">
        <v>0</v>
      </c>
      <c r="AH223">
        <v>0</v>
      </c>
      <c r="AI223">
        <v>0</v>
      </c>
      <c r="AY223" t="str">
        <f t="shared" si="57"/>
        <v>CEFOVET HL</v>
      </c>
      <c r="AZ223" t="str">
        <f>IF(COUNTIF(AY:AY,AY223)=1,AY223,IF(AND(COUNTIF(AY:AY,AY223)&gt;1,COUNTIF(AZ$2:AZ222,AY223)&gt;=1),"",AY223))</f>
        <v/>
      </c>
      <c r="BA223" t="str">
        <f>IF(AZ223="","",COUNTIFS(AZ$3:AZ$1439,"&lt;"&amp;AZ223,AZ$3:AZ$1439,"&lt;&gt;0")+COUNTIF(AZ$3:AZ223,AZ223)-876)</f>
        <v/>
      </c>
      <c r="BC223">
        <v>221</v>
      </c>
      <c r="BD223" t="str">
        <f t="shared" si="68"/>
        <v>ERYTHROCINE 200</v>
      </c>
      <c r="BE223" t="str">
        <f t="shared" si="58"/>
        <v>INJ</v>
      </c>
      <c r="BF223" t="str">
        <f t="shared" si="59"/>
        <v>MACROLIDES</v>
      </c>
      <c r="BG223" t="str">
        <f t="shared" si="60"/>
        <v/>
      </c>
      <c r="BH223" t="str">
        <f t="shared" si="61"/>
        <v/>
      </c>
      <c r="BI223" t="str">
        <f t="shared" si="62"/>
        <v>erythromycin</v>
      </c>
      <c r="BJ223" t="str">
        <f t="shared" si="63"/>
        <v/>
      </c>
      <c r="BK223" t="str">
        <f t="shared" si="64"/>
        <v/>
      </c>
      <c r="BL223" t="str">
        <f t="shared" si="69"/>
        <v>Erythromycine</v>
      </c>
      <c r="BM223" t="str">
        <f t="shared" si="65"/>
        <v>Erythromycine</v>
      </c>
      <c r="BN223" t="str">
        <f t="shared" si="66"/>
        <v/>
      </c>
      <c r="BO223" t="str">
        <f t="shared" si="67"/>
        <v/>
      </c>
      <c r="BP223" t="str">
        <f t="shared" si="70"/>
        <v>Macrolides</v>
      </c>
      <c r="BQ223" t="str">
        <f t="shared" si="71"/>
        <v>Macrolides</v>
      </c>
      <c r="BR223" t="str">
        <f t="shared" si="72"/>
        <v/>
      </c>
      <c r="BS223" t="str">
        <f t="shared" si="73"/>
        <v/>
      </c>
      <c r="BT223" s="76" t="str">
        <f t="shared" si="74"/>
        <v>Voie parentérale</v>
      </c>
      <c r="BU223" t="str">
        <f t="shared" si="75"/>
        <v/>
      </c>
      <c r="CN223">
        <v>222</v>
      </c>
    </row>
    <row r="224" spans="1:92" x14ac:dyDescent="0.3">
      <c r="A224" s="118" t="s">
        <v>2636</v>
      </c>
      <c r="B224" t="s">
        <v>4488</v>
      </c>
      <c r="C224" t="s">
        <v>4489</v>
      </c>
      <c r="D224" s="144" t="s">
        <v>1047</v>
      </c>
      <c r="E224" t="s">
        <v>813</v>
      </c>
      <c r="F224" t="s">
        <v>264</v>
      </c>
      <c r="G224" t="s">
        <v>1024</v>
      </c>
      <c r="H224" t="s">
        <v>2469</v>
      </c>
      <c r="I224" t="s">
        <v>1013</v>
      </c>
      <c r="J224" t="s">
        <v>1179</v>
      </c>
      <c r="K224" t="s">
        <v>1179</v>
      </c>
      <c r="L224" t="s">
        <v>2629</v>
      </c>
      <c r="M224" t="s">
        <v>208</v>
      </c>
      <c r="N224" t="s">
        <v>776</v>
      </c>
      <c r="O224" t="s">
        <v>824</v>
      </c>
      <c r="P224" t="s">
        <v>772</v>
      </c>
      <c r="Q224" t="s">
        <v>972</v>
      </c>
      <c r="R224">
        <v>0</v>
      </c>
      <c r="S224">
        <v>0</v>
      </c>
      <c r="T224">
        <v>0</v>
      </c>
      <c r="U224">
        <v>0</v>
      </c>
      <c r="V224">
        <v>0</v>
      </c>
      <c r="W224">
        <v>0</v>
      </c>
      <c r="X224">
        <v>0</v>
      </c>
      <c r="Y224">
        <v>0</v>
      </c>
      <c r="Z224">
        <v>0</v>
      </c>
      <c r="AA224">
        <v>0</v>
      </c>
      <c r="AB224">
        <v>0</v>
      </c>
      <c r="AC224">
        <v>0</v>
      </c>
      <c r="AD224">
        <v>0</v>
      </c>
      <c r="AE224">
        <v>0</v>
      </c>
      <c r="AF224">
        <v>0</v>
      </c>
      <c r="AG224">
        <v>0</v>
      </c>
      <c r="AH224">
        <v>0</v>
      </c>
      <c r="AI224">
        <v>0</v>
      </c>
      <c r="AY224" t="str">
        <f t="shared" si="57"/>
        <v>CEFOVET HL</v>
      </c>
      <c r="AZ224" t="str">
        <f>IF(COUNTIF(AY:AY,AY224)=1,AY224,IF(AND(COUNTIF(AY:AY,AY224)&gt;1,COUNTIF(AZ$2:AZ223,AY224)&gt;=1),"",AY224))</f>
        <v/>
      </c>
      <c r="BA224" t="str">
        <f>IF(AZ224="","",COUNTIFS(AZ$3:AZ$1439,"&lt;"&amp;AZ224,AZ$3:AZ$1439,"&lt;&gt;0")+COUNTIF(AZ$3:AZ224,AZ224)-876)</f>
        <v/>
      </c>
      <c r="BC224">
        <v>222</v>
      </c>
      <c r="BD224" t="str">
        <f t="shared" si="68"/>
        <v>ERYTHROVET</v>
      </c>
      <c r="BE224" t="str">
        <f t="shared" si="58"/>
        <v>ORAL</v>
      </c>
      <c r="BF224" t="str">
        <f t="shared" si="59"/>
        <v>MACROLIDES</v>
      </c>
      <c r="BG224" t="str">
        <f t="shared" si="60"/>
        <v/>
      </c>
      <c r="BH224" t="str">
        <f t="shared" si="61"/>
        <v/>
      </c>
      <c r="BI224" t="str">
        <f t="shared" si="62"/>
        <v>erythromycin</v>
      </c>
      <c r="BJ224" t="str">
        <f t="shared" si="63"/>
        <v/>
      </c>
      <c r="BK224" t="str">
        <f t="shared" si="64"/>
        <v/>
      </c>
      <c r="BL224" t="str">
        <f t="shared" si="69"/>
        <v>Erythromycine</v>
      </c>
      <c r="BM224" t="str">
        <f t="shared" si="65"/>
        <v>Erythromycine</v>
      </c>
      <c r="BN224" t="str">
        <f t="shared" si="66"/>
        <v/>
      </c>
      <c r="BO224" t="str">
        <f t="shared" si="67"/>
        <v/>
      </c>
      <c r="BP224" t="str">
        <f t="shared" si="70"/>
        <v>Macrolides</v>
      </c>
      <c r="BQ224" t="str">
        <f t="shared" si="71"/>
        <v>Macrolides</v>
      </c>
      <c r="BR224" t="str">
        <f t="shared" si="72"/>
        <v/>
      </c>
      <c r="BS224" t="str">
        <f t="shared" si="73"/>
        <v/>
      </c>
      <c r="BT224" s="76" t="str">
        <f t="shared" si="74"/>
        <v>Voie orale  hors prémélanges médicamenteux</v>
      </c>
      <c r="BU224" t="str">
        <f t="shared" si="75"/>
        <v/>
      </c>
      <c r="CN224">
        <v>223</v>
      </c>
    </row>
    <row r="225" spans="1:92" x14ac:dyDescent="0.3">
      <c r="A225" s="118" t="s">
        <v>4078</v>
      </c>
      <c r="B225" t="s">
        <v>4079</v>
      </c>
      <c r="C225" t="s">
        <v>4080</v>
      </c>
      <c r="D225" s="144" t="s">
        <v>1132</v>
      </c>
      <c r="E225" t="s">
        <v>813</v>
      </c>
      <c r="F225" t="s">
        <v>265</v>
      </c>
      <c r="G225" t="s">
        <v>1024</v>
      </c>
      <c r="H225" t="s">
        <v>1387</v>
      </c>
      <c r="I225" t="s">
        <v>1013</v>
      </c>
      <c r="J225" t="s">
        <v>1179</v>
      </c>
      <c r="K225" t="s">
        <v>1179</v>
      </c>
      <c r="L225" t="s">
        <v>1180</v>
      </c>
      <c r="M225" t="s">
        <v>208</v>
      </c>
      <c r="N225" t="s">
        <v>776</v>
      </c>
      <c r="O225" t="s">
        <v>824</v>
      </c>
      <c r="P225" t="s">
        <v>772</v>
      </c>
      <c r="Q225" t="s">
        <v>786</v>
      </c>
      <c r="R225">
        <v>0</v>
      </c>
      <c r="S225">
        <v>0</v>
      </c>
      <c r="T225">
        <v>0</v>
      </c>
      <c r="U225">
        <v>0</v>
      </c>
      <c r="V225">
        <v>0</v>
      </c>
      <c r="W225">
        <v>0</v>
      </c>
      <c r="X225">
        <v>0</v>
      </c>
      <c r="Y225">
        <v>0</v>
      </c>
      <c r="Z225">
        <v>0</v>
      </c>
      <c r="AA225">
        <v>0</v>
      </c>
      <c r="AB225">
        <v>0</v>
      </c>
      <c r="AC225">
        <v>0</v>
      </c>
      <c r="AD225">
        <v>0</v>
      </c>
      <c r="AE225">
        <v>0</v>
      </c>
      <c r="AF225">
        <v>0</v>
      </c>
      <c r="AG225">
        <v>0</v>
      </c>
      <c r="AH225">
        <v>0</v>
      </c>
      <c r="AI225">
        <v>0</v>
      </c>
      <c r="AY225" t="str">
        <f t="shared" si="57"/>
        <v>CEFSHOT 250 MG SUSPENSION INTRAMAMMAIRE POUR VACHES AU TARISSEMENT</v>
      </c>
      <c r="AZ225" t="str">
        <f>IF(COUNTIF(AY:AY,AY225)=1,AY225,IF(AND(COUNTIF(AY:AY,AY225)&gt;1,COUNTIF(AZ$2:AZ224,AY225)&gt;=1),"",AY225))</f>
        <v>CEFSHOT 250 MG SUSPENSION INTRAMAMMAIRE POUR VACHES AU TARISSEMENT</v>
      </c>
      <c r="BA225">
        <f>IF(AZ225="","",COUNTIFS(AZ$3:AZ$1439,"&lt;"&amp;AZ225,AZ$3:AZ$1439,"&lt;&gt;0")+COUNTIF(AZ$3:AZ225,AZ225)-876)</f>
        <v>89</v>
      </c>
      <c r="BC225">
        <v>223</v>
      </c>
      <c r="BD225" t="str">
        <f t="shared" si="68"/>
        <v>EXCENEL 1 G</v>
      </c>
      <c r="BE225" t="str">
        <f t="shared" si="58"/>
        <v>INJ</v>
      </c>
      <c r="BF225" t="str">
        <f t="shared" si="59"/>
        <v>CEPHALOSPORINES 3&amp;4G</v>
      </c>
      <c r="BG225" t="str">
        <f t="shared" si="60"/>
        <v/>
      </c>
      <c r="BH225" t="str">
        <f t="shared" si="61"/>
        <v/>
      </c>
      <c r="BI225" t="str">
        <f t="shared" si="62"/>
        <v>ceftiofur</v>
      </c>
      <c r="BJ225" t="str">
        <f t="shared" si="63"/>
        <v/>
      </c>
      <c r="BK225" t="str">
        <f t="shared" si="64"/>
        <v/>
      </c>
      <c r="BL225" t="str">
        <f t="shared" si="69"/>
        <v>Ceftiofur</v>
      </c>
      <c r="BM225" t="str">
        <f t="shared" si="65"/>
        <v>Ceftiofur</v>
      </c>
      <c r="BN225" t="str">
        <f t="shared" si="66"/>
        <v/>
      </c>
      <c r="BO225" t="str">
        <f t="shared" si="67"/>
        <v/>
      </c>
      <c r="BP225" t="str">
        <f t="shared" si="70"/>
        <v>Cephalosporines 3&amp;4G</v>
      </c>
      <c r="BQ225" t="str">
        <f t="shared" si="71"/>
        <v>Cephalosporines 3&amp;4G</v>
      </c>
      <c r="BR225" t="str">
        <f t="shared" si="72"/>
        <v/>
      </c>
      <c r="BS225" t="str">
        <f t="shared" si="73"/>
        <v/>
      </c>
      <c r="BT225" s="76" t="str">
        <f t="shared" si="74"/>
        <v>Voie parentérale</v>
      </c>
      <c r="BU225" t="str">
        <f t="shared" si="75"/>
        <v>x</v>
      </c>
      <c r="CN225">
        <v>224</v>
      </c>
    </row>
    <row r="226" spans="1:92" x14ac:dyDescent="0.3">
      <c r="A226" s="118" t="s">
        <v>4078</v>
      </c>
      <c r="B226" t="s">
        <v>4081</v>
      </c>
      <c r="C226" t="s">
        <v>4082</v>
      </c>
      <c r="D226" s="144" t="s">
        <v>785</v>
      </c>
      <c r="E226" t="s">
        <v>813</v>
      </c>
      <c r="F226" t="s">
        <v>265</v>
      </c>
      <c r="G226" t="s">
        <v>1024</v>
      </c>
      <c r="H226" t="s">
        <v>1387</v>
      </c>
      <c r="I226" t="s">
        <v>1013</v>
      </c>
      <c r="J226" t="s">
        <v>1179</v>
      </c>
      <c r="K226" t="s">
        <v>1179</v>
      </c>
      <c r="L226" t="s">
        <v>1180</v>
      </c>
      <c r="M226" t="s">
        <v>208</v>
      </c>
      <c r="N226" t="s">
        <v>776</v>
      </c>
      <c r="O226" t="s">
        <v>824</v>
      </c>
      <c r="P226" t="s">
        <v>772</v>
      </c>
      <c r="Q226" t="s">
        <v>797</v>
      </c>
      <c r="R226">
        <v>0</v>
      </c>
      <c r="S226">
        <v>0</v>
      </c>
      <c r="T226">
        <v>0</v>
      </c>
      <c r="U226">
        <v>0</v>
      </c>
      <c r="V226">
        <v>0</v>
      </c>
      <c r="W226">
        <v>0</v>
      </c>
      <c r="X226">
        <v>0</v>
      </c>
      <c r="Y226">
        <v>0</v>
      </c>
      <c r="Z226">
        <v>0</v>
      </c>
      <c r="AA226">
        <v>0</v>
      </c>
      <c r="AB226">
        <v>0</v>
      </c>
      <c r="AC226">
        <v>0</v>
      </c>
      <c r="AD226">
        <v>0</v>
      </c>
      <c r="AE226">
        <v>0</v>
      </c>
      <c r="AF226">
        <v>0</v>
      </c>
      <c r="AG226">
        <v>0</v>
      </c>
      <c r="AH226">
        <v>0</v>
      </c>
      <c r="AI226">
        <v>0</v>
      </c>
      <c r="AY226" t="str">
        <f t="shared" si="57"/>
        <v>CEFSHOT 250 MG SUSPENSION INTRAMAMMAIRE POUR VACHES AU TARISSEMENT</v>
      </c>
      <c r="AZ226" t="str">
        <f>IF(COUNTIF(AY:AY,AY226)=1,AY226,IF(AND(COUNTIF(AY:AY,AY226)&gt;1,COUNTIF(AZ$2:AZ225,AY226)&gt;=1),"",AY226))</f>
        <v/>
      </c>
      <c r="BA226" t="str">
        <f>IF(AZ226="","",COUNTIFS(AZ$3:AZ$1439,"&lt;"&amp;AZ226,AZ$3:AZ$1439,"&lt;&gt;0")+COUNTIF(AZ$3:AZ226,AZ226)-876)</f>
        <v/>
      </c>
      <c r="BC226">
        <v>224</v>
      </c>
      <c r="BD226" t="str">
        <f t="shared" si="68"/>
        <v>EXCENEL 4 G</v>
      </c>
      <c r="BE226" t="str">
        <f t="shared" si="58"/>
        <v>INJ</v>
      </c>
      <c r="BF226" t="str">
        <f t="shared" si="59"/>
        <v>CEPHALOSPORINES 3&amp;4G</v>
      </c>
      <c r="BG226" t="str">
        <f t="shared" si="60"/>
        <v/>
      </c>
      <c r="BH226" t="str">
        <f t="shared" si="61"/>
        <v/>
      </c>
      <c r="BI226" t="str">
        <f t="shared" si="62"/>
        <v>ceftiofur</v>
      </c>
      <c r="BJ226" t="str">
        <f t="shared" si="63"/>
        <v/>
      </c>
      <c r="BK226" t="str">
        <f t="shared" si="64"/>
        <v/>
      </c>
      <c r="BL226" t="str">
        <f t="shared" si="69"/>
        <v>Ceftiofur</v>
      </c>
      <c r="BM226" t="str">
        <f t="shared" si="65"/>
        <v>Ceftiofur</v>
      </c>
      <c r="BN226" t="str">
        <f t="shared" si="66"/>
        <v/>
      </c>
      <c r="BO226" t="str">
        <f t="shared" si="67"/>
        <v/>
      </c>
      <c r="BP226" t="str">
        <f t="shared" si="70"/>
        <v>Cephalosporines 3&amp;4G</v>
      </c>
      <c r="BQ226" t="str">
        <f t="shared" si="71"/>
        <v>Cephalosporines 3&amp;4G</v>
      </c>
      <c r="BR226" t="str">
        <f t="shared" si="72"/>
        <v/>
      </c>
      <c r="BS226" t="str">
        <f t="shared" si="73"/>
        <v/>
      </c>
      <c r="BT226" s="76" t="str">
        <f t="shared" si="74"/>
        <v>Voie parentérale</v>
      </c>
      <c r="BU226" t="str">
        <f t="shared" si="75"/>
        <v>x</v>
      </c>
      <c r="CN226">
        <v>225</v>
      </c>
    </row>
    <row r="227" spans="1:92" x14ac:dyDescent="0.3">
      <c r="A227" s="118" t="s">
        <v>3558</v>
      </c>
      <c r="B227" t="s">
        <v>3559</v>
      </c>
      <c r="C227" t="s">
        <v>1483</v>
      </c>
      <c r="D227" s="144" t="s">
        <v>764</v>
      </c>
      <c r="E227" t="s">
        <v>765</v>
      </c>
      <c r="F227" t="s">
        <v>266</v>
      </c>
      <c r="G227" t="s">
        <v>766</v>
      </c>
      <c r="H227" t="s">
        <v>1326</v>
      </c>
      <c r="I227" t="s">
        <v>766</v>
      </c>
      <c r="J227" t="s">
        <v>2165</v>
      </c>
      <c r="K227" t="s">
        <v>2165</v>
      </c>
      <c r="L227" t="s">
        <v>2432</v>
      </c>
      <c r="M227" t="s">
        <v>208</v>
      </c>
      <c r="N227" t="s">
        <v>780</v>
      </c>
      <c r="O227" t="s">
        <v>771</v>
      </c>
      <c r="P227" t="s">
        <v>772</v>
      </c>
      <c r="Q227" t="s">
        <v>885</v>
      </c>
      <c r="R227">
        <v>1</v>
      </c>
      <c r="S227">
        <v>5</v>
      </c>
      <c r="T227">
        <v>0</v>
      </c>
      <c r="U227">
        <v>0</v>
      </c>
      <c r="V227">
        <v>0</v>
      </c>
      <c r="W227">
        <v>0</v>
      </c>
      <c r="X227">
        <v>0</v>
      </c>
      <c r="Y227">
        <v>0</v>
      </c>
      <c r="Z227">
        <v>0</v>
      </c>
      <c r="AA227">
        <v>0</v>
      </c>
      <c r="AB227">
        <v>0</v>
      </c>
      <c r="AC227">
        <v>0</v>
      </c>
      <c r="AD227">
        <v>3</v>
      </c>
      <c r="AE227">
        <v>3</v>
      </c>
      <c r="AF227">
        <v>0</v>
      </c>
      <c r="AG227">
        <v>0</v>
      </c>
      <c r="AH227">
        <v>0</v>
      </c>
      <c r="AI227">
        <v>0</v>
      </c>
      <c r="AY227" t="str">
        <f t="shared" si="57"/>
        <v>CEFTIOCYL 50 MG/ML SUSPENSION INJECTABLE POUR BOVINS ET PORCINS</v>
      </c>
      <c r="AZ227" t="str">
        <f>IF(COUNTIF(AY:AY,AY227)=1,AY227,IF(AND(COUNTIF(AY:AY,AY227)&gt;1,COUNTIF(AZ$2:AZ226,AY227)&gt;=1),"",AY227))</f>
        <v>CEFTIOCYL 50 MG/ML SUSPENSION INJECTABLE POUR BOVINS ET PORCINS</v>
      </c>
      <c r="BA227">
        <f>IF(AZ227="","",COUNTIFS(AZ$3:AZ$1439,"&lt;"&amp;AZ227,AZ$3:AZ$1439,"&lt;&gt;0")+COUNTIF(AZ$3:AZ227,AZ227)-876)</f>
        <v>90</v>
      </c>
      <c r="BC227">
        <v>225</v>
      </c>
      <c r="BD227" t="str">
        <f t="shared" si="68"/>
        <v>EXCENEL FLOW 50 MG/ML SUSPENSION INJECTABLE POUR PORCINS ET BOVINS</v>
      </c>
      <c r="BE227" t="str">
        <f t="shared" si="58"/>
        <v>INJ</v>
      </c>
      <c r="BF227" t="str">
        <f t="shared" si="59"/>
        <v>CEPHALOSPORINES 3&amp;4G</v>
      </c>
      <c r="BG227" t="str">
        <f t="shared" si="60"/>
        <v/>
      </c>
      <c r="BH227" t="str">
        <f t="shared" si="61"/>
        <v/>
      </c>
      <c r="BI227" t="str">
        <f t="shared" si="62"/>
        <v>ceftiofur</v>
      </c>
      <c r="BJ227" t="str">
        <f t="shared" si="63"/>
        <v/>
      </c>
      <c r="BK227" t="str">
        <f t="shared" si="64"/>
        <v/>
      </c>
      <c r="BL227" t="str">
        <f t="shared" si="69"/>
        <v>Ceftiofur</v>
      </c>
      <c r="BM227" t="str">
        <f t="shared" si="65"/>
        <v>Ceftiofur</v>
      </c>
      <c r="BN227" t="str">
        <f t="shared" si="66"/>
        <v/>
      </c>
      <c r="BO227" t="str">
        <f t="shared" si="67"/>
        <v/>
      </c>
      <c r="BP227" t="str">
        <f t="shared" si="70"/>
        <v>Cephalosporines 3&amp;4G</v>
      </c>
      <c r="BQ227" t="str">
        <f t="shared" si="71"/>
        <v>Cephalosporines 3&amp;4G</v>
      </c>
      <c r="BR227" t="str">
        <f t="shared" si="72"/>
        <v/>
      </c>
      <c r="BS227" t="str">
        <f t="shared" si="73"/>
        <v/>
      </c>
      <c r="BT227" s="76" t="str">
        <f t="shared" si="74"/>
        <v>Voie parentérale</v>
      </c>
      <c r="BU227" t="str">
        <f t="shared" si="75"/>
        <v>x</v>
      </c>
      <c r="CN227">
        <v>226</v>
      </c>
    </row>
    <row r="228" spans="1:92" x14ac:dyDescent="0.3">
      <c r="A228" s="118" t="s">
        <v>3558</v>
      </c>
      <c r="B228" t="s">
        <v>3560</v>
      </c>
      <c r="C228" t="s">
        <v>1474</v>
      </c>
      <c r="D228" s="144" t="s">
        <v>776</v>
      </c>
      <c r="E228" t="s">
        <v>765</v>
      </c>
      <c r="F228" t="s">
        <v>266</v>
      </c>
      <c r="G228" t="s">
        <v>766</v>
      </c>
      <c r="H228" t="s">
        <v>1326</v>
      </c>
      <c r="I228" t="s">
        <v>766</v>
      </c>
      <c r="J228" t="s">
        <v>2165</v>
      </c>
      <c r="K228" t="s">
        <v>2165</v>
      </c>
      <c r="L228" t="s">
        <v>2432</v>
      </c>
      <c r="M228" t="s">
        <v>208</v>
      </c>
      <c r="N228" t="s">
        <v>780</v>
      </c>
      <c r="O228" t="s">
        <v>771</v>
      </c>
      <c r="P228" t="s">
        <v>772</v>
      </c>
      <c r="Q228" t="s">
        <v>1072</v>
      </c>
      <c r="R228">
        <v>1</v>
      </c>
      <c r="S228">
        <v>5</v>
      </c>
      <c r="T228">
        <v>0</v>
      </c>
      <c r="U228">
        <v>0</v>
      </c>
      <c r="V228">
        <v>0</v>
      </c>
      <c r="W228">
        <v>0</v>
      </c>
      <c r="X228">
        <v>0</v>
      </c>
      <c r="Y228">
        <v>0</v>
      </c>
      <c r="Z228">
        <v>0</v>
      </c>
      <c r="AA228">
        <v>0</v>
      </c>
      <c r="AB228">
        <v>0</v>
      </c>
      <c r="AC228">
        <v>0</v>
      </c>
      <c r="AD228">
        <v>3</v>
      </c>
      <c r="AE228">
        <v>3</v>
      </c>
      <c r="AF228">
        <v>0</v>
      </c>
      <c r="AG228">
        <v>0</v>
      </c>
      <c r="AH228">
        <v>0</v>
      </c>
      <c r="AI228">
        <v>0</v>
      </c>
      <c r="AY228" t="str">
        <f t="shared" si="57"/>
        <v>CEFTIOCYL 50 MG/ML SUSPENSION INJECTABLE POUR BOVINS ET PORCINS</v>
      </c>
      <c r="AZ228" t="str">
        <f>IF(COUNTIF(AY:AY,AY228)=1,AY228,IF(AND(COUNTIF(AY:AY,AY228)&gt;1,COUNTIF(AZ$2:AZ227,AY228)&gt;=1),"",AY228))</f>
        <v/>
      </c>
      <c r="BA228" t="str">
        <f>IF(AZ228="","",COUNTIFS(AZ$3:AZ$1439,"&lt;"&amp;AZ228,AZ$3:AZ$1439,"&lt;&gt;0")+COUNTIF(AZ$3:AZ228,AZ228)-876)</f>
        <v/>
      </c>
      <c r="BC228">
        <v>226</v>
      </c>
      <c r="BD228" t="str">
        <f t="shared" si="68"/>
        <v>FACEL H.L.</v>
      </c>
      <c r="BE228" t="str">
        <f t="shared" si="58"/>
        <v>INTRAMAM</v>
      </c>
      <c r="BF228" t="str">
        <f t="shared" si="59"/>
        <v>CEPHALOSPORINES 1&amp;2G</v>
      </c>
      <c r="BG228" t="str">
        <f t="shared" si="60"/>
        <v/>
      </c>
      <c r="BH228" t="str">
        <f t="shared" si="61"/>
        <v/>
      </c>
      <c r="BI228" t="str">
        <f t="shared" si="62"/>
        <v>cefapirin</v>
      </c>
      <c r="BJ228" t="str">
        <f t="shared" si="63"/>
        <v/>
      </c>
      <c r="BK228" t="str">
        <f t="shared" si="64"/>
        <v/>
      </c>
      <c r="BL228" t="str">
        <f t="shared" si="69"/>
        <v>Céfapirine</v>
      </c>
      <c r="BM228" t="str">
        <f t="shared" si="65"/>
        <v>Céfapirine</v>
      </c>
      <c r="BN228" t="str">
        <f t="shared" si="66"/>
        <v/>
      </c>
      <c r="BO228" t="str">
        <f t="shared" si="67"/>
        <v/>
      </c>
      <c r="BP228" t="str">
        <f t="shared" si="70"/>
        <v>Cephalosporines 1&amp;2G</v>
      </c>
      <c r="BQ228" t="str">
        <f t="shared" si="71"/>
        <v>Cephalosporines 1&amp;2G</v>
      </c>
      <c r="BR228" t="str">
        <f t="shared" si="72"/>
        <v/>
      </c>
      <c r="BS228" t="str">
        <f t="shared" si="73"/>
        <v/>
      </c>
      <c r="BT228" s="76" t="str">
        <f t="shared" si="74"/>
        <v>Voie intramammaire</v>
      </c>
      <c r="BU228" t="str">
        <f t="shared" si="75"/>
        <v/>
      </c>
      <c r="CN228">
        <v>227</v>
      </c>
    </row>
    <row r="229" spans="1:92" x14ac:dyDescent="0.3">
      <c r="A229" s="118" t="s">
        <v>3716</v>
      </c>
      <c r="B229" t="s">
        <v>3717</v>
      </c>
      <c r="C229" t="s">
        <v>2590</v>
      </c>
      <c r="D229" s="144" t="s">
        <v>764</v>
      </c>
      <c r="E229" t="s">
        <v>765</v>
      </c>
      <c r="F229" t="s">
        <v>267</v>
      </c>
      <c r="G229" t="s">
        <v>766</v>
      </c>
      <c r="H229" t="s">
        <v>1326</v>
      </c>
      <c r="I229" t="s">
        <v>766</v>
      </c>
      <c r="J229" t="s">
        <v>2165</v>
      </c>
      <c r="K229" t="s">
        <v>2165</v>
      </c>
      <c r="L229" t="s">
        <v>2432</v>
      </c>
      <c r="M229" t="s">
        <v>208</v>
      </c>
      <c r="N229" t="s">
        <v>780</v>
      </c>
      <c r="O229" t="s">
        <v>771</v>
      </c>
      <c r="P229" t="s">
        <v>772</v>
      </c>
      <c r="Q229" t="s">
        <v>885</v>
      </c>
      <c r="R229">
        <v>1</v>
      </c>
      <c r="S229">
        <v>5</v>
      </c>
      <c r="T229">
        <v>0</v>
      </c>
      <c r="U229">
        <v>0</v>
      </c>
      <c r="V229">
        <v>0</v>
      </c>
      <c r="W229">
        <v>0</v>
      </c>
      <c r="X229">
        <v>0</v>
      </c>
      <c r="Y229">
        <v>0</v>
      </c>
      <c r="Z229">
        <v>0</v>
      </c>
      <c r="AA229">
        <v>0</v>
      </c>
      <c r="AB229">
        <v>0</v>
      </c>
      <c r="AC229">
        <v>0</v>
      </c>
      <c r="AD229">
        <v>3</v>
      </c>
      <c r="AE229">
        <v>3</v>
      </c>
      <c r="AF229">
        <v>0</v>
      </c>
      <c r="AG229">
        <v>0</v>
      </c>
      <c r="AH229">
        <v>0</v>
      </c>
      <c r="AI229">
        <v>0</v>
      </c>
      <c r="AY229" t="str">
        <f t="shared" si="57"/>
        <v>CEMAY 50 MG/ML SUSPENSION INJECTABLE POUR PORCS ET BOVINS</v>
      </c>
      <c r="AZ229" t="str">
        <f>IF(COUNTIF(AY:AY,AY229)=1,AY229,IF(AND(COUNTIF(AY:AY,AY229)&gt;1,COUNTIF(AZ$2:AZ228,AY229)&gt;=1),"",AY229))</f>
        <v>CEMAY 50 MG/ML SUSPENSION INJECTABLE POUR PORCS ET BOVINS</v>
      </c>
      <c r="BA229">
        <f>IF(AZ229="","",COUNTIFS(AZ$3:AZ$1439,"&lt;"&amp;AZ229,AZ$3:AZ$1439,"&lt;&gt;0")+COUNTIF(AZ$3:AZ229,AZ229)-876)</f>
        <v>91</v>
      </c>
      <c r="BC229">
        <v>227</v>
      </c>
      <c r="BD229" t="str">
        <f t="shared" si="68"/>
        <v>FATROX</v>
      </c>
      <c r="BE229" t="str">
        <f t="shared" si="58"/>
        <v>INTRAMAM</v>
      </c>
      <c r="BF229" t="str">
        <f t="shared" si="59"/>
        <v>AUTRES FAMILLES</v>
      </c>
      <c r="BG229" t="str">
        <f t="shared" si="60"/>
        <v/>
      </c>
      <c r="BH229" t="str">
        <f t="shared" si="61"/>
        <v/>
      </c>
      <c r="BI229" t="str">
        <f t="shared" si="62"/>
        <v>rifaximin</v>
      </c>
      <c r="BJ229" t="str">
        <f t="shared" si="63"/>
        <v/>
      </c>
      <c r="BK229" t="str">
        <f t="shared" si="64"/>
        <v/>
      </c>
      <c r="BL229" t="str">
        <f t="shared" si="69"/>
        <v>Rifaximine</v>
      </c>
      <c r="BM229" t="str">
        <f t="shared" si="65"/>
        <v>Rifaximine</v>
      </c>
      <c r="BN229" t="str">
        <f t="shared" si="66"/>
        <v/>
      </c>
      <c r="BO229" t="str">
        <f t="shared" si="67"/>
        <v/>
      </c>
      <c r="BP229" t="str">
        <f t="shared" si="70"/>
        <v>Autres familles</v>
      </c>
      <c r="BQ229" t="str">
        <f t="shared" si="71"/>
        <v>Autres familles</v>
      </c>
      <c r="BR229" t="str">
        <f t="shared" si="72"/>
        <v/>
      </c>
      <c r="BS229" t="str">
        <f t="shared" si="73"/>
        <v/>
      </c>
      <c r="BT229" s="76" t="str">
        <f t="shared" si="74"/>
        <v>Voie intramammaire</v>
      </c>
      <c r="BU229" t="str">
        <f t="shared" si="75"/>
        <v/>
      </c>
      <c r="CN229">
        <v>228</v>
      </c>
    </row>
    <row r="230" spans="1:92" x14ac:dyDescent="0.3">
      <c r="A230" s="118" t="s">
        <v>3716</v>
      </c>
      <c r="B230" t="s">
        <v>3718</v>
      </c>
      <c r="C230" t="s">
        <v>1483</v>
      </c>
      <c r="D230" s="144" t="s">
        <v>764</v>
      </c>
      <c r="E230" t="s">
        <v>765</v>
      </c>
      <c r="F230" t="s">
        <v>267</v>
      </c>
      <c r="G230" t="s">
        <v>766</v>
      </c>
      <c r="H230" t="s">
        <v>1326</v>
      </c>
      <c r="I230" t="s">
        <v>766</v>
      </c>
      <c r="J230" t="s">
        <v>2165</v>
      </c>
      <c r="K230" t="s">
        <v>2165</v>
      </c>
      <c r="L230" t="s">
        <v>2432</v>
      </c>
      <c r="M230" t="s">
        <v>208</v>
      </c>
      <c r="N230" t="s">
        <v>780</v>
      </c>
      <c r="O230" t="s">
        <v>771</v>
      </c>
      <c r="P230" t="s">
        <v>772</v>
      </c>
      <c r="Q230" t="s">
        <v>885</v>
      </c>
      <c r="R230">
        <v>1</v>
      </c>
      <c r="S230">
        <v>5</v>
      </c>
      <c r="T230">
        <v>0</v>
      </c>
      <c r="U230">
        <v>0</v>
      </c>
      <c r="V230">
        <v>0</v>
      </c>
      <c r="W230">
        <v>0</v>
      </c>
      <c r="X230">
        <v>0</v>
      </c>
      <c r="Y230">
        <v>0</v>
      </c>
      <c r="Z230">
        <v>0</v>
      </c>
      <c r="AA230">
        <v>0</v>
      </c>
      <c r="AB230">
        <v>0</v>
      </c>
      <c r="AC230">
        <v>0</v>
      </c>
      <c r="AD230">
        <v>3</v>
      </c>
      <c r="AE230">
        <v>3</v>
      </c>
      <c r="AF230">
        <v>0</v>
      </c>
      <c r="AG230">
        <v>0</v>
      </c>
      <c r="AH230">
        <v>0</v>
      </c>
      <c r="AI230">
        <v>0</v>
      </c>
      <c r="AY230" t="str">
        <f t="shared" si="57"/>
        <v>CEMAY 50 MG/ML SUSPENSION INJECTABLE POUR PORCS ET BOVINS</v>
      </c>
      <c r="AZ230" t="str">
        <f>IF(COUNTIF(AY:AY,AY230)=1,AY230,IF(AND(COUNTIF(AY:AY,AY230)&gt;1,COUNTIF(AZ$2:AZ229,AY230)&gt;=1),"",AY230))</f>
        <v/>
      </c>
      <c r="BA230" t="str">
        <f>IF(AZ230="","",COUNTIFS(AZ$3:AZ$1439,"&lt;"&amp;AZ230,AZ$3:AZ$1439,"&lt;&gt;0")+COUNTIF(AZ$3:AZ230,AZ230)-876)</f>
        <v/>
      </c>
      <c r="BC230">
        <v>228</v>
      </c>
      <c r="BD230" t="str">
        <f t="shared" si="68"/>
        <v>FINOXALINE</v>
      </c>
      <c r="BE230" t="str">
        <f t="shared" si="58"/>
        <v>INJ</v>
      </c>
      <c r="BF230" t="str">
        <f t="shared" si="59"/>
        <v>TETRACYCLINES</v>
      </c>
      <c r="BG230" t="str">
        <f t="shared" si="60"/>
        <v/>
      </c>
      <c r="BH230" t="str">
        <f t="shared" si="61"/>
        <v/>
      </c>
      <c r="BI230" t="str">
        <f t="shared" si="62"/>
        <v>oxytetracycline</v>
      </c>
      <c r="BJ230" t="str">
        <f t="shared" si="63"/>
        <v/>
      </c>
      <c r="BK230" t="str">
        <f t="shared" si="64"/>
        <v/>
      </c>
      <c r="BL230" t="str">
        <f t="shared" si="69"/>
        <v>Oxytétracycline</v>
      </c>
      <c r="BM230" t="str">
        <f t="shared" si="65"/>
        <v>Oxytétracycline</v>
      </c>
      <c r="BN230" t="str">
        <f t="shared" si="66"/>
        <v/>
      </c>
      <c r="BO230" t="str">
        <f t="shared" si="67"/>
        <v/>
      </c>
      <c r="BP230" t="str">
        <f t="shared" si="70"/>
        <v>Tetracyclines</v>
      </c>
      <c r="BQ230" t="str">
        <f t="shared" si="71"/>
        <v>Tetracyclines</v>
      </c>
      <c r="BR230" t="str">
        <f t="shared" si="72"/>
        <v/>
      </c>
      <c r="BS230" t="str">
        <f t="shared" si="73"/>
        <v/>
      </c>
      <c r="BT230" s="76" t="str">
        <f t="shared" si="74"/>
        <v>Voie parentérale</v>
      </c>
      <c r="BU230" t="str">
        <f t="shared" si="75"/>
        <v/>
      </c>
      <c r="CN230">
        <v>229</v>
      </c>
    </row>
    <row r="231" spans="1:92" x14ac:dyDescent="0.3">
      <c r="A231" s="118" t="s">
        <v>1328</v>
      </c>
      <c r="B231" t="s">
        <v>1329</v>
      </c>
      <c r="C231" t="s">
        <v>1330</v>
      </c>
      <c r="D231" s="144" t="s">
        <v>852</v>
      </c>
      <c r="E231" t="s">
        <v>813</v>
      </c>
      <c r="F231" t="s">
        <v>76</v>
      </c>
      <c r="G231" t="s">
        <v>1133</v>
      </c>
      <c r="H231" t="s">
        <v>1331</v>
      </c>
      <c r="I231" t="s">
        <v>1133</v>
      </c>
      <c r="J231" t="s">
        <v>768</v>
      </c>
      <c r="K231" t="s">
        <v>768</v>
      </c>
      <c r="L231" t="s">
        <v>1087</v>
      </c>
      <c r="M231" t="s">
        <v>208</v>
      </c>
      <c r="N231" t="s">
        <v>906</v>
      </c>
      <c r="O231" t="s">
        <v>824</v>
      </c>
      <c r="P231" t="s">
        <v>772</v>
      </c>
      <c r="Q231" t="s">
        <v>885</v>
      </c>
      <c r="R231">
        <v>0</v>
      </c>
      <c r="S231">
        <v>0</v>
      </c>
      <c r="T231">
        <v>0</v>
      </c>
      <c r="U231">
        <v>0</v>
      </c>
      <c r="V231">
        <v>0</v>
      </c>
      <c r="W231">
        <v>0</v>
      </c>
      <c r="X231">
        <v>0</v>
      </c>
      <c r="Y231">
        <v>0</v>
      </c>
      <c r="Z231">
        <v>0</v>
      </c>
      <c r="AA231">
        <v>0</v>
      </c>
      <c r="AB231">
        <v>0</v>
      </c>
      <c r="AC231">
        <v>0</v>
      </c>
      <c r="AD231">
        <v>0</v>
      </c>
      <c r="AE231">
        <v>0</v>
      </c>
      <c r="AF231">
        <v>0</v>
      </c>
      <c r="AG231">
        <v>0</v>
      </c>
      <c r="AH231">
        <v>0</v>
      </c>
      <c r="AI231">
        <v>0</v>
      </c>
      <c r="AY231" t="str">
        <f t="shared" si="57"/>
        <v>CENTRAUREO</v>
      </c>
      <c r="AZ231" t="str">
        <f>IF(COUNTIF(AY:AY,AY231)=1,AY231,IF(AND(COUNTIF(AY:AY,AY231)&gt;1,COUNTIF(AZ$2:AZ230,AY231)&gt;=1),"",AY231))</f>
        <v>CENTRAUREO</v>
      </c>
      <c r="BA231">
        <f>IF(AZ231="","",COUNTIFS(AZ$3:AZ$1439,"&lt;"&amp;AZ231,AZ$3:AZ$1439,"&lt;&gt;0")+COUNTIF(AZ$3:AZ231,AZ231)-876)</f>
        <v>92</v>
      </c>
      <c r="BC231">
        <v>229</v>
      </c>
      <c r="BD231" t="str">
        <f t="shared" si="68"/>
        <v>FLORDOFEN 300 MG/ML SOLUTION INJECTABLE POUR BOVINS ET PORCINS</v>
      </c>
      <c r="BE231" t="str">
        <f t="shared" si="58"/>
        <v>INJ</v>
      </c>
      <c r="BF231" t="str">
        <f t="shared" si="59"/>
        <v>PHENICOLES</v>
      </c>
      <c r="BG231" t="str">
        <f t="shared" si="60"/>
        <v/>
      </c>
      <c r="BH231" t="str">
        <f t="shared" si="61"/>
        <v/>
      </c>
      <c r="BI231" t="str">
        <f t="shared" si="62"/>
        <v>florfenicol</v>
      </c>
      <c r="BJ231" t="str">
        <f t="shared" si="63"/>
        <v/>
      </c>
      <c r="BK231" t="str">
        <f t="shared" si="64"/>
        <v/>
      </c>
      <c r="BL231" t="str">
        <f t="shared" si="69"/>
        <v>Florfénicol</v>
      </c>
      <c r="BM231" t="str">
        <f t="shared" si="65"/>
        <v>Florfénicol</v>
      </c>
      <c r="BN231" t="str">
        <f t="shared" si="66"/>
        <v/>
      </c>
      <c r="BO231" t="str">
        <f t="shared" si="67"/>
        <v/>
      </c>
      <c r="BP231" t="str">
        <f t="shared" si="70"/>
        <v>Phenicoles</v>
      </c>
      <c r="BQ231" t="str">
        <f t="shared" si="71"/>
        <v>Phenicoles</v>
      </c>
      <c r="BR231" t="str">
        <f t="shared" si="72"/>
        <v/>
      </c>
      <c r="BS231" t="str">
        <f t="shared" si="73"/>
        <v/>
      </c>
      <c r="BT231" s="76" t="str">
        <f t="shared" si="74"/>
        <v>Voie parentérale</v>
      </c>
      <c r="BU231" t="str">
        <f t="shared" si="75"/>
        <v/>
      </c>
      <c r="CN231">
        <v>230</v>
      </c>
    </row>
    <row r="232" spans="1:92" x14ac:dyDescent="0.3">
      <c r="A232" s="118" t="s">
        <v>1328</v>
      </c>
      <c r="B232" t="s">
        <v>1332</v>
      </c>
      <c r="C232" t="s">
        <v>1333</v>
      </c>
      <c r="D232" s="144" t="s">
        <v>764</v>
      </c>
      <c r="E232" t="s">
        <v>813</v>
      </c>
      <c r="F232" t="s">
        <v>76</v>
      </c>
      <c r="G232" t="s">
        <v>1133</v>
      </c>
      <c r="H232" t="s">
        <v>1331</v>
      </c>
      <c r="I232" t="s">
        <v>1133</v>
      </c>
      <c r="J232" t="s">
        <v>768</v>
      </c>
      <c r="K232" t="s">
        <v>768</v>
      </c>
      <c r="L232" t="s">
        <v>1087</v>
      </c>
      <c r="M232" t="s">
        <v>208</v>
      </c>
      <c r="N232" t="s">
        <v>906</v>
      </c>
      <c r="O232" t="s">
        <v>824</v>
      </c>
      <c r="P232" t="s">
        <v>772</v>
      </c>
      <c r="Q232" t="s">
        <v>780</v>
      </c>
      <c r="R232">
        <v>0</v>
      </c>
      <c r="S232">
        <v>0</v>
      </c>
      <c r="T232">
        <v>0</v>
      </c>
      <c r="U232">
        <v>0</v>
      </c>
      <c r="V232">
        <v>0</v>
      </c>
      <c r="W232">
        <v>0</v>
      </c>
      <c r="X232">
        <v>0</v>
      </c>
      <c r="Y232">
        <v>0</v>
      </c>
      <c r="Z232">
        <v>0</v>
      </c>
      <c r="AA232">
        <v>0</v>
      </c>
      <c r="AB232">
        <v>0</v>
      </c>
      <c r="AC232">
        <v>0</v>
      </c>
      <c r="AD232">
        <v>0</v>
      </c>
      <c r="AE232">
        <v>0</v>
      </c>
      <c r="AF232">
        <v>0</v>
      </c>
      <c r="AG232">
        <v>0</v>
      </c>
      <c r="AH232">
        <v>0</v>
      </c>
      <c r="AI232">
        <v>0</v>
      </c>
      <c r="AY232" t="str">
        <f t="shared" si="57"/>
        <v>CENTRAUREO</v>
      </c>
      <c r="AZ232" t="str">
        <f>IF(COUNTIF(AY:AY,AY232)=1,AY232,IF(AND(COUNTIF(AY:AY,AY232)&gt;1,COUNTIF(AZ$2:AZ231,AY232)&gt;=1),"",AY232))</f>
        <v/>
      </c>
      <c r="BA232" t="str">
        <f>IF(AZ232="","",COUNTIFS(AZ$3:AZ$1439,"&lt;"&amp;AZ232,AZ$3:AZ$1439,"&lt;&gt;0")+COUNTIF(AZ$3:AZ232,AZ232)-876)</f>
        <v/>
      </c>
      <c r="BC232">
        <v>230</v>
      </c>
      <c r="BD232" t="str">
        <f t="shared" si="68"/>
        <v>FLORFENIKEL 300 MG/ML SOLUTION INJECTABLE POUR BOVINS ET PORCINS</v>
      </c>
      <c r="BE232" t="str">
        <f t="shared" si="58"/>
        <v>INJ</v>
      </c>
      <c r="BF232" t="str">
        <f t="shared" si="59"/>
        <v>PHENICOLES</v>
      </c>
      <c r="BG232" t="str">
        <f t="shared" si="60"/>
        <v/>
      </c>
      <c r="BH232" t="str">
        <f t="shared" si="61"/>
        <v/>
      </c>
      <c r="BI232" t="str">
        <f t="shared" si="62"/>
        <v>florfenicol</v>
      </c>
      <c r="BJ232" t="str">
        <f t="shared" si="63"/>
        <v/>
      </c>
      <c r="BK232" t="str">
        <f t="shared" si="64"/>
        <v/>
      </c>
      <c r="BL232" t="str">
        <f t="shared" si="69"/>
        <v>Florfénicol</v>
      </c>
      <c r="BM232" t="str">
        <f t="shared" si="65"/>
        <v>Florfénicol</v>
      </c>
      <c r="BN232" t="str">
        <f t="shared" si="66"/>
        <v/>
      </c>
      <c r="BO232" t="str">
        <f t="shared" si="67"/>
        <v/>
      </c>
      <c r="BP232" t="str">
        <f t="shared" si="70"/>
        <v>Phenicoles</v>
      </c>
      <c r="BQ232" t="str">
        <f t="shared" si="71"/>
        <v>Phenicoles</v>
      </c>
      <c r="BR232" t="str">
        <f t="shared" si="72"/>
        <v/>
      </c>
      <c r="BS232" t="str">
        <f t="shared" si="73"/>
        <v/>
      </c>
      <c r="BT232" s="76" t="str">
        <f t="shared" si="74"/>
        <v>Voie parentérale</v>
      </c>
      <c r="BU232" t="str">
        <f t="shared" si="75"/>
        <v/>
      </c>
      <c r="CN232">
        <v>231</v>
      </c>
    </row>
    <row r="233" spans="1:92" x14ac:dyDescent="0.3">
      <c r="A233" s="118" t="s">
        <v>4193</v>
      </c>
      <c r="B233" t="s">
        <v>4194</v>
      </c>
      <c r="C233" t="s">
        <v>2990</v>
      </c>
      <c r="D233" t="s">
        <v>776</v>
      </c>
      <c r="E233" t="s">
        <v>813</v>
      </c>
      <c r="F233" t="s">
        <v>4195</v>
      </c>
      <c r="G233" t="s">
        <v>815</v>
      </c>
      <c r="H233" t="s">
        <v>860</v>
      </c>
      <c r="I233" t="s">
        <v>817</v>
      </c>
      <c r="J233" t="s">
        <v>1179</v>
      </c>
      <c r="K233" t="s">
        <v>1179</v>
      </c>
      <c r="L233" t="s">
        <v>1354</v>
      </c>
      <c r="M233" t="s">
        <v>208</v>
      </c>
      <c r="N233" t="s">
        <v>829</v>
      </c>
      <c r="O233" t="s">
        <v>824</v>
      </c>
      <c r="P233" t="s">
        <v>772</v>
      </c>
      <c r="Q233" t="s">
        <v>776</v>
      </c>
      <c r="R233">
        <v>0</v>
      </c>
      <c r="S233">
        <v>0</v>
      </c>
      <c r="T233">
        <v>30</v>
      </c>
      <c r="U233">
        <v>5</v>
      </c>
      <c r="V233">
        <v>0</v>
      </c>
      <c r="W233">
        <v>0</v>
      </c>
      <c r="X233">
        <v>0</v>
      </c>
      <c r="Y233">
        <v>0</v>
      </c>
      <c r="Z233">
        <v>0</v>
      </c>
      <c r="AA233">
        <v>0</v>
      </c>
      <c r="AB233">
        <v>0</v>
      </c>
      <c r="AC233">
        <v>0</v>
      </c>
      <c r="AD233">
        <v>0</v>
      </c>
      <c r="AE233">
        <v>0</v>
      </c>
      <c r="AF233">
        <v>0</v>
      </c>
      <c r="AG233">
        <v>0</v>
      </c>
      <c r="AH233">
        <v>0</v>
      </c>
      <c r="AI233">
        <v>0</v>
      </c>
      <c r="AY233" t="str">
        <f t="shared" si="57"/>
        <v/>
      </c>
      <c r="AZ233" t="str">
        <f>IF(COUNTIF(AY:AY,AY233)=1,AY233,IF(AND(COUNTIF(AY:AY,AY233)&gt;1,COUNTIF(AZ$2:AZ232,AY233)&gt;=1),"",AY233))</f>
        <v/>
      </c>
      <c r="BA233" t="str">
        <f>IF(AZ233="","",COUNTIFS(AZ$3:AZ$1439,"&lt;"&amp;AZ233,AZ$3:AZ$1439,"&lt;&gt;0")+COUNTIF(AZ$3:AZ233,AZ233)-876)</f>
        <v/>
      </c>
      <c r="BC233">
        <v>231</v>
      </c>
      <c r="BD233" t="str">
        <f t="shared" si="68"/>
        <v>FLORGANE 300 MG/ML SUSPENSION INJECTABLE POUR BOVINS ET PORCINS</v>
      </c>
      <c r="BE233" t="str">
        <f t="shared" si="58"/>
        <v>INJ</v>
      </c>
      <c r="BF233" t="str">
        <f t="shared" si="59"/>
        <v>PHENICOLES</v>
      </c>
      <c r="BG233" t="str">
        <f t="shared" si="60"/>
        <v/>
      </c>
      <c r="BH233" t="str">
        <f t="shared" si="61"/>
        <v/>
      </c>
      <c r="BI233" t="str">
        <f t="shared" si="62"/>
        <v>florfenicol</v>
      </c>
      <c r="BJ233" t="str">
        <f t="shared" si="63"/>
        <v/>
      </c>
      <c r="BK233" t="str">
        <f t="shared" si="64"/>
        <v/>
      </c>
      <c r="BL233" t="str">
        <f t="shared" si="69"/>
        <v>Florfénicol</v>
      </c>
      <c r="BM233" t="str">
        <f t="shared" si="65"/>
        <v>Florfénicol</v>
      </c>
      <c r="BN233" t="str">
        <f t="shared" si="66"/>
        <v/>
      </c>
      <c r="BO233" t="str">
        <f t="shared" si="67"/>
        <v/>
      </c>
      <c r="BP233" t="str">
        <f t="shared" si="70"/>
        <v>Phenicoles</v>
      </c>
      <c r="BQ233" t="str">
        <f t="shared" si="71"/>
        <v>Phenicoles</v>
      </c>
      <c r="BR233" t="str">
        <f t="shared" si="72"/>
        <v/>
      </c>
      <c r="BS233" t="str">
        <f t="shared" si="73"/>
        <v/>
      </c>
      <c r="BT233" s="76" t="str">
        <f t="shared" si="74"/>
        <v>Voie parentérale</v>
      </c>
      <c r="BU233" t="str">
        <f t="shared" si="75"/>
        <v/>
      </c>
      <c r="CN233">
        <v>232</v>
      </c>
    </row>
    <row r="234" spans="1:92" x14ac:dyDescent="0.3">
      <c r="A234" s="118" t="s">
        <v>4193</v>
      </c>
      <c r="B234" t="s">
        <v>4593</v>
      </c>
      <c r="C234" t="s">
        <v>1915</v>
      </c>
      <c r="D234" t="s">
        <v>764</v>
      </c>
      <c r="E234" t="s">
        <v>813</v>
      </c>
      <c r="F234" t="s">
        <v>4195</v>
      </c>
      <c r="G234" t="s">
        <v>815</v>
      </c>
      <c r="H234" t="s">
        <v>860</v>
      </c>
      <c r="I234" t="s">
        <v>817</v>
      </c>
      <c r="J234" t="s">
        <v>1179</v>
      </c>
      <c r="K234" t="s">
        <v>1179</v>
      </c>
      <c r="L234" t="s">
        <v>1354</v>
      </c>
      <c r="M234" t="s">
        <v>208</v>
      </c>
      <c r="N234" t="s">
        <v>829</v>
      </c>
      <c r="O234" t="s">
        <v>824</v>
      </c>
      <c r="P234" t="s">
        <v>772</v>
      </c>
      <c r="Q234" t="s">
        <v>764</v>
      </c>
      <c r="R234">
        <v>0</v>
      </c>
      <c r="S234">
        <v>0</v>
      </c>
      <c r="T234">
        <v>30</v>
      </c>
      <c r="U234">
        <v>5</v>
      </c>
      <c r="V234">
        <v>0</v>
      </c>
      <c r="W234">
        <v>0</v>
      </c>
      <c r="X234">
        <v>0</v>
      </c>
      <c r="Y234">
        <v>0</v>
      </c>
      <c r="Z234">
        <v>0</v>
      </c>
      <c r="AA234">
        <v>0</v>
      </c>
      <c r="AB234">
        <v>0</v>
      </c>
      <c r="AC234">
        <v>0</v>
      </c>
      <c r="AD234">
        <v>0</v>
      </c>
      <c r="AE234">
        <v>0</v>
      </c>
      <c r="AF234">
        <v>0</v>
      </c>
      <c r="AG234">
        <v>0</v>
      </c>
      <c r="AH234">
        <v>0</v>
      </c>
      <c r="AI234">
        <v>0</v>
      </c>
      <c r="AY234" t="str">
        <f t="shared" si="57"/>
        <v/>
      </c>
      <c r="AZ234" t="str">
        <f>IF(COUNTIF(AY:AY,AY234)=1,AY234,IF(AND(COUNTIF(AY:AY,AY234)&gt;1,COUNTIF(AZ$2:AZ233,AY234)&gt;=1),"",AY234))</f>
        <v/>
      </c>
      <c r="BA234" t="str">
        <f>IF(AZ234="","",COUNTIFS(AZ$3:AZ$1439,"&lt;"&amp;AZ234,AZ$3:AZ$1439,"&lt;&gt;0")+COUNTIF(AZ$3:AZ234,AZ234)-876)</f>
        <v/>
      </c>
      <c r="BC234">
        <v>232</v>
      </c>
      <c r="BD234" t="str">
        <f t="shared" si="68"/>
        <v>FLORKEM 300 MG/ML SOLUTION INJECTABLE POUR BOVINS ET PORCINS</v>
      </c>
      <c r="BE234" t="str">
        <f t="shared" si="58"/>
        <v>INJ</v>
      </c>
      <c r="BF234" t="str">
        <f t="shared" si="59"/>
        <v>PHENICOLES</v>
      </c>
      <c r="BG234" t="str">
        <f t="shared" si="60"/>
        <v/>
      </c>
      <c r="BH234" t="str">
        <f t="shared" si="61"/>
        <v/>
      </c>
      <c r="BI234" t="str">
        <f t="shared" si="62"/>
        <v>florfenicol</v>
      </c>
      <c r="BJ234" t="str">
        <f t="shared" si="63"/>
        <v/>
      </c>
      <c r="BK234" t="str">
        <f t="shared" si="64"/>
        <v/>
      </c>
      <c r="BL234" t="str">
        <f t="shared" si="69"/>
        <v>Florfénicol</v>
      </c>
      <c r="BM234" t="str">
        <f t="shared" si="65"/>
        <v>Florfénicol</v>
      </c>
      <c r="BN234" t="str">
        <f t="shared" si="66"/>
        <v/>
      </c>
      <c r="BO234" t="str">
        <f t="shared" si="67"/>
        <v/>
      </c>
      <c r="BP234" t="str">
        <f t="shared" si="70"/>
        <v>Phenicoles</v>
      </c>
      <c r="BQ234" t="str">
        <f t="shared" si="71"/>
        <v>Phenicoles</v>
      </c>
      <c r="BR234" t="str">
        <f t="shared" si="72"/>
        <v/>
      </c>
      <c r="BS234" t="str">
        <f t="shared" si="73"/>
        <v/>
      </c>
      <c r="BT234" s="76" t="str">
        <f t="shared" si="74"/>
        <v>Voie parentérale</v>
      </c>
      <c r="BU234" t="str">
        <f t="shared" si="75"/>
        <v/>
      </c>
      <c r="CN234">
        <v>233</v>
      </c>
    </row>
    <row r="235" spans="1:92" x14ac:dyDescent="0.3">
      <c r="A235" s="118" t="s">
        <v>3387</v>
      </c>
      <c r="B235" t="s">
        <v>3388</v>
      </c>
      <c r="C235" t="s">
        <v>1915</v>
      </c>
      <c r="D235" s="144" t="s">
        <v>764</v>
      </c>
      <c r="E235" t="s">
        <v>813</v>
      </c>
      <c r="F235" t="s">
        <v>3389</v>
      </c>
      <c r="G235" t="s">
        <v>815</v>
      </c>
      <c r="H235" t="s">
        <v>860</v>
      </c>
      <c r="I235" t="s">
        <v>817</v>
      </c>
      <c r="J235" t="s">
        <v>1179</v>
      </c>
      <c r="K235" t="s">
        <v>1179</v>
      </c>
      <c r="L235" t="s">
        <v>1354</v>
      </c>
      <c r="M235" t="s">
        <v>208</v>
      </c>
      <c r="N235" t="s">
        <v>776</v>
      </c>
      <c r="O235" t="s">
        <v>824</v>
      </c>
      <c r="P235" t="s">
        <v>772</v>
      </c>
      <c r="Q235" t="s">
        <v>855</v>
      </c>
      <c r="R235">
        <v>0</v>
      </c>
      <c r="S235">
        <v>0</v>
      </c>
      <c r="T235">
        <v>30</v>
      </c>
      <c r="U235">
        <v>5</v>
      </c>
      <c r="V235">
        <v>0</v>
      </c>
      <c r="W235">
        <v>0</v>
      </c>
      <c r="X235">
        <v>0</v>
      </c>
      <c r="Y235">
        <v>0</v>
      </c>
      <c r="Z235">
        <v>0</v>
      </c>
      <c r="AA235">
        <v>0</v>
      </c>
      <c r="AB235">
        <v>0</v>
      </c>
      <c r="AC235">
        <v>0</v>
      </c>
      <c r="AD235">
        <v>0</v>
      </c>
      <c r="AE235">
        <v>0</v>
      </c>
      <c r="AF235">
        <v>0</v>
      </c>
      <c r="AG235">
        <v>0</v>
      </c>
      <c r="AH235">
        <v>0</v>
      </c>
      <c r="AI235">
        <v>0</v>
      </c>
      <c r="AY235" t="str">
        <f t="shared" si="57"/>
        <v/>
      </c>
      <c r="AZ235" t="str">
        <f>IF(COUNTIF(AY:AY,AY235)=1,AY235,IF(AND(COUNTIF(AY:AY,AY235)&gt;1,COUNTIF(AZ$2:AZ234,AY235)&gt;=1),"",AY235))</f>
        <v/>
      </c>
      <c r="BA235" t="str">
        <f>IF(AZ235="","",COUNTIFS(AZ$3:AZ$1439,"&lt;"&amp;AZ235,AZ$3:AZ$1439,"&lt;&gt;0")+COUNTIF(AZ$3:AZ235,AZ235)-876)</f>
        <v/>
      </c>
      <c r="BC235">
        <v>233</v>
      </c>
      <c r="BD235" t="str">
        <f t="shared" si="68"/>
        <v>FLOXIBAC 100 MG/ML SOLUTION INJECTABLE POUR BOVINS ET PORCINS</v>
      </c>
      <c r="BE235" t="str">
        <f t="shared" si="58"/>
        <v>INJ</v>
      </c>
      <c r="BF235" t="str">
        <f t="shared" si="59"/>
        <v>FLUOROQUINOLONES</v>
      </c>
      <c r="BG235" t="str">
        <f t="shared" si="60"/>
        <v/>
      </c>
      <c r="BH235" t="str">
        <f t="shared" si="61"/>
        <v/>
      </c>
      <c r="BI235" t="str">
        <f t="shared" si="62"/>
        <v>enrofloxacin</v>
      </c>
      <c r="BJ235" t="str">
        <f t="shared" si="63"/>
        <v/>
      </c>
      <c r="BK235" t="str">
        <f t="shared" si="64"/>
        <v/>
      </c>
      <c r="BL235" t="str">
        <f t="shared" si="69"/>
        <v>Enrofloxacine</v>
      </c>
      <c r="BM235" t="str">
        <f t="shared" si="65"/>
        <v>Enrofloxacine</v>
      </c>
      <c r="BN235" t="str">
        <f t="shared" si="66"/>
        <v/>
      </c>
      <c r="BO235" t="str">
        <f t="shared" si="67"/>
        <v/>
      </c>
      <c r="BP235" t="str">
        <f t="shared" si="70"/>
        <v>Fluoroquinolones</v>
      </c>
      <c r="BQ235" t="str">
        <f t="shared" si="71"/>
        <v>Fluoroquinolones</v>
      </c>
      <c r="BR235" t="str">
        <f t="shared" si="72"/>
        <v/>
      </c>
      <c r="BS235" t="str">
        <f t="shared" si="73"/>
        <v/>
      </c>
      <c r="BT235" s="76" t="str">
        <f t="shared" si="74"/>
        <v>Voie parentérale</v>
      </c>
      <c r="BU235" t="str">
        <f t="shared" si="75"/>
        <v>x</v>
      </c>
      <c r="CN235">
        <v>234</v>
      </c>
    </row>
    <row r="236" spans="1:92" x14ac:dyDescent="0.3">
      <c r="A236" s="118" t="s">
        <v>3384</v>
      </c>
      <c r="B236" t="s">
        <v>3385</v>
      </c>
      <c r="C236" t="s">
        <v>1915</v>
      </c>
      <c r="D236" s="144" t="s">
        <v>764</v>
      </c>
      <c r="E236" t="s">
        <v>813</v>
      </c>
      <c r="F236" t="s">
        <v>3386</v>
      </c>
      <c r="G236" t="s">
        <v>815</v>
      </c>
      <c r="H236" t="s">
        <v>816</v>
      </c>
      <c r="I236" t="s">
        <v>817</v>
      </c>
      <c r="J236" t="s">
        <v>1179</v>
      </c>
      <c r="K236" t="s">
        <v>1179</v>
      </c>
      <c r="L236" t="s">
        <v>1354</v>
      </c>
      <c r="M236" t="s">
        <v>208</v>
      </c>
      <c r="N236" t="s">
        <v>780</v>
      </c>
      <c r="O236" t="s">
        <v>824</v>
      </c>
      <c r="P236" t="s">
        <v>772</v>
      </c>
      <c r="Q236" t="s">
        <v>885</v>
      </c>
      <c r="R236">
        <v>0</v>
      </c>
      <c r="S236">
        <v>0</v>
      </c>
      <c r="T236">
        <v>30</v>
      </c>
      <c r="U236">
        <v>5</v>
      </c>
      <c r="V236">
        <v>0</v>
      </c>
      <c r="W236">
        <v>0</v>
      </c>
      <c r="X236">
        <v>0</v>
      </c>
      <c r="Y236">
        <v>0</v>
      </c>
      <c r="Z236">
        <v>0</v>
      </c>
      <c r="AA236">
        <v>0</v>
      </c>
      <c r="AB236">
        <v>0</v>
      </c>
      <c r="AC236">
        <v>0</v>
      </c>
      <c r="AD236">
        <v>0</v>
      </c>
      <c r="AE236">
        <v>0</v>
      </c>
      <c r="AF236">
        <v>0</v>
      </c>
      <c r="AG236">
        <v>0</v>
      </c>
      <c r="AH236">
        <v>0</v>
      </c>
      <c r="AI236">
        <v>0</v>
      </c>
      <c r="AY236" t="str">
        <f t="shared" si="57"/>
        <v/>
      </c>
      <c r="AZ236" t="str">
        <f>IF(COUNTIF(AY:AY,AY236)=1,AY236,IF(AND(COUNTIF(AY:AY,AY236)&gt;1,COUNTIF(AZ$2:AZ235,AY236)&gt;=1),"",AY236))</f>
        <v/>
      </c>
      <c r="BA236" t="str">
        <f>IF(AZ236="","",COUNTIFS(AZ$3:AZ$1439,"&lt;"&amp;AZ236,AZ$3:AZ$1439,"&lt;&gt;0")+COUNTIF(AZ$3:AZ236,AZ236)-876)</f>
        <v/>
      </c>
      <c r="BC236">
        <v>234</v>
      </c>
      <c r="BD236" t="str">
        <f t="shared" si="68"/>
        <v>FLOXIBAC 50 MG/ML SOLUTION INJECTABLE POUR BOVINS, PORCINS, CHIENS ET CHATS</v>
      </c>
      <c r="BE236" t="str">
        <f t="shared" si="58"/>
        <v>INJ</v>
      </c>
      <c r="BF236" t="str">
        <f t="shared" si="59"/>
        <v>FLUOROQUINOLONES</v>
      </c>
      <c r="BG236" t="str">
        <f t="shared" si="60"/>
        <v/>
      </c>
      <c r="BH236" t="str">
        <f t="shared" si="61"/>
        <v/>
      </c>
      <c r="BI236" t="str">
        <f t="shared" si="62"/>
        <v>enrofloxacin</v>
      </c>
      <c r="BJ236" t="str">
        <f t="shared" si="63"/>
        <v/>
      </c>
      <c r="BK236" t="str">
        <f t="shared" si="64"/>
        <v/>
      </c>
      <c r="BL236" t="str">
        <f t="shared" si="69"/>
        <v>Enrofloxacine</v>
      </c>
      <c r="BM236" t="str">
        <f t="shared" si="65"/>
        <v>Enrofloxacine</v>
      </c>
      <c r="BN236" t="str">
        <f t="shared" si="66"/>
        <v/>
      </c>
      <c r="BO236" t="str">
        <f t="shared" si="67"/>
        <v/>
      </c>
      <c r="BP236" t="str">
        <f t="shared" si="70"/>
        <v>Fluoroquinolones</v>
      </c>
      <c r="BQ236" t="str">
        <f t="shared" si="71"/>
        <v>Fluoroquinolones</v>
      </c>
      <c r="BR236" t="str">
        <f t="shared" si="72"/>
        <v/>
      </c>
      <c r="BS236" t="str">
        <f t="shared" si="73"/>
        <v/>
      </c>
      <c r="BT236" s="76" t="str">
        <f t="shared" si="74"/>
        <v>Voie parentérale</v>
      </c>
      <c r="BU236" t="str">
        <f t="shared" si="75"/>
        <v>x</v>
      </c>
      <c r="CN236">
        <v>235</v>
      </c>
    </row>
    <row r="237" spans="1:92" x14ac:dyDescent="0.3">
      <c r="A237" s="118" t="s">
        <v>3390</v>
      </c>
      <c r="B237" t="s">
        <v>3391</v>
      </c>
      <c r="C237" t="s">
        <v>1915</v>
      </c>
      <c r="D237" s="144" t="s">
        <v>764</v>
      </c>
      <c r="E237" t="s">
        <v>813</v>
      </c>
      <c r="F237" t="s">
        <v>3392</v>
      </c>
      <c r="G237" t="s">
        <v>815</v>
      </c>
      <c r="H237" t="s">
        <v>860</v>
      </c>
      <c r="I237" t="s">
        <v>817</v>
      </c>
      <c r="J237" t="s">
        <v>1179</v>
      </c>
      <c r="K237" t="s">
        <v>1179</v>
      </c>
      <c r="L237" t="s">
        <v>1354</v>
      </c>
      <c r="M237" t="s">
        <v>208</v>
      </c>
      <c r="N237" t="s">
        <v>906</v>
      </c>
      <c r="O237" t="s">
        <v>824</v>
      </c>
      <c r="P237" t="s">
        <v>772</v>
      </c>
      <c r="Q237" t="s">
        <v>780</v>
      </c>
      <c r="R237">
        <v>0</v>
      </c>
      <c r="S237">
        <v>0</v>
      </c>
      <c r="T237">
        <v>30</v>
      </c>
      <c r="U237">
        <v>5</v>
      </c>
      <c r="V237">
        <v>0</v>
      </c>
      <c r="W237">
        <v>0</v>
      </c>
      <c r="X237">
        <v>0</v>
      </c>
      <c r="Y237">
        <v>0</v>
      </c>
      <c r="Z237">
        <v>0</v>
      </c>
      <c r="AA237">
        <v>0</v>
      </c>
      <c r="AB237">
        <v>0</v>
      </c>
      <c r="AC237">
        <v>0</v>
      </c>
      <c r="AD237">
        <v>0</v>
      </c>
      <c r="AE237">
        <v>0</v>
      </c>
      <c r="AF237">
        <v>0</v>
      </c>
      <c r="AG237">
        <v>0</v>
      </c>
      <c r="AH237">
        <v>0</v>
      </c>
      <c r="AI237">
        <v>0</v>
      </c>
      <c r="AY237" t="str">
        <f t="shared" si="57"/>
        <v/>
      </c>
      <c r="AZ237" t="str">
        <f>IF(COUNTIF(AY:AY,AY237)=1,AY237,IF(AND(COUNTIF(AY:AY,AY237)&gt;1,COUNTIF(AZ$2:AZ236,AY237)&gt;=1),"",AY237))</f>
        <v/>
      </c>
      <c r="BA237" t="str">
        <f>IF(AZ237="","",COUNTIFS(AZ$3:AZ$1439,"&lt;"&amp;AZ237,AZ$3:AZ$1439,"&lt;&gt;0")+COUNTIF(AZ$3:AZ237,AZ237)-876)</f>
        <v/>
      </c>
      <c r="BC237">
        <v>235</v>
      </c>
      <c r="BD237" t="str">
        <f t="shared" si="68"/>
        <v>FLOXYME 50 MG/ML SOLUTION POUR EAU DE BOISSON</v>
      </c>
      <c r="BE237" t="str">
        <f t="shared" si="58"/>
        <v>ORAL</v>
      </c>
      <c r="BF237" t="str">
        <f t="shared" si="59"/>
        <v>PHENICOLES</v>
      </c>
      <c r="BG237" t="str">
        <f t="shared" si="60"/>
        <v/>
      </c>
      <c r="BH237" t="str">
        <f t="shared" si="61"/>
        <v/>
      </c>
      <c r="BI237" t="str">
        <f t="shared" si="62"/>
        <v>florfenicol</v>
      </c>
      <c r="BJ237" t="str">
        <f t="shared" si="63"/>
        <v/>
      </c>
      <c r="BK237" t="str">
        <f t="shared" si="64"/>
        <v/>
      </c>
      <c r="BL237" t="str">
        <f t="shared" si="69"/>
        <v>Florfénicol</v>
      </c>
      <c r="BM237" t="str">
        <f t="shared" si="65"/>
        <v>Florfénicol</v>
      </c>
      <c r="BN237" t="str">
        <f t="shared" si="66"/>
        <v/>
      </c>
      <c r="BO237" t="str">
        <f t="shared" si="67"/>
        <v/>
      </c>
      <c r="BP237" t="str">
        <f t="shared" si="70"/>
        <v>Phenicoles</v>
      </c>
      <c r="BQ237" t="str">
        <f t="shared" si="71"/>
        <v>Phenicoles</v>
      </c>
      <c r="BR237" t="str">
        <f t="shared" si="72"/>
        <v/>
      </c>
      <c r="BS237" t="str">
        <f t="shared" si="73"/>
        <v/>
      </c>
      <c r="BT237" s="76" t="str">
        <f t="shared" si="74"/>
        <v>Voie orale  hors prémélanges médicamenteux</v>
      </c>
      <c r="BU237" t="str">
        <f t="shared" si="75"/>
        <v/>
      </c>
      <c r="CN237">
        <v>236</v>
      </c>
    </row>
    <row r="238" spans="1:92" x14ac:dyDescent="0.3">
      <c r="A238" s="118" t="s">
        <v>1176</v>
      </c>
      <c r="B238" t="s">
        <v>1177</v>
      </c>
      <c r="C238" t="s">
        <v>1178</v>
      </c>
      <c r="D238" s="144" t="s">
        <v>1132</v>
      </c>
      <c r="E238" t="s">
        <v>813</v>
      </c>
      <c r="F238" t="s">
        <v>35</v>
      </c>
      <c r="G238" t="s">
        <v>1024</v>
      </c>
      <c r="H238" t="s">
        <v>801</v>
      </c>
      <c r="I238" t="s">
        <v>1013</v>
      </c>
      <c r="J238" t="s">
        <v>1179</v>
      </c>
      <c r="K238" t="s">
        <v>1179</v>
      </c>
      <c r="L238" t="s">
        <v>1180</v>
      </c>
      <c r="M238" t="s">
        <v>208</v>
      </c>
      <c r="N238" t="s">
        <v>776</v>
      </c>
      <c r="O238" t="s">
        <v>824</v>
      </c>
      <c r="P238" t="s">
        <v>772</v>
      </c>
      <c r="Q238" t="s">
        <v>786</v>
      </c>
      <c r="R238">
        <v>0</v>
      </c>
      <c r="S238">
        <v>0</v>
      </c>
      <c r="T238">
        <v>0</v>
      </c>
      <c r="U238">
        <v>0</v>
      </c>
      <c r="V238">
        <v>0</v>
      </c>
      <c r="W238">
        <v>0</v>
      </c>
      <c r="X238">
        <v>0</v>
      </c>
      <c r="Y238">
        <v>0</v>
      </c>
      <c r="Z238">
        <v>0</v>
      </c>
      <c r="AA238">
        <v>0</v>
      </c>
      <c r="AB238">
        <v>0</v>
      </c>
      <c r="AC238">
        <v>0</v>
      </c>
      <c r="AD238">
        <v>0</v>
      </c>
      <c r="AE238">
        <v>0</v>
      </c>
      <c r="AF238">
        <v>0</v>
      </c>
      <c r="AG238">
        <v>0</v>
      </c>
      <c r="AH238">
        <v>0</v>
      </c>
      <c r="AI238">
        <v>0</v>
      </c>
      <c r="AY238" t="str">
        <f t="shared" si="57"/>
        <v>CEPRAVIN</v>
      </c>
      <c r="AZ238" t="str">
        <f>IF(COUNTIF(AY:AY,AY238)=1,AY238,IF(AND(COUNTIF(AY:AY,AY238)&gt;1,COUNTIF(AZ$2:AZ237,AY238)&gt;=1),"",AY238))</f>
        <v>CEPRAVIN</v>
      </c>
      <c r="BA238">
        <f>IF(AZ238="","",COUNTIFS(AZ$3:AZ$1439,"&lt;"&amp;AZ238,AZ$3:AZ$1439,"&lt;&gt;0")+COUNTIF(AZ$3:AZ238,AZ238)-876)</f>
        <v>93</v>
      </c>
      <c r="BC238">
        <v>236</v>
      </c>
      <c r="BD238" t="str">
        <f t="shared" si="68"/>
        <v>FLUMIQUIL POUDRE A 10 %</v>
      </c>
      <c r="BE238" t="str">
        <f t="shared" si="58"/>
        <v>ORAL</v>
      </c>
      <c r="BF238" t="str">
        <f t="shared" si="59"/>
        <v>QUINOLONES</v>
      </c>
      <c r="BG238" t="str">
        <f t="shared" si="60"/>
        <v/>
      </c>
      <c r="BH238" t="str">
        <f t="shared" si="61"/>
        <v/>
      </c>
      <c r="BI238" t="str">
        <f t="shared" si="62"/>
        <v>flumequine</v>
      </c>
      <c r="BJ238" t="str">
        <f t="shared" si="63"/>
        <v/>
      </c>
      <c r="BK238" t="str">
        <f t="shared" si="64"/>
        <v/>
      </c>
      <c r="BL238" t="str">
        <f t="shared" si="69"/>
        <v>Fluméquine</v>
      </c>
      <c r="BM238" t="str">
        <f t="shared" si="65"/>
        <v>Fluméquine</v>
      </c>
      <c r="BN238" t="str">
        <f t="shared" si="66"/>
        <v/>
      </c>
      <c r="BO238" t="str">
        <f t="shared" si="67"/>
        <v/>
      </c>
      <c r="BP238" t="str">
        <f t="shared" si="70"/>
        <v>Quinolones</v>
      </c>
      <c r="BQ238" t="str">
        <f t="shared" si="71"/>
        <v>Quinolones</v>
      </c>
      <c r="BR238" t="str">
        <f t="shared" si="72"/>
        <v/>
      </c>
      <c r="BS238" t="str">
        <f t="shared" si="73"/>
        <v/>
      </c>
      <c r="BT238" s="76" t="str">
        <f t="shared" si="74"/>
        <v>Voie orale  hors prémélanges médicamenteux</v>
      </c>
      <c r="BU238" t="str">
        <f t="shared" si="75"/>
        <v/>
      </c>
      <c r="CN238">
        <v>237</v>
      </c>
    </row>
    <row r="239" spans="1:92" x14ac:dyDescent="0.3">
      <c r="A239" s="118" t="s">
        <v>1176</v>
      </c>
      <c r="B239" t="s">
        <v>1181</v>
      </c>
      <c r="C239" t="s">
        <v>1182</v>
      </c>
      <c r="D239" s="144" t="s">
        <v>1183</v>
      </c>
      <c r="E239" t="s">
        <v>813</v>
      </c>
      <c r="F239" t="s">
        <v>35</v>
      </c>
      <c r="G239" t="s">
        <v>1024</v>
      </c>
      <c r="H239" t="s">
        <v>801</v>
      </c>
      <c r="I239" t="s">
        <v>1013</v>
      </c>
      <c r="J239" t="s">
        <v>1179</v>
      </c>
      <c r="K239" t="s">
        <v>1179</v>
      </c>
      <c r="L239" t="s">
        <v>1180</v>
      </c>
      <c r="M239" t="s">
        <v>208</v>
      </c>
      <c r="N239" t="s">
        <v>776</v>
      </c>
      <c r="O239" t="s">
        <v>824</v>
      </c>
      <c r="P239" t="s">
        <v>772</v>
      </c>
      <c r="Q239" t="s">
        <v>1184</v>
      </c>
      <c r="R239">
        <v>0</v>
      </c>
      <c r="S239">
        <v>0</v>
      </c>
      <c r="T239">
        <v>0</v>
      </c>
      <c r="U239">
        <v>0</v>
      </c>
      <c r="V239">
        <v>0</v>
      </c>
      <c r="W239">
        <v>0</v>
      </c>
      <c r="X239">
        <v>0</v>
      </c>
      <c r="Y239">
        <v>0</v>
      </c>
      <c r="Z239">
        <v>0</v>
      </c>
      <c r="AA239">
        <v>0</v>
      </c>
      <c r="AB239">
        <v>0</v>
      </c>
      <c r="AC239">
        <v>0</v>
      </c>
      <c r="AD239">
        <v>0</v>
      </c>
      <c r="AE239">
        <v>0</v>
      </c>
      <c r="AF239">
        <v>0</v>
      </c>
      <c r="AG239">
        <v>0</v>
      </c>
      <c r="AH239">
        <v>0</v>
      </c>
      <c r="AI239">
        <v>0</v>
      </c>
      <c r="AY239" t="str">
        <f t="shared" si="57"/>
        <v>CEPRAVIN</v>
      </c>
      <c r="AZ239" t="str">
        <f>IF(COUNTIF(AY:AY,AY239)=1,AY239,IF(AND(COUNTIF(AY:AY,AY239)&gt;1,COUNTIF(AZ$2:AZ238,AY239)&gt;=1),"",AY239))</f>
        <v/>
      </c>
      <c r="BA239" t="str">
        <f>IF(AZ239="","",COUNTIFS(AZ$3:AZ$1439,"&lt;"&amp;AZ239,AZ$3:AZ$1439,"&lt;&gt;0")+COUNTIF(AZ$3:AZ239,AZ239)-876)</f>
        <v/>
      </c>
      <c r="BC239">
        <v>237</v>
      </c>
      <c r="BD239" t="str">
        <f t="shared" si="68"/>
        <v>FLUMIQUIL POUDRE A 3 %</v>
      </c>
      <c r="BE239" t="str">
        <f t="shared" si="58"/>
        <v>ORAL</v>
      </c>
      <c r="BF239" t="str">
        <f t="shared" si="59"/>
        <v>QUINOLONES</v>
      </c>
      <c r="BG239" t="str">
        <f t="shared" si="60"/>
        <v/>
      </c>
      <c r="BH239" t="str">
        <f t="shared" si="61"/>
        <v/>
      </c>
      <c r="BI239" t="str">
        <f t="shared" si="62"/>
        <v>flumequine</v>
      </c>
      <c r="BJ239" t="str">
        <f t="shared" si="63"/>
        <v/>
      </c>
      <c r="BK239" t="str">
        <f t="shared" si="64"/>
        <v/>
      </c>
      <c r="BL239" t="str">
        <f t="shared" si="69"/>
        <v>Fluméquine</v>
      </c>
      <c r="BM239" t="str">
        <f t="shared" si="65"/>
        <v>Fluméquine</v>
      </c>
      <c r="BN239" t="str">
        <f t="shared" si="66"/>
        <v/>
      </c>
      <c r="BO239" t="str">
        <f t="shared" si="67"/>
        <v/>
      </c>
      <c r="BP239" t="str">
        <f t="shared" si="70"/>
        <v>Quinolones</v>
      </c>
      <c r="BQ239" t="str">
        <f t="shared" si="71"/>
        <v>Quinolones</v>
      </c>
      <c r="BR239" t="str">
        <f t="shared" si="72"/>
        <v/>
      </c>
      <c r="BS239" t="str">
        <f t="shared" si="73"/>
        <v/>
      </c>
      <c r="BT239" s="76" t="str">
        <f t="shared" si="74"/>
        <v>Voie orale  hors prémélanges médicamenteux</v>
      </c>
      <c r="BU239" t="str">
        <f t="shared" si="75"/>
        <v/>
      </c>
      <c r="CN239">
        <v>238</v>
      </c>
    </row>
    <row r="240" spans="1:92" x14ac:dyDescent="0.3">
      <c r="A240" s="118" t="s">
        <v>1176</v>
      </c>
      <c r="B240" t="s">
        <v>1185</v>
      </c>
      <c r="C240" t="s">
        <v>1186</v>
      </c>
      <c r="D240" s="144" t="s">
        <v>764</v>
      </c>
      <c r="E240" t="s">
        <v>813</v>
      </c>
      <c r="F240" t="s">
        <v>35</v>
      </c>
      <c r="G240" t="s">
        <v>1024</v>
      </c>
      <c r="H240" t="s">
        <v>801</v>
      </c>
      <c r="I240" t="s">
        <v>1013</v>
      </c>
      <c r="J240" t="s">
        <v>1179</v>
      </c>
      <c r="K240" t="s">
        <v>1179</v>
      </c>
      <c r="L240" t="s">
        <v>1180</v>
      </c>
      <c r="M240" t="s">
        <v>208</v>
      </c>
      <c r="N240" t="s">
        <v>776</v>
      </c>
      <c r="O240" t="s">
        <v>824</v>
      </c>
      <c r="P240" t="s">
        <v>772</v>
      </c>
      <c r="Q240" t="s">
        <v>855</v>
      </c>
      <c r="R240">
        <v>0</v>
      </c>
      <c r="S240">
        <v>0</v>
      </c>
      <c r="T240">
        <v>0</v>
      </c>
      <c r="U240">
        <v>0</v>
      </c>
      <c r="V240">
        <v>0</v>
      </c>
      <c r="W240">
        <v>0</v>
      </c>
      <c r="X240">
        <v>0</v>
      </c>
      <c r="Y240">
        <v>0</v>
      </c>
      <c r="Z240">
        <v>0</v>
      </c>
      <c r="AA240">
        <v>0</v>
      </c>
      <c r="AB240">
        <v>0</v>
      </c>
      <c r="AC240">
        <v>0</v>
      </c>
      <c r="AD240">
        <v>0</v>
      </c>
      <c r="AE240">
        <v>0</v>
      </c>
      <c r="AF240">
        <v>0</v>
      </c>
      <c r="AG240">
        <v>0</v>
      </c>
      <c r="AH240">
        <v>0</v>
      </c>
      <c r="AI240">
        <v>0</v>
      </c>
      <c r="AY240" t="str">
        <f t="shared" si="57"/>
        <v>CEPRAVIN</v>
      </c>
      <c r="AZ240" t="str">
        <f>IF(COUNTIF(AY:AY,AY240)=1,AY240,IF(AND(COUNTIF(AY:AY,AY240)&gt;1,COUNTIF(AZ$2:AZ239,AY240)&gt;=1),"",AY240))</f>
        <v/>
      </c>
      <c r="BA240" t="str">
        <f>IF(AZ240="","",COUNTIFS(AZ$3:AZ$1439,"&lt;"&amp;AZ240,AZ$3:AZ$1439,"&lt;&gt;0")+COUNTIF(AZ$3:AZ240,AZ240)-876)</f>
        <v/>
      </c>
      <c r="BC240">
        <v>238</v>
      </c>
      <c r="BD240" t="str">
        <f t="shared" si="68"/>
        <v>FLUMISOL 36 %</v>
      </c>
      <c r="BE240" t="str">
        <f t="shared" si="58"/>
        <v>ORAL</v>
      </c>
      <c r="BF240" t="str">
        <f t="shared" si="59"/>
        <v>QUINOLONES</v>
      </c>
      <c r="BG240" t="str">
        <f t="shared" si="60"/>
        <v/>
      </c>
      <c r="BH240" t="str">
        <f t="shared" si="61"/>
        <v/>
      </c>
      <c r="BI240" t="str">
        <f t="shared" si="62"/>
        <v>flumequine</v>
      </c>
      <c r="BJ240" t="str">
        <f t="shared" si="63"/>
        <v/>
      </c>
      <c r="BK240" t="str">
        <f t="shared" si="64"/>
        <v/>
      </c>
      <c r="BL240" t="str">
        <f t="shared" si="69"/>
        <v>Fluméquine</v>
      </c>
      <c r="BM240" t="str">
        <f t="shared" si="65"/>
        <v>Fluméquine</v>
      </c>
      <c r="BN240" t="str">
        <f t="shared" si="66"/>
        <v/>
      </c>
      <c r="BO240" t="str">
        <f t="shared" si="67"/>
        <v/>
      </c>
      <c r="BP240" t="str">
        <f t="shared" si="70"/>
        <v>Quinolones</v>
      </c>
      <c r="BQ240" t="str">
        <f t="shared" si="71"/>
        <v>Quinolones</v>
      </c>
      <c r="BR240" t="str">
        <f t="shared" si="72"/>
        <v/>
      </c>
      <c r="BS240" t="str">
        <f t="shared" si="73"/>
        <v/>
      </c>
      <c r="BT240" s="76" t="str">
        <f t="shared" si="74"/>
        <v>Voie orale  hors prémélanges médicamenteux</v>
      </c>
      <c r="BU240" t="str">
        <f t="shared" si="75"/>
        <v/>
      </c>
      <c r="CN240">
        <v>239</v>
      </c>
    </row>
    <row r="241" spans="1:92" x14ac:dyDescent="0.3">
      <c r="A241" s="118" t="s">
        <v>1176</v>
      </c>
      <c r="B241" t="s">
        <v>1187</v>
      </c>
      <c r="C241" t="s">
        <v>1188</v>
      </c>
      <c r="D241" s="144" t="s">
        <v>869</v>
      </c>
      <c r="E241" t="s">
        <v>813</v>
      </c>
      <c r="F241" t="s">
        <v>35</v>
      </c>
      <c r="G241" t="s">
        <v>1024</v>
      </c>
      <c r="H241" t="s">
        <v>801</v>
      </c>
      <c r="I241" t="s">
        <v>1013</v>
      </c>
      <c r="J241" t="s">
        <v>1179</v>
      </c>
      <c r="K241" t="s">
        <v>1179</v>
      </c>
      <c r="L241" t="s">
        <v>1180</v>
      </c>
      <c r="M241" t="s">
        <v>208</v>
      </c>
      <c r="N241" t="s">
        <v>776</v>
      </c>
      <c r="O241" t="s">
        <v>824</v>
      </c>
      <c r="P241" t="s">
        <v>772</v>
      </c>
      <c r="Q241" t="s">
        <v>885</v>
      </c>
      <c r="R241">
        <v>0</v>
      </c>
      <c r="S241">
        <v>0</v>
      </c>
      <c r="T241">
        <v>0</v>
      </c>
      <c r="U241">
        <v>0</v>
      </c>
      <c r="V241">
        <v>0</v>
      </c>
      <c r="W241">
        <v>0</v>
      </c>
      <c r="X241">
        <v>0</v>
      </c>
      <c r="Y241">
        <v>0</v>
      </c>
      <c r="Z241">
        <v>0</v>
      </c>
      <c r="AA241">
        <v>0</v>
      </c>
      <c r="AB241">
        <v>0</v>
      </c>
      <c r="AC241">
        <v>0</v>
      </c>
      <c r="AD241">
        <v>0</v>
      </c>
      <c r="AE241">
        <v>0</v>
      </c>
      <c r="AF241">
        <v>0</v>
      </c>
      <c r="AG241">
        <v>0</v>
      </c>
      <c r="AH241">
        <v>0</v>
      </c>
      <c r="AI241">
        <v>0</v>
      </c>
      <c r="AY241" t="str">
        <f t="shared" si="57"/>
        <v>CEPRAVIN</v>
      </c>
      <c r="AZ241" t="str">
        <f>IF(COUNTIF(AY:AY,AY241)=1,AY241,IF(AND(COUNTIF(AY:AY,AY241)&gt;1,COUNTIF(AZ$2:AZ240,AY241)&gt;=1),"",AY241))</f>
        <v/>
      </c>
      <c r="BA241" t="str">
        <f>IF(AZ241="","",COUNTIFS(AZ$3:AZ$1439,"&lt;"&amp;AZ241,AZ$3:AZ$1439,"&lt;&gt;0")+COUNTIF(AZ$3:AZ241,AZ241)-876)</f>
        <v/>
      </c>
      <c r="BC241">
        <v>239</v>
      </c>
      <c r="BD241" t="str">
        <f t="shared" si="68"/>
        <v>FLUMIVAL 10% SOLUTION ORALE POUR VOLAILLES ET VEAUX</v>
      </c>
      <c r="BE241" t="str">
        <f t="shared" si="58"/>
        <v>ORAL</v>
      </c>
      <c r="BF241" t="str">
        <f t="shared" si="59"/>
        <v>QUINOLONES</v>
      </c>
      <c r="BG241" t="str">
        <f t="shared" si="60"/>
        <v/>
      </c>
      <c r="BH241" t="str">
        <f t="shared" si="61"/>
        <v/>
      </c>
      <c r="BI241" t="str">
        <f t="shared" si="62"/>
        <v>flumequine</v>
      </c>
      <c r="BJ241" t="str">
        <f t="shared" si="63"/>
        <v/>
      </c>
      <c r="BK241" t="str">
        <f t="shared" si="64"/>
        <v/>
      </c>
      <c r="BL241" t="str">
        <f t="shared" si="69"/>
        <v>Fluméquine</v>
      </c>
      <c r="BM241" t="str">
        <f t="shared" si="65"/>
        <v>Fluméquine</v>
      </c>
      <c r="BN241" t="str">
        <f t="shared" si="66"/>
        <v/>
      </c>
      <c r="BO241" t="str">
        <f t="shared" si="67"/>
        <v/>
      </c>
      <c r="BP241" t="str">
        <f t="shared" si="70"/>
        <v>Quinolones</v>
      </c>
      <c r="BQ241" t="str">
        <f t="shared" si="71"/>
        <v>Quinolones</v>
      </c>
      <c r="BR241" t="str">
        <f t="shared" si="72"/>
        <v/>
      </c>
      <c r="BS241" t="str">
        <f t="shared" si="73"/>
        <v/>
      </c>
      <c r="BT241" s="76" t="str">
        <f t="shared" si="74"/>
        <v>Voie orale  hors prémélanges médicamenteux</v>
      </c>
      <c r="BU241" t="str">
        <f t="shared" si="75"/>
        <v/>
      </c>
      <c r="CN241">
        <v>240</v>
      </c>
    </row>
    <row r="242" spans="1:92" x14ac:dyDescent="0.3">
      <c r="A242" s="118" t="s">
        <v>3216</v>
      </c>
      <c r="B242" t="s">
        <v>3217</v>
      </c>
      <c r="C242" t="s">
        <v>1241</v>
      </c>
      <c r="D242" s="144" t="s">
        <v>829</v>
      </c>
      <c r="E242" t="s">
        <v>765</v>
      </c>
      <c r="F242" t="s">
        <v>3218</v>
      </c>
      <c r="G242" t="s">
        <v>956</v>
      </c>
      <c r="H242" t="s">
        <v>1173</v>
      </c>
      <c r="I242" t="s">
        <v>817</v>
      </c>
      <c r="J242" t="s">
        <v>2081</v>
      </c>
      <c r="K242" t="s">
        <v>2081</v>
      </c>
      <c r="L242" t="s">
        <v>2082</v>
      </c>
      <c r="M242" t="s">
        <v>208</v>
      </c>
      <c r="N242" t="s">
        <v>3135</v>
      </c>
      <c r="O242" t="s">
        <v>771</v>
      </c>
      <c r="P242" t="s">
        <v>772</v>
      </c>
      <c r="Q242" t="s">
        <v>3135</v>
      </c>
      <c r="R242">
        <v>0</v>
      </c>
      <c r="S242">
        <v>0</v>
      </c>
      <c r="T242">
        <v>0</v>
      </c>
      <c r="U242">
        <v>0</v>
      </c>
      <c r="V242">
        <v>0</v>
      </c>
      <c r="W242">
        <v>0</v>
      </c>
      <c r="X242">
        <v>0</v>
      </c>
      <c r="Y242">
        <v>0</v>
      </c>
      <c r="Z242">
        <v>16</v>
      </c>
      <c r="AA242">
        <v>10</v>
      </c>
      <c r="AB242">
        <v>0</v>
      </c>
      <c r="AC242">
        <v>0</v>
      </c>
      <c r="AD242">
        <v>0</v>
      </c>
      <c r="AE242">
        <v>0</v>
      </c>
      <c r="AF242">
        <v>0</v>
      </c>
      <c r="AG242">
        <v>0</v>
      </c>
      <c r="AH242">
        <v>0</v>
      </c>
      <c r="AI242">
        <v>0</v>
      </c>
      <c r="AY242" t="str">
        <f t="shared" si="57"/>
        <v>CEVAMULINE SOLUTION LAPIN</v>
      </c>
      <c r="AZ242" t="str">
        <f>IF(COUNTIF(AY:AY,AY242)=1,AY242,IF(AND(COUNTIF(AY:AY,AY242)&gt;1,COUNTIF(AZ$2:AZ241,AY242)&gt;=1),"",AY242))</f>
        <v>CEVAMULINE SOLUTION LAPIN</v>
      </c>
      <c r="BA242">
        <f>IF(AZ242="","",COUNTIFS(AZ$3:AZ$1439,"&lt;"&amp;AZ242,AZ$3:AZ$1439,"&lt;&gt;0")+COUNTIF(AZ$3:AZ242,AZ242)-876)</f>
        <v>94</v>
      </c>
      <c r="BC242">
        <v>240</v>
      </c>
      <c r="BD242" t="str">
        <f t="shared" si="68"/>
        <v>FLUMIX FLUMEQUINE 160 SALMONIDES</v>
      </c>
      <c r="BE242" t="str">
        <f t="shared" si="58"/>
        <v>PM</v>
      </c>
      <c r="BF242" t="str">
        <f t="shared" si="59"/>
        <v>QUINOLONES</v>
      </c>
      <c r="BG242" t="str">
        <f t="shared" si="60"/>
        <v/>
      </c>
      <c r="BH242" t="str">
        <f t="shared" si="61"/>
        <v/>
      </c>
      <c r="BI242" t="str">
        <f t="shared" si="62"/>
        <v>flumequine</v>
      </c>
      <c r="BJ242" t="str">
        <f t="shared" si="63"/>
        <v/>
      </c>
      <c r="BK242" t="str">
        <f t="shared" si="64"/>
        <v/>
      </c>
      <c r="BL242" t="str">
        <f t="shared" si="69"/>
        <v>Fluméquine</v>
      </c>
      <c r="BM242" t="str">
        <f t="shared" si="65"/>
        <v>Fluméquine</v>
      </c>
      <c r="BN242" t="str">
        <f t="shared" si="66"/>
        <v/>
      </c>
      <c r="BO242" t="str">
        <f t="shared" si="67"/>
        <v/>
      </c>
      <c r="BP242" t="str">
        <f t="shared" si="70"/>
        <v>Quinolones</v>
      </c>
      <c r="BQ242" t="str">
        <f t="shared" si="71"/>
        <v>Quinolones</v>
      </c>
      <c r="BR242" t="str">
        <f t="shared" si="72"/>
        <v/>
      </c>
      <c r="BS242" t="str">
        <f t="shared" si="73"/>
        <v/>
      </c>
      <c r="BT242" s="76" t="str">
        <f t="shared" si="74"/>
        <v>Prémélanges médicamenteux</v>
      </c>
      <c r="BU242" t="str">
        <f t="shared" si="75"/>
        <v/>
      </c>
      <c r="CN242">
        <v>241</v>
      </c>
    </row>
    <row r="243" spans="1:92" x14ac:dyDescent="0.3">
      <c r="A243" s="118" t="s">
        <v>3216</v>
      </c>
      <c r="B243" t="s">
        <v>3219</v>
      </c>
      <c r="C243" t="s">
        <v>1243</v>
      </c>
      <c r="D243" s="144" t="s">
        <v>955</v>
      </c>
      <c r="E243" t="s">
        <v>765</v>
      </c>
      <c r="F243" t="s">
        <v>3218</v>
      </c>
      <c r="G243" t="s">
        <v>956</v>
      </c>
      <c r="H243" t="s">
        <v>1173</v>
      </c>
      <c r="I243" t="s">
        <v>817</v>
      </c>
      <c r="J243" t="s">
        <v>2081</v>
      </c>
      <c r="K243" t="s">
        <v>2081</v>
      </c>
      <c r="L243" t="s">
        <v>2082</v>
      </c>
      <c r="M243" t="s">
        <v>208</v>
      </c>
      <c r="N243" t="s">
        <v>3135</v>
      </c>
      <c r="O243" t="s">
        <v>771</v>
      </c>
      <c r="P243" t="s">
        <v>772</v>
      </c>
      <c r="Q243" t="s">
        <v>3137</v>
      </c>
      <c r="R243">
        <v>0</v>
      </c>
      <c r="S243">
        <v>0</v>
      </c>
      <c r="T243">
        <v>0</v>
      </c>
      <c r="U243">
        <v>0</v>
      </c>
      <c r="V243">
        <v>0</v>
      </c>
      <c r="W243">
        <v>0</v>
      </c>
      <c r="X243">
        <v>0</v>
      </c>
      <c r="Y243">
        <v>0</v>
      </c>
      <c r="Z243">
        <v>16</v>
      </c>
      <c r="AA243">
        <v>10</v>
      </c>
      <c r="AB243">
        <v>0</v>
      </c>
      <c r="AC243">
        <v>0</v>
      </c>
      <c r="AD243">
        <v>0</v>
      </c>
      <c r="AE243">
        <v>0</v>
      </c>
      <c r="AF243">
        <v>0</v>
      </c>
      <c r="AG243">
        <v>0</v>
      </c>
      <c r="AH243">
        <v>0</v>
      </c>
      <c r="AI243">
        <v>0</v>
      </c>
      <c r="AY243" t="str">
        <f t="shared" si="57"/>
        <v>CEVAMULINE SOLUTION LAPIN</v>
      </c>
      <c r="AZ243" t="str">
        <f>IF(COUNTIF(AY:AY,AY243)=1,AY243,IF(AND(COUNTIF(AY:AY,AY243)&gt;1,COUNTIF(AZ$2:AZ242,AY243)&gt;=1),"",AY243))</f>
        <v/>
      </c>
      <c r="BA243" t="str">
        <f>IF(AZ243="","",COUNTIFS(AZ$3:AZ$1439,"&lt;"&amp;AZ243,AZ$3:AZ$1439,"&lt;&gt;0")+COUNTIF(AZ$3:AZ243,AZ243)-876)</f>
        <v/>
      </c>
      <c r="BC243">
        <v>241</v>
      </c>
      <c r="BD243" t="str">
        <f t="shared" si="68"/>
        <v>FLUQUICK POUDRE A 50 %</v>
      </c>
      <c r="BE243" t="str">
        <f t="shared" si="58"/>
        <v>ORAL</v>
      </c>
      <c r="BF243" t="str">
        <f t="shared" si="59"/>
        <v>QUINOLONES</v>
      </c>
      <c r="BG243" t="str">
        <f t="shared" si="60"/>
        <v/>
      </c>
      <c r="BH243" t="str">
        <f t="shared" si="61"/>
        <v/>
      </c>
      <c r="BI243" t="str">
        <f t="shared" si="62"/>
        <v>flumequine</v>
      </c>
      <c r="BJ243" t="str">
        <f t="shared" si="63"/>
        <v/>
      </c>
      <c r="BK243" t="str">
        <f t="shared" si="64"/>
        <v/>
      </c>
      <c r="BL243" t="str">
        <f t="shared" si="69"/>
        <v>Fluméquine</v>
      </c>
      <c r="BM243" t="str">
        <f t="shared" si="65"/>
        <v>Fluméquine</v>
      </c>
      <c r="BN243" t="str">
        <f t="shared" si="66"/>
        <v/>
      </c>
      <c r="BO243" t="str">
        <f t="shared" si="67"/>
        <v/>
      </c>
      <c r="BP243" t="str">
        <f t="shared" si="70"/>
        <v>Quinolones</v>
      </c>
      <c r="BQ243" t="str">
        <f t="shared" si="71"/>
        <v>Quinolones</v>
      </c>
      <c r="BR243" t="str">
        <f t="shared" si="72"/>
        <v/>
      </c>
      <c r="BS243" t="str">
        <f t="shared" si="73"/>
        <v/>
      </c>
      <c r="BT243" s="76" t="str">
        <f t="shared" si="74"/>
        <v>Voie orale  hors prémélanges médicamenteux</v>
      </c>
      <c r="BU243" t="str">
        <f t="shared" si="75"/>
        <v/>
      </c>
      <c r="CN243">
        <v>242</v>
      </c>
    </row>
    <row r="244" spans="1:92" x14ac:dyDescent="0.3">
      <c r="A244" s="118" t="s">
        <v>3216</v>
      </c>
      <c r="B244" t="s">
        <v>3220</v>
      </c>
      <c r="C244" t="s">
        <v>3221</v>
      </c>
      <c r="D244" s="144" t="s">
        <v>764</v>
      </c>
      <c r="E244" t="s">
        <v>765</v>
      </c>
      <c r="F244" t="s">
        <v>3218</v>
      </c>
      <c r="G244" t="s">
        <v>956</v>
      </c>
      <c r="H244" t="s">
        <v>1173</v>
      </c>
      <c r="I244" t="s">
        <v>817</v>
      </c>
      <c r="J244" t="s">
        <v>2081</v>
      </c>
      <c r="K244" t="s">
        <v>2081</v>
      </c>
      <c r="L244" t="s">
        <v>2082</v>
      </c>
      <c r="M244" t="s">
        <v>208</v>
      </c>
      <c r="N244" t="s">
        <v>3135</v>
      </c>
      <c r="O244" t="s">
        <v>771</v>
      </c>
      <c r="P244" t="s">
        <v>772</v>
      </c>
      <c r="Q244" t="s">
        <v>3222</v>
      </c>
      <c r="R244">
        <v>0</v>
      </c>
      <c r="S244">
        <v>0</v>
      </c>
      <c r="T244">
        <v>0</v>
      </c>
      <c r="U244">
        <v>0</v>
      </c>
      <c r="V244">
        <v>0</v>
      </c>
      <c r="W244">
        <v>0</v>
      </c>
      <c r="X244">
        <v>0</v>
      </c>
      <c r="Y244">
        <v>0</v>
      </c>
      <c r="Z244">
        <v>16</v>
      </c>
      <c r="AA244">
        <v>10</v>
      </c>
      <c r="AB244">
        <v>0</v>
      </c>
      <c r="AC244">
        <v>0</v>
      </c>
      <c r="AD244">
        <v>0</v>
      </c>
      <c r="AE244">
        <v>0</v>
      </c>
      <c r="AF244">
        <v>0</v>
      </c>
      <c r="AG244">
        <v>0</v>
      </c>
      <c r="AH244">
        <v>0</v>
      </c>
      <c r="AI244">
        <v>0</v>
      </c>
      <c r="AY244" t="str">
        <f t="shared" si="57"/>
        <v>CEVAMULINE SOLUTION LAPIN</v>
      </c>
      <c r="AZ244" t="str">
        <f>IF(COUNTIF(AY:AY,AY244)=1,AY244,IF(AND(COUNTIF(AY:AY,AY244)&gt;1,COUNTIF(AZ$2:AZ243,AY244)&gt;=1),"",AY244))</f>
        <v/>
      </c>
      <c r="BA244" t="str">
        <f>IF(AZ244="","",COUNTIFS(AZ$3:AZ$1439,"&lt;"&amp;AZ244,AZ$3:AZ$1439,"&lt;&gt;0")+COUNTIF(AZ$3:AZ244,AZ244)-876)</f>
        <v/>
      </c>
      <c r="BC244">
        <v>242</v>
      </c>
      <c r="BD244" t="str">
        <f t="shared" si="68"/>
        <v>FORCYL 160 MG/ML SOLUTION INJECTABLE POUR BOVINS</v>
      </c>
      <c r="BE244" t="str">
        <f t="shared" si="58"/>
        <v>INJ</v>
      </c>
      <c r="BF244" t="str">
        <f t="shared" si="59"/>
        <v>FLUOROQUINOLONES</v>
      </c>
      <c r="BG244" t="str">
        <f t="shared" si="60"/>
        <v/>
      </c>
      <c r="BH244" t="str">
        <f t="shared" si="61"/>
        <v/>
      </c>
      <c r="BI244" t="str">
        <f t="shared" si="62"/>
        <v>marbofloxacin</v>
      </c>
      <c r="BJ244" t="str">
        <f t="shared" si="63"/>
        <v/>
      </c>
      <c r="BK244" t="str">
        <f t="shared" si="64"/>
        <v/>
      </c>
      <c r="BL244" t="str">
        <f t="shared" si="69"/>
        <v>Marbofloxacine</v>
      </c>
      <c r="BM244" t="str">
        <f t="shared" si="65"/>
        <v>Marbofloxacine</v>
      </c>
      <c r="BN244" t="str">
        <f t="shared" si="66"/>
        <v/>
      </c>
      <c r="BO244" t="str">
        <f t="shared" si="67"/>
        <v/>
      </c>
      <c r="BP244" t="str">
        <f t="shared" si="70"/>
        <v>Fluoroquinolones</v>
      </c>
      <c r="BQ244" t="str">
        <f t="shared" si="71"/>
        <v>Fluoroquinolones</v>
      </c>
      <c r="BR244" t="str">
        <f t="shared" si="72"/>
        <v/>
      </c>
      <c r="BS244" t="str">
        <f t="shared" si="73"/>
        <v/>
      </c>
      <c r="BT244" s="76" t="str">
        <f t="shared" si="74"/>
        <v>Voie parentérale</v>
      </c>
      <c r="BU244" t="str">
        <f t="shared" si="75"/>
        <v>x</v>
      </c>
      <c r="CN244">
        <v>243</v>
      </c>
    </row>
    <row r="245" spans="1:92" x14ac:dyDescent="0.3">
      <c r="A245" s="118" t="s">
        <v>3305</v>
      </c>
      <c r="B245" t="s">
        <v>3306</v>
      </c>
      <c r="C245" t="s">
        <v>3307</v>
      </c>
      <c r="D245" s="144" t="s">
        <v>869</v>
      </c>
      <c r="E245" t="s">
        <v>765</v>
      </c>
      <c r="F245" t="s">
        <v>268</v>
      </c>
      <c r="G245" t="s">
        <v>766</v>
      </c>
      <c r="H245" t="s">
        <v>1326</v>
      </c>
      <c r="I245" t="s">
        <v>766</v>
      </c>
      <c r="J245" t="s">
        <v>2165</v>
      </c>
      <c r="K245" t="s">
        <v>2165</v>
      </c>
      <c r="L245" t="s">
        <v>2432</v>
      </c>
      <c r="M245" t="s">
        <v>208</v>
      </c>
      <c r="N245" t="s">
        <v>780</v>
      </c>
      <c r="O245" t="s">
        <v>771</v>
      </c>
      <c r="P245" t="s">
        <v>772</v>
      </c>
      <c r="Q245" t="s">
        <v>772</v>
      </c>
      <c r="R245">
        <v>1</v>
      </c>
      <c r="S245">
        <v>5</v>
      </c>
      <c r="T245">
        <v>0</v>
      </c>
      <c r="U245">
        <v>0</v>
      </c>
      <c r="V245">
        <v>0</v>
      </c>
      <c r="W245">
        <v>0</v>
      </c>
      <c r="X245">
        <v>0</v>
      </c>
      <c r="Y245">
        <v>0</v>
      </c>
      <c r="Z245">
        <v>0</v>
      </c>
      <c r="AA245">
        <v>0</v>
      </c>
      <c r="AB245">
        <v>0</v>
      </c>
      <c r="AC245">
        <v>0</v>
      </c>
      <c r="AD245">
        <v>3</v>
      </c>
      <c r="AE245">
        <v>3</v>
      </c>
      <c r="AF245">
        <v>0</v>
      </c>
      <c r="AG245">
        <v>0</v>
      </c>
      <c r="AH245">
        <v>0</v>
      </c>
      <c r="AI245">
        <v>0</v>
      </c>
      <c r="AY245" t="str">
        <f t="shared" si="57"/>
        <v>CEVAXEL 50 MG/ML</v>
      </c>
      <c r="AZ245" t="str">
        <f>IF(COUNTIF(AY:AY,AY245)=1,AY245,IF(AND(COUNTIF(AY:AY,AY245)&gt;1,COUNTIF(AZ$2:AZ244,AY245)&gt;=1),"",AY245))</f>
        <v>CEVAXEL 50 MG/ML</v>
      </c>
      <c r="BA245">
        <f>IF(AZ245="","",COUNTIFS(AZ$3:AZ$1439,"&lt;"&amp;AZ245,AZ$3:AZ$1439,"&lt;&gt;0")+COUNTIF(AZ$3:AZ245,AZ245)-876)</f>
        <v>95</v>
      </c>
      <c r="BC245">
        <v>243</v>
      </c>
      <c r="BD245" t="str">
        <f t="shared" si="68"/>
        <v>FORCYL SWINE 160 MG/ML SOLUTION INJECTABLE POUR PORCINS</v>
      </c>
      <c r="BE245" t="str">
        <f t="shared" si="58"/>
        <v>INJ</v>
      </c>
      <c r="BF245" t="str">
        <f t="shared" si="59"/>
        <v>FLUOROQUINOLONES</v>
      </c>
      <c r="BG245" t="str">
        <f t="shared" si="60"/>
        <v/>
      </c>
      <c r="BH245" t="str">
        <f t="shared" si="61"/>
        <v/>
      </c>
      <c r="BI245" t="str">
        <f t="shared" si="62"/>
        <v>marbofloxacin</v>
      </c>
      <c r="BJ245" t="str">
        <f t="shared" si="63"/>
        <v/>
      </c>
      <c r="BK245" t="str">
        <f t="shared" si="64"/>
        <v/>
      </c>
      <c r="BL245" t="str">
        <f t="shared" si="69"/>
        <v>Marbofloxacine</v>
      </c>
      <c r="BM245" t="str">
        <f t="shared" si="65"/>
        <v>Marbofloxacine</v>
      </c>
      <c r="BN245" t="str">
        <f t="shared" si="66"/>
        <v/>
      </c>
      <c r="BO245" t="str">
        <f t="shared" si="67"/>
        <v/>
      </c>
      <c r="BP245" t="str">
        <f t="shared" si="70"/>
        <v>Fluoroquinolones</v>
      </c>
      <c r="BQ245" t="str">
        <f t="shared" si="71"/>
        <v>Fluoroquinolones</v>
      </c>
      <c r="BR245" t="str">
        <f t="shared" si="72"/>
        <v/>
      </c>
      <c r="BS245" t="str">
        <f t="shared" si="73"/>
        <v/>
      </c>
      <c r="BT245" s="76" t="str">
        <f t="shared" si="74"/>
        <v>Voie parentérale</v>
      </c>
      <c r="BU245" t="str">
        <f t="shared" si="75"/>
        <v>x</v>
      </c>
      <c r="CN245">
        <v>244</v>
      </c>
    </row>
    <row r="246" spans="1:92" x14ac:dyDescent="0.3">
      <c r="A246" s="118" t="s">
        <v>3305</v>
      </c>
      <c r="B246" t="s">
        <v>3308</v>
      </c>
      <c r="C246" t="s">
        <v>3309</v>
      </c>
      <c r="D246" s="144" t="s">
        <v>940</v>
      </c>
      <c r="E246" t="s">
        <v>765</v>
      </c>
      <c r="F246" t="s">
        <v>268</v>
      </c>
      <c r="G246" t="s">
        <v>766</v>
      </c>
      <c r="H246" t="s">
        <v>1326</v>
      </c>
      <c r="I246" t="s">
        <v>766</v>
      </c>
      <c r="J246" t="s">
        <v>2165</v>
      </c>
      <c r="K246" t="s">
        <v>2165</v>
      </c>
      <c r="L246" t="s">
        <v>2432</v>
      </c>
      <c r="M246" t="s">
        <v>208</v>
      </c>
      <c r="N246" t="s">
        <v>780</v>
      </c>
      <c r="O246" t="s">
        <v>771</v>
      </c>
      <c r="P246" t="s">
        <v>772</v>
      </c>
      <c r="Q246" t="s">
        <v>934</v>
      </c>
      <c r="R246">
        <v>1</v>
      </c>
      <c r="S246">
        <v>5</v>
      </c>
      <c r="T246">
        <v>0</v>
      </c>
      <c r="U246">
        <v>0</v>
      </c>
      <c r="V246">
        <v>0</v>
      </c>
      <c r="W246">
        <v>0</v>
      </c>
      <c r="X246">
        <v>0</v>
      </c>
      <c r="Y246">
        <v>0</v>
      </c>
      <c r="Z246">
        <v>0</v>
      </c>
      <c r="AA246">
        <v>0</v>
      </c>
      <c r="AB246">
        <v>0</v>
      </c>
      <c r="AC246">
        <v>0</v>
      </c>
      <c r="AD246">
        <v>3</v>
      </c>
      <c r="AE246">
        <v>3</v>
      </c>
      <c r="AF246">
        <v>0</v>
      </c>
      <c r="AG246">
        <v>0</v>
      </c>
      <c r="AH246">
        <v>0</v>
      </c>
      <c r="AI246">
        <v>0</v>
      </c>
      <c r="AY246" t="str">
        <f t="shared" si="57"/>
        <v>CEVAXEL 50 MG/ML</v>
      </c>
      <c r="AZ246" t="str">
        <f>IF(COUNTIF(AY:AY,AY246)=1,AY246,IF(AND(COUNTIF(AY:AY,AY246)&gt;1,COUNTIF(AZ$2:AZ245,AY246)&gt;=1),"",AY246))</f>
        <v/>
      </c>
      <c r="BA246" t="str">
        <f>IF(AZ246="","",COUNTIFS(AZ$3:AZ$1439,"&lt;"&amp;AZ246,AZ$3:AZ$1439,"&lt;&gt;0")+COUNTIF(AZ$3:AZ246,AZ246)-876)</f>
        <v/>
      </c>
      <c r="BC246">
        <v>244</v>
      </c>
      <c r="BD246" t="str">
        <f t="shared" si="68"/>
        <v>FORESPIX 100 MG/ML, SOLUTION INJECTABLE POUR BOVINS, PORCINS ET OVINS</v>
      </c>
      <c r="BE246" t="str">
        <f t="shared" si="58"/>
        <v>INJ</v>
      </c>
      <c r="BF246" t="str">
        <f t="shared" si="59"/>
        <v>MACROLIDES</v>
      </c>
      <c r="BG246" t="str">
        <f t="shared" si="60"/>
        <v/>
      </c>
      <c r="BH246" t="str">
        <f t="shared" si="61"/>
        <v/>
      </c>
      <c r="BI246" t="str">
        <f t="shared" si="62"/>
        <v>tulathromycin</v>
      </c>
      <c r="BJ246" t="str">
        <f t="shared" si="63"/>
        <v/>
      </c>
      <c r="BK246" t="str">
        <f t="shared" si="64"/>
        <v/>
      </c>
      <c r="BL246" t="str">
        <f t="shared" si="69"/>
        <v>Tulathromycine</v>
      </c>
      <c r="BM246" t="str">
        <f t="shared" si="65"/>
        <v>Tulathromycine</v>
      </c>
      <c r="BN246" t="str">
        <f t="shared" si="66"/>
        <v/>
      </c>
      <c r="BO246" t="str">
        <f t="shared" si="67"/>
        <v/>
      </c>
      <c r="BP246" t="str">
        <f t="shared" si="70"/>
        <v>Macrolides</v>
      </c>
      <c r="BQ246" t="str">
        <f t="shared" si="71"/>
        <v>Macrolides</v>
      </c>
      <c r="BR246" t="str">
        <f t="shared" si="72"/>
        <v/>
      </c>
      <c r="BS246" t="str">
        <f t="shared" si="73"/>
        <v/>
      </c>
      <c r="BT246" s="76" t="str">
        <f t="shared" si="74"/>
        <v>Voie parentérale</v>
      </c>
      <c r="BU246" t="str">
        <f t="shared" si="75"/>
        <v/>
      </c>
      <c r="CN246">
        <v>245</v>
      </c>
    </row>
    <row r="247" spans="1:92" x14ac:dyDescent="0.3">
      <c r="A247" s="118" t="s">
        <v>3626</v>
      </c>
      <c r="B247" t="s">
        <v>3627</v>
      </c>
      <c r="C247" t="s">
        <v>792</v>
      </c>
      <c r="D247" s="144" t="s">
        <v>764</v>
      </c>
      <c r="E247" t="s">
        <v>765</v>
      </c>
      <c r="F247" t="s">
        <v>269</v>
      </c>
      <c r="G247" t="s">
        <v>766</v>
      </c>
      <c r="H247" t="s">
        <v>1326</v>
      </c>
      <c r="I247" t="s">
        <v>766</v>
      </c>
      <c r="J247" t="s">
        <v>2165</v>
      </c>
      <c r="K247" t="s">
        <v>2165</v>
      </c>
      <c r="L247" t="s">
        <v>2432</v>
      </c>
      <c r="M247" t="s">
        <v>208</v>
      </c>
      <c r="N247" t="s">
        <v>780</v>
      </c>
      <c r="O247" t="s">
        <v>771</v>
      </c>
      <c r="P247" t="s">
        <v>772</v>
      </c>
      <c r="Q247" t="s">
        <v>885</v>
      </c>
      <c r="R247">
        <v>1</v>
      </c>
      <c r="S247">
        <v>5</v>
      </c>
      <c r="T247">
        <v>0</v>
      </c>
      <c r="U247">
        <v>0</v>
      </c>
      <c r="V247">
        <v>0</v>
      </c>
      <c r="W247">
        <v>0</v>
      </c>
      <c r="X247">
        <v>0</v>
      </c>
      <c r="Y247">
        <v>0</v>
      </c>
      <c r="Z247">
        <v>0</v>
      </c>
      <c r="AA247">
        <v>0</v>
      </c>
      <c r="AB247">
        <v>0</v>
      </c>
      <c r="AC247">
        <v>0</v>
      </c>
      <c r="AD247">
        <v>3</v>
      </c>
      <c r="AE247">
        <v>3</v>
      </c>
      <c r="AF247">
        <v>0</v>
      </c>
      <c r="AG247">
        <v>0</v>
      </c>
      <c r="AH247">
        <v>0</v>
      </c>
      <c r="AI247">
        <v>0</v>
      </c>
      <c r="AY247" t="str">
        <f t="shared" si="57"/>
        <v>CEVAXEL-RTU 50 MG/ML SUSPENSION INJECTABLE POUR BOVINS ET PORCINS</v>
      </c>
      <c r="AZ247" t="str">
        <f>IF(COUNTIF(AY:AY,AY247)=1,AY247,IF(AND(COUNTIF(AY:AY,AY247)&gt;1,COUNTIF(AZ$2:AZ246,AY247)&gt;=1),"",AY247))</f>
        <v>CEVAXEL-RTU 50 MG/ML SUSPENSION INJECTABLE POUR BOVINS ET PORCINS</v>
      </c>
      <c r="BA247">
        <f>IF(AZ247="","",COUNTIFS(AZ$3:AZ$1439,"&lt;"&amp;AZ247,AZ$3:AZ$1439,"&lt;&gt;0")+COUNTIF(AZ$3:AZ247,AZ247)-876)</f>
        <v>96</v>
      </c>
      <c r="BC247">
        <v>245</v>
      </c>
      <c r="BD247" t="str">
        <f t="shared" si="68"/>
        <v>FORTICINE SOLUTION</v>
      </c>
      <c r="BE247" t="str">
        <f t="shared" si="58"/>
        <v>INJ</v>
      </c>
      <c r="BF247" t="str">
        <f t="shared" si="59"/>
        <v>AMINOGLYCOSIDES</v>
      </c>
      <c r="BG247" t="str">
        <f t="shared" si="60"/>
        <v/>
      </c>
      <c r="BH247" t="str">
        <f t="shared" si="61"/>
        <v/>
      </c>
      <c r="BI247" t="str">
        <f t="shared" si="62"/>
        <v>gentamicin</v>
      </c>
      <c r="BJ247" t="str">
        <f t="shared" si="63"/>
        <v/>
      </c>
      <c r="BK247" t="str">
        <f t="shared" si="64"/>
        <v/>
      </c>
      <c r="BL247" t="str">
        <f t="shared" si="69"/>
        <v>Gentamicine</v>
      </c>
      <c r="BM247" t="str">
        <f t="shared" si="65"/>
        <v>Gentamicine</v>
      </c>
      <c r="BN247" t="str">
        <f t="shared" si="66"/>
        <v/>
      </c>
      <c r="BO247" t="str">
        <f t="shared" si="67"/>
        <v/>
      </c>
      <c r="BP247" t="str">
        <f t="shared" si="70"/>
        <v>Aminoglycosides</v>
      </c>
      <c r="BQ247" t="str">
        <f t="shared" si="71"/>
        <v>Aminoglycosides</v>
      </c>
      <c r="BR247" t="str">
        <f t="shared" si="72"/>
        <v/>
      </c>
      <c r="BS247" t="str">
        <f t="shared" si="73"/>
        <v/>
      </c>
      <c r="BT247" s="76" t="str">
        <f t="shared" si="74"/>
        <v>Voie parentérale</v>
      </c>
      <c r="BU247" t="str">
        <f t="shared" si="75"/>
        <v/>
      </c>
      <c r="CN247">
        <v>246</v>
      </c>
    </row>
    <row r="248" spans="1:92" x14ac:dyDescent="0.3">
      <c r="A248" s="118" t="s">
        <v>3626</v>
      </c>
      <c r="B248" t="s">
        <v>3628</v>
      </c>
      <c r="C248" t="s">
        <v>1238</v>
      </c>
      <c r="D248" s="144" t="s">
        <v>780</v>
      </c>
      <c r="E248" t="s">
        <v>765</v>
      </c>
      <c r="F248" t="s">
        <v>269</v>
      </c>
      <c r="G248" t="s">
        <v>766</v>
      </c>
      <c r="H248" t="s">
        <v>1326</v>
      </c>
      <c r="I248" t="s">
        <v>766</v>
      </c>
      <c r="J248" t="s">
        <v>2165</v>
      </c>
      <c r="K248" t="s">
        <v>2165</v>
      </c>
      <c r="L248" t="s">
        <v>2432</v>
      </c>
      <c r="M248" t="s">
        <v>208</v>
      </c>
      <c r="N248" t="s">
        <v>780</v>
      </c>
      <c r="O248" t="s">
        <v>771</v>
      </c>
      <c r="P248" t="s">
        <v>772</v>
      </c>
      <c r="Q248" t="s">
        <v>1126</v>
      </c>
      <c r="R248">
        <v>1</v>
      </c>
      <c r="S248">
        <v>5</v>
      </c>
      <c r="T248">
        <v>0</v>
      </c>
      <c r="U248">
        <v>0</v>
      </c>
      <c r="V248">
        <v>0</v>
      </c>
      <c r="W248">
        <v>0</v>
      </c>
      <c r="X248">
        <v>0</v>
      </c>
      <c r="Y248">
        <v>0</v>
      </c>
      <c r="Z248">
        <v>0</v>
      </c>
      <c r="AA248">
        <v>0</v>
      </c>
      <c r="AB248">
        <v>0</v>
      </c>
      <c r="AC248">
        <v>0</v>
      </c>
      <c r="AD248">
        <v>3</v>
      </c>
      <c r="AE248">
        <v>3</v>
      </c>
      <c r="AF248">
        <v>0</v>
      </c>
      <c r="AG248">
        <v>0</v>
      </c>
      <c r="AH248">
        <v>0</v>
      </c>
      <c r="AI248">
        <v>0</v>
      </c>
      <c r="AY248" t="str">
        <f t="shared" si="57"/>
        <v>CEVAXEL-RTU 50 MG/ML SUSPENSION INJECTABLE POUR BOVINS ET PORCINS</v>
      </c>
      <c r="AZ248" t="str">
        <f>IF(COUNTIF(AY:AY,AY248)=1,AY248,IF(AND(COUNTIF(AY:AY,AY248)&gt;1,COUNTIF(AZ$2:AZ247,AY248)&gt;=1),"",AY248))</f>
        <v/>
      </c>
      <c r="BA248" t="str">
        <f>IF(AZ248="","",COUNTIFS(AZ$3:AZ$1439,"&lt;"&amp;AZ248,AZ$3:AZ$1439,"&lt;&gt;0")+COUNTIF(AZ$3:AZ248,AZ248)-876)</f>
        <v/>
      </c>
      <c r="BC248">
        <v>246</v>
      </c>
      <c r="BD248" t="str">
        <f t="shared" si="68"/>
        <v>FRAMOX 50</v>
      </c>
      <c r="BE248" t="str">
        <f t="shared" si="58"/>
        <v>ORAL</v>
      </c>
      <c r="BF248" t="str">
        <f t="shared" si="59"/>
        <v>PENICILLINES</v>
      </c>
      <c r="BG248" t="str">
        <f t="shared" si="60"/>
        <v/>
      </c>
      <c r="BH248" t="str">
        <f t="shared" si="61"/>
        <v/>
      </c>
      <c r="BI248" t="str">
        <f t="shared" si="62"/>
        <v>amoxicillin</v>
      </c>
      <c r="BJ248" t="str">
        <f t="shared" si="63"/>
        <v/>
      </c>
      <c r="BK248" t="str">
        <f t="shared" si="64"/>
        <v/>
      </c>
      <c r="BL248" t="str">
        <f t="shared" si="69"/>
        <v>Amoxicilline</v>
      </c>
      <c r="BM248" t="str">
        <f t="shared" si="65"/>
        <v>Amoxicilline</v>
      </c>
      <c r="BN248" t="str">
        <f t="shared" si="66"/>
        <v/>
      </c>
      <c r="BO248" t="str">
        <f t="shared" si="67"/>
        <v/>
      </c>
      <c r="BP248" t="str">
        <f t="shared" si="70"/>
        <v>Penicillines</v>
      </c>
      <c r="BQ248" t="str">
        <f t="shared" si="71"/>
        <v>Penicillines</v>
      </c>
      <c r="BR248" t="str">
        <f t="shared" si="72"/>
        <v/>
      </c>
      <c r="BS248" t="str">
        <f t="shared" si="73"/>
        <v/>
      </c>
      <c r="BT248" s="76" t="str">
        <f t="shared" si="74"/>
        <v>Voie orale  hors prémélanges médicamenteux</v>
      </c>
      <c r="BU248" t="str">
        <f t="shared" si="75"/>
        <v/>
      </c>
      <c r="CN248">
        <v>247</v>
      </c>
    </row>
    <row r="249" spans="1:92" x14ac:dyDescent="0.3">
      <c r="A249" s="118" t="s">
        <v>3482</v>
      </c>
      <c r="B249" t="s">
        <v>3483</v>
      </c>
      <c r="C249" t="s">
        <v>1474</v>
      </c>
      <c r="D249" s="144" t="s">
        <v>776</v>
      </c>
      <c r="E249" t="s">
        <v>765</v>
      </c>
      <c r="F249" t="s">
        <v>270</v>
      </c>
      <c r="G249" t="s">
        <v>766</v>
      </c>
      <c r="H249" t="s">
        <v>1326</v>
      </c>
      <c r="I249" t="s">
        <v>766</v>
      </c>
      <c r="J249" t="s">
        <v>2366</v>
      </c>
      <c r="K249" t="s">
        <v>2366</v>
      </c>
      <c r="L249" t="s">
        <v>2367</v>
      </c>
      <c r="M249" t="s">
        <v>208</v>
      </c>
      <c r="N249" t="s">
        <v>764</v>
      </c>
      <c r="O249" t="s">
        <v>771</v>
      </c>
      <c r="P249" t="s">
        <v>772</v>
      </c>
      <c r="Q249" t="s">
        <v>855</v>
      </c>
      <c r="R249">
        <v>5</v>
      </c>
      <c r="S249">
        <v>5</v>
      </c>
      <c r="T249">
        <v>0</v>
      </c>
      <c r="U249">
        <v>0</v>
      </c>
      <c r="V249">
        <v>0</v>
      </c>
      <c r="W249">
        <v>0</v>
      </c>
      <c r="X249">
        <v>0</v>
      </c>
      <c r="Y249">
        <v>0</v>
      </c>
      <c r="Z249">
        <v>0</v>
      </c>
      <c r="AA249">
        <v>0</v>
      </c>
      <c r="AB249">
        <v>0</v>
      </c>
      <c r="AC249">
        <v>0</v>
      </c>
      <c r="AD249">
        <v>2.5</v>
      </c>
      <c r="AE249">
        <v>3</v>
      </c>
      <c r="AF249">
        <v>0</v>
      </c>
      <c r="AG249">
        <v>0</v>
      </c>
      <c r="AH249">
        <v>0</v>
      </c>
      <c r="AI249">
        <v>0</v>
      </c>
      <c r="AY249" t="str">
        <f t="shared" si="57"/>
        <v>CHANENRO 100 MG/ML SOLUTION INJECTABLE POUR BOVINS ET PORCINS</v>
      </c>
      <c r="AZ249" t="str">
        <f>IF(COUNTIF(AY:AY,AY249)=1,AY249,IF(AND(COUNTIF(AY:AY,AY249)&gt;1,COUNTIF(AZ$2:AZ248,AY249)&gt;=1),"",AY249))</f>
        <v>CHANENRO 100 MG/ML SOLUTION INJECTABLE POUR BOVINS ET PORCINS</v>
      </c>
      <c r="BA249">
        <f>IF(AZ249="","",COUNTIFS(AZ$3:AZ$1439,"&lt;"&amp;AZ249,AZ$3:AZ$1439,"&lt;&gt;0")+COUNTIF(AZ$3:AZ249,AZ249)-876)</f>
        <v>97</v>
      </c>
      <c r="BC249">
        <v>247</v>
      </c>
      <c r="BD249" t="str">
        <f t="shared" si="68"/>
        <v>G.4</v>
      </c>
      <c r="BE249" t="str">
        <f t="shared" si="58"/>
        <v>INJ</v>
      </c>
      <c r="BF249" t="str">
        <f t="shared" si="59"/>
        <v>AMINOGLYCOSIDES</v>
      </c>
      <c r="BG249" t="str">
        <f t="shared" si="60"/>
        <v/>
      </c>
      <c r="BH249" t="str">
        <f t="shared" si="61"/>
        <v/>
      </c>
      <c r="BI249" t="str">
        <f t="shared" si="62"/>
        <v>gentamicin</v>
      </c>
      <c r="BJ249" t="str">
        <f t="shared" si="63"/>
        <v/>
      </c>
      <c r="BK249" t="str">
        <f t="shared" si="64"/>
        <v/>
      </c>
      <c r="BL249" t="str">
        <f t="shared" si="69"/>
        <v>Gentamicine</v>
      </c>
      <c r="BM249" t="str">
        <f t="shared" si="65"/>
        <v>Gentamicine</v>
      </c>
      <c r="BN249" t="str">
        <f t="shared" si="66"/>
        <v/>
      </c>
      <c r="BO249" t="str">
        <f t="shared" si="67"/>
        <v/>
      </c>
      <c r="BP249" t="str">
        <f t="shared" si="70"/>
        <v>Aminoglycosides</v>
      </c>
      <c r="BQ249" t="str">
        <f t="shared" si="71"/>
        <v>Aminoglycosides</v>
      </c>
      <c r="BR249" t="str">
        <f t="shared" si="72"/>
        <v/>
      </c>
      <c r="BS249" t="str">
        <f t="shared" si="73"/>
        <v/>
      </c>
      <c r="BT249" s="76" t="str">
        <f t="shared" si="74"/>
        <v>Voie parentérale</v>
      </c>
      <c r="BU249" t="str">
        <f t="shared" si="75"/>
        <v/>
      </c>
      <c r="CN249">
        <v>248</v>
      </c>
    </row>
    <row r="250" spans="1:92" x14ac:dyDescent="0.3">
      <c r="A250" s="118" t="s">
        <v>3481</v>
      </c>
      <c r="B250" t="s">
        <v>208</v>
      </c>
      <c r="C250" t="s">
        <v>1483</v>
      </c>
      <c r="D250" s="144" t="s">
        <v>764</v>
      </c>
      <c r="E250" t="s">
        <v>765</v>
      </c>
      <c r="F250" t="s">
        <v>271</v>
      </c>
      <c r="G250" t="s">
        <v>766</v>
      </c>
      <c r="H250" t="s">
        <v>1342</v>
      </c>
      <c r="I250" t="s">
        <v>766</v>
      </c>
      <c r="J250" t="s">
        <v>2366</v>
      </c>
      <c r="K250" t="s">
        <v>2366</v>
      </c>
      <c r="L250" t="s">
        <v>2367</v>
      </c>
      <c r="M250" t="s">
        <v>208</v>
      </c>
      <c r="N250" t="s">
        <v>780</v>
      </c>
      <c r="O250" t="s">
        <v>771</v>
      </c>
      <c r="P250" t="s">
        <v>772</v>
      </c>
      <c r="Q250" t="s">
        <v>885</v>
      </c>
      <c r="R250">
        <v>5</v>
      </c>
      <c r="S250">
        <v>5</v>
      </c>
      <c r="T250">
        <v>5</v>
      </c>
      <c r="U250">
        <v>5</v>
      </c>
      <c r="V250">
        <v>0</v>
      </c>
      <c r="W250">
        <v>0</v>
      </c>
      <c r="X250">
        <v>0</v>
      </c>
      <c r="Y250">
        <v>0</v>
      </c>
      <c r="Z250">
        <v>0</v>
      </c>
      <c r="AA250">
        <v>0</v>
      </c>
      <c r="AB250">
        <v>0</v>
      </c>
      <c r="AC250">
        <v>0</v>
      </c>
      <c r="AD250">
        <v>2.5</v>
      </c>
      <c r="AE250">
        <v>3</v>
      </c>
      <c r="AF250">
        <v>0</v>
      </c>
      <c r="AG250">
        <v>0</v>
      </c>
      <c r="AH250">
        <v>0</v>
      </c>
      <c r="AI250">
        <v>0</v>
      </c>
      <c r="AY250" t="str">
        <f t="shared" si="57"/>
        <v>CHANENRO 50 MG/ML SOLUTION INJECTABLE POUR BOVINS, PORCINS, CHIENS ET CHATS</v>
      </c>
      <c r="AZ250" t="str">
        <f>IF(COUNTIF(AY:AY,AY250)=1,AY250,IF(AND(COUNTIF(AY:AY,AY250)&gt;1,COUNTIF(AZ$2:AZ249,AY250)&gt;=1),"",AY250))</f>
        <v>CHANENRO 50 MG/ML SOLUTION INJECTABLE POUR BOVINS, PORCINS, CHIENS ET CHATS</v>
      </c>
      <c r="BA250">
        <f>IF(AZ250="","",COUNTIFS(AZ$3:AZ$1439,"&lt;"&amp;AZ250,AZ$3:AZ$1439,"&lt;&gt;0")+COUNTIF(AZ$3:AZ250,AZ250)-876)</f>
        <v>98</v>
      </c>
      <c r="BC250">
        <v>248</v>
      </c>
      <c r="BD250" t="str">
        <f t="shared" si="68"/>
        <v>GABBROVET 140 MG/ML SOLUTION POUR ADMINISTRATION DANS L’EAU DE BOISSON LE LAIT OU L’ALIMENT D’ALLAITEMENT POUR BOVINS PRE-RUMINANTS ET PORCS</v>
      </c>
      <c r="BE250" t="str">
        <f t="shared" si="58"/>
        <v>ORAL</v>
      </c>
      <c r="BF250" t="str">
        <f t="shared" si="59"/>
        <v>AMINOGLYCOSIDES</v>
      </c>
      <c r="BG250" t="str">
        <f t="shared" si="60"/>
        <v/>
      </c>
      <c r="BH250" t="str">
        <f t="shared" si="61"/>
        <v/>
      </c>
      <c r="BI250" t="str">
        <f t="shared" si="62"/>
        <v>paromomycin</v>
      </c>
      <c r="BJ250" t="str">
        <f t="shared" si="63"/>
        <v/>
      </c>
      <c r="BK250" t="str">
        <f t="shared" si="64"/>
        <v/>
      </c>
      <c r="BL250" t="str">
        <f t="shared" si="69"/>
        <v/>
      </c>
      <c r="BM250" t="str">
        <f t="shared" si="65"/>
        <v/>
      </c>
      <c r="BN250" t="str">
        <f t="shared" si="66"/>
        <v/>
      </c>
      <c r="BO250" t="str">
        <f t="shared" si="67"/>
        <v/>
      </c>
      <c r="BP250" t="str">
        <f t="shared" si="70"/>
        <v>Aminoglycosides</v>
      </c>
      <c r="BQ250" t="str">
        <f t="shared" si="71"/>
        <v>Aminoglycosides</v>
      </c>
      <c r="BR250" t="str">
        <f t="shared" si="72"/>
        <v/>
      </c>
      <c r="BS250" t="str">
        <f t="shared" si="73"/>
        <v/>
      </c>
      <c r="BT250" s="76" t="str">
        <f t="shared" si="74"/>
        <v>Voie orale  hors prémélanges médicamenteux</v>
      </c>
      <c r="BU250" t="str">
        <f t="shared" si="75"/>
        <v/>
      </c>
      <c r="CN250">
        <v>249</v>
      </c>
    </row>
    <row r="251" spans="1:92" x14ac:dyDescent="0.3">
      <c r="A251" s="118" t="s">
        <v>2031</v>
      </c>
      <c r="B251" t="s">
        <v>2032</v>
      </c>
      <c r="C251" t="s">
        <v>828</v>
      </c>
      <c r="D251" s="144" t="s">
        <v>829</v>
      </c>
      <c r="E251" t="s">
        <v>830</v>
      </c>
      <c r="F251" t="s">
        <v>272</v>
      </c>
      <c r="G251" t="s">
        <v>831</v>
      </c>
      <c r="H251" t="s">
        <v>1076</v>
      </c>
      <c r="I251" t="s">
        <v>817</v>
      </c>
      <c r="J251" t="s">
        <v>1067</v>
      </c>
      <c r="K251" t="s">
        <v>768</v>
      </c>
      <c r="L251" t="s">
        <v>1087</v>
      </c>
      <c r="M251" t="s">
        <v>208</v>
      </c>
      <c r="N251" t="s">
        <v>780</v>
      </c>
      <c r="O251" t="s">
        <v>894</v>
      </c>
      <c r="P251" t="s">
        <v>772</v>
      </c>
      <c r="Q251" t="s">
        <v>780</v>
      </c>
      <c r="R251">
        <v>20</v>
      </c>
      <c r="S251">
        <v>5</v>
      </c>
      <c r="T251">
        <v>0</v>
      </c>
      <c r="U251">
        <v>0</v>
      </c>
      <c r="V251">
        <v>0</v>
      </c>
      <c r="W251">
        <v>0</v>
      </c>
      <c r="X251">
        <v>0</v>
      </c>
      <c r="Y251">
        <v>0</v>
      </c>
      <c r="Z251">
        <v>0</v>
      </c>
      <c r="AA251">
        <v>0</v>
      </c>
      <c r="AB251">
        <v>20</v>
      </c>
      <c r="AC251">
        <v>5</v>
      </c>
      <c r="AD251">
        <v>20</v>
      </c>
      <c r="AE251">
        <v>5</v>
      </c>
      <c r="AF251">
        <v>0</v>
      </c>
      <c r="AG251">
        <v>0</v>
      </c>
      <c r="AH251">
        <v>0</v>
      </c>
      <c r="AI251">
        <v>0</v>
      </c>
      <c r="AJ251" t="s">
        <v>862</v>
      </c>
      <c r="AK251" t="s">
        <v>1409</v>
      </c>
      <c r="AL251" t="s">
        <v>208</v>
      </c>
      <c r="AM251" t="s">
        <v>780</v>
      </c>
      <c r="AN251" t="s">
        <v>894</v>
      </c>
      <c r="AO251" t="s">
        <v>772</v>
      </c>
      <c r="AP251" t="s">
        <v>780</v>
      </c>
      <c r="AY251" t="str">
        <f t="shared" si="57"/>
        <v>CHLORIDAZINE S</v>
      </c>
      <c r="AZ251" t="str">
        <f>IF(COUNTIF(AY:AY,AY251)=1,AY251,IF(AND(COUNTIF(AY:AY,AY251)&gt;1,COUNTIF(AZ$2:AZ250,AY251)&gt;=1),"",AY251))</f>
        <v>CHLORIDAZINE S</v>
      </c>
      <c r="BA251">
        <f>IF(AZ251="","",COUNTIFS(AZ$3:AZ$1439,"&lt;"&amp;AZ251,AZ$3:AZ$1439,"&lt;&gt;0")+COUNTIF(AZ$3:AZ251,AZ251)-876)</f>
        <v>99</v>
      </c>
      <c r="BC251">
        <v>249</v>
      </c>
      <c r="BD251" t="str">
        <f t="shared" si="68"/>
        <v>GENTAMAM</v>
      </c>
      <c r="BE251" t="str">
        <f t="shared" si="58"/>
        <v>INTRAMAM</v>
      </c>
      <c r="BF251" t="str">
        <f t="shared" si="59"/>
        <v>PENICILLINES</v>
      </c>
      <c r="BG251" t="str">
        <f t="shared" si="60"/>
        <v>AMINOGLYCOSIDES</v>
      </c>
      <c r="BH251" t="str">
        <f t="shared" si="61"/>
        <v/>
      </c>
      <c r="BI251" t="str">
        <f t="shared" si="62"/>
        <v>cloxacillin</v>
      </c>
      <c r="BJ251" t="str">
        <f t="shared" si="63"/>
        <v>gentamicin</v>
      </c>
      <c r="BK251" t="str">
        <f t="shared" si="64"/>
        <v/>
      </c>
      <c r="BL251" t="str">
        <f t="shared" si="69"/>
        <v>Cloxacilline + Gentamicine</v>
      </c>
      <c r="BM251" t="str">
        <f t="shared" si="65"/>
        <v>Cloxacilline</v>
      </c>
      <c r="BN251" t="str">
        <f t="shared" si="66"/>
        <v>Gentamicine</v>
      </c>
      <c r="BO251" t="str">
        <f t="shared" si="67"/>
        <v/>
      </c>
      <c r="BP251" t="str">
        <f t="shared" si="70"/>
        <v>Penicillines + Aminoglycosides</v>
      </c>
      <c r="BQ251" t="str">
        <f t="shared" si="71"/>
        <v>Penicillines</v>
      </c>
      <c r="BR251" t="str">
        <f t="shared" si="72"/>
        <v>Aminoglycosides</v>
      </c>
      <c r="BS251" t="str">
        <f t="shared" si="73"/>
        <v/>
      </c>
      <c r="BT251" s="76" t="str">
        <f t="shared" si="74"/>
        <v>Voie intramammaire</v>
      </c>
      <c r="BU251" t="str">
        <f t="shared" si="75"/>
        <v/>
      </c>
      <c r="CN251">
        <v>250</v>
      </c>
    </row>
    <row r="252" spans="1:92" x14ac:dyDescent="0.3">
      <c r="A252" s="118" t="s">
        <v>2031</v>
      </c>
      <c r="B252" t="s">
        <v>2033</v>
      </c>
      <c r="C252" t="s">
        <v>1313</v>
      </c>
      <c r="D252" s="144" t="s">
        <v>955</v>
      </c>
      <c r="E252" t="s">
        <v>830</v>
      </c>
      <c r="F252" t="s">
        <v>272</v>
      </c>
      <c r="G252" t="s">
        <v>831</v>
      </c>
      <c r="H252" t="s">
        <v>1076</v>
      </c>
      <c r="I252" t="s">
        <v>817</v>
      </c>
      <c r="J252" t="s">
        <v>1067</v>
      </c>
      <c r="K252" t="s">
        <v>768</v>
      </c>
      <c r="L252" t="s">
        <v>1087</v>
      </c>
      <c r="M252" t="s">
        <v>208</v>
      </c>
      <c r="N252" t="s">
        <v>780</v>
      </c>
      <c r="O252" t="s">
        <v>894</v>
      </c>
      <c r="P252" t="s">
        <v>772</v>
      </c>
      <c r="Q252" t="s">
        <v>776</v>
      </c>
      <c r="R252">
        <v>20</v>
      </c>
      <c r="S252">
        <v>5</v>
      </c>
      <c r="T252">
        <v>0</v>
      </c>
      <c r="U252">
        <v>0</v>
      </c>
      <c r="V252">
        <v>0</v>
      </c>
      <c r="W252">
        <v>0</v>
      </c>
      <c r="X252">
        <v>0</v>
      </c>
      <c r="Y252">
        <v>0</v>
      </c>
      <c r="Z252">
        <v>0</v>
      </c>
      <c r="AA252">
        <v>0</v>
      </c>
      <c r="AB252">
        <v>20</v>
      </c>
      <c r="AC252">
        <v>5</v>
      </c>
      <c r="AD252">
        <v>20</v>
      </c>
      <c r="AE252">
        <v>5</v>
      </c>
      <c r="AF252">
        <v>0</v>
      </c>
      <c r="AG252">
        <v>0</v>
      </c>
      <c r="AH252">
        <v>0</v>
      </c>
      <c r="AI252">
        <v>0</v>
      </c>
      <c r="AJ252" t="s">
        <v>862</v>
      </c>
      <c r="AK252" t="s">
        <v>1409</v>
      </c>
      <c r="AL252" t="s">
        <v>208</v>
      </c>
      <c r="AM252" t="s">
        <v>780</v>
      </c>
      <c r="AN252" t="s">
        <v>894</v>
      </c>
      <c r="AO252" t="s">
        <v>772</v>
      </c>
      <c r="AP252" t="s">
        <v>776</v>
      </c>
      <c r="AY252" t="str">
        <f t="shared" si="57"/>
        <v>CHLORIDAZINE S</v>
      </c>
      <c r="AZ252" t="str">
        <f>IF(COUNTIF(AY:AY,AY252)=1,AY252,IF(AND(COUNTIF(AY:AY,AY252)&gt;1,COUNTIF(AZ$2:AZ251,AY252)&gt;=1),"",AY252))</f>
        <v/>
      </c>
      <c r="BA252" t="str">
        <f>IF(AZ252="","",COUNTIFS(AZ$3:AZ$1439,"&lt;"&amp;AZ252,AZ$3:AZ$1439,"&lt;&gt;0")+COUNTIF(AZ$3:AZ252,AZ252)-876)</f>
        <v/>
      </c>
      <c r="BC252">
        <v>250</v>
      </c>
      <c r="BD252" t="str">
        <f t="shared" si="68"/>
        <v>HEMODIARH</v>
      </c>
      <c r="BE252" t="str">
        <f t="shared" si="58"/>
        <v>ORAL</v>
      </c>
      <c r="BF252" t="str">
        <f t="shared" si="59"/>
        <v>SULFAMIDES</v>
      </c>
      <c r="BG252" t="str">
        <f t="shared" si="60"/>
        <v>SULFAMIDES</v>
      </c>
      <c r="BH252" t="str">
        <f t="shared" si="61"/>
        <v/>
      </c>
      <c r="BI252" t="str">
        <f t="shared" si="62"/>
        <v>sulfadimidine</v>
      </c>
      <c r="BJ252" t="str">
        <f t="shared" si="63"/>
        <v>sulfaguanidine</v>
      </c>
      <c r="BK252" t="str">
        <f t="shared" si="64"/>
        <v/>
      </c>
      <c r="BL252" t="str">
        <f t="shared" si="69"/>
        <v>Sulfadimidine + Sulfaguanidine</v>
      </c>
      <c r="BM252" t="str">
        <f t="shared" si="65"/>
        <v>Sulfadimidine</v>
      </c>
      <c r="BN252" t="str">
        <f t="shared" si="66"/>
        <v>Sulfaguanidine</v>
      </c>
      <c r="BO252" t="str">
        <f t="shared" si="67"/>
        <v/>
      </c>
      <c r="BP252" t="str">
        <f t="shared" si="70"/>
        <v>Sulfamides</v>
      </c>
      <c r="BQ252" t="str">
        <f t="shared" si="71"/>
        <v>Sulfamides</v>
      </c>
      <c r="BR252" t="str">
        <f t="shared" si="72"/>
        <v>Sulfamides</v>
      </c>
      <c r="BS252" t="str">
        <f t="shared" si="73"/>
        <v/>
      </c>
      <c r="BT252" s="76" t="str">
        <f t="shared" si="74"/>
        <v>Voie orale  hors prémélanges médicamenteux</v>
      </c>
      <c r="BU252" t="str">
        <f t="shared" si="75"/>
        <v/>
      </c>
      <c r="CN252">
        <v>251</v>
      </c>
    </row>
    <row r="253" spans="1:92" x14ac:dyDescent="0.3">
      <c r="A253" s="118" t="s">
        <v>1418</v>
      </c>
      <c r="B253" t="s">
        <v>1419</v>
      </c>
      <c r="C253" t="s">
        <v>1420</v>
      </c>
      <c r="D253" s="144" t="s">
        <v>780</v>
      </c>
      <c r="E253" t="s">
        <v>813</v>
      </c>
      <c r="F253" t="s">
        <v>616</v>
      </c>
      <c r="G253" t="s">
        <v>1133</v>
      </c>
      <c r="H253" t="s">
        <v>851</v>
      </c>
      <c r="I253" t="s">
        <v>1133</v>
      </c>
      <c r="J253" t="s">
        <v>768</v>
      </c>
      <c r="K253" t="s">
        <v>768</v>
      </c>
      <c r="L253" t="s">
        <v>1087</v>
      </c>
      <c r="M253" t="s">
        <v>208</v>
      </c>
      <c r="N253" t="s">
        <v>1421</v>
      </c>
      <c r="O253" t="s">
        <v>824</v>
      </c>
      <c r="P253" t="s">
        <v>772</v>
      </c>
      <c r="Q253" t="s">
        <v>1422</v>
      </c>
      <c r="R253">
        <v>0</v>
      </c>
      <c r="S253">
        <v>0</v>
      </c>
      <c r="T253">
        <v>0</v>
      </c>
      <c r="U253">
        <v>0</v>
      </c>
      <c r="V253">
        <v>0</v>
      </c>
      <c r="W253">
        <v>0</v>
      </c>
      <c r="X253">
        <v>0</v>
      </c>
      <c r="Y253">
        <v>0</v>
      </c>
      <c r="Z253">
        <v>0</v>
      </c>
      <c r="AA253">
        <v>0</v>
      </c>
      <c r="AB253">
        <v>0</v>
      </c>
      <c r="AC253">
        <v>0</v>
      </c>
      <c r="AD253">
        <v>0</v>
      </c>
      <c r="AE253">
        <v>0</v>
      </c>
      <c r="AF253">
        <v>0</v>
      </c>
      <c r="AG253">
        <v>0</v>
      </c>
      <c r="AH253">
        <v>0</v>
      </c>
      <c r="AI253">
        <v>0</v>
      </c>
      <c r="AY253" t="str">
        <f t="shared" si="57"/>
        <v>CHLORTERACYCLINE 0,50G VETOQUINOL</v>
      </c>
      <c r="AZ253" t="str">
        <f>IF(COUNTIF(AY:AY,AY253)=1,AY253,IF(AND(COUNTIF(AY:AY,AY253)&gt;1,COUNTIF(AZ$2:AZ252,AY253)&gt;=1),"",AY253))</f>
        <v>CHLORTERACYCLINE 0,50G VETOQUINOL</v>
      </c>
      <c r="BA253">
        <f>IF(AZ253="","",COUNTIFS(AZ$3:AZ$1439,"&lt;"&amp;AZ253,AZ$3:AZ$1439,"&lt;&gt;0")+COUNTIF(AZ$3:AZ253,AZ253)-876)</f>
        <v>100</v>
      </c>
      <c r="BC253">
        <v>251</v>
      </c>
      <c r="BD253" t="str">
        <f t="shared" si="68"/>
        <v>HISTABIOSONE</v>
      </c>
      <c r="BE253" t="str">
        <f t="shared" si="58"/>
        <v>INJ</v>
      </c>
      <c r="BF253" t="str">
        <f t="shared" si="59"/>
        <v>AMINOGLYCOSIDES</v>
      </c>
      <c r="BG253" t="str">
        <f t="shared" si="60"/>
        <v>PENICILLINES</v>
      </c>
      <c r="BH253" t="str">
        <f t="shared" si="61"/>
        <v/>
      </c>
      <c r="BI253" t="str">
        <f t="shared" si="62"/>
        <v>dihydrostreptomycin</v>
      </c>
      <c r="BJ253" t="str">
        <f t="shared" si="63"/>
        <v>benzylpenicillin</v>
      </c>
      <c r="BK253" t="str">
        <f t="shared" si="64"/>
        <v/>
      </c>
      <c r="BL253" t="str">
        <f t="shared" si="69"/>
        <v>Dihydrostreptomycine + Benzylpénicilline</v>
      </c>
      <c r="BM253" t="str">
        <f t="shared" si="65"/>
        <v>Dihydrostreptomycine</v>
      </c>
      <c r="BN253" t="str">
        <f t="shared" si="66"/>
        <v>Benzylpénicilline</v>
      </c>
      <c r="BO253" t="str">
        <f t="shared" si="67"/>
        <v/>
      </c>
      <c r="BP253" t="str">
        <f t="shared" si="70"/>
        <v>Aminoglycosides + Penicillines</v>
      </c>
      <c r="BQ253" t="str">
        <f t="shared" si="71"/>
        <v>Aminoglycosides</v>
      </c>
      <c r="BR253" t="str">
        <f t="shared" si="72"/>
        <v>Penicillines</v>
      </c>
      <c r="BS253" t="str">
        <f t="shared" si="73"/>
        <v/>
      </c>
      <c r="BT253" s="76" t="str">
        <f t="shared" si="74"/>
        <v>Voie parentérale</v>
      </c>
      <c r="BU253" t="str">
        <f t="shared" si="75"/>
        <v/>
      </c>
      <c r="CN253">
        <v>252</v>
      </c>
    </row>
    <row r="254" spans="1:92" x14ac:dyDescent="0.3">
      <c r="A254" s="118" t="s">
        <v>2746</v>
      </c>
      <c r="B254" t="s">
        <v>2747</v>
      </c>
      <c r="C254" t="s">
        <v>1062</v>
      </c>
      <c r="D254" s="144" t="s">
        <v>1063</v>
      </c>
      <c r="E254" t="s">
        <v>830</v>
      </c>
      <c r="F254" t="s">
        <v>273</v>
      </c>
      <c r="G254" t="s">
        <v>1064</v>
      </c>
      <c r="H254" t="s">
        <v>1082</v>
      </c>
      <c r="I254" t="s">
        <v>1066</v>
      </c>
      <c r="J254" t="s">
        <v>768</v>
      </c>
      <c r="K254" t="s">
        <v>768</v>
      </c>
      <c r="L254" t="s">
        <v>1087</v>
      </c>
      <c r="M254" t="s">
        <v>208</v>
      </c>
      <c r="N254" t="s">
        <v>764</v>
      </c>
      <c r="O254" t="s">
        <v>894</v>
      </c>
      <c r="P254" t="s">
        <v>772</v>
      </c>
      <c r="Q254" t="s">
        <v>966</v>
      </c>
      <c r="R254">
        <v>0</v>
      </c>
      <c r="S254">
        <v>0</v>
      </c>
      <c r="T254">
        <v>0</v>
      </c>
      <c r="U254">
        <v>0</v>
      </c>
      <c r="V254">
        <v>0</v>
      </c>
      <c r="W254">
        <v>0</v>
      </c>
      <c r="X254">
        <v>0</v>
      </c>
      <c r="Y254">
        <v>0</v>
      </c>
      <c r="Z254">
        <v>0</v>
      </c>
      <c r="AA254">
        <v>0</v>
      </c>
      <c r="AB254">
        <v>40</v>
      </c>
      <c r="AC254">
        <v>10</v>
      </c>
      <c r="AD254">
        <v>50</v>
      </c>
      <c r="AE254">
        <v>10</v>
      </c>
      <c r="AF254">
        <v>0</v>
      </c>
      <c r="AG254">
        <v>0</v>
      </c>
      <c r="AH254">
        <v>0</v>
      </c>
      <c r="AI254">
        <v>0</v>
      </c>
      <c r="AY254" t="str">
        <f t="shared" si="57"/>
        <v>CHLORTETRACYCLINE 100 PORC ET AGNEAU-CHEVREAU SEVRES SANTAMIX</v>
      </c>
      <c r="AZ254" t="str">
        <f>IF(COUNTIF(AY:AY,AY254)=1,AY254,IF(AND(COUNTIF(AY:AY,AY254)&gt;1,COUNTIF(AZ$2:AZ253,AY254)&gt;=1),"",AY254))</f>
        <v>CHLORTETRACYCLINE 100 PORC ET AGNEAU-CHEVREAU SEVRES SANTAMIX</v>
      </c>
      <c r="BA254">
        <f>IF(AZ254="","",COUNTIFS(AZ$3:AZ$1439,"&lt;"&amp;AZ254,AZ$3:AZ$1439,"&lt;&gt;0")+COUNTIF(AZ$3:AZ254,AZ254)-876)</f>
        <v>101</v>
      </c>
      <c r="BC254">
        <v>252</v>
      </c>
      <c r="BD254" t="str">
        <f t="shared" si="68"/>
        <v>HISTACLINE</v>
      </c>
      <c r="BE254" t="str">
        <f t="shared" si="58"/>
        <v>INJ</v>
      </c>
      <c r="BF254" t="str">
        <f t="shared" si="59"/>
        <v>AMINOGLYCOSIDES</v>
      </c>
      <c r="BG254" t="str">
        <f t="shared" si="60"/>
        <v>PENICILLINES</v>
      </c>
      <c r="BH254" t="str">
        <f t="shared" si="61"/>
        <v/>
      </c>
      <c r="BI254" t="str">
        <f t="shared" si="62"/>
        <v>dihydrostreptomycin</v>
      </c>
      <c r="BJ254" t="str">
        <f t="shared" si="63"/>
        <v>benzylpenicillin</v>
      </c>
      <c r="BK254" t="str">
        <f t="shared" si="64"/>
        <v/>
      </c>
      <c r="BL254" t="str">
        <f t="shared" si="69"/>
        <v>Dihydrostreptomycine + Benzylpénicilline</v>
      </c>
      <c r="BM254" t="str">
        <f t="shared" si="65"/>
        <v>Dihydrostreptomycine</v>
      </c>
      <c r="BN254" t="str">
        <f t="shared" si="66"/>
        <v>Benzylpénicilline</v>
      </c>
      <c r="BO254" t="str">
        <f t="shared" si="67"/>
        <v/>
      </c>
      <c r="BP254" t="str">
        <f t="shared" si="70"/>
        <v>Aminoglycosides + Penicillines</v>
      </c>
      <c r="BQ254" t="str">
        <f t="shared" si="71"/>
        <v>Aminoglycosides</v>
      </c>
      <c r="BR254" t="str">
        <f t="shared" si="72"/>
        <v>Penicillines</v>
      </c>
      <c r="BS254" t="str">
        <f t="shared" si="73"/>
        <v/>
      </c>
      <c r="BT254" s="76" t="str">
        <f t="shared" si="74"/>
        <v>Voie parentérale</v>
      </c>
      <c r="BU254" t="str">
        <f t="shared" si="75"/>
        <v/>
      </c>
      <c r="CN254">
        <v>253</v>
      </c>
    </row>
    <row r="255" spans="1:92" x14ac:dyDescent="0.3">
      <c r="A255" s="118" t="s">
        <v>2744</v>
      </c>
      <c r="B255" t="s">
        <v>2745</v>
      </c>
      <c r="C255" t="s">
        <v>1062</v>
      </c>
      <c r="D255" s="144" t="s">
        <v>1063</v>
      </c>
      <c r="E255" t="s">
        <v>830</v>
      </c>
      <c r="F255" t="s">
        <v>274</v>
      </c>
      <c r="G255" t="s">
        <v>1064</v>
      </c>
      <c r="H255" t="s">
        <v>1102</v>
      </c>
      <c r="I255" t="s">
        <v>1066</v>
      </c>
      <c r="J255" t="s">
        <v>768</v>
      </c>
      <c r="K255" t="s">
        <v>768</v>
      </c>
      <c r="L255" t="s">
        <v>1087</v>
      </c>
      <c r="M255" t="s">
        <v>208</v>
      </c>
      <c r="N255" t="s">
        <v>932</v>
      </c>
      <c r="O255" t="s">
        <v>894</v>
      </c>
      <c r="P255" t="s">
        <v>772</v>
      </c>
      <c r="Q255" t="s">
        <v>829</v>
      </c>
      <c r="R255">
        <v>0</v>
      </c>
      <c r="S255">
        <v>0</v>
      </c>
      <c r="T255">
        <v>0</v>
      </c>
      <c r="U255">
        <v>0</v>
      </c>
      <c r="V255">
        <v>0</v>
      </c>
      <c r="W255">
        <v>0</v>
      </c>
      <c r="X255">
        <v>0</v>
      </c>
      <c r="Y255">
        <v>0</v>
      </c>
      <c r="Z255">
        <v>40</v>
      </c>
      <c r="AA255">
        <v>10</v>
      </c>
      <c r="AB255">
        <v>40</v>
      </c>
      <c r="AC255">
        <v>10</v>
      </c>
      <c r="AD255">
        <v>50</v>
      </c>
      <c r="AE255">
        <v>10</v>
      </c>
      <c r="AF255">
        <v>40</v>
      </c>
      <c r="AG255">
        <v>10</v>
      </c>
      <c r="AH255">
        <v>0</v>
      </c>
      <c r="AI255">
        <v>0</v>
      </c>
      <c r="AY255" t="str">
        <f t="shared" si="57"/>
        <v>CHLORTETRACYCLINE 40 LAPIN-VOLAILLE-PORC ET AGNEAU-CHEVREAU SEVRES SANTAMIX</v>
      </c>
      <c r="AZ255" t="str">
        <f>IF(COUNTIF(AY:AY,AY255)=1,AY255,IF(AND(COUNTIF(AY:AY,AY255)&gt;1,COUNTIF(AZ$2:AZ254,AY255)&gt;=1),"",AY255))</f>
        <v>CHLORTETRACYCLINE 40 LAPIN-VOLAILLE-PORC ET AGNEAU-CHEVREAU SEVRES SANTAMIX</v>
      </c>
      <c r="BA255">
        <f>IF(AZ255="","",COUNTIFS(AZ$3:AZ$1439,"&lt;"&amp;AZ255,AZ$3:AZ$1439,"&lt;&gt;0")+COUNTIF(AZ$3:AZ255,AZ255)-876)</f>
        <v>102</v>
      </c>
      <c r="BC255">
        <v>253</v>
      </c>
      <c r="BD255" t="str">
        <f t="shared" si="68"/>
        <v>HUVAMOX 697 MG/G POUDRE POUR ADMINISTRATION DANS L’EAU DE BOISSON POUR POULES, DINDES, CANARDS ET PORCS</v>
      </c>
      <c r="BE255" t="str">
        <f t="shared" si="58"/>
        <v>ORAL</v>
      </c>
      <c r="BF255" t="str">
        <f t="shared" si="59"/>
        <v>PENICILLINES</v>
      </c>
      <c r="BG255" t="str">
        <f t="shared" si="60"/>
        <v/>
      </c>
      <c r="BH255" t="str">
        <f t="shared" si="61"/>
        <v/>
      </c>
      <c r="BI255" t="str">
        <f t="shared" si="62"/>
        <v>amoxicillin</v>
      </c>
      <c r="BJ255" t="str">
        <f t="shared" si="63"/>
        <v/>
      </c>
      <c r="BK255" t="str">
        <f t="shared" si="64"/>
        <v/>
      </c>
      <c r="BL255" t="str">
        <f t="shared" si="69"/>
        <v>Amoxicilline</v>
      </c>
      <c r="BM255" t="str">
        <f t="shared" si="65"/>
        <v>Amoxicilline</v>
      </c>
      <c r="BN255" t="str">
        <f t="shared" si="66"/>
        <v/>
      </c>
      <c r="BO255" t="str">
        <f t="shared" si="67"/>
        <v/>
      </c>
      <c r="BP255" t="str">
        <f t="shared" si="70"/>
        <v>Penicillines</v>
      </c>
      <c r="BQ255" t="str">
        <f t="shared" si="71"/>
        <v>Penicillines</v>
      </c>
      <c r="BR255" t="str">
        <f t="shared" si="72"/>
        <v/>
      </c>
      <c r="BS255" t="str">
        <f t="shared" si="73"/>
        <v/>
      </c>
      <c r="BT255" s="76" t="str">
        <f t="shared" si="74"/>
        <v>Voie orale  hors prémélanges médicamenteux</v>
      </c>
      <c r="BU255" t="str">
        <f t="shared" si="75"/>
        <v/>
      </c>
      <c r="CN255">
        <v>254</v>
      </c>
    </row>
    <row r="256" spans="1:92" x14ac:dyDescent="0.3">
      <c r="A256" s="118" t="s">
        <v>4720</v>
      </c>
      <c r="B256" t="s">
        <v>4721</v>
      </c>
      <c r="C256" t="s">
        <v>792</v>
      </c>
      <c r="D256" t="s">
        <v>764</v>
      </c>
      <c r="E256" t="s">
        <v>765</v>
      </c>
      <c r="F256" t="s">
        <v>4722</v>
      </c>
      <c r="G256" t="s">
        <v>766</v>
      </c>
      <c r="H256" t="s">
        <v>1326</v>
      </c>
      <c r="I256" t="s">
        <v>766</v>
      </c>
      <c r="J256" t="s">
        <v>787</v>
      </c>
      <c r="K256" t="s">
        <v>787</v>
      </c>
      <c r="L256" t="s">
        <v>1055</v>
      </c>
      <c r="M256" t="s">
        <v>208</v>
      </c>
      <c r="N256" t="s">
        <v>1155</v>
      </c>
      <c r="O256" t="s">
        <v>771</v>
      </c>
      <c r="P256" t="s">
        <v>772</v>
      </c>
      <c r="Q256" t="s">
        <v>972</v>
      </c>
      <c r="R256">
        <v>15</v>
      </c>
      <c r="S256">
        <v>2</v>
      </c>
      <c r="T256">
        <v>15</v>
      </c>
      <c r="U256">
        <v>2</v>
      </c>
      <c r="V256">
        <v>0</v>
      </c>
      <c r="W256">
        <v>0</v>
      </c>
      <c r="X256">
        <v>0</v>
      </c>
      <c r="Y256">
        <v>0</v>
      </c>
      <c r="Z256">
        <v>0</v>
      </c>
      <c r="AA256">
        <v>0</v>
      </c>
      <c r="AB256">
        <v>0</v>
      </c>
      <c r="AC256">
        <v>0</v>
      </c>
      <c r="AD256">
        <v>15</v>
      </c>
      <c r="AE256">
        <v>2</v>
      </c>
      <c r="AF256">
        <v>0</v>
      </c>
      <c r="AG256">
        <v>0</v>
      </c>
      <c r="AH256">
        <v>0</v>
      </c>
      <c r="AI256">
        <v>0</v>
      </c>
      <c r="AY256" t="str">
        <f t="shared" si="57"/>
        <v>CITRAMOX L.A. 150 MG/ML SUSPENSION INJECTABLE POUR BOVINS ET PORCINS</v>
      </c>
      <c r="AZ256" t="str">
        <f>IF(COUNTIF(AY:AY,AY256)=1,AY256,IF(AND(COUNTIF(AY:AY,AY256)&gt;1,COUNTIF(AZ$2:AZ255,AY256)&gt;=1),"",AY256))</f>
        <v>CITRAMOX L.A. 150 MG/ML SUSPENSION INJECTABLE POUR BOVINS ET PORCINS</v>
      </c>
      <c r="BA256">
        <f>IF(AZ256="","",COUNTIFS(AZ$3:AZ$1439,"&lt;"&amp;AZ256,AZ$3:AZ$1439,"&lt;&gt;0")+COUNTIF(AZ$3:AZ256,AZ256)-876)</f>
        <v>103</v>
      </c>
      <c r="BC256">
        <v>254</v>
      </c>
      <c r="BD256" t="str">
        <f t="shared" si="68"/>
        <v>HYDRODOXX 500 MG/G POUDRE POUR ADMINISTRATION DANS L'EAU DE BOISSON POUR POULETS ET PORCS</v>
      </c>
      <c r="BE256" t="str">
        <f t="shared" si="58"/>
        <v>ORAL</v>
      </c>
      <c r="BF256" t="str">
        <f t="shared" si="59"/>
        <v>TETRACYCLINES</v>
      </c>
      <c r="BG256" t="str">
        <f t="shared" si="60"/>
        <v/>
      </c>
      <c r="BH256" t="str">
        <f t="shared" si="61"/>
        <v/>
      </c>
      <c r="BI256" t="str">
        <f t="shared" si="62"/>
        <v>doxycycline</v>
      </c>
      <c r="BJ256" t="str">
        <f t="shared" si="63"/>
        <v/>
      </c>
      <c r="BK256" t="str">
        <f t="shared" si="64"/>
        <v/>
      </c>
      <c r="BL256" t="str">
        <f t="shared" si="69"/>
        <v>Doxycycline</v>
      </c>
      <c r="BM256" t="str">
        <f t="shared" si="65"/>
        <v>Doxycycline</v>
      </c>
      <c r="BN256" t="str">
        <f t="shared" si="66"/>
        <v/>
      </c>
      <c r="BO256" t="str">
        <f t="shared" si="67"/>
        <v/>
      </c>
      <c r="BP256" t="str">
        <f t="shared" si="70"/>
        <v>Tetracyclines</v>
      </c>
      <c r="BQ256" t="str">
        <f t="shared" si="71"/>
        <v>Tetracyclines</v>
      </c>
      <c r="BR256" t="str">
        <f t="shared" si="72"/>
        <v/>
      </c>
      <c r="BS256" t="str">
        <f t="shared" si="73"/>
        <v/>
      </c>
      <c r="BT256" s="76" t="str">
        <f t="shared" si="74"/>
        <v>Voie orale  hors prémélanges médicamenteux</v>
      </c>
      <c r="BU256" t="str">
        <f t="shared" si="75"/>
        <v/>
      </c>
      <c r="CN256">
        <v>255</v>
      </c>
    </row>
    <row r="257" spans="1:92" x14ac:dyDescent="0.3">
      <c r="A257" s="118" t="s">
        <v>4720</v>
      </c>
      <c r="B257" t="s">
        <v>4723</v>
      </c>
      <c r="C257" t="s">
        <v>796</v>
      </c>
      <c r="D257" t="s">
        <v>776</v>
      </c>
      <c r="E257" t="s">
        <v>765</v>
      </c>
      <c r="F257" t="s">
        <v>4722</v>
      </c>
      <c r="G257" t="s">
        <v>766</v>
      </c>
      <c r="H257" t="s">
        <v>1326</v>
      </c>
      <c r="I257" t="s">
        <v>766</v>
      </c>
      <c r="J257" t="s">
        <v>787</v>
      </c>
      <c r="K257" t="s">
        <v>787</v>
      </c>
      <c r="L257" t="s">
        <v>1055</v>
      </c>
      <c r="M257" t="s">
        <v>208</v>
      </c>
      <c r="N257" t="s">
        <v>1155</v>
      </c>
      <c r="O257" t="s">
        <v>771</v>
      </c>
      <c r="P257" t="s">
        <v>772</v>
      </c>
      <c r="Q257" t="s">
        <v>1773</v>
      </c>
      <c r="R257">
        <v>15</v>
      </c>
      <c r="S257">
        <v>2</v>
      </c>
      <c r="T257">
        <v>15</v>
      </c>
      <c r="U257">
        <v>2</v>
      </c>
      <c r="V257">
        <v>0</v>
      </c>
      <c r="W257">
        <v>0</v>
      </c>
      <c r="X257">
        <v>0</v>
      </c>
      <c r="Y257">
        <v>0</v>
      </c>
      <c r="Z257">
        <v>0</v>
      </c>
      <c r="AA257">
        <v>0</v>
      </c>
      <c r="AB257">
        <v>0</v>
      </c>
      <c r="AC257">
        <v>0</v>
      </c>
      <c r="AD257">
        <v>15</v>
      </c>
      <c r="AE257">
        <v>2</v>
      </c>
      <c r="AF257">
        <v>0</v>
      </c>
      <c r="AG257">
        <v>0</v>
      </c>
      <c r="AH257">
        <v>0</v>
      </c>
      <c r="AI257">
        <v>0</v>
      </c>
      <c r="AY257" t="str">
        <f t="shared" si="57"/>
        <v>CITRAMOX L.A. 150 MG/ML SUSPENSION INJECTABLE POUR BOVINS ET PORCINS</v>
      </c>
      <c r="AZ257" t="str">
        <f>IF(COUNTIF(AY:AY,AY257)=1,AY257,IF(AND(COUNTIF(AY:AY,AY257)&gt;1,COUNTIF(AZ$2:AZ256,AY257)&gt;=1),"",AY257))</f>
        <v/>
      </c>
      <c r="BA257" t="str">
        <f>IF(AZ257="","",COUNTIFS(AZ$3:AZ$1439,"&lt;"&amp;AZ257,AZ$3:AZ$1439,"&lt;&gt;0")+COUNTIF(AZ$3:AZ257,AZ257)-876)</f>
        <v/>
      </c>
      <c r="BC257">
        <v>255</v>
      </c>
      <c r="BD257" t="str">
        <f t="shared" si="68"/>
        <v>INCREXXA 100 MG/ML SOLUTION INJECTABLE POUR BOVINS PORCINS ET OVINS</v>
      </c>
      <c r="BE257" t="str">
        <f t="shared" si="58"/>
        <v>INJ</v>
      </c>
      <c r="BF257" t="str">
        <f t="shared" si="59"/>
        <v>MACROLIDES</v>
      </c>
      <c r="BG257" t="str">
        <f t="shared" si="60"/>
        <v/>
      </c>
      <c r="BH257" t="str">
        <f t="shared" si="61"/>
        <v/>
      </c>
      <c r="BI257" t="str">
        <f t="shared" si="62"/>
        <v>tulathromycin</v>
      </c>
      <c r="BJ257" t="str">
        <f t="shared" si="63"/>
        <v/>
      </c>
      <c r="BK257" t="str">
        <f t="shared" si="64"/>
        <v/>
      </c>
      <c r="BL257" t="str">
        <f t="shared" si="69"/>
        <v>Tulathromycine</v>
      </c>
      <c r="BM257" t="str">
        <f t="shared" si="65"/>
        <v>Tulathromycine</v>
      </c>
      <c r="BN257" t="str">
        <f t="shared" si="66"/>
        <v/>
      </c>
      <c r="BO257" t="str">
        <f t="shared" si="67"/>
        <v/>
      </c>
      <c r="BP257" t="str">
        <f t="shared" si="70"/>
        <v>Macrolides</v>
      </c>
      <c r="BQ257" t="str">
        <f t="shared" si="71"/>
        <v>Macrolides</v>
      </c>
      <c r="BR257" t="str">
        <f t="shared" si="72"/>
        <v/>
      </c>
      <c r="BS257" t="str">
        <f t="shared" si="73"/>
        <v/>
      </c>
      <c r="BT257" s="76" t="str">
        <f t="shared" si="74"/>
        <v>Voie parentérale</v>
      </c>
      <c r="BU257" t="str">
        <f t="shared" si="75"/>
        <v/>
      </c>
      <c r="CN257">
        <v>256</v>
      </c>
    </row>
    <row r="258" spans="1:92" x14ac:dyDescent="0.3">
      <c r="A258" s="118" t="s">
        <v>3118</v>
      </c>
      <c r="B258" t="s">
        <v>3119</v>
      </c>
      <c r="C258" t="s">
        <v>1241</v>
      </c>
      <c r="D258" s="144" t="s">
        <v>829</v>
      </c>
      <c r="E258" t="s">
        <v>765</v>
      </c>
      <c r="F258" t="s">
        <v>4517</v>
      </c>
      <c r="G258" t="s">
        <v>956</v>
      </c>
      <c r="H258" t="s">
        <v>1070</v>
      </c>
      <c r="I258" t="s">
        <v>817</v>
      </c>
      <c r="J258" t="s">
        <v>914</v>
      </c>
      <c r="K258" t="s">
        <v>914</v>
      </c>
      <c r="L258" t="s">
        <v>995</v>
      </c>
      <c r="M258" t="s">
        <v>996</v>
      </c>
      <c r="N258" t="s">
        <v>1501</v>
      </c>
      <c r="O258" t="s">
        <v>805</v>
      </c>
      <c r="P258" t="s">
        <v>4371</v>
      </c>
      <c r="Q258" t="s">
        <v>764</v>
      </c>
      <c r="R258">
        <v>5</v>
      </c>
      <c r="S258">
        <v>5</v>
      </c>
      <c r="T258">
        <v>0</v>
      </c>
      <c r="U258">
        <v>0</v>
      </c>
      <c r="V258">
        <v>0</v>
      </c>
      <c r="W258">
        <v>0</v>
      </c>
      <c r="X258">
        <v>0</v>
      </c>
      <c r="Y258">
        <v>0</v>
      </c>
      <c r="Z258">
        <v>5</v>
      </c>
      <c r="AA258">
        <v>5</v>
      </c>
      <c r="AB258">
        <v>5</v>
      </c>
      <c r="AC258">
        <v>5</v>
      </c>
      <c r="AD258">
        <v>5</v>
      </c>
      <c r="AE258">
        <v>5</v>
      </c>
      <c r="AF258">
        <v>3.75</v>
      </c>
      <c r="AG258">
        <v>5</v>
      </c>
      <c r="AH258">
        <v>0</v>
      </c>
      <c r="AI258">
        <v>0</v>
      </c>
      <c r="AY258" t="str">
        <f t="shared" si="57"/>
        <v>CK 2 - COLISTINE 2 000 000 UI/ML</v>
      </c>
      <c r="AZ258" t="str">
        <f>IF(COUNTIF(AY:AY,AY258)=1,AY258,IF(AND(COUNTIF(AY:AY,AY258)&gt;1,COUNTIF(AZ$2:AZ257,AY258)&gt;=1),"",AY258))</f>
        <v>CK 2 - COLISTINE 2 000 000 UI/ML</v>
      </c>
      <c r="BA258">
        <f>IF(AZ258="","",COUNTIFS(AZ$3:AZ$1439,"&lt;"&amp;AZ258,AZ$3:AZ$1439,"&lt;&gt;0")+COUNTIF(AZ$3:AZ258,AZ258)-876)</f>
        <v>104</v>
      </c>
      <c r="BC258">
        <v>256</v>
      </c>
      <c r="BD258" t="str">
        <f t="shared" si="68"/>
        <v>INCREXXA 25 MG/ML SOLUTION INJECTABLE POUR PORCINS</v>
      </c>
      <c r="BE258" t="str">
        <f t="shared" si="58"/>
        <v>INJ</v>
      </c>
      <c r="BF258" t="str">
        <f t="shared" si="59"/>
        <v>MACROLIDES</v>
      </c>
      <c r="BG258" t="str">
        <f t="shared" si="60"/>
        <v/>
      </c>
      <c r="BH258" t="str">
        <f t="shared" si="61"/>
        <v/>
      </c>
      <c r="BI258" t="str">
        <f t="shared" si="62"/>
        <v>tulathromycin</v>
      </c>
      <c r="BJ258" t="str">
        <f t="shared" si="63"/>
        <v/>
      </c>
      <c r="BK258" t="str">
        <f t="shared" si="64"/>
        <v/>
      </c>
      <c r="BL258" t="str">
        <f t="shared" si="69"/>
        <v>Tulathromycine</v>
      </c>
      <c r="BM258" t="str">
        <f t="shared" si="65"/>
        <v>Tulathromycine</v>
      </c>
      <c r="BN258" t="str">
        <f t="shared" si="66"/>
        <v/>
      </c>
      <c r="BO258" t="str">
        <f t="shared" si="67"/>
        <v/>
      </c>
      <c r="BP258" t="str">
        <f t="shared" si="70"/>
        <v>Macrolides</v>
      </c>
      <c r="BQ258" t="str">
        <f t="shared" si="71"/>
        <v>Macrolides</v>
      </c>
      <c r="BR258" t="str">
        <f t="shared" si="72"/>
        <v/>
      </c>
      <c r="BS258" t="str">
        <f t="shared" si="73"/>
        <v/>
      </c>
      <c r="BT258" s="76" t="str">
        <f t="shared" si="74"/>
        <v>Voie parentérale</v>
      </c>
      <c r="BU258" t="str">
        <f t="shared" si="75"/>
        <v/>
      </c>
      <c r="CN258">
        <v>257</v>
      </c>
    </row>
    <row r="259" spans="1:92" x14ac:dyDescent="0.3">
      <c r="A259" s="118" t="s">
        <v>3118</v>
      </c>
      <c r="B259" t="s">
        <v>3121</v>
      </c>
      <c r="C259" t="s">
        <v>1243</v>
      </c>
      <c r="D259" s="144" t="s">
        <v>955</v>
      </c>
      <c r="E259" t="s">
        <v>765</v>
      </c>
      <c r="F259" t="s">
        <v>4517</v>
      </c>
      <c r="G259" t="s">
        <v>956</v>
      </c>
      <c r="H259" t="s">
        <v>1070</v>
      </c>
      <c r="I259" t="s">
        <v>817</v>
      </c>
      <c r="J259" t="s">
        <v>914</v>
      </c>
      <c r="K259" t="s">
        <v>914</v>
      </c>
      <c r="L259" t="s">
        <v>995</v>
      </c>
      <c r="M259" t="s">
        <v>996</v>
      </c>
      <c r="N259" t="s">
        <v>1501</v>
      </c>
      <c r="O259" t="s">
        <v>805</v>
      </c>
      <c r="P259" t="s">
        <v>4371</v>
      </c>
      <c r="Q259" t="s">
        <v>906</v>
      </c>
      <c r="R259">
        <v>5</v>
      </c>
      <c r="S259">
        <v>5</v>
      </c>
      <c r="T259">
        <v>0</v>
      </c>
      <c r="U259">
        <v>0</v>
      </c>
      <c r="V259">
        <v>0</v>
      </c>
      <c r="W259">
        <v>0</v>
      </c>
      <c r="X259">
        <v>0</v>
      </c>
      <c r="Y259">
        <v>0</v>
      </c>
      <c r="Z259">
        <v>5</v>
      </c>
      <c r="AA259">
        <v>5</v>
      </c>
      <c r="AB259">
        <v>5</v>
      </c>
      <c r="AC259">
        <v>5</v>
      </c>
      <c r="AD259">
        <v>5</v>
      </c>
      <c r="AE259">
        <v>5</v>
      </c>
      <c r="AF259">
        <v>3.75</v>
      </c>
      <c r="AG259">
        <v>5</v>
      </c>
      <c r="AH259">
        <v>0</v>
      </c>
      <c r="AI259">
        <v>0</v>
      </c>
      <c r="AY259" t="str">
        <f t="shared" ref="AY259:AY322" si="76">IF(INDEX(CK$3:CL$174,MATCH(H259,CK$3:CK$174,0),2)="x",F259,"")</f>
        <v>CK 2 - COLISTINE 2 000 000 UI/ML</v>
      </c>
      <c r="AZ259" t="str">
        <f>IF(COUNTIF(AY:AY,AY259)=1,AY259,IF(AND(COUNTIF(AY:AY,AY259)&gt;1,COUNTIF(AZ$2:AZ258,AY259)&gt;=1),"",AY259))</f>
        <v/>
      </c>
      <c r="BA259" t="str">
        <f>IF(AZ259="","",COUNTIFS(AZ$3:AZ$1439,"&lt;"&amp;AZ259,AZ$3:AZ$1439,"&lt;&gt;0")+COUNTIF(AZ$3:AZ259,AZ259)-876)</f>
        <v/>
      </c>
      <c r="BC259">
        <v>257</v>
      </c>
      <c r="BD259" t="str">
        <f t="shared" si="68"/>
        <v>INOXYL ACIDE OXOLINIQUE 240 SALMONIDES</v>
      </c>
      <c r="BE259" t="str">
        <f t="shared" ref="BE259:BE322" si="77">IFERROR(INDEX(F:AR,MATCH(BD259,F:F,0),4),"")</f>
        <v>PM</v>
      </c>
      <c r="BF259" t="str">
        <f t="shared" ref="BF259:BF322" si="78">IFERROR(INDEX(F:AR,MATCH(BD259,F:F,0),6),"")</f>
        <v>QUINOLONES</v>
      </c>
      <c r="BG259" t="str">
        <f t="shared" ref="BG259:BG322" si="79">IFERROR(IF(INDEX(F:AR,MATCH(BD259,F:F,0),31)=0,"",INDEX(F:AR,MATCH(BD259,F:F,0),31)),"")</f>
        <v/>
      </c>
      <c r="BH259" t="str">
        <f t="shared" ref="BH259:BH322" si="80">IFERROR(IF(INDEX(F:AR,MATCH(BD259,F:F,0),38)=0,"",INDEX(F:AR,MATCH(BD259,F:F,0),38)),"")</f>
        <v/>
      </c>
      <c r="BI259" t="str">
        <f t="shared" ref="BI259:BI322" si="81">+IFERROR(IF(INDEX(F:AR,MATCH(BD259,F:F,0),7)=0,"",INDEX(F:AR,MATCH(BD259,F:F,0),7)),"")</f>
        <v>oxolinic acid</v>
      </c>
      <c r="BJ259" t="str">
        <f t="shared" ref="BJ259:BJ322" si="82">IFERROR(IF(INDEX(F:AR,MATCH(BD259,F:F,0),32)=0,"",INDEX(F:AR,MATCH(BD259,F:F,0),32)),"")</f>
        <v/>
      </c>
      <c r="BK259" t="str">
        <f t="shared" ref="BK259:BK322" si="83">IFERROR(IF(INDEX(F:AR,MATCH(BD259,F:F,0),39)=0,"",INDEX(F:AR,MATCH(BD259,F:F,0),39)),"")</f>
        <v/>
      </c>
      <c r="BL259" t="str">
        <f t="shared" si="69"/>
        <v>Acide oxolinique</v>
      </c>
      <c r="BM259" t="str">
        <f t="shared" ref="BM259:BM322" si="84">IFERROR(INDEX(BZ$3:CA$63,MATCH(BI259,BZ$3:BZ$63,0),2),"")</f>
        <v>Acide oxolinique</v>
      </c>
      <c r="BN259" t="str">
        <f t="shared" ref="BN259:BN322" si="85">IFERROR(INDEX(BZ$3:CA$63,MATCH(BJ259,BZ$3:BZ$63,0),2),"")</f>
        <v/>
      </c>
      <c r="BO259" t="str">
        <f t="shared" ref="BO259:BO322" si="86">IFERROR(INDEX(BZ$3:CA$63,MATCH(BK259,BZ$3:BZ$63,0),2),"")</f>
        <v/>
      </c>
      <c r="BP259" t="str">
        <f t="shared" si="70"/>
        <v>Quinolones</v>
      </c>
      <c r="BQ259" t="str">
        <f t="shared" si="71"/>
        <v>Quinolones</v>
      </c>
      <c r="BR259" t="str">
        <f t="shared" si="72"/>
        <v/>
      </c>
      <c r="BS259" t="str">
        <f t="shared" si="73"/>
        <v/>
      </c>
      <c r="BT259" s="76" t="str">
        <f t="shared" si="74"/>
        <v>Prémélanges médicamenteux</v>
      </c>
      <c r="BU259" t="str">
        <f t="shared" si="75"/>
        <v/>
      </c>
      <c r="CN259">
        <v>258</v>
      </c>
    </row>
    <row r="260" spans="1:92" x14ac:dyDescent="0.3">
      <c r="A260" s="118" t="s">
        <v>2939</v>
      </c>
      <c r="B260" t="s">
        <v>2940</v>
      </c>
      <c r="C260" t="s">
        <v>1313</v>
      </c>
      <c r="D260" s="144" t="s">
        <v>955</v>
      </c>
      <c r="E260" t="s">
        <v>830</v>
      </c>
      <c r="F260" t="s">
        <v>275</v>
      </c>
      <c r="G260" t="s">
        <v>831</v>
      </c>
      <c r="H260" t="s">
        <v>2715</v>
      </c>
      <c r="I260" t="s">
        <v>817</v>
      </c>
      <c r="J260" t="s">
        <v>768</v>
      </c>
      <c r="K260" t="s">
        <v>768</v>
      </c>
      <c r="L260" t="s">
        <v>2121</v>
      </c>
      <c r="M260" t="s">
        <v>208</v>
      </c>
      <c r="N260" t="s">
        <v>780</v>
      </c>
      <c r="O260" t="s">
        <v>894</v>
      </c>
      <c r="P260" t="s">
        <v>772</v>
      </c>
      <c r="Q260" t="s">
        <v>776</v>
      </c>
      <c r="R260">
        <v>10</v>
      </c>
      <c r="S260">
        <v>5</v>
      </c>
      <c r="T260">
        <v>0</v>
      </c>
      <c r="U260">
        <v>0</v>
      </c>
      <c r="V260">
        <v>0</v>
      </c>
      <c r="W260">
        <v>0</v>
      </c>
      <c r="X260">
        <v>0</v>
      </c>
      <c r="Y260">
        <v>0</v>
      </c>
      <c r="Z260">
        <v>10</v>
      </c>
      <c r="AA260">
        <v>5</v>
      </c>
      <c r="AB260">
        <v>10</v>
      </c>
      <c r="AC260">
        <v>5</v>
      </c>
      <c r="AD260">
        <v>10</v>
      </c>
      <c r="AE260">
        <v>5</v>
      </c>
      <c r="AF260">
        <v>10</v>
      </c>
      <c r="AG260">
        <v>5</v>
      </c>
      <c r="AH260">
        <v>0</v>
      </c>
      <c r="AI260">
        <v>0</v>
      </c>
      <c r="AY260" t="str">
        <f t="shared" si="76"/>
        <v>CK 4 - DOXYCYCLINE 50 MG/G</v>
      </c>
      <c r="AZ260" t="str">
        <f>IF(COUNTIF(AY:AY,AY260)=1,AY260,IF(AND(COUNTIF(AY:AY,AY260)&gt;1,COUNTIF(AZ$2:AZ259,AY260)&gt;=1),"",AY260))</f>
        <v>CK 4 - DOXYCYCLINE 50 MG/G</v>
      </c>
      <c r="BA260">
        <f>IF(AZ260="","",COUNTIFS(AZ$3:AZ$1439,"&lt;"&amp;AZ260,AZ$3:AZ$1439,"&lt;&gt;0")+COUNTIF(AZ$3:AZ260,AZ260)-876)</f>
        <v>105</v>
      </c>
      <c r="BC260">
        <v>258</v>
      </c>
      <c r="BD260" t="str">
        <f t="shared" ref="BD260:BD323" si="87">IFERROR(INDEX(AZ:BA,MATCH(BC260,BA:BA,0),1),"")</f>
        <v>INOXYL BOLUS</v>
      </c>
      <c r="BE260" t="str">
        <f t="shared" si="77"/>
        <v>ORAL</v>
      </c>
      <c r="BF260" t="str">
        <f t="shared" si="78"/>
        <v>QUINOLONES</v>
      </c>
      <c r="BG260" t="str">
        <f t="shared" si="79"/>
        <v/>
      </c>
      <c r="BH260" t="str">
        <f t="shared" si="80"/>
        <v/>
      </c>
      <c r="BI260" t="str">
        <f t="shared" si="81"/>
        <v>oxolinic acid</v>
      </c>
      <c r="BJ260" t="str">
        <f t="shared" si="82"/>
        <v/>
      </c>
      <c r="BK260" t="str">
        <f t="shared" si="83"/>
        <v/>
      </c>
      <c r="BL260" t="str">
        <f t="shared" ref="BL260:BL323" si="88">IF(3-COUNTBLANK(BM260:BO260)=1,BM260,IF(3-COUNTBLANK(BM260:BO260)=2,BM260&amp;" + "&amp;BN260,IF(3-COUNTBLANK(BM260:BO260)=3,BM260&amp;" + "&amp;BN260&amp;" + "&amp;BO260,"")))</f>
        <v>Acide oxolinique</v>
      </c>
      <c r="BM260" t="str">
        <f t="shared" si="84"/>
        <v>Acide oxolinique</v>
      </c>
      <c r="BN260" t="str">
        <f t="shared" si="85"/>
        <v/>
      </c>
      <c r="BO260" t="str">
        <f t="shared" si="86"/>
        <v/>
      </c>
      <c r="BP260" t="str">
        <f t="shared" ref="BP260:BP323" si="89">IF(3-COUNTBLANK(BQ260:BS260)=1,BQ260,IF(3-COUNTBLANK(BQ260:BS260)=2,IF(BQ260=BR260,BQ260,BQ260&amp;" + "&amp;BR260),IF(3-COUNTBLANK(BQ260:BS260)=3,IF(BQ260=BR260,BQ260,IF(BQ260=BS260,BQ260,IF(BR260=BS260,BR260,IF(AND(BQ260=BR260,BQ260=BS260),BQ260,BQ260&amp;" + "&amp;BR260&amp;" + "&amp;BS260)))))))</f>
        <v>Quinolones</v>
      </c>
      <c r="BQ260" t="str">
        <f t="shared" ref="BQ260:BQ323" si="90">IFERROR(INDEX(BW$3:BX$18,MATCH(BF260,BW$3:BW$18,0),2),"")</f>
        <v>Quinolones</v>
      </c>
      <c r="BR260" t="str">
        <f t="shared" ref="BR260:BR323" si="91">IFERROR(INDEX(BW$3:BX$18,MATCH(BG260,BW$3:BW$18,0),2),"")</f>
        <v/>
      </c>
      <c r="BS260" t="str">
        <f t="shared" ref="BS260:BS323" si="92">IFERROR(INDEX(BW$3:BX$18,MATCH(BH260,BW$3:BW$18,0),2),"")</f>
        <v/>
      </c>
      <c r="BT260" s="76" t="str">
        <f t="shared" ref="BT260:BT323" si="93">IFERROR(INDEX(CD$3:CE$9,MATCH(BE260,CD$3:CD$9,0),2),"")</f>
        <v>Voie orale  hors prémélanges médicamenteux</v>
      </c>
      <c r="BU260" t="str">
        <f t="shared" ref="BU260:BU323" si="94">IF(BM260="Colistine","x",IF(BN260="Colistine","x",IF(BO260="Colistine","x",IF(BQ260="Fluoroquinolones","x",IF(BR260="Fluoroquinolones","x",IF(BS260="Fluoroquinolones","x",IF(BQ260="Cephalosporines 3&amp;4G","x",IF(BR260="Cephalosporines 3&amp;4G","x",IF(BS260="Cephalosporines 3&amp;4G","x","")))))))))</f>
        <v/>
      </c>
      <c r="CN260">
        <v>259</v>
      </c>
    </row>
    <row r="261" spans="1:92" x14ac:dyDescent="0.3">
      <c r="A261" s="118" t="s">
        <v>2939</v>
      </c>
      <c r="B261" t="s">
        <v>2941</v>
      </c>
      <c r="C261" t="s">
        <v>1293</v>
      </c>
      <c r="D261" s="144" t="s">
        <v>924</v>
      </c>
      <c r="E261" t="s">
        <v>830</v>
      </c>
      <c r="F261" t="s">
        <v>275</v>
      </c>
      <c r="G261" t="s">
        <v>831</v>
      </c>
      <c r="H261" t="s">
        <v>2715</v>
      </c>
      <c r="I261" t="s">
        <v>817</v>
      </c>
      <c r="J261" t="s">
        <v>768</v>
      </c>
      <c r="K261" t="s">
        <v>768</v>
      </c>
      <c r="L261" t="s">
        <v>2121</v>
      </c>
      <c r="M261" t="s">
        <v>208</v>
      </c>
      <c r="N261" t="s">
        <v>780</v>
      </c>
      <c r="O261" t="s">
        <v>894</v>
      </c>
      <c r="P261" t="s">
        <v>772</v>
      </c>
      <c r="Q261" t="s">
        <v>906</v>
      </c>
      <c r="R261">
        <v>10</v>
      </c>
      <c r="S261">
        <v>5</v>
      </c>
      <c r="T261">
        <v>0</v>
      </c>
      <c r="U261">
        <v>0</v>
      </c>
      <c r="V261">
        <v>0</v>
      </c>
      <c r="W261">
        <v>0</v>
      </c>
      <c r="X261">
        <v>0</v>
      </c>
      <c r="Y261">
        <v>0</v>
      </c>
      <c r="Z261">
        <v>10</v>
      </c>
      <c r="AA261">
        <v>5</v>
      </c>
      <c r="AB261">
        <v>10</v>
      </c>
      <c r="AC261">
        <v>5</v>
      </c>
      <c r="AD261">
        <v>10</v>
      </c>
      <c r="AE261">
        <v>5</v>
      </c>
      <c r="AF261">
        <v>10</v>
      </c>
      <c r="AG261">
        <v>5</v>
      </c>
      <c r="AH261">
        <v>0</v>
      </c>
      <c r="AI261">
        <v>0</v>
      </c>
      <c r="AY261" t="str">
        <f t="shared" si="76"/>
        <v>CK 4 - DOXYCYCLINE 50 MG/G</v>
      </c>
      <c r="AZ261" t="str">
        <f>IF(COUNTIF(AY:AY,AY261)=1,AY261,IF(AND(COUNTIF(AY:AY,AY261)&gt;1,COUNTIF(AZ$2:AZ260,AY261)&gt;=1),"",AY261))</f>
        <v/>
      </c>
      <c r="BA261" t="str">
        <f>IF(AZ261="","",COUNTIFS(AZ$3:AZ$1439,"&lt;"&amp;AZ261,AZ$3:AZ$1439,"&lt;&gt;0")+COUNTIF(AZ$3:AZ261,AZ261)-876)</f>
        <v/>
      </c>
      <c r="BC261">
        <v>259</v>
      </c>
      <c r="BD261" t="str">
        <f t="shared" si="87"/>
        <v>INOXYL PATE ORALE</v>
      </c>
      <c r="BE261" t="str">
        <f t="shared" si="77"/>
        <v>ORAL</v>
      </c>
      <c r="BF261" t="str">
        <f t="shared" si="78"/>
        <v>QUINOLONES</v>
      </c>
      <c r="BG261" t="str">
        <f t="shared" si="79"/>
        <v/>
      </c>
      <c r="BH261" t="str">
        <f t="shared" si="80"/>
        <v/>
      </c>
      <c r="BI261" t="str">
        <f t="shared" si="81"/>
        <v>oxolinic acid</v>
      </c>
      <c r="BJ261" t="str">
        <f t="shared" si="82"/>
        <v/>
      </c>
      <c r="BK261" t="str">
        <f t="shared" si="83"/>
        <v/>
      </c>
      <c r="BL261" t="str">
        <f t="shared" si="88"/>
        <v>Acide oxolinique</v>
      </c>
      <c r="BM261" t="str">
        <f t="shared" si="84"/>
        <v>Acide oxolinique</v>
      </c>
      <c r="BN261" t="str">
        <f t="shared" si="85"/>
        <v/>
      </c>
      <c r="BO261" t="str">
        <f t="shared" si="86"/>
        <v/>
      </c>
      <c r="BP261" t="str">
        <f t="shared" si="89"/>
        <v>Quinolones</v>
      </c>
      <c r="BQ261" t="str">
        <f t="shared" si="90"/>
        <v>Quinolones</v>
      </c>
      <c r="BR261" t="str">
        <f t="shared" si="91"/>
        <v/>
      </c>
      <c r="BS261" t="str">
        <f t="shared" si="92"/>
        <v/>
      </c>
      <c r="BT261" s="76" t="str">
        <f t="shared" si="93"/>
        <v>Voie orale  hors prémélanges médicamenteux</v>
      </c>
      <c r="BU261" t="str">
        <f t="shared" si="94"/>
        <v/>
      </c>
      <c r="CN261">
        <v>260</v>
      </c>
    </row>
    <row r="262" spans="1:92" x14ac:dyDescent="0.3">
      <c r="A262" s="118" t="s">
        <v>1723</v>
      </c>
      <c r="B262" t="s">
        <v>1724</v>
      </c>
      <c r="C262" t="s">
        <v>891</v>
      </c>
      <c r="D262" s="144" t="s">
        <v>829</v>
      </c>
      <c r="E262" t="s">
        <v>830</v>
      </c>
      <c r="F262" t="s">
        <v>276</v>
      </c>
      <c r="G262" t="s">
        <v>831</v>
      </c>
      <c r="H262" t="s">
        <v>1697</v>
      </c>
      <c r="I262" t="s">
        <v>817</v>
      </c>
      <c r="J262" t="s">
        <v>768</v>
      </c>
      <c r="K262" t="s">
        <v>768</v>
      </c>
      <c r="L262" t="s">
        <v>769</v>
      </c>
      <c r="M262" t="s">
        <v>208</v>
      </c>
      <c r="N262" t="s">
        <v>906</v>
      </c>
      <c r="O262" t="s">
        <v>894</v>
      </c>
      <c r="P262" t="s">
        <v>772</v>
      </c>
      <c r="Q262" t="s">
        <v>906</v>
      </c>
      <c r="R262">
        <v>20</v>
      </c>
      <c r="S262">
        <v>5</v>
      </c>
      <c r="T262">
        <v>0</v>
      </c>
      <c r="U262">
        <v>0</v>
      </c>
      <c r="V262">
        <v>0</v>
      </c>
      <c r="W262">
        <v>0</v>
      </c>
      <c r="X262">
        <v>0</v>
      </c>
      <c r="Y262">
        <v>0</v>
      </c>
      <c r="Z262">
        <v>20</v>
      </c>
      <c r="AA262">
        <v>5</v>
      </c>
      <c r="AB262">
        <v>20</v>
      </c>
      <c r="AC262">
        <v>5</v>
      </c>
      <c r="AD262">
        <v>20</v>
      </c>
      <c r="AE262">
        <v>5</v>
      </c>
      <c r="AF262">
        <v>20</v>
      </c>
      <c r="AG262">
        <v>5</v>
      </c>
      <c r="AH262">
        <v>0</v>
      </c>
      <c r="AI262">
        <v>0</v>
      </c>
      <c r="AY262" t="str">
        <f t="shared" si="76"/>
        <v>CK 5 - OXYTETRACYCLINE 500 MG/G</v>
      </c>
      <c r="AZ262" t="str">
        <f>IF(COUNTIF(AY:AY,AY262)=1,AY262,IF(AND(COUNTIF(AY:AY,AY262)&gt;1,COUNTIF(AZ$2:AZ261,AY262)&gt;=1),"",AY262))</f>
        <v>CK 5 - OXYTETRACYCLINE 500 MG/G</v>
      </c>
      <c r="BA262">
        <f>IF(AZ262="","",COUNTIFS(AZ$3:AZ$1439,"&lt;"&amp;AZ262,AZ$3:AZ$1439,"&lt;&gt;0")+COUNTIF(AZ$3:AZ262,AZ262)-876)</f>
        <v>106</v>
      </c>
      <c r="BC262">
        <v>260</v>
      </c>
      <c r="BD262" t="str">
        <f t="shared" si="87"/>
        <v>INOXYL POUDRE ORALE</v>
      </c>
      <c r="BE262" t="str">
        <f t="shared" si="77"/>
        <v>ORAL</v>
      </c>
      <c r="BF262" t="str">
        <f t="shared" si="78"/>
        <v>QUINOLONES</v>
      </c>
      <c r="BG262" t="str">
        <f t="shared" si="79"/>
        <v/>
      </c>
      <c r="BH262" t="str">
        <f t="shared" si="80"/>
        <v/>
      </c>
      <c r="BI262" t="str">
        <f t="shared" si="81"/>
        <v>oxolinic acid</v>
      </c>
      <c r="BJ262" t="str">
        <f t="shared" si="82"/>
        <v/>
      </c>
      <c r="BK262" t="str">
        <f t="shared" si="83"/>
        <v/>
      </c>
      <c r="BL262" t="str">
        <f t="shared" si="88"/>
        <v>Acide oxolinique</v>
      </c>
      <c r="BM262" t="str">
        <f t="shared" si="84"/>
        <v>Acide oxolinique</v>
      </c>
      <c r="BN262" t="str">
        <f t="shared" si="85"/>
        <v/>
      </c>
      <c r="BO262" t="str">
        <f t="shared" si="86"/>
        <v/>
      </c>
      <c r="BP262" t="str">
        <f t="shared" si="89"/>
        <v>Quinolones</v>
      </c>
      <c r="BQ262" t="str">
        <f t="shared" si="90"/>
        <v>Quinolones</v>
      </c>
      <c r="BR262" t="str">
        <f t="shared" si="91"/>
        <v/>
      </c>
      <c r="BS262" t="str">
        <f t="shared" si="92"/>
        <v/>
      </c>
      <c r="BT262" s="76" t="str">
        <f t="shared" si="93"/>
        <v>Voie orale  hors prémélanges médicamenteux</v>
      </c>
      <c r="BU262" t="str">
        <f t="shared" si="94"/>
        <v/>
      </c>
      <c r="CN262">
        <v>261</v>
      </c>
    </row>
    <row r="263" spans="1:92" x14ac:dyDescent="0.3">
      <c r="A263" s="118" t="s">
        <v>1723</v>
      </c>
      <c r="B263" t="s">
        <v>1725</v>
      </c>
      <c r="C263" t="s">
        <v>1313</v>
      </c>
      <c r="D263" s="144" t="s">
        <v>955</v>
      </c>
      <c r="E263" t="s">
        <v>830</v>
      </c>
      <c r="F263" t="s">
        <v>276</v>
      </c>
      <c r="G263" t="s">
        <v>831</v>
      </c>
      <c r="H263" t="s">
        <v>1697</v>
      </c>
      <c r="I263" t="s">
        <v>817</v>
      </c>
      <c r="J263" t="s">
        <v>768</v>
      </c>
      <c r="K263" t="s">
        <v>768</v>
      </c>
      <c r="L263" t="s">
        <v>769</v>
      </c>
      <c r="M263" t="s">
        <v>208</v>
      </c>
      <c r="N263" t="s">
        <v>906</v>
      </c>
      <c r="O263" t="s">
        <v>894</v>
      </c>
      <c r="P263" t="s">
        <v>772</v>
      </c>
      <c r="Q263" t="s">
        <v>966</v>
      </c>
      <c r="R263">
        <v>20</v>
      </c>
      <c r="S263">
        <v>5</v>
      </c>
      <c r="T263">
        <v>0</v>
      </c>
      <c r="U263">
        <v>0</v>
      </c>
      <c r="V263">
        <v>0</v>
      </c>
      <c r="W263">
        <v>0</v>
      </c>
      <c r="X263">
        <v>0</v>
      </c>
      <c r="Y263">
        <v>0</v>
      </c>
      <c r="Z263">
        <v>20</v>
      </c>
      <c r="AA263">
        <v>5</v>
      </c>
      <c r="AB263">
        <v>20</v>
      </c>
      <c r="AC263">
        <v>5</v>
      </c>
      <c r="AD263">
        <v>20</v>
      </c>
      <c r="AE263">
        <v>5</v>
      </c>
      <c r="AF263">
        <v>20</v>
      </c>
      <c r="AG263">
        <v>5</v>
      </c>
      <c r="AH263">
        <v>0</v>
      </c>
      <c r="AI263">
        <v>0</v>
      </c>
      <c r="AY263" t="str">
        <f t="shared" si="76"/>
        <v>CK 5 - OXYTETRACYCLINE 500 MG/G</v>
      </c>
      <c r="AZ263" t="str">
        <f>IF(COUNTIF(AY:AY,AY263)=1,AY263,IF(AND(COUNTIF(AY:AY,AY263)&gt;1,COUNTIF(AZ$2:AZ262,AY263)&gt;=1),"",AY263))</f>
        <v/>
      </c>
      <c r="BA263" t="str">
        <f>IF(AZ263="","",COUNTIFS(AZ$3:AZ$1439,"&lt;"&amp;AZ263,AZ$3:AZ$1439,"&lt;&gt;0")+COUNTIF(AZ$3:AZ263,AZ263)-876)</f>
        <v/>
      </c>
      <c r="BC263">
        <v>261</v>
      </c>
      <c r="BD263" t="str">
        <f t="shared" si="87"/>
        <v>INOXYL SOLUTION BUVABLE</v>
      </c>
      <c r="BE263" t="str">
        <f t="shared" si="77"/>
        <v>ORAL</v>
      </c>
      <c r="BF263" t="str">
        <f t="shared" si="78"/>
        <v>QUINOLONES</v>
      </c>
      <c r="BG263" t="str">
        <f t="shared" si="79"/>
        <v/>
      </c>
      <c r="BH263" t="str">
        <f t="shared" si="80"/>
        <v/>
      </c>
      <c r="BI263" t="str">
        <f t="shared" si="81"/>
        <v>oxolinic acid</v>
      </c>
      <c r="BJ263" t="str">
        <f t="shared" si="82"/>
        <v/>
      </c>
      <c r="BK263" t="str">
        <f t="shared" si="83"/>
        <v/>
      </c>
      <c r="BL263" t="str">
        <f t="shared" si="88"/>
        <v>Acide oxolinique</v>
      </c>
      <c r="BM263" t="str">
        <f t="shared" si="84"/>
        <v>Acide oxolinique</v>
      </c>
      <c r="BN263" t="str">
        <f t="shared" si="85"/>
        <v/>
      </c>
      <c r="BO263" t="str">
        <f t="shared" si="86"/>
        <v/>
      </c>
      <c r="BP263" t="str">
        <f t="shared" si="89"/>
        <v>Quinolones</v>
      </c>
      <c r="BQ263" t="str">
        <f t="shared" si="90"/>
        <v>Quinolones</v>
      </c>
      <c r="BR263" t="str">
        <f t="shared" si="91"/>
        <v/>
      </c>
      <c r="BS263" t="str">
        <f t="shared" si="92"/>
        <v/>
      </c>
      <c r="BT263" s="76" t="str">
        <f t="shared" si="93"/>
        <v>Voie orale  hors prémélanges médicamenteux</v>
      </c>
      <c r="BU263" t="str">
        <f t="shared" si="94"/>
        <v/>
      </c>
      <c r="CN263">
        <v>262</v>
      </c>
    </row>
    <row r="264" spans="1:92" x14ac:dyDescent="0.3">
      <c r="A264" s="118" t="s">
        <v>1723</v>
      </c>
      <c r="B264" t="s">
        <v>1726</v>
      </c>
      <c r="C264" t="s">
        <v>1293</v>
      </c>
      <c r="D264" s="144" t="s">
        <v>924</v>
      </c>
      <c r="E264" t="s">
        <v>830</v>
      </c>
      <c r="F264" t="s">
        <v>276</v>
      </c>
      <c r="G264" t="s">
        <v>831</v>
      </c>
      <c r="H264" t="s">
        <v>1697</v>
      </c>
      <c r="I264" t="s">
        <v>817</v>
      </c>
      <c r="J264" t="s">
        <v>768</v>
      </c>
      <c r="K264" t="s">
        <v>768</v>
      </c>
      <c r="L264" t="s">
        <v>769</v>
      </c>
      <c r="M264" t="s">
        <v>208</v>
      </c>
      <c r="N264" t="s">
        <v>906</v>
      </c>
      <c r="O264" t="s">
        <v>894</v>
      </c>
      <c r="P264" t="s">
        <v>772</v>
      </c>
      <c r="Q264" t="s">
        <v>955</v>
      </c>
      <c r="R264">
        <v>20</v>
      </c>
      <c r="S264">
        <v>5</v>
      </c>
      <c r="T264">
        <v>0</v>
      </c>
      <c r="U264">
        <v>0</v>
      </c>
      <c r="V264">
        <v>0</v>
      </c>
      <c r="W264">
        <v>0</v>
      </c>
      <c r="X264">
        <v>0</v>
      </c>
      <c r="Y264">
        <v>0</v>
      </c>
      <c r="Z264">
        <v>20</v>
      </c>
      <c r="AA264">
        <v>5</v>
      </c>
      <c r="AB264">
        <v>20</v>
      </c>
      <c r="AC264">
        <v>5</v>
      </c>
      <c r="AD264">
        <v>20</v>
      </c>
      <c r="AE264">
        <v>5</v>
      </c>
      <c r="AF264">
        <v>20</v>
      </c>
      <c r="AG264">
        <v>5</v>
      </c>
      <c r="AH264">
        <v>0</v>
      </c>
      <c r="AI264">
        <v>0</v>
      </c>
      <c r="AY264" t="str">
        <f t="shared" si="76"/>
        <v>CK 5 - OXYTETRACYCLINE 500 MG/G</v>
      </c>
      <c r="AZ264" t="str">
        <f>IF(COUNTIF(AY:AY,AY264)=1,AY264,IF(AND(COUNTIF(AY:AY,AY264)&gt;1,COUNTIF(AZ$2:AZ263,AY264)&gt;=1),"",AY264))</f>
        <v/>
      </c>
      <c r="BA264" t="str">
        <f>IF(AZ264="","",COUNTIFS(AZ$3:AZ$1439,"&lt;"&amp;AZ264,AZ$3:AZ$1439,"&lt;&gt;0")+COUNTIF(AZ$3:AZ264,AZ264)-876)</f>
        <v/>
      </c>
      <c r="BC264">
        <v>262</v>
      </c>
      <c r="BD264" t="str">
        <f t="shared" si="87"/>
        <v>INTESTIVO</v>
      </c>
      <c r="BE264" t="str">
        <f t="shared" si="77"/>
        <v>ORAL</v>
      </c>
      <c r="BF264" t="str">
        <f t="shared" si="78"/>
        <v>SULFAMIDES</v>
      </c>
      <c r="BG264" t="str">
        <f t="shared" si="79"/>
        <v>POLYPEPTIDES</v>
      </c>
      <c r="BH264" t="str">
        <f t="shared" si="80"/>
        <v/>
      </c>
      <c r="BI264" t="str">
        <f t="shared" si="81"/>
        <v>sulfaguanidine</v>
      </c>
      <c r="BJ264" t="str">
        <f t="shared" si="82"/>
        <v>colistin</v>
      </c>
      <c r="BK264" t="str">
        <f t="shared" si="83"/>
        <v/>
      </c>
      <c r="BL264" t="str">
        <f t="shared" si="88"/>
        <v>Sulfaguanidine + Colistine</v>
      </c>
      <c r="BM264" t="str">
        <f t="shared" si="84"/>
        <v>Sulfaguanidine</v>
      </c>
      <c r="BN264" t="str">
        <f t="shared" si="85"/>
        <v>Colistine</v>
      </c>
      <c r="BO264" t="str">
        <f t="shared" si="86"/>
        <v/>
      </c>
      <c r="BP264" t="str">
        <f t="shared" si="89"/>
        <v>Sulfamides + Polypeptides</v>
      </c>
      <c r="BQ264" t="str">
        <f t="shared" si="90"/>
        <v>Sulfamides</v>
      </c>
      <c r="BR264" t="str">
        <f t="shared" si="91"/>
        <v>Polypeptides</v>
      </c>
      <c r="BS264" t="str">
        <f t="shared" si="92"/>
        <v/>
      </c>
      <c r="BT264" s="76" t="str">
        <f t="shared" si="93"/>
        <v>Voie orale  hors prémélanges médicamenteux</v>
      </c>
      <c r="BU264" t="str">
        <f t="shared" si="94"/>
        <v>x</v>
      </c>
      <c r="CN264">
        <v>263</v>
      </c>
    </row>
    <row r="265" spans="1:92" x14ac:dyDescent="0.3">
      <c r="A265" s="118" t="s">
        <v>3172</v>
      </c>
      <c r="B265" t="s">
        <v>3173</v>
      </c>
      <c r="C265" t="s">
        <v>1243</v>
      </c>
      <c r="D265" s="144" t="s">
        <v>955</v>
      </c>
      <c r="E265" t="s">
        <v>765</v>
      </c>
      <c r="F265" t="s">
        <v>277</v>
      </c>
      <c r="G265" t="s">
        <v>956</v>
      </c>
      <c r="H265" t="s">
        <v>4456</v>
      </c>
      <c r="I265" t="s">
        <v>817</v>
      </c>
      <c r="J265" t="s">
        <v>928</v>
      </c>
      <c r="K265" t="s">
        <v>862</v>
      </c>
      <c r="L265" t="s">
        <v>938</v>
      </c>
      <c r="M265" t="s">
        <v>208</v>
      </c>
      <c r="N265" t="s">
        <v>2319</v>
      </c>
      <c r="O265" t="s">
        <v>771</v>
      </c>
      <c r="P265" t="s">
        <v>772</v>
      </c>
      <c r="Q265" t="s">
        <v>2331</v>
      </c>
      <c r="R265">
        <v>25</v>
      </c>
      <c r="S265">
        <v>7</v>
      </c>
      <c r="T265">
        <v>0</v>
      </c>
      <c r="U265">
        <v>0</v>
      </c>
      <c r="V265">
        <v>0</v>
      </c>
      <c r="W265">
        <v>0</v>
      </c>
      <c r="X265">
        <v>0</v>
      </c>
      <c r="Y265">
        <v>0</v>
      </c>
      <c r="Z265">
        <v>25</v>
      </c>
      <c r="AA265">
        <v>7</v>
      </c>
      <c r="AB265">
        <v>25</v>
      </c>
      <c r="AC265">
        <v>7</v>
      </c>
      <c r="AD265">
        <v>25</v>
      </c>
      <c r="AE265">
        <v>7</v>
      </c>
      <c r="AF265">
        <v>25</v>
      </c>
      <c r="AG265">
        <v>7</v>
      </c>
      <c r="AH265">
        <v>0</v>
      </c>
      <c r="AI265">
        <v>0</v>
      </c>
      <c r="AJ265" t="s">
        <v>930</v>
      </c>
      <c r="AK265" t="s">
        <v>931</v>
      </c>
      <c r="AL265" t="s">
        <v>208</v>
      </c>
      <c r="AM265" t="s">
        <v>2321</v>
      </c>
      <c r="AN265" t="s">
        <v>771</v>
      </c>
      <c r="AO265" t="s">
        <v>772</v>
      </c>
      <c r="AP265" t="s">
        <v>2332</v>
      </c>
      <c r="AY265" t="str">
        <f t="shared" si="76"/>
        <v>CK 7 - TRIMETHOPRIME 16,65 MG/ML SULFADIAZINE 83,35 MG/ML</v>
      </c>
      <c r="AZ265" t="str">
        <f>IF(COUNTIF(AY:AY,AY265)=1,AY265,IF(AND(COUNTIF(AY:AY,AY265)&gt;1,COUNTIF(AZ$2:AZ264,AY265)&gt;=1),"",AY265))</f>
        <v>CK 7 - TRIMETHOPRIME 16,65 MG/ML SULFADIAZINE 83,35 MG/ML</v>
      </c>
      <c r="BA265">
        <f>IF(AZ265="","",COUNTIFS(AZ$3:AZ$1439,"&lt;"&amp;AZ265,AZ$3:AZ$1439,"&lt;&gt;0")+COUNTIF(AZ$3:AZ265,AZ265)-876)</f>
        <v>107</v>
      </c>
      <c r="BC265">
        <v>263</v>
      </c>
      <c r="BD265" t="str">
        <f t="shared" si="87"/>
        <v>INTRAMICINE</v>
      </c>
      <c r="BE265" t="str">
        <f t="shared" si="77"/>
        <v>INJ</v>
      </c>
      <c r="BF265" t="str">
        <f t="shared" si="78"/>
        <v>AMINOGLYCOSIDES</v>
      </c>
      <c r="BG265" t="str">
        <f t="shared" si="79"/>
        <v>PENICILLINES</v>
      </c>
      <c r="BH265" t="str">
        <f t="shared" si="80"/>
        <v/>
      </c>
      <c r="BI265" t="str">
        <f t="shared" si="81"/>
        <v>dihydrostreptomycin</v>
      </c>
      <c r="BJ265" t="str">
        <f t="shared" si="82"/>
        <v>benzylpenicillin</v>
      </c>
      <c r="BK265" t="str">
        <f t="shared" si="83"/>
        <v/>
      </c>
      <c r="BL265" t="str">
        <f t="shared" si="88"/>
        <v>Dihydrostreptomycine + Benzylpénicilline</v>
      </c>
      <c r="BM265" t="str">
        <f t="shared" si="84"/>
        <v>Dihydrostreptomycine</v>
      </c>
      <c r="BN265" t="str">
        <f t="shared" si="85"/>
        <v>Benzylpénicilline</v>
      </c>
      <c r="BO265" t="str">
        <f t="shared" si="86"/>
        <v/>
      </c>
      <c r="BP265" t="str">
        <f t="shared" si="89"/>
        <v>Aminoglycosides + Penicillines</v>
      </c>
      <c r="BQ265" t="str">
        <f t="shared" si="90"/>
        <v>Aminoglycosides</v>
      </c>
      <c r="BR265" t="str">
        <f t="shared" si="91"/>
        <v>Penicillines</v>
      </c>
      <c r="BS265" t="str">
        <f t="shared" si="92"/>
        <v/>
      </c>
      <c r="BT265" s="76" t="str">
        <f t="shared" si="93"/>
        <v>Voie parentérale</v>
      </c>
      <c r="BU265" t="str">
        <f t="shared" si="94"/>
        <v/>
      </c>
      <c r="CN265">
        <v>264</v>
      </c>
    </row>
    <row r="266" spans="1:92" x14ac:dyDescent="0.3">
      <c r="A266" s="118" t="s">
        <v>3172</v>
      </c>
      <c r="B266" t="s">
        <v>3174</v>
      </c>
      <c r="C266" t="s">
        <v>3175</v>
      </c>
      <c r="D266" s="144" t="s">
        <v>924</v>
      </c>
      <c r="E266" t="s">
        <v>765</v>
      </c>
      <c r="F266" t="s">
        <v>277</v>
      </c>
      <c r="G266" t="s">
        <v>956</v>
      </c>
      <c r="H266" t="s">
        <v>4456</v>
      </c>
      <c r="I266" t="s">
        <v>817</v>
      </c>
      <c r="J266" t="s">
        <v>928</v>
      </c>
      <c r="K266" t="s">
        <v>862</v>
      </c>
      <c r="L266" t="s">
        <v>938</v>
      </c>
      <c r="M266" t="s">
        <v>208</v>
      </c>
      <c r="N266" t="s">
        <v>2319</v>
      </c>
      <c r="O266" t="s">
        <v>771</v>
      </c>
      <c r="P266" t="s">
        <v>772</v>
      </c>
      <c r="Q266" t="s">
        <v>2866</v>
      </c>
      <c r="R266">
        <v>25</v>
      </c>
      <c r="S266">
        <v>7</v>
      </c>
      <c r="T266">
        <v>0</v>
      </c>
      <c r="U266">
        <v>0</v>
      </c>
      <c r="V266">
        <v>0</v>
      </c>
      <c r="W266">
        <v>0</v>
      </c>
      <c r="X266">
        <v>0</v>
      </c>
      <c r="Y266">
        <v>0</v>
      </c>
      <c r="Z266">
        <v>25</v>
      </c>
      <c r="AA266">
        <v>7</v>
      </c>
      <c r="AB266">
        <v>25</v>
      </c>
      <c r="AC266">
        <v>7</v>
      </c>
      <c r="AD266">
        <v>25</v>
      </c>
      <c r="AE266">
        <v>7</v>
      </c>
      <c r="AF266">
        <v>25</v>
      </c>
      <c r="AG266">
        <v>7</v>
      </c>
      <c r="AH266">
        <v>0</v>
      </c>
      <c r="AI266">
        <v>0</v>
      </c>
      <c r="AJ266" t="s">
        <v>930</v>
      </c>
      <c r="AK266" t="s">
        <v>931</v>
      </c>
      <c r="AL266" t="s">
        <v>208</v>
      </c>
      <c r="AM266" t="s">
        <v>2321</v>
      </c>
      <c r="AN266" t="s">
        <v>771</v>
      </c>
      <c r="AO266" t="s">
        <v>772</v>
      </c>
      <c r="AP266" t="s">
        <v>2867</v>
      </c>
      <c r="AY266" t="str">
        <f t="shared" si="76"/>
        <v>CK 7 - TRIMETHOPRIME 16,65 MG/ML SULFADIAZINE 83,35 MG/ML</v>
      </c>
      <c r="AZ266" t="str">
        <f>IF(COUNTIF(AY:AY,AY266)=1,AY266,IF(AND(COUNTIF(AY:AY,AY266)&gt;1,COUNTIF(AZ$2:AZ265,AY266)&gt;=1),"",AY266))</f>
        <v/>
      </c>
      <c r="BA266" t="str">
        <f>IF(AZ266="","",COUNTIFS(AZ$3:AZ$1439,"&lt;"&amp;AZ266,AZ$3:AZ$1439,"&lt;&gt;0")+COUNTIF(AZ$3:AZ266,AZ266)-876)</f>
        <v/>
      </c>
      <c r="BC266">
        <v>264</v>
      </c>
      <c r="BD266" t="str">
        <f t="shared" si="87"/>
        <v>KARIFLOX 10 % SOLUTION BUVABLE POUR POULES ET DINDES</v>
      </c>
      <c r="BE266" t="str">
        <f t="shared" si="77"/>
        <v>ORAL</v>
      </c>
      <c r="BF266" t="str">
        <f t="shared" si="78"/>
        <v>FLUOROQUINOLONES</v>
      </c>
      <c r="BG266" t="str">
        <f t="shared" si="79"/>
        <v/>
      </c>
      <c r="BH266" t="str">
        <f t="shared" si="80"/>
        <v/>
      </c>
      <c r="BI266" t="str">
        <f t="shared" si="81"/>
        <v>enrofloxacin</v>
      </c>
      <c r="BJ266" t="str">
        <f t="shared" si="82"/>
        <v/>
      </c>
      <c r="BK266" t="str">
        <f t="shared" si="83"/>
        <v/>
      </c>
      <c r="BL266" t="str">
        <f t="shared" si="88"/>
        <v>Enrofloxacine</v>
      </c>
      <c r="BM266" t="str">
        <f t="shared" si="84"/>
        <v>Enrofloxacine</v>
      </c>
      <c r="BN266" t="str">
        <f t="shared" si="85"/>
        <v/>
      </c>
      <c r="BO266" t="str">
        <f t="shared" si="86"/>
        <v/>
      </c>
      <c r="BP266" t="str">
        <f t="shared" si="89"/>
        <v>Fluoroquinolones</v>
      </c>
      <c r="BQ266" t="str">
        <f t="shared" si="90"/>
        <v>Fluoroquinolones</v>
      </c>
      <c r="BR266" t="str">
        <f t="shared" si="91"/>
        <v/>
      </c>
      <c r="BS266" t="str">
        <f t="shared" si="92"/>
        <v/>
      </c>
      <c r="BT266" s="76" t="str">
        <f t="shared" si="93"/>
        <v>Voie orale  hors prémélanges médicamenteux</v>
      </c>
      <c r="BU266" t="str">
        <f t="shared" si="94"/>
        <v>x</v>
      </c>
      <c r="CN266">
        <v>265</v>
      </c>
    </row>
    <row r="267" spans="1:92" x14ac:dyDescent="0.3">
      <c r="A267" s="118" t="s">
        <v>3231</v>
      </c>
      <c r="B267" t="s">
        <v>3232</v>
      </c>
      <c r="C267" t="s">
        <v>3053</v>
      </c>
      <c r="D267" s="144" t="s">
        <v>764</v>
      </c>
      <c r="E267" t="s">
        <v>830</v>
      </c>
      <c r="F267" t="s">
        <v>278</v>
      </c>
      <c r="G267" t="s">
        <v>831</v>
      </c>
      <c r="H267" t="s">
        <v>832</v>
      </c>
      <c r="I267" t="s">
        <v>817</v>
      </c>
      <c r="J267" t="s">
        <v>802</v>
      </c>
      <c r="K267" t="s">
        <v>802</v>
      </c>
      <c r="L267" t="s">
        <v>1092</v>
      </c>
      <c r="M267" t="s">
        <v>208</v>
      </c>
      <c r="N267" t="s">
        <v>829</v>
      </c>
      <c r="O267" t="s">
        <v>894</v>
      </c>
      <c r="P267" t="s">
        <v>772</v>
      </c>
      <c r="Q267" t="s">
        <v>764</v>
      </c>
      <c r="R267">
        <v>40</v>
      </c>
      <c r="S267">
        <v>14</v>
      </c>
      <c r="T267">
        <v>0</v>
      </c>
      <c r="U267">
        <v>0</v>
      </c>
      <c r="V267">
        <v>0</v>
      </c>
      <c r="W267">
        <v>0</v>
      </c>
      <c r="X267">
        <v>0</v>
      </c>
      <c r="Y267">
        <v>0</v>
      </c>
      <c r="Z267">
        <v>0</v>
      </c>
      <c r="AA267">
        <v>0</v>
      </c>
      <c r="AB267">
        <v>0</v>
      </c>
      <c r="AC267">
        <v>0</v>
      </c>
      <c r="AD267">
        <v>25</v>
      </c>
      <c r="AE267">
        <v>10</v>
      </c>
      <c r="AF267">
        <v>100</v>
      </c>
      <c r="AG267">
        <v>5</v>
      </c>
      <c r="AH267">
        <v>0</v>
      </c>
      <c r="AI267">
        <v>0</v>
      </c>
      <c r="AY267" t="str">
        <f t="shared" si="76"/>
        <v>CK 8 - TYLOSINE 100 MUI</v>
      </c>
      <c r="AZ267" t="str">
        <f>IF(COUNTIF(AY:AY,AY267)=1,AY267,IF(AND(COUNTIF(AY:AY,AY267)&gt;1,COUNTIF(AZ$2:AZ266,AY267)&gt;=1),"",AY267))</f>
        <v>CK 8 - TYLOSINE 100 MUI</v>
      </c>
      <c r="BA267">
        <f>IF(AZ267="","",COUNTIFS(AZ$3:AZ$1439,"&lt;"&amp;AZ267,AZ$3:AZ$1439,"&lt;&gt;0")+COUNTIF(AZ$3:AZ267,AZ267)-876)</f>
        <v>108</v>
      </c>
      <c r="BC267">
        <v>265</v>
      </c>
      <c r="BD267" t="str">
        <f t="shared" si="87"/>
        <v>KEFLORIL 300 MG/ML SOLUTION INJECTABLE POUR BOVINS ET PORCINS</v>
      </c>
      <c r="BE267" t="str">
        <f t="shared" si="77"/>
        <v>INJ</v>
      </c>
      <c r="BF267" t="str">
        <f t="shared" si="78"/>
        <v>PHENICOLES</v>
      </c>
      <c r="BG267" t="str">
        <f t="shared" si="79"/>
        <v/>
      </c>
      <c r="BH267" t="str">
        <f t="shared" si="80"/>
        <v/>
      </c>
      <c r="BI267" t="str">
        <f t="shared" si="81"/>
        <v>florfenicol</v>
      </c>
      <c r="BJ267" t="str">
        <f t="shared" si="82"/>
        <v/>
      </c>
      <c r="BK267" t="str">
        <f t="shared" si="83"/>
        <v/>
      </c>
      <c r="BL267" t="str">
        <f t="shared" si="88"/>
        <v>Florfénicol</v>
      </c>
      <c r="BM267" t="str">
        <f t="shared" si="84"/>
        <v>Florfénicol</v>
      </c>
      <c r="BN267" t="str">
        <f t="shared" si="85"/>
        <v/>
      </c>
      <c r="BO267" t="str">
        <f t="shared" si="86"/>
        <v/>
      </c>
      <c r="BP267" t="str">
        <f t="shared" si="89"/>
        <v>Phenicoles</v>
      </c>
      <c r="BQ267" t="str">
        <f t="shared" si="90"/>
        <v>Phenicoles</v>
      </c>
      <c r="BR267" t="str">
        <f t="shared" si="91"/>
        <v/>
      </c>
      <c r="BS267" t="str">
        <f t="shared" si="92"/>
        <v/>
      </c>
      <c r="BT267" s="76" t="str">
        <f t="shared" si="93"/>
        <v>Voie parentérale</v>
      </c>
      <c r="BU267" t="str">
        <f t="shared" si="94"/>
        <v/>
      </c>
      <c r="CN267">
        <v>266</v>
      </c>
    </row>
    <row r="268" spans="1:92" x14ac:dyDescent="0.3">
      <c r="A268" s="118" t="s">
        <v>1727</v>
      </c>
      <c r="B268" t="s">
        <v>1728</v>
      </c>
      <c r="C268" t="s">
        <v>1729</v>
      </c>
      <c r="D268" s="144" t="s">
        <v>955</v>
      </c>
      <c r="E268" t="s">
        <v>830</v>
      </c>
      <c r="F268" t="s">
        <v>279</v>
      </c>
      <c r="G268" t="s">
        <v>831</v>
      </c>
      <c r="H268" t="s">
        <v>1213</v>
      </c>
      <c r="I268" t="s">
        <v>817</v>
      </c>
      <c r="J268" t="s">
        <v>802</v>
      </c>
      <c r="K268" t="s">
        <v>802</v>
      </c>
      <c r="L268" t="s">
        <v>1092</v>
      </c>
      <c r="M268" t="s">
        <v>208</v>
      </c>
      <c r="N268" t="s">
        <v>1730</v>
      </c>
      <c r="O268" t="s">
        <v>834</v>
      </c>
      <c r="P268" t="s">
        <v>1537</v>
      </c>
      <c r="Q268" t="s">
        <v>1731</v>
      </c>
      <c r="R268">
        <v>0</v>
      </c>
      <c r="S268">
        <v>0</v>
      </c>
      <c r="T268">
        <v>0</v>
      </c>
      <c r="U268">
        <v>0</v>
      </c>
      <c r="V268">
        <v>0</v>
      </c>
      <c r="W268">
        <v>0</v>
      </c>
      <c r="X268">
        <v>0</v>
      </c>
      <c r="Y268">
        <v>0</v>
      </c>
      <c r="Z268">
        <v>0</v>
      </c>
      <c r="AA268">
        <v>0</v>
      </c>
      <c r="AB268">
        <v>18.399999999999999</v>
      </c>
      <c r="AC268">
        <v>5</v>
      </c>
      <c r="AD268">
        <v>18.399999999999999</v>
      </c>
      <c r="AE268">
        <v>5</v>
      </c>
      <c r="AF268">
        <v>100</v>
      </c>
      <c r="AG268">
        <v>5</v>
      </c>
      <c r="AH268">
        <v>0</v>
      </c>
      <c r="AI268">
        <v>0</v>
      </c>
      <c r="AY268" t="str">
        <f t="shared" si="76"/>
        <v>CK 9 - TYLOSINE 92 000 UI/G</v>
      </c>
      <c r="AZ268" t="str">
        <f>IF(COUNTIF(AY:AY,AY268)=1,AY268,IF(AND(COUNTIF(AY:AY,AY268)&gt;1,COUNTIF(AZ$2:AZ267,AY268)&gt;=1),"",AY268))</f>
        <v>CK 9 - TYLOSINE 92 000 UI/G</v>
      </c>
      <c r="BA268">
        <f>IF(AZ268="","",COUNTIFS(AZ$3:AZ$1439,"&lt;"&amp;AZ268,AZ$3:AZ$1439,"&lt;&gt;0")+COUNTIF(AZ$3:AZ268,AZ268)-876)</f>
        <v>109</v>
      </c>
      <c r="BC268">
        <v>266</v>
      </c>
      <c r="BD268" t="str">
        <f t="shared" si="87"/>
        <v>KELACYL 100 MG/ML SOLUTION INJECTABLE POUR BOVINS ET PORCINS</v>
      </c>
      <c r="BE268" t="str">
        <f t="shared" si="77"/>
        <v>INJ</v>
      </c>
      <c r="BF268" t="str">
        <f t="shared" si="78"/>
        <v>FLUOROQUINOLONES</v>
      </c>
      <c r="BG268" t="str">
        <f t="shared" si="79"/>
        <v/>
      </c>
      <c r="BH268" t="str">
        <f t="shared" si="80"/>
        <v/>
      </c>
      <c r="BI268" t="str">
        <f t="shared" si="81"/>
        <v>marbofloxacin</v>
      </c>
      <c r="BJ268" t="str">
        <f t="shared" si="82"/>
        <v/>
      </c>
      <c r="BK268" t="str">
        <f t="shared" si="83"/>
        <v/>
      </c>
      <c r="BL268" t="str">
        <f t="shared" si="88"/>
        <v>Marbofloxacine</v>
      </c>
      <c r="BM268" t="str">
        <f t="shared" si="84"/>
        <v>Marbofloxacine</v>
      </c>
      <c r="BN268" t="str">
        <f t="shared" si="85"/>
        <v/>
      </c>
      <c r="BO268" t="str">
        <f t="shared" si="86"/>
        <v/>
      </c>
      <c r="BP268" t="str">
        <f t="shared" si="89"/>
        <v>Fluoroquinolones</v>
      </c>
      <c r="BQ268" t="str">
        <f t="shared" si="90"/>
        <v>Fluoroquinolones</v>
      </c>
      <c r="BR268" t="str">
        <f t="shared" si="91"/>
        <v/>
      </c>
      <c r="BS268" t="str">
        <f t="shared" si="92"/>
        <v/>
      </c>
      <c r="BT268" s="76" t="str">
        <f t="shared" si="93"/>
        <v>Voie parentérale</v>
      </c>
      <c r="BU268" t="str">
        <f t="shared" si="94"/>
        <v>x</v>
      </c>
      <c r="CN268">
        <v>267</v>
      </c>
    </row>
    <row r="269" spans="1:92" x14ac:dyDescent="0.3">
      <c r="A269" s="118" t="s">
        <v>1727</v>
      </c>
      <c r="B269" t="s">
        <v>1732</v>
      </c>
      <c r="C269" t="s">
        <v>1293</v>
      </c>
      <c r="D269" s="144" t="s">
        <v>924</v>
      </c>
      <c r="E269" t="s">
        <v>830</v>
      </c>
      <c r="F269" t="s">
        <v>279</v>
      </c>
      <c r="G269" t="s">
        <v>831</v>
      </c>
      <c r="H269" t="s">
        <v>1213</v>
      </c>
      <c r="I269" t="s">
        <v>817</v>
      </c>
      <c r="J269" t="s">
        <v>802</v>
      </c>
      <c r="K269" t="s">
        <v>802</v>
      </c>
      <c r="L269" t="s">
        <v>1092</v>
      </c>
      <c r="M269" t="s">
        <v>208</v>
      </c>
      <c r="N269" t="s">
        <v>1730</v>
      </c>
      <c r="O269" t="s">
        <v>834</v>
      </c>
      <c r="P269" t="s">
        <v>1537</v>
      </c>
      <c r="Q269" t="s">
        <v>958</v>
      </c>
      <c r="R269">
        <v>0</v>
      </c>
      <c r="S269">
        <v>0</v>
      </c>
      <c r="T269">
        <v>0</v>
      </c>
      <c r="U269">
        <v>0</v>
      </c>
      <c r="V269">
        <v>0</v>
      </c>
      <c r="W269">
        <v>0</v>
      </c>
      <c r="X269">
        <v>0</v>
      </c>
      <c r="Y269">
        <v>0</v>
      </c>
      <c r="Z269">
        <v>0</v>
      </c>
      <c r="AA269">
        <v>0</v>
      </c>
      <c r="AB269">
        <v>18.399999999999999</v>
      </c>
      <c r="AC269">
        <v>5</v>
      </c>
      <c r="AD269">
        <v>18.399999999999999</v>
      </c>
      <c r="AE269">
        <v>5</v>
      </c>
      <c r="AF269">
        <v>100</v>
      </c>
      <c r="AG269">
        <v>5</v>
      </c>
      <c r="AH269">
        <v>0</v>
      </c>
      <c r="AI269">
        <v>0</v>
      </c>
      <c r="AY269" t="str">
        <f t="shared" si="76"/>
        <v>CK 9 - TYLOSINE 92 000 UI/G</v>
      </c>
      <c r="AZ269" t="str">
        <f>IF(COUNTIF(AY:AY,AY269)=1,AY269,IF(AND(COUNTIF(AY:AY,AY269)&gt;1,COUNTIF(AZ$2:AZ268,AY269)&gt;=1),"",AY269))</f>
        <v/>
      </c>
      <c r="BA269" t="str">
        <f>IF(AZ269="","",COUNTIFS(AZ$3:AZ$1439,"&lt;"&amp;AZ269,AZ$3:AZ$1439,"&lt;&gt;0")+COUNTIF(AZ$3:AZ269,AZ269)-876)</f>
        <v/>
      </c>
      <c r="BC269">
        <v>267</v>
      </c>
      <c r="BD269" t="str">
        <f t="shared" si="87"/>
        <v>K-VET DOXYCYCLINE 50 MG/G POUDRE</v>
      </c>
      <c r="BE269" t="str">
        <f t="shared" si="77"/>
        <v>ORAL</v>
      </c>
      <c r="BF269" t="str">
        <f t="shared" si="78"/>
        <v>TETRACYCLINES</v>
      </c>
      <c r="BG269" t="str">
        <f t="shared" si="79"/>
        <v/>
      </c>
      <c r="BH269" t="str">
        <f t="shared" si="80"/>
        <v/>
      </c>
      <c r="BI269" t="str">
        <f t="shared" si="81"/>
        <v>doxycycline</v>
      </c>
      <c r="BJ269" t="str">
        <f t="shared" si="82"/>
        <v/>
      </c>
      <c r="BK269" t="str">
        <f t="shared" si="83"/>
        <v/>
      </c>
      <c r="BL269" t="str">
        <f t="shared" si="88"/>
        <v>Doxycycline</v>
      </c>
      <c r="BM269" t="str">
        <f t="shared" si="84"/>
        <v>Doxycycline</v>
      </c>
      <c r="BN269" t="str">
        <f t="shared" si="85"/>
        <v/>
      </c>
      <c r="BO269" t="str">
        <f t="shared" si="86"/>
        <v/>
      </c>
      <c r="BP269" t="str">
        <f t="shared" si="89"/>
        <v>Tetracyclines</v>
      </c>
      <c r="BQ269" t="str">
        <f t="shared" si="90"/>
        <v>Tetracyclines</v>
      </c>
      <c r="BR269" t="str">
        <f t="shared" si="91"/>
        <v/>
      </c>
      <c r="BS269" t="str">
        <f t="shared" si="92"/>
        <v/>
      </c>
      <c r="BT269" s="76" t="str">
        <f t="shared" si="93"/>
        <v>Voie orale  hors prémélanges médicamenteux</v>
      </c>
      <c r="BU269" t="str">
        <f t="shared" si="94"/>
        <v/>
      </c>
      <c r="CN269">
        <v>268</v>
      </c>
    </row>
    <row r="270" spans="1:92" x14ac:dyDescent="0.3">
      <c r="A270" s="118" t="s">
        <v>1727</v>
      </c>
      <c r="B270" t="s">
        <v>1733</v>
      </c>
      <c r="C270" t="s">
        <v>1734</v>
      </c>
      <c r="D270" s="144" t="s">
        <v>955</v>
      </c>
      <c r="E270" t="s">
        <v>830</v>
      </c>
      <c r="F270" t="s">
        <v>279</v>
      </c>
      <c r="G270" t="s">
        <v>831</v>
      </c>
      <c r="H270" t="s">
        <v>1213</v>
      </c>
      <c r="I270" t="s">
        <v>817</v>
      </c>
      <c r="J270" t="s">
        <v>802</v>
      </c>
      <c r="K270" t="s">
        <v>802</v>
      </c>
      <c r="L270" t="s">
        <v>1092</v>
      </c>
      <c r="M270" t="s">
        <v>208</v>
      </c>
      <c r="N270" t="s">
        <v>1730</v>
      </c>
      <c r="O270" t="s">
        <v>834</v>
      </c>
      <c r="P270" t="s">
        <v>1537</v>
      </c>
      <c r="Q270" t="s">
        <v>1731</v>
      </c>
      <c r="R270">
        <v>0</v>
      </c>
      <c r="S270">
        <v>0</v>
      </c>
      <c r="T270">
        <v>0</v>
      </c>
      <c r="U270">
        <v>0</v>
      </c>
      <c r="V270">
        <v>0</v>
      </c>
      <c r="W270">
        <v>0</v>
      </c>
      <c r="X270">
        <v>0</v>
      </c>
      <c r="Y270">
        <v>0</v>
      </c>
      <c r="Z270">
        <v>0</v>
      </c>
      <c r="AA270">
        <v>0</v>
      </c>
      <c r="AB270">
        <v>18.399999999999999</v>
      </c>
      <c r="AC270">
        <v>5</v>
      </c>
      <c r="AD270">
        <v>18.399999999999999</v>
      </c>
      <c r="AE270">
        <v>5</v>
      </c>
      <c r="AF270">
        <v>100</v>
      </c>
      <c r="AG270">
        <v>5</v>
      </c>
      <c r="AH270">
        <v>0</v>
      </c>
      <c r="AI270">
        <v>0</v>
      </c>
      <c r="AY270" t="str">
        <f t="shared" si="76"/>
        <v>CK 9 - TYLOSINE 92 000 UI/G</v>
      </c>
      <c r="AZ270" t="str">
        <f>IF(COUNTIF(AY:AY,AY270)=1,AY270,IF(AND(COUNTIF(AY:AY,AY270)&gt;1,COUNTIF(AZ$2:AZ269,AY270)&gt;=1),"",AY270))</f>
        <v/>
      </c>
      <c r="BA270" t="str">
        <f>IF(AZ270="","",COUNTIFS(AZ$3:AZ$1439,"&lt;"&amp;AZ270,AZ$3:AZ$1439,"&lt;&gt;0")+COUNTIF(AZ$3:AZ270,AZ270)-876)</f>
        <v/>
      </c>
      <c r="BC270">
        <v>268</v>
      </c>
      <c r="BD270" t="str">
        <f t="shared" si="87"/>
        <v>K-VET OTC 500 MG/G POUDRE POUR ADMINISTRATION DANS L’EAU DE BOISSON, LE LAIT ET L’ALIMENT D’ALLAITEMENT</v>
      </c>
      <c r="BE270" t="str">
        <f t="shared" si="77"/>
        <v>ORAL</v>
      </c>
      <c r="BF270" t="str">
        <f t="shared" si="78"/>
        <v>TETRACYCLINES</v>
      </c>
      <c r="BG270" t="str">
        <f t="shared" si="79"/>
        <v/>
      </c>
      <c r="BH270" t="str">
        <f t="shared" si="80"/>
        <v/>
      </c>
      <c r="BI270" t="str">
        <f t="shared" si="81"/>
        <v>oxytetracycline</v>
      </c>
      <c r="BJ270" t="str">
        <f t="shared" si="82"/>
        <v/>
      </c>
      <c r="BK270" t="str">
        <f t="shared" si="83"/>
        <v/>
      </c>
      <c r="BL270" t="str">
        <f t="shared" si="88"/>
        <v>Oxytétracycline</v>
      </c>
      <c r="BM270" t="str">
        <f t="shared" si="84"/>
        <v>Oxytétracycline</v>
      </c>
      <c r="BN270" t="str">
        <f t="shared" si="85"/>
        <v/>
      </c>
      <c r="BO270" t="str">
        <f t="shared" si="86"/>
        <v/>
      </c>
      <c r="BP270" t="str">
        <f t="shared" si="89"/>
        <v>Tetracyclines</v>
      </c>
      <c r="BQ270" t="str">
        <f t="shared" si="90"/>
        <v>Tetracyclines</v>
      </c>
      <c r="BR270" t="str">
        <f t="shared" si="91"/>
        <v/>
      </c>
      <c r="BS270" t="str">
        <f t="shared" si="92"/>
        <v/>
      </c>
      <c r="BT270" s="76" t="str">
        <f t="shared" si="93"/>
        <v>Voie orale  hors prémélanges médicamenteux</v>
      </c>
      <c r="BU270" t="str">
        <f t="shared" si="94"/>
        <v/>
      </c>
      <c r="CN270">
        <v>269</v>
      </c>
    </row>
    <row r="271" spans="1:92" x14ac:dyDescent="0.3">
      <c r="A271" s="118" t="s">
        <v>3464</v>
      </c>
      <c r="B271" t="s">
        <v>3465</v>
      </c>
      <c r="C271" t="s">
        <v>891</v>
      </c>
      <c r="D271" s="144" t="s">
        <v>829</v>
      </c>
      <c r="E271" t="s">
        <v>830</v>
      </c>
      <c r="F271" t="s">
        <v>280</v>
      </c>
      <c r="G271" t="s">
        <v>831</v>
      </c>
      <c r="H271" t="s">
        <v>3466</v>
      </c>
      <c r="I271" t="s">
        <v>817</v>
      </c>
      <c r="J271" t="s">
        <v>768</v>
      </c>
      <c r="K271" t="s">
        <v>768</v>
      </c>
      <c r="L271" t="s">
        <v>769</v>
      </c>
      <c r="M271" t="s">
        <v>208</v>
      </c>
      <c r="N271" t="s">
        <v>906</v>
      </c>
      <c r="O271" t="s">
        <v>894</v>
      </c>
      <c r="P271" t="s">
        <v>772</v>
      </c>
      <c r="Q271" t="s">
        <v>906</v>
      </c>
      <c r="R271">
        <v>0</v>
      </c>
      <c r="S271">
        <v>0</v>
      </c>
      <c r="T271">
        <v>0</v>
      </c>
      <c r="U271">
        <v>0</v>
      </c>
      <c r="V271">
        <v>0</v>
      </c>
      <c r="W271">
        <v>0</v>
      </c>
      <c r="X271">
        <v>0</v>
      </c>
      <c r="Y271">
        <v>0</v>
      </c>
      <c r="Z271">
        <v>20</v>
      </c>
      <c r="AA271">
        <v>5</v>
      </c>
      <c r="AB271">
        <v>0</v>
      </c>
      <c r="AC271">
        <v>0</v>
      </c>
      <c r="AD271">
        <v>20</v>
      </c>
      <c r="AE271">
        <v>5</v>
      </c>
      <c r="AF271">
        <v>20</v>
      </c>
      <c r="AG271">
        <v>5</v>
      </c>
      <c r="AH271">
        <v>0</v>
      </c>
      <c r="AI271">
        <v>0</v>
      </c>
      <c r="AY271" t="str">
        <f t="shared" si="76"/>
        <v>CK6 - SOLU OXYTETRACYCLINE 500 MG/G</v>
      </c>
      <c r="AZ271" t="str">
        <f>IF(COUNTIF(AY:AY,AY271)=1,AY271,IF(AND(COUNTIF(AY:AY,AY271)&gt;1,COUNTIF(AZ$2:AZ270,AY271)&gt;=1),"",AY271))</f>
        <v>CK6 - SOLU OXYTETRACYCLINE 500 MG/G</v>
      </c>
      <c r="BA271">
        <f>IF(AZ271="","",COUNTIFS(AZ$3:AZ$1439,"&lt;"&amp;AZ271,AZ$3:AZ$1439,"&lt;&gt;0")+COUNTIF(AZ$3:AZ271,AZ271)-876)</f>
        <v>110</v>
      </c>
      <c r="BC271">
        <v>269</v>
      </c>
      <c r="BD271" t="str">
        <f t="shared" si="87"/>
        <v>K-VET TYLOSINE 92 000 UI/G POUDRE ORALE PORCS</v>
      </c>
      <c r="BE271" t="str">
        <f t="shared" si="77"/>
        <v>ORAL</v>
      </c>
      <c r="BF271" t="str">
        <f t="shared" si="78"/>
        <v>MACROLIDES</v>
      </c>
      <c r="BG271" t="str">
        <f t="shared" si="79"/>
        <v/>
      </c>
      <c r="BH271" t="str">
        <f t="shared" si="80"/>
        <v/>
      </c>
      <c r="BI271" t="str">
        <f t="shared" si="81"/>
        <v>tylosin</v>
      </c>
      <c r="BJ271" t="str">
        <f t="shared" si="82"/>
        <v/>
      </c>
      <c r="BK271" t="str">
        <f t="shared" si="83"/>
        <v/>
      </c>
      <c r="BL271" t="str">
        <f t="shared" si="88"/>
        <v>Tylosine</v>
      </c>
      <c r="BM271" t="str">
        <f t="shared" si="84"/>
        <v>Tylosine</v>
      </c>
      <c r="BN271" t="str">
        <f t="shared" si="85"/>
        <v/>
      </c>
      <c r="BO271" t="str">
        <f t="shared" si="86"/>
        <v/>
      </c>
      <c r="BP271" t="str">
        <f t="shared" si="89"/>
        <v>Macrolides</v>
      </c>
      <c r="BQ271" t="str">
        <f t="shared" si="90"/>
        <v>Macrolides</v>
      </c>
      <c r="BR271" t="str">
        <f t="shared" si="91"/>
        <v/>
      </c>
      <c r="BS271" t="str">
        <f t="shared" si="92"/>
        <v/>
      </c>
      <c r="BT271" s="76" t="str">
        <f t="shared" si="93"/>
        <v>Voie orale  hors prémélanges médicamenteux</v>
      </c>
      <c r="BU271" t="str">
        <f t="shared" si="94"/>
        <v/>
      </c>
      <c r="CN271">
        <v>270</v>
      </c>
    </row>
    <row r="272" spans="1:92" x14ac:dyDescent="0.3">
      <c r="A272" s="118" t="s">
        <v>3464</v>
      </c>
      <c r="B272" t="s">
        <v>3467</v>
      </c>
      <c r="C272" t="s">
        <v>1313</v>
      </c>
      <c r="D272" s="144" t="s">
        <v>955</v>
      </c>
      <c r="E272" t="s">
        <v>830</v>
      </c>
      <c r="F272" t="s">
        <v>280</v>
      </c>
      <c r="G272" t="s">
        <v>831</v>
      </c>
      <c r="H272" t="s">
        <v>3466</v>
      </c>
      <c r="I272" t="s">
        <v>817</v>
      </c>
      <c r="J272" t="s">
        <v>768</v>
      </c>
      <c r="K272" t="s">
        <v>768</v>
      </c>
      <c r="L272" t="s">
        <v>769</v>
      </c>
      <c r="M272" t="s">
        <v>208</v>
      </c>
      <c r="N272" t="s">
        <v>906</v>
      </c>
      <c r="O272" t="s">
        <v>894</v>
      </c>
      <c r="P272" t="s">
        <v>772</v>
      </c>
      <c r="Q272" t="s">
        <v>966</v>
      </c>
      <c r="R272">
        <v>0</v>
      </c>
      <c r="S272">
        <v>0</v>
      </c>
      <c r="T272">
        <v>0</v>
      </c>
      <c r="U272">
        <v>0</v>
      </c>
      <c r="V272">
        <v>0</v>
      </c>
      <c r="W272">
        <v>0</v>
      </c>
      <c r="X272">
        <v>0</v>
      </c>
      <c r="Y272">
        <v>0</v>
      </c>
      <c r="Z272">
        <v>20</v>
      </c>
      <c r="AA272">
        <v>5</v>
      </c>
      <c r="AB272">
        <v>0</v>
      </c>
      <c r="AC272">
        <v>0</v>
      </c>
      <c r="AD272">
        <v>20</v>
      </c>
      <c r="AE272">
        <v>5</v>
      </c>
      <c r="AF272">
        <v>20</v>
      </c>
      <c r="AG272">
        <v>5</v>
      </c>
      <c r="AH272">
        <v>0</v>
      </c>
      <c r="AI272">
        <v>0</v>
      </c>
      <c r="AY272" t="str">
        <f t="shared" si="76"/>
        <v>CK6 - SOLU OXYTETRACYCLINE 500 MG/G</v>
      </c>
      <c r="AZ272" t="str">
        <f>IF(COUNTIF(AY:AY,AY272)=1,AY272,IF(AND(COUNTIF(AY:AY,AY272)&gt;1,COUNTIF(AZ$2:AZ271,AY272)&gt;=1),"",AY272))</f>
        <v/>
      </c>
      <c r="BA272" t="str">
        <f>IF(AZ272="","",COUNTIFS(AZ$3:AZ$1439,"&lt;"&amp;AZ272,AZ$3:AZ$1439,"&lt;&gt;0")+COUNTIF(AZ$3:AZ272,AZ272)-876)</f>
        <v/>
      </c>
      <c r="BC272">
        <v>270</v>
      </c>
      <c r="BD272" t="str">
        <f t="shared" si="87"/>
        <v>LANFLOX 100 MG/ML SOLUTION POUR UTILISATION DANS L'EAU DE BOISSON POUR POULETS ET DINDES</v>
      </c>
      <c r="BE272" t="str">
        <f t="shared" si="77"/>
        <v>ORAL</v>
      </c>
      <c r="BF272" t="str">
        <f t="shared" si="78"/>
        <v>FLUOROQUINOLONES</v>
      </c>
      <c r="BG272" t="str">
        <f t="shared" si="79"/>
        <v/>
      </c>
      <c r="BH272" t="str">
        <f t="shared" si="80"/>
        <v/>
      </c>
      <c r="BI272" t="str">
        <f t="shared" si="81"/>
        <v>enrofloxacin</v>
      </c>
      <c r="BJ272" t="str">
        <f t="shared" si="82"/>
        <v/>
      </c>
      <c r="BK272" t="str">
        <f t="shared" si="83"/>
        <v/>
      </c>
      <c r="BL272" t="str">
        <f t="shared" si="88"/>
        <v>Enrofloxacine</v>
      </c>
      <c r="BM272" t="str">
        <f t="shared" si="84"/>
        <v>Enrofloxacine</v>
      </c>
      <c r="BN272" t="str">
        <f t="shared" si="85"/>
        <v/>
      </c>
      <c r="BO272" t="str">
        <f t="shared" si="86"/>
        <v/>
      </c>
      <c r="BP272" t="str">
        <f t="shared" si="89"/>
        <v>Fluoroquinolones</v>
      </c>
      <c r="BQ272" t="str">
        <f t="shared" si="90"/>
        <v>Fluoroquinolones</v>
      </c>
      <c r="BR272" t="str">
        <f t="shared" si="91"/>
        <v/>
      </c>
      <c r="BS272" t="str">
        <f t="shared" si="92"/>
        <v/>
      </c>
      <c r="BT272" s="76" t="str">
        <f t="shared" si="93"/>
        <v>Voie orale  hors prémélanges médicamenteux</v>
      </c>
      <c r="BU272" t="str">
        <f t="shared" si="94"/>
        <v>x</v>
      </c>
      <c r="CN272">
        <v>271</v>
      </c>
    </row>
    <row r="273" spans="1:92" x14ac:dyDescent="0.3">
      <c r="A273" s="118" t="s">
        <v>3464</v>
      </c>
      <c r="B273" t="s">
        <v>3468</v>
      </c>
      <c r="C273" t="s">
        <v>1293</v>
      </c>
      <c r="D273" s="144" t="s">
        <v>924</v>
      </c>
      <c r="E273" t="s">
        <v>830</v>
      </c>
      <c r="F273" t="s">
        <v>280</v>
      </c>
      <c r="G273" t="s">
        <v>831</v>
      </c>
      <c r="H273" t="s">
        <v>3466</v>
      </c>
      <c r="I273" t="s">
        <v>817</v>
      </c>
      <c r="J273" t="s">
        <v>768</v>
      </c>
      <c r="K273" t="s">
        <v>768</v>
      </c>
      <c r="L273" t="s">
        <v>769</v>
      </c>
      <c r="M273" t="s">
        <v>208</v>
      </c>
      <c r="N273" t="s">
        <v>906</v>
      </c>
      <c r="O273" t="s">
        <v>894</v>
      </c>
      <c r="P273" t="s">
        <v>772</v>
      </c>
      <c r="Q273" t="s">
        <v>955</v>
      </c>
      <c r="R273">
        <v>0</v>
      </c>
      <c r="S273">
        <v>0</v>
      </c>
      <c r="T273">
        <v>0</v>
      </c>
      <c r="U273">
        <v>0</v>
      </c>
      <c r="V273">
        <v>0</v>
      </c>
      <c r="W273">
        <v>0</v>
      </c>
      <c r="X273">
        <v>0</v>
      </c>
      <c r="Y273">
        <v>0</v>
      </c>
      <c r="Z273">
        <v>20</v>
      </c>
      <c r="AA273">
        <v>5</v>
      </c>
      <c r="AB273">
        <v>0</v>
      </c>
      <c r="AC273">
        <v>0</v>
      </c>
      <c r="AD273">
        <v>20</v>
      </c>
      <c r="AE273">
        <v>5</v>
      </c>
      <c r="AF273">
        <v>20</v>
      </c>
      <c r="AG273">
        <v>5</v>
      </c>
      <c r="AH273">
        <v>0</v>
      </c>
      <c r="AI273">
        <v>0</v>
      </c>
      <c r="AY273" t="str">
        <f t="shared" si="76"/>
        <v>CK6 - SOLU OXYTETRACYCLINE 500 MG/G</v>
      </c>
      <c r="AZ273" t="str">
        <f>IF(COUNTIF(AY:AY,AY273)=1,AY273,IF(AND(COUNTIF(AY:AY,AY273)&gt;1,COUNTIF(AZ$2:AZ272,AY273)&gt;=1),"",AY273))</f>
        <v/>
      </c>
      <c r="BA273" t="str">
        <f>IF(AZ273="","",COUNTIFS(AZ$3:AZ$1439,"&lt;"&amp;AZ273,AZ$3:AZ$1439,"&lt;&gt;0")+COUNTIF(AZ$3:AZ273,AZ273)-876)</f>
        <v/>
      </c>
      <c r="BC273">
        <v>271</v>
      </c>
      <c r="BD273" t="str">
        <f t="shared" si="87"/>
        <v>LANFLOX 2,5%</v>
      </c>
      <c r="BE273" t="str">
        <f t="shared" si="77"/>
        <v>ORAL</v>
      </c>
      <c r="BF273" t="str">
        <f t="shared" si="78"/>
        <v>FLUOROQUINOLONES</v>
      </c>
      <c r="BG273" t="str">
        <f t="shared" si="79"/>
        <v/>
      </c>
      <c r="BH273" t="str">
        <f t="shared" si="80"/>
        <v/>
      </c>
      <c r="BI273" t="str">
        <f t="shared" si="81"/>
        <v>enrofloxacin</v>
      </c>
      <c r="BJ273" t="str">
        <f t="shared" si="82"/>
        <v/>
      </c>
      <c r="BK273" t="str">
        <f t="shared" si="83"/>
        <v/>
      </c>
      <c r="BL273" t="str">
        <f t="shared" si="88"/>
        <v>Enrofloxacine</v>
      </c>
      <c r="BM273" t="str">
        <f t="shared" si="84"/>
        <v>Enrofloxacine</v>
      </c>
      <c r="BN273" t="str">
        <f t="shared" si="85"/>
        <v/>
      </c>
      <c r="BO273" t="str">
        <f t="shared" si="86"/>
        <v/>
      </c>
      <c r="BP273" t="str">
        <f t="shared" si="89"/>
        <v>Fluoroquinolones</v>
      </c>
      <c r="BQ273" t="str">
        <f t="shared" si="90"/>
        <v>Fluoroquinolones</v>
      </c>
      <c r="BR273" t="str">
        <f t="shared" si="91"/>
        <v/>
      </c>
      <c r="BS273" t="str">
        <f t="shared" si="92"/>
        <v/>
      </c>
      <c r="BT273" s="76" t="str">
        <f t="shared" si="93"/>
        <v>Voie orale  hors prémélanges médicamenteux</v>
      </c>
      <c r="BU273" t="str">
        <f t="shared" si="94"/>
        <v>x</v>
      </c>
      <c r="CN273">
        <v>272</v>
      </c>
    </row>
    <row r="274" spans="1:92" x14ac:dyDescent="0.3">
      <c r="A274" s="118" t="s">
        <v>4761</v>
      </c>
      <c r="B274" t="s">
        <v>4762</v>
      </c>
      <c r="C274" t="s">
        <v>4759</v>
      </c>
      <c r="D274" t="s">
        <v>764</v>
      </c>
      <c r="E274" t="s">
        <v>813</v>
      </c>
      <c r="F274" t="s">
        <v>4763</v>
      </c>
      <c r="G274" t="s">
        <v>815</v>
      </c>
      <c r="H274" t="s">
        <v>816</v>
      </c>
      <c r="I274" t="s">
        <v>817</v>
      </c>
      <c r="J274" t="s">
        <v>2070</v>
      </c>
      <c r="K274" t="s">
        <v>787</v>
      </c>
      <c r="L274" t="s">
        <v>1055</v>
      </c>
      <c r="M274" t="s">
        <v>208</v>
      </c>
      <c r="N274" t="s">
        <v>864</v>
      </c>
      <c r="O274" t="s">
        <v>824</v>
      </c>
      <c r="P274" t="s">
        <v>772</v>
      </c>
      <c r="Q274" t="s">
        <v>869</v>
      </c>
      <c r="R274">
        <v>0</v>
      </c>
      <c r="S274">
        <v>0</v>
      </c>
      <c r="T274">
        <v>20</v>
      </c>
      <c r="U274">
        <v>7</v>
      </c>
      <c r="V274">
        <v>0</v>
      </c>
      <c r="W274">
        <v>0</v>
      </c>
      <c r="X274">
        <v>0</v>
      </c>
      <c r="Y274">
        <v>0</v>
      </c>
      <c r="Z274">
        <v>0</v>
      </c>
      <c r="AA274">
        <v>0</v>
      </c>
      <c r="AB274">
        <v>0</v>
      </c>
      <c r="AC274">
        <v>0</v>
      </c>
      <c r="AD274">
        <v>0</v>
      </c>
      <c r="AE274">
        <v>0</v>
      </c>
      <c r="AF274">
        <v>0</v>
      </c>
      <c r="AG274">
        <v>0</v>
      </c>
      <c r="AH274">
        <v>0</v>
      </c>
      <c r="AI274">
        <v>0</v>
      </c>
      <c r="AJ274" t="s">
        <v>2071</v>
      </c>
      <c r="AK274" t="s">
        <v>2072</v>
      </c>
      <c r="AL274" t="s">
        <v>208</v>
      </c>
      <c r="AM274" t="s">
        <v>780</v>
      </c>
      <c r="AN274" t="s">
        <v>824</v>
      </c>
      <c r="AO274" t="s">
        <v>2073</v>
      </c>
      <c r="AP274" t="s">
        <v>2073</v>
      </c>
      <c r="AY274" t="str">
        <f t="shared" si="76"/>
        <v/>
      </c>
      <c r="AZ274" t="str">
        <f>IF(COUNTIF(AY:AY,AY274)=1,AY274,IF(AND(COUNTIF(AY:AY,AY274)&gt;1,COUNTIF(AZ$2:AZ273,AY274)&gt;=1),"",AY274))</f>
        <v/>
      </c>
      <c r="BA274" t="str">
        <f>IF(AZ274="","",COUNTIFS(AZ$3:AZ$1439,"&lt;"&amp;AZ274,AZ$3:AZ$1439,"&lt;&gt;0")+COUNTIF(AZ$3:AZ274,AZ274)-876)</f>
        <v/>
      </c>
      <c r="BC274">
        <v>272</v>
      </c>
      <c r="BD274" t="str">
        <f t="shared" si="87"/>
        <v>LAPICRINE SULFA</v>
      </c>
      <c r="BE274" t="str">
        <f t="shared" si="77"/>
        <v>ORAL</v>
      </c>
      <c r="BF274" t="str">
        <f t="shared" si="78"/>
        <v>SULFAMIDES</v>
      </c>
      <c r="BG274" t="str">
        <f t="shared" si="79"/>
        <v>SULFAMIDES</v>
      </c>
      <c r="BH274" t="str">
        <f t="shared" si="80"/>
        <v/>
      </c>
      <c r="BI274" t="str">
        <f t="shared" si="81"/>
        <v>sulfadimidine</v>
      </c>
      <c r="BJ274" t="str">
        <f t="shared" si="82"/>
        <v>sulfaquinoxaline</v>
      </c>
      <c r="BK274" t="str">
        <f t="shared" si="83"/>
        <v/>
      </c>
      <c r="BL274" t="str">
        <f t="shared" si="88"/>
        <v>Sulfadimidine + Sulfaquinoxaline</v>
      </c>
      <c r="BM274" t="str">
        <f t="shared" si="84"/>
        <v>Sulfadimidine</v>
      </c>
      <c r="BN274" t="str">
        <f t="shared" si="85"/>
        <v>Sulfaquinoxaline</v>
      </c>
      <c r="BO274" t="str">
        <f t="shared" si="86"/>
        <v/>
      </c>
      <c r="BP274" t="str">
        <f t="shared" si="89"/>
        <v>Sulfamides</v>
      </c>
      <c r="BQ274" t="str">
        <f t="shared" si="90"/>
        <v>Sulfamides</v>
      </c>
      <c r="BR274" t="str">
        <f t="shared" si="91"/>
        <v>Sulfamides</v>
      </c>
      <c r="BS274" t="str">
        <f t="shared" si="92"/>
        <v/>
      </c>
      <c r="BT274" s="76" t="str">
        <f t="shared" si="93"/>
        <v>Voie orale  hors prémélanges médicamenteux</v>
      </c>
      <c r="BU274" t="str">
        <f t="shared" si="94"/>
        <v/>
      </c>
      <c r="CN274">
        <v>273</v>
      </c>
    </row>
    <row r="275" spans="1:92" x14ac:dyDescent="0.3">
      <c r="A275" s="118" t="s">
        <v>4757</v>
      </c>
      <c r="B275" t="s">
        <v>4758</v>
      </c>
      <c r="C275" t="s">
        <v>4759</v>
      </c>
      <c r="D275" t="s">
        <v>764</v>
      </c>
      <c r="E275" t="s">
        <v>813</v>
      </c>
      <c r="F275" t="s">
        <v>4760</v>
      </c>
      <c r="G275" t="s">
        <v>815</v>
      </c>
      <c r="H275" t="s">
        <v>816</v>
      </c>
      <c r="I275" t="s">
        <v>817</v>
      </c>
      <c r="J275" t="s">
        <v>2070</v>
      </c>
      <c r="K275" t="s">
        <v>787</v>
      </c>
      <c r="L275" t="s">
        <v>1055</v>
      </c>
      <c r="M275" t="s">
        <v>208</v>
      </c>
      <c r="N275" t="s">
        <v>932</v>
      </c>
      <c r="O275" t="s">
        <v>824</v>
      </c>
      <c r="P275" t="s">
        <v>772</v>
      </c>
      <c r="Q275" t="s">
        <v>934</v>
      </c>
      <c r="R275">
        <v>0</v>
      </c>
      <c r="S275">
        <v>0</v>
      </c>
      <c r="T275">
        <v>20</v>
      </c>
      <c r="U275">
        <v>7</v>
      </c>
      <c r="V275">
        <v>0</v>
      </c>
      <c r="W275">
        <v>0</v>
      </c>
      <c r="X275">
        <v>0</v>
      </c>
      <c r="Y275">
        <v>0</v>
      </c>
      <c r="Z275">
        <v>0</v>
      </c>
      <c r="AA275">
        <v>0</v>
      </c>
      <c r="AB275">
        <v>0</v>
      </c>
      <c r="AC275">
        <v>0</v>
      </c>
      <c r="AD275">
        <v>0</v>
      </c>
      <c r="AE275">
        <v>0</v>
      </c>
      <c r="AF275">
        <v>0</v>
      </c>
      <c r="AG275">
        <v>0</v>
      </c>
      <c r="AH275">
        <v>0</v>
      </c>
      <c r="AI275">
        <v>0</v>
      </c>
      <c r="AJ275" t="s">
        <v>2071</v>
      </c>
      <c r="AK275" t="s">
        <v>2072</v>
      </c>
      <c r="AL275" t="s">
        <v>208</v>
      </c>
      <c r="AM275" t="s">
        <v>852</v>
      </c>
      <c r="AN275" t="s">
        <v>824</v>
      </c>
      <c r="AO275" t="s">
        <v>2073</v>
      </c>
      <c r="AP275" t="s">
        <v>2073</v>
      </c>
      <c r="AY275" t="str">
        <f t="shared" si="76"/>
        <v/>
      </c>
      <c r="AZ275" t="str">
        <f>IF(COUNTIF(AY:AY,AY275)=1,AY275,IF(AND(COUNTIF(AY:AY,AY275)&gt;1,COUNTIF(AZ$2:AZ274,AY275)&gt;=1),"",AY275))</f>
        <v/>
      </c>
      <c r="BA275" t="str">
        <f>IF(AZ275="","",COUNTIFS(AZ$3:AZ$1439,"&lt;"&amp;AZ275,AZ$3:AZ$1439,"&lt;&gt;0")+COUNTIF(AZ$3:AZ275,AZ275)-876)</f>
        <v/>
      </c>
      <c r="BC275">
        <v>273</v>
      </c>
      <c r="BD275" t="str">
        <f t="shared" si="87"/>
        <v>LINCOCINE 400 MG/G POUDRE POUR ADMINISTRATION DANS L’EAU DE BOISSON</v>
      </c>
      <c r="BE275" t="str">
        <f t="shared" si="77"/>
        <v>ORAL</v>
      </c>
      <c r="BF275" t="str">
        <f t="shared" si="78"/>
        <v>LINCOSAMIDES</v>
      </c>
      <c r="BG275" t="str">
        <f t="shared" si="79"/>
        <v/>
      </c>
      <c r="BH275" t="str">
        <f t="shared" si="80"/>
        <v/>
      </c>
      <c r="BI275" t="str">
        <f t="shared" si="81"/>
        <v>lincomycin</v>
      </c>
      <c r="BJ275" t="str">
        <f t="shared" si="82"/>
        <v/>
      </c>
      <c r="BK275" t="str">
        <f t="shared" si="83"/>
        <v/>
      </c>
      <c r="BL275" t="str">
        <f t="shared" si="88"/>
        <v>Lincomycine</v>
      </c>
      <c r="BM275" t="str">
        <f t="shared" si="84"/>
        <v>Lincomycine</v>
      </c>
      <c r="BN275" t="str">
        <f t="shared" si="85"/>
        <v/>
      </c>
      <c r="BO275" t="str">
        <f t="shared" si="86"/>
        <v/>
      </c>
      <c r="BP275" t="str">
        <f t="shared" si="89"/>
        <v>Lincosamides</v>
      </c>
      <c r="BQ275" t="str">
        <f t="shared" si="90"/>
        <v>Lincosamides</v>
      </c>
      <c r="BR275" t="str">
        <f t="shared" si="91"/>
        <v/>
      </c>
      <c r="BS275" t="str">
        <f t="shared" si="92"/>
        <v/>
      </c>
      <c r="BT275" s="76" t="str">
        <f t="shared" si="93"/>
        <v>Voie orale  hors prémélanges médicamenteux</v>
      </c>
      <c r="BU275" t="str">
        <f t="shared" si="94"/>
        <v/>
      </c>
      <c r="CN275">
        <v>274</v>
      </c>
    </row>
    <row r="276" spans="1:92" x14ac:dyDescent="0.3">
      <c r="A276" s="118" t="s">
        <v>4764</v>
      </c>
      <c r="B276" t="s">
        <v>4765</v>
      </c>
      <c r="C276" t="s">
        <v>4766</v>
      </c>
      <c r="D276" t="s">
        <v>1047</v>
      </c>
      <c r="E276" t="s">
        <v>813</v>
      </c>
      <c r="F276" t="s">
        <v>4767</v>
      </c>
      <c r="G276" t="s">
        <v>815</v>
      </c>
      <c r="H276" t="s">
        <v>860</v>
      </c>
      <c r="I276" t="s">
        <v>817</v>
      </c>
      <c r="J276" t="s">
        <v>2070</v>
      </c>
      <c r="K276" t="s">
        <v>787</v>
      </c>
      <c r="L276" t="s">
        <v>1055</v>
      </c>
      <c r="M276" t="s">
        <v>208</v>
      </c>
      <c r="N276" t="s">
        <v>939</v>
      </c>
      <c r="O276" t="s">
        <v>824</v>
      </c>
      <c r="P276" t="s">
        <v>772</v>
      </c>
      <c r="Q276" t="s">
        <v>1132</v>
      </c>
      <c r="R276">
        <v>0</v>
      </c>
      <c r="S276">
        <v>0</v>
      </c>
      <c r="T276">
        <v>20</v>
      </c>
      <c r="U276">
        <v>7</v>
      </c>
      <c r="V276">
        <v>0</v>
      </c>
      <c r="W276">
        <v>0</v>
      </c>
      <c r="X276">
        <v>0</v>
      </c>
      <c r="Y276">
        <v>0</v>
      </c>
      <c r="Z276">
        <v>0</v>
      </c>
      <c r="AA276">
        <v>0</v>
      </c>
      <c r="AB276">
        <v>0</v>
      </c>
      <c r="AC276">
        <v>0</v>
      </c>
      <c r="AD276">
        <v>0</v>
      </c>
      <c r="AE276">
        <v>0</v>
      </c>
      <c r="AF276">
        <v>0</v>
      </c>
      <c r="AG276">
        <v>0</v>
      </c>
      <c r="AH276">
        <v>0</v>
      </c>
      <c r="AI276">
        <v>0</v>
      </c>
      <c r="AJ276" t="s">
        <v>2071</v>
      </c>
      <c r="AK276" t="s">
        <v>2072</v>
      </c>
      <c r="AL276" t="s">
        <v>208</v>
      </c>
      <c r="AM276" t="s">
        <v>764</v>
      </c>
      <c r="AN276" t="s">
        <v>824</v>
      </c>
      <c r="AO276" t="s">
        <v>2073</v>
      </c>
      <c r="AP276" t="s">
        <v>2073</v>
      </c>
      <c r="AY276" t="str">
        <f t="shared" si="76"/>
        <v/>
      </c>
      <c r="AZ276" t="str">
        <f>IF(COUNTIF(AY:AY,AY276)=1,AY276,IF(AND(COUNTIF(AY:AY,AY276)&gt;1,COUNTIF(AZ$2:AZ275,AY276)&gt;=1),"",AY276))</f>
        <v/>
      </c>
      <c r="BA276" t="str">
        <f>IF(AZ276="","",COUNTIFS(AZ$3:AZ$1439,"&lt;"&amp;AZ276,AZ$3:AZ$1439,"&lt;&gt;0")+COUNTIF(AZ$3:AZ276,AZ276)-876)</f>
        <v/>
      </c>
      <c r="BC276">
        <v>274</v>
      </c>
      <c r="BD276" t="str">
        <f t="shared" si="87"/>
        <v>LINCOCINE SOLUTION</v>
      </c>
      <c r="BE276" t="str">
        <f t="shared" si="77"/>
        <v>INJ</v>
      </c>
      <c r="BF276" t="str">
        <f t="shared" si="78"/>
        <v>LINCOSAMIDES</v>
      </c>
      <c r="BG276" t="str">
        <f t="shared" si="79"/>
        <v/>
      </c>
      <c r="BH276" t="str">
        <f t="shared" si="80"/>
        <v/>
      </c>
      <c r="BI276" t="str">
        <f t="shared" si="81"/>
        <v>lincomycin</v>
      </c>
      <c r="BJ276" t="str">
        <f t="shared" si="82"/>
        <v/>
      </c>
      <c r="BK276" t="str">
        <f t="shared" si="83"/>
        <v/>
      </c>
      <c r="BL276" t="str">
        <f t="shared" si="88"/>
        <v>Lincomycine</v>
      </c>
      <c r="BM276" t="str">
        <f t="shared" si="84"/>
        <v>Lincomycine</v>
      </c>
      <c r="BN276" t="str">
        <f t="shared" si="85"/>
        <v/>
      </c>
      <c r="BO276" t="str">
        <f t="shared" si="86"/>
        <v/>
      </c>
      <c r="BP276" t="str">
        <f t="shared" si="89"/>
        <v>Lincosamides</v>
      </c>
      <c r="BQ276" t="str">
        <f t="shared" si="90"/>
        <v>Lincosamides</v>
      </c>
      <c r="BR276" t="str">
        <f t="shared" si="91"/>
        <v/>
      </c>
      <c r="BS276" t="str">
        <f t="shared" si="92"/>
        <v/>
      </c>
      <c r="BT276" s="76" t="str">
        <f t="shared" si="93"/>
        <v>Voie parentérale</v>
      </c>
      <c r="BU276" t="str">
        <f t="shared" si="94"/>
        <v/>
      </c>
      <c r="CN276">
        <v>275</v>
      </c>
    </row>
    <row r="277" spans="1:92" x14ac:dyDescent="0.3">
      <c r="A277" s="118" t="s">
        <v>1913</v>
      </c>
      <c r="B277" t="s">
        <v>1914</v>
      </c>
      <c r="C277" t="s">
        <v>4430</v>
      </c>
      <c r="D277" s="144" t="s">
        <v>764</v>
      </c>
      <c r="E277" t="s">
        <v>813</v>
      </c>
      <c r="F277" t="s">
        <v>1916</v>
      </c>
      <c r="G277" t="s">
        <v>815</v>
      </c>
      <c r="H277" t="s">
        <v>816</v>
      </c>
      <c r="I277" t="s">
        <v>817</v>
      </c>
      <c r="J277" t="s">
        <v>787</v>
      </c>
      <c r="K277" t="s">
        <v>787</v>
      </c>
      <c r="L277" t="s">
        <v>1055</v>
      </c>
      <c r="M277" t="s">
        <v>208</v>
      </c>
      <c r="N277" t="s">
        <v>864</v>
      </c>
      <c r="O277" t="s">
        <v>824</v>
      </c>
      <c r="P277" t="s">
        <v>772</v>
      </c>
      <c r="Q277" t="s">
        <v>869</v>
      </c>
      <c r="R277">
        <v>0</v>
      </c>
      <c r="S277">
        <v>0</v>
      </c>
      <c r="T277">
        <v>20</v>
      </c>
      <c r="U277">
        <v>5</v>
      </c>
      <c r="V277">
        <v>0</v>
      </c>
      <c r="W277">
        <v>0</v>
      </c>
      <c r="X277">
        <v>0</v>
      </c>
      <c r="Y277">
        <v>0</v>
      </c>
      <c r="Z277">
        <v>0</v>
      </c>
      <c r="AA277">
        <v>0</v>
      </c>
      <c r="AB277">
        <v>0</v>
      </c>
      <c r="AC277">
        <v>0</v>
      </c>
      <c r="AD277">
        <v>0</v>
      </c>
      <c r="AE277">
        <v>0</v>
      </c>
      <c r="AF277">
        <v>0</v>
      </c>
      <c r="AG277">
        <v>0</v>
      </c>
      <c r="AH277">
        <v>0</v>
      </c>
      <c r="AI277">
        <v>0</v>
      </c>
      <c r="AY277" t="str">
        <f t="shared" si="76"/>
        <v/>
      </c>
      <c r="AZ277" t="str">
        <f>IF(COUNTIF(AY:AY,AY277)=1,AY277,IF(AND(COUNTIF(AY:AY,AY277)&gt;1,COUNTIF(AZ$2:AZ276,AY277)&gt;=1),"",AY277))</f>
        <v/>
      </c>
      <c r="BA277" t="str">
        <f>IF(AZ277="","",COUNTIFS(AZ$3:AZ$1439,"&lt;"&amp;AZ277,AZ$3:AZ$1439,"&lt;&gt;0")+COUNTIF(AZ$3:AZ277,AZ277)-876)</f>
        <v/>
      </c>
      <c r="BC277">
        <v>275</v>
      </c>
      <c r="BD277" t="str">
        <f t="shared" si="87"/>
        <v>LINCOMYCINE 22 PNEUMONIE PORC FRANVET</v>
      </c>
      <c r="BE277" t="str">
        <f t="shared" si="77"/>
        <v>PM</v>
      </c>
      <c r="BF277" t="str">
        <f t="shared" si="78"/>
        <v>LINCOSAMIDES</v>
      </c>
      <c r="BG277" t="str">
        <f t="shared" si="79"/>
        <v/>
      </c>
      <c r="BH277" t="str">
        <f t="shared" si="80"/>
        <v/>
      </c>
      <c r="BI277" t="str">
        <f t="shared" si="81"/>
        <v>lincomycin</v>
      </c>
      <c r="BJ277" t="str">
        <f t="shared" si="82"/>
        <v/>
      </c>
      <c r="BK277" t="str">
        <f t="shared" si="83"/>
        <v/>
      </c>
      <c r="BL277" t="str">
        <f t="shared" si="88"/>
        <v>Lincomycine</v>
      </c>
      <c r="BM277" t="str">
        <f t="shared" si="84"/>
        <v>Lincomycine</v>
      </c>
      <c r="BN277" t="str">
        <f t="shared" si="85"/>
        <v/>
      </c>
      <c r="BO277" t="str">
        <f t="shared" si="86"/>
        <v/>
      </c>
      <c r="BP277" t="str">
        <f t="shared" si="89"/>
        <v>Lincosamides</v>
      </c>
      <c r="BQ277" t="str">
        <f t="shared" si="90"/>
        <v>Lincosamides</v>
      </c>
      <c r="BR277" t="str">
        <f t="shared" si="91"/>
        <v/>
      </c>
      <c r="BS277" t="str">
        <f t="shared" si="92"/>
        <v/>
      </c>
      <c r="BT277" s="76" t="str">
        <f t="shared" si="93"/>
        <v>Prémélanges médicamenteux</v>
      </c>
      <c r="BU277" t="str">
        <f t="shared" si="94"/>
        <v/>
      </c>
      <c r="CN277">
        <v>276</v>
      </c>
    </row>
    <row r="278" spans="1:92" x14ac:dyDescent="0.3">
      <c r="A278" s="118" t="s">
        <v>1913</v>
      </c>
      <c r="B278" t="s">
        <v>1917</v>
      </c>
      <c r="C278" t="s">
        <v>4431</v>
      </c>
      <c r="D278" s="144" t="s">
        <v>852</v>
      </c>
      <c r="E278" t="s">
        <v>813</v>
      </c>
      <c r="F278" t="s">
        <v>1916</v>
      </c>
      <c r="G278" t="s">
        <v>815</v>
      </c>
      <c r="H278" t="s">
        <v>816</v>
      </c>
      <c r="I278" t="s">
        <v>817</v>
      </c>
      <c r="J278" t="s">
        <v>787</v>
      </c>
      <c r="K278" t="s">
        <v>787</v>
      </c>
      <c r="L278" t="s">
        <v>1055</v>
      </c>
      <c r="M278" t="s">
        <v>208</v>
      </c>
      <c r="N278" t="s">
        <v>864</v>
      </c>
      <c r="O278" t="s">
        <v>824</v>
      </c>
      <c r="P278" t="s">
        <v>772</v>
      </c>
      <c r="Q278" t="s">
        <v>1033</v>
      </c>
      <c r="R278">
        <v>0</v>
      </c>
      <c r="S278">
        <v>0</v>
      </c>
      <c r="T278">
        <v>20</v>
      </c>
      <c r="U278">
        <v>5</v>
      </c>
      <c r="V278">
        <v>0</v>
      </c>
      <c r="W278">
        <v>0</v>
      </c>
      <c r="X278">
        <v>0</v>
      </c>
      <c r="Y278">
        <v>0</v>
      </c>
      <c r="Z278">
        <v>0</v>
      </c>
      <c r="AA278">
        <v>0</v>
      </c>
      <c r="AB278">
        <v>0</v>
      </c>
      <c r="AC278">
        <v>0</v>
      </c>
      <c r="AD278">
        <v>0</v>
      </c>
      <c r="AE278">
        <v>0</v>
      </c>
      <c r="AF278">
        <v>0</v>
      </c>
      <c r="AG278">
        <v>0</v>
      </c>
      <c r="AH278">
        <v>0</v>
      </c>
      <c r="AI278">
        <v>0</v>
      </c>
      <c r="AY278" t="str">
        <f t="shared" si="76"/>
        <v/>
      </c>
      <c r="AZ278" t="str">
        <f>IF(COUNTIF(AY:AY,AY278)=1,AY278,IF(AND(COUNTIF(AY:AY,AY278)&gt;1,COUNTIF(AZ$2:AZ277,AY278)&gt;=1),"",AY278))</f>
        <v/>
      </c>
      <c r="BA278" t="str">
        <f>IF(AZ278="","",COUNTIFS(AZ$3:AZ$1439,"&lt;"&amp;AZ278,AZ$3:AZ$1439,"&lt;&gt;0")+COUNTIF(AZ$3:AZ278,AZ278)-876)</f>
        <v/>
      </c>
      <c r="BC278">
        <v>276</v>
      </c>
      <c r="BD278" t="str">
        <f t="shared" si="87"/>
        <v>LINCOMYCINE 4.4 SPECTINOMYCINE 4.4 PORC FRANVET</v>
      </c>
      <c r="BE278" t="str">
        <f t="shared" si="77"/>
        <v>PM</v>
      </c>
      <c r="BF278" t="str">
        <f t="shared" si="78"/>
        <v>LINCOSAMIDES</v>
      </c>
      <c r="BG278" t="str">
        <f t="shared" si="79"/>
        <v>AMINOGLYCOSIDES</v>
      </c>
      <c r="BH278" t="str">
        <f t="shared" si="80"/>
        <v/>
      </c>
      <c r="BI278" t="str">
        <f t="shared" si="81"/>
        <v>lincomycin</v>
      </c>
      <c r="BJ278" t="str">
        <f t="shared" si="82"/>
        <v>spectinomycin</v>
      </c>
      <c r="BK278" t="str">
        <f t="shared" si="83"/>
        <v/>
      </c>
      <c r="BL278" t="str">
        <f t="shared" si="88"/>
        <v>Lincomycine + Spectinomycine</v>
      </c>
      <c r="BM278" t="str">
        <f t="shared" si="84"/>
        <v>Lincomycine</v>
      </c>
      <c r="BN278" t="str">
        <f t="shared" si="85"/>
        <v>Spectinomycine</v>
      </c>
      <c r="BO278" t="str">
        <f t="shared" si="86"/>
        <v/>
      </c>
      <c r="BP278" t="str">
        <f t="shared" si="89"/>
        <v>Lincosamides + Aminoglycosides</v>
      </c>
      <c r="BQ278" t="str">
        <f t="shared" si="90"/>
        <v>Lincosamides</v>
      </c>
      <c r="BR278" t="str">
        <f t="shared" si="91"/>
        <v>Aminoglycosides</v>
      </c>
      <c r="BS278" t="str">
        <f t="shared" si="92"/>
        <v/>
      </c>
      <c r="BT278" s="76" t="str">
        <f t="shared" si="93"/>
        <v>Prémélanges médicamenteux</v>
      </c>
      <c r="BU278" t="str">
        <f t="shared" si="94"/>
        <v/>
      </c>
      <c r="CN278">
        <v>277</v>
      </c>
    </row>
    <row r="279" spans="1:92" x14ac:dyDescent="0.3">
      <c r="A279" s="118" t="s">
        <v>1919</v>
      </c>
      <c r="B279" t="s">
        <v>1920</v>
      </c>
      <c r="C279" t="s">
        <v>4430</v>
      </c>
      <c r="D279" s="144" t="s">
        <v>764</v>
      </c>
      <c r="E279" t="s">
        <v>813</v>
      </c>
      <c r="F279" t="s">
        <v>1921</v>
      </c>
      <c r="G279" t="s">
        <v>815</v>
      </c>
      <c r="H279" t="s">
        <v>816</v>
      </c>
      <c r="I279" t="s">
        <v>817</v>
      </c>
      <c r="J279" t="s">
        <v>787</v>
      </c>
      <c r="K279" t="s">
        <v>787</v>
      </c>
      <c r="L279" t="s">
        <v>1055</v>
      </c>
      <c r="M279" t="s">
        <v>208</v>
      </c>
      <c r="N279" t="s">
        <v>932</v>
      </c>
      <c r="O279" t="s">
        <v>824</v>
      </c>
      <c r="P279" t="s">
        <v>772</v>
      </c>
      <c r="Q279" t="s">
        <v>934</v>
      </c>
      <c r="R279">
        <v>0</v>
      </c>
      <c r="S279">
        <v>0</v>
      </c>
      <c r="T279">
        <v>20</v>
      </c>
      <c r="U279">
        <v>5</v>
      </c>
      <c r="V279">
        <v>0</v>
      </c>
      <c r="W279">
        <v>0</v>
      </c>
      <c r="X279">
        <v>0</v>
      </c>
      <c r="Y279">
        <v>0</v>
      </c>
      <c r="Z279">
        <v>0</v>
      </c>
      <c r="AA279">
        <v>0</v>
      </c>
      <c r="AB279">
        <v>0</v>
      </c>
      <c r="AC279">
        <v>0</v>
      </c>
      <c r="AD279">
        <v>0</v>
      </c>
      <c r="AE279">
        <v>0</v>
      </c>
      <c r="AF279">
        <v>0</v>
      </c>
      <c r="AG279">
        <v>0</v>
      </c>
      <c r="AH279">
        <v>0</v>
      </c>
      <c r="AI279">
        <v>0</v>
      </c>
      <c r="AY279" t="str">
        <f t="shared" si="76"/>
        <v/>
      </c>
      <c r="AZ279" t="str">
        <f>IF(COUNTIF(AY:AY,AY279)=1,AY279,IF(AND(COUNTIF(AY:AY,AY279)&gt;1,COUNTIF(AZ$2:AZ278,AY279)&gt;=1),"",AY279))</f>
        <v/>
      </c>
      <c r="BA279" t="str">
        <f>IF(AZ279="","",COUNTIFS(AZ$3:AZ$1439,"&lt;"&amp;AZ279,AZ$3:AZ$1439,"&lt;&gt;0")+COUNTIF(AZ$3:AZ279,AZ279)-876)</f>
        <v/>
      </c>
      <c r="BC279">
        <v>277</v>
      </c>
      <c r="BD279" t="str">
        <f t="shared" si="87"/>
        <v>LINCOMYCINE 8.8 ENTERITE PORC FRANVET</v>
      </c>
      <c r="BE279" t="str">
        <f t="shared" si="77"/>
        <v>PM</v>
      </c>
      <c r="BF279" t="str">
        <f t="shared" si="78"/>
        <v>LINCOSAMIDES</v>
      </c>
      <c r="BG279" t="str">
        <f t="shared" si="79"/>
        <v/>
      </c>
      <c r="BH279" t="str">
        <f t="shared" si="80"/>
        <v/>
      </c>
      <c r="BI279" t="str">
        <f t="shared" si="81"/>
        <v>lincomycin</v>
      </c>
      <c r="BJ279" t="str">
        <f t="shared" si="82"/>
        <v/>
      </c>
      <c r="BK279" t="str">
        <f t="shared" si="83"/>
        <v/>
      </c>
      <c r="BL279" t="str">
        <f t="shared" si="88"/>
        <v>Lincomycine</v>
      </c>
      <c r="BM279" t="str">
        <f t="shared" si="84"/>
        <v>Lincomycine</v>
      </c>
      <c r="BN279" t="str">
        <f t="shared" si="85"/>
        <v/>
      </c>
      <c r="BO279" t="str">
        <f t="shared" si="86"/>
        <v/>
      </c>
      <c r="BP279" t="str">
        <f t="shared" si="89"/>
        <v>Lincosamides</v>
      </c>
      <c r="BQ279" t="str">
        <f t="shared" si="90"/>
        <v>Lincosamides</v>
      </c>
      <c r="BR279" t="str">
        <f t="shared" si="91"/>
        <v/>
      </c>
      <c r="BS279" t="str">
        <f t="shared" si="92"/>
        <v/>
      </c>
      <c r="BT279" s="76" t="str">
        <f t="shared" si="93"/>
        <v>Prémélanges médicamenteux</v>
      </c>
      <c r="BU279" t="str">
        <f t="shared" si="94"/>
        <v/>
      </c>
      <c r="CN279">
        <v>278</v>
      </c>
    </row>
    <row r="280" spans="1:92" x14ac:dyDescent="0.3">
      <c r="A280" s="118" t="s">
        <v>1919</v>
      </c>
      <c r="B280" t="s">
        <v>1922</v>
      </c>
      <c r="C280" t="s">
        <v>4431</v>
      </c>
      <c r="D280" s="144" t="s">
        <v>852</v>
      </c>
      <c r="E280" t="s">
        <v>813</v>
      </c>
      <c r="F280" t="s">
        <v>1921</v>
      </c>
      <c r="G280" t="s">
        <v>815</v>
      </c>
      <c r="H280" t="s">
        <v>816</v>
      </c>
      <c r="I280" t="s">
        <v>817</v>
      </c>
      <c r="J280" t="s">
        <v>787</v>
      </c>
      <c r="K280" t="s">
        <v>787</v>
      </c>
      <c r="L280" t="s">
        <v>1055</v>
      </c>
      <c r="M280" t="s">
        <v>208</v>
      </c>
      <c r="N280" t="s">
        <v>932</v>
      </c>
      <c r="O280" t="s">
        <v>824</v>
      </c>
      <c r="P280" t="s">
        <v>772</v>
      </c>
      <c r="Q280" t="s">
        <v>1028</v>
      </c>
      <c r="R280">
        <v>0</v>
      </c>
      <c r="S280">
        <v>0</v>
      </c>
      <c r="T280">
        <v>20</v>
      </c>
      <c r="U280">
        <v>5</v>
      </c>
      <c r="V280">
        <v>0</v>
      </c>
      <c r="W280">
        <v>0</v>
      </c>
      <c r="X280">
        <v>0</v>
      </c>
      <c r="Y280">
        <v>0</v>
      </c>
      <c r="Z280">
        <v>0</v>
      </c>
      <c r="AA280">
        <v>0</v>
      </c>
      <c r="AB280">
        <v>0</v>
      </c>
      <c r="AC280">
        <v>0</v>
      </c>
      <c r="AD280">
        <v>0</v>
      </c>
      <c r="AE280">
        <v>0</v>
      </c>
      <c r="AF280">
        <v>0</v>
      </c>
      <c r="AG280">
        <v>0</v>
      </c>
      <c r="AH280">
        <v>0</v>
      </c>
      <c r="AI280">
        <v>0</v>
      </c>
      <c r="AY280" t="str">
        <f t="shared" si="76"/>
        <v/>
      </c>
      <c r="AZ280" t="str">
        <f>IF(COUNTIF(AY:AY,AY280)=1,AY280,IF(AND(COUNTIF(AY:AY,AY280)&gt;1,COUNTIF(AZ$2:AZ279,AY280)&gt;=1),"",AY280))</f>
        <v/>
      </c>
      <c r="BA280" t="str">
        <f>IF(AZ280="","",COUNTIFS(AZ$3:AZ$1439,"&lt;"&amp;AZ280,AZ$3:AZ$1439,"&lt;&gt;0")+COUNTIF(AZ$3:AZ280,AZ280)-876)</f>
        <v/>
      </c>
      <c r="BC280">
        <v>278</v>
      </c>
      <c r="BD280" t="str">
        <f t="shared" si="87"/>
        <v>LINCO-SPECTIN 100, 222/444,7 MG/G POUDRE POUR ADMINISTRATION DANS L'EAU DE BOISSON POUR PORCINS ET POULETS</v>
      </c>
      <c r="BE280" t="str">
        <f t="shared" si="77"/>
        <v>ORAL</v>
      </c>
      <c r="BF280" t="str">
        <f t="shared" si="78"/>
        <v>AMINOGLYCOSIDES</v>
      </c>
      <c r="BG280" t="str">
        <f t="shared" si="79"/>
        <v>LINCOSAMIDES</v>
      </c>
      <c r="BH280" t="str">
        <f t="shared" si="80"/>
        <v/>
      </c>
      <c r="BI280" t="str">
        <f t="shared" si="81"/>
        <v>spectinomycin</v>
      </c>
      <c r="BJ280" t="str">
        <f t="shared" si="82"/>
        <v>lincomycin</v>
      </c>
      <c r="BK280" t="str">
        <f t="shared" si="83"/>
        <v/>
      </c>
      <c r="BL280" t="str">
        <f t="shared" si="88"/>
        <v>Spectinomycine + Lincomycine</v>
      </c>
      <c r="BM280" t="str">
        <f t="shared" si="84"/>
        <v>Spectinomycine</v>
      </c>
      <c r="BN280" t="str">
        <f t="shared" si="85"/>
        <v>Lincomycine</v>
      </c>
      <c r="BO280" t="str">
        <f t="shared" si="86"/>
        <v/>
      </c>
      <c r="BP280" t="str">
        <f t="shared" si="89"/>
        <v>Aminoglycosides + Lincosamides</v>
      </c>
      <c r="BQ280" t="str">
        <f t="shared" si="90"/>
        <v>Aminoglycosides</v>
      </c>
      <c r="BR280" t="str">
        <f t="shared" si="91"/>
        <v>Lincosamides</v>
      </c>
      <c r="BS280" t="str">
        <f t="shared" si="92"/>
        <v/>
      </c>
      <c r="BT280" s="76" t="str">
        <f t="shared" si="93"/>
        <v>Voie orale  hors prémélanges médicamenteux</v>
      </c>
      <c r="BU280" t="str">
        <f t="shared" si="94"/>
        <v/>
      </c>
      <c r="CN280">
        <v>279</v>
      </c>
    </row>
    <row r="281" spans="1:92" x14ac:dyDescent="0.3">
      <c r="A281" s="118" t="s">
        <v>2445</v>
      </c>
      <c r="B281" t="s">
        <v>2446</v>
      </c>
      <c r="C281" t="s">
        <v>1918</v>
      </c>
      <c r="D281" s="144" t="s">
        <v>852</v>
      </c>
      <c r="E281" t="s">
        <v>813</v>
      </c>
      <c r="F281" t="s">
        <v>2447</v>
      </c>
      <c r="G281" t="s">
        <v>815</v>
      </c>
      <c r="H281" t="s">
        <v>860</v>
      </c>
      <c r="I281" t="s">
        <v>817</v>
      </c>
      <c r="J281" t="s">
        <v>787</v>
      </c>
      <c r="K281" t="s">
        <v>787</v>
      </c>
      <c r="L281" t="s">
        <v>1055</v>
      </c>
      <c r="M281" t="s">
        <v>208</v>
      </c>
      <c r="N281" t="s">
        <v>939</v>
      </c>
      <c r="O281" t="s">
        <v>824</v>
      </c>
      <c r="P281" t="s">
        <v>772</v>
      </c>
      <c r="Q281" t="s">
        <v>934</v>
      </c>
      <c r="R281">
        <v>0</v>
      </c>
      <c r="S281">
        <v>0</v>
      </c>
      <c r="T281">
        <v>20</v>
      </c>
      <c r="U281">
        <v>5</v>
      </c>
      <c r="V281">
        <v>0</v>
      </c>
      <c r="W281">
        <v>0</v>
      </c>
      <c r="X281">
        <v>0</v>
      </c>
      <c r="Y281">
        <v>0</v>
      </c>
      <c r="Z281">
        <v>0</v>
      </c>
      <c r="AA281">
        <v>0</v>
      </c>
      <c r="AB281">
        <v>0</v>
      </c>
      <c r="AC281">
        <v>0</v>
      </c>
      <c r="AD281">
        <v>0</v>
      </c>
      <c r="AE281">
        <v>0</v>
      </c>
      <c r="AF281">
        <v>0</v>
      </c>
      <c r="AG281">
        <v>0</v>
      </c>
      <c r="AH281">
        <v>0</v>
      </c>
      <c r="AI281">
        <v>0</v>
      </c>
      <c r="AY281" t="str">
        <f t="shared" si="76"/>
        <v/>
      </c>
      <c r="AZ281" t="str">
        <f>IF(COUNTIF(AY:AY,AY281)=1,AY281,IF(AND(COUNTIF(AY:AY,AY281)&gt;1,COUNTIF(AZ$2:AZ280,AY281)&gt;=1),"",AY281))</f>
        <v/>
      </c>
      <c r="BA281" t="str">
        <f>IF(AZ281="","",COUNTIFS(AZ$3:AZ$1439,"&lt;"&amp;AZ281,AZ$3:AZ$1439,"&lt;&gt;0")+COUNTIF(AZ$3:AZ281,AZ281)-876)</f>
        <v/>
      </c>
      <c r="BC281">
        <v>279</v>
      </c>
      <c r="BD281" t="str">
        <f t="shared" si="87"/>
        <v>LINCO-SPECTIN INJECTABLE</v>
      </c>
      <c r="BE281" t="str">
        <f t="shared" si="77"/>
        <v>INJ</v>
      </c>
      <c r="BF281" t="str">
        <f t="shared" si="78"/>
        <v>AMINOGLYCOSIDES</v>
      </c>
      <c r="BG281" t="str">
        <f t="shared" si="79"/>
        <v>LINCOSAMIDES</v>
      </c>
      <c r="BH281" t="str">
        <f t="shared" si="80"/>
        <v/>
      </c>
      <c r="BI281" t="str">
        <f t="shared" si="81"/>
        <v>spectinomycin</v>
      </c>
      <c r="BJ281" t="str">
        <f t="shared" si="82"/>
        <v>lincomycin</v>
      </c>
      <c r="BK281" t="str">
        <f t="shared" si="83"/>
        <v/>
      </c>
      <c r="BL281" t="str">
        <f t="shared" si="88"/>
        <v>Spectinomycine + Lincomycine</v>
      </c>
      <c r="BM281" t="str">
        <f t="shared" si="84"/>
        <v>Spectinomycine</v>
      </c>
      <c r="BN281" t="str">
        <f t="shared" si="85"/>
        <v>Lincomycine</v>
      </c>
      <c r="BO281" t="str">
        <f t="shared" si="86"/>
        <v/>
      </c>
      <c r="BP281" t="str">
        <f t="shared" si="89"/>
        <v>Aminoglycosides + Lincosamides</v>
      </c>
      <c r="BQ281" t="str">
        <f t="shared" si="90"/>
        <v>Aminoglycosides</v>
      </c>
      <c r="BR281" t="str">
        <f t="shared" si="91"/>
        <v>Lincosamides</v>
      </c>
      <c r="BS281" t="str">
        <f t="shared" si="92"/>
        <v/>
      </c>
      <c r="BT281" s="76" t="str">
        <f t="shared" si="93"/>
        <v>Voie parentérale</v>
      </c>
      <c r="BU281" t="str">
        <f t="shared" si="94"/>
        <v/>
      </c>
      <c r="CN281">
        <v>280</v>
      </c>
    </row>
    <row r="282" spans="1:92" x14ac:dyDescent="0.3">
      <c r="A282" s="118" t="s">
        <v>2445</v>
      </c>
      <c r="B282" t="s">
        <v>2448</v>
      </c>
      <c r="C282" t="s">
        <v>1915</v>
      </c>
      <c r="D282" s="144" t="s">
        <v>764</v>
      </c>
      <c r="E282" t="s">
        <v>813</v>
      </c>
      <c r="F282" t="s">
        <v>2447</v>
      </c>
      <c r="G282" t="s">
        <v>815</v>
      </c>
      <c r="H282" t="s">
        <v>860</v>
      </c>
      <c r="I282" t="s">
        <v>817</v>
      </c>
      <c r="J282" t="s">
        <v>787</v>
      </c>
      <c r="K282" t="s">
        <v>787</v>
      </c>
      <c r="L282" t="s">
        <v>1055</v>
      </c>
      <c r="M282" t="s">
        <v>208</v>
      </c>
      <c r="N282" t="s">
        <v>939</v>
      </c>
      <c r="O282" t="s">
        <v>824</v>
      </c>
      <c r="P282" t="s">
        <v>772</v>
      </c>
      <c r="Q282" t="s">
        <v>932</v>
      </c>
      <c r="R282">
        <v>0</v>
      </c>
      <c r="S282">
        <v>0</v>
      </c>
      <c r="T282">
        <v>20</v>
      </c>
      <c r="U282">
        <v>5</v>
      </c>
      <c r="V282">
        <v>0</v>
      </c>
      <c r="W282">
        <v>0</v>
      </c>
      <c r="X282">
        <v>0</v>
      </c>
      <c r="Y282">
        <v>0</v>
      </c>
      <c r="Z282">
        <v>0</v>
      </c>
      <c r="AA282">
        <v>0</v>
      </c>
      <c r="AB282">
        <v>0</v>
      </c>
      <c r="AC282">
        <v>0</v>
      </c>
      <c r="AD282">
        <v>0</v>
      </c>
      <c r="AE282">
        <v>0</v>
      </c>
      <c r="AF282">
        <v>0</v>
      </c>
      <c r="AG282">
        <v>0</v>
      </c>
      <c r="AH282">
        <v>0</v>
      </c>
      <c r="AI282">
        <v>0</v>
      </c>
      <c r="AY282" t="str">
        <f t="shared" si="76"/>
        <v/>
      </c>
      <c r="AZ282" t="str">
        <f>IF(COUNTIF(AY:AY,AY282)=1,AY282,IF(AND(COUNTIF(AY:AY,AY282)&gt;1,COUNTIF(AZ$2:AZ281,AY282)&gt;=1),"",AY282))</f>
        <v/>
      </c>
      <c r="BA282" t="str">
        <f>IF(AZ282="","",COUNTIFS(AZ$3:AZ$1439,"&lt;"&amp;AZ282,AZ$3:AZ$1439,"&lt;&gt;0")+COUNTIF(AZ$3:AZ282,AZ282)-876)</f>
        <v/>
      </c>
      <c r="BC282">
        <v>280</v>
      </c>
      <c r="BD282" t="str">
        <f t="shared" si="87"/>
        <v>LINSPEC 50/100 MG/ML SOLUTION INJECTABLE POUR CHIENS CHATS PORCINS ET VEAUX PRE-RUMINANTS</v>
      </c>
      <c r="BE282" t="str">
        <f t="shared" si="77"/>
        <v>INJ</v>
      </c>
      <c r="BF282" t="str">
        <f t="shared" si="78"/>
        <v>AMINOGLYCOSIDES</v>
      </c>
      <c r="BG282" t="str">
        <f t="shared" si="79"/>
        <v>LINCOSAMIDES</v>
      </c>
      <c r="BH282" t="str">
        <f t="shared" si="80"/>
        <v/>
      </c>
      <c r="BI282" t="str">
        <f t="shared" si="81"/>
        <v>spectinomycin</v>
      </c>
      <c r="BJ282" t="str">
        <f t="shared" si="82"/>
        <v>lincomycin</v>
      </c>
      <c r="BK282" t="str">
        <f t="shared" si="83"/>
        <v/>
      </c>
      <c r="BL282" t="str">
        <f t="shared" si="88"/>
        <v>Spectinomycine + Lincomycine</v>
      </c>
      <c r="BM282" t="str">
        <f t="shared" si="84"/>
        <v>Spectinomycine</v>
      </c>
      <c r="BN282" t="str">
        <f t="shared" si="85"/>
        <v>Lincomycine</v>
      </c>
      <c r="BO282" t="str">
        <f t="shared" si="86"/>
        <v/>
      </c>
      <c r="BP282" t="str">
        <f t="shared" si="89"/>
        <v>Aminoglycosides + Lincosamides</v>
      </c>
      <c r="BQ282" t="str">
        <f t="shared" si="90"/>
        <v>Aminoglycosides</v>
      </c>
      <c r="BR282" t="str">
        <f t="shared" si="91"/>
        <v>Lincosamides</v>
      </c>
      <c r="BS282" t="str">
        <f t="shared" si="92"/>
        <v/>
      </c>
      <c r="BT282" s="76" t="str">
        <f t="shared" si="93"/>
        <v>Voie parentérale</v>
      </c>
      <c r="BU282" t="str">
        <f t="shared" si="94"/>
        <v/>
      </c>
      <c r="CN282">
        <v>281</v>
      </c>
    </row>
    <row r="283" spans="1:92" x14ac:dyDescent="0.3">
      <c r="A283" s="118" t="s">
        <v>2167</v>
      </c>
      <c r="B283" t="s">
        <v>2168</v>
      </c>
      <c r="C283" t="s">
        <v>792</v>
      </c>
      <c r="D283" s="144" t="s">
        <v>764</v>
      </c>
      <c r="E283" t="s">
        <v>765</v>
      </c>
      <c r="F283" t="s">
        <v>281</v>
      </c>
      <c r="G283" t="s">
        <v>766</v>
      </c>
      <c r="H283" t="s">
        <v>1840</v>
      </c>
      <c r="I283" t="s">
        <v>766</v>
      </c>
      <c r="J283" t="s">
        <v>787</v>
      </c>
      <c r="K283" t="s">
        <v>787</v>
      </c>
      <c r="L283" t="s">
        <v>1055</v>
      </c>
      <c r="M283" t="s">
        <v>208</v>
      </c>
      <c r="N283" t="s">
        <v>1155</v>
      </c>
      <c r="O283" t="s">
        <v>771</v>
      </c>
      <c r="P283" t="s">
        <v>772</v>
      </c>
      <c r="Q283" t="s">
        <v>972</v>
      </c>
      <c r="R283">
        <v>15</v>
      </c>
      <c r="S283">
        <v>2</v>
      </c>
      <c r="T283">
        <v>15</v>
      </c>
      <c r="U283">
        <v>2</v>
      </c>
      <c r="V283">
        <v>0</v>
      </c>
      <c r="W283">
        <v>0</v>
      </c>
      <c r="X283">
        <v>0</v>
      </c>
      <c r="Y283">
        <v>0</v>
      </c>
      <c r="Z283">
        <v>0</v>
      </c>
      <c r="AA283">
        <v>0</v>
      </c>
      <c r="AB283">
        <v>15</v>
      </c>
      <c r="AC283">
        <v>2</v>
      </c>
      <c r="AD283">
        <v>15</v>
      </c>
      <c r="AE283">
        <v>2</v>
      </c>
      <c r="AF283">
        <v>0</v>
      </c>
      <c r="AG283">
        <v>0</v>
      </c>
      <c r="AH283">
        <v>0</v>
      </c>
      <c r="AI283">
        <v>0</v>
      </c>
      <c r="AY283" t="str">
        <f t="shared" si="76"/>
        <v>CLAMOXYL LA</v>
      </c>
      <c r="AZ283" t="str">
        <f>IF(COUNTIF(AY:AY,AY283)=1,AY283,IF(AND(COUNTIF(AY:AY,AY283)&gt;1,COUNTIF(AZ$2:AZ282,AY283)&gt;=1),"",AY283))</f>
        <v>CLAMOXYL LA</v>
      </c>
      <c r="BA283">
        <f>IF(AZ283="","",COUNTIFS(AZ$3:AZ$1439,"&lt;"&amp;AZ283,AZ$3:AZ$1439,"&lt;&gt;0")+COUNTIF(AZ$3:AZ283,AZ283)-876)</f>
        <v>111</v>
      </c>
      <c r="BC283">
        <v>281</v>
      </c>
      <c r="BD283" t="str">
        <f t="shared" si="87"/>
        <v>LOHMASTITE 214,5 MG/ML POUDRE ET SOLVANT POUR SUSPENSION INJECTABLE POUR BOVINS</v>
      </c>
      <c r="BE283" t="str">
        <f t="shared" si="77"/>
        <v>INJ</v>
      </c>
      <c r="BF283" t="str">
        <f t="shared" si="78"/>
        <v>PENICILLINES</v>
      </c>
      <c r="BG283" t="str">
        <f t="shared" si="79"/>
        <v/>
      </c>
      <c r="BH283" t="str">
        <f t="shared" si="80"/>
        <v/>
      </c>
      <c r="BI283" t="str">
        <f t="shared" si="81"/>
        <v>penethamate hydriodide</v>
      </c>
      <c r="BJ283" t="str">
        <f t="shared" si="82"/>
        <v/>
      </c>
      <c r="BK283" t="str">
        <f t="shared" si="83"/>
        <v/>
      </c>
      <c r="BL283" t="str">
        <f t="shared" si="88"/>
        <v>Pénéthamate (ou pénéthacilline)</v>
      </c>
      <c r="BM283" t="str">
        <f t="shared" si="84"/>
        <v>Pénéthamate (ou pénéthacilline)</v>
      </c>
      <c r="BN283" t="str">
        <f t="shared" si="85"/>
        <v/>
      </c>
      <c r="BO283" t="str">
        <f t="shared" si="86"/>
        <v/>
      </c>
      <c r="BP283" t="str">
        <f t="shared" si="89"/>
        <v>Penicillines</v>
      </c>
      <c r="BQ283" t="str">
        <f t="shared" si="90"/>
        <v>Penicillines</v>
      </c>
      <c r="BR283" t="str">
        <f t="shared" si="91"/>
        <v/>
      </c>
      <c r="BS283" t="str">
        <f t="shared" si="92"/>
        <v/>
      </c>
      <c r="BT283" s="76" t="str">
        <f t="shared" si="93"/>
        <v>Voie parentérale</v>
      </c>
      <c r="BU283" t="str">
        <f t="shared" si="94"/>
        <v/>
      </c>
      <c r="CN283">
        <v>282</v>
      </c>
    </row>
    <row r="284" spans="1:92" x14ac:dyDescent="0.3">
      <c r="A284" s="118" t="s">
        <v>2167</v>
      </c>
      <c r="B284" t="s">
        <v>2169</v>
      </c>
      <c r="C284" t="s">
        <v>796</v>
      </c>
      <c r="D284" s="144" t="s">
        <v>776</v>
      </c>
      <c r="E284" t="s">
        <v>765</v>
      </c>
      <c r="F284" t="s">
        <v>281</v>
      </c>
      <c r="G284" t="s">
        <v>766</v>
      </c>
      <c r="H284" t="s">
        <v>1840</v>
      </c>
      <c r="I284" t="s">
        <v>766</v>
      </c>
      <c r="J284" t="s">
        <v>787</v>
      </c>
      <c r="K284" t="s">
        <v>787</v>
      </c>
      <c r="L284" t="s">
        <v>1055</v>
      </c>
      <c r="M284" t="s">
        <v>208</v>
      </c>
      <c r="N284" t="s">
        <v>1155</v>
      </c>
      <c r="O284" t="s">
        <v>771</v>
      </c>
      <c r="P284" t="s">
        <v>772</v>
      </c>
      <c r="Q284" t="s">
        <v>1773</v>
      </c>
      <c r="R284">
        <v>15</v>
      </c>
      <c r="S284">
        <v>2</v>
      </c>
      <c r="T284">
        <v>15</v>
      </c>
      <c r="U284">
        <v>2</v>
      </c>
      <c r="V284">
        <v>0</v>
      </c>
      <c r="W284">
        <v>0</v>
      </c>
      <c r="X284">
        <v>0</v>
      </c>
      <c r="Y284">
        <v>0</v>
      </c>
      <c r="Z284">
        <v>0</v>
      </c>
      <c r="AA284">
        <v>0</v>
      </c>
      <c r="AB284">
        <v>15</v>
      </c>
      <c r="AC284">
        <v>2</v>
      </c>
      <c r="AD284">
        <v>15</v>
      </c>
      <c r="AE284">
        <v>2</v>
      </c>
      <c r="AF284">
        <v>0</v>
      </c>
      <c r="AG284">
        <v>0</v>
      </c>
      <c r="AH284">
        <v>0</v>
      </c>
      <c r="AI284">
        <v>0</v>
      </c>
      <c r="AY284" t="str">
        <f t="shared" si="76"/>
        <v>CLAMOXYL LA</v>
      </c>
      <c r="AZ284" t="str">
        <f>IF(COUNTIF(AY:AY,AY284)=1,AY284,IF(AND(COUNTIF(AY:AY,AY284)&gt;1,COUNTIF(AZ$2:AZ283,AY284)&gt;=1),"",AY284))</f>
        <v/>
      </c>
      <c r="BA284" t="str">
        <f>IF(AZ284="","",COUNTIFS(AZ$3:AZ$1439,"&lt;"&amp;AZ284,AZ$3:AZ$1439,"&lt;&gt;0")+COUNTIF(AZ$3:AZ284,AZ284)-876)</f>
        <v/>
      </c>
      <c r="BC284">
        <v>282</v>
      </c>
      <c r="BD284" t="str">
        <f t="shared" si="87"/>
        <v>LONGAMOX</v>
      </c>
      <c r="BE284" t="str">
        <f t="shared" si="77"/>
        <v>INJ</v>
      </c>
      <c r="BF284" t="str">
        <f t="shared" si="78"/>
        <v>PENICILLINES</v>
      </c>
      <c r="BG284" t="str">
        <f t="shared" si="79"/>
        <v/>
      </c>
      <c r="BH284" t="str">
        <f t="shared" si="80"/>
        <v/>
      </c>
      <c r="BI284" t="str">
        <f t="shared" si="81"/>
        <v>amoxicillin</v>
      </c>
      <c r="BJ284" t="str">
        <f t="shared" si="82"/>
        <v/>
      </c>
      <c r="BK284" t="str">
        <f t="shared" si="83"/>
        <v/>
      </c>
      <c r="BL284" t="str">
        <f t="shared" si="88"/>
        <v>Amoxicilline</v>
      </c>
      <c r="BM284" t="str">
        <f t="shared" si="84"/>
        <v>Amoxicilline</v>
      </c>
      <c r="BN284" t="str">
        <f t="shared" si="85"/>
        <v/>
      </c>
      <c r="BO284" t="str">
        <f t="shared" si="86"/>
        <v/>
      </c>
      <c r="BP284" t="str">
        <f t="shared" si="89"/>
        <v>Penicillines</v>
      </c>
      <c r="BQ284" t="str">
        <f t="shared" si="90"/>
        <v>Penicillines</v>
      </c>
      <c r="BR284" t="str">
        <f t="shared" si="91"/>
        <v/>
      </c>
      <c r="BS284" t="str">
        <f t="shared" si="92"/>
        <v/>
      </c>
      <c r="BT284" s="76" t="str">
        <f t="shared" si="93"/>
        <v>Voie parentérale</v>
      </c>
      <c r="BU284" t="str">
        <f t="shared" si="94"/>
        <v/>
      </c>
      <c r="CN284">
        <v>283</v>
      </c>
    </row>
    <row r="285" spans="1:92" x14ac:dyDescent="0.3">
      <c r="A285" s="118" t="s">
        <v>2239</v>
      </c>
      <c r="B285" t="s">
        <v>2240</v>
      </c>
      <c r="C285" t="s">
        <v>2241</v>
      </c>
      <c r="D285" s="144" t="s">
        <v>780</v>
      </c>
      <c r="E285" t="s">
        <v>813</v>
      </c>
      <c r="F285" t="s">
        <v>282</v>
      </c>
      <c r="G285" t="s">
        <v>1133</v>
      </c>
      <c r="H285" t="s">
        <v>801</v>
      </c>
      <c r="I285" t="s">
        <v>1133</v>
      </c>
      <c r="J285" t="s">
        <v>787</v>
      </c>
      <c r="K285" t="s">
        <v>787</v>
      </c>
      <c r="L285" t="s">
        <v>1055</v>
      </c>
      <c r="M285" t="s">
        <v>208</v>
      </c>
      <c r="N285" t="s">
        <v>829</v>
      </c>
      <c r="O285" t="s">
        <v>824</v>
      </c>
      <c r="P285" t="s">
        <v>772</v>
      </c>
      <c r="Q285" t="s">
        <v>780</v>
      </c>
      <c r="R285">
        <v>0</v>
      </c>
      <c r="S285">
        <v>0</v>
      </c>
      <c r="T285">
        <v>0</v>
      </c>
      <c r="U285">
        <v>0</v>
      </c>
      <c r="V285">
        <v>0</v>
      </c>
      <c r="W285">
        <v>0</v>
      </c>
      <c r="X285">
        <v>0</v>
      </c>
      <c r="Y285">
        <v>0</v>
      </c>
      <c r="Z285">
        <v>0</v>
      </c>
      <c r="AA285">
        <v>0</v>
      </c>
      <c r="AB285">
        <v>0</v>
      </c>
      <c r="AC285">
        <v>0</v>
      </c>
      <c r="AD285">
        <v>0</v>
      </c>
      <c r="AE285">
        <v>0</v>
      </c>
      <c r="AF285">
        <v>0</v>
      </c>
      <c r="AG285">
        <v>0</v>
      </c>
      <c r="AH285">
        <v>0</v>
      </c>
      <c r="AI285">
        <v>0</v>
      </c>
      <c r="AY285" t="str">
        <f t="shared" si="76"/>
        <v>CLAMOXYL OBLET GYNECOLOGIQUE</v>
      </c>
      <c r="AZ285" t="str">
        <f>IF(COUNTIF(AY:AY,AY285)=1,AY285,IF(AND(COUNTIF(AY:AY,AY285)&gt;1,COUNTIF(AZ$2:AZ284,AY285)&gt;=1),"",AY285))</f>
        <v>CLAMOXYL OBLET GYNECOLOGIQUE</v>
      </c>
      <c r="BA285">
        <f>IF(AZ285="","",COUNTIFS(AZ$3:AZ$1439,"&lt;"&amp;AZ285,AZ$3:AZ$1439,"&lt;&gt;0")+COUNTIF(AZ$3:AZ285,AZ285)-876)</f>
        <v>112</v>
      </c>
      <c r="BC285">
        <v>283</v>
      </c>
      <c r="BD285" t="str">
        <f t="shared" si="87"/>
        <v>LONGICINE</v>
      </c>
      <c r="BE285" t="str">
        <f t="shared" si="77"/>
        <v>INJ</v>
      </c>
      <c r="BF285" t="str">
        <f t="shared" si="78"/>
        <v>TETRACYCLINES</v>
      </c>
      <c r="BG285" t="str">
        <f t="shared" si="79"/>
        <v/>
      </c>
      <c r="BH285" t="str">
        <f t="shared" si="80"/>
        <v/>
      </c>
      <c r="BI285" t="str">
        <f t="shared" si="81"/>
        <v>oxytetracycline</v>
      </c>
      <c r="BJ285" t="str">
        <f t="shared" si="82"/>
        <v/>
      </c>
      <c r="BK285" t="str">
        <f t="shared" si="83"/>
        <v/>
      </c>
      <c r="BL285" t="str">
        <f t="shared" si="88"/>
        <v>Oxytétracycline</v>
      </c>
      <c r="BM285" t="str">
        <f t="shared" si="84"/>
        <v>Oxytétracycline</v>
      </c>
      <c r="BN285" t="str">
        <f t="shared" si="85"/>
        <v/>
      </c>
      <c r="BO285" t="str">
        <f t="shared" si="86"/>
        <v/>
      </c>
      <c r="BP285" t="str">
        <f t="shared" si="89"/>
        <v>Tetracyclines</v>
      </c>
      <c r="BQ285" t="str">
        <f t="shared" si="90"/>
        <v>Tetracyclines</v>
      </c>
      <c r="BR285" t="str">
        <f t="shared" si="91"/>
        <v/>
      </c>
      <c r="BS285" t="str">
        <f t="shared" si="92"/>
        <v/>
      </c>
      <c r="BT285" s="76" t="str">
        <f t="shared" si="93"/>
        <v>Voie parentérale</v>
      </c>
      <c r="BU285" t="str">
        <f t="shared" si="94"/>
        <v/>
      </c>
      <c r="CN285">
        <v>284</v>
      </c>
    </row>
    <row r="286" spans="1:92" x14ac:dyDescent="0.3">
      <c r="A286" s="118" t="s">
        <v>1975</v>
      </c>
      <c r="B286" t="s">
        <v>1976</v>
      </c>
      <c r="C286" t="s">
        <v>1977</v>
      </c>
      <c r="D286" s="144" t="s">
        <v>1978</v>
      </c>
      <c r="E286" t="s">
        <v>765</v>
      </c>
      <c r="F286" t="s">
        <v>283</v>
      </c>
      <c r="G286" t="s">
        <v>766</v>
      </c>
      <c r="H286" t="s">
        <v>1979</v>
      </c>
      <c r="I286" t="s">
        <v>766</v>
      </c>
      <c r="J286" t="s">
        <v>787</v>
      </c>
      <c r="K286" t="s">
        <v>787</v>
      </c>
      <c r="L286" t="s">
        <v>1055</v>
      </c>
      <c r="M286" t="s">
        <v>208</v>
      </c>
      <c r="N286" t="s">
        <v>1155</v>
      </c>
      <c r="O286" t="s">
        <v>771</v>
      </c>
      <c r="P286" t="s">
        <v>772</v>
      </c>
      <c r="Q286" t="s">
        <v>1544</v>
      </c>
      <c r="R286">
        <v>7</v>
      </c>
      <c r="S286">
        <v>5</v>
      </c>
      <c r="T286">
        <v>15</v>
      </c>
      <c r="U286">
        <v>5</v>
      </c>
      <c r="V286">
        <v>0</v>
      </c>
      <c r="W286">
        <v>0</v>
      </c>
      <c r="X286">
        <v>0</v>
      </c>
      <c r="Y286">
        <v>0</v>
      </c>
      <c r="Z286">
        <v>7</v>
      </c>
      <c r="AA286">
        <v>5</v>
      </c>
      <c r="AB286">
        <v>7</v>
      </c>
      <c r="AC286">
        <v>5</v>
      </c>
      <c r="AD286">
        <v>7</v>
      </c>
      <c r="AE286">
        <v>5</v>
      </c>
      <c r="AF286">
        <v>0</v>
      </c>
      <c r="AG286">
        <v>0</v>
      </c>
      <c r="AH286">
        <v>0</v>
      </c>
      <c r="AI286">
        <v>0</v>
      </c>
      <c r="AY286" t="str">
        <f t="shared" si="76"/>
        <v>CLAMOXYL SUSPENSION</v>
      </c>
      <c r="AZ286" t="str">
        <f>IF(COUNTIF(AY:AY,AY286)=1,AY286,IF(AND(COUNTIF(AY:AY,AY286)&gt;1,COUNTIF(AZ$2:AZ285,AY286)&gt;=1),"",AY286))</f>
        <v>CLAMOXYL SUSPENSION</v>
      </c>
      <c r="BA286">
        <f>IF(AZ286="","",COUNTIFS(AZ$3:AZ$1439,"&lt;"&amp;AZ286,AZ$3:AZ$1439,"&lt;&gt;0")+COUNTIF(AZ$3:AZ286,AZ286)-876)</f>
        <v>113</v>
      </c>
      <c r="BC286">
        <v>284</v>
      </c>
      <c r="BD286" t="str">
        <f t="shared" si="87"/>
        <v>LYDAXX 100 MG/ML SOLUTION INJECTABLE POUR BOVINS PORCINS ET OVINS</v>
      </c>
      <c r="BE286" t="str">
        <f t="shared" si="77"/>
        <v>INJ</v>
      </c>
      <c r="BF286" t="str">
        <f t="shared" si="78"/>
        <v>MACROLIDES</v>
      </c>
      <c r="BG286" t="str">
        <f t="shared" si="79"/>
        <v/>
      </c>
      <c r="BH286" t="str">
        <f t="shared" si="80"/>
        <v/>
      </c>
      <c r="BI286" t="str">
        <f t="shared" si="81"/>
        <v>tulathromycin</v>
      </c>
      <c r="BJ286" t="str">
        <f t="shared" si="82"/>
        <v/>
      </c>
      <c r="BK286" t="str">
        <f t="shared" si="83"/>
        <v/>
      </c>
      <c r="BL286" t="str">
        <f t="shared" si="88"/>
        <v>Tulathromycine</v>
      </c>
      <c r="BM286" t="str">
        <f t="shared" si="84"/>
        <v>Tulathromycine</v>
      </c>
      <c r="BN286" t="str">
        <f t="shared" si="85"/>
        <v/>
      </c>
      <c r="BO286" t="str">
        <f t="shared" si="86"/>
        <v/>
      </c>
      <c r="BP286" t="str">
        <f t="shared" si="89"/>
        <v>Macrolides</v>
      </c>
      <c r="BQ286" t="str">
        <f t="shared" si="90"/>
        <v>Macrolides</v>
      </c>
      <c r="BR286" t="str">
        <f t="shared" si="91"/>
        <v/>
      </c>
      <c r="BS286" t="str">
        <f t="shared" si="92"/>
        <v/>
      </c>
      <c r="BT286" s="76" t="str">
        <f t="shared" si="93"/>
        <v>Voie parentérale</v>
      </c>
      <c r="BU286" t="str">
        <f t="shared" si="94"/>
        <v/>
      </c>
      <c r="CN286">
        <v>285</v>
      </c>
    </row>
    <row r="287" spans="1:92" x14ac:dyDescent="0.3">
      <c r="A287" s="118" t="s">
        <v>1975</v>
      </c>
      <c r="B287" t="s">
        <v>1980</v>
      </c>
      <c r="C287" t="s">
        <v>1981</v>
      </c>
      <c r="D287" s="144" t="s">
        <v>1978</v>
      </c>
      <c r="E287" t="s">
        <v>765</v>
      </c>
      <c r="F287" t="s">
        <v>283</v>
      </c>
      <c r="G287" t="s">
        <v>766</v>
      </c>
      <c r="H287" t="s">
        <v>1979</v>
      </c>
      <c r="I287" t="s">
        <v>766</v>
      </c>
      <c r="J287" t="s">
        <v>787</v>
      </c>
      <c r="K287" t="s">
        <v>787</v>
      </c>
      <c r="L287" t="s">
        <v>1055</v>
      </c>
      <c r="M287" t="s">
        <v>208</v>
      </c>
      <c r="N287" t="s">
        <v>1155</v>
      </c>
      <c r="O287" t="s">
        <v>771</v>
      </c>
      <c r="P287" t="s">
        <v>772</v>
      </c>
      <c r="Q287" t="s">
        <v>1544</v>
      </c>
      <c r="R287">
        <v>7</v>
      </c>
      <c r="S287">
        <v>5</v>
      </c>
      <c r="T287">
        <v>15</v>
      </c>
      <c r="U287">
        <v>5</v>
      </c>
      <c r="V287">
        <v>0</v>
      </c>
      <c r="W287">
        <v>0</v>
      </c>
      <c r="X287">
        <v>0</v>
      </c>
      <c r="Y287">
        <v>0</v>
      </c>
      <c r="Z287">
        <v>7</v>
      </c>
      <c r="AA287">
        <v>5</v>
      </c>
      <c r="AB287">
        <v>7</v>
      </c>
      <c r="AC287">
        <v>5</v>
      </c>
      <c r="AD287">
        <v>7</v>
      </c>
      <c r="AE287">
        <v>5</v>
      </c>
      <c r="AF287">
        <v>0</v>
      </c>
      <c r="AG287">
        <v>0</v>
      </c>
      <c r="AH287">
        <v>0</v>
      </c>
      <c r="AI287">
        <v>0</v>
      </c>
      <c r="AY287" t="str">
        <f t="shared" si="76"/>
        <v>CLAMOXYL SUSPENSION</v>
      </c>
      <c r="AZ287" t="str">
        <f>IF(COUNTIF(AY:AY,AY287)=1,AY287,IF(AND(COUNTIF(AY:AY,AY287)&gt;1,COUNTIF(AZ$2:AZ286,AY287)&gt;=1),"",AY287))</f>
        <v/>
      </c>
      <c r="BA287" t="str">
        <f>IF(AZ287="","",COUNTIFS(AZ$3:AZ$1439,"&lt;"&amp;AZ287,AZ$3:AZ$1439,"&lt;&gt;0")+COUNTIF(AZ$3:AZ287,AZ287)-876)</f>
        <v/>
      </c>
      <c r="BC287">
        <v>285</v>
      </c>
      <c r="BD287" t="str">
        <f t="shared" si="87"/>
        <v>MACROSYN 100 MG/ML SOLUTION INJECTABLE POUR BOVINS, PORCINS ET OVINS</v>
      </c>
      <c r="BE287" t="str">
        <f t="shared" si="77"/>
        <v>INJ</v>
      </c>
      <c r="BF287" t="str">
        <f t="shared" si="78"/>
        <v>MACROLIDES</v>
      </c>
      <c r="BG287" t="str">
        <f t="shared" si="79"/>
        <v/>
      </c>
      <c r="BH287" t="str">
        <f t="shared" si="80"/>
        <v/>
      </c>
      <c r="BI287" t="str">
        <f t="shared" si="81"/>
        <v>tulathromycin</v>
      </c>
      <c r="BJ287" t="str">
        <f t="shared" si="82"/>
        <v/>
      </c>
      <c r="BK287" t="str">
        <f t="shared" si="83"/>
        <v/>
      </c>
      <c r="BL287" t="str">
        <f t="shared" si="88"/>
        <v>Tulathromycine</v>
      </c>
      <c r="BM287" t="str">
        <f t="shared" si="84"/>
        <v>Tulathromycine</v>
      </c>
      <c r="BN287" t="str">
        <f t="shared" si="85"/>
        <v/>
      </c>
      <c r="BO287" t="str">
        <f t="shared" si="86"/>
        <v/>
      </c>
      <c r="BP287" t="str">
        <f t="shared" si="89"/>
        <v>Macrolides</v>
      </c>
      <c r="BQ287" t="str">
        <f t="shared" si="90"/>
        <v>Macrolides</v>
      </c>
      <c r="BR287" t="str">
        <f t="shared" si="91"/>
        <v/>
      </c>
      <c r="BS287" t="str">
        <f t="shared" si="92"/>
        <v/>
      </c>
      <c r="BT287" s="76" t="str">
        <f t="shared" si="93"/>
        <v>Voie parentérale</v>
      </c>
      <c r="BU287" t="str">
        <f t="shared" si="94"/>
        <v/>
      </c>
      <c r="CN287">
        <v>286</v>
      </c>
    </row>
    <row r="288" spans="1:92" x14ac:dyDescent="0.3">
      <c r="A288" s="118" t="s">
        <v>1975</v>
      </c>
      <c r="B288" t="s">
        <v>1982</v>
      </c>
      <c r="C288" t="s">
        <v>796</v>
      </c>
      <c r="D288" s="144" t="s">
        <v>776</v>
      </c>
      <c r="E288" t="s">
        <v>765</v>
      </c>
      <c r="F288" t="s">
        <v>283</v>
      </c>
      <c r="G288" t="s">
        <v>766</v>
      </c>
      <c r="H288" t="s">
        <v>1979</v>
      </c>
      <c r="I288" t="s">
        <v>766</v>
      </c>
      <c r="J288" t="s">
        <v>787</v>
      </c>
      <c r="K288" t="s">
        <v>787</v>
      </c>
      <c r="L288" t="s">
        <v>1055</v>
      </c>
      <c r="M288" t="s">
        <v>208</v>
      </c>
      <c r="N288" t="s">
        <v>1155</v>
      </c>
      <c r="O288" t="s">
        <v>771</v>
      </c>
      <c r="P288" t="s">
        <v>772</v>
      </c>
      <c r="Q288" t="s">
        <v>1773</v>
      </c>
      <c r="R288">
        <v>7</v>
      </c>
      <c r="S288">
        <v>5</v>
      </c>
      <c r="T288">
        <v>15</v>
      </c>
      <c r="U288">
        <v>5</v>
      </c>
      <c r="V288">
        <v>0</v>
      </c>
      <c r="W288">
        <v>0</v>
      </c>
      <c r="X288">
        <v>0</v>
      </c>
      <c r="Y288">
        <v>0</v>
      </c>
      <c r="Z288">
        <v>7</v>
      </c>
      <c r="AA288">
        <v>5</v>
      </c>
      <c r="AB288">
        <v>7</v>
      </c>
      <c r="AC288">
        <v>5</v>
      </c>
      <c r="AD288">
        <v>7</v>
      </c>
      <c r="AE288">
        <v>5</v>
      </c>
      <c r="AF288">
        <v>0</v>
      </c>
      <c r="AG288">
        <v>0</v>
      </c>
      <c r="AH288">
        <v>0</v>
      </c>
      <c r="AI288">
        <v>0</v>
      </c>
      <c r="AY288" t="str">
        <f t="shared" si="76"/>
        <v>CLAMOXYL SUSPENSION</v>
      </c>
      <c r="AZ288" t="str">
        <f>IF(COUNTIF(AY:AY,AY288)=1,AY288,IF(AND(COUNTIF(AY:AY,AY288)&gt;1,COUNTIF(AZ$2:AZ287,AY288)&gt;=1),"",AY288))</f>
        <v/>
      </c>
      <c r="BA288" t="str">
        <f>IF(AZ288="","",COUNTIFS(AZ$3:AZ$1439,"&lt;"&amp;AZ288,AZ$3:AZ$1439,"&lt;&gt;0")+COUNTIF(AZ$3:AZ288,AZ288)-876)</f>
        <v/>
      </c>
      <c r="BC288">
        <v>286</v>
      </c>
      <c r="BD288" t="str">
        <f t="shared" si="87"/>
        <v>MAMMITEL</v>
      </c>
      <c r="BE288" t="str">
        <f t="shared" si="77"/>
        <v>INTRAMAM</v>
      </c>
      <c r="BF288" t="str">
        <f t="shared" si="78"/>
        <v>PENICILLINES</v>
      </c>
      <c r="BG288" t="str">
        <f t="shared" si="79"/>
        <v>POLYPEPTIDES</v>
      </c>
      <c r="BH288" t="str">
        <f t="shared" si="80"/>
        <v/>
      </c>
      <c r="BI288" t="str">
        <f t="shared" si="81"/>
        <v>cloxacillin</v>
      </c>
      <c r="BJ288" t="str">
        <f t="shared" si="82"/>
        <v>colistin</v>
      </c>
      <c r="BK288" t="str">
        <f t="shared" si="83"/>
        <v/>
      </c>
      <c r="BL288" t="str">
        <f t="shared" si="88"/>
        <v>Cloxacilline + Colistine</v>
      </c>
      <c r="BM288" t="str">
        <f t="shared" si="84"/>
        <v>Cloxacilline</v>
      </c>
      <c r="BN288" t="str">
        <f t="shared" si="85"/>
        <v>Colistine</v>
      </c>
      <c r="BO288" t="str">
        <f t="shared" si="86"/>
        <v/>
      </c>
      <c r="BP288" t="str">
        <f t="shared" si="89"/>
        <v>Penicillines + Polypeptides</v>
      </c>
      <c r="BQ288" t="str">
        <f t="shared" si="90"/>
        <v>Penicillines</v>
      </c>
      <c r="BR288" t="str">
        <f t="shared" si="91"/>
        <v>Polypeptides</v>
      </c>
      <c r="BS288" t="str">
        <f t="shared" si="92"/>
        <v/>
      </c>
      <c r="BT288" s="76" t="str">
        <f t="shared" si="93"/>
        <v>Voie intramammaire</v>
      </c>
      <c r="BU288" t="str">
        <f t="shared" si="94"/>
        <v>x</v>
      </c>
      <c r="CN288">
        <v>287</v>
      </c>
    </row>
    <row r="289" spans="1:92" x14ac:dyDescent="0.3">
      <c r="A289" s="118" t="s">
        <v>3188</v>
      </c>
      <c r="B289" t="s">
        <v>3189</v>
      </c>
      <c r="C289" t="s">
        <v>3182</v>
      </c>
      <c r="D289" s="144" t="s">
        <v>764</v>
      </c>
      <c r="E289" t="s">
        <v>813</v>
      </c>
      <c r="F289" t="s">
        <v>3190</v>
      </c>
      <c r="G289" t="s">
        <v>815</v>
      </c>
      <c r="H289" t="s">
        <v>860</v>
      </c>
      <c r="I289" t="s">
        <v>817</v>
      </c>
      <c r="J289" t="s">
        <v>2070</v>
      </c>
      <c r="K289" t="s">
        <v>787</v>
      </c>
      <c r="L289" t="s">
        <v>1055</v>
      </c>
      <c r="M289" t="s">
        <v>208</v>
      </c>
      <c r="N289" t="s">
        <v>864</v>
      </c>
      <c r="O289" t="s">
        <v>824</v>
      </c>
      <c r="P289" t="s">
        <v>772</v>
      </c>
      <c r="Q289" t="s">
        <v>869</v>
      </c>
      <c r="R289">
        <v>0</v>
      </c>
      <c r="S289">
        <v>0</v>
      </c>
      <c r="T289">
        <v>20</v>
      </c>
      <c r="U289">
        <v>7</v>
      </c>
      <c r="V289">
        <v>0</v>
      </c>
      <c r="W289">
        <v>0</v>
      </c>
      <c r="X289">
        <v>0</v>
      </c>
      <c r="Y289">
        <v>0</v>
      </c>
      <c r="Z289">
        <v>0</v>
      </c>
      <c r="AA289">
        <v>0</v>
      </c>
      <c r="AB289">
        <v>0</v>
      </c>
      <c r="AC289">
        <v>0</v>
      </c>
      <c r="AD289">
        <v>0</v>
      </c>
      <c r="AE289">
        <v>0</v>
      </c>
      <c r="AF289">
        <v>0</v>
      </c>
      <c r="AG289">
        <v>0</v>
      </c>
      <c r="AH289">
        <v>0</v>
      </c>
      <c r="AI289">
        <v>0</v>
      </c>
      <c r="AJ289" t="s">
        <v>2071</v>
      </c>
      <c r="AK289" t="s">
        <v>2072</v>
      </c>
      <c r="AL289" t="s">
        <v>208</v>
      </c>
      <c r="AM289" t="s">
        <v>780</v>
      </c>
      <c r="AN289" t="s">
        <v>824</v>
      </c>
      <c r="AO289" t="s">
        <v>2073</v>
      </c>
      <c r="AP289" t="s">
        <v>2073</v>
      </c>
      <c r="AY289" t="str">
        <f t="shared" si="76"/>
        <v/>
      </c>
      <c r="AZ289" t="str">
        <f>IF(COUNTIF(AY:AY,AY289)=1,AY289,IF(AND(COUNTIF(AY:AY,AY289)&gt;1,COUNTIF(AZ$2:AZ288,AY289)&gt;=1),"",AY289))</f>
        <v/>
      </c>
      <c r="BA289" t="str">
        <f>IF(AZ289="","",COUNTIFS(AZ$3:AZ$1439,"&lt;"&amp;AZ289,AZ$3:AZ$1439,"&lt;&gt;0")+COUNTIF(AZ$3:AZ289,AZ289)-876)</f>
        <v/>
      </c>
      <c r="BC289">
        <v>287</v>
      </c>
      <c r="BD289" t="str">
        <f t="shared" si="87"/>
        <v>MARBOCARE 100 MG/ML SOLUTION INJECTABLE POUR BOVINS ET PORCINS</v>
      </c>
      <c r="BE289" t="str">
        <f t="shared" si="77"/>
        <v>INJ</v>
      </c>
      <c r="BF289" t="str">
        <f t="shared" si="78"/>
        <v>FLUOROQUINOLONES</v>
      </c>
      <c r="BG289" t="str">
        <f t="shared" si="79"/>
        <v/>
      </c>
      <c r="BH289" t="str">
        <f t="shared" si="80"/>
        <v/>
      </c>
      <c r="BI289" t="str">
        <f t="shared" si="81"/>
        <v>marbofloxacin</v>
      </c>
      <c r="BJ289" t="str">
        <f t="shared" si="82"/>
        <v/>
      </c>
      <c r="BK289" t="str">
        <f t="shared" si="83"/>
        <v/>
      </c>
      <c r="BL289" t="str">
        <f t="shared" si="88"/>
        <v>Marbofloxacine</v>
      </c>
      <c r="BM289" t="str">
        <f t="shared" si="84"/>
        <v>Marbofloxacine</v>
      </c>
      <c r="BN289" t="str">
        <f t="shared" si="85"/>
        <v/>
      </c>
      <c r="BO289" t="str">
        <f t="shared" si="86"/>
        <v/>
      </c>
      <c r="BP289" t="str">
        <f t="shared" si="89"/>
        <v>Fluoroquinolones</v>
      </c>
      <c r="BQ289" t="str">
        <f t="shared" si="90"/>
        <v>Fluoroquinolones</v>
      </c>
      <c r="BR289" t="str">
        <f t="shared" si="91"/>
        <v/>
      </c>
      <c r="BS289" t="str">
        <f t="shared" si="92"/>
        <v/>
      </c>
      <c r="BT289" s="76" t="str">
        <f t="shared" si="93"/>
        <v>Voie parentérale</v>
      </c>
      <c r="BU289" t="str">
        <f t="shared" si="94"/>
        <v>x</v>
      </c>
      <c r="CN289">
        <v>288</v>
      </c>
    </row>
    <row r="290" spans="1:92" x14ac:dyDescent="0.3">
      <c r="A290" s="118" t="s">
        <v>3188</v>
      </c>
      <c r="B290" t="s">
        <v>3191</v>
      </c>
      <c r="C290" t="s">
        <v>3185</v>
      </c>
      <c r="D290" s="144" t="s">
        <v>776</v>
      </c>
      <c r="E290" t="s">
        <v>813</v>
      </c>
      <c r="F290" t="s">
        <v>3190</v>
      </c>
      <c r="G290" t="s">
        <v>815</v>
      </c>
      <c r="H290" t="s">
        <v>860</v>
      </c>
      <c r="I290" t="s">
        <v>817</v>
      </c>
      <c r="J290" t="s">
        <v>2070</v>
      </c>
      <c r="K290" t="s">
        <v>787</v>
      </c>
      <c r="L290" t="s">
        <v>1055</v>
      </c>
      <c r="M290" t="s">
        <v>208</v>
      </c>
      <c r="N290" t="s">
        <v>864</v>
      </c>
      <c r="O290" t="s">
        <v>824</v>
      </c>
      <c r="P290" t="s">
        <v>772</v>
      </c>
      <c r="Q290" t="s">
        <v>780</v>
      </c>
      <c r="R290">
        <v>0</v>
      </c>
      <c r="S290">
        <v>0</v>
      </c>
      <c r="T290">
        <v>20</v>
      </c>
      <c r="U290">
        <v>7</v>
      </c>
      <c r="V290">
        <v>0</v>
      </c>
      <c r="W290">
        <v>0</v>
      </c>
      <c r="X290">
        <v>0</v>
      </c>
      <c r="Y290">
        <v>0</v>
      </c>
      <c r="Z290">
        <v>0</v>
      </c>
      <c r="AA290">
        <v>0</v>
      </c>
      <c r="AB290">
        <v>0</v>
      </c>
      <c r="AC290">
        <v>0</v>
      </c>
      <c r="AD290">
        <v>0</v>
      </c>
      <c r="AE290">
        <v>0</v>
      </c>
      <c r="AF290">
        <v>0</v>
      </c>
      <c r="AG290">
        <v>0</v>
      </c>
      <c r="AH290">
        <v>0</v>
      </c>
      <c r="AI290">
        <v>0</v>
      </c>
      <c r="AJ290" t="s">
        <v>2071</v>
      </c>
      <c r="AK290" t="s">
        <v>2072</v>
      </c>
      <c r="AL290" t="s">
        <v>208</v>
      </c>
      <c r="AM290" t="s">
        <v>780</v>
      </c>
      <c r="AN290" t="s">
        <v>824</v>
      </c>
      <c r="AO290" t="s">
        <v>2073</v>
      </c>
      <c r="AP290" t="s">
        <v>2073</v>
      </c>
      <c r="AY290" t="str">
        <f t="shared" si="76"/>
        <v/>
      </c>
      <c r="AZ290" t="str">
        <f>IF(COUNTIF(AY:AY,AY290)=1,AY290,IF(AND(COUNTIF(AY:AY,AY290)&gt;1,COUNTIF(AZ$2:AZ289,AY290)&gt;=1),"",AY290))</f>
        <v/>
      </c>
      <c r="BA290" t="str">
        <f>IF(AZ290="","",COUNTIFS(AZ$3:AZ$1439,"&lt;"&amp;AZ290,AZ$3:AZ$1439,"&lt;&gt;0")+COUNTIF(AZ$3:AZ290,AZ290)-876)</f>
        <v/>
      </c>
      <c r="BC290">
        <v>288</v>
      </c>
      <c r="BD290" t="str">
        <f t="shared" si="87"/>
        <v>MARBOCARE 20 MG/ML SOLUTION INJECTABLE POUR BOVINS ET PORCINS</v>
      </c>
      <c r="BE290" t="str">
        <f t="shared" si="77"/>
        <v>INJ</v>
      </c>
      <c r="BF290" t="str">
        <f t="shared" si="78"/>
        <v>FLUOROQUINOLONES</v>
      </c>
      <c r="BG290" t="str">
        <f t="shared" si="79"/>
        <v/>
      </c>
      <c r="BH290" t="str">
        <f t="shared" si="80"/>
        <v/>
      </c>
      <c r="BI290" t="str">
        <f t="shared" si="81"/>
        <v>marbofloxacin</v>
      </c>
      <c r="BJ290" t="str">
        <f t="shared" si="82"/>
        <v/>
      </c>
      <c r="BK290" t="str">
        <f t="shared" si="83"/>
        <v/>
      </c>
      <c r="BL290" t="str">
        <f t="shared" si="88"/>
        <v>Marbofloxacine</v>
      </c>
      <c r="BM290" t="str">
        <f t="shared" si="84"/>
        <v>Marbofloxacine</v>
      </c>
      <c r="BN290" t="str">
        <f t="shared" si="85"/>
        <v/>
      </c>
      <c r="BO290" t="str">
        <f t="shared" si="86"/>
        <v/>
      </c>
      <c r="BP290" t="str">
        <f t="shared" si="89"/>
        <v>Fluoroquinolones</v>
      </c>
      <c r="BQ290" t="str">
        <f t="shared" si="90"/>
        <v>Fluoroquinolones</v>
      </c>
      <c r="BR290" t="str">
        <f t="shared" si="91"/>
        <v/>
      </c>
      <c r="BS290" t="str">
        <f t="shared" si="92"/>
        <v/>
      </c>
      <c r="BT290" s="76" t="str">
        <f t="shared" si="93"/>
        <v>Voie parentérale</v>
      </c>
      <c r="BU290" t="str">
        <f t="shared" si="94"/>
        <v>x</v>
      </c>
      <c r="CN290">
        <v>289</v>
      </c>
    </row>
    <row r="291" spans="1:92" x14ac:dyDescent="0.3">
      <c r="A291" s="118" t="s">
        <v>3188</v>
      </c>
      <c r="B291" t="s">
        <v>3192</v>
      </c>
      <c r="C291" t="s">
        <v>3193</v>
      </c>
      <c r="D291" s="144" t="s">
        <v>1978</v>
      </c>
      <c r="E291" t="s">
        <v>813</v>
      </c>
      <c r="F291" t="s">
        <v>3190</v>
      </c>
      <c r="G291" t="s">
        <v>815</v>
      </c>
      <c r="H291" t="s">
        <v>860</v>
      </c>
      <c r="I291" t="s">
        <v>817</v>
      </c>
      <c r="J291" t="s">
        <v>2070</v>
      </c>
      <c r="K291" t="s">
        <v>787</v>
      </c>
      <c r="L291" t="s">
        <v>1055</v>
      </c>
      <c r="M291" t="s">
        <v>208</v>
      </c>
      <c r="N291" t="s">
        <v>864</v>
      </c>
      <c r="O291" t="s">
        <v>824</v>
      </c>
      <c r="P291" t="s">
        <v>772</v>
      </c>
      <c r="Q291" t="s">
        <v>785</v>
      </c>
      <c r="R291">
        <v>0</v>
      </c>
      <c r="S291">
        <v>0</v>
      </c>
      <c r="T291">
        <v>20</v>
      </c>
      <c r="U291">
        <v>7</v>
      </c>
      <c r="V291">
        <v>0</v>
      </c>
      <c r="W291">
        <v>0</v>
      </c>
      <c r="X291">
        <v>0</v>
      </c>
      <c r="Y291">
        <v>0</v>
      </c>
      <c r="Z291">
        <v>0</v>
      </c>
      <c r="AA291">
        <v>0</v>
      </c>
      <c r="AB291">
        <v>0</v>
      </c>
      <c r="AC291">
        <v>0</v>
      </c>
      <c r="AD291">
        <v>0</v>
      </c>
      <c r="AE291">
        <v>0</v>
      </c>
      <c r="AF291">
        <v>0</v>
      </c>
      <c r="AG291">
        <v>0</v>
      </c>
      <c r="AH291">
        <v>0</v>
      </c>
      <c r="AI291">
        <v>0</v>
      </c>
      <c r="AJ291" t="s">
        <v>2071</v>
      </c>
      <c r="AK291" t="s">
        <v>2072</v>
      </c>
      <c r="AL291" t="s">
        <v>208</v>
      </c>
      <c r="AM291" t="s">
        <v>780</v>
      </c>
      <c r="AN291" t="s">
        <v>824</v>
      </c>
      <c r="AO291" t="s">
        <v>2073</v>
      </c>
      <c r="AP291" t="s">
        <v>2073</v>
      </c>
      <c r="AY291" t="str">
        <f t="shared" si="76"/>
        <v/>
      </c>
      <c r="AZ291" t="str">
        <f>IF(COUNTIF(AY:AY,AY291)=1,AY291,IF(AND(COUNTIF(AY:AY,AY291)&gt;1,COUNTIF(AZ$2:AZ290,AY291)&gt;=1),"",AY291))</f>
        <v/>
      </c>
      <c r="BA291" t="str">
        <f>IF(AZ291="","",COUNTIFS(AZ$3:AZ$1439,"&lt;"&amp;AZ291,AZ$3:AZ$1439,"&lt;&gt;0")+COUNTIF(AZ$3:AZ291,AZ291)-876)</f>
        <v/>
      </c>
      <c r="BC291">
        <v>289</v>
      </c>
      <c r="BD291" t="str">
        <f t="shared" si="87"/>
        <v>MARBOCYL 10 %</v>
      </c>
      <c r="BE291" t="str">
        <f t="shared" si="77"/>
        <v>INJ</v>
      </c>
      <c r="BF291" t="str">
        <f t="shared" si="78"/>
        <v>FLUOROQUINOLONES</v>
      </c>
      <c r="BG291" t="str">
        <f t="shared" si="79"/>
        <v/>
      </c>
      <c r="BH291" t="str">
        <f t="shared" si="80"/>
        <v/>
      </c>
      <c r="BI291" t="str">
        <f t="shared" si="81"/>
        <v>marbofloxacin</v>
      </c>
      <c r="BJ291" t="str">
        <f t="shared" si="82"/>
        <v/>
      </c>
      <c r="BK291" t="str">
        <f t="shared" si="83"/>
        <v/>
      </c>
      <c r="BL291" t="str">
        <f t="shared" si="88"/>
        <v>Marbofloxacine</v>
      </c>
      <c r="BM291" t="str">
        <f t="shared" si="84"/>
        <v>Marbofloxacine</v>
      </c>
      <c r="BN291" t="str">
        <f t="shared" si="85"/>
        <v/>
      </c>
      <c r="BO291" t="str">
        <f t="shared" si="86"/>
        <v/>
      </c>
      <c r="BP291" t="str">
        <f t="shared" si="89"/>
        <v>Fluoroquinolones</v>
      </c>
      <c r="BQ291" t="str">
        <f t="shared" si="90"/>
        <v>Fluoroquinolones</v>
      </c>
      <c r="BR291" t="str">
        <f t="shared" si="91"/>
        <v/>
      </c>
      <c r="BS291" t="str">
        <f t="shared" si="92"/>
        <v/>
      </c>
      <c r="BT291" s="76" t="str">
        <f t="shared" si="93"/>
        <v>Voie parentérale</v>
      </c>
      <c r="BU291" t="str">
        <f t="shared" si="94"/>
        <v>x</v>
      </c>
      <c r="CN291">
        <v>290</v>
      </c>
    </row>
    <row r="292" spans="1:92" x14ac:dyDescent="0.3">
      <c r="A292" s="118" t="s">
        <v>3180</v>
      </c>
      <c r="B292" t="s">
        <v>3181</v>
      </c>
      <c r="C292" t="s">
        <v>3182</v>
      </c>
      <c r="D292" s="144" t="s">
        <v>764</v>
      </c>
      <c r="E292" t="s">
        <v>813</v>
      </c>
      <c r="F292" t="s">
        <v>3183</v>
      </c>
      <c r="G292" t="s">
        <v>815</v>
      </c>
      <c r="H292" t="s">
        <v>816</v>
      </c>
      <c r="I292" t="s">
        <v>817</v>
      </c>
      <c r="J292" t="s">
        <v>2070</v>
      </c>
      <c r="K292" t="s">
        <v>787</v>
      </c>
      <c r="L292" t="s">
        <v>1055</v>
      </c>
      <c r="M292" t="s">
        <v>208</v>
      </c>
      <c r="N292" t="s">
        <v>932</v>
      </c>
      <c r="O292" t="s">
        <v>824</v>
      </c>
      <c r="P292" t="s">
        <v>772</v>
      </c>
      <c r="Q292" t="s">
        <v>934</v>
      </c>
      <c r="R292">
        <v>0</v>
      </c>
      <c r="S292">
        <v>0</v>
      </c>
      <c r="T292">
        <v>20</v>
      </c>
      <c r="U292">
        <v>7</v>
      </c>
      <c r="V292">
        <v>0</v>
      </c>
      <c r="W292">
        <v>0</v>
      </c>
      <c r="X292">
        <v>0</v>
      </c>
      <c r="Y292">
        <v>0</v>
      </c>
      <c r="Z292">
        <v>0</v>
      </c>
      <c r="AA292">
        <v>0</v>
      </c>
      <c r="AB292">
        <v>0</v>
      </c>
      <c r="AC292">
        <v>0</v>
      </c>
      <c r="AD292">
        <v>0</v>
      </c>
      <c r="AE292">
        <v>0</v>
      </c>
      <c r="AF292">
        <v>0</v>
      </c>
      <c r="AG292">
        <v>0</v>
      </c>
      <c r="AH292">
        <v>0</v>
      </c>
      <c r="AI292">
        <v>0</v>
      </c>
      <c r="AJ292" t="s">
        <v>2071</v>
      </c>
      <c r="AK292" t="s">
        <v>2072</v>
      </c>
      <c r="AL292" t="s">
        <v>208</v>
      </c>
      <c r="AM292" t="s">
        <v>852</v>
      </c>
      <c r="AN292" t="s">
        <v>824</v>
      </c>
      <c r="AO292" t="s">
        <v>2073</v>
      </c>
      <c r="AP292" t="s">
        <v>2073</v>
      </c>
      <c r="AY292" t="str">
        <f t="shared" si="76"/>
        <v/>
      </c>
      <c r="AZ292" t="str">
        <f>IF(COUNTIF(AY:AY,AY292)=1,AY292,IF(AND(COUNTIF(AY:AY,AY292)&gt;1,COUNTIF(AZ$2:AZ291,AY292)&gt;=1),"",AY292))</f>
        <v/>
      </c>
      <c r="BA292" t="str">
        <f>IF(AZ292="","",COUNTIFS(AZ$3:AZ$1439,"&lt;"&amp;AZ292,AZ$3:AZ$1439,"&lt;&gt;0")+COUNTIF(AZ$3:AZ292,AZ292)-876)</f>
        <v/>
      </c>
      <c r="BC292">
        <v>290</v>
      </c>
      <c r="BD292" t="str">
        <f t="shared" si="87"/>
        <v>MARBOCYL 2 %</v>
      </c>
      <c r="BE292" t="str">
        <f t="shared" si="77"/>
        <v>INJ</v>
      </c>
      <c r="BF292" t="str">
        <f t="shared" si="78"/>
        <v>FLUOROQUINOLONES</v>
      </c>
      <c r="BG292" t="str">
        <f t="shared" si="79"/>
        <v/>
      </c>
      <c r="BH292" t="str">
        <f t="shared" si="80"/>
        <v/>
      </c>
      <c r="BI292" t="str">
        <f t="shared" si="81"/>
        <v>marbofloxacin</v>
      </c>
      <c r="BJ292" t="str">
        <f t="shared" si="82"/>
        <v/>
      </c>
      <c r="BK292" t="str">
        <f t="shared" si="83"/>
        <v/>
      </c>
      <c r="BL292" t="str">
        <f t="shared" si="88"/>
        <v>Marbofloxacine</v>
      </c>
      <c r="BM292" t="str">
        <f t="shared" si="84"/>
        <v>Marbofloxacine</v>
      </c>
      <c r="BN292" t="str">
        <f t="shared" si="85"/>
        <v/>
      </c>
      <c r="BO292" t="str">
        <f t="shared" si="86"/>
        <v/>
      </c>
      <c r="BP292" t="str">
        <f t="shared" si="89"/>
        <v>Fluoroquinolones</v>
      </c>
      <c r="BQ292" t="str">
        <f t="shared" si="90"/>
        <v>Fluoroquinolones</v>
      </c>
      <c r="BR292" t="str">
        <f t="shared" si="91"/>
        <v/>
      </c>
      <c r="BS292" t="str">
        <f t="shared" si="92"/>
        <v/>
      </c>
      <c r="BT292" s="76" t="str">
        <f t="shared" si="93"/>
        <v>Voie parentérale</v>
      </c>
      <c r="BU292" t="str">
        <f t="shared" si="94"/>
        <v>x</v>
      </c>
      <c r="CN292">
        <v>291</v>
      </c>
    </row>
    <row r="293" spans="1:92" x14ac:dyDescent="0.3">
      <c r="A293" s="118" t="s">
        <v>3180</v>
      </c>
      <c r="B293" t="s">
        <v>3184</v>
      </c>
      <c r="C293" t="s">
        <v>3185</v>
      </c>
      <c r="D293" s="144" t="s">
        <v>776</v>
      </c>
      <c r="E293" t="s">
        <v>813</v>
      </c>
      <c r="F293" t="s">
        <v>3183</v>
      </c>
      <c r="G293" t="s">
        <v>815</v>
      </c>
      <c r="H293" t="s">
        <v>816</v>
      </c>
      <c r="I293" t="s">
        <v>817</v>
      </c>
      <c r="J293" t="s">
        <v>2070</v>
      </c>
      <c r="K293" t="s">
        <v>787</v>
      </c>
      <c r="L293" t="s">
        <v>1055</v>
      </c>
      <c r="M293" t="s">
        <v>208</v>
      </c>
      <c r="N293" t="s">
        <v>932</v>
      </c>
      <c r="O293" t="s">
        <v>824</v>
      </c>
      <c r="P293" t="s">
        <v>772</v>
      </c>
      <c r="Q293" t="s">
        <v>852</v>
      </c>
      <c r="R293">
        <v>0</v>
      </c>
      <c r="S293">
        <v>0</v>
      </c>
      <c r="T293">
        <v>20</v>
      </c>
      <c r="U293">
        <v>7</v>
      </c>
      <c r="V293">
        <v>0</v>
      </c>
      <c r="W293">
        <v>0</v>
      </c>
      <c r="X293">
        <v>0</v>
      </c>
      <c r="Y293">
        <v>0</v>
      </c>
      <c r="Z293">
        <v>0</v>
      </c>
      <c r="AA293">
        <v>0</v>
      </c>
      <c r="AB293">
        <v>0</v>
      </c>
      <c r="AC293">
        <v>0</v>
      </c>
      <c r="AD293">
        <v>0</v>
      </c>
      <c r="AE293">
        <v>0</v>
      </c>
      <c r="AF293">
        <v>0</v>
      </c>
      <c r="AG293">
        <v>0</v>
      </c>
      <c r="AH293">
        <v>0</v>
      </c>
      <c r="AI293">
        <v>0</v>
      </c>
      <c r="AJ293" t="s">
        <v>2071</v>
      </c>
      <c r="AK293" t="s">
        <v>2072</v>
      </c>
      <c r="AL293" t="s">
        <v>208</v>
      </c>
      <c r="AM293" t="s">
        <v>852</v>
      </c>
      <c r="AN293" t="s">
        <v>824</v>
      </c>
      <c r="AO293" t="s">
        <v>2073</v>
      </c>
      <c r="AP293" t="s">
        <v>2073</v>
      </c>
      <c r="AY293" t="str">
        <f t="shared" si="76"/>
        <v/>
      </c>
      <c r="AZ293" t="str">
        <f>IF(COUNTIF(AY:AY,AY293)=1,AY293,IF(AND(COUNTIF(AY:AY,AY293)&gt;1,COUNTIF(AZ$2:AZ292,AY293)&gt;=1),"",AY293))</f>
        <v/>
      </c>
      <c r="BA293" t="str">
        <f>IF(AZ293="","",COUNTIFS(AZ$3:AZ$1439,"&lt;"&amp;AZ293,AZ$3:AZ$1439,"&lt;&gt;0")+COUNTIF(AZ$3:AZ293,AZ293)-876)</f>
        <v/>
      </c>
      <c r="BC293">
        <v>291</v>
      </c>
      <c r="BD293" t="str">
        <f t="shared" si="87"/>
        <v>MARBOCYL BOLUS</v>
      </c>
      <c r="BE293" t="str">
        <f t="shared" si="77"/>
        <v>ORAL</v>
      </c>
      <c r="BF293" t="str">
        <f t="shared" si="78"/>
        <v>FLUOROQUINOLONES</v>
      </c>
      <c r="BG293" t="str">
        <f t="shared" si="79"/>
        <v/>
      </c>
      <c r="BH293" t="str">
        <f t="shared" si="80"/>
        <v/>
      </c>
      <c r="BI293" t="str">
        <f t="shared" si="81"/>
        <v>marbofloxacin</v>
      </c>
      <c r="BJ293" t="str">
        <f t="shared" si="82"/>
        <v/>
      </c>
      <c r="BK293" t="str">
        <f t="shared" si="83"/>
        <v/>
      </c>
      <c r="BL293" t="str">
        <f t="shared" si="88"/>
        <v>Marbofloxacine</v>
      </c>
      <c r="BM293" t="str">
        <f t="shared" si="84"/>
        <v>Marbofloxacine</v>
      </c>
      <c r="BN293" t="str">
        <f t="shared" si="85"/>
        <v/>
      </c>
      <c r="BO293" t="str">
        <f t="shared" si="86"/>
        <v/>
      </c>
      <c r="BP293" t="str">
        <f t="shared" si="89"/>
        <v>Fluoroquinolones</v>
      </c>
      <c r="BQ293" t="str">
        <f t="shared" si="90"/>
        <v>Fluoroquinolones</v>
      </c>
      <c r="BR293" t="str">
        <f t="shared" si="91"/>
        <v/>
      </c>
      <c r="BS293" t="str">
        <f t="shared" si="92"/>
        <v/>
      </c>
      <c r="BT293" s="76" t="str">
        <f t="shared" si="93"/>
        <v>Voie orale  hors prémélanges médicamenteux</v>
      </c>
      <c r="BU293" t="str">
        <f t="shared" si="94"/>
        <v>x</v>
      </c>
      <c r="CN293">
        <v>292</v>
      </c>
    </row>
    <row r="294" spans="1:92" x14ac:dyDescent="0.3">
      <c r="A294" s="118" t="s">
        <v>3180</v>
      </c>
      <c r="B294" t="s">
        <v>3186</v>
      </c>
      <c r="C294" t="s">
        <v>3187</v>
      </c>
      <c r="D294" s="144" t="s">
        <v>906</v>
      </c>
      <c r="E294" t="s">
        <v>813</v>
      </c>
      <c r="F294" t="s">
        <v>3183</v>
      </c>
      <c r="G294" t="s">
        <v>815</v>
      </c>
      <c r="H294" t="s">
        <v>816</v>
      </c>
      <c r="I294" t="s">
        <v>817</v>
      </c>
      <c r="J294" t="s">
        <v>2070</v>
      </c>
      <c r="K294" t="s">
        <v>787</v>
      </c>
      <c r="L294" t="s">
        <v>1055</v>
      </c>
      <c r="M294" t="s">
        <v>208</v>
      </c>
      <c r="N294" t="s">
        <v>932</v>
      </c>
      <c r="O294" t="s">
        <v>824</v>
      </c>
      <c r="P294" t="s">
        <v>772</v>
      </c>
      <c r="Q294" t="s">
        <v>869</v>
      </c>
      <c r="R294">
        <v>0</v>
      </c>
      <c r="S294">
        <v>0</v>
      </c>
      <c r="T294">
        <v>20</v>
      </c>
      <c r="U294">
        <v>7</v>
      </c>
      <c r="V294">
        <v>0</v>
      </c>
      <c r="W294">
        <v>0</v>
      </c>
      <c r="X294">
        <v>0</v>
      </c>
      <c r="Y294">
        <v>0</v>
      </c>
      <c r="Z294">
        <v>0</v>
      </c>
      <c r="AA294">
        <v>0</v>
      </c>
      <c r="AB294">
        <v>0</v>
      </c>
      <c r="AC294">
        <v>0</v>
      </c>
      <c r="AD294">
        <v>0</v>
      </c>
      <c r="AE294">
        <v>0</v>
      </c>
      <c r="AF294">
        <v>0</v>
      </c>
      <c r="AG294">
        <v>0</v>
      </c>
      <c r="AH294">
        <v>0</v>
      </c>
      <c r="AI294">
        <v>0</v>
      </c>
      <c r="AJ294" t="s">
        <v>2071</v>
      </c>
      <c r="AK294" t="s">
        <v>2072</v>
      </c>
      <c r="AL294" t="s">
        <v>208</v>
      </c>
      <c r="AM294" t="s">
        <v>852</v>
      </c>
      <c r="AN294" t="s">
        <v>824</v>
      </c>
      <c r="AO294" t="s">
        <v>2073</v>
      </c>
      <c r="AP294" t="s">
        <v>2073</v>
      </c>
      <c r="AY294" t="str">
        <f t="shared" si="76"/>
        <v/>
      </c>
      <c r="AZ294" t="str">
        <f>IF(COUNTIF(AY:AY,AY294)=1,AY294,IF(AND(COUNTIF(AY:AY,AY294)&gt;1,COUNTIF(AZ$2:AZ293,AY294)&gt;=1),"",AY294))</f>
        <v/>
      </c>
      <c r="BA294" t="str">
        <f>IF(AZ294="","",COUNTIFS(AZ$3:AZ$1439,"&lt;"&amp;AZ294,AZ$3:AZ$1439,"&lt;&gt;0")+COUNTIF(AZ$3:AZ294,AZ294)-876)</f>
        <v/>
      </c>
      <c r="BC294">
        <v>292</v>
      </c>
      <c r="BD294" t="str">
        <f t="shared" si="87"/>
        <v>MARBOCYL S</v>
      </c>
      <c r="BE294" t="str">
        <f t="shared" si="77"/>
        <v>INJ</v>
      </c>
      <c r="BF294" t="str">
        <f t="shared" si="78"/>
        <v>FLUOROQUINOLONES</v>
      </c>
      <c r="BG294" t="str">
        <f t="shared" si="79"/>
        <v/>
      </c>
      <c r="BH294" t="str">
        <f t="shared" si="80"/>
        <v/>
      </c>
      <c r="BI294" t="str">
        <f t="shared" si="81"/>
        <v>marbofloxacin</v>
      </c>
      <c r="BJ294" t="str">
        <f t="shared" si="82"/>
        <v/>
      </c>
      <c r="BK294" t="str">
        <f t="shared" si="83"/>
        <v/>
      </c>
      <c r="BL294" t="str">
        <f t="shared" si="88"/>
        <v>Marbofloxacine</v>
      </c>
      <c r="BM294" t="str">
        <f t="shared" si="84"/>
        <v>Marbofloxacine</v>
      </c>
      <c r="BN294" t="str">
        <f t="shared" si="85"/>
        <v/>
      </c>
      <c r="BO294" t="str">
        <f t="shared" si="86"/>
        <v/>
      </c>
      <c r="BP294" t="str">
        <f t="shared" si="89"/>
        <v>Fluoroquinolones</v>
      </c>
      <c r="BQ294" t="str">
        <f t="shared" si="90"/>
        <v>Fluoroquinolones</v>
      </c>
      <c r="BR294" t="str">
        <f t="shared" si="91"/>
        <v/>
      </c>
      <c r="BS294" t="str">
        <f t="shared" si="92"/>
        <v/>
      </c>
      <c r="BT294" s="76" t="str">
        <f t="shared" si="93"/>
        <v>Voie parentérale</v>
      </c>
      <c r="BU294" t="str">
        <f t="shared" si="94"/>
        <v>x</v>
      </c>
      <c r="CN294">
        <v>293</v>
      </c>
    </row>
    <row r="295" spans="1:92" x14ac:dyDescent="0.3">
      <c r="A295" s="118" t="s">
        <v>3194</v>
      </c>
      <c r="B295" t="s">
        <v>3195</v>
      </c>
      <c r="C295" t="s">
        <v>3182</v>
      </c>
      <c r="D295" s="144" t="s">
        <v>764</v>
      </c>
      <c r="E295" t="s">
        <v>813</v>
      </c>
      <c r="F295" t="s">
        <v>3196</v>
      </c>
      <c r="G295" t="s">
        <v>815</v>
      </c>
      <c r="H295" t="s">
        <v>860</v>
      </c>
      <c r="I295" t="s">
        <v>817</v>
      </c>
      <c r="J295" t="s">
        <v>2070</v>
      </c>
      <c r="K295" t="s">
        <v>787</v>
      </c>
      <c r="L295" t="s">
        <v>1055</v>
      </c>
      <c r="M295" t="s">
        <v>208</v>
      </c>
      <c r="N295" t="s">
        <v>939</v>
      </c>
      <c r="O295" t="s">
        <v>824</v>
      </c>
      <c r="P295" t="s">
        <v>772</v>
      </c>
      <c r="Q295" t="s">
        <v>932</v>
      </c>
      <c r="R295">
        <v>0</v>
      </c>
      <c r="S295">
        <v>0</v>
      </c>
      <c r="T295">
        <v>20</v>
      </c>
      <c r="U295">
        <v>7</v>
      </c>
      <c r="V295">
        <v>0</v>
      </c>
      <c r="W295">
        <v>0</v>
      </c>
      <c r="X295">
        <v>0</v>
      </c>
      <c r="Y295">
        <v>0</v>
      </c>
      <c r="Z295">
        <v>0</v>
      </c>
      <c r="AA295">
        <v>0</v>
      </c>
      <c r="AB295">
        <v>0</v>
      </c>
      <c r="AC295">
        <v>0</v>
      </c>
      <c r="AD295">
        <v>0</v>
      </c>
      <c r="AE295">
        <v>0</v>
      </c>
      <c r="AF295">
        <v>0</v>
      </c>
      <c r="AG295">
        <v>0</v>
      </c>
      <c r="AH295">
        <v>0</v>
      </c>
      <c r="AI295">
        <v>0</v>
      </c>
      <c r="AJ295" t="s">
        <v>2071</v>
      </c>
      <c r="AK295" t="s">
        <v>2072</v>
      </c>
      <c r="AL295" t="s">
        <v>208</v>
      </c>
      <c r="AM295" t="s">
        <v>764</v>
      </c>
      <c r="AN295" t="s">
        <v>824</v>
      </c>
      <c r="AO295" t="s">
        <v>2073</v>
      </c>
      <c r="AP295" t="s">
        <v>2073</v>
      </c>
      <c r="AY295" t="str">
        <f t="shared" si="76"/>
        <v/>
      </c>
      <c r="AZ295" t="str">
        <f>IF(COUNTIF(AY:AY,AY295)=1,AY295,IF(AND(COUNTIF(AY:AY,AY295)&gt;1,COUNTIF(AZ$2:AZ294,AY295)&gt;=1),"",AY295))</f>
        <v/>
      </c>
      <c r="BA295" t="str">
        <f>IF(AZ295="","",COUNTIFS(AZ$3:AZ$1439,"&lt;"&amp;AZ295,AZ$3:AZ$1439,"&lt;&gt;0")+COUNTIF(AZ$3:AZ295,AZ295)-876)</f>
        <v/>
      </c>
      <c r="BC295">
        <v>293</v>
      </c>
      <c r="BD295" t="str">
        <f t="shared" si="87"/>
        <v>MARBONOR 100 MG/ML SOLUTION INJECTABLE POUR BOVINS ET PORCINS</v>
      </c>
      <c r="BE295" t="str">
        <f t="shared" si="77"/>
        <v>INJ</v>
      </c>
      <c r="BF295" t="str">
        <f t="shared" si="78"/>
        <v>FLUOROQUINOLONES</v>
      </c>
      <c r="BG295" t="str">
        <f t="shared" si="79"/>
        <v/>
      </c>
      <c r="BH295" t="str">
        <f t="shared" si="80"/>
        <v/>
      </c>
      <c r="BI295" t="str">
        <f t="shared" si="81"/>
        <v>marbofloxacin</v>
      </c>
      <c r="BJ295" t="str">
        <f t="shared" si="82"/>
        <v/>
      </c>
      <c r="BK295" t="str">
        <f t="shared" si="83"/>
        <v/>
      </c>
      <c r="BL295" t="str">
        <f t="shared" si="88"/>
        <v>Marbofloxacine</v>
      </c>
      <c r="BM295" t="str">
        <f t="shared" si="84"/>
        <v>Marbofloxacine</v>
      </c>
      <c r="BN295" t="str">
        <f t="shared" si="85"/>
        <v/>
      </c>
      <c r="BO295" t="str">
        <f t="shared" si="86"/>
        <v/>
      </c>
      <c r="BP295" t="str">
        <f t="shared" si="89"/>
        <v>Fluoroquinolones</v>
      </c>
      <c r="BQ295" t="str">
        <f t="shared" si="90"/>
        <v>Fluoroquinolones</v>
      </c>
      <c r="BR295" t="str">
        <f t="shared" si="91"/>
        <v/>
      </c>
      <c r="BS295" t="str">
        <f t="shared" si="92"/>
        <v/>
      </c>
      <c r="BT295" s="76" t="str">
        <f t="shared" si="93"/>
        <v>Voie parentérale</v>
      </c>
      <c r="BU295" t="str">
        <f t="shared" si="94"/>
        <v>x</v>
      </c>
      <c r="CN295">
        <v>294</v>
      </c>
    </row>
    <row r="296" spans="1:92" x14ac:dyDescent="0.3">
      <c r="A296" s="118" t="s">
        <v>3194</v>
      </c>
      <c r="B296" t="s">
        <v>3197</v>
      </c>
      <c r="C296" t="s">
        <v>3185</v>
      </c>
      <c r="D296" s="144" t="s">
        <v>776</v>
      </c>
      <c r="E296" t="s">
        <v>813</v>
      </c>
      <c r="F296" t="s">
        <v>3196</v>
      </c>
      <c r="G296" t="s">
        <v>815</v>
      </c>
      <c r="H296" t="s">
        <v>860</v>
      </c>
      <c r="I296" t="s">
        <v>817</v>
      </c>
      <c r="J296" t="s">
        <v>2070</v>
      </c>
      <c r="K296" t="s">
        <v>787</v>
      </c>
      <c r="L296" t="s">
        <v>1055</v>
      </c>
      <c r="M296" t="s">
        <v>208</v>
      </c>
      <c r="N296" t="s">
        <v>939</v>
      </c>
      <c r="O296" t="s">
        <v>824</v>
      </c>
      <c r="P296" t="s">
        <v>772</v>
      </c>
      <c r="Q296" t="s">
        <v>764</v>
      </c>
      <c r="R296">
        <v>0</v>
      </c>
      <c r="S296">
        <v>0</v>
      </c>
      <c r="T296">
        <v>20</v>
      </c>
      <c r="U296">
        <v>7</v>
      </c>
      <c r="V296">
        <v>0</v>
      </c>
      <c r="W296">
        <v>0</v>
      </c>
      <c r="X296">
        <v>0</v>
      </c>
      <c r="Y296">
        <v>0</v>
      </c>
      <c r="Z296">
        <v>0</v>
      </c>
      <c r="AA296">
        <v>0</v>
      </c>
      <c r="AB296">
        <v>0</v>
      </c>
      <c r="AC296">
        <v>0</v>
      </c>
      <c r="AD296">
        <v>0</v>
      </c>
      <c r="AE296">
        <v>0</v>
      </c>
      <c r="AF296">
        <v>0</v>
      </c>
      <c r="AG296">
        <v>0</v>
      </c>
      <c r="AH296">
        <v>0</v>
      </c>
      <c r="AI296">
        <v>0</v>
      </c>
      <c r="AJ296" t="s">
        <v>2071</v>
      </c>
      <c r="AK296" t="s">
        <v>2072</v>
      </c>
      <c r="AL296" t="s">
        <v>208</v>
      </c>
      <c r="AM296" t="s">
        <v>764</v>
      </c>
      <c r="AN296" t="s">
        <v>824</v>
      </c>
      <c r="AO296" t="s">
        <v>2073</v>
      </c>
      <c r="AP296" t="s">
        <v>2073</v>
      </c>
      <c r="AY296" t="str">
        <f t="shared" si="76"/>
        <v/>
      </c>
      <c r="AZ296" t="str">
        <f>IF(COUNTIF(AY:AY,AY296)=1,AY296,IF(AND(COUNTIF(AY:AY,AY296)&gt;1,COUNTIF(AZ$2:AZ295,AY296)&gt;=1),"",AY296))</f>
        <v/>
      </c>
      <c r="BA296" t="str">
        <f>IF(AZ296="","",COUNTIFS(AZ$3:AZ$1439,"&lt;"&amp;AZ296,AZ$3:AZ$1439,"&lt;&gt;0")+COUNTIF(AZ$3:AZ296,AZ296)-876)</f>
        <v/>
      </c>
      <c r="BC296">
        <v>294</v>
      </c>
      <c r="BD296" t="str">
        <f t="shared" si="87"/>
        <v>MARBOX 100 MG/ML SOLUTION INJECTABLE POUR BOVINS ET PORCINS</v>
      </c>
      <c r="BE296" t="str">
        <f t="shared" si="77"/>
        <v>INJ</v>
      </c>
      <c r="BF296" t="str">
        <f t="shared" si="78"/>
        <v>FLUOROQUINOLONES</v>
      </c>
      <c r="BG296" t="str">
        <f t="shared" si="79"/>
        <v/>
      </c>
      <c r="BH296" t="str">
        <f t="shared" si="80"/>
        <v/>
      </c>
      <c r="BI296" t="str">
        <f t="shared" si="81"/>
        <v>marbofloxacin</v>
      </c>
      <c r="BJ296" t="str">
        <f t="shared" si="82"/>
        <v/>
      </c>
      <c r="BK296" t="str">
        <f t="shared" si="83"/>
        <v/>
      </c>
      <c r="BL296" t="str">
        <f t="shared" si="88"/>
        <v>Marbofloxacine</v>
      </c>
      <c r="BM296" t="str">
        <f t="shared" si="84"/>
        <v>Marbofloxacine</v>
      </c>
      <c r="BN296" t="str">
        <f t="shared" si="85"/>
        <v/>
      </c>
      <c r="BO296" t="str">
        <f t="shared" si="86"/>
        <v/>
      </c>
      <c r="BP296" t="str">
        <f t="shared" si="89"/>
        <v>Fluoroquinolones</v>
      </c>
      <c r="BQ296" t="str">
        <f t="shared" si="90"/>
        <v>Fluoroquinolones</v>
      </c>
      <c r="BR296" t="str">
        <f t="shared" si="91"/>
        <v/>
      </c>
      <c r="BS296" t="str">
        <f t="shared" si="92"/>
        <v/>
      </c>
      <c r="BT296" s="76" t="str">
        <f t="shared" si="93"/>
        <v>Voie parentérale</v>
      </c>
      <c r="BU296" t="str">
        <f t="shared" si="94"/>
        <v>x</v>
      </c>
      <c r="CN296">
        <v>295</v>
      </c>
    </row>
    <row r="297" spans="1:92" x14ac:dyDescent="0.3">
      <c r="A297" s="118" t="s">
        <v>3194</v>
      </c>
      <c r="B297" t="s">
        <v>3198</v>
      </c>
      <c r="C297" t="s">
        <v>3193</v>
      </c>
      <c r="D297" s="144" t="s">
        <v>1978</v>
      </c>
      <c r="E297" t="s">
        <v>813</v>
      </c>
      <c r="F297" t="s">
        <v>3196</v>
      </c>
      <c r="G297" t="s">
        <v>815</v>
      </c>
      <c r="H297" t="s">
        <v>860</v>
      </c>
      <c r="I297" t="s">
        <v>817</v>
      </c>
      <c r="J297" t="s">
        <v>2070</v>
      </c>
      <c r="K297" t="s">
        <v>787</v>
      </c>
      <c r="L297" t="s">
        <v>1055</v>
      </c>
      <c r="M297" t="s">
        <v>208</v>
      </c>
      <c r="N297" t="s">
        <v>939</v>
      </c>
      <c r="O297" t="s">
        <v>824</v>
      </c>
      <c r="P297" t="s">
        <v>772</v>
      </c>
      <c r="Q297" t="s">
        <v>1214</v>
      </c>
      <c r="R297">
        <v>0</v>
      </c>
      <c r="S297">
        <v>0</v>
      </c>
      <c r="T297">
        <v>20</v>
      </c>
      <c r="U297">
        <v>7</v>
      </c>
      <c r="V297">
        <v>0</v>
      </c>
      <c r="W297">
        <v>0</v>
      </c>
      <c r="X297">
        <v>0</v>
      </c>
      <c r="Y297">
        <v>0</v>
      </c>
      <c r="Z297">
        <v>0</v>
      </c>
      <c r="AA297">
        <v>0</v>
      </c>
      <c r="AB297">
        <v>0</v>
      </c>
      <c r="AC297">
        <v>0</v>
      </c>
      <c r="AD297">
        <v>0</v>
      </c>
      <c r="AE297">
        <v>0</v>
      </c>
      <c r="AF297">
        <v>0</v>
      </c>
      <c r="AG297">
        <v>0</v>
      </c>
      <c r="AH297">
        <v>0</v>
      </c>
      <c r="AI297">
        <v>0</v>
      </c>
      <c r="AJ297" t="s">
        <v>2071</v>
      </c>
      <c r="AK297" t="s">
        <v>2072</v>
      </c>
      <c r="AL297" t="s">
        <v>208</v>
      </c>
      <c r="AM297" t="s">
        <v>764</v>
      </c>
      <c r="AN297" t="s">
        <v>824</v>
      </c>
      <c r="AO297" t="s">
        <v>2073</v>
      </c>
      <c r="AP297" t="s">
        <v>2073</v>
      </c>
      <c r="AY297" t="str">
        <f t="shared" si="76"/>
        <v/>
      </c>
      <c r="AZ297" t="str">
        <f>IF(COUNTIF(AY:AY,AY297)=1,AY297,IF(AND(COUNTIF(AY:AY,AY297)&gt;1,COUNTIF(AZ$2:AZ296,AY297)&gt;=1),"",AY297))</f>
        <v/>
      </c>
      <c r="BA297" t="str">
        <f>IF(AZ297="","",COUNTIFS(AZ$3:AZ$1439,"&lt;"&amp;AZ297,AZ$3:AZ$1439,"&lt;&gt;0")+COUNTIF(AZ$3:AZ297,AZ297)-876)</f>
        <v/>
      </c>
      <c r="BC297">
        <v>295</v>
      </c>
      <c r="BD297" t="str">
        <f t="shared" si="87"/>
        <v>MARFLOQUIN 100 MG/ML SOLUTION INJECTABLE POUR BOVINS ET PORCINS (TRUIES)</v>
      </c>
      <c r="BE297" t="str">
        <f t="shared" si="77"/>
        <v>INJ</v>
      </c>
      <c r="BF297" t="str">
        <f t="shared" si="78"/>
        <v>FLUOROQUINOLONES</v>
      </c>
      <c r="BG297" t="str">
        <f t="shared" si="79"/>
        <v/>
      </c>
      <c r="BH297" t="str">
        <f t="shared" si="80"/>
        <v/>
      </c>
      <c r="BI297" t="str">
        <f t="shared" si="81"/>
        <v>marbofloxacin</v>
      </c>
      <c r="BJ297" t="str">
        <f t="shared" si="82"/>
        <v/>
      </c>
      <c r="BK297" t="str">
        <f t="shared" si="83"/>
        <v/>
      </c>
      <c r="BL297" t="str">
        <f t="shared" si="88"/>
        <v>Marbofloxacine</v>
      </c>
      <c r="BM297" t="str">
        <f t="shared" si="84"/>
        <v>Marbofloxacine</v>
      </c>
      <c r="BN297" t="str">
        <f t="shared" si="85"/>
        <v/>
      </c>
      <c r="BO297" t="str">
        <f t="shared" si="86"/>
        <v/>
      </c>
      <c r="BP297" t="str">
        <f t="shared" si="89"/>
        <v>Fluoroquinolones</v>
      </c>
      <c r="BQ297" t="str">
        <f t="shared" si="90"/>
        <v>Fluoroquinolones</v>
      </c>
      <c r="BR297" t="str">
        <f t="shared" si="91"/>
        <v/>
      </c>
      <c r="BS297" t="str">
        <f t="shared" si="92"/>
        <v/>
      </c>
      <c r="BT297" s="76" t="str">
        <f t="shared" si="93"/>
        <v>Voie parentérale</v>
      </c>
      <c r="BU297" t="str">
        <f t="shared" si="94"/>
        <v>x</v>
      </c>
      <c r="CN297">
        <v>296</v>
      </c>
    </row>
    <row r="298" spans="1:92" x14ac:dyDescent="0.3">
      <c r="A298" s="118" t="s">
        <v>3948</v>
      </c>
      <c r="B298" t="s">
        <v>3949</v>
      </c>
      <c r="C298" t="s">
        <v>3182</v>
      </c>
      <c r="D298" s="144" t="s">
        <v>764</v>
      </c>
      <c r="E298" t="s">
        <v>813</v>
      </c>
      <c r="F298" t="s">
        <v>3950</v>
      </c>
      <c r="G298" t="s">
        <v>815</v>
      </c>
      <c r="H298" t="s">
        <v>816</v>
      </c>
      <c r="I298" t="s">
        <v>817</v>
      </c>
      <c r="J298" t="s">
        <v>2070</v>
      </c>
      <c r="K298" t="s">
        <v>787</v>
      </c>
      <c r="L298" t="s">
        <v>1055</v>
      </c>
      <c r="M298" t="s">
        <v>208</v>
      </c>
      <c r="N298" t="s">
        <v>780</v>
      </c>
      <c r="O298" t="s">
        <v>824</v>
      </c>
      <c r="P298" t="s">
        <v>772</v>
      </c>
      <c r="Q298" t="s">
        <v>885</v>
      </c>
      <c r="R298">
        <v>0</v>
      </c>
      <c r="S298">
        <v>0</v>
      </c>
      <c r="T298">
        <v>20</v>
      </c>
      <c r="U298">
        <v>7</v>
      </c>
      <c r="V298">
        <v>0</v>
      </c>
      <c r="W298">
        <v>0</v>
      </c>
      <c r="X298">
        <v>0</v>
      </c>
      <c r="Y298">
        <v>0</v>
      </c>
      <c r="Z298">
        <v>0</v>
      </c>
      <c r="AA298">
        <v>0</v>
      </c>
      <c r="AB298">
        <v>0</v>
      </c>
      <c r="AC298">
        <v>0</v>
      </c>
      <c r="AD298">
        <v>0</v>
      </c>
      <c r="AE298">
        <v>0</v>
      </c>
      <c r="AF298">
        <v>0</v>
      </c>
      <c r="AG298">
        <v>0</v>
      </c>
      <c r="AH298">
        <v>0</v>
      </c>
      <c r="AI298">
        <v>0</v>
      </c>
      <c r="AJ298" t="s">
        <v>2071</v>
      </c>
      <c r="AK298" t="s">
        <v>2072</v>
      </c>
      <c r="AL298" t="s">
        <v>208</v>
      </c>
      <c r="AM298" t="s">
        <v>1072</v>
      </c>
      <c r="AN298" t="s">
        <v>824</v>
      </c>
      <c r="AO298" t="s">
        <v>2073</v>
      </c>
      <c r="AP298" t="s">
        <v>2073</v>
      </c>
      <c r="AY298" t="str">
        <f t="shared" si="76"/>
        <v/>
      </c>
      <c r="AZ298" t="str">
        <f>IF(COUNTIF(AY:AY,AY298)=1,AY298,IF(AND(COUNTIF(AY:AY,AY298)&gt;1,COUNTIF(AZ$2:AZ297,AY298)&gt;=1),"",AY298))</f>
        <v/>
      </c>
      <c r="BA298" t="str">
        <f>IF(AZ298="","",COUNTIFS(AZ$3:AZ$1439,"&lt;"&amp;AZ298,AZ$3:AZ$1439,"&lt;&gt;0")+COUNTIF(AZ$3:AZ298,AZ298)-876)</f>
        <v/>
      </c>
      <c r="BC298">
        <v>296</v>
      </c>
      <c r="BD298" t="str">
        <f t="shared" si="87"/>
        <v>MARFLOQUIN 20 MG/ML SOLUTION INJECTABLE POUR BOVINS (VEAUX) ET PORCINS</v>
      </c>
      <c r="BE298" t="str">
        <f t="shared" si="77"/>
        <v>INJ</v>
      </c>
      <c r="BF298" t="str">
        <f t="shared" si="78"/>
        <v>FLUOROQUINOLONES</v>
      </c>
      <c r="BG298" t="str">
        <f t="shared" si="79"/>
        <v/>
      </c>
      <c r="BH298" t="str">
        <f t="shared" si="80"/>
        <v/>
      </c>
      <c r="BI298" t="str">
        <f t="shared" si="81"/>
        <v>marbofloxacin</v>
      </c>
      <c r="BJ298" t="str">
        <f t="shared" si="82"/>
        <v/>
      </c>
      <c r="BK298" t="str">
        <f t="shared" si="83"/>
        <v/>
      </c>
      <c r="BL298" t="str">
        <f t="shared" si="88"/>
        <v>Marbofloxacine</v>
      </c>
      <c r="BM298" t="str">
        <f t="shared" si="84"/>
        <v>Marbofloxacine</v>
      </c>
      <c r="BN298" t="str">
        <f t="shared" si="85"/>
        <v/>
      </c>
      <c r="BO298" t="str">
        <f t="shared" si="86"/>
        <v/>
      </c>
      <c r="BP298" t="str">
        <f t="shared" si="89"/>
        <v>Fluoroquinolones</v>
      </c>
      <c r="BQ298" t="str">
        <f t="shared" si="90"/>
        <v>Fluoroquinolones</v>
      </c>
      <c r="BR298" t="str">
        <f t="shared" si="91"/>
        <v/>
      </c>
      <c r="BS298" t="str">
        <f t="shared" si="92"/>
        <v/>
      </c>
      <c r="BT298" s="76" t="str">
        <f t="shared" si="93"/>
        <v>Voie parentérale</v>
      </c>
      <c r="BU298" t="str">
        <f t="shared" si="94"/>
        <v>x</v>
      </c>
      <c r="CN298">
        <v>297</v>
      </c>
    </row>
    <row r="299" spans="1:92" x14ac:dyDescent="0.3">
      <c r="A299" s="118" t="s">
        <v>3948</v>
      </c>
      <c r="B299" t="s">
        <v>3951</v>
      </c>
      <c r="C299" t="s">
        <v>3185</v>
      </c>
      <c r="D299" s="144" t="s">
        <v>776</v>
      </c>
      <c r="E299" t="s">
        <v>813</v>
      </c>
      <c r="F299" t="s">
        <v>3950</v>
      </c>
      <c r="G299" t="s">
        <v>815</v>
      </c>
      <c r="H299" t="s">
        <v>816</v>
      </c>
      <c r="I299" t="s">
        <v>817</v>
      </c>
      <c r="J299" t="s">
        <v>2070</v>
      </c>
      <c r="K299" t="s">
        <v>787</v>
      </c>
      <c r="L299" t="s">
        <v>1055</v>
      </c>
      <c r="M299" t="s">
        <v>208</v>
      </c>
      <c r="N299" t="s">
        <v>780</v>
      </c>
      <c r="O299" t="s">
        <v>824</v>
      </c>
      <c r="P299" t="s">
        <v>772</v>
      </c>
      <c r="Q299" t="s">
        <v>1072</v>
      </c>
      <c r="R299">
        <v>0</v>
      </c>
      <c r="S299">
        <v>0</v>
      </c>
      <c r="T299">
        <v>20</v>
      </c>
      <c r="U299">
        <v>7</v>
      </c>
      <c r="V299">
        <v>0</v>
      </c>
      <c r="W299">
        <v>0</v>
      </c>
      <c r="X299">
        <v>0</v>
      </c>
      <c r="Y299">
        <v>0</v>
      </c>
      <c r="Z299">
        <v>0</v>
      </c>
      <c r="AA299">
        <v>0</v>
      </c>
      <c r="AB299">
        <v>0</v>
      </c>
      <c r="AC299">
        <v>0</v>
      </c>
      <c r="AD299">
        <v>0</v>
      </c>
      <c r="AE299">
        <v>0</v>
      </c>
      <c r="AF299">
        <v>0</v>
      </c>
      <c r="AG299">
        <v>0</v>
      </c>
      <c r="AH299">
        <v>0</v>
      </c>
      <c r="AI299">
        <v>0</v>
      </c>
      <c r="AJ299" t="s">
        <v>2071</v>
      </c>
      <c r="AK299" t="s">
        <v>2072</v>
      </c>
      <c r="AL299" t="s">
        <v>208</v>
      </c>
      <c r="AM299" t="s">
        <v>1072</v>
      </c>
      <c r="AN299" t="s">
        <v>824</v>
      </c>
      <c r="AO299" t="s">
        <v>2073</v>
      </c>
      <c r="AP299" t="s">
        <v>2073</v>
      </c>
      <c r="AY299" t="str">
        <f t="shared" si="76"/>
        <v/>
      </c>
      <c r="AZ299" t="str">
        <f>IF(COUNTIF(AY:AY,AY299)=1,AY299,IF(AND(COUNTIF(AY:AY,AY299)&gt;1,COUNTIF(AZ$2:AZ298,AY299)&gt;=1),"",AY299))</f>
        <v/>
      </c>
      <c r="BA299" t="str">
        <f>IF(AZ299="","",COUNTIFS(AZ$3:AZ$1439,"&lt;"&amp;AZ299,AZ$3:AZ$1439,"&lt;&gt;0")+COUNTIF(AZ$3:AZ299,AZ299)-876)</f>
        <v/>
      </c>
      <c r="BC299">
        <v>297</v>
      </c>
      <c r="BD299" t="str">
        <f t="shared" si="87"/>
        <v>MASTICOLI</v>
      </c>
      <c r="BE299" t="str">
        <f t="shared" si="77"/>
        <v>INTRAMAM</v>
      </c>
      <c r="BF299" t="str">
        <f t="shared" si="78"/>
        <v>PENICILLINES</v>
      </c>
      <c r="BG299" t="str">
        <f t="shared" si="79"/>
        <v>POLYPEPTIDES</v>
      </c>
      <c r="BH299" t="str">
        <f t="shared" si="80"/>
        <v/>
      </c>
      <c r="BI299" t="str">
        <f t="shared" si="81"/>
        <v>cloxacillin</v>
      </c>
      <c r="BJ299" t="str">
        <f t="shared" si="82"/>
        <v>colistin</v>
      </c>
      <c r="BK299" t="str">
        <f t="shared" si="83"/>
        <v/>
      </c>
      <c r="BL299" t="str">
        <f t="shared" si="88"/>
        <v>Cloxacilline + Colistine</v>
      </c>
      <c r="BM299" t="str">
        <f t="shared" si="84"/>
        <v>Cloxacilline</v>
      </c>
      <c r="BN299" t="str">
        <f t="shared" si="85"/>
        <v>Colistine</v>
      </c>
      <c r="BO299" t="str">
        <f t="shared" si="86"/>
        <v/>
      </c>
      <c r="BP299" t="str">
        <f t="shared" si="89"/>
        <v>Penicillines + Polypeptides</v>
      </c>
      <c r="BQ299" t="str">
        <f t="shared" si="90"/>
        <v>Penicillines</v>
      </c>
      <c r="BR299" t="str">
        <f t="shared" si="91"/>
        <v>Polypeptides</v>
      </c>
      <c r="BS299" t="str">
        <f t="shared" si="92"/>
        <v/>
      </c>
      <c r="BT299" s="76" t="str">
        <f t="shared" si="93"/>
        <v>Voie intramammaire</v>
      </c>
      <c r="BU299" t="str">
        <f t="shared" si="94"/>
        <v>x</v>
      </c>
      <c r="CN299">
        <v>298</v>
      </c>
    </row>
    <row r="300" spans="1:92" x14ac:dyDescent="0.3">
      <c r="A300" s="118" t="s">
        <v>3948</v>
      </c>
      <c r="B300" t="s">
        <v>3952</v>
      </c>
      <c r="C300" t="s">
        <v>3187</v>
      </c>
      <c r="D300" s="144" t="s">
        <v>906</v>
      </c>
      <c r="E300" t="s">
        <v>813</v>
      </c>
      <c r="F300" t="s">
        <v>3950</v>
      </c>
      <c r="G300" t="s">
        <v>815</v>
      </c>
      <c r="H300" t="s">
        <v>816</v>
      </c>
      <c r="I300" t="s">
        <v>817</v>
      </c>
      <c r="J300" t="s">
        <v>2070</v>
      </c>
      <c r="K300" t="s">
        <v>787</v>
      </c>
      <c r="L300" t="s">
        <v>1055</v>
      </c>
      <c r="M300" t="s">
        <v>208</v>
      </c>
      <c r="N300" t="s">
        <v>780</v>
      </c>
      <c r="O300" t="s">
        <v>824</v>
      </c>
      <c r="P300" t="s">
        <v>772</v>
      </c>
      <c r="Q300" t="s">
        <v>855</v>
      </c>
      <c r="R300">
        <v>0</v>
      </c>
      <c r="S300">
        <v>0</v>
      </c>
      <c r="T300">
        <v>20</v>
      </c>
      <c r="U300">
        <v>7</v>
      </c>
      <c r="V300">
        <v>0</v>
      </c>
      <c r="W300">
        <v>0</v>
      </c>
      <c r="X300">
        <v>0</v>
      </c>
      <c r="Y300">
        <v>0</v>
      </c>
      <c r="Z300">
        <v>0</v>
      </c>
      <c r="AA300">
        <v>0</v>
      </c>
      <c r="AB300">
        <v>0</v>
      </c>
      <c r="AC300">
        <v>0</v>
      </c>
      <c r="AD300">
        <v>0</v>
      </c>
      <c r="AE300">
        <v>0</v>
      </c>
      <c r="AF300">
        <v>0</v>
      </c>
      <c r="AG300">
        <v>0</v>
      </c>
      <c r="AH300">
        <v>0</v>
      </c>
      <c r="AI300">
        <v>0</v>
      </c>
      <c r="AJ300" t="s">
        <v>2071</v>
      </c>
      <c r="AK300" t="s">
        <v>2072</v>
      </c>
      <c r="AL300" t="s">
        <v>208</v>
      </c>
      <c r="AM300" t="s">
        <v>1072</v>
      </c>
      <c r="AN300" t="s">
        <v>824</v>
      </c>
      <c r="AO300" t="s">
        <v>2073</v>
      </c>
      <c r="AP300" t="s">
        <v>2073</v>
      </c>
      <c r="AY300" t="str">
        <f t="shared" si="76"/>
        <v/>
      </c>
      <c r="AZ300" t="str">
        <f>IF(COUNTIF(AY:AY,AY300)=1,AY300,IF(AND(COUNTIF(AY:AY,AY300)&gt;1,COUNTIF(AZ$2:AZ299,AY300)&gt;=1),"",AY300))</f>
        <v/>
      </c>
      <c r="BA300" t="str">
        <f>IF(AZ300="","",COUNTIFS(AZ$3:AZ$1439,"&lt;"&amp;AZ300,AZ$3:AZ$1439,"&lt;&gt;0")+COUNTIF(AZ$3:AZ300,AZ300)-876)</f>
        <v/>
      </c>
      <c r="BC300">
        <v>298</v>
      </c>
      <c r="BD300" t="str">
        <f t="shared" si="87"/>
        <v>MASTIJET</v>
      </c>
      <c r="BE300" t="str">
        <f t="shared" si="77"/>
        <v>INTRAMAM</v>
      </c>
      <c r="BF300" t="str">
        <f t="shared" si="78"/>
        <v>AMINOGLYCOSIDES</v>
      </c>
      <c r="BG300" t="str">
        <f t="shared" si="79"/>
        <v>TETRACYCLINES</v>
      </c>
      <c r="BH300" t="str">
        <f t="shared" si="80"/>
        <v>POLYPEPTIDES</v>
      </c>
      <c r="BI300" t="str">
        <f t="shared" si="81"/>
        <v>neomycin</v>
      </c>
      <c r="BJ300" t="str">
        <f t="shared" si="82"/>
        <v>tetracycline</v>
      </c>
      <c r="BK300" t="str">
        <f t="shared" si="83"/>
        <v>bacitracin</v>
      </c>
      <c r="BL300" t="str">
        <f t="shared" si="88"/>
        <v>Néomycine + Tétracycline + Bacitracine</v>
      </c>
      <c r="BM300" t="str">
        <f t="shared" si="84"/>
        <v>Néomycine</v>
      </c>
      <c r="BN300" t="str">
        <f t="shared" si="85"/>
        <v>Tétracycline</v>
      </c>
      <c r="BO300" t="str">
        <f t="shared" si="86"/>
        <v>Bacitracine</v>
      </c>
      <c r="BP300" t="str">
        <f t="shared" si="89"/>
        <v>Aminoglycosides + Tetracyclines + Polypeptides</v>
      </c>
      <c r="BQ300" t="str">
        <f t="shared" si="90"/>
        <v>Aminoglycosides</v>
      </c>
      <c r="BR300" t="str">
        <f t="shared" si="91"/>
        <v>Tetracyclines</v>
      </c>
      <c r="BS300" t="str">
        <f t="shared" si="92"/>
        <v>Polypeptides</v>
      </c>
      <c r="BT300" s="76" t="str">
        <f t="shared" si="93"/>
        <v>Voie intramammaire</v>
      </c>
      <c r="BU300" t="str">
        <f t="shared" si="94"/>
        <v/>
      </c>
      <c r="CN300">
        <v>299</v>
      </c>
    </row>
    <row r="301" spans="1:92" x14ac:dyDescent="0.3">
      <c r="A301" s="118" t="s">
        <v>3086</v>
      </c>
      <c r="B301" t="s">
        <v>3087</v>
      </c>
      <c r="C301" t="s">
        <v>3088</v>
      </c>
      <c r="D301" s="144" t="s">
        <v>776</v>
      </c>
      <c r="E301" t="s">
        <v>813</v>
      </c>
      <c r="F301" t="s">
        <v>3089</v>
      </c>
      <c r="G301" t="s">
        <v>815</v>
      </c>
      <c r="H301" t="s">
        <v>860</v>
      </c>
      <c r="I301" t="s">
        <v>817</v>
      </c>
      <c r="J301" t="s">
        <v>2070</v>
      </c>
      <c r="K301" t="s">
        <v>787</v>
      </c>
      <c r="L301" t="s">
        <v>1055</v>
      </c>
      <c r="M301" t="s">
        <v>208</v>
      </c>
      <c r="N301" t="s">
        <v>864</v>
      </c>
      <c r="O301" t="s">
        <v>824</v>
      </c>
      <c r="P301" t="s">
        <v>772</v>
      </c>
      <c r="Q301" t="s">
        <v>780</v>
      </c>
      <c r="R301">
        <v>0</v>
      </c>
      <c r="S301">
        <v>0</v>
      </c>
      <c r="T301">
        <v>20</v>
      </c>
      <c r="U301">
        <v>7</v>
      </c>
      <c r="V301">
        <v>0</v>
      </c>
      <c r="W301">
        <v>0</v>
      </c>
      <c r="X301">
        <v>0</v>
      </c>
      <c r="Y301">
        <v>0</v>
      </c>
      <c r="Z301">
        <v>0</v>
      </c>
      <c r="AA301">
        <v>0</v>
      </c>
      <c r="AB301">
        <v>0</v>
      </c>
      <c r="AC301">
        <v>0</v>
      </c>
      <c r="AD301">
        <v>0</v>
      </c>
      <c r="AE301">
        <v>0</v>
      </c>
      <c r="AF301">
        <v>0</v>
      </c>
      <c r="AG301">
        <v>0</v>
      </c>
      <c r="AH301">
        <v>0</v>
      </c>
      <c r="AI301">
        <v>0</v>
      </c>
      <c r="AJ301" t="s">
        <v>2071</v>
      </c>
      <c r="AK301" t="s">
        <v>2072</v>
      </c>
      <c r="AL301" t="s">
        <v>208</v>
      </c>
      <c r="AM301" t="s">
        <v>780</v>
      </c>
      <c r="AN301" t="s">
        <v>824</v>
      </c>
      <c r="AO301" t="s">
        <v>2073</v>
      </c>
      <c r="AP301" t="s">
        <v>2073</v>
      </c>
      <c r="AY301" t="str">
        <f t="shared" si="76"/>
        <v/>
      </c>
      <c r="AZ301" t="str">
        <f>IF(COUNTIF(AY:AY,AY301)=1,AY301,IF(AND(COUNTIF(AY:AY,AY301)&gt;1,COUNTIF(AZ$2:AZ300,AY301)&gt;=1),"",AY301))</f>
        <v/>
      </c>
      <c r="BA301" t="str">
        <f>IF(AZ301="","",COUNTIFS(AZ$3:AZ$1439,"&lt;"&amp;AZ301,AZ$3:AZ$1439,"&lt;&gt;0")+COUNTIF(AZ$3:AZ301,AZ301)-876)</f>
        <v/>
      </c>
      <c r="BC301">
        <v>299</v>
      </c>
      <c r="BD301" t="str">
        <f t="shared" si="87"/>
        <v>MASTI-PENI</v>
      </c>
      <c r="BE301" t="str">
        <f t="shared" si="77"/>
        <v>INTRAMAM</v>
      </c>
      <c r="BF301" t="str">
        <f t="shared" si="78"/>
        <v>PENICILLINES</v>
      </c>
      <c r="BG301" t="str">
        <f t="shared" si="79"/>
        <v>AMINOGLYCOSIDES</v>
      </c>
      <c r="BH301" t="str">
        <f t="shared" si="80"/>
        <v/>
      </c>
      <c r="BI301" t="str">
        <f t="shared" si="81"/>
        <v>benzylpenicillin</v>
      </c>
      <c r="BJ301" t="str">
        <f t="shared" si="82"/>
        <v>dihydrostreptomycin</v>
      </c>
      <c r="BK301" t="str">
        <f t="shared" si="83"/>
        <v/>
      </c>
      <c r="BL301" t="str">
        <f t="shared" si="88"/>
        <v>Benzylpénicilline + Dihydrostreptomycine</v>
      </c>
      <c r="BM301" t="str">
        <f t="shared" si="84"/>
        <v>Benzylpénicilline</v>
      </c>
      <c r="BN301" t="str">
        <f t="shared" si="85"/>
        <v>Dihydrostreptomycine</v>
      </c>
      <c r="BO301" t="str">
        <f t="shared" si="86"/>
        <v/>
      </c>
      <c r="BP301" t="str">
        <f t="shared" si="89"/>
        <v>Penicillines + Aminoglycosides</v>
      </c>
      <c r="BQ301" t="str">
        <f t="shared" si="90"/>
        <v>Penicillines</v>
      </c>
      <c r="BR301" t="str">
        <f t="shared" si="91"/>
        <v>Aminoglycosides</v>
      </c>
      <c r="BS301" t="str">
        <f t="shared" si="92"/>
        <v/>
      </c>
      <c r="BT301" s="76" t="str">
        <f t="shared" si="93"/>
        <v>Voie intramammaire</v>
      </c>
      <c r="BU301" t="str">
        <f t="shared" si="94"/>
        <v/>
      </c>
      <c r="CN301">
        <v>300</v>
      </c>
    </row>
    <row r="302" spans="1:92" x14ac:dyDescent="0.3">
      <c r="A302" s="118" t="s">
        <v>3086</v>
      </c>
      <c r="B302" t="s">
        <v>3090</v>
      </c>
      <c r="C302" t="s">
        <v>3078</v>
      </c>
      <c r="D302" s="144" t="s">
        <v>776</v>
      </c>
      <c r="E302" t="s">
        <v>813</v>
      </c>
      <c r="F302" t="s">
        <v>3089</v>
      </c>
      <c r="G302" t="s">
        <v>815</v>
      </c>
      <c r="H302" t="s">
        <v>860</v>
      </c>
      <c r="I302" t="s">
        <v>817</v>
      </c>
      <c r="J302" t="s">
        <v>2070</v>
      </c>
      <c r="K302" t="s">
        <v>787</v>
      </c>
      <c r="L302" t="s">
        <v>1055</v>
      </c>
      <c r="M302" t="s">
        <v>208</v>
      </c>
      <c r="N302" t="s">
        <v>864</v>
      </c>
      <c r="O302" t="s">
        <v>824</v>
      </c>
      <c r="P302" t="s">
        <v>772</v>
      </c>
      <c r="Q302" t="s">
        <v>780</v>
      </c>
      <c r="R302">
        <v>0</v>
      </c>
      <c r="S302">
        <v>0</v>
      </c>
      <c r="T302">
        <v>20</v>
      </c>
      <c r="U302">
        <v>7</v>
      </c>
      <c r="V302">
        <v>0</v>
      </c>
      <c r="W302">
        <v>0</v>
      </c>
      <c r="X302">
        <v>0</v>
      </c>
      <c r="Y302">
        <v>0</v>
      </c>
      <c r="Z302">
        <v>0</v>
      </c>
      <c r="AA302">
        <v>0</v>
      </c>
      <c r="AB302">
        <v>0</v>
      </c>
      <c r="AC302">
        <v>0</v>
      </c>
      <c r="AD302">
        <v>0</v>
      </c>
      <c r="AE302">
        <v>0</v>
      </c>
      <c r="AF302">
        <v>0</v>
      </c>
      <c r="AG302">
        <v>0</v>
      </c>
      <c r="AH302">
        <v>0</v>
      </c>
      <c r="AI302">
        <v>0</v>
      </c>
      <c r="AJ302" t="s">
        <v>2071</v>
      </c>
      <c r="AK302" t="s">
        <v>2072</v>
      </c>
      <c r="AL302" t="s">
        <v>208</v>
      </c>
      <c r="AM302" t="s">
        <v>780</v>
      </c>
      <c r="AN302" t="s">
        <v>824</v>
      </c>
      <c r="AO302" t="s">
        <v>2073</v>
      </c>
      <c r="AP302" t="s">
        <v>2073</v>
      </c>
      <c r="AY302" t="str">
        <f t="shared" si="76"/>
        <v/>
      </c>
      <c r="AZ302" t="str">
        <f>IF(COUNTIF(AY:AY,AY302)=1,AY302,IF(AND(COUNTIF(AY:AY,AY302)&gt;1,COUNTIF(AZ$2:AZ301,AY302)&gt;=1),"",AY302))</f>
        <v/>
      </c>
      <c r="BA302" t="str">
        <f>IF(AZ302="","",COUNTIFS(AZ$3:AZ$1439,"&lt;"&amp;AZ302,AZ$3:AZ$1439,"&lt;&gt;0")+COUNTIF(AZ$3:AZ302,AZ302)-876)</f>
        <v/>
      </c>
      <c r="BC302">
        <v>300</v>
      </c>
      <c r="BD302" t="str">
        <f t="shared" si="87"/>
        <v>MASTIPLAN LC</v>
      </c>
      <c r="BE302" t="str">
        <f t="shared" si="77"/>
        <v>INTRAMAM</v>
      </c>
      <c r="BF302" t="str">
        <f t="shared" si="78"/>
        <v>CEPHALOSPORINES 1&amp;2G</v>
      </c>
      <c r="BG302" t="str">
        <f t="shared" si="79"/>
        <v/>
      </c>
      <c r="BH302" t="str">
        <f t="shared" si="80"/>
        <v/>
      </c>
      <c r="BI302" t="str">
        <f t="shared" si="81"/>
        <v>cefapirin</v>
      </c>
      <c r="BJ302" t="str">
        <f t="shared" si="82"/>
        <v/>
      </c>
      <c r="BK302" t="str">
        <f t="shared" si="83"/>
        <v/>
      </c>
      <c r="BL302" t="str">
        <f t="shared" si="88"/>
        <v>Céfapirine</v>
      </c>
      <c r="BM302" t="str">
        <f t="shared" si="84"/>
        <v>Céfapirine</v>
      </c>
      <c r="BN302" t="str">
        <f t="shared" si="85"/>
        <v/>
      </c>
      <c r="BO302" t="str">
        <f t="shared" si="86"/>
        <v/>
      </c>
      <c r="BP302" t="str">
        <f t="shared" si="89"/>
        <v>Cephalosporines 1&amp;2G</v>
      </c>
      <c r="BQ302" t="str">
        <f t="shared" si="90"/>
        <v>Cephalosporines 1&amp;2G</v>
      </c>
      <c r="BR302" t="str">
        <f t="shared" si="91"/>
        <v/>
      </c>
      <c r="BS302" t="str">
        <f t="shared" si="92"/>
        <v/>
      </c>
      <c r="BT302" s="76" t="str">
        <f t="shared" si="93"/>
        <v>Voie intramammaire</v>
      </c>
      <c r="BU302" t="str">
        <f t="shared" si="94"/>
        <v/>
      </c>
      <c r="CN302">
        <v>301</v>
      </c>
    </row>
    <row r="303" spans="1:92" x14ac:dyDescent="0.3">
      <c r="A303" s="118" t="s">
        <v>3081</v>
      </c>
      <c r="B303" t="s">
        <v>3082</v>
      </c>
      <c r="C303" t="s">
        <v>3083</v>
      </c>
      <c r="D303" s="144" t="s">
        <v>764</v>
      </c>
      <c r="E303" t="s">
        <v>813</v>
      </c>
      <c r="F303" t="s">
        <v>3084</v>
      </c>
      <c r="G303" t="s">
        <v>815</v>
      </c>
      <c r="H303" t="s">
        <v>816</v>
      </c>
      <c r="I303" t="s">
        <v>817</v>
      </c>
      <c r="J303" t="s">
        <v>2070</v>
      </c>
      <c r="K303" t="s">
        <v>787</v>
      </c>
      <c r="L303" t="s">
        <v>1055</v>
      </c>
      <c r="M303" t="s">
        <v>208</v>
      </c>
      <c r="N303" t="s">
        <v>932</v>
      </c>
      <c r="O303" t="s">
        <v>824</v>
      </c>
      <c r="P303" t="s">
        <v>772</v>
      </c>
      <c r="Q303" t="s">
        <v>934</v>
      </c>
      <c r="R303">
        <v>0</v>
      </c>
      <c r="S303">
        <v>0</v>
      </c>
      <c r="T303">
        <v>20</v>
      </c>
      <c r="U303">
        <v>7</v>
      </c>
      <c r="V303">
        <v>0</v>
      </c>
      <c r="W303">
        <v>0</v>
      </c>
      <c r="X303">
        <v>0</v>
      </c>
      <c r="Y303">
        <v>0</v>
      </c>
      <c r="Z303">
        <v>0</v>
      </c>
      <c r="AA303">
        <v>0</v>
      </c>
      <c r="AB303">
        <v>0</v>
      </c>
      <c r="AC303">
        <v>0</v>
      </c>
      <c r="AD303">
        <v>0</v>
      </c>
      <c r="AE303">
        <v>0</v>
      </c>
      <c r="AF303">
        <v>0</v>
      </c>
      <c r="AG303">
        <v>0</v>
      </c>
      <c r="AH303">
        <v>0</v>
      </c>
      <c r="AI303">
        <v>0</v>
      </c>
      <c r="AJ303" t="s">
        <v>2071</v>
      </c>
      <c r="AK303" t="s">
        <v>2072</v>
      </c>
      <c r="AL303" t="s">
        <v>208</v>
      </c>
      <c r="AM303" t="s">
        <v>852</v>
      </c>
      <c r="AN303" t="s">
        <v>824</v>
      </c>
      <c r="AO303" t="s">
        <v>2073</v>
      </c>
      <c r="AP303" t="s">
        <v>2073</v>
      </c>
      <c r="AY303" t="str">
        <f t="shared" si="76"/>
        <v/>
      </c>
      <c r="AZ303" t="str">
        <f>IF(COUNTIF(AY:AY,AY303)=1,AY303,IF(AND(COUNTIF(AY:AY,AY303)&gt;1,COUNTIF(AZ$2:AZ302,AY303)&gt;=1),"",AY303))</f>
        <v/>
      </c>
      <c r="BA303" t="str">
        <f>IF(AZ303="","",COUNTIFS(AZ$3:AZ$1439,"&lt;"&amp;AZ303,AZ$3:AZ$1439,"&lt;&gt;0")+COUNTIF(AZ$3:AZ303,AZ303)-876)</f>
        <v/>
      </c>
      <c r="BC303">
        <v>301</v>
      </c>
      <c r="BD303" t="str">
        <f t="shared" si="87"/>
        <v>MASTITAR HL</v>
      </c>
      <c r="BE303" t="str">
        <f t="shared" si="77"/>
        <v>INTRAMAM</v>
      </c>
      <c r="BF303" t="str">
        <f t="shared" si="78"/>
        <v>PENICILLINES</v>
      </c>
      <c r="BG303" t="str">
        <f t="shared" si="79"/>
        <v>AMINOGLYCOSIDES</v>
      </c>
      <c r="BH303" t="str">
        <f t="shared" si="80"/>
        <v/>
      </c>
      <c r="BI303" t="str">
        <f t="shared" si="81"/>
        <v>benzylpenicillin</v>
      </c>
      <c r="BJ303" t="str">
        <f t="shared" si="82"/>
        <v>neomycin</v>
      </c>
      <c r="BK303" t="str">
        <f t="shared" si="83"/>
        <v/>
      </c>
      <c r="BL303" t="str">
        <f t="shared" si="88"/>
        <v>Benzylpénicilline + Néomycine</v>
      </c>
      <c r="BM303" t="str">
        <f t="shared" si="84"/>
        <v>Benzylpénicilline</v>
      </c>
      <c r="BN303" t="str">
        <f t="shared" si="85"/>
        <v>Néomycine</v>
      </c>
      <c r="BO303" t="str">
        <f t="shared" si="86"/>
        <v/>
      </c>
      <c r="BP303" t="str">
        <f t="shared" si="89"/>
        <v>Penicillines + Aminoglycosides</v>
      </c>
      <c r="BQ303" t="str">
        <f t="shared" si="90"/>
        <v>Penicillines</v>
      </c>
      <c r="BR303" t="str">
        <f t="shared" si="91"/>
        <v>Aminoglycosides</v>
      </c>
      <c r="BS303" t="str">
        <f t="shared" si="92"/>
        <v/>
      </c>
      <c r="BT303" s="76" t="str">
        <f t="shared" si="93"/>
        <v>Voie intramammaire</v>
      </c>
      <c r="BU303" t="str">
        <f t="shared" si="94"/>
        <v/>
      </c>
      <c r="CN303">
        <v>302</v>
      </c>
    </row>
    <row r="304" spans="1:92" x14ac:dyDescent="0.3">
      <c r="A304" s="118" t="s">
        <v>3081</v>
      </c>
      <c r="B304" t="s">
        <v>3085</v>
      </c>
      <c r="C304" t="s">
        <v>1915</v>
      </c>
      <c r="D304" s="144" t="s">
        <v>764</v>
      </c>
      <c r="E304" t="s">
        <v>813</v>
      </c>
      <c r="F304" t="s">
        <v>3084</v>
      </c>
      <c r="G304" t="s">
        <v>815</v>
      </c>
      <c r="H304" t="s">
        <v>816</v>
      </c>
      <c r="I304" t="s">
        <v>817</v>
      </c>
      <c r="J304" t="s">
        <v>2070</v>
      </c>
      <c r="K304" t="s">
        <v>787</v>
      </c>
      <c r="L304" t="s">
        <v>1055</v>
      </c>
      <c r="M304" t="s">
        <v>208</v>
      </c>
      <c r="N304" t="s">
        <v>932</v>
      </c>
      <c r="O304" t="s">
        <v>824</v>
      </c>
      <c r="P304" t="s">
        <v>772</v>
      </c>
      <c r="Q304" t="s">
        <v>934</v>
      </c>
      <c r="R304">
        <v>0</v>
      </c>
      <c r="S304">
        <v>0</v>
      </c>
      <c r="T304">
        <v>20</v>
      </c>
      <c r="U304">
        <v>7</v>
      </c>
      <c r="V304">
        <v>0</v>
      </c>
      <c r="W304">
        <v>0</v>
      </c>
      <c r="X304">
        <v>0</v>
      </c>
      <c r="Y304">
        <v>0</v>
      </c>
      <c r="Z304">
        <v>0</v>
      </c>
      <c r="AA304">
        <v>0</v>
      </c>
      <c r="AB304">
        <v>0</v>
      </c>
      <c r="AC304">
        <v>0</v>
      </c>
      <c r="AD304">
        <v>0</v>
      </c>
      <c r="AE304">
        <v>0</v>
      </c>
      <c r="AF304">
        <v>0</v>
      </c>
      <c r="AG304">
        <v>0</v>
      </c>
      <c r="AH304">
        <v>0</v>
      </c>
      <c r="AI304">
        <v>0</v>
      </c>
      <c r="AJ304" t="s">
        <v>2071</v>
      </c>
      <c r="AK304" t="s">
        <v>2072</v>
      </c>
      <c r="AL304" t="s">
        <v>208</v>
      </c>
      <c r="AM304" t="s">
        <v>852</v>
      </c>
      <c r="AN304" t="s">
        <v>824</v>
      </c>
      <c r="AO304" t="s">
        <v>2073</v>
      </c>
      <c r="AP304" t="s">
        <v>2073</v>
      </c>
      <c r="AY304" t="str">
        <f t="shared" si="76"/>
        <v/>
      </c>
      <c r="AZ304" t="str">
        <f>IF(COUNTIF(AY:AY,AY304)=1,AY304,IF(AND(COUNTIF(AY:AY,AY304)&gt;1,COUNTIF(AZ$2:AZ303,AY304)&gt;=1),"",AY304))</f>
        <v/>
      </c>
      <c r="BA304" t="str">
        <f>IF(AZ304="","",COUNTIFS(AZ$3:AZ$1439,"&lt;"&amp;AZ304,AZ$3:AZ$1439,"&lt;&gt;0")+COUNTIF(AZ$3:AZ304,AZ304)-876)</f>
        <v/>
      </c>
      <c r="BC304">
        <v>302</v>
      </c>
      <c r="BD304" t="str">
        <f t="shared" si="87"/>
        <v>MAYLOSINE POUDRE POUR SOLUTION BUVABLE POUR VOLAILLES PORCINS ET VEAUX</v>
      </c>
      <c r="BE304" t="str">
        <f t="shared" si="77"/>
        <v>ORAL</v>
      </c>
      <c r="BF304" t="str">
        <f t="shared" si="78"/>
        <v>MACROLIDES</v>
      </c>
      <c r="BG304" t="str">
        <f t="shared" si="79"/>
        <v/>
      </c>
      <c r="BH304" t="str">
        <f t="shared" si="80"/>
        <v/>
      </c>
      <c r="BI304" t="str">
        <f t="shared" si="81"/>
        <v>tylosin</v>
      </c>
      <c r="BJ304" t="str">
        <f t="shared" si="82"/>
        <v/>
      </c>
      <c r="BK304" t="str">
        <f t="shared" si="83"/>
        <v/>
      </c>
      <c r="BL304" t="str">
        <f t="shared" si="88"/>
        <v>Tylosine</v>
      </c>
      <c r="BM304" t="str">
        <f t="shared" si="84"/>
        <v>Tylosine</v>
      </c>
      <c r="BN304" t="str">
        <f t="shared" si="85"/>
        <v/>
      </c>
      <c r="BO304" t="str">
        <f t="shared" si="86"/>
        <v/>
      </c>
      <c r="BP304" t="str">
        <f t="shared" si="89"/>
        <v>Macrolides</v>
      </c>
      <c r="BQ304" t="str">
        <f t="shared" si="90"/>
        <v>Macrolides</v>
      </c>
      <c r="BR304" t="str">
        <f t="shared" si="91"/>
        <v/>
      </c>
      <c r="BS304" t="str">
        <f t="shared" si="92"/>
        <v/>
      </c>
      <c r="BT304" s="76" t="str">
        <f t="shared" si="93"/>
        <v>Voie orale  hors prémélanges médicamenteux</v>
      </c>
      <c r="BU304" t="str">
        <f t="shared" si="94"/>
        <v/>
      </c>
      <c r="CN304">
        <v>303</v>
      </c>
    </row>
    <row r="305" spans="1:92" x14ac:dyDescent="0.3">
      <c r="A305" s="118" t="s">
        <v>3335</v>
      </c>
      <c r="B305" t="s">
        <v>3336</v>
      </c>
      <c r="C305" t="s">
        <v>3337</v>
      </c>
      <c r="D305" s="144" t="s">
        <v>764</v>
      </c>
      <c r="E305" t="s">
        <v>813</v>
      </c>
      <c r="F305" t="s">
        <v>3338</v>
      </c>
      <c r="G305" t="s">
        <v>815</v>
      </c>
      <c r="H305" t="s">
        <v>860</v>
      </c>
      <c r="I305" t="s">
        <v>817</v>
      </c>
      <c r="J305" t="s">
        <v>2070</v>
      </c>
      <c r="K305" t="s">
        <v>787</v>
      </c>
      <c r="L305" t="s">
        <v>1055</v>
      </c>
      <c r="M305" t="s">
        <v>208</v>
      </c>
      <c r="N305" t="s">
        <v>939</v>
      </c>
      <c r="O305" t="s">
        <v>824</v>
      </c>
      <c r="P305" t="s">
        <v>772</v>
      </c>
      <c r="Q305" t="s">
        <v>932</v>
      </c>
      <c r="R305">
        <v>0</v>
      </c>
      <c r="S305">
        <v>0</v>
      </c>
      <c r="T305">
        <v>20</v>
      </c>
      <c r="U305">
        <v>7</v>
      </c>
      <c r="V305">
        <v>0</v>
      </c>
      <c r="W305">
        <v>0</v>
      </c>
      <c r="X305">
        <v>0</v>
      </c>
      <c r="Y305">
        <v>0</v>
      </c>
      <c r="Z305">
        <v>0</v>
      </c>
      <c r="AA305">
        <v>0</v>
      </c>
      <c r="AB305">
        <v>0</v>
      </c>
      <c r="AC305">
        <v>0</v>
      </c>
      <c r="AD305">
        <v>0</v>
      </c>
      <c r="AE305">
        <v>0</v>
      </c>
      <c r="AF305">
        <v>0</v>
      </c>
      <c r="AG305">
        <v>0</v>
      </c>
      <c r="AH305">
        <v>0</v>
      </c>
      <c r="AI305">
        <v>0</v>
      </c>
      <c r="AJ305" t="s">
        <v>2071</v>
      </c>
      <c r="AK305" t="s">
        <v>2072</v>
      </c>
      <c r="AL305" t="s">
        <v>208</v>
      </c>
      <c r="AM305" t="s">
        <v>764</v>
      </c>
      <c r="AN305" t="s">
        <v>824</v>
      </c>
      <c r="AO305" t="s">
        <v>2073</v>
      </c>
      <c r="AP305" t="s">
        <v>2073</v>
      </c>
      <c r="AY305" t="str">
        <f t="shared" si="76"/>
        <v/>
      </c>
      <c r="AZ305" t="str">
        <f>IF(COUNTIF(AY:AY,AY305)=1,AY305,IF(AND(COUNTIF(AY:AY,AY305)&gt;1,COUNTIF(AZ$2:AZ304,AY305)&gt;=1),"",AY305))</f>
        <v/>
      </c>
      <c r="BA305" t="str">
        <f>IF(AZ305="","",COUNTIFS(AZ$3:AZ$1439,"&lt;"&amp;AZ305,AZ$3:AZ$1439,"&lt;&gt;0")+COUNTIF(AZ$3:AZ305,AZ305)-876)</f>
        <v/>
      </c>
      <c r="BC305">
        <v>303</v>
      </c>
      <c r="BD305" t="str">
        <f t="shared" si="87"/>
        <v>METHOXASOL 20/100 MG/ML, SOLUTION POUR UTILISATION DANS L'EAU DE BOISSON POUR PORCS ET POULETS</v>
      </c>
      <c r="BE305" t="str">
        <f t="shared" si="77"/>
        <v>ORAL</v>
      </c>
      <c r="BF305" t="str">
        <f t="shared" si="78"/>
        <v>SULFAMIDES</v>
      </c>
      <c r="BG305" t="str">
        <f t="shared" si="79"/>
        <v>TRIMETHOPRIME</v>
      </c>
      <c r="BH305" t="str">
        <f t="shared" si="80"/>
        <v/>
      </c>
      <c r="BI305" t="str">
        <f t="shared" si="81"/>
        <v>sulfamethoxazole</v>
      </c>
      <c r="BJ305" t="str">
        <f t="shared" si="82"/>
        <v>trimethoprim</v>
      </c>
      <c r="BK305" t="str">
        <f t="shared" si="83"/>
        <v/>
      </c>
      <c r="BL305" t="str">
        <f t="shared" si="88"/>
        <v>Sulfaméthoxazole + Triméthoprime</v>
      </c>
      <c r="BM305" t="str">
        <f t="shared" si="84"/>
        <v>Sulfaméthoxazole</v>
      </c>
      <c r="BN305" t="str">
        <f t="shared" si="85"/>
        <v>Triméthoprime</v>
      </c>
      <c r="BO305" t="str">
        <f t="shared" si="86"/>
        <v/>
      </c>
      <c r="BP305" t="str">
        <f t="shared" si="89"/>
        <v>Sulfamides + Trimethoprime</v>
      </c>
      <c r="BQ305" t="str">
        <f t="shared" si="90"/>
        <v>Sulfamides</v>
      </c>
      <c r="BR305" t="str">
        <f t="shared" si="91"/>
        <v>Trimethoprime</v>
      </c>
      <c r="BS305" t="str">
        <f t="shared" si="92"/>
        <v/>
      </c>
      <c r="BT305" s="76" t="str">
        <f t="shared" si="93"/>
        <v>Voie orale  hors prémélanges médicamenteux</v>
      </c>
      <c r="BU305" t="str">
        <f t="shared" si="94"/>
        <v/>
      </c>
      <c r="CN305">
        <v>304</v>
      </c>
    </row>
    <row r="306" spans="1:92" x14ac:dyDescent="0.3">
      <c r="A306" s="118" t="s">
        <v>3335</v>
      </c>
      <c r="B306" t="s">
        <v>3339</v>
      </c>
      <c r="C306" t="s">
        <v>3332</v>
      </c>
      <c r="D306" s="144" t="s">
        <v>764</v>
      </c>
      <c r="E306" t="s">
        <v>813</v>
      </c>
      <c r="F306" t="s">
        <v>3338</v>
      </c>
      <c r="G306" t="s">
        <v>815</v>
      </c>
      <c r="H306" t="s">
        <v>860</v>
      </c>
      <c r="I306" t="s">
        <v>817</v>
      </c>
      <c r="J306" t="s">
        <v>2070</v>
      </c>
      <c r="K306" t="s">
        <v>787</v>
      </c>
      <c r="L306" t="s">
        <v>1055</v>
      </c>
      <c r="M306" t="s">
        <v>208</v>
      </c>
      <c r="N306" t="s">
        <v>939</v>
      </c>
      <c r="O306" t="s">
        <v>824</v>
      </c>
      <c r="P306" t="s">
        <v>772</v>
      </c>
      <c r="Q306" t="s">
        <v>932</v>
      </c>
      <c r="R306">
        <v>0</v>
      </c>
      <c r="S306">
        <v>0</v>
      </c>
      <c r="T306">
        <v>20</v>
      </c>
      <c r="U306">
        <v>7</v>
      </c>
      <c r="V306">
        <v>0</v>
      </c>
      <c r="W306">
        <v>0</v>
      </c>
      <c r="X306">
        <v>0</v>
      </c>
      <c r="Y306">
        <v>0</v>
      </c>
      <c r="Z306">
        <v>0</v>
      </c>
      <c r="AA306">
        <v>0</v>
      </c>
      <c r="AB306">
        <v>0</v>
      </c>
      <c r="AC306">
        <v>0</v>
      </c>
      <c r="AD306">
        <v>0</v>
      </c>
      <c r="AE306">
        <v>0</v>
      </c>
      <c r="AF306">
        <v>0</v>
      </c>
      <c r="AG306">
        <v>0</v>
      </c>
      <c r="AH306">
        <v>0</v>
      </c>
      <c r="AI306">
        <v>0</v>
      </c>
      <c r="AJ306" t="s">
        <v>2071</v>
      </c>
      <c r="AK306" t="s">
        <v>2072</v>
      </c>
      <c r="AL306" t="s">
        <v>208</v>
      </c>
      <c r="AM306" t="s">
        <v>764</v>
      </c>
      <c r="AN306" t="s">
        <v>824</v>
      </c>
      <c r="AO306" t="s">
        <v>2073</v>
      </c>
      <c r="AP306" t="s">
        <v>2073</v>
      </c>
      <c r="AY306" t="str">
        <f t="shared" si="76"/>
        <v/>
      </c>
      <c r="AZ306" t="str">
        <f>IF(COUNTIF(AY:AY,AY306)=1,AY306,IF(AND(COUNTIF(AY:AY,AY306)&gt;1,COUNTIF(AZ$2:AZ305,AY306)&gt;=1),"",AY306))</f>
        <v/>
      </c>
      <c r="BA306" t="str">
        <f>IF(AZ306="","",COUNTIFS(AZ$3:AZ$1439,"&lt;"&amp;AZ306,AZ$3:AZ$1439,"&lt;&gt;0")+COUNTIF(AZ$3:AZ306,AZ306)-876)</f>
        <v/>
      </c>
      <c r="BC306">
        <v>304</v>
      </c>
      <c r="BD306" t="str">
        <f t="shared" si="87"/>
        <v>METOXYL</v>
      </c>
      <c r="BE306" t="str">
        <f t="shared" si="77"/>
        <v>ORAL</v>
      </c>
      <c r="BF306" t="str">
        <f t="shared" si="78"/>
        <v>SULFAMIDES</v>
      </c>
      <c r="BG306" t="str">
        <f t="shared" si="79"/>
        <v/>
      </c>
      <c r="BH306" t="str">
        <f t="shared" si="80"/>
        <v/>
      </c>
      <c r="BI306" t="str">
        <f t="shared" si="81"/>
        <v>sulfadimethoxine</v>
      </c>
      <c r="BJ306" t="str">
        <f t="shared" si="82"/>
        <v/>
      </c>
      <c r="BK306" t="str">
        <f t="shared" si="83"/>
        <v/>
      </c>
      <c r="BL306" t="str">
        <f t="shared" si="88"/>
        <v>Sulfadiméthoxine</v>
      </c>
      <c r="BM306" t="str">
        <f t="shared" si="84"/>
        <v>Sulfadiméthoxine</v>
      </c>
      <c r="BN306" t="str">
        <f t="shared" si="85"/>
        <v/>
      </c>
      <c r="BO306" t="str">
        <f t="shared" si="86"/>
        <v/>
      </c>
      <c r="BP306" t="str">
        <f t="shared" si="89"/>
        <v>Sulfamides</v>
      </c>
      <c r="BQ306" t="str">
        <f t="shared" si="90"/>
        <v>Sulfamides</v>
      </c>
      <c r="BR306" t="str">
        <f t="shared" si="91"/>
        <v/>
      </c>
      <c r="BS306" t="str">
        <f t="shared" si="92"/>
        <v/>
      </c>
      <c r="BT306" s="76" t="str">
        <f t="shared" si="93"/>
        <v>Voie orale  hors prémélanges médicamenteux</v>
      </c>
      <c r="BU306" t="str">
        <f t="shared" si="94"/>
        <v/>
      </c>
      <c r="CN306">
        <v>305</v>
      </c>
    </row>
    <row r="307" spans="1:92" x14ac:dyDescent="0.3">
      <c r="A307" s="118" t="s">
        <v>3099</v>
      </c>
      <c r="B307" t="s">
        <v>3100</v>
      </c>
      <c r="C307" t="s">
        <v>1238</v>
      </c>
      <c r="D307" s="144" t="s">
        <v>780</v>
      </c>
      <c r="E307" t="s">
        <v>765</v>
      </c>
      <c r="F307" t="s">
        <v>284</v>
      </c>
      <c r="G307" t="s">
        <v>766</v>
      </c>
      <c r="H307" t="s">
        <v>3101</v>
      </c>
      <c r="I307" t="s">
        <v>766</v>
      </c>
      <c r="J307" t="s">
        <v>2070</v>
      </c>
      <c r="K307" t="s">
        <v>787</v>
      </c>
      <c r="L307" t="s">
        <v>1055</v>
      </c>
      <c r="M307" t="s">
        <v>208</v>
      </c>
      <c r="N307" t="s">
        <v>2580</v>
      </c>
      <c r="O307" t="s">
        <v>771</v>
      </c>
      <c r="P307" t="s">
        <v>772</v>
      </c>
      <c r="Q307" t="s">
        <v>3102</v>
      </c>
      <c r="R307">
        <v>7</v>
      </c>
      <c r="S307">
        <v>5</v>
      </c>
      <c r="T307">
        <v>7</v>
      </c>
      <c r="U307">
        <v>5</v>
      </c>
      <c r="V307">
        <v>0</v>
      </c>
      <c r="W307">
        <v>0</v>
      </c>
      <c r="X307">
        <v>0</v>
      </c>
      <c r="Y307">
        <v>0</v>
      </c>
      <c r="Z307">
        <v>0</v>
      </c>
      <c r="AA307">
        <v>0</v>
      </c>
      <c r="AB307">
        <v>0</v>
      </c>
      <c r="AC307">
        <v>0</v>
      </c>
      <c r="AD307">
        <v>0</v>
      </c>
      <c r="AE307">
        <v>0</v>
      </c>
      <c r="AF307">
        <v>0</v>
      </c>
      <c r="AG307">
        <v>0</v>
      </c>
      <c r="AH307">
        <v>0</v>
      </c>
      <c r="AI307">
        <v>0</v>
      </c>
      <c r="AJ307" t="s">
        <v>2071</v>
      </c>
      <c r="AK307" t="s">
        <v>2072</v>
      </c>
      <c r="AL307" t="s">
        <v>208</v>
      </c>
      <c r="AM307" t="s">
        <v>1822</v>
      </c>
      <c r="AN307" t="s">
        <v>771</v>
      </c>
      <c r="AO307" t="s">
        <v>2073</v>
      </c>
      <c r="AP307" t="s">
        <v>2073</v>
      </c>
      <c r="AY307" t="str">
        <f t="shared" si="76"/>
        <v>CLAVOBAY SUSPENSION INJECTABLE</v>
      </c>
      <c r="AZ307" t="str">
        <f>IF(COUNTIF(AY:AY,AY307)=1,AY307,IF(AND(COUNTIF(AY:AY,AY307)&gt;1,COUNTIF(AZ$2:AZ306,AY307)&gt;=1),"",AY307))</f>
        <v>CLAVOBAY SUSPENSION INJECTABLE</v>
      </c>
      <c r="BA307">
        <f>IF(AZ307="","",COUNTIFS(AZ$3:AZ$1439,"&lt;"&amp;AZ307,AZ$3:AZ$1439,"&lt;&gt;0")+COUNTIF(AZ$3:AZ307,AZ307)-876)</f>
        <v>114</v>
      </c>
      <c r="BC307">
        <v>305</v>
      </c>
      <c r="BD307" t="str">
        <f t="shared" si="87"/>
        <v>METRICURE</v>
      </c>
      <c r="BE307" t="str">
        <f t="shared" si="77"/>
        <v>INTRAUT</v>
      </c>
      <c r="BF307" t="str">
        <f t="shared" si="78"/>
        <v>CEPHALOSPORINES 1&amp;2G</v>
      </c>
      <c r="BG307" t="str">
        <f t="shared" si="79"/>
        <v/>
      </c>
      <c r="BH307" t="str">
        <f t="shared" si="80"/>
        <v/>
      </c>
      <c r="BI307" t="str">
        <f t="shared" si="81"/>
        <v>cefapirin</v>
      </c>
      <c r="BJ307" t="str">
        <f t="shared" si="82"/>
        <v/>
      </c>
      <c r="BK307" t="str">
        <f t="shared" si="83"/>
        <v/>
      </c>
      <c r="BL307" t="str">
        <f t="shared" si="88"/>
        <v>Céfapirine</v>
      </c>
      <c r="BM307" t="str">
        <f t="shared" si="84"/>
        <v>Céfapirine</v>
      </c>
      <c r="BN307" t="str">
        <f t="shared" si="85"/>
        <v/>
      </c>
      <c r="BO307" t="str">
        <f t="shared" si="86"/>
        <v/>
      </c>
      <c r="BP307" t="str">
        <f t="shared" si="89"/>
        <v>Cephalosporines 1&amp;2G</v>
      </c>
      <c r="BQ307" t="str">
        <f t="shared" si="90"/>
        <v>Cephalosporines 1&amp;2G</v>
      </c>
      <c r="BR307" t="str">
        <f t="shared" si="91"/>
        <v/>
      </c>
      <c r="BS307" t="str">
        <f t="shared" si="92"/>
        <v/>
      </c>
      <c r="BT307" s="76" t="str">
        <f t="shared" si="93"/>
        <v>Voie intra-utérine</v>
      </c>
      <c r="BU307" t="str">
        <f t="shared" si="94"/>
        <v/>
      </c>
      <c r="CN307">
        <v>306</v>
      </c>
    </row>
    <row r="308" spans="1:92" x14ac:dyDescent="0.3">
      <c r="A308" s="118" t="s">
        <v>3099</v>
      </c>
      <c r="B308" t="s">
        <v>3103</v>
      </c>
      <c r="C308" t="s">
        <v>792</v>
      </c>
      <c r="D308" s="144" t="s">
        <v>764</v>
      </c>
      <c r="E308" t="s">
        <v>765</v>
      </c>
      <c r="F308" t="s">
        <v>284</v>
      </c>
      <c r="G308" t="s">
        <v>766</v>
      </c>
      <c r="H308" t="s">
        <v>3101</v>
      </c>
      <c r="I308" t="s">
        <v>766</v>
      </c>
      <c r="J308" t="s">
        <v>2070</v>
      </c>
      <c r="K308" t="s">
        <v>787</v>
      </c>
      <c r="L308" t="s">
        <v>1055</v>
      </c>
      <c r="M308" t="s">
        <v>208</v>
      </c>
      <c r="N308" t="s">
        <v>2580</v>
      </c>
      <c r="O308" t="s">
        <v>771</v>
      </c>
      <c r="P308" t="s">
        <v>772</v>
      </c>
      <c r="Q308" t="s">
        <v>2712</v>
      </c>
      <c r="R308">
        <v>7</v>
      </c>
      <c r="S308">
        <v>5</v>
      </c>
      <c r="T308">
        <v>7</v>
      </c>
      <c r="U308">
        <v>5</v>
      </c>
      <c r="V308">
        <v>0</v>
      </c>
      <c r="W308">
        <v>0</v>
      </c>
      <c r="X308">
        <v>0</v>
      </c>
      <c r="Y308">
        <v>0</v>
      </c>
      <c r="Z308">
        <v>0</v>
      </c>
      <c r="AA308">
        <v>0</v>
      </c>
      <c r="AB308">
        <v>0</v>
      </c>
      <c r="AC308">
        <v>0</v>
      </c>
      <c r="AD308">
        <v>0</v>
      </c>
      <c r="AE308">
        <v>0</v>
      </c>
      <c r="AF308">
        <v>0</v>
      </c>
      <c r="AG308">
        <v>0</v>
      </c>
      <c r="AH308">
        <v>0</v>
      </c>
      <c r="AI308">
        <v>0</v>
      </c>
      <c r="AJ308" t="s">
        <v>2071</v>
      </c>
      <c r="AK308" t="s">
        <v>2072</v>
      </c>
      <c r="AL308" t="s">
        <v>208</v>
      </c>
      <c r="AM308" t="s">
        <v>1822</v>
      </c>
      <c r="AN308" t="s">
        <v>771</v>
      </c>
      <c r="AO308" t="s">
        <v>2073</v>
      </c>
      <c r="AP308" t="s">
        <v>2073</v>
      </c>
      <c r="AY308" t="str">
        <f t="shared" si="76"/>
        <v>CLAVOBAY SUSPENSION INJECTABLE</v>
      </c>
      <c r="AZ308" t="str">
        <f>IF(COUNTIF(AY:AY,AY308)=1,AY308,IF(AND(COUNTIF(AY:AY,AY308)&gt;1,COUNTIF(AZ$2:AZ307,AY308)&gt;=1),"",AY308))</f>
        <v/>
      </c>
      <c r="BA308" t="str">
        <f>IF(AZ308="","",COUNTIFS(AZ$3:AZ$1439,"&lt;"&amp;AZ308,AZ$3:AZ$1439,"&lt;&gt;0")+COUNTIF(AZ$3:AZ308,AZ308)-876)</f>
        <v/>
      </c>
      <c r="BC308">
        <v>306</v>
      </c>
      <c r="BD308" t="str">
        <f t="shared" si="87"/>
        <v>METRIJECTYL</v>
      </c>
      <c r="BE308" t="str">
        <f t="shared" si="77"/>
        <v>INTRAUT</v>
      </c>
      <c r="BF308" t="str">
        <f t="shared" si="78"/>
        <v>PENICILLINES</v>
      </c>
      <c r="BG308" t="str">
        <f t="shared" si="79"/>
        <v>POLYPEPTIDES</v>
      </c>
      <c r="BH308" t="str">
        <f t="shared" si="80"/>
        <v/>
      </c>
      <c r="BI308" t="str">
        <f t="shared" si="81"/>
        <v>ampicillin</v>
      </c>
      <c r="BJ308" t="str">
        <f t="shared" si="82"/>
        <v>colistin</v>
      </c>
      <c r="BK308" t="str">
        <f t="shared" si="83"/>
        <v/>
      </c>
      <c r="BL308" t="str">
        <f t="shared" si="88"/>
        <v>Ampicilline + Colistine</v>
      </c>
      <c r="BM308" t="str">
        <f t="shared" si="84"/>
        <v>Ampicilline</v>
      </c>
      <c r="BN308" t="str">
        <f t="shared" si="85"/>
        <v>Colistine</v>
      </c>
      <c r="BO308" t="str">
        <f t="shared" si="86"/>
        <v/>
      </c>
      <c r="BP308" t="str">
        <f t="shared" si="89"/>
        <v>Penicillines + Polypeptides</v>
      </c>
      <c r="BQ308" t="str">
        <f t="shared" si="90"/>
        <v>Penicillines</v>
      </c>
      <c r="BR308" t="str">
        <f t="shared" si="91"/>
        <v>Polypeptides</v>
      </c>
      <c r="BS308" t="str">
        <f t="shared" si="92"/>
        <v/>
      </c>
      <c r="BT308" s="76" t="str">
        <f t="shared" si="93"/>
        <v>Voie intra-utérine</v>
      </c>
      <c r="BU308" t="str">
        <f t="shared" si="94"/>
        <v>x</v>
      </c>
      <c r="CN308">
        <v>307</v>
      </c>
    </row>
    <row r="309" spans="1:92" x14ac:dyDescent="0.3">
      <c r="A309" s="118" t="s">
        <v>3099</v>
      </c>
      <c r="B309" t="s">
        <v>3104</v>
      </c>
      <c r="C309" t="s">
        <v>3105</v>
      </c>
      <c r="D309" s="144" t="s">
        <v>780</v>
      </c>
      <c r="E309" t="s">
        <v>765</v>
      </c>
      <c r="F309" t="s">
        <v>284</v>
      </c>
      <c r="G309" t="s">
        <v>766</v>
      </c>
      <c r="H309" t="s">
        <v>3101</v>
      </c>
      <c r="I309" t="s">
        <v>766</v>
      </c>
      <c r="J309" t="s">
        <v>2070</v>
      </c>
      <c r="K309" t="s">
        <v>787</v>
      </c>
      <c r="L309" t="s">
        <v>1055</v>
      </c>
      <c r="M309" t="s">
        <v>208</v>
      </c>
      <c r="N309" t="s">
        <v>2580</v>
      </c>
      <c r="O309" t="s">
        <v>771</v>
      </c>
      <c r="P309" t="s">
        <v>772</v>
      </c>
      <c r="Q309" t="s">
        <v>3102</v>
      </c>
      <c r="R309">
        <v>7</v>
      </c>
      <c r="S309">
        <v>5</v>
      </c>
      <c r="T309">
        <v>7</v>
      </c>
      <c r="U309">
        <v>5</v>
      </c>
      <c r="V309">
        <v>0</v>
      </c>
      <c r="W309">
        <v>0</v>
      </c>
      <c r="X309">
        <v>0</v>
      </c>
      <c r="Y309">
        <v>0</v>
      </c>
      <c r="Z309">
        <v>0</v>
      </c>
      <c r="AA309">
        <v>0</v>
      </c>
      <c r="AB309">
        <v>0</v>
      </c>
      <c r="AC309">
        <v>0</v>
      </c>
      <c r="AD309">
        <v>0</v>
      </c>
      <c r="AE309">
        <v>0</v>
      </c>
      <c r="AF309">
        <v>0</v>
      </c>
      <c r="AG309">
        <v>0</v>
      </c>
      <c r="AH309">
        <v>0</v>
      </c>
      <c r="AI309">
        <v>0</v>
      </c>
      <c r="AJ309" t="s">
        <v>2071</v>
      </c>
      <c r="AK309" t="s">
        <v>2072</v>
      </c>
      <c r="AL309" t="s">
        <v>208</v>
      </c>
      <c r="AM309" t="s">
        <v>1822</v>
      </c>
      <c r="AN309" t="s">
        <v>771</v>
      </c>
      <c r="AO309" t="s">
        <v>2073</v>
      </c>
      <c r="AP309" t="s">
        <v>2073</v>
      </c>
      <c r="AY309" t="str">
        <f t="shared" si="76"/>
        <v>CLAVOBAY SUSPENSION INJECTABLE</v>
      </c>
      <c r="AZ309" t="str">
        <f>IF(COUNTIF(AY:AY,AY309)=1,AY309,IF(AND(COUNTIF(AY:AY,AY309)&gt;1,COUNTIF(AZ$2:AZ308,AY309)&gt;=1),"",AY309))</f>
        <v/>
      </c>
      <c r="BA309" t="str">
        <f>IF(AZ309="","",COUNTIFS(AZ$3:AZ$1439,"&lt;"&amp;AZ309,AZ$3:AZ$1439,"&lt;&gt;0")+COUNTIF(AZ$3:AZ309,AZ309)-876)</f>
        <v/>
      </c>
      <c r="BC309">
        <v>307</v>
      </c>
      <c r="BD309" t="str">
        <f t="shared" si="87"/>
        <v>MICOTIL 300 MG/ML SOLUTION INJECTABLE</v>
      </c>
      <c r="BE309" t="str">
        <f t="shared" si="77"/>
        <v>INJ</v>
      </c>
      <c r="BF309" t="str">
        <f t="shared" si="78"/>
        <v>MACROLIDES</v>
      </c>
      <c r="BG309" t="str">
        <f t="shared" si="79"/>
        <v/>
      </c>
      <c r="BH309" t="str">
        <f t="shared" si="80"/>
        <v/>
      </c>
      <c r="BI309" t="str">
        <f t="shared" si="81"/>
        <v>tilmicosin</v>
      </c>
      <c r="BJ309" t="str">
        <f t="shared" si="82"/>
        <v/>
      </c>
      <c r="BK309" t="str">
        <f t="shared" si="83"/>
        <v/>
      </c>
      <c r="BL309" t="str">
        <f t="shared" si="88"/>
        <v>Tilmicosine</v>
      </c>
      <c r="BM309" t="str">
        <f t="shared" si="84"/>
        <v>Tilmicosine</v>
      </c>
      <c r="BN309" t="str">
        <f t="shared" si="85"/>
        <v/>
      </c>
      <c r="BO309" t="str">
        <f t="shared" si="86"/>
        <v/>
      </c>
      <c r="BP309" t="str">
        <f t="shared" si="89"/>
        <v>Macrolides</v>
      </c>
      <c r="BQ309" t="str">
        <f t="shared" si="90"/>
        <v>Macrolides</v>
      </c>
      <c r="BR309" t="str">
        <f t="shared" si="91"/>
        <v/>
      </c>
      <c r="BS309" t="str">
        <f t="shared" si="92"/>
        <v/>
      </c>
      <c r="BT309" s="76" t="str">
        <f t="shared" si="93"/>
        <v>Voie parentérale</v>
      </c>
      <c r="BU309" t="str">
        <f t="shared" si="94"/>
        <v/>
      </c>
      <c r="CN309">
        <v>308</v>
      </c>
    </row>
    <row r="310" spans="1:92" x14ac:dyDescent="0.3">
      <c r="A310" s="118" t="s">
        <v>3650</v>
      </c>
      <c r="B310" t="s">
        <v>3651</v>
      </c>
      <c r="C310" t="s">
        <v>3647</v>
      </c>
      <c r="D310" s="144" t="s">
        <v>776</v>
      </c>
      <c r="E310" t="s">
        <v>813</v>
      </c>
      <c r="F310" t="s">
        <v>3652</v>
      </c>
      <c r="G310" t="s">
        <v>815</v>
      </c>
      <c r="H310" t="s">
        <v>860</v>
      </c>
      <c r="I310" t="s">
        <v>817</v>
      </c>
      <c r="J310" t="s">
        <v>2070</v>
      </c>
      <c r="K310" t="s">
        <v>787</v>
      </c>
      <c r="L310" t="s">
        <v>1055</v>
      </c>
      <c r="M310" t="s">
        <v>208</v>
      </c>
      <c r="N310" t="s">
        <v>776</v>
      </c>
      <c r="O310" t="s">
        <v>824</v>
      </c>
      <c r="P310" t="s">
        <v>772</v>
      </c>
      <c r="Q310" t="s">
        <v>950</v>
      </c>
      <c r="R310">
        <v>0</v>
      </c>
      <c r="S310">
        <v>0</v>
      </c>
      <c r="T310">
        <v>20</v>
      </c>
      <c r="U310">
        <v>7</v>
      </c>
      <c r="V310">
        <v>0</v>
      </c>
      <c r="W310">
        <v>0</v>
      </c>
      <c r="X310">
        <v>0</v>
      </c>
      <c r="Y310">
        <v>0</v>
      </c>
      <c r="Z310">
        <v>0</v>
      </c>
      <c r="AA310">
        <v>0</v>
      </c>
      <c r="AB310">
        <v>0</v>
      </c>
      <c r="AC310">
        <v>0</v>
      </c>
      <c r="AD310">
        <v>0</v>
      </c>
      <c r="AE310">
        <v>0</v>
      </c>
      <c r="AF310">
        <v>0</v>
      </c>
      <c r="AG310">
        <v>0</v>
      </c>
      <c r="AH310">
        <v>0</v>
      </c>
      <c r="AI310">
        <v>0</v>
      </c>
      <c r="AJ310" t="s">
        <v>2071</v>
      </c>
      <c r="AK310" t="s">
        <v>2072</v>
      </c>
      <c r="AL310" t="s">
        <v>208</v>
      </c>
      <c r="AM310" t="s">
        <v>950</v>
      </c>
      <c r="AN310" t="s">
        <v>824</v>
      </c>
      <c r="AO310" t="s">
        <v>2073</v>
      </c>
      <c r="AP310" t="s">
        <v>2073</v>
      </c>
      <c r="AY310" t="str">
        <f t="shared" si="76"/>
        <v/>
      </c>
      <c r="AZ310" t="str">
        <f>IF(COUNTIF(AY:AY,AY310)=1,AY310,IF(AND(COUNTIF(AY:AY,AY310)&gt;1,COUNTIF(AZ$2:AZ309,AY310)&gt;=1),"",AY310))</f>
        <v/>
      </c>
      <c r="BA310" t="str">
        <f>IF(AZ310="","",COUNTIFS(AZ$3:AZ$1439,"&lt;"&amp;AZ310,AZ$3:AZ$1439,"&lt;&gt;0")+COUNTIF(AZ$3:AZ310,AZ310)-876)</f>
        <v/>
      </c>
      <c r="BC310">
        <v>308</v>
      </c>
      <c r="BD310" t="str">
        <f t="shared" si="87"/>
        <v>MILICOLI</v>
      </c>
      <c r="BE310" t="str">
        <f t="shared" si="77"/>
        <v>ORAL</v>
      </c>
      <c r="BF310" t="str">
        <f t="shared" si="78"/>
        <v>POLYPEPTIDES</v>
      </c>
      <c r="BG310" t="str">
        <f t="shared" si="79"/>
        <v/>
      </c>
      <c r="BH310" t="str">
        <f t="shared" si="80"/>
        <v/>
      </c>
      <c r="BI310" t="str">
        <f t="shared" si="81"/>
        <v>colistin</v>
      </c>
      <c r="BJ310" t="str">
        <f t="shared" si="82"/>
        <v/>
      </c>
      <c r="BK310" t="str">
        <f t="shared" si="83"/>
        <v/>
      </c>
      <c r="BL310" t="str">
        <f t="shared" si="88"/>
        <v>Colistine</v>
      </c>
      <c r="BM310" t="str">
        <f t="shared" si="84"/>
        <v>Colistine</v>
      </c>
      <c r="BN310" t="str">
        <f t="shared" si="85"/>
        <v/>
      </c>
      <c r="BO310" t="str">
        <f t="shared" si="86"/>
        <v/>
      </c>
      <c r="BP310" t="str">
        <f t="shared" si="89"/>
        <v>Polypeptides</v>
      </c>
      <c r="BQ310" t="str">
        <f t="shared" si="90"/>
        <v>Polypeptides</v>
      </c>
      <c r="BR310" t="str">
        <f t="shared" si="91"/>
        <v/>
      </c>
      <c r="BS310" t="str">
        <f t="shared" si="92"/>
        <v/>
      </c>
      <c r="BT310" s="76" t="str">
        <f t="shared" si="93"/>
        <v>Voie orale  hors prémélanges médicamenteux</v>
      </c>
      <c r="BU310" t="str">
        <f t="shared" si="94"/>
        <v>x</v>
      </c>
      <c r="CN310">
        <v>309</v>
      </c>
    </row>
    <row r="311" spans="1:92" x14ac:dyDescent="0.3">
      <c r="A311" s="118" t="s">
        <v>3650</v>
      </c>
      <c r="B311" t="s">
        <v>3653</v>
      </c>
      <c r="C311" t="s">
        <v>3647</v>
      </c>
      <c r="D311" s="144" t="s">
        <v>776</v>
      </c>
      <c r="E311" t="s">
        <v>813</v>
      </c>
      <c r="F311" t="s">
        <v>3652</v>
      </c>
      <c r="G311" t="s">
        <v>815</v>
      </c>
      <c r="H311" t="s">
        <v>860</v>
      </c>
      <c r="I311" t="s">
        <v>817</v>
      </c>
      <c r="J311" t="s">
        <v>2070</v>
      </c>
      <c r="K311" t="s">
        <v>787</v>
      </c>
      <c r="L311" t="s">
        <v>1055</v>
      </c>
      <c r="M311" t="s">
        <v>208</v>
      </c>
      <c r="N311" t="s">
        <v>776</v>
      </c>
      <c r="O311" t="s">
        <v>824</v>
      </c>
      <c r="P311" t="s">
        <v>772</v>
      </c>
      <c r="Q311" t="s">
        <v>950</v>
      </c>
      <c r="R311">
        <v>0</v>
      </c>
      <c r="S311">
        <v>0</v>
      </c>
      <c r="T311">
        <v>20</v>
      </c>
      <c r="U311">
        <v>7</v>
      </c>
      <c r="V311">
        <v>0</v>
      </c>
      <c r="W311">
        <v>0</v>
      </c>
      <c r="X311">
        <v>0</v>
      </c>
      <c r="Y311">
        <v>0</v>
      </c>
      <c r="Z311">
        <v>0</v>
      </c>
      <c r="AA311">
        <v>0</v>
      </c>
      <c r="AB311">
        <v>0</v>
      </c>
      <c r="AC311">
        <v>0</v>
      </c>
      <c r="AD311">
        <v>0</v>
      </c>
      <c r="AE311">
        <v>0</v>
      </c>
      <c r="AF311">
        <v>0</v>
      </c>
      <c r="AG311">
        <v>0</v>
      </c>
      <c r="AH311">
        <v>0</v>
      </c>
      <c r="AI311">
        <v>0</v>
      </c>
      <c r="AJ311" t="s">
        <v>2071</v>
      </c>
      <c r="AK311" t="s">
        <v>2072</v>
      </c>
      <c r="AL311" t="s">
        <v>208</v>
      </c>
      <c r="AM311" t="s">
        <v>950</v>
      </c>
      <c r="AN311" t="s">
        <v>824</v>
      </c>
      <c r="AO311" t="s">
        <v>2073</v>
      </c>
      <c r="AP311" t="s">
        <v>2073</v>
      </c>
      <c r="AY311" t="str">
        <f t="shared" si="76"/>
        <v/>
      </c>
      <c r="AZ311" t="str">
        <f>IF(COUNTIF(AY:AY,AY311)=1,AY311,IF(AND(COUNTIF(AY:AY,AY311)&gt;1,COUNTIF(AZ$2:AZ310,AY311)&gt;=1),"",AY311))</f>
        <v/>
      </c>
      <c r="BA311" t="str">
        <f>IF(AZ311="","",COUNTIFS(AZ$3:AZ$1439,"&lt;"&amp;AZ311,AZ$3:AZ$1439,"&lt;&gt;0")+COUNTIF(AZ$3:AZ311,AZ311)-876)</f>
        <v/>
      </c>
      <c r="BC311">
        <v>309</v>
      </c>
      <c r="BD311" t="str">
        <f t="shared" si="87"/>
        <v>MOXAPULVIS 500 MG/G POUDRE POUR ADMINISTRATION DANS L'EAU DE BOISSON</v>
      </c>
      <c r="BE311" t="str">
        <f t="shared" si="77"/>
        <v>ORAL</v>
      </c>
      <c r="BF311" t="str">
        <f t="shared" si="78"/>
        <v>PENICILLINES</v>
      </c>
      <c r="BG311" t="str">
        <f t="shared" si="79"/>
        <v/>
      </c>
      <c r="BH311" t="str">
        <f t="shared" si="80"/>
        <v/>
      </c>
      <c r="BI311" t="str">
        <f t="shared" si="81"/>
        <v>amoxicillin</v>
      </c>
      <c r="BJ311" t="str">
        <f t="shared" si="82"/>
        <v/>
      </c>
      <c r="BK311" t="str">
        <f t="shared" si="83"/>
        <v/>
      </c>
      <c r="BL311" t="str">
        <f t="shared" si="88"/>
        <v>Amoxicilline</v>
      </c>
      <c r="BM311" t="str">
        <f t="shared" si="84"/>
        <v>Amoxicilline</v>
      </c>
      <c r="BN311" t="str">
        <f t="shared" si="85"/>
        <v/>
      </c>
      <c r="BO311" t="str">
        <f t="shared" si="86"/>
        <v/>
      </c>
      <c r="BP311" t="str">
        <f t="shared" si="89"/>
        <v>Penicillines</v>
      </c>
      <c r="BQ311" t="str">
        <f t="shared" si="90"/>
        <v>Penicillines</v>
      </c>
      <c r="BR311" t="str">
        <f t="shared" si="91"/>
        <v/>
      </c>
      <c r="BS311" t="str">
        <f t="shared" si="92"/>
        <v/>
      </c>
      <c r="BT311" s="76" t="str">
        <f t="shared" si="93"/>
        <v>Voie orale  hors prémélanges médicamenteux</v>
      </c>
      <c r="BU311" t="str">
        <f t="shared" si="94"/>
        <v/>
      </c>
      <c r="CN311">
        <v>310</v>
      </c>
    </row>
    <row r="312" spans="1:92" x14ac:dyDescent="0.3">
      <c r="A312" s="118" t="s">
        <v>3645</v>
      </c>
      <c r="B312" t="s">
        <v>3646</v>
      </c>
      <c r="C312" t="s">
        <v>3647</v>
      </c>
      <c r="D312" s="144" t="s">
        <v>776</v>
      </c>
      <c r="E312" t="s">
        <v>813</v>
      </c>
      <c r="F312" t="s">
        <v>3648</v>
      </c>
      <c r="G312" t="s">
        <v>815</v>
      </c>
      <c r="H312" t="s">
        <v>816</v>
      </c>
      <c r="I312" t="s">
        <v>817</v>
      </c>
      <c r="J312" t="s">
        <v>2070</v>
      </c>
      <c r="K312" t="s">
        <v>787</v>
      </c>
      <c r="L312" t="s">
        <v>1055</v>
      </c>
      <c r="M312" t="s">
        <v>208</v>
      </c>
      <c r="N312" t="s">
        <v>780</v>
      </c>
      <c r="O312" t="s">
        <v>824</v>
      </c>
      <c r="P312" t="s">
        <v>772</v>
      </c>
      <c r="Q312" t="s">
        <v>1072</v>
      </c>
      <c r="R312">
        <v>0</v>
      </c>
      <c r="S312">
        <v>0</v>
      </c>
      <c r="T312">
        <v>20</v>
      </c>
      <c r="U312">
        <v>7</v>
      </c>
      <c r="V312">
        <v>0</v>
      </c>
      <c r="W312">
        <v>0</v>
      </c>
      <c r="X312">
        <v>0</v>
      </c>
      <c r="Y312">
        <v>0</v>
      </c>
      <c r="Z312">
        <v>0</v>
      </c>
      <c r="AA312">
        <v>0</v>
      </c>
      <c r="AB312">
        <v>0</v>
      </c>
      <c r="AC312">
        <v>0</v>
      </c>
      <c r="AD312">
        <v>0</v>
      </c>
      <c r="AE312">
        <v>0</v>
      </c>
      <c r="AF312">
        <v>0</v>
      </c>
      <c r="AG312">
        <v>0</v>
      </c>
      <c r="AH312">
        <v>0</v>
      </c>
      <c r="AI312">
        <v>0</v>
      </c>
      <c r="AJ312" t="s">
        <v>2071</v>
      </c>
      <c r="AK312" t="s">
        <v>2072</v>
      </c>
      <c r="AL312" t="s">
        <v>208</v>
      </c>
      <c r="AM312" t="s">
        <v>1072</v>
      </c>
      <c r="AN312" t="s">
        <v>824</v>
      </c>
      <c r="AO312" t="s">
        <v>2073</v>
      </c>
      <c r="AP312" t="s">
        <v>2073</v>
      </c>
      <c r="AY312" t="str">
        <f t="shared" si="76"/>
        <v/>
      </c>
      <c r="AZ312" t="str">
        <f>IF(COUNTIF(AY:AY,AY312)=1,AY312,IF(AND(COUNTIF(AY:AY,AY312)&gt;1,COUNTIF(AZ$2:AZ311,AY312)&gt;=1),"",AY312))</f>
        <v/>
      </c>
      <c r="BA312" t="str">
        <f>IF(AZ312="","",COUNTIFS(AZ$3:AZ$1439,"&lt;"&amp;AZ312,AZ$3:AZ$1439,"&lt;&gt;0")+COUNTIF(AZ$3:AZ312,AZ312)-876)</f>
        <v/>
      </c>
      <c r="BC312">
        <v>310</v>
      </c>
      <c r="BD312" t="str">
        <f t="shared" si="87"/>
        <v>MULTIBIO</v>
      </c>
      <c r="BE312" t="str">
        <f t="shared" si="77"/>
        <v>INJ</v>
      </c>
      <c r="BF312" t="str">
        <f t="shared" si="78"/>
        <v>PENICILLINES</v>
      </c>
      <c r="BG312" t="str">
        <f t="shared" si="79"/>
        <v>POLYPEPTIDES</v>
      </c>
      <c r="BH312" t="str">
        <f t="shared" si="80"/>
        <v/>
      </c>
      <c r="BI312" t="str">
        <f t="shared" si="81"/>
        <v>ampicillin</v>
      </c>
      <c r="BJ312" t="str">
        <f t="shared" si="82"/>
        <v>colistin</v>
      </c>
      <c r="BK312" t="str">
        <f t="shared" si="83"/>
        <v/>
      </c>
      <c r="BL312" t="str">
        <f t="shared" si="88"/>
        <v>Ampicilline + Colistine</v>
      </c>
      <c r="BM312" t="str">
        <f t="shared" si="84"/>
        <v>Ampicilline</v>
      </c>
      <c r="BN312" t="str">
        <f t="shared" si="85"/>
        <v>Colistine</v>
      </c>
      <c r="BO312" t="str">
        <f t="shared" si="86"/>
        <v/>
      </c>
      <c r="BP312" t="str">
        <f t="shared" si="89"/>
        <v>Penicillines + Polypeptides</v>
      </c>
      <c r="BQ312" t="str">
        <f t="shared" si="90"/>
        <v>Penicillines</v>
      </c>
      <c r="BR312" t="str">
        <f t="shared" si="91"/>
        <v>Polypeptides</v>
      </c>
      <c r="BS312" t="str">
        <f t="shared" si="92"/>
        <v/>
      </c>
      <c r="BT312" s="76" t="str">
        <f t="shared" si="93"/>
        <v>Voie parentérale</v>
      </c>
      <c r="BU312" t="str">
        <f t="shared" si="94"/>
        <v>x</v>
      </c>
      <c r="CN312">
        <v>311</v>
      </c>
    </row>
    <row r="313" spans="1:92" x14ac:dyDescent="0.3">
      <c r="A313" s="118" t="s">
        <v>3645</v>
      </c>
      <c r="B313" t="s">
        <v>3649</v>
      </c>
      <c r="C313" t="s">
        <v>3647</v>
      </c>
      <c r="D313" s="144" t="s">
        <v>776</v>
      </c>
      <c r="E313" t="s">
        <v>813</v>
      </c>
      <c r="F313" t="s">
        <v>3648</v>
      </c>
      <c r="G313" t="s">
        <v>815</v>
      </c>
      <c r="H313" t="s">
        <v>816</v>
      </c>
      <c r="I313" t="s">
        <v>817</v>
      </c>
      <c r="J313" t="s">
        <v>2070</v>
      </c>
      <c r="K313" t="s">
        <v>787</v>
      </c>
      <c r="L313" t="s">
        <v>1055</v>
      </c>
      <c r="M313" t="s">
        <v>208</v>
      </c>
      <c r="N313" t="s">
        <v>780</v>
      </c>
      <c r="O313" t="s">
        <v>824</v>
      </c>
      <c r="P313" t="s">
        <v>772</v>
      </c>
      <c r="Q313" t="s">
        <v>1072</v>
      </c>
      <c r="R313">
        <v>0</v>
      </c>
      <c r="S313">
        <v>0</v>
      </c>
      <c r="T313">
        <v>20</v>
      </c>
      <c r="U313">
        <v>7</v>
      </c>
      <c r="V313">
        <v>0</v>
      </c>
      <c r="W313">
        <v>0</v>
      </c>
      <c r="X313">
        <v>0</v>
      </c>
      <c r="Y313">
        <v>0</v>
      </c>
      <c r="Z313">
        <v>0</v>
      </c>
      <c r="AA313">
        <v>0</v>
      </c>
      <c r="AB313">
        <v>0</v>
      </c>
      <c r="AC313">
        <v>0</v>
      </c>
      <c r="AD313">
        <v>0</v>
      </c>
      <c r="AE313">
        <v>0</v>
      </c>
      <c r="AF313">
        <v>0</v>
      </c>
      <c r="AG313">
        <v>0</v>
      </c>
      <c r="AH313">
        <v>0</v>
      </c>
      <c r="AI313">
        <v>0</v>
      </c>
      <c r="AJ313" t="s">
        <v>2071</v>
      </c>
      <c r="AK313" t="s">
        <v>2072</v>
      </c>
      <c r="AL313" t="s">
        <v>208</v>
      </c>
      <c r="AM313" t="s">
        <v>1072</v>
      </c>
      <c r="AN313" t="s">
        <v>824</v>
      </c>
      <c r="AO313" t="s">
        <v>2073</v>
      </c>
      <c r="AP313" t="s">
        <v>2073</v>
      </c>
      <c r="AY313" t="str">
        <f t="shared" si="76"/>
        <v/>
      </c>
      <c r="AZ313" t="str">
        <f>IF(COUNTIF(AY:AY,AY313)=1,AY313,IF(AND(COUNTIF(AY:AY,AY313)&gt;1,COUNTIF(AZ$2:AZ312,AY313)&gt;=1),"",AY313))</f>
        <v/>
      </c>
      <c r="BA313" t="str">
        <f>IF(AZ313="","",COUNTIFS(AZ$3:AZ$1439,"&lt;"&amp;AZ313,AZ$3:AZ$1439,"&lt;&gt;0")+COUNTIF(AZ$3:AZ313,AZ313)-876)</f>
        <v/>
      </c>
      <c r="BC313">
        <v>311</v>
      </c>
      <c r="BD313" t="str">
        <f t="shared" si="87"/>
        <v>MULTISHIELD DC SUSPENSION INTRAMAMMAIRE POUR VACHES</v>
      </c>
      <c r="BE313" t="str">
        <f t="shared" si="77"/>
        <v>INTRAMAM</v>
      </c>
      <c r="BF313" t="str">
        <f t="shared" si="78"/>
        <v>PENICILLINES</v>
      </c>
      <c r="BG313" t="str">
        <f t="shared" si="79"/>
        <v>AMINOGLYCOSIDES</v>
      </c>
      <c r="BH313" t="str">
        <f t="shared" si="80"/>
        <v>PENICILLINES</v>
      </c>
      <c r="BI313" t="str">
        <f t="shared" si="81"/>
        <v>benzylpenicillin</v>
      </c>
      <c r="BJ313" t="str">
        <f t="shared" si="82"/>
        <v>neomycin</v>
      </c>
      <c r="BK313" t="str">
        <f t="shared" si="83"/>
        <v>penethamate hydriodide</v>
      </c>
      <c r="BL313" t="str">
        <f t="shared" si="88"/>
        <v>Benzylpénicilline + Néomycine + Pénéthamate (ou pénéthacilline)</v>
      </c>
      <c r="BM313" t="str">
        <f t="shared" si="84"/>
        <v>Benzylpénicilline</v>
      </c>
      <c r="BN313" t="str">
        <f t="shared" si="85"/>
        <v>Néomycine</v>
      </c>
      <c r="BO313" t="str">
        <f t="shared" si="86"/>
        <v>Pénéthamate (ou pénéthacilline)</v>
      </c>
      <c r="BP313" t="str">
        <f t="shared" si="89"/>
        <v>Penicillines</v>
      </c>
      <c r="BQ313" t="str">
        <f t="shared" si="90"/>
        <v>Penicillines</v>
      </c>
      <c r="BR313" t="str">
        <f t="shared" si="91"/>
        <v>Aminoglycosides</v>
      </c>
      <c r="BS313" t="str">
        <f t="shared" si="92"/>
        <v>Penicillines</v>
      </c>
      <c r="BT313" s="76" t="str">
        <f t="shared" si="93"/>
        <v>Voie intramammaire</v>
      </c>
      <c r="BU313" t="str">
        <f t="shared" si="94"/>
        <v/>
      </c>
      <c r="CN313">
        <v>312</v>
      </c>
    </row>
    <row r="314" spans="1:92" x14ac:dyDescent="0.3">
      <c r="A314" s="118" t="s">
        <v>3654</v>
      </c>
      <c r="B314" t="s">
        <v>3655</v>
      </c>
      <c r="C314" t="s">
        <v>3647</v>
      </c>
      <c r="D314" s="144" t="s">
        <v>776</v>
      </c>
      <c r="E314" t="s">
        <v>813</v>
      </c>
      <c r="F314" t="s">
        <v>3656</v>
      </c>
      <c r="G314" t="s">
        <v>815</v>
      </c>
      <c r="H314" t="s">
        <v>860</v>
      </c>
      <c r="I314" t="s">
        <v>817</v>
      </c>
      <c r="J314" t="s">
        <v>2070</v>
      </c>
      <c r="K314" t="s">
        <v>787</v>
      </c>
      <c r="L314" t="s">
        <v>1055</v>
      </c>
      <c r="M314" t="s">
        <v>208</v>
      </c>
      <c r="N314" t="s">
        <v>906</v>
      </c>
      <c r="O314" t="s">
        <v>824</v>
      </c>
      <c r="P314" t="s">
        <v>772</v>
      </c>
      <c r="Q314" t="s">
        <v>1125</v>
      </c>
      <c r="R314">
        <v>0</v>
      </c>
      <c r="S314">
        <v>0</v>
      </c>
      <c r="T314">
        <v>20</v>
      </c>
      <c r="U314">
        <v>7</v>
      </c>
      <c r="V314">
        <v>0</v>
      </c>
      <c r="W314">
        <v>0</v>
      </c>
      <c r="X314">
        <v>0</v>
      </c>
      <c r="Y314">
        <v>0</v>
      </c>
      <c r="Z314">
        <v>0</v>
      </c>
      <c r="AA314">
        <v>0</v>
      </c>
      <c r="AB314">
        <v>0</v>
      </c>
      <c r="AC314">
        <v>0</v>
      </c>
      <c r="AD314">
        <v>0</v>
      </c>
      <c r="AE314">
        <v>0</v>
      </c>
      <c r="AF314">
        <v>0</v>
      </c>
      <c r="AG314">
        <v>0</v>
      </c>
      <c r="AH314">
        <v>0</v>
      </c>
      <c r="AI314">
        <v>0</v>
      </c>
      <c r="AJ314" t="s">
        <v>2071</v>
      </c>
      <c r="AK314" t="s">
        <v>2072</v>
      </c>
      <c r="AL314" t="s">
        <v>208</v>
      </c>
      <c r="AM314" t="s">
        <v>1125</v>
      </c>
      <c r="AN314" t="s">
        <v>824</v>
      </c>
      <c r="AO314" t="s">
        <v>2073</v>
      </c>
      <c r="AP314" t="s">
        <v>2073</v>
      </c>
      <c r="AY314" t="str">
        <f t="shared" si="76"/>
        <v/>
      </c>
      <c r="AZ314" t="str">
        <f>IF(COUNTIF(AY:AY,AY314)=1,AY314,IF(AND(COUNTIF(AY:AY,AY314)&gt;1,COUNTIF(AZ$2:AZ313,AY314)&gt;=1),"",AY314))</f>
        <v/>
      </c>
      <c r="BA314" t="str">
        <f>IF(AZ314="","",COUNTIFS(AZ$3:AZ$1439,"&lt;"&amp;AZ314,AZ$3:AZ$1439,"&lt;&gt;0")+COUNTIF(AZ$3:AZ314,AZ314)-876)</f>
        <v/>
      </c>
      <c r="BC314">
        <v>312</v>
      </c>
      <c r="BD314" t="str">
        <f t="shared" si="87"/>
        <v>MYCOFLOR 300 MG/ML SOLUTION INJECTABLE POUR BOVINS ET PORCINS</v>
      </c>
      <c r="BE314" t="str">
        <f t="shared" si="77"/>
        <v>INJ</v>
      </c>
      <c r="BF314" t="str">
        <f t="shared" si="78"/>
        <v>PHENICOLES</v>
      </c>
      <c r="BG314" t="str">
        <f t="shared" si="79"/>
        <v/>
      </c>
      <c r="BH314" t="str">
        <f t="shared" si="80"/>
        <v/>
      </c>
      <c r="BI314" t="str">
        <f t="shared" si="81"/>
        <v>florfenicol</v>
      </c>
      <c r="BJ314" t="str">
        <f t="shared" si="82"/>
        <v/>
      </c>
      <c r="BK314" t="str">
        <f t="shared" si="83"/>
        <v/>
      </c>
      <c r="BL314" t="str">
        <f t="shared" si="88"/>
        <v>Florfénicol</v>
      </c>
      <c r="BM314" t="str">
        <f t="shared" si="84"/>
        <v>Florfénicol</v>
      </c>
      <c r="BN314" t="str">
        <f t="shared" si="85"/>
        <v/>
      </c>
      <c r="BO314" t="str">
        <f t="shared" si="86"/>
        <v/>
      </c>
      <c r="BP314" t="str">
        <f t="shared" si="89"/>
        <v>Phenicoles</v>
      </c>
      <c r="BQ314" t="str">
        <f t="shared" si="90"/>
        <v>Phenicoles</v>
      </c>
      <c r="BR314" t="str">
        <f t="shared" si="91"/>
        <v/>
      </c>
      <c r="BS314" t="str">
        <f t="shared" si="92"/>
        <v/>
      </c>
      <c r="BT314" s="76" t="str">
        <f t="shared" si="93"/>
        <v>Voie parentérale</v>
      </c>
      <c r="BU314" t="str">
        <f t="shared" si="94"/>
        <v/>
      </c>
      <c r="CN314">
        <v>313</v>
      </c>
    </row>
    <row r="315" spans="1:92" x14ac:dyDescent="0.3">
      <c r="A315" s="118" t="s">
        <v>3654</v>
      </c>
      <c r="B315" t="s">
        <v>3657</v>
      </c>
      <c r="C315" t="s">
        <v>3647</v>
      </c>
      <c r="D315" s="144" t="s">
        <v>776</v>
      </c>
      <c r="E315" t="s">
        <v>813</v>
      </c>
      <c r="F315" t="s">
        <v>3656</v>
      </c>
      <c r="G315" t="s">
        <v>815</v>
      </c>
      <c r="H315" t="s">
        <v>860</v>
      </c>
      <c r="I315" t="s">
        <v>817</v>
      </c>
      <c r="J315" t="s">
        <v>2070</v>
      </c>
      <c r="K315" t="s">
        <v>787</v>
      </c>
      <c r="L315" t="s">
        <v>1055</v>
      </c>
      <c r="M315" t="s">
        <v>208</v>
      </c>
      <c r="N315" t="s">
        <v>906</v>
      </c>
      <c r="O315" t="s">
        <v>824</v>
      </c>
      <c r="P315" t="s">
        <v>772</v>
      </c>
      <c r="Q315" t="s">
        <v>1125</v>
      </c>
      <c r="R315">
        <v>0</v>
      </c>
      <c r="S315">
        <v>0</v>
      </c>
      <c r="T315">
        <v>20</v>
      </c>
      <c r="U315">
        <v>7</v>
      </c>
      <c r="V315">
        <v>0</v>
      </c>
      <c r="W315">
        <v>0</v>
      </c>
      <c r="X315">
        <v>0</v>
      </c>
      <c r="Y315">
        <v>0</v>
      </c>
      <c r="Z315">
        <v>0</v>
      </c>
      <c r="AA315">
        <v>0</v>
      </c>
      <c r="AB315">
        <v>0</v>
      </c>
      <c r="AC315">
        <v>0</v>
      </c>
      <c r="AD315">
        <v>0</v>
      </c>
      <c r="AE315">
        <v>0</v>
      </c>
      <c r="AF315">
        <v>0</v>
      </c>
      <c r="AG315">
        <v>0</v>
      </c>
      <c r="AH315">
        <v>0</v>
      </c>
      <c r="AI315">
        <v>0</v>
      </c>
      <c r="AJ315" t="s">
        <v>2071</v>
      </c>
      <c r="AK315" t="s">
        <v>2072</v>
      </c>
      <c r="AL315" t="s">
        <v>208</v>
      </c>
      <c r="AM315" t="s">
        <v>1125</v>
      </c>
      <c r="AN315" t="s">
        <v>824</v>
      </c>
      <c r="AO315" t="s">
        <v>2073</v>
      </c>
      <c r="AP315" t="s">
        <v>2073</v>
      </c>
      <c r="AY315" t="str">
        <f t="shared" si="76"/>
        <v/>
      </c>
      <c r="AZ315" t="str">
        <f>IF(COUNTIF(AY:AY,AY315)=1,AY315,IF(AND(COUNTIF(AY:AY,AY315)&gt;1,COUNTIF(AZ$2:AZ314,AY315)&gt;=1),"",AY315))</f>
        <v/>
      </c>
      <c r="BA315" t="str">
        <f>IF(AZ315="","",COUNTIFS(AZ$3:AZ$1439,"&lt;"&amp;AZ315,AZ$3:AZ$1439,"&lt;&gt;0")+COUNTIF(AZ$3:AZ315,AZ315)-876)</f>
        <v/>
      </c>
      <c r="BC315">
        <v>313</v>
      </c>
      <c r="BD315" t="str">
        <f t="shared" si="87"/>
        <v>N.P. 8</v>
      </c>
      <c r="BE315" t="str">
        <f t="shared" si="77"/>
        <v>ORAL</v>
      </c>
      <c r="BF315" t="str">
        <f t="shared" si="78"/>
        <v>AMINOGLYCOSIDES</v>
      </c>
      <c r="BG315" t="str">
        <f t="shared" si="79"/>
        <v>POLYPEPTIDES</v>
      </c>
      <c r="BH315" t="str">
        <f t="shared" si="80"/>
        <v/>
      </c>
      <c r="BI315" t="str">
        <f t="shared" si="81"/>
        <v>neomycin</v>
      </c>
      <c r="BJ315" t="str">
        <f t="shared" si="82"/>
        <v>colistin</v>
      </c>
      <c r="BK315" t="str">
        <f t="shared" si="83"/>
        <v/>
      </c>
      <c r="BL315" t="str">
        <f t="shared" si="88"/>
        <v>Néomycine + Colistine</v>
      </c>
      <c r="BM315" t="str">
        <f t="shared" si="84"/>
        <v>Néomycine</v>
      </c>
      <c r="BN315" t="str">
        <f t="shared" si="85"/>
        <v>Colistine</v>
      </c>
      <c r="BO315" t="str">
        <f t="shared" si="86"/>
        <v/>
      </c>
      <c r="BP315" t="str">
        <f t="shared" si="89"/>
        <v>Aminoglycosides + Polypeptides</v>
      </c>
      <c r="BQ315" t="str">
        <f t="shared" si="90"/>
        <v>Aminoglycosides</v>
      </c>
      <c r="BR315" t="str">
        <f t="shared" si="91"/>
        <v>Polypeptides</v>
      </c>
      <c r="BS315" t="str">
        <f t="shared" si="92"/>
        <v/>
      </c>
      <c r="BT315" s="76" t="str">
        <f t="shared" si="93"/>
        <v>Voie orale  hors prémélanges médicamenteux</v>
      </c>
      <c r="BU315" t="str">
        <f t="shared" si="94"/>
        <v>x</v>
      </c>
      <c r="CN315">
        <v>314</v>
      </c>
    </row>
    <row r="316" spans="1:92" x14ac:dyDescent="0.3">
      <c r="A316" s="118" t="s">
        <v>3821</v>
      </c>
      <c r="B316" t="s">
        <v>3822</v>
      </c>
      <c r="C316" t="s">
        <v>3334</v>
      </c>
      <c r="D316" s="144" t="s">
        <v>764</v>
      </c>
      <c r="E316" t="s">
        <v>813</v>
      </c>
      <c r="F316" t="s">
        <v>3823</v>
      </c>
      <c r="G316" t="s">
        <v>815</v>
      </c>
      <c r="H316" t="s">
        <v>860</v>
      </c>
      <c r="I316" t="s">
        <v>817</v>
      </c>
      <c r="J316" t="s">
        <v>2070</v>
      </c>
      <c r="K316" t="s">
        <v>787</v>
      </c>
      <c r="L316" t="s">
        <v>1055</v>
      </c>
      <c r="M316" t="s">
        <v>208</v>
      </c>
      <c r="N316" t="s">
        <v>864</v>
      </c>
      <c r="O316" t="s">
        <v>824</v>
      </c>
      <c r="P316" t="s">
        <v>772</v>
      </c>
      <c r="Q316" t="s">
        <v>869</v>
      </c>
      <c r="R316">
        <v>0</v>
      </c>
      <c r="S316">
        <v>0</v>
      </c>
      <c r="T316">
        <v>20</v>
      </c>
      <c r="U316">
        <v>7</v>
      </c>
      <c r="V316">
        <v>0</v>
      </c>
      <c r="W316">
        <v>0</v>
      </c>
      <c r="X316">
        <v>0</v>
      </c>
      <c r="Y316">
        <v>0</v>
      </c>
      <c r="Z316">
        <v>0</v>
      </c>
      <c r="AA316">
        <v>0</v>
      </c>
      <c r="AB316">
        <v>0</v>
      </c>
      <c r="AC316">
        <v>0</v>
      </c>
      <c r="AD316">
        <v>0</v>
      </c>
      <c r="AE316">
        <v>0</v>
      </c>
      <c r="AF316">
        <v>0</v>
      </c>
      <c r="AG316">
        <v>0</v>
      </c>
      <c r="AH316">
        <v>0</v>
      </c>
      <c r="AI316">
        <v>0</v>
      </c>
      <c r="AJ316" t="s">
        <v>2071</v>
      </c>
      <c r="AK316" t="s">
        <v>2072</v>
      </c>
      <c r="AL316" t="s">
        <v>208</v>
      </c>
      <c r="AM316" t="s">
        <v>780</v>
      </c>
      <c r="AN316" t="s">
        <v>824</v>
      </c>
      <c r="AO316" t="s">
        <v>2073</v>
      </c>
      <c r="AP316" t="s">
        <v>2073</v>
      </c>
      <c r="AY316" t="str">
        <f t="shared" si="76"/>
        <v/>
      </c>
      <c r="AZ316" t="str">
        <f>IF(COUNTIF(AY:AY,AY316)=1,AY316,IF(AND(COUNTIF(AY:AY,AY316)&gt;1,COUNTIF(AZ$2:AZ315,AY316)&gt;=1),"",AY316))</f>
        <v/>
      </c>
      <c r="BA316" t="str">
        <f>IF(AZ316="","",COUNTIFS(AZ$3:AZ$1439,"&lt;"&amp;AZ316,AZ$3:AZ$1439,"&lt;&gt;0")+COUNTIF(AZ$3:AZ316,AZ316)-876)</f>
        <v/>
      </c>
      <c r="BC316">
        <v>314</v>
      </c>
      <c r="BD316" t="str">
        <f t="shared" si="87"/>
        <v>NAFPENZAL T</v>
      </c>
      <c r="BE316" t="str">
        <f t="shared" si="77"/>
        <v>INTRAMAM</v>
      </c>
      <c r="BF316" t="str">
        <f t="shared" si="78"/>
        <v>PENICILLINES</v>
      </c>
      <c r="BG316" t="str">
        <f t="shared" si="79"/>
        <v>AMINOGLYCOSIDES</v>
      </c>
      <c r="BH316" t="str">
        <f t="shared" si="80"/>
        <v>PENICILLINES</v>
      </c>
      <c r="BI316" t="str">
        <f t="shared" si="81"/>
        <v>benzylpenicillin</v>
      </c>
      <c r="BJ316" t="str">
        <f t="shared" si="82"/>
        <v>dihydrostreptomycin</v>
      </c>
      <c r="BK316" t="str">
        <f t="shared" si="83"/>
        <v>nafcillin</v>
      </c>
      <c r="BL316" t="str">
        <f t="shared" si="88"/>
        <v>Benzylpénicilline + Dihydrostreptomycine + Nafcilline</v>
      </c>
      <c r="BM316" t="str">
        <f t="shared" si="84"/>
        <v>Benzylpénicilline</v>
      </c>
      <c r="BN316" t="str">
        <f t="shared" si="85"/>
        <v>Dihydrostreptomycine</v>
      </c>
      <c r="BO316" t="str">
        <f t="shared" si="86"/>
        <v>Nafcilline</v>
      </c>
      <c r="BP316" t="str">
        <f t="shared" si="89"/>
        <v>Penicillines</v>
      </c>
      <c r="BQ316" t="str">
        <f t="shared" si="90"/>
        <v>Penicillines</v>
      </c>
      <c r="BR316" t="str">
        <f t="shared" si="91"/>
        <v>Aminoglycosides</v>
      </c>
      <c r="BS316" t="str">
        <f t="shared" si="92"/>
        <v>Penicillines</v>
      </c>
      <c r="BT316" s="76" t="str">
        <f t="shared" si="93"/>
        <v>Voie intramammaire</v>
      </c>
      <c r="BU316" t="str">
        <f t="shared" si="94"/>
        <v/>
      </c>
      <c r="CN316">
        <v>315</v>
      </c>
    </row>
    <row r="317" spans="1:92" x14ac:dyDescent="0.3">
      <c r="A317" s="118" t="s">
        <v>3821</v>
      </c>
      <c r="B317" t="s">
        <v>3824</v>
      </c>
      <c r="C317" t="s">
        <v>3820</v>
      </c>
      <c r="D317" s="144" t="s">
        <v>764</v>
      </c>
      <c r="E317" t="s">
        <v>813</v>
      </c>
      <c r="F317" t="s">
        <v>3823</v>
      </c>
      <c r="G317" t="s">
        <v>815</v>
      </c>
      <c r="H317" t="s">
        <v>860</v>
      </c>
      <c r="I317" t="s">
        <v>817</v>
      </c>
      <c r="J317" t="s">
        <v>2070</v>
      </c>
      <c r="K317" t="s">
        <v>787</v>
      </c>
      <c r="L317" t="s">
        <v>1055</v>
      </c>
      <c r="M317" t="s">
        <v>208</v>
      </c>
      <c r="N317" t="s">
        <v>864</v>
      </c>
      <c r="O317" t="s">
        <v>824</v>
      </c>
      <c r="P317" t="s">
        <v>772</v>
      </c>
      <c r="Q317" t="s">
        <v>869</v>
      </c>
      <c r="R317">
        <v>0</v>
      </c>
      <c r="S317">
        <v>0</v>
      </c>
      <c r="T317">
        <v>20</v>
      </c>
      <c r="U317">
        <v>7</v>
      </c>
      <c r="V317">
        <v>0</v>
      </c>
      <c r="W317">
        <v>0</v>
      </c>
      <c r="X317">
        <v>0</v>
      </c>
      <c r="Y317">
        <v>0</v>
      </c>
      <c r="Z317">
        <v>0</v>
      </c>
      <c r="AA317">
        <v>0</v>
      </c>
      <c r="AB317">
        <v>0</v>
      </c>
      <c r="AC317">
        <v>0</v>
      </c>
      <c r="AD317">
        <v>0</v>
      </c>
      <c r="AE317">
        <v>0</v>
      </c>
      <c r="AF317">
        <v>0</v>
      </c>
      <c r="AG317">
        <v>0</v>
      </c>
      <c r="AH317">
        <v>0</v>
      </c>
      <c r="AI317">
        <v>0</v>
      </c>
      <c r="AJ317" t="s">
        <v>2071</v>
      </c>
      <c r="AK317" t="s">
        <v>2072</v>
      </c>
      <c r="AL317" t="s">
        <v>208</v>
      </c>
      <c r="AM317" t="s">
        <v>780</v>
      </c>
      <c r="AN317" t="s">
        <v>824</v>
      </c>
      <c r="AO317" t="s">
        <v>2073</v>
      </c>
      <c r="AP317" t="s">
        <v>2073</v>
      </c>
      <c r="AY317" t="str">
        <f t="shared" si="76"/>
        <v/>
      </c>
      <c r="AZ317" t="str">
        <f>IF(COUNTIF(AY:AY,AY317)=1,AY317,IF(AND(COUNTIF(AY:AY,AY317)&gt;1,COUNTIF(AZ$2:AZ316,AY317)&gt;=1),"",AY317))</f>
        <v/>
      </c>
      <c r="BA317" t="str">
        <f>IF(AZ317="","",COUNTIFS(AZ$3:AZ$1439,"&lt;"&amp;AZ317,AZ$3:AZ$1439,"&lt;&gt;0")+COUNTIF(AZ$3:AZ317,AZ317)-876)</f>
        <v/>
      </c>
      <c r="BC317">
        <v>315</v>
      </c>
      <c r="BD317" t="str">
        <f t="shared" si="87"/>
        <v>NAXCEL 100 MG/ML SUSPENSION INJECTABLE POUR PORCINS</v>
      </c>
      <c r="BE317" t="str">
        <f t="shared" si="77"/>
        <v>INJ</v>
      </c>
      <c r="BF317" t="str">
        <f t="shared" si="78"/>
        <v>CEPHALOSPORINES 3&amp;4G</v>
      </c>
      <c r="BG317" t="str">
        <f t="shared" si="79"/>
        <v/>
      </c>
      <c r="BH317" t="str">
        <f t="shared" si="80"/>
        <v/>
      </c>
      <c r="BI317" t="str">
        <f t="shared" si="81"/>
        <v>ceftiofur</v>
      </c>
      <c r="BJ317" t="str">
        <f t="shared" si="82"/>
        <v/>
      </c>
      <c r="BK317" t="str">
        <f t="shared" si="83"/>
        <v/>
      </c>
      <c r="BL317" t="str">
        <f t="shared" si="88"/>
        <v>Ceftiofur</v>
      </c>
      <c r="BM317" t="str">
        <f t="shared" si="84"/>
        <v>Ceftiofur</v>
      </c>
      <c r="BN317" t="str">
        <f t="shared" si="85"/>
        <v/>
      </c>
      <c r="BO317" t="str">
        <f t="shared" si="86"/>
        <v/>
      </c>
      <c r="BP317" t="str">
        <f t="shared" si="89"/>
        <v>Cephalosporines 3&amp;4G</v>
      </c>
      <c r="BQ317" t="str">
        <f t="shared" si="90"/>
        <v>Cephalosporines 3&amp;4G</v>
      </c>
      <c r="BR317" t="str">
        <f t="shared" si="91"/>
        <v/>
      </c>
      <c r="BS317" t="str">
        <f t="shared" si="92"/>
        <v/>
      </c>
      <c r="BT317" s="76" t="str">
        <f t="shared" si="93"/>
        <v>Voie parentérale</v>
      </c>
      <c r="BU317" t="str">
        <f t="shared" si="94"/>
        <v>x</v>
      </c>
      <c r="CN317">
        <v>316</v>
      </c>
    </row>
    <row r="318" spans="1:92" x14ac:dyDescent="0.3">
      <c r="A318" s="118" t="s">
        <v>3816</v>
      </c>
      <c r="B318" t="s">
        <v>3817</v>
      </c>
      <c r="C318" t="s">
        <v>3334</v>
      </c>
      <c r="D318" s="144" t="s">
        <v>764</v>
      </c>
      <c r="E318" t="s">
        <v>813</v>
      </c>
      <c r="F318" t="s">
        <v>3818</v>
      </c>
      <c r="G318" t="s">
        <v>815</v>
      </c>
      <c r="H318" t="s">
        <v>816</v>
      </c>
      <c r="I318" t="s">
        <v>817</v>
      </c>
      <c r="J318" t="s">
        <v>2070</v>
      </c>
      <c r="K318" t="s">
        <v>787</v>
      </c>
      <c r="L318" t="s">
        <v>1055</v>
      </c>
      <c r="M318" t="s">
        <v>208</v>
      </c>
      <c r="N318" t="s">
        <v>932</v>
      </c>
      <c r="O318" t="s">
        <v>824</v>
      </c>
      <c r="P318" t="s">
        <v>772</v>
      </c>
      <c r="Q318" t="s">
        <v>934</v>
      </c>
      <c r="R318">
        <v>0</v>
      </c>
      <c r="S318">
        <v>0</v>
      </c>
      <c r="T318">
        <v>20</v>
      </c>
      <c r="U318">
        <v>7</v>
      </c>
      <c r="V318">
        <v>0</v>
      </c>
      <c r="W318">
        <v>0</v>
      </c>
      <c r="X318">
        <v>0</v>
      </c>
      <c r="Y318">
        <v>0</v>
      </c>
      <c r="Z318">
        <v>0</v>
      </c>
      <c r="AA318">
        <v>0</v>
      </c>
      <c r="AB318">
        <v>0</v>
      </c>
      <c r="AC318">
        <v>0</v>
      </c>
      <c r="AD318">
        <v>0</v>
      </c>
      <c r="AE318">
        <v>0</v>
      </c>
      <c r="AF318">
        <v>0</v>
      </c>
      <c r="AG318">
        <v>0</v>
      </c>
      <c r="AH318">
        <v>0</v>
      </c>
      <c r="AI318">
        <v>0</v>
      </c>
      <c r="AJ318" t="s">
        <v>2071</v>
      </c>
      <c r="AK318" t="s">
        <v>2072</v>
      </c>
      <c r="AL318" t="s">
        <v>208</v>
      </c>
      <c r="AM318" t="s">
        <v>852</v>
      </c>
      <c r="AN318" t="s">
        <v>824</v>
      </c>
      <c r="AO318" t="s">
        <v>2073</v>
      </c>
      <c r="AP318" t="s">
        <v>2073</v>
      </c>
      <c r="AY318" t="str">
        <f t="shared" si="76"/>
        <v/>
      </c>
      <c r="AZ318" t="str">
        <f>IF(COUNTIF(AY:AY,AY318)=1,AY318,IF(AND(COUNTIF(AY:AY,AY318)&gt;1,COUNTIF(AZ$2:AZ317,AY318)&gt;=1),"",AY318))</f>
        <v/>
      </c>
      <c r="BA318" t="str">
        <f>IF(AZ318="","",COUNTIFS(AZ$3:AZ$1439,"&lt;"&amp;AZ318,AZ$3:AZ$1439,"&lt;&gt;0")+COUNTIF(AZ$3:AZ318,AZ318)-876)</f>
        <v/>
      </c>
      <c r="BC318">
        <v>316</v>
      </c>
      <c r="BD318" t="str">
        <f t="shared" si="87"/>
        <v>NAXCEL 200 MG/ML SUSPENSION INJECTABLE POUR BOVINS</v>
      </c>
      <c r="BE318" t="str">
        <f t="shared" si="77"/>
        <v>INJ</v>
      </c>
      <c r="BF318" t="str">
        <f t="shared" si="78"/>
        <v>CEPHALOSPORINES 3&amp;4G</v>
      </c>
      <c r="BG318" t="str">
        <f t="shared" si="79"/>
        <v/>
      </c>
      <c r="BH318" t="str">
        <f t="shared" si="80"/>
        <v/>
      </c>
      <c r="BI318" t="str">
        <f t="shared" si="81"/>
        <v>ceftiofur</v>
      </c>
      <c r="BJ318" t="str">
        <f t="shared" si="82"/>
        <v/>
      </c>
      <c r="BK318" t="str">
        <f t="shared" si="83"/>
        <v/>
      </c>
      <c r="BL318" t="str">
        <f t="shared" si="88"/>
        <v>Ceftiofur</v>
      </c>
      <c r="BM318" t="str">
        <f t="shared" si="84"/>
        <v>Ceftiofur</v>
      </c>
      <c r="BN318" t="str">
        <f t="shared" si="85"/>
        <v/>
      </c>
      <c r="BO318" t="str">
        <f t="shared" si="86"/>
        <v/>
      </c>
      <c r="BP318" t="str">
        <f t="shared" si="89"/>
        <v>Cephalosporines 3&amp;4G</v>
      </c>
      <c r="BQ318" t="str">
        <f t="shared" si="90"/>
        <v>Cephalosporines 3&amp;4G</v>
      </c>
      <c r="BR318" t="str">
        <f t="shared" si="91"/>
        <v/>
      </c>
      <c r="BS318" t="str">
        <f t="shared" si="92"/>
        <v/>
      </c>
      <c r="BT318" s="76" t="str">
        <f t="shared" si="93"/>
        <v>Voie parentérale</v>
      </c>
      <c r="BU318" t="str">
        <f t="shared" si="94"/>
        <v>x</v>
      </c>
      <c r="CN318">
        <v>317</v>
      </c>
    </row>
    <row r="319" spans="1:92" x14ac:dyDescent="0.3">
      <c r="A319" s="118" t="s">
        <v>3816</v>
      </c>
      <c r="B319" t="s">
        <v>3819</v>
      </c>
      <c r="C319" t="s">
        <v>3820</v>
      </c>
      <c r="D319" s="144" t="s">
        <v>764</v>
      </c>
      <c r="E319" t="s">
        <v>813</v>
      </c>
      <c r="F319" t="s">
        <v>3818</v>
      </c>
      <c r="G319" t="s">
        <v>815</v>
      </c>
      <c r="H319" t="s">
        <v>816</v>
      </c>
      <c r="I319" t="s">
        <v>817</v>
      </c>
      <c r="J319" t="s">
        <v>2070</v>
      </c>
      <c r="K319" t="s">
        <v>787</v>
      </c>
      <c r="L319" t="s">
        <v>1055</v>
      </c>
      <c r="M319" t="s">
        <v>208</v>
      </c>
      <c r="N319" t="s">
        <v>932</v>
      </c>
      <c r="O319" t="s">
        <v>824</v>
      </c>
      <c r="P319" t="s">
        <v>772</v>
      </c>
      <c r="Q319" t="s">
        <v>934</v>
      </c>
      <c r="R319">
        <v>0</v>
      </c>
      <c r="S319">
        <v>0</v>
      </c>
      <c r="T319">
        <v>20</v>
      </c>
      <c r="U319">
        <v>7</v>
      </c>
      <c r="V319">
        <v>0</v>
      </c>
      <c r="W319">
        <v>0</v>
      </c>
      <c r="X319">
        <v>0</v>
      </c>
      <c r="Y319">
        <v>0</v>
      </c>
      <c r="Z319">
        <v>0</v>
      </c>
      <c r="AA319">
        <v>0</v>
      </c>
      <c r="AB319">
        <v>0</v>
      </c>
      <c r="AC319">
        <v>0</v>
      </c>
      <c r="AD319">
        <v>0</v>
      </c>
      <c r="AE319">
        <v>0</v>
      </c>
      <c r="AF319">
        <v>0</v>
      </c>
      <c r="AG319">
        <v>0</v>
      </c>
      <c r="AH319">
        <v>0</v>
      </c>
      <c r="AI319">
        <v>0</v>
      </c>
      <c r="AJ319" t="s">
        <v>2071</v>
      </c>
      <c r="AK319" t="s">
        <v>2072</v>
      </c>
      <c r="AL319" t="s">
        <v>208</v>
      </c>
      <c r="AM319" t="s">
        <v>852</v>
      </c>
      <c r="AN319" t="s">
        <v>824</v>
      </c>
      <c r="AO319" t="s">
        <v>2073</v>
      </c>
      <c r="AP319" t="s">
        <v>2073</v>
      </c>
      <c r="AY319" t="str">
        <f t="shared" si="76"/>
        <v/>
      </c>
      <c r="AZ319" t="str">
        <f>IF(COUNTIF(AY:AY,AY319)=1,AY319,IF(AND(COUNTIF(AY:AY,AY319)&gt;1,COUNTIF(AZ$2:AZ318,AY319)&gt;=1),"",AY319))</f>
        <v/>
      </c>
      <c r="BA319" t="str">
        <f>IF(AZ319="","",COUNTIFS(AZ$3:AZ$1439,"&lt;"&amp;AZ319,AZ$3:AZ$1439,"&lt;&gt;0")+COUNTIF(AZ$3:AZ319,AZ319)-876)</f>
        <v/>
      </c>
      <c r="BC319">
        <v>317</v>
      </c>
      <c r="BD319" t="str">
        <f t="shared" si="87"/>
        <v>NEGEROL AEROSOL</v>
      </c>
      <c r="BE319" t="str">
        <f t="shared" si="77"/>
        <v>EXTERNE</v>
      </c>
      <c r="BF319" t="str">
        <f t="shared" si="78"/>
        <v>PHENICOLES</v>
      </c>
      <c r="BG319" t="str">
        <f t="shared" si="79"/>
        <v/>
      </c>
      <c r="BH319" t="str">
        <f t="shared" si="80"/>
        <v/>
      </c>
      <c r="BI319" t="str">
        <f t="shared" si="81"/>
        <v>thiamphenicol</v>
      </c>
      <c r="BJ319" t="str">
        <f t="shared" si="82"/>
        <v/>
      </c>
      <c r="BK319" t="str">
        <f t="shared" si="83"/>
        <v/>
      </c>
      <c r="BL319" t="str">
        <f t="shared" si="88"/>
        <v>Thiamphénicol</v>
      </c>
      <c r="BM319" t="str">
        <f t="shared" si="84"/>
        <v>Thiamphénicol</v>
      </c>
      <c r="BN319" t="str">
        <f t="shared" si="85"/>
        <v/>
      </c>
      <c r="BO319" t="str">
        <f t="shared" si="86"/>
        <v/>
      </c>
      <c r="BP319" t="str">
        <f t="shared" si="89"/>
        <v>Phenicoles</v>
      </c>
      <c r="BQ319" t="str">
        <f t="shared" si="90"/>
        <v>Phenicoles</v>
      </c>
      <c r="BR319" t="str">
        <f t="shared" si="91"/>
        <v/>
      </c>
      <c r="BS319" t="str">
        <f t="shared" si="92"/>
        <v/>
      </c>
      <c r="BT319" s="76" t="str">
        <f t="shared" si="93"/>
        <v>Voie externe</v>
      </c>
      <c r="BU319" t="str">
        <f t="shared" si="94"/>
        <v/>
      </c>
      <c r="CN319">
        <v>318</v>
      </c>
    </row>
    <row r="320" spans="1:92" x14ac:dyDescent="0.3">
      <c r="A320" s="118" t="s">
        <v>3825</v>
      </c>
      <c r="B320" t="s">
        <v>3826</v>
      </c>
      <c r="C320" t="s">
        <v>3334</v>
      </c>
      <c r="D320" s="144" t="s">
        <v>764</v>
      </c>
      <c r="E320" t="s">
        <v>813</v>
      </c>
      <c r="F320" t="s">
        <v>3827</v>
      </c>
      <c r="G320" t="s">
        <v>815</v>
      </c>
      <c r="H320" t="s">
        <v>860</v>
      </c>
      <c r="I320" t="s">
        <v>817</v>
      </c>
      <c r="J320" t="s">
        <v>2070</v>
      </c>
      <c r="K320" t="s">
        <v>787</v>
      </c>
      <c r="L320" t="s">
        <v>1055</v>
      </c>
      <c r="M320" t="s">
        <v>208</v>
      </c>
      <c r="N320" t="s">
        <v>939</v>
      </c>
      <c r="O320" t="s">
        <v>824</v>
      </c>
      <c r="P320" t="s">
        <v>772</v>
      </c>
      <c r="Q320" t="s">
        <v>932</v>
      </c>
      <c r="R320">
        <v>0</v>
      </c>
      <c r="S320">
        <v>0</v>
      </c>
      <c r="T320">
        <v>20</v>
      </c>
      <c r="U320">
        <v>7</v>
      </c>
      <c r="V320">
        <v>0</v>
      </c>
      <c r="W320">
        <v>0</v>
      </c>
      <c r="X320">
        <v>0</v>
      </c>
      <c r="Y320">
        <v>0</v>
      </c>
      <c r="Z320">
        <v>0</v>
      </c>
      <c r="AA320">
        <v>0</v>
      </c>
      <c r="AB320">
        <v>0</v>
      </c>
      <c r="AC320">
        <v>0</v>
      </c>
      <c r="AD320">
        <v>0</v>
      </c>
      <c r="AE320">
        <v>0</v>
      </c>
      <c r="AF320">
        <v>0</v>
      </c>
      <c r="AG320">
        <v>0</v>
      </c>
      <c r="AH320">
        <v>0</v>
      </c>
      <c r="AI320">
        <v>0</v>
      </c>
      <c r="AJ320" t="s">
        <v>2071</v>
      </c>
      <c r="AK320" t="s">
        <v>2072</v>
      </c>
      <c r="AL320" t="s">
        <v>208</v>
      </c>
      <c r="AM320" t="s">
        <v>764</v>
      </c>
      <c r="AN320" t="s">
        <v>824</v>
      </c>
      <c r="AO320" t="s">
        <v>2073</v>
      </c>
      <c r="AP320" t="s">
        <v>2073</v>
      </c>
      <c r="AY320" t="str">
        <f t="shared" si="76"/>
        <v/>
      </c>
      <c r="AZ320" t="str">
        <f>IF(COUNTIF(AY:AY,AY320)=1,AY320,IF(AND(COUNTIF(AY:AY,AY320)&gt;1,COUNTIF(AZ$2:AZ319,AY320)&gt;=1),"",AY320))</f>
        <v/>
      </c>
      <c r="BA320" t="str">
        <f>IF(AZ320="","",COUNTIFS(AZ$3:AZ$1439,"&lt;"&amp;AZ320,AZ$3:AZ$1439,"&lt;&gt;0")+COUNTIF(AZ$3:AZ320,AZ320)-876)</f>
        <v/>
      </c>
      <c r="BC320">
        <v>318</v>
      </c>
      <c r="BD320" t="str">
        <f t="shared" si="87"/>
        <v>NEO 50 FRANVET</v>
      </c>
      <c r="BE320" t="str">
        <f t="shared" si="77"/>
        <v>ORAL</v>
      </c>
      <c r="BF320" t="str">
        <f t="shared" si="78"/>
        <v>AMINOGLYCOSIDES</v>
      </c>
      <c r="BG320" t="str">
        <f t="shared" si="79"/>
        <v/>
      </c>
      <c r="BH320" t="str">
        <f t="shared" si="80"/>
        <v/>
      </c>
      <c r="BI320" t="str">
        <f t="shared" si="81"/>
        <v>neomycin</v>
      </c>
      <c r="BJ320" t="str">
        <f t="shared" si="82"/>
        <v/>
      </c>
      <c r="BK320" t="str">
        <f t="shared" si="83"/>
        <v/>
      </c>
      <c r="BL320" t="str">
        <f t="shared" si="88"/>
        <v>Néomycine</v>
      </c>
      <c r="BM320" t="str">
        <f t="shared" si="84"/>
        <v>Néomycine</v>
      </c>
      <c r="BN320" t="str">
        <f t="shared" si="85"/>
        <v/>
      </c>
      <c r="BO320" t="str">
        <f t="shared" si="86"/>
        <v/>
      </c>
      <c r="BP320" t="str">
        <f t="shared" si="89"/>
        <v>Aminoglycosides</v>
      </c>
      <c r="BQ320" t="str">
        <f t="shared" si="90"/>
        <v>Aminoglycosides</v>
      </c>
      <c r="BR320" t="str">
        <f t="shared" si="91"/>
        <v/>
      </c>
      <c r="BS320" t="str">
        <f t="shared" si="92"/>
        <v/>
      </c>
      <c r="BT320" s="76" t="str">
        <f t="shared" si="93"/>
        <v>Voie orale  hors prémélanges médicamenteux</v>
      </c>
      <c r="BU320" t="str">
        <f t="shared" si="94"/>
        <v/>
      </c>
      <c r="CN320">
        <v>319</v>
      </c>
    </row>
    <row r="321" spans="1:92" x14ac:dyDescent="0.3">
      <c r="A321" s="118" t="s">
        <v>3825</v>
      </c>
      <c r="B321" t="s">
        <v>3828</v>
      </c>
      <c r="C321" t="s">
        <v>3829</v>
      </c>
      <c r="D321" s="144" t="s">
        <v>764</v>
      </c>
      <c r="E321" t="s">
        <v>813</v>
      </c>
      <c r="F321" t="s">
        <v>3827</v>
      </c>
      <c r="G321" t="s">
        <v>815</v>
      </c>
      <c r="H321" t="s">
        <v>860</v>
      </c>
      <c r="I321" t="s">
        <v>817</v>
      </c>
      <c r="J321" t="s">
        <v>2070</v>
      </c>
      <c r="K321" t="s">
        <v>787</v>
      </c>
      <c r="L321" t="s">
        <v>1055</v>
      </c>
      <c r="M321" t="s">
        <v>208</v>
      </c>
      <c r="N321" t="s">
        <v>939</v>
      </c>
      <c r="O321" t="s">
        <v>824</v>
      </c>
      <c r="P321" t="s">
        <v>772</v>
      </c>
      <c r="Q321" t="s">
        <v>932</v>
      </c>
      <c r="R321">
        <v>0</v>
      </c>
      <c r="S321">
        <v>0</v>
      </c>
      <c r="T321">
        <v>20</v>
      </c>
      <c r="U321">
        <v>7</v>
      </c>
      <c r="V321">
        <v>0</v>
      </c>
      <c r="W321">
        <v>0</v>
      </c>
      <c r="X321">
        <v>0</v>
      </c>
      <c r="Y321">
        <v>0</v>
      </c>
      <c r="Z321">
        <v>0</v>
      </c>
      <c r="AA321">
        <v>0</v>
      </c>
      <c r="AB321">
        <v>0</v>
      </c>
      <c r="AC321">
        <v>0</v>
      </c>
      <c r="AD321">
        <v>0</v>
      </c>
      <c r="AE321">
        <v>0</v>
      </c>
      <c r="AF321">
        <v>0</v>
      </c>
      <c r="AG321">
        <v>0</v>
      </c>
      <c r="AH321">
        <v>0</v>
      </c>
      <c r="AI321">
        <v>0</v>
      </c>
      <c r="AJ321" t="s">
        <v>2071</v>
      </c>
      <c r="AK321" t="s">
        <v>2072</v>
      </c>
      <c r="AL321" t="s">
        <v>208</v>
      </c>
      <c r="AM321" t="s">
        <v>764</v>
      </c>
      <c r="AN321" t="s">
        <v>824</v>
      </c>
      <c r="AO321" t="s">
        <v>2073</v>
      </c>
      <c r="AP321" t="s">
        <v>2073</v>
      </c>
      <c r="AY321" t="str">
        <f t="shared" si="76"/>
        <v/>
      </c>
      <c r="AZ321" t="str">
        <f>IF(COUNTIF(AY:AY,AY321)=1,AY321,IF(AND(COUNTIF(AY:AY,AY321)&gt;1,COUNTIF(AZ$2:AZ320,AY321)&gt;=1),"",AY321))</f>
        <v/>
      </c>
      <c r="BA321" t="str">
        <f>IF(AZ321="","",COUNTIFS(AZ$3:AZ$1439,"&lt;"&amp;AZ321,AZ$3:AZ$1439,"&lt;&gt;0")+COUNTIF(AZ$3:AZ321,AZ321)-876)</f>
        <v/>
      </c>
      <c r="BC321">
        <v>319</v>
      </c>
      <c r="BD321" t="str">
        <f t="shared" si="87"/>
        <v>NEOACTIVE</v>
      </c>
      <c r="BE321" t="str">
        <f t="shared" si="77"/>
        <v>ORAL</v>
      </c>
      <c r="BF321" t="str">
        <f t="shared" si="78"/>
        <v>AMINOGLYCOSIDES</v>
      </c>
      <c r="BG321" t="str">
        <f t="shared" si="79"/>
        <v/>
      </c>
      <c r="BH321" t="str">
        <f t="shared" si="80"/>
        <v/>
      </c>
      <c r="BI321" t="str">
        <f t="shared" si="81"/>
        <v>neomycin</v>
      </c>
      <c r="BJ321" t="str">
        <f t="shared" si="82"/>
        <v/>
      </c>
      <c r="BK321" t="str">
        <f t="shared" si="83"/>
        <v/>
      </c>
      <c r="BL321" t="str">
        <f t="shared" si="88"/>
        <v>Néomycine</v>
      </c>
      <c r="BM321" t="str">
        <f t="shared" si="84"/>
        <v>Néomycine</v>
      </c>
      <c r="BN321" t="str">
        <f t="shared" si="85"/>
        <v/>
      </c>
      <c r="BO321" t="str">
        <f t="shared" si="86"/>
        <v/>
      </c>
      <c r="BP321" t="str">
        <f t="shared" si="89"/>
        <v>Aminoglycosides</v>
      </c>
      <c r="BQ321" t="str">
        <f t="shared" si="90"/>
        <v>Aminoglycosides</v>
      </c>
      <c r="BR321" t="str">
        <f t="shared" si="91"/>
        <v/>
      </c>
      <c r="BS321" t="str">
        <f t="shared" si="92"/>
        <v/>
      </c>
      <c r="BT321" s="76" t="str">
        <f t="shared" si="93"/>
        <v>Voie orale  hors prémélanges médicamenteux</v>
      </c>
      <c r="BU321" t="str">
        <f t="shared" si="94"/>
        <v/>
      </c>
      <c r="CN321">
        <v>320</v>
      </c>
    </row>
    <row r="322" spans="1:92" x14ac:dyDescent="0.3">
      <c r="A322" s="118" t="s">
        <v>3695</v>
      </c>
      <c r="B322" t="s">
        <v>3696</v>
      </c>
      <c r="C322" t="s">
        <v>3692</v>
      </c>
      <c r="D322" s="144" t="s">
        <v>1132</v>
      </c>
      <c r="E322" t="s">
        <v>813</v>
      </c>
      <c r="F322" t="s">
        <v>3697</v>
      </c>
      <c r="G322" t="s">
        <v>815</v>
      </c>
      <c r="H322" t="s">
        <v>860</v>
      </c>
      <c r="I322" t="s">
        <v>817</v>
      </c>
      <c r="J322" t="s">
        <v>2070</v>
      </c>
      <c r="K322" t="s">
        <v>787</v>
      </c>
      <c r="L322" t="s">
        <v>1055</v>
      </c>
      <c r="M322" t="s">
        <v>208</v>
      </c>
      <c r="N322" t="s">
        <v>864</v>
      </c>
      <c r="O322" t="s">
        <v>824</v>
      </c>
      <c r="P322" t="s">
        <v>772</v>
      </c>
      <c r="Q322" t="s">
        <v>1361</v>
      </c>
      <c r="R322">
        <v>0</v>
      </c>
      <c r="S322">
        <v>0</v>
      </c>
      <c r="T322">
        <v>20</v>
      </c>
      <c r="U322">
        <v>7</v>
      </c>
      <c r="V322">
        <v>0</v>
      </c>
      <c r="W322">
        <v>0</v>
      </c>
      <c r="X322">
        <v>0</v>
      </c>
      <c r="Y322">
        <v>0</v>
      </c>
      <c r="Z322">
        <v>0</v>
      </c>
      <c r="AA322">
        <v>0</v>
      </c>
      <c r="AB322">
        <v>0</v>
      </c>
      <c r="AC322">
        <v>0</v>
      </c>
      <c r="AD322">
        <v>0</v>
      </c>
      <c r="AE322">
        <v>0</v>
      </c>
      <c r="AF322">
        <v>0</v>
      </c>
      <c r="AG322">
        <v>0</v>
      </c>
      <c r="AH322">
        <v>0</v>
      </c>
      <c r="AI322">
        <v>0</v>
      </c>
      <c r="AJ322" t="s">
        <v>2071</v>
      </c>
      <c r="AK322" t="s">
        <v>2072</v>
      </c>
      <c r="AL322" t="s">
        <v>208</v>
      </c>
      <c r="AM322" t="s">
        <v>780</v>
      </c>
      <c r="AN322" t="s">
        <v>824</v>
      </c>
      <c r="AO322" t="s">
        <v>2073</v>
      </c>
      <c r="AP322" t="s">
        <v>2073</v>
      </c>
      <c r="AY322" t="str">
        <f t="shared" si="76"/>
        <v/>
      </c>
      <c r="AZ322" t="str">
        <f>IF(COUNTIF(AY:AY,AY322)=1,AY322,IF(AND(COUNTIF(AY:AY,AY322)&gt;1,COUNTIF(AZ$2:AZ321,AY322)&gt;=1),"",AY322))</f>
        <v/>
      </c>
      <c r="BA322" t="str">
        <f>IF(AZ322="","",COUNTIFS(AZ$3:AZ$1439,"&lt;"&amp;AZ322,AZ$3:AZ$1439,"&lt;&gt;0")+COUNTIF(AZ$3:AZ322,AZ322)-876)</f>
        <v/>
      </c>
      <c r="BC322">
        <v>320</v>
      </c>
      <c r="BD322" t="str">
        <f t="shared" si="87"/>
        <v>NEOMAY</v>
      </c>
      <c r="BE322" t="str">
        <f t="shared" si="77"/>
        <v>ORAL</v>
      </c>
      <c r="BF322" t="str">
        <f t="shared" si="78"/>
        <v>AMINOGLYCOSIDES</v>
      </c>
      <c r="BG322" t="str">
        <f t="shared" si="79"/>
        <v/>
      </c>
      <c r="BH322" t="str">
        <f t="shared" si="80"/>
        <v/>
      </c>
      <c r="BI322" t="str">
        <f t="shared" si="81"/>
        <v>neomycin</v>
      </c>
      <c r="BJ322" t="str">
        <f t="shared" si="82"/>
        <v/>
      </c>
      <c r="BK322" t="str">
        <f t="shared" si="83"/>
        <v/>
      </c>
      <c r="BL322" t="str">
        <f t="shared" si="88"/>
        <v>Néomycine</v>
      </c>
      <c r="BM322" t="str">
        <f t="shared" si="84"/>
        <v>Néomycine</v>
      </c>
      <c r="BN322" t="str">
        <f t="shared" si="85"/>
        <v/>
      </c>
      <c r="BO322" t="str">
        <f t="shared" si="86"/>
        <v/>
      </c>
      <c r="BP322" t="str">
        <f t="shared" si="89"/>
        <v>Aminoglycosides</v>
      </c>
      <c r="BQ322" t="str">
        <f t="shared" si="90"/>
        <v>Aminoglycosides</v>
      </c>
      <c r="BR322" t="str">
        <f t="shared" si="91"/>
        <v/>
      </c>
      <c r="BS322" t="str">
        <f t="shared" si="92"/>
        <v/>
      </c>
      <c r="BT322" s="76" t="str">
        <f t="shared" si="93"/>
        <v>Voie orale  hors prémélanges médicamenteux</v>
      </c>
      <c r="BU322" t="str">
        <f t="shared" si="94"/>
        <v/>
      </c>
      <c r="CN322">
        <v>321</v>
      </c>
    </row>
    <row r="323" spans="1:92" x14ac:dyDescent="0.3">
      <c r="A323" s="118" t="s">
        <v>3695</v>
      </c>
      <c r="B323" t="s">
        <v>3698</v>
      </c>
      <c r="C323" t="s">
        <v>3692</v>
      </c>
      <c r="D323" s="144" t="s">
        <v>1132</v>
      </c>
      <c r="E323" t="s">
        <v>813</v>
      </c>
      <c r="F323" t="s">
        <v>3697</v>
      </c>
      <c r="G323" t="s">
        <v>815</v>
      </c>
      <c r="H323" t="s">
        <v>860</v>
      </c>
      <c r="I323" t="s">
        <v>817</v>
      </c>
      <c r="J323" t="s">
        <v>2070</v>
      </c>
      <c r="K323" t="s">
        <v>787</v>
      </c>
      <c r="L323" t="s">
        <v>1055</v>
      </c>
      <c r="M323" t="s">
        <v>208</v>
      </c>
      <c r="N323" t="s">
        <v>864</v>
      </c>
      <c r="O323" t="s">
        <v>824</v>
      </c>
      <c r="P323" t="s">
        <v>772</v>
      </c>
      <c r="Q323" t="s">
        <v>1361</v>
      </c>
      <c r="R323">
        <v>0</v>
      </c>
      <c r="S323">
        <v>0</v>
      </c>
      <c r="T323">
        <v>20</v>
      </c>
      <c r="U323">
        <v>7</v>
      </c>
      <c r="V323">
        <v>0</v>
      </c>
      <c r="W323">
        <v>0</v>
      </c>
      <c r="X323">
        <v>0</v>
      </c>
      <c r="Y323">
        <v>0</v>
      </c>
      <c r="Z323">
        <v>0</v>
      </c>
      <c r="AA323">
        <v>0</v>
      </c>
      <c r="AB323">
        <v>0</v>
      </c>
      <c r="AC323">
        <v>0</v>
      </c>
      <c r="AD323">
        <v>0</v>
      </c>
      <c r="AE323">
        <v>0</v>
      </c>
      <c r="AF323">
        <v>0</v>
      </c>
      <c r="AG323">
        <v>0</v>
      </c>
      <c r="AH323">
        <v>0</v>
      </c>
      <c r="AI323">
        <v>0</v>
      </c>
      <c r="AJ323" t="s">
        <v>2071</v>
      </c>
      <c r="AK323" t="s">
        <v>2072</v>
      </c>
      <c r="AL323" t="s">
        <v>208</v>
      </c>
      <c r="AM323" t="s">
        <v>780</v>
      </c>
      <c r="AN323" t="s">
        <v>824</v>
      </c>
      <c r="AO323" t="s">
        <v>2073</v>
      </c>
      <c r="AP323" t="s">
        <v>2073</v>
      </c>
      <c r="AY323" t="str">
        <f t="shared" ref="AY323:AY386" si="95">IF(INDEX(CK$3:CL$174,MATCH(H323,CK$3:CK$174,0),2)="x",F323,"")</f>
        <v/>
      </c>
      <c r="AZ323" t="str">
        <f>IF(COUNTIF(AY:AY,AY323)=1,AY323,IF(AND(COUNTIF(AY:AY,AY323)&gt;1,COUNTIF(AZ$2:AZ322,AY323)&gt;=1),"",AY323))</f>
        <v/>
      </c>
      <c r="BA323" t="str">
        <f>IF(AZ323="","",COUNTIFS(AZ$3:AZ$1439,"&lt;"&amp;AZ323,AZ$3:AZ$1439,"&lt;&gt;0")+COUNTIF(AZ$3:AZ323,AZ323)-876)</f>
        <v/>
      </c>
      <c r="BC323">
        <v>321</v>
      </c>
      <c r="BD323" t="str">
        <f t="shared" si="87"/>
        <v>NEOMYCINE 40 LAPIN-VOLAILLE-PORC ET AGNEAU-CHEVREAU SEVRES</v>
      </c>
      <c r="BE323" t="str">
        <f t="shared" ref="BE323:BE386" si="96">IFERROR(INDEX(F:AR,MATCH(BD323,F:F,0),4),"")</f>
        <v>PM</v>
      </c>
      <c r="BF323" t="str">
        <f t="shared" ref="BF323:BF386" si="97">IFERROR(INDEX(F:AR,MATCH(BD323,F:F,0),6),"")</f>
        <v>AMINOGLYCOSIDES</v>
      </c>
      <c r="BG323" t="str">
        <f t="shared" ref="BG323:BG386" si="98">IFERROR(IF(INDEX(F:AR,MATCH(BD323,F:F,0),31)=0,"",INDEX(F:AR,MATCH(BD323,F:F,0),31)),"")</f>
        <v/>
      </c>
      <c r="BH323" t="str">
        <f t="shared" ref="BH323:BH386" si="99">IFERROR(IF(INDEX(F:AR,MATCH(BD323,F:F,0),38)=0,"",INDEX(F:AR,MATCH(BD323,F:F,0),38)),"")</f>
        <v/>
      </c>
      <c r="BI323" t="str">
        <f t="shared" ref="BI323:BI386" si="100">+IFERROR(IF(INDEX(F:AR,MATCH(BD323,F:F,0),7)=0,"",INDEX(F:AR,MATCH(BD323,F:F,0),7)),"")</f>
        <v>neomycin</v>
      </c>
      <c r="BJ323" t="str">
        <f t="shared" ref="BJ323:BJ386" si="101">IFERROR(IF(INDEX(F:AR,MATCH(BD323,F:F,0),32)=0,"",INDEX(F:AR,MATCH(BD323,F:F,0),32)),"")</f>
        <v/>
      </c>
      <c r="BK323" t="str">
        <f t="shared" ref="BK323:BK386" si="102">IFERROR(IF(INDEX(F:AR,MATCH(BD323,F:F,0),39)=0,"",INDEX(F:AR,MATCH(BD323,F:F,0),39)),"")</f>
        <v/>
      </c>
      <c r="BL323" t="str">
        <f t="shared" si="88"/>
        <v>Néomycine</v>
      </c>
      <c r="BM323" t="str">
        <f t="shared" ref="BM323:BM386" si="103">IFERROR(INDEX(BZ$3:CA$63,MATCH(BI323,BZ$3:BZ$63,0),2),"")</f>
        <v>Néomycine</v>
      </c>
      <c r="BN323" t="str">
        <f t="shared" ref="BN323:BN386" si="104">IFERROR(INDEX(BZ$3:CA$63,MATCH(BJ323,BZ$3:BZ$63,0),2),"")</f>
        <v/>
      </c>
      <c r="BO323" t="str">
        <f t="shared" ref="BO323:BO386" si="105">IFERROR(INDEX(BZ$3:CA$63,MATCH(BK323,BZ$3:BZ$63,0),2),"")</f>
        <v/>
      </c>
      <c r="BP323" t="str">
        <f t="shared" si="89"/>
        <v>Aminoglycosides</v>
      </c>
      <c r="BQ323" t="str">
        <f t="shared" si="90"/>
        <v>Aminoglycosides</v>
      </c>
      <c r="BR323" t="str">
        <f t="shared" si="91"/>
        <v/>
      </c>
      <c r="BS323" t="str">
        <f t="shared" si="92"/>
        <v/>
      </c>
      <c r="BT323" s="76" t="str">
        <f t="shared" si="93"/>
        <v>Prémélanges médicamenteux</v>
      </c>
      <c r="BU323" t="str">
        <f t="shared" si="94"/>
        <v/>
      </c>
      <c r="CN323">
        <v>322</v>
      </c>
    </row>
    <row r="324" spans="1:92" x14ac:dyDescent="0.3">
      <c r="A324" s="118" t="s">
        <v>3695</v>
      </c>
      <c r="B324" t="s">
        <v>4538</v>
      </c>
      <c r="C324" t="s">
        <v>4537</v>
      </c>
      <c r="D324" s="144" t="s">
        <v>785</v>
      </c>
      <c r="E324" t="s">
        <v>813</v>
      </c>
      <c r="F324" t="s">
        <v>3697</v>
      </c>
      <c r="G324" t="s">
        <v>815</v>
      </c>
      <c r="H324" t="s">
        <v>860</v>
      </c>
      <c r="I324" t="s">
        <v>817</v>
      </c>
      <c r="J324" t="s">
        <v>2070</v>
      </c>
      <c r="K324" t="s">
        <v>787</v>
      </c>
      <c r="L324" t="s">
        <v>1055</v>
      </c>
      <c r="M324" t="s">
        <v>208</v>
      </c>
      <c r="N324" t="s">
        <v>864</v>
      </c>
      <c r="O324" t="s">
        <v>824</v>
      </c>
      <c r="P324" t="s">
        <v>772</v>
      </c>
      <c r="Q324" t="s">
        <v>1132</v>
      </c>
      <c r="R324">
        <v>0</v>
      </c>
      <c r="S324">
        <v>0</v>
      </c>
      <c r="T324">
        <v>20</v>
      </c>
      <c r="U324">
        <v>7</v>
      </c>
      <c r="V324">
        <v>0</v>
      </c>
      <c r="W324">
        <v>0</v>
      </c>
      <c r="X324">
        <v>0</v>
      </c>
      <c r="Y324">
        <v>0</v>
      </c>
      <c r="Z324">
        <v>0</v>
      </c>
      <c r="AA324">
        <v>0</v>
      </c>
      <c r="AB324">
        <v>0</v>
      </c>
      <c r="AC324">
        <v>0</v>
      </c>
      <c r="AD324">
        <v>0</v>
      </c>
      <c r="AE324">
        <v>0</v>
      </c>
      <c r="AF324">
        <v>0</v>
      </c>
      <c r="AG324">
        <v>0</v>
      </c>
      <c r="AH324">
        <v>0</v>
      </c>
      <c r="AI324">
        <v>0</v>
      </c>
      <c r="AJ324" t="s">
        <v>2071</v>
      </c>
      <c r="AK324" t="s">
        <v>2072</v>
      </c>
      <c r="AL324" t="s">
        <v>208</v>
      </c>
      <c r="AM324" t="s">
        <v>780</v>
      </c>
      <c r="AN324" t="s">
        <v>824</v>
      </c>
      <c r="AO324" t="s">
        <v>2073</v>
      </c>
      <c r="AP324" t="s">
        <v>2073</v>
      </c>
      <c r="AY324" t="str">
        <f t="shared" si="95"/>
        <v/>
      </c>
      <c r="AZ324" t="str">
        <f>IF(COUNTIF(AY:AY,AY324)=1,AY324,IF(AND(COUNTIF(AY:AY,AY324)&gt;1,COUNTIF(AZ$2:AZ323,AY324)&gt;=1),"",AY324))</f>
        <v/>
      </c>
      <c r="BA324" t="str">
        <f>IF(AZ324="","",COUNTIFS(AZ$3:AZ$1439,"&lt;"&amp;AZ324,AZ$3:AZ$1439,"&lt;&gt;0")+COUNTIF(AZ$3:AZ324,AZ324)-876)</f>
        <v/>
      </c>
      <c r="BC324">
        <v>322</v>
      </c>
      <c r="BD324" t="str">
        <f t="shared" ref="BD324:BD387" si="106">IFERROR(INDEX(AZ:BA,MATCH(BC324,BA:BA,0),1),"")</f>
        <v>NEOMYCINE 50 % VIRBAC</v>
      </c>
      <c r="BE324" t="str">
        <f t="shared" si="96"/>
        <v>ORAL</v>
      </c>
      <c r="BF324" t="str">
        <f t="shared" si="97"/>
        <v>AMINOGLYCOSIDES</v>
      </c>
      <c r="BG324" t="str">
        <f t="shared" si="98"/>
        <v/>
      </c>
      <c r="BH324" t="str">
        <f t="shared" si="99"/>
        <v/>
      </c>
      <c r="BI324" t="str">
        <f t="shared" si="100"/>
        <v>neomycin</v>
      </c>
      <c r="BJ324" t="str">
        <f t="shared" si="101"/>
        <v/>
      </c>
      <c r="BK324" t="str">
        <f t="shared" si="102"/>
        <v/>
      </c>
      <c r="BL324" t="str">
        <f t="shared" ref="BL324:BL387" si="107">IF(3-COUNTBLANK(BM324:BO324)=1,BM324,IF(3-COUNTBLANK(BM324:BO324)=2,BM324&amp;" + "&amp;BN324,IF(3-COUNTBLANK(BM324:BO324)=3,BM324&amp;" + "&amp;BN324&amp;" + "&amp;BO324,"")))</f>
        <v>Néomycine</v>
      </c>
      <c r="BM324" t="str">
        <f t="shared" si="103"/>
        <v>Néomycine</v>
      </c>
      <c r="BN324" t="str">
        <f t="shared" si="104"/>
        <v/>
      </c>
      <c r="BO324" t="str">
        <f t="shared" si="105"/>
        <v/>
      </c>
      <c r="BP324" t="str">
        <f t="shared" ref="BP324:BP387" si="108">IF(3-COUNTBLANK(BQ324:BS324)=1,BQ324,IF(3-COUNTBLANK(BQ324:BS324)=2,IF(BQ324=BR324,BQ324,BQ324&amp;" + "&amp;BR324),IF(3-COUNTBLANK(BQ324:BS324)=3,IF(BQ324=BR324,BQ324,IF(BQ324=BS324,BQ324,IF(BR324=BS324,BR324,IF(AND(BQ324=BR324,BQ324=BS324),BQ324,BQ324&amp;" + "&amp;BR324&amp;" + "&amp;BS324)))))))</f>
        <v>Aminoglycosides</v>
      </c>
      <c r="BQ324" t="str">
        <f t="shared" ref="BQ324:BQ387" si="109">IFERROR(INDEX(BW$3:BX$18,MATCH(BF324,BW$3:BW$18,0),2),"")</f>
        <v>Aminoglycosides</v>
      </c>
      <c r="BR324" t="str">
        <f t="shared" ref="BR324:BR387" si="110">IFERROR(INDEX(BW$3:BX$18,MATCH(BG324,BW$3:BW$18,0),2),"")</f>
        <v/>
      </c>
      <c r="BS324" t="str">
        <f t="shared" ref="BS324:BS387" si="111">IFERROR(INDEX(BW$3:BX$18,MATCH(BH324,BW$3:BW$18,0),2),"")</f>
        <v/>
      </c>
      <c r="BT324" s="76" t="str">
        <f t="shared" ref="BT324:BT387" si="112">IFERROR(INDEX(CD$3:CE$9,MATCH(BE324,CD$3:CD$9,0),2),"")</f>
        <v>Voie orale  hors prémélanges médicamenteux</v>
      </c>
      <c r="BU324" t="str">
        <f t="shared" ref="BU324:BU387" si="113">IF(BM324="Colistine","x",IF(BN324="Colistine","x",IF(BO324="Colistine","x",IF(BQ324="Fluoroquinolones","x",IF(BR324="Fluoroquinolones","x",IF(BS324="Fluoroquinolones","x",IF(BQ324="Cephalosporines 3&amp;4G","x",IF(BR324="Cephalosporines 3&amp;4G","x",IF(BS324="Cephalosporines 3&amp;4G","x","")))))))))</f>
        <v/>
      </c>
      <c r="CN324">
        <v>323</v>
      </c>
    </row>
    <row r="325" spans="1:92" x14ac:dyDescent="0.3">
      <c r="A325" s="118" t="s">
        <v>3690</v>
      </c>
      <c r="B325" t="s">
        <v>3691</v>
      </c>
      <c r="C325" t="s">
        <v>3692</v>
      </c>
      <c r="D325" s="144" t="s">
        <v>1132</v>
      </c>
      <c r="E325" t="s">
        <v>813</v>
      </c>
      <c r="F325" t="s">
        <v>3693</v>
      </c>
      <c r="G325" t="s">
        <v>815</v>
      </c>
      <c r="H325" t="s">
        <v>816</v>
      </c>
      <c r="I325" t="s">
        <v>817</v>
      </c>
      <c r="J325" t="s">
        <v>2070</v>
      </c>
      <c r="K325" t="s">
        <v>787</v>
      </c>
      <c r="L325" t="s">
        <v>1055</v>
      </c>
      <c r="M325" t="s">
        <v>208</v>
      </c>
      <c r="N325" t="s">
        <v>932</v>
      </c>
      <c r="O325" t="s">
        <v>824</v>
      </c>
      <c r="P325" t="s">
        <v>772</v>
      </c>
      <c r="Q325" t="s">
        <v>3000</v>
      </c>
      <c r="R325">
        <v>0</v>
      </c>
      <c r="S325">
        <v>0</v>
      </c>
      <c r="T325">
        <v>20</v>
      </c>
      <c r="U325">
        <v>7</v>
      </c>
      <c r="V325">
        <v>0</v>
      </c>
      <c r="W325">
        <v>0</v>
      </c>
      <c r="X325">
        <v>0</v>
      </c>
      <c r="Y325">
        <v>0</v>
      </c>
      <c r="Z325">
        <v>0</v>
      </c>
      <c r="AA325">
        <v>0</v>
      </c>
      <c r="AB325">
        <v>0</v>
      </c>
      <c r="AC325">
        <v>0</v>
      </c>
      <c r="AD325">
        <v>0</v>
      </c>
      <c r="AE325">
        <v>0</v>
      </c>
      <c r="AF325">
        <v>0</v>
      </c>
      <c r="AG325">
        <v>0</v>
      </c>
      <c r="AH325">
        <v>0</v>
      </c>
      <c r="AI325">
        <v>0</v>
      </c>
      <c r="AJ325" t="s">
        <v>2071</v>
      </c>
      <c r="AK325" t="s">
        <v>2072</v>
      </c>
      <c r="AL325" t="s">
        <v>208</v>
      </c>
      <c r="AM325" t="s">
        <v>852</v>
      </c>
      <c r="AN325" t="s">
        <v>824</v>
      </c>
      <c r="AO325" t="s">
        <v>2073</v>
      </c>
      <c r="AP325" t="s">
        <v>2073</v>
      </c>
      <c r="AY325" t="str">
        <f t="shared" si="95"/>
        <v/>
      </c>
      <c r="AZ325" t="str">
        <f>IF(COUNTIF(AY:AY,AY325)=1,AY325,IF(AND(COUNTIF(AY:AY,AY325)&gt;1,COUNTIF(AZ$2:AZ324,AY325)&gt;=1),"",AY325))</f>
        <v/>
      </c>
      <c r="BA325" t="str">
        <f>IF(AZ325="","",COUNTIFS(AZ$3:AZ$1439,"&lt;"&amp;AZ325,AZ$3:AZ$1439,"&lt;&gt;0")+COUNTIF(AZ$3:AZ325,AZ325)-876)</f>
        <v/>
      </c>
      <c r="BC325">
        <v>323</v>
      </c>
      <c r="BD325" t="str">
        <f t="shared" si="106"/>
        <v>NEOMYCINE 50 COOPHAVET</v>
      </c>
      <c r="BE325" t="str">
        <f t="shared" si="96"/>
        <v>ORAL</v>
      </c>
      <c r="BF325" t="str">
        <f t="shared" si="97"/>
        <v>AMINOGLYCOSIDES</v>
      </c>
      <c r="BG325" t="str">
        <f t="shared" si="98"/>
        <v/>
      </c>
      <c r="BH325" t="str">
        <f t="shared" si="99"/>
        <v/>
      </c>
      <c r="BI325" t="str">
        <f t="shared" si="100"/>
        <v>neomycin</v>
      </c>
      <c r="BJ325" t="str">
        <f t="shared" si="101"/>
        <v/>
      </c>
      <c r="BK325" t="str">
        <f t="shared" si="102"/>
        <v/>
      </c>
      <c r="BL325" t="str">
        <f t="shared" si="107"/>
        <v>Néomycine</v>
      </c>
      <c r="BM325" t="str">
        <f t="shared" si="103"/>
        <v>Néomycine</v>
      </c>
      <c r="BN325" t="str">
        <f t="shared" si="104"/>
        <v/>
      </c>
      <c r="BO325" t="str">
        <f t="shared" si="105"/>
        <v/>
      </c>
      <c r="BP325" t="str">
        <f t="shared" si="108"/>
        <v>Aminoglycosides</v>
      </c>
      <c r="BQ325" t="str">
        <f t="shared" si="109"/>
        <v>Aminoglycosides</v>
      </c>
      <c r="BR325" t="str">
        <f t="shared" si="110"/>
        <v/>
      </c>
      <c r="BS325" t="str">
        <f t="shared" si="111"/>
        <v/>
      </c>
      <c r="BT325" s="76" t="str">
        <f t="shared" si="112"/>
        <v>Voie orale  hors prémélanges médicamenteux</v>
      </c>
      <c r="BU325" t="str">
        <f t="shared" si="113"/>
        <v/>
      </c>
      <c r="CN325">
        <v>324</v>
      </c>
    </row>
    <row r="326" spans="1:92" x14ac:dyDescent="0.3">
      <c r="A326" s="118" t="s">
        <v>3690</v>
      </c>
      <c r="B326" t="s">
        <v>3694</v>
      </c>
      <c r="C326" t="s">
        <v>3692</v>
      </c>
      <c r="D326" s="144" t="s">
        <v>1132</v>
      </c>
      <c r="E326" t="s">
        <v>813</v>
      </c>
      <c r="F326" t="s">
        <v>3693</v>
      </c>
      <c r="G326" t="s">
        <v>815</v>
      </c>
      <c r="H326" t="s">
        <v>816</v>
      </c>
      <c r="I326" t="s">
        <v>817</v>
      </c>
      <c r="J326" t="s">
        <v>2070</v>
      </c>
      <c r="K326" t="s">
        <v>787</v>
      </c>
      <c r="L326" t="s">
        <v>1055</v>
      </c>
      <c r="M326" t="s">
        <v>208</v>
      </c>
      <c r="N326" t="s">
        <v>932</v>
      </c>
      <c r="O326" t="s">
        <v>824</v>
      </c>
      <c r="P326" t="s">
        <v>772</v>
      </c>
      <c r="Q326" t="s">
        <v>3000</v>
      </c>
      <c r="R326">
        <v>0</v>
      </c>
      <c r="S326">
        <v>0</v>
      </c>
      <c r="T326">
        <v>20</v>
      </c>
      <c r="U326">
        <v>7</v>
      </c>
      <c r="V326">
        <v>0</v>
      </c>
      <c r="W326">
        <v>0</v>
      </c>
      <c r="X326">
        <v>0</v>
      </c>
      <c r="Y326">
        <v>0</v>
      </c>
      <c r="Z326">
        <v>0</v>
      </c>
      <c r="AA326">
        <v>0</v>
      </c>
      <c r="AB326">
        <v>0</v>
      </c>
      <c r="AC326">
        <v>0</v>
      </c>
      <c r="AD326">
        <v>0</v>
      </c>
      <c r="AE326">
        <v>0</v>
      </c>
      <c r="AF326">
        <v>0</v>
      </c>
      <c r="AG326">
        <v>0</v>
      </c>
      <c r="AH326">
        <v>0</v>
      </c>
      <c r="AI326">
        <v>0</v>
      </c>
      <c r="AJ326" t="s">
        <v>2071</v>
      </c>
      <c r="AK326" t="s">
        <v>2072</v>
      </c>
      <c r="AL326" t="s">
        <v>208</v>
      </c>
      <c r="AM326" t="s">
        <v>852</v>
      </c>
      <c r="AN326" t="s">
        <v>824</v>
      </c>
      <c r="AO326" t="s">
        <v>2073</v>
      </c>
      <c r="AP326" t="s">
        <v>2073</v>
      </c>
      <c r="AY326" t="str">
        <f t="shared" si="95"/>
        <v/>
      </c>
      <c r="AZ326" t="str">
        <f>IF(COUNTIF(AY:AY,AY326)=1,AY326,IF(AND(COUNTIF(AY:AY,AY326)&gt;1,COUNTIF(AZ$2:AZ325,AY326)&gt;=1),"",AY326))</f>
        <v/>
      </c>
      <c r="BA326" t="str">
        <f>IF(AZ326="","",COUNTIFS(AZ$3:AZ$1439,"&lt;"&amp;AZ326,AZ$3:AZ$1439,"&lt;&gt;0")+COUNTIF(AZ$3:AZ326,AZ326)-876)</f>
        <v/>
      </c>
      <c r="BC326">
        <v>324</v>
      </c>
      <c r="BD326" t="str">
        <f t="shared" si="106"/>
        <v>NEOXYNE</v>
      </c>
      <c r="BE326" t="str">
        <f t="shared" si="96"/>
        <v>ORAL</v>
      </c>
      <c r="BF326" t="str">
        <f t="shared" si="97"/>
        <v>AMINOGLYCOSIDES</v>
      </c>
      <c r="BG326" t="str">
        <f t="shared" si="98"/>
        <v>TETRACYCLINES</v>
      </c>
      <c r="BH326" t="str">
        <f t="shared" si="99"/>
        <v/>
      </c>
      <c r="BI326" t="str">
        <f t="shared" si="100"/>
        <v>neomycin</v>
      </c>
      <c r="BJ326" t="str">
        <f t="shared" si="101"/>
        <v>oxytetracycline</v>
      </c>
      <c r="BK326" t="str">
        <f t="shared" si="102"/>
        <v/>
      </c>
      <c r="BL326" t="str">
        <f t="shared" si="107"/>
        <v>Néomycine + Oxytétracycline</v>
      </c>
      <c r="BM326" t="str">
        <f t="shared" si="103"/>
        <v>Néomycine</v>
      </c>
      <c r="BN326" t="str">
        <f t="shared" si="104"/>
        <v>Oxytétracycline</v>
      </c>
      <c r="BO326" t="str">
        <f t="shared" si="105"/>
        <v/>
      </c>
      <c r="BP326" t="str">
        <f t="shared" si="108"/>
        <v>Aminoglycosides + Tetracyclines</v>
      </c>
      <c r="BQ326" t="str">
        <f t="shared" si="109"/>
        <v>Aminoglycosides</v>
      </c>
      <c r="BR326" t="str">
        <f t="shared" si="110"/>
        <v>Tetracyclines</v>
      </c>
      <c r="BS326" t="str">
        <f t="shared" si="111"/>
        <v/>
      </c>
      <c r="BT326" s="76" t="str">
        <f t="shared" si="112"/>
        <v>Voie orale  hors prémélanges médicamenteux</v>
      </c>
      <c r="BU326" t="str">
        <f t="shared" si="113"/>
        <v/>
      </c>
      <c r="CN326">
        <v>325</v>
      </c>
    </row>
    <row r="327" spans="1:92" x14ac:dyDescent="0.3">
      <c r="A327" s="118" t="s">
        <v>3690</v>
      </c>
      <c r="B327" t="s">
        <v>4536</v>
      </c>
      <c r="C327" t="s">
        <v>4537</v>
      </c>
      <c r="D327" s="144" t="s">
        <v>785</v>
      </c>
      <c r="E327" t="s">
        <v>813</v>
      </c>
      <c r="F327" t="s">
        <v>3693</v>
      </c>
      <c r="G327" t="s">
        <v>815</v>
      </c>
      <c r="H327" t="s">
        <v>816</v>
      </c>
      <c r="I327" t="s">
        <v>817</v>
      </c>
      <c r="J327" t="s">
        <v>2070</v>
      </c>
      <c r="K327" t="s">
        <v>787</v>
      </c>
      <c r="L327" t="s">
        <v>1055</v>
      </c>
      <c r="M327" t="s">
        <v>208</v>
      </c>
      <c r="N327" t="s">
        <v>932</v>
      </c>
      <c r="O327" t="s">
        <v>824</v>
      </c>
      <c r="P327" t="s">
        <v>772</v>
      </c>
      <c r="Q327" t="s">
        <v>1361</v>
      </c>
      <c r="R327">
        <v>0</v>
      </c>
      <c r="S327">
        <v>0</v>
      </c>
      <c r="T327">
        <v>20</v>
      </c>
      <c r="U327">
        <v>7</v>
      </c>
      <c r="V327">
        <v>0</v>
      </c>
      <c r="W327">
        <v>0</v>
      </c>
      <c r="X327">
        <v>0</v>
      </c>
      <c r="Y327">
        <v>0</v>
      </c>
      <c r="Z327">
        <v>0</v>
      </c>
      <c r="AA327">
        <v>0</v>
      </c>
      <c r="AB327">
        <v>0</v>
      </c>
      <c r="AC327">
        <v>0</v>
      </c>
      <c r="AD327">
        <v>0</v>
      </c>
      <c r="AE327">
        <v>0</v>
      </c>
      <c r="AF327">
        <v>0</v>
      </c>
      <c r="AG327">
        <v>0</v>
      </c>
      <c r="AH327">
        <v>0</v>
      </c>
      <c r="AI327">
        <v>0</v>
      </c>
      <c r="AJ327" t="s">
        <v>2071</v>
      </c>
      <c r="AK327" t="s">
        <v>2072</v>
      </c>
      <c r="AL327" t="s">
        <v>208</v>
      </c>
      <c r="AM327" t="s">
        <v>852</v>
      </c>
      <c r="AN327" t="s">
        <v>824</v>
      </c>
      <c r="AO327" t="s">
        <v>2073</v>
      </c>
      <c r="AP327" t="s">
        <v>2073</v>
      </c>
      <c r="AY327" t="str">
        <f t="shared" si="95"/>
        <v/>
      </c>
      <c r="AZ327" t="str">
        <f>IF(COUNTIF(AY:AY,AY327)=1,AY327,IF(AND(COUNTIF(AY:AY,AY327)&gt;1,COUNTIF(AZ$2:AZ326,AY327)&gt;=1),"",AY327))</f>
        <v/>
      </c>
      <c r="BA327" t="str">
        <f>IF(AZ327="","",COUNTIFS(AZ$3:AZ$1439,"&lt;"&amp;AZ327,AZ$3:AZ$1439,"&lt;&gt;0")+COUNTIF(AZ$3:AZ327,AZ327)-876)</f>
        <v/>
      </c>
      <c r="BC327">
        <v>325</v>
      </c>
      <c r="BD327" t="str">
        <f t="shared" si="106"/>
        <v>NIFENCOL 100 MG/ML SOLUTION POUR ADMINISTRATION DANS L'EAU DE BOISSONS POUR PORCINS</v>
      </c>
      <c r="BE327" t="str">
        <f t="shared" si="96"/>
        <v>ORAL</v>
      </c>
      <c r="BF327" t="str">
        <f t="shared" si="97"/>
        <v>PHENICOLES</v>
      </c>
      <c r="BG327" t="str">
        <f t="shared" si="98"/>
        <v/>
      </c>
      <c r="BH327" t="str">
        <f t="shared" si="99"/>
        <v/>
      </c>
      <c r="BI327" t="str">
        <f t="shared" si="100"/>
        <v>florfenicol</v>
      </c>
      <c r="BJ327" t="str">
        <f t="shared" si="101"/>
        <v/>
      </c>
      <c r="BK327" t="str">
        <f t="shared" si="102"/>
        <v/>
      </c>
      <c r="BL327" t="str">
        <f t="shared" si="107"/>
        <v>Florfénicol</v>
      </c>
      <c r="BM327" t="str">
        <f t="shared" si="103"/>
        <v>Florfénicol</v>
      </c>
      <c r="BN327" t="str">
        <f t="shared" si="104"/>
        <v/>
      </c>
      <c r="BO327" t="str">
        <f t="shared" si="105"/>
        <v/>
      </c>
      <c r="BP327" t="str">
        <f t="shared" si="108"/>
        <v>Phenicoles</v>
      </c>
      <c r="BQ327" t="str">
        <f t="shared" si="109"/>
        <v>Phenicoles</v>
      </c>
      <c r="BR327" t="str">
        <f t="shared" si="110"/>
        <v/>
      </c>
      <c r="BS327" t="str">
        <f t="shared" si="111"/>
        <v/>
      </c>
      <c r="BT327" s="76" t="str">
        <f t="shared" si="112"/>
        <v>Voie orale  hors prémélanges médicamenteux</v>
      </c>
      <c r="BU327" t="str">
        <f t="shared" si="113"/>
        <v/>
      </c>
      <c r="CN327">
        <v>326</v>
      </c>
    </row>
    <row r="328" spans="1:92" x14ac:dyDescent="0.3">
      <c r="A328" s="118" t="s">
        <v>3699</v>
      </c>
      <c r="B328" t="s">
        <v>3700</v>
      </c>
      <c r="C328" t="s">
        <v>3701</v>
      </c>
      <c r="D328" s="144" t="s">
        <v>1132</v>
      </c>
      <c r="E328" t="s">
        <v>813</v>
      </c>
      <c r="F328" t="s">
        <v>3702</v>
      </c>
      <c r="G328" t="s">
        <v>815</v>
      </c>
      <c r="H328" t="s">
        <v>860</v>
      </c>
      <c r="I328" t="s">
        <v>817</v>
      </c>
      <c r="J328" t="s">
        <v>2070</v>
      </c>
      <c r="K328" t="s">
        <v>787</v>
      </c>
      <c r="L328" t="s">
        <v>1055</v>
      </c>
      <c r="M328" t="s">
        <v>208</v>
      </c>
      <c r="N328" t="s">
        <v>939</v>
      </c>
      <c r="O328" t="s">
        <v>824</v>
      </c>
      <c r="P328" t="s">
        <v>772</v>
      </c>
      <c r="Q328" t="s">
        <v>2358</v>
      </c>
      <c r="R328">
        <v>0</v>
      </c>
      <c r="S328">
        <v>0</v>
      </c>
      <c r="T328">
        <v>20</v>
      </c>
      <c r="U328">
        <v>7</v>
      </c>
      <c r="V328">
        <v>0</v>
      </c>
      <c r="W328">
        <v>0</v>
      </c>
      <c r="X328">
        <v>0</v>
      </c>
      <c r="Y328">
        <v>0</v>
      </c>
      <c r="Z328">
        <v>0</v>
      </c>
      <c r="AA328">
        <v>0</v>
      </c>
      <c r="AB328">
        <v>0</v>
      </c>
      <c r="AC328">
        <v>0</v>
      </c>
      <c r="AD328">
        <v>0</v>
      </c>
      <c r="AE328">
        <v>0</v>
      </c>
      <c r="AF328">
        <v>0</v>
      </c>
      <c r="AG328">
        <v>0</v>
      </c>
      <c r="AH328">
        <v>0</v>
      </c>
      <c r="AI328">
        <v>0</v>
      </c>
      <c r="AJ328" t="s">
        <v>2071</v>
      </c>
      <c r="AK328" t="s">
        <v>2072</v>
      </c>
      <c r="AL328" t="s">
        <v>208</v>
      </c>
      <c r="AM328" t="s">
        <v>764</v>
      </c>
      <c r="AN328" t="s">
        <v>824</v>
      </c>
      <c r="AO328" t="s">
        <v>2073</v>
      </c>
      <c r="AP328" t="s">
        <v>2073</v>
      </c>
      <c r="AY328" t="str">
        <f t="shared" si="95"/>
        <v/>
      </c>
      <c r="AZ328" t="str">
        <f>IF(COUNTIF(AY:AY,AY328)=1,AY328,IF(AND(COUNTIF(AY:AY,AY328)&gt;1,COUNTIF(AZ$2:AZ327,AY328)&gt;=1),"",AY328))</f>
        <v/>
      </c>
      <c r="BA328" t="str">
        <f>IF(AZ328="","",COUNTIFS(AZ$3:AZ$1439,"&lt;"&amp;AZ328,AZ$3:AZ$1439,"&lt;&gt;0")+COUNTIF(AZ$3:AZ328,AZ328)-876)</f>
        <v/>
      </c>
      <c r="BC328">
        <v>326</v>
      </c>
      <c r="BD328" t="str">
        <f t="shared" si="106"/>
        <v>NIFENCOL 300 MG/ML SOLUTION INJECTABLE POUR BOVINS ET PORCINS</v>
      </c>
      <c r="BE328" t="str">
        <f t="shared" si="96"/>
        <v>INJ</v>
      </c>
      <c r="BF328" t="str">
        <f t="shared" si="97"/>
        <v>PHENICOLES</v>
      </c>
      <c r="BG328" t="str">
        <f t="shared" si="98"/>
        <v/>
      </c>
      <c r="BH328" t="str">
        <f t="shared" si="99"/>
        <v/>
      </c>
      <c r="BI328" t="str">
        <f t="shared" si="100"/>
        <v>florfenicol</v>
      </c>
      <c r="BJ328" t="str">
        <f t="shared" si="101"/>
        <v/>
      </c>
      <c r="BK328" t="str">
        <f t="shared" si="102"/>
        <v/>
      </c>
      <c r="BL328" t="str">
        <f t="shared" si="107"/>
        <v>Florfénicol</v>
      </c>
      <c r="BM328" t="str">
        <f t="shared" si="103"/>
        <v>Florfénicol</v>
      </c>
      <c r="BN328" t="str">
        <f t="shared" si="104"/>
        <v/>
      </c>
      <c r="BO328" t="str">
        <f t="shared" si="105"/>
        <v/>
      </c>
      <c r="BP328" t="str">
        <f t="shared" si="108"/>
        <v>Phenicoles</v>
      </c>
      <c r="BQ328" t="str">
        <f t="shared" si="109"/>
        <v>Phenicoles</v>
      </c>
      <c r="BR328" t="str">
        <f t="shared" si="110"/>
        <v/>
      </c>
      <c r="BS328" t="str">
        <f t="shared" si="111"/>
        <v/>
      </c>
      <c r="BT328" s="76" t="str">
        <f t="shared" si="112"/>
        <v>Voie parentérale</v>
      </c>
      <c r="BU328" t="str">
        <f t="shared" si="113"/>
        <v/>
      </c>
      <c r="CN328">
        <v>327</v>
      </c>
    </row>
    <row r="329" spans="1:92" x14ac:dyDescent="0.3">
      <c r="A329" s="118" t="s">
        <v>3699</v>
      </c>
      <c r="B329" t="s">
        <v>3703</v>
      </c>
      <c r="C329" t="s">
        <v>3692</v>
      </c>
      <c r="D329" s="144" t="s">
        <v>1132</v>
      </c>
      <c r="E329" t="s">
        <v>813</v>
      </c>
      <c r="F329" t="s">
        <v>3702</v>
      </c>
      <c r="G329" t="s">
        <v>815</v>
      </c>
      <c r="H329" t="s">
        <v>860</v>
      </c>
      <c r="I329" t="s">
        <v>817</v>
      </c>
      <c r="J329" t="s">
        <v>2070</v>
      </c>
      <c r="K329" t="s">
        <v>787</v>
      </c>
      <c r="L329" t="s">
        <v>1055</v>
      </c>
      <c r="M329" t="s">
        <v>208</v>
      </c>
      <c r="N329" t="s">
        <v>939</v>
      </c>
      <c r="O329" t="s">
        <v>824</v>
      </c>
      <c r="P329" t="s">
        <v>772</v>
      </c>
      <c r="Q329" t="s">
        <v>2358</v>
      </c>
      <c r="R329">
        <v>0</v>
      </c>
      <c r="S329">
        <v>0</v>
      </c>
      <c r="T329">
        <v>20</v>
      </c>
      <c r="U329">
        <v>7</v>
      </c>
      <c r="V329">
        <v>0</v>
      </c>
      <c r="W329">
        <v>0</v>
      </c>
      <c r="X329">
        <v>0</v>
      </c>
      <c r="Y329">
        <v>0</v>
      </c>
      <c r="Z329">
        <v>0</v>
      </c>
      <c r="AA329">
        <v>0</v>
      </c>
      <c r="AB329">
        <v>0</v>
      </c>
      <c r="AC329">
        <v>0</v>
      </c>
      <c r="AD329">
        <v>0</v>
      </c>
      <c r="AE329">
        <v>0</v>
      </c>
      <c r="AF329">
        <v>0</v>
      </c>
      <c r="AG329">
        <v>0</v>
      </c>
      <c r="AH329">
        <v>0</v>
      </c>
      <c r="AI329">
        <v>0</v>
      </c>
      <c r="AJ329" t="s">
        <v>2071</v>
      </c>
      <c r="AK329" t="s">
        <v>2072</v>
      </c>
      <c r="AL329" t="s">
        <v>208</v>
      </c>
      <c r="AM329" t="s">
        <v>764</v>
      </c>
      <c r="AN329" t="s">
        <v>824</v>
      </c>
      <c r="AO329" t="s">
        <v>2073</v>
      </c>
      <c r="AP329" t="s">
        <v>2073</v>
      </c>
      <c r="AY329" t="str">
        <f t="shared" si="95"/>
        <v/>
      </c>
      <c r="AZ329" t="str">
        <f>IF(COUNTIF(AY:AY,AY329)=1,AY329,IF(AND(COUNTIF(AY:AY,AY329)&gt;1,COUNTIF(AZ$2:AZ328,AY329)&gt;=1),"",AY329))</f>
        <v/>
      </c>
      <c r="BA329" t="str">
        <f>IF(AZ329="","",COUNTIFS(AZ$3:AZ$1439,"&lt;"&amp;AZ329,AZ$3:AZ$1439,"&lt;&gt;0")+COUNTIF(AZ$3:AZ329,AZ329)-876)</f>
        <v/>
      </c>
      <c r="BC329">
        <v>327</v>
      </c>
      <c r="BD329" t="str">
        <f t="shared" si="106"/>
        <v>NORFENICOL 300 MG/ML SOLUTION INJECTABLE POUR BOVINS ET PORCINS</v>
      </c>
      <c r="BE329" t="str">
        <f t="shared" si="96"/>
        <v>INJ</v>
      </c>
      <c r="BF329" t="str">
        <f t="shared" si="97"/>
        <v>PHENICOLES</v>
      </c>
      <c r="BG329" t="str">
        <f t="shared" si="98"/>
        <v/>
      </c>
      <c r="BH329" t="str">
        <f t="shared" si="99"/>
        <v/>
      </c>
      <c r="BI329" t="str">
        <f t="shared" si="100"/>
        <v>florfenicol</v>
      </c>
      <c r="BJ329" t="str">
        <f t="shared" si="101"/>
        <v/>
      </c>
      <c r="BK329" t="str">
        <f t="shared" si="102"/>
        <v/>
      </c>
      <c r="BL329" t="str">
        <f t="shared" si="107"/>
        <v>Florfénicol</v>
      </c>
      <c r="BM329" t="str">
        <f t="shared" si="103"/>
        <v>Florfénicol</v>
      </c>
      <c r="BN329" t="str">
        <f t="shared" si="104"/>
        <v/>
      </c>
      <c r="BO329" t="str">
        <f t="shared" si="105"/>
        <v/>
      </c>
      <c r="BP329" t="str">
        <f t="shared" si="108"/>
        <v>Phenicoles</v>
      </c>
      <c r="BQ329" t="str">
        <f t="shared" si="109"/>
        <v>Phenicoles</v>
      </c>
      <c r="BR329" t="str">
        <f t="shared" si="110"/>
        <v/>
      </c>
      <c r="BS329" t="str">
        <f t="shared" si="111"/>
        <v/>
      </c>
      <c r="BT329" s="76" t="str">
        <f t="shared" si="112"/>
        <v>Voie parentérale</v>
      </c>
      <c r="BU329" t="str">
        <f t="shared" si="113"/>
        <v/>
      </c>
      <c r="CN329">
        <v>328</v>
      </c>
    </row>
    <row r="330" spans="1:92" x14ac:dyDescent="0.3">
      <c r="A330" s="118" t="s">
        <v>3699</v>
      </c>
      <c r="B330" t="s">
        <v>4539</v>
      </c>
      <c r="C330" t="s">
        <v>4537</v>
      </c>
      <c r="D330" s="144" t="s">
        <v>785</v>
      </c>
      <c r="E330" t="s">
        <v>813</v>
      </c>
      <c r="F330" t="s">
        <v>3702</v>
      </c>
      <c r="G330" t="s">
        <v>815</v>
      </c>
      <c r="H330" t="s">
        <v>860</v>
      </c>
      <c r="I330" t="s">
        <v>817</v>
      </c>
      <c r="J330" t="s">
        <v>2070</v>
      </c>
      <c r="K330" t="s">
        <v>787</v>
      </c>
      <c r="L330" t="s">
        <v>1055</v>
      </c>
      <c r="M330" t="s">
        <v>208</v>
      </c>
      <c r="N330" t="s">
        <v>939</v>
      </c>
      <c r="O330" t="s">
        <v>824</v>
      </c>
      <c r="P330" t="s">
        <v>772</v>
      </c>
      <c r="Q330" t="s">
        <v>1555</v>
      </c>
      <c r="R330">
        <v>0</v>
      </c>
      <c r="S330">
        <v>0</v>
      </c>
      <c r="T330">
        <v>20</v>
      </c>
      <c r="U330">
        <v>7</v>
      </c>
      <c r="V330">
        <v>0</v>
      </c>
      <c r="W330">
        <v>0</v>
      </c>
      <c r="X330">
        <v>0</v>
      </c>
      <c r="Y330">
        <v>0</v>
      </c>
      <c r="Z330">
        <v>0</v>
      </c>
      <c r="AA330">
        <v>0</v>
      </c>
      <c r="AB330">
        <v>0</v>
      </c>
      <c r="AC330">
        <v>0</v>
      </c>
      <c r="AD330">
        <v>0</v>
      </c>
      <c r="AE330">
        <v>0</v>
      </c>
      <c r="AF330">
        <v>0</v>
      </c>
      <c r="AG330">
        <v>0</v>
      </c>
      <c r="AH330">
        <v>0</v>
      </c>
      <c r="AI330">
        <v>0</v>
      </c>
      <c r="AJ330" t="s">
        <v>2071</v>
      </c>
      <c r="AK330" t="s">
        <v>2072</v>
      </c>
      <c r="AL330" t="s">
        <v>208</v>
      </c>
      <c r="AM330" t="s">
        <v>764</v>
      </c>
      <c r="AN330" t="s">
        <v>824</v>
      </c>
      <c r="AO330" t="s">
        <v>2073</v>
      </c>
      <c r="AP330" t="s">
        <v>2073</v>
      </c>
      <c r="AY330" t="str">
        <f t="shared" si="95"/>
        <v/>
      </c>
      <c r="AZ330" t="str">
        <f>IF(COUNTIF(AY:AY,AY330)=1,AY330,IF(AND(COUNTIF(AY:AY,AY330)&gt;1,COUNTIF(AZ$2:AZ329,AY330)&gt;=1),"",AY330))</f>
        <v/>
      </c>
      <c r="BA330" t="str">
        <f>IF(AZ330="","",COUNTIFS(AZ$3:AZ$1439,"&lt;"&amp;AZ330,AZ$3:AZ$1439,"&lt;&gt;0")+COUNTIF(AZ$3:AZ330,AZ330)-876)</f>
        <v/>
      </c>
      <c r="BC330">
        <v>328</v>
      </c>
      <c r="BD330" t="str">
        <f t="shared" si="106"/>
        <v>NOROCLAV SUSPENSION INTRAMAMMAIRE POUR VACHES EN LACTATION</v>
      </c>
      <c r="BE330" t="str">
        <f t="shared" si="96"/>
        <v>INTRAMAM</v>
      </c>
      <c r="BF330" t="str">
        <f t="shared" si="97"/>
        <v>PENICILLINES</v>
      </c>
      <c r="BG330" t="str">
        <f t="shared" si="98"/>
        <v>ACIDE CLAVULANIQUE</v>
      </c>
      <c r="BH330" t="str">
        <f t="shared" si="99"/>
        <v/>
      </c>
      <c r="BI330" t="str">
        <f t="shared" si="100"/>
        <v>amoxicillin</v>
      </c>
      <c r="BJ330" t="str">
        <f t="shared" si="101"/>
        <v>clavulanic acid</v>
      </c>
      <c r="BK330" t="str">
        <f t="shared" si="102"/>
        <v/>
      </c>
      <c r="BL330" t="str">
        <f t="shared" si="107"/>
        <v>Amoxicilline + Acide clavulanique</v>
      </c>
      <c r="BM330" t="str">
        <f t="shared" si="103"/>
        <v>Amoxicilline</v>
      </c>
      <c r="BN330" t="str">
        <f t="shared" si="104"/>
        <v>Acide clavulanique</v>
      </c>
      <c r="BO330" t="str">
        <f t="shared" si="105"/>
        <v/>
      </c>
      <c r="BP330" t="str">
        <f t="shared" si="108"/>
        <v>Penicillines + Acide clavulanique</v>
      </c>
      <c r="BQ330" t="str">
        <f t="shared" si="109"/>
        <v>Penicillines</v>
      </c>
      <c r="BR330" t="str">
        <f t="shared" si="110"/>
        <v>Acide clavulanique</v>
      </c>
      <c r="BS330" t="str">
        <f t="shared" si="111"/>
        <v/>
      </c>
      <c r="BT330" s="76" t="str">
        <f t="shared" si="112"/>
        <v>Voie intramammaire</v>
      </c>
      <c r="BU330" t="str">
        <f t="shared" si="113"/>
        <v/>
      </c>
      <c r="CN330">
        <v>329</v>
      </c>
    </row>
    <row r="331" spans="1:92" x14ac:dyDescent="0.3">
      <c r="A331" s="118" t="s">
        <v>1907</v>
      </c>
      <c r="B331" t="s">
        <v>1908</v>
      </c>
      <c r="C331" t="s">
        <v>1909</v>
      </c>
      <c r="D331" s="144" t="s">
        <v>793</v>
      </c>
      <c r="E331" t="s">
        <v>813</v>
      </c>
      <c r="F331" t="s">
        <v>1910</v>
      </c>
      <c r="G331" t="s">
        <v>815</v>
      </c>
      <c r="H331" t="s">
        <v>816</v>
      </c>
      <c r="I331" t="s">
        <v>817</v>
      </c>
      <c r="J331" t="s">
        <v>768</v>
      </c>
      <c r="K331" t="s">
        <v>768</v>
      </c>
      <c r="L331" t="s">
        <v>1051</v>
      </c>
      <c r="M331" t="s">
        <v>208</v>
      </c>
      <c r="N331" t="s">
        <v>1911</v>
      </c>
      <c r="O331" t="s">
        <v>824</v>
      </c>
      <c r="P331" t="s">
        <v>772</v>
      </c>
      <c r="Q331" t="s">
        <v>1912</v>
      </c>
      <c r="R331">
        <v>0</v>
      </c>
      <c r="S331">
        <v>0</v>
      </c>
      <c r="T331">
        <v>25</v>
      </c>
      <c r="U331">
        <v>5</v>
      </c>
      <c r="V331">
        <v>0</v>
      </c>
      <c r="W331">
        <v>0</v>
      </c>
      <c r="X331">
        <v>0</v>
      </c>
      <c r="Y331">
        <v>0</v>
      </c>
      <c r="Z331">
        <v>0</v>
      </c>
      <c r="AA331">
        <v>0</v>
      </c>
      <c r="AB331">
        <v>0</v>
      </c>
      <c r="AC331">
        <v>0</v>
      </c>
      <c r="AD331">
        <v>0</v>
      </c>
      <c r="AE331">
        <v>0</v>
      </c>
      <c r="AF331">
        <v>0</v>
      </c>
      <c r="AG331">
        <v>0</v>
      </c>
      <c r="AH331">
        <v>0</v>
      </c>
      <c r="AI331">
        <v>0</v>
      </c>
      <c r="AY331" t="str">
        <f t="shared" si="95"/>
        <v/>
      </c>
      <c r="AZ331" t="str">
        <f>IF(COUNTIF(AY:AY,AY331)=1,AY331,IF(AND(COUNTIF(AY:AY,AY331)&gt;1,COUNTIF(AZ$2:AZ330,AY331)&gt;=1),"",AY331))</f>
        <v/>
      </c>
      <c r="BA331" t="str">
        <f>IF(AZ331="","",COUNTIFS(AZ$3:AZ$1439,"&lt;"&amp;AZ331,AZ$3:AZ$1439,"&lt;&gt;0")+COUNTIF(AZ$3:AZ331,AZ331)-876)</f>
        <v/>
      </c>
      <c r="BC331">
        <v>329</v>
      </c>
      <c r="BD331" t="str">
        <f t="shared" si="106"/>
        <v>NOROTYL LA 150 MG/ML SUSPENSION INJECTABLE</v>
      </c>
      <c r="BE331" t="str">
        <f t="shared" si="96"/>
        <v>INJ</v>
      </c>
      <c r="BF331" t="str">
        <f t="shared" si="97"/>
        <v>MACROLIDES</v>
      </c>
      <c r="BG331" t="str">
        <f t="shared" si="98"/>
        <v/>
      </c>
      <c r="BH331" t="str">
        <f t="shared" si="99"/>
        <v/>
      </c>
      <c r="BI331" t="str">
        <f t="shared" si="100"/>
        <v>tylosin</v>
      </c>
      <c r="BJ331" t="str">
        <f t="shared" si="101"/>
        <v/>
      </c>
      <c r="BK331" t="str">
        <f t="shared" si="102"/>
        <v/>
      </c>
      <c r="BL331" t="str">
        <f t="shared" si="107"/>
        <v>Tylosine</v>
      </c>
      <c r="BM331" t="str">
        <f t="shared" si="103"/>
        <v>Tylosine</v>
      </c>
      <c r="BN331" t="str">
        <f t="shared" si="104"/>
        <v/>
      </c>
      <c r="BO331" t="str">
        <f t="shared" si="105"/>
        <v/>
      </c>
      <c r="BP331" t="str">
        <f t="shared" si="108"/>
        <v>Macrolides</v>
      </c>
      <c r="BQ331" t="str">
        <f t="shared" si="109"/>
        <v>Macrolides</v>
      </c>
      <c r="BR331" t="str">
        <f t="shared" si="110"/>
        <v/>
      </c>
      <c r="BS331" t="str">
        <f t="shared" si="111"/>
        <v/>
      </c>
      <c r="BT331" s="76" t="str">
        <f t="shared" si="112"/>
        <v>Voie parentérale</v>
      </c>
      <c r="BU331" t="str">
        <f t="shared" si="113"/>
        <v/>
      </c>
      <c r="CN331">
        <v>330</v>
      </c>
    </row>
    <row r="332" spans="1:92" x14ac:dyDescent="0.3">
      <c r="A332" s="118" t="s">
        <v>4618</v>
      </c>
      <c r="B332" t="s">
        <v>4619</v>
      </c>
      <c r="C332" t="s">
        <v>4615</v>
      </c>
      <c r="D332" t="s">
        <v>764</v>
      </c>
      <c r="E332" t="s">
        <v>813</v>
      </c>
      <c r="F332" t="s">
        <v>4620</v>
      </c>
      <c r="G332" t="s">
        <v>815</v>
      </c>
      <c r="H332" t="s">
        <v>860</v>
      </c>
      <c r="I332" t="s">
        <v>817</v>
      </c>
      <c r="J332" t="s">
        <v>1269</v>
      </c>
      <c r="K332" t="s">
        <v>1269</v>
      </c>
      <c r="L332" t="s">
        <v>2389</v>
      </c>
      <c r="M332" t="s">
        <v>208</v>
      </c>
      <c r="N332" t="s">
        <v>1554</v>
      </c>
      <c r="O332" t="s">
        <v>824</v>
      </c>
      <c r="P332" t="s">
        <v>772</v>
      </c>
      <c r="Q332" t="s">
        <v>2503</v>
      </c>
      <c r="R332">
        <v>0</v>
      </c>
      <c r="S332">
        <v>0</v>
      </c>
      <c r="T332">
        <v>22</v>
      </c>
      <c r="U332">
        <v>28</v>
      </c>
      <c r="V332">
        <v>0</v>
      </c>
      <c r="W332">
        <v>0</v>
      </c>
      <c r="X332">
        <v>0</v>
      </c>
      <c r="Y332">
        <v>0</v>
      </c>
      <c r="Z332">
        <v>0</v>
      </c>
      <c r="AA332">
        <v>0</v>
      </c>
      <c r="AB332">
        <v>0</v>
      </c>
      <c r="AC332">
        <v>0</v>
      </c>
      <c r="AD332">
        <v>0</v>
      </c>
      <c r="AE332">
        <v>0</v>
      </c>
      <c r="AF332">
        <v>0</v>
      </c>
      <c r="AG332">
        <v>0</v>
      </c>
      <c r="AH332">
        <v>0</v>
      </c>
      <c r="AI332">
        <v>0</v>
      </c>
      <c r="AY332" t="str">
        <f t="shared" si="95"/>
        <v/>
      </c>
      <c r="AZ332" t="str">
        <f>IF(COUNTIF(AY:AY,AY332)=1,AY332,IF(AND(COUNTIF(AY:AY,AY332)&gt;1,COUNTIF(AZ$2:AZ331,AY332)&gt;=1),"",AY332))</f>
        <v/>
      </c>
      <c r="BA332" t="str">
        <f>IF(AZ332="","",COUNTIFS(AZ$3:AZ$1439,"&lt;"&amp;AZ332,AZ$3:AZ$1439,"&lt;&gt;0")+COUNTIF(AZ$3:AZ332,AZ332)-876)</f>
        <v/>
      </c>
      <c r="BC332">
        <v>330</v>
      </c>
      <c r="BD332" t="str">
        <f t="shared" si="106"/>
        <v>NUFLOR</v>
      </c>
      <c r="BE332" t="str">
        <f t="shared" si="96"/>
        <v>INJ</v>
      </c>
      <c r="BF332" t="str">
        <f t="shared" si="97"/>
        <v>PHENICOLES</v>
      </c>
      <c r="BG332" t="str">
        <f t="shared" si="98"/>
        <v/>
      </c>
      <c r="BH332" t="str">
        <f t="shared" si="99"/>
        <v/>
      </c>
      <c r="BI332" t="str">
        <f t="shared" si="100"/>
        <v>florfenicol</v>
      </c>
      <c r="BJ332" t="str">
        <f t="shared" si="101"/>
        <v/>
      </c>
      <c r="BK332" t="str">
        <f t="shared" si="102"/>
        <v/>
      </c>
      <c r="BL332" t="str">
        <f t="shared" si="107"/>
        <v>Florfénicol</v>
      </c>
      <c r="BM332" t="str">
        <f t="shared" si="103"/>
        <v>Florfénicol</v>
      </c>
      <c r="BN332" t="str">
        <f t="shared" si="104"/>
        <v/>
      </c>
      <c r="BO332" t="str">
        <f t="shared" si="105"/>
        <v/>
      </c>
      <c r="BP332" t="str">
        <f t="shared" si="108"/>
        <v>Phenicoles</v>
      </c>
      <c r="BQ332" t="str">
        <f t="shared" si="109"/>
        <v>Phenicoles</v>
      </c>
      <c r="BR332" t="str">
        <f t="shared" si="110"/>
        <v/>
      </c>
      <c r="BS332" t="str">
        <f t="shared" si="111"/>
        <v/>
      </c>
      <c r="BT332" s="76" t="str">
        <f t="shared" si="112"/>
        <v>Voie parentérale</v>
      </c>
      <c r="BU332" t="str">
        <f t="shared" si="113"/>
        <v/>
      </c>
      <c r="CN332">
        <v>331</v>
      </c>
    </row>
    <row r="333" spans="1:92" x14ac:dyDescent="0.3">
      <c r="A333" s="118" t="s">
        <v>4621</v>
      </c>
      <c r="B333" t="s">
        <v>4622</v>
      </c>
      <c r="C333" t="s">
        <v>4623</v>
      </c>
      <c r="D333" t="s">
        <v>764</v>
      </c>
      <c r="E333" t="s">
        <v>813</v>
      </c>
      <c r="F333" t="s">
        <v>4624</v>
      </c>
      <c r="G333" t="s">
        <v>815</v>
      </c>
      <c r="H333" t="s">
        <v>860</v>
      </c>
      <c r="I333" t="s">
        <v>817</v>
      </c>
      <c r="J333" t="s">
        <v>1269</v>
      </c>
      <c r="K333" t="s">
        <v>1269</v>
      </c>
      <c r="L333" t="s">
        <v>2389</v>
      </c>
      <c r="M333" t="s">
        <v>208</v>
      </c>
      <c r="N333" t="s">
        <v>4625</v>
      </c>
      <c r="O333" t="s">
        <v>824</v>
      </c>
      <c r="P333" t="s">
        <v>772</v>
      </c>
      <c r="Q333" t="s">
        <v>4626</v>
      </c>
      <c r="R333">
        <v>0</v>
      </c>
      <c r="S333">
        <v>0</v>
      </c>
      <c r="T333">
        <v>22</v>
      </c>
      <c r="U333">
        <v>28</v>
      </c>
      <c r="V333">
        <v>0</v>
      </c>
      <c r="W333">
        <v>0</v>
      </c>
      <c r="X333">
        <v>0</v>
      </c>
      <c r="Y333">
        <v>0</v>
      </c>
      <c r="Z333">
        <v>0</v>
      </c>
      <c r="AA333">
        <v>0</v>
      </c>
      <c r="AB333">
        <v>0</v>
      </c>
      <c r="AC333">
        <v>0</v>
      </c>
      <c r="AD333">
        <v>0</v>
      </c>
      <c r="AE333">
        <v>0</v>
      </c>
      <c r="AF333">
        <v>0</v>
      </c>
      <c r="AG333">
        <v>0</v>
      </c>
      <c r="AH333">
        <v>0</v>
      </c>
      <c r="AI333">
        <v>0</v>
      </c>
      <c r="AY333" t="str">
        <f t="shared" si="95"/>
        <v/>
      </c>
      <c r="AZ333" t="str">
        <f>IF(COUNTIF(AY:AY,AY333)=1,AY333,IF(AND(COUNTIF(AY:AY,AY333)&gt;1,COUNTIF(AZ$2:AZ332,AY333)&gt;=1),"",AY333))</f>
        <v/>
      </c>
      <c r="BA333" t="str">
        <f>IF(AZ333="","",COUNTIFS(AZ$3:AZ$1439,"&lt;"&amp;AZ333,AZ$3:AZ$1439,"&lt;&gt;0")+COUNTIF(AZ$3:AZ333,AZ333)-876)</f>
        <v/>
      </c>
      <c r="BC333">
        <v>331</v>
      </c>
      <c r="BD333" t="str">
        <f t="shared" si="106"/>
        <v>NUFLOR 300 MG/ML SOLUTION INJECTABLE POUR BOVINS ET OVINS</v>
      </c>
      <c r="BE333" t="str">
        <f t="shared" si="96"/>
        <v>INJ</v>
      </c>
      <c r="BF333" t="str">
        <f t="shared" si="97"/>
        <v>PHENICOLES</v>
      </c>
      <c r="BG333" t="str">
        <f t="shared" si="98"/>
        <v/>
      </c>
      <c r="BH333" t="str">
        <f t="shared" si="99"/>
        <v/>
      </c>
      <c r="BI333" t="str">
        <f t="shared" si="100"/>
        <v>florfenicol</v>
      </c>
      <c r="BJ333" t="str">
        <f t="shared" si="101"/>
        <v/>
      </c>
      <c r="BK333" t="str">
        <f t="shared" si="102"/>
        <v/>
      </c>
      <c r="BL333" t="str">
        <f t="shared" si="107"/>
        <v>Florfénicol</v>
      </c>
      <c r="BM333" t="str">
        <f t="shared" si="103"/>
        <v>Florfénicol</v>
      </c>
      <c r="BN333" t="str">
        <f t="shared" si="104"/>
        <v/>
      </c>
      <c r="BO333" t="str">
        <f t="shared" si="105"/>
        <v/>
      </c>
      <c r="BP333" t="str">
        <f t="shared" si="108"/>
        <v>Phenicoles</v>
      </c>
      <c r="BQ333" t="str">
        <f t="shared" si="109"/>
        <v>Phenicoles</v>
      </c>
      <c r="BR333" t="str">
        <f t="shared" si="110"/>
        <v/>
      </c>
      <c r="BS333" t="str">
        <f t="shared" si="111"/>
        <v/>
      </c>
      <c r="BT333" s="76" t="str">
        <f t="shared" si="112"/>
        <v>Voie parentérale</v>
      </c>
      <c r="BU333" t="str">
        <f t="shared" si="113"/>
        <v/>
      </c>
      <c r="CN333">
        <v>332</v>
      </c>
    </row>
    <row r="334" spans="1:92" x14ac:dyDescent="0.3">
      <c r="A334" s="118" t="s">
        <v>4613</v>
      </c>
      <c r="B334" t="s">
        <v>4614</v>
      </c>
      <c r="C334" t="s">
        <v>4615</v>
      </c>
      <c r="D334" t="s">
        <v>764</v>
      </c>
      <c r="E334" t="s">
        <v>813</v>
      </c>
      <c r="F334" t="s">
        <v>4616</v>
      </c>
      <c r="G334" t="s">
        <v>815</v>
      </c>
      <c r="H334" t="s">
        <v>816</v>
      </c>
      <c r="I334" t="s">
        <v>817</v>
      </c>
      <c r="J334" t="s">
        <v>1269</v>
      </c>
      <c r="K334" t="s">
        <v>1269</v>
      </c>
      <c r="L334" t="s">
        <v>2389</v>
      </c>
      <c r="M334" t="s">
        <v>208</v>
      </c>
      <c r="N334" t="s">
        <v>1549</v>
      </c>
      <c r="O334" t="s">
        <v>824</v>
      </c>
      <c r="P334" t="s">
        <v>772</v>
      </c>
      <c r="Q334" t="s">
        <v>4617</v>
      </c>
      <c r="R334">
        <v>0</v>
      </c>
      <c r="S334">
        <v>0</v>
      </c>
      <c r="T334">
        <v>22</v>
      </c>
      <c r="U334">
        <v>28</v>
      </c>
      <c r="V334">
        <v>0</v>
      </c>
      <c r="W334">
        <v>0</v>
      </c>
      <c r="X334">
        <v>0</v>
      </c>
      <c r="Y334">
        <v>0</v>
      </c>
      <c r="Z334">
        <v>0</v>
      </c>
      <c r="AA334">
        <v>0</v>
      </c>
      <c r="AB334">
        <v>0</v>
      </c>
      <c r="AC334">
        <v>0</v>
      </c>
      <c r="AD334">
        <v>0</v>
      </c>
      <c r="AE334">
        <v>0</v>
      </c>
      <c r="AF334">
        <v>0</v>
      </c>
      <c r="AG334">
        <v>0</v>
      </c>
      <c r="AH334">
        <v>0</v>
      </c>
      <c r="AI334">
        <v>0</v>
      </c>
      <c r="AY334" t="str">
        <f t="shared" si="95"/>
        <v/>
      </c>
      <c r="AZ334" t="str">
        <f>IF(COUNTIF(AY:AY,AY334)=1,AY334,IF(AND(COUNTIF(AY:AY,AY334)&gt;1,COUNTIF(AZ$2:AZ333,AY334)&gt;=1),"",AY334))</f>
        <v/>
      </c>
      <c r="BA334" t="str">
        <f>IF(AZ334="","",COUNTIFS(AZ$3:AZ$1439,"&lt;"&amp;AZ334,AZ$3:AZ$1439,"&lt;&gt;0")+COUNTIF(AZ$3:AZ334,AZ334)-876)</f>
        <v/>
      </c>
      <c r="BC334">
        <v>332</v>
      </c>
      <c r="BD334" t="str">
        <f t="shared" si="106"/>
        <v>NUFLOR 450 SOLUTION INJECTABLE POUR BOVINS</v>
      </c>
      <c r="BE334" t="str">
        <f t="shared" si="96"/>
        <v>INJ</v>
      </c>
      <c r="BF334" t="str">
        <f t="shared" si="97"/>
        <v>PHENICOLES</v>
      </c>
      <c r="BG334" t="str">
        <f t="shared" si="98"/>
        <v/>
      </c>
      <c r="BH334" t="str">
        <f t="shared" si="99"/>
        <v/>
      </c>
      <c r="BI334" t="str">
        <f t="shared" si="100"/>
        <v>florfenicol</v>
      </c>
      <c r="BJ334" t="str">
        <f t="shared" si="101"/>
        <v/>
      </c>
      <c r="BK334" t="str">
        <f t="shared" si="102"/>
        <v/>
      </c>
      <c r="BL334" t="str">
        <f t="shared" si="107"/>
        <v>Florfénicol</v>
      </c>
      <c r="BM334" t="str">
        <f t="shared" si="103"/>
        <v>Florfénicol</v>
      </c>
      <c r="BN334" t="str">
        <f t="shared" si="104"/>
        <v/>
      </c>
      <c r="BO334" t="str">
        <f t="shared" si="105"/>
        <v/>
      </c>
      <c r="BP334" t="str">
        <f t="shared" si="108"/>
        <v>Phenicoles</v>
      </c>
      <c r="BQ334" t="str">
        <f t="shared" si="109"/>
        <v>Phenicoles</v>
      </c>
      <c r="BR334" t="str">
        <f t="shared" si="110"/>
        <v/>
      </c>
      <c r="BS334" t="str">
        <f t="shared" si="111"/>
        <v/>
      </c>
      <c r="BT334" s="76" t="str">
        <f t="shared" si="112"/>
        <v>Voie parentérale</v>
      </c>
      <c r="BU334" t="str">
        <f t="shared" si="113"/>
        <v/>
      </c>
      <c r="CN334">
        <v>333</v>
      </c>
    </row>
    <row r="335" spans="1:92" x14ac:dyDescent="0.3">
      <c r="A335" s="118" t="s">
        <v>2963</v>
      </c>
      <c r="B335" t="s">
        <v>2964</v>
      </c>
      <c r="C335" t="s">
        <v>2962</v>
      </c>
      <c r="D335" s="144" t="s">
        <v>869</v>
      </c>
      <c r="E335" t="s">
        <v>813</v>
      </c>
      <c r="F335" t="s">
        <v>2965</v>
      </c>
      <c r="G335" t="s">
        <v>815</v>
      </c>
      <c r="H335" t="s">
        <v>860</v>
      </c>
      <c r="I335" t="s">
        <v>817</v>
      </c>
      <c r="J335" t="s">
        <v>1269</v>
      </c>
      <c r="K335" t="s">
        <v>1269</v>
      </c>
      <c r="L335" t="s">
        <v>2389</v>
      </c>
      <c r="M335" t="s">
        <v>208</v>
      </c>
      <c r="N335" t="s">
        <v>1155</v>
      </c>
      <c r="O335" t="s">
        <v>824</v>
      </c>
      <c r="P335" t="s">
        <v>772</v>
      </c>
      <c r="Q335" t="s">
        <v>1304</v>
      </c>
      <c r="R335">
        <v>0</v>
      </c>
      <c r="S335">
        <v>0</v>
      </c>
      <c r="T335">
        <v>22</v>
      </c>
      <c r="U335">
        <v>28</v>
      </c>
      <c r="V335">
        <v>0</v>
      </c>
      <c r="W335">
        <v>0</v>
      </c>
      <c r="X335">
        <v>0</v>
      </c>
      <c r="Y335">
        <v>0</v>
      </c>
      <c r="Z335">
        <v>0</v>
      </c>
      <c r="AA335">
        <v>0</v>
      </c>
      <c r="AB335">
        <v>0</v>
      </c>
      <c r="AC335">
        <v>0</v>
      </c>
      <c r="AD335">
        <v>0</v>
      </c>
      <c r="AE335">
        <v>0</v>
      </c>
      <c r="AF335">
        <v>0</v>
      </c>
      <c r="AG335">
        <v>0</v>
      </c>
      <c r="AH335">
        <v>0</v>
      </c>
      <c r="AI335">
        <v>0</v>
      </c>
      <c r="AY335" t="str">
        <f t="shared" si="95"/>
        <v/>
      </c>
      <c r="AZ335" t="str">
        <f>IF(COUNTIF(AY:AY,AY335)=1,AY335,IF(AND(COUNTIF(AY:AY,AY335)&gt;1,COUNTIF(AZ$2:AZ334,AY335)&gt;=1),"",AY335))</f>
        <v/>
      </c>
      <c r="BA335" t="str">
        <f>IF(AZ335="","",COUNTIFS(AZ$3:AZ$1439,"&lt;"&amp;AZ335,AZ$3:AZ$1439,"&lt;&gt;0")+COUNTIF(AZ$3:AZ335,AZ335)-876)</f>
        <v/>
      </c>
      <c r="BC335">
        <v>333</v>
      </c>
      <c r="BD335" t="str">
        <f t="shared" si="106"/>
        <v>NUFLOR MONO SOLUTION INJECTABLE 450 MG/ML POUR PORCINS</v>
      </c>
      <c r="BE335" t="str">
        <f t="shared" si="96"/>
        <v>INJ</v>
      </c>
      <c r="BF335" t="str">
        <f t="shared" si="97"/>
        <v>PHENICOLES</v>
      </c>
      <c r="BG335" t="str">
        <f t="shared" si="98"/>
        <v/>
      </c>
      <c r="BH335" t="str">
        <f t="shared" si="99"/>
        <v/>
      </c>
      <c r="BI335" t="str">
        <f t="shared" si="100"/>
        <v>florfenicol</v>
      </c>
      <c r="BJ335" t="str">
        <f t="shared" si="101"/>
        <v/>
      </c>
      <c r="BK335" t="str">
        <f t="shared" si="102"/>
        <v/>
      </c>
      <c r="BL335" t="str">
        <f t="shared" si="107"/>
        <v>Florfénicol</v>
      </c>
      <c r="BM335" t="str">
        <f t="shared" si="103"/>
        <v>Florfénicol</v>
      </c>
      <c r="BN335" t="str">
        <f t="shared" si="104"/>
        <v/>
      </c>
      <c r="BO335" t="str">
        <f t="shared" si="105"/>
        <v/>
      </c>
      <c r="BP335" t="str">
        <f t="shared" si="108"/>
        <v>Phenicoles</v>
      </c>
      <c r="BQ335" t="str">
        <f t="shared" si="109"/>
        <v>Phenicoles</v>
      </c>
      <c r="BR335" t="str">
        <f t="shared" si="110"/>
        <v/>
      </c>
      <c r="BS335" t="str">
        <f t="shared" si="111"/>
        <v/>
      </c>
      <c r="BT335" s="76" t="str">
        <f t="shared" si="112"/>
        <v>Voie parentérale</v>
      </c>
      <c r="BU335" t="str">
        <f t="shared" si="113"/>
        <v/>
      </c>
      <c r="CN335">
        <v>334</v>
      </c>
    </row>
    <row r="336" spans="1:92" x14ac:dyDescent="0.3">
      <c r="A336" s="118" t="s">
        <v>2963</v>
      </c>
      <c r="B336" t="s">
        <v>2966</v>
      </c>
      <c r="C336" t="s">
        <v>2958</v>
      </c>
      <c r="D336" s="144" t="s">
        <v>852</v>
      </c>
      <c r="E336" t="s">
        <v>813</v>
      </c>
      <c r="F336" t="s">
        <v>2965</v>
      </c>
      <c r="G336" t="s">
        <v>815</v>
      </c>
      <c r="H336" t="s">
        <v>860</v>
      </c>
      <c r="I336" t="s">
        <v>817</v>
      </c>
      <c r="J336" t="s">
        <v>1269</v>
      </c>
      <c r="K336" t="s">
        <v>1269</v>
      </c>
      <c r="L336" t="s">
        <v>2389</v>
      </c>
      <c r="M336" t="s">
        <v>208</v>
      </c>
      <c r="N336" t="s">
        <v>1155</v>
      </c>
      <c r="O336" t="s">
        <v>824</v>
      </c>
      <c r="P336" t="s">
        <v>772</v>
      </c>
      <c r="Q336" t="s">
        <v>1118</v>
      </c>
      <c r="R336">
        <v>0</v>
      </c>
      <c r="S336">
        <v>0</v>
      </c>
      <c r="T336">
        <v>22</v>
      </c>
      <c r="U336">
        <v>28</v>
      </c>
      <c r="V336">
        <v>0</v>
      </c>
      <c r="W336">
        <v>0</v>
      </c>
      <c r="X336">
        <v>0</v>
      </c>
      <c r="Y336">
        <v>0</v>
      </c>
      <c r="Z336">
        <v>0</v>
      </c>
      <c r="AA336">
        <v>0</v>
      </c>
      <c r="AB336">
        <v>0</v>
      </c>
      <c r="AC336">
        <v>0</v>
      </c>
      <c r="AD336">
        <v>0</v>
      </c>
      <c r="AE336">
        <v>0</v>
      </c>
      <c r="AF336">
        <v>0</v>
      </c>
      <c r="AG336">
        <v>0</v>
      </c>
      <c r="AH336">
        <v>0</v>
      </c>
      <c r="AI336">
        <v>0</v>
      </c>
      <c r="AY336" t="str">
        <f t="shared" si="95"/>
        <v/>
      </c>
      <c r="AZ336" t="str">
        <f>IF(COUNTIF(AY:AY,AY336)=1,AY336,IF(AND(COUNTIF(AY:AY,AY336)&gt;1,COUNTIF(AZ$2:AZ335,AY336)&gt;=1),"",AY336))</f>
        <v/>
      </c>
      <c r="BA336" t="str">
        <f>IF(AZ336="","",COUNTIFS(AZ$3:AZ$1439,"&lt;"&amp;AZ336,AZ$3:AZ$1439,"&lt;&gt;0")+COUNTIF(AZ$3:AZ336,AZ336)-876)</f>
        <v/>
      </c>
      <c r="BC336">
        <v>334</v>
      </c>
      <c r="BD336" t="str">
        <f t="shared" si="106"/>
        <v>NUFLOR PORCINS SOLUTION INJECTABLE 300 MG/ML</v>
      </c>
      <c r="BE336" t="str">
        <f t="shared" si="96"/>
        <v>INJ</v>
      </c>
      <c r="BF336" t="str">
        <f t="shared" si="97"/>
        <v>PHENICOLES</v>
      </c>
      <c r="BG336" t="str">
        <f t="shared" si="98"/>
        <v/>
      </c>
      <c r="BH336" t="str">
        <f t="shared" si="99"/>
        <v/>
      </c>
      <c r="BI336" t="str">
        <f t="shared" si="100"/>
        <v>florfenicol</v>
      </c>
      <c r="BJ336" t="str">
        <f t="shared" si="101"/>
        <v/>
      </c>
      <c r="BK336" t="str">
        <f t="shared" si="102"/>
        <v/>
      </c>
      <c r="BL336" t="str">
        <f t="shared" si="107"/>
        <v>Florfénicol</v>
      </c>
      <c r="BM336" t="str">
        <f t="shared" si="103"/>
        <v>Florfénicol</v>
      </c>
      <c r="BN336" t="str">
        <f t="shared" si="104"/>
        <v/>
      </c>
      <c r="BO336" t="str">
        <f t="shared" si="105"/>
        <v/>
      </c>
      <c r="BP336" t="str">
        <f t="shared" si="108"/>
        <v>Phenicoles</v>
      </c>
      <c r="BQ336" t="str">
        <f t="shared" si="109"/>
        <v>Phenicoles</v>
      </c>
      <c r="BR336" t="str">
        <f t="shared" si="110"/>
        <v/>
      </c>
      <c r="BS336" t="str">
        <f t="shared" si="111"/>
        <v/>
      </c>
      <c r="BT336" s="76" t="str">
        <f t="shared" si="112"/>
        <v>Voie parentérale</v>
      </c>
      <c r="BU336" t="str">
        <f t="shared" si="113"/>
        <v/>
      </c>
      <c r="CN336">
        <v>335</v>
      </c>
    </row>
    <row r="337" spans="1:92" x14ac:dyDescent="0.3">
      <c r="A337" s="118" t="s">
        <v>4043</v>
      </c>
      <c r="B337" t="s">
        <v>4044</v>
      </c>
      <c r="C337" t="s">
        <v>4567</v>
      </c>
      <c r="D337" s="144" t="s">
        <v>764</v>
      </c>
      <c r="E337" t="s">
        <v>813</v>
      </c>
      <c r="F337" t="s">
        <v>4045</v>
      </c>
      <c r="G337" t="s">
        <v>815</v>
      </c>
      <c r="H337" t="s">
        <v>860</v>
      </c>
      <c r="I337" t="s">
        <v>817</v>
      </c>
      <c r="J337" t="s">
        <v>1269</v>
      </c>
      <c r="K337" t="s">
        <v>1269</v>
      </c>
      <c r="L337" t="s">
        <v>2389</v>
      </c>
      <c r="M337" t="s">
        <v>208</v>
      </c>
      <c r="N337" t="s">
        <v>1155</v>
      </c>
      <c r="O337" t="s">
        <v>824</v>
      </c>
      <c r="P337" t="s">
        <v>772</v>
      </c>
      <c r="Q337" t="s">
        <v>972</v>
      </c>
      <c r="R337">
        <v>0</v>
      </c>
      <c r="S337">
        <v>0</v>
      </c>
      <c r="T337">
        <v>22</v>
      </c>
      <c r="U337">
        <v>28</v>
      </c>
      <c r="V337">
        <v>0</v>
      </c>
      <c r="W337">
        <v>0</v>
      </c>
      <c r="X337">
        <v>0</v>
      </c>
      <c r="Y337">
        <v>0</v>
      </c>
      <c r="Z337">
        <v>0</v>
      </c>
      <c r="AA337">
        <v>0</v>
      </c>
      <c r="AB337">
        <v>0</v>
      </c>
      <c r="AC337">
        <v>0</v>
      </c>
      <c r="AD337">
        <v>0</v>
      </c>
      <c r="AE337">
        <v>0</v>
      </c>
      <c r="AF337">
        <v>0</v>
      </c>
      <c r="AG337">
        <v>0</v>
      </c>
      <c r="AH337">
        <v>0</v>
      </c>
      <c r="AI337">
        <v>0</v>
      </c>
      <c r="AY337" t="str">
        <f t="shared" si="95"/>
        <v/>
      </c>
      <c r="AZ337" t="str">
        <f>IF(COUNTIF(AY:AY,AY337)=1,AY337,IF(AND(COUNTIF(AY:AY,AY337)&gt;1,COUNTIF(AZ$2:AZ336,AY337)&gt;=1),"",AY337))</f>
        <v/>
      </c>
      <c r="BA337" t="str">
        <f>IF(AZ337="","",COUNTIFS(AZ$3:AZ$1439,"&lt;"&amp;AZ337,AZ$3:AZ$1439,"&lt;&gt;0")+COUNTIF(AZ$3:AZ337,AZ337)-876)</f>
        <v/>
      </c>
      <c r="BC337">
        <v>335</v>
      </c>
      <c r="BD337" t="str">
        <f t="shared" si="106"/>
        <v>OCTACILLIN 697 MG/G POUDRE POUR ADMINISTRATION DANS L'EAU DE BOISSON DES PORCS</v>
      </c>
      <c r="BE337" t="str">
        <f t="shared" si="96"/>
        <v>ORAL</v>
      </c>
      <c r="BF337" t="str">
        <f t="shared" si="97"/>
        <v>PENICILLINES</v>
      </c>
      <c r="BG337" t="str">
        <f t="shared" si="98"/>
        <v/>
      </c>
      <c r="BH337" t="str">
        <f t="shared" si="99"/>
        <v/>
      </c>
      <c r="BI337" t="str">
        <f t="shared" si="100"/>
        <v>amoxicillin</v>
      </c>
      <c r="BJ337" t="str">
        <f t="shared" si="101"/>
        <v/>
      </c>
      <c r="BK337" t="str">
        <f t="shared" si="102"/>
        <v/>
      </c>
      <c r="BL337" t="str">
        <f t="shared" si="107"/>
        <v>Amoxicilline</v>
      </c>
      <c r="BM337" t="str">
        <f t="shared" si="103"/>
        <v>Amoxicilline</v>
      </c>
      <c r="BN337" t="str">
        <f t="shared" si="104"/>
        <v/>
      </c>
      <c r="BO337" t="str">
        <f t="shared" si="105"/>
        <v/>
      </c>
      <c r="BP337" t="str">
        <f t="shared" si="108"/>
        <v>Penicillines</v>
      </c>
      <c r="BQ337" t="str">
        <f t="shared" si="109"/>
        <v>Penicillines</v>
      </c>
      <c r="BR337" t="str">
        <f t="shared" si="110"/>
        <v/>
      </c>
      <c r="BS337" t="str">
        <f t="shared" si="111"/>
        <v/>
      </c>
      <c r="BT337" s="76" t="str">
        <f t="shared" si="112"/>
        <v>Voie orale  hors prémélanges médicamenteux</v>
      </c>
      <c r="BU337" t="str">
        <f t="shared" si="113"/>
        <v/>
      </c>
      <c r="CN337">
        <v>336</v>
      </c>
    </row>
    <row r="338" spans="1:92" x14ac:dyDescent="0.3">
      <c r="A338" s="118" t="s">
        <v>3830</v>
      </c>
      <c r="B338" t="s">
        <v>3831</v>
      </c>
      <c r="C338" t="s">
        <v>4547</v>
      </c>
      <c r="D338" s="144" t="s">
        <v>2503</v>
      </c>
      <c r="E338" t="s">
        <v>765</v>
      </c>
      <c r="F338" t="s">
        <v>3832</v>
      </c>
      <c r="G338" t="s">
        <v>1309</v>
      </c>
      <c r="H338" t="s">
        <v>816</v>
      </c>
      <c r="I338" t="s">
        <v>817</v>
      </c>
      <c r="J338" t="s">
        <v>1269</v>
      </c>
      <c r="K338" t="s">
        <v>1269</v>
      </c>
      <c r="L338" t="s">
        <v>2389</v>
      </c>
      <c r="M338" t="s">
        <v>208</v>
      </c>
      <c r="N338" t="s">
        <v>855</v>
      </c>
      <c r="O338" t="s">
        <v>771</v>
      </c>
      <c r="P338" t="s">
        <v>772</v>
      </c>
      <c r="Q338" t="s">
        <v>3833</v>
      </c>
      <c r="R338">
        <v>0</v>
      </c>
      <c r="S338">
        <v>0</v>
      </c>
      <c r="T338">
        <v>22</v>
      </c>
      <c r="U338">
        <v>28</v>
      </c>
      <c r="V338">
        <v>0</v>
      </c>
      <c r="W338">
        <v>0</v>
      </c>
      <c r="X338">
        <v>0</v>
      </c>
      <c r="Y338">
        <v>0</v>
      </c>
      <c r="Z338">
        <v>0</v>
      </c>
      <c r="AA338">
        <v>0</v>
      </c>
      <c r="AB338">
        <v>0</v>
      </c>
      <c r="AC338">
        <v>0</v>
      </c>
      <c r="AD338">
        <v>0</v>
      </c>
      <c r="AE338">
        <v>0</v>
      </c>
      <c r="AF338">
        <v>0</v>
      </c>
      <c r="AG338">
        <v>0</v>
      </c>
      <c r="AH338">
        <v>0</v>
      </c>
      <c r="AI338">
        <v>0</v>
      </c>
      <c r="AY338" t="str">
        <f t="shared" si="95"/>
        <v/>
      </c>
      <c r="AZ338" t="str">
        <f>IF(COUNTIF(AY:AY,AY338)=1,AY338,IF(AND(COUNTIF(AY:AY,AY338)&gt;1,COUNTIF(AZ$2:AZ337,AY338)&gt;=1),"",AY338))</f>
        <v/>
      </c>
      <c r="BA338" t="str">
        <f>IF(AZ338="","",COUNTIFS(AZ$3:AZ$1439,"&lt;"&amp;AZ338,AZ$3:AZ$1439,"&lt;&gt;0")+COUNTIF(AZ$3:AZ338,AZ338)-876)</f>
        <v/>
      </c>
      <c r="BC338">
        <v>336</v>
      </c>
      <c r="BD338" t="str">
        <f t="shared" si="106"/>
        <v>OCTACILLIN 697 MG/G POUDRE POUR ADMINISTRATION DANS L'EAU DE BOISSONS DES POULETS</v>
      </c>
      <c r="BE338" t="str">
        <f t="shared" si="96"/>
        <v>ORAL</v>
      </c>
      <c r="BF338" t="str">
        <f t="shared" si="97"/>
        <v>PENICILLINES</v>
      </c>
      <c r="BG338" t="str">
        <f t="shared" si="98"/>
        <v/>
      </c>
      <c r="BH338" t="str">
        <f t="shared" si="99"/>
        <v/>
      </c>
      <c r="BI338" t="str">
        <f t="shared" si="100"/>
        <v>amoxicillin</v>
      </c>
      <c r="BJ338" t="str">
        <f t="shared" si="101"/>
        <v/>
      </c>
      <c r="BK338" t="str">
        <f t="shared" si="102"/>
        <v/>
      </c>
      <c r="BL338" t="str">
        <f t="shared" si="107"/>
        <v>Amoxicilline</v>
      </c>
      <c r="BM338" t="str">
        <f t="shared" si="103"/>
        <v>Amoxicilline</v>
      </c>
      <c r="BN338" t="str">
        <f t="shared" si="104"/>
        <v/>
      </c>
      <c r="BO338" t="str">
        <f t="shared" si="105"/>
        <v/>
      </c>
      <c r="BP338" t="str">
        <f t="shared" si="108"/>
        <v>Penicillines</v>
      </c>
      <c r="BQ338" t="str">
        <f t="shared" si="109"/>
        <v>Penicillines</v>
      </c>
      <c r="BR338" t="str">
        <f t="shared" si="110"/>
        <v/>
      </c>
      <c r="BS338" t="str">
        <f t="shared" si="111"/>
        <v/>
      </c>
      <c r="BT338" s="76" t="str">
        <f t="shared" si="112"/>
        <v>Voie orale  hors prémélanges médicamenteux</v>
      </c>
      <c r="BU338" t="str">
        <f t="shared" si="113"/>
        <v/>
      </c>
      <c r="CN338">
        <v>337</v>
      </c>
    </row>
    <row r="339" spans="1:92" x14ac:dyDescent="0.3">
      <c r="A339" s="118" t="s">
        <v>3488</v>
      </c>
      <c r="B339" t="s">
        <v>208</v>
      </c>
      <c r="C339" t="s">
        <v>4531</v>
      </c>
      <c r="D339" s="144" t="s">
        <v>852</v>
      </c>
      <c r="E339" t="s">
        <v>813</v>
      </c>
      <c r="F339" t="s">
        <v>3491</v>
      </c>
      <c r="G339" t="s">
        <v>815</v>
      </c>
      <c r="H339" t="s">
        <v>860</v>
      </c>
      <c r="I339" t="s">
        <v>817</v>
      </c>
      <c r="J339" t="s">
        <v>1269</v>
      </c>
      <c r="K339" t="s">
        <v>1269</v>
      </c>
      <c r="L339" t="s">
        <v>2389</v>
      </c>
      <c r="M339" t="s">
        <v>208</v>
      </c>
      <c r="N339" t="s">
        <v>1163</v>
      </c>
      <c r="O339" t="s">
        <v>824</v>
      </c>
      <c r="P339" t="s">
        <v>772</v>
      </c>
      <c r="Q339" t="s">
        <v>1304</v>
      </c>
      <c r="R339">
        <v>0</v>
      </c>
      <c r="S339">
        <v>0</v>
      </c>
      <c r="T339">
        <v>22</v>
      </c>
      <c r="U339">
        <v>28</v>
      </c>
      <c r="V339">
        <v>0</v>
      </c>
      <c r="W339">
        <v>0</v>
      </c>
      <c r="X339">
        <v>0</v>
      </c>
      <c r="Y339">
        <v>0</v>
      </c>
      <c r="Z339">
        <v>0</v>
      </c>
      <c r="AA339">
        <v>0</v>
      </c>
      <c r="AB339">
        <v>0</v>
      </c>
      <c r="AC339">
        <v>0</v>
      </c>
      <c r="AD339">
        <v>0</v>
      </c>
      <c r="AE339">
        <v>0</v>
      </c>
      <c r="AF339">
        <v>0</v>
      </c>
      <c r="AG339">
        <v>0</v>
      </c>
      <c r="AH339">
        <v>0</v>
      </c>
      <c r="AI339">
        <v>0</v>
      </c>
      <c r="AY339" t="str">
        <f t="shared" si="95"/>
        <v/>
      </c>
      <c r="AZ339" t="str">
        <f>IF(COUNTIF(AY:AY,AY339)=1,AY339,IF(AND(COUNTIF(AY:AY,AY339)&gt;1,COUNTIF(AZ$2:AZ338,AY339)&gt;=1),"",AY339))</f>
        <v/>
      </c>
      <c r="BA339" t="str">
        <f>IF(AZ339="","",COUNTIFS(AZ$3:AZ$1439,"&lt;"&amp;AZ339,AZ$3:AZ$1439,"&lt;&gt;0")+COUNTIF(AZ$3:AZ339,AZ339)-876)</f>
        <v/>
      </c>
      <c r="BC339">
        <v>337</v>
      </c>
      <c r="BD339" t="str">
        <f t="shared" si="106"/>
        <v>OPHTOCYCLINE POMMADE OPHTALMIQUE POUR CHIENS CHATS ET CHEVAUX</v>
      </c>
      <c r="BE339" t="str">
        <f t="shared" si="96"/>
        <v>EXTERNE</v>
      </c>
      <c r="BF339" t="str">
        <f t="shared" si="97"/>
        <v>TETRACYCLINES</v>
      </c>
      <c r="BG339" t="str">
        <f t="shared" si="98"/>
        <v/>
      </c>
      <c r="BH339" t="str">
        <f t="shared" si="99"/>
        <v/>
      </c>
      <c r="BI339" t="str">
        <f t="shared" si="100"/>
        <v>chlortetracycline</v>
      </c>
      <c r="BJ339" t="str">
        <f t="shared" si="101"/>
        <v/>
      </c>
      <c r="BK339" t="str">
        <f t="shared" si="102"/>
        <v/>
      </c>
      <c r="BL339" t="str">
        <f t="shared" si="107"/>
        <v>Chlortétracycline</v>
      </c>
      <c r="BM339" t="str">
        <f t="shared" si="103"/>
        <v>Chlortétracycline</v>
      </c>
      <c r="BN339" t="str">
        <f t="shared" si="104"/>
        <v/>
      </c>
      <c r="BO339" t="str">
        <f t="shared" si="105"/>
        <v/>
      </c>
      <c r="BP339" t="str">
        <f t="shared" si="108"/>
        <v>Tetracyclines</v>
      </c>
      <c r="BQ339" t="str">
        <f t="shared" si="109"/>
        <v>Tetracyclines</v>
      </c>
      <c r="BR339" t="str">
        <f t="shared" si="110"/>
        <v/>
      </c>
      <c r="BS339" t="str">
        <f t="shared" si="111"/>
        <v/>
      </c>
      <c r="BT339" s="76" t="str">
        <f t="shared" si="112"/>
        <v>Voie externe</v>
      </c>
      <c r="BU339" t="str">
        <f t="shared" si="113"/>
        <v/>
      </c>
      <c r="CN339">
        <v>338</v>
      </c>
    </row>
    <row r="340" spans="1:92" x14ac:dyDescent="0.3">
      <c r="A340" s="118" t="s">
        <v>3488</v>
      </c>
      <c r="B340" t="s">
        <v>208</v>
      </c>
      <c r="C340" t="s">
        <v>4532</v>
      </c>
      <c r="D340" s="144" t="s">
        <v>869</v>
      </c>
      <c r="E340" t="s">
        <v>813</v>
      </c>
      <c r="F340" t="s">
        <v>3491</v>
      </c>
      <c r="G340" t="s">
        <v>815</v>
      </c>
      <c r="H340" t="s">
        <v>860</v>
      </c>
      <c r="I340" t="s">
        <v>817</v>
      </c>
      <c r="J340" t="s">
        <v>1269</v>
      </c>
      <c r="K340" t="s">
        <v>1269</v>
      </c>
      <c r="L340" t="s">
        <v>2389</v>
      </c>
      <c r="M340" t="s">
        <v>208</v>
      </c>
      <c r="N340" t="s">
        <v>1163</v>
      </c>
      <c r="O340" t="s">
        <v>824</v>
      </c>
      <c r="P340" t="s">
        <v>772</v>
      </c>
      <c r="Q340" t="s">
        <v>786</v>
      </c>
      <c r="R340">
        <v>0</v>
      </c>
      <c r="S340">
        <v>0</v>
      </c>
      <c r="T340">
        <v>22</v>
      </c>
      <c r="U340">
        <v>28</v>
      </c>
      <c r="V340">
        <v>0</v>
      </c>
      <c r="W340">
        <v>0</v>
      </c>
      <c r="X340">
        <v>0</v>
      </c>
      <c r="Y340">
        <v>0</v>
      </c>
      <c r="Z340">
        <v>0</v>
      </c>
      <c r="AA340">
        <v>0</v>
      </c>
      <c r="AB340">
        <v>0</v>
      </c>
      <c r="AC340">
        <v>0</v>
      </c>
      <c r="AD340">
        <v>0</v>
      </c>
      <c r="AE340">
        <v>0</v>
      </c>
      <c r="AF340">
        <v>0</v>
      </c>
      <c r="AG340">
        <v>0</v>
      </c>
      <c r="AH340">
        <v>0</v>
      </c>
      <c r="AI340">
        <v>0</v>
      </c>
      <c r="AY340" t="str">
        <f t="shared" si="95"/>
        <v/>
      </c>
      <c r="AZ340" t="str">
        <f>IF(COUNTIF(AY:AY,AY340)=1,AY340,IF(AND(COUNTIF(AY:AY,AY340)&gt;1,COUNTIF(AZ$2:AZ339,AY340)&gt;=1),"",AY340))</f>
        <v/>
      </c>
      <c r="BA340" t="str">
        <f>IF(AZ340="","",COUNTIFS(AZ$3:AZ$1439,"&lt;"&amp;AZ340,AZ$3:AZ$1439,"&lt;&gt;0")+COUNTIF(AZ$3:AZ340,AZ340)-876)</f>
        <v/>
      </c>
      <c r="BC340">
        <v>338</v>
      </c>
      <c r="BD340" t="str">
        <f t="shared" si="106"/>
        <v>ORBENIN HORS LACTATION</v>
      </c>
      <c r="BE340" t="str">
        <f t="shared" si="96"/>
        <v>INTRAMAM</v>
      </c>
      <c r="BF340" t="str">
        <f t="shared" si="97"/>
        <v>PENICILLINES</v>
      </c>
      <c r="BG340" t="str">
        <f t="shared" si="98"/>
        <v/>
      </c>
      <c r="BH340" t="str">
        <f t="shared" si="99"/>
        <v/>
      </c>
      <c r="BI340" t="str">
        <f t="shared" si="100"/>
        <v>cloxacillin</v>
      </c>
      <c r="BJ340" t="str">
        <f t="shared" si="101"/>
        <v/>
      </c>
      <c r="BK340" t="str">
        <f t="shared" si="102"/>
        <v/>
      </c>
      <c r="BL340" t="str">
        <f t="shared" si="107"/>
        <v>Cloxacilline</v>
      </c>
      <c r="BM340" t="str">
        <f t="shared" si="103"/>
        <v>Cloxacilline</v>
      </c>
      <c r="BN340" t="str">
        <f t="shared" si="104"/>
        <v/>
      </c>
      <c r="BO340" t="str">
        <f t="shared" si="105"/>
        <v/>
      </c>
      <c r="BP340" t="str">
        <f t="shared" si="108"/>
        <v>Penicillines</v>
      </c>
      <c r="BQ340" t="str">
        <f t="shared" si="109"/>
        <v>Penicillines</v>
      </c>
      <c r="BR340" t="str">
        <f t="shared" si="110"/>
        <v/>
      </c>
      <c r="BS340" t="str">
        <f t="shared" si="111"/>
        <v/>
      </c>
      <c r="BT340" s="76" t="str">
        <f t="shared" si="112"/>
        <v>Voie intramammaire</v>
      </c>
      <c r="BU340" t="str">
        <f t="shared" si="113"/>
        <v/>
      </c>
      <c r="CN340">
        <v>339</v>
      </c>
    </row>
    <row r="341" spans="1:92" x14ac:dyDescent="0.3">
      <c r="A341" s="118" t="s">
        <v>3488</v>
      </c>
      <c r="B341" t="s">
        <v>3492</v>
      </c>
      <c r="C341" t="s">
        <v>3493</v>
      </c>
      <c r="D341" s="144" t="s">
        <v>869</v>
      </c>
      <c r="E341" t="s">
        <v>813</v>
      </c>
      <c r="F341" t="s">
        <v>3491</v>
      </c>
      <c r="G341" t="s">
        <v>815</v>
      </c>
      <c r="H341" t="s">
        <v>860</v>
      </c>
      <c r="I341" t="s">
        <v>817</v>
      </c>
      <c r="J341" t="s">
        <v>1269</v>
      </c>
      <c r="K341" t="s">
        <v>1269</v>
      </c>
      <c r="L341" t="s">
        <v>2389</v>
      </c>
      <c r="M341" t="s">
        <v>208</v>
      </c>
      <c r="N341" t="s">
        <v>1163</v>
      </c>
      <c r="O341" t="s">
        <v>824</v>
      </c>
      <c r="P341" t="s">
        <v>772</v>
      </c>
      <c r="Q341" t="s">
        <v>786</v>
      </c>
      <c r="R341">
        <v>0</v>
      </c>
      <c r="S341">
        <v>0</v>
      </c>
      <c r="T341">
        <v>22</v>
      </c>
      <c r="U341">
        <v>28</v>
      </c>
      <c r="V341">
        <v>0</v>
      </c>
      <c r="W341">
        <v>0</v>
      </c>
      <c r="X341">
        <v>0</v>
      </c>
      <c r="Y341">
        <v>0</v>
      </c>
      <c r="Z341">
        <v>0</v>
      </c>
      <c r="AA341">
        <v>0</v>
      </c>
      <c r="AB341">
        <v>0</v>
      </c>
      <c r="AC341">
        <v>0</v>
      </c>
      <c r="AD341">
        <v>0</v>
      </c>
      <c r="AE341">
        <v>0</v>
      </c>
      <c r="AF341">
        <v>0</v>
      </c>
      <c r="AG341">
        <v>0</v>
      </c>
      <c r="AH341">
        <v>0</v>
      </c>
      <c r="AI341">
        <v>0</v>
      </c>
      <c r="AY341" t="str">
        <f t="shared" si="95"/>
        <v/>
      </c>
      <c r="AZ341" t="str">
        <f>IF(COUNTIF(AY:AY,AY341)=1,AY341,IF(AND(COUNTIF(AY:AY,AY341)&gt;1,COUNTIF(AZ$2:AZ340,AY341)&gt;=1),"",AY341))</f>
        <v/>
      </c>
      <c r="BA341" t="str">
        <f>IF(AZ341="","",COUNTIFS(AZ$3:AZ$1439,"&lt;"&amp;AZ341,AZ$3:AZ$1439,"&lt;&gt;0")+COUNTIF(AZ$3:AZ341,AZ341)-876)</f>
        <v/>
      </c>
      <c r="BC341">
        <v>339</v>
      </c>
      <c r="BD341" t="str">
        <f t="shared" si="106"/>
        <v>ORBENIN LONGUE ACTION</v>
      </c>
      <c r="BE341" t="str">
        <f t="shared" si="96"/>
        <v>INTRAMAM</v>
      </c>
      <c r="BF341" t="str">
        <f t="shared" si="97"/>
        <v>PENICILLINES</v>
      </c>
      <c r="BG341" t="str">
        <f t="shared" si="98"/>
        <v/>
      </c>
      <c r="BH341" t="str">
        <f t="shared" si="99"/>
        <v/>
      </c>
      <c r="BI341" t="str">
        <f t="shared" si="100"/>
        <v>cloxacillin</v>
      </c>
      <c r="BJ341" t="str">
        <f t="shared" si="101"/>
        <v/>
      </c>
      <c r="BK341" t="str">
        <f t="shared" si="102"/>
        <v/>
      </c>
      <c r="BL341" t="str">
        <f t="shared" si="107"/>
        <v>Cloxacilline</v>
      </c>
      <c r="BM341" t="str">
        <f t="shared" si="103"/>
        <v>Cloxacilline</v>
      </c>
      <c r="BN341" t="str">
        <f t="shared" si="104"/>
        <v/>
      </c>
      <c r="BO341" t="str">
        <f t="shared" si="105"/>
        <v/>
      </c>
      <c r="BP341" t="str">
        <f t="shared" si="108"/>
        <v>Penicillines</v>
      </c>
      <c r="BQ341" t="str">
        <f t="shared" si="109"/>
        <v>Penicillines</v>
      </c>
      <c r="BR341" t="str">
        <f t="shared" si="110"/>
        <v/>
      </c>
      <c r="BS341" t="str">
        <f t="shared" si="111"/>
        <v/>
      </c>
      <c r="BT341" s="76" t="str">
        <f t="shared" si="112"/>
        <v>Voie intramammaire</v>
      </c>
      <c r="BU341" t="str">
        <f t="shared" si="113"/>
        <v/>
      </c>
      <c r="CN341">
        <v>340</v>
      </c>
    </row>
    <row r="342" spans="1:92" x14ac:dyDescent="0.3">
      <c r="A342" s="118" t="s">
        <v>3488</v>
      </c>
      <c r="B342" t="s">
        <v>3489</v>
      </c>
      <c r="C342" t="s">
        <v>3490</v>
      </c>
      <c r="D342" s="144" t="s">
        <v>852</v>
      </c>
      <c r="E342" t="s">
        <v>813</v>
      </c>
      <c r="F342" t="s">
        <v>3491</v>
      </c>
      <c r="G342" t="s">
        <v>815</v>
      </c>
      <c r="H342" t="s">
        <v>860</v>
      </c>
      <c r="I342" t="s">
        <v>817</v>
      </c>
      <c r="J342" t="s">
        <v>1269</v>
      </c>
      <c r="K342" t="s">
        <v>1269</v>
      </c>
      <c r="L342" t="s">
        <v>2389</v>
      </c>
      <c r="M342" t="s">
        <v>208</v>
      </c>
      <c r="N342" t="s">
        <v>1163</v>
      </c>
      <c r="O342" t="s">
        <v>824</v>
      </c>
      <c r="P342" t="s">
        <v>772</v>
      </c>
      <c r="Q342" t="s">
        <v>1304</v>
      </c>
      <c r="R342">
        <v>0</v>
      </c>
      <c r="S342">
        <v>0</v>
      </c>
      <c r="T342">
        <v>22</v>
      </c>
      <c r="U342">
        <v>28</v>
      </c>
      <c r="V342">
        <v>0</v>
      </c>
      <c r="W342">
        <v>0</v>
      </c>
      <c r="X342">
        <v>0</v>
      </c>
      <c r="Y342">
        <v>0</v>
      </c>
      <c r="Z342">
        <v>0</v>
      </c>
      <c r="AA342">
        <v>0</v>
      </c>
      <c r="AB342">
        <v>0</v>
      </c>
      <c r="AC342">
        <v>0</v>
      </c>
      <c r="AD342">
        <v>0</v>
      </c>
      <c r="AE342">
        <v>0</v>
      </c>
      <c r="AF342">
        <v>0</v>
      </c>
      <c r="AG342">
        <v>0</v>
      </c>
      <c r="AH342">
        <v>0</v>
      </c>
      <c r="AI342">
        <v>0</v>
      </c>
      <c r="AY342" t="str">
        <f t="shared" si="95"/>
        <v/>
      </c>
      <c r="AZ342" t="str">
        <f>IF(COUNTIF(AY:AY,AY342)=1,AY342,IF(AND(COUNTIF(AY:AY,AY342)&gt;1,COUNTIF(AZ$2:AZ341,AY342)&gt;=1),"",AY342))</f>
        <v/>
      </c>
      <c r="BA342" t="str">
        <f>IF(AZ342="","",COUNTIFS(AZ$3:AZ$1439,"&lt;"&amp;AZ342,AZ$3:AZ$1439,"&lt;&gt;0")+COUNTIF(AZ$3:AZ342,AZ342)-876)</f>
        <v/>
      </c>
      <c r="BC342">
        <v>340</v>
      </c>
      <c r="BD342" t="str">
        <f t="shared" si="106"/>
        <v>ORBENOR HORS LACTATION</v>
      </c>
      <c r="BE342" t="str">
        <f t="shared" si="96"/>
        <v>INTRAMAM</v>
      </c>
      <c r="BF342" t="str">
        <f t="shared" si="97"/>
        <v>PENICILLINES</v>
      </c>
      <c r="BG342" t="str">
        <f t="shared" si="98"/>
        <v/>
      </c>
      <c r="BH342" t="str">
        <f t="shared" si="99"/>
        <v/>
      </c>
      <c r="BI342" t="str">
        <f t="shared" si="100"/>
        <v>cloxacillin</v>
      </c>
      <c r="BJ342" t="str">
        <f t="shared" si="101"/>
        <v/>
      </c>
      <c r="BK342" t="str">
        <f t="shared" si="102"/>
        <v/>
      </c>
      <c r="BL342" t="str">
        <f t="shared" si="107"/>
        <v>Cloxacilline</v>
      </c>
      <c r="BM342" t="str">
        <f t="shared" si="103"/>
        <v>Cloxacilline</v>
      </c>
      <c r="BN342" t="str">
        <f t="shared" si="104"/>
        <v/>
      </c>
      <c r="BO342" t="str">
        <f t="shared" si="105"/>
        <v/>
      </c>
      <c r="BP342" t="str">
        <f t="shared" si="108"/>
        <v>Penicillines</v>
      </c>
      <c r="BQ342" t="str">
        <f t="shared" si="109"/>
        <v>Penicillines</v>
      </c>
      <c r="BR342" t="str">
        <f t="shared" si="110"/>
        <v/>
      </c>
      <c r="BS342" t="str">
        <f t="shared" si="111"/>
        <v/>
      </c>
      <c r="BT342" s="76" t="str">
        <f t="shared" si="112"/>
        <v>Voie intramammaire</v>
      </c>
      <c r="BU342" t="str">
        <f t="shared" si="113"/>
        <v/>
      </c>
      <c r="CN342">
        <v>341</v>
      </c>
    </row>
    <row r="343" spans="1:92" x14ac:dyDescent="0.3">
      <c r="A343" s="118" t="s">
        <v>4046</v>
      </c>
      <c r="B343" t="s">
        <v>4047</v>
      </c>
      <c r="C343" t="s">
        <v>4567</v>
      </c>
      <c r="D343" s="144" t="s">
        <v>764</v>
      </c>
      <c r="E343" t="s">
        <v>813</v>
      </c>
      <c r="F343" t="s">
        <v>4048</v>
      </c>
      <c r="G343" t="s">
        <v>815</v>
      </c>
      <c r="H343" t="s">
        <v>860</v>
      </c>
      <c r="I343" t="s">
        <v>817</v>
      </c>
      <c r="J343" t="s">
        <v>1269</v>
      </c>
      <c r="K343" t="s">
        <v>1269</v>
      </c>
      <c r="L343" t="s">
        <v>2389</v>
      </c>
      <c r="M343" t="s">
        <v>208</v>
      </c>
      <c r="N343" t="s">
        <v>1163</v>
      </c>
      <c r="O343" t="s">
        <v>824</v>
      </c>
      <c r="P343" t="s">
        <v>772</v>
      </c>
      <c r="Q343" t="s">
        <v>797</v>
      </c>
      <c r="R343">
        <v>0</v>
      </c>
      <c r="S343">
        <v>0</v>
      </c>
      <c r="T343">
        <v>22</v>
      </c>
      <c r="U343">
        <v>28</v>
      </c>
      <c r="V343">
        <v>0</v>
      </c>
      <c r="W343">
        <v>0</v>
      </c>
      <c r="X343">
        <v>0</v>
      </c>
      <c r="Y343">
        <v>0</v>
      </c>
      <c r="Z343">
        <v>0</v>
      </c>
      <c r="AA343">
        <v>0</v>
      </c>
      <c r="AB343">
        <v>0</v>
      </c>
      <c r="AC343">
        <v>0</v>
      </c>
      <c r="AD343">
        <v>0</v>
      </c>
      <c r="AE343">
        <v>0</v>
      </c>
      <c r="AF343">
        <v>0</v>
      </c>
      <c r="AG343">
        <v>0</v>
      </c>
      <c r="AH343">
        <v>0</v>
      </c>
      <c r="AI343">
        <v>0</v>
      </c>
      <c r="AY343" t="str">
        <f t="shared" si="95"/>
        <v/>
      </c>
      <c r="AZ343" t="str">
        <f>IF(COUNTIF(AY:AY,AY343)=1,AY343,IF(AND(COUNTIF(AY:AY,AY343)&gt;1,COUNTIF(AZ$2:AZ342,AY343)&gt;=1),"",AY343))</f>
        <v/>
      </c>
      <c r="BA343" t="str">
        <f>IF(AZ343="","",COUNTIFS(AZ$3:AZ$1439,"&lt;"&amp;AZ343,AZ$3:AZ$1439,"&lt;&gt;0")+COUNTIF(AZ$3:AZ343,AZ343)-876)</f>
        <v/>
      </c>
      <c r="BC343">
        <v>341</v>
      </c>
      <c r="BD343" t="str">
        <f t="shared" si="106"/>
        <v>ORNIFLOX 25 MG/ML SOLUTION A DILUER POUR SOLUTION BUVABLE POUR LAPINS DE COMPAGNIE, RONGEURS, OISEAUX D'ORNEMENT ET REPTILES</v>
      </c>
      <c r="BE343" t="str">
        <f t="shared" si="96"/>
        <v>ORAL</v>
      </c>
      <c r="BF343" t="str">
        <f t="shared" si="97"/>
        <v>FLUOROQUINOLONES</v>
      </c>
      <c r="BG343" t="str">
        <f t="shared" si="98"/>
        <v/>
      </c>
      <c r="BH343" t="str">
        <f t="shared" si="99"/>
        <v/>
      </c>
      <c r="BI343" t="str">
        <f t="shared" si="100"/>
        <v>enrofloxacin</v>
      </c>
      <c r="BJ343" t="str">
        <f t="shared" si="101"/>
        <v/>
      </c>
      <c r="BK343" t="str">
        <f t="shared" si="102"/>
        <v/>
      </c>
      <c r="BL343" t="str">
        <f t="shared" si="107"/>
        <v>Enrofloxacine</v>
      </c>
      <c r="BM343" t="str">
        <f t="shared" si="103"/>
        <v>Enrofloxacine</v>
      </c>
      <c r="BN343" t="str">
        <f t="shared" si="104"/>
        <v/>
      </c>
      <c r="BO343" t="str">
        <f t="shared" si="105"/>
        <v/>
      </c>
      <c r="BP343" t="str">
        <f t="shared" si="108"/>
        <v>Fluoroquinolones</v>
      </c>
      <c r="BQ343" t="str">
        <f t="shared" si="109"/>
        <v>Fluoroquinolones</v>
      </c>
      <c r="BR343" t="str">
        <f t="shared" si="110"/>
        <v/>
      </c>
      <c r="BS343" t="str">
        <f t="shared" si="111"/>
        <v/>
      </c>
      <c r="BT343" s="76" t="str">
        <f t="shared" si="112"/>
        <v>Voie orale  hors prémélanges médicamenteux</v>
      </c>
      <c r="BU343" t="str">
        <f t="shared" si="113"/>
        <v>x</v>
      </c>
      <c r="CN343">
        <v>342</v>
      </c>
    </row>
    <row r="344" spans="1:92" x14ac:dyDescent="0.3">
      <c r="A344" s="118" t="s">
        <v>2956</v>
      </c>
      <c r="B344" t="s">
        <v>2957</v>
      </c>
      <c r="C344" t="s">
        <v>2958</v>
      </c>
      <c r="D344" s="144" t="s">
        <v>852</v>
      </c>
      <c r="E344" t="s">
        <v>813</v>
      </c>
      <c r="F344" t="s">
        <v>2959</v>
      </c>
      <c r="G344" t="s">
        <v>815</v>
      </c>
      <c r="H344" t="s">
        <v>860</v>
      </c>
      <c r="I344" t="s">
        <v>817</v>
      </c>
      <c r="J344" t="s">
        <v>1269</v>
      </c>
      <c r="K344" t="s">
        <v>1269</v>
      </c>
      <c r="L344" t="s">
        <v>2389</v>
      </c>
      <c r="M344" t="s">
        <v>208</v>
      </c>
      <c r="N344" t="s">
        <v>1255</v>
      </c>
      <c r="O344" t="s">
        <v>824</v>
      </c>
      <c r="P344" t="s">
        <v>772</v>
      </c>
      <c r="Q344" t="s">
        <v>2960</v>
      </c>
      <c r="R344">
        <v>0</v>
      </c>
      <c r="S344">
        <v>0</v>
      </c>
      <c r="T344">
        <v>22</v>
      </c>
      <c r="U344">
        <v>28</v>
      </c>
      <c r="V344">
        <v>0</v>
      </c>
      <c r="W344">
        <v>0</v>
      </c>
      <c r="X344">
        <v>0</v>
      </c>
      <c r="Y344">
        <v>0</v>
      </c>
      <c r="Z344">
        <v>0</v>
      </c>
      <c r="AA344">
        <v>0</v>
      </c>
      <c r="AB344">
        <v>0</v>
      </c>
      <c r="AC344">
        <v>0</v>
      </c>
      <c r="AD344">
        <v>0</v>
      </c>
      <c r="AE344">
        <v>0</v>
      </c>
      <c r="AF344">
        <v>0</v>
      </c>
      <c r="AG344">
        <v>0</v>
      </c>
      <c r="AH344">
        <v>0</v>
      </c>
      <c r="AI344">
        <v>0</v>
      </c>
      <c r="AY344" t="str">
        <f t="shared" si="95"/>
        <v/>
      </c>
      <c r="AZ344" t="str">
        <f>IF(COUNTIF(AY:AY,AY344)=1,AY344,IF(AND(COUNTIF(AY:AY,AY344)&gt;1,COUNTIF(AZ$2:AZ343,AY344)&gt;=1),"",AY344))</f>
        <v/>
      </c>
      <c r="BA344" t="str">
        <f>IF(AZ344="","",COUNTIFS(AZ$3:AZ$1439,"&lt;"&amp;AZ344,AZ$3:AZ$1439,"&lt;&gt;0")+COUNTIF(AZ$3:AZ344,AZ344)-876)</f>
        <v/>
      </c>
      <c r="BC344">
        <v>342</v>
      </c>
      <c r="BD344" t="str">
        <f t="shared" si="106"/>
        <v>OROSPRAY</v>
      </c>
      <c r="BE344" t="str">
        <f t="shared" si="96"/>
        <v>EXTERNE</v>
      </c>
      <c r="BF344" t="str">
        <f t="shared" si="97"/>
        <v>SULFAMIDES</v>
      </c>
      <c r="BG344" t="str">
        <f t="shared" si="98"/>
        <v>TETRACYCLINES</v>
      </c>
      <c r="BH344" t="str">
        <f t="shared" si="99"/>
        <v/>
      </c>
      <c r="BI344" t="str">
        <f t="shared" si="100"/>
        <v>sulfanilamide</v>
      </c>
      <c r="BJ344" t="str">
        <f t="shared" si="101"/>
        <v>chlortetracycline</v>
      </c>
      <c r="BK344" t="str">
        <f t="shared" si="102"/>
        <v/>
      </c>
      <c r="BL344" t="str">
        <f t="shared" si="107"/>
        <v>Sulfanilamide + Chlortétracycline</v>
      </c>
      <c r="BM344" t="str">
        <f t="shared" si="103"/>
        <v>Sulfanilamide</v>
      </c>
      <c r="BN344" t="str">
        <f t="shared" si="104"/>
        <v>Chlortétracycline</v>
      </c>
      <c r="BO344" t="str">
        <f t="shared" si="105"/>
        <v/>
      </c>
      <c r="BP344" t="str">
        <f t="shared" si="108"/>
        <v>Sulfamides + Tetracyclines</v>
      </c>
      <c r="BQ344" t="str">
        <f t="shared" si="109"/>
        <v>Sulfamides</v>
      </c>
      <c r="BR344" t="str">
        <f t="shared" si="110"/>
        <v>Tetracyclines</v>
      </c>
      <c r="BS344" t="str">
        <f t="shared" si="111"/>
        <v/>
      </c>
      <c r="BT344" s="76" t="str">
        <f t="shared" si="112"/>
        <v>Voie externe</v>
      </c>
      <c r="BU344" t="str">
        <f t="shared" si="113"/>
        <v/>
      </c>
      <c r="CN344">
        <v>343</v>
      </c>
    </row>
    <row r="345" spans="1:92" x14ac:dyDescent="0.3">
      <c r="A345" s="118" t="s">
        <v>2956</v>
      </c>
      <c r="B345" t="s">
        <v>2961</v>
      </c>
      <c r="C345" t="s">
        <v>2962</v>
      </c>
      <c r="D345" s="144" t="s">
        <v>869</v>
      </c>
      <c r="E345" t="s">
        <v>813</v>
      </c>
      <c r="F345" t="s">
        <v>2959</v>
      </c>
      <c r="G345" t="s">
        <v>815</v>
      </c>
      <c r="H345" t="s">
        <v>860</v>
      </c>
      <c r="I345" t="s">
        <v>817</v>
      </c>
      <c r="J345" t="s">
        <v>1269</v>
      </c>
      <c r="K345" t="s">
        <v>1269</v>
      </c>
      <c r="L345" t="s">
        <v>2389</v>
      </c>
      <c r="M345" t="s">
        <v>208</v>
      </c>
      <c r="N345" t="s">
        <v>1255</v>
      </c>
      <c r="O345" t="s">
        <v>824</v>
      </c>
      <c r="P345" t="s">
        <v>772</v>
      </c>
      <c r="Q345" t="s">
        <v>1118</v>
      </c>
      <c r="R345">
        <v>0</v>
      </c>
      <c r="S345">
        <v>0</v>
      </c>
      <c r="T345">
        <v>22</v>
      </c>
      <c r="U345">
        <v>28</v>
      </c>
      <c r="V345">
        <v>0</v>
      </c>
      <c r="W345">
        <v>0</v>
      </c>
      <c r="X345">
        <v>0</v>
      </c>
      <c r="Y345">
        <v>0</v>
      </c>
      <c r="Z345">
        <v>0</v>
      </c>
      <c r="AA345">
        <v>0</v>
      </c>
      <c r="AB345">
        <v>0</v>
      </c>
      <c r="AC345">
        <v>0</v>
      </c>
      <c r="AD345">
        <v>0</v>
      </c>
      <c r="AE345">
        <v>0</v>
      </c>
      <c r="AF345">
        <v>0</v>
      </c>
      <c r="AG345">
        <v>0</v>
      </c>
      <c r="AH345">
        <v>0</v>
      </c>
      <c r="AI345">
        <v>0</v>
      </c>
      <c r="AY345" t="str">
        <f t="shared" si="95"/>
        <v/>
      </c>
      <c r="AZ345" t="str">
        <f>IF(COUNTIF(AY:AY,AY345)=1,AY345,IF(AND(COUNTIF(AY:AY,AY345)&gt;1,COUNTIF(AZ$2:AZ344,AY345)&gt;=1),"",AY345))</f>
        <v/>
      </c>
      <c r="BA345" t="str">
        <f>IF(AZ345="","",COUNTIFS(AZ$3:AZ$1439,"&lt;"&amp;AZ345,AZ$3:AZ$1439,"&lt;&gt;0")+COUNTIF(AZ$3:AZ345,AZ345)-876)</f>
        <v/>
      </c>
      <c r="BC345">
        <v>343</v>
      </c>
      <c r="BD345" t="str">
        <f t="shared" si="106"/>
        <v>OTC 50 FRANVET</v>
      </c>
      <c r="BE345" t="str">
        <f t="shared" si="96"/>
        <v>ORAL</v>
      </c>
      <c r="BF345" t="str">
        <f t="shared" si="97"/>
        <v>TETRACYCLINES</v>
      </c>
      <c r="BG345" t="str">
        <f t="shared" si="98"/>
        <v/>
      </c>
      <c r="BH345" t="str">
        <f t="shared" si="99"/>
        <v/>
      </c>
      <c r="BI345" t="str">
        <f t="shared" si="100"/>
        <v>oxytetracycline</v>
      </c>
      <c r="BJ345" t="str">
        <f t="shared" si="101"/>
        <v/>
      </c>
      <c r="BK345" t="str">
        <f t="shared" si="102"/>
        <v/>
      </c>
      <c r="BL345" t="str">
        <f t="shared" si="107"/>
        <v>Oxytétracycline</v>
      </c>
      <c r="BM345" t="str">
        <f t="shared" si="103"/>
        <v>Oxytétracycline</v>
      </c>
      <c r="BN345" t="str">
        <f t="shared" si="104"/>
        <v/>
      </c>
      <c r="BO345" t="str">
        <f t="shared" si="105"/>
        <v/>
      </c>
      <c r="BP345" t="str">
        <f t="shared" si="108"/>
        <v>Tetracyclines</v>
      </c>
      <c r="BQ345" t="str">
        <f t="shared" si="109"/>
        <v>Tetracyclines</v>
      </c>
      <c r="BR345" t="str">
        <f t="shared" si="110"/>
        <v/>
      </c>
      <c r="BS345" t="str">
        <f t="shared" si="111"/>
        <v/>
      </c>
      <c r="BT345" s="76" t="str">
        <f t="shared" si="112"/>
        <v>Voie orale  hors prémélanges médicamenteux</v>
      </c>
      <c r="BU345" t="str">
        <f t="shared" si="113"/>
        <v/>
      </c>
      <c r="CN345">
        <v>344</v>
      </c>
    </row>
    <row r="346" spans="1:92" x14ac:dyDescent="0.3">
      <c r="A346" s="118" t="s">
        <v>4041</v>
      </c>
      <c r="B346">
        <v>5099299032149</v>
      </c>
      <c r="C346" t="s">
        <v>4567</v>
      </c>
      <c r="D346" s="144" t="s">
        <v>764</v>
      </c>
      <c r="E346" t="s">
        <v>813</v>
      </c>
      <c r="F346" t="s">
        <v>4042</v>
      </c>
      <c r="G346" t="s">
        <v>815</v>
      </c>
      <c r="H346" t="s">
        <v>860</v>
      </c>
      <c r="I346" t="s">
        <v>817</v>
      </c>
      <c r="J346" t="s">
        <v>1269</v>
      </c>
      <c r="K346" t="s">
        <v>1269</v>
      </c>
      <c r="L346" t="s">
        <v>2389</v>
      </c>
      <c r="M346" t="s">
        <v>208</v>
      </c>
      <c r="N346" t="s">
        <v>1255</v>
      </c>
      <c r="O346" t="s">
        <v>824</v>
      </c>
      <c r="P346" t="s">
        <v>772</v>
      </c>
      <c r="Q346" t="s">
        <v>962</v>
      </c>
      <c r="R346">
        <v>0</v>
      </c>
      <c r="S346">
        <v>0</v>
      </c>
      <c r="T346">
        <v>22</v>
      </c>
      <c r="U346">
        <v>28</v>
      </c>
      <c r="V346">
        <v>0</v>
      </c>
      <c r="W346">
        <v>0</v>
      </c>
      <c r="X346">
        <v>0</v>
      </c>
      <c r="Y346">
        <v>0</v>
      </c>
      <c r="Z346">
        <v>0</v>
      </c>
      <c r="AA346">
        <v>0</v>
      </c>
      <c r="AB346">
        <v>0</v>
      </c>
      <c r="AC346">
        <v>0</v>
      </c>
      <c r="AD346">
        <v>0</v>
      </c>
      <c r="AE346">
        <v>0</v>
      </c>
      <c r="AF346">
        <v>0</v>
      </c>
      <c r="AG346">
        <v>0</v>
      </c>
      <c r="AH346">
        <v>0</v>
      </c>
      <c r="AI346">
        <v>0</v>
      </c>
      <c r="AY346" t="str">
        <f t="shared" si="95"/>
        <v/>
      </c>
      <c r="AZ346" t="str">
        <f>IF(COUNTIF(AY:AY,AY346)=1,AY346,IF(AND(COUNTIF(AY:AY,AY346)&gt;1,COUNTIF(AZ$2:AZ345,AY346)&gt;=1),"",AY346))</f>
        <v/>
      </c>
      <c r="BA346" t="str">
        <f>IF(AZ346="","",COUNTIFS(AZ$3:AZ$1439,"&lt;"&amp;AZ346,AZ$3:AZ$1439,"&lt;&gt;0")+COUNTIF(AZ$3:AZ346,AZ346)-876)</f>
        <v/>
      </c>
      <c r="BC346">
        <v>344</v>
      </c>
      <c r="BD346" t="str">
        <f t="shared" si="106"/>
        <v>OXOMID</v>
      </c>
      <c r="BE346" t="str">
        <f t="shared" si="96"/>
        <v>ORAL</v>
      </c>
      <c r="BF346" t="str">
        <f t="shared" si="97"/>
        <v>QUINOLONES</v>
      </c>
      <c r="BG346" t="str">
        <f t="shared" si="98"/>
        <v/>
      </c>
      <c r="BH346" t="str">
        <f t="shared" si="99"/>
        <v/>
      </c>
      <c r="BI346" t="str">
        <f t="shared" si="100"/>
        <v>oxolinic acid</v>
      </c>
      <c r="BJ346" t="str">
        <f t="shared" si="101"/>
        <v/>
      </c>
      <c r="BK346" t="str">
        <f t="shared" si="102"/>
        <v/>
      </c>
      <c r="BL346" t="str">
        <f t="shared" si="107"/>
        <v>Acide oxolinique</v>
      </c>
      <c r="BM346" t="str">
        <f t="shared" si="103"/>
        <v>Acide oxolinique</v>
      </c>
      <c r="BN346" t="str">
        <f t="shared" si="104"/>
        <v/>
      </c>
      <c r="BO346" t="str">
        <f t="shared" si="105"/>
        <v/>
      </c>
      <c r="BP346" t="str">
        <f t="shared" si="108"/>
        <v>Quinolones</v>
      </c>
      <c r="BQ346" t="str">
        <f t="shared" si="109"/>
        <v>Quinolones</v>
      </c>
      <c r="BR346" t="str">
        <f t="shared" si="110"/>
        <v/>
      </c>
      <c r="BS346" t="str">
        <f t="shared" si="111"/>
        <v/>
      </c>
      <c r="BT346" s="76" t="str">
        <f t="shared" si="112"/>
        <v>Voie orale  hors prémélanges médicamenteux</v>
      </c>
      <c r="BU346" t="str">
        <f t="shared" si="113"/>
        <v/>
      </c>
      <c r="CN346">
        <v>345</v>
      </c>
    </row>
    <row r="347" spans="1:92" x14ac:dyDescent="0.3">
      <c r="A347" s="118" t="s">
        <v>1806</v>
      </c>
      <c r="B347" t="s">
        <v>1807</v>
      </c>
      <c r="C347" t="s">
        <v>1808</v>
      </c>
      <c r="D347" s="144" t="s">
        <v>793</v>
      </c>
      <c r="E347" t="s">
        <v>813</v>
      </c>
      <c r="F347" t="s">
        <v>285</v>
      </c>
      <c r="G347" t="s">
        <v>1024</v>
      </c>
      <c r="H347" t="s">
        <v>801</v>
      </c>
      <c r="I347" t="s">
        <v>1013</v>
      </c>
      <c r="J347" t="s">
        <v>782</v>
      </c>
      <c r="K347" t="s">
        <v>787</v>
      </c>
      <c r="L347" t="s">
        <v>1014</v>
      </c>
      <c r="M347" t="s">
        <v>208</v>
      </c>
      <c r="N347" t="s">
        <v>906</v>
      </c>
      <c r="O347" t="s">
        <v>824</v>
      </c>
      <c r="P347" t="s">
        <v>772</v>
      </c>
      <c r="Q347" t="s">
        <v>786</v>
      </c>
      <c r="R347">
        <v>0</v>
      </c>
      <c r="S347">
        <v>0</v>
      </c>
      <c r="T347">
        <v>0</v>
      </c>
      <c r="U347">
        <v>0</v>
      </c>
      <c r="V347">
        <v>0</v>
      </c>
      <c r="W347">
        <v>0</v>
      </c>
      <c r="X347">
        <v>0</v>
      </c>
      <c r="Y347">
        <v>0</v>
      </c>
      <c r="Z347">
        <v>0</v>
      </c>
      <c r="AA347">
        <v>0</v>
      </c>
      <c r="AB347">
        <v>0</v>
      </c>
      <c r="AC347">
        <v>0</v>
      </c>
      <c r="AD347">
        <v>0</v>
      </c>
      <c r="AE347">
        <v>0</v>
      </c>
      <c r="AF347">
        <v>0</v>
      </c>
      <c r="AG347">
        <v>0</v>
      </c>
      <c r="AH347">
        <v>0</v>
      </c>
      <c r="AI347">
        <v>0</v>
      </c>
      <c r="AJ347" t="s">
        <v>783</v>
      </c>
      <c r="AK347" t="s">
        <v>784</v>
      </c>
      <c r="AL347" t="s">
        <v>208</v>
      </c>
      <c r="AM347" t="s">
        <v>1809</v>
      </c>
      <c r="AN347" t="s">
        <v>820</v>
      </c>
      <c r="AO347" t="s">
        <v>4370</v>
      </c>
      <c r="AP347" t="s">
        <v>4428</v>
      </c>
      <c r="AY347" t="str">
        <f t="shared" si="95"/>
        <v>CLOXAGEL HL 500</v>
      </c>
      <c r="AZ347" t="str">
        <f>IF(COUNTIF(AY:AY,AY347)=1,AY347,IF(AND(COUNTIF(AY:AY,AY347)&gt;1,COUNTIF(AZ$2:AZ346,AY347)&gt;=1),"",AY347))</f>
        <v>CLOXAGEL HL 500</v>
      </c>
      <c r="BA347">
        <f>IF(AZ347="","",COUNTIFS(AZ$3:AZ$1439,"&lt;"&amp;AZ347,AZ$3:AZ$1439,"&lt;&gt;0")+COUNTIF(AZ$3:AZ347,AZ347)-876)</f>
        <v>115</v>
      </c>
      <c r="BC347">
        <v>345</v>
      </c>
      <c r="BD347" t="str">
        <f t="shared" si="106"/>
        <v>OXOMID 20</v>
      </c>
      <c r="BE347" t="str">
        <f t="shared" si="96"/>
        <v>ORAL</v>
      </c>
      <c r="BF347" t="str">
        <f t="shared" si="97"/>
        <v>QUINOLONES</v>
      </c>
      <c r="BG347" t="str">
        <f t="shared" si="98"/>
        <v/>
      </c>
      <c r="BH347" t="str">
        <f t="shared" si="99"/>
        <v/>
      </c>
      <c r="BI347" t="str">
        <f t="shared" si="100"/>
        <v>oxolinic acid</v>
      </c>
      <c r="BJ347" t="str">
        <f t="shared" si="101"/>
        <v/>
      </c>
      <c r="BK347" t="str">
        <f t="shared" si="102"/>
        <v/>
      </c>
      <c r="BL347" t="str">
        <f t="shared" si="107"/>
        <v>Acide oxolinique</v>
      </c>
      <c r="BM347" t="str">
        <f t="shared" si="103"/>
        <v>Acide oxolinique</v>
      </c>
      <c r="BN347" t="str">
        <f t="shared" si="104"/>
        <v/>
      </c>
      <c r="BO347" t="str">
        <f t="shared" si="105"/>
        <v/>
      </c>
      <c r="BP347" t="str">
        <f t="shared" si="108"/>
        <v>Quinolones</v>
      </c>
      <c r="BQ347" t="str">
        <f t="shared" si="109"/>
        <v>Quinolones</v>
      </c>
      <c r="BR347" t="str">
        <f t="shared" si="110"/>
        <v/>
      </c>
      <c r="BS347" t="str">
        <f t="shared" si="111"/>
        <v/>
      </c>
      <c r="BT347" s="76" t="str">
        <f t="shared" si="112"/>
        <v>Voie orale  hors prémélanges médicamenteux</v>
      </c>
      <c r="BU347" t="str">
        <f t="shared" si="113"/>
        <v/>
      </c>
      <c r="CN347">
        <v>346</v>
      </c>
    </row>
    <row r="348" spans="1:92" x14ac:dyDescent="0.3">
      <c r="A348" s="118" t="s">
        <v>1806</v>
      </c>
      <c r="B348" t="s">
        <v>1810</v>
      </c>
      <c r="C348" t="s">
        <v>1811</v>
      </c>
      <c r="D348" s="144" t="s">
        <v>1047</v>
      </c>
      <c r="E348" t="s">
        <v>813</v>
      </c>
      <c r="F348" t="s">
        <v>285</v>
      </c>
      <c r="G348" t="s">
        <v>1024</v>
      </c>
      <c r="H348" t="s">
        <v>801</v>
      </c>
      <c r="I348" t="s">
        <v>1013</v>
      </c>
      <c r="J348" t="s">
        <v>782</v>
      </c>
      <c r="K348" t="s">
        <v>787</v>
      </c>
      <c r="L348" t="s">
        <v>1014</v>
      </c>
      <c r="M348" t="s">
        <v>208</v>
      </c>
      <c r="N348" t="s">
        <v>906</v>
      </c>
      <c r="O348" t="s">
        <v>824</v>
      </c>
      <c r="P348" t="s">
        <v>772</v>
      </c>
      <c r="Q348" t="s">
        <v>797</v>
      </c>
      <c r="R348">
        <v>0</v>
      </c>
      <c r="S348">
        <v>0</v>
      </c>
      <c r="T348">
        <v>0</v>
      </c>
      <c r="U348">
        <v>0</v>
      </c>
      <c r="V348">
        <v>0</v>
      </c>
      <c r="W348">
        <v>0</v>
      </c>
      <c r="X348">
        <v>0</v>
      </c>
      <c r="Y348">
        <v>0</v>
      </c>
      <c r="Z348">
        <v>0</v>
      </c>
      <c r="AA348">
        <v>0</v>
      </c>
      <c r="AB348">
        <v>0</v>
      </c>
      <c r="AC348">
        <v>0</v>
      </c>
      <c r="AD348">
        <v>0</v>
      </c>
      <c r="AE348">
        <v>0</v>
      </c>
      <c r="AF348">
        <v>0</v>
      </c>
      <c r="AG348">
        <v>0</v>
      </c>
      <c r="AH348">
        <v>0</v>
      </c>
      <c r="AI348">
        <v>0</v>
      </c>
      <c r="AJ348" t="s">
        <v>783</v>
      </c>
      <c r="AK348" t="s">
        <v>784</v>
      </c>
      <c r="AL348" t="s">
        <v>208</v>
      </c>
      <c r="AM348" t="s">
        <v>1809</v>
      </c>
      <c r="AN348" t="s">
        <v>820</v>
      </c>
      <c r="AO348" t="s">
        <v>4370</v>
      </c>
      <c r="AP348" t="s">
        <v>4429</v>
      </c>
      <c r="AY348" t="str">
        <f t="shared" si="95"/>
        <v>CLOXAGEL HL 500</v>
      </c>
      <c r="AZ348" t="str">
        <f>IF(COUNTIF(AY:AY,AY348)=1,AY348,IF(AND(COUNTIF(AY:AY,AY348)&gt;1,COUNTIF(AZ$2:AZ347,AY348)&gt;=1),"",AY348))</f>
        <v/>
      </c>
      <c r="BA348" t="str">
        <f>IF(AZ348="","",COUNTIFS(AZ$3:AZ$1439,"&lt;"&amp;AZ348,AZ$3:AZ$1439,"&lt;&gt;0")+COUNTIF(AZ$3:AZ348,AZ348)-876)</f>
        <v/>
      </c>
      <c r="BC348">
        <v>346</v>
      </c>
      <c r="BD348" t="str">
        <f t="shared" si="106"/>
        <v>OXOMID ACIDE OXOLINIQUE 240 SALMONIDES</v>
      </c>
      <c r="BE348" t="str">
        <f t="shared" si="96"/>
        <v>PM</v>
      </c>
      <c r="BF348" t="str">
        <f t="shared" si="97"/>
        <v>QUINOLONES</v>
      </c>
      <c r="BG348" t="str">
        <f t="shared" si="98"/>
        <v/>
      </c>
      <c r="BH348" t="str">
        <f t="shared" si="99"/>
        <v/>
      </c>
      <c r="BI348" t="str">
        <f t="shared" si="100"/>
        <v>oxolinic acid</v>
      </c>
      <c r="BJ348" t="str">
        <f t="shared" si="101"/>
        <v/>
      </c>
      <c r="BK348" t="str">
        <f t="shared" si="102"/>
        <v/>
      </c>
      <c r="BL348" t="str">
        <f t="shared" si="107"/>
        <v>Acide oxolinique</v>
      </c>
      <c r="BM348" t="str">
        <f t="shared" si="103"/>
        <v>Acide oxolinique</v>
      </c>
      <c r="BN348" t="str">
        <f t="shared" si="104"/>
        <v/>
      </c>
      <c r="BO348" t="str">
        <f t="shared" si="105"/>
        <v/>
      </c>
      <c r="BP348" t="str">
        <f t="shared" si="108"/>
        <v>Quinolones</v>
      </c>
      <c r="BQ348" t="str">
        <f t="shared" si="109"/>
        <v>Quinolones</v>
      </c>
      <c r="BR348" t="str">
        <f t="shared" si="110"/>
        <v/>
      </c>
      <c r="BS348" t="str">
        <f t="shared" si="111"/>
        <v/>
      </c>
      <c r="BT348" s="76" t="str">
        <f t="shared" si="112"/>
        <v>Prémélanges médicamenteux</v>
      </c>
      <c r="BU348" t="str">
        <f t="shared" si="113"/>
        <v/>
      </c>
      <c r="CN348">
        <v>347</v>
      </c>
    </row>
    <row r="349" spans="1:92" x14ac:dyDescent="0.3">
      <c r="A349" s="118" t="s">
        <v>1760</v>
      </c>
      <c r="B349" t="s">
        <v>1761</v>
      </c>
      <c r="C349" t="s">
        <v>1762</v>
      </c>
      <c r="D349" s="144" t="s">
        <v>1555</v>
      </c>
      <c r="E349" t="s">
        <v>813</v>
      </c>
      <c r="F349" t="s">
        <v>617</v>
      </c>
      <c r="G349" t="s">
        <v>1024</v>
      </c>
      <c r="H349" t="s">
        <v>801</v>
      </c>
      <c r="I349" t="s">
        <v>1013</v>
      </c>
      <c r="J349" t="s">
        <v>787</v>
      </c>
      <c r="K349" t="s">
        <v>787</v>
      </c>
      <c r="L349" t="s">
        <v>1014</v>
      </c>
      <c r="M349" t="s">
        <v>208</v>
      </c>
      <c r="N349" t="s">
        <v>906</v>
      </c>
      <c r="O349" t="s">
        <v>824</v>
      </c>
      <c r="P349" t="s">
        <v>772</v>
      </c>
      <c r="Q349" t="s">
        <v>1132</v>
      </c>
      <c r="R349">
        <v>0</v>
      </c>
      <c r="S349">
        <v>0</v>
      </c>
      <c r="T349">
        <v>0</v>
      </c>
      <c r="U349">
        <v>0</v>
      </c>
      <c r="V349">
        <v>0</v>
      </c>
      <c r="W349">
        <v>0</v>
      </c>
      <c r="X349">
        <v>0</v>
      </c>
      <c r="Y349">
        <v>0</v>
      </c>
      <c r="Z349">
        <v>0</v>
      </c>
      <c r="AA349">
        <v>0</v>
      </c>
      <c r="AB349">
        <v>0</v>
      </c>
      <c r="AC349">
        <v>0</v>
      </c>
      <c r="AD349">
        <v>0</v>
      </c>
      <c r="AE349">
        <v>0</v>
      </c>
      <c r="AF349">
        <v>0</v>
      </c>
      <c r="AG349">
        <v>0</v>
      </c>
      <c r="AH349">
        <v>0</v>
      </c>
      <c r="AI349">
        <v>0</v>
      </c>
      <c r="AY349" t="str">
        <f t="shared" si="95"/>
        <v>CLOXAMAM</v>
      </c>
      <c r="AZ349" t="str">
        <f>IF(COUNTIF(AY:AY,AY349)=1,AY349,IF(AND(COUNTIF(AY:AY,AY349)&gt;1,COUNTIF(AZ$2:AZ348,AY349)&gt;=1),"",AY349))</f>
        <v>CLOXAMAM</v>
      </c>
      <c r="BA349">
        <f>IF(AZ349="","",COUNTIFS(AZ$3:AZ$1439,"&lt;"&amp;AZ349,AZ$3:AZ$1439,"&lt;&gt;0")+COUNTIF(AZ$3:AZ349,AZ349)-876)</f>
        <v>116</v>
      </c>
      <c r="BC349">
        <v>347</v>
      </c>
      <c r="BD349" t="str">
        <f t="shared" si="106"/>
        <v>OXYCOLI</v>
      </c>
      <c r="BE349" t="str">
        <f t="shared" si="96"/>
        <v>PM</v>
      </c>
      <c r="BF349" t="str">
        <f t="shared" si="97"/>
        <v>TETRACYCLINES</v>
      </c>
      <c r="BG349" t="str">
        <f t="shared" si="98"/>
        <v>POLYPEPTIDES</v>
      </c>
      <c r="BH349" t="str">
        <f t="shared" si="99"/>
        <v/>
      </c>
      <c r="BI349" t="str">
        <f t="shared" si="100"/>
        <v>oxytetracycline</v>
      </c>
      <c r="BJ349" t="str">
        <f t="shared" si="101"/>
        <v>colistin</v>
      </c>
      <c r="BK349" t="str">
        <f t="shared" si="102"/>
        <v/>
      </c>
      <c r="BL349" t="str">
        <f t="shared" si="107"/>
        <v>Oxytétracycline + Colistine</v>
      </c>
      <c r="BM349" t="str">
        <f t="shared" si="103"/>
        <v>Oxytétracycline</v>
      </c>
      <c r="BN349" t="str">
        <f t="shared" si="104"/>
        <v>Colistine</v>
      </c>
      <c r="BO349" t="str">
        <f t="shared" si="105"/>
        <v/>
      </c>
      <c r="BP349" t="str">
        <f t="shared" si="108"/>
        <v>Tetracyclines + Polypeptides</v>
      </c>
      <c r="BQ349" t="str">
        <f t="shared" si="109"/>
        <v>Tetracyclines</v>
      </c>
      <c r="BR349" t="str">
        <f t="shared" si="110"/>
        <v>Polypeptides</v>
      </c>
      <c r="BS349" t="str">
        <f t="shared" si="111"/>
        <v/>
      </c>
      <c r="BT349" s="76" t="str">
        <f t="shared" si="112"/>
        <v>Prémélanges médicamenteux</v>
      </c>
      <c r="BU349" t="str">
        <f t="shared" si="113"/>
        <v>x</v>
      </c>
      <c r="CN349">
        <v>348</v>
      </c>
    </row>
    <row r="350" spans="1:92" x14ac:dyDescent="0.3">
      <c r="A350" s="118" t="s">
        <v>1044</v>
      </c>
      <c r="B350" t="s">
        <v>1045</v>
      </c>
      <c r="C350" t="s">
        <v>1046</v>
      </c>
      <c r="D350" s="144" t="s">
        <v>1047</v>
      </c>
      <c r="E350" t="s">
        <v>813</v>
      </c>
      <c r="F350" t="s">
        <v>286</v>
      </c>
      <c r="G350" t="s">
        <v>1024</v>
      </c>
      <c r="H350" t="s">
        <v>801</v>
      </c>
      <c r="I350" t="s">
        <v>1013</v>
      </c>
      <c r="J350" t="s">
        <v>787</v>
      </c>
      <c r="K350" t="s">
        <v>787</v>
      </c>
      <c r="L350" t="s">
        <v>1014</v>
      </c>
      <c r="M350" t="s">
        <v>208</v>
      </c>
      <c r="N350" t="s">
        <v>906</v>
      </c>
      <c r="O350" t="s">
        <v>824</v>
      </c>
      <c r="P350" t="s">
        <v>772</v>
      </c>
      <c r="Q350" t="s">
        <v>797</v>
      </c>
      <c r="R350">
        <v>0</v>
      </c>
      <c r="S350">
        <v>0</v>
      </c>
      <c r="T350">
        <v>0</v>
      </c>
      <c r="U350">
        <v>0</v>
      </c>
      <c r="V350">
        <v>0</v>
      </c>
      <c r="W350">
        <v>0</v>
      </c>
      <c r="X350">
        <v>0</v>
      </c>
      <c r="Y350">
        <v>0</v>
      </c>
      <c r="Z350">
        <v>0</v>
      </c>
      <c r="AA350">
        <v>0</v>
      </c>
      <c r="AB350">
        <v>0</v>
      </c>
      <c r="AC350">
        <v>0</v>
      </c>
      <c r="AD350">
        <v>0</v>
      </c>
      <c r="AE350">
        <v>0</v>
      </c>
      <c r="AF350">
        <v>0</v>
      </c>
      <c r="AG350">
        <v>0</v>
      </c>
      <c r="AH350">
        <v>0</v>
      </c>
      <c r="AI350">
        <v>0</v>
      </c>
      <c r="AY350" t="str">
        <f t="shared" si="95"/>
        <v>CLOXINE HL</v>
      </c>
      <c r="AZ350" t="str">
        <f>IF(COUNTIF(AY:AY,AY350)=1,AY350,IF(AND(COUNTIF(AY:AY,AY350)&gt;1,COUNTIF(AZ$2:AZ349,AY350)&gt;=1),"",AY350))</f>
        <v>CLOXINE HL</v>
      </c>
      <c r="BA350">
        <f>IF(AZ350="","",COUNTIFS(AZ$3:AZ$1439,"&lt;"&amp;AZ350,AZ$3:AZ$1439,"&lt;&gt;0")+COUNTIF(AZ$3:AZ350,AZ350)-876)</f>
        <v>117</v>
      </c>
      <c r="BC350">
        <v>348</v>
      </c>
      <c r="BD350" t="str">
        <f t="shared" si="106"/>
        <v>OXYTETRACYCLINE 10 % COOPHAVET</v>
      </c>
      <c r="BE350" t="str">
        <f t="shared" si="96"/>
        <v>ORAL</v>
      </c>
      <c r="BF350" t="str">
        <f t="shared" si="97"/>
        <v>TETRACYCLINES</v>
      </c>
      <c r="BG350" t="str">
        <f t="shared" si="98"/>
        <v/>
      </c>
      <c r="BH350" t="str">
        <f t="shared" si="99"/>
        <v/>
      </c>
      <c r="BI350" t="str">
        <f t="shared" si="100"/>
        <v>oxytetracycline</v>
      </c>
      <c r="BJ350" t="str">
        <f t="shared" si="101"/>
        <v/>
      </c>
      <c r="BK350" t="str">
        <f t="shared" si="102"/>
        <v/>
      </c>
      <c r="BL350" t="str">
        <f t="shared" si="107"/>
        <v>Oxytétracycline</v>
      </c>
      <c r="BM350" t="str">
        <f t="shared" si="103"/>
        <v>Oxytétracycline</v>
      </c>
      <c r="BN350" t="str">
        <f t="shared" si="104"/>
        <v/>
      </c>
      <c r="BO350" t="str">
        <f t="shared" si="105"/>
        <v/>
      </c>
      <c r="BP350" t="str">
        <f t="shared" si="108"/>
        <v>Tetracyclines</v>
      </c>
      <c r="BQ350" t="str">
        <f t="shared" si="109"/>
        <v>Tetracyclines</v>
      </c>
      <c r="BR350" t="str">
        <f t="shared" si="110"/>
        <v/>
      </c>
      <c r="BS350" t="str">
        <f t="shared" si="111"/>
        <v/>
      </c>
      <c r="BT350" s="76" t="str">
        <f t="shared" si="112"/>
        <v>Voie orale  hors prémélanges médicamenteux</v>
      </c>
      <c r="BU350" t="str">
        <f t="shared" si="113"/>
        <v/>
      </c>
      <c r="CN350">
        <v>349</v>
      </c>
    </row>
    <row r="351" spans="1:92" x14ac:dyDescent="0.3">
      <c r="A351" s="118" t="s">
        <v>2586</v>
      </c>
      <c r="B351" t="s">
        <v>2587</v>
      </c>
      <c r="C351" t="s">
        <v>1238</v>
      </c>
      <c r="D351" s="144" t="s">
        <v>780</v>
      </c>
      <c r="E351" t="s">
        <v>765</v>
      </c>
      <c r="F351" t="s">
        <v>287</v>
      </c>
      <c r="G351" t="s">
        <v>766</v>
      </c>
      <c r="H351" t="s">
        <v>1326</v>
      </c>
      <c r="I351" t="s">
        <v>766</v>
      </c>
      <c r="J351" t="s">
        <v>2165</v>
      </c>
      <c r="K351" t="s">
        <v>2165</v>
      </c>
      <c r="L351" t="s">
        <v>2588</v>
      </c>
      <c r="M351" t="s">
        <v>208</v>
      </c>
      <c r="N351" t="s">
        <v>855</v>
      </c>
      <c r="O351" t="s">
        <v>771</v>
      </c>
      <c r="P351" t="s">
        <v>772</v>
      </c>
      <c r="Q351" t="s">
        <v>1128</v>
      </c>
      <c r="R351">
        <v>2</v>
      </c>
      <c r="S351">
        <v>3</v>
      </c>
      <c r="T351">
        <v>2</v>
      </c>
      <c r="U351">
        <v>3</v>
      </c>
      <c r="V351">
        <v>2</v>
      </c>
      <c r="W351">
        <v>14</v>
      </c>
      <c r="X351">
        <v>0</v>
      </c>
      <c r="Y351">
        <v>0</v>
      </c>
      <c r="Z351">
        <v>0</v>
      </c>
      <c r="AA351">
        <v>0</v>
      </c>
      <c r="AB351">
        <v>0</v>
      </c>
      <c r="AC351">
        <v>0</v>
      </c>
      <c r="AD351">
        <v>2</v>
      </c>
      <c r="AE351">
        <v>5</v>
      </c>
      <c r="AF351">
        <v>0</v>
      </c>
      <c r="AG351">
        <v>0</v>
      </c>
      <c r="AH351">
        <v>0</v>
      </c>
      <c r="AI351">
        <v>0</v>
      </c>
      <c r="AY351" t="str">
        <f t="shared" si="95"/>
        <v>COBACTAN 2,5 %</v>
      </c>
      <c r="AZ351" t="str">
        <f>IF(COUNTIF(AY:AY,AY351)=1,AY351,IF(AND(COUNTIF(AY:AY,AY351)&gt;1,COUNTIF(AZ$2:AZ350,AY351)&gt;=1),"",AY351))</f>
        <v>COBACTAN 2,5 %</v>
      </c>
      <c r="BA351">
        <f>IF(AZ351="","",COUNTIFS(AZ$3:AZ$1439,"&lt;"&amp;AZ351,AZ$3:AZ$1439,"&lt;&gt;0")+COUNTIF(AZ$3:AZ351,AZ351)-876)</f>
        <v>118</v>
      </c>
      <c r="BC351">
        <v>349</v>
      </c>
      <c r="BD351" t="str">
        <f t="shared" si="106"/>
        <v>OXYTETRACYCLINE 10 % VETOQUINOL</v>
      </c>
      <c r="BE351" t="str">
        <f t="shared" si="96"/>
        <v>INJ</v>
      </c>
      <c r="BF351" t="str">
        <f t="shared" si="97"/>
        <v>TETRACYCLINES</v>
      </c>
      <c r="BG351" t="str">
        <f t="shared" si="98"/>
        <v/>
      </c>
      <c r="BH351" t="str">
        <f t="shared" si="99"/>
        <v/>
      </c>
      <c r="BI351" t="str">
        <f t="shared" si="100"/>
        <v>oxytetracycline</v>
      </c>
      <c r="BJ351" t="str">
        <f t="shared" si="101"/>
        <v/>
      </c>
      <c r="BK351" t="str">
        <f t="shared" si="102"/>
        <v/>
      </c>
      <c r="BL351" t="str">
        <f t="shared" si="107"/>
        <v>Oxytétracycline</v>
      </c>
      <c r="BM351" t="str">
        <f t="shared" si="103"/>
        <v>Oxytétracycline</v>
      </c>
      <c r="BN351" t="str">
        <f t="shared" si="104"/>
        <v/>
      </c>
      <c r="BO351" t="str">
        <f t="shared" si="105"/>
        <v/>
      </c>
      <c r="BP351" t="str">
        <f t="shared" si="108"/>
        <v>Tetracyclines</v>
      </c>
      <c r="BQ351" t="str">
        <f t="shared" si="109"/>
        <v>Tetracyclines</v>
      </c>
      <c r="BR351" t="str">
        <f t="shared" si="110"/>
        <v/>
      </c>
      <c r="BS351" t="str">
        <f t="shared" si="111"/>
        <v/>
      </c>
      <c r="BT351" s="76" t="str">
        <f t="shared" si="112"/>
        <v>Voie parentérale</v>
      </c>
      <c r="BU351" t="str">
        <f t="shared" si="113"/>
        <v/>
      </c>
      <c r="CN351">
        <v>350</v>
      </c>
    </row>
    <row r="352" spans="1:92" x14ac:dyDescent="0.3">
      <c r="A352" s="118" t="s">
        <v>2586</v>
      </c>
      <c r="B352" t="s">
        <v>2589</v>
      </c>
      <c r="C352" t="s">
        <v>792</v>
      </c>
      <c r="D352" s="144" t="s">
        <v>764</v>
      </c>
      <c r="E352" t="s">
        <v>765</v>
      </c>
      <c r="F352" t="s">
        <v>287</v>
      </c>
      <c r="G352" t="s">
        <v>766</v>
      </c>
      <c r="H352" t="s">
        <v>1326</v>
      </c>
      <c r="I352" t="s">
        <v>766</v>
      </c>
      <c r="J352" t="s">
        <v>2165</v>
      </c>
      <c r="K352" t="s">
        <v>2165</v>
      </c>
      <c r="L352" t="s">
        <v>2588</v>
      </c>
      <c r="M352" t="s">
        <v>208</v>
      </c>
      <c r="N352" t="s">
        <v>855</v>
      </c>
      <c r="O352" t="s">
        <v>771</v>
      </c>
      <c r="P352" t="s">
        <v>772</v>
      </c>
      <c r="Q352" t="s">
        <v>1126</v>
      </c>
      <c r="R352">
        <v>2</v>
      </c>
      <c r="S352">
        <v>3</v>
      </c>
      <c r="T352">
        <v>2</v>
      </c>
      <c r="U352">
        <v>3</v>
      </c>
      <c r="V352">
        <v>2</v>
      </c>
      <c r="W352">
        <v>14</v>
      </c>
      <c r="X352">
        <v>0</v>
      </c>
      <c r="Y352">
        <v>0</v>
      </c>
      <c r="Z352">
        <v>0</v>
      </c>
      <c r="AA352">
        <v>0</v>
      </c>
      <c r="AB352">
        <v>0</v>
      </c>
      <c r="AC352">
        <v>0</v>
      </c>
      <c r="AD352">
        <v>2</v>
      </c>
      <c r="AE352">
        <v>5</v>
      </c>
      <c r="AF352">
        <v>0</v>
      </c>
      <c r="AG352">
        <v>0</v>
      </c>
      <c r="AH352">
        <v>0</v>
      </c>
      <c r="AI352">
        <v>0</v>
      </c>
      <c r="AY352" t="str">
        <f t="shared" si="95"/>
        <v>COBACTAN 2,5 %</v>
      </c>
      <c r="AZ352" t="str">
        <f>IF(COUNTIF(AY:AY,AY352)=1,AY352,IF(AND(COUNTIF(AY:AY,AY352)&gt;1,COUNTIF(AZ$2:AZ351,AY352)&gt;=1),"",AY352))</f>
        <v/>
      </c>
      <c r="BA352" t="str">
        <f>IF(AZ352="","",COUNTIFS(AZ$3:AZ$1439,"&lt;"&amp;AZ352,AZ$3:AZ$1439,"&lt;&gt;0")+COUNTIF(AZ$3:AZ352,AZ352)-876)</f>
        <v/>
      </c>
      <c r="BC352">
        <v>350</v>
      </c>
      <c r="BD352" t="str">
        <f t="shared" si="106"/>
        <v>OXYTETRACYCLINE 100-B PORC ET AGNEAU-CHEVREAU SEVRES FRANVET</v>
      </c>
      <c r="BE352" t="str">
        <f t="shared" si="96"/>
        <v>PM</v>
      </c>
      <c r="BF352" t="str">
        <f t="shared" si="97"/>
        <v>TETRACYCLINES</v>
      </c>
      <c r="BG352" t="str">
        <f t="shared" si="98"/>
        <v/>
      </c>
      <c r="BH352" t="str">
        <f t="shared" si="99"/>
        <v/>
      </c>
      <c r="BI352" t="str">
        <f t="shared" si="100"/>
        <v>oxytetracycline</v>
      </c>
      <c r="BJ352" t="str">
        <f t="shared" si="101"/>
        <v/>
      </c>
      <c r="BK352" t="str">
        <f t="shared" si="102"/>
        <v/>
      </c>
      <c r="BL352" t="str">
        <f t="shared" si="107"/>
        <v>Oxytétracycline</v>
      </c>
      <c r="BM352" t="str">
        <f t="shared" si="103"/>
        <v>Oxytétracycline</v>
      </c>
      <c r="BN352" t="str">
        <f t="shared" si="104"/>
        <v/>
      </c>
      <c r="BO352" t="str">
        <f t="shared" si="105"/>
        <v/>
      </c>
      <c r="BP352" t="str">
        <f t="shared" si="108"/>
        <v>Tetracyclines</v>
      </c>
      <c r="BQ352" t="str">
        <f t="shared" si="109"/>
        <v>Tetracyclines</v>
      </c>
      <c r="BR352" t="str">
        <f t="shared" si="110"/>
        <v/>
      </c>
      <c r="BS352" t="str">
        <f t="shared" si="111"/>
        <v/>
      </c>
      <c r="BT352" s="76" t="str">
        <f t="shared" si="112"/>
        <v>Prémélanges médicamenteux</v>
      </c>
      <c r="BU352" t="str">
        <f t="shared" si="113"/>
        <v/>
      </c>
      <c r="CN352">
        <v>351</v>
      </c>
    </row>
    <row r="353" spans="1:92" x14ac:dyDescent="0.3">
      <c r="A353" s="118" t="s">
        <v>3422</v>
      </c>
      <c r="B353" t="s">
        <v>3423</v>
      </c>
      <c r="C353" t="s">
        <v>3424</v>
      </c>
      <c r="D353" s="144" t="s">
        <v>4459</v>
      </c>
      <c r="E353" t="s">
        <v>830</v>
      </c>
      <c r="F353" t="s">
        <v>618</v>
      </c>
      <c r="G353" t="s">
        <v>766</v>
      </c>
      <c r="H353" t="s">
        <v>3425</v>
      </c>
      <c r="I353" t="s">
        <v>766</v>
      </c>
      <c r="J353" t="s">
        <v>2165</v>
      </c>
      <c r="K353" t="s">
        <v>2165</v>
      </c>
      <c r="L353" t="s">
        <v>2588</v>
      </c>
      <c r="M353" t="s">
        <v>208</v>
      </c>
      <c r="N353" t="s">
        <v>829</v>
      </c>
      <c r="O353" t="s">
        <v>894</v>
      </c>
      <c r="P353" t="s">
        <v>772</v>
      </c>
      <c r="Q353" t="s">
        <v>4459</v>
      </c>
      <c r="R353">
        <v>2</v>
      </c>
      <c r="S353">
        <v>3</v>
      </c>
      <c r="T353">
        <v>2</v>
      </c>
      <c r="U353">
        <v>3</v>
      </c>
      <c r="V353">
        <v>2</v>
      </c>
      <c r="W353">
        <v>14</v>
      </c>
      <c r="X353">
        <v>0</v>
      </c>
      <c r="Y353">
        <v>0</v>
      </c>
      <c r="Z353">
        <v>0</v>
      </c>
      <c r="AA353">
        <v>0</v>
      </c>
      <c r="AB353">
        <v>0</v>
      </c>
      <c r="AC353">
        <v>0</v>
      </c>
      <c r="AD353">
        <v>0</v>
      </c>
      <c r="AE353">
        <v>0</v>
      </c>
      <c r="AF353">
        <v>0</v>
      </c>
      <c r="AG353">
        <v>0</v>
      </c>
      <c r="AH353">
        <v>0</v>
      </c>
      <c r="AI353">
        <v>0</v>
      </c>
      <c r="AY353" t="str">
        <f t="shared" si="95"/>
        <v>COBACTAN 4,5 % PS</v>
      </c>
      <c r="AZ353" t="str">
        <f>IF(COUNTIF(AY:AY,AY353)=1,AY353,IF(AND(COUNTIF(AY:AY,AY353)&gt;1,COUNTIF(AZ$2:AZ352,AY353)&gt;=1),"",AY353))</f>
        <v>COBACTAN 4,5 % PS</v>
      </c>
      <c r="BA353">
        <f>IF(AZ353="","",COUNTIFS(AZ$3:AZ$1439,"&lt;"&amp;AZ353,AZ$3:AZ$1439,"&lt;&gt;0")+COUNTIF(AZ$3:AZ353,AZ353)-876)</f>
        <v>119</v>
      </c>
      <c r="BC353">
        <v>351</v>
      </c>
      <c r="BD353" t="str">
        <f t="shared" si="106"/>
        <v>OXYTETRACYCLINE 100-CR PORC ET AGNEAU-CHEVREAU SEVRES FRANVET</v>
      </c>
      <c r="BE353" t="str">
        <f t="shared" si="96"/>
        <v>PM</v>
      </c>
      <c r="BF353" t="str">
        <f t="shared" si="97"/>
        <v>TETRACYCLINES</v>
      </c>
      <c r="BG353" t="str">
        <f t="shared" si="98"/>
        <v/>
      </c>
      <c r="BH353" t="str">
        <f t="shared" si="99"/>
        <v/>
      </c>
      <c r="BI353" t="str">
        <f t="shared" si="100"/>
        <v>oxytetracycline</v>
      </c>
      <c r="BJ353" t="str">
        <f t="shared" si="101"/>
        <v/>
      </c>
      <c r="BK353" t="str">
        <f t="shared" si="102"/>
        <v/>
      </c>
      <c r="BL353" t="str">
        <f t="shared" si="107"/>
        <v>Oxytétracycline</v>
      </c>
      <c r="BM353" t="str">
        <f t="shared" si="103"/>
        <v>Oxytétracycline</v>
      </c>
      <c r="BN353" t="str">
        <f t="shared" si="104"/>
        <v/>
      </c>
      <c r="BO353" t="str">
        <f t="shared" si="105"/>
        <v/>
      </c>
      <c r="BP353" t="str">
        <f t="shared" si="108"/>
        <v>Tetracyclines</v>
      </c>
      <c r="BQ353" t="str">
        <f t="shared" si="109"/>
        <v>Tetracyclines</v>
      </c>
      <c r="BR353" t="str">
        <f t="shared" si="110"/>
        <v/>
      </c>
      <c r="BS353" t="str">
        <f t="shared" si="111"/>
        <v/>
      </c>
      <c r="BT353" s="76" t="str">
        <f t="shared" si="112"/>
        <v>Prémélanges médicamenteux</v>
      </c>
      <c r="BU353" t="str">
        <f t="shared" si="113"/>
        <v/>
      </c>
      <c r="CN353">
        <v>352</v>
      </c>
    </row>
    <row r="354" spans="1:92" x14ac:dyDescent="0.3">
      <c r="A354" s="118" t="s">
        <v>3422</v>
      </c>
      <c r="B354" t="s">
        <v>3426</v>
      </c>
      <c r="C354" t="s">
        <v>3427</v>
      </c>
      <c r="D354" s="144" t="s">
        <v>1256</v>
      </c>
      <c r="E354" t="s">
        <v>830</v>
      </c>
      <c r="F354" t="s">
        <v>618</v>
      </c>
      <c r="G354" t="s">
        <v>766</v>
      </c>
      <c r="H354" t="s">
        <v>3425</v>
      </c>
      <c r="I354" t="s">
        <v>766</v>
      </c>
      <c r="J354" t="s">
        <v>2165</v>
      </c>
      <c r="K354" t="s">
        <v>2165</v>
      </c>
      <c r="L354" t="s">
        <v>2588</v>
      </c>
      <c r="M354" t="s">
        <v>208</v>
      </c>
      <c r="N354" t="s">
        <v>829</v>
      </c>
      <c r="O354" t="s">
        <v>894</v>
      </c>
      <c r="P354" t="s">
        <v>772</v>
      </c>
      <c r="Q354" t="s">
        <v>1256</v>
      </c>
      <c r="R354">
        <v>2</v>
      </c>
      <c r="S354">
        <v>3</v>
      </c>
      <c r="T354">
        <v>2</v>
      </c>
      <c r="U354">
        <v>3</v>
      </c>
      <c r="V354">
        <v>2</v>
      </c>
      <c r="W354">
        <v>14</v>
      </c>
      <c r="X354">
        <v>0</v>
      </c>
      <c r="Y354">
        <v>0</v>
      </c>
      <c r="Z354">
        <v>0</v>
      </c>
      <c r="AA354">
        <v>0</v>
      </c>
      <c r="AB354">
        <v>0</v>
      </c>
      <c r="AC354">
        <v>0</v>
      </c>
      <c r="AD354">
        <v>0</v>
      </c>
      <c r="AE354">
        <v>0</v>
      </c>
      <c r="AF354">
        <v>0</v>
      </c>
      <c r="AG354">
        <v>0</v>
      </c>
      <c r="AH354">
        <v>0</v>
      </c>
      <c r="AI354">
        <v>0</v>
      </c>
      <c r="AY354" t="str">
        <f t="shared" si="95"/>
        <v>COBACTAN 4,5 % PS</v>
      </c>
      <c r="AZ354" t="str">
        <f>IF(COUNTIF(AY:AY,AY354)=1,AY354,IF(AND(COUNTIF(AY:AY,AY354)&gt;1,COUNTIF(AZ$2:AZ353,AY354)&gt;=1),"",AY354))</f>
        <v/>
      </c>
      <c r="BA354" t="str">
        <f>IF(AZ354="","",COUNTIFS(AZ$3:AZ$1439,"&lt;"&amp;AZ354,AZ$3:AZ$1439,"&lt;&gt;0")+COUNTIF(AZ$3:AZ354,AZ354)-876)</f>
        <v/>
      </c>
      <c r="BC354">
        <v>352</v>
      </c>
      <c r="BD354" t="str">
        <f t="shared" si="106"/>
        <v>OXYTETRACYCLINE 200-D VEAU-AGNEAU-CHEVREAU FRANVET</v>
      </c>
      <c r="BE354" t="str">
        <f t="shared" si="96"/>
        <v>PM</v>
      </c>
      <c r="BF354" t="str">
        <f t="shared" si="97"/>
        <v>TETRACYCLINES</v>
      </c>
      <c r="BG354" t="str">
        <f t="shared" si="98"/>
        <v/>
      </c>
      <c r="BH354" t="str">
        <f t="shared" si="99"/>
        <v/>
      </c>
      <c r="BI354" t="str">
        <f t="shared" si="100"/>
        <v>oxytetracycline</v>
      </c>
      <c r="BJ354" t="str">
        <f t="shared" si="101"/>
        <v/>
      </c>
      <c r="BK354" t="str">
        <f t="shared" si="102"/>
        <v/>
      </c>
      <c r="BL354" t="str">
        <f t="shared" si="107"/>
        <v>Oxytétracycline</v>
      </c>
      <c r="BM354" t="str">
        <f t="shared" si="103"/>
        <v>Oxytétracycline</v>
      </c>
      <c r="BN354" t="str">
        <f t="shared" si="104"/>
        <v/>
      </c>
      <c r="BO354" t="str">
        <f t="shared" si="105"/>
        <v/>
      </c>
      <c r="BP354" t="str">
        <f t="shared" si="108"/>
        <v>Tetracyclines</v>
      </c>
      <c r="BQ354" t="str">
        <f t="shared" si="109"/>
        <v>Tetracyclines</v>
      </c>
      <c r="BR354" t="str">
        <f t="shared" si="110"/>
        <v/>
      </c>
      <c r="BS354" t="str">
        <f t="shared" si="111"/>
        <v/>
      </c>
      <c r="BT354" s="76" t="str">
        <f t="shared" si="112"/>
        <v>Prémélanges médicamenteux</v>
      </c>
      <c r="BU354" t="str">
        <f t="shared" si="113"/>
        <v/>
      </c>
      <c r="CN354">
        <v>353</v>
      </c>
    </row>
    <row r="355" spans="1:92" x14ac:dyDescent="0.3">
      <c r="A355" s="118" t="s">
        <v>3168</v>
      </c>
      <c r="B355" t="s">
        <v>3169</v>
      </c>
      <c r="C355" t="s">
        <v>1369</v>
      </c>
      <c r="D355" s="144" t="s">
        <v>780</v>
      </c>
      <c r="E355" t="s">
        <v>765</v>
      </c>
      <c r="F355" t="s">
        <v>288</v>
      </c>
      <c r="G355" t="s">
        <v>766</v>
      </c>
      <c r="H355" t="s">
        <v>801</v>
      </c>
      <c r="I355" t="s">
        <v>766</v>
      </c>
      <c r="J355" t="s">
        <v>2165</v>
      </c>
      <c r="K355" t="s">
        <v>2165</v>
      </c>
      <c r="L355" t="s">
        <v>2588</v>
      </c>
      <c r="M355" t="s">
        <v>208</v>
      </c>
      <c r="N355" t="s">
        <v>1255</v>
      </c>
      <c r="O355" t="s">
        <v>771</v>
      </c>
      <c r="P355" t="s">
        <v>772</v>
      </c>
      <c r="Q355" t="s">
        <v>1260</v>
      </c>
      <c r="R355">
        <v>2.5</v>
      </c>
      <c r="S355">
        <v>2</v>
      </c>
      <c r="T355">
        <v>2.5</v>
      </c>
      <c r="U355">
        <v>2</v>
      </c>
      <c r="V355">
        <v>0</v>
      </c>
      <c r="W355">
        <v>0</v>
      </c>
      <c r="X355">
        <v>0</v>
      </c>
      <c r="Y355">
        <v>0</v>
      </c>
      <c r="Z355">
        <v>0</v>
      </c>
      <c r="AA355">
        <v>0</v>
      </c>
      <c r="AB355">
        <v>0</v>
      </c>
      <c r="AC355">
        <v>0</v>
      </c>
      <c r="AD355">
        <v>0</v>
      </c>
      <c r="AE355">
        <v>0</v>
      </c>
      <c r="AF355">
        <v>0</v>
      </c>
      <c r="AG355">
        <v>0</v>
      </c>
      <c r="AH355">
        <v>0</v>
      </c>
      <c r="AI355">
        <v>0</v>
      </c>
      <c r="AY355" t="str">
        <f t="shared" si="95"/>
        <v>COBACTAN LA 7,5 % SUSPENSION INJECTABLE POUR BOVINS</v>
      </c>
      <c r="AZ355" t="str">
        <f>IF(COUNTIF(AY:AY,AY355)=1,AY355,IF(AND(COUNTIF(AY:AY,AY355)&gt;1,COUNTIF(AZ$2:AZ354,AY355)&gt;=1),"",AY355))</f>
        <v>COBACTAN LA 7,5 % SUSPENSION INJECTABLE POUR BOVINS</v>
      </c>
      <c r="BA355">
        <f>IF(AZ355="","",COUNTIFS(AZ$3:AZ$1439,"&lt;"&amp;AZ355,AZ$3:AZ$1439,"&lt;&gt;0")+COUNTIF(AZ$3:AZ355,AZ355)-876)</f>
        <v>120</v>
      </c>
      <c r="BC355">
        <v>353</v>
      </c>
      <c r="BD355" t="str">
        <f t="shared" si="106"/>
        <v>OXYTETRACYCLINE 40-CR LAPIN-VOLAILLE-PORC ET AGNEAU-CHEVREAU SEVRES FRANVET</v>
      </c>
      <c r="BE355" t="str">
        <f t="shared" si="96"/>
        <v>PM</v>
      </c>
      <c r="BF355" t="str">
        <f t="shared" si="97"/>
        <v>TETRACYCLINES</v>
      </c>
      <c r="BG355" t="str">
        <f t="shared" si="98"/>
        <v/>
      </c>
      <c r="BH355" t="str">
        <f t="shared" si="99"/>
        <v/>
      </c>
      <c r="BI355" t="str">
        <f t="shared" si="100"/>
        <v>oxytetracycline</v>
      </c>
      <c r="BJ355" t="str">
        <f t="shared" si="101"/>
        <v/>
      </c>
      <c r="BK355" t="str">
        <f t="shared" si="102"/>
        <v/>
      </c>
      <c r="BL355" t="str">
        <f t="shared" si="107"/>
        <v>Oxytétracycline</v>
      </c>
      <c r="BM355" t="str">
        <f t="shared" si="103"/>
        <v>Oxytétracycline</v>
      </c>
      <c r="BN355" t="str">
        <f t="shared" si="104"/>
        <v/>
      </c>
      <c r="BO355" t="str">
        <f t="shared" si="105"/>
        <v/>
      </c>
      <c r="BP355" t="str">
        <f t="shared" si="108"/>
        <v>Tetracyclines</v>
      </c>
      <c r="BQ355" t="str">
        <f t="shared" si="109"/>
        <v>Tetracyclines</v>
      </c>
      <c r="BR355" t="str">
        <f t="shared" si="110"/>
        <v/>
      </c>
      <c r="BS355" t="str">
        <f t="shared" si="111"/>
        <v/>
      </c>
      <c r="BT355" s="76" t="str">
        <f t="shared" si="112"/>
        <v>Prémélanges médicamenteux</v>
      </c>
      <c r="BU355" t="str">
        <f t="shared" si="113"/>
        <v/>
      </c>
      <c r="CN355">
        <v>354</v>
      </c>
    </row>
    <row r="356" spans="1:92" x14ac:dyDescent="0.3">
      <c r="A356" s="118" t="s">
        <v>3168</v>
      </c>
      <c r="B356" t="s">
        <v>3170</v>
      </c>
      <c r="C356" t="s">
        <v>1483</v>
      </c>
      <c r="D356" s="144" t="s">
        <v>764</v>
      </c>
      <c r="E356" t="s">
        <v>765</v>
      </c>
      <c r="F356" t="s">
        <v>288</v>
      </c>
      <c r="G356" t="s">
        <v>766</v>
      </c>
      <c r="H356" t="s">
        <v>801</v>
      </c>
      <c r="I356" t="s">
        <v>766</v>
      </c>
      <c r="J356" t="s">
        <v>2165</v>
      </c>
      <c r="K356" t="s">
        <v>2165</v>
      </c>
      <c r="L356" t="s">
        <v>2588</v>
      </c>
      <c r="M356" t="s">
        <v>208</v>
      </c>
      <c r="N356" t="s">
        <v>1255</v>
      </c>
      <c r="O356" t="s">
        <v>771</v>
      </c>
      <c r="P356" t="s">
        <v>772</v>
      </c>
      <c r="Q356" t="s">
        <v>962</v>
      </c>
      <c r="R356">
        <v>2.5</v>
      </c>
      <c r="S356">
        <v>2</v>
      </c>
      <c r="T356">
        <v>2.5</v>
      </c>
      <c r="U356">
        <v>2</v>
      </c>
      <c r="V356">
        <v>0</v>
      </c>
      <c r="W356">
        <v>0</v>
      </c>
      <c r="X356">
        <v>0</v>
      </c>
      <c r="Y356">
        <v>0</v>
      </c>
      <c r="Z356">
        <v>0</v>
      </c>
      <c r="AA356">
        <v>0</v>
      </c>
      <c r="AB356">
        <v>0</v>
      </c>
      <c r="AC356">
        <v>0</v>
      </c>
      <c r="AD356">
        <v>0</v>
      </c>
      <c r="AE356">
        <v>0</v>
      </c>
      <c r="AF356">
        <v>0</v>
      </c>
      <c r="AG356">
        <v>0</v>
      </c>
      <c r="AH356">
        <v>0</v>
      </c>
      <c r="AI356">
        <v>0</v>
      </c>
      <c r="AY356" t="str">
        <f t="shared" si="95"/>
        <v>COBACTAN LA 7,5 % SUSPENSION INJECTABLE POUR BOVINS</v>
      </c>
      <c r="AZ356" t="str">
        <f>IF(COUNTIF(AY:AY,AY356)=1,AY356,IF(AND(COUNTIF(AY:AY,AY356)&gt;1,COUNTIF(AZ$2:AZ355,AY356)&gt;=1),"",AY356))</f>
        <v/>
      </c>
      <c r="BA356" t="str">
        <f>IF(AZ356="","",COUNTIFS(AZ$3:AZ$1439,"&lt;"&amp;AZ356,AZ$3:AZ$1439,"&lt;&gt;0")+COUNTIF(AZ$3:AZ356,AZ356)-876)</f>
        <v/>
      </c>
      <c r="BC356">
        <v>354</v>
      </c>
      <c r="BD356" t="str">
        <f t="shared" si="106"/>
        <v>OXYTETRACYCLINE 5 % VETOQUINOL</v>
      </c>
      <c r="BE356" t="str">
        <f t="shared" si="96"/>
        <v>INJ</v>
      </c>
      <c r="BF356" t="str">
        <f t="shared" si="97"/>
        <v>TETRACYCLINES</v>
      </c>
      <c r="BG356" t="str">
        <f t="shared" si="98"/>
        <v/>
      </c>
      <c r="BH356" t="str">
        <f t="shared" si="99"/>
        <v/>
      </c>
      <c r="BI356" t="str">
        <f t="shared" si="100"/>
        <v>oxytetracycline</v>
      </c>
      <c r="BJ356" t="str">
        <f t="shared" si="101"/>
        <v/>
      </c>
      <c r="BK356" t="str">
        <f t="shared" si="102"/>
        <v/>
      </c>
      <c r="BL356" t="str">
        <f t="shared" si="107"/>
        <v>Oxytétracycline</v>
      </c>
      <c r="BM356" t="str">
        <f t="shared" si="103"/>
        <v>Oxytétracycline</v>
      </c>
      <c r="BN356" t="str">
        <f t="shared" si="104"/>
        <v/>
      </c>
      <c r="BO356" t="str">
        <f t="shared" si="105"/>
        <v/>
      </c>
      <c r="BP356" t="str">
        <f t="shared" si="108"/>
        <v>Tetracyclines</v>
      </c>
      <c r="BQ356" t="str">
        <f t="shared" si="109"/>
        <v>Tetracyclines</v>
      </c>
      <c r="BR356" t="str">
        <f t="shared" si="110"/>
        <v/>
      </c>
      <c r="BS356" t="str">
        <f t="shared" si="111"/>
        <v/>
      </c>
      <c r="BT356" s="76" t="str">
        <f t="shared" si="112"/>
        <v>Voie parentérale</v>
      </c>
      <c r="BU356" t="str">
        <f t="shared" si="113"/>
        <v/>
      </c>
      <c r="CN356">
        <v>355</v>
      </c>
    </row>
    <row r="357" spans="1:92" x14ac:dyDescent="0.3">
      <c r="A357" s="118" t="s">
        <v>3168</v>
      </c>
      <c r="B357" t="s">
        <v>3171</v>
      </c>
      <c r="C357" t="s">
        <v>1474</v>
      </c>
      <c r="D357" s="144" t="s">
        <v>776</v>
      </c>
      <c r="E357" t="s">
        <v>765</v>
      </c>
      <c r="F357" t="s">
        <v>288</v>
      </c>
      <c r="G357" t="s">
        <v>766</v>
      </c>
      <c r="H357" t="s">
        <v>801</v>
      </c>
      <c r="I357" t="s">
        <v>766</v>
      </c>
      <c r="J357" t="s">
        <v>2165</v>
      </c>
      <c r="K357" t="s">
        <v>2165</v>
      </c>
      <c r="L357" t="s">
        <v>2588</v>
      </c>
      <c r="M357" t="s">
        <v>208</v>
      </c>
      <c r="N357" t="s">
        <v>1255</v>
      </c>
      <c r="O357" t="s">
        <v>771</v>
      </c>
      <c r="P357" t="s">
        <v>772</v>
      </c>
      <c r="Q357" t="s">
        <v>1259</v>
      </c>
      <c r="R357">
        <v>2.5</v>
      </c>
      <c r="S357">
        <v>2</v>
      </c>
      <c r="T357">
        <v>2.5</v>
      </c>
      <c r="U357">
        <v>2</v>
      </c>
      <c r="V357">
        <v>0</v>
      </c>
      <c r="W357">
        <v>0</v>
      </c>
      <c r="X357">
        <v>0</v>
      </c>
      <c r="Y357">
        <v>0</v>
      </c>
      <c r="Z357">
        <v>0</v>
      </c>
      <c r="AA357">
        <v>0</v>
      </c>
      <c r="AB357">
        <v>0</v>
      </c>
      <c r="AC357">
        <v>0</v>
      </c>
      <c r="AD357">
        <v>0</v>
      </c>
      <c r="AE357">
        <v>0</v>
      </c>
      <c r="AF357">
        <v>0</v>
      </c>
      <c r="AG357">
        <v>0</v>
      </c>
      <c r="AH357">
        <v>0</v>
      </c>
      <c r="AI357">
        <v>0</v>
      </c>
      <c r="AY357" t="str">
        <f t="shared" si="95"/>
        <v>COBACTAN LA 7,5 % SUSPENSION INJECTABLE POUR BOVINS</v>
      </c>
      <c r="AZ357" t="str">
        <f>IF(COUNTIF(AY:AY,AY357)=1,AY357,IF(AND(COUNTIF(AY:AY,AY357)&gt;1,COUNTIF(AZ$2:AZ356,AY357)&gt;=1),"",AY357))</f>
        <v/>
      </c>
      <c r="BA357" t="str">
        <f>IF(AZ357="","",COUNTIFS(AZ$3:AZ$1439,"&lt;"&amp;AZ357,AZ$3:AZ$1439,"&lt;&gt;0")+COUNTIF(AZ$3:AZ357,AZ357)-876)</f>
        <v/>
      </c>
      <c r="BC357">
        <v>355</v>
      </c>
      <c r="BD357" t="str">
        <f t="shared" si="106"/>
        <v>OXYTETRACYCLINE 50 % VIRBAC</v>
      </c>
      <c r="BE357" t="str">
        <f t="shared" si="96"/>
        <v>ORAL</v>
      </c>
      <c r="BF357" t="str">
        <f t="shared" si="97"/>
        <v>TETRACYCLINES</v>
      </c>
      <c r="BG357" t="str">
        <f t="shared" si="98"/>
        <v/>
      </c>
      <c r="BH357" t="str">
        <f t="shared" si="99"/>
        <v/>
      </c>
      <c r="BI357" t="str">
        <f t="shared" si="100"/>
        <v>oxytetracycline</v>
      </c>
      <c r="BJ357" t="str">
        <f t="shared" si="101"/>
        <v/>
      </c>
      <c r="BK357" t="str">
        <f t="shared" si="102"/>
        <v/>
      </c>
      <c r="BL357" t="str">
        <f t="shared" si="107"/>
        <v>Oxytétracycline</v>
      </c>
      <c r="BM357" t="str">
        <f t="shared" si="103"/>
        <v>Oxytétracycline</v>
      </c>
      <c r="BN357" t="str">
        <f t="shared" si="104"/>
        <v/>
      </c>
      <c r="BO357" t="str">
        <f t="shared" si="105"/>
        <v/>
      </c>
      <c r="BP357" t="str">
        <f t="shared" si="108"/>
        <v>Tetracyclines</v>
      </c>
      <c r="BQ357" t="str">
        <f t="shared" si="109"/>
        <v>Tetracyclines</v>
      </c>
      <c r="BR357" t="str">
        <f t="shared" si="110"/>
        <v/>
      </c>
      <c r="BS357" t="str">
        <f t="shared" si="111"/>
        <v/>
      </c>
      <c r="BT357" s="76" t="str">
        <f t="shared" si="112"/>
        <v>Voie orale  hors prémélanges médicamenteux</v>
      </c>
      <c r="BU357" t="str">
        <f t="shared" si="113"/>
        <v/>
      </c>
      <c r="CN357">
        <v>356</v>
      </c>
    </row>
    <row r="358" spans="1:92" x14ac:dyDescent="0.3">
      <c r="A358" s="118" t="s">
        <v>2794</v>
      </c>
      <c r="B358" t="s">
        <v>2795</v>
      </c>
      <c r="C358" t="s">
        <v>2796</v>
      </c>
      <c r="D358" s="144" t="s">
        <v>972</v>
      </c>
      <c r="E358" t="s">
        <v>813</v>
      </c>
      <c r="F358" t="s">
        <v>289</v>
      </c>
      <c r="G358" t="s">
        <v>1013</v>
      </c>
      <c r="H358" t="s">
        <v>1387</v>
      </c>
      <c r="I358" t="s">
        <v>1013</v>
      </c>
      <c r="J358" t="s">
        <v>2165</v>
      </c>
      <c r="K358" t="s">
        <v>2165</v>
      </c>
      <c r="L358" t="s">
        <v>2588</v>
      </c>
      <c r="M358" t="s">
        <v>208</v>
      </c>
      <c r="N358" t="s">
        <v>1255</v>
      </c>
      <c r="O358" t="s">
        <v>824</v>
      </c>
      <c r="P358" t="s">
        <v>772</v>
      </c>
      <c r="Q358" t="s">
        <v>2797</v>
      </c>
      <c r="R358">
        <v>0</v>
      </c>
      <c r="S358">
        <v>0</v>
      </c>
      <c r="T358">
        <v>0</v>
      </c>
      <c r="U358">
        <v>0</v>
      </c>
      <c r="V358">
        <v>0</v>
      </c>
      <c r="W358">
        <v>0</v>
      </c>
      <c r="X358">
        <v>0</v>
      </c>
      <c r="Y358">
        <v>0</v>
      </c>
      <c r="Z358">
        <v>0</v>
      </c>
      <c r="AA358">
        <v>0</v>
      </c>
      <c r="AB358">
        <v>0</v>
      </c>
      <c r="AC358">
        <v>0</v>
      </c>
      <c r="AD358">
        <v>0</v>
      </c>
      <c r="AE358">
        <v>0</v>
      </c>
      <c r="AF358">
        <v>0</v>
      </c>
      <c r="AG358">
        <v>0</v>
      </c>
      <c r="AH358">
        <v>0</v>
      </c>
      <c r="AI358">
        <v>0</v>
      </c>
      <c r="AY358" t="str">
        <f t="shared" si="95"/>
        <v>COBACTAN LC POMMADE INTRAMAMMAIRE</v>
      </c>
      <c r="AZ358" t="str">
        <f>IF(COUNTIF(AY:AY,AY358)=1,AY358,IF(AND(COUNTIF(AY:AY,AY358)&gt;1,COUNTIF(AZ$2:AZ357,AY358)&gt;=1),"",AY358))</f>
        <v>COBACTAN LC POMMADE INTRAMAMMAIRE</v>
      </c>
      <c r="BA358">
        <f>IF(AZ358="","",COUNTIFS(AZ$3:AZ$1439,"&lt;"&amp;AZ358,AZ$3:AZ$1439,"&lt;&gt;0")+COUNTIF(AZ$3:AZ358,AZ358)-876)</f>
        <v>121</v>
      </c>
      <c r="BC358">
        <v>356</v>
      </c>
      <c r="BD358" t="str">
        <f t="shared" si="106"/>
        <v>OXYTETRIN P</v>
      </c>
      <c r="BE358" t="str">
        <f t="shared" si="96"/>
        <v>EXTERNE</v>
      </c>
      <c r="BF358" t="str">
        <f t="shared" si="97"/>
        <v>TETRACYCLINES</v>
      </c>
      <c r="BG358" t="str">
        <f t="shared" si="98"/>
        <v/>
      </c>
      <c r="BH358" t="str">
        <f t="shared" si="99"/>
        <v/>
      </c>
      <c r="BI358" t="str">
        <f t="shared" si="100"/>
        <v>oxytetracycline</v>
      </c>
      <c r="BJ358" t="str">
        <f t="shared" si="101"/>
        <v/>
      </c>
      <c r="BK358" t="str">
        <f t="shared" si="102"/>
        <v/>
      </c>
      <c r="BL358" t="str">
        <f t="shared" si="107"/>
        <v>Oxytétracycline</v>
      </c>
      <c r="BM358" t="str">
        <f t="shared" si="103"/>
        <v>Oxytétracycline</v>
      </c>
      <c r="BN358" t="str">
        <f t="shared" si="104"/>
        <v/>
      </c>
      <c r="BO358" t="str">
        <f t="shared" si="105"/>
        <v/>
      </c>
      <c r="BP358" t="str">
        <f t="shared" si="108"/>
        <v>Tetracyclines</v>
      </c>
      <c r="BQ358" t="str">
        <f t="shared" si="109"/>
        <v>Tetracyclines</v>
      </c>
      <c r="BR358" t="str">
        <f t="shared" si="110"/>
        <v/>
      </c>
      <c r="BS358" t="str">
        <f t="shared" si="111"/>
        <v/>
      </c>
      <c r="BT358" s="76" t="str">
        <f t="shared" si="112"/>
        <v>Voie externe</v>
      </c>
      <c r="BU358" t="str">
        <f t="shared" si="113"/>
        <v/>
      </c>
      <c r="CN358">
        <v>357</v>
      </c>
    </row>
    <row r="359" spans="1:92" x14ac:dyDescent="0.3">
      <c r="A359" s="118" t="s">
        <v>2794</v>
      </c>
      <c r="B359" t="s">
        <v>2798</v>
      </c>
      <c r="C359" t="s">
        <v>2799</v>
      </c>
      <c r="D359" s="144" t="s">
        <v>1304</v>
      </c>
      <c r="E359" t="s">
        <v>813</v>
      </c>
      <c r="F359" t="s">
        <v>289</v>
      </c>
      <c r="G359" t="s">
        <v>1013</v>
      </c>
      <c r="H359" t="s">
        <v>1387</v>
      </c>
      <c r="I359" t="s">
        <v>1013</v>
      </c>
      <c r="J359" t="s">
        <v>2165</v>
      </c>
      <c r="K359" t="s">
        <v>2165</v>
      </c>
      <c r="L359" t="s">
        <v>2588</v>
      </c>
      <c r="M359" t="s">
        <v>208</v>
      </c>
      <c r="N359" t="s">
        <v>1255</v>
      </c>
      <c r="O359" t="s">
        <v>824</v>
      </c>
      <c r="P359" t="s">
        <v>772</v>
      </c>
      <c r="Q359" t="s">
        <v>2800</v>
      </c>
      <c r="R359">
        <v>0</v>
      </c>
      <c r="S359">
        <v>0</v>
      </c>
      <c r="T359">
        <v>0</v>
      </c>
      <c r="U359">
        <v>0</v>
      </c>
      <c r="V359">
        <v>0</v>
      </c>
      <c r="W359">
        <v>0</v>
      </c>
      <c r="X359">
        <v>0</v>
      </c>
      <c r="Y359">
        <v>0</v>
      </c>
      <c r="Z359">
        <v>0</v>
      </c>
      <c r="AA359">
        <v>0</v>
      </c>
      <c r="AB359">
        <v>0</v>
      </c>
      <c r="AC359">
        <v>0</v>
      </c>
      <c r="AD359">
        <v>0</v>
      </c>
      <c r="AE359">
        <v>0</v>
      </c>
      <c r="AF359">
        <v>0</v>
      </c>
      <c r="AG359">
        <v>0</v>
      </c>
      <c r="AH359">
        <v>0</v>
      </c>
      <c r="AI359">
        <v>0</v>
      </c>
      <c r="AY359" t="str">
        <f t="shared" si="95"/>
        <v>COBACTAN LC POMMADE INTRAMAMMAIRE</v>
      </c>
      <c r="AZ359" t="str">
        <f>IF(COUNTIF(AY:AY,AY359)=1,AY359,IF(AND(COUNTIF(AY:AY,AY359)&gt;1,COUNTIF(AZ$2:AZ358,AY359)&gt;=1),"",AY359))</f>
        <v/>
      </c>
      <c r="BA359" t="str">
        <f>IF(AZ359="","",COUNTIFS(AZ$3:AZ$1439,"&lt;"&amp;AZ359,AZ$3:AZ$1439,"&lt;&gt;0")+COUNTIF(AZ$3:AZ359,AZ359)-876)</f>
        <v/>
      </c>
      <c r="BC359">
        <v>357</v>
      </c>
      <c r="BD359" t="str">
        <f t="shared" si="106"/>
        <v>PANADIA</v>
      </c>
      <c r="BE359" t="str">
        <f t="shared" si="96"/>
        <v>INJ</v>
      </c>
      <c r="BF359" t="str">
        <f t="shared" si="97"/>
        <v>TETRACYCLINES</v>
      </c>
      <c r="BG359" t="str">
        <f t="shared" si="98"/>
        <v/>
      </c>
      <c r="BH359" t="str">
        <f t="shared" si="99"/>
        <v/>
      </c>
      <c r="BI359" t="str">
        <f t="shared" si="100"/>
        <v>tetracycline</v>
      </c>
      <c r="BJ359" t="str">
        <f t="shared" si="101"/>
        <v/>
      </c>
      <c r="BK359" t="str">
        <f t="shared" si="102"/>
        <v/>
      </c>
      <c r="BL359" t="str">
        <f t="shared" si="107"/>
        <v>Tétracycline</v>
      </c>
      <c r="BM359" t="str">
        <f t="shared" si="103"/>
        <v>Tétracycline</v>
      </c>
      <c r="BN359" t="str">
        <f t="shared" si="104"/>
        <v/>
      </c>
      <c r="BO359" t="str">
        <f t="shared" si="105"/>
        <v/>
      </c>
      <c r="BP359" t="str">
        <f t="shared" si="108"/>
        <v>Tetracyclines</v>
      </c>
      <c r="BQ359" t="str">
        <f t="shared" si="109"/>
        <v>Tetracyclines</v>
      </c>
      <c r="BR359" t="str">
        <f t="shared" si="110"/>
        <v/>
      </c>
      <c r="BS359" t="str">
        <f t="shared" si="111"/>
        <v/>
      </c>
      <c r="BT359" s="76" t="str">
        <f t="shared" si="112"/>
        <v>Voie parentérale</v>
      </c>
      <c r="BU359" t="str">
        <f t="shared" si="113"/>
        <v/>
      </c>
      <c r="CN359">
        <v>358</v>
      </c>
    </row>
    <row r="360" spans="1:92" x14ac:dyDescent="0.3">
      <c r="A360" s="118" t="s">
        <v>2053</v>
      </c>
      <c r="B360" t="s">
        <v>2054</v>
      </c>
      <c r="C360" t="s">
        <v>2055</v>
      </c>
      <c r="D360" s="144" t="s">
        <v>1125</v>
      </c>
      <c r="E360" t="s">
        <v>765</v>
      </c>
      <c r="F360" t="s">
        <v>2056</v>
      </c>
      <c r="G360" t="s">
        <v>956</v>
      </c>
      <c r="H360" t="s">
        <v>1138</v>
      </c>
      <c r="I360" t="s">
        <v>817</v>
      </c>
      <c r="J360" t="s">
        <v>862</v>
      </c>
      <c r="K360" t="s">
        <v>862</v>
      </c>
      <c r="L360" t="s">
        <v>1003</v>
      </c>
      <c r="M360" t="s">
        <v>208</v>
      </c>
      <c r="N360" t="s">
        <v>764</v>
      </c>
      <c r="O360" t="s">
        <v>771</v>
      </c>
      <c r="P360" t="s">
        <v>772</v>
      </c>
      <c r="Q360" t="s">
        <v>1072</v>
      </c>
      <c r="R360">
        <v>0</v>
      </c>
      <c r="S360">
        <v>0</v>
      </c>
      <c r="T360">
        <v>0</v>
      </c>
      <c r="U360">
        <v>0</v>
      </c>
      <c r="V360">
        <v>0</v>
      </c>
      <c r="W360">
        <v>0</v>
      </c>
      <c r="X360">
        <v>0</v>
      </c>
      <c r="Y360">
        <v>0</v>
      </c>
      <c r="Z360">
        <v>0</v>
      </c>
      <c r="AA360">
        <v>0</v>
      </c>
      <c r="AB360">
        <v>0</v>
      </c>
      <c r="AC360">
        <v>0</v>
      </c>
      <c r="AD360">
        <v>0</v>
      </c>
      <c r="AE360">
        <v>0</v>
      </c>
      <c r="AF360">
        <v>0</v>
      </c>
      <c r="AG360">
        <v>0</v>
      </c>
      <c r="AH360">
        <v>50</v>
      </c>
      <c r="AI360">
        <v>6</v>
      </c>
      <c r="AY360" t="str">
        <f t="shared" si="95"/>
        <v/>
      </c>
      <c r="AZ360" t="str">
        <f>IF(COUNTIF(AY:AY,AY360)=1,AY360,IF(AND(COUNTIF(AY:AY,AY360)&gt;1,COUNTIF(AZ$2:AZ359,AY360)&gt;=1),"",AY360))</f>
        <v/>
      </c>
      <c r="BA360" t="str">
        <f>IF(AZ360="","",COUNTIFS(AZ$3:AZ$1439,"&lt;"&amp;AZ360,AZ$3:AZ$1439,"&lt;&gt;0")+COUNTIF(AZ$3:AZ360,AZ360)-876)</f>
        <v/>
      </c>
      <c r="BC360">
        <v>358</v>
      </c>
      <c r="BD360" t="str">
        <f t="shared" si="106"/>
        <v>PANAFUGE</v>
      </c>
      <c r="BE360" t="str">
        <f t="shared" si="96"/>
        <v>INJ</v>
      </c>
      <c r="BF360" t="str">
        <f t="shared" si="97"/>
        <v>AMINOGLYCOSIDES</v>
      </c>
      <c r="BG360" t="str">
        <f t="shared" si="98"/>
        <v>TETRACYCLINES</v>
      </c>
      <c r="BH360" t="str">
        <f t="shared" si="99"/>
        <v/>
      </c>
      <c r="BI360" t="str">
        <f t="shared" si="100"/>
        <v>dihydrostreptomycin</v>
      </c>
      <c r="BJ360" t="str">
        <f t="shared" si="101"/>
        <v>tetracycline</v>
      </c>
      <c r="BK360" t="str">
        <f t="shared" si="102"/>
        <v/>
      </c>
      <c r="BL360" t="str">
        <f t="shared" si="107"/>
        <v>Dihydrostreptomycine + Tétracycline</v>
      </c>
      <c r="BM360" t="str">
        <f t="shared" si="103"/>
        <v>Dihydrostreptomycine</v>
      </c>
      <c r="BN360" t="str">
        <f t="shared" si="104"/>
        <v>Tétracycline</v>
      </c>
      <c r="BO360" t="str">
        <f t="shared" si="105"/>
        <v/>
      </c>
      <c r="BP360" t="str">
        <f t="shared" si="108"/>
        <v>Aminoglycosides + Tetracyclines</v>
      </c>
      <c r="BQ360" t="str">
        <f t="shared" si="109"/>
        <v>Aminoglycosides</v>
      </c>
      <c r="BR360" t="str">
        <f t="shared" si="110"/>
        <v>Tetracyclines</v>
      </c>
      <c r="BS360" t="str">
        <f t="shared" si="111"/>
        <v/>
      </c>
      <c r="BT360" s="76" t="str">
        <f t="shared" si="112"/>
        <v>Voie parentérale</v>
      </c>
      <c r="BU360" t="str">
        <f t="shared" si="113"/>
        <v/>
      </c>
      <c r="CN360">
        <v>359</v>
      </c>
    </row>
    <row r="361" spans="1:92" x14ac:dyDescent="0.3">
      <c r="A361" s="118" t="s">
        <v>1778</v>
      </c>
      <c r="B361" t="s">
        <v>1779</v>
      </c>
      <c r="C361" t="s">
        <v>828</v>
      </c>
      <c r="D361" s="144" t="s">
        <v>829</v>
      </c>
      <c r="E361" t="s">
        <v>830</v>
      </c>
      <c r="F361" t="s">
        <v>290</v>
      </c>
      <c r="G361" t="s">
        <v>831</v>
      </c>
      <c r="H361" t="s">
        <v>1697</v>
      </c>
      <c r="I361" t="s">
        <v>817</v>
      </c>
      <c r="J361" t="s">
        <v>914</v>
      </c>
      <c r="K361" t="s">
        <v>914</v>
      </c>
      <c r="L361" t="s">
        <v>995</v>
      </c>
      <c r="M361" t="s">
        <v>996</v>
      </c>
      <c r="N361" t="s">
        <v>1124</v>
      </c>
      <c r="O361" t="s">
        <v>834</v>
      </c>
      <c r="P361" t="s">
        <v>4371</v>
      </c>
      <c r="Q361" t="s">
        <v>1773</v>
      </c>
      <c r="R361">
        <v>5</v>
      </c>
      <c r="S361">
        <v>3</v>
      </c>
      <c r="T361">
        <v>0</v>
      </c>
      <c r="U361">
        <v>0</v>
      </c>
      <c r="V361">
        <v>0</v>
      </c>
      <c r="W361">
        <v>0</v>
      </c>
      <c r="X361">
        <v>0</v>
      </c>
      <c r="Y361">
        <v>0</v>
      </c>
      <c r="Z361">
        <v>5</v>
      </c>
      <c r="AA361">
        <v>3</v>
      </c>
      <c r="AB361">
        <v>5</v>
      </c>
      <c r="AC361">
        <v>3</v>
      </c>
      <c r="AD361">
        <v>5</v>
      </c>
      <c r="AE361">
        <v>3</v>
      </c>
      <c r="AF361">
        <v>3.75</v>
      </c>
      <c r="AG361">
        <v>3</v>
      </c>
      <c r="AH361">
        <v>0</v>
      </c>
      <c r="AI361">
        <v>0</v>
      </c>
      <c r="AY361" t="str">
        <f t="shared" si="95"/>
        <v>COFACOLI POUDRE</v>
      </c>
      <c r="AZ361" t="str">
        <f>IF(COUNTIF(AY:AY,AY361)=1,AY361,IF(AND(COUNTIF(AY:AY,AY361)&gt;1,COUNTIF(AZ$2:AZ360,AY361)&gt;=1),"",AY361))</f>
        <v>COFACOLI POUDRE</v>
      </c>
      <c r="BA361">
        <f>IF(AZ361="","",COUNTIFS(AZ$3:AZ$1439,"&lt;"&amp;AZ361,AZ$3:AZ$1439,"&lt;&gt;0")+COUNTIF(AZ$3:AZ361,AZ361)-876)</f>
        <v>122</v>
      </c>
      <c r="BC361">
        <v>359</v>
      </c>
      <c r="BD361" t="str">
        <f t="shared" si="106"/>
        <v>PANGRAM 4 %</v>
      </c>
      <c r="BE361" t="str">
        <f t="shared" si="96"/>
        <v>INJ</v>
      </c>
      <c r="BF361" t="str">
        <f t="shared" si="97"/>
        <v>AMINOGLYCOSIDES</v>
      </c>
      <c r="BG361" t="str">
        <f t="shared" si="98"/>
        <v/>
      </c>
      <c r="BH361" t="str">
        <f t="shared" si="99"/>
        <v/>
      </c>
      <c r="BI361" t="str">
        <f t="shared" si="100"/>
        <v>gentamicin</v>
      </c>
      <c r="BJ361" t="str">
        <f t="shared" si="101"/>
        <v/>
      </c>
      <c r="BK361" t="str">
        <f t="shared" si="102"/>
        <v/>
      </c>
      <c r="BL361" t="str">
        <f t="shared" si="107"/>
        <v>Gentamicine</v>
      </c>
      <c r="BM361" t="str">
        <f t="shared" si="103"/>
        <v>Gentamicine</v>
      </c>
      <c r="BN361" t="str">
        <f t="shared" si="104"/>
        <v/>
      </c>
      <c r="BO361" t="str">
        <f t="shared" si="105"/>
        <v/>
      </c>
      <c r="BP361" t="str">
        <f t="shared" si="108"/>
        <v>Aminoglycosides</v>
      </c>
      <c r="BQ361" t="str">
        <f t="shared" si="109"/>
        <v>Aminoglycosides</v>
      </c>
      <c r="BR361" t="str">
        <f t="shared" si="110"/>
        <v/>
      </c>
      <c r="BS361" t="str">
        <f t="shared" si="111"/>
        <v/>
      </c>
      <c r="BT361" s="76" t="str">
        <f t="shared" si="112"/>
        <v>Voie parentérale</v>
      </c>
      <c r="BU361" t="str">
        <f t="shared" si="113"/>
        <v/>
      </c>
      <c r="CN361">
        <v>360</v>
      </c>
    </row>
    <row r="362" spans="1:92" x14ac:dyDescent="0.3">
      <c r="A362" s="118" t="s">
        <v>1778</v>
      </c>
      <c r="B362" t="s">
        <v>1780</v>
      </c>
      <c r="C362" t="s">
        <v>1313</v>
      </c>
      <c r="D362" s="144" t="s">
        <v>955</v>
      </c>
      <c r="E362" t="s">
        <v>830</v>
      </c>
      <c r="F362" t="s">
        <v>290</v>
      </c>
      <c r="G362" t="s">
        <v>831</v>
      </c>
      <c r="H362" t="s">
        <v>1697</v>
      </c>
      <c r="I362" t="s">
        <v>817</v>
      </c>
      <c r="J362" t="s">
        <v>914</v>
      </c>
      <c r="K362" t="s">
        <v>914</v>
      </c>
      <c r="L362" t="s">
        <v>995</v>
      </c>
      <c r="M362" t="s">
        <v>996</v>
      </c>
      <c r="N362" t="s">
        <v>1124</v>
      </c>
      <c r="O362" t="s">
        <v>834</v>
      </c>
      <c r="P362" t="s">
        <v>4371</v>
      </c>
      <c r="Q362" t="s">
        <v>1775</v>
      </c>
      <c r="R362">
        <v>5</v>
      </c>
      <c r="S362">
        <v>3</v>
      </c>
      <c r="T362">
        <v>0</v>
      </c>
      <c r="U362">
        <v>0</v>
      </c>
      <c r="V362">
        <v>0</v>
      </c>
      <c r="W362">
        <v>0</v>
      </c>
      <c r="X362">
        <v>0</v>
      </c>
      <c r="Y362">
        <v>0</v>
      </c>
      <c r="Z362">
        <v>5</v>
      </c>
      <c r="AA362">
        <v>3</v>
      </c>
      <c r="AB362">
        <v>5</v>
      </c>
      <c r="AC362">
        <v>3</v>
      </c>
      <c r="AD362">
        <v>5</v>
      </c>
      <c r="AE362">
        <v>3</v>
      </c>
      <c r="AF362">
        <v>3.75</v>
      </c>
      <c r="AG362">
        <v>3</v>
      </c>
      <c r="AH362">
        <v>0</v>
      </c>
      <c r="AI362">
        <v>0</v>
      </c>
      <c r="AY362" t="str">
        <f t="shared" si="95"/>
        <v>COFACOLI POUDRE</v>
      </c>
      <c r="AZ362" t="str">
        <f>IF(COUNTIF(AY:AY,AY362)=1,AY362,IF(AND(COUNTIF(AY:AY,AY362)&gt;1,COUNTIF(AZ$2:AZ361,AY362)&gt;=1),"",AY362))</f>
        <v/>
      </c>
      <c r="BA362" t="str">
        <f>IF(AZ362="","",COUNTIFS(AZ$3:AZ$1439,"&lt;"&amp;AZ362,AZ$3:AZ$1439,"&lt;&gt;0")+COUNTIF(AZ$3:AZ362,AZ362)-876)</f>
        <v/>
      </c>
      <c r="BC362">
        <v>360</v>
      </c>
      <c r="BD362" t="str">
        <f t="shared" si="106"/>
        <v>PAROFOR 140 MG/ML SOLUTION POUR ADMINISTRATION DANS L'EAU DE BOISSON LE LAIT OU L'ALIMENT D'ALLAITEMENT POUR BOVINS PRERUMINANTS ET PORCS</v>
      </c>
      <c r="BE362" t="str">
        <f t="shared" si="96"/>
        <v>ORAL</v>
      </c>
      <c r="BF362" t="str">
        <f t="shared" si="97"/>
        <v>AMINOGLYCOSIDES</v>
      </c>
      <c r="BG362" t="str">
        <f t="shared" si="98"/>
        <v/>
      </c>
      <c r="BH362" t="str">
        <f t="shared" si="99"/>
        <v/>
      </c>
      <c r="BI362" t="str">
        <f t="shared" si="100"/>
        <v>paromomycin</v>
      </c>
      <c r="BJ362" t="str">
        <f t="shared" si="101"/>
        <v/>
      </c>
      <c r="BK362" t="str">
        <f t="shared" si="102"/>
        <v/>
      </c>
      <c r="BL362" t="str">
        <f t="shared" si="107"/>
        <v/>
      </c>
      <c r="BM362" t="str">
        <f t="shared" si="103"/>
        <v/>
      </c>
      <c r="BN362" t="str">
        <f t="shared" si="104"/>
        <v/>
      </c>
      <c r="BO362" t="str">
        <f t="shared" si="105"/>
        <v/>
      </c>
      <c r="BP362" t="str">
        <f t="shared" si="108"/>
        <v>Aminoglycosides</v>
      </c>
      <c r="BQ362" t="str">
        <f t="shared" si="109"/>
        <v>Aminoglycosides</v>
      </c>
      <c r="BR362" t="str">
        <f t="shared" si="110"/>
        <v/>
      </c>
      <c r="BS362" t="str">
        <f t="shared" si="111"/>
        <v/>
      </c>
      <c r="BT362" s="76" t="str">
        <f t="shared" si="112"/>
        <v>Voie orale  hors prémélanges médicamenteux</v>
      </c>
      <c r="BU362" t="str">
        <f t="shared" si="113"/>
        <v/>
      </c>
      <c r="CN362">
        <v>361</v>
      </c>
    </row>
    <row r="363" spans="1:92" x14ac:dyDescent="0.3">
      <c r="A363" s="118" t="s">
        <v>2666</v>
      </c>
      <c r="B363" t="s">
        <v>2667</v>
      </c>
      <c r="C363" t="s">
        <v>1002</v>
      </c>
      <c r="D363" s="144" t="s">
        <v>829</v>
      </c>
      <c r="E363" t="s">
        <v>765</v>
      </c>
      <c r="F363" t="s">
        <v>291</v>
      </c>
      <c r="G363" t="s">
        <v>956</v>
      </c>
      <c r="H363" t="s">
        <v>1070</v>
      </c>
      <c r="I363" t="s">
        <v>817</v>
      </c>
      <c r="J363" t="s">
        <v>914</v>
      </c>
      <c r="K363" t="s">
        <v>914</v>
      </c>
      <c r="L363" t="s">
        <v>995</v>
      </c>
      <c r="M363" t="s">
        <v>996</v>
      </c>
      <c r="N363" t="s">
        <v>1501</v>
      </c>
      <c r="O363" t="s">
        <v>805</v>
      </c>
      <c r="P363" t="s">
        <v>4371</v>
      </c>
      <c r="Q363" t="s">
        <v>764</v>
      </c>
      <c r="R363">
        <v>5</v>
      </c>
      <c r="S363">
        <v>5</v>
      </c>
      <c r="T363">
        <v>0</v>
      </c>
      <c r="U363">
        <v>0</v>
      </c>
      <c r="V363">
        <v>0</v>
      </c>
      <c r="W363">
        <v>0</v>
      </c>
      <c r="X363">
        <v>0</v>
      </c>
      <c r="Y363">
        <v>0</v>
      </c>
      <c r="Z363">
        <v>0</v>
      </c>
      <c r="AA363">
        <v>0</v>
      </c>
      <c r="AB363">
        <v>5</v>
      </c>
      <c r="AC363">
        <v>5</v>
      </c>
      <c r="AD363">
        <v>5</v>
      </c>
      <c r="AE363">
        <v>5</v>
      </c>
      <c r="AF363">
        <v>3.75</v>
      </c>
      <c r="AG363">
        <v>5</v>
      </c>
      <c r="AH363">
        <v>0</v>
      </c>
      <c r="AI363">
        <v>0</v>
      </c>
      <c r="AY363" t="str">
        <f t="shared" si="95"/>
        <v>COFACOLI SOLUTION</v>
      </c>
      <c r="AZ363" t="str">
        <f>IF(COUNTIF(AY:AY,AY363)=1,AY363,IF(AND(COUNTIF(AY:AY,AY363)&gt;1,COUNTIF(AZ$2:AZ362,AY363)&gt;=1),"",AY363))</f>
        <v>COFACOLI SOLUTION</v>
      </c>
      <c r="BA363">
        <f>IF(AZ363="","",COUNTIFS(AZ$3:AZ$1439,"&lt;"&amp;AZ363,AZ$3:AZ$1439,"&lt;&gt;0")+COUNTIF(AZ$3:AZ363,AZ363)-876)</f>
        <v>123</v>
      </c>
      <c r="BC363">
        <v>361</v>
      </c>
      <c r="BD363" t="str">
        <f t="shared" si="106"/>
        <v>PAROFOR 70000 UI/G POUDRE POUR ADMINISTRATION DANS L'EAU DE BOISSON LE LAIT OU L'ALIMENT D'ALLAITEMENT POUR BOVINS PRERUMINANTS ET PORCS</v>
      </c>
      <c r="BE363" t="str">
        <f t="shared" si="96"/>
        <v>ORAL</v>
      </c>
      <c r="BF363" t="str">
        <f t="shared" si="97"/>
        <v>AMINOGLYCOSIDES</v>
      </c>
      <c r="BG363" t="str">
        <f t="shared" si="98"/>
        <v/>
      </c>
      <c r="BH363" t="str">
        <f t="shared" si="99"/>
        <v/>
      </c>
      <c r="BI363" t="str">
        <f t="shared" si="100"/>
        <v>paromomycin</v>
      </c>
      <c r="BJ363" t="str">
        <f t="shared" si="101"/>
        <v/>
      </c>
      <c r="BK363" t="str">
        <f t="shared" si="102"/>
        <v/>
      </c>
      <c r="BL363" t="str">
        <f t="shared" si="107"/>
        <v/>
      </c>
      <c r="BM363" t="str">
        <f t="shared" si="103"/>
        <v/>
      </c>
      <c r="BN363" t="str">
        <f t="shared" si="104"/>
        <v/>
      </c>
      <c r="BO363" t="str">
        <f t="shared" si="105"/>
        <v/>
      </c>
      <c r="BP363" t="str">
        <f t="shared" si="108"/>
        <v>Aminoglycosides</v>
      </c>
      <c r="BQ363" t="str">
        <f t="shared" si="109"/>
        <v>Aminoglycosides</v>
      </c>
      <c r="BR363" t="str">
        <f t="shared" si="110"/>
        <v/>
      </c>
      <c r="BS363" t="str">
        <f t="shared" si="111"/>
        <v/>
      </c>
      <c r="BT363" s="76" t="str">
        <f t="shared" si="112"/>
        <v>Voie orale  hors prémélanges médicamenteux</v>
      </c>
      <c r="BU363" t="str">
        <f t="shared" si="113"/>
        <v/>
      </c>
      <c r="CN363">
        <v>362</v>
      </c>
    </row>
    <row r="364" spans="1:92" x14ac:dyDescent="0.3">
      <c r="A364" s="118" t="s">
        <v>2666</v>
      </c>
      <c r="B364" t="s">
        <v>2668</v>
      </c>
      <c r="C364" t="s">
        <v>954</v>
      </c>
      <c r="D364" s="144" t="s">
        <v>955</v>
      </c>
      <c r="E364" t="s">
        <v>765</v>
      </c>
      <c r="F364" t="s">
        <v>291</v>
      </c>
      <c r="G364" t="s">
        <v>956</v>
      </c>
      <c r="H364" t="s">
        <v>1070</v>
      </c>
      <c r="I364" t="s">
        <v>817</v>
      </c>
      <c r="J364" t="s">
        <v>914</v>
      </c>
      <c r="K364" t="s">
        <v>914</v>
      </c>
      <c r="L364" t="s">
        <v>995</v>
      </c>
      <c r="M364" t="s">
        <v>996</v>
      </c>
      <c r="N364" t="s">
        <v>1501</v>
      </c>
      <c r="O364" t="s">
        <v>805</v>
      </c>
      <c r="P364" t="s">
        <v>4371</v>
      </c>
      <c r="Q364" t="s">
        <v>906</v>
      </c>
      <c r="R364">
        <v>5</v>
      </c>
      <c r="S364">
        <v>5</v>
      </c>
      <c r="T364">
        <v>0</v>
      </c>
      <c r="U364">
        <v>0</v>
      </c>
      <c r="V364">
        <v>0</v>
      </c>
      <c r="W364">
        <v>0</v>
      </c>
      <c r="X364">
        <v>0</v>
      </c>
      <c r="Y364">
        <v>0</v>
      </c>
      <c r="Z364">
        <v>0</v>
      </c>
      <c r="AA364">
        <v>0</v>
      </c>
      <c r="AB364">
        <v>5</v>
      </c>
      <c r="AC364">
        <v>5</v>
      </c>
      <c r="AD364">
        <v>5</v>
      </c>
      <c r="AE364">
        <v>5</v>
      </c>
      <c r="AF364">
        <v>3.75</v>
      </c>
      <c r="AG364">
        <v>5</v>
      </c>
      <c r="AH364">
        <v>0</v>
      </c>
      <c r="AI364">
        <v>0</v>
      </c>
      <c r="AY364" t="str">
        <f t="shared" si="95"/>
        <v>COFACOLI SOLUTION</v>
      </c>
      <c r="AZ364" t="str">
        <f>IF(COUNTIF(AY:AY,AY364)=1,AY364,IF(AND(COUNTIF(AY:AY,AY364)&gt;1,COUNTIF(AZ$2:AZ363,AY364)&gt;=1),"",AY364))</f>
        <v/>
      </c>
      <c r="BA364" t="str">
        <f>IF(AZ364="","",COUNTIFS(AZ$3:AZ$1439,"&lt;"&amp;AZ364,AZ$3:AZ$1439,"&lt;&gt;0")+COUNTIF(AZ$3:AZ364,AZ364)-876)</f>
        <v/>
      </c>
      <c r="BC364">
        <v>362</v>
      </c>
      <c r="BD364" t="str">
        <f t="shared" si="106"/>
        <v>PATHOZONE</v>
      </c>
      <c r="BE364" t="str">
        <f t="shared" si="96"/>
        <v>INTRAMAM</v>
      </c>
      <c r="BF364" t="str">
        <f t="shared" si="97"/>
        <v>CEPHALOSPORINES 3&amp;4G</v>
      </c>
      <c r="BG364" t="str">
        <f t="shared" si="98"/>
        <v/>
      </c>
      <c r="BH364" t="str">
        <f t="shared" si="99"/>
        <v/>
      </c>
      <c r="BI364" t="str">
        <f t="shared" si="100"/>
        <v>cefoperazone</v>
      </c>
      <c r="BJ364" t="str">
        <f t="shared" si="101"/>
        <v/>
      </c>
      <c r="BK364" t="str">
        <f t="shared" si="102"/>
        <v/>
      </c>
      <c r="BL364" t="str">
        <f t="shared" si="107"/>
        <v>Céfopérazone</v>
      </c>
      <c r="BM364" t="str">
        <f t="shared" si="103"/>
        <v>Céfopérazone</v>
      </c>
      <c r="BN364" t="str">
        <f t="shared" si="104"/>
        <v/>
      </c>
      <c r="BO364" t="str">
        <f t="shared" si="105"/>
        <v/>
      </c>
      <c r="BP364" t="str">
        <f t="shared" si="108"/>
        <v>Cephalosporines 3&amp;4G</v>
      </c>
      <c r="BQ364" t="str">
        <f t="shared" si="109"/>
        <v>Cephalosporines 3&amp;4G</v>
      </c>
      <c r="BR364" t="str">
        <f t="shared" si="110"/>
        <v/>
      </c>
      <c r="BS364" t="str">
        <f t="shared" si="111"/>
        <v/>
      </c>
      <c r="BT364" s="76" t="str">
        <f t="shared" si="112"/>
        <v>Voie intramammaire</v>
      </c>
      <c r="BU364" t="str">
        <f t="shared" si="113"/>
        <v>x</v>
      </c>
      <c r="CN364">
        <v>363</v>
      </c>
    </row>
    <row r="365" spans="1:92" x14ac:dyDescent="0.3">
      <c r="A365" s="118" t="s">
        <v>1621</v>
      </c>
      <c r="B365" t="s">
        <v>1622</v>
      </c>
      <c r="C365" t="s">
        <v>1623</v>
      </c>
      <c r="D365" s="144" t="s">
        <v>955</v>
      </c>
      <c r="E365" t="s">
        <v>830</v>
      </c>
      <c r="F365" t="s">
        <v>619</v>
      </c>
      <c r="G365" t="s">
        <v>831</v>
      </c>
      <c r="H365" t="s">
        <v>169</v>
      </c>
      <c r="I365" t="s">
        <v>817</v>
      </c>
      <c r="J365" t="s">
        <v>914</v>
      </c>
      <c r="K365" t="s">
        <v>914</v>
      </c>
      <c r="L365" t="s">
        <v>995</v>
      </c>
      <c r="M365" t="s">
        <v>996</v>
      </c>
      <c r="N365" t="s">
        <v>1624</v>
      </c>
      <c r="O365" t="s">
        <v>834</v>
      </c>
      <c r="P365" t="s">
        <v>4371</v>
      </c>
      <c r="Q365" t="s">
        <v>4409</v>
      </c>
      <c r="R365">
        <v>5</v>
      </c>
      <c r="S365">
        <v>3</v>
      </c>
      <c r="T365">
        <v>0</v>
      </c>
      <c r="U365">
        <v>0</v>
      </c>
      <c r="V365">
        <v>0</v>
      </c>
      <c r="W365">
        <v>0</v>
      </c>
      <c r="X365">
        <v>0</v>
      </c>
      <c r="Y365">
        <v>0</v>
      </c>
      <c r="Z365">
        <v>0</v>
      </c>
      <c r="AA365">
        <v>0</v>
      </c>
      <c r="AB365">
        <v>0</v>
      </c>
      <c r="AC365">
        <v>0</v>
      </c>
      <c r="AD365">
        <v>0</v>
      </c>
      <c r="AE365">
        <v>0</v>
      </c>
      <c r="AF365">
        <v>0</v>
      </c>
      <c r="AG365">
        <v>0</v>
      </c>
      <c r="AH365">
        <v>0</v>
      </c>
      <c r="AI365">
        <v>0</v>
      </c>
      <c r="AY365" t="str">
        <f t="shared" si="95"/>
        <v>COFALAC</v>
      </c>
      <c r="AZ365" t="str">
        <f>IF(COUNTIF(AY:AY,AY365)=1,AY365,IF(AND(COUNTIF(AY:AY,AY365)&gt;1,COUNTIF(AZ$2:AZ364,AY365)&gt;=1),"",AY365))</f>
        <v>COFALAC</v>
      </c>
      <c r="BA365">
        <f>IF(AZ365="","",COUNTIFS(AZ$3:AZ$1439,"&lt;"&amp;AZ365,AZ$3:AZ$1439,"&lt;&gt;0")+COUNTIF(AZ$3:AZ365,AZ365)-876)</f>
        <v>124</v>
      </c>
      <c r="BC365">
        <v>363</v>
      </c>
      <c r="BD365" t="str">
        <f t="shared" si="106"/>
        <v>PENETAVET</v>
      </c>
      <c r="BE365" t="str">
        <f t="shared" si="96"/>
        <v>INJ</v>
      </c>
      <c r="BF365" t="str">
        <f t="shared" si="97"/>
        <v>PENICILLINES</v>
      </c>
      <c r="BG365" t="str">
        <f t="shared" si="98"/>
        <v/>
      </c>
      <c r="BH365" t="str">
        <f t="shared" si="99"/>
        <v/>
      </c>
      <c r="BI365" t="str">
        <f t="shared" si="100"/>
        <v>penethamate hydriodide</v>
      </c>
      <c r="BJ365" t="str">
        <f t="shared" si="101"/>
        <v/>
      </c>
      <c r="BK365" t="str">
        <f t="shared" si="102"/>
        <v/>
      </c>
      <c r="BL365" t="str">
        <f t="shared" si="107"/>
        <v>Pénéthamate (ou pénéthacilline)</v>
      </c>
      <c r="BM365" t="str">
        <f t="shared" si="103"/>
        <v>Pénéthamate (ou pénéthacilline)</v>
      </c>
      <c r="BN365" t="str">
        <f t="shared" si="104"/>
        <v/>
      </c>
      <c r="BO365" t="str">
        <f t="shared" si="105"/>
        <v/>
      </c>
      <c r="BP365" t="str">
        <f t="shared" si="108"/>
        <v>Penicillines</v>
      </c>
      <c r="BQ365" t="str">
        <f t="shared" si="109"/>
        <v>Penicillines</v>
      </c>
      <c r="BR365" t="str">
        <f t="shared" si="110"/>
        <v/>
      </c>
      <c r="BS365" t="str">
        <f t="shared" si="111"/>
        <v/>
      </c>
      <c r="BT365" s="76" t="str">
        <f t="shared" si="112"/>
        <v>Voie parentérale</v>
      </c>
      <c r="BU365" t="str">
        <f t="shared" si="113"/>
        <v/>
      </c>
      <c r="CN365">
        <v>364</v>
      </c>
    </row>
    <row r="366" spans="1:92" x14ac:dyDescent="0.3">
      <c r="A366" s="118" t="s">
        <v>2681</v>
      </c>
      <c r="B366" t="s">
        <v>2682</v>
      </c>
      <c r="C366" t="s">
        <v>1222</v>
      </c>
      <c r="D366" s="144" t="s">
        <v>1063</v>
      </c>
      <c r="E366" t="s">
        <v>830</v>
      </c>
      <c r="F366" t="s">
        <v>620</v>
      </c>
      <c r="G366" t="s">
        <v>1064</v>
      </c>
      <c r="H366" t="s">
        <v>2683</v>
      </c>
      <c r="I366" t="s">
        <v>1066</v>
      </c>
      <c r="J366" t="s">
        <v>1559</v>
      </c>
      <c r="K366" t="s">
        <v>1559</v>
      </c>
      <c r="L366" t="s">
        <v>1560</v>
      </c>
      <c r="M366" t="s">
        <v>208</v>
      </c>
      <c r="N366" t="s">
        <v>932</v>
      </c>
      <c r="O366" t="s">
        <v>894</v>
      </c>
      <c r="P366" t="s">
        <v>772</v>
      </c>
      <c r="Q366" t="s">
        <v>829</v>
      </c>
      <c r="R366">
        <v>0</v>
      </c>
      <c r="S366">
        <v>0</v>
      </c>
      <c r="T366">
        <v>0</v>
      </c>
      <c r="U366">
        <v>0</v>
      </c>
      <c r="V366">
        <v>0</v>
      </c>
      <c r="W366">
        <v>0</v>
      </c>
      <c r="X366">
        <v>0</v>
      </c>
      <c r="Y366">
        <v>0</v>
      </c>
      <c r="Z366">
        <v>0</v>
      </c>
      <c r="AA366">
        <v>0</v>
      </c>
      <c r="AB366">
        <v>0</v>
      </c>
      <c r="AC366">
        <v>0</v>
      </c>
      <c r="AD366">
        <v>0</v>
      </c>
      <c r="AE366">
        <v>0</v>
      </c>
      <c r="AF366">
        <v>20</v>
      </c>
      <c r="AG366">
        <v>5</v>
      </c>
      <c r="AH366">
        <v>0</v>
      </c>
      <c r="AI366">
        <v>0</v>
      </c>
      <c r="AY366" t="str">
        <f t="shared" si="95"/>
        <v>COFAMIX ACIDE OXOLINIQUE 40 VOLAILLE</v>
      </c>
      <c r="AZ366" t="str">
        <f>IF(COUNTIF(AY:AY,AY366)=1,AY366,IF(AND(COUNTIF(AY:AY,AY366)&gt;1,COUNTIF(AZ$2:AZ365,AY366)&gt;=1),"",AY366))</f>
        <v>COFAMIX ACIDE OXOLINIQUE 40 VOLAILLE</v>
      </c>
      <c r="BA366">
        <f>IF(AZ366="","",COUNTIFS(AZ$3:AZ$1439,"&lt;"&amp;AZ366,AZ$3:AZ$1439,"&lt;&gt;0")+COUNTIF(AZ$3:AZ366,AZ366)-876)</f>
        <v>125</v>
      </c>
      <c r="BC366">
        <v>364</v>
      </c>
      <c r="BD366" t="str">
        <f t="shared" si="106"/>
        <v>PENETHAONE 182,5 MG/ML POUDRE ET SOLVANT POUR SUSPENSION INJECTABLE POUR BOVINS</v>
      </c>
      <c r="BE366" t="str">
        <f t="shared" si="96"/>
        <v>INJ</v>
      </c>
      <c r="BF366" t="str">
        <f t="shared" si="97"/>
        <v>PENICILLINES</v>
      </c>
      <c r="BG366" t="str">
        <f t="shared" si="98"/>
        <v/>
      </c>
      <c r="BH366" t="str">
        <f t="shared" si="99"/>
        <v/>
      </c>
      <c r="BI366" t="str">
        <f t="shared" si="100"/>
        <v>penethamate hydriodide</v>
      </c>
      <c r="BJ366" t="str">
        <f t="shared" si="101"/>
        <v/>
      </c>
      <c r="BK366" t="str">
        <f t="shared" si="102"/>
        <v/>
      </c>
      <c r="BL366" t="str">
        <f t="shared" si="107"/>
        <v>Pénéthamate (ou pénéthacilline)</v>
      </c>
      <c r="BM366" t="str">
        <f t="shared" si="103"/>
        <v>Pénéthamate (ou pénéthacilline)</v>
      </c>
      <c r="BN366" t="str">
        <f t="shared" si="104"/>
        <v/>
      </c>
      <c r="BO366" t="str">
        <f t="shared" si="105"/>
        <v/>
      </c>
      <c r="BP366" t="str">
        <f t="shared" si="108"/>
        <v>Penicillines</v>
      </c>
      <c r="BQ366" t="str">
        <f t="shared" si="109"/>
        <v>Penicillines</v>
      </c>
      <c r="BR366" t="str">
        <f t="shared" si="110"/>
        <v/>
      </c>
      <c r="BS366" t="str">
        <f t="shared" si="111"/>
        <v/>
      </c>
      <c r="BT366" s="76" t="str">
        <f t="shared" si="112"/>
        <v>Voie parentérale</v>
      </c>
      <c r="BU366" t="str">
        <f t="shared" si="113"/>
        <v/>
      </c>
      <c r="CN366">
        <v>365</v>
      </c>
    </row>
    <row r="367" spans="1:92" x14ac:dyDescent="0.3">
      <c r="A367" s="118" t="s">
        <v>2680</v>
      </c>
      <c r="B367" t="s">
        <v>208</v>
      </c>
      <c r="C367" t="s">
        <v>1222</v>
      </c>
      <c r="D367" s="144" t="s">
        <v>1063</v>
      </c>
      <c r="E367" t="s">
        <v>830</v>
      </c>
      <c r="F367" t="s">
        <v>621</v>
      </c>
      <c r="G367" t="s">
        <v>1064</v>
      </c>
      <c r="H367" t="s">
        <v>170</v>
      </c>
      <c r="I367" t="s">
        <v>1066</v>
      </c>
      <c r="J367" t="s">
        <v>1559</v>
      </c>
      <c r="K367" t="s">
        <v>1559</v>
      </c>
      <c r="L367" t="s">
        <v>1560</v>
      </c>
      <c r="M367" t="s">
        <v>208</v>
      </c>
      <c r="N367" t="s">
        <v>940</v>
      </c>
      <c r="O367" t="s">
        <v>894</v>
      </c>
      <c r="P367" t="s">
        <v>772</v>
      </c>
      <c r="Q367" t="s">
        <v>902</v>
      </c>
      <c r="R367">
        <v>0</v>
      </c>
      <c r="S367">
        <v>0</v>
      </c>
      <c r="T367">
        <v>0</v>
      </c>
      <c r="U367">
        <v>0</v>
      </c>
      <c r="V367">
        <v>0</v>
      </c>
      <c r="W367">
        <v>0</v>
      </c>
      <c r="X367">
        <v>0</v>
      </c>
      <c r="Y367">
        <v>0</v>
      </c>
      <c r="Z367">
        <v>0</v>
      </c>
      <c r="AA367">
        <v>0</v>
      </c>
      <c r="AB367">
        <v>0</v>
      </c>
      <c r="AC367">
        <v>0</v>
      </c>
      <c r="AD367">
        <v>20</v>
      </c>
      <c r="AE367">
        <v>5</v>
      </c>
      <c r="AF367">
        <v>0</v>
      </c>
      <c r="AG367">
        <v>0</v>
      </c>
      <c r="AH367">
        <v>0</v>
      </c>
      <c r="AI367">
        <v>0</v>
      </c>
      <c r="AY367" t="str">
        <f t="shared" si="95"/>
        <v>COFAMIX ACIDE OXOLINIQUE 80 porc</v>
      </c>
      <c r="AZ367" t="str">
        <f>IF(COUNTIF(AY:AY,AY367)=1,AY367,IF(AND(COUNTIF(AY:AY,AY367)&gt;1,COUNTIF(AZ$2:AZ366,AY367)&gt;=1),"",AY367))</f>
        <v>COFAMIX ACIDE OXOLINIQUE 80 porc</v>
      </c>
      <c r="BA367">
        <f>IF(AZ367="","",COUNTIFS(AZ$3:AZ$1439,"&lt;"&amp;AZ367,AZ$3:AZ$1439,"&lt;&gt;0")+COUNTIF(AZ$3:AZ367,AZ367)-876)</f>
        <v>126</v>
      </c>
      <c r="BC367">
        <v>365</v>
      </c>
      <c r="BD367" t="str">
        <f t="shared" si="106"/>
        <v>PEN-HISTA-STREP</v>
      </c>
      <c r="BE367" t="str">
        <f t="shared" si="96"/>
        <v>INJ</v>
      </c>
      <c r="BF367" t="str">
        <f t="shared" si="97"/>
        <v>AMINOGLYCOSIDES</v>
      </c>
      <c r="BG367" t="str">
        <f t="shared" si="98"/>
        <v>PENICILLINES</v>
      </c>
      <c r="BH367" t="str">
        <f t="shared" si="99"/>
        <v/>
      </c>
      <c r="BI367" t="str">
        <f t="shared" si="100"/>
        <v>dihydrostreptomycin</v>
      </c>
      <c r="BJ367" t="str">
        <f t="shared" si="101"/>
        <v>benzylpenicillin</v>
      </c>
      <c r="BK367" t="str">
        <f t="shared" si="102"/>
        <v/>
      </c>
      <c r="BL367" t="str">
        <f t="shared" si="107"/>
        <v>Dihydrostreptomycine + Benzylpénicilline</v>
      </c>
      <c r="BM367" t="str">
        <f t="shared" si="103"/>
        <v>Dihydrostreptomycine</v>
      </c>
      <c r="BN367" t="str">
        <f t="shared" si="104"/>
        <v>Benzylpénicilline</v>
      </c>
      <c r="BO367" t="str">
        <f t="shared" si="105"/>
        <v/>
      </c>
      <c r="BP367" t="str">
        <f t="shared" si="108"/>
        <v>Aminoglycosides + Penicillines</v>
      </c>
      <c r="BQ367" t="str">
        <f t="shared" si="109"/>
        <v>Aminoglycosides</v>
      </c>
      <c r="BR367" t="str">
        <f t="shared" si="110"/>
        <v>Penicillines</v>
      </c>
      <c r="BS367" t="str">
        <f t="shared" si="111"/>
        <v/>
      </c>
      <c r="BT367" s="76" t="str">
        <f t="shared" si="112"/>
        <v>Voie parentérale</v>
      </c>
      <c r="BU367" t="str">
        <f t="shared" si="113"/>
        <v/>
      </c>
      <c r="CN367">
        <v>366</v>
      </c>
    </row>
    <row r="368" spans="1:92" x14ac:dyDescent="0.3">
      <c r="A368" s="118" t="s">
        <v>2656</v>
      </c>
      <c r="B368" t="s">
        <v>2657</v>
      </c>
      <c r="C368" t="s">
        <v>1062</v>
      </c>
      <c r="D368" s="144" t="s">
        <v>1063</v>
      </c>
      <c r="E368" t="s">
        <v>830</v>
      </c>
      <c r="F368" t="s">
        <v>292</v>
      </c>
      <c r="G368" t="s">
        <v>1064</v>
      </c>
      <c r="H368" t="s">
        <v>1213</v>
      </c>
      <c r="I368" t="s">
        <v>1066</v>
      </c>
      <c r="J368" t="s">
        <v>787</v>
      </c>
      <c r="K368" t="s">
        <v>787</v>
      </c>
      <c r="L368" t="s">
        <v>1055</v>
      </c>
      <c r="M368" t="s">
        <v>208</v>
      </c>
      <c r="N368" t="s">
        <v>764</v>
      </c>
      <c r="O368" t="s">
        <v>894</v>
      </c>
      <c r="P368" t="s">
        <v>772</v>
      </c>
      <c r="Q368" t="s">
        <v>966</v>
      </c>
      <c r="R368">
        <v>0</v>
      </c>
      <c r="S368">
        <v>0</v>
      </c>
      <c r="T368">
        <v>0</v>
      </c>
      <c r="U368">
        <v>0</v>
      </c>
      <c r="V368">
        <v>0</v>
      </c>
      <c r="W368">
        <v>0</v>
      </c>
      <c r="X368">
        <v>0</v>
      </c>
      <c r="Y368">
        <v>0</v>
      </c>
      <c r="Z368">
        <v>0</v>
      </c>
      <c r="AA368">
        <v>0</v>
      </c>
      <c r="AB368">
        <v>0</v>
      </c>
      <c r="AC368">
        <v>0</v>
      </c>
      <c r="AD368">
        <v>20</v>
      </c>
      <c r="AE368">
        <v>5</v>
      </c>
      <c r="AF368">
        <v>0</v>
      </c>
      <c r="AG368">
        <v>0</v>
      </c>
      <c r="AH368">
        <v>0</v>
      </c>
      <c r="AI368">
        <v>0</v>
      </c>
      <c r="AY368" t="str">
        <f t="shared" si="95"/>
        <v>COFAMIX AMOXICILLINE 100 PORC</v>
      </c>
      <c r="AZ368" t="str">
        <f>IF(COUNTIF(AY:AY,AY368)=1,AY368,IF(AND(COUNTIF(AY:AY,AY368)&gt;1,COUNTIF(AZ$2:AZ367,AY368)&gt;=1),"",AY368))</f>
        <v>COFAMIX AMOXICILLINE 100 PORC</v>
      </c>
      <c r="BA368">
        <f>IF(AZ368="","",COUNTIFS(AZ$3:AZ$1439,"&lt;"&amp;AZ368,AZ$3:AZ$1439,"&lt;&gt;0")+COUNTIF(AZ$3:AZ368,AZ368)-876)</f>
        <v>127</v>
      </c>
      <c r="BC368">
        <v>366</v>
      </c>
      <c r="BD368" t="str">
        <f t="shared" si="106"/>
        <v>PENI DHS COOPHAVET</v>
      </c>
      <c r="BE368" t="str">
        <f t="shared" si="96"/>
        <v>INJ</v>
      </c>
      <c r="BF368" t="str">
        <f t="shared" si="97"/>
        <v>AMINOGLYCOSIDES</v>
      </c>
      <c r="BG368" t="str">
        <f t="shared" si="98"/>
        <v>PENICILLINES</v>
      </c>
      <c r="BH368" t="str">
        <f t="shared" si="99"/>
        <v/>
      </c>
      <c r="BI368" t="str">
        <f t="shared" si="100"/>
        <v>dihydrostreptomycin</v>
      </c>
      <c r="BJ368" t="str">
        <f t="shared" si="101"/>
        <v>benzylpenicillin</v>
      </c>
      <c r="BK368" t="str">
        <f t="shared" si="102"/>
        <v/>
      </c>
      <c r="BL368" t="str">
        <f t="shared" si="107"/>
        <v>Dihydrostreptomycine + Benzylpénicilline</v>
      </c>
      <c r="BM368" t="str">
        <f t="shared" si="103"/>
        <v>Dihydrostreptomycine</v>
      </c>
      <c r="BN368" t="str">
        <f t="shared" si="104"/>
        <v>Benzylpénicilline</v>
      </c>
      <c r="BO368" t="str">
        <f t="shared" si="105"/>
        <v/>
      </c>
      <c r="BP368" t="str">
        <f t="shared" si="108"/>
        <v>Aminoglycosides + Penicillines</v>
      </c>
      <c r="BQ368" t="str">
        <f t="shared" si="109"/>
        <v>Aminoglycosides</v>
      </c>
      <c r="BR368" t="str">
        <f t="shared" si="110"/>
        <v>Penicillines</v>
      </c>
      <c r="BS368" t="str">
        <f t="shared" si="111"/>
        <v/>
      </c>
      <c r="BT368" s="76" t="str">
        <f t="shared" si="112"/>
        <v>Voie parentérale</v>
      </c>
      <c r="BU368" t="str">
        <f t="shared" si="113"/>
        <v/>
      </c>
      <c r="CN368">
        <v>367</v>
      </c>
    </row>
    <row r="369" spans="1:92" x14ac:dyDescent="0.3">
      <c r="A369" s="118" t="s">
        <v>2740</v>
      </c>
      <c r="B369" t="s">
        <v>2741</v>
      </c>
      <c r="C369" t="s">
        <v>1588</v>
      </c>
      <c r="D369" s="144" t="s">
        <v>829</v>
      </c>
      <c r="E369" t="s">
        <v>830</v>
      </c>
      <c r="F369" t="s">
        <v>293</v>
      </c>
      <c r="G369" t="s">
        <v>831</v>
      </c>
      <c r="H369" t="s">
        <v>832</v>
      </c>
      <c r="I369" t="s">
        <v>817</v>
      </c>
      <c r="J369" t="s">
        <v>787</v>
      </c>
      <c r="K369" t="s">
        <v>787</v>
      </c>
      <c r="L369" t="s">
        <v>1055</v>
      </c>
      <c r="M369" t="s">
        <v>208</v>
      </c>
      <c r="N369" t="s">
        <v>764</v>
      </c>
      <c r="O369" t="s">
        <v>894</v>
      </c>
      <c r="P369" t="s">
        <v>772</v>
      </c>
      <c r="Q369" t="s">
        <v>764</v>
      </c>
      <c r="R369">
        <v>10</v>
      </c>
      <c r="S369">
        <v>5</v>
      </c>
      <c r="T369">
        <v>0</v>
      </c>
      <c r="U369">
        <v>0</v>
      </c>
      <c r="V369">
        <v>0</v>
      </c>
      <c r="W369">
        <v>0</v>
      </c>
      <c r="X369">
        <v>0</v>
      </c>
      <c r="Y369">
        <v>0</v>
      </c>
      <c r="Z369">
        <v>0</v>
      </c>
      <c r="AA369">
        <v>0</v>
      </c>
      <c r="AB369">
        <v>0</v>
      </c>
      <c r="AC369">
        <v>0</v>
      </c>
      <c r="AD369">
        <v>10</v>
      </c>
      <c r="AE369">
        <v>5</v>
      </c>
      <c r="AF369">
        <v>10</v>
      </c>
      <c r="AG369">
        <v>5</v>
      </c>
      <c r="AH369">
        <v>0</v>
      </c>
      <c r="AI369">
        <v>0</v>
      </c>
      <c r="AY369" t="str">
        <f t="shared" si="95"/>
        <v>COFAMOX 10</v>
      </c>
      <c r="AZ369" t="str">
        <f>IF(COUNTIF(AY:AY,AY369)=1,AY369,IF(AND(COUNTIF(AY:AY,AY369)&gt;1,COUNTIF(AZ$2:AZ368,AY369)&gt;=1),"",AY369))</f>
        <v>COFAMOX 10</v>
      </c>
      <c r="BA369">
        <f>IF(AZ369="","",COUNTIFS(AZ$3:AZ$1439,"&lt;"&amp;AZ369,AZ$3:AZ$1439,"&lt;&gt;0")+COUNTIF(AZ$3:AZ369,AZ369)-876)</f>
        <v>128</v>
      </c>
      <c r="BC369">
        <v>367</v>
      </c>
      <c r="BD369" t="str">
        <f t="shared" si="106"/>
        <v>PENIJECTYL</v>
      </c>
      <c r="BE369" t="str">
        <f t="shared" si="96"/>
        <v>INJ</v>
      </c>
      <c r="BF369" t="str">
        <f t="shared" si="97"/>
        <v>AMINOGLYCOSIDES</v>
      </c>
      <c r="BG369" t="str">
        <f t="shared" si="98"/>
        <v>PENICILLINES</v>
      </c>
      <c r="BH369" t="str">
        <f t="shared" si="99"/>
        <v/>
      </c>
      <c r="BI369" t="str">
        <f t="shared" si="100"/>
        <v>dihydrostreptomycin</v>
      </c>
      <c r="BJ369" t="str">
        <f t="shared" si="101"/>
        <v>benzylpenicillin</v>
      </c>
      <c r="BK369" t="str">
        <f t="shared" si="102"/>
        <v/>
      </c>
      <c r="BL369" t="str">
        <f t="shared" si="107"/>
        <v>Dihydrostreptomycine + Benzylpénicilline</v>
      </c>
      <c r="BM369" t="str">
        <f t="shared" si="103"/>
        <v>Dihydrostreptomycine</v>
      </c>
      <c r="BN369" t="str">
        <f t="shared" si="104"/>
        <v>Benzylpénicilline</v>
      </c>
      <c r="BO369" t="str">
        <f t="shared" si="105"/>
        <v/>
      </c>
      <c r="BP369" t="str">
        <f t="shared" si="108"/>
        <v>Aminoglycosides + Penicillines</v>
      </c>
      <c r="BQ369" t="str">
        <f t="shared" si="109"/>
        <v>Aminoglycosides</v>
      </c>
      <c r="BR369" t="str">
        <f t="shared" si="110"/>
        <v>Penicillines</v>
      </c>
      <c r="BS369" t="str">
        <f t="shared" si="111"/>
        <v/>
      </c>
      <c r="BT369" s="76" t="str">
        <f t="shared" si="112"/>
        <v>Voie parentérale</v>
      </c>
      <c r="BU369" t="str">
        <f t="shared" si="113"/>
        <v/>
      </c>
      <c r="CN369">
        <v>368</v>
      </c>
    </row>
    <row r="370" spans="1:92" x14ac:dyDescent="0.3">
      <c r="A370" s="118" t="s">
        <v>2740</v>
      </c>
      <c r="B370" t="s">
        <v>2742</v>
      </c>
      <c r="C370" t="s">
        <v>828</v>
      </c>
      <c r="D370" s="144" t="s">
        <v>829</v>
      </c>
      <c r="E370" t="s">
        <v>830</v>
      </c>
      <c r="F370" t="s">
        <v>293</v>
      </c>
      <c r="G370" t="s">
        <v>831</v>
      </c>
      <c r="H370" t="s">
        <v>832</v>
      </c>
      <c r="I370" t="s">
        <v>817</v>
      </c>
      <c r="J370" t="s">
        <v>787</v>
      </c>
      <c r="K370" t="s">
        <v>787</v>
      </c>
      <c r="L370" t="s">
        <v>1055</v>
      </c>
      <c r="M370" t="s">
        <v>208</v>
      </c>
      <c r="N370" t="s">
        <v>764</v>
      </c>
      <c r="O370" t="s">
        <v>894</v>
      </c>
      <c r="P370" t="s">
        <v>772</v>
      </c>
      <c r="Q370" t="s">
        <v>764</v>
      </c>
      <c r="R370">
        <v>10</v>
      </c>
      <c r="S370">
        <v>5</v>
      </c>
      <c r="T370">
        <v>0</v>
      </c>
      <c r="U370">
        <v>0</v>
      </c>
      <c r="V370">
        <v>0</v>
      </c>
      <c r="W370">
        <v>0</v>
      </c>
      <c r="X370">
        <v>0</v>
      </c>
      <c r="Y370">
        <v>0</v>
      </c>
      <c r="Z370">
        <v>0</v>
      </c>
      <c r="AA370">
        <v>0</v>
      </c>
      <c r="AB370">
        <v>0</v>
      </c>
      <c r="AC370">
        <v>0</v>
      </c>
      <c r="AD370">
        <v>10</v>
      </c>
      <c r="AE370">
        <v>5</v>
      </c>
      <c r="AF370">
        <v>10</v>
      </c>
      <c r="AG370">
        <v>5</v>
      </c>
      <c r="AH370">
        <v>0</v>
      </c>
      <c r="AI370">
        <v>0</v>
      </c>
      <c r="AY370" t="str">
        <f t="shared" si="95"/>
        <v>COFAMOX 10</v>
      </c>
      <c r="AZ370" t="str">
        <f>IF(COUNTIF(AY:AY,AY370)=1,AY370,IF(AND(COUNTIF(AY:AY,AY370)&gt;1,COUNTIF(AZ$2:AZ369,AY370)&gt;=1),"",AY370))</f>
        <v/>
      </c>
      <c r="BA370" t="str">
        <f>IF(AZ370="","",COUNTIFS(AZ$3:AZ$1439,"&lt;"&amp;AZ370,AZ$3:AZ$1439,"&lt;&gt;0")+COUNTIF(AZ$3:AZ370,AZ370)-876)</f>
        <v/>
      </c>
      <c r="BC370">
        <v>368</v>
      </c>
      <c r="BD370" t="str">
        <f t="shared" si="106"/>
        <v>PERLIUM AMOXIVAL AMOXICILLINE 100 PREMELANGE MEDICAMENTEUX PORC</v>
      </c>
      <c r="BE370" t="str">
        <f t="shared" si="96"/>
        <v>PM</v>
      </c>
      <c r="BF370" t="str">
        <f t="shared" si="97"/>
        <v>PENICILLINES</v>
      </c>
      <c r="BG370" t="str">
        <f t="shared" si="98"/>
        <v/>
      </c>
      <c r="BH370" t="str">
        <f t="shared" si="99"/>
        <v/>
      </c>
      <c r="BI370" t="str">
        <f t="shared" si="100"/>
        <v>amoxicillin</v>
      </c>
      <c r="BJ370" t="str">
        <f t="shared" si="101"/>
        <v/>
      </c>
      <c r="BK370" t="str">
        <f t="shared" si="102"/>
        <v/>
      </c>
      <c r="BL370" t="str">
        <f t="shared" si="107"/>
        <v>Amoxicilline</v>
      </c>
      <c r="BM370" t="str">
        <f t="shared" si="103"/>
        <v>Amoxicilline</v>
      </c>
      <c r="BN370" t="str">
        <f t="shared" si="104"/>
        <v/>
      </c>
      <c r="BO370" t="str">
        <f t="shared" si="105"/>
        <v/>
      </c>
      <c r="BP370" t="str">
        <f t="shared" si="108"/>
        <v>Penicillines</v>
      </c>
      <c r="BQ370" t="str">
        <f t="shared" si="109"/>
        <v>Penicillines</v>
      </c>
      <c r="BR370" t="str">
        <f t="shared" si="110"/>
        <v/>
      </c>
      <c r="BS370" t="str">
        <f t="shared" si="111"/>
        <v/>
      </c>
      <c r="BT370" s="76" t="str">
        <f t="shared" si="112"/>
        <v>Prémélanges médicamenteux</v>
      </c>
      <c r="BU370" t="str">
        <f t="shared" si="113"/>
        <v/>
      </c>
      <c r="CN370">
        <v>369</v>
      </c>
    </row>
    <row r="371" spans="1:92" x14ac:dyDescent="0.3">
      <c r="A371" s="118" t="s">
        <v>2740</v>
      </c>
      <c r="B371" t="s">
        <v>2743</v>
      </c>
      <c r="C371" t="s">
        <v>1313</v>
      </c>
      <c r="D371" s="144" t="s">
        <v>955</v>
      </c>
      <c r="E371" t="s">
        <v>830</v>
      </c>
      <c r="F371" t="s">
        <v>293</v>
      </c>
      <c r="G371" t="s">
        <v>831</v>
      </c>
      <c r="H371" t="s">
        <v>832</v>
      </c>
      <c r="I371" t="s">
        <v>817</v>
      </c>
      <c r="J371" t="s">
        <v>787</v>
      </c>
      <c r="K371" t="s">
        <v>787</v>
      </c>
      <c r="L371" t="s">
        <v>1055</v>
      </c>
      <c r="M371" t="s">
        <v>208</v>
      </c>
      <c r="N371" t="s">
        <v>764</v>
      </c>
      <c r="O371" t="s">
        <v>894</v>
      </c>
      <c r="P371" t="s">
        <v>772</v>
      </c>
      <c r="Q371" t="s">
        <v>906</v>
      </c>
      <c r="R371">
        <v>10</v>
      </c>
      <c r="S371">
        <v>5</v>
      </c>
      <c r="T371">
        <v>0</v>
      </c>
      <c r="U371">
        <v>0</v>
      </c>
      <c r="V371">
        <v>0</v>
      </c>
      <c r="W371">
        <v>0</v>
      </c>
      <c r="X371">
        <v>0</v>
      </c>
      <c r="Y371">
        <v>0</v>
      </c>
      <c r="Z371">
        <v>0</v>
      </c>
      <c r="AA371">
        <v>0</v>
      </c>
      <c r="AB371">
        <v>0</v>
      </c>
      <c r="AC371">
        <v>0</v>
      </c>
      <c r="AD371">
        <v>10</v>
      </c>
      <c r="AE371">
        <v>5</v>
      </c>
      <c r="AF371">
        <v>10</v>
      </c>
      <c r="AG371">
        <v>5</v>
      </c>
      <c r="AH371">
        <v>0</v>
      </c>
      <c r="AI371">
        <v>0</v>
      </c>
      <c r="AY371" t="str">
        <f t="shared" si="95"/>
        <v>COFAMOX 10</v>
      </c>
      <c r="AZ371" t="str">
        <f>IF(COUNTIF(AY:AY,AY371)=1,AY371,IF(AND(COUNTIF(AY:AY,AY371)&gt;1,COUNTIF(AZ$2:AZ370,AY371)&gt;=1),"",AY371))</f>
        <v/>
      </c>
      <c r="BA371" t="str">
        <f>IF(AZ371="","",COUNTIFS(AZ$3:AZ$1439,"&lt;"&amp;AZ371,AZ$3:AZ$1439,"&lt;&gt;0")+COUNTIF(AZ$3:AZ371,AZ371)-876)</f>
        <v/>
      </c>
      <c r="BC371">
        <v>369</v>
      </c>
      <c r="BD371" t="str">
        <f t="shared" si="106"/>
        <v>PERLIUM DOXYVAL DOXYCYCLINE 40 PREMELANGE MEDICAMENTEUX PORCS</v>
      </c>
      <c r="BE371" t="str">
        <f t="shared" si="96"/>
        <v>PM</v>
      </c>
      <c r="BF371" t="str">
        <f t="shared" si="97"/>
        <v>TETRACYCLINES</v>
      </c>
      <c r="BG371" t="str">
        <f t="shared" si="98"/>
        <v/>
      </c>
      <c r="BH371" t="str">
        <f t="shared" si="99"/>
        <v/>
      </c>
      <c r="BI371" t="str">
        <f t="shared" si="100"/>
        <v>doxycycline</v>
      </c>
      <c r="BJ371" t="str">
        <f t="shared" si="101"/>
        <v/>
      </c>
      <c r="BK371" t="str">
        <f t="shared" si="102"/>
        <v/>
      </c>
      <c r="BL371" t="str">
        <f t="shared" si="107"/>
        <v>Doxycycline</v>
      </c>
      <c r="BM371" t="str">
        <f t="shared" si="103"/>
        <v>Doxycycline</v>
      </c>
      <c r="BN371" t="str">
        <f t="shared" si="104"/>
        <v/>
      </c>
      <c r="BO371" t="str">
        <f t="shared" si="105"/>
        <v/>
      </c>
      <c r="BP371" t="str">
        <f t="shared" si="108"/>
        <v>Tetracyclines</v>
      </c>
      <c r="BQ371" t="str">
        <f t="shared" si="109"/>
        <v>Tetracyclines</v>
      </c>
      <c r="BR371" t="str">
        <f t="shared" si="110"/>
        <v/>
      </c>
      <c r="BS371" t="str">
        <f t="shared" si="111"/>
        <v/>
      </c>
      <c r="BT371" s="76" t="str">
        <f t="shared" si="112"/>
        <v>Prémélanges médicamenteux</v>
      </c>
      <c r="BU371" t="str">
        <f t="shared" si="113"/>
        <v/>
      </c>
      <c r="CN371">
        <v>370</v>
      </c>
    </row>
    <row r="372" spans="1:92" x14ac:dyDescent="0.3">
      <c r="A372" s="118" t="s">
        <v>3302</v>
      </c>
      <c r="B372" t="s">
        <v>3303</v>
      </c>
      <c r="C372" t="s">
        <v>792</v>
      </c>
      <c r="D372" s="144" t="s">
        <v>764</v>
      </c>
      <c r="E372" t="s">
        <v>765</v>
      </c>
      <c r="F372" t="s">
        <v>294</v>
      </c>
      <c r="G372" t="s">
        <v>766</v>
      </c>
      <c r="H372" t="s">
        <v>801</v>
      </c>
      <c r="I372" t="s">
        <v>766</v>
      </c>
      <c r="J372" t="s">
        <v>787</v>
      </c>
      <c r="K372" t="s">
        <v>787</v>
      </c>
      <c r="L372" t="s">
        <v>1055</v>
      </c>
      <c r="M372" t="s">
        <v>208</v>
      </c>
      <c r="N372" t="s">
        <v>1155</v>
      </c>
      <c r="O372" t="s">
        <v>771</v>
      </c>
      <c r="P372" t="s">
        <v>772</v>
      </c>
      <c r="Q372" t="s">
        <v>972</v>
      </c>
      <c r="R372">
        <v>15</v>
      </c>
      <c r="S372">
        <v>2</v>
      </c>
      <c r="T372">
        <v>0</v>
      </c>
      <c r="U372">
        <v>0</v>
      </c>
      <c r="V372">
        <v>0</v>
      </c>
      <c r="W372">
        <v>0</v>
      </c>
      <c r="X372">
        <v>0</v>
      </c>
      <c r="Y372">
        <v>0</v>
      </c>
      <c r="Z372">
        <v>0</v>
      </c>
      <c r="AA372">
        <v>0</v>
      </c>
      <c r="AB372">
        <v>0</v>
      </c>
      <c r="AC372">
        <v>0</v>
      </c>
      <c r="AD372">
        <v>0</v>
      </c>
      <c r="AE372">
        <v>0</v>
      </c>
      <c r="AF372">
        <v>0</v>
      </c>
      <c r="AG372">
        <v>0</v>
      </c>
      <c r="AH372">
        <v>0</v>
      </c>
      <c r="AI372">
        <v>0</v>
      </c>
      <c r="AY372" t="str">
        <f t="shared" si="95"/>
        <v>COFAMOX 15 L.A.</v>
      </c>
      <c r="AZ372" t="str">
        <f>IF(COUNTIF(AY:AY,AY372)=1,AY372,IF(AND(COUNTIF(AY:AY,AY372)&gt;1,COUNTIF(AZ$2:AZ371,AY372)&gt;=1),"",AY372))</f>
        <v>COFAMOX 15 L.A.</v>
      </c>
      <c r="BA372">
        <f>IF(AZ372="","",COUNTIFS(AZ$3:AZ$1439,"&lt;"&amp;AZ372,AZ$3:AZ$1439,"&lt;&gt;0")+COUNTIF(AZ$3:AZ372,AZ372)-876)</f>
        <v>129</v>
      </c>
      <c r="BC372">
        <v>370</v>
      </c>
      <c r="BD372" t="str">
        <f t="shared" si="106"/>
        <v>PERMACYL 182,5 MG/ML POUDRE ET SOLVANT POUR SUSPENSION INJECTABLE POUR BOVINS</v>
      </c>
      <c r="BE372" t="str">
        <f t="shared" si="96"/>
        <v>INJ</v>
      </c>
      <c r="BF372" t="str">
        <f t="shared" si="97"/>
        <v>PENICILLINES</v>
      </c>
      <c r="BG372" t="str">
        <f t="shared" si="98"/>
        <v/>
      </c>
      <c r="BH372" t="str">
        <f t="shared" si="99"/>
        <v/>
      </c>
      <c r="BI372" t="str">
        <f t="shared" si="100"/>
        <v>penethamate hydriodide</v>
      </c>
      <c r="BJ372" t="str">
        <f t="shared" si="101"/>
        <v/>
      </c>
      <c r="BK372" t="str">
        <f t="shared" si="102"/>
        <v/>
      </c>
      <c r="BL372" t="str">
        <f t="shared" si="107"/>
        <v>Pénéthamate (ou pénéthacilline)</v>
      </c>
      <c r="BM372" t="str">
        <f t="shared" si="103"/>
        <v>Pénéthamate (ou pénéthacilline)</v>
      </c>
      <c r="BN372" t="str">
        <f t="shared" si="104"/>
        <v/>
      </c>
      <c r="BO372" t="str">
        <f t="shared" si="105"/>
        <v/>
      </c>
      <c r="BP372" t="str">
        <f t="shared" si="108"/>
        <v>Penicillines</v>
      </c>
      <c r="BQ372" t="str">
        <f t="shared" si="109"/>
        <v>Penicillines</v>
      </c>
      <c r="BR372" t="str">
        <f t="shared" si="110"/>
        <v/>
      </c>
      <c r="BS372" t="str">
        <f t="shared" si="111"/>
        <v/>
      </c>
      <c r="BT372" s="76" t="str">
        <f t="shared" si="112"/>
        <v>Voie parentérale</v>
      </c>
      <c r="BU372" t="str">
        <f t="shared" si="113"/>
        <v/>
      </c>
      <c r="CN372">
        <v>371</v>
      </c>
    </row>
    <row r="373" spans="1:92" x14ac:dyDescent="0.3">
      <c r="A373" s="118" t="s">
        <v>3302</v>
      </c>
      <c r="B373" t="s">
        <v>3304</v>
      </c>
      <c r="C373" t="s">
        <v>796</v>
      </c>
      <c r="D373" s="144" t="s">
        <v>776</v>
      </c>
      <c r="E373" t="s">
        <v>765</v>
      </c>
      <c r="F373" t="s">
        <v>294</v>
      </c>
      <c r="G373" t="s">
        <v>766</v>
      </c>
      <c r="H373" t="s">
        <v>801</v>
      </c>
      <c r="I373" t="s">
        <v>766</v>
      </c>
      <c r="J373" t="s">
        <v>787</v>
      </c>
      <c r="K373" t="s">
        <v>787</v>
      </c>
      <c r="L373" t="s">
        <v>1055</v>
      </c>
      <c r="M373" t="s">
        <v>208</v>
      </c>
      <c r="N373" t="s">
        <v>1155</v>
      </c>
      <c r="O373" t="s">
        <v>771</v>
      </c>
      <c r="P373" t="s">
        <v>772</v>
      </c>
      <c r="Q373" t="s">
        <v>1773</v>
      </c>
      <c r="R373">
        <v>15</v>
      </c>
      <c r="S373">
        <v>2</v>
      </c>
      <c r="T373">
        <v>0</v>
      </c>
      <c r="U373">
        <v>0</v>
      </c>
      <c r="V373">
        <v>0</v>
      </c>
      <c r="W373">
        <v>0</v>
      </c>
      <c r="X373">
        <v>0</v>
      </c>
      <c r="Y373">
        <v>0</v>
      </c>
      <c r="Z373">
        <v>0</v>
      </c>
      <c r="AA373">
        <v>0</v>
      </c>
      <c r="AB373">
        <v>0</v>
      </c>
      <c r="AC373">
        <v>0</v>
      </c>
      <c r="AD373">
        <v>0</v>
      </c>
      <c r="AE373">
        <v>0</v>
      </c>
      <c r="AF373">
        <v>0</v>
      </c>
      <c r="AG373">
        <v>0</v>
      </c>
      <c r="AH373">
        <v>0</v>
      </c>
      <c r="AI373">
        <v>0</v>
      </c>
      <c r="AY373" t="str">
        <f t="shared" si="95"/>
        <v>COFAMOX 15 L.A.</v>
      </c>
      <c r="AZ373" t="str">
        <f>IF(COUNTIF(AY:AY,AY373)=1,AY373,IF(AND(COUNTIF(AY:AY,AY373)&gt;1,COUNTIF(AZ$2:AZ372,AY373)&gt;=1),"",AY373))</f>
        <v/>
      </c>
      <c r="BA373" t="str">
        <f>IF(AZ373="","",COUNTIFS(AZ$3:AZ$1439,"&lt;"&amp;AZ373,AZ$3:AZ$1439,"&lt;&gt;0")+COUNTIF(AZ$3:AZ373,AZ373)-876)</f>
        <v/>
      </c>
      <c r="BC373">
        <v>371</v>
      </c>
      <c r="BD373" t="str">
        <f t="shared" si="106"/>
        <v>PHADILACT</v>
      </c>
      <c r="BE373" t="str">
        <f t="shared" si="96"/>
        <v>ORAL</v>
      </c>
      <c r="BF373" t="str">
        <f t="shared" si="97"/>
        <v>PENICILLINES</v>
      </c>
      <c r="BG373" t="str">
        <f t="shared" si="98"/>
        <v>POLYPEPTIDES</v>
      </c>
      <c r="BH373" t="str">
        <f t="shared" si="99"/>
        <v/>
      </c>
      <c r="BI373" t="str">
        <f t="shared" si="100"/>
        <v>ampicillin</v>
      </c>
      <c r="BJ373" t="str">
        <f t="shared" si="101"/>
        <v>colistin</v>
      </c>
      <c r="BK373" t="str">
        <f t="shared" si="102"/>
        <v/>
      </c>
      <c r="BL373" t="str">
        <f t="shared" si="107"/>
        <v>Ampicilline + Colistine</v>
      </c>
      <c r="BM373" t="str">
        <f t="shared" si="103"/>
        <v>Ampicilline</v>
      </c>
      <c r="BN373" t="str">
        <f t="shared" si="104"/>
        <v>Colistine</v>
      </c>
      <c r="BO373" t="str">
        <f t="shared" si="105"/>
        <v/>
      </c>
      <c r="BP373" t="str">
        <f t="shared" si="108"/>
        <v>Penicillines + Polypeptides</v>
      </c>
      <c r="BQ373" t="str">
        <f t="shared" si="109"/>
        <v>Penicillines</v>
      </c>
      <c r="BR373" t="str">
        <f t="shared" si="110"/>
        <v>Polypeptides</v>
      </c>
      <c r="BS373" t="str">
        <f t="shared" si="111"/>
        <v/>
      </c>
      <c r="BT373" s="76" t="str">
        <f t="shared" si="112"/>
        <v>Voie orale  hors prémélanges médicamenteux</v>
      </c>
      <c r="BU373" t="str">
        <f t="shared" si="113"/>
        <v>x</v>
      </c>
      <c r="CN373">
        <v>372</v>
      </c>
    </row>
    <row r="374" spans="1:92" x14ac:dyDescent="0.3">
      <c r="A374" s="118" t="s">
        <v>2823</v>
      </c>
      <c r="B374" t="s">
        <v>2824</v>
      </c>
      <c r="C374" t="s">
        <v>2825</v>
      </c>
      <c r="D374" s="144" t="s">
        <v>829</v>
      </c>
      <c r="E374" t="s">
        <v>830</v>
      </c>
      <c r="F374" t="s">
        <v>622</v>
      </c>
      <c r="G374" t="s">
        <v>831</v>
      </c>
      <c r="H374" t="s">
        <v>1706</v>
      </c>
      <c r="I374" t="s">
        <v>817</v>
      </c>
      <c r="J374" t="s">
        <v>1559</v>
      </c>
      <c r="K374" t="s">
        <v>1559</v>
      </c>
      <c r="L374" t="s">
        <v>1560</v>
      </c>
      <c r="M374" t="s">
        <v>208</v>
      </c>
      <c r="N374" t="s">
        <v>764</v>
      </c>
      <c r="O374" t="s">
        <v>894</v>
      </c>
      <c r="P374" t="s">
        <v>772</v>
      </c>
      <c r="Q374" t="s">
        <v>764</v>
      </c>
      <c r="R374">
        <v>20</v>
      </c>
      <c r="S374">
        <v>5</v>
      </c>
      <c r="T374">
        <v>0</v>
      </c>
      <c r="U374">
        <v>0</v>
      </c>
      <c r="V374">
        <v>0</v>
      </c>
      <c r="W374">
        <v>0</v>
      </c>
      <c r="X374">
        <v>0</v>
      </c>
      <c r="Y374">
        <v>0</v>
      </c>
      <c r="Z374">
        <v>0</v>
      </c>
      <c r="AA374">
        <v>0</v>
      </c>
      <c r="AB374">
        <v>0</v>
      </c>
      <c r="AC374">
        <v>0</v>
      </c>
      <c r="AD374">
        <v>0</v>
      </c>
      <c r="AE374">
        <v>0</v>
      </c>
      <c r="AF374">
        <v>20</v>
      </c>
      <c r="AG374">
        <v>5</v>
      </c>
      <c r="AH374">
        <v>0</v>
      </c>
      <c r="AI374">
        <v>0</v>
      </c>
      <c r="AY374" t="str">
        <f t="shared" si="95"/>
        <v>COFOXYL PO</v>
      </c>
      <c r="AZ374" t="str">
        <f>IF(COUNTIF(AY:AY,AY374)=1,AY374,IF(AND(COUNTIF(AY:AY,AY374)&gt;1,COUNTIF(AZ$2:AZ373,AY374)&gt;=1),"",AY374))</f>
        <v>COFOXYL PO</v>
      </c>
      <c r="BA374">
        <f>IF(AZ374="","",COUNTIFS(AZ$3:AZ$1439,"&lt;"&amp;AZ374,AZ$3:AZ$1439,"&lt;&gt;0")+COUNTIF(AZ$3:AZ374,AZ374)-876)</f>
        <v>130</v>
      </c>
      <c r="BC374">
        <v>372</v>
      </c>
      <c r="BD374" t="str">
        <f t="shared" si="106"/>
        <v>PHARMASIN 100 PREMELANGE MEDICAMENTEUX VOLAILLES PORCS</v>
      </c>
      <c r="BE374" t="str">
        <f t="shared" si="96"/>
        <v>PM</v>
      </c>
      <c r="BF374" t="str">
        <f t="shared" si="97"/>
        <v>MACROLIDES</v>
      </c>
      <c r="BG374" t="str">
        <f t="shared" si="98"/>
        <v/>
      </c>
      <c r="BH374" t="str">
        <f t="shared" si="99"/>
        <v/>
      </c>
      <c r="BI374" t="str">
        <f t="shared" si="100"/>
        <v>tylosin</v>
      </c>
      <c r="BJ374" t="str">
        <f t="shared" si="101"/>
        <v/>
      </c>
      <c r="BK374" t="str">
        <f t="shared" si="102"/>
        <v/>
      </c>
      <c r="BL374" t="str">
        <f t="shared" si="107"/>
        <v>Tylosine</v>
      </c>
      <c r="BM374" t="str">
        <f t="shared" si="103"/>
        <v>Tylosine</v>
      </c>
      <c r="BN374" t="str">
        <f t="shared" si="104"/>
        <v/>
      </c>
      <c r="BO374" t="str">
        <f t="shared" si="105"/>
        <v/>
      </c>
      <c r="BP374" t="str">
        <f t="shared" si="108"/>
        <v>Macrolides</v>
      </c>
      <c r="BQ374" t="str">
        <f t="shared" si="109"/>
        <v>Macrolides</v>
      </c>
      <c r="BR374" t="str">
        <f t="shared" si="110"/>
        <v/>
      </c>
      <c r="BS374" t="str">
        <f t="shared" si="111"/>
        <v/>
      </c>
      <c r="BT374" s="76" t="str">
        <f t="shared" si="112"/>
        <v>Prémélanges médicamenteux</v>
      </c>
      <c r="BU374" t="str">
        <f t="shared" si="113"/>
        <v/>
      </c>
      <c r="CN374">
        <v>373</v>
      </c>
    </row>
    <row r="375" spans="1:92" x14ac:dyDescent="0.3">
      <c r="A375" s="118" t="s">
        <v>2823</v>
      </c>
      <c r="B375" t="s">
        <v>2826</v>
      </c>
      <c r="C375" t="s">
        <v>1059</v>
      </c>
      <c r="D375" s="144" t="s">
        <v>955</v>
      </c>
      <c r="E375" t="s">
        <v>830</v>
      </c>
      <c r="F375" t="s">
        <v>622</v>
      </c>
      <c r="G375" t="s">
        <v>831</v>
      </c>
      <c r="H375" t="s">
        <v>1706</v>
      </c>
      <c r="I375" t="s">
        <v>817</v>
      </c>
      <c r="J375" t="s">
        <v>1559</v>
      </c>
      <c r="K375" t="s">
        <v>1559</v>
      </c>
      <c r="L375" t="s">
        <v>1560</v>
      </c>
      <c r="M375" t="s">
        <v>208</v>
      </c>
      <c r="N375" t="s">
        <v>764</v>
      </c>
      <c r="O375" t="s">
        <v>894</v>
      </c>
      <c r="P375" t="s">
        <v>772</v>
      </c>
      <c r="Q375" t="s">
        <v>906</v>
      </c>
      <c r="R375">
        <v>20</v>
      </c>
      <c r="S375">
        <v>5</v>
      </c>
      <c r="T375">
        <v>0</v>
      </c>
      <c r="U375">
        <v>0</v>
      </c>
      <c r="V375">
        <v>0</v>
      </c>
      <c r="W375">
        <v>0</v>
      </c>
      <c r="X375">
        <v>0</v>
      </c>
      <c r="Y375">
        <v>0</v>
      </c>
      <c r="Z375">
        <v>0</v>
      </c>
      <c r="AA375">
        <v>0</v>
      </c>
      <c r="AB375">
        <v>0</v>
      </c>
      <c r="AC375">
        <v>0</v>
      </c>
      <c r="AD375">
        <v>0</v>
      </c>
      <c r="AE375">
        <v>0</v>
      </c>
      <c r="AF375">
        <v>20</v>
      </c>
      <c r="AG375">
        <v>5</v>
      </c>
      <c r="AH375">
        <v>0</v>
      </c>
      <c r="AI375">
        <v>0</v>
      </c>
      <c r="AY375" t="str">
        <f t="shared" si="95"/>
        <v>COFOXYL PO</v>
      </c>
      <c r="AZ375" t="str">
        <f>IF(COUNTIF(AY:AY,AY375)=1,AY375,IF(AND(COUNTIF(AY:AY,AY375)&gt;1,COUNTIF(AZ$2:AZ374,AY375)&gt;=1),"",AY375))</f>
        <v/>
      </c>
      <c r="BA375" t="str">
        <f>IF(AZ375="","",COUNTIFS(AZ$3:AZ$1439,"&lt;"&amp;AZ375,AZ$3:AZ$1439,"&lt;&gt;0")+COUNTIF(AZ$3:AZ375,AZ375)-876)</f>
        <v/>
      </c>
      <c r="BC375">
        <v>373</v>
      </c>
      <c r="BD375" t="str">
        <f t="shared" si="106"/>
        <v>PHARMASIN 20 G/KG PREMELANGE MEDICAMENTEUX VOLAILLES PORCS</v>
      </c>
      <c r="BE375" t="str">
        <f t="shared" si="96"/>
        <v>PM</v>
      </c>
      <c r="BF375" t="str">
        <f t="shared" si="97"/>
        <v>MACROLIDES</v>
      </c>
      <c r="BG375" t="str">
        <f t="shared" si="98"/>
        <v/>
      </c>
      <c r="BH375" t="str">
        <f t="shared" si="99"/>
        <v/>
      </c>
      <c r="BI375" t="str">
        <f t="shared" si="100"/>
        <v>tylosin</v>
      </c>
      <c r="BJ375" t="str">
        <f t="shared" si="101"/>
        <v/>
      </c>
      <c r="BK375" t="str">
        <f t="shared" si="102"/>
        <v/>
      </c>
      <c r="BL375" t="str">
        <f t="shared" si="107"/>
        <v>Tylosine</v>
      </c>
      <c r="BM375" t="str">
        <f t="shared" si="103"/>
        <v>Tylosine</v>
      </c>
      <c r="BN375" t="str">
        <f t="shared" si="104"/>
        <v/>
      </c>
      <c r="BO375" t="str">
        <f t="shared" si="105"/>
        <v/>
      </c>
      <c r="BP375" t="str">
        <f t="shared" si="108"/>
        <v>Macrolides</v>
      </c>
      <c r="BQ375" t="str">
        <f t="shared" si="109"/>
        <v>Macrolides</v>
      </c>
      <c r="BR375" t="str">
        <f t="shared" si="110"/>
        <v/>
      </c>
      <c r="BS375" t="str">
        <f t="shared" si="111"/>
        <v/>
      </c>
      <c r="BT375" s="76" t="str">
        <f t="shared" si="112"/>
        <v>Prémélanges médicamenteux</v>
      </c>
      <c r="BU375" t="str">
        <f t="shared" si="113"/>
        <v/>
      </c>
      <c r="CN375">
        <v>374</v>
      </c>
    </row>
    <row r="376" spans="1:92" x14ac:dyDescent="0.3">
      <c r="A376" s="118" t="s">
        <v>1875</v>
      </c>
      <c r="B376" t="s">
        <v>1876</v>
      </c>
      <c r="C376" t="s">
        <v>763</v>
      </c>
      <c r="D376" s="144" t="s">
        <v>764</v>
      </c>
      <c r="E376" t="s">
        <v>765</v>
      </c>
      <c r="F376" t="s">
        <v>295</v>
      </c>
      <c r="G376" t="s">
        <v>766</v>
      </c>
      <c r="H376" t="s">
        <v>851</v>
      </c>
      <c r="I376" t="s">
        <v>766</v>
      </c>
      <c r="J376" t="s">
        <v>991</v>
      </c>
      <c r="K376" t="s">
        <v>787</v>
      </c>
      <c r="L376" t="s">
        <v>992</v>
      </c>
      <c r="M376" t="s">
        <v>208</v>
      </c>
      <c r="N376" t="s">
        <v>764</v>
      </c>
      <c r="O376" t="s">
        <v>771</v>
      </c>
      <c r="P376" t="s">
        <v>772</v>
      </c>
      <c r="Q376" t="s">
        <v>852</v>
      </c>
      <c r="R376">
        <v>20</v>
      </c>
      <c r="S376">
        <v>3</v>
      </c>
      <c r="T376">
        <v>0</v>
      </c>
      <c r="U376">
        <v>0</v>
      </c>
      <c r="V376">
        <v>0</v>
      </c>
      <c r="W376">
        <v>0</v>
      </c>
      <c r="X376">
        <v>0</v>
      </c>
      <c r="Y376">
        <v>0</v>
      </c>
      <c r="Z376">
        <v>0</v>
      </c>
      <c r="AA376">
        <v>0</v>
      </c>
      <c r="AB376">
        <v>20</v>
      </c>
      <c r="AC376">
        <v>3</v>
      </c>
      <c r="AD376">
        <v>20</v>
      </c>
      <c r="AE376">
        <v>3</v>
      </c>
      <c r="AF376">
        <v>0</v>
      </c>
      <c r="AG376">
        <v>0</v>
      </c>
      <c r="AH376">
        <v>0</v>
      </c>
      <c r="AI376">
        <v>0</v>
      </c>
      <c r="AJ376" t="s">
        <v>914</v>
      </c>
      <c r="AK376" t="s">
        <v>995</v>
      </c>
      <c r="AL376" t="s">
        <v>996</v>
      </c>
      <c r="AM376" t="s">
        <v>997</v>
      </c>
      <c r="AN376" t="s">
        <v>805</v>
      </c>
      <c r="AO376" t="s">
        <v>4371</v>
      </c>
      <c r="AP376" t="s">
        <v>1128</v>
      </c>
      <c r="AY376" t="str">
        <f t="shared" si="95"/>
        <v>COLAMPI I</v>
      </c>
      <c r="AZ376" t="str">
        <f>IF(COUNTIF(AY:AY,AY376)=1,AY376,IF(AND(COUNTIF(AY:AY,AY376)&gt;1,COUNTIF(AZ$2:AZ375,AY376)&gt;=1),"",AY376))</f>
        <v>COLAMPI I</v>
      </c>
      <c r="BA376">
        <f>IF(AZ376="","",COUNTIFS(AZ$3:AZ$1439,"&lt;"&amp;AZ376,AZ$3:AZ$1439,"&lt;&gt;0")+COUNTIF(AZ$3:AZ376,AZ376)-876)</f>
        <v>131</v>
      </c>
      <c r="BC376">
        <v>374</v>
      </c>
      <c r="BD376" t="str">
        <f t="shared" si="106"/>
        <v>PHARMASIN 200 MG/ML SOLUTION INJECTABLE POUR BOVINS OVINS CAPRINS ET PORCINS</v>
      </c>
      <c r="BE376" t="str">
        <f t="shared" si="96"/>
        <v>INJ</v>
      </c>
      <c r="BF376" t="str">
        <f t="shared" si="97"/>
        <v>MACROLIDES</v>
      </c>
      <c r="BG376" t="str">
        <f t="shared" si="98"/>
        <v/>
      </c>
      <c r="BH376" t="str">
        <f t="shared" si="99"/>
        <v/>
      </c>
      <c r="BI376" t="str">
        <f t="shared" si="100"/>
        <v>tylosin</v>
      </c>
      <c r="BJ376" t="str">
        <f t="shared" si="101"/>
        <v/>
      </c>
      <c r="BK376" t="str">
        <f t="shared" si="102"/>
        <v/>
      </c>
      <c r="BL376" t="str">
        <f t="shared" si="107"/>
        <v>Tylosine</v>
      </c>
      <c r="BM376" t="str">
        <f t="shared" si="103"/>
        <v>Tylosine</v>
      </c>
      <c r="BN376" t="str">
        <f t="shared" si="104"/>
        <v/>
      </c>
      <c r="BO376" t="str">
        <f t="shared" si="105"/>
        <v/>
      </c>
      <c r="BP376" t="str">
        <f t="shared" si="108"/>
        <v>Macrolides</v>
      </c>
      <c r="BQ376" t="str">
        <f t="shared" si="109"/>
        <v>Macrolides</v>
      </c>
      <c r="BR376" t="str">
        <f t="shared" si="110"/>
        <v/>
      </c>
      <c r="BS376" t="str">
        <f t="shared" si="111"/>
        <v/>
      </c>
      <c r="BT376" s="76" t="str">
        <f t="shared" si="112"/>
        <v>Voie parentérale</v>
      </c>
      <c r="BU376" t="str">
        <f t="shared" si="113"/>
        <v/>
      </c>
      <c r="CN376">
        <v>375</v>
      </c>
    </row>
    <row r="377" spans="1:92" x14ac:dyDescent="0.3">
      <c r="A377" s="118" t="s">
        <v>1875</v>
      </c>
      <c r="B377" t="s">
        <v>1877</v>
      </c>
      <c r="C377" t="s">
        <v>775</v>
      </c>
      <c r="D377" s="144" t="s">
        <v>776</v>
      </c>
      <c r="E377" t="s">
        <v>765</v>
      </c>
      <c r="F377" t="s">
        <v>295</v>
      </c>
      <c r="G377" t="s">
        <v>766</v>
      </c>
      <c r="H377" t="s">
        <v>851</v>
      </c>
      <c r="I377" t="s">
        <v>766</v>
      </c>
      <c r="J377" t="s">
        <v>991</v>
      </c>
      <c r="K377" t="s">
        <v>787</v>
      </c>
      <c r="L377" t="s">
        <v>992</v>
      </c>
      <c r="M377" t="s">
        <v>208</v>
      </c>
      <c r="N377" t="s">
        <v>764</v>
      </c>
      <c r="O377" t="s">
        <v>771</v>
      </c>
      <c r="P377" t="s">
        <v>772</v>
      </c>
      <c r="Q377" t="s">
        <v>855</v>
      </c>
      <c r="R377">
        <v>20</v>
      </c>
      <c r="S377">
        <v>3</v>
      </c>
      <c r="T377">
        <v>0</v>
      </c>
      <c r="U377">
        <v>0</v>
      </c>
      <c r="V377">
        <v>0</v>
      </c>
      <c r="W377">
        <v>0</v>
      </c>
      <c r="X377">
        <v>0</v>
      </c>
      <c r="Y377">
        <v>0</v>
      </c>
      <c r="Z377">
        <v>0</v>
      </c>
      <c r="AA377">
        <v>0</v>
      </c>
      <c r="AB377">
        <v>20</v>
      </c>
      <c r="AC377">
        <v>3</v>
      </c>
      <c r="AD377">
        <v>20</v>
      </c>
      <c r="AE377">
        <v>3</v>
      </c>
      <c r="AF377">
        <v>0</v>
      </c>
      <c r="AG377">
        <v>0</v>
      </c>
      <c r="AH377">
        <v>0</v>
      </c>
      <c r="AI377">
        <v>0</v>
      </c>
      <c r="AJ377" t="s">
        <v>914</v>
      </c>
      <c r="AK377" t="s">
        <v>995</v>
      </c>
      <c r="AL377" t="s">
        <v>996</v>
      </c>
      <c r="AM377" t="s">
        <v>997</v>
      </c>
      <c r="AN377" t="s">
        <v>805</v>
      </c>
      <c r="AO377" t="s">
        <v>4371</v>
      </c>
      <c r="AP377" t="s">
        <v>4372</v>
      </c>
      <c r="AY377" t="str">
        <f t="shared" si="95"/>
        <v>COLAMPI I</v>
      </c>
      <c r="AZ377" t="str">
        <f>IF(COUNTIF(AY:AY,AY377)=1,AY377,IF(AND(COUNTIF(AY:AY,AY377)&gt;1,COUNTIF(AZ$2:AZ376,AY377)&gt;=1),"",AY377))</f>
        <v/>
      </c>
      <c r="BA377" t="str">
        <f>IF(AZ377="","",COUNTIFS(AZ$3:AZ$1439,"&lt;"&amp;AZ377,AZ$3:AZ$1439,"&lt;&gt;0")+COUNTIF(AZ$3:AZ377,AZ377)-876)</f>
        <v/>
      </c>
      <c r="BC377">
        <v>375</v>
      </c>
      <c r="BD377" t="str">
        <f t="shared" si="106"/>
        <v>PHENOCILLIN 800 MG/G POUDRE POUR ADMINISTRATION DANS L'EAU DE BOISSON POUR POULETS</v>
      </c>
      <c r="BE377" t="str">
        <f t="shared" si="96"/>
        <v>ORAL</v>
      </c>
      <c r="BF377" t="str">
        <f t="shared" si="97"/>
        <v>PENICILLINES</v>
      </c>
      <c r="BG377" t="str">
        <f t="shared" si="98"/>
        <v/>
      </c>
      <c r="BH377" t="str">
        <f t="shared" si="99"/>
        <v/>
      </c>
      <c r="BI377" t="str">
        <f t="shared" si="100"/>
        <v>phenoxymethylpenicillin</v>
      </c>
      <c r="BJ377" t="str">
        <f t="shared" si="101"/>
        <v/>
      </c>
      <c r="BK377" t="str">
        <f t="shared" si="102"/>
        <v/>
      </c>
      <c r="BL377" t="str">
        <f t="shared" si="107"/>
        <v>Phénoxyméthylpénicilline</v>
      </c>
      <c r="BM377" t="str">
        <f t="shared" si="103"/>
        <v>Phénoxyméthylpénicilline</v>
      </c>
      <c r="BN377" t="str">
        <f t="shared" si="104"/>
        <v/>
      </c>
      <c r="BO377" t="str">
        <f t="shared" si="105"/>
        <v/>
      </c>
      <c r="BP377" t="str">
        <f t="shared" si="108"/>
        <v>Penicillines</v>
      </c>
      <c r="BQ377" t="str">
        <f t="shared" si="109"/>
        <v>Penicillines</v>
      </c>
      <c r="BR377" t="str">
        <f t="shared" si="110"/>
        <v/>
      </c>
      <c r="BS377" t="str">
        <f t="shared" si="111"/>
        <v/>
      </c>
      <c r="BT377" s="76" t="str">
        <f t="shared" si="112"/>
        <v>Voie orale  hors prémélanges médicamenteux</v>
      </c>
      <c r="BU377" t="str">
        <f t="shared" si="113"/>
        <v/>
      </c>
      <c r="CN377">
        <v>376</v>
      </c>
    </row>
    <row r="378" spans="1:92" x14ac:dyDescent="0.3">
      <c r="A378" s="118" t="s">
        <v>3765</v>
      </c>
      <c r="B378" t="s">
        <v>3766</v>
      </c>
      <c r="C378" t="s">
        <v>3634</v>
      </c>
      <c r="D378" s="144" t="s">
        <v>764</v>
      </c>
      <c r="E378" t="s">
        <v>765</v>
      </c>
      <c r="F378" t="s">
        <v>623</v>
      </c>
      <c r="G378" t="s">
        <v>766</v>
      </c>
      <c r="H378" t="s">
        <v>1326</v>
      </c>
      <c r="I378" t="s">
        <v>766</v>
      </c>
      <c r="J378" t="s">
        <v>1752</v>
      </c>
      <c r="K378" t="s">
        <v>1752</v>
      </c>
      <c r="L378" t="s">
        <v>2511</v>
      </c>
      <c r="M378" t="s">
        <v>208</v>
      </c>
      <c r="N378" t="s">
        <v>1163</v>
      </c>
      <c r="O378" t="s">
        <v>771</v>
      </c>
      <c r="P378" t="s">
        <v>772</v>
      </c>
      <c r="Q378" t="s">
        <v>797</v>
      </c>
      <c r="R378">
        <v>40</v>
      </c>
      <c r="S378">
        <v>1</v>
      </c>
      <c r="T378">
        <v>0</v>
      </c>
      <c r="U378">
        <v>0</v>
      </c>
      <c r="V378">
        <v>0</v>
      </c>
      <c r="W378">
        <v>0</v>
      </c>
      <c r="X378">
        <v>0</v>
      </c>
      <c r="Y378">
        <v>0</v>
      </c>
      <c r="Z378">
        <v>0</v>
      </c>
      <c r="AA378">
        <v>0</v>
      </c>
      <c r="AB378">
        <v>0</v>
      </c>
      <c r="AC378">
        <v>0</v>
      </c>
      <c r="AD378">
        <v>15</v>
      </c>
      <c r="AE378">
        <v>2</v>
      </c>
      <c r="AF378">
        <v>0</v>
      </c>
      <c r="AG378">
        <v>0</v>
      </c>
      <c r="AH378">
        <v>0</v>
      </c>
      <c r="AI378">
        <v>0</v>
      </c>
      <c r="AY378" t="str">
        <f t="shared" si="95"/>
        <v>COLFEN 300 MG/ML SOLUTION INJECTABLE POUR BOVINS ET PORCINS</v>
      </c>
      <c r="AZ378" t="str">
        <f>IF(COUNTIF(AY:AY,AY378)=1,AY378,IF(AND(COUNTIF(AY:AY,AY378)&gt;1,COUNTIF(AZ$2:AZ377,AY378)&gt;=1),"",AY378))</f>
        <v>COLFEN 300 MG/ML SOLUTION INJECTABLE POUR BOVINS ET PORCINS</v>
      </c>
      <c r="BA378">
        <f>IF(AZ378="","",COUNTIFS(AZ$3:AZ$1439,"&lt;"&amp;AZ378,AZ$3:AZ$1439,"&lt;&gt;0")+COUNTIF(AZ$3:AZ378,AZ378)-876)</f>
        <v>132</v>
      </c>
      <c r="BC378">
        <v>376</v>
      </c>
      <c r="BD378" t="str">
        <f t="shared" si="106"/>
        <v>PHENOXYPEN WSP</v>
      </c>
      <c r="BE378" t="str">
        <f t="shared" si="96"/>
        <v>ORAL</v>
      </c>
      <c r="BF378" t="str">
        <f t="shared" si="97"/>
        <v>PENICILLINES</v>
      </c>
      <c r="BG378" t="str">
        <f t="shared" si="98"/>
        <v/>
      </c>
      <c r="BH378" t="str">
        <f t="shared" si="99"/>
        <v/>
      </c>
      <c r="BI378" t="str">
        <f t="shared" si="100"/>
        <v>phenoxymethylpenicillin</v>
      </c>
      <c r="BJ378" t="str">
        <f t="shared" si="101"/>
        <v/>
      </c>
      <c r="BK378" t="str">
        <f t="shared" si="102"/>
        <v/>
      </c>
      <c r="BL378" t="str">
        <f t="shared" si="107"/>
        <v>Phénoxyméthylpénicilline</v>
      </c>
      <c r="BM378" t="str">
        <f t="shared" si="103"/>
        <v>Phénoxyméthylpénicilline</v>
      </c>
      <c r="BN378" t="str">
        <f t="shared" si="104"/>
        <v/>
      </c>
      <c r="BO378" t="str">
        <f t="shared" si="105"/>
        <v/>
      </c>
      <c r="BP378" t="str">
        <f t="shared" si="108"/>
        <v>Penicillines</v>
      </c>
      <c r="BQ378" t="str">
        <f t="shared" si="109"/>
        <v>Penicillines</v>
      </c>
      <c r="BR378" t="str">
        <f t="shared" si="110"/>
        <v/>
      </c>
      <c r="BS378" t="str">
        <f t="shared" si="111"/>
        <v/>
      </c>
      <c r="BT378" s="76" t="str">
        <f t="shared" si="112"/>
        <v>Voie orale  hors prémélanges médicamenteux</v>
      </c>
      <c r="BU378" t="str">
        <f t="shared" si="113"/>
        <v/>
      </c>
      <c r="CN378">
        <v>377</v>
      </c>
    </row>
    <row r="379" spans="1:92" x14ac:dyDescent="0.3">
      <c r="A379" s="118" t="s">
        <v>3765</v>
      </c>
      <c r="B379" t="s">
        <v>3767</v>
      </c>
      <c r="C379" t="s">
        <v>3768</v>
      </c>
      <c r="D379" s="144" t="s">
        <v>776</v>
      </c>
      <c r="E379" t="s">
        <v>765</v>
      </c>
      <c r="F379" t="s">
        <v>623</v>
      </c>
      <c r="G379" t="s">
        <v>766</v>
      </c>
      <c r="H379" t="s">
        <v>1326</v>
      </c>
      <c r="I379" t="s">
        <v>766</v>
      </c>
      <c r="J379" t="s">
        <v>1752</v>
      </c>
      <c r="K379" t="s">
        <v>1752</v>
      </c>
      <c r="L379" t="s">
        <v>2511</v>
      </c>
      <c r="M379" t="s">
        <v>208</v>
      </c>
      <c r="N379" t="s">
        <v>1163</v>
      </c>
      <c r="O379" t="s">
        <v>771</v>
      </c>
      <c r="P379" t="s">
        <v>772</v>
      </c>
      <c r="Q379" t="s">
        <v>1255</v>
      </c>
      <c r="R379">
        <v>40</v>
      </c>
      <c r="S379">
        <v>1</v>
      </c>
      <c r="T379">
        <v>0</v>
      </c>
      <c r="U379">
        <v>0</v>
      </c>
      <c r="V379">
        <v>0</v>
      </c>
      <c r="W379">
        <v>0</v>
      </c>
      <c r="X379">
        <v>0</v>
      </c>
      <c r="Y379">
        <v>0</v>
      </c>
      <c r="Z379">
        <v>0</v>
      </c>
      <c r="AA379">
        <v>0</v>
      </c>
      <c r="AB379">
        <v>0</v>
      </c>
      <c r="AC379">
        <v>0</v>
      </c>
      <c r="AD379">
        <v>15</v>
      </c>
      <c r="AE379">
        <v>2</v>
      </c>
      <c r="AF379">
        <v>0</v>
      </c>
      <c r="AG379">
        <v>0</v>
      </c>
      <c r="AH379">
        <v>0</v>
      </c>
      <c r="AI379">
        <v>0</v>
      </c>
      <c r="AY379" t="str">
        <f t="shared" si="95"/>
        <v>COLFEN 300 MG/ML SOLUTION INJECTABLE POUR BOVINS ET PORCINS</v>
      </c>
      <c r="AZ379" t="str">
        <f>IF(COUNTIF(AY:AY,AY379)=1,AY379,IF(AND(COUNTIF(AY:AY,AY379)&gt;1,COUNTIF(AZ$2:AZ378,AY379)&gt;=1),"",AY379))</f>
        <v/>
      </c>
      <c r="BA379" t="str">
        <f>IF(AZ379="","",COUNTIFS(AZ$3:AZ$1439,"&lt;"&amp;AZ379,AZ$3:AZ$1439,"&lt;&gt;0")+COUNTIF(AZ$3:AZ379,AZ379)-876)</f>
        <v/>
      </c>
      <c r="BC379">
        <v>377</v>
      </c>
      <c r="BD379" t="str">
        <f t="shared" si="106"/>
        <v>PIRSUE 5 MG/ML SOLUTION INTRAMAMMAIRE POUR BOVINS</v>
      </c>
      <c r="BE379" t="str">
        <f t="shared" si="96"/>
        <v>INTRAMAM</v>
      </c>
      <c r="BF379" t="str">
        <f t="shared" si="97"/>
        <v>LINCOSAMIDES</v>
      </c>
      <c r="BG379" t="str">
        <f t="shared" si="98"/>
        <v/>
      </c>
      <c r="BH379" t="str">
        <f t="shared" si="99"/>
        <v/>
      </c>
      <c r="BI379" t="str">
        <f t="shared" si="100"/>
        <v>pirlimycin</v>
      </c>
      <c r="BJ379" t="str">
        <f t="shared" si="101"/>
        <v/>
      </c>
      <c r="BK379" t="str">
        <f t="shared" si="102"/>
        <v/>
      </c>
      <c r="BL379" t="str">
        <f t="shared" si="107"/>
        <v>Pirlimycine</v>
      </c>
      <c r="BM379" t="str">
        <f t="shared" si="103"/>
        <v>Pirlimycine</v>
      </c>
      <c r="BN379" t="str">
        <f t="shared" si="104"/>
        <v/>
      </c>
      <c r="BO379" t="str">
        <f t="shared" si="105"/>
        <v/>
      </c>
      <c r="BP379" t="str">
        <f t="shared" si="108"/>
        <v>Lincosamides</v>
      </c>
      <c r="BQ379" t="str">
        <f t="shared" si="109"/>
        <v>Lincosamides</v>
      </c>
      <c r="BR379" t="str">
        <f t="shared" si="110"/>
        <v/>
      </c>
      <c r="BS379" t="str">
        <f t="shared" si="111"/>
        <v/>
      </c>
      <c r="BT379" s="76" t="str">
        <f t="shared" si="112"/>
        <v>Voie intramammaire</v>
      </c>
      <c r="BU379" t="str">
        <f t="shared" si="113"/>
        <v/>
      </c>
      <c r="CN379">
        <v>378</v>
      </c>
    </row>
    <row r="380" spans="1:92" x14ac:dyDescent="0.3">
      <c r="A380" s="118" t="s">
        <v>4065</v>
      </c>
      <c r="B380" t="s">
        <v>4066</v>
      </c>
      <c r="C380" t="s">
        <v>1241</v>
      </c>
      <c r="D380" s="144" t="s">
        <v>829</v>
      </c>
      <c r="E380" t="s">
        <v>765</v>
      </c>
      <c r="F380" t="s">
        <v>296</v>
      </c>
      <c r="G380" t="s">
        <v>956</v>
      </c>
      <c r="H380" t="s">
        <v>4067</v>
      </c>
      <c r="I380" t="s">
        <v>817</v>
      </c>
      <c r="J380" t="s">
        <v>914</v>
      </c>
      <c r="K380" t="s">
        <v>914</v>
      </c>
      <c r="L380" t="s">
        <v>995</v>
      </c>
      <c r="M380" t="s">
        <v>996</v>
      </c>
      <c r="N380" t="s">
        <v>4068</v>
      </c>
      <c r="O380" t="s">
        <v>805</v>
      </c>
      <c r="P380" t="s">
        <v>4371</v>
      </c>
      <c r="Q380" t="s">
        <v>776</v>
      </c>
      <c r="R380">
        <v>5</v>
      </c>
      <c r="S380">
        <v>5</v>
      </c>
      <c r="T380">
        <v>0</v>
      </c>
      <c r="U380">
        <v>0</v>
      </c>
      <c r="V380">
        <v>0</v>
      </c>
      <c r="W380">
        <v>0</v>
      </c>
      <c r="X380">
        <v>0</v>
      </c>
      <c r="Y380">
        <v>0</v>
      </c>
      <c r="Z380">
        <v>0</v>
      </c>
      <c r="AA380">
        <v>0</v>
      </c>
      <c r="AB380">
        <v>5</v>
      </c>
      <c r="AC380">
        <v>5</v>
      </c>
      <c r="AD380">
        <v>5</v>
      </c>
      <c r="AE380">
        <v>5</v>
      </c>
      <c r="AF380">
        <v>3.75</v>
      </c>
      <c r="AG380">
        <v>5</v>
      </c>
      <c r="AH380">
        <v>0</v>
      </c>
      <c r="AI380">
        <v>0</v>
      </c>
      <c r="AY380" t="str">
        <f t="shared" si="95"/>
        <v>COLFIVE 5 000 000 UI/ML CONCENTRE POUR SOLUTION BUVABLE POUR VEAUX PORCINS AGNEAUX POULETS ET DINDES</v>
      </c>
      <c r="AZ380" t="str">
        <f>IF(COUNTIF(AY:AY,AY380)=1,AY380,IF(AND(COUNTIF(AY:AY,AY380)&gt;1,COUNTIF(AZ$2:AZ379,AY380)&gt;=1),"",AY380))</f>
        <v>COLFIVE 5 000 000 UI/ML CONCENTRE POUR SOLUTION BUVABLE POUR VEAUX PORCINS AGNEAUX POULETS ET DINDES</v>
      </c>
      <c r="BA380">
        <f>IF(AZ380="","",COUNTIFS(AZ$3:AZ$1439,"&lt;"&amp;AZ380,AZ$3:AZ$1439,"&lt;&gt;0")+COUNTIF(AZ$3:AZ380,AZ380)-876)</f>
        <v>133</v>
      </c>
      <c r="BC380">
        <v>378</v>
      </c>
      <c r="BD380" t="str">
        <f t="shared" si="106"/>
        <v>PM 11-2 COLISTINE 400 PORC ET AGNEAU SEVRE</v>
      </c>
      <c r="BE380" t="str">
        <f t="shared" si="96"/>
        <v>PM</v>
      </c>
      <c r="BF380" t="str">
        <f t="shared" si="97"/>
        <v>POLYPEPTIDES</v>
      </c>
      <c r="BG380" t="str">
        <f t="shared" si="98"/>
        <v/>
      </c>
      <c r="BH380" t="str">
        <f t="shared" si="99"/>
        <v/>
      </c>
      <c r="BI380" t="str">
        <f t="shared" si="100"/>
        <v>colistin</v>
      </c>
      <c r="BJ380" t="str">
        <f t="shared" si="101"/>
        <v/>
      </c>
      <c r="BK380" t="str">
        <f t="shared" si="102"/>
        <v/>
      </c>
      <c r="BL380" t="str">
        <f t="shared" si="107"/>
        <v>Colistine</v>
      </c>
      <c r="BM380" t="str">
        <f t="shared" si="103"/>
        <v>Colistine</v>
      </c>
      <c r="BN380" t="str">
        <f t="shared" si="104"/>
        <v/>
      </c>
      <c r="BO380" t="str">
        <f t="shared" si="105"/>
        <v/>
      </c>
      <c r="BP380" t="str">
        <f t="shared" si="108"/>
        <v>Polypeptides</v>
      </c>
      <c r="BQ380" t="str">
        <f t="shared" si="109"/>
        <v>Polypeptides</v>
      </c>
      <c r="BR380" t="str">
        <f t="shared" si="110"/>
        <v/>
      </c>
      <c r="BS380" t="str">
        <f t="shared" si="111"/>
        <v/>
      </c>
      <c r="BT380" s="76" t="str">
        <f t="shared" si="112"/>
        <v>Prémélanges médicamenteux</v>
      </c>
      <c r="BU380" t="str">
        <f t="shared" si="113"/>
        <v>x</v>
      </c>
      <c r="CN380">
        <v>379</v>
      </c>
    </row>
    <row r="381" spans="1:92" x14ac:dyDescent="0.3">
      <c r="A381" s="118" t="s">
        <v>4065</v>
      </c>
      <c r="B381" t="s">
        <v>4069</v>
      </c>
      <c r="C381" t="s">
        <v>1243</v>
      </c>
      <c r="D381" s="144" t="s">
        <v>955</v>
      </c>
      <c r="E381" t="s">
        <v>765</v>
      </c>
      <c r="F381" t="s">
        <v>296</v>
      </c>
      <c r="G381" t="s">
        <v>956</v>
      </c>
      <c r="H381" t="s">
        <v>4067</v>
      </c>
      <c r="I381" t="s">
        <v>817</v>
      </c>
      <c r="J381" t="s">
        <v>914</v>
      </c>
      <c r="K381" t="s">
        <v>914</v>
      </c>
      <c r="L381" t="s">
        <v>995</v>
      </c>
      <c r="M381" t="s">
        <v>996</v>
      </c>
      <c r="N381" t="s">
        <v>4068</v>
      </c>
      <c r="O381" t="s">
        <v>805</v>
      </c>
      <c r="P381" t="s">
        <v>4371</v>
      </c>
      <c r="Q381" t="s">
        <v>1244</v>
      </c>
      <c r="R381">
        <v>5</v>
      </c>
      <c r="S381">
        <v>5</v>
      </c>
      <c r="T381">
        <v>0</v>
      </c>
      <c r="U381">
        <v>0</v>
      </c>
      <c r="V381">
        <v>0</v>
      </c>
      <c r="W381">
        <v>0</v>
      </c>
      <c r="X381">
        <v>0</v>
      </c>
      <c r="Y381">
        <v>0</v>
      </c>
      <c r="Z381">
        <v>0</v>
      </c>
      <c r="AA381">
        <v>0</v>
      </c>
      <c r="AB381">
        <v>5</v>
      </c>
      <c r="AC381">
        <v>5</v>
      </c>
      <c r="AD381">
        <v>5</v>
      </c>
      <c r="AE381">
        <v>5</v>
      </c>
      <c r="AF381">
        <v>3.75</v>
      </c>
      <c r="AG381">
        <v>5</v>
      </c>
      <c r="AH381">
        <v>0</v>
      </c>
      <c r="AI381">
        <v>0</v>
      </c>
      <c r="AY381" t="str">
        <f t="shared" si="95"/>
        <v>COLFIVE 5 000 000 UI/ML CONCENTRE POUR SOLUTION BUVABLE POUR VEAUX PORCINS AGNEAUX POULETS ET DINDES</v>
      </c>
      <c r="AZ381" t="str">
        <f>IF(COUNTIF(AY:AY,AY381)=1,AY381,IF(AND(COUNTIF(AY:AY,AY381)&gt;1,COUNTIF(AZ$2:AZ380,AY381)&gt;=1),"",AY381))</f>
        <v/>
      </c>
      <c r="BA381" t="str">
        <f>IF(AZ381="","",COUNTIFS(AZ$3:AZ$1439,"&lt;"&amp;AZ381,AZ$3:AZ$1439,"&lt;&gt;0")+COUNTIF(AZ$3:AZ381,AZ381)-876)</f>
        <v/>
      </c>
      <c r="BC381">
        <v>379</v>
      </c>
      <c r="BD381" t="str">
        <f t="shared" si="106"/>
        <v>PM 113 C60/M30</v>
      </c>
      <c r="BE381" t="str">
        <f t="shared" si="96"/>
        <v>PM</v>
      </c>
      <c r="BF381" t="str">
        <f t="shared" si="97"/>
        <v>SULFAMIDES</v>
      </c>
      <c r="BG381" t="str">
        <f t="shared" si="98"/>
        <v>TRIMETHOPRIME</v>
      </c>
      <c r="BH381" t="str">
        <f t="shared" si="99"/>
        <v/>
      </c>
      <c r="BI381" t="str">
        <f t="shared" si="100"/>
        <v>sulfadiazine</v>
      </c>
      <c r="BJ381" t="str">
        <f t="shared" si="101"/>
        <v>trimethoprim</v>
      </c>
      <c r="BK381" t="str">
        <f t="shared" si="102"/>
        <v/>
      </c>
      <c r="BL381" t="str">
        <f t="shared" si="107"/>
        <v>Sulfadiazine + Triméthoprime</v>
      </c>
      <c r="BM381" t="str">
        <f t="shared" si="103"/>
        <v>Sulfadiazine</v>
      </c>
      <c r="BN381" t="str">
        <f t="shared" si="104"/>
        <v>Triméthoprime</v>
      </c>
      <c r="BO381" t="str">
        <f t="shared" si="105"/>
        <v/>
      </c>
      <c r="BP381" t="str">
        <f t="shared" si="108"/>
        <v>Sulfamides + Trimethoprime</v>
      </c>
      <c r="BQ381" t="str">
        <f t="shared" si="109"/>
        <v>Sulfamides</v>
      </c>
      <c r="BR381" t="str">
        <f t="shared" si="110"/>
        <v>Trimethoprime</v>
      </c>
      <c r="BS381" t="str">
        <f t="shared" si="111"/>
        <v/>
      </c>
      <c r="BT381" s="76" t="str">
        <f t="shared" si="112"/>
        <v>Prémélanges médicamenteux</v>
      </c>
      <c r="BU381" t="str">
        <f t="shared" si="113"/>
        <v/>
      </c>
      <c r="CN381">
        <v>380</v>
      </c>
    </row>
    <row r="382" spans="1:92" x14ac:dyDescent="0.3">
      <c r="A382" s="118" t="s">
        <v>2025</v>
      </c>
      <c r="B382" t="s">
        <v>2026</v>
      </c>
      <c r="C382" t="s">
        <v>2027</v>
      </c>
      <c r="D382" s="144" t="s">
        <v>939</v>
      </c>
      <c r="E382" t="s">
        <v>813</v>
      </c>
      <c r="F382" t="s">
        <v>78</v>
      </c>
      <c r="G382" t="s">
        <v>815</v>
      </c>
      <c r="H382" t="s">
        <v>169</v>
      </c>
      <c r="I382" t="s">
        <v>817</v>
      </c>
      <c r="J382" t="s">
        <v>914</v>
      </c>
      <c r="K382" t="s">
        <v>914</v>
      </c>
      <c r="L382" t="s">
        <v>995</v>
      </c>
      <c r="M382" t="s">
        <v>996</v>
      </c>
      <c r="N382" t="s">
        <v>1501</v>
      </c>
      <c r="O382" t="s">
        <v>820</v>
      </c>
      <c r="P382" t="s">
        <v>4371</v>
      </c>
      <c r="Q382" t="s">
        <v>932</v>
      </c>
      <c r="R382">
        <v>5</v>
      </c>
      <c r="S382">
        <v>3</v>
      </c>
      <c r="T382">
        <v>0</v>
      </c>
      <c r="U382">
        <v>0</v>
      </c>
      <c r="V382">
        <v>0</v>
      </c>
      <c r="W382">
        <v>0</v>
      </c>
      <c r="X382">
        <v>0</v>
      </c>
      <c r="Y382">
        <v>0</v>
      </c>
      <c r="Z382">
        <v>0</v>
      </c>
      <c r="AA382">
        <v>0</v>
      </c>
      <c r="AB382">
        <v>5</v>
      </c>
      <c r="AC382">
        <v>3</v>
      </c>
      <c r="AD382">
        <v>0</v>
      </c>
      <c r="AE382">
        <v>0</v>
      </c>
      <c r="AF382">
        <v>0</v>
      </c>
      <c r="AG382">
        <v>0</v>
      </c>
      <c r="AH382">
        <v>0</v>
      </c>
      <c r="AI382">
        <v>0</v>
      </c>
      <c r="AY382" t="str">
        <f t="shared" si="95"/>
        <v>COLIBOLUS</v>
      </c>
      <c r="AZ382" t="str">
        <f>IF(COUNTIF(AY:AY,AY382)=1,AY382,IF(AND(COUNTIF(AY:AY,AY382)&gt;1,COUNTIF(AZ$2:AZ381,AY382)&gt;=1),"",AY382))</f>
        <v>COLIBOLUS</v>
      </c>
      <c r="BA382">
        <f>IF(AZ382="","",COUNTIFS(AZ$3:AZ$1439,"&lt;"&amp;AZ382,AZ$3:AZ$1439,"&lt;&gt;0")+COUNTIF(AZ$3:AZ382,AZ382)-876)</f>
        <v>134</v>
      </c>
      <c r="BC382">
        <v>380</v>
      </c>
      <c r="BD382" t="str">
        <f t="shared" si="106"/>
        <v>PM 113 LACT</v>
      </c>
      <c r="BE382" t="str">
        <f t="shared" si="96"/>
        <v>PM</v>
      </c>
      <c r="BF382" t="str">
        <f t="shared" si="97"/>
        <v>SULFAMIDES</v>
      </c>
      <c r="BG382" t="str">
        <f t="shared" si="98"/>
        <v>TRIMETHOPRIME</v>
      </c>
      <c r="BH382" t="str">
        <f t="shared" si="99"/>
        <v/>
      </c>
      <c r="BI382" t="str">
        <f t="shared" si="100"/>
        <v>sulfadiazine</v>
      </c>
      <c r="BJ382" t="str">
        <f t="shared" si="101"/>
        <v>trimethoprim</v>
      </c>
      <c r="BK382" t="str">
        <f t="shared" si="102"/>
        <v/>
      </c>
      <c r="BL382" t="str">
        <f t="shared" si="107"/>
        <v>Sulfadiazine + Triméthoprime</v>
      </c>
      <c r="BM382" t="str">
        <f t="shared" si="103"/>
        <v>Sulfadiazine</v>
      </c>
      <c r="BN382" t="str">
        <f t="shared" si="104"/>
        <v>Triméthoprime</v>
      </c>
      <c r="BO382" t="str">
        <f t="shared" si="105"/>
        <v/>
      </c>
      <c r="BP382" t="str">
        <f t="shared" si="108"/>
        <v>Sulfamides + Trimethoprime</v>
      </c>
      <c r="BQ382" t="str">
        <f t="shared" si="109"/>
        <v>Sulfamides</v>
      </c>
      <c r="BR382" t="str">
        <f t="shared" si="110"/>
        <v>Trimethoprime</v>
      </c>
      <c r="BS382" t="str">
        <f t="shared" si="111"/>
        <v/>
      </c>
      <c r="BT382" s="76" t="str">
        <f t="shared" si="112"/>
        <v>Prémélanges médicamenteux</v>
      </c>
      <c r="BU382" t="str">
        <f t="shared" si="113"/>
        <v/>
      </c>
      <c r="CN382">
        <v>381</v>
      </c>
    </row>
    <row r="383" spans="1:92" x14ac:dyDescent="0.3">
      <c r="A383" s="118" t="s">
        <v>2025</v>
      </c>
      <c r="B383" t="s">
        <v>2028</v>
      </c>
      <c r="C383" t="s">
        <v>1647</v>
      </c>
      <c r="D383" s="144" t="s">
        <v>852</v>
      </c>
      <c r="E383" t="s">
        <v>813</v>
      </c>
      <c r="F383" t="s">
        <v>78</v>
      </c>
      <c r="G383" t="s">
        <v>815</v>
      </c>
      <c r="H383" t="s">
        <v>169</v>
      </c>
      <c r="I383" t="s">
        <v>817</v>
      </c>
      <c r="J383" t="s">
        <v>914</v>
      </c>
      <c r="K383" t="s">
        <v>914</v>
      </c>
      <c r="L383" t="s">
        <v>995</v>
      </c>
      <c r="M383" t="s">
        <v>996</v>
      </c>
      <c r="N383" t="s">
        <v>1501</v>
      </c>
      <c r="O383" t="s">
        <v>820</v>
      </c>
      <c r="P383" t="s">
        <v>4371</v>
      </c>
      <c r="Q383" t="s">
        <v>772</v>
      </c>
      <c r="R383">
        <v>5</v>
      </c>
      <c r="S383">
        <v>3</v>
      </c>
      <c r="T383">
        <v>0</v>
      </c>
      <c r="U383">
        <v>0</v>
      </c>
      <c r="V383">
        <v>0</v>
      </c>
      <c r="W383">
        <v>0</v>
      </c>
      <c r="X383">
        <v>0</v>
      </c>
      <c r="Y383">
        <v>0</v>
      </c>
      <c r="Z383">
        <v>0</v>
      </c>
      <c r="AA383">
        <v>0</v>
      </c>
      <c r="AB383">
        <v>5</v>
      </c>
      <c r="AC383">
        <v>3</v>
      </c>
      <c r="AD383">
        <v>0</v>
      </c>
      <c r="AE383">
        <v>0</v>
      </c>
      <c r="AF383">
        <v>0</v>
      </c>
      <c r="AG383">
        <v>0</v>
      </c>
      <c r="AH383">
        <v>0</v>
      </c>
      <c r="AI383">
        <v>0</v>
      </c>
      <c r="AY383" t="str">
        <f t="shared" si="95"/>
        <v>COLIBOLUS</v>
      </c>
      <c r="AZ383" t="str">
        <f>IF(COUNTIF(AY:AY,AY383)=1,AY383,IF(AND(COUNTIF(AY:AY,AY383)&gt;1,COUNTIF(AZ$2:AZ382,AY383)&gt;=1),"",AY383))</f>
        <v/>
      </c>
      <c r="BA383" t="str">
        <f>IF(AZ383="","",COUNTIFS(AZ$3:AZ$1439,"&lt;"&amp;AZ383,AZ$3:AZ$1439,"&lt;&gt;0")+COUNTIF(AZ$3:AZ383,AZ383)-876)</f>
        <v/>
      </c>
      <c r="BC383">
        <v>381</v>
      </c>
      <c r="BD383" t="str">
        <f t="shared" si="106"/>
        <v>PM 11-B COLISTINE 400 PORC-AGNEAU ET CHEVREAU SEVRES</v>
      </c>
      <c r="BE383" t="str">
        <f t="shared" si="96"/>
        <v>PM</v>
      </c>
      <c r="BF383" t="str">
        <f t="shared" si="97"/>
        <v>POLYPEPTIDES</v>
      </c>
      <c r="BG383" t="str">
        <f t="shared" si="98"/>
        <v/>
      </c>
      <c r="BH383" t="str">
        <f t="shared" si="99"/>
        <v/>
      </c>
      <c r="BI383" t="str">
        <f t="shared" si="100"/>
        <v>colistin</v>
      </c>
      <c r="BJ383" t="str">
        <f t="shared" si="101"/>
        <v/>
      </c>
      <c r="BK383" t="str">
        <f t="shared" si="102"/>
        <v/>
      </c>
      <c r="BL383" t="str">
        <f t="shared" si="107"/>
        <v>Colistine</v>
      </c>
      <c r="BM383" t="str">
        <f t="shared" si="103"/>
        <v>Colistine</v>
      </c>
      <c r="BN383" t="str">
        <f t="shared" si="104"/>
        <v/>
      </c>
      <c r="BO383" t="str">
        <f t="shared" si="105"/>
        <v/>
      </c>
      <c r="BP383" t="str">
        <f t="shared" si="108"/>
        <v>Polypeptides</v>
      </c>
      <c r="BQ383" t="str">
        <f t="shared" si="109"/>
        <v>Polypeptides</v>
      </c>
      <c r="BR383" t="str">
        <f t="shared" si="110"/>
        <v/>
      </c>
      <c r="BS383" t="str">
        <f t="shared" si="111"/>
        <v/>
      </c>
      <c r="BT383" s="76" t="str">
        <f t="shared" si="112"/>
        <v>Prémélanges médicamenteux</v>
      </c>
      <c r="BU383" t="str">
        <f t="shared" si="113"/>
        <v>x</v>
      </c>
      <c r="CN383">
        <v>382</v>
      </c>
    </row>
    <row r="384" spans="1:92" x14ac:dyDescent="0.3">
      <c r="A384" s="118" t="s">
        <v>2025</v>
      </c>
      <c r="B384" t="s">
        <v>2029</v>
      </c>
      <c r="C384" t="s">
        <v>2030</v>
      </c>
      <c r="D384" s="144" t="s">
        <v>906</v>
      </c>
      <c r="E384" t="s">
        <v>813</v>
      </c>
      <c r="F384" t="s">
        <v>78</v>
      </c>
      <c r="G384" t="s">
        <v>815</v>
      </c>
      <c r="H384" t="s">
        <v>169</v>
      </c>
      <c r="I384" t="s">
        <v>817</v>
      </c>
      <c r="J384" t="s">
        <v>914</v>
      </c>
      <c r="K384" t="s">
        <v>914</v>
      </c>
      <c r="L384" t="s">
        <v>995</v>
      </c>
      <c r="M384" t="s">
        <v>996</v>
      </c>
      <c r="N384" t="s">
        <v>1501</v>
      </c>
      <c r="O384" t="s">
        <v>820</v>
      </c>
      <c r="P384" t="s">
        <v>4371</v>
      </c>
      <c r="Q384" t="s">
        <v>780</v>
      </c>
      <c r="R384">
        <v>5</v>
      </c>
      <c r="S384">
        <v>3</v>
      </c>
      <c r="T384">
        <v>0</v>
      </c>
      <c r="U384">
        <v>0</v>
      </c>
      <c r="V384">
        <v>0</v>
      </c>
      <c r="W384">
        <v>0</v>
      </c>
      <c r="X384">
        <v>0</v>
      </c>
      <c r="Y384">
        <v>0</v>
      </c>
      <c r="Z384">
        <v>0</v>
      </c>
      <c r="AA384">
        <v>0</v>
      </c>
      <c r="AB384">
        <v>5</v>
      </c>
      <c r="AC384">
        <v>3</v>
      </c>
      <c r="AD384">
        <v>0</v>
      </c>
      <c r="AE384">
        <v>0</v>
      </c>
      <c r="AF384">
        <v>0</v>
      </c>
      <c r="AG384">
        <v>0</v>
      </c>
      <c r="AH384">
        <v>0</v>
      </c>
      <c r="AI384">
        <v>0</v>
      </c>
      <c r="AY384" t="str">
        <f t="shared" si="95"/>
        <v>COLIBOLUS</v>
      </c>
      <c r="AZ384" t="str">
        <f>IF(COUNTIF(AY:AY,AY384)=1,AY384,IF(AND(COUNTIF(AY:AY,AY384)&gt;1,COUNTIF(AZ$2:AZ383,AY384)&gt;=1),"",AY384))</f>
        <v/>
      </c>
      <c r="BA384" t="str">
        <f>IF(AZ384="","",COUNTIFS(AZ$3:AZ$1439,"&lt;"&amp;AZ384,AZ$3:AZ$1439,"&lt;&gt;0")+COUNTIF(AZ$3:AZ384,AZ384)-876)</f>
        <v/>
      </c>
      <c r="BC384">
        <v>382</v>
      </c>
      <c r="BD384" t="str">
        <f t="shared" si="106"/>
        <v>PM 16-2 CHLORTETRACYCLINE 100 PORC ET AGNEAU-CHEVREAU SEVRES</v>
      </c>
      <c r="BE384" t="str">
        <f t="shared" si="96"/>
        <v>PM</v>
      </c>
      <c r="BF384" t="str">
        <f t="shared" si="97"/>
        <v>TETRACYCLINES</v>
      </c>
      <c r="BG384" t="str">
        <f t="shared" si="98"/>
        <v/>
      </c>
      <c r="BH384" t="str">
        <f t="shared" si="99"/>
        <v/>
      </c>
      <c r="BI384" t="str">
        <f t="shared" si="100"/>
        <v>chlortetracycline</v>
      </c>
      <c r="BJ384" t="str">
        <f t="shared" si="101"/>
        <v/>
      </c>
      <c r="BK384" t="str">
        <f t="shared" si="102"/>
        <v/>
      </c>
      <c r="BL384" t="str">
        <f t="shared" si="107"/>
        <v>Chlortétracycline</v>
      </c>
      <c r="BM384" t="str">
        <f t="shared" si="103"/>
        <v>Chlortétracycline</v>
      </c>
      <c r="BN384" t="str">
        <f t="shared" si="104"/>
        <v/>
      </c>
      <c r="BO384" t="str">
        <f t="shared" si="105"/>
        <v/>
      </c>
      <c r="BP384" t="str">
        <f t="shared" si="108"/>
        <v>Tetracyclines</v>
      </c>
      <c r="BQ384" t="str">
        <f t="shared" si="109"/>
        <v>Tetracyclines</v>
      </c>
      <c r="BR384" t="str">
        <f t="shared" si="110"/>
        <v/>
      </c>
      <c r="BS384" t="str">
        <f t="shared" si="111"/>
        <v/>
      </c>
      <c r="BT384" s="76" t="str">
        <f t="shared" si="112"/>
        <v>Prémélanges médicamenteux</v>
      </c>
      <c r="BU384" t="str">
        <f t="shared" si="113"/>
        <v/>
      </c>
      <c r="CN384">
        <v>383</v>
      </c>
    </row>
    <row r="385" spans="1:92" x14ac:dyDescent="0.3">
      <c r="A385" s="118" t="s">
        <v>1324</v>
      </c>
      <c r="B385" t="s">
        <v>1325</v>
      </c>
      <c r="C385" t="s">
        <v>763</v>
      </c>
      <c r="D385" s="144" t="s">
        <v>764</v>
      </c>
      <c r="E385" t="s">
        <v>765</v>
      </c>
      <c r="F385" t="s">
        <v>79</v>
      </c>
      <c r="G385" t="s">
        <v>766</v>
      </c>
      <c r="H385" t="s">
        <v>1326</v>
      </c>
      <c r="I385" t="s">
        <v>766</v>
      </c>
      <c r="J385" t="s">
        <v>991</v>
      </c>
      <c r="K385" t="s">
        <v>787</v>
      </c>
      <c r="L385" t="s">
        <v>992</v>
      </c>
      <c r="M385" t="s">
        <v>208</v>
      </c>
      <c r="N385" t="s">
        <v>764</v>
      </c>
      <c r="O385" t="s">
        <v>771</v>
      </c>
      <c r="P385" t="s">
        <v>772</v>
      </c>
      <c r="Q385" t="s">
        <v>852</v>
      </c>
      <c r="R385">
        <v>20</v>
      </c>
      <c r="S385">
        <v>3</v>
      </c>
      <c r="T385">
        <v>0</v>
      </c>
      <c r="U385">
        <v>0</v>
      </c>
      <c r="V385">
        <v>0</v>
      </c>
      <c r="W385">
        <v>0</v>
      </c>
      <c r="X385">
        <v>0</v>
      </c>
      <c r="Y385">
        <v>0</v>
      </c>
      <c r="Z385">
        <v>0</v>
      </c>
      <c r="AA385">
        <v>0</v>
      </c>
      <c r="AB385">
        <v>0</v>
      </c>
      <c r="AC385">
        <v>0</v>
      </c>
      <c r="AD385">
        <v>20</v>
      </c>
      <c r="AE385">
        <v>3</v>
      </c>
      <c r="AF385">
        <v>0</v>
      </c>
      <c r="AG385">
        <v>0</v>
      </c>
      <c r="AH385">
        <v>0</v>
      </c>
      <c r="AI385">
        <v>0</v>
      </c>
      <c r="AJ385" t="s">
        <v>914</v>
      </c>
      <c r="AK385" t="s">
        <v>995</v>
      </c>
      <c r="AL385" t="s">
        <v>996</v>
      </c>
      <c r="AM385" t="s">
        <v>997</v>
      </c>
      <c r="AN385" t="s">
        <v>805</v>
      </c>
      <c r="AO385" t="s">
        <v>4371</v>
      </c>
      <c r="AP385" t="s">
        <v>1128</v>
      </c>
      <c r="AY385" t="str">
        <f t="shared" si="95"/>
        <v>COLICILLINE</v>
      </c>
      <c r="AZ385" t="str">
        <f>IF(COUNTIF(AY:AY,AY385)=1,AY385,IF(AND(COUNTIF(AY:AY,AY385)&gt;1,COUNTIF(AZ$2:AZ384,AY385)&gt;=1),"",AY385))</f>
        <v>COLICILLINE</v>
      </c>
      <c r="BA385">
        <f>IF(AZ385="","",COUNTIFS(AZ$3:AZ$1439,"&lt;"&amp;AZ385,AZ$3:AZ$1439,"&lt;&gt;0")+COUNTIF(AZ$3:AZ385,AZ385)-876)</f>
        <v>135</v>
      </c>
      <c r="BC385">
        <v>383</v>
      </c>
      <c r="BD385" t="str">
        <f t="shared" si="106"/>
        <v>PM 16-B CHLORTETRACYCLINE 100 PORC-AGNEAU ET CHEVREAU SEVRES</v>
      </c>
      <c r="BE385" t="str">
        <f t="shared" si="96"/>
        <v>PM</v>
      </c>
      <c r="BF385" t="str">
        <f t="shared" si="97"/>
        <v>TETRACYCLINES</v>
      </c>
      <c r="BG385" t="str">
        <f t="shared" si="98"/>
        <v/>
      </c>
      <c r="BH385" t="str">
        <f t="shared" si="99"/>
        <v/>
      </c>
      <c r="BI385" t="str">
        <f t="shared" si="100"/>
        <v>chlortetracycline</v>
      </c>
      <c r="BJ385" t="str">
        <f t="shared" si="101"/>
        <v/>
      </c>
      <c r="BK385" t="str">
        <f t="shared" si="102"/>
        <v/>
      </c>
      <c r="BL385" t="str">
        <f t="shared" si="107"/>
        <v>Chlortétracycline</v>
      </c>
      <c r="BM385" t="str">
        <f t="shared" si="103"/>
        <v>Chlortétracycline</v>
      </c>
      <c r="BN385" t="str">
        <f t="shared" si="104"/>
        <v/>
      </c>
      <c r="BO385" t="str">
        <f t="shared" si="105"/>
        <v/>
      </c>
      <c r="BP385" t="str">
        <f t="shared" si="108"/>
        <v>Tetracyclines</v>
      </c>
      <c r="BQ385" t="str">
        <f t="shared" si="109"/>
        <v>Tetracyclines</v>
      </c>
      <c r="BR385" t="str">
        <f t="shared" si="110"/>
        <v/>
      </c>
      <c r="BS385" t="str">
        <f t="shared" si="111"/>
        <v/>
      </c>
      <c r="BT385" s="76" t="str">
        <f t="shared" si="112"/>
        <v>Prémélanges médicamenteux</v>
      </c>
      <c r="BU385" t="str">
        <f t="shared" si="113"/>
        <v/>
      </c>
      <c r="CN385">
        <v>384</v>
      </c>
    </row>
    <row r="386" spans="1:92" x14ac:dyDescent="0.3">
      <c r="A386" s="118" t="s">
        <v>1324</v>
      </c>
      <c r="B386" t="s">
        <v>1327</v>
      </c>
      <c r="C386" t="s">
        <v>775</v>
      </c>
      <c r="D386" s="144" t="s">
        <v>776</v>
      </c>
      <c r="E386" t="s">
        <v>765</v>
      </c>
      <c r="F386" t="s">
        <v>79</v>
      </c>
      <c r="G386" t="s">
        <v>766</v>
      </c>
      <c r="H386" t="s">
        <v>1326</v>
      </c>
      <c r="I386" t="s">
        <v>766</v>
      </c>
      <c r="J386" t="s">
        <v>991</v>
      </c>
      <c r="K386" t="s">
        <v>787</v>
      </c>
      <c r="L386" t="s">
        <v>992</v>
      </c>
      <c r="M386" t="s">
        <v>208</v>
      </c>
      <c r="N386" t="s">
        <v>764</v>
      </c>
      <c r="O386" t="s">
        <v>771</v>
      </c>
      <c r="P386" t="s">
        <v>772</v>
      </c>
      <c r="Q386" t="s">
        <v>855</v>
      </c>
      <c r="R386">
        <v>20</v>
      </c>
      <c r="S386">
        <v>3</v>
      </c>
      <c r="T386">
        <v>0</v>
      </c>
      <c r="U386">
        <v>0</v>
      </c>
      <c r="V386">
        <v>0</v>
      </c>
      <c r="W386">
        <v>0</v>
      </c>
      <c r="X386">
        <v>0</v>
      </c>
      <c r="Y386">
        <v>0</v>
      </c>
      <c r="Z386">
        <v>0</v>
      </c>
      <c r="AA386">
        <v>0</v>
      </c>
      <c r="AB386">
        <v>0</v>
      </c>
      <c r="AC386">
        <v>0</v>
      </c>
      <c r="AD386">
        <v>20</v>
      </c>
      <c r="AE386">
        <v>3</v>
      </c>
      <c r="AF386">
        <v>0</v>
      </c>
      <c r="AG386">
        <v>0</v>
      </c>
      <c r="AH386">
        <v>0</v>
      </c>
      <c r="AI386">
        <v>0</v>
      </c>
      <c r="AJ386" t="s">
        <v>914</v>
      </c>
      <c r="AK386" t="s">
        <v>995</v>
      </c>
      <c r="AL386" t="s">
        <v>996</v>
      </c>
      <c r="AM386" t="s">
        <v>997</v>
      </c>
      <c r="AN386" t="s">
        <v>805</v>
      </c>
      <c r="AO386" t="s">
        <v>4371</v>
      </c>
      <c r="AP386" t="s">
        <v>4372</v>
      </c>
      <c r="AY386" t="str">
        <f t="shared" si="95"/>
        <v>COLICILLINE</v>
      </c>
      <c r="AZ386" t="str">
        <f>IF(COUNTIF(AY:AY,AY386)=1,AY386,IF(AND(COUNTIF(AY:AY,AY386)&gt;1,COUNTIF(AZ$2:AZ385,AY386)&gt;=1),"",AY386))</f>
        <v/>
      </c>
      <c r="BA386" t="str">
        <f>IF(AZ386="","",COUNTIFS(AZ$3:AZ$1439,"&lt;"&amp;AZ386,AZ$3:AZ$1439,"&lt;&gt;0")+COUNTIF(AZ$3:AZ386,AZ386)-876)</f>
        <v/>
      </c>
      <c r="BC386">
        <v>384</v>
      </c>
      <c r="BD386" t="str">
        <f t="shared" si="106"/>
        <v>PM 17-A OXYTETRACYCLINE 40 LAPIN-VOLAILLE-PORC-AGNEAU ET CHEVREAU SEVRES</v>
      </c>
      <c r="BE386" t="str">
        <f t="shared" si="96"/>
        <v>PM</v>
      </c>
      <c r="BF386" t="str">
        <f t="shared" si="97"/>
        <v>TETRACYCLINES</v>
      </c>
      <c r="BG386" t="str">
        <f t="shared" si="98"/>
        <v/>
      </c>
      <c r="BH386" t="str">
        <f t="shared" si="99"/>
        <v/>
      </c>
      <c r="BI386" t="str">
        <f t="shared" si="100"/>
        <v>oxytetracycline</v>
      </c>
      <c r="BJ386" t="str">
        <f t="shared" si="101"/>
        <v/>
      </c>
      <c r="BK386" t="str">
        <f t="shared" si="102"/>
        <v/>
      </c>
      <c r="BL386" t="str">
        <f t="shared" si="107"/>
        <v>Oxytétracycline</v>
      </c>
      <c r="BM386" t="str">
        <f t="shared" si="103"/>
        <v>Oxytétracycline</v>
      </c>
      <c r="BN386" t="str">
        <f t="shared" si="104"/>
        <v/>
      </c>
      <c r="BO386" t="str">
        <f t="shared" si="105"/>
        <v/>
      </c>
      <c r="BP386" t="str">
        <f t="shared" si="108"/>
        <v>Tetracyclines</v>
      </c>
      <c r="BQ386" t="str">
        <f t="shared" si="109"/>
        <v>Tetracyclines</v>
      </c>
      <c r="BR386" t="str">
        <f t="shared" si="110"/>
        <v/>
      </c>
      <c r="BS386" t="str">
        <f t="shared" si="111"/>
        <v/>
      </c>
      <c r="BT386" s="76" t="str">
        <f t="shared" si="112"/>
        <v>Prémélanges médicamenteux</v>
      </c>
      <c r="BU386" t="str">
        <f t="shared" si="113"/>
        <v/>
      </c>
      <c r="CN386">
        <v>385</v>
      </c>
    </row>
    <row r="387" spans="1:92" x14ac:dyDescent="0.3">
      <c r="A387" s="118" t="s">
        <v>1010</v>
      </c>
      <c r="B387" t="s">
        <v>1011</v>
      </c>
      <c r="C387" t="s">
        <v>1012</v>
      </c>
      <c r="D387" s="144" t="s">
        <v>793</v>
      </c>
      <c r="E387" t="s">
        <v>813</v>
      </c>
      <c r="F387" t="s">
        <v>624</v>
      </c>
      <c r="G387" t="s">
        <v>1013</v>
      </c>
      <c r="H387" t="s">
        <v>801</v>
      </c>
      <c r="I387" t="s">
        <v>1013</v>
      </c>
      <c r="J387" t="s">
        <v>991</v>
      </c>
      <c r="K387" t="s">
        <v>787</v>
      </c>
      <c r="L387" t="s">
        <v>1014</v>
      </c>
      <c r="M387" t="s">
        <v>208</v>
      </c>
      <c r="N387" t="s">
        <v>864</v>
      </c>
      <c r="O387" t="s">
        <v>824</v>
      </c>
      <c r="P387" t="s">
        <v>772</v>
      </c>
      <c r="Q387" t="s">
        <v>1015</v>
      </c>
      <c r="R387">
        <v>0</v>
      </c>
      <c r="S387">
        <v>0</v>
      </c>
      <c r="T387">
        <v>0</v>
      </c>
      <c r="U387">
        <v>0</v>
      </c>
      <c r="V387">
        <v>0</v>
      </c>
      <c r="W387">
        <v>0</v>
      </c>
      <c r="X387">
        <v>0</v>
      </c>
      <c r="Y387">
        <v>0</v>
      </c>
      <c r="Z387">
        <v>0</v>
      </c>
      <c r="AA387">
        <v>0</v>
      </c>
      <c r="AB387">
        <v>0</v>
      </c>
      <c r="AC387">
        <v>0</v>
      </c>
      <c r="AD387">
        <v>0</v>
      </c>
      <c r="AE387">
        <v>0</v>
      </c>
      <c r="AF387">
        <v>0</v>
      </c>
      <c r="AG387">
        <v>0</v>
      </c>
      <c r="AH387">
        <v>0</v>
      </c>
      <c r="AI387">
        <v>0</v>
      </c>
      <c r="AJ387" t="s">
        <v>914</v>
      </c>
      <c r="AK387" t="s">
        <v>995</v>
      </c>
      <c r="AL387" t="s">
        <v>996</v>
      </c>
      <c r="AM387" t="s">
        <v>1016</v>
      </c>
      <c r="AN387" t="s">
        <v>820</v>
      </c>
      <c r="AO387" t="s">
        <v>4371</v>
      </c>
      <c r="AP387" t="s">
        <v>4374</v>
      </c>
      <c r="AY387" t="str">
        <f t="shared" ref="AY387:AY450" si="114">IF(INDEX(CK$3:CL$174,MATCH(H387,CK$3:CK$174,0),2)="x",F387,"")</f>
        <v>COLICLOX POMMADE</v>
      </c>
      <c r="AZ387" t="str">
        <f>IF(COUNTIF(AY:AY,AY387)=1,AY387,IF(AND(COUNTIF(AY:AY,AY387)&gt;1,COUNTIF(AZ$2:AZ386,AY387)&gt;=1),"",AY387))</f>
        <v>COLICLOX POMMADE</v>
      </c>
      <c r="BA387">
        <f>IF(AZ387="","",COUNTIFS(AZ$3:AZ$1439,"&lt;"&amp;AZ387,AZ$3:AZ$1439,"&lt;&gt;0")+COUNTIF(AZ$3:AZ387,AZ387)-876)</f>
        <v>136</v>
      </c>
      <c r="BC387">
        <v>385</v>
      </c>
      <c r="BD387" t="str">
        <f t="shared" si="106"/>
        <v>PM 17-B OXYTETRACYCLINE 100 PORC-AGNEAU ET CHEVREAU SEVRES</v>
      </c>
      <c r="BE387" t="str">
        <f t="shared" ref="BE387:BE450" si="115">IFERROR(INDEX(F:AR,MATCH(BD387,F:F,0),4),"")</f>
        <v>PM</v>
      </c>
      <c r="BF387" t="str">
        <f t="shared" ref="BF387:BF450" si="116">IFERROR(INDEX(F:AR,MATCH(BD387,F:F,0),6),"")</f>
        <v>TETRACYCLINES</v>
      </c>
      <c r="BG387" t="str">
        <f t="shared" ref="BG387:BG450" si="117">IFERROR(IF(INDEX(F:AR,MATCH(BD387,F:F,0),31)=0,"",INDEX(F:AR,MATCH(BD387,F:F,0),31)),"")</f>
        <v/>
      </c>
      <c r="BH387" t="str">
        <f t="shared" ref="BH387:BH450" si="118">IFERROR(IF(INDEX(F:AR,MATCH(BD387,F:F,0),38)=0,"",INDEX(F:AR,MATCH(BD387,F:F,0),38)),"")</f>
        <v/>
      </c>
      <c r="BI387" t="str">
        <f t="shared" ref="BI387:BI450" si="119">+IFERROR(IF(INDEX(F:AR,MATCH(BD387,F:F,0),7)=0,"",INDEX(F:AR,MATCH(BD387,F:F,0),7)),"")</f>
        <v>oxytetracycline</v>
      </c>
      <c r="BJ387" t="str">
        <f t="shared" ref="BJ387:BJ450" si="120">IFERROR(IF(INDEX(F:AR,MATCH(BD387,F:F,0),32)=0,"",INDEX(F:AR,MATCH(BD387,F:F,0),32)),"")</f>
        <v/>
      </c>
      <c r="BK387" t="str">
        <f t="shared" ref="BK387:BK450" si="121">IFERROR(IF(INDEX(F:AR,MATCH(BD387,F:F,0),39)=0,"",INDEX(F:AR,MATCH(BD387,F:F,0),39)),"")</f>
        <v/>
      </c>
      <c r="BL387" t="str">
        <f t="shared" si="107"/>
        <v>Oxytétracycline</v>
      </c>
      <c r="BM387" t="str">
        <f t="shared" ref="BM387:BM450" si="122">IFERROR(INDEX(BZ$3:CA$63,MATCH(BI387,BZ$3:BZ$63,0),2),"")</f>
        <v>Oxytétracycline</v>
      </c>
      <c r="BN387" t="str">
        <f t="shared" ref="BN387:BN450" si="123">IFERROR(INDEX(BZ$3:CA$63,MATCH(BJ387,BZ$3:BZ$63,0),2),"")</f>
        <v/>
      </c>
      <c r="BO387" t="str">
        <f t="shared" ref="BO387:BO450" si="124">IFERROR(INDEX(BZ$3:CA$63,MATCH(BK387,BZ$3:BZ$63,0),2),"")</f>
        <v/>
      </c>
      <c r="BP387" t="str">
        <f t="shared" si="108"/>
        <v>Tetracyclines</v>
      </c>
      <c r="BQ387" t="str">
        <f t="shared" si="109"/>
        <v>Tetracyclines</v>
      </c>
      <c r="BR387" t="str">
        <f t="shared" si="110"/>
        <v/>
      </c>
      <c r="BS387" t="str">
        <f t="shared" si="111"/>
        <v/>
      </c>
      <c r="BT387" s="76" t="str">
        <f t="shared" si="112"/>
        <v>Prémélanges médicamenteux</v>
      </c>
      <c r="BU387" t="str">
        <f t="shared" si="113"/>
        <v/>
      </c>
      <c r="CN387">
        <v>386</v>
      </c>
    </row>
    <row r="388" spans="1:92" x14ac:dyDescent="0.3">
      <c r="A388" s="118" t="s">
        <v>1010</v>
      </c>
      <c r="B388" t="s">
        <v>1017</v>
      </c>
      <c r="C388" t="s">
        <v>1018</v>
      </c>
      <c r="D388" s="144" t="s">
        <v>1019</v>
      </c>
      <c r="E388" t="s">
        <v>813</v>
      </c>
      <c r="F388" t="s">
        <v>624</v>
      </c>
      <c r="G388" t="s">
        <v>1013</v>
      </c>
      <c r="H388" t="s">
        <v>801</v>
      </c>
      <c r="I388" t="s">
        <v>1013</v>
      </c>
      <c r="J388" t="s">
        <v>991</v>
      </c>
      <c r="K388" t="s">
        <v>787</v>
      </c>
      <c r="L388" t="s">
        <v>1014</v>
      </c>
      <c r="M388" t="s">
        <v>208</v>
      </c>
      <c r="N388" t="s">
        <v>864</v>
      </c>
      <c r="O388" t="s">
        <v>824</v>
      </c>
      <c r="P388" t="s">
        <v>772</v>
      </c>
      <c r="Q388" t="s">
        <v>1020</v>
      </c>
      <c r="R388">
        <v>0</v>
      </c>
      <c r="S388">
        <v>0</v>
      </c>
      <c r="T388">
        <v>0</v>
      </c>
      <c r="U388">
        <v>0</v>
      </c>
      <c r="V388">
        <v>0</v>
      </c>
      <c r="W388">
        <v>0</v>
      </c>
      <c r="X388">
        <v>0</v>
      </c>
      <c r="Y388">
        <v>0</v>
      </c>
      <c r="Z388">
        <v>0</v>
      </c>
      <c r="AA388">
        <v>0</v>
      </c>
      <c r="AB388">
        <v>0</v>
      </c>
      <c r="AC388">
        <v>0</v>
      </c>
      <c r="AD388">
        <v>0</v>
      </c>
      <c r="AE388">
        <v>0</v>
      </c>
      <c r="AF388">
        <v>0</v>
      </c>
      <c r="AG388">
        <v>0</v>
      </c>
      <c r="AH388">
        <v>0</v>
      </c>
      <c r="AI388">
        <v>0</v>
      </c>
      <c r="AJ388" t="s">
        <v>914</v>
      </c>
      <c r="AK388" t="s">
        <v>995</v>
      </c>
      <c r="AL388" t="s">
        <v>996</v>
      </c>
      <c r="AM388" t="s">
        <v>1016</v>
      </c>
      <c r="AN388" t="s">
        <v>820</v>
      </c>
      <c r="AO388" t="s">
        <v>4371</v>
      </c>
      <c r="AP388" t="s">
        <v>1257</v>
      </c>
      <c r="AY388" t="str">
        <f t="shared" si="114"/>
        <v>COLICLOX POMMADE</v>
      </c>
      <c r="AZ388" t="str">
        <f>IF(COUNTIF(AY:AY,AY388)=1,AY388,IF(AND(COUNTIF(AY:AY,AY388)&gt;1,COUNTIF(AZ$2:AZ387,AY388)&gt;=1),"",AY388))</f>
        <v/>
      </c>
      <c r="BA388" t="str">
        <f>IF(AZ388="","",COUNTIFS(AZ$3:AZ$1439,"&lt;"&amp;AZ388,AZ$3:AZ$1439,"&lt;&gt;0")+COUNTIF(AZ$3:AZ388,AZ388)-876)</f>
        <v/>
      </c>
      <c r="BC388">
        <v>386</v>
      </c>
      <c r="BD388" t="str">
        <f t="shared" ref="BD388:BD451" si="125">IFERROR(INDEX(AZ:BA,MATCH(BC388,BA:BA,0),1),"")</f>
        <v>PM 18-3 TIAMULINE 6.5 DELTAVIT ENTERITE PORC ENTEROCOLITE LAPIN</v>
      </c>
      <c r="BE388" t="str">
        <f t="shared" si="115"/>
        <v>PM</v>
      </c>
      <c r="BF388" t="str">
        <f t="shared" si="116"/>
        <v>PLEUROMUTILINES</v>
      </c>
      <c r="BG388" t="str">
        <f t="shared" si="117"/>
        <v/>
      </c>
      <c r="BH388" t="str">
        <f t="shared" si="118"/>
        <v/>
      </c>
      <c r="BI388" t="str">
        <f t="shared" si="119"/>
        <v>tiamulin</v>
      </c>
      <c r="BJ388" t="str">
        <f t="shared" si="120"/>
        <v/>
      </c>
      <c r="BK388" t="str">
        <f t="shared" si="121"/>
        <v/>
      </c>
      <c r="BL388" t="str">
        <f t="shared" ref="BL388:BL451" si="126">IF(3-COUNTBLANK(BM388:BO388)=1,BM388,IF(3-COUNTBLANK(BM388:BO388)=2,BM388&amp;" + "&amp;BN388,IF(3-COUNTBLANK(BM388:BO388)=3,BM388&amp;" + "&amp;BN388&amp;" + "&amp;BO388,"")))</f>
        <v>Tiamuline</v>
      </c>
      <c r="BM388" t="str">
        <f t="shared" si="122"/>
        <v>Tiamuline</v>
      </c>
      <c r="BN388" t="str">
        <f t="shared" si="123"/>
        <v/>
      </c>
      <c r="BO388" t="str">
        <f t="shared" si="124"/>
        <v/>
      </c>
      <c r="BP388" t="str">
        <f t="shared" ref="BP388:BP451" si="127">IF(3-COUNTBLANK(BQ388:BS388)=1,BQ388,IF(3-COUNTBLANK(BQ388:BS388)=2,IF(BQ388=BR388,BQ388,BQ388&amp;" + "&amp;BR388),IF(3-COUNTBLANK(BQ388:BS388)=3,IF(BQ388=BR388,BQ388,IF(BQ388=BS388,BQ388,IF(BR388=BS388,BR388,IF(AND(BQ388=BR388,BQ388=BS388),BQ388,BQ388&amp;" + "&amp;BR388&amp;" + "&amp;BS388)))))))</f>
        <v>Pleuromutilines</v>
      </c>
      <c r="BQ388" t="str">
        <f t="shared" ref="BQ388:BQ451" si="128">IFERROR(INDEX(BW$3:BX$18,MATCH(BF388,BW$3:BW$18,0),2),"")</f>
        <v>Pleuromutilines</v>
      </c>
      <c r="BR388" t="str">
        <f t="shared" ref="BR388:BR451" si="129">IFERROR(INDEX(BW$3:BX$18,MATCH(BG388,BW$3:BW$18,0),2),"")</f>
        <v/>
      </c>
      <c r="BS388" t="str">
        <f t="shared" ref="BS388:BS451" si="130">IFERROR(INDEX(BW$3:BX$18,MATCH(BH388,BW$3:BW$18,0),2),"")</f>
        <v/>
      </c>
      <c r="BT388" s="76" t="str">
        <f t="shared" ref="BT388:BT451" si="131">IFERROR(INDEX(CD$3:CE$9,MATCH(BE388,CD$3:CD$9,0),2),"")</f>
        <v>Prémélanges médicamenteux</v>
      </c>
      <c r="BU388" t="str">
        <f t="shared" ref="BU388:BU451" si="132">IF(BM388="Colistine","x",IF(BN388="Colistine","x",IF(BO388="Colistine","x",IF(BQ388="Fluoroquinolones","x",IF(BR388="Fluoroquinolones","x",IF(BS388="Fluoroquinolones","x",IF(BQ388="Cephalosporines 3&amp;4G","x",IF(BR388="Cephalosporines 3&amp;4G","x",IF(BS388="Cephalosporines 3&amp;4G","x","")))))))))</f>
        <v/>
      </c>
      <c r="CN388">
        <v>387</v>
      </c>
    </row>
    <row r="389" spans="1:92" x14ac:dyDescent="0.3">
      <c r="A389" s="118" t="s">
        <v>1423</v>
      </c>
      <c r="B389" t="s">
        <v>1424</v>
      </c>
      <c r="C389" t="s">
        <v>1425</v>
      </c>
      <c r="D389" s="144" t="s">
        <v>1426</v>
      </c>
      <c r="E389" t="s">
        <v>830</v>
      </c>
      <c r="F389" t="s">
        <v>625</v>
      </c>
      <c r="G389" t="s">
        <v>831</v>
      </c>
      <c r="H389" t="s">
        <v>1427</v>
      </c>
      <c r="I389" t="s">
        <v>817</v>
      </c>
      <c r="J389" t="s">
        <v>1428</v>
      </c>
      <c r="K389" t="s">
        <v>802</v>
      </c>
      <c r="L389" t="s">
        <v>1429</v>
      </c>
      <c r="M389" t="s">
        <v>208</v>
      </c>
      <c r="N389" t="s">
        <v>1430</v>
      </c>
      <c r="O389" t="s">
        <v>834</v>
      </c>
      <c r="P389" t="s">
        <v>1431</v>
      </c>
      <c r="Q389" t="s">
        <v>1432</v>
      </c>
      <c r="R389">
        <v>21.55</v>
      </c>
      <c r="S389">
        <v>3</v>
      </c>
      <c r="T389">
        <v>0</v>
      </c>
      <c r="U389">
        <v>0</v>
      </c>
      <c r="V389">
        <v>21.55</v>
      </c>
      <c r="W389">
        <v>3</v>
      </c>
      <c r="X389">
        <v>0</v>
      </c>
      <c r="Y389">
        <v>0</v>
      </c>
      <c r="Z389">
        <v>0</v>
      </c>
      <c r="AA389">
        <v>0</v>
      </c>
      <c r="AB389">
        <v>21.55</v>
      </c>
      <c r="AC389">
        <v>3</v>
      </c>
      <c r="AD389">
        <v>21.55</v>
      </c>
      <c r="AE389">
        <v>3</v>
      </c>
      <c r="AF389">
        <v>0</v>
      </c>
      <c r="AG389">
        <v>0</v>
      </c>
      <c r="AH389">
        <v>0</v>
      </c>
      <c r="AI389">
        <v>0</v>
      </c>
      <c r="AJ389" t="s">
        <v>914</v>
      </c>
      <c r="AK389" t="s">
        <v>995</v>
      </c>
      <c r="AL389" t="s">
        <v>996</v>
      </c>
      <c r="AM389" t="s">
        <v>1433</v>
      </c>
      <c r="AN389" t="s">
        <v>834</v>
      </c>
      <c r="AO389" t="s">
        <v>4371</v>
      </c>
      <c r="AP389" t="s">
        <v>4372</v>
      </c>
      <c r="AY389" t="str">
        <f t="shared" si="114"/>
        <v>COLIDIARYL</v>
      </c>
      <c r="AZ389" t="str">
        <f>IF(COUNTIF(AY:AY,AY389)=1,AY389,IF(AND(COUNTIF(AY:AY,AY389)&gt;1,COUNTIF(AZ$2:AZ388,AY389)&gt;=1),"",AY389))</f>
        <v>COLIDIARYL</v>
      </c>
      <c r="BA389">
        <f>IF(AZ389="","",COUNTIFS(AZ$3:AZ$1439,"&lt;"&amp;AZ389,AZ$3:AZ$1439,"&lt;&gt;0")+COUNTIF(AZ$3:AZ389,AZ389)-876)</f>
        <v>137</v>
      </c>
      <c r="BC389">
        <v>387</v>
      </c>
      <c r="BD389" t="str">
        <f t="shared" si="125"/>
        <v>PM 20 TILMICOSINE 40 PORCS</v>
      </c>
      <c r="BE389" t="str">
        <f t="shared" si="115"/>
        <v>PM</v>
      </c>
      <c r="BF389" t="str">
        <f t="shared" si="116"/>
        <v>MACROLIDES</v>
      </c>
      <c r="BG389" t="str">
        <f t="shared" si="117"/>
        <v/>
      </c>
      <c r="BH389" t="str">
        <f t="shared" si="118"/>
        <v/>
      </c>
      <c r="BI389" t="str">
        <f t="shared" si="119"/>
        <v>tilmicosin</v>
      </c>
      <c r="BJ389" t="str">
        <f t="shared" si="120"/>
        <v/>
      </c>
      <c r="BK389" t="str">
        <f t="shared" si="121"/>
        <v/>
      </c>
      <c r="BL389" t="str">
        <f t="shared" si="126"/>
        <v>Tilmicosine</v>
      </c>
      <c r="BM389" t="str">
        <f t="shared" si="122"/>
        <v>Tilmicosine</v>
      </c>
      <c r="BN389" t="str">
        <f t="shared" si="123"/>
        <v/>
      </c>
      <c r="BO389" t="str">
        <f t="shared" si="124"/>
        <v/>
      </c>
      <c r="BP389" t="str">
        <f t="shared" si="127"/>
        <v>Macrolides</v>
      </c>
      <c r="BQ389" t="str">
        <f t="shared" si="128"/>
        <v>Macrolides</v>
      </c>
      <c r="BR389" t="str">
        <f t="shared" si="129"/>
        <v/>
      </c>
      <c r="BS389" t="str">
        <f t="shared" si="130"/>
        <v/>
      </c>
      <c r="BT389" s="76" t="str">
        <f t="shared" si="131"/>
        <v>Prémélanges médicamenteux</v>
      </c>
      <c r="BU389" t="str">
        <f t="shared" si="132"/>
        <v/>
      </c>
      <c r="CN389">
        <v>388</v>
      </c>
    </row>
    <row r="390" spans="1:92" x14ac:dyDescent="0.3">
      <c r="A390" s="118" t="s">
        <v>1215</v>
      </c>
      <c r="B390" t="s">
        <v>1216</v>
      </c>
      <c r="C390" t="s">
        <v>1217</v>
      </c>
      <c r="D390" s="144" t="s">
        <v>764</v>
      </c>
      <c r="E390" t="s">
        <v>765</v>
      </c>
      <c r="F390" t="s">
        <v>626</v>
      </c>
      <c r="G390" t="s">
        <v>1218</v>
      </c>
      <c r="H390" t="s">
        <v>170</v>
      </c>
      <c r="I390" t="s">
        <v>817</v>
      </c>
      <c r="J390" t="s">
        <v>914</v>
      </c>
      <c r="K390" t="s">
        <v>914</v>
      </c>
      <c r="L390" t="s">
        <v>995</v>
      </c>
      <c r="M390" t="s">
        <v>996</v>
      </c>
      <c r="N390" t="s">
        <v>1219</v>
      </c>
      <c r="O390" t="s">
        <v>805</v>
      </c>
      <c r="P390" t="s">
        <v>4371</v>
      </c>
      <c r="Q390" t="s">
        <v>2797</v>
      </c>
      <c r="R390">
        <v>0</v>
      </c>
      <c r="S390">
        <v>0</v>
      </c>
      <c r="T390">
        <v>0</v>
      </c>
      <c r="U390">
        <v>0</v>
      </c>
      <c r="V390">
        <v>0</v>
      </c>
      <c r="W390">
        <v>0</v>
      </c>
      <c r="X390">
        <v>0</v>
      </c>
      <c r="Y390">
        <v>0</v>
      </c>
      <c r="Z390">
        <v>0</v>
      </c>
      <c r="AA390">
        <v>0</v>
      </c>
      <c r="AB390">
        <v>5</v>
      </c>
      <c r="AC390">
        <v>3</v>
      </c>
      <c r="AD390">
        <v>5</v>
      </c>
      <c r="AE390">
        <v>3</v>
      </c>
      <c r="AF390">
        <v>0</v>
      </c>
      <c r="AG390">
        <v>0</v>
      </c>
      <c r="AH390">
        <v>0</v>
      </c>
      <c r="AI390">
        <v>0</v>
      </c>
      <c r="AY390" t="str">
        <f t="shared" si="114"/>
        <v>COLIPATE</v>
      </c>
      <c r="AZ390" t="str">
        <f>IF(COUNTIF(AY:AY,AY390)=1,AY390,IF(AND(COUNTIF(AY:AY,AY390)&gt;1,COUNTIF(AZ$2:AZ389,AY390)&gt;=1),"",AY390))</f>
        <v>COLIPATE</v>
      </c>
      <c r="BA390">
        <f>IF(AZ390="","",COUNTIFS(AZ$3:AZ$1439,"&lt;"&amp;AZ390,AZ$3:AZ$1439,"&lt;&gt;0")+COUNTIF(AZ$3:AZ390,AZ390)-876)</f>
        <v>138</v>
      </c>
      <c r="BC390">
        <v>388</v>
      </c>
      <c r="BD390" t="str">
        <f t="shared" si="125"/>
        <v>PM 21 TYLOSINE 20 PORC-VOLAILLE</v>
      </c>
      <c r="BE390" t="str">
        <f t="shared" si="115"/>
        <v>PM</v>
      </c>
      <c r="BF390" t="str">
        <f t="shared" si="116"/>
        <v>MACROLIDES</v>
      </c>
      <c r="BG390" t="str">
        <f t="shared" si="117"/>
        <v/>
      </c>
      <c r="BH390" t="str">
        <f t="shared" si="118"/>
        <v/>
      </c>
      <c r="BI390" t="str">
        <f t="shared" si="119"/>
        <v>tylosin</v>
      </c>
      <c r="BJ390" t="str">
        <f t="shared" si="120"/>
        <v/>
      </c>
      <c r="BK390" t="str">
        <f t="shared" si="121"/>
        <v/>
      </c>
      <c r="BL390" t="str">
        <f t="shared" si="126"/>
        <v>Tylosine</v>
      </c>
      <c r="BM390" t="str">
        <f t="shared" si="122"/>
        <v>Tylosine</v>
      </c>
      <c r="BN390" t="str">
        <f t="shared" si="123"/>
        <v/>
      </c>
      <c r="BO390" t="str">
        <f t="shared" si="124"/>
        <v/>
      </c>
      <c r="BP390" t="str">
        <f t="shared" si="127"/>
        <v>Macrolides</v>
      </c>
      <c r="BQ390" t="str">
        <f t="shared" si="128"/>
        <v>Macrolides</v>
      </c>
      <c r="BR390" t="str">
        <f t="shared" si="129"/>
        <v/>
      </c>
      <c r="BS390" t="str">
        <f t="shared" si="130"/>
        <v/>
      </c>
      <c r="BT390" s="76" t="str">
        <f t="shared" si="131"/>
        <v>Prémélanges médicamenteux</v>
      </c>
      <c r="BU390" t="str">
        <f t="shared" si="132"/>
        <v/>
      </c>
      <c r="CN390">
        <v>389</v>
      </c>
    </row>
    <row r="391" spans="1:92" x14ac:dyDescent="0.3">
      <c r="A391" s="118" t="s">
        <v>3256</v>
      </c>
      <c r="B391" t="s">
        <v>3257</v>
      </c>
      <c r="C391" t="s">
        <v>1243</v>
      </c>
      <c r="D391" s="144" t="s">
        <v>955</v>
      </c>
      <c r="E391" t="s">
        <v>765</v>
      </c>
      <c r="F391" t="s">
        <v>297</v>
      </c>
      <c r="G391" t="s">
        <v>956</v>
      </c>
      <c r="H391" t="s">
        <v>1091</v>
      </c>
      <c r="I391" t="s">
        <v>817</v>
      </c>
      <c r="J391" t="s">
        <v>914</v>
      </c>
      <c r="K391" t="s">
        <v>914</v>
      </c>
      <c r="L391" t="s">
        <v>995</v>
      </c>
      <c r="M391" t="s">
        <v>996</v>
      </c>
      <c r="N391" t="s">
        <v>1501</v>
      </c>
      <c r="O391" t="s">
        <v>805</v>
      </c>
      <c r="P391" t="s">
        <v>4371</v>
      </c>
      <c r="Q391" t="s">
        <v>906</v>
      </c>
      <c r="R391">
        <v>0</v>
      </c>
      <c r="S391">
        <v>0</v>
      </c>
      <c r="T391">
        <v>0</v>
      </c>
      <c r="U391">
        <v>0</v>
      </c>
      <c r="V391">
        <v>0</v>
      </c>
      <c r="W391">
        <v>0</v>
      </c>
      <c r="X391">
        <v>0</v>
      </c>
      <c r="Y391">
        <v>0</v>
      </c>
      <c r="Z391">
        <v>0</v>
      </c>
      <c r="AA391">
        <v>0</v>
      </c>
      <c r="AB391">
        <v>0</v>
      </c>
      <c r="AC391">
        <v>0</v>
      </c>
      <c r="AD391">
        <v>5</v>
      </c>
      <c r="AE391">
        <v>5</v>
      </c>
      <c r="AF391">
        <v>3.75</v>
      </c>
      <c r="AG391">
        <v>5</v>
      </c>
      <c r="AH391">
        <v>3.66</v>
      </c>
      <c r="AI391">
        <v>5</v>
      </c>
      <c r="AY391" t="str">
        <f t="shared" si="114"/>
        <v>COLIPRO 2 MUI/ML CONCENTRE POUR SOLUTION BUVABLE POUR PORCINS ET VOLAILLES</v>
      </c>
      <c r="AZ391" t="str">
        <f>IF(COUNTIF(AY:AY,AY391)=1,AY391,IF(AND(COUNTIF(AY:AY,AY391)&gt;1,COUNTIF(AZ$2:AZ390,AY391)&gt;=1),"",AY391))</f>
        <v>COLIPRO 2 MUI/ML CONCENTRE POUR SOLUTION BUVABLE POUR PORCINS ET VOLAILLES</v>
      </c>
      <c r="BA391">
        <f>IF(AZ391="","",COUNTIFS(AZ$3:AZ$1439,"&lt;"&amp;AZ391,AZ$3:AZ$1439,"&lt;&gt;0")+COUNTIF(AZ$3:AZ391,AZ391)-876)</f>
        <v>139</v>
      </c>
      <c r="BC391">
        <v>389</v>
      </c>
      <c r="BD391" t="str">
        <f t="shared" si="125"/>
        <v>PM 23 APRAMYCINE 20 PORC</v>
      </c>
      <c r="BE391" t="str">
        <f t="shared" si="115"/>
        <v>PM</v>
      </c>
      <c r="BF391" t="str">
        <f t="shared" si="116"/>
        <v>AMINOGLYCOSIDES</v>
      </c>
      <c r="BG391" t="str">
        <f t="shared" si="117"/>
        <v/>
      </c>
      <c r="BH391" t="str">
        <f t="shared" si="118"/>
        <v/>
      </c>
      <c r="BI391" t="str">
        <f t="shared" si="119"/>
        <v>apramycin</v>
      </c>
      <c r="BJ391" t="str">
        <f t="shared" si="120"/>
        <v/>
      </c>
      <c r="BK391" t="str">
        <f t="shared" si="121"/>
        <v/>
      </c>
      <c r="BL391" t="str">
        <f t="shared" si="126"/>
        <v>Apramycine</v>
      </c>
      <c r="BM391" t="str">
        <f t="shared" si="122"/>
        <v>Apramycine</v>
      </c>
      <c r="BN391" t="str">
        <f t="shared" si="123"/>
        <v/>
      </c>
      <c r="BO391" t="str">
        <f t="shared" si="124"/>
        <v/>
      </c>
      <c r="BP391" t="str">
        <f t="shared" si="127"/>
        <v>Aminoglycosides</v>
      </c>
      <c r="BQ391" t="str">
        <f t="shared" si="128"/>
        <v>Aminoglycosides</v>
      </c>
      <c r="BR391" t="str">
        <f t="shared" si="129"/>
        <v/>
      </c>
      <c r="BS391" t="str">
        <f t="shared" si="130"/>
        <v/>
      </c>
      <c r="BT391" s="76" t="str">
        <f t="shared" si="131"/>
        <v>Prémélanges médicamenteux</v>
      </c>
      <c r="BU391" t="str">
        <f t="shared" si="132"/>
        <v/>
      </c>
      <c r="CN391">
        <v>390</v>
      </c>
    </row>
    <row r="392" spans="1:92" x14ac:dyDescent="0.3">
      <c r="A392" s="118" t="s">
        <v>3256</v>
      </c>
      <c r="B392" t="s">
        <v>3258</v>
      </c>
      <c r="C392" t="s">
        <v>1241</v>
      </c>
      <c r="D392" s="144" t="s">
        <v>829</v>
      </c>
      <c r="E392" t="s">
        <v>765</v>
      </c>
      <c r="F392" t="s">
        <v>297</v>
      </c>
      <c r="G392" t="s">
        <v>956</v>
      </c>
      <c r="H392" t="s">
        <v>1091</v>
      </c>
      <c r="I392" t="s">
        <v>817</v>
      </c>
      <c r="J392" t="s">
        <v>914</v>
      </c>
      <c r="K392" t="s">
        <v>914</v>
      </c>
      <c r="L392" t="s">
        <v>995</v>
      </c>
      <c r="M392" t="s">
        <v>996</v>
      </c>
      <c r="N392" t="s">
        <v>1501</v>
      </c>
      <c r="O392" t="s">
        <v>805</v>
      </c>
      <c r="P392" t="s">
        <v>4371</v>
      </c>
      <c r="Q392" t="s">
        <v>764</v>
      </c>
      <c r="R392">
        <v>0</v>
      </c>
      <c r="S392">
        <v>0</v>
      </c>
      <c r="T392">
        <v>0</v>
      </c>
      <c r="U392">
        <v>0</v>
      </c>
      <c r="V392">
        <v>0</v>
      </c>
      <c r="W392">
        <v>0</v>
      </c>
      <c r="X392">
        <v>0</v>
      </c>
      <c r="Y392">
        <v>0</v>
      </c>
      <c r="Z392">
        <v>0</v>
      </c>
      <c r="AA392">
        <v>0</v>
      </c>
      <c r="AB392">
        <v>0</v>
      </c>
      <c r="AC392">
        <v>0</v>
      </c>
      <c r="AD392">
        <v>5</v>
      </c>
      <c r="AE392">
        <v>5</v>
      </c>
      <c r="AF392">
        <v>3.75</v>
      </c>
      <c r="AG392">
        <v>5</v>
      </c>
      <c r="AH392">
        <v>3.66</v>
      </c>
      <c r="AI392">
        <v>5</v>
      </c>
      <c r="AY392" t="str">
        <f t="shared" si="114"/>
        <v>COLIPRO 2 MUI/ML CONCENTRE POUR SOLUTION BUVABLE POUR PORCINS ET VOLAILLES</v>
      </c>
      <c r="AZ392" t="str">
        <f>IF(COUNTIF(AY:AY,AY392)=1,AY392,IF(AND(COUNTIF(AY:AY,AY392)&gt;1,COUNTIF(AZ$2:AZ391,AY392)&gt;=1),"",AY392))</f>
        <v/>
      </c>
      <c r="BA392" t="str">
        <f>IF(AZ392="","",COUNTIFS(AZ$3:AZ$1439,"&lt;"&amp;AZ392,AZ$3:AZ$1439,"&lt;&gt;0")+COUNTIF(AZ$3:AZ392,AZ392)-876)</f>
        <v/>
      </c>
      <c r="BC392">
        <v>390</v>
      </c>
      <c r="BD392" t="str">
        <f t="shared" si="125"/>
        <v>PM 27 LINCOMYCINE 4.4 SPECTINOMYCINE 4.4 PORC</v>
      </c>
      <c r="BE392" t="str">
        <f t="shared" si="115"/>
        <v>PM</v>
      </c>
      <c r="BF392" t="str">
        <f t="shared" si="116"/>
        <v>LINCOSAMIDES</v>
      </c>
      <c r="BG392" t="str">
        <f t="shared" si="117"/>
        <v>AMINOGLYCOSIDES</v>
      </c>
      <c r="BH392" t="str">
        <f t="shared" si="118"/>
        <v/>
      </c>
      <c r="BI392" t="str">
        <f t="shared" si="119"/>
        <v>lincomycin</v>
      </c>
      <c r="BJ392" t="str">
        <f t="shared" si="120"/>
        <v>spectinomycin</v>
      </c>
      <c r="BK392" t="str">
        <f t="shared" si="121"/>
        <v/>
      </c>
      <c r="BL392" t="str">
        <f t="shared" si="126"/>
        <v>Lincomycine + Spectinomycine</v>
      </c>
      <c r="BM392" t="str">
        <f t="shared" si="122"/>
        <v>Lincomycine</v>
      </c>
      <c r="BN392" t="str">
        <f t="shared" si="123"/>
        <v>Spectinomycine</v>
      </c>
      <c r="BO392" t="str">
        <f t="shared" si="124"/>
        <v/>
      </c>
      <c r="BP392" t="str">
        <f t="shared" si="127"/>
        <v>Lincosamides + Aminoglycosides</v>
      </c>
      <c r="BQ392" t="str">
        <f t="shared" si="128"/>
        <v>Lincosamides</v>
      </c>
      <c r="BR392" t="str">
        <f t="shared" si="129"/>
        <v>Aminoglycosides</v>
      </c>
      <c r="BS392" t="str">
        <f t="shared" si="130"/>
        <v/>
      </c>
      <c r="BT392" s="76" t="str">
        <f t="shared" si="131"/>
        <v>Prémélanges médicamenteux</v>
      </c>
      <c r="BU392" t="str">
        <f t="shared" si="132"/>
        <v/>
      </c>
      <c r="CN392">
        <v>391</v>
      </c>
    </row>
    <row r="393" spans="1:92" x14ac:dyDescent="0.3">
      <c r="A393" s="118" t="s">
        <v>1850</v>
      </c>
      <c r="B393" t="s">
        <v>1851</v>
      </c>
      <c r="C393" t="s">
        <v>1062</v>
      </c>
      <c r="D393" s="144" t="s">
        <v>1063</v>
      </c>
      <c r="E393" t="s">
        <v>830</v>
      </c>
      <c r="F393" t="s">
        <v>298</v>
      </c>
      <c r="G393" t="s">
        <v>1064</v>
      </c>
      <c r="H393" t="s">
        <v>1852</v>
      </c>
      <c r="I393" t="s">
        <v>1066</v>
      </c>
      <c r="J393" t="s">
        <v>914</v>
      </c>
      <c r="K393" t="s">
        <v>914</v>
      </c>
      <c r="L393" t="s">
        <v>995</v>
      </c>
      <c r="M393" t="s">
        <v>996</v>
      </c>
      <c r="N393" t="s">
        <v>1103</v>
      </c>
      <c r="O393" t="s">
        <v>834</v>
      </c>
      <c r="P393" t="s">
        <v>4371</v>
      </c>
      <c r="Q393" t="s">
        <v>776</v>
      </c>
      <c r="R393">
        <v>0</v>
      </c>
      <c r="S393">
        <v>0</v>
      </c>
      <c r="T393">
        <v>0</v>
      </c>
      <c r="U393">
        <v>0</v>
      </c>
      <c r="V393">
        <v>0</v>
      </c>
      <c r="W393">
        <v>0</v>
      </c>
      <c r="X393">
        <v>0</v>
      </c>
      <c r="Y393">
        <v>0</v>
      </c>
      <c r="Z393">
        <v>5</v>
      </c>
      <c r="AA393">
        <v>7</v>
      </c>
      <c r="AB393">
        <v>5</v>
      </c>
      <c r="AC393">
        <v>7</v>
      </c>
      <c r="AD393">
        <v>5</v>
      </c>
      <c r="AE393">
        <v>7</v>
      </c>
      <c r="AF393">
        <v>5</v>
      </c>
      <c r="AG393">
        <v>7</v>
      </c>
      <c r="AH393">
        <v>0</v>
      </c>
      <c r="AI393">
        <v>0</v>
      </c>
      <c r="AY393" t="str">
        <f t="shared" si="114"/>
        <v>COLISTINE 200-CB LAPIN-VOLAILLE-PORC ET AGNEAU-CHEVREAU SEVRES FRANVET</v>
      </c>
      <c r="AZ393" t="str">
        <f>IF(COUNTIF(AY:AY,AY393)=1,AY393,IF(AND(COUNTIF(AY:AY,AY393)&gt;1,COUNTIF(AZ$2:AZ392,AY393)&gt;=1),"",AY393))</f>
        <v>COLISTINE 200-CB LAPIN-VOLAILLE-PORC ET AGNEAU-CHEVREAU SEVRES FRANVET</v>
      </c>
      <c r="BA393">
        <f>IF(AZ393="","",COUNTIFS(AZ$3:AZ$1439,"&lt;"&amp;AZ393,AZ$3:AZ$1439,"&lt;&gt;0")+COUNTIF(AZ$3:AZ393,AZ393)-876)</f>
        <v>140</v>
      </c>
      <c r="BC393">
        <v>391</v>
      </c>
      <c r="BD393" t="str">
        <f t="shared" si="125"/>
        <v>PM 35-A ACIDE OXOLINIQUE 80 PORC</v>
      </c>
      <c r="BE393" t="str">
        <f t="shared" si="115"/>
        <v>PM</v>
      </c>
      <c r="BF393" t="str">
        <f t="shared" si="116"/>
        <v>QUINOLONES</v>
      </c>
      <c r="BG393" t="str">
        <f t="shared" si="117"/>
        <v/>
      </c>
      <c r="BH393" t="str">
        <f t="shared" si="118"/>
        <v/>
      </c>
      <c r="BI393" t="str">
        <f t="shared" si="119"/>
        <v>oxolinic acid</v>
      </c>
      <c r="BJ393" t="str">
        <f t="shared" si="120"/>
        <v/>
      </c>
      <c r="BK393" t="str">
        <f t="shared" si="121"/>
        <v/>
      </c>
      <c r="BL393" t="str">
        <f t="shared" si="126"/>
        <v>Acide oxolinique</v>
      </c>
      <c r="BM393" t="str">
        <f t="shared" si="122"/>
        <v>Acide oxolinique</v>
      </c>
      <c r="BN393" t="str">
        <f t="shared" si="123"/>
        <v/>
      </c>
      <c r="BO393" t="str">
        <f t="shared" si="124"/>
        <v/>
      </c>
      <c r="BP393" t="str">
        <f t="shared" si="127"/>
        <v>Quinolones</v>
      </c>
      <c r="BQ393" t="str">
        <f t="shared" si="128"/>
        <v>Quinolones</v>
      </c>
      <c r="BR393" t="str">
        <f t="shared" si="129"/>
        <v/>
      </c>
      <c r="BS393" t="str">
        <f t="shared" si="130"/>
        <v/>
      </c>
      <c r="BT393" s="76" t="str">
        <f t="shared" si="131"/>
        <v>Prémélanges médicamenteux</v>
      </c>
      <c r="BU393" t="str">
        <f t="shared" si="132"/>
        <v/>
      </c>
      <c r="CN393">
        <v>392</v>
      </c>
    </row>
    <row r="394" spans="1:92" x14ac:dyDescent="0.3">
      <c r="A394" s="118" t="s">
        <v>2551</v>
      </c>
      <c r="B394" t="s">
        <v>2552</v>
      </c>
      <c r="C394" t="s">
        <v>1222</v>
      </c>
      <c r="D394" s="144" t="s">
        <v>1063</v>
      </c>
      <c r="E394" t="s">
        <v>830</v>
      </c>
      <c r="F394" t="s">
        <v>299</v>
      </c>
      <c r="G394" t="s">
        <v>1064</v>
      </c>
      <c r="H394" t="s">
        <v>1082</v>
      </c>
      <c r="I394" t="s">
        <v>1066</v>
      </c>
      <c r="J394" t="s">
        <v>914</v>
      </c>
      <c r="K394" t="s">
        <v>914</v>
      </c>
      <c r="L394" t="s">
        <v>995</v>
      </c>
      <c r="M394" t="s">
        <v>996</v>
      </c>
      <c r="N394" t="s">
        <v>2246</v>
      </c>
      <c r="O394" t="s">
        <v>834</v>
      </c>
      <c r="P394" t="s">
        <v>4371</v>
      </c>
      <c r="Q394" t="s">
        <v>906</v>
      </c>
      <c r="R394">
        <v>0</v>
      </c>
      <c r="S394">
        <v>0</v>
      </c>
      <c r="T394">
        <v>0</v>
      </c>
      <c r="U394">
        <v>0</v>
      </c>
      <c r="V394">
        <v>0</v>
      </c>
      <c r="W394">
        <v>0</v>
      </c>
      <c r="X394">
        <v>0</v>
      </c>
      <c r="Y394">
        <v>0</v>
      </c>
      <c r="Z394">
        <v>0</v>
      </c>
      <c r="AA394">
        <v>0</v>
      </c>
      <c r="AB394">
        <v>5</v>
      </c>
      <c r="AC394">
        <v>7</v>
      </c>
      <c r="AD394">
        <v>5</v>
      </c>
      <c r="AE394">
        <v>7</v>
      </c>
      <c r="AF394">
        <v>0</v>
      </c>
      <c r="AG394">
        <v>0</v>
      </c>
      <c r="AH394">
        <v>0</v>
      </c>
      <c r="AI394">
        <v>0</v>
      </c>
      <c r="AY394" t="str">
        <f t="shared" si="114"/>
        <v>COLISTINE 400-CB PORC ET AGNEAU-CHEVREAU SEVRES FRANVET</v>
      </c>
      <c r="AZ394" t="str">
        <f>IF(COUNTIF(AY:AY,AY394)=1,AY394,IF(AND(COUNTIF(AY:AY,AY394)&gt;1,COUNTIF(AZ$2:AZ393,AY394)&gt;=1),"",AY394))</f>
        <v>COLISTINE 400-CB PORC ET AGNEAU-CHEVREAU SEVRES FRANVET</v>
      </c>
      <c r="BA394">
        <f>IF(AZ394="","",COUNTIFS(AZ$3:AZ$1439,"&lt;"&amp;AZ394,AZ$3:AZ$1439,"&lt;&gt;0")+COUNTIF(AZ$3:AZ394,AZ394)-876)</f>
        <v>141</v>
      </c>
      <c r="BC394">
        <v>392</v>
      </c>
      <c r="BD394" t="str">
        <f t="shared" si="125"/>
        <v>PNEUMOBIOTIQUE</v>
      </c>
      <c r="BE394" t="str">
        <f t="shared" si="115"/>
        <v>ORAL</v>
      </c>
      <c r="BF394" t="str">
        <f t="shared" si="116"/>
        <v>TETRACYCLINES</v>
      </c>
      <c r="BG394" t="str">
        <f t="shared" si="117"/>
        <v>MACROLIDES</v>
      </c>
      <c r="BH394" t="str">
        <f t="shared" si="118"/>
        <v/>
      </c>
      <c r="BI394" t="str">
        <f t="shared" si="119"/>
        <v>oxytetracycline</v>
      </c>
      <c r="BJ394" t="str">
        <f t="shared" si="120"/>
        <v>spiramycin</v>
      </c>
      <c r="BK394" t="str">
        <f t="shared" si="121"/>
        <v/>
      </c>
      <c r="BL394" t="str">
        <f t="shared" si="126"/>
        <v>Oxytétracycline + Spiramycine</v>
      </c>
      <c r="BM394" t="str">
        <f t="shared" si="122"/>
        <v>Oxytétracycline</v>
      </c>
      <c r="BN394" t="str">
        <f t="shared" si="123"/>
        <v>Spiramycine</v>
      </c>
      <c r="BO394" t="str">
        <f t="shared" si="124"/>
        <v/>
      </c>
      <c r="BP394" t="str">
        <f t="shared" si="127"/>
        <v>Tetracyclines + Macrolides</v>
      </c>
      <c r="BQ394" t="str">
        <f t="shared" si="128"/>
        <v>Tetracyclines</v>
      </c>
      <c r="BR394" t="str">
        <f t="shared" si="129"/>
        <v>Macrolides</v>
      </c>
      <c r="BS394" t="str">
        <f t="shared" si="130"/>
        <v/>
      </c>
      <c r="BT394" s="76" t="str">
        <f t="shared" si="131"/>
        <v>Voie orale  hors prémélanges médicamenteux</v>
      </c>
      <c r="BU394" t="str">
        <f t="shared" si="132"/>
        <v/>
      </c>
      <c r="CN394">
        <v>393</v>
      </c>
    </row>
    <row r="395" spans="1:92" x14ac:dyDescent="0.3">
      <c r="A395" s="118" t="s">
        <v>2556</v>
      </c>
      <c r="B395" t="s">
        <v>2557</v>
      </c>
      <c r="C395" t="s">
        <v>1062</v>
      </c>
      <c r="D395" s="144" t="s">
        <v>1063</v>
      </c>
      <c r="E395" t="s">
        <v>830</v>
      </c>
      <c r="F395" t="s">
        <v>300</v>
      </c>
      <c r="G395" t="s">
        <v>1064</v>
      </c>
      <c r="H395" t="s">
        <v>1082</v>
      </c>
      <c r="I395" t="s">
        <v>1066</v>
      </c>
      <c r="J395" t="s">
        <v>914</v>
      </c>
      <c r="K395" t="s">
        <v>914</v>
      </c>
      <c r="L395" t="s">
        <v>995</v>
      </c>
      <c r="M395" t="s">
        <v>996</v>
      </c>
      <c r="N395" t="s">
        <v>2246</v>
      </c>
      <c r="O395" t="s">
        <v>834</v>
      </c>
      <c r="P395" t="s">
        <v>4371</v>
      </c>
      <c r="Q395" t="s">
        <v>906</v>
      </c>
      <c r="R395">
        <v>0</v>
      </c>
      <c r="S395">
        <v>0</v>
      </c>
      <c r="T395">
        <v>0</v>
      </c>
      <c r="U395">
        <v>0</v>
      </c>
      <c r="V395">
        <v>0</v>
      </c>
      <c r="W395">
        <v>0</v>
      </c>
      <c r="X395">
        <v>0</v>
      </c>
      <c r="Y395">
        <v>0</v>
      </c>
      <c r="Z395">
        <v>0</v>
      </c>
      <c r="AA395">
        <v>0</v>
      </c>
      <c r="AB395">
        <v>5</v>
      </c>
      <c r="AC395">
        <v>7</v>
      </c>
      <c r="AD395">
        <v>5</v>
      </c>
      <c r="AE395">
        <v>7</v>
      </c>
      <c r="AF395">
        <v>0</v>
      </c>
      <c r="AG395">
        <v>0</v>
      </c>
      <c r="AH395">
        <v>0</v>
      </c>
      <c r="AI395">
        <v>0</v>
      </c>
      <c r="AY395" t="str">
        <f t="shared" si="114"/>
        <v>COLISTINE 400-F PORC ET AGNEAU-CHEVREAU SEVRES FRANVET</v>
      </c>
      <c r="AZ395" t="str">
        <f>IF(COUNTIF(AY:AY,AY395)=1,AY395,IF(AND(COUNTIF(AY:AY,AY395)&gt;1,COUNTIF(AZ$2:AZ394,AY395)&gt;=1),"",AY395))</f>
        <v>COLISTINE 400-F PORC ET AGNEAU-CHEVREAU SEVRES FRANVET</v>
      </c>
      <c r="BA395">
        <f>IF(AZ395="","",COUNTIFS(AZ$3:AZ$1439,"&lt;"&amp;AZ395,AZ$3:AZ$1439,"&lt;&gt;0")+COUNTIF(AZ$3:AZ395,AZ395)-876)</f>
        <v>142</v>
      </c>
      <c r="BC395">
        <v>393</v>
      </c>
      <c r="BD395" t="str">
        <f t="shared" si="125"/>
        <v>PNEUMOSPECTIN 50/100 MG/ML SOLUTION INJECTABLE</v>
      </c>
      <c r="BE395" t="str">
        <f t="shared" si="115"/>
        <v>INJ</v>
      </c>
      <c r="BF395" t="str">
        <f t="shared" si="116"/>
        <v>AMINOGLYCOSIDES</v>
      </c>
      <c r="BG395" t="str">
        <f t="shared" si="117"/>
        <v>LINCOSAMIDES</v>
      </c>
      <c r="BH395" t="str">
        <f t="shared" si="118"/>
        <v/>
      </c>
      <c r="BI395" t="str">
        <f t="shared" si="119"/>
        <v>spectinomycin</v>
      </c>
      <c r="BJ395" t="str">
        <f t="shared" si="120"/>
        <v>lincomycin</v>
      </c>
      <c r="BK395" t="str">
        <f t="shared" si="121"/>
        <v/>
      </c>
      <c r="BL395" t="str">
        <f t="shared" si="126"/>
        <v>Spectinomycine + Lincomycine</v>
      </c>
      <c r="BM395" t="str">
        <f t="shared" si="122"/>
        <v>Spectinomycine</v>
      </c>
      <c r="BN395" t="str">
        <f t="shared" si="123"/>
        <v>Lincomycine</v>
      </c>
      <c r="BO395" t="str">
        <f t="shared" si="124"/>
        <v/>
      </c>
      <c r="BP395" t="str">
        <f t="shared" si="127"/>
        <v>Aminoglycosides + Lincosamides</v>
      </c>
      <c r="BQ395" t="str">
        <f t="shared" si="128"/>
        <v>Aminoglycosides</v>
      </c>
      <c r="BR395" t="str">
        <f t="shared" si="129"/>
        <v>Lincosamides</v>
      </c>
      <c r="BS395" t="str">
        <f t="shared" si="130"/>
        <v/>
      </c>
      <c r="BT395" s="76" t="str">
        <f t="shared" si="131"/>
        <v>Voie parentérale</v>
      </c>
      <c r="BU395" t="str">
        <f t="shared" si="132"/>
        <v/>
      </c>
      <c r="CN395">
        <v>394</v>
      </c>
    </row>
    <row r="396" spans="1:92" x14ac:dyDescent="0.3">
      <c r="A396" s="118" t="s">
        <v>2556</v>
      </c>
      <c r="B396" t="s">
        <v>2558</v>
      </c>
      <c r="C396" t="s">
        <v>2559</v>
      </c>
      <c r="D396" s="144" t="s">
        <v>1805</v>
      </c>
      <c r="E396" t="s">
        <v>830</v>
      </c>
      <c r="F396" t="s">
        <v>300</v>
      </c>
      <c r="G396" t="s">
        <v>1064</v>
      </c>
      <c r="H396" t="s">
        <v>1082</v>
      </c>
      <c r="I396" t="s">
        <v>1066</v>
      </c>
      <c r="J396" t="s">
        <v>914</v>
      </c>
      <c r="K396" t="s">
        <v>914</v>
      </c>
      <c r="L396" t="s">
        <v>995</v>
      </c>
      <c r="M396" t="s">
        <v>996</v>
      </c>
      <c r="N396" t="s">
        <v>2246</v>
      </c>
      <c r="O396" t="s">
        <v>834</v>
      </c>
      <c r="P396" t="s">
        <v>4371</v>
      </c>
      <c r="Q396" t="s">
        <v>1536</v>
      </c>
      <c r="R396">
        <v>0</v>
      </c>
      <c r="S396">
        <v>0</v>
      </c>
      <c r="T396">
        <v>0</v>
      </c>
      <c r="U396">
        <v>0</v>
      </c>
      <c r="V396">
        <v>0</v>
      </c>
      <c r="W396">
        <v>0</v>
      </c>
      <c r="X396">
        <v>0</v>
      </c>
      <c r="Y396">
        <v>0</v>
      </c>
      <c r="Z396">
        <v>0</v>
      </c>
      <c r="AA396">
        <v>0</v>
      </c>
      <c r="AB396">
        <v>5</v>
      </c>
      <c r="AC396">
        <v>7</v>
      </c>
      <c r="AD396">
        <v>5</v>
      </c>
      <c r="AE396">
        <v>7</v>
      </c>
      <c r="AF396">
        <v>0</v>
      </c>
      <c r="AG396">
        <v>0</v>
      </c>
      <c r="AH396">
        <v>0</v>
      </c>
      <c r="AI396">
        <v>0</v>
      </c>
      <c r="AY396" t="str">
        <f t="shared" si="114"/>
        <v>COLISTINE 400-F PORC ET AGNEAU-CHEVREAU SEVRES FRANVET</v>
      </c>
      <c r="AZ396" t="str">
        <f>IF(COUNTIF(AY:AY,AY396)=1,AY396,IF(AND(COUNTIF(AY:AY,AY396)&gt;1,COUNTIF(AZ$2:AZ395,AY396)&gt;=1),"",AY396))</f>
        <v/>
      </c>
      <c r="BA396" t="str">
        <f>IF(AZ396="","",COUNTIFS(AZ$3:AZ$1439,"&lt;"&amp;AZ396,AZ$3:AZ$1439,"&lt;&gt;0")+COUNTIF(AZ$3:AZ396,AZ396)-876)</f>
        <v/>
      </c>
      <c r="BC396">
        <v>394</v>
      </c>
      <c r="BD396" t="str">
        <f t="shared" si="125"/>
        <v>PO 11 COLISTINE 100 LAPIN - VOLAILLE - PORC - VEAU</v>
      </c>
      <c r="BE396" t="str">
        <f t="shared" si="115"/>
        <v>ORAL</v>
      </c>
      <c r="BF396" t="str">
        <f t="shared" si="116"/>
        <v>POLYPEPTIDES</v>
      </c>
      <c r="BG396" t="str">
        <f t="shared" si="117"/>
        <v/>
      </c>
      <c r="BH396" t="str">
        <f t="shared" si="118"/>
        <v/>
      </c>
      <c r="BI396" t="str">
        <f t="shared" si="119"/>
        <v>colistin</v>
      </c>
      <c r="BJ396" t="str">
        <f t="shared" si="120"/>
        <v/>
      </c>
      <c r="BK396" t="str">
        <f t="shared" si="121"/>
        <v/>
      </c>
      <c r="BL396" t="str">
        <f t="shared" si="126"/>
        <v>Colistine</v>
      </c>
      <c r="BM396" t="str">
        <f t="shared" si="122"/>
        <v>Colistine</v>
      </c>
      <c r="BN396" t="str">
        <f t="shared" si="123"/>
        <v/>
      </c>
      <c r="BO396" t="str">
        <f t="shared" si="124"/>
        <v/>
      </c>
      <c r="BP396" t="str">
        <f t="shared" si="127"/>
        <v>Polypeptides</v>
      </c>
      <c r="BQ396" t="str">
        <f t="shared" si="128"/>
        <v>Polypeptides</v>
      </c>
      <c r="BR396" t="str">
        <f t="shared" si="129"/>
        <v/>
      </c>
      <c r="BS396" t="str">
        <f t="shared" si="130"/>
        <v/>
      </c>
      <c r="BT396" s="76" t="str">
        <f t="shared" si="131"/>
        <v>Voie orale  hors prémélanges médicamenteux</v>
      </c>
      <c r="BU396" t="str">
        <f t="shared" si="132"/>
        <v>x</v>
      </c>
      <c r="CN396">
        <v>395</v>
      </c>
    </row>
    <row r="397" spans="1:92" x14ac:dyDescent="0.3">
      <c r="A397" s="118" t="s">
        <v>2196</v>
      </c>
      <c r="B397" t="s">
        <v>2197</v>
      </c>
      <c r="C397" t="s">
        <v>1241</v>
      </c>
      <c r="D397" s="144" t="s">
        <v>829</v>
      </c>
      <c r="E397" t="s">
        <v>765</v>
      </c>
      <c r="F397" t="s">
        <v>301</v>
      </c>
      <c r="G397" t="s">
        <v>956</v>
      </c>
      <c r="H397" t="s">
        <v>1070</v>
      </c>
      <c r="I397" t="s">
        <v>817</v>
      </c>
      <c r="J397" t="s">
        <v>914</v>
      </c>
      <c r="K397" t="s">
        <v>914</v>
      </c>
      <c r="L397" t="s">
        <v>995</v>
      </c>
      <c r="M397" t="s">
        <v>996</v>
      </c>
      <c r="N397" t="s">
        <v>1501</v>
      </c>
      <c r="O397" t="s">
        <v>805</v>
      </c>
      <c r="P397" t="s">
        <v>4371</v>
      </c>
      <c r="Q397" t="s">
        <v>764</v>
      </c>
      <c r="R397">
        <v>5</v>
      </c>
      <c r="S397">
        <v>5</v>
      </c>
      <c r="T397">
        <v>0</v>
      </c>
      <c r="U397">
        <v>0</v>
      </c>
      <c r="V397">
        <v>0</v>
      </c>
      <c r="W397">
        <v>0</v>
      </c>
      <c r="X397">
        <v>0</v>
      </c>
      <c r="Y397">
        <v>0</v>
      </c>
      <c r="Z397">
        <v>0</v>
      </c>
      <c r="AA397">
        <v>0</v>
      </c>
      <c r="AB397">
        <v>5</v>
      </c>
      <c r="AC397">
        <v>5</v>
      </c>
      <c r="AD397">
        <v>5</v>
      </c>
      <c r="AE397">
        <v>5</v>
      </c>
      <c r="AF397">
        <v>3.75</v>
      </c>
      <c r="AG397">
        <v>5</v>
      </c>
      <c r="AH397">
        <v>0</v>
      </c>
      <c r="AI397">
        <v>0</v>
      </c>
      <c r="AY397" t="str">
        <f t="shared" si="114"/>
        <v>COLISTINE SULFATE 2 000 000 UI/ML BUVABLE VIRBAC</v>
      </c>
      <c r="AZ397" t="str">
        <f>IF(COUNTIF(AY:AY,AY397)=1,AY397,IF(AND(COUNTIF(AY:AY,AY397)&gt;1,COUNTIF(AZ$2:AZ396,AY397)&gt;=1),"",AY397))</f>
        <v>COLISTINE SULFATE 2 000 000 UI/ML BUVABLE VIRBAC</v>
      </c>
      <c r="BA397">
        <f>IF(AZ397="","",COUNTIFS(AZ$3:AZ$1439,"&lt;"&amp;AZ397,AZ$3:AZ$1439,"&lt;&gt;0")+COUNTIF(AZ$3:AZ397,AZ397)-876)</f>
        <v>143</v>
      </c>
      <c r="BC397">
        <v>395</v>
      </c>
      <c r="BD397" t="str">
        <f t="shared" si="125"/>
        <v>PO 121 AMPICILLINE 10 VOLAILLE-PORC-VEAU-AGNEAU-CHEVREAU</v>
      </c>
      <c r="BE397" t="str">
        <f t="shared" si="115"/>
        <v>ORAL</v>
      </c>
      <c r="BF397" t="str">
        <f t="shared" si="116"/>
        <v>PENICILLINES</v>
      </c>
      <c r="BG397" t="str">
        <f t="shared" si="117"/>
        <v/>
      </c>
      <c r="BH397" t="str">
        <f t="shared" si="118"/>
        <v/>
      </c>
      <c r="BI397" t="str">
        <f t="shared" si="119"/>
        <v>ampicillin</v>
      </c>
      <c r="BJ397" t="str">
        <f t="shared" si="120"/>
        <v/>
      </c>
      <c r="BK397" t="str">
        <f t="shared" si="121"/>
        <v/>
      </c>
      <c r="BL397" t="str">
        <f t="shared" si="126"/>
        <v>Ampicilline</v>
      </c>
      <c r="BM397" t="str">
        <f t="shared" si="122"/>
        <v>Ampicilline</v>
      </c>
      <c r="BN397" t="str">
        <f t="shared" si="123"/>
        <v/>
      </c>
      <c r="BO397" t="str">
        <f t="shared" si="124"/>
        <v/>
      </c>
      <c r="BP397" t="str">
        <f t="shared" si="127"/>
        <v>Penicillines</v>
      </c>
      <c r="BQ397" t="str">
        <f t="shared" si="128"/>
        <v>Penicillines</v>
      </c>
      <c r="BR397" t="str">
        <f t="shared" si="129"/>
        <v/>
      </c>
      <c r="BS397" t="str">
        <f t="shared" si="130"/>
        <v/>
      </c>
      <c r="BT397" s="76" t="str">
        <f t="shared" si="131"/>
        <v>Voie orale  hors prémélanges médicamenteux</v>
      </c>
      <c r="BU397" t="str">
        <f t="shared" si="132"/>
        <v/>
      </c>
      <c r="CN397">
        <v>396</v>
      </c>
    </row>
    <row r="398" spans="1:92" x14ac:dyDescent="0.3">
      <c r="A398" s="118" t="s">
        <v>2196</v>
      </c>
      <c r="B398" t="s">
        <v>2199</v>
      </c>
      <c r="C398" t="s">
        <v>2200</v>
      </c>
      <c r="D398" s="144" t="s">
        <v>902</v>
      </c>
      <c r="E398" t="s">
        <v>765</v>
      </c>
      <c r="F398" t="s">
        <v>301</v>
      </c>
      <c r="G398" t="s">
        <v>956</v>
      </c>
      <c r="H398" t="s">
        <v>1070</v>
      </c>
      <c r="I398" t="s">
        <v>817</v>
      </c>
      <c r="J398" t="s">
        <v>914</v>
      </c>
      <c r="K398" t="s">
        <v>914</v>
      </c>
      <c r="L398" t="s">
        <v>995</v>
      </c>
      <c r="M398" t="s">
        <v>996</v>
      </c>
      <c r="N398" t="s">
        <v>1501</v>
      </c>
      <c r="O398" t="s">
        <v>805</v>
      </c>
      <c r="P398" t="s">
        <v>4371</v>
      </c>
      <c r="Q398" t="s">
        <v>864</v>
      </c>
      <c r="R398">
        <v>5</v>
      </c>
      <c r="S398">
        <v>5</v>
      </c>
      <c r="T398">
        <v>0</v>
      </c>
      <c r="U398">
        <v>0</v>
      </c>
      <c r="V398">
        <v>0</v>
      </c>
      <c r="W398">
        <v>0</v>
      </c>
      <c r="X398">
        <v>0</v>
      </c>
      <c r="Y398">
        <v>0</v>
      </c>
      <c r="Z398">
        <v>0</v>
      </c>
      <c r="AA398">
        <v>0</v>
      </c>
      <c r="AB398">
        <v>5</v>
      </c>
      <c r="AC398">
        <v>5</v>
      </c>
      <c r="AD398">
        <v>5</v>
      </c>
      <c r="AE398">
        <v>5</v>
      </c>
      <c r="AF398">
        <v>3.75</v>
      </c>
      <c r="AG398">
        <v>5</v>
      </c>
      <c r="AH398">
        <v>0</v>
      </c>
      <c r="AI398">
        <v>0</v>
      </c>
      <c r="AY398" t="str">
        <f t="shared" si="114"/>
        <v>COLISTINE SULFATE 2 000 000 UI/ML BUVABLE VIRBAC</v>
      </c>
      <c r="AZ398" t="str">
        <f>IF(COUNTIF(AY:AY,AY398)=1,AY398,IF(AND(COUNTIF(AY:AY,AY398)&gt;1,COUNTIF(AZ$2:AZ397,AY398)&gt;=1),"",AY398))</f>
        <v/>
      </c>
      <c r="BA398" t="str">
        <f>IF(AZ398="","",COUNTIFS(AZ$3:AZ$1439,"&lt;"&amp;AZ398,AZ$3:AZ$1439,"&lt;&gt;0")+COUNTIF(AZ$3:AZ398,AZ398)-876)</f>
        <v/>
      </c>
      <c r="BC398">
        <v>396</v>
      </c>
      <c r="BD398" t="str">
        <f t="shared" si="125"/>
        <v>POTENCIL</v>
      </c>
      <c r="BE398" t="str">
        <f t="shared" si="115"/>
        <v>INJ</v>
      </c>
      <c r="BF398" t="str">
        <f t="shared" si="116"/>
        <v>PENICILLINES</v>
      </c>
      <c r="BG398" t="str">
        <f t="shared" si="117"/>
        <v>POLYPEPTIDES</v>
      </c>
      <c r="BH398" t="str">
        <f t="shared" si="118"/>
        <v/>
      </c>
      <c r="BI398" t="str">
        <f t="shared" si="119"/>
        <v>amoxicillin</v>
      </c>
      <c r="BJ398" t="str">
        <f t="shared" si="120"/>
        <v>colistin</v>
      </c>
      <c r="BK398" t="str">
        <f t="shared" si="121"/>
        <v/>
      </c>
      <c r="BL398" t="str">
        <f t="shared" si="126"/>
        <v>Amoxicilline + Colistine</v>
      </c>
      <c r="BM398" t="str">
        <f t="shared" si="122"/>
        <v>Amoxicilline</v>
      </c>
      <c r="BN398" t="str">
        <f t="shared" si="123"/>
        <v>Colistine</v>
      </c>
      <c r="BO398" t="str">
        <f t="shared" si="124"/>
        <v/>
      </c>
      <c r="BP398" t="str">
        <f t="shared" si="127"/>
        <v>Penicillines + Polypeptides</v>
      </c>
      <c r="BQ398" t="str">
        <f t="shared" si="128"/>
        <v>Penicillines</v>
      </c>
      <c r="BR398" t="str">
        <f t="shared" si="129"/>
        <v>Polypeptides</v>
      </c>
      <c r="BS398" t="str">
        <f t="shared" si="130"/>
        <v/>
      </c>
      <c r="BT398" s="76" t="str">
        <f t="shared" si="131"/>
        <v>Voie parentérale</v>
      </c>
      <c r="BU398" t="str">
        <f t="shared" si="132"/>
        <v>x</v>
      </c>
      <c r="CN398">
        <v>397</v>
      </c>
    </row>
    <row r="399" spans="1:92" x14ac:dyDescent="0.3">
      <c r="A399" s="118" t="s">
        <v>2196</v>
      </c>
      <c r="B399" t="s">
        <v>2201</v>
      </c>
      <c r="C399" t="s">
        <v>1243</v>
      </c>
      <c r="D399" s="144" t="s">
        <v>955</v>
      </c>
      <c r="E399" t="s">
        <v>765</v>
      </c>
      <c r="F399" t="s">
        <v>301</v>
      </c>
      <c r="G399" t="s">
        <v>956</v>
      </c>
      <c r="H399" t="s">
        <v>1070</v>
      </c>
      <c r="I399" t="s">
        <v>817</v>
      </c>
      <c r="J399" t="s">
        <v>914</v>
      </c>
      <c r="K399" t="s">
        <v>914</v>
      </c>
      <c r="L399" t="s">
        <v>995</v>
      </c>
      <c r="M399" t="s">
        <v>996</v>
      </c>
      <c r="N399" t="s">
        <v>1501</v>
      </c>
      <c r="O399" t="s">
        <v>805</v>
      </c>
      <c r="P399" t="s">
        <v>4371</v>
      </c>
      <c r="Q399" t="s">
        <v>906</v>
      </c>
      <c r="R399">
        <v>5</v>
      </c>
      <c r="S399">
        <v>5</v>
      </c>
      <c r="T399">
        <v>0</v>
      </c>
      <c r="U399">
        <v>0</v>
      </c>
      <c r="V399">
        <v>0</v>
      </c>
      <c r="W399">
        <v>0</v>
      </c>
      <c r="X399">
        <v>0</v>
      </c>
      <c r="Y399">
        <v>0</v>
      </c>
      <c r="Z399">
        <v>0</v>
      </c>
      <c r="AA399">
        <v>0</v>
      </c>
      <c r="AB399">
        <v>5</v>
      </c>
      <c r="AC399">
        <v>5</v>
      </c>
      <c r="AD399">
        <v>5</v>
      </c>
      <c r="AE399">
        <v>5</v>
      </c>
      <c r="AF399">
        <v>3.75</v>
      </c>
      <c r="AG399">
        <v>5</v>
      </c>
      <c r="AH399">
        <v>0</v>
      </c>
      <c r="AI399">
        <v>0</v>
      </c>
      <c r="AY399" t="str">
        <f t="shared" si="114"/>
        <v>COLISTINE SULFATE 2 000 000 UI/ML BUVABLE VIRBAC</v>
      </c>
      <c r="AZ399" t="str">
        <f>IF(COUNTIF(AY:AY,AY399)=1,AY399,IF(AND(COUNTIF(AY:AY,AY399)&gt;1,COUNTIF(AZ$2:AZ398,AY399)&gt;=1),"",AY399))</f>
        <v/>
      </c>
      <c r="BA399" t="str">
        <f>IF(AZ399="","",COUNTIFS(AZ$3:AZ$1439,"&lt;"&amp;AZ399,AZ$3:AZ$1439,"&lt;&gt;0")+COUNTIF(AZ$3:AZ399,AZ399)-876)</f>
        <v/>
      </c>
      <c r="BC399">
        <v>397</v>
      </c>
      <c r="BD399" t="str">
        <f t="shared" si="125"/>
        <v>PREDNIDERM</v>
      </c>
      <c r="BE399" t="str">
        <f t="shared" si="115"/>
        <v>EXTERNE</v>
      </c>
      <c r="BF399" t="str">
        <f t="shared" si="116"/>
        <v>AMINOGLYCOSIDES</v>
      </c>
      <c r="BG399" t="str">
        <f t="shared" si="117"/>
        <v/>
      </c>
      <c r="BH399" t="str">
        <f t="shared" si="118"/>
        <v/>
      </c>
      <c r="BI399" t="str">
        <f t="shared" si="119"/>
        <v>neomycin</v>
      </c>
      <c r="BJ399" t="str">
        <f t="shared" si="120"/>
        <v/>
      </c>
      <c r="BK399" t="str">
        <f t="shared" si="121"/>
        <v/>
      </c>
      <c r="BL399" t="str">
        <f t="shared" si="126"/>
        <v>Néomycine</v>
      </c>
      <c r="BM399" t="str">
        <f t="shared" si="122"/>
        <v>Néomycine</v>
      </c>
      <c r="BN399" t="str">
        <f t="shared" si="123"/>
        <v/>
      </c>
      <c r="BO399" t="str">
        <f t="shared" si="124"/>
        <v/>
      </c>
      <c r="BP399" t="str">
        <f t="shared" si="127"/>
        <v>Aminoglycosides</v>
      </c>
      <c r="BQ399" t="str">
        <f t="shared" si="128"/>
        <v>Aminoglycosides</v>
      </c>
      <c r="BR399" t="str">
        <f t="shared" si="129"/>
        <v/>
      </c>
      <c r="BS399" t="str">
        <f t="shared" si="130"/>
        <v/>
      </c>
      <c r="BT399" s="76" t="str">
        <f t="shared" si="131"/>
        <v>Voie externe</v>
      </c>
      <c r="BU399" t="str">
        <f t="shared" si="132"/>
        <v/>
      </c>
      <c r="CN399">
        <v>398</v>
      </c>
    </row>
    <row r="400" spans="1:92" x14ac:dyDescent="0.3">
      <c r="A400" s="118" t="s">
        <v>2196</v>
      </c>
      <c r="B400" t="s">
        <v>2202</v>
      </c>
      <c r="C400" t="s">
        <v>943</v>
      </c>
      <c r="D400" s="144" t="s">
        <v>764</v>
      </c>
      <c r="E400" t="s">
        <v>765</v>
      </c>
      <c r="F400" t="s">
        <v>301</v>
      </c>
      <c r="G400" t="s">
        <v>956</v>
      </c>
      <c r="H400" t="s">
        <v>1070</v>
      </c>
      <c r="I400" t="s">
        <v>817</v>
      </c>
      <c r="J400" t="s">
        <v>914</v>
      </c>
      <c r="K400" t="s">
        <v>914</v>
      </c>
      <c r="L400" t="s">
        <v>995</v>
      </c>
      <c r="M400" t="s">
        <v>996</v>
      </c>
      <c r="N400" t="s">
        <v>1501</v>
      </c>
      <c r="O400" t="s">
        <v>805</v>
      </c>
      <c r="P400" t="s">
        <v>4371</v>
      </c>
      <c r="Q400" t="s">
        <v>852</v>
      </c>
      <c r="R400">
        <v>5</v>
      </c>
      <c r="S400">
        <v>5</v>
      </c>
      <c r="T400">
        <v>0</v>
      </c>
      <c r="U400">
        <v>0</v>
      </c>
      <c r="V400">
        <v>0</v>
      </c>
      <c r="W400">
        <v>0</v>
      </c>
      <c r="X400">
        <v>0</v>
      </c>
      <c r="Y400">
        <v>0</v>
      </c>
      <c r="Z400">
        <v>0</v>
      </c>
      <c r="AA400">
        <v>0</v>
      </c>
      <c r="AB400">
        <v>5</v>
      </c>
      <c r="AC400">
        <v>5</v>
      </c>
      <c r="AD400">
        <v>5</v>
      </c>
      <c r="AE400">
        <v>5</v>
      </c>
      <c r="AF400">
        <v>3.75</v>
      </c>
      <c r="AG400">
        <v>5</v>
      </c>
      <c r="AH400">
        <v>0</v>
      </c>
      <c r="AI400">
        <v>0</v>
      </c>
      <c r="AY400" t="str">
        <f t="shared" si="114"/>
        <v>COLISTINE SULFATE 2 000 000 UI/ML BUVABLE VIRBAC</v>
      </c>
      <c r="AZ400" t="str">
        <f>IF(COUNTIF(AY:AY,AY400)=1,AY400,IF(AND(COUNTIF(AY:AY,AY400)&gt;1,COUNTIF(AZ$2:AZ399,AY400)&gt;=1),"",AY400))</f>
        <v/>
      </c>
      <c r="BA400" t="str">
        <f>IF(AZ400="","",COUNTIFS(AZ$3:AZ$1439,"&lt;"&amp;AZ400,AZ$3:AZ$1439,"&lt;&gt;0")+COUNTIF(AZ$3:AZ400,AZ400)-876)</f>
        <v/>
      </c>
      <c r="BC400">
        <v>398</v>
      </c>
      <c r="BD400" t="str">
        <f t="shared" si="125"/>
        <v>PREMELANGE MEDICAMENTEUX CS FRANVET</v>
      </c>
      <c r="BE400" t="str">
        <f t="shared" si="115"/>
        <v>PM</v>
      </c>
      <c r="BF400" t="str">
        <f t="shared" si="116"/>
        <v>SULFAMIDES</v>
      </c>
      <c r="BG400" t="str">
        <f t="shared" si="117"/>
        <v>POLYPEPTIDES</v>
      </c>
      <c r="BH400" t="str">
        <f t="shared" si="118"/>
        <v/>
      </c>
      <c r="BI400" t="str">
        <f t="shared" si="119"/>
        <v>sulfadimethoxine</v>
      </c>
      <c r="BJ400" t="str">
        <f t="shared" si="120"/>
        <v>colistin</v>
      </c>
      <c r="BK400" t="str">
        <f t="shared" si="121"/>
        <v/>
      </c>
      <c r="BL400" t="str">
        <f t="shared" si="126"/>
        <v>Sulfadiméthoxine + Colistine</v>
      </c>
      <c r="BM400" t="str">
        <f t="shared" si="122"/>
        <v>Sulfadiméthoxine</v>
      </c>
      <c r="BN400" t="str">
        <f t="shared" si="123"/>
        <v>Colistine</v>
      </c>
      <c r="BO400" t="str">
        <f t="shared" si="124"/>
        <v/>
      </c>
      <c r="BP400" t="str">
        <f t="shared" si="127"/>
        <v>Sulfamides + Polypeptides</v>
      </c>
      <c r="BQ400" t="str">
        <f t="shared" si="128"/>
        <v>Sulfamides</v>
      </c>
      <c r="BR400" t="str">
        <f t="shared" si="129"/>
        <v>Polypeptides</v>
      </c>
      <c r="BS400" t="str">
        <f t="shared" si="130"/>
        <v/>
      </c>
      <c r="BT400" s="76" t="str">
        <f t="shared" si="131"/>
        <v>Prémélanges médicamenteux</v>
      </c>
      <c r="BU400" t="str">
        <f t="shared" si="132"/>
        <v>x</v>
      </c>
      <c r="CN400">
        <v>399</v>
      </c>
    </row>
    <row r="401" spans="1:92" x14ac:dyDescent="0.3">
      <c r="A401" s="118" t="s">
        <v>2196</v>
      </c>
      <c r="B401" t="s">
        <v>2203</v>
      </c>
      <c r="C401" t="s">
        <v>1167</v>
      </c>
      <c r="D401" s="144" t="s">
        <v>906</v>
      </c>
      <c r="E401" t="s">
        <v>765</v>
      </c>
      <c r="F401" t="s">
        <v>301</v>
      </c>
      <c r="G401" t="s">
        <v>956</v>
      </c>
      <c r="H401" t="s">
        <v>1070</v>
      </c>
      <c r="I401" t="s">
        <v>817</v>
      </c>
      <c r="J401" t="s">
        <v>914</v>
      </c>
      <c r="K401" t="s">
        <v>914</v>
      </c>
      <c r="L401" t="s">
        <v>995</v>
      </c>
      <c r="M401" t="s">
        <v>996</v>
      </c>
      <c r="N401" t="s">
        <v>1501</v>
      </c>
      <c r="O401" t="s">
        <v>805</v>
      </c>
      <c r="P401" t="s">
        <v>4371</v>
      </c>
      <c r="Q401" t="s">
        <v>780</v>
      </c>
      <c r="R401">
        <v>5</v>
      </c>
      <c r="S401">
        <v>5</v>
      </c>
      <c r="T401">
        <v>0</v>
      </c>
      <c r="U401">
        <v>0</v>
      </c>
      <c r="V401">
        <v>0</v>
      </c>
      <c r="W401">
        <v>0</v>
      </c>
      <c r="X401">
        <v>0</v>
      </c>
      <c r="Y401">
        <v>0</v>
      </c>
      <c r="Z401">
        <v>0</v>
      </c>
      <c r="AA401">
        <v>0</v>
      </c>
      <c r="AB401">
        <v>5</v>
      </c>
      <c r="AC401">
        <v>5</v>
      </c>
      <c r="AD401">
        <v>5</v>
      </c>
      <c r="AE401">
        <v>5</v>
      </c>
      <c r="AF401">
        <v>3.75</v>
      </c>
      <c r="AG401">
        <v>5</v>
      </c>
      <c r="AH401">
        <v>0</v>
      </c>
      <c r="AI401">
        <v>0</v>
      </c>
      <c r="AY401" t="str">
        <f t="shared" si="114"/>
        <v>COLISTINE SULFATE 2 000 000 UI/ML BUVABLE VIRBAC</v>
      </c>
      <c r="AZ401" t="str">
        <f>IF(COUNTIF(AY:AY,AY401)=1,AY401,IF(AND(COUNTIF(AY:AY,AY401)&gt;1,COUNTIF(AZ$2:AZ400,AY401)&gt;=1),"",AY401))</f>
        <v/>
      </c>
      <c r="BA401" t="str">
        <f>IF(AZ401="","",COUNTIFS(AZ$3:AZ$1439,"&lt;"&amp;AZ401,AZ$3:AZ$1439,"&lt;&gt;0")+COUNTIF(AZ$3:AZ401,AZ401)-876)</f>
        <v/>
      </c>
      <c r="BC401">
        <v>399</v>
      </c>
      <c r="BD401" t="str">
        <f t="shared" si="125"/>
        <v>PREMELANGE MEDICAMENTEUX Z 27</v>
      </c>
      <c r="BE401" t="str">
        <f t="shared" si="115"/>
        <v>PM</v>
      </c>
      <c r="BF401" t="str">
        <f t="shared" si="116"/>
        <v>SULFAMIDES</v>
      </c>
      <c r="BG401" t="str">
        <f t="shared" si="117"/>
        <v>TETRACYCLINES</v>
      </c>
      <c r="BH401" t="str">
        <f t="shared" si="118"/>
        <v/>
      </c>
      <c r="BI401" t="str">
        <f t="shared" si="119"/>
        <v>sulfadimidine</v>
      </c>
      <c r="BJ401" t="str">
        <f t="shared" si="120"/>
        <v>oxytetracycline</v>
      </c>
      <c r="BK401" t="str">
        <f t="shared" si="121"/>
        <v/>
      </c>
      <c r="BL401" t="str">
        <f t="shared" si="126"/>
        <v>Sulfadimidine + Oxytétracycline</v>
      </c>
      <c r="BM401" t="str">
        <f t="shared" si="122"/>
        <v>Sulfadimidine</v>
      </c>
      <c r="BN401" t="str">
        <f t="shared" si="123"/>
        <v>Oxytétracycline</v>
      </c>
      <c r="BO401" t="str">
        <f t="shared" si="124"/>
        <v/>
      </c>
      <c r="BP401" t="str">
        <f t="shared" si="127"/>
        <v>Sulfamides + Tetracyclines</v>
      </c>
      <c r="BQ401" t="str">
        <f t="shared" si="128"/>
        <v>Sulfamides</v>
      </c>
      <c r="BR401" t="str">
        <f t="shared" si="129"/>
        <v>Tetracyclines</v>
      </c>
      <c r="BS401" t="str">
        <f t="shared" si="130"/>
        <v/>
      </c>
      <c r="BT401" s="76" t="str">
        <f t="shared" si="131"/>
        <v>Prémélanges médicamenteux</v>
      </c>
      <c r="BU401" t="str">
        <f t="shared" si="132"/>
        <v/>
      </c>
      <c r="CN401">
        <v>400</v>
      </c>
    </row>
    <row r="402" spans="1:92" x14ac:dyDescent="0.3">
      <c r="A402" s="118" t="s">
        <v>1770</v>
      </c>
      <c r="B402" t="s">
        <v>1771</v>
      </c>
      <c r="C402" t="s">
        <v>1601</v>
      </c>
      <c r="D402" s="144" t="s">
        <v>829</v>
      </c>
      <c r="E402" t="s">
        <v>830</v>
      </c>
      <c r="F402" t="s">
        <v>627</v>
      </c>
      <c r="G402" t="s">
        <v>831</v>
      </c>
      <c r="H402" t="s">
        <v>1577</v>
      </c>
      <c r="I402" t="s">
        <v>817</v>
      </c>
      <c r="J402" t="s">
        <v>1772</v>
      </c>
      <c r="K402" t="s">
        <v>930</v>
      </c>
      <c r="L402" t="s">
        <v>931</v>
      </c>
      <c r="M402" t="s">
        <v>208</v>
      </c>
      <c r="N402" t="s">
        <v>1773</v>
      </c>
      <c r="O402" t="s">
        <v>894</v>
      </c>
      <c r="P402" t="s">
        <v>772</v>
      </c>
      <c r="Q402" t="s">
        <v>1773</v>
      </c>
      <c r="R402">
        <v>10</v>
      </c>
      <c r="S402">
        <v>3</v>
      </c>
      <c r="T402">
        <v>0</v>
      </c>
      <c r="U402">
        <v>0</v>
      </c>
      <c r="V402">
        <v>0</v>
      </c>
      <c r="W402">
        <v>0</v>
      </c>
      <c r="X402">
        <v>0</v>
      </c>
      <c r="Y402">
        <v>0</v>
      </c>
      <c r="Z402">
        <v>10</v>
      </c>
      <c r="AA402">
        <v>3</v>
      </c>
      <c r="AB402">
        <v>10</v>
      </c>
      <c r="AC402">
        <v>3</v>
      </c>
      <c r="AD402">
        <v>10</v>
      </c>
      <c r="AE402">
        <v>3</v>
      </c>
      <c r="AF402">
        <v>7.5</v>
      </c>
      <c r="AG402">
        <v>3</v>
      </c>
      <c r="AH402">
        <v>0</v>
      </c>
      <c r="AI402">
        <v>0</v>
      </c>
      <c r="AJ402" t="s">
        <v>914</v>
      </c>
      <c r="AK402" t="s">
        <v>995</v>
      </c>
      <c r="AL402" t="s">
        <v>996</v>
      </c>
      <c r="AM402" t="s">
        <v>1016</v>
      </c>
      <c r="AN402" t="s">
        <v>834</v>
      </c>
      <c r="AO402" t="s">
        <v>4371</v>
      </c>
      <c r="AP402" t="s">
        <v>855</v>
      </c>
      <c r="AY402" t="str">
        <f t="shared" si="114"/>
        <v>COLISULTRIX POUDRE</v>
      </c>
      <c r="AZ402" t="str">
        <f>IF(COUNTIF(AY:AY,AY402)=1,AY402,IF(AND(COUNTIF(AY:AY,AY402)&gt;1,COUNTIF(AZ$2:AZ401,AY402)&gt;=1),"",AY402))</f>
        <v>COLISULTRIX POUDRE</v>
      </c>
      <c r="BA402">
        <f>IF(AZ402="","",COUNTIFS(AZ$3:AZ$1439,"&lt;"&amp;AZ402,AZ$3:AZ$1439,"&lt;&gt;0")+COUNTIF(AZ$3:AZ402,AZ402)-876)</f>
        <v>144</v>
      </c>
      <c r="BC402">
        <v>400</v>
      </c>
      <c r="BD402" t="str">
        <f t="shared" si="125"/>
        <v>PREMELANGE MEDICAMENTEUX Z 29</v>
      </c>
      <c r="BE402" t="str">
        <f t="shared" si="115"/>
        <v>PM</v>
      </c>
      <c r="BF402" t="str">
        <f t="shared" si="116"/>
        <v>SULFAMIDES</v>
      </c>
      <c r="BG402" t="str">
        <f t="shared" si="117"/>
        <v>TETRACYCLINES</v>
      </c>
      <c r="BH402" t="str">
        <f t="shared" si="118"/>
        <v/>
      </c>
      <c r="BI402" t="str">
        <f t="shared" si="119"/>
        <v>sulfadimethoxine</v>
      </c>
      <c r="BJ402" t="str">
        <f t="shared" si="120"/>
        <v>oxytetracycline</v>
      </c>
      <c r="BK402" t="str">
        <f t="shared" si="121"/>
        <v/>
      </c>
      <c r="BL402" t="str">
        <f t="shared" si="126"/>
        <v>Sulfadiméthoxine + Oxytétracycline</v>
      </c>
      <c r="BM402" t="str">
        <f t="shared" si="122"/>
        <v>Sulfadiméthoxine</v>
      </c>
      <c r="BN402" t="str">
        <f t="shared" si="123"/>
        <v>Oxytétracycline</v>
      </c>
      <c r="BO402" t="str">
        <f t="shared" si="124"/>
        <v/>
      </c>
      <c r="BP402" t="str">
        <f t="shared" si="127"/>
        <v>Sulfamides + Tetracyclines</v>
      </c>
      <c r="BQ402" t="str">
        <f t="shared" si="128"/>
        <v>Sulfamides</v>
      </c>
      <c r="BR402" t="str">
        <f t="shared" si="129"/>
        <v>Tetracyclines</v>
      </c>
      <c r="BS402" t="str">
        <f t="shared" si="130"/>
        <v/>
      </c>
      <c r="BT402" s="76" t="str">
        <f t="shared" si="131"/>
        <v>Prémélanges médicamenteux</v>
      </c>
      <c r="BU402" t="str">
        <f t="shared" si="132"/>
        <v/>
      </c>
      <c r="CN402">
        <v>401</v>
      </c>
    </row>
    <row r="403" spans="1:92" x14ac:dyDescent="0.3">
      <c r="A403" s="118" t="s">
        <v>1770</v>
      </c>
      <c r="B403" t="s">
        <v>1774</v>
      </c>
      <c r="C403" t="s">
        <v>1769</v>
      </c>
      <c r="D403" s="144" t="s">
        <v>955</v>
      </c>
      <c r="E403" t="s">
        <v>830</v>
      </c>
      <c r="F403" t="s">
        <v>627</v>
      </c>
      <c r="G403" t="s">
        <v>831</v>
      </c>
      <c r="H403" t="s">
        <v>1577</v>
      </c>
      <c r="I403" t="s">
        <v>817</v>
      </c>
      <c r="J403" t="s">
        <v>1772</v>
      </c>
      <c r="K403" t="s">
        <v>930</v>
      </c>
      <c r="L403" t="s">
        <v>931</v>
      </c>
      <c r="M403" t="s">
        <v>208</v>
      </c>
      <c r="N403" t="s">
        <v>1773</v>
      </c>
      <c r="O403" t="s">
        <v>894</v>
      </c>
      <c r="P403" t="s">
        <v>772</v>
      </c>
      <c r="Q403" t="s">
        <v>1775</v>
      </c>
      <c r="R403">
        <v>10</v>
      </c>
      <c r="S403">
        <v>3</v>
      </c>
      <c r="T403">
        <v>0</v>
      </c>
      <c r="U403">
        <v>0</v>
      </c>
      <c r="V403">
        <v>0</v>
      </c>
      <c r="W403">
        <v>0</v>
      </c>
      <c r="X403">
        <v>0</v>
      </c>
      <c r="Y403">
        <v>0</v>
      </c>
      <c r="Z403">
        <v>10</v>
      </c>
      <c r="AA403">
        <v>3</v>
      </c>
      <c r="AB403">
        <v>10</v>
      </c>
      <c r="AC403">
        <v>3</v>
      </c>
      <c r="AD403">
        <v>10</v>
      </c>
      <c r="AE403">
        <v>3</v>
      </c>
      <c r="AF403">
        <v>7.5</v>
      </c>
      <c r="AG403">
        <v>3</v>
      </c>
      <c r="AH403">
        <v>0</v>
      </c>
      <c r="AI403">
        <v>0</v>
      </c>
      <c r="AJ403" t="s">
        <v>914</v>
      </c>
      <c r="AK403" t="s">
        <v>995</v>
      </c>
      <c r="AL403" t="s">
        <v>996</v>
      </c>
      <c r="AM403" t="s">
        <v>1016</v>
      </c>
      <c r="AN403" t="s">
        <v>834</v>
      </c>
      <c r="AO403" t="s">
        <v>4371</v>
      </c>
      <c r="AP403" t="s">
        <v>1125</v>
      </c>
      <c r="AY403" t="str">
        <f t="shared" si="114"/>
        <v>COLISULTRIX POUDRE</v>
      </c>
      <c r="AZ403" t="str">
        <f>IF(COUNTIF(AY:AY,AY403)=1,AY403,IF(AND(COUNTIF(AY:AY,AY403)&gt;1,COUNTIF(AZ$2:AZ402,AY403)&gt;=1),"",AY403))</f>
        <v/>
      </c>
      <c r="BA403" t="str">
        <f>IF(AZ403="","",COUNTIFS(AZ$3:AZ$1439,"&lt;"&amp;AZ403,AZ$3:AZ$1439,"&lt;&gt;0")+COUNTIF(AZ$3:AZ403,AZ403)-876)</f>
        <v/>
      </c>
      <c r="BC403">
        <v>401</v>
      </c>
      <c r="BD403" t="str">
        <f t="shared" si="125"/>
        <v>PREMELANGE MEDICAMENTEUX Z 30</v>
      </c>
      <c r="BE403" t="str">
        <f t="shared" si="115"/>
        <v>PM</v>
      </c>
      <c r="BF403" t="str">
        <f t="shared" si="116"/>
        <v>SULFAMIDES</v>
      </c>
      <c r="BG403" t="str">
        <f t="shared" si="117"/>
        <v>TRIMETHOPRIME</v>
      </c>
      <c r="BH403" t="str">
        <f t="shared" si="118"/>
        <v/>
      </c>
      <c r="BI403" t="str">
        <f t="shared" si="119"/>
        <v>sulfadiazine</v>
      </c>
      <c r="BJ403" t="str">
        <f t="shared" si="120"/>
        <v>trimethoprim</v>
      </c>
      <c r="BK403" t="str">
        <f t="shared" si="121"/>
        <v/>
      </c>
      <c r="BL403" t="str">
        <f t="shared" si="126"/>
        <v>Sulfadiazine + Triméthoprime</v>
      </c>
      <c r="BM403" t="str">
        <f t="shared" si="122"/>
        <v>Sulfadiazine</v>
      </c>
      <c r="BN403" t="str">
        <f t="shared" si="123"/>
        <v>Triméthoprime</v>
      </c>
      <c r="BO403" t="str">
        <f t="shared" si="124"/>
        <v/>
      </c>
      <c r="BP403" t="str">
        <f t="shared" si="127"/>
        <v>Sulfamides + Trimethoprime</v>
      </c>
      <c r="BQ403" t="str">
        <f t="shared" si="128"/>
        <v>Sulfamides</v>
      </c>
      <c r="BR403" t="str">
        <f t="shared" si="129"/>
        <v>Trimethoprime</v>
      </c>
      <c r="BS403" t="str">
        <f t="shared" si="130"/>
        <v/>
      </c>
      <c r="BT403" s="76" t="str">
        <f t="shared" si="131"/>
        <v>Prémélanges médicamenteux</v>
      </c>
      <c r="BU403" t="str">
        <f t="shared" si="132"/>
        <v/>
      </c>
      <c r="CN403">
        <v>402</v>
      </c>
    </row>
    <row r="404" spans="1:92" x14ac:dyDescent="0.3">
      <c r="A404" s="118" t="s">
        <v>1770</v>
      </c>
      <c r="B404" t="s">
        <v>1776</v>
      </c>
      <c r="C404" t="s">
        <v>1777</v>
      </c>
      <c r="D404" s="144" t="s">
        <v>829</v>
      </c>
      <c r="E404" t="s">
        <v>830</v>
      </c>
      <c r="F404" t="s">
        <v>627</v>
      </c>
      <c r="G404" t="s">
        <v>831</v>
      </c>
      <c r="H404" t="s">
        <v>1577</v>
      </c>
      <c r="I404" t="s">
        <v>817</v>
      </c>
      <c r="J404" t="s">
        <v>1772</v>
      </c>
      <c r="K404" t="s">
        <v>930</v>
      </c>
      <c r="L404" t="s">
        <v>931</v>
      </c>
      <c r="M404" t="s">
        <v>208</v>
      </c>
      <c r="N404" t="s">
        <v>1773</v>
      </c>
      <c r="O404" t="s">
        <v>894</v>
      </c>
      <c r="P404" t="s">
        <v>772</v>
      </c>
      <c r="Q404" t="s">
        <v>1773</v>
      </c>
      <c r="R404">
        <v>10</v>
      </c>
      <c r="S404">
        <v>3</v>
      </c>
      <c r="T404">
        <v>0</v>
      </c>
      <c r="U404">
        <v>0</v>
      </c>
      <c r="V404">
        <v>0</v>
      </c>
      <c r="W404">
        <v>0</v>
      </c>
      <c r="X404">
        <v>0</v>
      </c>
      <c r="Y404">
        <v>0</v>
      </c>
      <c r="Z404">
        <v>10</v>
      </c>
      <c r="AA404">
        <v>3</v>
      </c>
      <c r="AB404">
        <v>10</v>
      </c>
      <c r="AC404">
        <v>3</v>
      </c>
      <c r="AD404">
        <v>10</v>
      </c>
      <c r="AE404">
        <v>3</v>
      </c>
      <c r="AF404">
        <v>7.5</v>
      </c>
      <c r="AG404">
        <v>3</v>
      </c>
      <c r="AH404">
        <v>0</v>
      </c>
      <c r="AI404">
        <v>0</v>
      </c>
      <c r="AJ404" t="s">
        <v>914</v>
      </c>
      <c r="AK404" t="s">
        <v>995</v>
      </c>
      <c r="AL404" t="s">
        <v>996</v>
      </c>
      <c r="AM404" t="s">
        <v>1016</v>
      </c>
      <c r="AN404" t="s">
        <v>834</v>
      </c>
      <c r="AO404" t="s">
        <v>4371</v>
      </c>
      <c r="AP404" t="s">
        <v>855</v>
      </c>
      <c r="AY404" t="str">
        <f t="shared" si="114"/>
        <v>COLISULTRIX POUDRE</v>
      </c>
      <c r="AZ404" t="str">
        <f>IF(COUNTIF(AY:AY,AY404)=1,AY404,IF(AND(COUNTIF(AY:AY,AY404)&gt;1,COUNTIF(AZ$2:AZ403,AY404)&gt;=1),"",AY404))</f>
        <v/>
      </c>
      <c r="BA404" t="str">
        <f>IF(AZ404="","",COUNTIFS(AZ$3:AZ$1439,"&lt;"&amp;AZ404,AZ$3:AZ$1439,"&lt;&gt;0")+COUNTIF(AZ$3:AZ404,AZ404)-876)</f>
        <v/>
      </c>
      <c r="BC404">
        <v>402</v>
      </c>
      <c r="BD404" t="str">
        <f t="shared" si="125"/>
        <v>PRIMOX</v>
      </c>
      <c r="BE404" t="str">
        <f t="shared" si="115"/>
        <v>ORAL</v>
      </c>
      <c r="BF404" t="str">
        <f t="shared" si="116"/>
        <v>TETRACYCLINES</v>
      </c>
      <c r="BG404" t="str">
        <f t="shared" si="117"/>
        <v/>
      </c>
      <c r="BH404" t="str">
        <f t="shared" si="118"/>
        <v/>
      </c>
      <c r="BI404" t="str">
        <f t="shared" si="119"/>
        <v>oxytetracycline</v>
      </c>
      <c r="BJ404" t="str">
        <f t="shared" si="120"/>
        <v/>
      </c>
      <c r="BK404" t="str">
        <f t="shared" si="121"/>
        <v/>
      </c>
      <c r="BL404" t="str">
        <f t="shared" si="126"/>
        <v>Oxytétracycline</v>
      </c>
      <c r="BM404" t="str">
        <f t="shared" si="122"/>
        <v>Oxytétracycline</v>
      </c>
      <c r="BN404" t="str">
        <f t="shared" si="123"/>
        <v/>
      </c>
      <c r="BO404" t="str">
        <f t="shared" si="124"/>
        <v/>
      </c>
      <c r="BP404" t="str">
        <f t="shared" si="127"/>
        <v>Tetracyclines</v>
      </c>
      <c r="BQ404" t="str">
        <f t="shared" si="128"/>
        <v>Tetracyclines</v>
      </c>
      <c r="BR404" t="str">
        <f t="shared" si="129"/>
        <v/>
      </c>
      <c r="BS404" t="str">
        <f t="shared" si="130"/>
        <v/>
      </c>
      <c r="BT404" s="76" t="str">
        <f t="shared" si="131"/>
        <v>Voie orale  hors prémélanges médicamenteux</v>
      </c>
      <c r="BU404" t="str">
        <f t="shared" si="132"/>
        <v/>
      </c>
      <c r="CN404">
        <v>403</v>
      </c>
    </row>
    <row r="405" spans="1:92" x14ac:dyDescent="0.3">
      <c r="A405" s="118" t="s">
        <v>2261</v>
      </c>
      <c r="B405" t="s">
        <v>2262</v>
      </c>
      <c r="C405" t="s">
        <v>2263</v>
      </c>
      <c r="D405" s="144" t="s">
        <v>1536</v>
      </c>
      <c r="E405" t="s">
        <v>830</v>
      </c>
      <c r="F405" t="s">
        <v>80</v>
      </c>
      <c r="G405" t="s">
        <v>831</v>
      </c>
      <c r="H405" t="s">
        <v>832</v>
      </c>
      <c r="I405" t="s">
        <v>817</v>
      </c>
      <c r="J405" t="s">
        <v>914</v>
      </c>
      <c r="K405" t="s">
        <v>914</v>
      </c>
      <c r="L405" t="s">
        <v>995</v>
      </c>
      <c r="M405" t="s">
        <v>996</v>
      </c>
      <c r="N405" t="s">
        <v>1117</v>
      </c>
      <c r="O405" t="s">
        <v>834</v>
      </c>
      <c r="P405" t="s">
        <v>4371</v>
      </c>
      <c r="Q405" t="s">
        <v>2161</v>
      </c>
      <c r="R405">
        <v>5</v>
      </c>
      <c r="S405">
        <v>3</v>
      </c>
      <c r="T405">
        <v>0</v>
      </c>
      <c r="U405">
        <v>0</v>
      </c>
      <c r="V405">
        <v>0</v>
      </c>
      <c r="W405">
        <v>0</v>
      </c>
      <c r="X405">
        <v>0</v>
      </c>
      <c r="Y405">
        <v>0</v>
      </c>
      <c r="Z405">
        <v>0</v>
      </c>
      <c r="AA405">
        <v>0</v>
      </c>
      <c r="AB405">
        <v>0</v>
      </c>
      <c r="AC405">
        <v>0</v>
      </c>
      <c r="AD405">
        <v>5</v>
      </c>
      <c r="AE405">
        <v>3</v>
      </c>
      <c r="AF405">
        <v>3.75</v>
      </c>
      <c r="AG405">
        <v>3</v>
      </c>
      <c r="AH405">
        <v>0</v>
      </c>
      <c r="AI405">
        <v>0</v>
      </c>
      <c r="AY405" t="str">
        <f t="shared" si="114"/>
        <v>COLIVET</v>
      </c>
      <c r="AZ405" t="str">
        <f>IF(COUNTIF(AY:AY,AY405)=1,AY405,IF(AND(COUNTIF(AY:AY,AY405)&gt;1,COUNTIF(AZ$2:AZ404,AY405)&gt;=1),"",AY405))</f>
        <v>COLIVET</v>
      </c>
      <c r="BA405">
        <f>IF(AZ405="","",COUNTIFS(AZ$3:AZ$1439,"&lt;"&amp;AZ405,AZ$3:AZ$1439,"&lt;&gt;0")+COUNTIF(AZ$3:AZ405,AZ405)-876)</f>
        <v>145</v>
      </c>
      <c r="BC405">
        <v>403</v>
      </c>
      <c r="BD405" t="str">
        <f t="shared" si="125"/>
        <v>PROCACTIVE SUSPENSION INJECTABLE POUR BOVINS ET PORCINS</v>
      </c>
      <c r="BE405" t="str">
        <f t="shared" si="115"/>
        <v>INJ</v>
      </c>
      <c r="BF405" t="str">
        <f t="shared" si="116"/>
        <v>PENICILLINES</v>
      </c>
      <c r="BG405" t="str">
        <f t="shared" si="117"/>
        <v/>
      </c>
      <c r="BH405" t="str">
        <f t="shared" si="118"/>
        <v/>
      </c>
      <c r="BI405" t="str">
        <f t="shared" si="119"/>
        <v>benzylpenicillin</v>
      </c>
      <c r="BJ405" t="str">
        <f t="shared" si="120"/>
        <v/>
      </c>
      <c r="BK405" t="str">
        <f t="shared" si="121"/>
        <v/>
      </c>
      <c r="BL405" t="str">
        <f t="shared" si="126"/>
        <v>Benzylpénicilline</v>
      </c>
      <c r="BM405" t="str">
        <f t="shared" si="122"/>
        <v>Benzylpénicilline</v>
      </c>
      <c r="BN405" t="str">
        <f t="shared" si="123"/>
        <v/>
      </c>
      <c r="BO405" t="str">
        <f t="shared" si="124"/>
        <v/>
      </c>
      <c r="BP405" t="str">
        <f t="shared" si="127"/>
        <v>Penicillines</v>
      </c>
      <c r="BQ405" t="str">
        <f t="shared" si="128"/>
        <v>Penicillines</v>
      </c>
      <c r="BR405" t="str">
        <f t="shared" si="129"/>
        <v/>
      </c>
      <c r="BS405" t="str">
        <f t="shared" si="130"/>
        <v/>
      </c>
      <c r="BT405" s="76" t="str">
        <f t="shared" si="131"/>
        <v>Voie parentérale</v>
      </c>
      <c r="BU405" t="str">
        <f t="shared" si="132"/>
        <v/>
      </c>
      <c r="CN405">
        <v>404</v>
      </c>
    </row>
    <row r="406" spans="1:92" x14ac:dyDescent="0.3">
      <c r="A406" s="118" t="s">
        <v>2261</v>
      </c>
      <c r="B406" t="s">
        <v>2264</v>
      </c>
      <c r="C406" t="s">
        <v>1835</v>
      </c>
      <c r="D406" s="144" t="s">
        <v>829</v>
      </c>
      <c r="E406" t="s">
        <v>830</v>
      </c>
      <c r="F406" t="s">
        <v>80</v>
      </c>
      <c r="G406" t="s">
        <v>831</v>
      </c>
      <c r="H406" t="s">
        <v>832</v>
      </c>
      <c r="I406" t="s">
        <v>817</v>
      </c>
      <c r="J406" t="s">
        <v>914</v>
      </c>
      <c r="K406" t="s">
        <v>914</v>
      </c>
      <c r="L406" t="s">
        <v>995</v>
      </c>
      <c r="M406" t="s">
        <v>996</v>
      </c>
      <c r="N406" t="s">
        <v>1117</v>
      </c>
      <c r="O406" t="s">
        <v>834</v>
      </c>
      <c r="P406" t="s">
        <v>4371</v>
      </c>
      <c r="Q406" t="s">
        <v>1047</v>
      </c>
      <c r="R406">
        <v>5</v>
      </c>
      <c r="S406">
        <v>3</v>
      </c>
      <c r="T406">
        <v>0</v>
      </c>
      <c r="U406">
        <v>0</v>
      </c>
      <c r="V406">
        <v>0</v>
      </c>
      <c r="W406">
        <v>0</v>
      </c>
      <c r="X406">
        <v>0</v>
      </c>
      <c r="Y406">
        <v>0</v>
      </c>
      <c r="Z406">
        <v>0</v>
      </c>
      <c r="AA406">
        <v>0</v>
      </c>
      <c r="AB406">
        <v>0</v>
      </c>
      <c r="AC406">
        <v>0</v>
      </c>
      <c r="AD406">
        <v>5</v>
      </c>
      <c r="AE406">
        <v>3</v>
      </c>
      <c r="AF406">
        <v>3.75</v>
      </c>
      <c r="AG406">
        <v>3</v>
      </c>
      <c r="AH406">
        <v>0</v>
      </c>
      <c r="AI406">
        <v>0</v>
      </c>
      <c r="AY406" t="str">
        <f t="shared" si="114"/>
        <v>COLIVET</v>
      </c>
      <c r="AZ406" t="str">
        <f>IF(COUNTIF(AY:AY,AY406)=1,AY406,IF(AND(COUNTIF(AY:AY,AY406)&gt;1,COUNTIF(AZ$2:AZ405,AY406)&gt;=1),"",AY406))</f>
        <v/>
      </c>
      <c r="BA406" t="str">
        <f>IF(AZ406="","",COUNTIFS(AZ$3:AZ$1439,"&lt;"&amp;AZ406,AZ$3:AZ$1439,"&lt;&gt;0")+COUNTIF(AZ$3:AZ406,AZ406)-876)</f>
        <v/>
      </c>
      <c r="BC406">
        <v>404</v>
      </c>
      <c r="BD406" t="str">
        <f t="shared" si="125"/>
        <v>PS OXYTETRACYCLINE AQUACULTURE</v>
      </c>
      <c r="BE406" t="str">
        <f t="shared" si="115"/>
        <v>PM</v>
      </c>
      <c r="BF406" t="str">
        <f t="shared" si="116"/>
        <v>TETRACYCLINES</v>
      </c>
      <c r="BG406" t="str">
        <f t="shared" si="117"/>
        <v/>
      </c>
      <c r="BH406" t="str">
        <f t="shared" si="118"/>
        <v/>
      </c>
      <c r="BI406" t="str">
        <f t="shared" si="119"/>
        <v>oxytetracycline</v>
      </c>
      <c r="BJ406" t="str">
        <f t="shared" si="120"/>
        <v/>
      </c>
      <c r="BK406" t="str">
        <f t="shared" si="121"/>
        <v/>
      </c>
      <c r="BL406" t="str">
        <f t="shared" si="126"/>
        <v>Oxytétracycline</v>
      </c>
      <c r="BM406" t="str">
        <f t="shared" si="122"/>
        <v>Oxytétracycline</v>
      </c>
      <c r="BN406" t="str">
        <f t="shared" si="123"/>
        <v/>
      </c>
      <c r="BO406" t="str">
        <f t="shared" si="124"/>
        <v/>
      </c>
      <c r="BP406" t="str">
        <f t="shared" si="127"/>
        <v>Tetracyclines</v>
      </c>
      <c r="BQ406" t="str">
        <f t="shared" si="128"/>
        <v>Tetracyclines</v>
      </c>
      <c r="BR406" t="str">
        <f t="shared" si="129"/>
        <v/>
      </c>
      <c r="BS406" t="str">
        <f t="shared" si="130"/>
        <v/>
      </c>
      <c r="BT406" s="76" t="str">
        <f t="shared" si="131"/>
        <v>Prémélanges médicamenteux</v>
      </c>
      <c r="BU406" t="str">
        <f t="shared" si="132"/>
        <v/>
      </c>
      <c r="CN406">
        <v>405</v>
      </c>
    </row>
    <row r="407" spans="1:92" x14ac:dyDescent="0.3">
      <c r="A407" s="118" t="s">
        <v>2261</v>
      </c>
      <c r="B407" t="s">
        <v>2265</v>
      </c>
      <c r="C407" s="145" t="s">
        <v>1313</v>
      </c>
      <c r="D407" s="144" t="s">
        <v>955</v>
      </c>
      <c r="E407" t="s">
        <v>830</v>
      </c>
      <c r="F407" t="s">
        <v>80</v>
      </c>
      <c r="G407" t="s">
        <v>831</v>
      </c>
      <c r="H407" t="s">
        <v>832</v>
      </c>
      <c r="I407" t="s">
        <v>817</v>
      </c>
      <c r="J407" t="s">
        <v>914</v>
      </c>
      <c r="K407" t="s">
        <v>914</v>
      </c>
      <c r="L407" t="s">
        <v>995</v>
      </c>
      <c r="M407" t="s">
        <v>996</v>
      </c>
      <c r="N407" t="s">
        <v>1117</v>
      </c>
      <c r="O407" t="s">
        <v>834</v>
      </c>
      <c r="P407" t="s">
        <v>4371</v>
      </c>
      <c r="Q407" t="s">
        <v>1163</v>
      </c>
      <c r="R407">
        <v>5</v>
      </c>
      <c r="S407">
        <v>3</v>
      </c>
      <c r="T407">
        <v>0</v>
      </c>
      <c r="U407">
        <v>0</v>
      </c>
      <c r="V407">
        <v>0</v>
      </c>
      <c r="W407">
        <v>0</v>
      </c>
      <c r="X407">
        <v>0</v>
      </c>
      <c r="Y407">
        <v>0</v>
      </c>
      <c r="Z407">
        <v>0</v>
      </c>
      <c r="AA407">
        <v>0</v>
      </c>
      <c r="AB407">
        <v>0</v>
      </c>
      <c r="AC407">
        <v>0</v>
      </c>
      <c r="AD407">
        <v>5</v>
      </c>
      <c r="AE407">
        <v>3</v>
      </c>
      <c r="AF407">
        <v>3.75</v>
      </c>
      <c r="AG407">
        <v>3</v>
      </c>
      <c r="AH407">
        <v>0</v>
      </c>
      <c r="AI407">
        <v>0</v>
      </c>
      <c r="AY407" t="str">
        <f t="shared" si="114"/>
        <v>COLIVET</v>
      </c>
      <c r="AZ407" t="str">
        <f>IF(COUNTIF(AY:AY,AY407)=1,AY407,IF(AND(COUNTIF(AY:AY,AY407)&gt;1,COUNTIF(AZ$2:AZ406,AY407)&gt;=1),"",AY407))</f>
        <v/>
      </c>
      <c r="BA407" t="str">
        <f>IF(AZ407="","",COUNTIFS(AZ$3:AZ$1439,"&lt;"&amp;AZ407,AZ$3:AZ$1439,"&lt;&gt;0")+COUNTIF(AZ$3:AZ407,AZ407)-876)</f>
        <v/>
      </c>
      <c r="BC407">
        <v>405</v>
      </c>
      <c r="BD407" t="str">
        <f t="shared" si="125"/>
        <v>PULMODOX 500 MG/G GRANULES POUR SOLUTION BUVABLE POUR PORCS, POULETS ET DINDES</v>
      </c>
      <c r="BE407" t="str">
        <f t="shared" si="115"/>
        <v>ORAL</v>
      </c>
      <c r="BF407" t="str">
        <f t="shared" si="116"/>
        <v>TETRACYCLINES</v>
      </c>
      <c r="BG407" t="str">
        <f t="shared" si="117"/>
        <v/>
      </c>
      <c r="BH407" t="str">
        <f t="shared" si="118"/>
        <v/>
      </c>
      <c r="BI407" t="str">
        <f t="shared" si="119"/>
        <v>doxycycline</v>
      </c>
      <c r="BJ407" t="str">
        <f t="shared" si="120"/>
        <v/>
      </c>
      <c r="BK407" t="str">
        <f t="shared" si="121"/>
        <v/>
      </c>
      <c r="BL407" t="str">
        <f t="shared" si="126"/>
        <v>Doxycycline</v>
      </c>
      <c r="BM407" t="str">
        <f t="shared" si="122"/>
        <v>Doxycycline</v>
      </c>
      <c r="BN407" t="str">
        <f t="shared" si="123"/>
        <v/>
      </c>
      <c r="BO407" t="str">
        <f t="shared" si="124"/>
        <v/>
      </c>
      <c r="BP407" t="str">
        <f t="shared" si="127"/>
        <v>Tetracyclines</v>
      </c>
      <c r="BQ407" t="str">
        <f t="shared" si="128"/>
        <v>Tetracyclines</v>
      </c>
      <c r="BR407" t="str">
        <f t="shared" si="129"/>
        <v/>
      </c>
      <c r="BS407" t="str">
        <f t="shared" si="130"/>
        <v/>
      </c>
      <c r="BT407" s="76" t="str">
        <f t="shared" si="131"/>
        <v>Voie orale  hors prémélanges médicamenteux</v>
      </c>
      <c r="BU407" t="str">
        <f t="shared" si="132"/>
        <v/>
      </c>
      <c r="CN407">
        <v>406</v>
      </c>
    </row>
    <row r="408" spans="1:92" x14ac:dyDescent="0.3">
      <c r="A408" s="118" t="s">
        <v>2872</v>
      </c>
      <c r="B408" t="s">
        <v>2873</v>
      </c>
      <c r="C408" t="s">
        <v>1002</v>
      </c>
      <c r="D408" s="144" t="s">
        <v>829</v>
      </c>
      <c r="E408" t="s">
        <v>765</v>
      </c>
      <c r="F408" t="s">
        <v>302</v>
      </c>
      <c r="G408" t="s">
        <v>956</v>
      </c>
      <c r="H408" t="s">
        <v>1070</v>
      </c>
      <c r="I408" t="s">
        <v>817</v>
      </c>
      <c r="J408" t="s">
        <v>914</v>
      </c>
      <c r="K408" t="s">
        <v>914</v>
      </c>
      <c r="L408" t="s">
        <v>995</v>
      </c>
      <c r="M408" t="s">
        <v>996</v>
      </c>
      <c r="N408" t="s">
        <v>1501</v>
      </c>
      <c r="O408" t="s">
        <v>805</v>
      </c>
      <c r="P408" t="s">
        <v>4371</v>
      </c>
      <c r="Q408" t="s">
        <v>764</v>
      </c>
      <c r="R408">
        <v>5</v>
      </c>
      <c r="S408">
        <v>5</v>
      </c>
      <c r="T408">
        <v>0</v>
      </c>
      <c r="U408">
        <v>0</v>
      </c>
      <c r="V408">
        <v>0</v>
      </c>
      <c r="W408">
        <v>0</v>
      </c>
      <c r="X408">
        <v>0</v>
      </c>
      <c r="Y408">
        <v>0</v>
      </c>
      <c r="Z408">
        <v>0</v>
      </c>
      <c r="AA408">
        <v>0</v>
      </c>
      <c r="AB408">
        <v>5</v>
      </c>
      <c r="AC408">
        <v>5</v>
      </c>
      <c r="AD408">
        <v>5</v>
      </c>
      <c r="AE408">
        <v>5</v>
      </c>
      <c r="AF408">
        <v>3.75</v>
      </c>
      <c r="AG408">
        <v>5</v>
      </c>
      <c r="AH408">
        <v>0</v>
      </c>
      <c r="AI408">
        <v>0</v>
      </c>
      <c r="AY408" t="str">
        <f t="shared" si="114"/>
        <v>COLIVET SOLUTION</v>
      </c>
      <c r="AZ408" t="str">
        <f>IF(COUNTIF(AY:AY,AY408)=1,AY408,IF(AND(COUNTIF(AY:AY,AY408)&gt;1,COUNTIF(AZ$2:AZ407,AY408)&gt;=1),"",AY408))</f>
        <v>COLIVET SOLUTION</v>
      </c>
      <c r="BA408">
        <f>IF(AZ408="","",COUNTIFS(AZ$3:AZ$1439,"&lt;"&amp;AZ408,AZ$3:AZ$1439,"&lt;&gt;0")+COUNTIF(AZ$3:AZ408,AZ408)-876)</f>
        <v>146</v>
      </c>
      <c r="BC408">
        <v>406</v>
      </c>
      <c r="BD408" t="str">
        <f t="shared" si="125"/>
        <v>PULMODOX DOXYCYCLINE 50 PORC</v>
      </c>
      <c r="BE408" t="str">
        <f t="shared" si="115"/>
        <v>PM</v>
      </c>
      <c r="BF408" t="str">
        <f t="shared" si="116"/>
        <v>TETRACYCLINES</v>
      </c>
      <c r="BG408" t="str">
        <f t="shared" si="117"/>
        <v/>
      </c>
      <c r="BH408" t="str">
        <f t="shared" si="118"/>
        <v/>
      </c>
      <c r="BI408" t="str">
        <f t="shared" si="119"/>
        <v>doxycycline</v>
      </c>
      <c r="BJ408" t="str">
        <f t="shared" si="120"/>
        <v/>
      </c>
      <c r="BK408" t="str">
        <f t="shared" si="121"/>
        <v/>
      </c>
      <c r="BL408" t="str">
        <f t="shared" si="126"/>
        <v>Doxycycline</v>
      </c>
      <c r="BM408" t="str">
        <f t="shared" si="122"/>
        <v>Doxycycline</v>
      </c>
      <c r="BN408" t="str">
        <f t="shared" si="123"/>
        <v/>
      </c>
      <c r="BO408" t="str">
        <f t="shared" si="124"/>
        <v/>
      </c>
      <c r="BP408" t="str">
        <f t="shared" si="127"/>
        <v>Tetracyclines</v>
      </c>
      <c r="BQ408" t="str">
        <f t="shared" si="128"/>
        <v>Tetracyclines</v>
      </c>
      <c r="BR408" t="str">
        <f t="shared" si="129"/>
        <v/>
      </c>
      <c r="BS408" t="str">
        <f t="shared" si="130"/>
        <v/>
      </c>
      <c r="BT408" s="76" t="str">
        <f t="shared" si="131"/>
        <v>Prémélanges médicamenteux</v>
      </c>
      <c r="BU408" t="str">
        <f t="shared" si="132"/>
        <v/>
      </c>
      <c r="CN408">
        <v>407</v>
      </c>
    </row>
    <row r="409" spans="1:92" x14ac:dyDescent="0.3">
      <c r="A409" s="118" t="s">
        <v>2872</v>
      </c>
      <c r="B409" t="s">
        <v>2874</v>
      </c>
      <c r="C409" t="s">
        <v>2875</v>
      </c>
      <c r="D409" s="144" t="s">
        <v>902</v>
      </c>
      <c r="E409" t="s">
        <v>765</v>
      </c>
      <c r="F409" t="s">
        <v>302</v>
      </c>
      <c r="G409" t="s">
        <v>956</v>
      </c>
      <c r="H409" t="s">
        <v>1070</v>
      </c>
      <c r="I409" t="s">
        <v>817</v>
      </c>
      <c r="J409" t="s">
        <v>914</v>
      </c>
      <c r="K409" t="s">
        <v>914</v>
      </c>
      <c r="L409" t="s">
        <v>995</v>
      </c>
      <c r="M409" t="s">
        <v>996</v>
      </c>
      <c r="N409" t="s">
        <v>1501</v>
      </c>
      <c r="O409" t="s">
        <v>805</v>
      </c>
      <c r="P409" t="s">
        <v>4371</v>
      </c>
      <c r="Q409" t="s">
        <v>864</v>
      </c>
      <c r="R409">
        <v>5</v>
      </c>
      <c r="S409">
        <v>5</v>
      </c>
      <c r="T409">
        <v>0</v>
      </c>
      <c r="U409">
        <v>0</v>
      </c>
      <c r="V409">
        <v>0</v>
      </c>
      <c r="W409">
        <v>0</v>
      </c>
      <c r="X409">
        <v>0</v>
      </c>
      <c r="Y409">
        <v>0</v>
      </c>
      <c r="Z409">
        <v>0</v>
      </c>
      <c r="AA409">
        <v>0</v>
      </c>
      <c r="AB409">
        <v>5</v>
      </c>
      <c r="AC409">
        <v>5</v>
      </c>
      <c r="AD409">
        <v>5</v>
      </c>
      <c r="AE409">
        <v>5</v>
      </c>
      <c r="AF409">
        <v>3.75</v>
      </c>
      <c r="AG409">
        <v>5</v>
      </c>
      <c r="AH409">
        <v>0</v>
      </c>
      <c r="AI409">
        <v>0</v>
      </c>
      <c r="AY409" t="str">
        <f t="shared" si="114"/>
        <v>COLIVET SOLUTION</v>
      </c>
      <c r="AZ409" t="str">
        <f>IF(COUNTIF(AY:AY,AY409)=1,AY409,IF(AND(COUNTIF(AY:AY,AY409)&gt;1,COUNTIF(AZ$2:AZ408,AY409)&gt;=1),"",AY409))</f>
        <v/>
      </c>
      <c r="BA409" t="str">
        <f>IF(AZ409="","",COUNTIFS(AZ$3:AZ$1439,"&lt;"&amp;AZ409,AZ$3:AZ$1439,"&lt;&gt;0")+COUNTIF(AZ$3:AZ409,AZ409)-876)</f>
        <v/>
      </c>
      <c r="BC409">
        <v>407</v>
      </c>
      <c r="BD409" t="str">
        <f t="shared" si="125"/>
        <v>PULMODOX P.O.S. 5 %</v>
      </c>
      <c r="BE409" t="str">
        <f t="shared" si="115"/>
        <v>ORAL</v>
      </c>
      <c r="BF409" t="str">
        <f t="shared" si="116"/>
        <v>TETRACYCLINES</v>
      </c>
      <c r="BG409" t="str">
        <f t="shared" si="117"/>
        <v/>
      </c>
      <c r="BH409" t="str">
        <f t="shared" si="118"/>
        <v/>
      </c>
      <c r="BI409" t="str">
        <f t="shared" si="119"/>
        <v>doxycycline</v>
      </c>
      <c r="BJ409" t="str">
        <f t="shared" si="120"/>
        <v/>
      </c>
      <c r="BK409" t="str">
        <f t="shared" si="121"/>
        <v/>
      </c>
      <c r="BL409" t="str">
        <f t="shared" si="126"/>
        <v>Doxycycline</v>
      </c>
      <c r="BM409" t="str">
        <f t="shared" si="122"/>
        <v>Doxycycline</v>
      </c>
      <c r="BN409" t="str">
        <f t="shared" si="123"/>
        <v/>
      </c>
      <c r="BO409" t="str">
        <f t="shared" si="124"/>
        <v/>
      </c>
      <c r="BP409" t="str">
        <f t="shared" si="127"/>
        <v>Tetracyclines</v>
      </c>
      <c r="BQ409" t="str">
        <f t="shared" si="128"/>
        <v>Tetracyclines</v>
      </c>
      <c r="BR409" t="str">
        <f t="shared" si="129"/>
        <v/>
      </c>
      <c r="BS409" t="str">
        <f t="shared" si="130"/>
        <v/>
      </c>
      <c r="BT409" s="76" t="str">
        <f t="shared" si="131"/>
        <v>Voie orale  hors prémélanges médicamenteux</v>
      </c>
      <c r="BU409" t="str">
        <f t="shared" si="132"/>
        <v/>
      </c>
      <c r="CN409">
        <v>408</v>
      </c>
    </row>
    <row r="410" spans="1:92" x14ac:dyDescent="0.3">
      <c r="A410" s="118" t="s">
        <v>2872</v>
      </c>
      <c r="B410" t="s">
        <v>2876</v>
      </c>
      <c r="C410" t="s">
        <v>954</v>
      </c>
      <c r="D410" s="144" t="s">
        <v>955</v>
      </c>
      <c r="E410" t="s">
        <v>765</v>
      </c>
      <c r="F410" t="s">
        <v>302</v>
      </c>
      <c r="G410" t="s">
        <v>956</v>
      </c>
      <c r="H410" t="s">
        <v>1070</v>
      </c>
      <c r="I410" t="s">
        <v>817</v>
      </c>
      <c r="J410" t="s">
        <v>914</v>
      </c>
      <c r="K410" t="s">
        <v>914</v>
      </c>
      <c r="L410" t="s">
        <v>995</v>
      </c>
      <c r="M410" t="s">
        <v>996</v>
      </c>
      <c r="N410" t="s">
        <v>1501</v>
      </c>
      <c r="O410" t="s">
        <v>805</v>
      </c>
      <c r="P410" t="s">
        <v>4371</v>
      </c>
      <c r="Q410" t="s">
        <v>906</v>
      </c>
      <c r="R410">
        <v>5</v>
      </c>
      <c r="S410">
        <v>5</v>
      </c>
      <c r="T410">
        <v>0</v>
      </c>
      <c r="U410">
        <v>0</v>
      </c>
      <c r="V410">
        <v>0</v>
      </c>
      <c r="W410">
        <v>0</v>
      </c>
      <c r="X410">
        <v>0</v>
      </c>
      <c r="Y410">
        <v>0</v>
      </c>
      <c r="Z410">
        <v>0</v>
      </c>
      <c r="AA410">
        <v>0</v>
      </c>
      <c r="AB410">
        <v>5</v>
      </c>
      <c r="AC410">
        <v>5</v>
      </c>
      <c r="AD410">
        <v>5</v>
      </c>
      <c r="AE410">
        <v>5</v>
      </c>
      <c r="AF410">
        <v>3.75</v>
      </c>
      <c r="AG410">
        <v>5</v>
      </c>
      <c r="AH410">
        <v>0</v>
      </c>
      <c r="AI410">
        <v>0</v>
      </c>
      <c r="AY410" t="str">
        <f t="shared" si="114"/>
        <v>COLIVET SOLUTION</v>
      </c>
      <c r="AZ410" t="str">
        <f>IF(COUNTIF(AY:AY,AY410)=1,AY410,IF(AND(COUNTIF(AY:AY,AY410)&gt;1,COUNTIF(AZ$2:AZ409,AY410)&gt;=1),"",AY410))</f>
        <v/>
      </c>
      <c r="BA410" t="str">
        <f>IF(AZ410="","",COUNTIFS(AZ$3:AZ$1439,"&lt;"&amp;AZ410,AZ$3:AZ$1439,"&lt;&gt;0")+COUNTIF(AZ$3:AZ410,AZ410)-876)</f>
        <v/>
      </c>
      <c r="BC410">
        <v>408</v>
      </c>
      <c r="BD410" t="str">
        <f t="shared" si="125"/>
        <v>PULMOTIL AC</v>
      </c>
      <c r="BE410" t="str">
        <f t="shared" si="115"/>
        <v>ORAL</v>
      </c>
      <c r="BF410" t="str">
        <f t="shared" si="116"/>
        <v>MACROLIDES</v>
      </c>
      <c r="BG410" t="str">
        <f t="shared" si="117"/>
        <v/>
      </c>
      <c r="BH410" t="str">
        <f t="shared" si="118"/>
        <v/>
      </c>
      <c r="BI410" t="str">
        <f t="shared" si="119"/>
        <v>tilmicosin</v>
      </c>
      <c r="BJ410" t="str">
        <f t="shared" si="120"/>
        <v/>
      </c>
      <c r="BK410" t="str">
        <f t="shared" si="121"/>
        <v/>
      </c>
      <c r="BL410" t="str">
        <f t="shared" si="126"/>
        <v>Tilmicosine</v>
      </c>
      <c r="BM410" t="str">
        <f t="shared" si="122"/>
        <v>Tilmicosine</v>
      </c>
      <c r="BN410" t="str">
        <f t="shared" si="123"/>
        <v/>
      </c>
      <c r="BO410" t="str">
        <f t="shared" si="124"/>
        <v/>
      </c>
      <c r="BP410" t="str">
        <f t="shared" si="127"/>
        <v>Macrolides</v>
      </c>
      <c r="BQ410" t="str">
        <f t="shared" si="128"/>
        <v>Macrolides</v>
      </c>
      <c r="BR410" t="str">
        <f t="shared" si="129"/>
        <v/>
      </c>
      <c r="BS410" t="str">
        <f t="shared" si="130"/>
        <v/>
      </c>
      <c r="BT410" s="76" t="str">
        <f t="shared" si="131"/>
        <v>Voie orale  hors prémélanges médicamenteux</v>
      </c>
      <c r="BU410" t="str">
        <f t="shared" si="132"/>
        <v/>
      </c>
      <c r="CN410">
        <v>409</v>
      </c>
    </row>
    <row r="411" spans="1:92" x14ac:dyDescent="0.3">
      <c r="A411" s="118" t="s">
        <v>1704</v>
      </c>
      <c r="B411" t="s">
        <v>1705</v>
      </c>
      <c r="C411" t="s">
        <v>891</v>
      </c>
      <c r="D411" s="144" t="s">
        <v>829</v>
      </c>
      <c r="E411" t="s">
        <v>830</v>
      </c>
      <c r="F411" t="s">
        <v>303</v>
      </c>
      <c r="G411" t="s">
        <v>831</v>
      </c>
      <c r="H411" t="s">
        <v>1706</v>
      </c>
      <c r="I411" t="s">
        <v>817</v>
      </c>
      <c r="J411" t="s">
        <v>787</v>
      </c>
      <c r="K411" t="s">
        <v>787</v>
      </c>
      <c r="L411" t="s">
        <v>992</v>
      </c>
      <c r="M411" t="s">
        <v>208</v>
      </c>
      <c r="N411" t="s">
        <v>1707</v>
      </c>
      <c r="O411" t="s">
        <v>894</v>
      </c>
      <c r="P411" t="s">
        <v>772</v>
      </c>
      <c r="Q411" t="s">
        <v>1707</v>
      </c>
      <c r="R411">
        <v>20</v>
      </c>
      <c r="S411">
        <v>3</v>
      </c>
      <c r="T411">
        <v>0</v>
      </c>
      <c r="U411">
        <v>0</v>
      </c>
      <c r="V411">
        <v>0</v>
      </c>
      <c r="W411">
        <v>0</v>
      </c>
      <c r="X411">
        <v>0</v>
      </c>
      <c r="Y411">
        <v>0</v>
      </c>
      <c r="Z411">
        <v>0</v>
      </c>
      <c r="AA411">
        <v>0</v>
      </c>
      <c r="AB411">
        <v>0</v>
      </c>
      <c r="AC411">
        <v>0</v>
      </c>
      <c r="AD411">
        <v>0</v>
      </c>
      <c r="AE411">
        <v>0</v>
      </c>
      <c r="AF411">
        <v>20</v>
      </c>
      <c r="AG411">
        <v>3</v>
      </c>
      <c r="AH411">
        <v>0</v>
      </c>
      <c r="AI411">
        <v>0</v>
      </c>
      <c r="AY411" t="str">
        <f t="shared" si="114"/>
        <v>COMPOMIX V AMPICILLINE</v>
      </c>
      <c r="AZ411" t="str">
        <f>IF(COUNTIF(AY:AY,AY411)=1,AY411,IF(AND(COUNTIF(AY:AY,AY411)&gt;1,COUNTIF(AZ$2:AZ410,AY411)&gt;=1),"",AY411))</f>
        <v>COMPOMIX V AMPICILLINE</v>
      </c>
      <c r="BA411">
        <f>IF(AZ411="","",COUNTIFS(AZ$3:AZ$1439,"&lt;"&amp;AZ411,AZ$3:AZ$1439,"&lt;&gt;0")+COUNTIF(AZ$3:AZ411,AZ411)-876)</f>
        <v>147</v>
      </c>
      <c r="BC411">
        <v>409</v>
      </c>
      <c r="BD411" t="str">
        <f t="shared" si="125"/>
        <v>PULMOTIL TILMICOSINE 40 PORC-LAPIN</v>
      </c>
      <c r="BE411" t="str">
        <f t="shared" si="115"/>
        <v>PM</v>
      </c>
      <c r="BF411" t="str">
        <f t="shared" si="116"/>
        <v>MACROLIDES</v>
      </c>
      <c r="BG411" t="str">
        <f t="shared" si="117"/>
        <v/>
      </c>
      <c r="BH411" t="str">
        <f t="shared" si="118"/>
        <v/>
      </c>
      <c r="BI411" t="str">
        <f t="shared" si="119"/>
        <v>tilmicosin</v>
      </c>
      <c r="BJ411" t="str">
        <f t="shared" si="120"/>
        <v/>
      </c>
      <c r="BK411" t="str">
        <f t="shared" si="121"/>
        <v/>
      </c>
      <c r="BL411" t="str">
        <f t="shared" si="126"/>
        <v>Tilmicosine</v>
      </c>
      <c r="BM411" t="str">
        <f t="shared" si="122"/>
        <v>Tilmicosine</v>
      </c>
      <c r="BN411" t="str">
        <f t="shared" si="123"/>
        <v/>
      </c>
      <c r="BO411" t="str">
        <f t="shared" si="124"/>
        <v/>
      </c>
      <c r="BP411" t="str">
        <f t="shared" si="127"/>
        <v>Macrolides</v>
      </c>
      <c r="BQ411" t="str">
        <f t="shared" si="128"/>
        <v>Macrolides</v>
      </c>
      <c r="BR411" t="str">
        <f t="shared" si="129"/>
        <v/>
      </c>
      <c r="BS411" t="str">
        <f t="shared" si="130"/>
        <v/>
      </c>
      <c r="BT411" s="76" t="str">
        <f t="shared" si="131"/>
        <v>Prémélanges médicamenteux</v>
      </c>
      <c r="BU411" t="str">
        <f t="shared" si="132"/>
        <v/>
      </c>
      <c r="CN411">
        <v>410</v>
      </c>
    </row>
    <row r="412" spans="1:92" x14ac:dyDescent="0.3">
      <c r="A412" s="118" t="s">
        <v>1704</v>
      </c>
      <c r="B412" t="s">
        <v>1708</v>
      </c>
      <c r="C412" t="s">
        <v>1313</v>
      </c>
      <c r="D412" s="144" t="s">
        <v>955</v>
      </c>
      <c r="E412" t="s">
        <v>830</v>
      </c>
      <c r="F412" t="s">
        <v>303</v>
      </c>
      <c r="G412" t="s">
        <v>831</v>
      </c>
      <c r="H412" t="s">
        <v>1706</v>
      </c>
      <c r="I412" t="s">
        <v>817</v>
      </c>
      <c r="J412" t="s">
        <v>787</v>
      </c>
      <c r="K412" t="s">
        <v>787</v>
      </c>
      <c r="L412" t="s">
        <v>992</v>
      </c>
      <c r="M412" t="s">
        <v>208</v>
      </c>
      <c r="N412" t="s">
        <v>1707</v>
      </c>
      <c r="O412" t="s">
        <v>894</v>
      </c>
      <c r="P412" t="s">
        <v>772</v>
      </c>
      <c r="Q412" t="s">
        <v>1709</v>
      </c>
      <c r="R412">
        <v>20</v>
      </c>
      <c r="S412">
        <v>3</v>
      </c>
      <c r="T412">
        <v>0</v>
      </c>
      <c r="U412">
        <v>0</v>
      </c>
      <c r="V412">
        <v>0</v>
      </c>
      <c r="W412">
        <v>0</v>
      </c>
      <c r="X412">
        <v>0</v>
      </c>
      <c r="Y412">
        <v>0</v>
      </c>
      <c r="Z412">
        <v>0</v>
      </c>
      <c r="AA412">
        <v>0</v>
      </c>
      <c r="AB412">
        <v>0</v>
      </c>
      <c r="AC412">
        <v>0</v>
      </c>
      <c r="AD412">
        <v>0</v>
      </c>
      <c r="AE412">
        <v>0</v>
      </c>
      <c r="AF412">
        <v>20</v>
      </c>
      <c r="AG412">
        <v>3</v>
      </c>
      <c r="AH412">
        <v>0</v>
      </c>
      <c r="AI412">
        <v>0</v>
      </c>
      <c r="AY412" t="str">
        <f t="shared" si="114"/>
        <v>COMPOMIX V AMPICILLINE</v>
      </c>
      <c r="AZ412" t="str">
        <f>IF(COUNTIF(AY:AY,AY412)=1,AY412,IF(AND(COUNTIF(AY:AY,AY412)&gt;1,COUNTIF(AZ$2:AZ411,AY412)&gt;=1),"",AY412))</f>
        <v/>
      </c>
      <c r="BA412" t="str">
        <f>IF(AZ412="","",COUNTIFS(AZ$3:AZ$1439,"&lt;"&amp;AZ412,AZ$3:AZ$1439,"&lt;&gt;0")+COUNTIF(AZ$3:AZ412,AZ412)-876)</f>
        <v/>
      </c>
      <c r="BC412">
        <v>410</v>
      </c>
      <c r="BD412" t="str">
        <f t="shared" si="125"/>
        <v>PULMOVAL CHLORTETRACYCLINE 100 PORC ET AGNEAU-CHEVREAU SEVRES</v>
      </c>
      <c r="BE412" t="str">
        <f t="shared" si="115"/>
        <v>PM</v>
      </c>
      <c r="BF412" t="str">
        <f t="shared" si="116"/>
        <v>TETRACYCLINES</v>
      </c>
      <c r="BG412" t="str">
        <f t="shared" si="117"/>
        <v/>
      </c>
      <c r="BH412" t="str">
        <f t="shared" si="118"/>
        <v/>
      </c>
      <c r="BI412" t="str">
        <f t="shared" si="119"/>
        <v>chlortetracycline</v>
      </c>
      <c r="BJ412" t="str">
        <f t="shared" si="120"/>
        <v/>
      </c>
      <c r="BK412" t="str">
        <f t="shared" si="121"/>
        <v/>
      </c>
      <c r="BL412" t="str">
        <f t="shared" si="126"/>
        <v>Chlortétracycline</v>
      </c>
      <c r="BM412" t="str">
        <f t="shared" si="122"/>
        <v>Chlortétracycline</v>
      </c>
      <c r="BN412" t="str">
        <f t="shared" si="123"/>
        <v/>
      </c>
      <c r="BO412" t="str">
        <f t="shared" si="124"/>
        <v/>
      </c>
      <c r="BP412" t="str">
        <f t="shared" si="127"/>
        <v>Tetracyclines</v>
      </c>
      <c r="BQ412" t="str">
        <f t="shared" si="128"/>
        <v>Tetracyclines</v>
      </c>
      <c r="BR412" t="str">
        <f t="shared" si="129"/>
        <v/>
      </c>
      <c r="BS412" t="str">
        <f t="shared" si="130"/>
        <v/>
      </c>
      <c r="BT412" s="76" t="str">
        <f t="shared" si="131"/>
        <v>Prémélanges médicamenteux</v>
      </c>
      <c r="BU412" t="str">
        <f t="shared" si="132"/>
        <v/>
      </c>
      <c r="CN412">
        <v>411</v>
      </c>
    </row>
    <row r="413" spans="1:92" x14ac:dyDescent="0.3">
      <c r="A413" s="118" t="s">
        <v>2489</v>
      </c>
      <c r="B413" t="s">
        <v>2490</v>
      </c>
      <c r="C413" t="s">
        <v>2491</v>
      </c>
      <c r="D413" s="144" t="s">
        <v>955</v>
      </c>
      <c r="E413" t="s">
        <v>830</v>
      </c>
      <c r="F413" t="s">
        <v>628</v>
      </c>
      <c r="G413" t="s">
        <v>831</v>
      </c>
      <c r="H413" t="s">
        <v>169</v>
      </c>
      <c r="I413" t="s">
        <v>817</v>
      </c>
      <c r="J413" t="s">
        <v>914</v>
      </c>
      <c r="K413" t="s">
        <v>914</v>
      </c>
      <c r="L413" t="s">
        <v>995</v>
      </c>
      <c r="M413" t="s">
        <v>996</v>
      </c>
      <c r="N413" t="s">
        <v>1805</v>
      </c>
      <c r="O413" t="s">
        <v>834</v>
      </c>
      <c r="P413" t="s">
        <v>4371</v>
      </c>
      <c r="Q413" t="s">
        <v>776</v>
      </c>
      <c r="R413">
        <v>5</v>
      </c>
      <c r="S413">
        <v>3</v>
      </c>
      <c r="T413">
        <v>0</v>
      </c>
      <c r="U413">
        <v>0</v>
      </c>
      <c r="V413">
        <v>0</v>
      </c>
      <c r="W413">
        <v>0</v>
      </c>
      <c r="X413">
        <v>0</v>
      </c>
      <c r="Y413">
        <v>0</v>
      </c>
      <c r="Z413">
        <v>0</v>
      </c>
      <c r="AA413">
        <v>0</v>
      </c>
      <c r="AB413">
        <v>0</v>
      </c>
      <c r="AC413">
        <v>0</v>
      </c>
      <c r="AD413">
        <v>0</v>
      </c>
      <c r="AE413">
        <v>0</v>
      </c>
      <c r="AF413">
        <v>0</v>
      </c>
      <c r="AG413">
        <v>0</v>
      </c>
      <c r="AH413">
        <v>0</v>
      </c>
      <c r="AI413">
        <v>0</v>
      </c>
      <c r="AY413" t="str">
        <f t="shared" si="114"/>
        <v>COMPOMIX V COLI 1.000</v>
      </c>
      <c r="AZ413" t="str">
        <f>IF(COUNTIF(AY:AY,AY413)=1,AY413,IF(AND(COUNTIF(AY:AY,AY413)&gt;1,COUNTIF(AZ$2:AZ412,AY413)&gt;=1),"",AY413))</f>
        <v>COMPOMIX V COLI 1.000</v>
      </c>
      <c r="BA413">
        <f>IF(AZ413="","",COUNTIFS(AZ$3:AZ$1439,"&lt;"&amp;AZ413,AZ$3:AZ$1439,"&lt;&gt;0")+COUNTIF(AZ$3:AZ413,AZ413)-876)</f>
        <v>148</v>
      </c>
      <c r="BC413">
        <v>411</v>
      </c>
      <c r="BD413" t="str">
        <f t="shared" si="125"/>
        <v>PULMOVAL CHLORTETRACYCLINE 40 LAPIN-VOLAILLE-PORC ET AGNEAU-CHEVREAU SEVRES</v>
      </c>
      <c r="BE413" t="str">
        <f t="shared" si="115"/>
        <v>PM</v>
      </c>
      <c r="BF413" t="str">
        <f t="shared" si="116"/>
        <v>TETRACYCLINES</v>
      </c>
      <c r="BG413" t="str">
        <f t="shared" si="117"/>
        <v/>
      </c>
      <c r="BH413" t="str">
        <f t="shared" si="118"/>
        <v/>
      </c>
      <c r="BI413" t="str">
        <f t="shared" si="119"/>
        <v>chlortetracycline</v>
      </c>
      <c r="BJ413" t="str">
        <f t="shared" si="120"/>
        <v/>
      </c>
      <c r="BK413" t="str">
        <f t="shared" si="121"/>
        <v/>
      </c>
      <c r="BL413" t="str">
        <f t="shared" si="126"/>
        <v>Chlortétracycline</v>
      </c>
      <c r="BM413" t="str">
        <f t="shared" si="122"/>
        <v>Chlortétracycline</v>
      </c>
      <c r="BN413" t="str">
        <f t="shared" si="123"/>
        <v/>
      </c>
      <c r="BO413" t="str">
        <f t="shared" si="124"/>
        <v/>
      </c>
      <c r="BP413" t="str">
        <f t="shared" si="127"/>
        <v>Tetracyclines</v>
      </c>
      <c r="BQ413" t="str">
        <f t="shared" si="128"/>
        <v>Tetracyclines</v>
      </c>
      <c r="BR413" t="str">
        <f t="shared" si="129"/>
        <v/>
      </c>
      <c r="BS413" t="str">
        <f t="shared" si="130"/>
        <v/>
      </c>
      <c r="BT413" s="76" t="str">
        <f t="shared" si="131"/>
        <v>Prémélanges médicamenteux</v>
      </c>
      <c r="BU413" t="str">
        <f t="shared" si="132"/>
        <v/>
      </c>
      <c r="CN413">
        <v>412</v>
      </c>
    </row>
    <row r="414" spans="1:92" x14ac:dyDescent="0.3">
      <c r="A414" s="118" t="s">
        <v>1710</v>
      </c>
      <c r="B414" t="s">
        <v>1711</v>
      </c>
      <c r="C414" t="s">
        <v>891</v>
      </c>
      <c r="D414" s="144" t="s">
        <v>829</v>
      </c>
      <c r="E414" t="s">
        <v>830</v>
      </c>
      <c r="F414" t="s">
        <v>304</v>
      </c>
      <c r="G414" t="s">
        <v>831</v>
      </c>
      <c r="H414" t="s">
        <v>1697</v>
      </c>
      <c r="I414" t="s">
        <v>817</v>
      </c>
      <c r="J414" t="s">
        <v>1208</v>
      </c>
      <c r="K414" t="s">
        <v>768</v>
      </c>
      <c r="L414" t="s">
        <v>769</v>
      </c>
      <c r="M414" t="s">
        <v>208</v>
      </c>
      <c r="N414" t="s">
        <v>1712</v>
      </c>
      <c r="O414" t="s">
        <v>894</v>
      </c>
      <c r="P414" t="s">
        <v>772</v>
      </c>
      <c r="Q414" t="s">
        <v>1712</v>
      </c>
      <c r="R414">
        <v>22</v>
      </c>
      <c r="S414">
        <v>6</v>
      </c>
      <c r="T414">
        <v>0</v>
      </c>
      <c r="U414">
        <v>0</v>
      </c>
      <c r="V414">
        <v>0</v>
      </c>
      <c r="W414">
        <v>0</v>
      </c>
      <c r="X414">
        <v>0</v>
      </c>
      <c r="Y414">
        <v>0</v>
      </c>
      <c r="Z414">
        <v>22</v>
      </c>
      <c r="AA414">
        <v>6</v>
      </c>
      <c r="AB414">
        <v>22</v>
      </c>
      <c r="AC414">
        <v>6</v>
      </c>
      <c r="AD414">
        <v>22</v>
      </c>
      <c r="AE414">
        <v>6</v>
      </c>
      <c r="AF414">
        <v>22</v>
      </c>
      <c r="AG414">
        <v>6</v>
      </c>
      <c r="AH414">
        <v>0</v>
      </c>
      <c r="AI414">
        <v>0</v>
      </c>
      <c r="AJ414" t="s">
        <v>783</v>
      </c>
      <c r="AK414" t="s">
        <v>784</v>
      </c>
      <c r="AL414" t="s">
        <v>208</v>
      </c>
      <c r="AM414" t="s">
        <v>1713</v>
      </c>
      <c r="AN414" t="s">
        <v>894</v>
      </c>
      <c r="AO414" t="s">
        <v>772</v>
      </c>
      <c r="AP414" t="s">
        <v>1713</v>
      </c>
      <c r="AY414" t="str">
        <f t="shared" si="114"/>
        <v>COMPOMIX V NEOSTARTER</v>
      </c>
      <c r="AZ414" t="str">
        <f>IF(COUNTIF(AY:AY,AY414)=1,AY414,IF(AND(COUNTIF(AY:AY,AY414)&gt;1,COUNTIF(AZ$2:AZ413,AY414)&gt;=1),"",AY414))</f>
        <v>COMPOMIX V NEOSTARTER</v>
      </c>
      <c r="BA414">
        <f>IF(AZ414="","",COUNTIFS(AZ$3:AZ$1439,"&lt;"&amp;AZ414,AZ$3:AZ$1439,"&lt;&gt;0")+COUNTIF(AZ$3:AZ414,AZ414)-876)</f>
        <v>149</v>
      </c>
      <c r="BC414">
        <v>412</v>
      </c>
      <c r="BD414" t="str">
        <f t="shared" si="125"/>
        <v>PULMOVET 250 MG/ML SOLUTION POUR ADMINISTRATION DANS L'EAU DE BOISSON OU LE LAIT DE REMPLACEMENT POUR BOVINS, PORCINS, POULETS ET DINDES</v>
      </c>
      <c r="BE414" t="str">
        <f t="shared" si="115"/>
        <v>ORAL</v>
      </c>
      <c r="BF414" t="str">
        <f t="shared" si="116"/>
        <v>MACROLIDES</v>
      </c>
      <c r="BG414" t="str">
        <f t="shared" si="117"/>
        <v/>
      </c>
      <c r="BH414" t="str">
        <f t="shared" si="118"/>
        <v/>
      </c>
      <c r="BI414" t="str">
        <f t="shared" si="119"/>
        <v>tilmicosin</v>
      </c>
      <c r="BJ414" t="str">
        <f t="shared" si="120"/>
        <v/>
      </c>
      <c r="BK414" t="str">
        <f t="shared" si="121"/>
        <v/>
      </c>
      <c r="BL414" t="str">
        <f t="shared" si="126"/>
        <v>Tilmicosine</v>
      </c>
      <c r="BM414" t="str">
        <f t="shared" si="122"/>
        <v>Tilmicosine</v>
      </c>
      <c r="BN414" t="str">
        <f t="shared" si="123"/>
        <v/>
      </c>
      <c r="BO414" t="str">
        <f t="shared" si="124"/>
        <v/>
      </c>
      <c r="BP414" t="str">
        <f t="shared" si="127"/>
        <v>Macrolides</v>
      </c>
      <c r="BQ414" t="str">
        <f t="shared" si="128"/>
        <v>Macrolides</v>
      </c>
      <c r="BR414" t="str">
        <f t="shared" si="129"/>
        <v/>
      </c>
      <c r="BS414" t="str">
        <f t="shared" si="130"/>
        <v/>
      </c>
      <c r="BT414" s="76" t="str">
        <f t="shared" si="131"/>
        <v>Voie orale  hors prémélanges médicamenteux</v>
      </c>
      <c r="BU414" t="str">
        <f t="shared" si="132"/>
        <v/>
      </c>
      <c r="CN414">
        <v>413</v>
      </c>
    </row>
    <row r="415" spans="1:92" x14ac:dyDescent="0.3">
      <c r="A415" s="118" t="s">
        <v>1710</v>
      </c>
      <c r="B415" t="s">
        <v>1714</v>
      </c>
      <c r="C415" t="s">
        <v>1313</v>
      </c>
      <c r="D415" s="144" t="s">
        <v>955</v>
      </c>
      <c r="E415" t="s">
        <v>830</v>
      </c>
      <c r="F415" t="s">
        <v>304</v>
      </c>
      <c r="G415" t="s">
        <v>831</v>
      </c>
      <c r="H415" t="s">
        <v>1697</v>
      </c>
      <c r="I415" t="s">
        <v>817</v>
      </c>
      <c r="J415" t="s">
        <v>1208</v>
      </c>
      <c r="K415" t="s">
        <v>768</v>
      </c>
      <c r="L415" t="s">
        <v>769</v>
      </c>
      <c r="M415" t="s">
        <v>208</v>
      </c>
      <c r="N415" t="s">
        <v>1712</v>
      </c>
      <c r="O415" t="s">
        <v>894</v>
      </c>
      <c r="P415" t="s">
        <v>772</v>
      </c>
      <c r="Q415" t="s">
        <v>1550</v>
      </c>
      <c r="R415">
        <v>22</v>
      </c>
      <c r="S415">
        <v>6</v>
      </c>
      <c r="T415">
        <v>0</v>
      </c>
      <c r="U415">
        <v>0</v>
      </c>
      <c r="V415">
        <v>0</v>
      </c>
      <c r="W415">
        <v>0</v>
      </c>
      <c r="X415">
        <v>0</v>
      </c>
      <c r="Y415">
        <v>0</v>
      </c>
      <c r="Z415">
        <v>22</v>
      </c>
      <c r="AA415">
        <v>6</v>
      </c>
      <c r="AB415">
        <v>22</v>
      </c>
      <c r="AC415">
        <v>6</v>
      </c>
      <c r="AD415">
        <v>22</v>
      </c>
      <c r="AE415">
        <v>6</v>
      </c>
      <c r="AF415">
        <v>22</v>
      </c>
      <c r="AG415">
        <v>6</v>
      </c>
      <c r="AH415">
        <v>0</v>
      </c>
      <c r="AI415">
        <v>0</v>
      </c>
      <c r="AJ415" t="s">
        <v>783</v>
      </c>
      <c r="AK415" t="s">
        <v>784</v>
      </c>
      <c r="AL415" t="s">
        <v>208</v>
      </c>
      <c r="AM415" t="s">
        <v>1713</v>
      </c>
      <c r="AN415" t="s">
        <v>894</v>
      </c>
      <c r="AO415" t="s">
        <v>772</v>
      </c>
      <c r="AP415" t="s">
        <v>1715</v>
      </c>
      <c r="AY415" t="str">
        <f t="shared" si="114"/>
        <v>COMPOMIX V NEOSTARTER</v>
      </c>
      <c r="AZ415" t="str">
        <f>IF(COUNTIF(AY:AY,AY415)=1,AY415,IF(AND(COUNTIF(AY:AY,AY415)&gt;1,COUNTIF(AZ$2:AZ414,AY415)&gt;=1),"",AY415))</f>
        <v/>
      </c>
      <c r="BA415" t="str">
        <f>IF(AZ415="","",COUNTIFS(AZ$3:AZ$1439,"&lt;"&amp;AZ415,AZ$3:AZ$1439,"&lt;&gt;0")+COUNTIF(AZ$3:AZ415,AZ415)-876)</f>
        <v/>
      </c>
      <c r="BC415">
        <v>413</v>
      </c>
      <c r="BD415" t="str">
        <f t="shared" si="125"/>
        <v>QUINOEX 2,5 % SOLUTION BUVABLE POUR VEAUX</v>
      </c>
      <c r="BE415" t="str">
        <f t="shared" si="115"/>
        <v>ORAL</v>
      </c>
      <c r="BF415" t="str">
        <f t="shared" si="116"/>
        <v>FLUOROQUINOLONES</v>
      </c>
      <c r="BG415" t="str">
        <f t="shared" si="117"/>
        <v/>
      </c>
      <c r="BH415" t="str">
        <f t="shared" si="118"/>
        <v/>
      </c>
      <c r="BI415" t="str">
        <f t="shared" si="119"/>
        <v>enrofloxacin</v>
      </c>
      <c r="BJ415" t="str">
        <f t="shared" si="120"/>
        <v/>
      </c>
      <c r="BK415" t="str">
        <f t="shared" si="121"/>
        <v/>
      </c>
      <c r="BL415" t="str">
        <f t="shared" si="126"/>
        <v>Enrofloxacine</v>
      </c>
      <c r="BM415" t="str">
        <f t="shared" si="122"/>
        <v>Enrofloxacine</v>
      </c>
      <c r="BN415" t="str">
        <f t="shared" si="123"/>
        <v/>
      </c>
      <c r="BO415" t="str">
        <f t="shared" si="124"/>
        <v/>
      </c>
      <c r="BP415" t="str">
        <f t="shared" si="127"/>
        <v>Fluoroquinolones</v>
      </c>
      <c r="BQ415" t="str">
        <f t="shared" si="128"/>
        <v>Fluoroquinolones</v>
      </c>
      <c r="BR415" t="str">
        <f t="shared" si="129"/>
        <v/>
      </c>
      <c r="BS415" t="str">
        <f t="shared" si="130"/>
        <v/>
      </c>
      <c r="BT415" s="76" t="str">
        <f t="shared" si="131"/>
        <v>Voie orale  hors prémélanges médicamenteux</v>
      </c>
      <c r="BU415" t="str">
        <f t="shared" si="132"/>
        <v>x</v>
      </c>
      <c r="CN415">
        <v>414</v>
      </c>
    </row>
    <row r="416" spans="1:92" x14ac:dyDescent="0.3">
      <c r="A416" s="118" t="s">
        <v>1710</v>
      </c>
      <c r="B416" t="s">
        <v>1716</v>
      </c>
      <c r="C416" t="s">
        <v>1293</v>
      </c>
      <c r="D416" s="144" t="s">
        <v>924</v>
      </c>
      <c r="E416" t="s">
        <v>830</v>
      </c>
      <c r="F416" t="s">
        <v>304</v>
      </c>
      <c r="G416" t="s">
        <v>831</v>
      </c>
      <c r="H416" t="s">
        <v>1697</v>
      </c>
      <c r="I416" t="s">
        <v>817</v>
      </c>
      <c r="J416" t="s">
        <v>1208</v>
      </c>
      <c r="K416" t="s">
        <v>768</v>
      </c>
      <c r="L416" t="s">
        <v>769</v>
      </c>
      <c r="M416" t="s">
        <v>208</v>
      </c>
      <c r="N416" t="s">
        <v>1712</v>
      </c>
      <c r="O416" t="s">
        <v>894</v>
      </c>
      <c r="P416" t="s">
        <v>772</v>
      </c>
      <c r="Q416" t="s">
        <v>1717</v>
      </c>
      <c r="R416">
        <v>22</v>
      </c>
      <c r="S416">
        <v>6</v>
      </c>
      <c r="T416">
        <v>0</v>
      </c>
      <c r="U416">
        <v>0</v>
      </c>
      <c r="V416">
        <v>0</v>
      </c>
      <c r="W416">
        <v>0</v>
      </c>
      <c r="X416">
        <v>0</v>
      </c>
      <c r="Y416">
        <v>0</v>
      </c>
      <c r="Z416">
        <v>22</v>
      </c>
      <c r="AA416">
        <v>6</v>
      </c>
      <c r="AB416">
        <v>22</v>
      </c>
      <c r="AC416">
        <v>6</v>
      </c>
      <c r="AD416">
        <v>22</v>
      </c>
      <c r="AE416">
        <v>6</v>
      </c>
      <c r="AF416">
        <v>22</v>
      </c>
      <c r="AG416">
        <v>6</v>
      </c>
      <c r="AH416">
        <v>0</v>
      </c>
      <c r="AI416">
        <v>0</v>
      </c>
      <c r="AJ416" t="s">
        <v>783</v>
      </c>
      <c r="AK416" t="s">
        <v>784</v>
      </c>
      <c r="AL416" t="s">
        <v>208</v>
      </c>
      <c r="AM416" t="s">
        <v>1713</v>
      </c>
      <c r="AN416" t="s">
        <v>894</v>
      </c>
      <c r="AO416" t="s">
        <v>772</v>
      </c>
      <c r="AP416" t="s">
        <v>1718</v>
      </c>
      <c r="AY416" t="str">
        <f t="shared" si="114"/>
        <v>COMPOMIX V NEOSTARTER</v>
      </c>
      <c r="AZ416" t="str">
        <f>IF(COUNTIF(AY:AY,AY416)=1,AY416,IF(AND(COUNTIF(AY:AY,AY416)&gt;1,COUNTIF(AZ$2:AZ415,AY416)&gt;=1),"",AY416))</f>
        <v/>
      </c>
      <c r="BA416" t="str">
        <f>IF(AZ416="","",COUNTIFS(AZ$3:AZ$1439,"&lt;"&amp;AZ416,AZ$3:AZ$1439,"&lt;&gt;0")+COUNTIF(AZ$3:AZ416,AZ416)-876)</f>
        <v/>
      </c>
      <c r="BC416">
        <v>414</v>
      </c>
      <c r="BD416" t="str">
        <f t="shared" si="125"/>
        <v>QUINOFLOX 10% SOLUTION BUVABLE</v>
      </c>
      <c r="BE416" t="str">
        <f t="shared" si="115"/>
        <v>ORAL</v>
      </c>
      <c r="BF416" t="str">
        <f t="shared" si="116"/>
        <v>FLUOROQUINOLONES</v>
      </c>
      <c r="BG416" t="str">
        <f t="shared" si="117"/>
        <v/>
      </c>
      <c r="BH416" t="str">
        <f t="shared" si="118"/>
        <v/>
      </c>
      <c r="BI416" t="str">
        <f t="shared" si="119"/>
        <v>enrofloxacin</v>
      </c>
      <c r="BJ416" t="str">
        <f t="shared" si="120"/>
        <v/>
      </c>
      <c r="BK416" t="str">
        <f t="shared" si="121"/>
        <v/>
      </c>
      <c r="BL416" t="str">
        <f t="shared" si="126"/>
        <v>Enrofloxacine</v>
      </c>
      <c r="BM416" t="str">
        <f t="shared" si="122"/>
        <v>Enrofloxacine</v>
      </c>
      <c r="BN416" t="str">
        <f t="shared" si="123"/>
        <v/>
      </c>
      <c r="BO416" t="str">
        <f t="shared" si="124"/>
        <v/>
      </c>
      <c r="BP416" t="str">
        <f t="shared" si="127"/>
        <v>Fluoroquinolones</v>
      </c>
      <c r="BQ416" t="str">
        <f t="shared" si="128"/>
        <v>Fluoroquinolones</v>
      </c>
      <c r="BR416" t="str">
        <f t="shared" si="129"/>
        <v/>
      </c>
      <c r="BS416" t="str">
        <f t="shared" si="130"/>
        <v/>
      </c>
      <c r="BT416" s="76" t="str">
        <f t="shared" si="131"/>
        <v>Voie orale  hors prémélanges médicamenteux</v>
      </c>
      <c r="BU416" t="str">
        <f t="shared" si="132"/>
        <v>x</v>
      </c>
      <c r="CN416">
        <v>415</v>
      </c>
    </row>
    <row r="417" spans="1:92" x14ac:dyDescent="0.3">
      <c r="A417" s="118" t="s">
        <v>1710</v>
      </c>
      <c r="B417" t="s">
        <v>1719</v>
      </c>
      <c r="C417" t="s">
        <v>1720</v>
      </c>
      <c r="D417" s="144" t="s">
        <v>764</v>
      </c>
      <c r="E417" t="s">
        <v>830</v>
      </c>
      <c r="F417" t="s">
        <v>304</v>
      </c>
      <c r="G417" t="s">
        <v>831</v>
      </c>
      <c r="H417" t="s">
        <v>1697</v>
      </c>
      <c r="I417" t="s">
        <v>817</v>
      </c>
      <c r="J417" t="s">
        <v>1208</v>
      </c>
      <c r="K417" t="s">
        <v>768</v>
      </c>
      <c r="L417" t="s">
        <v>769</v>
      </c>
      <c r="M417" t="s">
        <v>208</v>
      </c>
      <c r="N417" t="s">
        <v>1712</v>
      </c>
      <c r="O417" t="s">
        <v>894</v>
      </c>
      <c r="P417" t="s">
        <v>772</v>
      </c>
      <c r="Q417" t="s">
        <v>1721</v>
      </c>
      <c r="R417">
        <v>22</v>
      </c>
      <c r="S417">
        <v>6</v>
      </c>
      <c r="T417">
        <v>0</v>
      </c>
      <c r="U417">
        <v>0</v>
      </c>
      <c r="V417">
        <v>0</v>
      </c>
      <c r="W417">
        <v>0</v>
      </c>
      <c r="X417">
        <v>0</v>
      </c>
      <c r="Y417">
        <v>0</v>
      </c>
      <c r="Z417">
        <v>22</v>
      </c>
      <c r="AA417">
        <v>6</v>
      </c>
      <c r="AB417">
        <v>22</v>
      </c>
      <c r="AC417">
        <v>6</v>
      </c>
      <c r="AD417">
        <v>22</v>
      </c>
      <c r="AE417">
        <v>6</v>
      </c>
      <c r="AF417">
        <v>22</v>
      </c>
      <c r="AG417">
        <v>6</v>
      </c>
      <c r="AH417">
        <v>0</v>
      </c>
      <c r="AI417">
        <v>0</v>
      </c>
      <c r="AJ417" t="s">
        <v>783</v>
      </c>
      <c r="AK417" t="s">
        <v>784</v>
      </c>
      <c r="AL417" t="s">
        <v>208</v>
      </c>
      <c r="AM417" t="s">
        <v>1713</v>
      </c>
      <c r="AN417" t="s">
        <v>894</v>
      </c>
      <c r="AO417" t="s">
        <v>772</v>
      </c>
      <c r="AP417" t="s">
        <v>1722</v>
      </c>
      <c r="AY417" t="str">
        <f t="shared" si="114"/>
        <v>COMPOMIX V NEOSTARTER</v>
      </c>
      <c r="AZ417" t="str">
        <f>IF(COUNTIF(AY:AY,AY417)=1,AY417,IF(AND(COUNTIF(AY:AY,AY417)&gt;1,COUNTIF(AZ$2:AZ416,AY417)&gt;=1),"",AY417))</f>
        <v/>
      </c>
      <c r="BA417" t="str">
        <f>IF(AZ417="","",COUNTIFS(AZ$3:AZ$1439,"&lt;"&amp;AZ417,AZ$3:AZ$1439,"&lt;&gt;0")+COUNTIF(AZ$3:AZ417,AZ417)-876)</f>
        <v/>
      </c>
      <c r="BC417">
        <v>415</v>
      </c>
      <c r="BD417" t="str">
        <f t="shared" si="125"/>
        <v>QUINOTRYL 100 MG/ML SOLUTION INJECTABLE POUR BOVINS ET PORCINS</v>
      </c>
      <c r="BE417" t="str">
        <f t="shared" si="115"/>
        <v>INJ</v>
      </c>
      <c r="BF417" t="str">
        <f t="shared" si="116"/>
        <v>FLUOROQUINOLONES</v>
      </c>
      <c r="BG417" t="str">
        <f t="shared" si="117"/>
        <v/>
      </c>
      <c r="BH417" t="str">
        <f t="shared" si="118"/>
        <v/>
      </c>
      <c r="BI417" t="str">
        <f t="shared" si="119"/>
        <v>enrofloxacin</v>
      </c>
      <c r="BJ417" t="str">
        <f t="shared" si="120"/>
        <v/>
      </c>
      <c r="BK417" t="str">
        <f t="shared" si="121"/>
        <v/>
      </c>
      <c r="BL417" t="str">
        <f t="shared" si="126"/>
        <v>Enrofloxacine</v>
      </c>
      <c r="BM417" t="str">
        <f t="shared" si="122"/>
        <v>Enrofloxacine</v>
      </c>
      <c r="BN417" t="str">
        <f t="shared" si="123"/>
        <v/>
      </c>
      <c r="BO417" t="str">
        <f t="shared" si="124"/>
        <v/>
      </c>
      <c r="BP417" t="str">
        <f t="shared" si="127"/>
        <v>Fluoroquinolones</v>
      </c>
      <c r="BQ417" t="str">
        <f t="shared" si="128"/>
        <v>Fluoroquinolones</v>
      </c>
      <c r="BR417" t="str">
        <f t="shared" si="129"/>
        <v/>
      </c>
      <c r="BS417" t="str">
        <f t="shared" si="130"/>
        <v/>
      </c>
      <c r="BT417" s="76" t="str">
        <f t="shared" si="131"/>
        <v>Voie parentérale</v>
      </c>
      <c r="BU417" t="str">
        <f t="shared" si="132"/>
        <v>x</v>
      </c>
      <c r="CN417">
        <v>416</v>
      </c>
    </row>
    <row r="418" spans="1:92" x14ac:dyDescent="0.3">
      <c r="A418" s="118" t="s">
        <v>1694</v>
      </c>
      <c r="B418" t="s">
        <v>1695</v>
      </c>
      <c r="C418" t="s">
        <v>1696</v>
      </c>
      <c r="D418" s="144" t="s">
        <v>955</v>
      </c>
      <c r="E418" t="s">
        <v>830</v>
      </c>
      <c r="F418" t="s">
        <v>305</v>
      </c>
      <c r="G418" t="s">
        <v>831</v>
      </c>
      <c r="H418" t="s">
        <v>1697</v>
      </c>
      <c r="I418" t="s">
        <v>817</v>
      </c>
      <c r="J418" t="s">
        <v>928</v>
      </c>
      <c r="K418" t="s">
        <v>862</v>
      </c>
      <c r="L418" t="s">
        <v>1003</v>
      </c>
      <c r="M418" t="s">
        <v>208</v>
      </c>
      <c r="N418" t="s">
        <v>1698</v>
      </c>
      <c r="O418" t="s">
        <v>894</v>
      </c>
      <c r="P418" t="s">
        <v>772</v>
      </c>
      <c r="Q418" t="s">
        <v>1699</v>
      </c>
      <c r="R418">
        <v>23.2</v>
      </c>
      <c r="S418">
        <v>6</v>
      </c>
      <c r="T418">
        <v>0</v>
      </c>
      <c r="U418">
        <v>0</v>
      </c>
      <c r="V418">
        <v>0</v>
      </c>
      <c r="W418">
        <v>0</v>
      </c>
      <c r="X418">
        <v>0</v>
      </c>
      <c r="Y418">
        <v>0</v>
      </c>
      <c r="Z418">
        <v>23.2</v>
      </c>
      <c r="AA418">
        <v>5</v>
      </c>
      <c r="AB418">
        <v>23.2</v>
      </c>
      <c r="AC418">
        <v>5</v>
      </c>
      <c r="AD418">
        <v>23.2</v>
      </c>
      <c r="AE418">
        <v>5</v>
      </c>
      <c r="AF418">
        <v>23.2</v>
      </c>
      <c r="AG418">
        <v>5</v>
      </c>
      <c r="AH418">
        <v>0</v>
      </c>
      <c r="AI418">
        <v>0</v>
      </c>
      <c r="AJ418" t="s">
        <v>930</v>
      </c>
      <c r="AK418" t="s">
        <v>931</v>
      </c>
      <c r="AL418" t="s">
        <v>208</v>
      </c>
      <c r="AM418" t="s">
        <v>855</v>
      </c>
      <c r="AN418" t="s">
        <v>894</v>
      </c>
      <c r="AO418" t="s">
        <v>772</v>
      </c>
      <c r="AP418" t="s">
        <v>1125</v>
      </c>
      <c r="AY418" t="str">
        <f t="shared" si="114"/>
        <v>COMPOMIX V SULFAPRIM</v>
      </c>
      <c r="AZ418" t="str">
        <f>IF(COUNTIF(AY:AY,AY418)=1,AY418,IF(AND(COUNTIF(AY:AY,AY418)&gt;1,COUNTIF(AZ$2:AZ417,AY418)&gt;=1),"",AY418))</f>
        <v>COMPOMIX V SULFAPRIM</v>
      </c>
      <c r="BA418">
        <f>IF(AZ418="","",COUNTIFS(AZ$3:AZ$1439,"&lt;"&amp;AZ418,AZ$3:AZ$1439,"&lt;&gt;0")+COUNTIF(AZ$3:AZ418,AZ418)-876)</f>
        <v>150</v>
      </c>
      <c r="BC418">
        <v>416</v>
      </c>
      <c r="BD418" t="str">
        <f t="shared" si="125"/>
        <v>QUINOTRYL 50 MG/ML SOLUTION INJECTABLE POUR BOVINS ET PORCINS</v>
      </c>
      <c r="BE418" t="str">
        <f t="shared" si="115"/>
        <v>INJ</v>
      </c>
      <c r="BF418" t="str">
        <f t="shared" si="116"/>
        <v>FLUOROQUINOLONES</v>
      </c>
      <c r="BG418" t="str">
        <f t="shared" si="117"/>
        <v/>
      </c>
      <c r="BH418" t="str">
        <f t="shared" si="118"/>
        <v/>
      </c>
      <c r="BI418" t="str">
        <f t="shared" si="119"/>
        <v>enrofloxacin</v>
      </c>
      <c r="BJ418" t="str">
        <f t="shared" si="120"/>
        <v/>
      </c>
      <c r="BK418" t="str">
        <f t="shared" si="121"/>
        <v/>
      </c>
      <c r="BL418" t="str">
        <f t="shared" si="126"/>
        <v>Enrofloxacine</v>
      </c>
      <c r="BM418" t="str">
        <f t="shared" si="122"/>
        <v>Enrofloxacine</v>
      </c>
      <c r="BN418" t="str">
        <f t="shared" si="123"/>
        <v/>
      </c>
      <c r="BO418" t="str">
        <f t="shared" si="124"/>
        <v/>
      </c>
      <c r="BP418" t="str">
        <f t="shared" si="127"/>
        <v>Fluoroquinolones</v>
      </c>
      <c r="BQ418" t="str">
        <f t="shared" si="128"/>
        <v>Fluoroquinolones</v>
      </c>
      <c r="BR418" t="str">
        <f t="shared" si="129"/>
        <v/>
      </c>
      <c r="BS418" t="str">
        <f t="shared" si="130"/>
        <v/>
      </c>
      <c r="BT418" s="76" t="str">
        <f t="shared" si="131"/>
        <v>Voie parentérale</v>
      </c>
      <c r="BU418" t="str">
        <f t="shared" si="132"/>
        <v>x</v>
      </c>
      <c r="CN418">
        <v>417</v>
      </c>
    </row>
    <row r="419" spans="1:92" x14ac:dyDescent="0.3">
      <c r="A419" s="118" t="s">
        <v>1694</v>
      </c>
      <c r="B419" t="s">
        <v>1700</v>
      </c>
      <c r="C419" t="s">
        <v>1701</v>
      </c>
      <c r="D419" s="144" t="s">
        <v>924</v>
      </c>
      <c r="E419" t="s">
        <v>830</v>
      </c>
      <c r="F419" t="s">
        <v>305</v>
      </c>
      <c r="G419" t="s">
        <v>831</v>
      </c>
      <c r="H419" t="s">
        <v>1697</v>
      </c>
      <c r="I419" t="s">
        <v>817</v>
      </c>
      <c r="J419" t="s">
        <v>928</v>
      </c>
      <c r="K419" t="s">
        <v>862</v>
      </c>
      <c r="L419" t="s">
        <v>1003</v>
      </c>
      <c r="M419" t="s">
        <v>208</v>
      </c>
      <c r="N419" t="s">
        <v>1698</v>
      </c>
      <c r="O419" t="s">
        <v>894</v>
      </c>
      <c r="P419" t="s">
        <v>772</v>
      </c>
      <c r="Q419" t="s">
        <v>1702</v>
      </c>
      <c r="R419">
        <v>23.2</v>
      </c>
      <c r="S419">
        <v>6</v>
      </c>
      <c r="T419">
        <v>0</v>
      </c>
      <c r="U419">
        <v>0</v>
      </c>
      <c r="V419">
        <v>0</v>
      </c>
      <c r="W419">
        <v>0</v>
      </c>
      <c r="X419">
        <v>0</v>
      </c>
      <c r="Y419">
        <v>0</v>
      </c>
      <c r="Z419">
        <v>23.2</v>
      </c>
      <c r="AA419">
        <v>5</v>
      </c>
      <c r="AB419">
        <v>23.2</v>
      </c>
      <c r="AC419">
        <v>5</v>
      </c>
      <c r="AD419">
        <v>23.2</v>
      </c>
      <c r="AE419">
        <v>5</v>
      </c>
      <c r="AF419">
        <v>23.2</v>
      </c>
      <c r="AG419">
        <v>5</v>
      </c>
      <c r="AH419">
        <v>0</v>
      </c>
      <c r="AI419">
        <v>0</v>
      </c>
      <c r="AJ419" t="s">
        <v>930</v>
      </c>
      <c r="AK419" t="s">
        <v>931</v>
      </c>
      <c r="AL419" t="s">
        <v>208</v>
      </c>
      <c r="AM419" t="s">
        <v>855</v>
      </c>
      <c r="AN419" t="s">
        <v>894</v>
      </c>
      <c r="AO419" t="s">
        <v>772</v>
      </c>
      <c r="AP419" t="s">
        <v>776</v>
      </c>
      <c r="AY419" t="str">
        <f t="shared" si="114"/>
        <v>COMPOMIX V SULFAPRIM</v>
      </c>
      <c r="AZ419" t="str">
        <f>IF(COUNTIF(AY:AY,AY419)=1,AY419,IF(AND(COUNTIF(AY:AY,AY419)&gt;1,COUNTIF(AZ$2:AZ418,AY419)&gt;=1),"",AY419))</f>
        <v/>
      </c>
      <c r="BA419" t="str">
        <f>IF(AZ419="","",COUNTIFS(AZ$3:AZ$1439,"&lt;"&amp;AZ419,AZ$3:AZ$1439,"&lt;&gt;0")+COUNTIF(AZ$3:AZ419,AZ419)-876)</f>
        <v/>
      </c>
      <c r="BC419">
        <v>417</v>
      </c>
      <c r="BD419" t="str">
        <f t="shared" si="125"/>
        <v>READYCEF 50 MG/ML SUSPENSION INJECTABLE POUR PORCINS ET BOVINS</v>
      </c>
      <c r="BE419" t="str">
        <f t="shared" si="115"/>
        <v>INJ</v>
      </c>
      <c r="BF419" t="str">
        <f t="shared" si="116"/>
        <v>CEPHALOSPORINES 3&amp;4G</v>
      </c>
      <c r="BG419" t="str">
        <f t="shared" si="117"/>
        <v/>
      </c>
      <c r="BH419" t="str">
        <f t="shared" si="118"/>
        <v/>
      </c>
      <c r="BI419" t="str">
        <f t="shared" si="119"/>
        <v>ceftiofur</v>
      </c>
      <c r="BJ419" t="str">
        <f t="shared" si="120"/>
        <v/>
      </c>
      <c r="BK419" t="str">
        <f t="shared" si="121"/>
        <v/>
      </c>
      <c r="BL419" t="str">
        <f t="shared" si="126"/>
        <v>Ceftiofur</v>
      </c>
      <c r="BM419" t="str">
        <f t="shared" si="122"/>
        <v>Ceftiofur</v>
      </c>
      <c r="BN419" t="str">
        <f t="shared" si="123"/>
        <v/>
      </c>
      <c r="BO419" t="str">
        <f t="shared" si="124"/>
        <v/>
      </c>
      <c r="BP419" t="str">
        <f t="shared" si="127"/>
        <v>Cephalosporines 3&amp;4G</v>
      </c>
      <c r="BQ419" t="str">
        <f t="shared" si="128"/>
        <v>Cephalosporines 3&amp;4G</v>
      </c>
      <c r="BR419" t="str">
        <f t="shared" si="129"/>
        <v/>
      </c>
      <c r="BS419" t="str">
        <f t="shared" si="130"/>
        <v/>
      </c>
      <c r="BT419" s="76" t="str">
        <f t="shared" si="131"/>
        <v>Voie parentérale</v>
      </c>
      <c r="BU419" t="str">
        <f t="shared" si="132"/>
        <v>x</v>
      </c>
      <c r="CN419">
        <v>418</v>
      </c>
    </row>
    <row r="420" spans="1:92" x14ac:dyDescent="0.3">
      <c r="A420" s="118" t="s">
        <v>1694</v>
      </c>
      <c r="B420" t="s">
        <v>1703</v>
      </c>
      <c r="C420" t="s">
        <v>1313</v>
      </c>
      <c r="D420" s="144" t="s">
        <v>955</v>
      </c>
      <c r="E420" t="s">
        <v>830</v>
      </c>
      <c r="F420" t="s">
        <v>305</v>
      </c>
      <c r="G420" t="s">
        <v>831</v>
      </c>
      <c r="H420" t="s">
        <v>1697</v>
      </c>
      <c r="I420" t="s">
        <v>817</v>
      </c>
      <c r="J420" t="s">
        <v>928</v>
      </c>
      <c r="K420" t="s">
        <v>862</v>
      </c>
      <c r="L420" t="s">
        <v>1003</v>
      </c>
      <c r="M420" t="s">
        <v>208</v>
      </c>
      <c r="N420" t="s">
        <v>1698</v>
      </c>
      <c r="O420" t="s">
        <v>894</v>
      </c>
      <c r="P420" t="s">
        <v>772</v>
      </c>
      <c r="Q420" t="s">
        <v>1699</v>
      </c>
      <c r="R420">
        <v>23.2</v>
      </c>
      <c r="S420">
        <v>6</v>
      </c>
      <c r="T420">
        <v>0</v>
      </c>
      <c r="U420">
        <v>0</v>
      </c>
      <c r="V420">
        <v>0</v>
      </c>
      <c r="W420">
        <v>0</v>
      </c>
      <c r="X420">
        <v>0</v>
      </c>
      <c r="Y420">
        <v>0</v>
      </c>
      <c r="Z420">
        <v>23.2</v>
      </c>
      <c r="AA420">
        <v>5</v>
      </c>
      <c r="AB420">
        <v>23.2</v>
      </c>
      <c r="AC420">
        <v>5</v>
      </c>
      <c r="AD420">
        <v>23.2</v>
      </c>
      <c r="AE420">
        <v>5</v>
      </c>
      <c r="AF420">
        <v>23.2</v>
      </c>
      <c r="AG420">
        <v>5</v>
      </c>
      <c r="AH420">
        <v>0</v>
      </c>
      <c r="AI420">
        <v>0</v>
      </c>
      <c r="AJ420" t="s">
        <v>930</v>
      </c>
      <c r="AK420" t="s">
        <v>931</v>
      </c>
      <c r="AL420" t="s">
        <v>208</v>
      </c>
      <c r="AM420" t="s">
        <v>855</v>
      </c>
      <c r="AN420" t="s">
        <v>894</v>
      </c>
      <c r="AO420" t="s">
        <v>772</v>
      </c>
      <c r="AP420" t="s">
        <v>1125</v>
      </c>
      <c r="AY420" t="str">
        <f t="shared" si="114"/>
        <v>COMPOMIX V SULFAPRIM</v>
      </c>
      <c r="AZ420" t="str">
        <f>IF(COUNTIF(AY:AY,AY420)=1,AY420,IF(AND(COUNTIF(AY:AY,AY420)&gt;1,COUNTIF(AZ$2:AZ419,AY420)&gt;=1),"",AY420))</f>
        <v/>
      </c>
      <c r="BA420" t="str">
        <f>IF(AZ420="","",COUNTIFS(AZ$3:AZ$1439,"&lt;"&amp;AZ420,AZ$3:AZ$1439,"&lt;&gt;0")+COUNTIF(AZ$3:AZ420,AZ420)-876)</f>
        <v/>
      </c>
      <c r="BC420">
        <v>418</v>
      </c>
      <c r="BD420" t="str">
        <f t="shared" si="125"/>
        <v>RESFLOR SOLUTION INJECTABLE</v>
      </c>
      <c r="BE420" t="str">
        <f t="shared" si="115"/>
        <v>INJ</v>
      </c>
      <c r="BF420" t="str">
        <f t="shared" si="116"/>
        <v>PHENICOLES</v>
      </c>
      <c r="BG420" t="str">
        <f t="shared" si="117"/>
        <v/>
      </c>
      <c r="BH420" t="str">
        <f t="shared" si="118"/>
        <v/>
      </c>
      <c r="BI420" t="str">
        <f t="shared" si="119"/>
        <v>florfenicol</v>
      </c>
      <c r="BJ420" t="str">
        <f t="shared" si="120"/>
        <v/>
      </c>
      <c r="BK420" t="str">
        <f t="shared" si="121"/>
        <v/>
      </c>
      <c r="BL420" t="str">
        <f t="shared" si="126"/>
        <v>Florfénicol</v>
      </c>
      <c r="BM420" t="str">
        <f t="shared" si="122"/>
        <v>Florfénicol</v>
      </c>
      <c r="BN420" t="str">
        <f t="shared" si="123"/>
        <v/>
      </c>
      <c r="BO420" t="str">
        <f t="shared" si="124"/>
        <v/>
      </c>
      <c r="BP420" t="str">
        <f t="shared" si="127"/>
        <v>Phenicoles</v>
      </c>
      <c r="BQ420" t="str">
        <f t="shared" si="128"/>
        <v>Phenicoles</v>
      </c>
      <c r="BR420" t="str">
        <f t="shared" si="129"/>
        <v/>
      </c>
      <c r="BS420" t="str">
        <f t="shared" si="130"/>
        <v/>
      </c>
      <c r="BT420" s="76" t="str">
        <f t="shared" si="131"/>
        <v>Voie parentérale</v>
      </c>
      <c r="BU420" t="str">
        <f t="shared" si="132"/>
        <v/>
      </c>
      <c r="CN420">
        <v>419</v>
      </c>
    </row>
    <row r="421" spans="1:92" x14ac:dyDescent="0.3">
      <c r="A421" s="118" t="s">
        <v>1093</v>
      </c>
      <c r="B421" t="s">
        <v>1094</v>
      </c>
      <c r="C421" t="s">
        <v>1095</v>
      </c>
      <c r="D421" s="144" t="s">
        <v>1063</v>
      </c>
      <c r="E421" t="s">
        <v>830</v>
      </c>
      <c r="F421" t="s">
        <v>629</v>
      </c>
      <c r="G421" t="s">
        <v>1064</v>
      </c>
      <c r="H421" t="s">
        <v>1091</v>
      </c>
      <c r="I421" t="s">
        <v>1066</v>
      </c>
      <c r="J421" t="s">
        <v>802</v>
      </c>
      <c r="K421" t="s">
        <v>802</v>
      </c>
      <c r="L421" t="s">
        <v>803</v>
      </c>
      <c r="M421" t="s">
        <v>208</v>
      </c>
      <c r="N421" t="s">
        <v>1096</v>
      </c>
      <c r="O421" t="s">
        <v>834</v>
      </c>
      <c r="P421" t="s">
        <v>4363</v>
      </c>
      <c r="Q421" t="s">
        <v>4376</v>
      </c>
      <c r="R421">
        <v>0</v>
      </c>
      <c r="S421">
        <v>0</v>
      </c>
      <c r="T421">
        <v>0</v>
      </c>
      <c r="U421">
        <v>0</v>
      </c>
      <c r="V421">
        <v>0</v>
      </c>
      <c r="W421">
        <v>0</v>
      </c>
      <c r="X421">
        <v>0</v>
      </c>
      <c r="Y421">
        <v>0</v>
      </c>
      <c r="Z421">
        <v>0</v>
      </c>
      <c r="AA421">
        <v>0</v>
      </c>
      <c r="AB421">
        <v>0</v>
      </c>
      <c r="AC421">
        <v>0</v>
      </c>
      <c r="AD421">
        <v>20</v>
      </c>
      <c r="AE421">
        <v>21</v>
      </c>
      <c r="AF421">
        <v>40</v>
      </c>
      <c r="AG421">
        <v>10</v>
      </c>
      <c r="AH421">
        <v>0</v>
      </c>
      <c r="AI421">
        <v>0</v>
      </c>
      <c r="AY421" t="str">
        <f t="shared" si="114"/>
        <v>CONCENTRAT V002 SPIRA 100</v>
      </c>
      <c r="AZ421" t="str">
        <f>IF(COUNTIF(AY:AY,AY421)=1,AY421,IF(AND(COUNTIF(AY:AY,AY421)&gt;1,COUNTIF(AZ$2:AZ420,AY421)&gt;=1),"",AY421))</f>
        <v>CONCENTRAT V002 SPIRA 100</v>
      </c>
      <c r="BA421">
        <f>IF(AZ421="","",COUNTIFS(AZ$3:AZ$1439,"&lt;"&amp;AZ421,AZ$3:AZ$1439,"&lt;&gt;0")+COUNTIF(AZ$3:AZ421,AZ421)-876)</f>
        <v>151</v>
      </c>
      <c r="BC421">
        <v>419</v>
      </c>
      <c r="BD421" t="str">
        <f t="shared" si="125"/>
        <v>RESPYTRIL 100 MG/ML SOLUTION INJECTABLE POUR BOVINS</v>
      </c>
      <c r="BE421" t="str">
        <f t="shared" si="115"/>
        <v>INJ</v>
      </c>
      <c r="BF421" t="str">
        <f t="shared" si="116"/>
        <v>FLUOROQUINOLONES</v>
      </c>
      <c r="BG421" t="str">
        <f t="shared" si="117"/>
        <v/>
      </c>
      <c r="BH421" t="str">
        <f t="shared" si="118"/>
        <v/>
      </c>
      <c r="BI421" t="str">
        <f t="shared" si="119"/>
        <v>enrofloxacin</v>
      </c>
      <c r="BJ421" t="str">
        <f t="shared" si="120"/>
        <v/>
      </c>
      <c r="BK421" t="str">
        <f t="shared" si="121"/>
        <v/>
      </c>
      <c r="BL421" t="str">
        <f t="shared" si="126"/>
        <v>Enrofloxacine</v>
      </c>
      <c r="BM421" t="str">
        <f t="shared" si="122"/>
        <v>Enrofloxacine</v>
      </c>
      <c r="BN421" t="str">
        <f t="shared" si="123"/>
        <v/>
      </c>
      <c r="BO421" t="str">
        <f t="shared" si="124"/>
        <v/>
      </c>
      <c r="BP421" t="str">
        <f t="shared" si="127"/>
        <v>Fluoroquinolones</v>
      </c>
      <c r="BQ421" t="str">
        <f t="shared" si="128"/>
        <v>Fluoroquinolones</v>
      </c>
      <c r="BR421" t="str">
        <f t="shared" si="129"/>
        <v/>
      </c>
      <c r="BS421" t="str">
        <f t="shared" si="130"/>
        <v/>
      </c>
      <c r="BT421" s="76" t="str">
        <f t="shared" si="131"/>
        <v>Voie parentérale</v>
      </c>
      <c r="BU421" t="str">
        <f t="shared" si="132"/>
        <v>x</v>
      </c>
      <c r="CN421">
        <v>420</v>
      </c>
    </row>
    <row r="422" spans="1:92" x14ac:dyDescent="0.3">
      <c r="A422" s="118" t="s">
        <v>1088</v>
      </c>
      <c r="B422" t="s">
        <v>1089</v>
      </c>
      <c r="C422" t="s">
        <v>1062</v>
      </c>
      <c r="D422" s="144" t="s">
        <v>1063</v>
      </c>
      <c r="E422" t="s">
        <v>830</v>
      </c>
      <c r="F422" t="s">
        <v>306</v>
      </c>
      <c r="G422" t="s">
        <v>1064</v>
      </c>
      <c r="H422" t="s">
        <v>1091</v>
      </c>
      <c r="I422" t="s">
        <v>1066</v>
      </c>
      <c r="J422" t="s">
        <v>802</v>
      </c>
      <c r="K422" t="s">
        <v>802</v>
      </c>
      <c r="L422" t="s">
        <v>1092</v>
      </c>
      <c r="M422" t="s">
        <v>208</v>
      </c>
      <c r="N422" t="s">
        <v>869</v>
      </c>
      <c r="O422" t="s">
        <v>894</v>
      </c>
      <c r="P422" t="s">
        <v>772</v>
      </c>
      <c r="Q422" t="s">
        <v>906</v>
      </c>
      <c r="R422">
        <v>0</v>
      </c>
      <c r="S422">
        <v>0</v>
      </c>
      <c r="T422">
        <v>0</v>
      </c>
      <c r="U422">
        <v>0</v>
      </c>
      <c r="V422">
        <v>0</v>
      </c>
      <c r="W422">
        <v>0</v>
      </c>
      <c r="X422">
        <v>0</v>
      </c>
      <c r="Y422">
        <v>0</v>
      </c>
      <c r="Z422">
        <v>0</v>
      </c>
      <c r="AA422">
        <v>0</v>
      </c>
      <c r="AB422">
        <v>0</v>
      </c>
      <c r="AC422">
        <v>0</v>
      </c>
      <c r="AD422">
        <v>5</v>
      </c>
      <c r="AE422">
        <v>21</v>
      </c>
      <c r="AF422">
        <v>100</v>
      </c>
      <c r="AG422">
        <v>5</v>
      </c>
      <c r="AH422">
        <v>0</v>
      </c>
      <c r="AI422">
        <v>0</v>
      </c>
      <c r="AY422" t="str">
        <f t="shared" si="114"/>
        <v>CONCENTRAT V007 TYLAN 100</v>
      </c>
      <c r="AZ422" t="str">
        <f>IF(COUNTIF(AY:AY,AY422)=1,AY422,IF(AND(COUNTIF(AY:AY,AY422)&gt;1,COUNTIF(AZ$2:AZ421,AY422)&gt;=1),"",AY422))</f>
        <v>CONCENTRAT V007 TYLAN 100</v>
      </c>
      <c r="BA422">
        <f>IF(AZ422="","",COUNTIFS(AZ$3:AZ$1439,"&lt;"&amp;AZ422,AZ$3:AZ$1439,"&lt;&gt;0")+COUNTIF(AZ$3:AZ422,AZ422)-876)</f>
        <v>152</v>
      </c>
      <c r="BC422">
        <v>420</v>
      </c>
      <c r="BD422" t="str">
        <f t="shared" si="125"/>
        <v>REVOZYN RTU 308,8 MG/ML SUSPENSION INJECTABLE POUR BOVINS</v>
      </c>
      <c r="BE422" t="str">
        <f t="shared" si="115"/>
        <v>INJ</v>
      </c>
      <c r="BF422" t="str">
        <f t="shared" si="116"/>
        <v>PENICILLINES</v>
      </c>
      <c r="BG422" t="str">
        <f t="shared" si="117"/>
        <v/>
      </c>
      <c r="BH422" t="str">
        <f t="shared" si="118"/>
        <v/>
      </c>
      <c r="BI422" t="str">
        <f t="shared" si="119"/>
        <v>penethamate hydriodide</v>
      </c>
      <c r="BJ422" t="str">
        <f t="shared" si="120"/>
        <v/>
      </c>
      <c r="BK422" t="str">
        <f t="shared" si="121"/>
        <v/>
      </c>
      <c r="BL422" t="str">
        <f t="shared" si="126"/>
        <v>Pénéthamate (ou pénéthacilline)</v>
      </c>
      <c r="BM422" t="str">
        <f t="shared" si="122"/>
        <v>Pénéthamate (ou pénéthacilline)</v>
      </c>
      <c r="BN422" t="str">
        <f t="shared" si="123"/>
        <v/>
      </c>
      <c r="BO422" t="str">
        <f t="shared" si="124"/>
        <v/>
      </c>
      <c r="BP422" t="str">
        <f t="shared" si="127"/>
        <v>Penicillines</v>
      </c>
      <c r="BQ422" t="str">
        <f t="shared" si="128"/>
        <v>Penicillines</v>
      </c>
      <c r="BR422" t="str">
        <f t="shared" si="129"/>
        <v/>
      </c>
      <c r="BS422" t="str">
        <f t="shared" si="130"/>
        <v/>
      </c>
      <c r="BT422" s="76" t="str">
        <f t="shared" si="131"/>
        <v>Voie parentérale</v>
      </c>
      <c r="BU422" t="str">
        <f t="shared" si="132"/>
        <v/>
      </c>
      <c r="CN422">
        <v>421</v>
      </c>
    </row>
    <row r="423" spans="1:92" x14ac:dyDescent="0.3">
      <c r="A423" s="118" t="s">
        <v>1083</v>
      </c>
      <c r="B423" t="s">
        <v>1084</v>
      </c>
      <c r="C423" t="s">
        <v>1085</v>
      </c>
      <c r="D423" s="144" t="s">
        <v>1063</v>
      </c>
      <c r="E423" t="s">
        <v>830</v>
      </c>
      <c r="F423" t="s">
        <v>630</v>
      </c>
      <c r="G423" t="s">
        <v>1064</v>
      </c>
      <c r="H423" t="s">
        <v>1086</v>
      </c>
      <c r="I423" t="s">
        <v>1066</v>
      </c>
      <c r="J423" t="s">
        <v>1067</v>
      </c>
      <c r="K423" t="s">
        <v>768</v>
      </c>
      <c r="L423" t="s">
        <v>1087</v>
      </c>
      <c r="M423" t="s">
        <v>208</v>
      </c>
      <c r="N423" t="s">
        <v>1047</v>
      </c>
      <c r="O423" t="s">
        <v>894</v>
      </c>
      <c r="P423" t="s">
        <v>772</v>
      </c>
      <c r="Q423" t="s">
        <v>1079</v>
      </c>
      <c r="R423">
        <v>20</v>
      </c>
      <c r="S423">
        <v>21</v>
      </c>
      <c r="T423">
        <v>0</v>
      </c>
      <c r="U423">
        <v>0</v>
      </c>
      <c r="V423">
        <v>0</v>
      </c>
      <c r="W423">
        <v>0</v>
      </c>
      <c r="X423">
        <v>0</v>
      </c>
      <c r="Y423">
        <v>0</v>
      </c>
      <c r="Z423">
        <v>0</v>
      </c>
      <c r="AA423">
        <v>0</v>
      </c>
      <c r="AB423">
        <v>20</v>
      </c>
      <c r="AC423">
        <v>21</v>
      </c>
      <c r="AD423">
        <v>0</v>
      </c>
      <c r="AE423">
        <v>0</v>
      </c>
      <c r="AF423">
        <v>0</v>
      </c>
      <c r="AG423">
        <v>0</v>
      </c>
      <c r="AH423">
        <v>0</v>
      </c>
      <c r="AI423">
        <v>0</v>
      </c>
      <c r="AJ423" t="s">
        <v>862</v>
      </c>
      <c r="AK423" t="s">
        <v>895</v>
      </c>
      <c r="AL423" t="s">
        <v>208</v>
      </c>
      <c r="AM423" t="s">
        <v>1047</v>
      </c>
      <c r="AN423" t="s">
        <v>894</v>
      </c>
      <c r="AO423" t="s">
        <v>772</v>
      </c>
      <c r="AP423" t="s">
        <v>1079</v>
      </c>
      <c r="AY423" t="str">
        <f t="shared" si="114"/>
        <v>CONCENTRAT V028</v>
      </c>
      <c r="AZ423" t="str">
        <f>IF(COUNTIF(AY:AY,AY423)=1,AY423,IF(AND(COUNTIF(AY:AY,AY423)&gt;1,COUNTIF(AZ$2:AZ422,AY423)&gt;=1),"",AY423))</f>
        <v>CONCENTRAT V028</v>
      </c>
      <c r="BA423">
        <f>IF(AZ423="","",COUNTIFS(AZ$3:AZ$1439,"&lt;"&amp;AZ423,AZ$3:AZ$1439,"&lt;&gt;0")+COUNTIF(AZ$3:AZ423,AZ423)-876)</f>
        <v>153</v>
      </c>
      <c r="BC423">
        <v>421</v>
      </c>
      <c r="BD423" t="str">
        <f t="shared" si="125"/>
        <v>RHEMOX 435,6 MG/G POUDRE POUR ADMINISTRATION DANS L'EAU DE BOISSON POUR PORCINS, POULES, CANARDS, ET DINDES</v>
      </c>
      <c r="BE423" t="str">
        <f t="shared" si="115"/>
        <v>ORAL</v>
      </c>
      <c r="BF423" t="str">
        <f t="shared" si="116"/>
        <v>PENICILLINES</v>
      </c>
      <c r="BG423" t="str">
        <f t="shared" si="117"/>
        <v/>
      </c>
      <c r="BH423" t="str">
        <f t="shared" si="118"/>
        <v/>
      </c>
      <c r="BI423" t="str">
        <f t="shared" si="119"/>
        <v>amoxicillin</v>
      </c>
      <c r="BJ423" t="str">
        <f t="shared" si="120"/>
        <v/>
      </c>
      <c r="BK423" t="str">
        <f t="shared" si="121"/>
        <v/>
      </c>
      <c r="BL423" t="str">
        <f t="shared" si="126"/>
        <v>Amoxicilline</v>
      </c>
      <c r="BM423" t="str">
        <f t="shared" si="122"/>
        <v>Amoxicilline</v>
      </c>
      <c r="BN423" t="str">
        <f t="shared" si="123"/>
        <v/>
      </c>
      <c r="BO423" t="str">
        <f t="shared" si="124"/>
        <v/>
      </c>
      <c r="BP423" t="str">
        <f t="shared" si="127"/>
        <v>Penicillines</v>
      </c>
      <c r="BQ423" t="str">
        <f t="shared" si="128"/>
        <v>Penicillines</v>
      </c>
      <c r="BR423" t="str">
        <f t="shared" si="129"/>
        <v/>
      </c>
      <c r="BS423" t="str">
        <f t="shared" si="130"/>
        <v/>
      </c>
      <c r="BT423" s="76" t="str">
        <f t="shared" si="131"/>
        <v>Voie orale  hors prémélanges médicamenteux</v>
      </c>
      <c r="BU423" t="str">
        <f t="shared" si="132"/>
        <v/>
      </c>
      <c r="CN423">
        <v>422</v>
      </c>
    </row>
    <row r="424" spans="1:92" x14ac:dyDescent="0.3">
      <c r="A424" s="118" t="s">
        <v>1097</v>
      </c>
      <c r="B424" t="s">
        <v>1098</v>
      </c>
      <c r="C424" t="s">
        <v>1085</v>
      </c>
      <c r="D424" s="144" t="s">
        <v>1063</v>
      </c>
      <c r="E424" t="s">
        <v>830</v>
      </c>
      <c r="F424" t="s">
        <v>631</v>
      </c>
      <c r="G424" t="s">
        <v>1064</v>
      </c>
      <c r="H424" t="s">
        <v>1099</v>
      </c>
      <c r="I424" t="s">
        <v>1066</v>
      </c>
      <c r="J424" t="s">
        <v>928</v>
      </c>
      <c r="K424" t="s">
        <v>862</v>
      </c>
      <c r="L424" t="s">
        <v>1003</v>
      </c>
      <c r="M424" t="s">
        <v>208</v>
      </c>
      <c r="N424" t="s">
        <v>950</v>
      </c>
      <c r="O424" t="s">
        <v>894</v>
      </c>
      <c r="P424" t="s">
        <v>772</v>
      </c>
      <c r="Q424" t="s">
        <v>1071</v>
      </c>
      <c r="R424">
        <v>30</v>
      </c>
      <c r="S424">
        <v>5</v>
      </c>
      <c r="T424">
        <v>0</v>
      </c>
      <c r="U424">
        <v>0</v>
      </c>
      <c r="V424">
        <v>0</v>
      </c>
      <c r="W424">
        <v>0</v>
      </c>
      <c r="X424">
        <v>0</v>
      </c>
      <c r="Y424">
        <v>0</v>
      </c>
      <c r="Z424">
        <v>0</v>
      </c>
      <c r="AA424">
        <v>0</v>
      </c>
      <c r="AB424">
        <v>30</v>
      </c>
      <c r="AC424">
        <v>5</v>
      </c>
      <c r="AD424">
        <v>30</v>
      </c>
      <c r="AE424">
        <v>10</v>
      </c>
      <c r="AF424">
        <v>0</v>
      </c>
      <c r="AG424">
        <v>0</v>
      </c>
      <c r="AH424">
        <v>0</v>
      </c>
      <c r="AI424">
        <v>0</v>
      </c>
      <c r="AJ424" t="s">
        <v>930</v>
      </c>
      <c r="AK424" t="s">
        <v>931</v>
      </c>
      <c r="AL424" t="s">
        <v>208</v>
      </c>
      <c r="AM424" t="s">
        <v>1072</v>
      </c>
      <c r="AN424" t="s">
        <v>894</v>
      </c>
      <c r="AO424" t="s">
        <v>772</v>
      </c>
      <c r="AP424" t="s">
        <v>1073</v>
      </c>
      <c r="AY424" t="str">
        <f t="shared" si="114"/>
        <v>CONCENTRAT V050 TS</v>
      </c>
      <c r="AZ424" t="str">
        <f>IF(COUNTIF(AY:AY,AY424)=1,AY424,IF(AND(COUNTIF(AY:AY,AY424)&gt;1,COUNTIF(AZ$2:AZ423,AY424)&gt;=1),"",AY424))</f>
        <v>CONCENTRAT V050 TS</v>
      </c>
      <c r="BA424">
        <f>IF(AZ424="","",COUNTIFS(AZ$3:AZ$1439,"&lt;"&amp;AZ424,AZ$3:AZ$1439,"&lt;&gt;0")+COUNTIF(AZ$3:AZ424,AZ424)-876)</f>
        <v>154</v>
      </c>
      <c r="BC424">
        <v>422</v>
      </c>
      <c r="BD424" t="str">
        <f t="shared" si="125"/>
        <v>RILEXINE H.L.</v>
      </c>
      <c r="BE424" t="str">
        <f t="shared" si="115"/>
        <v>INTRAMAM</v>
      </c>
      <c r="BF424" t="str">
        <f t="shared" si="116"/>
        <v>CEPHALOSPORINES 1&amp;2G</v>
      </c>
      <c r="BG424" t="str">
        <f t="shared" si="117"/>
        <v/>
      </c>
      <c r="BH424" t="str">
        <f t="shared" si="118"/>
        <v/>
      </c>
      <c r="BI424" t="str">
        <f t="shared" si="119"/>
        <v>cefalexin</v>
      </c>
      <c r="BJ424" t="str">
        <f t="shared" si="120"/>
        <v/>
      </c>
      <c r="BK424" t="str">
        <f t="shared" si="121"/>
        <v/>
      </c>
      <c r="BL424" t="str">
        <f t="shared" si="126"/>
        <v>Céfalexine</v>
      </c>
      <c r="BM424" t="str">
        <f t="shared" si="122"/>
        <v>Céfalexine</v>
      </c>
      <c r="BN424" t="str">
        <f t="shared" si="123"/>
        <v/>
      </c>
      <c r="BO424" t="str">
        <f t="shared" si="124"/>
        <v/>
      </c>
      <c r="BP424" t="str">
        <f t="shared" si="127"/>
        <v>Cephalosporines 1&amp;2G</v>
      </c>
      <c r="BQ424" t="str">
        <f t="shared" si="128"/>
        <v>Cephalosporines 1&amp;2G</v>
      </c>
      <c r="BR424" t="str">
        <f t="shared" si="129"/>
        <v/>
      </c>
      <c r="BS424" t="str">
        <f t="shared" si="130"/>
        <v/>
      </c>
      <c r="BT424" s="76" t="str">
        <f t="shared" si="131"/>
        <v>Voie intramammaire</v>
      </c>
      <c r="BU424" t="str">
        <f t="shared" si="132"/>
        <v/>
      </c>
      <c r="CN424">
        <v>423</v>
      </c>
    </row>
    <row r="425" spans="1:92" x14ac:dyDescent="0.3">
      <c r="A425" s="118" t="s">
        <v>2402</v>
      </c>
      <c r="B425" t="s">
        <v>2403</v>
      </c>
      <c r="C425" t="s">
        <v>1090</v>
      </c>
      <c r="D425" s="144" t="s">
        <v>1063</v>
      </c>
      <c r="E425" t="s">
        <v>830</v>
      </c>
      <c r="F425" t="s">
        <v>632</v>
      </c>
      <c r="G425" t="s">
        <v>1064</v>
      </c>
      <c r="H425" t="s">
        <v>1213</v>
      </c>
      <c r="I425" t="s">
        <v>1066</v>
      </c>
      <c r="J425" t="s">
        <v>1265</v>
      </c>
      <c r="K425" t="s">
        <v>1269</v>
      </c>
      <c r="L425" t="s">
        <v>1270</v>
      </c>
      <c r="M425" t="s">
        <v>208</v>
      </c>
      <c r="N425" t="s">
        <v>2155</v>
      </c>
      <c r="O425" t="s">
        <v>894</v>
      </c>
      <c r="P425" t="s">
        <v>772</v>
      </c>
      <c r="Q425" t="s">
        <v>1712</v>
      </c>
      <c r="R425">
        <v>0</v>
      </c>
      <c r="S425">
        <v>0</v>
      </c>
      <c r="T425">
        <v>0</v>
      </c>
      <c r="U425">
        <v>0</v>
      </c>
      <c r="V425">
        <v>0</v>
      </c>
      <c r="W425">
        <v>0</v>
      </c>
      <c r="X425">
        <v>0</v>
      </c>
      <c r="Y425">
        <v>0</v>
      </c>
      <c r="Z425">
        <v>0</v>
      </c>
      <c r="AA425">
        <v>0</v>
      </c>
      <c r="AB425">
        <v>0</v>
      </c>
      <c r="AC425">
        <v>0</v>
      </c>
      <c r="AD425">
        <v>2.2000000000000002</v>
      </c>
      <c r="AE425">
        <v>21</v>
      </c>
      <c r="AF425">
        <v>0</v>
      </c>
      <c r="AG425">
        <v>0</v>
      </c>
      <c r="AH425">
        <v>0</v>
      </c>
      <c r="AI425">
        <v>0</v>
      </c>
      <c r="AJ425" t="s">
        <v>783</v>
      </c>
      <c r="AK425" t="s">
        <v>1266</v>
      </c>
      <c r="AL425" t="s">
        <v>208</v>
      </c>
      <c r="AM425" t="s">
        <v>2155</v>
      </c>
      <c r="AN425" t="s">
        <v>894</v>
      </c>
      <c r="AO425" t="s">
        <v>772</v>
      </c>
      <c r="AP425" t="s">
        <v>1712</v>
      </c>
      <c r="AY425" t="str">
        <f t="shared" si="114"/>
        <v>CONCENTRAT V061 LINCOMYCINE 4.4 SPECTINOMYCINE 4.4 PORC</v>
      </c>
      <c r="AZ425" t="str">
        <f>IF(COUNTIF(AY:AY,AY425)=1,AY425,IF(AND(COUNTIF(AY:AY,AY425)&gt;1,COUNTIF(AZ$2:AZ424,AY425)&gt;=1),"",AY425))</f>
        <v>CONCENTRAT V061 LINCOMYCINE 4.4 SPECTINOMYCINE 4.4 PORC</v>
      </c>
      <c r="BA425">
        <f>IF(AZ425="","",COUNTIFS(AZ$3:AZ$1439,"&lt;"&amp;AZ425,AZ$3:AZ$1439,"&lt;&gt;0")+COUNTIF(AZ$3:AZ425,AZ425)-876)</f>
        <v>155</v>
      </c>
      <c r="BC425">
        <v>423</v>
      </c>
      <c r="BD425" t="str">
        <f t="shared" si="125"/>
        <v>RILEXINE TRAITEMENT</v>
      </c>
      <c r="BE425" t="str">
        <f t="shared" si="115"/>
        <v>INTRAMAM</v>
      </c>
      <c r="BF425" t="str">
        <f t="shared" si="116"/>
        <v>CEPHALOSPORINES 1&amp;2G</v>
      </c>
      <c r="BG425" t="str">
        <f t="shared" si="117"/>
        <v/>
      </c>
      <c r="BH425" t="str">
        <f t="shared" si="118"/>
        <v/>
      </c>
      <c r="BI425" t="str">
        <f t="shared" si="119"/>
        <v>cefalexin</v>
      </c>
      <c r="BJ425" t="str">
        <f t="shared" si="120"/>
        <v/>
      </c>
      <c r="BK425" t="str">
        <f t="shared" si="121"/>
        <v/>
      </c>
      <c r="BL425" t="str">
        <f t="shared" si="126"/>
        <v>Céfalexine</v>
      </c>
      <c r="BM425" t="str">
        <f t="shared" si="122"/>
        <v>Céfalexine</v>
      </c>
      <c r="BN425" t="str">
        <f t="shared" si="123"/>
        <v/>
      </c>
      <c r="BO425" t="str">
        <f t="shared" si="124"/>
        <v/>
      </c>
      <c r="BP425" t="str">
        <f t="shared" si="127"/>
        <v>Cephalosporines 1&amp;2G</v>
      </c>
      <c r="BQ425" t="str">
        <f t="shared" si="128"/>
        <v>Cephalosporines 1&amp;2G</v>
      </c>
      <c r="BR425" t="str">
        <f t="shared" si="129"/>
        <v/>
      </c>
      <c r="BS425" t="str">
        <f t="shared" si="130"/>
        <v/>
      </c>
      <c r="BT425" s="76" t="str">
        <f t="shared" si="131"/>
        <v>Voie intramammaire</v>
      </c>
      <c r="BU425" t="str">
        <f t="shared" si="132"/>
        <v/>
      </c>
      <c r="CN425">
        <v>424</v>
      </c>
    </row>
    <row r="426" spans="1:92" x14ac:dyDescent="0.3">
      <c r="A426" s="118" t="s">
        <v>2678</v>
      </c>
      <c r="B426" t="s">
        <v>2679</v>
      </c>
      <c r="C426" t="s">
        <v>1222</v>
      </c>
      <c r="D426" s="144" t="s">
        <v>1063</v>
      </c>
      <c r="E426" t="s">
        <v>830</v>
      </c>
      <c r="F426" t="s">
        <v>633</v>
      </c>
      <c r="G426" t="s">
        <v>1064</v>
      </c>
      <c r="H426" t="s">
        <v>170</v>
      </c>
      <c r="I426" t="s">
        <v>1066</v>
      </c>
      <c r="J426" t="s">
        <v>1559</v>
      </c>
      <c r="K426" t="s">
        <v>1559</v>
      </c>
      <c r="L426" t="s">
        <v>1560</v>
      </c>
      <c r="M426" t="s">
        <v>208</v>
      </c>
      <c r="N426" t="s">
        <v>940</v>
      </c>
      <c r="O426" t="s">
        <v>894</v>
      </c>
      <c r="P426" t="s">
        <v>772</v>
      </c>
      <c r="Q426" t="s">
        <v>902</v>
      </c>
      <c r="R426">
        <v>0</v>
      </c>
      <c r="S426">
        <v>0</v>
      </c>
      <c r="T426">
        <v>0</v>
      </c>
      <c r="U426">
        <v>0</v>
      </c>
      <c r="V426">
        <v>0</v>
      </c>
      <c r="W426">
        <v>0</v>
      </c>
      <c r="X426">
        <v>0</v>
      </c>
      <c r="Y426">
        <v>0</v>
      </c>
      <c r="Z426">
        <v>0</v>
      </c>
      <c r="AA426">
        <v>0</v>
      </c>
      <c r="AB426">
        <v>0</v>
      </c>
      <c r="AC426">
        <v>0</v>
      </c>
      <c r="AD426">
        <v>20</v>
      </c>
      <c r="AE426">
        <v>5</v>
      </c>
      <c r="AF426">
        <v>0</v>
      </c>
      <c r="AG426">
        <v>0</v>
      </c>
      <c r="AH426">
        <v>0</v>
      </c>
      <c r="AI426">
        <v>0</v>
      </c>
      <c r="AY426" t="str">
        <f t="shared" si="114"/>
        <v>CONCENTRAT V069 ACIDE OXOLINIQUE 80 PORC</v>
      </c>
      <c r="AZ426" t="str">
        <f>IF(COUNTIF(AY:AY,AY426)=1,AY426,IF(AND(COUNTIF(AY:AY,AY426)&gt;1,COUNTIF(AZ$2:AZ425,AY426)&gt;=1),"",AY426))</f>
        <v>CONCENTRAT V069 ACIDE OXOLINIQUE 80 PORC</v>
      </c>
      <c r="BA426">
        <f>IF(AZ426="","",COUNTIFS(AZ$3:AZ$1439,"&lt;"&amp;AZ426,AZ$3:AZ$1439,"&lt;&gt;0")+COUNTIF(AZ$3:AZ426,AZ426)-876)</f>
        <v>156</v>
      </c>
      <c r="BC426">
        <v>424</v>
      </c>
      <c r="BD426" t="str">
        <f t="shared" si="125"/>
        <v>RONAXAN 500 MG/G</v>
      </c>
      <c r="BE426" t="str">
        <f t="shared" si="115"/>
        <v>ORAL</v>
      </c>
      <c r="BF426" t="str">
        <f t="shared" si="116"/>
        <v>TETRACYCLINES</v>
      </c>
      <c r="BG426" t="str">
        <f t="shared" si="117"/>
        <v/>
      </c>
      <c r="BH426" t="str">
        <f t="shared" si="118"/>
        <v/>
      </c>
      <c r="BI426" t="str">
        <f t="shared" si="119"/>
        <v>doxycycline</v>
      </c>
      <c r="BJ426" t="str">
        <f t="shared" si="120"/>
        <v/>
      </c>
      <c r="BK426" t="str">
        <f t="shared" si="121"/>
        <v/>
      </c>
      <c r="BL426" t="str">
        <f t="shared" si="126"/>
        <v>Doxycycline</v>
      </c>
      <c r="BM426" t="str">
        <f t="shared" si="122"/>
        <v>Doxycycline</v>
      </c>
      <c r="BN426" t="str">
        <f t="shared" si="123"/>
        <v/>
      </c>
      <c r="BO426" t="str">
        <f t="shared" si="124"/>
        <v/>
      </c>
      <c r="BP426" t="str">
        <f t="shared" si="127"/>
        <v>Tetracyclines</v>
      </c>
      <c r="BQ426" t="str">
        <f t="shared" si="128"/>
        <v>Tetracyclines</v>
      </c>
      <c r="BR426" t="str">
        <f t="shared" si="129"/>
        <v/>
      </c>
      <c r="BS426" t="str">
        <f t="shared" si="130"/>
        <v/>
      </c>
      <c r="BT426" s="76" t="str">
        <f t="shared" si="131"/>
        <v>Voie orale  hors prémélanges médicamenteux</v>
      </c>
      <c r="BU426" t="str">
        <f t="shared" si="132"/>
        <v/>
      </c>
      <c r="CN426">
        <v>425</v>
      </c>
    </row>
    <row r="427" spans="1:92" x14ac:dyDescent="0.3">
      <c r="A427" s="118" t="s">
        <v>3112</v>
      </c>
      <c r="B427" t="s">
        <v>3113</v>
      </c>
      <c r="C427" t="s">
        <v>1293</v>
      </c>
      <c r="D427" s="144" t="s">
        <v>924</v>
      </c>
      <c r="E427" t="s">
        <v>830</v>
      </c>
      <c r="F427" t="s">
        <v>307</v>
      </c>
      <c r="G427" t="s">
        <v>1064</v>
      </c>
      <c r="H427" t="s">
        <v>1959</v>
      </c>
      <c r="I427" t="s">
        <v>1066</v>
      </c>
      <c r="J427" t="s">
        <v>802</v>
      </c>
      <c r="K427" t="s">
        <v>802</v>
      </c>
      <c r="L427" t="s">
        <v>2470</v>
      </c>
      <c r="M427" t="s">
        <v>208</v>
      </c>
      <c r="N427" t="s">
        <v>932</v>
      </c>
      <c r="O427" t="s">
        <v>894</v>
      </c>
      <c r="P427" t="s">
        <v>772</v>
      </c>
      <c r="Q427" t="s">
        <v>939</v>
      </c>
      <c r="R427">
        <v>0</v>
      </c>
      <c r="S427">
        <v>0</v>
      </c>
      <c r="T427">
        <v>0</v>
      </c>
      <c r="U427">
        <v>0</v>
      </c>
      <c r="V427">
        <v>0</v>
      </c>
      <c r="W427">
        <v>0</v>
      </c>
      <c r="X427">
        <v>0</v>
      </c>
      <c r="Y427">
        <v>0</v>
      </c>
      <c r="Z427">
        <v>12.5</v>
      </c>
      <c r="AA427">
        <v>7</v>
      </c>
      <c r="AB427">
        <v>0</v>
      </c>
      <c r="AC427">
        <v>0</v>
      </c>
      <c r="AD427">
        <v>16</v>
      </c>
      <c r="AE427">
        <v>21</v>
      </c>
      <c r="AF427">
        <v>0</v>
      </c>
      <c r="AG427">
        <v>0</v>
      </c>
      <c r="AH427">
        <v>0</v>
      </c>
      <c r="AI427">
        <v>0</v>
      </c>
      <c r="AY427" t="str">
        <f t="shared" si="114"/>
        <v>CONCENTRAT VO 08 TILMICOSINE PORCIN-LAPIN</v>
      </c>
      <c r="AZ427" t="str">
        <f>IF(COUNTIF(AY:AY,AY427)=1,AY427,IF(AND(COUNTIF(AY:AY,AY427)&gt;1,COUNTIF(AZ$2:AZ426,AY427)&gt;=1),"",AY427))</f>
        <v>CONCENTRAT VO 08 TILMICOSINE PORCIN-LAPIN</v>
      </c>
      <c r="BA427">
        <f>IF(AZ427="","",COUNTIFS(AZ$3:AZ$1439,"&lt;"&amp;AZ427,AZ$3:AZ$1439,"&lt;&gt;0")+COUNTIF(AZ$3:AZ427,AZ427)-876)</f>
        <v>157</v>
      </c>
      <c r="BC427">
        <v>425</v>
      </c>
      <c r="BD427" t="str">
        <f t="shared" si="125"/>
        <v>RONAXAN CONCENTRE 20 %</v>
      </c>
      <c r="BE427" t="str">
        <f t="shared" si="115"/>
        <v>ORAL</v>
      </c>
      <c r="BF427" t="str">
        <f t="shared" si="116"/>
        <v>TETRACYCLINES</v>
      </c>
      <c r="BG427" t="str">
        <f t="shared" si="117"/>
        <v/>
      </c>
      <c r="BH427" t="str">
        <f t="shared" si="118"/>
        <v/>
      </c>
      <c r="BI427" t="str">
        <f t="shared" si="119"/>
        <v>doxycycline</v>
      </c>
      <c r="BJ427" t="str">
        <f t="shared" si="120"/>
        <v/>
      </c>
      <c r="BK427" t="str">
        <f t="shared" si="121"/>
        <v/>
      </c>
      <c r="BL427" t="str">
        <f t="shared" si="126"/>
        <v>Doxycycline</v>
      </c>
      <c r="BM427" t="str">
        <f t="shared" si="122"/>
        <v>Doxycycline</v>
      </c>
      <c r="BN427" t="str">
        <f t="shared" si="123"/>
        <v/>
      </c>
      <c r="BO427" t="str">
        <f t="shared" si="124"/>
        <v/>
      </c>
      <c r="BP427" t="str">
        <f t="shared" si="127"/>
        <v>Tetracyclines</v>
      </c>
      <c r="BQ427" t="str">
        <f t="shared" si="128"/>
        <v>Tetracyclines</v>
      </c>
      <c r="BR427" t="str">
        <f t="shared" si="129"/>
        <v/>
      </c>
      <c r="BS427" t="str">
        <f t="shared" si="130"/>
        <v/>
      </c>
      <c r="BT427" s="76" t="str">
        <f t="shared" si="131"/>
        <v>Voie orale  hors prémélanges médicamenteux</v>
      </c>
      <c r="BU427" t="str">
        <f t="shared" si="132"/>
        <v/>
      </c>
      <c r="CN427">
        <v>426</v>
      </c>
    </row>
    <row r="428" spans="1:92" x14ac:dyDescent="0.3">
      <c r="A428" s="118" t="s">
        <v>1080</v>
      </c>
      <c r="B428" t="s">
        <v>1081</v>
      </c>
      <c r="C428" t="s">
        <v>1062</v>
      </c>
      <c r="D428" s="144" t="s">
        <v>1063</v>
      </c>
      <c r="E428" t="s">
        <v>830</v>
      </c>
      <c r="F428" t="s">
        <v>308</v>
      </c>
      <c r="G428" t="s">
        <v>1064</v>
      </c>
      <c r="H428" t="s">
        <v>1082</v>
      </c>
      <c r="I428" t="s">
        <v>1066</v>
      </c>
      <c r="J428" t="s">
        <v>768</v>
      </c>
      <c r="K428" t="s">
        <v>768</v>
      </c>
      <c r="L428" t="s">
        <v>769</v>
      </c>
      <c r="M428" t="s">
        <v>208</v>
      </c>
      <c r="N428" t="s">
        <v>764</v>
      </c>
      <c r="O428" t="s">
        <v>894</v>
      </c>
      <c r="P428" t="s">
        <v>772</v>
      </c>
      <c r="Q428" t="s">
        <v>966</v>
      </c>
      <c r="R428">
        <v>0</v>
      </c>
      <c r="S428">
        <v>0</v>
      </c>
      <c r="T428">
        <v>0</v>
      </c>
      <c r="U428">
        <v>0</v>
      </c>
      <c r="V428">
        <v>0</v>
      </c>
      <c r="W428">
        <v>0</v>
      </c>
      <c r="X428">
        <v>0</v>
      </c>
      <c r="Y428">
        <v>0</v>
      </c>
      <c r="Z428">
        <v>0</v>
      </c>
      <c r="AA428">
        <v>0</v>
      </c>
      <c r="AB428">
        <v>40</v>
      </c>
      <c r="AC428">
        <v>10</v>
      </c>
      <c r="AD428">
        <v>50</v>
      </c>
      <c r="AE428">
        <v>10</v>
      </c>
      <c r="AF428">
        <v>0</v>
      </c>
      <c r="AG428">
        <v>0</v>
      </c>
      <c r="AH428">
        <v>0</v>
      </c>
      <c r="AI428">
        <v>0</v>
      </c>
      <c r="AY428" t="str">
        <f t="shared" si="114"/>
        <v>CONCENTRAT VO 31-1 OXYTETRACYCLINE 100 PORC ET AGNEAU-CHEVREAU SEVRES</v>
      </c>
      <c r="AZ428" t="str">
        <f>IF(COUNTIF(AY:AY,AY428)=1,AY428,IF(AND(COUNTIF(AY:AY,AY428)&gt;1,COUNTIF(AZ$2:AZ427,AY428)&gt;=1),"",AY428))</f>
        <v>CONCENTRAT VO 31-1 OXYTETRACYCLINE 100 PORC ET AGNEAU-CHEVREAU SEVRES</v>
      </c>
      <c r="BA428">
        <f>IF(AZ428="","",COUNTIFS(AZ$3:AZ$1439,"&lt;"&amp;AZ428,AZ$3:AZ$1439,"&lt;&gt;0")+COUNTIF(AZ$3:AZ428,AZ428)-876)</f>
        <v>158</v>
      </c>
      <c r="BC428">
        <v>426</v>
      </c>
      <c r="BD428" t="str">
        <f t="shared" si="125"/>
        <v>RONAXAN DOXYCYCLINE 20 POULET</v>
      </c>
      <c r="BE428" t="str">
        <f t="shared" si="115"/>
        <v>PM</v>
      </c>
      <c r="BF428" t="str">
        <f t="shared" si="116"/>
        <v>TETRACYCLINES</v>
      </c>
      <c r="BG428" t="str">
        <f t="shared" si="117"/>
        <v/>
      </c>
      <c r="BH428" t="str">
        <f t="shared" si="118"/>
        <v/>
      </c>
      <c r="BI428" t="str">
        <f t="shared" si="119"/>
        <v>doxycycline</v>
      </c>
      <c r="BJ428" t="str">
        <f t="shared" si="120"/>
        <v/>
      </c>
      <c r="BK428" t="str">
        <f t="shared" si="121"/>
        <v/>
      </c>
      <c r="BL428" t="str">
        <f t="shared" si="126"/>
        <v>Doxycycline</v>
      </c>
      <c r="BM428" t="str">
        <f t="shared" si="122"/>
        <v>Doxycycline</v>
      </c>
      <c r="BN428" t="str">
        <f t="shared" si="123"/>
        <v/>
      </c>
      <c r="BO428" t="str">
        <f t="shared" si="124"/>
        <v/>
      </c>
      <c r="BP428" t="str">
        <f t="shared" si="127"/>
        <v>Tetracyclines</v>
      </c>
      <c r="BQ428" t="str">
        <f t="shared" si="128"/>
        <v>Tetracyclines</v>
      </c>
      <c r="BR428" t="str">
        <f t="shared" si="129"/>
        <v/>
      </c>
      <c r="BS428" t="str">
        <f t="shared" si="130"/>
        <v/>
      </c>
      <c r="BT428" s="76" t="str">
        <f t="shared" si="131"/>
        <v>Prémélanges médicamenteux</v>
      </c>
      <c r="BU428" t="str">
        <f t="shared" si="132"/>
        <v/>
      </c>
      <c r="CN428">
        <v>427</v>
      </c>
    </row>
    <row r="429" spans="1:92" x14ac:dyDescent="0.3">
      <c r="A429" s="118" t="s">
        <v>2545</v>
      </c>
      <c r="B429" t="s">
        <v>2546</v>
      </c>
      <c r="C429" t="s">
        <v>1062</v>
      </c>
      <c r="D429" s="144" t="s">
        <v>1063</v>
      </c>
      <c r="E429" t="s">
        <v>830</v>
      </c>
      <c r="F429" t="s">
        <v>309</v>
      </c>
      <c r="G429" t="s">
        <v>1064</v>
      </c>
      <c r="H429" t="s">
        <v>1102</v>
      </c>
      <c r="I429" t="s">
        <v>1066</v>
      </c>
      <c r="J429" t="s">
        <v>768</v>
      </c>
      <c r="K429" t="s">
        <v>768</v>
      </c>
      <c r="L429" t="s">
        <v>769</v>
      </c>
      <c r="M429" t="s">
        <v>208</v>
      </c>
      <c r="N429" t="s">
        <v>932</v>
      </c>
      <c r="O429" t="s">
        <v>894</v>
      </c>
      <c r="P429" t="s">
        <v>772</v>
      </c>
      <c r="Q429" t="s">
        <v>829</v>
      </c>
      <c r="R429">
        <v>0</v>
      </c>
      <c r="S429">
        <v>0</v>
      </c>
      <c r="T429">
        <v>0</v>
      </c>
      <c r="U429">
        <v>0</v>
      </c>
      <c r="V429">
        <v>0</v>
      </c>
      <c r="W429">
        <v>0</v>
      </c>
      <c r="X429">
        <v>0</v>
      </c>
      <c r="Y429">
        <v>0</v>
      </c>
      <c r="Z429">
        <v>40</v>
      </c>
      <c r="AA429">
        <v>10</v>
      </c>
      <c r="AB429">
        <v>40</v>
      </c>
      <c r="AC429">
        <v>10</v>
      </c>
      <c r="AD429">
        <v>50</v>
      </c>
      <c r="AE429">
        <v>10</v>
      </c>
      <c r="AF429">
        <v>40</v>
      </c>
      <c r="AG429">
        <v>10</v>
      </c>
      <c r="AH429">
        <v>0</v>
      </c>
      <c r="AI429">
        <v>0</v>
      </c>
      <c r="AY429" t="str">
        <f t="shared" si="114"/>
        <v>CONCENTRAT VO 31-2 OXYTETRACYCLINE 40 LAPIN-VOLAILLE-PORC ET AGNEAU-CHEVREAU SEVRES</v>
      </c>
      <c r="AZ429" t="str">
        <f>IF(COUNTIF(AY:AY,AY429)=1,AY429,IF(AND(COUNTIF(AY:AY,AY429)&gt;1,COUNTIF(AZ$2:AZ428,AY429)&gt;=1),"",AY429))</f>
        <v>CONCENTRAT VO 31-2 OXYTETRACYCLINE 40 LAPIN-VOLAILLE-PORC ET AGNEAU-CHEVREAU SEVRES</v>
      </c>
      <c r="BA429">
        <f>IF(AZ429="","",COUNTIFS(AZ$3:AZ$1439,"&lt;"&amp;AZ429,AZ$3:AZ$1439,"&lt;&gt;0")+COUNTIF(AZ$3:AZ429,AZ429)-876)</f>
        <v>159</v>
      </c>
      <c r="BC429">
        <v>427</v>
      </c>
      <c r="BD429" t="str">
        <f t="shared" si="125"/>
        <v>RONAXAN P.S. 5 %</v>
      </c>
      <c r="BE429" t="str">
        <f t="shared" si="115"/>
        <v>ORAL</v>
      </c>
      <c r="BF429" t="str">
        <f t="shared" si="116"/>
        <v>TETRACYCLINES</v>
      </c>
      <c r="BG429" t="str">
        <f t="shared" si="117"/>
        <v/>
      </c>
      <c r="BH429" t="str">
        <f t="shared" si="118"/>
        <v/>
      </c>
      <c r="BI429" t="str">
        <f t="shared" si="119"/>
        <v>doxycycline</v>
      </c>
      <c r="BJ429" t="str">
        <f t="shared" si="120"/>
        <v/>
      </c>
      <c r="BK429" t="str">
        <f t="shared" si="121"/>
        <v/>
      </c>
      <c r="BL429" t="str">
        <f t="shared" si="126"/>
        <v>Doxycycline</v>
      </c>
      <c r="BM429" t="str">
        <f t="shared" si="122"/>
        <v>Doxycycline</v>
      </c>
      <c r="BN429" t="str">
        <f t="shared" si="123"/>
        <v/>
      </c>
      <c r="BO429" t="str">
        <f t="shared" si="124"/>
        <v/>
      </c>
      <c r="BP429" t="str">
        <f t="shared" si="127"/>
        <v>Tetracyclines</v>
      </c>
      <c r="BQ429" t="str">
        <f t="shared" si="128"/>
        <v>Tetracyclines</v>
      </c>
      <c r="BR429" t="str">
        <f t="shared" si="129"/>
        <v/>
      </c>
      <c r="BS429" t="str">
        <f t="shared" si="130"/>
        <v/>
      </c>
      <c r="BT429" s="76" t="str">
        <f t="shared" si="131"/>
        <v>Voie orale  hors prémélanges médicamenteux</v>
      </c>
      <c r="BU429" t="str">
        <f t="shared" si="132"/>
        <v/>
      </c>
      <c r="CN429">
        <v>428</v>
      </c>
    </row>
    <row r="430" spans="1:92" x14ac:dyDescent="0.3">
      <c r="A430" s="118" t="s">
        <v>2540</v>
      </c>
      <c r="B430" t="s">
        <v>2541</v>
      </c>
      <c r="C430" t="s">
        <v>1062</v>
      </c>
      <c r="D430" s="144" t="s">
        <v>1063</v>
      </c>
      <c r="E430" t="s">
        <v>830</v>
      </c>
      <c r="F430" t="s">
        <v>310</v>
      </c>
      <c r="G430" t="s">
        <v>1064</v>
      </c>
      <c r="H430" t="s">
        <v>1082</v>
      </c>
      <c r="I430" t="s">
        <v>1066</v>
      </c>
      <c r="J430" t="s">
        <v>914</v>
      </c>
      <c r="K430" t="s">
        <v>914</v>
      </c>
      <c r="L430" t="s">
        <v>995</v>
      </c>
      <c r="M430" t="s">
        <v>996</v>
      </c>
      <c r="N430" t="s">
        <v>2246</v>
      </c>
      <c r="O430" t="s">
        <v>834</v>
      </c>
      <c r="P430" t="s">
        <v>4371</v>
      </c>
      <c r="Q430" t="s">
        <v>906</v>
      </c>
      <c r="R430">
        <v>0</v>
      </c>
      <c r="S430">
        <v>0</v>
      </c>
      <c r="T430">
        <v>0</v>
      </c>
      <c r="U430">
        <v>0</v>
      </c>
      <c r="V430">
        <v>0</v>
      </c>
      <c r="W430">
        <v>0</v>
      </c>
      <c r="X430">
        <v>0</v>
      </c>
      <c r="Y430">
        <v>0</v>
      </c>
      <c r="Z430">
        <v>0</v>
      </c>
      <c r="AA430">
        <v>0</v>
      </c>
      <c r="AB430">
        <v>5</v>
      </c>
      <c r="AC430">
        <v>7</v>
      </c>
      <c r="AD430">
        <v>5</v>
      </c>
      <c r="AE430">
        <v>7</v>
      </c>
      <c r="AF430">
        <v>0</v>
      </c>
      <c r="AG430">
        <v>0</v>
      </c>
      <c r="AH430">
        <v>0</v>
      </c>
      <c r="AI430">
        <v>0</v>
      </c>
      <c r="AY430" t="str">
        <f t="shared" si="114"/>
        <v>CONCENTRAT VO 49-1 COLISTINE 400 PORC ET AGNEAU-CHEVREAU SEVRES</v>
      </c>
      <c r="AZ430" t="str">
        <f>IF(COUNTIF(AY:AY,AY430)=1,AY430,IF(AND(COUNTIF(AY:AY,AY430)&gt;1,COUNTIF(AZ$2:AZ429,AY430)&gt;=1),"",AY430))</f>
        <v>CONCENTRAT VO 49-1 COLISTINE 400 PORC ET AGNEAU-CHEVREAU SEVRES</v>
      </c>
      <c r="BA430">
        <f>IF(AZ430="","",COUNTIFS(AZ$3:AZ$1439,"&lt;"&amp;AZ430,AZ$3:AZ$1439,"&lt;&gt;0")+COUNTIF(AZ$3:AZ430,AZ430)-876)</f>
        <v>160</v>
      </c>
      <c r="BC430">
        <v>428</v>
      </c>
      <c r="BD430" t="str">
        <f t="shared" si="125"/>
        <v>SANTAMIX OTC SDM 60</v>
      </c>
      <c r="BE430" t="str">
        <f t="shared" si="115"/>
        <v>PM</v>
      </c>
      <c r="BF430" t="str">
        <f t="shared" si="116"/>
        <v>TETRACYCLINES</v>
      </c>
      <c r="BG430" t="str">
        <f t="shared" si="117"/>
        <v>SULFAMIDES</v>
      </c>
      <c r="BH430" t="str">
        <f t="shared" si="118"/>
        <v/>
      </c>
      <c r="BI430" t="str">
        <f t="shared" si="119"/>
        <v>oxytetracycline</v>
      </c>
      <c r="BJ430" t="str">
        <f t="shared" si="120"/>
        <v>sulfadimethoxine</v>
      </c>
      <c r="BK430" t="str">
        <f t="shared" si="121"/>
        <v/>
      </c>
      <c r="BL430" t="str">
        <f t="shared" si="126"/>
        <v>Oxytétracycline + Sulfadiméthoxine</v>
      </c>
      <c r="BM430" t="str">
        <f t="shared" si="122"/>
        <v>Oxytétracycline</v>
      </c>
      <c r="BN430" t="str">
        <f t="shared" si="123"/>
        <v>Sulfadiméthoxine</v>
      </c>
      <c r="BO430" t="str">
        <f t="shared" si="124"/>
        <v/>
      </c>
      <c r="BP430" t="str">
        <f t="shared" si="127"/>
        <v>Tetracyclines + Sulfamides</v>
      </c>
      <c r="BQ430" t="str">
        <f t="shared" si="128"/>
        <v>Tetracyclines</v>
      </c>
      <c r="BR430" t="str">
        <f t="shared" si="129"/>
        <v>Sulfamides</v>
      </c>
      <c r="BS430" t="str">
        <f t="shared" si="130"/>
        <v/>
      </c>
      <c r="BT430" s="76" t="str">
        <f t="shared" si="131"/>
        <v>Prémélanges médicamenteux</v>
      </c>
      <c r="BU430" t="str">
        <f t="shared" si="132"/>
        <v/>
      </c>
      <c r="CN430">
        <v>429</v>
      </c>
    </row>
    <row r="431" spans="1:92" x14ac:dyDescent="0.3">
      <c r="A431" s="118" t="s">
        <v>1100</v>
      </c>
      <c r="B431" t="s">
        <v>1101</v>
      </c>
      <c r="C431" t="s">
        <v>1062</v>
      </c>
      <c r="D431" s="144" t="s">
        <v>1063</v>
      </c>
      <c r="E431" t="s">
        <v>830</v>
      </c>
      <c r="F431" t="s">
        <v>311</v>
      </c>
      <c r="G431" t="s">
        <v>1064</v>
      </c>
      <c r="H431" t="s">
        <v>1102</v>
      </c>
      <c r="I431" t="s">
        <v>1066</v>
      </c>
      <c r="J431" t="s">
        <v>914</v>
      </c>
      <c r="K431" t="s">
        <v>914</v>
      </c>
      <c r="L431" t="s">
        <v>995</v>
      </c>
      <c r="M431" t="s">
        <v>996</v>
      </c>
      <c r="N431" t="s">
        <v>1103</v>
      </c>
      <c r="O431" t="s">
        <v>834</v>
      </c>
      <c r="P431" t="s">
        <v>4371</v>
      </c>
      <c r="Q431" t="s">
        <v>776</v>
      </c>
      <c r="R431">
        <v>0</v>
      </c>
      <c r="S431">
        <v>0</v>
      </c>
      <c r="T431">
        <v>0</v>
      </c>
      <c r="U431">
        <v>0</v>
      </c>
      <c r="V431">
        <v>0</v>
      </c>
      <c r="W431">
        <v>0</v>
      </c>
      <c r="X431">
        <v>0</v>
      </c>
      <c r="Y431">
        <v>0</v>
      </c>
      <c r="Z431">
        <v>5</v>
      </c>
      <c r="AA431">
        <v>7</v>
      </c>
      <c r="AB431">
        <v>5</v>
      </c>
      <c r="AC431">
        <v>7</v>
      </c>
      <c r="AD431">
        <v>5</v>
      </c>
      <c r="AE431">
        <v>7</v>
      </c>
      <c r="AF431">
        <v>5</v>
      </c>
      <c r="AG431">
        <v>7</v>
      </c>
      <c r="AH431">
        <v>0</v>
      </c>
      <c r="AI431">
        <v>0</v>
      </c>
      <c r="AY431" t="str">
        <f t="shared" si="114"/>
        <v>CONCENTRAT VO 49-2 COLISTINE 200 LAPIN-VOLAILLE-PORC ET AGNEAU-CHEVREAU SEVRES</v>
      </c>
      <c r="AZ431" t="str">
        <f>IF(COUNTIF(AY:AY,AY431)=1,AY431,IF(AND(COUNTIF(AY:AY,AY431)&gt;1,COUNTIF(AZ$2:AZ430,AY431)&gt;=1),"",AY431))</f>
        <v>CONCENTRAT VO 49-2 COLISTINE 200 LAPIN-VOLAILLE-PORC ET AGNEAU-CHEVREAU SEVRES</v>
      </c>
      <c r="BA431">
        <f>IF(AZ431="","",COUNTIFS(AZ$3:AZ$1439,"&lt;"&amp;AZ431,AZ$3:AZ$1439,"&lt;&gt;0")+COUNTIF(AZ$3:AZ431,AZ431)-876)</f>
        <v>161</v>
      </c>
      <c r="BC431">
        <v>429</v>
      </c>
      <c r="BD431" t="str">
        <f t="shared" si="125"/>
        <v>SANTAMIX TILMICOSINE 40 PORCINS - LAPINS</v>
      </c>
      <c r="BE431" t="str">
        <f t="shared" si="115"/>
        <v>PM</v>
      </c>
      <c r="BF431" t="str">
        <f t="shared" si="116"/>
        <v>MACROLIDES</v>
      </c>
      <c r="BG431" t="str">
        <f t="shared" si="117"/>
        <v/>
      </c>
      <c r="BH431" t="str">
        <f t="shared" si="118"/>
        <v/>
      </c>
      <c r="BI431" t="str">
        <f t="shared" si="119"/>
        <v>tilmicosin</v>
      </c>
      <c r="BJ431" t="str">
        <f t="shared" si="120"/>
        <v/>
      </c>
      <c r="BK431" t="str">
        <f t="shared" si="121"/>
        <v/>
      </c>
      <c r="BL431" t="str">
        <f t="shared" si="126"/>
        <v>Tilmicosine</v>
      </c>
      <c r="BM431" t="str">
        <f t="shared" si="122"/>
        <v>Tilmicosine</v>
      </c>
      <c r="BN431" t="str">
        <f t="shared" si="123"/>
        <v/>
      </c>
      <c r="BO431" t="str">
        <f t="shared" si="124"/>
        <v/>
      </c>
      <c r="BP431" t="str">
        <f t="shared" si="127"/>
        <v>Macrolides</v>
      </c>
      <c r="BQ431" t="str">
        <f t="shared" si="128"/>
        <v>Macrolides</v>
      </c>
      <c r="BR431" t="str">
        <f t="shared" si="129"/>
        <v/>
      </c>
      <c r="BS431" t="str">
        <f t="shared" si="130"/>
        <v/>
      </c>
      <c r="BT431" s="76" t="str">
        <f t="shared" si="131"/>
        <v>Prémélanges médicamenteux</v>
      </c>
      <c r="BU431" t="str">
        <f t="shared" si="132"/>
        <v/>
      </c>
      <c r="CN431">
        <v>430</v>
      </c>
    </row>
    <row r="432" spans="1:92" x14ac:dyDescent="0.3">
      <c r="A432" s="118" t="s">
        <v>2113</v>
      </c>
      <c r="B432" t="s">
        <v>2114</v>
      </c>
      <c r="C432" t="s">
        <v>1222</v>
      </c>
      <c r="D432" s="144" t="s">
        <v>1063</v>
      </c>
      <c r="E432" t="s">
        <v>830</v>
      </c>
      <c r="F432" t="s">
        <v>312</v>
      </c>
      <c r="G432" t="s">
        <v>1064</v>
      </c>
      <c r="H432" t="s">
        <v>1959</v>
      </c>
      <c r="I432" t="s">
        <v>1066</v>
      </c>
      <c r="J432" t="s">
        <v>783</v>
      </c>
      <c r="K432" t="s">
        <v>783</v>
      </c>
      <c r="L432" t="s">
        <v>1953</v>
      </c>
      <c r="M432" t="s">
        <v>208</v>
      </c>
      <c r="N432" t="s">
        <v>1536</v>
      </c>
      <c r="O432" t="s">
        <v>834</v>
      </c>
      <c r="P432" t="s">
        <v>4434</v>
      </c>
      <c r="Q432" t="s">
        <v>4447</v>
      </c>
      <c r="R432">
        <v>0</v>
      </c>
      <c r="S432">
        <v>0</v>
      </c>
      <c r="T432">
        <v>0</v>
      </c>
      <c r="U432">
        <v>0</v>
      </c>
      <c r="V432">
        <v>0</v>
      </c>
      <c r="W432">
        <v>0</v>
      </c>
      <c r="X432">
        <v>0</v>
      </c>
      <c r="Y432">
        <v>0</v>
      </c>
      <c r="Z432">
        <v>21.72</v>
      </c>
      <c r="AA432">
        <v>21</v>
      </c>
      <c r="AB432">
        <v>0</v>
      </c>
      <c r="AC432">
        <v>0</v>
      </c>
      <c r="AD432">
        <v>9.0500000000000007</v>
      </c>
      <c r="AE432">
        <v>21</v>
      </c>
      <c r="AF432">
        <v>0</v>
      </c>
      <c r="AG432">
        <v>0</v>
      </c>
      <c r="AH432">
        <v>0</v>
      </c>
      <c r="AI432">
        <v>0</v>
      </c>
      <c r="AY432" t="str">
        <f t="shared" si="114"/>
        <v>CONCENTRAT VO 57 APRAMYCINE 20 PORC-LAPIN</v>
      </c>
      <c r="AZ432" t="str">
        <f>IF(COUNTIF(AY:AY,AY432)=1,AY432,IF(AND(COUNTIF(AY:AY,AY432)&gt;1,COUNTIF(AZ$2:AZ431,AY432)&gt;=1),"",AY432))</f>
        <v>CONCENTRAT VO 57 APRAMYCINE 20 PORC-LAPIN</v>
      </c>
      <c r="BA432">
        <f>IF(AZ432="","",COUNTIFS(AZ$3:AZ$1439,"&lt;"&amp;AZ432,AZ$3:AZ$1439,"&lt;&gt;0")+COUNTIF(AZ$3:AZ432,AZ432)-876)</f>
        <v>162</v>
      </c>
      <c r="BC432">
        <v>430</v>
      </c>
      <c r="BD432" t="str">
        <f t="shared" si="125"/>
        <v>SANTAMIX TYLO 20</v>
      </c>
      <c r="BE432" t="str">
        <f t="shared" si="115"/>
        <v>PM</v>
      </c>
      <c r="BF432" t="str">
        <f t="shared" si="116"/>
        <v>MACROLIDES</v>
      </c>
      <c r="BG432" t="str">
        <f t="shared" si="117"/>
        <v/>
      </c>
      <c r="BH432" t="str">
        <f t="shared" si="118"/>
        <v/>
      </c>
      <c r="BI432" t="str">
        <f t="shared" si="119"/>
        <v>tylosin</v>
      </c>
      <c r="BJ432" t="str">
        <f t="shared" si="120"/>
        <v/>
      </c>
      <c r="BK432" t="str">
        <f t="shared" si="121"/>
        <v/>
      </c>
      <c r="BL432" t="str">
        <f t="shared" si="126"/>
        <v>Tylosine</v>
      </c>
      <c r="BM432" t="str">
        <f t="shared" si="122"/>
        <v>Tylosine</v>
      </c>
      <c r="BN432" t="str">
        <f t="shared" si="123"/>
        <v/>
      </c>
      <c r="BO432" t="str">
        <f t="shared" si="124"/>
        <v/>
      </c>
      <c r="BP432" t="str">
        <f t="shared" si="127"/>
        <v>Macrolides</v>
      </c>
      <c r="BQ432" t="str">
        <f t="shared" si="128"/>
        <v>Macrolides</v>
      </c>
      <c r="BR432" t="str">
        <f t="shared" si="129"/>
        <v/>
      </c>
      <c r="BS432" t="str">
        <f t="shared" si="130"/>
        <v/>
      </c>
      <c r="BT432" s="76" t="str">
        <f t="shared" si="131"/>
        <v>Prémélanges médicamenteux</v>
      </c>
      <c r="BU432" t="str">
        <f t="shared" si="132"/>
        <v/>
      </c>
      <c r="CN432">
        <v>431</v>
      </c>
    </row>
    <row r="433" spans="1:92" x14ac:dyDescent="0.3">
      <c r="A433" s="118" t="s">
        <v>2542</v>
      </c>
      <c r="B433" t="s">
        <v>2543</v>
      </c>
      <c r="C433" t="s">
        <v>1062</v>
      </c>
      <c r="D433" s="144" t="s">
        <v>1063</v>
      </c>
      <c r="E433" t="s">
        <v>830</v>
      </c>
      <c r="F433" t="s">
        <v>313</v>
      </c>
      <c r="G433" t="s">
        <v>1064</v>
      </c>
      <c r="H433" t="s">
        <v>1213</v>
      </c>
      <c r="I433" t="s">
        <v>1066</v>
      </c>
      <c r="J433" t="s">
        <v>783</v>
      </c>
      <c r="K433" t="s">
        <v>783</v>
      </c>
      <c r="L433" t="s">
        <v>784</v>
      </c>
      <c r="M433" t="s">
        <v>208</v>
      </c>
      <c r="N433" t="s">
        <v>2544</v>
      </c>
      <c r="O433" t="s">
        <v>834</v>
      </c>
      <c r="P433" t="s">
        <v>4370</v>
      </c>
      <c r="Q433" t="s">
        <v>4477</v>
      </c>
      <c r="R433">
        <v>0</v>
      </c>
      <c r="S433">
        <v>0</v>
      </c>
      <c r="T433">
        <v>0</v>
      </c>
      <c r="U433">
        <v>0</v>
      </c>
      <c r="V433">
        <v>0</v>
      </c>
      <c r="W433">
        <v>0</v>
      </c>
      <c r="X433">
        <v>0</v>
      </c>
      <c r="Y433">
        <v>0</v>
      </c>
      <c r="Z433">
        <v>0</v>
      </c>
      <c r="AA433">
        <v>0</v>
      </c>
      <c r="AB433">
        <v>0</v>
      </c>
      <c r="AC433">
        <v>0</v>
      </c>
      <c r="AD433">
        <v>26.2</v>
      </c>
      <c r="AE433">
        <v>10</v>
      </c>
      <c r="AF433">
        <v>0</v>
      </c>
      <c r="AG433">
        <v>0</v>
      </c>
      <c r="AH433">
        <v>0</v>
      </c>
      <c r="AI433">
        <v>0</v>
      </c>
      <c r="AY433" t="str">
        <f t="shared" si="114"/>
        <v>CONCENTRAT VO 59-1 NEOMYCINE 80 PORC</v>
      </c>
      <c r="AZ433" t="str">
        <f>IF(COUNTIF(AY:AY,AY433)=1,AY433,IF(AND(COUNTIF(AY:AY,AY433)&gt;1,COUNTIF(AZ$2:AZ432,AY433)&gt;=1),"",AY433))</f>
        <v>CONCENTRAT VO 59-1 NEOMYCINE 80 PORC</v>
      </c>
      <c r="BA433">
        <f>IF(AZ433="","",COUNTIFS(AZ$3:AZ$1439,"&lt;"&amp;AZ433,AZ$3:AZ$1439,"&lt;&gt;0")+COUNTIF(AZ$3:AZ433,AZ433)-876)</f>
        <v>163</v>
      </c>
      <c r="BC433">
        <v>431</v>
      </c>
      <c r="BD433" t="str">
        <f t="shared" si="125"/>
        <v>SELECTAN</v>
      </c>
      <c r="BE433" t="str">
        <f t="shared" si="115"/>
        <v>INJ</v>
      </c>
      <c r="BF433" t="str">
        <f t="shared" si="116"/>
        <v>PHENICOLES</v>
      </c>
      <c r="BG433" t="str">
        <f t="shared" si="117"/>
        <v/>
      </c>
      <c r="BH433" t="str">
        <f t="shared" si="118"/>
        <v/>
      </c>
      <c r="BI433" t="str">
        <f t="shared" si="119"/>
        <v>florfenicol</v>
      </c>
      <c r="BJ433" t="str">
        <f t="shared" si="120"/>
        <v/>
      </c>
      <c r="BK433" t="str">
        <f t="shared" si="121"/>
        <v/>
      </c>
      <c r="BL433" t="str">
        <f t="shared" si="126"/>
        <v>Florfénicol</v>
      </c>
      <c r="BM433" t="str">
        <f t="shared" si="122"/>
        <v>Florfénicol</v>
      </c>
      <c r="BN433" t="str">
        <f t="shared" si="123"/>
        <v/>
      </c>
      <c r="BO433" t="str">
        <f t="shared" si="124"/>
        <v/>
      </c>
      <c r="BP433" t="str">
        <f t="shared" si="127"/>
        <v>Phenicoles</v>
      </c>
      <c r="BQ433" t="str">
        <f t="shared" si="128"/>
        <v>Phenicoles</v>
      </c>
      <c r="BR433" t="str">
        <f t="shared" si="129"/>
        <v/>
      </c>
      <c r="BS433" t="str">
        <f t="shared" si="130"/>
        <v/>
      </c>
      <c r="BT433" s="76" t="str">
        <f t="shared" si="131"/>
        <v>Voie parentérale</v>
      </c>
      <c r="BU433" t="str">
        <f t="shared" si="132"/>
        <v/>
      </c>
      <c r="CN433">
        <v>432</v>
      </c>
    </row>
    <row r="434" spans="1:92" x14ac:dyDescent="0.3">
      <c r="A434" s="118" t="s">
        <v>2399</v>
      </c>
      <c r="B434" t="s">
        <v>2400</v>
      </c>
      <c r="C434" t="s">
        <v>1062</v>
      </c>
      <c r="D434" s="144" t="s">
        <v>1063</v>
      </c>
      <c r="E434" t="s">
        <v>830</v>
      </c>
      <c r="F434" t="s">
        <v>314</v>
      </c>
      <c r="G434" t="s">
        <v>1064</v>
      </c>
      <c r="H434" t="s">
        <v>2401</v>
      </c>
      <c r="I434" t="s">
        <v>1066</v>
      </c>
      <c r="J434" t="s">
        <v>783</v>
      </c>
      <c r="K434" t="s">
        <v>783</v>
      </c>
      <c r="L434" t="s">
        <v>784</v>
      </c>
      <c r="M434" t="s">
        <v>208</v>
      </c>
      <c r="N434" t="s">
        <v>1383</v>
      </c>
      <c r="O434" t="s">
        <v>834</v>
      </c>
      <c r="P434" t="s">
        <v>4370</v>
      </c>
      <c r="Q434" t="s">
        <v>4397</v>
      </c>
      <c r="R434">
        <v>0</v>
      </c>
      <c r="S434">
        <v>0</v>
      </c>
      <c r="T434">
        <v>0</v>
      </c>
      <c r="U434">
        <v>0</v>
      </c>
      <c r="V434">
        <v>0</v>
      </c>
      <c r="W434">
        <v>0</v>
      </c>
      <c r="X434">
        <v>0</v>
      </c>
      <c r="Y434">
        <v>0</v>
      </c>
      <c r="Z434">
        <v>26.2</v>
      </c>
      <c r="AA434">
        <v>10</v>
      </c>
      <c r="AB434">
        <v>0</v>
      </c>
      <c r="AC434">
        <v>0</v>
      </c>
      <c r="AD434">
        <v>26.2</v>
      </c>
      <c r="AE434">
        <v>10</v>
      </c>
      <c r="AF434">
        <v>26.2</v>
      </c>
      <c r="AG434">
        <v>10</v>
      </c>
      <c r="AH434">
        <v>0</v>
      </c>
      <c r="AI434">
        <v>0</v>
      </c>
      <c r="AY434" t="str">
        <f t="shared" si="114"/>
        <v>CONCENTRAT VO 59-2 NEOMYCINE 40 LAPIN-VOLAILLE-PORC</v>
      </c>
      <c r="AZ434" t="str">
        <f>IF(COUNTIF(AY:AY,AY434)=1,AY434,IF(AND(COUNTIF(AY:AY,AY434)&gt;1,COUNTIF(AZ$2:AZ433,AY434)&gt;=1),"",AY434))</f>
        <v>CONCENTRAT VO 59-2 NEOMYCINE 40 LAPIN-VOLAILLE-PORC</v>
      </c>
      <c r="BA434">
        <f>IF(AZ434="","",COUNTIFS(AZ$3:AZ$1439,"&lt;"&amp;AZ434,AZ$3:AZ$1439,"&lt;&gt;0")+COUNTIF(AZ$3:AZ434,AZ434)-876)</f>
        <v>164</v>
      </c>
      <c r="BC434">
        <v>432</v>
      </c>
      <c r="BD434" t="str">
        <f t="shared" si="125"/>
        <v>SELECTAN ORAL 23 MG/ML SOLUTION A DILUER POUR ADMINISTRATION DANS L'EAU DE BOISSON</v>
      </c>
      <c r="BE434" t="str">
        <f t="shared" si="115"/>
        <v>ORAL</v>
      </c>
      <c r="BF434" t="str">
        <f t="shared" si="116"/>
        <v>PHENICOLES</v>
      </c>
      <c r="BG434" t="str">
        <f t="shared" si="117"/>
        <v/>
      </c>
      <c r="BH434" t="str">
        <f t="shared" si="118"/>
        <v/>
      </c>
      <c r="BI434" t="str">
        <f t="shared" si="119"/>
        <v>florfenicol</v>
      </c>
      <c r="BJ434" t="str">
        <f t="shared" si="120"/>
        <v/>
      </c>
      <c r="BK434" t="str">
        <f t="shared" si="121"/>
        <v/>
      </c>
      <c r="BL434" t="str">
        <f t="shared" si="126"/>
        <v>Florfénicol</v>
      </c>
      <c r="BM434" t="str">
        <f t="shared" si="122"/>
        <v>Florfénicol</v>
      </c>
      <c r="BN434" t="str">
        <f t="shared" si="123"/>
        <v/>
      </c>
      <c r="BO434" t="str">
        <f t="shared" si="124"/>
        <v/>
      </c>
      <c r="BP434" t="str">
        <f t="shared" si="127"/>
        <v>Phenicoles</v>
      </c>
      <c r="BQ434" t="str">
        <f t="shared" si="128"/>
        <v>Phenicoles</v>
      </c>
      <c r="BR434" t="str">
        <f t="shared" si="129"/>
        <v/>
      </c>
      <c r="BS434" t="str">
        <f t="shared" si="130"/>
        <v/>
      </c>
      <c r="BT434" s="76" t="str">
        <f t="shared" si="131"/>
        <v>Voie orale  hors prémélanges médicamenteux</v>
      </c>
      <c r="BU434" t="str">
        <f t="shared" si="132"/>
        <v/>
      </c>
      <c r="CN434">
        <v>433</v>
      </c>
    </row>
    <row r="435" spans="1:92" x14ac:dyDescent="0.3">
      <c r="A435" s="118" t="s">
        <v>3126</v>
      </c>
      <c r="B435" t="s">
        <v>3127</v>
      </c>
      <c r="C435" t="s">
        <v>3128</v>
      </c>
      <c r="D435" s="144" t="s">
        <v>852</v>
      </c>
      <c r="E435" t="s">
        <v>765</v>
      </c>
      <c r="F435" t="s">
        <v>3129</v>
      </c>
      <c r="G435" t="s">
        <v>766</v>
      </c>
      <c r="H435" t="s">
        <v>816</v>
      </c>
      <c r="I435" t="s">
        <v>766</v>
      </c>
      <c r="J435" t="s">
        <v>2165</v>
      </c>
      <c r="K435" t="s">
        <v>2165</v>
      </c>
      <c r="L435" t="s">
        <v>3130</v>
      </c>
      <c r="M435" t="s">
        <v>208</v>
      </c>
      <c r="N435" t="s">
        <v>940</v>
      </c>
      <c r="O435" t="s">
        <v>771</v>
      </c>
      <c r="P435" t="s">
        <v>772</v>
      </c>
      <c r="Q435" t="s">
        <v>1355</v>
      </c>
      <c r="R435">
        <v>0</v>
      </c>
      <c r="S435">
        <v>0</v>
      </c>
      <c r="T435">
        <v>8</v>
      </c>
      <c r="U435">
        <v>1</v>
      </c>
      <c r="V435">
        <v>0</v>
      </c>
      <c r="W435">
        <v>0</v>
      </c>
      <c r="X435">
        <v>0</v>
      </c>
      <c r="Y435">
        <v>0</v>
      </c>
      <c r="Z435">
        <v>0</v>
      </c>
      <c r="AA435">
        <v>0</v>
      </c>
      <c r="AB435">
        <v>0</v>
      </c>
      <c r="AC435">
        <v>0</v>
      </c>
      <c r="AD435">
        <v>0</v>
      </c>
      <c r="AE435">
        <v>0</v>
      </c>
      <c r="AF435">
        <v>0</v>
      </c>
      <c r="AG435">
        <v>0</v>
      </c>
      <c r="AH435">
        <v>0</v>
      </c>
      <c r="AI435">
        <v>0</v>
      </c>
      <c r="AY435" t="str">
        <f t="shared" si="114"/>
        <v/>
      </c>
      <c r="AZ435" t="str">
        <f>IF(COUNTIF(AY:AY,AY435)=1,AY435,IF(AND(COUNTIF(AY:AY,AY435)&gt;1,COUNTIF(AZ$2:AZ434,AY435)&gt;=1),"",AY435))</f>
        <v/>
      </c>
      <c r="BA435" t="str">
        <f>IF(AZ435="","",COUNTIFS(AZ$3:AZ$1439,"&lt;"&amp;AZ435,AZ$3:AZ$1439,"&lt;&gt;0")+COUNTIF(AZ$3:AZ435,AZ435)-876)</f>
        <v/>
      </c>
      <c r="BC435">
        <v>433</v>
      </c>
      <c r="BD435" t="str">
        <f t="shared" si="125"/>
        <v>SEPTOTRYL INJECTABLE</v>
      </c>
      <c r="BE435" t="str">
        <f t="shared" si="115"/>
        <v>INJ</v>
      </c>
      <c r="BF435" t="str">
        <f t="shared" si="116"/>
        <v>SULFAMIDES</v>
      </c>
      <c r="BG435" t="str">
        <f t="shared" si="117"/>
        <v>TRIMETHOPRIME</v>
      </c>
      <c r="BH435" t="str">
        <f t="shared" si="118"/>
        <v/>
      </c>
      <c r="BI435" t="str">
        <f t="shared" si="119"/>
        <v>sulfamethoxypyridazine</v>
      </c>
      <c r="BJ435" t="str">
        <f t="shared" si="120"/>
        <v>trimethoprim</v>
      </c>
      <c r="BK435" t="str">
        <f t="shared" si="121"/>
        <v/>
      </c>
      <c r="BL435" t="str">
        <f t="shared" si="126"/>
        <v>Sulfaméthoxypyridazine + Triméthoprime</v>
      </c>
      <c r="BM435" t="str">
        <f t="shared" si="122"/>
        <v>Sulfaméthoxypyridazine</v>
      </c>
      <c r="BN435" t="str">
        <f t="shared" si="123"/>
        <v>Triméthoprime</v>
      </c>
      <c r="BO435" t="str">
        <f t="shared" si="124"/>
        <v/>
      </c>
      <c r="BP435" t="str">
        <f t="shared" si="127"/>
        <v>Sulfamides + Trimethoprime</v>
      </c>
      <c r="BQ435" t="str">
        <f t="shared" si="128"/>
        <v>Sulfamides</v>
      </c>
      <c r="BR435" t="str">
        <f t="shared" si="129"/>
        <v>Trimethoprime</v>
      </c>
      <c r="BS435" t="str">
        <f t="shared" si="130"/>
        <v/>
      </c>
      <c r="BT435" s="76" t="str">
        <f t="shared" si="131"/>
        <v>Voie parentérale</v>
      </c>
      <c r="BU435" t="str">
        <f t="shared" si="132"/>
        <v/>
      </c>
      <c r="CN435">
        <v>434</v>
      </c>
    </row>
    <row r="436" spans="1:92" x14ac:dyDescent="0.3">
      <c r="A436" s="118" t="s">
        <v>3126</v>
      </c>
      <c r="B436" t="s">
        <v>3131</v>
      </c>
      <c r="C436" t="s">
        <v>3132</v>
      </c>
      <c r="D436" s="144" t="s">
        <v>934</v>
      </c>
      <c r="E436" t="s">
        <v>765</v>
      </c>
      <c r="F436" t="s">
        <v>3129</v>
      </c>
      <c r="G436" t="s">
        <v>766</v>
      </c>
      <c r="H436" t="s">
        <v>816</v>
      </c>
      <c r="I436" t="s">
        <v>766</v>
      </c>
      <c r="J436" t="s">
        <v>2165</v>
      </c>
      <c r="K436" t="s">
        <v>2165</v>
      </c>
      <c r="L436" t="s">
        <v>3130</v>
      </c>
      <c r="M436" t="s">
        <v>208</v>
      </c>
      <c r="N436" t="s">
        <v>940</v>
      </c>
      <c r="O436" t="s">
        <v>771</v>
      </c>
      <c r="P436" t="s">
        <v>772</v>
      </c>
      <c r="Q436" t="s">
        <v>1945</v>
      </c>
      <c r="R436">
        <v>0</v>
      </c>
      <c r="S436">
        <v>0</v>
      </c>
      <c r="T436">
        <v>8</v>
      </c>
      <c r="U436">
        <v>1</v>
      </c>
      <c r="V436">
        <v>0</v>
      </c>
      <c r="W436">
        <v>0</v>
      </c>
      <c r="X436">
        <v>0</v>
      </c>
      <c r="Y436">
        <v>0</v>
      </c>
      <c r="Z436">
        <v>0</v>
      </c>
      <c r="AA436">
        <v>0</v>
      </c>
      <c r="AB436">
        <v>0</v>
      </c>
      <c r="AC436">
        <v>0</v>
      </c>
      <c r="AD436">
        <v>0</v>
      </c>
      <c r="AE436">
        <v>0</v>
      </c>
      <c r="AF436">
        <v>0</v>
      </c>
      <c r="AG436">
        <v>0</v>
      </c>
      <c r="AH436">
        <v>0</v>
      </c>
      <c r="AI436">
        <v>0</v>
      </c>
      <c r="AY436" t="str">
        <f t="shared" si="114"/>
        <v/>
      </c>
      <c r="AZ436" t="str">
        <f>IF(COUNTIF(AY:AY,AY436)=1,AY436,IF(AND(COUNTIF(AY:AY,AY436)&gt;1,COUNTIF(AZ$2:AZ435,AY436)&gt;=1),"",AY436))</f>
        <v/>
      </c>
      <c r="BA436" t="str">
        <f>IF(AZ436="","",COUNTIFS(AZ$3:AZ$1439,"&lt;"&amp;AZ436,AZ$3:AZ$1439,"&lt;&gt;0")+COUNTIF(AZ$3:AZ436,AZ436)-876)</f>
        <v/>
      </c>
      <c r="BC436">
        <v>434</v>
      </c>
      <c r="BD436" t="str">
        <f t="shared" si="125"/>
        <v>SEPTOTRYL-COLISTINE</v>
      </c>
      <c r="BE436" t="str">
        <f t="shared" si="115"/>
        <v>ORAL</v>
      </c>
      <c r="BF436" t="str">
        <f t="shared" si="116"/>
        <v>SULFAMIDES</v>
      </c>
      <c r="BG436" t="str">
        <f t="shared" si="117"/>
        <v>POLYPEPTIDES</v>
      </c>
      <c r="BH436" t="str">
        <f t="shared" si="118"/>
        <v/>
      </c>
      <c r="BI436" t="str">
        <f t="shared" si="119"/>
        <v>sulfamethoxypyridazine</v>
      </c>
      <c r="BJ436" t="str">
        <f t="shared" si="120"/>
        <v>colistin</v>
      </c>
      <c r="BK436" t="str">
        <f t="shared" si="121"/>
        <v/>
      </c>
      <c r="BL436" t="str">
        <f t="shared" si="126"/>
        <v>Sulfaméthoxypyridazine + Colistine</v>
      </c>
      <c r="BM436" t="str">
        <f t="shared" si="122"/>
        <v>Sulfaméthoxypyridazine</v>
      </c>
      <c r="BN436" t="str">
        <f t="shared" si="123"/>
        <v>Colistine</v>
      </c>
      <c r="BO436" t="str">
        <f t="shared" si="124"/>
        <v/>
      </c>
      <c r="BP436" t="str">
        <f t="shared" si="127"/>
        <v>Sulfamides + Polypeptides</v>
      </c>
      <c r="BQ436" t="str">
        <f t="shared" si="128"/>
        <v>Sulfamides</v>
      </c>
      <c r="BR436" t="str">
        <f t="shared" si="129"/>
        <v>Polypeptides</v>
      </c>
      <c r="BS436" t="str">
        <f t="shared" si="130"/>
        <v/>
      </c>
      <c r="BT436" s="76" t="str">
        <f t="shared" si="131"/>
        <v>Voie orale  hors prémélanges médicamenteux</v>
      </c>
      <c r="BU436" t="str">
        <f t="shared" si="132"/>
        <v>x</v>
      </c>
      <c r="CN436">
        <v>435</v>
      </c>
    </row>
    <row r="437" spans="1:92" x14ac:dyDescent="0.3">
      <c r="A437" s="118" t="s">
        <v>1748</v>
      </c>
      <c r="B437" t="s">
        <v>1749</v>
      </c>
      <c r="C437" t="s">
        <v>1750</v>
      </c>
      <c r="D437" s="144" t="s">
        <v>776</v>
      </c>
      <c r="E437" t="s">
        <v>830</v>
      </c>
      <c r="F437" t="s">
        <v>1751</v>
      </c>
      <c r="G437" t="s">
        <v>964</v>
      </c>
      <c r="H437" t="s">
        <v>816</v>
      </c>
      <c r="I437" t="s">
        <v>879</v>
      </c>
      <c r="J437" t="s">
        <v>1752</v>
      </c>
      <c r="K437" t="s">
        <v>1752</v>
      </c>
      <c r="L437" t="s">
        <v>1753</v>
      </c>
      <c r="M437" t="s">
        <v>208</v>
      </c>
      <c r="N437" t="s">
        <v>932</v>
      </c>
      <c r="O437" t="s">
        <v>894</v>
      </c>
      <c r="P437" t="s">
        <v>772</v>
      </c>
      <c r="Q437" t="s">
        <v>852</v>
      </c>
      <c r="R437">
        <v>0</v>
      </c>
      <c r="S437">
        <v>0</v>
      </c>
      <c r="T437">
        <v>0</v>
      </c>
      <c r="U437">
        <v>0</v>
      </c>
      <c r="V437">
        <v>0</v>
      </c>
      <c r="W437">
        <v>0</v>
      </c>
      <c r="X437">
        <v>0</v>
      </c>
      <c r="Y437">
        <v>0</v>
      </c>
      <c r="Z437">
        <v>0</v>
      </c>
      <c r="AA437">
        <v>0</v>
      </c>
      <c r="AB437">
        <v>0</v>
      </c>
      <c r="AC437">
        <v>0</v>
      </c>
      <c r="AD437">
        <v>0</v>
      </c>
      <c r="AE437">
        <v>0</v>
      </c>
      <c r="AF437">
        <v>0</v>
      </c>
      <c r="AG437">
        <v>0</v>
      </c>
      <c r="AH437">
        <v>0</v>
      </c>
      <c r="AI437">
        <v>0</v>
      </c>
      <c r="AY437" t="str">
        <f t="shared" si="114"/>
        <v/>
      </c>
      <c r="AZ437" t="str">
        <f>IF(COUNTIF(AY:AY,AY437)=1,AY437,IF(AND(COUNTIF(AY:AY,AY437)&gt;1,COUNTIF(AZ$2:AZ436,AY437)&gt;=1),"",AY437))</f>
        <v/>
      </c>
      <c r="BA437" t="str">
        <f>IF(AZ437="","",COUNTIFS(AZ$3:AZ$1439,"&lt;"&amp;AZ437,AZ$3:AZ$1439,"&lt;&gt;0")+COUNTIF(AZ$3:AZ437,AZ437)-876)</f>
        <v/>
      </c>
      <c r="BC437">
        <v>435</v>
      </c>
      <c r="BD437" t="str">
        <f t="shared" si="125"/>
        <v>SHOTAFLOR 300 MG/ML SOLUTION INJECTABLE POUR BOVINS</v>
      </c>
      <c r="BE437" t="str">
        <f t="shared" si="115"/>
        <v>INJ</v>
      </c>
      <c r="BF437" t="str">
        <f t="shared" si="116"/>
        <v>PHENICOLES</v>
      </c>
      <c r="BG437" t="str">
        <f t="shared" si="117"/>
        <v/>
      </c>
      <c r="BH437" t="str">
        <f t="shared" si="118"/>
        <v/>
      </c>
      <c r="BI437" t="str">
        <f t="shared" si="119"/>
        <v>florfenicol</v>
      </c>
      <c r="BJ437" t="str">
        <f t="shared" si="120"/>
        <v/>
      </c>
      <c r="BK437" t="str">
        <f t="shared" si="121"/>
        <v/>
      </c>
      <c r="BL437" t="str">
        <f t="shared" si="126"/>
        <v>Florfénicol</v>
      </c>
      <c r="BM437" t="str">
        <f t="shared" si="122"/>
        <v>Florfénicol</v>
      </c>
      <c r="BN437" t="str">
        <f t="shared" si="123"/>
        <v/>
      </c>
      <c r="BO437" t="str">
        <f t="shared" si="124"/>
        <v/>
      </c>
      <c r="BP437" t="str">
        <f t="shared" si="127"/>
        <v>Phenicoles</v>
      </c>
      <c r="BQ437" t="str">
        <f t="shared" si="128"/>
        <v>Phenicoles</v>
      </c>
      <c r="BR437" t="str">
        <f t="shared" si="129"/>
        <v/>
      </c>
      <c r="BS437" t="str">
        <f t="shared" si="130"/>
        <v/>
      </c>
      <c r="BT437" s="76" t="str">
        <f t="shared" si="131"/>
        <v>Voie parentérale</v>
      </c>
      <c r="BU437" t="str">
        <f t="shared" si="132"/>
        <v/>
      </c>
      <c r="CN437">
        <v>436</v>
      </c>
    </row>
    <row r="438" spans="1:92" x14ac:dyDescent="0.3">
      <c r="A438" s="118" t="s">
        <v>778</v>
      </c>
      <c r="B438" t="s">
        <v>779</v>
      </c>
      <c r="C438" t="s">
        <v>1238</v>
      </c>
      <c r="D438" s="144" t="s">
        <v>780</v>
      </c>
      <c r="E438" t="s">
        <v>765</v>
      </c>
      <c r="F438" t="s">
        <v>36</v>
      </c>
      <c r="G438" t="s">
        <v>766</v>
      </c>
      <c r="H438" t="s">
        <v>781</v>
      </c>
      <c r="I438" t="s">
        <v>766</v>
      </c>
      <c r="J438" t="s">
        <v>782</v>
      </c>
      <c r="K438" t="s">
        <v>783</v>
      </c>
      <c r="L438" t="s">
        <v>784</v>
      </c>
      <c r="M438" t="s">
        <v>208</v>
      </c>
      <c r="N438" t="s">
        <v>785</v>
      </c>
      <c r="O438" t="s">
        <v>771</v>
      </c>
      <c r="P438" t="s">
        <v>772</v>
      </c>
      <c r="Q438" t="s">
        <v>786</v>
      </c>
      <c r="R438">
        <v>12</v>
      </c>
      <c r="S438">
        <v>5</v>
      </c>
      <c r="T438">
        <v>12</v>
      </c>
      <c r="U438">
        <v>5</v>
      </c>
      <c r="V438">
        <v>12</v>
      </c>
      <c r="W438">
        <v>5</v>
      </c>
      <c r="X438">
        <v>0</v>
      </c>
      <c r="Y438">
        <v>0</v>
      </c>
      <c r="Z438">
        <v>0</v>
      </c>
      <c r="AA438">
        <v>0</v>
      </c>
      <c r="AB438">
        <v>12</v>
      </c>
      <c r="AC438">
        <v>5</v>
      </c>
      <c r="AD438">
        <v>12</v>
      </c>
      <c r="AE438">
        <v>5</v>
      </c>
      <c r="AF438">
        <v>0</v>
      </c>
      <c r="AG438">
        <v>0</v>
      </c>
      <c r="AH438">
        <v>0</v>
      </c>
      <c r="AI438">
        <v>0</v>
      </c>
      <c r="AJ438" t="s">
        <v>787</v>
      </c>
      <c r="AK438" t="s">
        <v>788</v>
      </c>
      <c r="AL438" t="s">
        <v>208</v>
      </c>
      <c r="AM438" t="s">
        <v>789</v>
      </c>
      <c r="AN438" t="s">
        <v>771</v>
      </c>
      <c r="AO438" t="s">
        <v>772</v>
      </c>
      <c r="AP438" t="s">
        <v>790</v>
      </c>
      <c r="AY438" t="str">
        <f t="shared" si="114"/>
        <v>CORTEXILINE</v>
      </c>
      <c r="AZ438" t="str">
        <f>IF(COUNTIF(AY:AY,AY438)=1,AY438,IF(AND(COUNTIF(AY:AY,AY438)&gt;1,COUNTIF(AZ$2:AZ437,AY438)&gt;=1),"",AY438))</f>
        <v>CORTEXILINE</v>
      </c>
      <c r="BA438">
        <f>IF(AZ438="","",COUNTIFS(AZ$3:AZ$1439,"&lt;"&amp;AZ438,AZ$3:AZ$1439,"&lt;&gt;0")+COUNTIF(AZ$3:AZ438,AZ438)-876)</f>
        <v>165</v>
      </c>
      <c r="BC438">
        <v>436</v>
      </c>
      <c r="BD438" t="str">
        <f t="shared" si="125"/>
        <v>SHOTAFLOR 300 MG/ML SOLUTION INJECTABLE POUR PORCS</v>
      </c>
      <c r="BE438" t="str">
        <f t="shared" si="115"/>
        <v>INJ</v>
      </c>
      <c r="BF438" t="str">
        <f t="shared" si="116"/>
        <v>PHENICOLES</v>
      </c>
      <c r="BG438" t="str">
        <f t="shared" si="117"/>
        <v/>
      </c>
      <c r="BH438" t="str">
        <f t="shared" si="118"/>
        <v/>
      </c>
      <c r="BI438" t="str">
        <f t="shared" si="119"/>
        <v>florfenicol</v>
      </c>
      <c r="BJ438" t="str">
        <f t="shared" si="120"/>
        <v/>
      </c>
      <c r="BK438" t="str">
        <f t="shared" si="121"/>
        <v/>
      </c>
      <c r="BL438" t="str">
        <f t="shared" si="126"/>
        <v>Florfénicol</v>
      </c>
      <c r="BM438" t="str">
        <f t="shared" si="122"/>
        <v>Florfénicol</v>
      </c>
      <c r="BN438" t="str">
        <f t="shared" si="123"/>
        <v/>
      </c>
      <c r="BO438" t="str">
        <f t="shared" si="124"/>
        <v/>
      </c>
      <c r="BP438" t="str">
        <f t="shared" si="127"/>
        <v>Phenicoles</v>
      </c>
      <c r="BQ438" t="str">
        <f t="shared" si="128"/>
        <v>Phenicoles</v>
      </c>
      <c r="BR438" t="str">
        <f t="shared" si="129"/>
        <v/>
      </c>
      <c r="BS438" t="str">
        <f t="shared" si="130"/>
        <v/>
      </c>
      <c r="BT438" s="76" t="str">
        <f t="shared" si="131"/>
        <v>Voie parentérale</v>
      </c>
      <c r="BU438" t="str">
        <f t="shared" si="132"/>
        <v/>
      </c>
      <c r="CN438">
        <v>437</v>
      </c>
    </row>
    <row r="439" spans="1:92" x14ac:dyDescent="0.3">
      <c r="A439" s="118" t="s">
        <v>778</v>
      </c>
      <c r="B439" t="s">
        <v>791</v>
      </c>
      <c r="C439" t="s">
        <v>792</v>
      </c>
      <c r="D439" s="144" t="s">
        <v>764</v>
      </c>
      <c r="E439" t="s">
        <v>765</v>
      </c>
      <c r="F439" t="s">
        <v>36</v>
      </c>
      <c r="G439" t="s">
        <v>766</v>
      </c>
      <c r="H439" t="s">
        <v>781</v>
      </c>
      <c r="I439" t="s">
        <v>766</v>
      </c>
      <c r="J439" t="s">
        <v>782</v>
      </c>
      <c r="K439" t="s">
        <v>783</v>
      </c>
      <c r="L439" t="s">
        <v>784</v>
      </c>
      <c r="M439" t="s">
        <v>208</v>
      </c>
      <c r="N439" t="s">
        <v>785</v>
      </c>
      <c r="O439" t="s">
        <v>771</v>
      </c>
      <c r="P439" t="s">
        <v>772</v>
      </c>
      <c r="Q439" t="s">
        <v>793</v>
      </c>
      <c r="R439">
        <v>12</v>
      </c>
      <c r="S439">
        <v>5</v>
      </c>
      <c r="T439">
        <v>12</v>
      </c>
      <c r="U439">
        <v>5</v>
      </c>
      <c r="V439">
        <v>12</v>
      </c>
      <c r="W439">
        <v>5</v>
      </c>
      <c r="X439">
        <v>0</v>
      </c>
      <c r="Y439">
        <v>0</v>
      </c>
      <c r="Z439">
        <v>0</v>
      </c>
      <c r="AA439">
        <v>0</v>
      </c>
      <c r="AB439">
        <v>12</v>
      </c>
      <c r="AC439">
        <v>5</v>
      </c>
      <c r="AD439">
        <v>12</v>
      </c>
      <c r="AE439">
        <v>5</v>
      </c>
      <c r="AF439">
        <v>0</v>
      </c>
      <c r="AG439">
        <v>0</v>
      </c>
      <c r="AH439">
        <v>0</v>
      </c>
      <c r="AI439">
        <v>0</v>
      </c>
      <c r="AJ439" t="s">
        <v>787</v>
      </c>
      <c r="AK439" t="s">
        <v>788</v>
      </c>
      <c r="AL439" t="s">
        <v>208</v>
      </c>
      <c r="AM439" t="s">
        <v>789</v>
      </c>
      <c r="AN439" t="s">
        <v>771</v>
      </c>
      <c r="AO439" t="s">
        <v>772</v>
      </c>
      <c r="AP439" t="s">
        <v>794</v>
      </c>
      <c r="AY439" t="str">
        <f t="shared" si="114"/>
        <v>CORTEXILINE</v>
      </c>
      <c r="AZ439" t="str">
        <f>IF(COUNTIF(AY:AY,AY439)=1,AY439,IF(AND(COUNTIF(AY:AY,AY439)&gt;1,COUNTIF(AZ$2:AZ438,AY439)&gt;=1),"",AY439))</f>
        <v/>
      </c>
      <c r="BA439" t="str">
        <f>IF(AZ439="","",COUNTIFS(AZ$3:AZ$1439,"&lt;"&amp;AZ439,AZ$3:AZ$1439,"&lt;&gt;0")+COUNTIF(AZ$3:AZ439,AZ439)-876)</f>
        <v/>
      </c>
      <c r="BC439">
        <v>437</v>
      </c>
      <c r="BD439" t="str">
        <f t="shared" si="125"/>
        <v>SHOTAPEN</v>
      </c>
      <c r="BE439" t="str">
        <f t="shared" si="115"/>
        <v>INJ</v>
      </c>
      <c r="BF439" t="str">
        <f t="shared" si="116"/>
        <v>AMINOGLYCOSIDES</v>
      </c>
      <c r="BG439" t="str">
        <f t="shared" si="117"/>
        <v>PENICILLINES</v>
      </c>
      <c r="BH439" t="str">
        <f t="shared" si="118"/>
        <v/>
      </c>
      <c r="BI439" t="str">
        <f t="shared" si="119"/>
        <v>dihydrostreptomycin</v>
      </c>
      <c r="BJ439" t="str">
        <f t="shared" si="120"/>
        <v>benzylpenicillin</v>
      </c>
      <c r="BK439" t="str">
        <f t="shared" si="121"/>
        <v/>
      </c>
      <c r="BL439" t="str">
        <f t="shared" si="126"/>
        <v>Dihydrostreptomycine + Benzylpénicilline</v>
      </c>
      <c r="BM439" t="str">
        <f t="shared" si="122"/>
        <v>Dihydrostreptomycine</v>
      </c>
      <c r="BN439" t="str">
        <f t="shared" si="123"/>
        <v>Benzylpénicilline</v>
      </c>
      <c r="BO439" t="str">
        <f t="shared" si="124"/>
        <v/>
      </c>
      <c r="BP439" t="str">
        <f t="shared" si="127"/>
        <v>Aminoglycosides + Penicillines</v>
      </c>
      <c r="BQ439" t="str">
        <f t="shared" si="128"/>
        <v>Aminoglycosides</v>
      </c>
      <c r="BR439" t="str">
        <f t="shared" si="129"/>
        <v>Penicillines</v>
      </c>
      <c r="BS439" t="str">
        <f t="shared" si="130"/>
        <v/>
      </c>
      <c r="BT439" s="76" t="str">
        <f t="shared" si="131"/>
        <v>Voie parentérale</v>
      </c>
      <c r="BU439" t="str">
        <f t="shared" si="132"/>
        <v/>
      </c>
      <c r="CN439">
        <v>438</v>
      </c>
    </row>
    <row r="440" spans="1:92" x14ac:dyDescent="0.3">
      <c r="A440" s="118" t="s">
        <v>778</v>
      </c>
      <c r="B440" t="s">
        <v>795</v>
      </c>
      <c r="C440" t="s">
        <v>796</v>
      </c>
      <c r="D440" s="144" t="s">
        <v>776</v>
      </c>
      <c r="E440" t="s">
        <v>765</v>
      </c>
      <c r="F440" t="s">
        <v>36</v>
      </c>
      <c r="G440" t="s">
        <v>766</v>
      </c>
      <c r="H440" t="s">
        <v>781</v>
      </c>
      <c r="I440" t="s">
        <v>766</v>
      </c>
      <c r="J440" t="s">
        <v>782</v>
      </c>
      <c r="K440" t="s">
        <v>783</v>
      </c>
      <c r="L440" t="s">
        <v>784</v>
      </c>
      <c r="M440" t="s">
        <v>208</v>
      </c>
      <c r="N440" t="s">
        <v>785</v>
      </c>
      <c r="O440" t="s">
        <v>771</v>
      </c>
      <c r="P440" t="s">
        <v>772</v>
      </c>
      <c r="Q440" t="s">
        <v>797</v>
      </c>
      <c r="R440">
        <v>12</v>
      </c>
      <c r="S440">
        <v>5</v>
      </c>
      <c r="T440">
        <v>12</v>
      </c>
      <c r="U440">
        <v>5</v>
      </c>
      <c r="V440">
        <v>12</v>
      </c>
      <c r="W440">
        <v>5</v>
      </c>
      <c r="X440">
        <v>0</v>
      </c>
      <c r="Y440">
        <v>0</v>
      </c>
      <c r="Z440">
        <v>0</v>
      </c>
      <c r="AA440">
        <v>0</v>
      </c>
      <c r="AB440">
        <v>12</v>
      </c>
      <c r="AC440">
        <v>5</v>
      </c>
      <c r="AD440">
        <v>12</v>
      </c>
      <c r="AE440">
        <v>5</v>
      </c>
      <c r="AF440">
        <v>0</v>
      </c>
      <c r="AG440">
        <v>0</v>
      </c>
      <c r="AH440">
        <v>0</v>
      </c>
      <c r="AI440">
        <v>0</v>
      </c>
      <c r="AJ440" t="s">
        <v>787</v>
      </c>
      <c r="AK440" t="s">
        <v>788</v>
      </c>
      <c r="AL440" t="s">
        <v>208</v>
      </c>
      <c r="AM440" t="s">
        <v>789</v>
      </c>
      <c r="AN440" t="s">
        <v>771</v>
      </c>
      <c r="AO440" t="s">
        <v>772</v>
      </c>
      <c r="AP440" t="s">
        <v>798</v>
      </c>
      <c r="AY440" t="str">
        <f t="shared" si="114"/>
        <v>CORTEXILINE</v>
      </c>
      <c r="AZ440" t="str">
        <f>IF(COUNTIF(AY:AY,AY440)=1,AY440,IF(AND(COUNTIF(AY:AY,AY440)&gt;1,COUNTIF(AZ$2:AZ439,AY440)&gt;=1),"",AY440))</f>
        <v/>
      </c>
      <c r="BA440" t="str">
        <f>IF(AZ440="","",COUNTIFS(AZ$3:AZ$1439,"&lt;"&amp;AZ440,AZ$3:AZ$1439,"&lt;&gt;0")+COUNTIF(AZ$3:AZ440,AZ440)-876)</f>
        <v/>
      </c>
      <c r="BC440">
        <v>438</v>
      </c>
      <c r="BD440" t="str">
        <f t="shared" si="125"/>
        <v>SODIBIO</v>
      </c>
      <c r="BE440" t="str">
        <f t="shared" si="115"/>
        <v>INJ</v>
      </c>
      <c r="BF440" t="str">
        <f t="shared" si="116"/>
        <v>PENICILLINES</v>
      </c>
      <c r="BG440" t="str">
        <f t="shared" si="117"/>
        <v>POLYPEPTIDES</v>
      </c>
      <c r="BH440" t="str">
        <f t="shared" si="118"/>
        <v/>
      </c>
      <c r="BI440" t="str">
        <f t="shared" si="119"/>
        <v>ampicillin</v>
      </c>
      <c r="BJ440" t="str">
        <f t="shared" si="120"/>
        <v>colistin</v>
      </c>
      <c r="BK440" t="str">
        <f t="shared" si="121"/>
        <v/>
      </c>
      <c r="BL440" t="str">
        <f t="shared" si="126"/>
        <v>Ampicilline + Colistine</v>
      </c>
      <c r="BM440" t="str">
        <f t="shared" si="122"/>
        <v>Ampicilline</v>
      </c>
      <c r="BN440" t="str">
        <f t="shared" si="123"/>
        <v>Colistine</v>
      </c>
      <c r="BO440" t="str">
        <f t="shared" si="124"/>
        <v/>
      </c>
      <c r="BP440" t="str">
        <f t="shared" si="127"/>
        <v>Penicillines + Polypeptides</v>
      </c>
      <c r="BQ440" t="str">
        <f t="shared" si="128"/>
        <v>Penicillines</v>
      </c>
      <c r="BR440" t="str">
        <f t="shared" si="129"/>
        <v>Polypeptides</v>
      </c>
      <c r="BS440" t="str">
        <f t="shared" si="130"/>
        <v/>
      </c>
      <c r="BT440" s="76" t="str">
        <f t="shared" si="131"/>
        <v>Voie parentérale</v>
      </c>
      <c r="BU440" t="str">
        <f t="shared" si="132"/>
        <v>x</v>
      </c>
      <c r="CN440">
        <v>439</v>
      </c>
    </row>
    <row r="441" spans="1:92" x14ac:dyDescent="0.3">
      <c r="A441" s="118" t="s">
        <v>2133</v>
      </c>
      <c r="B441" t="s">
        <v>2134</v>
      </c>
      <c r="C441" t="s">
        <v>2135</v>
      </c>
      <c r="D441" s="144" t="s">
        <v>1544</v>
      </c>
      <c r="E441" t="s">
        <v>765</v>
      </c>
      <c r="F441" t="s">
        <v>2136</v>
      </c>
      <c r="G441" t="s">
        <v>985</v>
      </c>
      <c r="H441" t="s">
        <v>816</v>
      </c>
      <c r="I441" t="s">
        <v>879</v>
      </c>
      <c r="J441" t="s">
        <v>783</v>
      </c>
      <c r="K441" t="s">
        <v>783</v>
      </c>
      <c r="L441" t="s">
        <v>784</v>
      </c>
      <c r="M441" t="s">
        <v>208</v>
      </c>
      <c r="N441" t="s">
        <v>2137</v>
      </c>
      <c r="O441" t="s">
        <v>771</v>
      </c>
      <c r="P441" t="s">
        <v>772</v>
      </c>
      <c r="Q441" t="s">
        <v>1200</v>
      </c>
      <c r="R441">
        <v>0</v>
      </c>
      <c r="S441">
        <v>0</v>
      </c>
      <c r="T441">
        <v>0</v>
      </c>
      <c r="U441">
        <v>0</v>
      </c>
      <c r="V441">
        <v>0</v>
      </c>
      <c r="W441">
        <v>0</v>
      </c>
      <c r="X441">
        <v>0</v>
      </c>
      <c r="Y441">
        <v>0</v>
      </c>
      <c r="Z441">
        <v>0</v>
      </c>
      <c r="AA441">
        <v>0</v>
      </c>
      <c r="AB441">
        <v>0</v>
      </c>
      <c r="AC441">
        <v>0</v>
      </c>
      <c r="AD441">
        <v>0</v>
      </c>
      <c r="AE441">
        <v>0</v>
      </c>
      <c r="AF441">
        <v>0</v>
      </c>
      <c r="AG441">
        <v>0</v>
      </c>
      <c r="AH441">
        <v>0</v>
      </c>
      <c r="AI441">
        <v>0</v>
      </c>
      <c r="AY441" t="str">
        <f t="shared" si="114"/>
        <v/>
      </c>
      <c r="AZ441" t="str">
        <f>IF(COUNTIF(AY:AY,AY441)=1,AY441,IF(AND(COUNTIF(AY:AY,AY441)&gt;1,COUNTIF(AZ$2:AZ440,AY441)&gt;=1),"",AY441))</f>
        <v/>
      </c>
      <c r="BA441" t="str">
        <f>IF(AZ441="","",COUNTIFS(AZ$3:AZ$1439,"&lt;"&amp;AZ441,AZ$3:AZ$1439,"&lt;&gt;0")+COUNTIF(AZ$3:AZ441,AZ441)-876)</f>
        <v/>
      </c>
      <c r="BC441">
        <v>439</v>
      </c>
      <c r="BD441" t="str">
        <f t="shared" si="125"/>
        <v>SODICOLY INJECTABLE</v>
      </c>
      <c r="BE441" t="str">
        <f t="shared" si="115"/>
        <v>INJ</v>
      </c>
      <c r="BF441" t="str">
        <f t="shared" si="116"/>
        <v>POLYPEPTIDES</v>
      </c>
      <c r="BG441" t="str">
        <f t="shared" si="117"/>
        <v/>
      </c>
      <c r="BH441" t="str">
        <f t="shared" si="118"/>
        <v/>
      </c>
      <c r="BI441" t="str">
        <f t="shared" si="119"/>
        <v>colistin</v>
      </c>
      <c r="BJ441" t="str">
        <f t="shared" si="120"/>
        <v/>
      </c>
      <c r="BK441" t="str">
        <f t="shared" si="121"/>
        <v/>
      </c>
      <c r="BL441" t="str">
        <f t="shared" si="126"/>
        <v>Colistine</v>
      </c>
      <c r="BM441" t="str">
        <f t="shared" si="122"/>
        <v>Colistine</v>
      </c>
      <c r="BN441" t="str">
        <f t="shared" si="123"/>
        <v/>
      </c>
      <c r="BO441" t="str">
        <f t="shared" si="124"/>
        <v/>
      </c>
      <c r="BP441" t="str">
        <f t="shared" si="127"/>
        <v>Polypeptides</v>
      </c>
      <c r="BQ441" t="str">
        <f t="shared" si="128"/>
        <v>Polypeptides</v>
      </c>
      <c r="BR441" t="str">
        <f t="shared" si="129"/>
        <v/>
      </c>
      <c r="BS441" t="str">
        <f t="shared" si="130"/>
        <v/>
      </c>
      <c r="BT441" s="76" t="str">
        <f t="shared" si="131"/>
        <v>Voie parentérale</v>
      </c>
      <c r="BU441" t="str">
        <f t="shared" si="132"/>
        <v>x</v>
      </c>
      <c r="CN441">
        <v>440</v>
      </c>
    </row>
    <row r="442" spans="1:92" x14ac:dyDescent="0.3">
      <c r="A442" s="118" t="s">
        <v>1377</v>
      </c>
      <c r="B442" t="s">
        <v>1378</v>
      </c>
      <c r="C442" t="s">
        <v>4189</v>
      </c>
      <c r="D442" s="144" t="s">
        <v>1125</v>
      </c>
      <c r="E442" t="s">
        <v>765</v>
      </c>
      <c r="F442" t="s">
        <v>1379</v>
      </c>
      <c r="G442" t="s">
        <v>985</v>
      </c>
      <c r="H442" t="s">
        <v>816</v>
      </c>
      <c r="I442" t="s">
        <v>879</v>
      </c>
      <c r="J442" t="s">
        <v>783</v>
      </c>
      <c r="K442" t="s">
        <v>783</v>
      </c>
      <c r="L442" t="s">
        <v>784</v>
      </c>
      <c r="M442" t="s">
        <v>208</v>
      </c>
      <c r="N442" t="s">
        <v>955</v>
      </c>
      <c r="O442" t="s">
        <v>805</v>
      </c>
      <c r="P442" t="s">
        <v>4370</v>
      </c>
      <c r="Q442" t="s">
        <v>4395</v>
      </c>
      <c r="R442">
        <v>0</v>
      </c>
      <c r="S442">
        <v>0</v>
      </c>
      <c r="T442">
        <v>0</v>
      </c>
      <c r="U442">
        <v>0</v>
      </c>
      <c r="V442">
        <v>0</v>
      </c>
      <c r="W442">
        <v>0</v>
      </c>
      <c r="X442">
        <v>0</v>
      </c>
      <c r="Y442">
        <v>0</v>
      </c>
      <c r="Z442">
        <v>0</v>
      </c>
      <c r="AA442">
        <v>0</v>
      </c>
      <c r="AB442">
        <v>0</v>
      </c>
      <c r="AC442">
        <v>0</v>
      </c>
      <c r="AD442">
        <v>0</v>
      </c>
      <c r="AE442">
        <v>0</v>
      </c>
      <c r="AF442">
        <v>0</v>
      </c>
      <c r="AG442">
        <v>0</v>
      </c>
      <c r="AH442">
        <v>0</v>
      </c>
      <c r="AI442">
        <v>0</v>
      </c>
      <c r="AY442" t="str">
        <f t="shared" si="114"/>
        <v/>
      </c>
      <c r="AZ442" t="str">
        <f>IF(COUNTIF(AY:AY,AY442)=1,AY442,IF(AND(COUNTIF(AY:AY,AY442)&gt;1,COUNTIF(AZ$2:AZ441,AY442)&gt;=1),"",AY442))</f>
        <v/>
      </c>
      <c r="BA442" t="str">
        <f>IF(AZ442="","",COUNTIFS(AZ$3:AZ$1439,"&lt;"&amp;AZ442,AZ$3:AZ$1439,"&lt;&gt;0")+COUNTIF(AZ$3:AZ442,AZ442)-876)</f>
        <v/>
      </c>
      <c r="BC442">
        <v>440</v>
      </c>
      <c r="BD442" t="str">
        <f t="shared" si="125"/>
        <v>SOGECOLI 2 MILLIONS UI/ML SOLUTION BUVABLE</v>
      </c>
      <c r="BE442" t="str">
        <f t="shared" si="115"/>
        <v>ORAL</v>
      </c>
      <c r="BF442" t="str">
        <f t="shared" si="116"/>
        <v>POLYPEPTIDES</v>
      </c>
      <c r="BG442" t="str">
        <f t="shared" si="117"/>
        <v/>
      </c>
      <c r="BH442" t="str">
        <f t="shared" si="118"/>
        <v/>
      </c>
      <c r="BI442" t="str">
        <f t="shared" si="119"/>
        <v>colistin</v>
      </c>
      <c r="BJ442" t="str">
        <f t="shared" si="120"/>
        <v/>
      </c>
      <c r="BK442" t="str">
        <f t="shared" si="121"/>
        <v/>
      </c>
      <c r="BL442" t="str">
        <f t="shared" si="126"/>
        <v>Colistine</v>
      </c>
      <c r="BM442" t="str">
        <f t="shared" si="122"/>
        <v>Colistine</v>
      </c>
      <c r="BN442" t="str">
        <f t="shared" si="123"/>
        <v/>
      </c>
      <c r="BO442" t="str">
        <f t="shared" si="124"/>
        <v/>
      </c>
      <c r="BP442" t="str">
        <f t="shared" si="127"/>
        <v>Polypeptides</v>
      </c>
      <c r="BQ442" t="str">
        <f t="shared" si="128"/>
        <v>Polypeptides</v>
      </c>
      <c r="BR442" t="str">
        <f t="shared" si="129"/>
        <v/>
      </c>
      <c r="BS442" t="str">
        <f t="shared" si="130"/>
        <v/>
      </c>
      <c r="BT442" s="76" t="str">
        <f t="shared" si="131"/>
        <v>Voie orale  hors prémélanges médicamenteux</v>
      </c>
      <c r="BU442" t="str">
        <f t="shared" si="132"/>
        <v>x</v>
      </c>
      <c r="CN442">
        <v>441</v>
      </c>
    </row>
    <row r="443" spans="1:92" x14ac:dyDescent="0.3">
      <c r="A443" s="118" t="s">
        <v>1252</v>
      </c>
      <c r="B443" t="s">
        <v>1253</v>
      </c>
      <c r="C443" t="s">
        <v>4385</v>
      </c>
      <c r="D443" s="144" t="s">
        <v>1047</v>
      </c>
      <c r="E443" t="s">
        <v>765</v>
      </c>
      <c r="F443" t="s">
        <v>1254</v>
      </c>
      <c r="G443" t="s">
        <v>956</v>
      </c>
      <c r="H443" t="s">
        <v>1173</v>
      </c>
      <c r="I443" t="s">
        <v>817</v>
      </c>
      <c r="J443" t="s">
        <v>928</v>
      </c>
      <c r="K443" t="s">
        <v>862</v>
      </c>
      <c r="L443" t="s">
        <v>1003</v>
      </c>
      <c r="M443" t="s">
        <v>208</v>
      </c>
      <c r="N443" t="s">
        <v>1255</v>
      </c>
      <c r="O443" t="s">
        <v>771</v>
      </c>
      <c r="P443" t="s">
        <v>772</v>
      </c>
      <c r="Q443" t="s">
        <v>1256</v>
      </c>
      <c r="R443">
        <v>0</v>
      </c>
      <c r="S443">
        <v>0</v>
      </c>
      <c r="T443">
        <v>0</v>
      </c>
      <c r="U443">
        <v>0</v>
      </c>
      <c r="V443">
        <v>0</v>
      </c>
      <c r="W443">
        <v>0</v>
      </c>
      <c r="X443">
        <v>0</v>
      </c>
      <c r="Y443">
        <v>0</v>
      </c>
      <c r="Z443">
        <v>37.5</v>
      </c>
      <c r="AA443">
        <v>5</v>
      </c>
      <c r="AB443">
        <v>0</v>
      </c>
      <c r="AC443">
        <v>0</v>
      </c>
      <c r="AD443">
        <v>0</v>
      </c>
      <c r="AE443">
        <v>0</v>
      </c>
      <c r="AF443">
        <v>0</v>
      </c>
      <c r="AG443">
        <v>0</v>
      </c>
      <c r="AH443">
        <v>0</v>
      </c>
      <c r="AI443">
        <v>0</v>
      </c>
      <c r="AJ443" t="s">
        <v>930</v>
      </c>
      <c r="AK443" t="s">
        <v>931</v>
      </c>
      <c r="AL443" t="s">
        <v>208</v>
      </c>
      <c r="AM443" t="s">
        <v>972</v>
      </c>
      <c r="AN443" t="s">
        <v>771</v>
      </c>
      <c r="AO443" t="s">
        <v>772</v>
      </c>
      <c r="AP443" t="s">
        <v>1257</v>
      </c>
      <c r="AY443" t="str">
        <f t="shared" si="114"/>
        <v>CORYLAP</v>
      </c>
      <c r="AZ443" t="str">
        <f>IF(COUNTIF(AY:AY,AY443)=1,AY443,IF(AND(COUNTIF(AY:AY,AY443)&gt;1,COUNTIF(AZ$2:AZ442,AY443)&gt;=1),"",AY443))</f>
        <v>CORYLAP</v>
      </c>
      <c r="BA443">
        <f>IF(AZ443="","",COUNTIFS(AZ$3:AZ$1439,"&lt;"&amp;AZ443,AZ$3:AZ$1439,"&lt;&gt;0")+COUNTIF(AZ$3:AZ443,AZ443)-876)</f>
        <v>166</v>
      </c>
      <c r="BC443">
        <v>441</v>
      </c>
      <c r="BD443" t="str">
        <f t="shared" si="125"/>
        <v>SOGESTART</v>
      </c>
      <c r="BE443" t="str">
        <f t="shared" si="115"/>
        <v>PM</v>
      </c>
      <c r="BF443" t="str">
        <f t="shared" si="116"/>
        <v>TETRACYCLINES</v>
      </c>
      <c r="BG443" t="str">
        <f t="shared" si="117"/>
        <v>SULFAMIDES</v>
      </c>
      <c r="BH443" t="str">
        <f t="shared" si="118"/>
        <v/>
      </c>
      <c r="BI443" t="str">
        <f t="shared" si="119"/>
        <v>tetracycline</v>
      </c>
      <c r="BJ443" t="str">
        <f t="shared" si="120"/>
        <v>sulfadimidine</v>
      </c>
      <c r="BK443" t="str">
        <f t="shared" si="121"/>
        <v/>
      </c>
      <c r="BL443" t="str">
        <f t="shared" si="126"/>
        <v>Tétracycline + Sulfadimidine</v>
      </c>
      <c r="BM443" t="str">
        <f t="shared" si="122"/>
        <v>Tétracycline</v>
      </c>
      <c r="BN443" t="str">
        <f t="shared" si="123"/>
        <v>Sulfadimidine</v>
      </c>
      <c r="BO443" t="str">
        <f t="shared" si="124"/>
        <v/>
      </c>
      <c r="BP443" t="str">
        <f t="shared" si="127"/>
        <v>Tetracyclines + Sulfamides</v>
      </c>
      <c r="BQ443" t="str">
        <f t="shared" si="128"/>
        <v>Tetracyclines</v>
      </c>
      <c r="BR443" t="str">
        <f t="shared" si="129"/>
        <v>Sulfamides</v>
      </c>
      <c r="BS443" t="str">
        <f t="shared" si="130"/>
        <v/>
      </c>
      <c r="BT443" s="76" t="str">
        <f t="shared" si="131"/>
        <v>Prémélanges médicamenteux</v>
      </c>
      <c r="BU443" t="str">
        <f t="shared" si="132"/>
        <v/>
      </c>
      <c r="CN443">
        <v>442</v>
      </c>
    </row>
    <row r="444" spans="1:92" x14ac:dyDescent="0.3">
      <c r="A444" s="118" t="s">
        <v>1252</v>
      </c>
      <c r="B444" t="s">
        <v>1258</v>
      </c>
      <c r="C444" t="s">
        <v>949</v>
      </c>
      <c r="D444" s="144" t="s">
        <v>776</v>
      </c>
      <c r="E444" t="s">
        <v>765</v>
      </c>
      <c r="F444" t="s">
        <v>1254</v>
      </c>
      <c r="G444" t="s">
        <v>956</v>
      </c>
      <c r="H444" t="s">
        <v>1173</v>
      </c>
      <c r="I444" t="s">
        <v>817</v>
      </c>
      <c r="J444" t="s">
        <v>928</v>
      </c>
      <c r="K444" t="s">
        <v>862</v>
      </c>
      <c r="L444" t="s">
        <v>1003</v>
      </c>
      <c r="M444" t="s">
        <v>208</v>
      </c>
      <c r="N444" t="s">
        <v>1255</v>
      </c>
      <c r="O444" t="s">
        <v>771</v>
      </c>
      <c r="P444" t="s">
        <v>772</v>
      </c>
      <c r="Q444" t="s">
        <v>1259</v>
      </c>
      <c r="R444">
        <v>0</v>
      </c>
      <c r="S444">
        <v>0</v>
      </c>
      <c r="T444">
        <v>0</v>
      </c>
      <c r="U444">
        <v>0</v>
      </c>
      <c r="V444">
        <v>0</v>
      </c>
      <c r="W444">
        <v>0</v>
      </c>
      <c r="X444">
        <v>0</v>
      </c>
      <c r="Y444">
        <v>0</v>
      </c>
      <c r="Z444">
        <v>37.5</v>
      </c>
      <c r="AA444">
        <v>5</v>
      </c>
      <c r="AB444">
        <v>0</v>
      </c>
      <c r="AC444">
        <v>0</v>
      </c>
      <c r="AD444">
        <v>0</v>
      </c>
      <c r="AE444">
        <v>0</v>
      </c>
      <c r="AF444">
        <v>0</v>
      </c>
      <c r="AG444">
        <v>0</v>
      </c>
      <c r="AH444">
        <v>0</v>
      </c>
      <c r="AI444">
        <v>0</v>
      </c>
      <c r="AJ444" t="s">
        <v>930</v>
      </c>
      <c r="AK444" t="s">
        <v>931</v>
      </c>
      <c r="AL444" t="s">
        <v>208</v>
      </c>
      <c r="AM444" t="s">
        <v>972</v>
      </c>
      <c r="AN444" t="s">
        <v>771</v>
      </c>
      <c r="AO444" t="s">
        <v>772</v>
      </c>
      <c r="AP444" t="s">
        <v>1260</v>
      </c>
      <c r="AY444" t="str">
        <f t="shared" si="114"/>
        <v>CORYLAP</v>
      </c>
      <c r="AZ444" t="str">
        <f>IF(COUNTIF(AY:AY,AY444)=1,AY444,IF(AND(COUNTIF(AY:AY,AY444)&gt;1,COUNTIF(AZ$2:AZ443,AY444)&gt;=1),"",AY444))</f>
        <v/>
      </c>
      <c r="BA444" t="str">
        <f>IF(AZ444="","",COUNTIFS(AZ$3:AZ$1439,"&lt;"&amp;AZ444,AZ$3:AZ$1439,"&lt;&gt;0")+COUNTIF(AZ$3:AZ444,AZ444)-876)</f>
        <v/>
      </c>
      <c r="BC444">
        <v>442</v>
      </c>
      <c r="BD444" t="str">
        <f t="shared" si="125"/>
        <v>SOGETYL 100 MUI POUDRE POUR SOLUTION BUVABLE POUR VEAUX PORCINS ET VOLAILLES</v>
      </c>
      <c r="BE444" t="str">
        <f t="shared" si="115"/>
        <v>ORAL</v>
      </c>
      <c r="BF444" t="str">
        <f t="shared" si="116"/>
        <v>MACROLIDES</v>
      </c>
      <c r="BG444" t="str">
        <f t="shared" si="117"/>
        <v/>
      </c>
      <c r="BH444" t="str">
        <f t="shared" si="118"/>
        <v/>
      </c>
      <c r="BI444" t="str">
        <f t="shared" si="119"/>
        <v>tylosin</v>
      </c>
      <c r="BJ444" t="str">
        <f t="shared" si="120"/>
        <v/>
      </c>
      <c r="BK444" t="str">
        <f t="shared" si="121"/>
        <v/>
      </c>
      <c r="BL444" t="str">
        <f t="shared" si="126"/>
        <v>Tylosine</v>
      </c>
      <c r="BM444" t="str">
        <f t="shared" si="122"/>
        <v>Tylosine</v>
      </c>
      <c r="BN444" t="str">
        <f t="shared" si="123"/>
        <v/>
      </c>
      <c r="BO444" t="str">
        <f t="shared" si="124"/>
        <v/>
      </c>
      <c r="BP444" t="str">
        <f t="shared" si="127"/>
        <v>Macrolides</v>
      </c>
      <c r="BQ444" t="str">
        <f t="shared" si="128"/>
        <v>Macrolides</v>
      </c>
      <c r="BR444" t="str">
        <f t="shared" si="129"/>
        <v/>
      </c>
      <c r="BS444" t="str">
        <f t="shared" si="130"/>
        <v/>
      </c>
      <c r="BT444" s="76" t="str">
        <f t="shared" si="131"/>
        <v>Voie orale  hors prémélanges médicamenteux</v>
      </c>
      <c r="BU444" t="str">
        <f t="shared" si="132"/>
        <v/>
      </c>
      <c r="CN444">
        <v>443</v>
      </c>
    </row>
    <row r="445" spans="1:92" x14ac:dyDescent="0.3">
      <c r="A445" s="118" t="s">
        <v>1529</v>
      </c>
      <c r="B445" t="s">
        <v>1530</v>
      </c>
      <c r="C445" t="s">
        <v>1531</v>
      </c>
      <c r="D445" s="144" t="s">
        <v>1132</v>
      </c>
      <c r="E445" t="s">
        <v>813</v>
      </c>
      <c r="F445" t="s">
        <v>1532</v>
      </c>
      <c r="G445" t="s">
        <v>815</v>
      </c>
      <c r="H445" t="s">
        <v>871</v>
      </c>
      <c r="I445" t="s">
        <v>817</v>
      </c>
      <c r="J445" t="s">
        <v>928</v>
      </c>
      <c r="K445" t="s">
        <v>862</v>
      </c>
      <c r="L445" t="s">
        <v>1003</v>
      </c>
      <c r="M445" t="s">
        <v>208</v>
      </c>
      <c r="N445" t="s">
        <v>869</v>
      </c>
      <c r="O445" t="s">
        <v>824</v>
      </c>
      <c r="P445" t="s">
        <v>772</v>
      </c>
      <c r="Q445" t="s">
        <v>1143</v>
      </c>
      <c r="R445">
        <v>0</v>
      </c>
      <c r="S445">
        <v>0</v>
      </c>
      <c r="T445">
        <v>20</v>
      </c>
      <c r="U445">
        <v>5</v>
      </c>
      <c r="V445">
        <v>0</v>
      </c>
      <c r="W445">
        <v>0</v>
      </c>
      <c r="X445">
        <v>0</v>
      </c>
      <c r="Y445">
        <v>0</v>
      </c>
      <c r="Z445">
        <v>0</v>
      </c>
      <c r="AA445">
        <v>0</v>
      </c>
      <c r="AB445">
        <v>0</v>
      </c>
      <c r="AC445">
        <v>0</v>
      </c>
      <c r="AD445">
        <v>0</v>
      </c>
      <c r="AE445">
        <v>0</v>
      </c>
      <c r="AF445">
        <v>0</v>
      </c>
      <c r="AG445">
        <v>0</v>
      </c>
      <c r="AH445">
        <v>0</v>
      </c>
      <c r="AI445">
        <v>0</v>
      </c>
      <c r="AJ445" t="s">
        <v>930</v>
      </c>
      <c r="AK445" t="s">
        <v>931</v>
      </c>
      <c r="AL445" t="s">
        <v>208</v>
      </c>
      <c r="AM445" t="s">
        <v>934</v>
      </c>
      <c r="AN445" t="s">
        <v>824</v>
      </c>
      <c r="AO445" t="s">
        <v>772</v>
      </c>
      <c r="AP445" t="s">
        <v>980</v>
      </c>
      <c r="AY445" t="str">
        <f t="shared" si="114"/>
        <v/>
      </c>
      <c r="AZ445" t="str">
        <f>IF(COUNTIF(AY:AY,AY445)=1,AY445,IF(AND(COUNTIF(AY:AY,AY445)&gt;1,COUNTIF(AZ$2:AZ444,AY445)&gt;=1),"",AY445))</f>
        <v/>
      </c>
      <c r="BA445" t="str">
        <f>IF(AZ445="","",COUNTIFS(AZ$3:AZ$1439,"&lt;"&amp;AZ445,AZ$3:AZ$1439,"&lt;&gt;0")+COUNTIF(AZ$3:AZ445,AZ445)-876)</f>
        <v/>
      </c>
      <c r="BC445">
        <v>443</v>
      </c>
      <c r="BD445" t="str">
        <f t="shared" si="125"/>
        <v>SOLAMOCTA 697 MG/G POUDRE POUR ADMINISTRATION DANS L'EAU DE BOISSON DES POULES CANARDS ET DINDES</v>
      </c>
      <c r="BE445" t="str">
        <f t="shared" si="115"/>
        <v>ORAL</v>
      </c>
      <c r="BF445" t="str">
        <f t="shared" si="116"/>
        <v>PENICILLINES</v>
      </c>
      <c r="BG445" t="str">
        <f t="shared" si="117"/>
        <v/>
      </c>
      <c r="BH445" t="str">
        <f t="shared" si="118"/>
        <v/>
      </c>
      <c r="BI445" t="str">
        <f t="shared" si="119"/>
        <v>amoxicillin</v>
      </c>
      <c r="BJ445" t="str">
        <f t="shared" si="120"/>
        <v/>
      </c>
      <c r="BK445" t="str">
        <f t="shared" si="121"/>
        <v/>
      </c>
      <c r="BL445" t="str">
        <f t="shared" si="126"/>
        <v>Amoxicilline</v>
      </c>
      <c r="BM445" t="str">
        <f t="shared" si="122"/>
        <v>Amoxicilline</v>
      </c>
      <c r="BN445" t="str">
        <f t="shared" si="123"/>
        <v/>
      </c>
      <c r="BO445" t="str">
        <f t="shared" si="124"/>
        <v/>
      </c>
      <c r="BP445" t="str">
        <f t="shared" si="127"/>
        <v>Penicillines</v>
      </c>
      <c r="BQ445" t="str">
        <f t="shared" si="128"/>
        <v>Penicillines</v>
      </c>
      <c r="BR445" t="str">
        <f t="shared" si="129"/>
        <v/>
      </c>
      <c r="BS445" t="str">
        <f t="shared" si="130"/>
        <v/>
      </c>
      <c r="BT445" s="76" t="str">
        <f t="shared" si="131"/>
        <v>Voie orale  hors prémélanges médicamenteux</v>
      </c>
      <c r="BU445" t="str">
        <f t="shared" si="132"/>
        <v/>
      </c>
      <c r="CN445">
        <v>444</v>
      </c>
    </row>
    <row r="446" spans="1:92" x14ac:dyDescent="0.3">
      <c r="A446" s="118" t="s">
        <v>3122</v>
      </c>
      <c r="B446" t="s">
        <v>3123</v>
      </c>
      <c r="C446" t="s">
        <v>1369</v>
      </c>
      <c r="D446" s="144" t="s">
        <v>780</v>
      </c>
      <c r="E446" t="s">
        <v>765</v>
      </c>
      <c r="F446" t="s">
        <v>82</v>
      </c>
      <c r="G446" t="s">
        <v>766</v>
      </c>
      <c r="H446" t="s">
        <v>801</v>
      </c>
      <c r="I446" t="s">
        <v>766</v>
      </c>
      <c r="J446" t="s">
        <v>768</v>
      </c>
      <c r="K446" t="s">
        <v>768</v>
      </c>
      <c r="L446" t="s">
        <v>769</v>
      </c>
      <c r="M446" t="s">
        <v>208</v>
      </c>
      <c r="N446" t="s">
        <v>1163</v>
      </c>
      <c r="O446" t="s">
        <v>771</v>
      </c>
      <c r="P446" t="s">
        <v>772</v>
      </c>
      <c r="Q446" t="s">
        <v>972</v>
      </c>
      <c r="R446">
        <v>30</v>
      </c>
      <c r="S446">
        <v>1</v>
      </c>
      <c r="T446">
        <v>0</v>
      </c>
      <c r="U446">
        <v>0</v>
      </c>
      <c r="V446">
        <v>0</v>
      </c>
      <c r="W446">
        <v>0</v>
      </c>
      <c r="X446">
        <v>0</v>
      </c>
      <c r="Y446">
        <v>0</v>
      </c>
      <c r="Z446">
        <v>0</v>
      </c>
      <c r="AA446">
        <v>0</v>
      </c>
      <c r="AB446">
        <v>0</v>
      </c>
      <c r="AC446">
        <v>0</v>
      </c>
      <c r="AD446">
        <v>0</v>
      </c>
      <c r="AE446">
        <v>0</v>
      </c>
      <c r="AF446">
        <v>0</v>
      </c>
      <c r="AG446">
        <v>0</v>
      </c>
      <c r="AH446">
        <v>0</v>
      </c>
      <c r="AI446">
        <v>0</v>
      </c>
      <c r="AY446" t="str">
        <f t="shared" si="114"/>
        <v>COVUNIL</v>
      </c>
      <c r="AZ446" t="str">
        <f>IF(COUNTIF(AY:AY,AY446)=1,AY446,IF(AND(COUNTIF(AY:AY,AY446)&gt;1,COUNTIF(AZ$2:AZ445,AY446)&gt;=1),"",AY446))</f>
        <v>COVUNIL</v>
      </c>
      <c r="BA446">
        <f>IF(AZ446="","",COUNTIFS(AZ$3:AZ$1439,"&lt;"&amp;AZ446,AZ$3:AZ$1439,"&lt;&gt;0")+COUNTIF(AZ$3:AZ446,AZ446)-876)</f>
        <v>167</v>
      </c>
      <c r="BC446">
        <v>444</v>
      </c>
      <c r="BD446" t="str">
        <f t="shared" si="125"/>
        <v>SOLDOXIN 100 MG/ML SOLUTION BUVABLE POUR POULES POULETS ET PORCINS</v>
      </c>
      <c r="BE446" t="str">
        <f t="shared" si="115"/>
        <v>ORAL</v>
      </c>
      <c r="BF446" t="str">
        <f t="shared" si="116"/>
        <v>TETRACYCLINES</v>
      </c>
      <c r="BG446" t="str">
        <f t="shared" si="117"/>
        <v/>
      </c>
      <c r="BH446" t="str">
        <f t="shared" si="118"/>
        <v/>
      </c>
      <c r="BI446" t="str">
        <f t="shared" si="119"/>
        <v>doxycycline</v>
      </c>
      <c r="BJ446" t="str">
        <f t="shared" si="120"/>
        <v/>
      </c>
      <c r="BK446" t="str">
        <f t="shared" si="121"/>
        <v/>
      </c>
      <c r="BL446" t="str">
        <f t="shared" si="126"/>
        <v>Doxycycline</v>
      </c>
      <c r="BM446" t="str">
        <f t="shared" si="122"/>
        <v>Doxycycline</v>
      </c>
      <c r="BN446" t="str">
        <f t="shared" si="123"/>
        <v/>
      </c>
      <c r="BO446" t="str">
        <f t="shared" si="124"/>
        <v/>
      </c>
      <c r="BP446" t="str">
        <f t="shared" si="127"/>
        <v>Tetracyclines</v>
      </c>
      <c r="BQ446" t="str">
        <f t="shared" si="128"/>
        <v>Tetracyclines</v>
      </c>
      <c r="BR446" t="str">
        <f t="shared" si="129"/>
        <v/>
      </c>
      <c r="BS446" t="str">
        <f t="shared" si="130"/>
        <v/>
      </c>
      <c r="BT446" s="76" t="str">
        <f t="shared" si="131"/>
        <v>Voie orale  hors prémélanges médicamenteux</v>
      </c>
      <c r="BU446" t="str">
        <f t="shared" si="132"/>
        <v/>
      </c>
      <c r="CN446">
        <v>445</v>
      </c>
    </row>
    <row r="447" spans="1:92" x14ac:dyDescent="0.3">
      <c r="A447" s="118" t="s">
        <v>3122</v>
      </c>
      <c r="B447" t="s">
        <v>3124</v>
      </c>
      <c r="C447" t="s">
        <v>1483</v>
      </c>
      <c r="D447" s="144" t="s">
        <v>764</v>
      </c>
      <c r="E447" t="s">
        <v>765</v>
      </c>
      <c r="F447" t="s">
        <v>82</v>
      </c>
      <c r="G447" t="s">
        <v>766</v>
      </c>
      <c r="H447" t="s">
        <v>801</v>
      </c>
      <c r="I447" t="s">
        <v>766</v>
      </c>
      <c r="J447" t="s">
        <v>768</v>
      </c>
      <c r="K447" t="s">
        <v>768</v>
      </c>
      <c r="L447" t="s">
        <v>769</v>
      </c>
      <c r="M447" t="s">
        <v>208</v>
      </c>
      <c r="N447" t="s">
        <v>1163</v>
      </c>
      <c r="O447" t="s">
        <v>771</v>
      </c>
      <c r="P447" t="s">
        <v>772</v>
      </c>
      <c r="Q447" t="s">
        <v>797</v>
      </c>
      <c r="R447">
        <v>30</v>
      </c>
      <c r="S447">
        <v>1</v>
      </c>
      <c r="T447">
        <v>0</v>
      </c>
      <c r="U447">
        <v>0</v>
      </c>
      <c r="V447">
        <v>0</v>
      </c>
      <c r="W447">
        <v>0</v>
      </c>
      <c r="X447">
        <v>0</v>
      </c>
      <c r="Y447">
        <v>0</v>
      </c>
      <c r="Z447">
        <v>0</v>
      </c>
      <c r="AA447">
        <v>0</v>
      </c>
      <c r="AB447">
        <v>0</v>
      </c>
      <c r="AC447">
        <v>0</v>
      </c>
      <c r="AD447">
        <v>0</v>
      </c>
      <c r="AE447">
        <v>0</v>
      </c>
      <c r="AF447">
        <v>0</v>
      </c>
      <c r="AG447">
        <v>0</v>
      </c>
      <c r="AH447">
        <v>0</v>
      </c>
      <c r="AI447">
        <v>0</v>
      </c>
      <c r="AY447" t="str">
        <f t="shared" si="114"/>
        <v>COVUNIL</v>
      </c>
      <c r="AZ447" t="str">
        <f>IF(COUNTIF(AY:AY,AY447)=1,AY447,IF(AND(COUNTIF(AY:AY,AY447)&gt;1,COUNTIF(AZ$2:AZ446,AY447)&gt;=1),"",AY447))</f>
        <v/>
      </c>
      <c r="BA447" t="str">
        <f>IF(AZ447="","",COUNTIFS(AZ$3:AZ$1439,"&lt;"&amp;AZ447,AZ$3:AZ$1439,"&lt;&gt;0")+COUNTIF(AZ$3:AZ447,AZ447)-876)</f>
        <v/>
      </c>
      <c r="BC447">
        <v>445</v>
      </c>
      <c r="BD447" t="str">
        <f t="shared" si="125"/>
        <v>SOLUCOL</v>
      </c>
      <c r="BE447" t="str">
        <f t="shared" si="115"/>
        <v>INJ</v>
      </c>
      <c r="BF447" t="str">
        <f t="shared" si="116"/>
        <v>POLYPEPTIDES</v>
      </c>
      <c r="BG447" t="str">
        <f t="shared" si="117"/>
        <v/>
      </c>
      <c r="BH447" t="str">
        <f t="shared" si="118"/>
        <v/>
      </c>
      <c r="BI447" t="str">
        <f t="shared" si="119"/>
        <v>colistin</v>
      </c>
      <c r="BJ447" t="str">
        <f t="shared" si="120"/>
        <v/>
      </c>
      <c r="BK447" t="str">
        <f t="shared" si="121"/>
        <v/>
      </c>
      <c r="BL447" t="str">
        <f t="shared" si="126"/>
        <v>Colistine</v>
      </c>
      <c r="BM447" t="str">
        <f t="shared" si="122"/>
        <v>Colistine</v>
      </c>
      <c r="BN447" t="str">
        <f t="shared" si="123"/>
        <v/>
      </c>
      <c r="BO447" t="str">
        <f t="shared" si="124"/>
        <v/>
      </c>
      <c r="BP447" t="str">
        <f t="shared" si="127"/>
        <v>Polypeptides</v>
      </c>
      <c r="BQ447" t="str">
        <f t="shared" si="128"/>
        <v>Polypeptides</v>
      </c>
      <c r="BR447" t="str">
        <f t="shared" si="129"/>
        <v/>
      </c>
      <c r="BS447" t="str">
        <f t="shared" si="130"/>
        <v/>
      </c>
      <c r="BT447" s="76" t="str">
        <f t="shared" si="131"/>
        <v>Voie parentérale</v>
      </c>
      <c r="BU447" t="str">
        <f t="shared" si="132"/>
        <v>x</v>
      </c>
      <c r="CN447">
        <v>446</v>
      </c>
    </row>
    <row r="448" spans="1:92" x14ac:dyDescent="0.3">
      <c r="A448" s="118" t="s">
        <v>3122</v>
      </c>
      <c r="B448" t="s">
        <v>3125</v>
      </c>
      <c r="C448" t="s">
        <v>1474</v>
      </c>
      <c r="D448" s="144" t="s">
        <v>776</v>
      </c>
      <c r="E448" t="s">
        <v>765</v>
      </c>
      <c r="F448" t="s">
        <v>82</v>
      </c>
      <c r="G448" t="s">
        <v>766</v>
      </c>
      <c r="H448" t="s">
        <v>801</v>
      </c>
      <c r="I448" t="s">
        <v>766</v>
      </c>
      <c r="J448" t="s">
        <v>768</v>
      </c>
      <c r="K448" t="s">
        <v>768</v>
      </c>
      <c r="L448" t="s">
        <v>769</v>
      </c>
      <c r="M448" t="s">
        <v>208</v>
      </c>
      <c r="N448" t="s">
        <v>1163</v>
      </c>
      <c r="O448" t="s">
        <v>771</v>
      </c>
      <c r="P448" t="s">
        <v>772</v>
      </c>
      <c r="Q448" t="s">
        <v>1255</v>
      </c>
      <c r="R448">
        <v>30</v>
      </c>
      <c r="S448">
        <v>1</v>
      </c>
      <c r="T448">
        <v>0</v>
      </c>
      <c r="U448">
        <v>0</v>
      </c>
      <c r="V448">
        <v>0</v>
      </c>
      <c r="W448">
        <v>0</v>
      </c>
      <c r="X448">
        <v>0</v>
      </c>
      <c r="Y448">
        <v>0</v>
      </c>
      <c r="Z448">
        <v>0</v>
      </c>
      <c r="AA448">
        <v>0</v>
      </c>
      <c r="AB448">
        <v>0</v>
      </c>
      <c r="AC448">
        <v>0</v>
      </c>
      <c r="AD448">
        <v>0</v>
      </c>
      <c r="AE448">
        <v>0</v>
      </c>
      <c r="AF448">
        <v>0</v>
      </c>
      <c r="AG448">
        <v>0</v>
      </c>
      <c r="AH448">
        <v>0</v>
      </c>
      <c r="AI448">
        <v>0</v>
      </c>
      <c r="AY448" t="str">
        <f t="shared" si="114"/>
        <v>COVUNIL</v>
      </c>
      <c r="AZ448" t="str">
        <f>IF(COUNTIF(AY:AY,AY448)=1,AY448,IF(AND(COUNTIF(AY:AY,AY448)&gt;1,COUNTIF(AZ$2:AZ447,AY448)&gt;=1),"",AY448))</f>
        <v/>
      </c>
      <c r="BA448" t="str">
        <f>IF(AZ448="","",COUNTIFS(AZ$3:AZ$1439,"&lt;"&amp;AZ448,AZ$3:AZ$1439,"&lt;&gt;0")+COUNTIF(AZ$3:AZ448,AZ448)-876)</f>
        <v/>
      </c>
      <c r="BC448">
        <v>446</v>
      </c>
      <c r="BD448" t="str">
        <f t="shared" si="125"/>
        <v>SOLUDOX 433 MG/G POUDRE POUR ADMINISTRATION DANS L'EAU DE BOISSON POUR DINDES</v>
      </c>
      <c r="BE448" t="str">
        <f t="shared" si="115"/>
        <v>ORAL</v>
      </c>
      <c r="BF448" t="str">
        <f t="shared" si="116"/>
        <v>TETRACYCLINES</v>
      </c>
      <c r="BG448" t="str">
        <f t="shared" si="117"/>
        <v/>
      </c>
      <c r="BH448" t="str">
        <f t="shared" si="118"/>
        <v/>
      </c>
      <c r="BI448" t="str">
        <f t="shared" si="119"/>
        <v>doxycycline</v>
      </c>
      <c r="BJ448" t="str">
        <f t="shared" si="120"/>
        <v/>
      </c>
      <c r="BK448" t="str">
        <f t="shared" si="121"/>
        <v/>
      </c>
      <c r="BL448" t="str">
        <f t="shared" si="126"/>
        <v>Doxycycline</v>
      </c>
      <c r="BM448" t="str">
        <f t="shared" si="122"/>
        <v>Doxycycline</v>
      </c>
      <c r="BN448" t="str">
        <f t="shared" si="123"/>
        <v/>
      </c>
      <c r="BO448" t="str">
        <f t="shared" si="124"/>
        <v/>
      </c>
      <c r="BP448" t="str">
        <f t="shared" si="127"/>
        <v>Tetracyclines</v>
      </c>
      <c r="BQ448" t="str">
        <f t="shared" si="128"/>
        <v>Tetracyclines</v>
      </c>
      <c r="BR448" t="str">
        <f t="shared" si="129"/>
        <v/>
      </c>
      <c r="BS448" t="str">
        <f t="shared" si="130"/>
        <v/>
      </c>
      <c r="BT448" s="76" t="str">
        <f t="shared" si="131"/>
        <v>Voie orale  hors prémélanges médicamenteux</v>
      </c>
      <c r="BU448" t="str">
        <f t="shared" si="132"/>
        <v/>
      </c>
      <c r="CN448">
        <v>447</v>
      </c>
    </row>
    <row r="449" spans="1:92" x14ac:dyDescent="0.3">
      <c r="A449" s="118" t="s">
        <v>1608</v>
      </c>
      <c r="B449" t="s">
        <v>1609</v>
      </c>
      <c r="C449" t="s">
        <v>1588</v>
      </c>
      <c r="D449" s="144" t="s">
        <v>829</v>
      </c>
      <c r="E449" t="s">
        <v>830</v>
      </c>
      <c r="F449" t="s">
        <v>315</v>
      </c>
      <c r="G449" t="s">
        <v>831</v>
      </c>
      <c r="H449" t="s">
        <v>832</v>
      </c>
      <c r="I449" t="s">
        <v>817</v>
      </c>
      <c r="J449" t="s">
        <v>1610</v>
      </c>
      <c r="K449" t="s">
        <v>802</v>
      </c>
      <c r="L449" t="s">
        <v>803</v>
      </c>
      <c r="M449" t="s">
        <v>208</v>
      </c>
      <c r="N449" t="s">
        <v>1016</v>
      </c>
      <c r="O449" t="s">
        <v>834</v>
      </c>
      <c r="P449" t="s">
        <v>4363</v>
      </c>
      <c r="Q449" t="s">
        <v>4406</v>
      </c>
      <c r="R449">
        <v>31</v>
      </c>
      <c r="S449">
        <v>5</v>
      </c>
      <c r="T449">
        <v>0</v>
      </c>
      <c r="U449">
        <v>0</v>
      </c>
      <c r="V449">
        <v>0</v>
      </c>
      <c r="W449">
        <v>0</v>
      </c>
      <c r="X449">
        <v>0</v>
      </c>
      <c r="Y449">
        <v>0</v>
      </c>
      <c r="Z449">
        <v>0</v>
      </c>
      <c r="AA449">
        <v>0</v>
      </c>
      <c r="AB449">
        <v>0</v>
      </c>
      <c r="AC449">
        <v>0</v>
      </c>
      <c r="AD449">
        <v>31</v>
      </c>
      <c r="AE449">
        <v>5</v>
      </c>
      <c r="AF449">
        <v>31</v>
      </c>
      <c r="AG449">
        <v>5</v>
      </c>
      <c r="AH449">
        <v>0</v>
      </c>
      <c r="AI449">
        <v>0</v>
      </c>
      <c r="AJ449" t="s">
        <v>930</v>
      </c>
      <c r="AK449" t="s">
        <v>931</v>
      </c>
      <c r="AL449" t="s">
        <v>208</v>
      </c>
      <c r="AM449" t="s">
        <v>780</v>
      </c>
      <c r="AN449" t="s">
        <v>894</v>
      </c>
      <c r="AO449" t="s">
        <v>772</v>
      </c>
      <c r="AP449" t="s">
        <v>780</v>
      </c>
      <c r="AY449" t="str">
        <f t="shared" si="114"/>
        <v>CRD 92</v>
      </c>
      <c r="AZ449" t="str">
        <f>IF(COUNTIF(AY:AY,AY449)=1,AY449,IF(AND(COUNTIF(AY:AY,AY449)&gt;1,COUNTIF(AZ$2:AZ448,AY449)&gt;=1),"",AY449))</f>
        <v>CRD 92</v>
      </c>
      <c r="BA449">
        <f>IF(AZ449="","",COUNTIFS(AZ$3:AZ$1439,"&lt;"&amp;AZ449,AZ$3:AZ$1439,"&lt;&gt;0")+COUNTIF(AZ$3:AZ449,AZ449)-876)</f>
        <v>168</v>
      </c>
      <c r="BC449">
        <v>447</v>
      </c>
      <c r="BD449" t="str">
        <f t="shared" si="125"/>
        <v>SOLUDOX 433 MG/G POUDRE POUR ADMINISTRATION DANS L'EAU DE BOISSON POUR PORCS ET POULETS</v>
      </c>
      <c r="BE449" t="str">
        <f t="shared" si="115"/>
        <v>ORAL</v>
      </c>
      <c r="BF449" t="str">
        <f t="shared" si="116"/>
        <v>TETRACYCLINES</v>
      </c>
      <c r="BG449" t="str">
        <f t="shared" si="117"/>
        <v/>
      </c>
      <c r="BH449" t="str">
        <f t="shared" si="118"/>
        <v/>
      </c>
      <c r="BI449" t="str">
        <f t="shared" si="119"/>
        <v>doxycycline</v>
      </c>
      <c r="BJ449" t="str">
        <f t="shared" si="120"/>
        <v/>
      </c>
      <c r="BK449" t="str">
        <f t="shared" si="121"/>
        <v/>
      </c>
      <c r="BL449" t="str">
        <f t="shared" si="126"/>
        <v>Doxycycline</v>
      </c>
      <c r="BM449" t="str">
        <f t="shared" si="122"/>
        <v>Doxycycline</v>
      </c>
      <c r="BN449" t="str">
        <f t="shared" si="123"/>
        <v/>
      </c>
      <c r="BO449" t="str">
        <f t="shared" si="124"/>
        <v/>
      </c>
      <c r="BP449" t="str">
        <f t="shared" si="127"/>
        <v>Tetracyclines</v>
      </c>
      <c r="BQ449" t="str">
        <f t="shared" si="128"/>
        <v>Tetracyclines</v>
      </c>
      <c r="BR449" t="str">
        <f t="shared" si="129"/>
        <v/>
      </c>
      <c r="BS449" t="str">
        <f t="shared" si="130"/>
        <v/>
      </c>
      <c r="BT449" s="76" t="str">
        <f t="shared" si="131"/>
        <v>Voie orale  hors prémélanges médicamenteux</v>
      </c>
      <c r="BU449" t="str">
        <f t="shared" si="132"/>
        <v/>
      </c>
      <c r="CN449">
        <v>448</v>
      </c>
    </row>
    <row r="450" spans="1:92" x14ac:dyDescent="0.3">
      <c r="A450" s="118" t="s">
        <v>1608</v>
      </c>
      <c r="B450" t="s">
        <v>1611</v>
      </c>
      <c r="C450" t="s">
        <v>828</v>
      </c>
      <c r="D450" s="144" t="s">
        <v>829</v>
      </c>
      <c r="E450" t="s">
        <v>830</v>
      </c>
      <c r="F450" t="s">
        <v>315</v>
      </c>
      <c r="G450" t="s">
        <v>831</v>
      </c>
      <c r="H450" t="s">
        <v>832</v>
      </c>
      <c r="I450" t="s">
        <v>817</v>
      </c>
      <c r="J450" t="s">
        <v>1610</v>
      </c>
      <c r="K450" t="s">
        <v>802</v>
      </c>
      <c r="L450" t="s">
        <v>803</v>
      </c>
      <c r="M450" t="s">
        <v>208</v>
      </c>
      <c r="N450" t="s">
        <v>1016</v>
      </c>
      <c r="O450" t="s">
        <v>834</v>
      </c>
      <c r="P450" t="s">
        <v>4363</v>
      </c>
      <c r="Q450" t="s">
        <v>4406</v>
      </c>
      <c r="R450">
        <v>31</v>
      </c>
      <c r="S450">
        <v>5</v>
      </c>
      <c r="T450">
        <v>0</v>
      </c>
      <c r="U450">
        <v>0</v>
      </c>
      <c r="V450">
        <v>0</v>
      </c>
      <c r="W450">
        <v>0</v>
      </c>
      <c r="X450">
        <v>0</v>
      </c>
      <c r="Y450">
        <v>0</v>
      </c>
      <c r="Z450">
        <v>0</v>
      </c>
      <c r="AA450">
        <v>0</v>
      </c>
      <c r="AB450">
        <v>0</v>
      </c>
      <c r="AC450">
        <v>0</v>
      </c>
      <c r="AD450">
        <v>31</v>
      </c>
      <c r="AE450">
        <v>5</v>
      </c>
      <c r="AF450">
        <v>31</v>
      </c>
      <c r="AG450">
        <v>5</v>
      </c>
      <c r="AH450">
        <v>0</v>
      </c>
      <c r="AI450">
        <v>0</v>
      </c>
      <c r="AJ450" t="s">
        <v>930</v>
      </c>
      <c r="AK450" t="s">
        <v>931</v>
      </c>
      <c r="AL450" t="s">
        <v>208</v>
      </c>
      <c r="AM450" t="s">
        <v>780</v>
      </c>
      <c r="AN450" t="s">
        <v>894</v>
      </c>
      <c r="AO450" t="s">
        <v>772</v>
      </c>
      <c r="AP450" t="s">
        <v>780</v>
      </c>
      <c r="AY450" t="str">
        <f t="shared" si="114"/>
        <v>CRD 92</v>
      </c>
      <c r="AZ450" t="str">
        <f>IF(COUNTIF(AY:AY,AY450)=1,AY450,IF(AND(COUNTIF(AY:AY,AY450)&gt;1,COUNTIF(AZ$2:AZ449,AY450)&gt;=1),"",AY450))</f>
        <v/>
      </c>
      <c r="BA450" t="str">
        <f>IF(AZ450="","",COUNTIFS(AZ$3:AZ$1439,"&lt;"&amp;AZ450,AZ$3:AZ$1439,"&lt;&gt;0")+COUNTIF(AZ$3:AZ450,AZ450)-876)</f>
        <v/>
      </c>
      <c r="BC450">
        <v>448</v>
      </c>
      <c r="BD450" t="str">
        <f t="shared" si="125"/>
        <v>SPECIORLAC</v>
      </c>
      <c r="BE450" t="str">
        <f t="shared" si="115"/>
        <v>INTRAMAM</v>
      </c>
      <c r="BF450" t="str">
        <f t="shared" si="116"/>
        <v>MACROLIDES</v>
      </c>
      <c r="BG450" t="str">
        <f t="shared" si="117"/>
        <v>AMINOGLYCOSIDES</v>
      </c>
      <c r="BH450" t="str">
        <f t="shared" si="118"/>
        <v/>
      </c>
      <c r="BI450" t="str">
        <f t="shared" si="119"/>
        <v>spiramycin</v>
      </c>
      <c r="BJ450" t="str">
        <f t="shared" si="120"/>
        <v>neomycin</v>
      </c>
      <c r="BK450" t="str">
        <f t="shared" si="121"/>
        <v/>
      </c>
      <c r="BL450" t="str">
        <f t="shared" si="126"/>
        <v>Spiramycine + Néomycine</v>
      </c>
      <c r="BM450" t="str">
        <f t="shared" si="122"/>
        <v>Spiramycine</v>
      </c>
      <c r="BN450" t="str">
        <f t="shared" si="123"/>
        <v>Néomycine</v>
      </c>
      <c r="BO450" t="str">
        <f t="shared" si="124"/>
        <v/>
      </c>
      <c r="BP450" t="str">
        <f t="shared" si="127"/>
        <v>Macrolides + Aminoglycosides</v>
      </c>
      <c r="BQ450" t="str">
        <f t="shared" si="128"/>
        <v>Macrolides</v>
      </c>
      <c r="BR450" t="str">
        <f t="shared" si="129"/>
        <v>Aminoglycosides</v>
      </c>
      <c r="BS450" t="str">
        <f t="shared" si="130"/>
        <v/>
      </c>
      <c r="BT450" s="76" t="str">
        <f t="shared" si="131"/>
        <v>Voie intramammaire</v>
      </c>
      <c r="BU450" t="str">
        <f t="shared" si="132"/>
        <v/>
      </c>
      <c r="CN450">
        <v>449</v>
      </c>
    </row>
    <row r="451" spans="1:92" x14ac:dyDescent="0.3">
      <c r="A451" s="118" t="s">
        <v>1608</v>
      </c>
      <c r="B451" t="s">
        <v>1612</v>
      </c>
      <c r="C451" t="s">
        <v>1613</v>
      </c>
      <c r="D451" s="144" t="s">
        <v>966</v>
      </c>
      <c r="E451" t="s">
        <v>830</v>
      </c>
      <c r="F451" t="s">
        <v>315</v>
      </c>
      <c r="G451" t="s">
        <v>831</v>
      </c>
      <c r="H451" t="s">
        <v>832</v>
      </c>
      <c r="I451" t="s">
        <v>817</v>
      </c>
      <c r="J451" t="s">
        <v>1610</v>
      </c>
      <c r="K451" t="s">
        <v>802</v>
      </c>
      <c r="L451" t="s">
        <v>803</v>
      </c>
      <c r="M451" t="s">
        <v>208</v>
      </c>
      <c r="N451" t="s">
        <v>1016</v>
      </c>
      <c r="O451" t="s">
        <v>834</v>
      </c>
      <c r="P451" t="s">
        <v>4363</v>
      </c>
      <c r="Q451" t="s">
        <v>4407</v>
      </c>
      <c r="R451">
        <v>31</v>
      </c>
      <c r="S451">
        <v>5</v>
      </c>
      <c r="T451">
        <v>0</v>
      </c>
      <c r="U451">
        <v>0</v>
      </c>
      <c r="V451">
        <v>0</v>
      </c>
      <c r="W451">
        <v>0</v>
      </c>
      <c r="X451">
        <v>0</v>
      </c>
      <c r="Y451">
        <v>0</v>
      </c>
      <c r="Z451">
        <v>0</v>
      </c>
      <c r="AA451">
        <v>0</v>
      </c>
      <c r="AB451">
        <v>0</v>
      </c>
      <c r="AC451">
        <v>0</v>
      </c>
      <c r="AD451">
        <v>31</v>
      </c>
      <c r="AE451">
        <v>5</v>
      </c>
      <c r="AF451">
        <v>31</v>
      </c>
      <c r="AG451">
        <v>5</v>
      </c>
      <c r="AH451">
        <v>0</v>
      </c>
      <c r="AI451">
        <v>0</v>
      </c>
      <c r="AJ451" t="s">
        <v>930</v>
      </c>
      <c r="AK451" t="s">
        <v>931</v>
      </c>
      <c r="AL451" t="s">
        <v>208</v>
      </c>
      <c r="AM451" t="s">
        <v>780</v>
      </c>
      <c r="AN451" t="s">
        <v>894</v>
      </c>
      <c r="AO451" t="s">
        <v>772</v>
      </c>
      <c r="AP451" t="s">
        <v>1125</v>
      </c>
      <c r="AY451" t="str">
        <f t="shared" ref="AY451:AY514" si="133">IF(INDEX(CK$3:CL$174,MATCH(H451,CK$3:CK$174,0),2)="x",F451,"")</f>
        <v>CRD 92</v>
      </c>
      <c r="AZ451" t="str">
        <f>IF(COUNTIF(AY:AY,AY451)=1,AY451,IF(AND(COUNTIF(AY:AY,AY451)&gt;1,COUNTIF(AZ$2:AZ450,AY451)&gt;=1),"",AY451))</f>
        <v/>
      </c>
      <c r="BA451" t="str">
        <f>IF(AZ451="","",COUNTIFS(AZ$3:AZ$1439,"&lt;"&amp;AZ451,AZ$3:AZ$1439,"&lt;&gt;0")+COUNTIF(AZ$3:AZ451,AZ451)-876)</f>
        <v/>
      </c>
      <c r="BC451">
        <v>449</v>
      </c>
      <c r="BD451" t="str">
        <f t="shared" si="125"/>
        <v>SPECTAM SOLUTION INJECTABLE</v>
      </c>
      <c r="BE451" t="str">
        <f t="shared" ref="BE451:BE514" si="134">IFERROR(INDEX(F:AR,MATCH(BD451,F:F,0),4),"")</f>
        <v>INJ</v>
      </c>
      <c r="BF451" t="str">
        <f t="shared" ref="BF451:BF514" si="135">IFERROR(INDEX(F:AR,MATCH(BD451,F:F,0),6),"")</f>
        <v>AMINOGLYCOSIDES</v>
      </c>
      <c r="BG451" t="str">
        <f t="shared" ref="BG451:BG514" si="136">IFERROR(IF(INDEX(F:AR,MATCH(BD451,F:F,0),31)=0,"",INDEX(F:AR,MATCH(BD451,F:F,0),31)),"")</f>
        <v/>
      </c>
      <c r="BH451" t="str">
        <f t="shared" ref="BH451:BH514" si="137">IFERROR(IF(INDEX(F:AR,MATCH(BD451,F:F,0),38)=0,"",INDEX(F:AR,MATCH(BD451,F:F,0),38)),"")</f>
        <v/>
      </c>
      <c r="BI451" t="str">
        <f t="shared" ref="BI451:BI514" si="138">+IFERROR(IF(INDEX(F:AR,MATCH(BD451,F:F,0),7)=0,"",INDEX(F:AR,MATCH(BD451,F:F,0),7)),"")</f>
        <v>spectinomycin</v>
      </c>
      <c r="BJ451" t="str">
        <f t="shared" ref="BJ451:BJ514" si="139">IFERROR(IF(INDEX(F:AR,MATCH(BD451,F:F,0),32)=0,"",INDEX(F:AR,MATCH(BD451,F:F,0),32)),"")</f>
        <v/>
      </c>
      <c r="BK451" t="str">
        <f t="shared" ref="BK451:BK514" si="140">IFERROR(IF(INDEX(F:AR,MATCH(BD451,F:F,0),39)=0,"",INDEX(F:AR,MATCH(BD451,F:F,0),39)),"")</f>
        <v/>
      </c>
      <c r="BL451" t="str">
        <f t="shared" si="126"/>
        <v>Spectinomycine</v>
      </c>
      <c r="BM451" t="str">
        <f t="shared" ref="BM451:BM514" si="141">IFERROR(INDEX(BZ$3:CA$63,MATCH(BI451,BZ$3:BZ$63,0),2),"")</f>
        <v>Spectinomycine</v>
      </c>
      <c r="BN451" t="str">
        <f t="shared" ref="BN451:BN514" si="142">IFERROR(INDEX(BZ$3:CA$63,MATCH(BJ451,BZ$3:BZ$63,0),2),"")</f>
        <v/>
      </c>
      <c r="BO451" t="str">
        <f t="shared" ref="BO451:BO514" si="143">IFERROR(INDEX(BZ$3:CA$63,MATCH(BK451,BZ$3:BZ$63,0),2),"")</f>
        <v/>
      </c>
      <c r="BP451" t="str">
        <f t="shared" si="127"/>
        <v>Aminoglycosides</v>
      </c>
      <c r="BQ451" t="str">
        <f t="shared" si="128"/>
        <v>Aminoglycosides</v>
      </c>
      <c r="BR451" t="str">
        <f t="shared" si="129"/>
        <v/>
      </c>
      <c r="BS451" t="str">
        <f t="shared" si="130"/>
        <v/>
      </c>
      <c r="BT451" s="76" t="str">
        <f t="shared" si="131"/>
        <v>Voie parentérale</v>
      </c>
      <c r="BU451" t="str">
        <f t="shared" si="132"/>
        <v/>
      </c>
      <c r="CN451">
        <v>450</v>
      </c>
    </row>
    <row r="452" spans="1:92" x14ac:dyDescent="0.3">
      <c r="A452" s="118" t="s">
        <v>1547</v>
      </c>
      <c r="B452" t="s">
        <v>1548</v>
      </c>
      <c r="C452" t="s">
        <v>1293</v>
      </c>
      <c r="D452" s="144" t="s">
        <v>924</v>
      </c>
      <c r="E452" t="s">
        <v>830</v>
      </c>
      <c r="F452" t="s">
        <v>83</v>
      </c>
      <c r="G452" t="s">
        <v>831</v>
      </c>
      <c r="H452" t="s">
        <v>1076</v>
      </c>
      <c r="I452" t="s">
        <v>817</v>
      </c>
      <c r="J452" t="s">
        <v>928</v>
      </c>
      <c r="K452" t="s">
        <v>862</v>
      </c>
      <c r="L452" t="s">
        <v>938</v>
      </c>
      <c r="M452" t="s">
        <v>208</v>
      </c>
      <c r="N452" t="s">
        <v>1549</v>
      </c>
      <c r="O452" t="s">
        <v>894</v>
      </c>
      <c r="P452" t="s">
        <v>772</v>
      </c>
      <c r="Q452" t="s">
        <v>1550</v>
      </c>
      <c r="R452">
        <v>25</v>
      </c>
      <c r="S452">
        <v>3</v>
      </c>
      <c r="T452">
        <v>0</v>
      </c>
      <c r="U452">
        <v>0</v>
      </c>
      <c r="V452">
        <v>0</v>
      </c>
      <c r="W452">
        <v>0</v>
      </c>
      <c r="X452">
        <v>0</v>
      </c>
      <c r="Y452">
        <v>0</v>
      </c>
      <c r="Z452">
        <v>0</v>
      </c>
      <c r="AA452">
        <v>0</v>
      </c>
      <c r="AB452">
        <v>25</v>
      </c>
      <c r="AC452">
        <v>3</v>
      </c>
      <c r="AD452">
        <v>25</v>
      </c>
      <c r="AE452">
        <v>3</v>
      </c>
      <c r="AF452">
        <v>0</v>
      </c>
      <c r="AG452">
        <v>0</v>
      </c>
      <c r="AH452">
        <v>0</v>
      </c>
      <c r="AI452">
        <v>0</v>
      </c>
      <c r="AJ452" t="s">
        <v>930</v>
      </c>
      <c r="AK452" t="s">
        <v>931</v>
      </c>
      <c r="AL452" t="s">
        <v>208</v>
      </c>
      <c r="AM452" t="s">
        <v>793</v>
      </c>
      <c r="AN452" t="s">
        <v>894</v>
      </c>
      <c r="AO452" t="s">
        <v>772</v>
      </c>
      <c r="AP452" t="s">
        <v>785</v>
      </c>
      <c r="AY452" t="str">
        <f t="shared" si="133"/>
        <v>CUBARMIX</v>
      </c>
      <c r="AZ452" t="str">
        <f>IF(COUNTIF(AY:AY,AY452)=1,AY452,IF(AND(COUNTIF(AY:AY,AY452)&gt;1,COUNTIF(AZ$2:AZ451,AY452)&gt;=1),"",AY452))</f>
        <v>CUBARMIX</v>
      </c>
      <c r="BA452">
        <f>IF(AZ452="","",COUNTIFS(AZ$3:AZ$1439,"&lt;"&amp;AZ452,AZ$3:AZ$1439,"&lt;&gt;0")+COUNTIF(AZ$3:AZ452,AZ452)-876)</f>
        <v>169</v>
      </c>
      <c r="BC452">
        <v>450</v>
      </c>
      <c r="BD452" t="str">
        <f t="shared" ref="BD452:BD515" si="144">IFERROR(INDEX(AZ:BA,MATCH(BC452,BA:BA,0),1),"")</f>
        <v>SPECTRON 100 MG/ML SOLUTION POUR UTILISATION DANS L'EAU DE BOISSON POUR POULES ET DINDES</v>
      </c>
      <c r="BE452" t="str">
        <f t="shared" si="134"/>
        <v>ORAL</v>
      </c>
      <c r="BF452" t="str">
        <f t="shared" si="135"/>
        <v>FLUOROQUINOLONES</v>
      </c>
      <c r="BG452" t="str">
        <f t="shared" si="136"/>
        <v/>
      </c>
      <c r="BH452" t="str">
        <f t="shared" si="137"/>
        <v/>
      </c>
      <c r="BI452" t="str">
        <f t="shared" si="138"/>
        <v>enrofloxacin</v>
      </c>
      <c r="BJ452" t="str">
        <f t="shared" si="139"/>
        <v/>
      </c>
      <c r="BK452" t="str">
        <f t="shared" si="140"/>
        <v/>
      </c>
      <c r="BL452" t="str">
        <f t="shared" ref="BL452:BL515" si="145">IF(3-COUNTBLANK(BM452:BO452)=1,BM452,IF(3-COUNTBLANK(BM452:BO452)=2,BM452&amp;" + "&amp;BN452,IF(3-COUNTBLANK(BM452:BO452)=3,BM452&amp;" + "&amp;BN452&amp;" + "&amp;BO452,"")))</f>
        <v>Enrofloxacine</v>
      </c>
      <c r="BM452" t="str">
        <f t="shared" si="141"/>
        <v>Enrofloxacine</v>
      </c>
      <c r="BN452" t="str">
        <f t="shared" si="142"/>
        <v/>
      </c>
      <c r="BO452" t="str">
        <f t="shared" si="143"/>
        <v/>
      </c>
      <c r="BP452" t="str">
        <f t="shared" ref="BP452:BP515" si="146">IF(3-COUNTBLANK(BQ452:BS452)=1,BQ452,IF(3-COUNTBLANK(BQ452:BS452)=2,IF(BQ452=BR452,BQ452,BQ452&amp;" + "&amp;BR452),IF(3-COUNTBLANK(BQ452:BS452)=3,IF(BQ452=BR452,BQ452,IF(BQ452=BS452,BQ452,IF(BR452=BS452,BR452,IF(AND(BQ452=BR452,BQ452=BS452),BQ452,BQ452&amp;" + "&amp;BR452&amp;" + "&amp;BS452)))))))</f>
        <v>Fluoroquinolones</v>
      </c>
      <c r="BQ452" t="str">
        <f t="shared" ref="BQ452:BQ515" si="147">IFERROR(INDEX(BW$3:BX$18,MATCH(BF452,BW$3:BW$18,0),2),"")</f>
        <v>Fluoroquinolones</v>
      </c>
      <c r="BR452" t="str">
        <f t="shared" ref="BR452:BR515" si="148">IFERROR(INDEX(BW$3:BX$18,MATCH(BG452,BW$3:BW$18,0),2),"")</f>
        <v/>
      </c>
      <c r="BS452" t="str">
        <f t="shared" ref="BS452:BS515" si="149">IFERROR(INDEX(BW$3:BX$18,MATCH(BH452,BW$3:BW$18,0),2),"")</f>
        <v/>
      </c>
      <c r="BT452" s="76" t="str">
        <f t="shared" ref="BT452:BT515" si="150">IFERROR(INDEX(CD$3:CE$9,MATCH(BE452,CD$3:CD$9,0),2),"")</f>
        <v>Voie orale  hors prémélanges médicamenteux</v>
      </c>
      <c r="BU452" t="str">
        <f t="shared" ref="BU452:BU515" si="151">IF(BM452="Colistine","x",IF(BN452="Colistine","x",IF(BO452="Colistine","x",IF(BQ452="Fluoroquinolones","x",IF(BR452="Fluoroquinolones","x",IF(BS452="Fluoroquinolones","x",IF(BQ452="Cephalosporines 3&amp;4G","x",IF(BR452="Cephalosporines 3&amp;4G","x",IF(BS452="Cephalosporines 3&amp;4G","x","")))))))))</f>
        <v>x</v>
      </c>
      <c r="CN452">
        <v>451</v>
      </c>
    </row>
    <row r="453" spans="1:92" x14ac:dyDescent="0.3">
      <c r="A453" s="118" t="s">
        <v>1547</v>
      </c>
      <c r="B453" t="s">
        <v>1551</v>
      </c>
      <c r="C453" t="s">
        <v>1552</v>
      </c>
      <c r="D453" s="144" t="s">
        <v>1553</v>
      </c>
      <c r="E453" t="s">
        <v>830</v>
      </c>
      <c r="F453" t="s">
        <v>83</v>
      </c>
      <c r="G453" t="s">
        <v>831</v>
      </c>
      <c r="H453" t="s">
        <v>1076</v>
      </c>
      <c r="I453" t="s">
        <v>817</v>
      </c>
      <c r="J453" t="s">
        <v>928</v>
      </c>
      <c r="K453" t="s">
        <v>862</v>
      </c>
      <c r="L453" t="s">
        <v>938</v>
      </c>
      <c r="M453" t="s">
        <v>208</v>
      </c>
      <c r="N453" t="s">
        <v>1549</v>
      </c>
      <c r="O453" t="s">
        <v>894</v>
      </c>
      <c r="P453" t="s">
        <v>772</v>
      </c>
      <c r="Q453" t="s">
        <v>1554</v>
      </c>
      <c r="R453">
        <v>25</v>
      </c>
      <c r="S453">
        <v>3</v>
      </c>
      <c r="T453">
        <v>0</v>
      </c>
      <c r="U453">
        <v>0</v>
      </c>
      <c r="V453">
        <v>0</v>
      </c>
      <c r="W453">
        <v>0</v>
      </c>
      <c r="X453">
        <v>0</v>
      </c>
      <c r="Y453">
        <v>0</v>
      </c>
      <c r="Z453">
        <v>0</v>
      </c>
      <c r="AA453">
        <v>0</v>
      </c>
      <c r="AB453">
        <v>25</v>
      </c>
      <c r="AC453">
        <v>3</v>
      </c>
      <c r="AD453">
        <v>25</v>
      </c>
      <c r="AE453">
        <v>3</v>
      </c>
      <c r="AF453">
        <v>0</v>
      </c>
      <c r="AG453">
        <v>0</v>
      </c>
      <c r="AH453">
        <v>0</v>
      </c>
      <c r="AI453">
        <v>0</v>
      </c>
      <c r="AJ453" t="s">
        <v>930</v>
      </c>
      <c r="AK453" t="s">
        <v>931</v>
      </c>
      <c r="AL453" t="s">
        <v>208</v>
      </c>
      <c r="AM453" t="s">
        <v>793</v>
      </c>
      <c r="AN453" t="s">
        <v>894</v>
      </c>
      <c r="AO453" t="s">
        <v>772</v>
      </c>
      <c r="AP453" t="s">
        <v>1555</v>
      </c>
      <c r="AY453" t="str">
        <f t="shared" si="133"/>
        <v>CUBARMIX</v>
      </c>
      <c r="AZ453" t="str">
        <f>IF(COUNTIF(AY:AY,AY453)=1,AY453,IF(AND(COUNTIF(AY:AY,AY453)&gt;1,COUNTIF(AZ$2:AZ452,AY453)&gt;=1),"",AY453))</f>
        <v/>
      </c>
      <c r="BA453" t="str">
        <f>IF(AZ453="","",COUNTIFS(AZ$3:AZ$1439,"&lt;"&amp;AZ453,AZ$3:AZ$1439,"&lt;&gt;0")+COUNTIF(AZ$3:AZ453,AZ453)-876)</f>
        <v/>
      </c>
      <c r="BC453">
        <v>451</v>
      </c>
      <c r="BD453" t="str">
        <f t="shared" si="144"/>
        <v>SPIROVET</v>
      </c>
      <c r="BE453" t="str">
        <f t="shared" si="134"/>
        <v>INJ</v>
      </c>
      <c r="BF453" t="str">
        <f t="shared" si="135"/>
        <v>MACROLIDES</v>
      </c>
      <c r="BG453" t="str">
        <f t="shared" si="136"/>
        <v/>
      </c>
      <c r="BH453" t="str">
        <f t="shared" si="137"/>
        <v/>
      </c>
      <c r="BI453" t="str">
        <f t="shared" si="138"/>
        <v>spiramycin</v>
      </c>
      <c r="BJ453" t="str">
        <f t="shared" si="139"/>
        <v/>
      </c>
      <c r="BK453" t="str">
        <f t="shared" si="140"/>
        <v/>
      </c>
      <c r="BL453" t="str">
        <f t="shared" si="145"/>
        <v>Spiramycine</v>
      </c>
      <c r="BM453" t="str">
        <f t="shared" si="141"/>
        <v>Spiramycine</v>
      </c>
      <c r="BN453" t="str">
        <f t="shared" si="142"/>
        <v/>
      </c>
      <c r="BO453" t="str">
        <f t="shared" si="143"/>
        <v/>
      </c>
      <c r="BP453" t="str">
        <f t="shared" si="146"/>
        <v>Macrolides</v>
      </c>
      <c r="BQ453" t="str">
        <f t="shared" si="147"/>
        <v>Macrolides</v>
      </c>
      <c r="BR453" t="str">
        <f t="shared" si="148"/>
        <v/>
      </c>
      <c r="BS453" t="str">
        <f t="shared" si="149"/>
        <v/>
      </c>
      <c r="BT453" s="76" t="str">
        <f t="shared" si="150"/>
        <v>Voie parentérale</v>
      </c>
      <c r="BU453" t="str">
        <f t="shared" si="151"/>
        <v/>
      </c>
      <c r="CN453">
        <v>452</v>
      </c>
    </row>
    <row r="454" spans="1:92" x14ac:dyDescent="0.3">
      <c r="A454" s="118" t="s">
        <v>1226</v>
      </c>
      <c r="B454" t="s">
        <v>1227</v>
      </c>
      <c r="C454" t="s">
        <v>1228</v>
      </c>
      <c r="D454" s="144" t="s">
        <v>1125</v>
      </c>
      <c r="E454" t="s">
        <v>765</v>
      </c>
      <c r="F454" t="s">
        <v>1229</v>
      </c>
      <c r="G454" t="s">
        <v>956</v>
      </c>
      <c r="H454" t="s">
        <v>1173</v>
      </c>
      <c r="I454" t="s">
        <v>817</v>
      </c>
      <c r="J454" t="s">
        <v>862</v>
      </c>
      <c r="K454" t="s">
        <v>862</v>
      </c>
      <c r="L454" t="s">
        <v>1003</v>
      </c>
      <c r="M454" t="s">
        <v>208</v>
      </c>
      <c r="N454" t="s">
        <v>764</v>
      </c>
      <c r="O454" t="s">
        <v>771</v>
      </c>
      <c r="P454" t="s">
        <v>772</v>
      </c>
      <c r="Q454" t="s">
        <v>1072</v>
      </c>
      <c r="R454">
        <v>0</v>
      </c>
      <c r="S454">
        <v>0</v>
      </c>
      <c r="T454">
        <v>0</v>
      </c>
      <c r="U454">
        <v>0</v>
      </c>
      <c r="V454">
        <v>0</v>
      </c>
      <c r="W454">
        <v>0</v>
      </c>
      <c r="X454">
        <v>0</v>
      </c>
      <c r="Y454">
        <v>0</v>
      </c>
      <c r="Z454">
        <v>60</v>
      </c>
      <c r="AA454">
        <v>8</v>
      </c>
      <c r="AB454">
        <v>0</v>
      </c>
      <c r="AC454">
        <v>0</v>
      </c>
      <c r="AD454">
        <v>0</v>
      </c>
      <c r="AE454">
        <v>0</v>
      </c>
      <c r="AF454">
        <v>0</v>
      </c>
      <c r="AG454">
        <v>0</v>
      </c>
      <c r="AH454">
        <v>0</v>
      </c>
      <c r="AI454">
        <v>0</v>
      </c>
      <c r="AY454" t="str">
        <f t="shared" si="133"/>
        <v>CUNICOXIL</v>
      </c>
      <c r="AZ454" t="str">
        <f>IF(COUNTIF(AY:AY,AY454)=1,AY454,IF(AND(COUNTIF(AY:AY,AY454)&gt;1,COUNTIF(AZ$2:AZ453,AY454)&gt;=1),"",AY454))</f>
        <v>CUNICOXIL</v>
      </c>
      <c r="BA454">
        <f>IF(AZ454="","",COUNTIFS(AZ$3:AZ$1439,"&lt;"&amp;AZ454,AZ$3:AZ$1439,"&lt;&gt;0")+COUNTIF(AZ$3:AZ454,AZ454)-876)</f>
        <v>170</v>
      </c>
      <c r="BC454">
        <v>452</v>
      </c>
      <c r="BD454" t="str">
        <f t="shared" si="144"/>
        <v>STALIMOX 364.2 MG/G GRANULES POUR SOLUTION ORALE POUR PORCS</v>
      </c>
      <c r="BE454" t="str">
        <f t="shared" si="134"/>
        <v>ORAL</v>
      </c>
      <c r="BF454" t="str">
        <f t="shared" si="135"/>
        <v>PLEUROMUTILINES</v>
      </c>
      <c r="BG454" t="str">
        <f t="shared" si="136"/>
        <v/>
      </c>
      <c r="BH454" t="str">
        <f t="shared" si="137"/>
        <v/>
      </c>
      <c r="BI454" t="str">
        <f t="shared" si="138"/>
        <v>tiamulin</v>
      </c>
      <c r="BJ454" t="str">
        <f t="shared" si="139"/>
        <v/>
      </c>
      <c r="BK454" t="str">
        <f t="shared" si="140"/>
        <v/>
      </c>
      <c r="BL454" t="str">
        <f t="shared" si="145"/>
        <v>Tiamuline</v>
      </c>
      <c r="BM454" t="str">
        <f t="shared" si="141"/>
        <v>Tiamuline</v>
      </c>
      <c r="BN454" t="str">
        <f t="shared" si="142"/>
        <v/>
      </c>
      <c r="BO454" t="str">
        <f t="shared" si="143"/>
        <v/>
      </c>
      <c r="BP454" t="str">
        <f t="shared" si="146"/>
        <v>Pleuromutilines</v>
      </c>
      <c r="BQ454" t="str">
        <f t="shared" si="147"/>
        <v>Pleuromutilines</v>
      </c>
      <c r="BR454" t="str">
        <f t="shared" si="148"/>
        <v/>
      </c>
      <c r="BS454" t="str">
        <f t="shared" si="149"/>
        <v/>
      </c>
      <c r="BT454" s="76" t="str">
        <f t="shared" si="150"/>
        <v>Voie orale  hors prémélanges médicamenteux</v>
      </c>
      <c r="BU454" t="str">
        <f t="shared" si="151"/>
        <v/>
      </c>
      <c r="CN454">
        <v>453</v>
      </c>
    </row>
    <row r="455" spans="1:92" x14ac:dyDescent="0.3">
      <c r="A455" s="118" t="s">
        <v>1226</v>
      </c>
      <c r="B455" t="s">
        <v>1230</v>
      </c>
      <c r="C455" t="s">
        <v>1231</v>
      </c>
      <c r="D455" s="144" t="s">
        <v>906</v>
      </c>
      <c r="E455" t="s">
        <v>765</v>
      </c>
      <c r="F455" t="s">
        <v>1229</v>
      </c>
      <c r="G455" t="s">
        <v>956</v>
      </c>
      <c r="H455" t="s">
        <v>1173</v>
      </c>
      <c r="I455" t="s">
        <v>817</v>
      </c>
      <c r="J455" t="s">
        <v>862</v>
      </c>
      <c r="K455" t="s">
        <v>862</v>
      </c>
      <c r="L455" t="s">
        <v>1003</v>
      </c>
      <c r="M455" t="s">
        <v>208</v>
      </c>
      <c r="N455" t="s">
        <v>764</v>
      </c>
      <c r="O455" t="s">
        <v>771</v>
      </c>
      <c r="P455" t="s">
        <v>772</v>
      </c>
      <c r="Q455" t="s">
        <v>780</v>
      </c>
      <c r="R455">
        <v>0</v>
      </c>
      <c r="S455">
        <v>0</v>
      </c>
      <c r="T455">
        <v>0</v>
      </c>
      <c r="U455">
        <v>0</v>
      </c>
      <c r="V455">
        <v>0</v>
      </c>
      <c r="W455">
        <v>0</v>
      </c>
      <c r="X455">
        <v>0</v>
      </c>
      <c r="Y455">
        <v>0</v>
      </c>
      <c r="Z455">
        <v>60</v>
      </c>
      <c r="AA455">
        <v>8</v>
      </c>
      <c r="AB455">
        <v>0</v>
      </c>
      <c r="AC455">
        <v>0</v>
      </c>
      <c r="AD455">
        <v>0</v>
      </c>
      <c r="AE455">
        <v>0</v>
      </c>
      <c r="AF455">
        <v>0</v>
      </c>
      <c r="AG455">
        <v>0</v>
      </c>
      <c r="AH455">
        <v>0</v>
      </c>
      <c r="AI455">
        <v>0</v>
      </c>
      <c r="AY455" t="str">
        <f t="shared" si="133"/>
        <v>CUNICOXIL</v>
      </c>
      <c r="AZ455" t="str">
        <f>IF(COUNTIF(AY:AY,AY455)=1,AY455,IF(AND(COUNTIF(AY:AY,AY455)&gt;1,COUNTIF(AZ$2:AZ454,AY455)&gt;=1),"",AY455))</f>
        <v/>
      </c>
      <c r="BA455" t="str">
        <f>IF(AZ455="","",COUNTIFS(AZ$3:AZ$1439,"&lt;"&amp;AZ455,AZ$3:AZ$1439,"&lt;&gt;0")+COUNTIF(AZ$3:AZ455,AZ455)-876)</f>
        <v/>
      </c>
      <c r="BC455">
        <v>453</v>
      </c>
      <c r="BD455" t="str">
        <f t="shared" si="144"/>
        <v>STOP M</v>
      </c>
      <c r="BE455" t="str">
        <f t="shared" si="134"/>
        <v>INJ</v>
      </c>
      <c r="BF455" t="str">
        <f t="shared" si="135"/>
        <v>PENICILLINES</v>
      </c>
      <c r="BG455" t="str">
        <f t="shared" si="136"/>
        <v/>
      </c>
      <c r="BH455" t="str">
        <f t="shared" si="137"/>
        <v/>
      </c>
      <c r="BI455" t="str">
        <f t="shared" si="138"/>
        <v>penethamate hydriodide</v>
      </c>
      <c r="BJ455" t="str">
        <f t="shared" si="139"/>
        <v/>
      </c>
      <c r="BK455" t="str">
        <f t="shared" si="140"/>
        <v/>
      </c>
      <c r="BL455" t="str">
        <f t="shared" si="145"/>
        <v>Pénéthamate (ou pénéthacilline)</v>
      </c>
      <c r="BM455" t="str">
        <f t="shared" si="141"/>
        <v>Pénéthamate (ou pénéthacilline)</v>
      </c>
      <c r="BN455" t="str">
        <f t="shared" si="142"/>
        <v/>
      </c>
      <c r="BO455" t="str">
        <f t="shared" si="143"/>
        <v/>
      </c>
      <c r="BP455" t="str">
        <f t="shared" si="146"/>
        <v>Penicillines</v>
      </c>
      <c r="BQ455" t="str">
        <f t="shared" si="147"/>
        <v>Penicillines</v>
      </c>
      <c r="BR455" t="str">
        <f t="shared" si="148"/>
        <v/>
      </c>
      <c r="BS455" t="str">
        <f t="shared" si="149"/>
        <v/>
      </c>
      <c r="BT455" s="76" t="str">
        <f t="shared" si="150"/>
        <v>Voie parentérale</v>
      </c>
      <c r="BU455" t="str">
        <f t="shared" si="151"/>
        <v/>
      </c>
      <c r="CN455">
        <v>454</v>
      </c>
    </row>
    <row r="456" spans="1:92" x14ac:dyDescent="0.3">
      <c r="A456" s="118" t="s">
        <v>1226</v>
      </c>
      <c r="B456" t="s">
        <v>1232</v>
      </c>
      <c r="C456" t="s">
        <v>1233</v>
      </c>
      <c r="D456" s="144" t="s">
        <v>955</v>
      </c>
      <c r="E456" t="s">
        <v>765</v>
      </c>
      <c r="F456" t="s">
        <v>1229</v>
      </c>
      <c r="G456" t="s">
        <v>956</v>
      </c>
      <c r="H456" t="s">
        <v>1173</v>
      </c>
      <c r="I456" t="s">
        <v>817</v>
      </c>
      <c r="J456" t="s">
        <v>862</v>
      </c>
      <c r="K456" t="s">
        <v>862</v>
      </c>
      <c r="L456" t="s">
        <v>1003</v>
      </c>
      <c r="M456" t="s">
        <v>208</v>
      </c>
      <c r="N456" t="s">
        <v>764</v>
      </c>
      <c r="O456" t="s">
        <v>771</v>
      </c>
      <c r="P456" t="s">
        <v>772</v>
      </c>
      <c r="Q456" t="s">
        <v>906</v>
      </c>
      <c r="R456">
        <v>0</v>
      </c>
      <c r="S456">
        <v>0</v>
      </c>
      <c r="T456">
        <v>0</v>
      </c>
      <c r="U456">
        <v>0</v>
      </c>
      <c r="V456">
        <v>0</v>
      </c>
      <c r="W456">
        <v>0</v>
      </c>
      <c r="X456">
        <v>0</v>
      </c>
      <c r="Y456">
        <v>0</v>
      </c>
      <c r="Z456">
        <v>60</v>
      </c>
      <c r="AA456">
        <v>8</v>
      </c>
      <c r="AB456">
        <v>0</v>
      </c>
      <c r="AC456">
        <v>0</v>
      </c>
      <c r="AD456">
        <v>0</v>
      </c>
      <c r="AE456">
        <v>0</v>
      </c>
      <c r="AF456">
        <v>0</v>
      </c>
      <c r="AG456">
        <v>0</v>
      </c>
      <c r="AH456">
        <v>0</v>
      </c>
      <c r="AI456">
        <v>0</v>
      </c>
      <c r="AY456" t="str">
        <f t="shared" si="133"/>
        <v>CUNICOXIL</v>
      </c>
      <c r="AZ456" t="str">
        <f>IF(COUNTIF(AY:AY,AY456)=1,AY456,IF(AND(COUNTIF(AY:AY,AY456)&gt;1,COUNTIF(AZ$2:AZ455,AY456)&gt;=1),"",AY456))</f>
        <v/>
      </c>
      <c r="BA456" t="str">
        <f>IF(AZ456="","",COUNTIFS(AZ$3:AZ$1439,"&lt;"&amp;AZ456,AZ$3:AZ$1439,"&lt;&gt;0")+COUNTIF(AZ$3:AZ456,AZ456)-876)</f>
        <v/>
      </c>
      <c r="BC456">
        <v>454</v>
      </c>
      <c r="BD456" t="str">
        <f t="shared" si="144"/>
        <v>STRENZEN 500/125 MG/G POUDRE POUR EAU DE BOISSON POUR PORCS</v>
      </c>
      <c r="BE456" t="str">
        <f t="shared" si="134"/>
        <v>ORAL</v>
      </c>
      <c r="BF456" t="str">
        <f t="shared" si="135"/>
        <v>PENICILLINES</v>
      </c>
      <c r="BG456" t="str">
        <f t="shared" si="136"/>
        <v>ACIDE CLAVULANIQUE</v>
      </c>
      <c r="BH456" t="str">
        <f t="shared" si="137"/>
        <v/>
      </c>
      <c r="BI456" t="str">
        <f t="shared" si="138"/>
        <v>amoxicillin</v>
      </c>
      <c r="BJ456" t="str">
        <f t="shared" si="139"/>
        <v>clavulanic acid</v>
      </c>
      <c r="BK456" t="str">
        <f t="shared" si="140"/>
        <v/>
      </c>
      <c r="BL456" t="str">
        <f t="shared" si="145"/>
        <v>Amoxicilline + Acide clavulanique</v>
      </c>
      <c r="BM456" t="str">
        <f t="shared" si="141"/>
        <v>Amoxicilline</v>
      </c>
      <c r="BN456" t="str">
        <f t="shared" si="142"/>
        <v>Acide clavulanique</v>
      </c>
      <c r="BO456" t="str">
        <f t="shared" si="143"/>
        <v/>
      </c>
      <c r="BP456" t="str">
        <f t="shared" si="146"/>
        <v>Penicillines + Acide clavulanique</v>
      </c>
      <c r="BQ456" t="str">
        <f t="shared" si="147"/>
        <v>Penicillines</v>
      </c>
      <c r="BR456" t="str">
        <f t="shared" si="148"/>
        <v>Acide clavulanique</v>
      </c>
      <c r="BS456" t="str">
        <f t="shared" si="149"/>
        <v/>
      </c>
      <c r="BT456" s="76" t="str">
        <f t="shared" si="150"/>
        <v>Voie orale  hors prémélanges médicamenteux</v>
      </c>
      <c r="BU456" t="str">
        <f t="shared" si="151"/>
        <v/>
      </c>
      <c r="CN456">
        <v>455</v>
      </c>
    </row>
    <row r="457" spans="1:92" x14ac:dyDescent="0.3">
      <c r="A457" s="118" t="s">
        <v>1226</v>
      </c>
      <c r="B457" t="s">
        <v>1234</v>
      </c>
      <c r="C457" t="s">
        <v>1235</v>
      </c>
      <c r="D457" s="144" t="s">
        <v>829</v>
      </c>
      <c r="E457" t="s">
        <v>765</v>
      </c>
      <c r="F457" t="s">
        <v>1229</v>
      </c>
      <c r="G457" t="s">
        <v>956</v>
      </c>
      <c r="H457" t="s">
        <v>1173</v>
      </c>
      <c r="I457" t="s">
        <v>817</v>
      </c>
      <c r="J457" t="s">
        <v>862</v>
      </c>
      <c r="K457" t="s">
        <v>862</v>
      </c>
      <c r="L457" t="s">
        <v>1003</v>
      </c>
      <c r="M457" t="s">
        <v>208</v>
      </c>
      <c r="N457" t="s">
        <v>764</v>
      </c>
      <c r="O457" t="s">
        <v>771</v>
      </c>
      <c r="P457" t="s">
        <v>772</v>
      </c>
      <c r="Q457" t="s">
        <v>764</v>
      </c>
      <c r="R457">
        <v>0</v>
      </c>
      <c r="S457">
        <v>0</v>
      </c>
      <c r="T457">
        <v>0</v>
      </c>
      <c r="U457">
        <v>0</v>
      </c>
      <c r="V457">
        <v>0</v>
      </c>
      <c r="W457">
        <v>0</v>
      </c>
      <c r="X457">
        <v>0</v>
      </c>
      <c r="Y457">
        <v>0</v>
      </c>
      <c r="Z457">
        <v>60</v>
      </c>
      <c r="AA457">
        <v>8</v>
      </c>
      <c r="AB457">
        <v>0</v>
      </c>
      <c r="AC457">
        <v>0</v>
      </c>
      <c r="AD457">
        <v>0</v>
      </c>
      <c r="AE457">
        <v>0</v>
      </c>
      <c r="AF457">
        <v>0</v>
      </c>
      <c r="AG457">
        <v>0</v>
      </c>
      <c r="AH457">
        <v>0</v>
      </c>
      <c r="AI457">
        <v>0</v>
      </c>
      <c r="AY457" t="str">
        <f t="shared" si="133"/>
        <v>CUNICOXIL</v>
      </c>
      <c r="AZ457" t="str">
        <f>IF(COUNTIF(AY:AY,AY457)=1,AY457,IF(AND(COUNTIF(AY:AY,AY457)&gt;1,COUNTIF(AZ$2:AZ456,AY457)&gt;=1),"",AY457))</f>
        <v/>
      </c>
      <c r="BA457" t="str">
        <f>IF(AZ457="","",COUNTIFS(AZ$3:AZ$1439,"&lt;"&amp;AZ457,AZ$3:AZ$1439,"&lt;&gt;0")+COUNTIF(AZ$3:AZ457,AZ457)-876)</f>
        <v/>
      </c>
      <c r="BC457">
        <v>455</v>
      </c>
      <c r="BD457" t="str">
        <f t="shared" si="144"/>
        <v>SUANOVIL 20</v>
      </c>
      <c r="BE457" t="str">
        <f t="shared" si="134"/>
        <v>INJ</v>
      </c>
      <c r="BF457" t="str">
        <f t="shared" si="135"/>
        <v>MACROLIDES</v>
      </c>
      <c r="BG457" t="str">
        <f t="shared" si="136"/>
        <v/>
      </c>
      <c r="BH457" t="str">
        <f t="shared" si="137"/>
        <v/>
      </c>
      <c r="BI457" t="str">
        <f t="shared" si="138"/>
        <v>spiramycin</v>
      </c>
      <c r="BJ457" t="str">
        <f t="shared" si="139"/>
        <v/>
      </c>
      <c r="BK457" t="str">
        <f t="shared" si="140"/>
        <v/>
      </c>
      <c r="BL457" t="str">
        <f t="shared" si="145"/>
        <v>Spiramycine</v>
      </c>
      <c r="BM457" t="str">
        <f t="shared" si="141"/>
        <v>Spiramycine</v>
      </c>
      <c r="BN457" t="str">
        <f t="shared" si="142"/>
        <v/>
      </c>
      <c r="BO457" t="str">
        <f t="shared" si="143"/>
        <v/>
      </c>
      <c r="BP457" t="str">
        <f t="shared" si="146"/>
        <v>Macrolides</v>
      </c>
      <c r="BQ457" t="str">
        <f t="shared" si="147"/>
        <v>Macrolides</v>
      </c>
      <c r="BR457" t="str">
        <f t="shared" si="148"/>
        <v/>
      </c>
      <c r="BS457" t="str">
        <f t="shared" si="149"/>
        <v/>
      </c>
      <c r="BT457" s="76" t="str">
        <f t="shared" si="150"/>
        <v>Voie parentérale</v>
      </c>
      <c r="BU457" t="str">
        <f t="shared" si="151"/>
        <v/>
      </c>
      <c r="CN457">
        <v>456</v>
      </c>
    </row>
    <row r="458" spans="1:92" x14ac:dyDescent="0.3">
      <c r="A458" s="118" t="s">
        <v>2927</v>
      </c>
      <c r="B458" t="s">
        <v>2928</v>
      </c>
      <c r="C458" t="s">
        <v>2929</v>
      </c>
      <c r="D458" s="144" t="s">
        <v>2930</v>
      </c>
      <c r="E458" t="s">
        <v>765</v>
      </c>
      <c r="F458" t="s">
        <v>316</v>
      </c>
      <c r="G458" t="s">
        <v>985</v>
      </c>
      <c r="H458" t="s">
        <v>1484</v>
      </c>
      <c r="I458" t="s">
        <v>879</v>
      </c>
      <c r="J458" t="s">
        <v>768</v>
      </c>
      <c r="K458" t="s">
        <v>768</v>
      </c>
      <c r="L458" t="s">
        <v>1087</v>
      </c>
      <c r="M458" t="s">
        <v>208</v>
      </c>
      <c r="N458" t="s">
        <v>2931</v>
      </c>
      <c r="O458" t="s">
        <v>771</v>
      </c>
      <c r="P458" t="s">
        <v>772</v>
      </c>
      <c r="Q458" t="s">
        <v>2932</v>
      </c>
      <c r="R458">
        <v>0</v>
      </c>
      <c r="S458">
        <v>0</v>
      </c>
      <c r="T458">
        <v>0</v>
      </c>
      <c r="U458">
        <v>0</v>
      </c>
      <c r="V458">
        <v>0</v>
      </c>
      <c r="W458">
        <v>0</v>
      </c>
      <c r="X458">
        <v>0</v>
      </c>
      <c r="Y458">
        <v>0</v>
      </c>
      <c r="Z458">
        <v>0</v>
      </c>
      <c r="AA458">
        <v>0</v>
      </c>
      <c r="AB458">
        <v>0</v>
      </c>
      <c r="AC458">
        <v>0</v>
      </c>
      <c r="AD458">
        <v>0</v>
      </c>
      <c r="AE458">
        <v>0</v>
      </c>
      <c r="AF458">
        <v>0</v>
      </c>
      <c r="AG458">
        <v>0</v>
      </c>
      <c r="AH458">
        <v>0</v>
      </c>
      <c r="AI458">
        <v>0</v>
      </c>
      <c r="AY458" t="str">
        <f t="shared" si="133"/>
        <v>CYCLO SPRAY</v>
      </c>
      <c r="AZ458" t="str">
        <f>IF(COUNTIF(AY:AY,AY458)=1,AY458,IF(AND(COUNTIF(AY:AY,AY458)&gt;1,COUNTIF(AZ$2:AZ457,AY458)&gt;=1),"",AY458))</f>
        <v>CYCLO SPRAY</v>
      </c>
      <c r="BA458">
        <f>IF(AZ458="","",COUNTIFS(AZ$3:AZ$1439,"&lt;"&amp;AZ458,AZ$3:AZ$1439,"&lt;&gt;0")+COUNTIF(AZ$3:AZ458,AZ458)-876)</f>
        <v>171</v>
      </c>
      <c r="BC458">
        <v>456</v>
      </c>
      <c r="BD458" t="str">
        <f t="shared" si="144"/>
        <v>SUANOVIL 50</v>
      </c>
      <c r="BE458" t="str">
        <f t="shared" si="134"/>
        <v>ORAL</v>
      </c>
      <c r="BF458" t="str">
        <f t="shared" si="135"/>
        <v>MACROLIDES</v>
      </c>
      <c r="BG458" t="str">
        <f t="shared" si="136"/>
        <v/>
      </c>
      <c r="BH458" t="str">
        <f t="shared" si="137"/>
        <v/>
      </c>
      <c r="BI458" t="str">
        <f t="shared" si="138"/>
        <v>spiramycin</v>
      </c>
      <c r="BJ458" t="str">
        <f t="shared" si="139"/>
        <v/>
      </c>
      <c r="BK458" t="str">
        <f t="shared" si="140"/>
        <v/>
      </c>
      <c r="BL458" t="str">
        <f t="shared" si="145"/>
        <v>Spiramycine</v>
      </c>
      <c r="BM458" t="str">
        <f t="shared" si="141"/>
        <v>Spiramycine</v>
      </c>
      <c r="BN458" t="str">
        <f t="shared" si="142"/>
        <v/>
      </c>
      <c r="BO458" t="str">
        <f t="shared" si="143"/>
        <v/>
      </c>
      <c r="BP458" t="str">
        <f t="shared" si="146"/>
        <v>Macrolides</v>
      </c>
      <c r="BQ458" t="str">
        <f t="shared" si="147"/>
        <v>Macrolides</v>
      </c>
      <c r="BR458" t="str">
        <f t="shared" si="148"/>
        <v/>
      </c>
      <c r="BS458" t="str">
        <f t="shared" si="149"/>
        <v/>
      </c>
      <c r="BT458" s="76" t="str">
        <f t="shared" si="150"/>
        <v>Voie orale  hors prémélanges médicamenteux</v>
      </c>
      <c r="BU458" t="str">
        <f t="shared" si="151"/>
        <v/>
      </c>
      <c r="CN458">
        <v>457</v>
      </c>
    </row>
    <row r="459" spans="1:92" x14ac:dyDescent="0.3">
      <c r="A459" s="118" t="s">
        <v>2927</v>
      </c>
      <c r="B459" t="s">
        <v>2933</v>
      </c>
      <c r="C459" t="s">
        <v>2934</v>
      </c>
      <c r="D459" s="144" t="s">
        <v>2935</v>
      </c>
      <c r="E459" t="s">
        <v>765</v>
      </c>
      <c r="F459" t="s">
        <v>316</v>
      </c>
      <c r="G459" t="s">
        <v>985</v>
      </c>
      <c r="H459" t="s">
        <v>1484</v>
      </c>
      <c r="I459" t="s">
        <v>879</v>
      </c>
      <c r="J459" t="s">
        <v>768</v>
      </c>
      <c r="K459" t="s">
        <v>768</v>
      </c>
      <c r="L459" t="s">
        <v>1087</v>
      </c>
      <c r="M459" t="s">
        <v>208</v>
      </c>
      <c r="N459" t="s">
        <v>2931</v>
      </c>
      <c r="O459" t="s">
        <v>771</v>
      </c>
      <c r="P459" t="s">
        <v>772</v>
      </c>
      <c r="Q459" t="s">
        <v>2936</v>
      </c>
      <c r="R459">
        <v>0</v>
      </c>
      <c r="S459">
        <v>0</v>
      </c>
      <c r="T459">
        <v>0</v>
      </c>
      <c r="U459">
        <v>0</v>
      </c>
      <c r="V459">
        <v>0</v>
      </c>
      <c r="W459">
        <v>0</v>
      </c>
      <c r="X459">
        <v>0</v>
      </c>
      <c r="Y459">
        <v>0</v>
      </c>
      <c r="Z459">
        <v>0</v>
      </c>
      <c r="AA459">
        <v>0</v>
      </c>
      <c r="AB459">
        <v>0</v>
      </c>
      <c r="AC459">
        <v>0</v>
      </c>
      <c r="AD459">
        <v>0</v>
      </c>
      <c r="AE459">
        <v>0</v>
      </c>
      <c r="AF459">
        <v>0</v>
      </c>
      <c r="AG459">
        <v>0</v>
      </c>
      <c r="AH459">
        <v>0</v>
      </c>
      <c r="AI459">
        <v>0</v>
      </c>
      <c r="AY459" t="str">
        <f t="shared" si="133"/>
        <v>CYCLO SPRAY</v>
      </c>
      <c r="AZ459" t="str">
        <f>IF(COUNTIF(AY:AY,AY459)=1,AY459,IF(AND(COUNTIF(AY:AY,AY459)&gt;1,COUNTIF(AZ$2:AZ458,AY459)&gt;=1),"",AY459))</f>
        <v/>
      </c>
      <c r="BA459" t="str">
        <f>IF(AZ459="","",COUNTIFS(AZ$3:AZ$1439,"&lt;"&amp;AZ459,AZ$3:AZ$1439,"&lt;&gt;0")+COUNTIF(AZ$3:AZ459,AZ459)-876)</f>
        <v/>
      </c>
      <c r="BC459">
        <v>457</v>
      </c>
      <c r="BD459" t="str">
        <f t="shared" si="144"/>
        <v>SULFADI 500</v>
      </c>
      <c r="BE459" t="str">
        <f t="shared" si="134"/>
        <v>ORAL</v>
      </c>
      <c r="BF459" t="str">
        <f t="shared" si="135"/>
        <v>SULFAMIDES</v>
      </c>
      <c r="BG459" t="str">
        <f t="shared" si="136"/>
        <v/>
      </c>
      <c r="BH459" t="str">
        <f t="shared" si="137"/>
        <v/>
      </c>
      <c r="BI459" t="str">
        <f t="shared" si="138"/>
        <v>sulfadimidine</v>
      </c>
      <c r="BJ459" t="str">
        <f t="shared" si="139"/>
        <v/>
      </c>
      <c r="BK459" t="str">
        <f t="shared" si="140"/>
        <v/>
      </c>
      <c r="BL459" t="str">
        <f t="shared" si="145"/>
        <v>Sulfadimidine</v>
      </c>
      <c r="BM459" t="str">
        <f t="shared" si="141"/>
        <v>Sulfadimidine</v>
      </c>
      <c r="BN459" t="str">
        <f t="shared" si="142"/>
        <v/>
      </c>
      <c r="BO459" t="str">
        <f t="shared" si="143"/>
        <v/>
      </c>
      <c r="BP459" t="str">
        <f t="shared" si="146"/>
        <v>Sulfamides</v>
      </c>
      <c r="BQ459" t="str">
        <f t="shared" si="147"/>
        <v>Sulfamides</v>
      </c>
      <c r="BR459" t="str">
        <f t="shared" si="148"/>
        <v/>
      </c>
      <c r="BS459" t="str">
        <f t="shared" si="149"/>
        <v/>
      </c>
      <c r="BT459" s="76" t="str">
        <f t="shared" si="150"/>
        <v>Voie orale  hors prémélanges médicamenteux</v>
      </c>
      <c r="BU459" t="str">
        <f t="shared" si="151"/>
        <v/>
      </c>
      <c r="CN459">
        <v>458</v>
      </c>
    </row>
    <row r="460" spans="1:92" x14ac:dyDescent="0.3">
      <c r="A460" s="118" t="s">
        <v>2927</v>
      </c>
      <c r="B460" t="s">
        <v>2937</v>
      </c>
      <c r="C460" t="s">
        <v>2929</v>
      </c>
      <c r="D460" s="144" t="s">
        <v>2930</v>
      </c>
      <c r="E460" t="s">
        <v>765</v>
      </c>
      <c r="F460" t="s">
        <v>316</v>
      </c>
      <c r="G460" t="s">
        <v>985</v>
      </c>
      <c r="H460" t="s">
        <v>1484</v>
      </c>
      <c r="I460" t="s">
        <v>879</v>
      </c>
      <c r="J460" t="s">
        <v>768</v>
      </c>
      <c r="K460" t="s">
        <v>768</v>
      </c>
      <c r="L460" t="s">
        <v>1087</v>
      </c>
      <c r="M460" t="s">
        <v>208</v>
      </c>
      <c r="N460" t="s">
        <v>2931</v>
      </c>
      <c r="O460" t="s">
        <v>771</v>
      </c>
      <c r="P460" t="s">
        <v>772</v>
      </c>
      <c r="Q460" t="s">
        <v>2932</v>
      </c>
      <c r="R460">
        <v>0</v>
      </c>
      <c r="S460">
        <v>0</v>
      </c>
      <c r="T460">
        <v>0</v>
      </c>
      <c r="U460">
        <v>0</v>
      </c>
      <c r="V460">
        <v>0</v>
      </c>
      <c r="W460">
        <v>0</v>
      </c>
      <c r="X460">
        <v>0</v>
      </c>
      <c r="Y460">
        <v>0</v>
      </c>
      <c r="Z460">
        <v>0</v>
      </c>
      <c r="AA460">
        <v>0</v>
      </c>
      <c r="AB460">
        <v>0</v>
      </c>
      <c r="AC460">
        <v>0</v>
      </c>
      <c r="AD460">
        <v>0</v>
      </c>
      <c r="AE460">
        <v>0</v>
      </c>
      <c r="AF460">
        <v>0</v>
      </c>
      <c r="AG460">
        <v>0</v>
      </c>
      <c r="AH460">
        <v>0</v>
      </c>
      <c r="AI460">
        <v>0</v>
      </c>
      <c r="AY460" t="str">
        <f t="shared" si="133"/>
        <v>CYCLO SPRAY</v>
      </c>
      <c r="AZ460" t="str">
        <f>IF(COUNTIF(AY:AY,AY460)=1,AY460,IF(AND(COUNTIF(AY:AY,AY460)&gt;1,COUNTIF(AZ$2:AZ459,AY460)&gt;=1),"",AY460))</f>
        <v/>
      </c>
      <c r="BA460" t="str">
        <f>IF(AZ460="","",COUNTIFS(AZ$3:AZ$1439,"&lt;"&amp;AZ460,AZ$3:AZ$1439,"&lt;&gt;0")+COUNTIF(AZ$3:AZ460,AZ460)-876)</f>
        <v/>
      </c>
      <c r="BC460">
        <v>458</v>
      </c>
      <c r="BD460" t="str">
        <f t="shared" si="144"/>
        <v>SULFADIMERAZINE CSI</v>
      </c>
      <c r="BE460" t="str">
        <f t="shared" si="134"/>
        <v>INJ &amp; ORAL</v>
      </c>
      <c r="BF460" t="str">
        <f t="shared" si="135"/>
        <v>SULFAMIDES</v>
      </c>
      <c r="BG460" t="str">
        <f t="shared" si="136"/>
        <v/>
      </c>
      <c r="BH460" t="str">
        <f t="shared" si="137"/>
        <v/>
      </c>
      <c r="BI460" t="str">
        <f t="shared" si="138"/>
        <v>sulfadimidine</v>
      </c>
      <c r="BJ460" t="str">
        <f t="shared" si="139"/>
        <v/>
      </c>
      <c r="BK460" t="str">
        <f t="shared" si="140"/>
        <v/>
      </c>
      <c r="BL460" t="str">
        <f t="shared" si="145"/>
        <v>Sulfadimidine</v>
      </c>
      <c r="BM460" t="str">
        <f t="shared" si="141"/>
        <v>Sulfadimidine</v>
      </c>
      <c r="BN460" t="str">
        <f t="shared" si="142"/>
        <v/>
      </c>
      <c r="BO460" t="str">
        <f t="shared" si="143"/>
        <v/>
      </c>
      <c r="BP460" t="str">
        <f t="shared" si="146"/>
        <v>Sulfamides</v>
      </c>
      <c r="BQ460" t="str">
        <f t="shared" si="147"/>
        <v>Sulfamides</v>
      </c>
      <c r="BR460" t="str">
        <f t="shared" si="148"/>
        <v/>
      </c>
      <c r="BS460" t="str">
        <f t="shared" si="149"/>
        <v/>
      </c>
      <c r="BT460" s="76" t="str">
        <f t="shared" si="150"/>
        <v>Voies parentérale et orale</v>
      </c>
      <c r="BU460" t="str">
        <f t="shared" si="151"/>
        <v/>
      </c>
      <c r="CN460">
        <v>459</v>
      </c>
    </row>
    <row r="461" spans="1:92" x14ac:dyDescent="0.3">
      <c r="A461" s="118" t="s">
        <v>2927</v>
      </c>
      <c r="B461" t="s">
        <v>2938</v>
      </c>
      <c r="C461" t="s">
        <v>2934</v>
      </c>
      <c r="D461" s="144" t="s">
        <v>2935</v>
      </c>
      <c r="E461" t="s">
        <v>765</v>
      </c>
      <c r="F461" t="s">
        <v>316</v>
      </c>
      <c r="G461" t="s">
        <v>985</v>
      </c>
      <c r="H461" t="s">
        <v>1484</v>
      </c>
      <c r="I461" t="s">
        <v>879</v>
      </c>
      <c r="J461" t="s">
        <v>768</v>
      </c>
      <c r="K461" t="s">
        <v>768</v>
      </c>
      <c r="L461" t="s">
        <v>1087</v>
      </c>
      <c r="M461" t="s">
        <v>208</v>
      </c>
      <c r="N461" t="s">
        <v>2931</v>
      </c>
      <c r="O461" t="s">
        <v>771</v>
      </c>
      <c r="P461" t="s">
        <v>772</v>
      </c>
      <c r="Q461" t="s">
        <v>2936</v>
      </c>
      <c r="R461">
        <v>0</v>
      </c>
      <c r="S461">
        <v>0</v>
      </c>
      <c r="T461">
        <v>0</v>
      </c>
      <c r="U461">
        <v>0</v>
      </c>
      <c r="V461">
        <v>0</v>
      </c>
      <c r="W461">
        <v>0</v>
      </c>
      <c r="X461">
        <v>0</v>
      </c>
      <c r="Y461">
        <v>0</v>
      </c>
      <c r="Z461">
        <v>0</v>
      </c>
      <c r="AA461">
        <v>0</v>
      </c>
      <c r="AB461">
        <v>0</v>
      </c>
      <c r="AC461">
        <v>0</v>
      </c>
      <c r="AD461">
        <v>0</v>
      </c>
      <c r="AE461">
        <v>0</v>
      </c>
      <c r="AF461">
        <v>0</v>
      </c>
      <c r="AG461">
        <v>0</v>
      </c>
      <c r="AH461">
        <v>0</v>
      </c>
      <c r="AI461">
        <v>0</v>
      </c>
      <c r="AY461" t="str">
        <f t="shared" si="133"/>
        <v>CYCLO SPRAY</v>
      </c>
      <c r="AZ461" t="str">
        <f>IF(COUNTIF(AY:AY,AY461)=1,AY461,IF(AND(COUNTIF(AY:AY,AY461)&gt;1,COUNTIF(AZ$2:AZ460,AY461)&gt;=1),"",AY461))</f>
        <v/>
      </c>
      <c r="BA461" t="str">
        <f>IF(AZ461="","",COUNTIFS(AZ$3:AZ$1439,"&lt;"&amp;AZ461,AZ$3:AZ$1439,"&lt;&gt;0")+COUNTIF(AZ$3:AZ461,AZ461)-876)</f>
        <v/>
      </c>
      <c r="BC461">
        <v>459</v>
      </c>
      <c r="BD461" t="str">
        <f t="shared" si="144"/>
        <v>SULFADIMERAZINE QALIAN</v>
      </c>
      <c r="BE461" t="str">
        <f t="shared" si="134"/>
        <v>INJ &amp; ORAL</v>
      </c>
      <c r="BF461" t="str">
        <f t="shared" si="135"/>
        <v>SULFAMIDES</v>
      </c>
      <c r="BG461" t="str">
        <f t="shared" si="136"/>
        <v/>
      </c>
      <c r="BH461" t="str">
        <f t="shared" si="137"/>
        <v/>
      </c>
      <c r="BI461" t="str">
        <f t="shared" si="138"/>
        <v>sulfadimidine</v>
      </c>
      <c r="BJ461" t="str">
        <f t="shared" si="139"/>
        <v/>
      </c>
      <c r="BK461" t="str">
        <f t="shared" si="140"/>
        <v/>
      </c>
      <c r="BL461" t="str">
        <f t="shared" si="145"/>
        <v>Sulfadimidine</v>
      </c>
      <c r="BM461" t="str">
        <f t="shared" si="141"/>
        <v>Sulfadimidine</v>
      </c>
      <c r="BN461" t="str">
        <f t="shared" si="142"/>
        <v/>
      </c>
      <c r="BO461" t="str">
        <f t="shared" si="143"/>
        <v/>
      </c>
      <c r="BP461" t="str">
        <f t="shared" si="146"/>
        <v>Sulfamides</v>
      </c>
      <c r="BQ461" t="str">
        <f t="shared" si="147"/>
        <v>Sulfamides</v>
      </c>
      <c r="BR461" t="str">
        <f t="shared" si="148"/>
        <v/>
      </c>
      <c r="BS461" t="str">
        <f t="shared" si="149"/>
        <v/>
      </c>
      <c r="BT461" s="76" t="str">
        <f t="shared" si="150"/>
        <v>Voies parentérale et orale</v>
      </c>
      <c r="BU461" t="str">
        <f t="shared" si="151"/>
        <v/>
      </c>
      <c r="CN461">
        <v>460</v>
      </c>
    </row>
    <row r="462" spans="1:92" x14ac:dyDescent="0.3">
      <c r="A462" s="118" t="s">
        <v>2089</v>
      </c>
      <c r="B462" t="s">
        <v>2090</v>
      </c>
      <c r="C462" t="s">
        <v>807</v>
      </c>
      <c r="D462" s="144" t="s">
        <v>764</v>
      </c>
      <c r="E462" t="s">
        <v>765</v>
      </c>
      <c r="F462" t="s">
        <v>317</v>
      </c>
      <c r="G462" t="s">
        <v>766</v>
      </c>
      <c r="H462" t="s">
        <v>1484</v>
      </c>
      <c r="I462" t="s">
        <v>766</v>
      </c>
      <c r="J462" t="s">
        <v>768</v>
      </c>
      <c r="K462" t="s">
        <v>768</v>
      </c>
      <c r="L462" t="s">
        <v>769</v>
      </c>
      <c r="M462" t="s">
        <v>208</v>
      </c>
      <c r="N462" t="s">
        <v>864</v>
      </c>
      <c r="O462" t="s">
        <v>771</v>
      </c>
      <c r="P462" t="s">
        <v>772</v>
      </c>
      <c r="Q462" t="s">
        <v>869</v>
      </c>
      <c r="R462">
        <v>20</v>
      </c>
      <c r="S462">
        <v>1</v>
      </c>
      <c r="T462">
        <v>0</v>
      </c>
      <c r="U462">
        <v>0</v>
      </c>
      <c r="V462">
        <v>0</v>
      </c>
      <c r="W462">
        <v>0</v>
      </c>
      <c r="X462">
        <v>0</v>
      </c>
      <c r="Y462">
        <v>0</v>
      </c>
      <c r="Z462">
        <v>20</v>
      </c>
      <c r="AA462">
        <v>1</v>
      </c>
      <c r="AB462">
        <v>20</v>
      </c>
      <c r="AC462">
        <v>1</v>
      </c>
      <c r="AD462">
        <v>20</v>
      </c>
      <c r="AE462">
        <v>1</v>
      </c>
      <c r="AF462">
        <v>0</v>
      </c>
      <c r="AG462">
        <v>0</v>
      </c>
      <c r="AH462">
        <v>0</v>
      </c>
      <c r="AI462">
        <v>0</v>
      </c>
      <c r="AY462" t="str">
        <f t="shared" si="133"/>
        <v>CYCLOSOL 200 LA</v>
      </c>
      <c r="AZ462" t="str">
        <f>IF(COUNTIF(AY:AY,AY462)=1,AY462,IF(AND(COUNTIF(AY:AY,AY462)&gt;1,COUNTIF(AZ$2:AZ461,AY462)&gt;=1),"",AY462))</f>
        <v>CYCLOSOL 200 LA</v>
      </c>
      <c r="BA462">
        <f>IF(AZ462="","",COUNTIFS(AZ$3:AZ$1439,"&lt;"&amp;AZ462,AZ$3:AZ$1439,"&lt;&gt;0")+COUNTIF(AZ$3:AZ462,AZ462)-876)</f>
        <v>172</v>
      </c>
      <c r="BC462">
        <v>460</v>
      </c>
      <c r="BD462" t="str">
        <f t="shared" si="144"/>
        <v>SULFADIMETHOXINE 100-CR LAPIN-VOLAILLE-PORC ET AGNEAU-CHEVREAU SEVRES FRANVET</v>
      </c>
      <c r="BE462" t="str">
        <f t="shared" si="134"/>
        <v>PM</v>
      </c>
      <c r="BF462" t="str">
        <f t="shared" si="135"/>
        <v>SULFAMIDES</v>
      </c>
      <c r="BG462" t="str">
        <f t="shared" si="136"/>
        <v/>
      </c>
      <c r="BH462" t="str">
        <f t="shared" si="137"/>
        <v/>
      </c>
      <c r="BI462" t="str">
        <f t="shared" si="138"/>
        <v>sulfadimethoxine</v>
      </c>
      <c r="BJ462" t="str">
        <f t="shared" si="139"/>
        <v/>
      </c>
      <c r="BK462" t="str">
        <f t="shared" si="140"/>
        <v/>
      </c>
      <c r="BL462" t="str">
        <f t="shared" si="145"/>
        <v>Sulfadiméthoxine</v>
      </c>
      <c r="BM462" t="str">
        <f t="shared" si="141"/>
        <v>Sulfadiméthoxine</v>
      </c>
      <c r="BN462" t="str">
        <f t="shared" si="142"/>
        <v/>
      </c>
      <c r="BO462" t="str">
        <f t="shared" si="143"/>
        <v/>
      </c>
      <c r="BP462" t="str">
        <f t="shared" si="146"/>
        <v>Sulfamides</v>
      </c>
      <c r="BQ462" t="str">
        <f t="shared" si="147"/>
        <v>Sulfamides</v>
      </c>
      <c r="BR462" t="str">
        <f t="shared" si="148"/>
        <v/>
      </c>
      <c r="BS462" t="str">
        <f t="shared" si="149"/>
        <v/>
      </c>
      <c r="BT462" s="76" t="str">
        <f t="shared" si="150"/>
        <v>Prémélanges médicamenteux</v>
      </c>
      <c r="BU462" t="str">
        <f t="shared" si="151"/>
        <v/>
      </c>
      <c r="CN462">
        <v>461</v>
      </c>
    </row>
    <row r="463" spans="1:92" x14ac:dyDescent="0.3">
      <c r="A463" s="118" t="s">
        <v>2089</v>
      </c>
      <c r="B463" t="s">
        <v>2091</v>
      </c>
      <c r="C463" t="s">
        <v>809</v>
      </c>
      <c r="D463" s="144" t="s">
        <v>776</v>
      </c>
      <c r="E463" t="s">
        <v>765</v>
      </c>
      <c r="F463" t="s">
        <v>317</v>
      </c>
      <c r="G463" t="s">
        <v>766</v>
      </c>
      <c r="H463" t="s">
        <v>1484</v>
      </c>
      <c r="I463" t="s">
        <v>766</v>
      </c>
      <c r="J463" t="s">
        <v>768</v>
      </c>
      <c r="K463" t="s">
        <v>768</v>
      </c>
      <c r="L463" t="s">
        <v>769</v>
      </c>
      <c r="M463" t="s">
        <v>208</v>
      </c>
      <c r="N463" t="s">
        <v>864</v>
      </c>
      <c r="O463" t="s">
        <v>771</v>
      </c>
      <c r="P463" t="s">
        <v>772</v>
      </c>
      <c r="Q463" t="s">
        <v>780</v>
      </c>
      <c r="R463">
        <v>20</v>
      </c>
      <c r="S463">
        <v>1</v>
      </c>
      <c r="T463">
        <v>0</v>
      </c>
      <c r="U463">
        <v>0</v>
      </c>
      <c r="V463">
        <v>0</v>
      </c>
      <c r="W463">
        <v>0</v>
      </c>
      <c r="X463">
        <v>0</v>
      </c>
      <c r="Y463">
        <v>0</v>
      </c>
      <c r="Z463">
        <v>20</v>
      </c>
      <c r="AA463">
        <v>1</v>
      </c>
      <c r="AB463">
        <v>20</v>
      </c>
      <c r="AC463">
        <v>1</v>
      </c>
      <c r="AD463">
        <v>20</v>
      </c>
      <c r="AE463">
        <v>1</v>
      </c>
      <c r="AF463">
        <v>0</v>
      </c>
      <c r="AG463">
        <v>0</v>
      </c>
      <c r="AH463">
        <v>0</v>
      </c>
      <c r="AI463">
        <v>0</v>
      </c>
      <c r="AY463" t="str">
        <f t="shared" si="133"/>
        <v>CYCLOSOL 200 LA</v>
      </c>
      <c r="AZ463" t="str">
        <f>IF(COUNTIF(AY:AY,AY463)=1,AY463,IF(AND(COUNTIF(AY:AY,AY463)&gt;1,COUNTIF(AZ$2:AZ462,AY463)&gt;=1),"",AY463))</f>
        <v/>
      </c>
      <c r="BA463" t="str">
        <f>IF(AZ463="","",COUNTIFS(AZ$3:AZ$1439,"&lt;"&amp;AZ463,AZ$3:AZ$1439,"&lt;&gt;0")+COUNTIF(AZ$3:AZ463,AZ463)-876)</f>
        <v/>
      </c>
      <c r="BC463">
        <v>461</v>
      </c>
      <c r="BD463" t="str">
        <f t="shared" si="144"/>
        <v>SULFADIMETHOXINE-TRIMETHOPRIME 62,5-12,5 PORC ET VEAU-AGNEAU-CHEVREAU SEVRES SANTAMIX</v>
      </c>
      <c r="BE463" t="str">
        <f t="shared" si="134"/>
        <v>PM</v>
      </c>
      <c r="BF463" t="str">
        <f t="shared" si="135"/>
        <v>SULFAMIDES</v>
      </c>
      <c r="BG463" t="str">
        <f t="shared" si="136"/>
        <v>TRIMETHOPRIME</v>
      </c>
      <c r="BH463" t="str">
        <f t="shared" si="137"/>
        <v/>
      </c>
      <c r="BI463" t="str">
        <f t="shared" si="138"/>
        <v>sulfadimethoxine</v>
      </c>
      <c r="BJ463" t="str">
        <f t="shared" si="139"/>
        <v>trimethoprim</v>
      </c>
      <c r="BK463" t="str">
        <f t="shared" si="140"/>
        <v/>
      </c>
      <c r="BL463" t="str">
        <f t="shared" si="145"/>
        <v>Sulfadiméthoxine + Triméthoprime</v>
      </c>
      <c r="BM463" t="str">
        <f t="shared" si="141"/>
        <v>Sulfadiméthoxine</v>
      </c>
      <c r="BN463" t="str">
        <f t="shared" si="142"/>
        <v>Triméthoprime</v>
      </c>
      <c r="BO463" t="str">
        <f t="shared" si="143"/>
        <v/>
      </c>
      <c r="BP463" t="str">
        <f t="shared" si="146"/>
        <v>Sulfamides + Trimethoprime</v>
      </c>
      <c r="BQ463" t="str">
        <f t="shared" si="147"/>
        <v>Sulfamides</v>
      </c>
      <c r="BR463" t="str">
        <f t="shared" si="148"/>
        <v>Trimethoprime</v>
      </c>
      <c r="BS463" t="str">
        <f t="shared" si="149"/>
        <v/>
      </c>
      <c r="BT463" s="76" t="str">
        <f t="shared" si="150"/>
        <v>Prémélanges médicamenteux</v>
      </c>
      <c r="BU463" t="str">
        <f t="shared" si="151"/>
        <v/>
      </c>
      <c r="CN463">
        <v>462</v>
      </c>
    </row>
    <row r="464" spans="1:92" x14ac:dyDescent="0.3">
      <c r="A464" s="118" t="s">
        <v>2089</v>
      </c>
      <c r="B464" t="s">
        <v>2092</v>
      </c>
      <c r="C464" t="s">
        <v>763</v>
      </c>
      <c r="D464" s="144" t="s">
        <v>764</v>
      </c>
      <c r="E464" t="s">
        <v>765</v>
      </c>
      <c r="F464" t="s">
        <v>317</v>
      </c>
      <c r="G464" t="s">
        <v>766</v>
      </c>
      <c r="H464" t="s">
        <v>1484</v>
      </c>
      <c r="I464" t="s">
        <v>766</v>
      </c>
      <c r="J464" t="s">
        <v>768</v>
      </c>
      <c r="K464" t="s">
        <v>768</v>
      </c>
      <c r="L464" t="s">
        <v>769</v>
      </c>
      <c r="M464" t="s">
        <v>208</v>
      </c>
      <c r="N464" t="s">
        <v>864</v>
      </c>
      <c r="O464" t="s">
        <v>771</v>
      </c>
      <c r="P464" t="s">
        <v>772</v>
      </c>
      <c r="Q464" t="s">
        <v>869</v>
      </c>
      <c r="R464">
        <v>20</v>
      </c>
      <c r="S464">
        <v>1</v>
      </c>
      <c r="T464">
        <v>0</v>
      </c>
      <c r="U464">
        <v>0</v>
      </c>
      <c r="V464">
        <v>0</v>
      </c>
      <c r="W464">
        <v>0</v>
      </c>
      <c r="X464">
        <v>0</v>
      </c>
      <c r="Y464">
        <v>0</v>
      </c>
      <c r="Z464">
        <v>20</v>
      </c>
      <c r="AA464">
        <v>1</v>
      </c>
      <c r="AB464">
        <v>20</v>
      </c>
      <c r="AC464">
        <v>1</v>
      </c>
      <c r="AD464">
        <v>20</v>
      </c>
      <c r="AE464">
        <v>1</v>
      </c>
      <c r="AF464">
        <v>0</v>
      </c>
      <c r="AG464">
        <v>0</v>
      </c>
      <c r="AH464">
        <v>0</v>
      </c>
      <c r="AI464">
        <v>0</v>
      </c>
      <c r="AY464" t="str">
        <f t="shared" si="133"/>
        <v>CYCLOSOL 200 LA</v>
      </c>
      <c r="AZ464" t="str">
        <f>IF(COUNTIF(AY:AY,AY464)=1,AY464,IF(AND(COUNTIF(AY:AY,AY464)&gt;1,COUNTIF(AZ$2:AZ463,AY464)&gt;=1),"",AY464))</f>
        <v/>
      </c>
      <c r="BA464" t="str">
        <f>IF(AZ464="","",COUNTIFS(AZ$3:AZ$1439,"&lt;"&amp;AZ464,AZ$3:AZ$1439,"&lt;&gt;0")+COUNTIF(AZ$3:AZ464,AZ464)-876)</f>
        <v/>
      </c>
      <c r="BC464">
        <v>462</v>
      </c>
      <c r="BD464" t="str">
        <f t="shared" si="144"/>
        <v>SULFALON</v>
      </c>
      <c r="BE464" t="str">
        <f t="shared" si="134"/>
        <v>INJ</v>
      </c>
      <c r="BF464" t="str">
        <f t="shared" si="135"/>
        <v>SULFAMIDES</v>
      </c>
      <c r="BG464" t="str">
        <f t="shared" si="136"/>
        <v/>
      </c>
      <c r="BH464" t="str">
        <f t="shared" si="137"/>
        <v/>
      </c>
      <c r="BI464" t="str">
        <f t="shared" si="138"/>
        <v>sulfadimethoxine</v>
      </c>
      <c r="BJ464" t="str">
        <f t="shared" si="139"/>
        <v/>
      </c>
      <c r="BK464" t="str">
        <f t="shared" si="140"/>
        <v/>
      </c>
      <c r="BL464" t="str">
        <f t="shared" si="145"/>
        <v>Sulfadiméthoxine</v>
      </c>
      <c r="BM464" t="str">
        <f t="shared" si="141"/>
        <v>Sulfadiméthoxine</v>
      </c>
      <c r="BN464" t="str">
        <f t="shared" si="142"/>
        <v/>
      </c>
      <c r="BO464" t="str">
        <f t="shared" si="143"/>
        <v/>
      </c>
      <c r="BP464" t="str">
        <f t="shared" si="146"/>
        <v>Sulfamides</v>
      </c>
      <c r="BQ464" t="str">
        <f t="shared" si="147"/>
        <v>Sulfamides</v>
      </c>
      <c r="BR464" t="str">
        <f t="shared" si="148"/>
        <v/>
      </c>
      <c r="BS464" t="str">
        <f t="shared" si="149"/>
        <v/>
      </c>
      <c r="BT464" s="76" t="str">
        <f t="shared" si="150"/>
        <v>Voie parentérale</v>
      </c>
      <c r="BU464" t="str">
        <f t="shared" si="151"/>
        <v/>
      </c>
      <c r="CN464">
        <v>463</v>
      </c>
    </row>
    <row r="465" spans="1:92" x14ac:dyDescent="0.3">
      <c r="A465" s="118" t="s">
        <v>2089</v>
      </c>
      <c r="B465" t="s">
        <v>2093</v>
      </c>
      <c r="C465" t="s">
        <v>775</v>
      </c>
      <c r="D465" s="144" t="s">
        <v>776</v>
      </c>
      <c r="E465" t="s">
        <v>765</v>
      </c>
      <c r="F465" t="s">
        <v>317</v>
      </c>
      <c r="G465" t="s">
        <v>766</v>
      </c>
      <c r="H465" t="s">
        <v>1484</v>
      </c>
      <c r="I465" t="s">
        <v>766</v>
      </c>
      <c r="J465" t="s">
        <v>768</v>
      </c>
      <c r="K465" t="s">
        <v>768</v>
      </c>
      <c r="L465" t="s">
        <v>769</v>
      </c>
      <c r="M465" t="s">
        <v>208</v>
      </c>
      <c r="N465" t="s">
        <v>864</v>
      </c>
      <c r="O465" t="s">
        <v>771</v>
      </c>
      <c r="P465" t="s">
        <v>772</v>
      </c>
      <c r="Q465" t="s">
        <v>780</v>
      </c>
      <c r="R465">
        <v>20</v>
      </c>
      <c r="S465">
        <v>1</v>
      </c>
      <c r="T465">
        <v>0</v>
      </c>
      <c r="U465">
        <v>0</v>
      </c>
      <c r="V465">
        <v>0</v>
      </c>
      <c r="W465">
        <v>0</v>
      </c>
      <c r="X465">
        <v>0</v>
      </c>
      <c r="Y465">
        <v>0</v>
      </c>
      <c r="Z465">
        <v>20</v>
      </c>
      <c r="AA465">
        <v>1</v>
      </c>
      <c r="AB465">
        <v>20</v>
      </c>
      <c r="AC465">
        <v>1</v>
      </c>
      <c r="AD465">
        <v>20</v>
      </c>
      <c r="AE465">
        <v>1</v>
      </c>
      <c r="AF465">
        <v>0</v>
      </c>
      <c r="AG465">
        <v>0</v>
      </c>
      <c r="AH465">
        <v>0</v>
      </c>
      <c r="AI465">
        <v>0</v>
      </c>
      <c r="AY465" t="str">
        <f t="shared" si="133"/>
        <v>CYCLOSOL 200 LA</v>
      </c>
      <c r="AZ465" t="str">
        <f>IF(COUNTIF(AY:AY,AY465)=1,AY465,IF(AND(COUNTIF(AY:AY,AY465)&gt;1,COUNTIF(AZ$2:AZ464,AY465)&gt;=1),"",AY465))</f>
        <v/>
      </c>
      <c r="BA465" t="str">
        <f>IF(AZ465="","",COUNTIFS(AZ$3:AZ$1439,"&lt;"&amp;AZ465,AZ$3:AZ$1439,"&lt;&gt;0")+COUNTIF(AZ$3:AZ465,AZ465)-876)</f>
        <v/>
      </c>
      <c r="BC465">
        <v>463</v>
      </c>
      <c r="BD465" t="str">
        <f t="shared" si="144"/>
        <v>SULFALUTYL</v>
      </c>
      <c r="BE465" t="str">
        <f t="shared" si="134"/>
        <v>ORAL</v>
      </c>
      <c r="BF465" t="str">
        <f t="shared" si="135"/>
        <v>SULFAMIDES</v>
      </c>
      <c r="BG465" t="str">
        <f t="shared" si="136"/>
        <v>SULFAMIDES</v>
      </c>
      <c r="BH465" t="str">
        <f t="shared" si="137"/>
        <v/>
      </c>
      <c r="BI465" t="str">
        <f t="shared" si="138"/>
        <v>sulfaguanidine</v>
      </c>
      <c r="BJ465" t="str">
        <f t="shared" si="139"/>
        <v>sulfadimidine</v>
      </c>
      <c r="BK465" t="str">
        <f t="shared" si="140"/>
        <v/>
      </c>
      <c r="BL465" t="str">
        <f t="shared" si="145"/>
        <v>Sulfaguanidine + Sulfadimidine</v>
      </c>
      <c r="BM465" t="str">
        <f t="shared" si="141"/>
        <v>Sulfaguanidine</v>
      </c>
      <c r="BN465" t="str">
        <f t="shared" si="142"/>
        <v>Sulfadimidine</v>
      </c>
      <c r="BO465" t="str">
        <f t="shared" si="143"/>
        <v/>
      </c>
      <c r="BP465" t="str">
        <f t="shared" si="146"/>
        <v>Sulfamides</v>
      </c>
      <c r="BQ465" t="str">
        <f t="shared" si="147"/>
        <v>Sulfamides</v>
      </c>
      <c r="BR465" t="str">
        <f t="shared" si="148"/>
        <v>Sulfamides</v>
      </c>
      <c r="BS465" t="str">
        <f t="shared" si="149"/>
        <v/>
      </c>
      <c r="BT465" s="76" t="str">
        <f t="shared" si="150"/>
        <v>Voie orale  hors prémélanges médicamenteux</v>
      </c>
      <c r="BU465" t="str">
        <f t="shared" si="151"/>
        <v/>
      </c>
      <c r="CN465">
        <v>464</v>
      </c>
    </row>
    <row r="466" spans="1:92" x14ac:dyDescent="0.3">
      <c r="A466" s="118" t="s">
        <v>2079</v>
      </c>
      <c r="B466" t="s">
        <v>2080</v>
      </c>
      <c r="C466" t="s">
        <v>1347</v>
      </c>
      <c r="D466" s="144" t="s">
        <v>764</v>
      </c>
      <c r="E466" t="s">
        <v>765</v>
      </c>
      <c r="F466" t="s">
        <v>318</v>
      </c>
      <c r="G466" t="s">
        <v>766</v>
      </c>
      <c r="H466" t="s">
        <v>1213</v>
      </c>
      <c r="I466" t="s">
        <v>766</v>
      </c>
      <c r="J466" t="s">
        <v>2081</v>
      </c>
      <c r="K466" t="s">
        <v>2081</v>
      </c>
      <c r="L466" t="s">
        <v>2082</v>
      </c>
      <c r="M466" t="s">
        <v>208</v>
      </c>
      <c r="N466" t="s">
        <v>2083</v>
      </c>
      <c r="O466" t="s">
        <v>771</v>
      </c>
      <c r="P466" t="s">
        <v>772</v>
      </c>
      <c r="Q466" t="s">
        <v>2084</v>
      </c>
      <c r="R466">
        <v>0</v>
      </c>
      <c r="S466">
        <v>0</v>
      </c>
      <c r="T466">
        <v>0</v>
      </c>
      <c r="U466">
        <v>0</v>
      </c>
      <c r="V466">
        <v>0</v>
      </c>
      <c r="W466">
        <v>0</v>
      </c>
      <c r="X466">
        <v>0</v>
      </c>
      <c r="Y466">
        <v>0</v>
      </c>
      <c r="Z466">
        <v>0</v>
      </c>
      <c r="AA466">
        <v>0</v>
      </c>
      <c r="AB466">
        <v>0</v>
      </c>
      <c r="AC466">
        <v>0</v>
      </c>
      <c r="AD466">
        <v>12</v>
      </c>
      <c r="AE466">
        <v>5</v>
      </c>
      <c r="AF466">
        <v>0</v>
      </c>
      <c r="AG466">
        <v>0</v>
      </c>
      <c r="AH466">
        <v>0</v>
      </c>
      <c r="AI466">
        <v>0</v>
      </c>
      <c r="AY466" t="str">
        <f t="shared" si="133"/>
        <v>DENAGARD INJECTABLE 162,2</v>
      </c>
      <c r="AZ466" t="str">
        <f>IF(COUNTIF(AY:AY,AY466)=1,AY466,IF(AND(COUNTIF(AY:AY,AY466)&gt;1,COUNTIF(AZ$2:AZ465,AY466)&gt;=1),"",AY466))</f>
        <v>DENAGARD INJECTABLE 162,2</v>
      </c>
      <c r="BA466">
        <f>IF(AZ466="","",COUNTIFS(AZ$3:AZ$1439,"&lt;"&amp;AZ466,AZ$3:AZ$1439,"&lt;&gt;0")+COUNTIF(AZ$3:AZ466,AZ466)-876)</f>
        <v>173</v>
      </c>
      <c r="BC466">
        <v>464</v>
      </c>
      <c r="BD466" t="str">
        <f t="shared" si="144"/>
        <v>SULFAMETHOX</v>
      </c>
      <c r="BE466" t="str">
        <f t="shared" si="134"/>
        <v>INJ</v>
      </c>
      <c r="BF466" t="str">
        <f t="shared" si="135"/>
        <v>SULFAMIDES</v>
      </c>
      <c r="BG466" t="str">
        <f t="shared" si="136"/>
        <v/>
      </c>
      <c r="BH466" t="str">
        <f t="shared" si="137"/>
        <v/>
      </c>
      <c r="BI466" t="str">
        <f t="shared" si="138"/>
        <v>sulfamethoxypyridazine</v>
      </c>
      <c r="BJ466" t="str">
        <f t="shared" si="139"/>
        <v/>
      </c>
      <c r="BK466" t="str">
        <f t="shared" si="140"/>
        <v/>
      </c>
      <c r="BL466" t="str">
        <f t="shared" si="145"/>
        <v>Sulfaméthoxypyridazine</v>
      </c>
      <c r="BM466" t="str">
        <f t="shared" si="141"/>
        <v>Sulfaméthoxypyridazine</v>
      </c>
      <c r="BN466" t="str">
        <f t="shared" si="142"/>
        <v/>
      </c>
      <c r="BO466" t="str">
        <f t="shared" si="143"/>
        <v/>
      </c>
      <c r="BP466" t="str">
        <f t="shared" si="146"/>
        <v>Sulfamides</v>
      </c>
      <c r="BQ466" t="str">
        <f t="shared" si="147"/>
        <v>Sulfamides</v>
      </c>
      <c r="BR466" t="str">
        <f t="shared" si="148"/>
        <v/>
      </c>
      <c r="BS466" t="str">
        <f t="shared" si="149"/>
        <v/>
      </c>
      <c r="BT466" s="76" t="str">
        <f t="shared" si="150"/>
        <v>Voie parentérale</v>
      </c>
      <c r="BU466" t="str">
        <f t="shared" si="151"/>
        <v/>
      </c>
      <c r="CN466">
        <v>465</v>
      </c>
    </row>
    <row r="467" spans="1:92" x14ac:dyDescent="0.3">
      <c r="A467" s="118" t="s">
        <v>3223</v>
      </c>
      <c r="B467" t="s">
        <v>3224</v>
      </c>
      <c r="C467" t="s">
        <v>3225</v>
      </c>
      <c r="D467" s="144" t="s">
        <v>829</v>
      </c>
      <c r="E467" t="s">
        <v>765</v>
      </c>
      <c r="F467" t="s">
        <v>319</v>
      </c>
      <c r="G467" t="s">
        <v>956</v>
      </c>
      <c r="H467" t="s">
        <v>2653</v>
      </c>
      <c r="I467" t="s">
        <v>817</v>
      </c>
      <c r="J467" t="s">
        <v>2081</v>
      </c>
      <c r="K467" t="s">
        <v>2081</v>
      </c>
      <c r="L467" t="s">
        <v>2082</v>
      </c>
      <c r="M467" t="s">
        <v>208</v>
      </c>
      <c r="N467" t="s">
        <v>3135</v>
      </c>
      <c r="O467" t="s">
        <v>771</v>
      </c>
      <c r="P467" t="s">
        <v>772</v>
      </c>
      <c r="Q467" t="s">
        <v>3135</v>
      </c>
      <c r="R467">
        <v>0</v>
      </c>
      <c r="S467">
        <v>0</v>
      </c>
      <c r="T467">
        <v>0</v>
      </c>
      <c r="U467">
        <v>0</v>
      </c>
      <c r="V467">
        <v>0</v>
      </c>
      <c r="W467">
        <v>0</v>
      </c>
      <c r="X467">
        <v>0</v>
      </c>
      <c r="Y467">
        <v>0</v>
      </c>
      <c r="Z467">
        <v>16</v>
      </c>
      <c r="AA467">
        <v>10</v>
      </c>
      <c r="AB467">
        <v>0</v>
      </c>
      <c r="AC467">
        <v>0</v>
      </c>
      <c r="AD467">
        <v>8.1</v>
      </c>
      <c r="AE467">
        <v>5</v>
      </c>
      <c r="AF467">
        <v>32.4</v>
      </c>
      <c r="AG467">
        <v>5</v>
      </c>
      <c r="AH467">
        <v>0</v>
      </c>
      <c r="AI467">
        <v>0</v>
      </c>
      <c r="AY467" t="str">
        <f t="shared" si="133"/>
        <v>DENAGARD SOLUTION BUVABLE</v>
      </c>
      <c r="AZ467" t="str">
        <f>IF(COUNTIF(AY:AY,AY467)=1,AY467,IF(AND(COUNTIF(AY:AY,AY467)&gt;1,COUNTIF(AZ$2:AZ466,AY467)&gt;=1),"",AY467))</f>
        <v>DENAGARD SOLUTION BUVABLE</v>
      </c>
      <c r="BA467">
        <f>IF(AZ467="","",COUNTIFS(AZ$3:AZ$1439,"&lt;"&amp;AZ467,AZ$3:AZ$1439,"&lt;&gt;0")+COUNTIF(AZ$3:AZ467,AZ467)-876)</f>
        <v>174</v>
      </c>
      <c r="BC467">
        <v>465</v>
      </c>
      <c r="BD467" t="str">
        <f t="shared" si="144"/>
        <v>SULTRIVAL TRIMETHOPRIME/SULFADIAZINE 20/92 PORC</v>
      </c>
      <c r="BE467" t="str">
        <f t="shared" si="134"/>
        <v>PM</v>
      </c>
      <c r="BF467" t="str">
        <f t="shared" si="135"/>
        <v>SULFAMIDES</v>
      </c>
      <c r="BG467" t="str">
        <f t="shared" si="136"/>
        <v>TRIMETHOPRIME</v>
      </c>
      <c r="BH467" t="str">
        <f t="shared" si="137"/>
        <v/>
      </c>
      <c r="BI467" t="str">
        <f t="shared" si="138"/>
        <v>sulfadiazine</v>
      </c>
      <c r="BJ467" t="str">
        <f t="shared" si="139"/>
        <v>trimethoprim</v>
      </c>
      <c r="BK467" t="str">
        <f t="shared" si="140"/>
        <v/>
      </c>
      <c r="BL467" t="str">
        <f t="shared" si="145"/>
        <v>Sulfadiazine + Triméthoprime</v>
      </c>
      <c r="BM467" t="str">
        <f t="shared" si="141"/>
        <v>Sulfadiazine</v>
      </c>
      <c r="BN467" t="str">
        <f t="shared" si="142"/>
        <v>Triméthoprime</v>
      </c>
      <c r="BO467" t="str">
        <f t="shared" si="143"/>
        <v/>
      </c>
      <c r="BP467" t="str">
        <f t="shared" si="146"/>
        <v>Sulfamides + Trimethoprime</v>
      </c>
      <c r="BQ467" t="str">
        <f t="shared" si="147"/>
        <v>Sulfamides</v>
      </c>
      <c r="BR467" t="str">
        <f t="shared" si="148"/>
        <v>Trimethoprime</v>
      </c>
      <c r="BS467" t="str">
        <f t="shared" si="149"/>
        <v/>
      </c>
      <c r="BT467" s="76" t="str">
        <f t="shared" si="150"/>
        <v>Prémélanges médicamenteux</v>
      </c>
      <c r="BU467" t="str">
        <f t="shared" si="151"/>
        <v/>
      </c>
      <c r="CN467">
        <v>466</v>
      </c>
    </row>
    <row r="468" spans="1:92" x14ac:dyDescent="0.3">
      <c r="A468" s="118" t="s">
        <v>3223</v>
      </c>
      <c r="B468" t="s">
        <v>3226</v>
      </c>
      <c r="C468" t="s">
        <v>3227</v>
      </c>
      <c r="D468" s="144" t="s">
        <v>955</v>
      </c>
      <c r="E468" t="s">
        <v>765</v>
      </c>
      <c r="F468" t="s">
        <v>319</v>
      </c>
      <c r="G468" t="s">
        <v>956</v>
      </c>
      <c r="H468" t="s">
        <v>2653</v>
      </c>
      <c r="I468" t="s">
        <v>817</v>
      </c>
      <c r="J468" t="s">
        <v>2081</v>
      </c>
      <c r="K468" t="s">
        <v>2081</v>
      </c>
      <c r="L468" t="s">
        <v>2082</v>
      </c>
      <c r="M468" t="s">
        <v>208</v>
      </c>
      <c r="N468" t="s">
        <v>3135</v>
      </c>
      <c r="O468" t="s">
        <v>771</v>
      </c>
      <c r="P468" t="s">
        <v>772</v>
      </c>
      <c r="Q468" t="s">
        <v>3137</v>
      </c>
      <c r="R468">
        <v>0</v>
      </c>
      <c r="S468">
        <v>0</v>
      </c>
      <c r="T468">
        <v>0</v>
      </c>
      <c r="U468">
        <v>0</v>
      </c>
      <c r="V468">
        <v>0</v>
      </c>
      <c r="W468">
        <v>0</v>
      </c>
      <c r="X468">
        <v>0</v>
      </c>
      <c r="Y468">
        <v>0</v>
      </c>
      <c r="Z468">
        <v>16</v>
      </c>
      <c r="AA468">
        <v>10</v>
      </c>
      <c r="AB468">
        <v>0</v>
      </c>
      <c r="AC468">
        <v>0</v>
      </c>
      <c r="AD468">
        <v>8.1</v>
      </c>
      <c r="AE468">
        <v>5</v>
      </c>
      <c r="AF468">
        <v>32.4</v>
      </c>
      <c r="AG468">
        <v>5</v>
      </c>
      <c r="AH468">
        <v>0</v>
      </c>
      <c r="AI468">
        <v>0</v>
      </c>
      <c r="AY468" t="str">
        <f t="shared" si="133"/>
        <v>DENAGARD SOLUTION BUVABLE</v>
      </c>
      <c r="AZ468" t="str">
        <f>IF(COUNTIF(AY:AY,AY468)=1,AY468,IF(AND(COUNTIF(AY:AY,AY468)&gt;1,COUNTIF(AZ$2:AZ467,AY468)&gt;=1),"",AY468))</f>
        <v/>
      </c>
      <c r="BA468" t="str">
        <f>IF(AZ468="","",COUNTIFS(AZ$3:AZ$1439,"&lt;"&amp;AZ468,AZ$3:AZ$1439,"&lt;&gt;0")+COUNTIF(AZ$3:AZ468,AZ468)-876)</f>
        <v/>
      </c>
      <c r="BC468">
        <v>466</v>
      </c>
      <c r="BD468" t="str">
        <f t="shared" si="144"/>
        <v>SUNIX AC POUDRE</v>
      </c>
      <c r="BE468" t="str">
        <f t="shared" si="134"/>
        <v>ORAL</v>
      </c>
      <c r="BF468" t="str">
        <f t="shared" si="135"/>
        <v>SULFAMIDES</v>
      </c>
      <c r="BG468" t="str">
        <f t="shared" si="136"/>
        <v/>
      </c>
      <c r="BH468" t="str">
        <f t="shared" si="137"/>
        <v/>
      </c>
      <c r="BI468" t="str">
        <f t="shared" si="138"/>
        <v>sulfadimethoxine</v>
      </c>
      <c r="BJ468" t="str">
        <f t="shared" si="139"/>
        <v/>
      </c>
      <c r="BK468" t="str">
        <f t="shared" si="140"/>
        <v/>
      </c>
      <c r="BL468" t="str">
        <f t="shared" si="145"/>
        <v>Sulfadiméthoxine</v>
      </c>
      <c r="BM468" t="str">
        <f t="shared" si="141"/>
        <v>Sulfadiméthoxine</v>
      </c>
      <c r="BN468" t="str">
        <f t="shared" si="142"/>
        <v/>
      </c>
      <c r="BO468" t="str">
        <f t="shared" si="143"/>
        <v/>
      </c>
      <c r="BP468" t="str">
        <f t="shared" si="146"/>
        <v>Sulfamides</v>
      </c>
      <c r="BQ468" t="str">
        <f t="shared" si="147"/>
        <v>Sulfamides</v>
      </c>
      <c r="BR468" t="str">
        <f t="shared" si="148"/>
        <v/>
      </c>
      <c r="BS468" t="str">
        <f t="shared" si="149"/>
        <v/>
      </c>
      <c r="BT468" s="76" t="str">
        <f t="shared" si="150"/>
        <v>Voie orale  hors prémélanges médicamenteux</v>
      </c>
      <c r="BU468" t="str">
        <f t="shared" si="151"/>
        <v/>
      </c>
      <c r="CN468">
        <v>467</v>
      </c>
    </row>
    <row r="469" spans="1:92" x14ac:dyDescent="0.3">
      <c r="A469" s="118" t="s">
        <v>3223</v>
      </c>
      <c r="B469" t="s">
        <v>3228</v>
      </c>
      <c r="C469" t="s">
        <v>3229</v>
      </c>
      <c r="D469" s="144" t="s">
        <v>924</v>
      </c>
      <c r="E469" t="s">
        <v>765</v>
      </c>
      <c r="F469" t="s">
        <v>319</v>
      </c>
      <c r="G469" t="s">
        <v>956</v>
      </c>
      <c r="H469" t="s">
        <v>2653</v>
      </c>
      <c r="I469" t="s">
        <v>817</v>
      </c>
      <c r="J469" t="s">
        <v>2081</v>
      </c>
      <c r="K469" t="s">
        <v>2081</v>
      </c>
      <c r="L469" t="s">
        <v>2082</v>
      </c>
      <c r="M469" t="s">
        <v>208</v>
      </c>
      <c r="N469" t="s">
        <v>3135</v>
      </c>
      <c r="O469" t="s">
        <v>771</v>
      </c>
      <c r="P469" t="s">
        <v>772</v>
      </c>
      <c r="Q469" t="s">
        <v>3230</v>
      </c>
      <c r="R469">
        <v>0</v>
      </c>
      <c r="S469">
        <v>0</v>
      </c>
      <c r="T469">
        <v>0</v>
      </c>
      <c r="U469">
        <v>0</v>
      </c>
      <c r="V469">
        <v>0</v>
      </c>
      <c r="W469">
        <v>0</v>
      </c>
      <c r="X469">
        <v>0</v>
      </c>
      <c r="Y469">
        <v>0</v>
      </c>
      <c r="Z469">
        <v>16</v>
      </c>
      <c r="AA469">
        <v>10</v>
      </c>
      <c r="AB469">
        <v>0</v>
      </c>
      <c r="AC469">
        <v>0</v>
      </c>
      <c r="AD469">
        <v>8.1</v>
      </c>
      <c r="AE469">
        <v>5</v>
      </c>
      <c r="AF469">
        <v>32.4</v>
      </c>
      <c r="AG469">
        <v>5</v>
      </c>
      <c r="AH469">
        <v>0</v>
      </c>
      <c r="AI469">
        <v>0</v>
      </c>
      <c r="AY469" t="str">
        <f t="shared" si="133"/>
        <v>DENAGARD SOLUTION BUVABLE</v>
      </c>
      <c r="AZ469" t="str">
        <f>IF(COUNTIF(AY:AY,AY469)=1,AY469,IF(AND(COUNTIF(AY:AY,AY469)&gt;1,COUNTIF(AZ$2:AZ468,AY469)&gt;=1),"",AY469))</f>
        <v/>
      </c>
      <c r="BA469" t="str">
        <f>IF(AZ469="","",COUNTIFS(AZ$3:AZ$1439,"&lt;"&amp;AZ469,AZ$3:AZ$1439,"&lt;&gt;0")+COUNTIF(AZ$3:AZ469,AZ469)-876)</f>
        <v/>
      </c>
      <c r="BC469">
        <v>467</v>
      </c>
      <c r="BD469" t="str">
        <f t="shared" si="144"/>
        <v>SUNIX LIQUIDE</v>
      </c>
      <c r="BE469" t="str">
        <f t="shared" si="134"/>
        <v>ORAL</v>
      </c>
      <c r="BF469" t="str">
        <f t="shared" si="135"/>
        <v>SULFAMIDES</v>
      </c>
      <c r="BG469" t="str">
        <f t="shared" si="136"/>
        <v/>
      </c>
      <c r="BH469" t="str">
        <f t="shared" si="137"/>
        <v/>
      </c>
      <c r="BI469" t="str">
        <f t="shared" si="138"/>
        <v>sulfadimethoxine</v>
      </c>
      <c r="BJ469" t="str">
        <f t="shared" si="139"/>
        <v/>
      </c>
      <c r="BK469" t="str">
        <f t="shared" si="140"/>
        <v/>
      </c>
      <c r="BL469" t="str">
        <f t="shared" si="145"/>
        <v>Sulfadiméthoxine</v>
      </c>
      <c r="BM469" t="str">
        <f t="shared" si="141"/>
        <v>Sulfadiméthoxine</v>
      </c>
      <c r="BN469" t="str">
        <f t="shared" si="142"/>
        <v/>
      </c>
      <c r="BO469" t="str">
        <f t="shared" si="143"/>
        <v/>
      </c>
      <c r="BP469" t="str">
        <f t="shared" si="146"/>
        <v>Sulfamides</v>
      </c>
      <c r="BQ469" t="str">
        <f t="shared" si="147"/>
        <v>Sulfamides</v>
      </c>
      <c r="BR469" t="str">
        <f t="shared" si="148"/>
        <v/>
      </c>
      <c r="BS469" t="str">
        <f t="shared" si="149"/>
        <v/>
      </c>
      <c r="BT469" s="76" t="str">
        <f t="shared" si="150"/>
        <v>Voie orale  hors prémélanges médicamenteux</v>
      </c>
      <c r="BU469" t="str">
        <f t="shared" si="151"/>
        <v/>
      </c>
      <c r="CN469">
        <v>468</v>
      </c>
    </row>
    <row r="470" spans="1:92" x14ac:dyDescent="0.3">
      <c r="A470" s="118" t="s">
        <v>837</v>
      </c>
      <c r="B470" t="s">
        <v>838</v>
      </c>
      <c r="C470" t="s">
        <v>839</v>
      </c>
      <c r="D470" s="144" t="s">
        <v>764</v>
      </c>
      <c r="E470" t="s">
        <v>765</v>
      </c>
      <c r="F470" t="s">
        <v>84</v>
      </c>
      <c r="G470" t="s">
        <v>766</v>
      </c>
      <c r="H470" t="s">
        <v>840</v>
      </c>
      <c r="I470" t="s">
        <v>766</v>
      </c>
      <c r="J470" t="s">
        <v>787</v>
      </c>
      <c r="K470" t="s">
        <v>787</v>
      </c>
      <c r="L470" t="s">
        <v>788</v>
      </c>
      <c r="M470" t="s">
        <v>208</v>
      </c>
      <c r="N470" t="s">
        <v>841</v>
      </c>
      <c r="O470" t="s">
        <v>771</v>
      </c>
      <c r="P470" t="s">
        <v>772</v>
      </c>
      <c r="Q470" t="s">
        <v>842</v>
      </c>
      <c r="R470">
        <v>17</v>
      </c>
      <c r="S470">
        <v>5</v>
      </c>
      <c r="T470">
        <v>17</v>
      </c>
      <c r="U470">
        <v>5</v>
      </c>
      <c r="V470">
        <v>17</v>
      </c>
      <c r="W470">
        <v>5</v>
      </c>
      <c r="X470">
        <v>0</v>
      </c>
      <c r="Y470">
        <v>0</v>
      </c>
      <c r="Z470">
        <v>0</v>
      </c>
      <c r="AA470">
        <v>0</v>
      </c>
      <c r="AB470">
        <v>17</v>
      </c>
      <c r="AC470">
        <v>5</v>
      </c>
      <c r="AD470">
        <v>17</v>
      </c>
      <c r="AE470">
        <v>5</v>
      </c>
      <c r="AF470">
        <v>0</v>
      </c>
      <c r="AG470">
        <v>0</v>
      </c>
      <c r="AH470">
        <v>0</v>
      </c>
      <c r="AI470">
        <v>0</v>
      </c>
      <c r="AY470" t="str">
        <f t="shared" si="133"/>
        <v>DEPOCILLINE</v>
      </c>
      <c r="AZ470" t="str">
        <f>IF(COUNTIF(AY:AY,AY470)=1,AY470,IF(AND(COUNTIF(AY:AY,AY470)&gt;1,COUNTIF(AZ$2:AZ469,AY470)&gt;=1),"",AY470))</f>
        <v>DEPOCILLINE</v>
      </c>
      <c r="BA470">
        <f>IF(AZ470="","",COUNTIFS(AZ$3:AZ$1439,"&lt;"&amp;AZ470,AZ$3:AZ$1439,"&lt;&gt;0")+COUNTIF(AZ$3:AZ470,AZ470)-876)</f>
        <v>175</v>
      </c>
      <c r="BC470">
        <v>468</v>
      </c>
      <c r="BD470" t="str">
        <f t="shared" si="144"/>
        <v>SURAMOX 10 POUDRE ORALE</v>
      </c>
      <c r="BE470" t="str">
        <f t="shared" si="134"/>
        <v>ORAL</v>
      </c>
      <c r="BF470" t="str">
        <f t="shared" si="135"/>
        <v>PENICILLINES</v>
      </c>
      <c r="BG470" t="str">
        <f t="shared" si="136"/>
        <v/>
      </c>
      <c r="BH470" t="str">
        <f t="shared" si="137"/>
        <v/>
      </c>
      <c r="BI470" t="str">
        <f t="shared" si="138"/>
        <v>amoxicillin</v>
      </c>
      <c r="BJ470" t="str">
        <f t="shared" si="139"/>
        <v/>
      </c>
      <c r="BK470" t="str">
        <f t="shared" si="140"/>
        <v/>
      </c>
      <c r="BL470" t="str">
        <f t="shared" si="145"/>
        <v>Amoxicilline</v>
      </c>
      <c r="BM470" t="str">
        <f t="shared" si="141"/>
        <v>Amoxicilline</v>
      </c>
      <c r="BN470" t="str">
        <f t="shared" si="142"/>
        <v/>
      </c>
      <c r="BO470" t="str">
        <f t="shared" si="143"/>
        <v/>
      </c>
      <c r="BP470" t="str">
        <f t="shared" si="146"/>
        <v>Penicillines</v>
      </c>
      <c r="BQ470" t="str">
        <f t="shared" si="147"/>
        <v>Penicillines</v>
      </c>
      <c r="BR470" t="str">
        <f t="shared" si="148"/>
        <v/>
      </c>
      <c r="BS470" t="str">
        <f t="shared" si="149"/>
        <v/>
      </c>
      <c r="BT470" s="76" t="str">
        <f t="shared" si="150"/>
        <v>Voie orale  hors prémélanges médicamenteux</v>
      </c>
      <c r="BU470" t="str">
        <f t="shared" si="151"/>
        <v/>
      </c>
      <c r="CN470">
        <v>469</v>
      </c>
    </row>
    <row r="471" spans="1:92" x14ac:dyDescent="0.3">
      <c r="A471" s="118" t="s">
        <v>3687</v>
      </c>
      <c r="B471" t="s">
        <v>3688</v>
      </c>
      <c r="C471" t="s">
        <v>3120</v>
      </c>
      <c r="D471" s="144" t="s">
        <v>829</v>
      </c>
      <c r="E471" t="s">
        <v>765</v>
      </c>
      <c r="F471" t="s">
        <v>320</v>
      </c>
      <c r="G471" t="s">
        <v>956</v>
      </c>
      <c r="H471" t="s">
        <v>1264</v>
      </c>
      <c r="I471" t="s">
        <v>817</v>
      </c>
      <c r="J471" t="s">
        <v>768</v>
      </c>
      <c r="K471" t="s">
        <v>768</v>
      </c>
      <c r="L471" t="s">
        <v>2121</v>
      </c>
      <c r="M471" t="s">
        <v>208</v>
      </c>
      <c r="N471" t="s">
        <v>864</v>
      </c>
      <c r="O471" t="s">
        <v>771</v>
      </c>
      <c r="P471" t="s">
        <v>772</v>
      </c>
      <c r="Q471" t="s">
        <v>864</v>
      </c>
      <c r="R471">
        <v>0</v>
      </c>
      <c r="S471">
        <v>0</v>
      </c>
      <c r="T471">
        <v>0</v>
      </c>
      <c r="U471">
        <v>0</v>
      </c>
      <c r="V471">
        <v>0</v>
      </c>
      <c r="W471">
        <v>0</v>
      </c>
      <c r="X471">
        <v>0</v>
      </c>
      <c r="Y471">
        <v>0</v>
      </c>
      <c r="Z471">
        <v>0</v>
      </c>
      <c r="AA471">
        <v>0</v>
      </c>
      <c r="AB471">
        <v>0</v>
      </c>
      <c r="AC471">
        <v>0</v>
      </c>
      <c r="AD471">
        <v>10.9</v>
      </c>
      <c r="AE471">
        <v>4</v>
      </c>
      <c r="AF471">
        <v>17.399999999999999</v>
      </c>
      <c r="AG471">
        <v>4</v>
      </c>
      <c r="AH471">
        <v>0</v>
      </c>
      <c r="AI471">
        <v>0</v>
      </c>
      <c r="AY471" t="str">
        <f t="shared" si="133"/>
        <v>DFV DOXIVET 200 MG/ML SOLUTION POUR ADMINISTRATION DANS L'EAU DE BOISSON POUR PORCS ET POULETS</v>
      </c>
      <c r="AZ471" t="str">
        <f>IF(COUNTIF(AY:AY,AY471)=1,AY471,IF(AND(COUNTIF(AY:AY,AY471)&gt;1,COUNTIF(AZ$2:AZ470,AY471)&gt;=1),"",AY471))</f>
        <v>DFV DOXIVET 200 MG/ML SOLUTION POUR ADMINISTRATION DANS L'EAU DE BOISSON POUR PORCS ET POULETS</v>
      </c>
      <c r="BA471">
        <f>IF(AZ471="","",COUNTIFS(AZ$3:AZ$1439,"&lt;"&amp;AZ471,AZ$3:AZ$1439,"&lt;&gt;0")+COUNTIF(AZ$3:AZ471,AZ471)-876)</f>
        <v>176</v>
      </c>
      <c r="BC471">
        <v>469</v>
      </c>
      <c r="BD471" t="str">
        <f t="shared" si="144"/>
        <v>SURAMOX 10 SUSPENSION INJECTABLE</v>
      </c>
      <c r="BE471" t="str">
        <f t="shared" si="134"/>
        <v>INJ</v>
      </c>
      <c r="BF471" t="str">
        <f t="shared" si="135"/>
        <v>PENICILLINES</v>
      </c>
      <c r="BG471" t="str">
        <f t="shared" si="136"/>
        <v/>
      </c>
      <c r="BH471" t="str">
        <f t="shared" si="137"/>
        <v/>
      </c>
      <c r="BI471" t="str">
        <f t="shared" si="138"/>
        <v>amoxicillin</v>
      </c>
      <c r="BJ471" t="str">
        <f t="shared" si="139"/>
        <v/>
      </c>
      <c r="BK471" t="str">
        <f t="shared" si="140"/>
        <v/>
      </c>
      <c r="BL471" t="str">
        <f t="shared" si="145"/>
        <v>Amoxicilline</v>
      </c>
      <c r="BM471" t="str">
        <f t="shared" si="141"/>
        <v>Amoxicilline</v>
      </c>
      <c r="BN471" t="str">
        <f t="shared" si="142"/>
        <v/>
      </c>
      <c r="BO471" t="str">
        <f t="shared" si="143"/>
        <v/>
      </c>
      <c r="BP471" t="str">
        <f t="shared" si="146"/>
        <v>Penicillines</v>
      </c>
      <c r="BQ471" t="str">
        <f t="shared" si="147"/>
        <v>Penicillines</v>
      </c>
      <c r="BR471" t="str">
        <f t="shared" si="148"/>
        <v/>
      </c>
      <c r="BS471" t="str">
        <f t="shared" si="149"/>
        <v/>
      </c>
      <c r="BT471" s="76" t="str">
        <f t="shared" si="150"/>
        <v>Voie parentérale</v>
      </c>
      <c r="BU471" t="str">
        <f t="shared" si="151"/>
        <v/>
      </c>
      <c r="CN471">
        <v>470</v>
      </c>
    </row>
    <row r="472" spans="1:92" x14ac:dyDescent="0.3">
      <c r="A472" s="118" t="s">
        <v>3687</v>
      </c>
      <c r="B472" t="s">
        <v>3689</v>
      </c>
      <c r="C472" t="s">
        <v>2863</v>
      </c>
      <c r="D472" s="144" t="s">
        <v>955</v>
      </c>
      <c r="E472" t="s">
        <v>765</v>
      </c>
      <c r="F472" t="s">
        <v>320</v>
      </c>
      <c r="G472" t="s">
        <v>956</v>
      </c>
      <c r="H472" t="s">
        <v>1264</v>
      </c>
      <c r="I472" t="s">
        <v>817</v>
      </c>
      <c r="J472" t="s">
        <v>768</v>
      </c>
      <c r="K472" t="s">
        <v>768</v>
      </c>
      <c r="L472" t="s">
        <v>2121</v>
      </c>
      <c r="M472" t="s">
        <v>208</v>
      </c>
      <c r="N472" t="s">
        <v>864</v>
      </c>
      <c r="O472" t="s">
        <v>771</v>
      </c>
      <c r="P472" t="s">
        <v>772</v>
      </c>
      <c r="Q472" t="s">
        <v>829</v>
      </c>
      <c r="R472">
        <v>0</v>
      </c>
      <c r="S472">
        <v>0</v>
      </c>
      <c r="T472">
        <v>0</v>
      </c>
      <c r="U472">
        <v>0</v>
      </c>
      <c r="V472">
        <v>0</v>
      </c>
      <c r="W472">
        <v>0</v>
      </c>
      <c r="X472">
        <v>0</v>
      </c>
      <c r="Y472">
        <v>0</v>
      </c>
      <c r="Z472">
        <v>0</v>
      </c>
      <c r="AA472">
        <v>0</v>
      </c>
      <c r="AB472">
        <v>0</v>
      </c>
      <c r="AC472">
        <v>0</v>
      </c>
      <c r="AD472">
        <v>10.9</v>
      </c>
      <c r="AE472">
        <v>4</v>
      </c>
      <c r="AF472">
        <v>17.399999999999999</v>
      </c>
      <c r="AG472">
        <v>4</v>
      </c>
      <c r="AH472">
        <v>0</v>
      </c>
      <c r="AI472">
        <v>0</v>
      </c>
      <c r="AY472" t="str">
        <f t="shared" si="133"/>
        <v>DFV DOXIVET 200 MG/ML SOLUTION POUR ADMINISTRATION DANS L'EAU DE BOISSON POUR PORCS ET POULETS</v>
      </c>
      <c r="AZ472" t="str">
        <f>IF(COUNTIF(AY:AY,AY472)=1,AY472,IF(AND(COUNTIF(AY:AY,AY472)&gt;1,COUNTIF(AZ$2:AZ471,AY472)&gt;=1),"",AY472))</f>
        <v/>
      </c>
      <c r="BA472" t="str">
        <f>IF(AZ472="","",COUNTIFS(AZ$3:AZ$1439,"&lt;"&amp;AZ472,AZ$3:AZ$1439,"&lt;&gt;0")+COUNTIF(AZ$3:AZ472,AZ472)-876)</f>
        <v/>
      </c>
      <c r="BC472">
        <v>470</v>
      </c>
      <c r="BD472" t="str">
        <f t="shared" si="144"/>
        <v>SURAMOX 15 % LA</v>
      </c>
      <c r="BE472" t="str">
        <f t="shared" si="134"/>
        <v>INJ</v>
      </c>
      <c r="BF472" t="str">
        <f t="shared" si="135"/>
        <v>PENICILLINES</v>
      </c>
      <c r="BG472" t="str">
        <f t="shared" si="136"/>
        <v/>
      </c>
      <c r="BH472" t="str">
        <f t="shared" si="137"/>
        <v/>
      </c>
      <c r="BI472" t="str">
        <f t="shared" si="138"/>
        <v>amoxicillin</v>
      </c>
      <c r="BJ472" t="str">
        <f t="shared" si="139"/>
        <v/>
      </c>
      <c r="BK472" t="str">
        <f t="shared" si="140"/>
        <v/>
      </c>
      <c r="BL472" t="str">
        <f t="shared" si="145"/>
        <v>Amoxicilline</v>
      </c>
      <c r="BM472" t="str">
        <f t="shared" si="141"/>
        <v>Amoxicilline</v>
      </c>
      <c r="BN472" t="str">
        <f t="shared" si="142"/>
        <v/>
      </c>
      <c r="BO472" t="str">
        <f t="shared" si="143"/>
        <v/>
      </c>
      <c r="BP472" t="str">
        <f t="shared" si="146"/>
        <v>Penicillines</v>
      </c>
      <c r="BQ472" t="str">
        <f t="shared" si="147"/>
        <v>Penicillines</v>
      </c>
      <c r="BR472" t="str">
        <f t="shared" si="148"/>
        <v/>
      </c>
      <c r="BS472" t="str">
        <f t="shared" si="149"/>
        <v/>
      </c>
      <c r="BT472" s="76" t="str">
        <f t="shared" si="150"/>
        <v>Voie parentérale</v>
      </c>
      <c r="BU472" t="str">
        <f t="shared" si="151"/>
        <v/>
      </c>
      <c r="CN472">
        <v>471</v>
      </c>
    </row>
    <row r="473" spans="1:92" x14ac:dyDescent="0.3">
      <c r="A473" s="118" t="s">
        <v>1592</v>
      </c>
      <c r="B473" t="s">
        <v>1593</v>
      </c>
      <c r="C473" t="s">
        <v>1588</v>
      </c>
      <c r="D473" s="144" t="s">
        <v>829</v>
      </c>
      <c r="E473" t="s">
        <v>830</v>
      </c>
      <c r="F473" t="s">
        <v>321</v>
      </c>
      <c r="G473" t="s">
        <v>831</v>
      </c>
      <c r="H473" t="s">
        <v>1594</v>
      </c>
      <c r="I473" t="s">
        <v>817</v>
      </c>
      <c r="J473" t="s">
        <v>783</v>
      </c>
      <c r="K473" t="s">
        <v>783</v>
      </c>
      <c r="L473" t="s">
        <v>945</v>
      </c>
      <c r="M473" t="s">
        <v>208</v>
      </c>
      <c r="N473" t="s">
        <v>906</v>
      </c>
      <c r="O473" t="s">
        <v>894</v>
      </c>
      <c r="P473" t="s">
        <v>772</v>
      </c>
      <c r="Q473" t="s">
        <v>906</v>
      </c>
      <c r="R473">
        <v>100</v>
      </c>
      <c r="S473">
        <v>5</v>
      </c>
      <c r="T473">
        <v>0</v>
      </c>
      <c r="U473">
        <v>0</v>
      </c>
      <c r="V473">
        <v>0</v>
      </c>
      <c r="W473">
        <v>0</v>
      </c>
      <c r="X473">
        <v>0</v>
      </c>
      <c r="Y473">
        <v>0</v>
      </c>
      <c r="Z473">
        <v>100</v>
      </c>
      <c r="AA473">
        <v>5</v>
      </c>
      <c r="AB473">
        <v>100</v>
      </c>
      <c r="AC473">
        <v>5</v>
      </c>
      <c r="AD473">
        <v>100</v>
      </c>
      <c r="AE473">
        <v>5</v>
      </c>
      <c r="AF473">
        <v>0</v>
      </c>
      <c r="AG473">
        <v>0</v>
      </c>
      <c r="AH473">
        <v>0</v>
      </c>
      <c r="AI473">
        <v>0</v>
      </c>
      <c r="AY473" t="str">
        <f t="shared" si="133"/>
        <v>DHS 50 COOPHAVET</v>
      </c>
      <c r="AZ473" t="str">
        <f>IF(COUNTIF(AY:AY,AY473)=1,AY473,IF(AND(COUNTIF(AY:AY,AY473)&gt;1,COUNTIF(AZ$2:AZ472,AY473)&gt;=1),"",AY473))</f>
        <v>DHS 50 COOPHAVET</v>
      </c>
      <c r="BA473">
        <f>IF(AZ473="","",COUNTIFS(AZ$3:AZ$1439,"&lt;"&amp;AZ473,AZ$3:AZ$1439,"&lt;&gt;0")+COUNTIF(AZ$3:AZ473,AZ473)-876)</f>
        <v>177</v>
      </c>
      <c r="BC473">
        <v>471</v>
      </c>
      <c r="BD473" t="str">
        <f t="shared" si="144"/>
        <v>SURAMOX 50 POUDRE ORALE PORC</v>
      </c>
      <c r="BE473" t="str">
        <f t="shared" si="134"/>
        <v>ORAL</v>
      </c>
      <c r="BF473" t="str">
        <f t="shared" si="135"/>
        <v>PENICILLINES</v>
      </c>
      <c r="BG473" t="str">
        <f t="shared" si="136"/>
        <v/>
      </c>
      <c r="BH473" t="str">
        <f t="shared" si="137"/>
        <v/>
      </c>
      <c r="BI473" t="str">
        <f t="shared" si="138"/>
        <v>amoxicillin</v>
      </c>
      <c r="BJ473" t="str">
        <f t="shared" si="139"/>
        <v/>
      </c>
      <c r="BK473" t="str">
        <f t="shared" si="140"/>
        <v/>
      </c>
      <c r="BL473" t="str">
        <f t="shared" si="145"/>
        <v>Amoxicilline</v>
      </c>
      <c r="BM473" t="str">
        <f t="shared" si="141"/>
        <v>Amoxicilline</v>
      </c>
      <c r="BN473" t="str">
        <f t="shared" si="142"/>
        <v/>
      </c>
      <c r="BO473" t="str">
        <f t="shared" si="143"/>
        <v/>
      </c>
      <c r="BP473" t="str">
        <f t="shared" si="146"/>
        <v>Penicillines</v>
      </c>
      <c r="BQ473" t="str">
        <f t="shared" si="147"/>
        <v>Penicillines</v>
      </c>
      <c r="BR473" t="str">
        <f t="shared" si="148"/>
        <v/>
      </c>
      <c r="BS473" t="str">
        <f t="shared" si="149"/>
        <v/>
      </c>
      <c r="BT473" s="76" t="str">
        <f t="shared" si="150"/>
        <v>Voie orale  hors prémélanges médicamenteux</v>
      </c>
      <c r="BU473" t="str">
        <f t="shared" si="151"/>
        <v/>
      </c>
      <c r="CN473">
        <v>472</v>
      </c>
    </row>
    <row r="474" spans="1:92" x14ac:dyDescent="0.3">
      <c r="A474" s="118" t="s">
        <v>1592</v>
      </c>
      <c r="B474" t="s">
        <v>1595</v>
      </c>
      <c r="C474" t="s">
        <v>828</v>
      </c>
      <c r="D474" s="144" t="s">
        <v>829</v>
      </c>
      <c r="E474" t="s">
        <v>830</v>
      </c>
      <c r="F474" t="s">
        <v>321</v>
      </c>
      <c r="G474" t="s">
        <v>831</v>
      </c>
      <c r="H474" t="s">
        <v>1594</v>
      </c>
      <c r="I474" t="s">
        <v>817</v>
      </c>
      <c r="J474" t="s">
        <v>783</v>
      </c>
      <c r="K474" t="s">
        <v>783</v>
      </c>
      <c r="L474" t="s">
        <v>945</v>
      </c>
      <c r="M474" t="s">
        <v>208</v>
      </c>
      <c r="N474" t="s">
        <v>906</v>
      </c>
      <c r="O474" t="s">
        <v>894</v>
      </c>
      <c r="P474" t="s">
        <v>772</v>
      </c>
      <c r="Q474" t="s">
        <v>906</v>
      </c>
      <c r="R474">
        <v>100</v>
      </c>
      <c r="S474">
        <v>5</v>
      </c>
      <c r="T474">
        <v>0</v>
      </c>
      <c r="U474">
        <v>0</v>
      </c>
      <c r="V474">
        <v>0</v>
      </c>
      <c r="W474">
        <v>0</v>
      </c>
      <c r="X474">
        <v>0</v>
      </c>
      <c r="Y474">
        <v>0</v>
      </c>
      <c r="Z474">
        <v>100</v>
      </c>
      <c r="AA474">
        <v>5</v>
      </c>
      <c r="AB474">
        <v>100</v>
      </c>
      <c r="AC474">
        <v>5</v>
      </c>
      <c r="AD474">
        <v>100</v>
      </c>
      <c r="AE474">
        <v>5</v>
      </c>
      <c r="AF474">
        <v>0</v>
      </c>
      <c r="AG474">
        <v>0</v>
      </c>
      <c r="AH474">
        <v>0</v>
      </c>
      <c r="AI474">
        <v>0</v>
      </c>
      <c r="AY474" t="str">
        <f t="shared" si="133"/>
        <v>DHS 50 COOPHAVET</v>
      </c>
      <c r="AZ474" t="str">
        <f>IF(COUNTIF(AY:AY,AY474)=1,AY474,IF(AND(COUNTIF(AY:AY,AY474)&gt;1,COUNTIF(AZ$2:AZ473,AY474)&gt;=1),"",AY474))</f>
        <v/>
      </c>
      <c r="BA474" t="str">
        <f>IF(AZ474="","",COUNTIFS(AZ$3:AZ$1439,"&lt;"&amp;AZ474,AZ$3:AZ$1439,"&lt;&gt;0")+COUNTIF(AZ$3:AZ474,AZ474)-876)</f>
        <v/>
      </c>
      <c r="BC474">
        <v>472</v>
      </c>
      <c r="BD474" t="str">
        <f t="shared" si="144"/>
        <v>SURAMOX 50 POUDRE ORALE VOLAILLE</v>
      </c>
      <c r="BE474" t="str">
        <f t="shared" si="134"/>
        <v>ORAL</v>
      </c>
      <c r="BF474" t="str">
        <f t="shared" si="135"/>
        <v>PENICILLINES</v>
      </c>
      <c r="BG474" t="str">
        <f t="shared" si="136"/>
        <v/>
      </c>
      <c r="BH474" t="str">
        <f t="shared" si="137"/>
        <v/>
      </c>
      <c r="BI474" t="str">
        <f t="shared" si="138"/>
        <v>amoxicillin</v>
      </c>
      <c r="BJ474" t="str">
        <f t="shared" si="139"/>
        <v/>
      </c>
      <c r="BK474" t="str">
        <f t="shared" si="140"/>
        <v/>
      </c>
      <c r="BL474" t="str">
        <f t="shared" si="145"/>
        <v>Amoxicilline</v>
      </c>
      <c r="BM474" t="str">
        <f t="shared" si="141"/>
        <v>Amoxicilline</v>
      </c>
      <c r="BN474" t="str">
        <f t="shared" si="142"/>
        <v/>
      </c>
      <c r="BO474" t="str">
        <f t="shared" si="143"/>
        <v/>
      </c>
      <c r="BP474" t="str">
        <f t="shared" si="146"/>
        <v>Penicillines</v>
      </c>
      <c r="BQ474" t="str">
        <f t="shared" si="147"/>
        <v>Penicillines</v>
      </c>
      <c r="BR474" t="str">
        <f t="shared" si="148"/>
        <v/>
      </c>
      <c r="BS474" t="str">
        <f t="shared" si="149"/>
        <v/>
      </c>
      <c r="BT474" s="76" t="str">
        <f t="shared" si="150"/>
        <v>Voie orale  hors prémélanges médicamenteux</v>
      </c>
      <c r="BU474" t="str">
        <f t="shared" si="151"/>
        <v/>
      </c>
      <c r="CN474">
        <v>473</v>
      </c>
    </row>
    <row r="475" spans="1:92" x14ac:dyDescent="0.3">
      <c r="A475" s="118" t="s">
        <v>2181</v>
      </c>
      <c r="B475" t="s">
        <v>2182</v>
      </c>
      <c r="C475" t="s">
        <v>2183</v>
      </c>
      <c r="D475" s="144" t="s">
        <v>1494</v>
      </c>
      <c r="E475" t="s">
        <v>813</v>
      </c>
      <c r="F475" t="s">
        <v>2184</v>
      </c>
      <c r="G475" t="s">
        <v>815</v>
      </c>
      <c r="H475" t="s">
        <v>816</v>
      </c>
      <c r="I475" t="s">
        <v>817</v>
      </c>
      <c r="J475" t="s">
        <v>783</v>
      </c>
      <c r="K475" t="s">
        <v>783</v>
      </c>
      <c r="L475" t="s">
        <v>784</v>
      </c>
      <c r="M475" t="s">
        <v>208</v>
      </c>
      <c r="N475" t="s">
        <v>819</v>
      </c>
      <c r="O475" t="s">
        <v>820</v>
      </c>
      <c r="P475" t="s">
        <v>4370</v>
      </c>
      <c r="Q475" t="s">
        <v>4449</v>
      </c>
      <c r="R475">
        <v>0</v>
      </c>
      <c r="S475">
        <v>0</v>
      </c>
      <c r="T475">
        <v>26.2</v>
      </c>
      <c r="U475">
        <v>7</v>
      </c>
      <c r="V475">
        <v>0</v>
      </c>
      <c r="W475">
        <v>0</v>
      </c>
      <c r="X475">
        <v>0</v>
      </c>
      <c r="Y475">
        <v>0</v>
      </c>
      <c r="Z475">
        <v>0</v>
      </c>
      <c r="AA475">
        <v>0</v>
      </c>
      <c r="AB475">
        <v>0</v>
      </c>
      <c r="AC475">
        <v>0</v>
      </c>
      <c r="AD475">
        <v>0</v>
      </c>
      <c r="AE475">
        <v>0</v>
      </c>
      <c r="AF475">
        <v>0</v>
      </c>
      <c r="AG475">
        <v>0</v>
      </c>
      <c r="AH475">
        <v>0</v>
      </c>
      <c r="AI475">
        <v>0</v>
      </c>
      <c r="AY475" t="str">
        <f t="shared" si="133"/>
        <v/>
      </c>
      <c r="AZ475" t="str">
        <f>IF(COUNTIF(AY:AY,AY475)=1,AY475,IF(AND(COUNTIF(AY:AY,AY475)&gt;1,COUNTIF(AZ$2:AZ474,AY475)&gt;=1),"",AY475))</f>
        <v/>
      </c>
      <c r="BA475" t="str">
        <f>IF(AZ475="","",COUNTIFS(AZ$3:AZ$1439,"&lt;"&amp;AZ475,AZ$3:AZ$1439,"&lt;&gt;0")+COUNTIF(AZ$3:AZ475,AZ475)-876)</f>
        <v/>
      </c>
      <c r="BC475">
        <v>473</v>
      </c>
      <c r="BD475" t="str">
        <f t="shared" si="144"/>
        <v>SURAMOX 50 PREMELANGE MEDICAMENTEUX</v>
      </c>
      <c r="BE475" t="str">
        <f t="shared" si="134"/>
        <v>PM</v>
      </c>
      <c r="BF475" t="str">
        <f t="shared" si="135"/>
        <v>PENICILLINES</v>
      </c>
      <c r="BG475" t="str">
        <f t="shared" si="136"/>
        <v/>
      </c>
      <c r="BH475" t="str">
        <f t="shared" si="137"/>
        <v/>
      </c>
      <c r="BI475" t="str">
        <f t="shared" si="138"/>
        <v>amoxicillin</v>
      </c>
      <c r="BJ475" t="str">
        <f t="shared" si="139"/>
        <v/>
      </c>
      <c r="BK475" t="str">
        <f t="shared" si="140"/>
        <v/>
      </c>
      <c r="BL475" t="str">
        <f t="shared" si="145"/>
        <v>Amoxicilline</v>
      </c>
      <c r="BM475" t="str">
        <f t="shared" si="141"/>
        <v>Amoxicilline</v>
      </c>
      <c r="BN475" t="str">
        <f t="shared" si="142"/>
        <v/>
      </c>
      <c r="BO475" t="str">
        <f t="shared" si="143"/>
        <v/>
      </c>
      <c r="BP475" t="str">
        <f t="shared" si="146"/>
        <v>Penicillines</v>
      </c>
      <c r="BQ475" t="str">
        <f t="shared" si="147"/>
        <v>Penicillines</v>
      </c>
      <c r="BR475" t="str">
        <f t="shared" si="148"/>
        <v/>
      </c>
      <c r="BS475" t="str">
        <f t="shared" si="149"/>
        <v/>
      </c>
      <c r="BT475" s="76" t="str">
        <f t="shared" si="150"/>
        <v>Prémélanges médicamenteux</v>
      </c>
      <c r="BU475" t="str">
        <f t="shared" si="151"/>
        <v/>
      </c>
      <c r="CN475">
        <v>474</v>
      </c>
    </row>
    <row r="476" spans="1:92" x14ac:dyDescent="0.3">
      <c r="A476" s="118" t="s">
        <v>4231</v>
      </c>
      <c r="B476" t="s">
        <v>4232</v>
      </c>
      <c r="C476" t="s">
        <v>792</v>
      </c>
      <c r="D476" t="s">
        <v>764</v>
      </c>
      <c r="E476" t="s">
        <v>765</v>
      </c>
      <c r="F476" t="s">
        <v>634</v>
      </c>
      <c r="G476" t="s">
        <v>766</v>
      </c>
      <c r="H476" t="s">
        <v>1342</v>
      </c>
      <c r="I476" t="s">
        <v>766</v>
      </c>
      <c r="J476" t="s">
        <v>928</v>
      </c>
      <c r="K476" t="s">
        <v>862</v>
      </c>
      <c r="L476" t="s">
        <v>938</v>
      </c>
      <c r="M476" t="s">
        <v>208</v>
      </c>
      <c r="N476" t="s">
        <v>864</v>
      </c>
      <c r="O476" t="s">
        <v>771</v>
      </c>
      <c r="P476" t="s">
        <v>772</v>
      </c>
      <c r="Q476" t="s">
        <v>869</v>
      </c>
      <c r="R476">
        <v>12.5</v>
      </c>
      <c r="S476">
        <v>5</v>
      </c>
      <c r="T476">
        <v>25</v>
      </c>
      <c r="U476">
        <v>5</v>
      </c>
      <c r="V476">
        <v>0</v>
      </c>
      <c r="W476">
        <v>0</v>
      </c>
      <c r="X476">
        <v>0</v>
      </c>
      <c r="Y476">
        <v>0</v>
      </c>
      <c r="Z476">
        <v>0</v>
      </c>
      <c r="AA476">
        <v>0</v>
      </c>
      <c r="AB476">
        <v>0</v>
      </c>
      <c r="AC476">
        <v>0</v>
      </c>
      <c r="AD476">
        <v>12.5</v>
      </c>
      <c r="AE476">
        <v>5</v>
      </c>
      <c r="AF476">
        <v>0</v>
      </c>
      <c r="AG476">
        <v>0</v>
      </c>
      <c r="AH476">
        <v>0</v>
      </c>
      <c r="AI476">
        <v>0</v>
      </c>
      <c r="AJ476" t="s">
        <v>930</v>
      </c>
      <c r="AK476" t="s">
        <v>931</v>
      </c>
      <c r="AL476" t="s">
        <v>208</v>
      </c>
      <c r="AM476" t="s">
        <v>932</v>
      </c>
      <c r="AN476" t="s">
        <v>771</v>
      </c>
      <c r="AO476" t="s">
        <v>772</v>
      </c>
      <c r="AP476" t="s">
        <v>934</v>
      </c>
      <c r="AY476" t="str">
        <f t="shared" si="133"/>
        <v>DIATRIM 200 MG/ML + 40 MG/ML  SOLUTION INJECTABLE</v>
      </c>
      <c r="AZ476" t="str">
        <f>IF(COUNTIF(AY:AY,AY476)=1,AY476,IF(AND(COUNTIF(AY:AY,AY476)&gt;1,COUNTIF(AZ$2:AZ475,AY476)&gt;=1),"",AY476))</f>
        <v>DIATRIM 200 MG/ML + 40 MG/ML  SOLUTION INJECTABLE</v>
      </c>
      <c r="BA476">
        <f>IF(AZ476="","",COUNTIFS(AZ$3:AZ$1439,"&lt;"&amp;AZ476,AZ$3:AZ$1439,"&lt;&gt;0")+COUNTIF(AZ$3:AZ476,AZ476)-876)</f>
        <v>178</v>
      </c>
      <c r="BC476">
        <v>474</v>
      </c>
      <c r="BD476" t="str">
        <f t="shared" si="144"/>
        <v>SYNULOX 500 MG OGIVETTES</v>
      </c>
      <c r="BE476" t="str">
        <f t="shared" si="134"/>
        <v>ORAL</v>
      </c>
      <c r="BF476" t="str">
        <f t="shared" si="135"/>
        <v>PENICILLINES</v>
      </c>
      <c r="BG476" t="str">
        <f t="shared" si="136"/>
        <v>ACIDE CLAVULANIQUE</v>
      </c>
      <c r="BH476" t="str">
        <f t="shared" si="137"/>
        <v/>
      </c>
      <c r="BI476" t="str">
        <f t="shared" si="138"/>
        <v>amoxicillin</v>
      </c>
      <c r="BJ476" t="str">
        <f t="shared" si="139"/>
        <v>clavulanic acid</v>
      </c>
      <c r="BK476" t="str">
        <f t="shared" si="140"/>
        <v/>
      </c>
      <c r="BL476" t="str">
        <f t="shared" si="145"/>
        <v>Amoxicilline + Acide clavulanique</v>
      </c>
      <c r="BM476" t="str">
        <f t="shared" si="141"/>
        <v>Amoxicilline</v>
      </c>
      <c r="BN476" t="str">
        <f t="shared" si="142"/>
        <v>Acide clavulanique</v>
      </c>
      <c r="BO476" t="str">
        <f t="shared" si="143"/>
        <v/>
      </c>
      <c r="BP476" t="str">
        <f t="shared" si="146"/>
        <v>Penicillines + Acide clavulanique</v>
      </c>
      <c r="BQ476" t="str">
        <f t="shared" si="147"/>
        <v>Penicillines</v>
      </c>
      <c r="BR476" t="str">
        <f t="shared" si="148"/>
        <v>Acide clavulanique</v>
      </c>
      <c r="BS476" t="str">
        <f t="shared" si="149"/>
        <v/>
      </c>
      <c r="BT476" s="76" t="str">
        <f t="shared" si="150"/>
        <v>Voie orale  hors prémélanges médicamenteux</v>
      </c>
      <c r="BU476" t="str">
        <f t="shared" si="151"/>
        <v/>
      </c>
      <c r="CN476">
        <v>475</v>
      </c>
    </row>
    <row r="477" spans="1:92" x14ac:dyDescent="0.3">
      <c r="A477" s="118" t="s">
        <v>2859</v>
      </c>
      <c r="B477" t="s">
        <v>2860</v>
      </c>
      <c r="C477" t="s">
        <v>2861</v>
      </c>
      <c r="D477" s="144" t="s">
        <v>902</v>
      </c>
      <c r="E477" t="s">
        <v>765</v>
      </c>
      <c r="F477" t="s">
        <v>85</v>
      </c>
      <c r="G477" t="s">
        <v>956</v>
      </c>
      <c r="H477" t="s">
        <v>4456</v>
      </c>
      <c r="I477" t="s">
        <v>817</v>
      </c>
      <c r="J477" t="s">
        <v>928</v>
      </c>
      <c r="K477" t="s">
        <v>862</v>
      </c>
      <c r="L477" t="s">
        <v>938</v>
      </c>
      <c r="M477" t="s">
        <v>208</v>
      </c>
      <c r="N477" t="s">
        <v>2319</v>
      </c>
      <c r="O477" t="s">
        <v>771</v>
      </c>
      <c r="P477" t="s">
        <v>772</v>
      </c>
      <c r="Q477" t="s">
        <v>2328</v>
      </c>
      <c r="R477">
        <v>25</v>
      </c>
      <c r="S477">
        <v>7</v>
      </c>
      <c r="T477">
        <v>0</v>
      </c>
      <c r="U477">
        <v>0</v>
      </c>
      <c r="V477">
        <v>0</v>
      </c>
      <c r="W477">
        <v>0</v>
      </c>
      <c r="X477">
        <v>0</v>
      </c>
      <c r="Y477">
        <v>0</v>
      </c>
      <c r="Z477">
        <v>25</v>
      </c>
      <c r="AA477">
        <v>7</v>
      </c>
      <c r="AB477">
        <v>25</v>
      </c>
      <c r="AC477">
        <v>7</v>
      </c>
      <c r="AD477">
        <v>25</v>
      </c>
      <c r="AE477">
        <v>7</v>
      </c>
      <c r="AF477">
        <v>25</v>
      </c>
      <c r="AG477">
        <v>7</v>
      </c>
      <c r="AH477">
        <v>0</v>
      </c>
      <c r="AI477">
        <v>0</v>
      </c>
      <c r="AJ477" t="s">
        <v>930</v>
      </c>
      <c r="AK477" t="s">
        <v>931</v>
      </c>
      <c r="AL477" t="s">
        <v>208</v>
      </c>
      <c r="AM477" t="s">
        <v>2321</v>
      </c>
      <c r="AN477" t="s">
        <v>771</v>
      </c>
      <c r="AO477" t="s">
        <v>772</v>
      </c>
      <c r="AP477" t="s">
        <v>1272</v>
      </c>
      <c r="AY477" t="str">
        <f t="shared" si="133"/>
        <v>DIAZIPRIM</v>
      </c>
      <c r="AZ477" t="str">
        <f>IF(COUNTIF(AY:AY,AY477)=1,AY477,IF(AND(COUNTIF(AY:AY,AY477)&gt;1,COUNTIF(AZ$2:AZ476,AY477)&gt;=1),"",AY477))</f>
        <v>DIAZIPRIM</v>
      </c>
      <c r="BA477">
        <f>IF(AZ477="","",COUNTIFS(AZ$3:AZ$1439,"&lt;"&amp;AZ477,AZ$3:AZ$1439,"&lt;&gt;0")+COUNTIF(AZ$3:AZ477,AZ477)-876)</f>
        <v>179</v>
      </c>
      <c r="BC477">
        <v>475</v>
      </c>
      <c r="BD477" t="str">
        <f t="shared" si="144"/>
        <v>SYNULOX INTRAMAMMAIRE</v>
      </c>
      <c r="BE477" t="str">
        <f t="shared" si="134"/>
        <v>INTRAMAM</v>
      </c>
      <c r="BF477" t="str">
        <f t="shared" si="135"/>
        <v>PENICILLINES</v>
      </c>
      <c r="BG477" t="str">
        <f t="shared" si="136"/>
        <v>ACIDE CLAVULANIQUE</v>
      </c>
      <c r="BH477" t="str">
        <f t="shared" si="137"/>
        <v/>
      </c>
      <c r="BI477" t="str">
        <f t="shared" si="138"/>
        <v>amoxicillin</v>
      </c>
      <c r="BJ477" t="str">
        <f t="shared" si="139"/>
        <v>clavulanic acid</v>
      </c>
      <c r="BK477" t="str">
        <f t="shared" si="140"/>
        <v/>
      </c>
      <c r="BL477" t="str">
        <f t="shared" si="145"/>
        <v>Amoxicilline + Acide clavulanique</v>
      </c>
      <c r="BM477" t="str">
        <f t="shared" si="141"/>
        <v>Amoxicilline</v>
      </c>
      <c r="BN477" t="str">
        <f t="shared" si="142"/>
        <v>Acide clavulanique</v>
      </c>
      <c r="BO477" t="str">
        <f t="shared" si="143"/>
        <v/>
      </c>
      <c r="BP477" t="str">
        <f t="shared" si="146"/>
        <v>Penicillines + Acide clavulanique</v>
      </c>
      <c r="BQ477" t="str">
        <f t="shared" si="147"/>
        <v>Penicillines</v>
      </c>
      <c r="BR477" t="str">
        <f t="shared" si="148"/>
        <v>Acide clavulanique</v>
      </c>
      <c r="BS477" t="str">
        <f t="shared" si="149"/>
        <v/>
      </c>
      <c r="BT477" s="76" t="str">
        <f t="shared" si="150"/>
        <v>Voie intramammaire</v>
      </c>
      <c r="BU477" t="str">
        <f t="shared" si="151"/>
        <v/>
      </c>
      <c r="CN477">
        <v>476</v>
      </c>
    </row>
    <row r="478" spans="1:92" x14ac:dyDescent="0.3">
      <c r="A478" s="118" t="s">
        <v>2859</v>
      </c>
      <c r="B478" t="s">
        <v>2862</v>
      </c>
      <c r="C478" t="s">
        <v>2863</v>
      </c>
      <c r="D478" s="144" t="s">
        <v>955</v>
      </c>
      <c r="E478" t="s">
        <v>765</v>
      </c>
      <c r="F478" t="s">
        <v>85</v>
      </c>
      <c r="G478" t="s">
        <v>956</v>
      </c>
      <c r="H478" t="s">
        <v>4456</v>
      </c>
      <c r="I478" t="s">
        <v>817</v>
      </c>
      <c r="J478" t="s">
        <v>928</v>
      </c>
      <c r="K478" t="s">
        <v>862</v>
      </c>
      <c r="L478" t="s">
        <v>938</v>
      </c>
      <c r="M478" t="s">
        <v>208</v>
      </c>
      <c r="N478" t="s">
        <v>2319</v>
      </c>
      <c r="O478" t="s">
        <v>771</v>
      </c>
      <c r="P478" t="s">
        <v>772</v>
      </c>
      <c r="Q478" t="s">
        <v>2331</v>
      </c>
      <c r="R478">
        <v>25</v>
      </c>
      <c r="S478">
        <v>7</v>
      </c>
      <c r="T478">
        <v>0</v>
      </c>
      <c r="U478">
        <v>0</v>
      </c>
      <c r="V478">
        <v>0</v>
      </c>
      <c r="W478">
        <v>0</v>
      </c>
      <c r="X478">
        <v>0</v>
      </c>
      <c r="Y478">
        <v>0</v>
      </c>
      <c r="Z478">
        <v>25</v>
      </c>
      <c r="AA478">
        <v>7</v>
      </c>
      <c r="AB478">
        <v>25</v>
      </c>
      <c r="AC478">
        <v>7</v>
      </c>
      <c r="AD478">
        <v>25</v>
      </c>
      <c r="AE478">
        <v>7</v>
      </c>
      <c r="AF478">
        <v>25</v>
      </c>
      <c r="AG478">
        <v>7</v>
      </c>
      <c r="AH478">
        <v>0</v>
      </c>
      <c r="AI478">
        <v>0</v>
      </c>
      <c r="AJ478" t="s">
        <v>930</v>
      </c>
      <c r="AK478" t="s">
        <v>931</v>
      </c>
      <c r="AL478" t="s">
        <v>208</v>
      </c>
      <c r="AM478" t="s">
        <v>2321</v>
      </c>
      <c r="AN478" t="s">
        <v>771</v>
      </c>
      <c r="AO478" t="s">
        <v>772</v>
      </c>
      <c r="AP478" t="s">
        <v>2332</v>
      </c>
      <c r="AY478" t="str">
        <f t="shared" si="133"/>
        <v>DIAZIPRIM</v>
      </c>
      <c r="AZ478" t="str">
        <f>IF(COUNTIF(AY:AY,AY478)=1,AY478,IF(AND(COUNTIF(AY:AY,AY478)&gt;1,COUNTIF(AZ$2:AZ477,AY478)&gt;=1),"",AY478))</f>
        <v/>
      </c>
      <c r="BA478" t="str">
        <f>IF(AZ478="","",COUNTIFS(AZ$3:AZ$1439,"&lt;"&amp;AZ478,AZ$3:AZ$1439,"&lt;&gt;0")+COUNTIF(AZ$3:AZ478,AZ478)-876)</f>
        <v/>
      </c>
      <c r="BC478">
        <v>476</v>
      </c>
      <c r="BD478" t="str">
        <f t="shared" si="144"/>
        <v>SYNULOX SUSPENSION</v>
      </c>
      <c r="BE478" t="str">
        <f t="shared" si="134"/>
        <v>INJ</v>
      </c>
      <c r="BF478" t="str">
        <f t="shared" si="135"/>
        <v>PENICILLINES</v>
      </c>
      <c r="BG478" t="str">
        <f t="shared" si="136"/>
        <v>ACIDE CLAVULANIQUE</v>
      </c>
      <c r="BH478" t="str">
        <f t="shared" si="137"/>
        <v/>
      </c>
      <c r="BI478" t="str">
        <f t="shared" si="138"/>
        <v>amoxicillin</v>
      </c>
      <c r="BJ478" t="str">
        <f t="shared" si="139"/>
        <v>clavulanic acid</v>
      </c>
      <c r="BK478" t="str">
        <f t="shared" si="140"/>
        <v/>
      </c>
      <c r="BL478" t="str">
        <f t="shared" si="145"/>
        <v>Amoxicilline + Acide clavulanique</v>
      </c>
      <c r="BM478" t="str">
        <f t="shared" si="141"/>
        <v>Amoxicilline</v>
      </c>
      <c r="BN478" t="str">
        <f t="shared" si="142"/>
        <v>Acide clavulanique</v>
      </c>
      <c r="BO478" t="str">
        <f t="shared" si="143"/>
        <v/>
      </c>
      <c r="BP478" t="str">
        <f t="shared" si="146"/>
        <v>Penicillines + Acide clavulanique</v>
      </c>
      <c r="BQ478" t="str">
        <f t="shared" si="147"/>
        <v>Penicillines</v>
      </c>
      <c r="BR478" t="str">
        <f t="shared" si="148"/>
        <v>Acide clavulanique</v>
      </c>
      <c r="BS478" t="str">
        <f t="shared" si="149"/>
        <v/>
      </c>
      <c r="BT478" s="76" t="str">
        <f t="shared" si="150"/>
        <v>Voie parentérale</v>
      </c>
      <c r="BU478" t="str">
        <f t="shared" si="151"/>
        <v/>
      </c>
      <c r="CN478">
        <v>477</v>
      </c>
    </row>
    <row r="479" spans="1:92" x14ac:dyDescent="0.3">
      <c r="A479" s="118" t="s">
        <v>2859</v>
      </c>
      <c r="B479" t="s">
        <v>2864</v>
      </c>
      <c r="C479" t="s">
        <v>2865</v>
      </c>
      <c r="D479" s="144" t="s">
        <v>924</v>
      </c>
      <c r="E479" t="s">
        <v>765</v>
      </c>
      <c r="F479" t="s">
        <v>85</v>
      </c>
      <c r="G479" t="s">
        <v>956</v>
      </c>
      <c r="H479" t="s">
        <v>4456</v>
      </c>
      <c r="I479" t="s">
        <v>817</v>
      </c>
      <c r="J479" t="s">
        <v>928</v>
      </c>
      <c r="K479" t="s">
        <v>862</v>
      </c>
      <c r="L479" t="s">
        <v>938</v>
      </c>
      <c r="M479" t="s">
        <v>208</v>
      </c>
      <c r="N479" t="s">
        <v>2319</v>
      </c>
      <c r="O479" t="s">
        <v>771</v>
      </c>
      <c r="P479" t="s">
        <v>772</v>
      </c>
      <c r="Q479" t="s">
        <v>2866</v>
      </c>
      <c r="R479">
        <v>25</v>
      </c>
      <c r="S479">
        <v>7</v>
      </c>
      <c r="T479">
        <v>0</v>
      </c>
      <c r="U479">
        <v>0</v>
      </c>
      <c r="V479">
        <v>0</v>
      </c>
      <c r="W479">
        <v>0</v>
      </c>
      <c r="X479">
        <v>0</v>
      </c>
      <c r="Y479">
        <v>0</v>
      </c>
      <c r="Z479">
        <v>25</v>
      </c>
      <c r="AA479">
        <v>7</v>
      </c>
      <c r="AB479">
        <v>25</v>
      </c>
      <c r="AC479">
        <v>7</v>
      </c>
      <c r="AD479">
        <v>25</v>
      </c>
      <c r="AE479">
        <v>7</v>
      </c>
      <c r="AF479">
        <v>25</v>
      </c>
      <c r="AG479">
        <v>7</v>
      </c>
      <c r="AH479">
        <v>0</v>
      </c>
      <c r="AI479">
        <v>0</v>
      </c>
      <c r="AJ479" t="s">
        <v>930</v>
      </c>
      <c r="AK479" t="s">
        <v>931</v>
      </c>
      <c r="AL479" t="s">
        <v>208</v>
      </c>
      <c r="AM479" t="s">
        <v>2321</v>
      </c>
      <c r="AN479" t="s">
        <v>771</v>
      </c>
      <c r="AO479" t="s">
        <v>772</v>
      </c>
      <c r="AP479" t="s">
        <v>2867</v>
      </c>
      <c r="AY479" t="str">
        <f t="shared" si="133"/>
        <v>DIAZIPRIM</v>
      </c>
      <c r="AZ479" t="str">
        <f>IF(COUNTIF(AY:AY,AY479)=1,AY479,IF(AND(COUNTIF(AY:AY,AY479)&gt;1,COUNTIF(AZ$2:AZ478,AY479)&gt;=1),"",AY479))</f>
        <v/>
      </c>
      <c r="BA479" t="str">
        <f>IF(AZ479="","",COUNTIFS(AZ$3:AZ$1439,"&lt;"&amp;AZ479,AZ$3:AZ$1439,"&lt;&gt;0")+COUNTIF(AZ$3:AZ479,AZ479)-876)</f>
        <v/>
      </c>
      <c r="BC479">
        <v>477</v>
      </c>
      <c r="BD479" t="str">
        <f t="shared" si="144"/>
        <v>T.S.-SOL 20/100 MG/ML SOLUTION POUR ADMINISTRATION DANS L'EAU DE BOISSON POUR PORCS ET POULETS</v>
      </c>
      <c r="BE479" t="str">
        <f t="shared" si="134"/>
        <v>ORAL</v>
      </c>
      <c r="BF479" t="str">
        <f t="shared" si="135"/>
        <v>SULFAMIDES</v>
      </c>
      <c r="BG479" t="str">
        <f t="shared" si="136"/>
        <v>TRIMETHOPRIME</v>
      </c>
      <c r="BH479" t="str">
        <f t="shared" si="137"/>
        <v/>
      </c>
      <c r="BI479" t="str">
        <f t="shared" si="138"/>
        <v>sulfamethoxazole</v>
      </c>
      <c r="BJ479" t="str">
        <f t="shared" si="139"/>
        <v>trimethoprim</v>
      </c>
      <c r="BK479" t="str">
        <f t="shared" si="140"/>
        <v/>
      </c>
      <c r="BL479" t="str">
        <f t="shared" si="145"/>
        <v>Sulfaméthoxazole + Triméthoprime</v>
      </c>
      <c r="BM479" t="str">
        <f t="shared" si="141"/>
        <v>Sulfaméthoxazole</v>
      </c>
      <c r="BN479" t="str">
        <f t="shared" si="142"/>
        <v>Triméthoprime</v>
      </c>
      <c r="BO479" t="str">
        <f t="shared" si="143"/>
        <v/>
      </c>
      <c r="BP479" t="str">
        <f t="shared" si="146"/>
        <v>Sulfamides + Trimethoprime</v>
      </c>
      <c r="BQ479" t="str">
        <f t="shared" si="147"/>
        <v>Sulfamides</v>
      </c>
      <c r="BR479" t="str">
        <f t="shared" si="148"/>
        <v>Trimethoprime</v>
      </c>
      <c r="BS479" t="str">
        <f t="shared" si="149"/>
        <v/>
      </c>
      <c r="BT479" s="76" t="str">
        <f t="shared" si="150"/>
        <v>Voie orale  hors prémélanges médicamenteux</v>
      </c>
      <c r="BU479" t="str">
        <f t="shared" si="151"/>
        <v/>
      </c>
      <c r="CN479">
        <v>478</v>
      </c>
    </row>
    <row r="480" spans="1:92" x14ac:dyDescent="0.3">
      <c r="A480" s="118" t="s">
        <v>1434</v>
      </c>
      <c r="B480" t="s">
        <v>1435</v>
      </c>
      <c r="C480" t="s">
        <v>1436</v>
      </c>
      <c r="D480" s="144" t="s">
        <v>934</v>
      </c>
      <c r="E480" t="s">
        <v>813</v>
      </c>
      <c r="F480" t="s">
        <v>635</v>
      </c>
      <c r="G480" t="s">
        <v>1024</v>
      </c>
      <c r="H480" t="s">
        <v>801</v>
      </c>
      <c r="I480" t="s">
        <v>1013</v>
      </c>
      <c r="J480" t="s">
        <v>787</v>
      </c>
      <c r="K480" t="s">
        <v>787</v>
      </c>
      <c r="L480" t="s">
        <v>1014</v>
      </c>
      <c r="M480" t="s">
        <v>208</v>
      </c>
      <c r="N480" t="s">
        <v>906</v>
      </c>
      <c r="O480" t="s">
        <v>824</v>
      </c>
      <c r="P480" t="s">
        <v>772</v>
      </c>
      <c r="Q480" t="s">
        <v>1033</v>
      </c>
      <c r="R480">
        <v>0</v>
      </c>
      <c r="S480">
        <v>0</v>
      </c>
      <c r="T480">
        <v>0</v>
      </c>
      <c r="U480">
        <v>0</v>
      </c>
      <c r="V480">
        <v>0</v>
      </c>
      <c r="W480">
        <v>0</v>
      </c>
      <c r="X480">
        <v>0</v>
      </c>
      <c r="Y480">
        <v>0</v>
      </c>
      <c r="Z480">
        <v>0</v>
      </c>
      <c r="AA480">
        <v>0</v>
      </c>
      <c r="AB480">
        <v>0</v>
      </c>
      <c r="AC480">
        <v>0</v>
      </c>
      <c r="AD480">
        <v>0</v>
      </c>
      <c r="AE480">
        <v>0</v>
      </c>
      <c r="AF480">
        <v>0</v>
      </c>
      <c r="AG480">
        <v>0</v>
      </c>
      <c r="AH480">
        <v>0</v>
      </c>
      <c r="AI480">
        <v>0</v>
      </c>
      <c r="AY480" t="str">
        <f t="shared" si="133"/>
        <v>DICLOMAM TARISSEMENT</v>
      </c>
      <c r="AZ480" t="str">
        <f>IF(COUNTIF(AY:AY,AY480)=1,AY480,IF(AND(COUNTIF(AY:AY,AY480)&gt;1,COUNTIF(AZ$2:AZ479,AY480)&gt;=1),"",AY480))</f>
        <v>DICLOMAM TARISSEMENT</v>
      </c>
      <c r="BA480">
        <f>IF(AZ480="","",COUNTIFS(AZ$3:AZ$1439,"&lt;"&amp;AZ480,AZ$3:AZ$1439,"&lt;&gt;0")+COUNTIF(AZ$3:AZ480,AZ480)-876)</f>
        <v>180</v>
      </c>
      <c r="BC480">
        <v>478</v>
      </c>
      <c r="BD480" t="str">
        <f t="shared" si="144"/>
        <v>TAF SPRAY 28,5 MG/G SOLUTION POUR PULVERISATION CUTANEE</v>
      </c>
      <c r="BE480" t="str">
        <f t="shared" si="134"/>
        <v>EXTERNE</v>
      </c>
      <c r="BF480" t="str">
        <f t="shared" si="135"/>
        <v>PHENICOLES</v>
      </c>
      <c r="BG480" t="str">
        <f t="shared" si="136"/>
        <v/>
      </c>
      <c r="BH480" t="str">
        <f t="shared" si="137"/>
        <v/>
      </c>
      <c r="BI480" t="str">
        <f t="shared" si="138"/>
        <v>thiamphenicol</v>
      </c>
      <c r="BJ480" t="str">
        <f t="shared" si="139"/>
        <v/>
      </c>
      <c r="BK480" t="str">
        <f t="shared" si="140"/>
        <v/>
      </c>
      <c r="BL480" t="str">
        <f t="shared" si="145"/>
        <v>Thiamphénicol</v>
      </c>
      <c r="BM480" t="str">
        <f t="shared" si="141"/>
        <v>Thiamphénicol</v>
      </c>
      <c r="BN480" t="str">
        <f t="shared" si="142"/>
        <v/>
      </c>
      <c r="BO480" t="str">
        <f t="shared" si="143"/>
        <v/>
      </c>
      <c r="BP480" t="str">
        <f t="shared" si="146"/>
        <v>Phenicoles</v>
      </c>
      <c r="BQ480" t="str">
        <f t="shared" si="147"/>
        <v>Phenicoles</v>
      </c>
      <c r="BR480" t="str">
        <f t="shared" si="148"/>
        <v/>
      </c>
      <c r="BS480" t="str">
        <f t="shared" si="149"/>
        <v/>
      </c>
      <c r="BT480" s="76" t="str">
        <f t="shared" si="150"/>
        <v>Voie externe</v>
      </c>
      <c r="BU480" t="str">
        <f t="shared" si="151"/>
        <v/>
      </c>
      <c r="CN480">
        <v>479</v>
      </c>
    </row>
    <row r="481" spans="1:92" x14ac:dyDescent="0.3">
      <c r="A481" s="118" t="s">
        <v>1434</v>
      </c>
      <c r="B481" t="s">
        <v>1437</v>
      </c>
      <c r="C481" t="s">
        <v>1438</v>
      </c>
      <c r="D481" s="144" t="s">
        <v>1047</v>
      </c>
      <c r="E481" t="s">
        <v>813</v>
      </c>
      <c r="F481" t="s">
        <v>635</v>
      </c>
      <c r="G481" t="s">
        <v>1024</v>
      </c>
      <c r="H481" t="s">
        <v>801</v>
      </c>
      <c r="I481" t="s">
        <v>1013</v>
      </c>
      <c r="J481" t="s">
        <v>787</v>
      </c>
      <c r="K481" t="s">
        <v>787</v>
      </c>
      <c r="L481" t="s">
        <v>1014</v>
      </c>
      <c r="M481" t="s">
        <v>208</v>
      </c>
      <c r="N481" t="s">
        <v>906</v>
      </c>
      <c r="O481" t="s">
        <v>824</v>
      </c>
      <c r="P481" t="s">
        <v>772</v>
      </c>
      <c r="Q481" t="s">
        <v>797</v>
      </c>
      <c r="R481">
        <v>0</v>
      </c>
      <c r="S481">
        <v>0</v>
      </c>
      <c r="T481">
        <v>0</v>
      </c>
      <c r="U481">
        <v>0</v>
      </c>
      <c r="V481">
        <v>0</v>
      </c>
      <c r="W481">
        <v>0</v>
      </c>
      <c r="X481">
        <v>0</v>
      </c>
      <c r="Y481">
        <v>0</v>
      </c>
      <c r="Z481">
        <v>0</v>
      </c>
      <c r="AA481">
        <v>0</v>
      </c>
      <c r="AB481">
        <v>0</v>
      </c>
      <c r="AC481">
        <v>0</v>
      </c>
      <c r="AD481">
        <v>0</v>
      </c>
      <c r="AE481">
        <v>0</v>
      </c>
      <c r="AF481">
        <v>0</v>
      </c>
      <c r="AG481">
        <v>0</v>
      </c>
      <c r="AH481">
        <v>0</v>
      </c>
      <c r="AI481">
        <v>0</v>
      </c>
      <c r="AY481" t="str">
        <f t="shared" si="133"/>
        <v>DICLOMAM TARISSEMENT</v>
      </c>
      <c r="AZ481" t="str">
        <f>IF(COUNTIF(AY:AY,AY481)=1,AY481,IF(AND(COUNTIF(AY:AY,AY481)&gt;1,COUNTIF(AZ$2:AZ480,AY481)&gt;=1),"",AY481))</f>
        <v/>
      </c>
      <c r="BA481" t="str">
        <f>IF(AZ481="","",COUNTIFS(AZ$3:AZ$1439,"&lt;"&amp;AZ481,AZ$3:AZ$1439,"&lt;&gt;0")+COUNTIF(AZ$3:AZ481,AZ481)-876)</f>
        <v/>
      </c>
      <c r="BC481">
        <v>479</v>
      </c>
      <c r="BD481" t="str">
        <f t="shared" si="144"/>
        <v>TARIGERMEL</v>
      </c>
      <c r="BE481" t="str">
        <f t="shared" si="134"/>
        <v>INTRAMAM</v>
      </c>
      <c r="BF481" t="str">
        <f t="shared" si="135"/>
        <v>PENICILLINES</v>
      </c>
      <c r="BG481" t="str">
        <f t="shared" si="136"/>
        <v/>
      </c>
      <c r="BH481" t="str">
        <f t="shared" si="137"/>
        <v/>
      </c>
      <c r="BI481" t="str">
        <f t="shared" si="138"/>
        <v>cloxacillin</v>
      </c>
      <c r="BJ481" t="str">
        <f t="shared" si="139"/>
        <v/>
      </c>
      <c r="BK481" t="str">
        <f t="shared" si="140"/>
        <v/>
      </c>
      <c r="BL481" t="str">
        <f t="shared" si="145"/>
        <v>Cloxacilline</v>
      </c>
      <c r="BM481" t="str">
        <f t="shared" si="141"/>
        <v>Cloxacilline</v>
      </c>
      <c r="BN481" t="str">
        <f t="shared" si="142"/>
        <v/>
      </c>
      <c r="BO481" t="str">
        <f t="shared" si="143"/>
        <v/>
      </c>
      <c r="BP481" t="str">
        <f t="shared" si="146"/>
        <v>Penicillines</v>
      </c>
      <c r="BQ481" t="str">
        <f t="shared" si="147"/>
        <v>Penicillines</v>
      </c>
      <c r="BR481" t="str">
        <f t="shared" si="148"/>
        <v/>
      </c>
      <c r="BS481" t="str">
        <f t="shared" si="149"/>
        <v/>
      </c>
      <c r="BT481" s="76" t="str">
        <f t="shared" si="150"/>
        <v>Voie intramammaire</v>
      </c>
      <c r="BU481" t="str">
        <f t="shared" si="151"/>
        <v/>
      </c>
      <c r="CN481">
        <v>480</v>
      </c>
    </row>
    <row r="482" spans="1:92" x14ac:dyDescent="0.3">
      <c r="A482" s="118" t="s">
        <v>2658</v>
      </c>
      <c r="B482" t="s">
        <v>2659</v>
      </c>
      <c r="C482" t="s">
        <v>2660</v>
      </c>
      <c r="D482" s="144" t="s">
        <v>829</v>
      </c>
      <c r="E482" t="s">
        <v>765</v>
      </c>
      <c r="F482" t="s">
        <v>636</v>
      </c>
      <c r="G482" t="s">
        <v>956</v>
      </c>
      <c r="H482" t="s">
        <v>2661</v>
      </c>
      <c r="I482" t="s">
        <v>817</v>
      </c>
      <c r="J482" t="s">
        <v>2366</v>
      </c>
      <c r="K482" t="s">
        <v>2366</v>
      </c>
      <c r="L482" t="s">
        <v>2662</v>
      </c>
      <c r="M482" t="s">
        <v>208</v>
      </c>
      <c r="N482" t="s">
        <v>764</v>
      </c>
      <c r="O482" t="s">
        <v>771</v>
      </c>
      <c r="P482" t="s">
        <v>772</v>
      </c>
      <c r="Q482" t="s">
        <v>764</v>
      </c>
      <c r="R482">
        <v>0</v>
      </c>
      <c r="S482">
        <v>0</v>
      </c>
      <c r="T482">
        <v>5</v>
      </c>
      <c r="U482">
        <v>5</v>
      </c>
      <c r="V482">
        <v>0</v>
      </c>
      <c r="W482">
        <v>0</v>
      </c>
      <c r="X482">
        <v>0</v>
      </c>
      <c r="Y482">
        <v>0</v>
      </c>
      <c r="Z482">
        <v>0</v>
      </c>
      <c r="AA482">
        <v>0</v>
      </c>
      <c r="AB482">
        <v>0</v>
      </c>
      <c r="AC482">
        <v>0</v>
      </c>
      <c r="AD482">
        <v>0</v>
      </c>
      <c r="AE482">
        <v>0</v>
      </c>
      <c r="AF482">
        <v>10</v>
      </c>
      <c r="AG482">
        <v>5</v>
      </c>
      <c r="AH482">
        <v>0</v>
      </c>
      <c r="AI482">
        <v>0</v>
      </c>
      <c r="AY482" t="str">
        <f t="shared" si="133"/>
        <v>DICURAL 100 MG/ML SOLUTION ORALE POUR POULES ET DINDES</v>
      </c>
      <c r="AZ482" t="str">
        <f>IF(COUNTIF(AY:AY,AY482)=1,AY482,IF(AND(COUNTIF(AY:AY,AY482)&gt;1,COUNTIF(AZ$2:AZ481,AY482)&gt;=1),"",AY482))</f>
        <v>DICURAL 100 MG/ML SOLUTION ORALE POUR POULES ET DINDES</v>
      </c>
      <c r="BA482">
        <f>IF(AZ482="","",COUNTIFS(AZ$3:AZ$1439,"&lt;"&amp;AZ482,AZ$3:AZ$1439,"&lt;&gt;0")+COUNTIF(AZ$3:AZ482,AZ482)-876)</f>
        <v>181</v>
      </c>
      <c r="BC482">
        <v>480</v>
      </c>
      <c r="BD482" t="str">
        <f t="shared" si="144"/>
        <v>TENALINE L.A.</v>
      </c>
      <c r="BE482" t="str">
        <f t="shared" si="134"/>
        <v>INJ</v>
      </c>
      <c r="BF482" t="str">
        <f t="shared" si="135"/>
        <v>TETRACYCLINES</v>
      </c>
      <c r="BG482" t="str">
        <f t="shared" si="136"/>
        <v/>
      </c>
      <c r="BH482" t="str">
        <f t="shared" si="137"/>
        <v/>
      </c>
      <c r="BI482" t="str">
        <f t="shared" si="138"/>
        <v>oxytetracycline</v>
      </c>
      <c r="BJ482" t="str">
        <f t="shared" si="139"/>
        <v/>
      </c>
      <c r="BK482" t="str">
        <f t="shared" si="140"/>
        <v/>
      </c>
      <c r="BL482" t="str">
        <f t="shared" si="145"/>
        <v>Oxytétracycline</v>
      </c>
      <c r="BM482" t="str">
        <f t="shared" si="141"/>
        <v>Oxytétracycline</v>
      </c>
      <c r="BN482" t="str">
        <f t="shared" si="142"/>
        <v/>
      </c>
      <c r="BO482" t="str">
        <f t="shared" si="143"/>
        <v/>
      </c>
      <c r="BP482" t="str">
        <f t="shared" si="146"/>
        <v>Tetracyclines</v>
      </c>
      <c r="BQ482" t="str">
        <f t="shared" si="147"/>
        <v>Tetracyclines</v>
      </c>
      <c r="BR482" t="str">
        <f t="shared" si="148"/>
        <v/>
      </c>
      <c r="BS482" t="str">
        <f t="shared" si="149"/>
        <v/>
      </c>
      <c r="BT482" s="76" t="str">
        <f t="shared" si="150"/>
        <v>Voie parentérale</v>
      </c>
      <c r="BU482" t="str">
        <f t="shared" si="151"/>
        <v/>
      </c>
      <c r="CN482">
        <v>481</v>
      </c>
    </row>
    <row r="483" spans="1:92" x14ac:dyDescent="0.3">
      <c r="A483" s="118" t="s">
        <v>1843</v>
      </c>
      <c r="B483" t="s">
        <v>1844</v>
      </c>
      <c r="C483" t="s">
        <v>1062</v>
      </c>
      <c r="D483" s="144" t="s">
        <v>1063</v>
      </c>
      <c r="E483" t="s">
        <v>830</v>
      </c>
      <c r="F483" t="s">
        <v>322</v>
      </c>
      <c r="G483" t="s">
        <v>1064</v>
      </c>
      <c r="H483" t="s">
        <v>1213</v>
      </c>
      <c r="I483" t="s">
        <v>1066</v>
      </c>
      <c r="J483" t="s">
        <v>928</v>
      </c>
      <c r="K483" t="s">
        <v>862</v>
      </c>
      <c r="L483" t="s">
        <v>938</v>
      </c>
      <c r="M483" t="s">
        <v>208</v>
      </c>
      <c r="N483" t="s">
        <v>896</v>
      </c>
      <c r="O483" t="s">
        <v>894</v>
      </c>
      <c r="P483" t="s">
        <v>772</v>
      </c>
      <c r="Q483" t="s">
        <v>1298</v>
      </c>
      <c r="R483">
        <v>0</v>
      </c>
      <c r="S483">
        <v>0</v>
      </c>
      <c r="T483">
        <v>0</v>
      </c>
      <c r="U483">
        <v>0</v>
      </c>
      <c r="V483">
        <v>0</v>
      </c>
      <c r="W483">
        <v>0</v>
      </c>
      <c r="X483">
        <v>0</v>
      </c>
      <c r="Y483">
        <v>0</v>
      </c>
      <c r="Z483">
        <v>0</v>
      </c>
      <c r="AA483">
        <v>0</v>
      </c>
      <c r="AB483">
        <v>0</v>
      </c>
      <c r="AC483">
        <v>0</v>
      </c>
      <c r="AD483">
        <v>23</v>
      </c>
      <c r="AE483">
        <v>8</v>
      </c>
      <c r="AF483">
        <v>0</v>
      </c>
      <c r="AG483">
        <v>0</v>
      </c>
      <c r="AH483">
        <v>0</v>
      </c>
      <c r="AI483">
        <v>0</v>
      </c>
      <c r="AJ483" t="s">
        <v>930</v>
      </c>
      <c r="AK483" t="s">
        <v>931</v>
      </c>
      <c r="AL483" t="s">
        <v>208</v>
      </c>
      <c r="AM483" t="s">
        <v>869</v>
      </c>
      <c r="AN483" t="s">
        <v>894</v>
      </c>
      <c r="AO483" t="s">
        <v>772</v>
      </c>
      <c r="AP483" t="s">
        <v>906</v>
      </c>
      <c r="AY483" t="str">
        <f t="shared" si="133"/>
        <v>DIMERAL TS PORCIN</v>
      </c>
      <c r="AZ483" t="str">
        <f>IF(COUNTIF(AY:AY,AY483)=1,AY483,IF(AND(COUNTIF(AY:AY,AY483)&gt;1,COUNTIF(AZ$2:AZ482,AY483)&gt;=1),"",AY483))</f>
        <v>DIMERAL TS PORCIN</v>
      </c>
      <c r="BA483">
        <f>IF(AZ483="","",COUNTIFS(AZ$3:AZ$1439,"&lt;"&amp;AZ483,AZ$3:AZ$1439,"&lt;&gt;0")+COUNTIF(AZ$3:AZ483,AZ483)-876)</f>
        <v>182</v>
      </c>
      <c r="BC483">
        <v>481</v>
      </c>
      <c r="BD483" t="str">
        <f t="shared" si="144"/>
        <v>TENOTRYL 10 % SOLUTION BUVABLE</v>
      </c>
      <c r="BE483" t="str">
        <f t="shared" si="134"/>
        <v>ORAL</v>
      </c>
      <c r="BF483" t="str">
        <f t="shared" si="135"/>
        <v>FLUOROQUINOLONES</v>
      </c>
      <c r="BG483" t="str">
        <f t="shared" si="136"/>
        <v/>
      </c>
      <c r="BH483" t="str">
        <f t="shared" si="137"/>
        <v/>
      </c>
      <c r="BI483" t="str">
        <f t="shared" si="138"/>
        <v>enrofloxacin</v>
      </c>
      <c r="BJ483" t="str">
        <f t="shared" si="139"/>
        <v/>
      </c>
      <c r="BK483" t="str">
        <f t="shared" si="140"/>
        <v/>
      </c>
      <c r="BL483" t="str">
        <f t="shared" si="145"/>
        <v>Enrofloxacine</v>
      </c>
      <c r="BM483" t="str">
        <f t="shared" si="141"/>
        <v>Enrofloxacine</v>
      </c>
      <c r="BN483" t="str">
        <f t="shared" si="142"/>
        <v/>
      </c>
      <c r="BO483" t="str">
        <f t="shared" si="143"/>
        <v/>
      </c>
      <c r="BP483" t="str">
        <f t="shared" si="146"/>
        <v>Fluoroquinolones</v>
      </c>
      <c r="BQ483" t="str">
        <f t="shared" si="147"/>
        <v>Fluoroquinolones</v>
      </c>
      <c r="BR483" t="str">
        <f t="shared" si="148"/>
        <v/>
      </c>
      <c r="BS483" t="str">
        <f t="shared" si="149"/>
        <v/>
      </c>
      <c r="BT483" s="76" t="str">
        <f t="shared" si="150"/>
        <v>Voie orale  hors prémélanges médicamenteux</v>
      </c>
      <c r="BU483" t="str">
        <f t="shared" si="151"/>
        <v>x</v>
      </c>
      <c r="CN483">
        <v>482</v>
      </c>
    </row>
    <row r="484" spans="1:92" x14ac:dyDescent="0.3">
      <c r="A484" s="118" t="s">
        <v>952</v>
      </c>
      <c r="B484" t="s">
        <v>953</v>
      </c>
      <c r="C484" t="s">
        <v>954</v>
      </c>
      <c r="D484" s="144" t="s">
        <v>955</v>
      </c>
      <c r="E484" t="s">
        <v>765</v>
      </c>
      <c r="F484" t="s">
        <v>86</v>
      </c>
      <c r="G484" t="s">
        <v>956</v>
      </c>
      <c r="H484" t="s">
        <v>957</v>
      </c>
      <c r="I484" t="s">
        <v>817</v>
      </c>
      <c r="J484" t="s">
        <v>928</v>
      </c>
      <c r="K484" t="s">
        <v>862</v>
      </c>
      <c r="L484" t="s">
        <v>938</v>
      </c>
      <c r="M484" t="s">
        <v>208</v>
      </c>
      <c r="N484" t="s">
        <v>903</v>
      </c>
      <c r="O484" t="s">
        <v>771</v>
      </c>
      <c r="P484" t="s">
        <v>772</v>
      </c>
      <c r="Q484" t="s">
        <v>958</v>
      </c>
      <c r="R484">
        <v>0</v>
      </c>
      <c r="S484">
        <v>0</v>
      </c>
      <c r="T484">
        <v>0</v>
      </c>
      <c r="U484">
        <v>0</v>
      </c>
      <c r="V484">
        <v>0</v>
      </c>
      <c r="W484">
        <v>0</v>
      </c>
      <c r="X484">
        <v>0</v>
      </c>
      <c r="Y484">
        <v>0</v>
      </c>
      <c r="Z484">
        <v>36.799999999999997</v>
      </c>
      <c r="AA484">
        <v>5</v>
      </c>
      <c r="AB484">
        <v>36.799999999999997</v>
      </c>
      <c r="AC484">
        <v>5</v>
      </c>
      <c r="AD484">
        <v>0</v>
      </c>
      <c r="AE484">
        <v>0</v>
      </c>
      <c r="AF484">
        <v>36.799999999999997</v>
      </c>
      <c r="AG484">
        <v>5</v>
      </c>
      <c r="AH484">
        <v>0</v>
      </c>
      <c r="AI484">
        <v>0</v>
      </c>
      <c r="AJ484" t="s">
        <v>930</v>
      </c>
      <c r="AK484" t="s">
        <v>931</v>
      </c>
      <c r="AL484" t="s">
        <v>208</v>
      </c>
      <c r="AM484" t="s">
        <v>932</v>
      </c>
      <c r="AN484" t="s">
        <v>771</v>
      </c>
      <c r="AO484" t="s">
        <v>772</v>
      </c>
      <c r="AP484" t="s">
        <v>864</v>
      </c>
      <c r="AY484" t="str">
        <f t="shared" si="133"/>
        <v>DIPROXINE</v>
      </c>
      <c r="AZ484" t="str">
        <f>IF(COUNTIF(AY:AY,AY484)=1,AY484,IF(AND(COUNTIF(AY:AY,AY484)&gt;1,COUNTIF(AZ$2:AZ483,AY484)&gt;=1),"",AY484))</f>
        <v>DIPROXINE</v>
      </c>
      <c r="BA484">
        <f>IF(AZ484="","",COUNTIFS(AZ$3:AZ$1439,"&lt;"&amp;AZ484,AZ$3:AZ$1439,"&lt;&gt;0")+COUNTIF(AZ$3:AZ484,AZ484)-876)</f>
        <v>183</v>
      </c>
      <c r="BC484">
        <v>482</v>
      </c>
      <c r="BD484" t="str">
        <f t="shared" si="144"/>
        <v>TERRALON 20 % LA</v>
      </c>
      <c r="BE484" t="str">
        <f t="shared" si="134"/>
        <v>INJ</v>
      </c>
      <c r="BF484" t="str">
        <f t="shared" si="135"/>
        <v>TETRACYCLINES</v>
      </c>
      <c r="BG484" t="str">
        <f t="shared" si="136"/>
        <v/>
      </c>
      <c r="BH484" t="str">
        <f t="shared" si="137"/>
        <v/>
      </c>
      <c r="BI484" t="str">
        <f t="shared" si="138"/>
        <v>oxytetracycline</v>
      </c>
      <c r="BJ484" t="str">
        <f t="shared" si="139"/>
        <v/>
      </c>
      <c r="BK484" t="str">
        <f t="shared" si="140"/>
        <v/>
      </c>
      <c r="BL484" t="str">
        <f t="shared" si="145"/>
        <v>Oxytétracycline</v>
      </c>
      <c r="BM484" t="str">
        <f t="shared" si="141"/>
        <v>Oxytétracycline</v>
      </c>
      <c r="BN484" t="str">
        <f t="shared" si="142"/>
        <v/>
      </c>
      <c r="BO484" t="str">
        <f t="shared" si="143"/>
        <v/>
      </c>
      <c r="BP484" t="str">
        <f t="shared" si="146"/>
        <v>Tetracyclines</v>
      </c>
      <c r="BQ484" t="str">
        <f t="shared" si="147"/>
        <v>Tetracyclines</v>
      </c>
      <c r="BR484" t="str">
        <f t="shared" si="148"/>
        <v/>
      </c>
      <c r="BS484" t="str">
        <f t="shared" si="149"/>
        <v/>
      </c>
      <c r="BT484" s="76" t="str">
        <f t="shared" si="150"/>
        <v>Voie parentérale</v>
      </c>
      <c r="BU484" t="str">
        <f t="shared" si="151"/>
        <v/>
      </c>
      <c r="CN484">
        <v>483</v>
      </c>
    </row>
    <row r="485" spans="1:92" x14ac:dyDescent="0.3">
      <c r="A485" s="118" t="s">
        <v>4174</v>
      </c>
      <c r="B485" t="s">
        <v>4175</v>
      </c>
      <c r="C485" t="s">
        <v>1835</v>
      </c>
      <c r="D485" s="144" t="s">
        <v>829</v>
      </c>
      <c r="E485" t="s">
        <v>830</v>
      </c>
      <c r="F485" t="s">
        <v>323</v>
      </c>
      <c r="G485" t="s">
        <v>831</v>
      </c>
      <c r="H485" t="s">
        <v>1264</v>
      </c>
      <c r="I485" t="s">
        <v>817</v>
      </c>
      <c r="J485" t="s">
        <v>1269</v>
      </c>
      <c r="K485" t="s">
        <v>1269</v>
      </c>
      <c r="L485" t="s">
        <v>1270</v>
      </c>
      <c r="M485" t="s">
        <v>208</v>
      </c>
      <c r="N485" t="s">
        <v>939</v>
      </c>
      <c r="O485" t="s">
        <v>894</v>
      </c>
      <c r="P485" t="s">
        <v>772</v>
      </c>
      <c r="Q485" t="s">
        <v>939</v>
      </c>
      <c r="R485">
        <v>0</v>
      </c>
      <c r="S485">
        <v>0</v>
      </c>
      <c r="T485">
        <v>0</v>
      </c>
      <c r="U485">
        <v>0</v>
      </c>
      <c r="V485">
        <v>0</v>
      </c>
      <c r="W485">
        <v>0</v>
      </c>
      <c r="X485">
        <v>0</v>
      </c>
      <c r="Y485">
        <v>0</v>
      </c>
      <c r="Z485">
        <v>0</v>
      </c>
      <c r="AA485">
        <v>0</v>
      </c>
      <c r="AB485">
        <v>10</v>
      </c>
      <c r="AC485">
        <v>21</v>
      </c>
      <c r="AD485">
        <v>10</v>
      </c>
      <c r="AE485">
        <v>21</v>
      </c>
      <c r="AF485">
        <v>5</v>
      </c>
      <c r="AG485">
        <v>7</v>
      </c>
      <c r="AH485">
        <v>0</v>
      </c>
      <c r="AI485">
        <v>0</v>
      </c>
      <c r="AY485" t="str">
        <f t="shared" si="133"/>
        <v>DOPHALIN 400 MG/G POUDRE POUR ADMINISTRATION DANS L'EAU DE BOISSON</v>
      </c>
      <c r="AZ485" t="str">
        <f>IF(COUNTIF(AY:AY,AY485)=1,AY485,IF(AND(COUNTIF(AY:AY,AY485)&gt;1,COUNTIF(AZ$2:AZ484,AY485)&gt;=1),"",AY485))</f>
        <v>DOPHALIN 400 MG/G POUDRE POUR ADMINISTRATION DANS L'EAU DE BOISSON</v>
      </c>
      <c r="BA485">
        <f>IF(AZ485="","",COUNTIFS(AZ$3:AZ$1439,"&lt;"&amp;AZ485,AZ$3:AZ$1439,"&lt;&gt;0")+COUNTIF(AZ$3:AZ485,AZ485)-876)</f>
        <v>184</v>
      </c>
      <c r="BC485">
        <v>483</v>
      </c>
      <c r="BD485" t="str">
        <f t="shared" si="144"/>
        <v>TERRAMYCINE LONGUE ACTION</v>
      </c>
      <c r="BE485" t="str">
        <f t="shared" si="134"/>
        <v>INJ</v>
      </c>
      <c r="BF485" t="str">
        <f t="shared" si="135"/>
        <v>TETRACYCLINES</v>
      </c>
      <c r="BG485" t="str">
        <f t="shared" si="136"/>
        <v/>
      </c>
      <c r="BH485" t="str">
        <f t="shared" si="137"/>
        <v/>
      </c>
      <c r="BI485" t="str">
        <f t="shared" si="138"/>
        <v>oxytetracycline</v>
      </c>
      <c r="BJ485" t="str">
        <f t="shared" si="139"/>
        <v/>
      </c>
      <c r="BK485" t="str">
        <f t="shared" si="140"/>
        <v/>
      </c>
      <c r="BL485" t="str">
        <f t="shared" si="145"/>
        <v>Oxytétracycline</v>
      </c>
      <c r="BM485" t="str">
        <f t="shared" si="141"/>
        <v>Oxytétracycline</v>
      </c>
      <c r="BN485" t="str">
        <f t="shared" si="142"/>
        <v/>
      </c>
      <c r="BO485" t="str">
        <f t="shared" si="143"/>
        <v/>
      </c>
      <c r="BP485" t="str">
        <f t="shared" si="146"/>
        <v>Tetracyclines</v>
      </c>
      <c r="BQ485" t="str">
        <f t="shared" si="147"/>
        <v>Tetracyclines</v>
      </c>
      <c r="BR485" t="str">
        <f t="shared" si="148"/>
        <v/>
      </c>
      <c r="BS485" t="str">
        <f t="shared" si="149"/>
        <v/>
      </c>
      <c r="BT485" s="76" t="str">
        <f t="shared" si="150"/>
        <v>Voie parentérale</v>
      </c>
      <c r="BU485" t="str">
        <f t="shared" si="151"/>
        <v/>
      </c>
      <c r="CN485">
        <v>484</v>
      </c>
    </row>
    <row r="486" spans="1:92" x14ac:dyDescent="0.3">
      <c r="A486" s="118" t="s">
        <v>4582</v>
      </c>
      <c r="B486" t="s">
        <v>4583</v>
      </c>
      <c r="C486" t="s">
        <v>4584</v>
      </c>
      <c r="D486" s="144" t="s">
        <v>864</v>
      </c>
      <c r="E486" t="s">
        <v>830</v>
      </c>
      <c r="F486" t="s">
        <v>4585</v>
      </c>
      <c r="G486" t="s">
        <v>831</v>
      </c>
      <c r="H486" t="s">
        <v>4586</v>
      </c>
      <c r="I486" t="s">
        <v>817</v>
      </c>
      <c r="J486" t="s">
        <v>768</v>
      </c>
      <c r="K486" t="s">
        <v>768</v>
      </c>
      <c r="L486" t="s">
        <v>2121</v>
      </c>
      <c r="M486" t="s">
        <v>208</v>
      </c>
      <c r="N486" t="s">
        <v>906</v>
      </c>
      <c r="O486" t="s">
        <v>894</v>
      </c>
      <c r="P486" t="s">
        <v>772</v>
      </c>
      <c r="Q486" t="s">
        <v>764</v>
      </c>
      <c r="R486">
        <v>10</v>
      </c>
      <c r="S486">
        <v>5</v>
      </c>
      <c r="T486">
        <v>0</v>
      </c>
      <c r="U486">
        <v>0</v>
      </c>
      <c r="V486">
        <v>0</v>
      </c>
      <c r="W486">
        <v>0</v>
      </c>
      <c r="X486">
        <v>0</v>
      </c>
      <c r="Y486">
        <v>0</v>
      </c>
      <c r="Z486">
        <v>0</v>
      </c>
      <c r="AA486">
        <v>0</v>
      </c>
      <c r="AB486">
        <v>0</v>
      </c>
      <c r="AC486">
        <v>0</v>
      </c>
      <c r="AD486">
        <v>10</v>
      </c>
      <c r="AE486">
        <v>5</v>
      </c>
      <c r="AF486">
        <v>10</v>
      </c>
      <c r="AG486">
        <v>5</v>
      </c>
      <c r="AH486">
        <v>0</v>
      </c>
      <c r="AI486">
        <v>0</v>
      </c>
      <c r="AY486" t="str">
        <f t="shared" si="133"/>
        <v>DOXIPULVIS 500 MG/G POUDRE POUR ADMINISTRATION DANS  L’EAU DE BOISSON / LAIT DE REMPLACEMENT</v>
      </c>
      <c r="AZ486" t="str">
        <f>IF(COUNTIF(AY:AY,AY486)=1,AY486,IF(AND(COUNTIF(AY:AY,AY486)&gt;1,COUNTIF(AZ$2:AZ485,AY486)&gt;=1),"",AY486))</f>
        <v>DOXIPULVIS 500 MG/G POUDRE POUR ADMINISTRATION DANS  L’EAU DE BOISSON / LAIT DE REMPLACEMENT</v>
      </c>
      <c r="BA486">
        <f>IF(AZ486="","",COUNTIFS(AZ$3:AZ$1439,"&lt;"&amp;AZ486,AZ$3:AZ$1439,"&lt;&gt;0")+COUNTIF(AZ$3:AZ486,AZ486)-876)</f>
        <v>185</v>
      </c>
      <c r="BC486">
        <v>484</v>
      </c>
      <c r="BD486" t="str">
        <f t="shared" si="144"/>
        <v>TERRAMYCINE SOLUTION INJECTABLE</v>
      </c>
      <c r="BE486" t="str">
        <f t="shared" si="134"/>
        <v>INJ</v>
      </c>
      <c r="BF486" t="str">
        <f t="shared" si="135"/>
        <v>TETRACYCLINES</v>
      </c>
      <c r="BG486" t="str">
        <f t="shared" si="136"/>
        <v/>
      </c>
      <c r="BH486" t="str">
        <f t="shared" si="137"/>
        <v/>
      </c>
      <c r="BI486" t="str">
        <f t="shared" si="138"/>
        <v>oxytetracycline</v>
      </c>
      <c r="BJ486" t="str">
        <f t="shared" si="139"/>
        <v/>
      </c>
      <c r="BK486" t="str">
        <f t="shared" si="140"/>
        <v/>
      </c>
      <c r="BL486" t="str">
        <f t="shared" si="145"/>
        <v>Oxytétracycline</v>
      </c>
      <c r="BM486" t="str">
        <f t="shared" si="141"/>
        <v>Oxytétracycline</v>
      </c>
      <c r="BN486" t="str">
        <f t="shared" si="142"/>
        <v/>
      </c>
      <c r="BO486" t="str">
        <f t="shared" si="143"/>
        <v/>
      </c>
      <c r="BP486" t="str">
        <f t="shared" si="146"/>
        <v>Tetracyclines</v>
      </c>
      <c r="BQ486" t="str">
        <f t="shared" si="147"/>
        <v>Tetracyclines</v>
      </c>
      <c r="BR486" t="str">
        <f t="shared" si="148"/>
        <v/>
      </c>
      <c r="BS486" t="str">
        <f t="shared" si="149"/>
        <v/>
      </c>
      <c r="BT486" s="76" t="str">
        <f t="shared" si="150"/>
        <v>Voie parentérale</v>
      </c>
      <c r="BU486" t="str">
        <f t="shared" si="151"/>
        <v/>
      </c>
      <c r="CN486">
        <v>485</v>
      </c>
    </row>
    <row r="487" spans="1:92" x14ac:dyDescent="0.3">
      <c r="A487" s="118" t="s">
        <v>4582</v>
      </c>
      <c r="B487" t="s">
        <v>4587</v>
      </c>
      <c r="C487" t="s">
        <v>1835</v>
      </c>
      <c r="D487" s="144" t="s">
        <v>829</v>
      </c>
      <c r="E487" t="s">
        <v>830</v>
      </c>
      <c r="F487" t="s">
        <v>4585</v>
      </c>
      <c r="G487" t="s">
        <v>831</v>
      </c>
      <c r="H487" t="s">
        <v>4586</v>
      </c>
      <c r="I487" t="s">
        <v>817</v>
      </c>
      <c r="J487" t="s">
        <v>768</v>
      </c>
      <c r="K487" t="s">
        <v>768</v>
      </c>
      <c r="L487" t="s">
        <v>2121</v>
      </c>
      <c r="M487" t="s">
        <v>208</v>
      </c>
      <c r="N487" t="s">
        <v>906</v>
      </c>
      <c r="O487" t="s">
        <v>894</v>
      </c>
      <c r="P487" t="s">
        <v>772</v>
      </c>
      <c r="Q487" t="s">
        <v>906</v>
      </c>
      <c r="R487">
        <v>10</v>
      </c>
      <c r="S487">
        <v>5</v>
      </c>
      <c r="T487">
        <v>0</v>
      </c>
      <c r="U487">
        <v>0</v>
      </c>
      <c r="V487">
        <v>0</v>
      </c>
      <c r="W487">
        <v>0</v>
      </c>
      <c r="X487">
        <v>0</v>
      </c>
      <c r="Y487">
        <v>0</v>
      </c>
      <c r="Z487">
        <v>0</v>
      </c>
      <c r="AA487">
        <v>0</v>
      </c>
      <c r="AB487">
        <v>0</v>
      </c>
      <c r="AC487">
        <v>0</v>
      </c>
      <c r="AD487">
        <v>10</v>
      </c>
      <c r="AE487">
        <v>5</v>
      </c>
      <c r="AF487">
        <v>10</v>
      </c>
      <c r="AG487">
        <v>5</v>
      </c>
      <c r="AH487">
        <v>0</v>
      </c>
      <c r="AI487">
        <v>0</v>
      </c>
      <c r="AY487" t="str">
        <f t="shared" si="133"/>
        <v>DOXIPULVIS 500 MG/G POUDRE POUR ADMINISTRATION DANS  L’EAU DE BOISSON / LAIT DE REMPLACEMENT</v>
      </c>
      <c r="AZ487" t="str">
        <f>IF(COUNTIF(AY:AY,AY487)=1,AY487,IF(AND(COUNTIF(AY:AY,AY487)&gt;1,COUNTIF(AZ$2:AZ486,AY487)&gt;=1),"",AY487))</f>
        <v/>
      </c>
      <c r="BA487" t="str">
        <f>IF(AZ487="","",COUNTIFS(AZ$3:AZ$1439,"&lt;"&amp;AZ487,AZ$3:AZ$1439,"&lt;&gt;0")+COUNTIF(AZ$3:AZ487,AZ487)-876)</f>
        <v/>
      </c>
      <c r="BC487">
        <v>485</v>
      </c>
      <c r="BD487" t="str">
        <f t="shared" si="144"/>
        <v>TETRACYCLINE 50 COOPHAVET</v>
      </c>
      <c r="BE487" t="str">
        <f t="shared" si="134"/>
        <v>ORAL</v>
      </c>
      <c r="BF487" t="str">
        <f t="shared" si="135"/>
        <v>TETRACYCLINES</v>
      </c>
      <c r="BG487" t="str">
        <f t="shared" si="136"/>
        <v/>
      </c>
      <c r="BH487" t="str">
        <f t="shared" si="137"/>
        <v/>
      </c>
      <c r="BI487" t="str">
        <f t="shared" si="138"/>
        <v>tetracycline</v>
      </c>
      <c r="BJ487" t="str">
        <f t="shared" si="139"/>
        <v/>
      </c>
      <c r="BK487" t="str">
        <f t="shared" si="140"/>
        <v/>
      </c>
      <c r="BL487" t="str">
        <f t="shared" si="145"/>
        <v>Tétracycline</v>
      </c>
      <c r="BM487" t="str">
        <f t="shared" si="141"/>
        <v>Tétracycline</v>
      </c>
      <c r="BN487" t="str">
        <f t="shared" si="142"/>
        <v/>
      </c>
      <c r="BO487" t="str">
        <f t="shared" si="143"/>
        <v/>
      </c>
      <c r="BP487" t="str">
        <f t="shared" si="146"/>
        <v>Tetracyclines</v>
      </c>
      <c r="BQ487" t="str">
        <f t="shared" si="147"/>
        <v>Tetracyclines</v>
      </c>
      <c r="BR487" t="str">
        <f t="shared" si="148"/>
        <v/>
      </c>
      <c r="BS487" t="str">
        <f t="shared" si="149"/>
        <v/>
      </c>
      <c r="BT487" s="76" t="str">
        <f t="shared" si="150"/>
        <v>Voie orale  hors prémélanges médicamenteux</v>
      </c>
      <c r="BU487" t="str">
        <f t="shared" si="151"/>
        <v/>
      </c>
      <c r="CN487">
        <v>486</v>
      </c>
    </row>
    <row r="488" spans="1:92" x14ac:dyDescent="0.3">
      <c r="A488" s="118" t="s">
        <v>4055</v>
      </c>
      <c r="B488" t="s">
        <v>4056</v>
      </c>
      <c r="C488" t="s">
        <v>1835</v>
      </c>
      <c r="D488" s="144" t="s">
        <v>829</v>
      </c>
      <c r="E488" t="s">
        <v>830</v>
      </c>
      <c r="F488" t="s">
        <v>324</v>
      </c>
      <c r="G488" t="s">
        <v>831</v>
      </c>
      <c r="H488" t="s">
        <v>4057</v>
      </c>
      <c r="I488" t="s">
        <v>817</v>
      </c>
      <c r="J488" t="s">
        <v>768</v>
      </c>
      <c r="K488" t="s">
        <v>768</v>
      </c>
      <c r="L488" t="s">
        <v>2121</v>
      </c>
      <c r="M488" t="s">
        <v>208</v>
      </c>
      <c r="N488" t="s">
        <v>3557</v>
      </c>
      <c r="O488" t="s">
        <v>894</v>
      </c>
      <c r="P488" t="s">
        <v>772</v>
      </c>
      <c r="Q488" t="s">
        <v>3557</v>
      </c>
      <c r="R488">
        <v>8.66</v>
      </c>
      <c r="S488">
        <v>5</v>
      </c>
      <c r="T488">
        <v>0</v>
      </c>
      <c r="U488">
        <v>0</v>
      </c>
      <c r="V488">
        <v>0</v>
      </c>
      <c r="W488">
        <v>0</v>
      </c>
      <c r="X488">
        <v>0</v>
      </c>
      <c r="Y488">
        <v>0</v>
      </c>
      <c r="Z488">
        <v>0</v>
      </c>
      <c r="AA488">
        <v>0</v>
      </c>
      <c r="AB488">
        <v>0</v>
      </c>
      <c r="AC488">
        <v>0</v>
      </c>
      <c r="AD488">
        <v>8.66</v>
      </c>
      <c r="AE488">
        <v>5</v>
      </c>
      <c r="AF488">
        <v>21.65</v>
      </c>
      <c r="AG488">
        <v>5</v>
      </c>
      <c r="AH488">
        <v>0</v>
      </c>
      <c r="AI488">
        <v>0</v>
      </c>
      <c r="AY488" t="str">
        <f t="shared" si="133"/>
        <v>DOXX-SOL 433 MG/G POUDRE POUR ADMINISTRATION DANS L'EAU DE BOISSON/LE SUBSTITUT DE LAIT POUR LES VEAUX PRE-RUMINANTS LES PORCS ET LES POULES</v>
      </c>
      <c r="AZ488" t="str">
        <f>IF(COUNTIF(AY:AY,AY488)=1,AY488,IF(AND(COUNTIF(AY:AY,AY488)&gt;1,COUNTIF(AZ$2:AZ487,AY488)&gt;=1),"",AY488))</f>
        <v>DOXX-SOL 433 MG/G POUDRE POUR ADMINISTRATION DANS L'EAU DE BOISSON/LE SUBSTITUT DE LAIT POUR LES VEAUX PRE-RUMINANTS LES PORCS ET LES POULES</v>
      </c>
      <c r="BA488">
        <f>IF(AZ488="","",COUNTIFS(AZ$3:AZ$1439,"&lt;"&amp;AZ488,AZ$3:AZ$1439,"&lt;&gt;0")+COUNTIF(AZ$3:AZ488,AZ488)-876)</f>
        <v>186</v>
      </c>
      <c r="BC488">
        <v>486</v>
      </c>
      <c r="BD488" t="str">
        <f t="shared" si="144"/>
        <v>TETRASOLUB</v>
      </c>
      <c r="BE488" t="str">
        <f t="shared" si="134"/>
        <v>ORAL</v>
      </c>
      <c r="BF488" t="str">
        <f t="shared" si="135"/>
        <v>TETRACYCLINES</v>
      </c>
      <c r="BG488" t="str">
        <f t="shared" si="136"/>
        <v/>
      </c>
      <c r="BH488" t="str">
        <f t="shared" si="137"/>
        <v/>
      </c>
      <c r="BI488" t="str">
        <f t="shared" si="138"/>
        <v>oxytetracycline</v>
      </c>
      <c r="BJ488" t="str">
        <f t="shared" si="139"/>
        <v/>
      </c>
      <c r="BK488" t="str">
        <f t="shared" si="140"/>
        <v/>
      </c>
      <c r="BL488" t="str">
        <f t="shared" si="145"/>
        <v>Oxytétracycline</v>
      </c>
      <c r="BM488" t="str">
        <f t="shared" si="141"/>
        <v>Oxytétracycline</v>
      </c>
      <c r="BN488" t="str">
        <f t="shared" si="142"/>
        <v/>
      </c>
      <c r="BO488" t="str">
        <f t="shared" si="143"/>
        <v/>
      </c>
      <c r="BP488" t="str">
        <f t="shared" si="146"/>
        <v>Tetracyclines</v>
      </c>
      <c r="BQ488" t="str">
        <f t="shared" si="147"/>
        <v>Tetracyclines</v>
      </c>
      <c r="BR488" t="str">
        <f t="shared" si="148"/>
        <v/>
      </c>
      <c r="BS488" t="str">
        <f t="shared" si="149"/>
        <v/>
      </c>
      <c r="BT488" s="76" t="str">
        <f t="shared" si="150"/>
        <v>Voie orale  hors prémélanges médicamenteux</v>
      </c>
      <c r="BU488" t="str">
        <f t="shared" si="151"/>
        <v/>
      </c>
      <c r="CN488">
        <v>487</v>
      </c>
    </row>
    <row r="489" spans="1:92" x14ac:dyDescent="0.3">
      <c r="A489" s="118" t="s">
        <v>3261</v>
      </c>
      <c r="B489" t="s">
        <v>3262</v>
      </c>
      <c r="C489" t="s">
        <v>1062</v>
      </c>
      <c r="D489" s="144" t="s">
        <v>1063</v>
      </c>
      <c r="E489" t="s">
        <v>830</v>
      </c>
      <c r="F489" t="s">
        <v>325</v>
      </c>
      <c r="G489" t="s">
        <v>1064</v>
      </c>
      <c r="H489" t="s">
        <v>2683</v>
      </c>
      <c r="I489" t="s">
        <v>1066</v>
      </c>
      <c r="J489" t="s">
        <v>768</v>
      </c>
      <c r="K489" t="s">
        <v>768</v>
      </c>
      <c r="L489" t="s">
        <v>2121</v>
      </c>
      <c r="M489" t="s">
        <v>208</v>
      </c>
      <c r="N489" t="s">
        <v>869</v>
      </c>
      <c r="O489" t="s">
        <v>894</v>
      </c>
      <c r="P489" t="s">
        <v>772</v>
      </c>
      <c r="Q489" t="s">
        <v>906</v>
      </c>
      <c r="R489">
        <v>0</v>
      </c>
      <c r="S489">
        <v>0</v>
      </c>
      <c r="T489">
        <v>0</v>
      </c>
      <c r="U489">
        <v>0</v>
      </c>
      <c r="V489">
        <v>0</v>
      </c>
      <c r="W489">
        <v>0</v>
      </c>
      <c r="X489">
        <v>0</v>
      </c>
      <c r="Y489">
        <v>0</v>
      </c>
      <c r="Z489">
        <v>0</v>
      </c>
      <c r="AA489">
        <v>0</v>
      </c>
      <c r="AB489">
        <v>0</v>
      </c>
      <c r="AC489">
        <v>0</v>
      </c>
      <c r="AD489">
        <v>0</v>
      </c>
      <c r="AE489">
        <v>0</v>
      </c>
      <c r="AF489">
        <v>10</v>
      </c>
      <c r="AG489">
        <v>5</v>
      </c>
      <c r="AH489">
        <v>10</v>
      </c>
      <c r="AI489">
        <v>5</v>
      </c>
      <c r="AY489" t="str">
        <f t="shared" si="133"/>
        <v>DOXY 2% PM</v>
      </c>
      <c r="AZ489" t="str">
        <f>IF(COUNTIF(AY:AY,AY489)=1,AY489,IF(AND(COUNTIF(AY:AY,AY489)&gt;1,COUNTIF(AZ$2:AZ488,AY489)&gt;=1),"",AY489))</f>
        <v>DOXY 2% PM</v>
      </c>
      <c r="BA489">
        <f>IF(AZ489="","",COUNTIFS(AZ$3:AZ$1439,"&lt;"&amp;AZ489,AZ$3:AZ$1439,"&lt;&gt;0")+COUNTIF(AZ$3:AZ489,AZ489)-876)</f>
        <v>187</v>
      </c>
      <c r="BC489">
        <v>487</v>
      </c>
      <c r="BD489" t="str">
        <f t="shared" si="144"/>
        <v>TETRATIME</v>
      </c>
      <c r="BE489" t="str">
        <f t="shared" si="134"/>
        <v>ORAL</v>
      </c>
      <c r="BF489" t="str">
        <f t="shared" si="135"/>
        <v>TETRACYCLINES</v>
      </c>
      <c r="BG489" t="str">
        <f t="shared" si="136"/>
        <v/>
      </c>
      <c r="BH489" t="str">
        <f t="shared" si="137"/>
        <v/>
      </c>
      <c r="BI489" t="str">
        <f t="shared" si="138"/>
        <v>oxytetracycline</v>
      </c>
      <c r="BJ489" t="str">
        <f t="shared" si="139"/>
        <v/>
      </c>
      <c r="BK489" t="str">
        <f t="shared" si="140"/>
        <v/>
      </c>
      <c r="BL489" t="str">
        <f t="shared" si="145"/>
        <v>Oxytétracycline</v>
      </c>
      <c r="BM489" t="str">
        <f t="shared" si="141"/>
        <v>Oxytétracycline</v>
      </c>
      <c r="BN489" t="str">
        <f t="shared" si="142"/>
        <v/>
      </c>
      <c r="BO489" t="str">
        <f t="shared" si="143"/>
        <v/>
      </c>
      <c r="BP489" t="str">
        <f t="shared" si="146"/>
        <v>Tetracyclines</v>
      </c>
      <c r="BQ489" t="str">
        <f t="shared" si="147"/>
        <v>Tetracyclines</v>
      </c>
      <c r="BR489" t="str">
        <f t="shared" si="148"/>
        <v/>
      </c>
      <c r="BS489" t="str">
        <f t="shared" si="149"/>
        <v/>
      </c>
      <c r="BT489" s="76" t="str">
        <f t="shared" si="150"/>
        <v>Voie orale  hors prémélanges médicamenteux</v>
      </c>
      <c r="BU489" t="str">
        <f t="shared" si="151"/>
        <v/>
      </c>
      <c r="CN489">
        <v>488</v>
      </c>
    </row>
    <row r="490" spans="1:92" x14ac:dyDescent="0.3">
      <c r="A490" s="118" t="s">
        <v>3141</v>
      </c>
      <c r="B490" t="s">
        <v>3142</v>
      </c>
      <c r="C490" t="s">
        <v>891</v>
      </c>
      <c r="D490" s="144" t="s">
        <v>829</v>
      </c>
      <c r="E490" t="s">
        <v>830</v>
      </c>
      <c r="F490" t="s">
        <v>326</v>
      </c>
      <c r="G490" t="s">
        <v>831</v>
      </c>
      <c r="H490" t="s">
        <v>169</v>
      </c>
      <c r="I490" t="s">
        <v>817</v>
      </c>
      <c r="J490" t="s">
        <v>768</v>
      </c>
      <c r="K490" t="s">
        <v>768</v>
      </c>
      <c r="L490" t="s">
        <v>2121</v>
      </c>
      <c r="M490" t="s">
        <v>208</v>
      </c>
      <c r="N490" t="s">
        <v>864</v>
      </c>
      <c r="O490" t="s">
        <v>894</v>
      </c>
      <c r="P490" t="s">
        <v>772</v>
      </c>
      <c r="Q490" t="s">
        <v>864</v>
      </c>
      <c r="R490">
        <v>10</v>
      </c>
      <c r="S490">
        <v>5</v>
      </c>
      <c r="T490">
        <v>0</v>
      </c>
      <c r="U490">
        <v>0</v>
      </c>
      <c r="V490">
        <v>0</v>
      </c>
      <c r="W490">
        <v>0</v>
      </c>
      <c r="X490">
        <v>0</v>
      </c>
      <c r="Y490">
        <v>0</v>
      </c>
      <c r="Z490">
        <v>0</v>
      </c>
      <c r="AA490">
        <v>0</v>
      </c>
      <c r="AB490">
        <v>0</v>
      </c>
      <c r="AC490">
        <v>0</v>
      </c>
      <c r="AD490">
        <v>0</v>
      </c>
      <c r="AE490">
        <v>0</v>
      </c>
      <c r="AF490">
        <v>0</v>
      </c>
      <c r="AG490">
        <v>0</v>
      </c>
      <c r="AH490">
        <v>0</v>
      </c>
      <c r="AI490">
        <v>0</v>
      </c>
      <c r="AY490" t="str">
        <f t="shared" si="133"/>
        <v>DOXY 20 FRANVET</v>
      </c>
      <c r="AZ490" t="str">
        <f>IF(COUNTIF(AY:AY,AY490)=1,AY490,IF(AND(COUNTIF(AY:AY,AY490)&gt;1,COUNTIF(AZ$2:AZ489,AY490)&gt;=1),"",AY490))</f>
        <v>DOXY 20 FRANVET</v>
      </c>
      <c r="BA490">
        <f>IF(AZ490="","",COUNTIFS(AZ$3:AZ$1439,"&lt;"&amp;AZ490,AZ$3:AZ$1439,"&lt;&gt;0")+COUNTIF(AZ$3:AZ490,AZ490)-876)</f>
        <v>188</v>
      </c>
      <c r="BC490">
        <v>488</v>
      </c>
      <c r="BD490" t="str">
        <f t="shared" si="144"/>
        <v>TETRAVAL 50 % POUDRE POUR SOLUTION BUVABLE POUR VEAUX PORCINS ET VOLAILLES</v>
      </c>
      <c r="BE490" t="str">
        <f t="shared" si="134"/>
        <v>ORAL</v>
      </c>
      <c r="BF490" t="str">
        <f t="shared" si="135"/>
        <v>TETRACYCLINES</v>
      </c>
      <c r="BG490" t="str">
        <f t="shared" si="136"/>
        <v/>
      </c>
      <c r="BH490" t="str">
        <f t="shared" si="137"/>
        <v/>
      </c>
      <c r="BI490" t="str">
        <f t="shared" si="138"/>
        <v>oxytetracycline</v>
      </c>
      <c r="BJ490" t="str">
        <f t="shared" si="139"/>
        <v/>
      </c>
      <c r="BK490" t="str">
        <f t="shared" si="140"/>
        <v/>
      </c>
      <c r="BL490" t="str">
        <f t="shared" si="145"/>
        <v>Oxytétracycline</v>
      </c>
      <c r="BM490" t="str">
        <f t="shared" si="141"/>
        <v>Oxytétracycline</v>
      </c>
      <c r="BN490" t="str">
        <f t="shared" si="142"/>
        <v/>
      </c>
      <c r="BO490" t="str">
        <f t="shared" si="143"/>
        <v/>
      </c>
      <c r="BP490" t="str">
        <f t="shared" si="146"/>
        <v>Tetracyclines</v>
      </c>
      <c r="BQ490" t="str">
        <f t="shared" si="147"/>
        <v>Tetracyclines</v>
      </c>
      <c r="BR490" t="str">
        <f t="shared" si="148"/>
        <v/>
      </c>
      <c r="BS490" t="str">
        <f t="shared" si="149"/>
        <v/>
      </c>
      <c r="BT490" s="76" t="str">
        <f t="shared" si="150"/>
        <v>Voie orale  hors prémélanges médicamenteux</v>
      </c>
      <c r="BU490" t="str">
        <f t="shared" si="151"/>
        <v/>
      </c>
      <c r="CN490">
        <v>489</v>
      </c>
    </row>
    <row r="491" spans="1:92" x14ac:dyDescent="0.3">
      <c r="A491" s="118" t="s">
        <v>3141</v>
      </c>
      <c r="B491" t="s">
        <v>3143</v>
      </c>
      <c r="C491" t="s">
        <v>3144</v>
      </c>
      <c r="D491" s="144" t="s">
        <v>966</v>
      </c>
      <c r="E491" t="s">
        <v>830</v>
      </c>
      <c r="F491" t="s">
        <v>326</v>
      </c>
      <c r="G491" t="s">
        <v>831</v>
      </c>
      <c r="H491" t="s">
        <v>169</v>
      </c>
      <c r="I491" t="s">
        <v>817</v>
      </c>
      <c r="J491" t="s">
        <v>768</v>
      </c>
      <c r="K491" t="s">
        <v>768</v>
      </c>
      <c r="L491" t="s">
        <v>2121</v>
      </c>
      <c r="M491" t="s">
        <v>208</v>
      </c>
      <c r="N491" t="s">
        <v>864</v>
      </c>
      <c r="O491" t="s">
        <v>894</v>
      </c>
      <c r="P491" t="s">
        <v>772</v>
      </c>
      <c r="Q491" t="s">
        <v>906</v>
      </c>
      <c r="R491">
        <v>10</v>
      </c>
      <c r="S491">
        <v>5</v>
      </c>
      <c r="T491">
        <v>0</v>
      </c>
      <c r="U491">
        <v>0</v>
      </c>
      <c r="V491">
        <v>0</v>
      </c>
      <c r="W491">
        <v>0</v>
      </c>
      <c r="X491">
        <v>0</v>
      </c>
      <c r="Y491">
        <v>0</v>
      </c>
      <c r="Z491">
        <v>0</v>
      </c>
      <c r="AA491">
        <v>0</v>
      </c>
      <c r="AB491">
        <v>0</v>
      </c>
      <c r="AC491">
        <v>0</v>
      </c>
      <c r="AD491">
        <v>0</v>
      </c>
      <c r="AE491">
        <v>0</v>
      </c>
      <c r="AF491">
        <v>0</v>
      </c>
      <c r="AG491">
        <v>0</v>
      </c>
      <c r="AH491">
        <v>0</v>
      </c>
      <c r="AI491">
        <v>0</v>
      </c>
      <c r="AY491" t="str">
        <f t="shared" si="133"/>
        <v>DOXY 20 FRANVET</v>
      </c>
      <c r="AZ491" t="str">
        <f>IF(COUNTIF(AY:AY,AY491)=1,AY491,IF(AND(COUNTIF(AY:AY,AY491)&gt;1,COUNTIF(AZ$2:AZ490,AY491)&gt;=1),"",AY491))</f>
        <v/>
      </c>
      <c r="BA491" t="str">
        <f>IF(AZ491="","",COUNTIFS(AZ$3:AZ$1439,"&lt;"&amp;AZ491,AZ$3:AZ$1439,"&lt;&gt;0")+COUNTIF(AZ$3:AZ491,AZ491)-876)</f>
        <v/>
      </c>
      <c r="BC491">
        <v>489</v>
      </c>
      <c r="BD491" t="str">
        <f t="shared" si="144"/>
        <v>TETRAVETO</v>
      </c>
      <c r="BE491" t="str">
        <f t="shared" si="134"/>
        <v>ORAL</v>
      </c>
      <c r="BF491" t="str">
        <f t="shared" si="135"/>
        <v>TETRACYCLINES</v>
      </c>
      <c r="BG491" t="str">
        <f t="shared" si="136"/>
        <v/>
      </c>
      <c r="BH491" t="str">
        <f t="shared" si="137"/>
        <v/>
      </c>
      <c r="BI491" t="str">
        <f t="shared" si="138"/>
        <v>oxytetracycline</v>
      </c>
      <c r="BJ491" t="str">
        <f t="shared" si="139"/>
        <v/>
      </c>
      <c r="BK491" t="str">
        <f t="shared" si="140"/>
        <v/>
      </c>
      <c r="BL491" t="str">
        <f t="shared" si="145"/>
        <v>Oxytétracycline</v>
      </c>
      <c r="BM491" t="str">
        <f t="shared" si="141"/>
        <v>Oxytétracycline</v>
      </c>
      <c r="BN491" t="str">
        <f t="shared" si="142"/>
        <v/>
      </c>
      <c r="BO491" t="str">
        <f t="shared" si="143"/>
        <v/>
      </c>
      <c r="BP491" t="str">
        <f t="shared" si="146"/>
        <v>Tetracyclines</v>
      </c>
      <c r="BQ491" t="str">
        <f t="shared" si="147"/>
        <v>Tetracyclines</v>
      </c>
      <c r="BR491" t="str">
        <f t="shared" si="148"/>
        <v/>
      </c>
      <c r="BS491" t="str">
        <f t="shared" si="149"/>
        <v/>
      </c>
      <c r="BT491" s="76" t="str">
        <f t="shared" si="150"/>
        <v>Voie orale  hors prémélanges médicamenteux</v>
      </c>
      <c r="BU491" t="str">
        <f t="shared" si="151"/>
        <v/>
      </c>
      <c r="CN491">
        <v>490</v>
      </c>
    </row>
    <row r="492" spans="1:92" x14ac:dyDescent="0.3">
      <c r="A492" s="118" t="s">
        <v>3141</v>
      </c>
      <c r="B492" t="s">
        <v>3145</v>
      </c>
      <c r="C492" t="s">
        <v>1313</v>
      </c>
      <c r="D492" s="144" t="s">
        <v>955</v>
      </c>
      <c r="E492" t="s">
        <v>830</v>
      </c>
      <c r="F492" t="s">
        <v>326</v>
      </c>
      <c r="G492" t="s">
        <v>831</v>
      </c>
      <c r="H492" t="s">
        <v>169</v>
      </c>
      <c r="I492" t="s">
        <v>817</v>
      </c>
      <c r="J492" t="s">
        <v>768</v>
      </c>
      <c r="K492" t="s">
        <v>768</v>
      </c>
      <c r="L492" t="s">
        <v>2121</v>
      </c>
      <c r="M492" t="s">
        <v>208</v>
      </c>
      <c r="N492" t="s">
        <v>864</v>
      </c>
      <c r="O492" t="s">
        <v>894</v>
      </c>
      <c r="P492" t="s">
        <v>772</v>
      </c>
      <c r="Q492" t="s">
        <v>829</v>
      </c>
      <c r="R492">
        <v>10</v>
      </c>
      <c r="S492">
        <v>5</v>
      </c>
      <c r="T492">
        <v>0</v>
      </c>
      <c r="U492">
        <v>0</v>
      </c>
      <c r="V492">
        <v>0</v>
      </c>
      <c r="W492">
        <v>0</v>
      </c>
      <c r="X492">
        <v>0</v>
      </c>
      <c r="Y492">
        <v>0</v>
      </c>
      <c r="Z492">
        <v>0</v>
      </c>
      <c r="AA492">
        <v>0</v>
      </c>
      <c r="AB492">
        <v>0</v>
      </c>
      <c r="AC492">
        <v>0</v>
      </c>
      <c r="AD492">
        <v>0</v>
      </c>
      <c r="AE492">
        <v>0</v>
      </c>
      <c r="AF492">
        <v>0</v>
      </c>
      <c r="AG492">
        <v>0</v>
      </c>
      <c r="AH492">
        <v>0</v>
      </c>
      <c r="AI492">
        <v>0</v>
      </c>
      <c r="AY492" t="str">
        <f t="shared" si="133"/>
        <v>DOXY 20 FRANVET</v>
      </c>
      <c r="AZ492" t="str">
        <f>IF(COUNTIF(AY:AY,AY492)=1,AY492,IF(AND(COUNTIF(AY:AY,AY492)&gt;1,COUNTIF(AZ$2:AZ491,AY492)&gt;=1),"",AY492))</f>
        <v/>
      </c>
      <c r="BA492" t="str">
        <f>IF(AZ492="","",COUNTIFS(AZ$3:AZ$1439,"&lt;"&amp;AZ492,AZ$3:AZ$1439,"&lt;&gt;0")+COUNTIF(AZ$3:AZ492,AZ492)-876)</f>
        <v/>
      </c>
      <c r="BC492">
        <v>490</v>
      </c>
      <c r="BD492" t="str">
        <f t="shared" si="144"/>
        <v>TETROXY VET 200 MG/ML SOLUTION INJECTABLE POUR BOVINS OVINS ET PORCINS</v>
      </c>
      <c r="BE492" t="str">
        <f t="shared" si="134"/>
        <v>INJ</v>
      </c>
      <c r="BF492" t="str">
        <f t="shared" si="135"/>
        <v>TETRACYCLINES</v>
      </c>
      <c r="BG492" t="str">
        <f t="shared" si="136"/>
        <v/>
      </c>
      <c r="BH492" t="str">
        <f t="shared" si="137"/>
        <v/>
      </c>
      <c r="BI492" t="str">
        <f t="shared" si="138"/>
        <v>oxytetracycline</v>
      </c>
      <c r="BJ492" t="str">
        <f t="shared" si="139"/>
        <v/>
      </c>
      <c r="BK492" t="str">
        <f t="shared" si="140"/>
        <v/>
      </c>
      <c r="BL492" t="str">
        <f t="shared" si="145"/>
        <v>Oxytétracycline</v>
      </c>
      <c r="BM492" t="str">
        <f t="shared" si="141"/>
        <v>Oxytétracycline</v>
      </c>
      <c r="BN492" t="str">
        <f t="shared" si="142"/>
        <v/>
      </c>
      <c r="BO492" t="str">
        <f t="shared" si="143"/>
        <v/>
      </c>
      <c r="BP492" t="str">
        <f t="shared" si="146"/>
        <v>Tetracyclines</v>
      </c>
      <c r="BQ492" t="str">
        <f t="shared" si="147"/>
        <v>Tetracyclines</v>
      </c>
      <c r="BR492" t="str">
        <f t="shared" si="148"/>
        <v/>
      </c>
      <c r="BS492" t="str">
        <f t="shared" si="149"/>
        <v/>
      </c>
      <c r="BT492" s="76" t="str">
        <f t="shared" si="150"/>
        <v>Voie parentérale</v>
      </c>
      <c r="BU492" t="str">
        <f t="shared" si="151"/>
        <v/>
      </c>
      <c r="CN492">
        <v>491</v>
      </c>
    </row>
    <row r="493" spans="1:92" x14ac:dyDescent="0.3">
      <c r="A493" s="118" t="s">
        <v>3259</v>
      </c>
      <c r="B493" t="s">
        <v>3260</v>
      </c>
      <c r="C493" t="s">
        <v>1062</v>
      </c>
      <c r="D493" s="144" t="s">
        <v>1063</v>
      </c>
      <c r="E493" t="s">
        <v>830</v>
      </c>
      <c r="F493" t="s">
        <v>327</v>
      </c>
      <c r="G493" t="s">
        <v>1064</v>
      </c>
      <c r="H493" t="s">
        <v>1213</v>
      </c>
      <c r="I493" t="s">
        <v>1066</v>
      </c>
      <c r="J493" t="s">
        <v>768</v>
      </c>
      <c r="K493" t="s">
        <v>768</v>
      </c>
      <c r="L493" t="s">
        <v>2121</v>
      </c>
      <c r="M493" t="s">
        <v>208</v>
      </c>
      <c r="N493" t="s">
        <v>932</v>
      </c>
      <c r="O493" t="s">
        <v>894</v>
      </c>
      <c r="P493" t="s">
        <v>772</v>
      </c>
      <c r="Q493" t="s">
        <v>829</v>
      </c>
      <c r="R493">
        <v>0</v>
      </c>
      <c r="S493">
        <v>0</v>
      </c>
      <c r="T493">
        <v>0</v>
      </c>
      <c r="U493">
        <v>0</v>
      </c>
      <c r="V493">
        <v>0</v>
      </c>
      <c r="W493">
        <v>0</v>
      </c>
      <c r="X493">
        <v>0</v>
      </c>
      <c r="Y493">
        <v>0</v>
      </c>
      <c r="Z493">
        <v>0</v>
      </c>
      <c r="AA493">
        <v>0</v>
      </c>
      <c r="AB493">
        <v>0</v>
      </c>
      <c r="AC493">
        <v>0</v>
      </c>
      <c r="AD493">
        <v>10</v>
      </c>
      <c r="AE493">
        <v>5</v>
      </c>
      <c r="AF493">
        <v>0</v>
      </c>
      <c r="AG493">
        <v>0</v>
      </c>
      <c r="AH493">
        <v>0</v>
      </c>
      <c r="AI493">
        <v>0</v>
      </c>
      <c r="AY493" t="str">
        <f t="shared" si="133"/>
        <v>DOXY 4% PM</v>
      </c>
      <c r="AZ493" t="str">
        <f>IF(COUNTIF(AY:AY,AY493)=1,AY493,IF(AND(COUNTIF(AY:AY,AY493)&gt;1,COUNTIF(AZ$2:AZ492,AY493)&gt;=1),"",AY493))</f>
        <v>DOXY 4% PM</v>
      </c>
      <c r="BA493">
        <f>IF(AZ493="","",COUNTIFS(AZ$3:AZ$1439,"&lt;"&amp;AZ493,AZ$3:AZ$1439,"&lt;&gt;0")+COUNTIF(AZ$3:AZ493,AZ493)-876)</f>
        <v>189</v>
      </c>
      <c r="BC493">
        <v>491</v>
      </c>
      <c r="BD493" t="str">
        <f t="shared" si="144"/>
        <v>TIALIN 101,2 MG/ML SOLUTION POUR ADMINISTRATION DANS L'EAU DE BOISSON DES PORCINS, DES POULETS ET DES DINDES</v>
      </c>
      <c r="BE493" t="str">
        <f t="shared" si="134"/>
        <v>ORAL</v>
      </c>
      <c r="BF493" t="str">
        <f t="shared" si="135"/>
        <v>PLEUROMUTILINES</v>
      </c>
      <c r="BG493" t="str">
        <f t="shared" si="136"/>
        <v/>
      </c>
      <c r="BH493" t="str">
        <f t="shared" si="137"/>
        <v/>
      </c>
      <c r="BI493" t="str">
        <f t="shared" si="138"/>
        <v>tiamulin</v>
      </c>
      <c r="BJ493" t="str">
        <f t="shared" si="139"/>
        <v/>
      </c>
      <c r="BK493" t="str">
        <f t="shared" si="140"/>
        <v/>
      </c>
      <c r="BL493" t="str">
        <f t="shared" si="145"/>
        <v>Tiamuline</v>
      </c>
      <c r="BM493" t="str">
        <f t="shared" si="141"/>
        <v>Tiamuline</v>
      </c>
      <c r="BN493" t="str">
        <f t="shared" si="142"/>
        <v/>
      </c>
      <c r="BO493" t="str">
        <f t="shared" si="143"/>
        <v/>
      </c>
      <c r="BP493" t="str">
        <f t="shared" si="146"/>
        <v>Pleuromutilines</v>
      </c>
      <c r="BQ493" t="str">
        <f t="shared" si="147"/>
        <v>Pleuromutilines</v>
      </c>
      <c r="BR493" t="str">
        <f t="shared" si="148"/>
        <v/>
      </c>
      <c r="BS493" t="str">
        <f t="shared" si="149"/>
        <v/>
      </c>
      <c r="BT493" s="76" t="str">
        <f t="shared" si="150"/>
        <v>Voie orale  hors prémélanges médicamenteux</v>
      </c>
      <c r="BU493" t="str">
        <f t="shared" si="151"/>
        <v/>
      </c>
      <c r="CN493">
        <v>492</v>
      </c>
    </row>
    <row r="494" spans="1:92" x14ac:dyDescent="0.3">
      <c r="A494" s="118" t="s">
        <v>2713</v>
      </c>
      <c r="B494" t="s">
        <v>2714</v>
      </c>
      <c r="C494" t="s">
        <v>1293</v>
      </c>
      <c r="D494" s="144" t="s">
        <v>924</v>
      </c>
      <c r="E494" t="s">
        <v>830</v>
      </c>
      <c r="F494" t="s">
        <v>328</v>
      </c>
      <c r="G494" t="s">
        <v>831</v>
      </c>
      <c r="H494" t="s">
        <v>2715</v>
      </c>
      <c r="I494" t="s">
        <v>817</v>
      </c>
      <c r="J494" t="s">
        <v>768</v>
      </c>
      <c r="K494" t="s">
        <v>768</v>
      </c>
      <c r="L494" t="s">
        <v>2121</v>
      </c>
      <c r="M494" t="s">
        <v>208</v>
      </c>
      <c r="N494" t="s">
        <v>780</v>
      </c>
      <c r="O494" t="s">
        <v>894</v>
      </c>
      <c r="P494" t="s">
        <v>772</v>
      </c>
      <c r="Q494" t="s">
        <v>906</v>
      </c>
      <c r="R494">
        <v>10</v>
      </c>
      <c r="S494">
        <v>5</v>
      </c>
      <c r="T494">
        <v>0</v>
      </c>
      <c r="U494">
        <v>0</v>
      </c>
      <c r="V494">
        <v>0</v>
      </c>
      <c r="W494">
        <v>0</v>
      </c>
      <c r="X494">
        <v>0</v>
      </c>
      <c r="Y494">
        <v>0</v>
      </c>
      <c r="Z494">
        <v>0</v>
      </c>
      <c r="AA494">
        <v>0</v>
      </c>
      <c r="AB494">
        <v>0</v>
      </c>
      <c r="AC494">
        <v>0</v>
      </c>
      <c r="AD494">
        <v>10</v>
      </c>
      <c r="AE494">
        <v>5</v>
      </c>
      <c r="AF494">
        <v>10</v>
      </c>
      <c r="AG494">
        <v>5</v>
      </c>
      <c r="AH494">
        <v>0</v>
      </c>
      <c r="AI494">
        <v>0</v>
      </c>
      <c r="AY494" t="str">
        <f t="shared" si="133"/>
        <v>DOXY 5 FRANVET</v>
      </c>
      <c r="AZ494" t="str">
        <f>IF(COUNTIF(AY:AY,AY494)=1,AY494,IF(AND(COUNTIF(AY:AY,AY494)&gt;1,COUNTIF(AZ$2:AZ493,AY494)&gt;=1),"",AY494))</f>
        <v>DOXY 5 FRANVET</v>
      </c>
      <c r="BA494">
        <f>IF(AZ494="","",COUNTIFS(AZ$3:AZ$1439,"&lt;"&amp;AZ494,AZ$3:AZ$1439,"&lt;&gt;0")+COUNTIF(AZ$3:AZ494,AZ494)-876)</f>
        <v>190</v>
      </c>
      <c r="BC494">
        <v>492</v>
      </c>
      <c r="BD494" t="str">
        <f t="shared" si="144"/>
        <v>TIALIN 202,4 MG/ML SOLUTION POUR ADMINISTRATION DANS L'EAU DE BOISSON DES PORCINS, DES POULETS ET DES DINDES</v>
      </c>
      <c r="BE494" t="str">
        <f t="shared" si="134"/>
        <v>ORAL</v>
      </c>
      <c r="BF494" t="str">
        <f t="shared" si="135"/>
        <v>PLEUROMUTILINES</v>
      </c>
      <c r="BG494" t="str">
        <f t="shared" si="136"/>
        <v/>
      </c>
      <c r="BH494" t="str">
        <f t="shared" si="137"/>
        <v/>
      </c>
      <c r="BI494" t="str">
        <f t="shared" si="138"/>
        <v>tiamulin</v>
      </c>
      <c r="BJ494" t="str">
        <f t="shared" si="139"/>
        <v/>
      </c>
      <c r="BK494" t="str">
        <f t="shared" si="140"/>
        <v/>
      </c>
      <c r="BL494" t="str">
        <f t="shared" si="145"/>
        <v>Tiamuline</v>
      </c>
      <c r="BM494" t="str">
        <f t="shared" si="141"/>
        <v>Tiamuline</v>
      </c>
      <c r="BN494" t="str">
        <f t="shared" si="142"/>
        <v/>
      </c>
      <c r="BO494" t="str">
        <f t="shared" si="143"/>
        <v/>
      </c>
      <c r="BP494" t="str">
        <f t="shared" si="146"/>
        <v>Pleuromutilines</v>
      </c>
      <c r="BQ494" t="str">
        <f t="shared" si="147"/>
        <v>Pleuromutilines</v>
      </c>
      <c r="BR494" t="str">
        <f t="shared" si="148"/>
        <v/>
      </c>
      <c r="BS494" t="str">
        <f t="shared" si="149"/>
        <v/>
      </c>
      <c r="BT494" s="76" t="str">
        <f t="shared" si="150"/>
        <v>Voie orale  hors prémélanges médicamenteux</v>
      </c>
      <c r="BU494" t="str">
        <f t="shared" si="151"/>
        <v/>
      </c>
      <c r="CN494">
        <v>493</v>
      </c>
    </row>
    <row r="495" spans="1:92" x14ac:dyDescent="0.3">
      <c r="A495" s="118" t="s">
        <v>2713</v>
      </c>
      <c r="B495" t="s">
        <v>2716</v>
      </c>
      <c r="C495" t="s">
        <v>891</v>
      </c>
      <c r="D495" s="144" t="s">
        <v>829</v>
      </c>
      <c r="E495" t="s">
        <v>830</v>
      </c>
      <c r="F495" t="s">
        <v>328</v>
      </c>
      <c r="G495" t="s">
        <v>831</v>
      </c>
      <c r="H495" t="s">
        <v>2715</v>
      </c>
      <c r="I495" t="s">
        <v>817</v>
      </c>
      <c r="J495" t="s">
        <v>768</v>
      </c>
      <c r="K495" t="s">
        <v>768</v>
      </c>
      <c r="L495" t="s">
        <v>2121</v>
      </c>
      <c r="M495" t="s">
        <v>208</v>
      </c>
      <c r="N495" t="s">
        <v>780</v>
      </c>
      <c r="O495" t="s">
        <v>894</v>
      </c>
      <c r="P495" t="s">
        <v>772</v>
      </c>
      <c r="Q495" t="s">
        <v>780</v>
      </c>
      <c r="R495">
        <v>10</v>
      </c>
      <c r="S495">
        <v>5</v>
      </c>
      <c r="T495">
        <v>0</v>
      </c>
      <c r="U495">
        <v>0</v>
      </c>
      <c r="V495">
        <v>0</v>
      </c>
      <c r="W495">
        <v>0</v>
      </c>
      <c r="X495">
        <v>0</v>
      </c>
      <c r="Y495">
        <v>0</v>
      </c>
      <c r="Z495">
        <v>0</v>
      </c>
      <c r="AA495">
        <v>0</v>
      </c>
      <c r="AB495">
        <v>0</v>
      </c>
      <c r="AC495">
        <v>0</v>
      </c>
      <c r="AD495">
        <v>10</v>
      </c>
      <c r="AE495">
        <v>5</v>
      </c>
      <c r="AF495">
        <v>10</v>
      </c>
      <c r="AG495">
        <v>5</v>
      </c>
      <c r="AH495">
        <v>0</v>
      </c>
      <c r="AI495">
        <v>0</v>
      </c>
      <c r="AY495" t="str">
        <f t="shared" si="133"/>
        <v>DOXY 5 FRANVET</v>
      </c>
      <c r="AZ495" t="str">
        <f>IF(COUNTIF(AY:AY,AY495)=1,AY495,IF(AND(COUNTIF(AY:AY,AY495)&gt;1,COUNTIF(AZ$2:AZ494,AY495)&gt;=1),"",AY495))</f>
        <v/>
      </c>
      <c r="BA495" t="str">
        <f>IF(AZ495="","",COUNTIFS(AZ$3:AZ$1439,"&lt;"&amp;AZ495,AZ$3:AZ$1439,"&lt;&gt;0")+COUNTIF(AZ$3:AZ495,AZ495)-876)</f>
        <v/>
      </c>
      <c r="BC495">
        <v>493</v>
      </c>
      <c r="BD495" t="str">
        <f t="shared" si="144"/>
        <v>TIAMULINE 16,2 PNEUMONIE VOLAILLE PORC FRANVET</v>
      </c>
      <c r="BE495" t="str">
        <f t="shared" si="134"/>
        <v>PM</v>
      </c>
      <c r="BF495" t="str">
        <f t="shared" si="135"/>
        <v>PLEUROMUTILINES</v>
      </c>
      <c r="BG495" t="str">
        <f t="shared" si="136"/>
        <v/>
      </c>
      <c r="BH495" t="str">
        <f t="shared" si="137"/>
        <v/>
      </c>
      <c r="BI495" t="str">
        <f t="shared" si="138"/>
        <v>tiamulin</v>
      </c>
      <c r="BJ495" t="str">
        <f t="shared" si="139"/>
        <v/>
      </c>
      <c r="BK495" t="str">
        <f t="shared" si="140"/>
        <v/>
      </c>
      <c r="BL495" t="str">
        <f t="shared" si="145"/>
        <v>Tiamuline</v>
      </c>
      <c r="BM495" t="str">
        <f t="shared" si="141"/>
        <v>Tiamuline</v>
      </c>
      <c r="BN495" t="str">
        <f t="shared" si="142"/>
        <v/>
      </c>
      <c r="BO495" t="str">
        <f t="shared" si="143"/>
        <v/>
      </c>
      <c r="BP495" t="str">
        <f t="shared" si="146"/>
        <v>Pleuromutilines</v>
      </c>
      <c r="BQ495" t="str">
        <f t="shared" si="147"/>
        <v>Pleuromutilines</v>
      </c>
      <c r="BR495" t="str">
        <f t="shared" si="148"/>
        <v/>
      </c>
      <c r="BS495" t="str">
        <f t="shared" si="149"/>
        <v/>
      </c>
      <c r="BT495" s="76" t="str">
        <f t="shared" si="150"/>
        <v>Prémélanges médicamenteux</v>
      </c>
      <c r="BU495" t="str">
        <f t="shared" si="151"/>
        <v/>
      </c>
      <c r="CN495">
        <v>494</v>
      </c>
    </row>
    <row r="496" spans="1:92" x14ac:dyDescent="0.3">
      <c r="A496" s="118" t="s">
        <v>2713</v>
      </c>
      <c r="B496" t="s">
        <v>2717</v>
      </c>
      <c r="C496" t="s">
        <v>1313</v>
      </c>
      <c r="D496" s="144" t="s">
        <v>955</v>
      </c>
      <c r="E496" t="s">
        <v>830</v>
      </c>
      <c r="F496" t="s">
        <v>328</v>
      </c>
      <c r="G496" t="s">
        <v>831</v>
      </c>
      <c r="H496" t="s">
        <v>2715</v>
      </c>
      <c r="I496" t="s">
        <v>817</v>
      </c>
      <c r="J496" t="s">
        <v>768</v>
      </c>
      <c r="K496" t="s">
        <v>768</v>
      </c>
      <c r="L496" t="s">
        <v>2121</v>
      </c>
      <c r="M496" t="s">
        <v>208</v>
      </c>
      <c r="N496" t="s">
        <v>780</v>
      </c>
      <c r="O496" t="s">
        <v>894</v>
      </c>
      <c r="P496" t="s">
        <v>772</v>
      </c>
      <c r="Q496" t="s">
        <v>776</v>
      </c>
      <c r="R496">
        <v>10</v>
      </c>
      <c r="S496">
        <v>5</v>
      </c>
      <c r="T496">
        <v>0</v>
      </c>
      <c r="U496">
        <v>0</v>
      </c>
      <c r="V496">
        <v>0</v>
      </c>
      <c r="W496">
        <v>0</v>
      </c>
      <c r="X496">
        <v>0</v>
      </c>
      <c r="Y496">
        <v>0</v>
      </c>
      <c r="Z496">
        <v>0</v>
      </c>
      <c r="AA496">
        <v>0</v>
      </c>
      <c r="AB496">
        <v>0</v>
      </c>
      <c r="AC496">
        <v>0</v>
      </c>
      <c r="AD496">
        <v>10</v>
      </c>
      <c r="AE496">
        <v>5</v>
      </c>
      <c r="AF496">
        <v>10</v>
      </c>
      <c r="AG496">
        <v>5</v>
      </c>
      <c r="AH496">
        <v>0</v>
      </c>
      <c r="AI496">
        <v>0</v>
      </c>
      <c r="AY496" t="str">
        <f t="shared" si="133"/>
        <v>DOXY 5 FRANVET</v>
      </c>
      <c r="AZ496" t="str">
        <f>IF(COUNTIF(AY:AY,AY496)=1,AY496,IF(AND(COUNTIF(AY:AY,AY496)&gt;1,COUNTIF(AZ$2:AZ495,AY496)&gt;=1),"",AY496))</f>
        <v/>
      </c>
      <c r="BA496" t="str">
        <f>IF(AZ496="","",COUNTIFS(AZ$3:AZ$1439,"&lt;"&amp;AZ496,AZ$3:AZ$1439,"&lt;&gt;0")+COUNTIF(AZ$3:AZ496,AZ496)-876)</f>
        <v/>
      </c>
      <c r="BC496">
        <v>494</v>
      </c>
      <c r="BD496" t="str">
        <f t="shared" si="144"/>
        <v>TIAMULINE 6,5 ENTERITE PORC ENTEROCOLITE LAPIN FRANVET</v>
      </c>
      <c r="BE496" t="str">
        <f t="shared" si="134"/>
        <v>PM</v>
      </c>
      <c r="BF496" t="str">
        <f t="shared" si="135"/>
        <v>PLEUROMUTILINES</v>
      </c>
      <c r="BG496" t="str">
        <f t="shared" si="136"/>
        <v/>
      </c>
      <c r="BH496" t="str">
        <f t="shared" si="137"/>
        <v/>
      </c>
      <c r="BI496" t="str">
        <f t="shared" si="138"/>
        <v>tiamulin</v>
      </c>
      <c r="BJ496" t="str">
        <f t="shared" si="139"/>
        <v/>
      </c>
      <c r="BK496" t="str">
        <f t="shared" si="140"/>
        <v/>
      </c>
      <c r="BL496" t="str">
        <f t="shared" si="145"/>
        <v>Tiamuline</v>
      </c>
      <c r="BM496" t="str">
        <f t="shared" si="141"/>
        <v>Tiamuline</v>
      </c>
      <c r="BN496" t="str">
        <f t="shared" si="142"/>
        <v/>
      </c>
      <c r="BO496" t="str">
        <f t="shared" si="143"/>
        <v/>
      </c>
      <c r="BP496" t="str">
        <f t="shared" si="146"/>
        <v>Pleuromutilines</v>
      </c>
      <c r="BQ496" t="str">
        <f t="shared" si="147"/>
        <v>Pleuromutilines</v>
      </c>
      <c r="BR496" t="str">
        <f t="shared" si="148"/>
        <v/>
      </c>
      <c r="BS496" t="str">
        <f t="shared" si="149"/>
        <v/>
      </c>
      <c r="BT496" s="76" t="str">
        <f t="shared" si="150"/>
        <v>Prémélanges médicamenteux</v>
      </c>
      <c r="BU496" t="str">
        <f t="shared" si="151"/>
        <v/>
      </c>
      <c r="CN496">
        <v>495</v>
      </c>
    </row>
    <row r="497" spans="1:92" x14ac:dyDescent="0.3">
      <c r="A497" s="118" t="s">
        <v>4212</v>
      </c>
      <c r="B497" t="s">
        <v>4213</v>
      </c>
      <c r="C497" t="s">
        <v>2611</v>
      </c>
      <c r="D497" t="s">
        <v>852</v>
      </c>
      <c r="E497" t="s">
        <v>813</v>
      </c>
      <c r="F497" t="s">
        <v>4214</v>
      </c>
      <c r="G497" t="s">
        <v>815</v>
      </c>
      <c r="H497" t="s">
        <v>860</v>
      </c>
      <c r="I497" t="s">
        <v>817</v>
      </c>
      <c r="J497" t="s">
        <v>768</v>
      </c>
      <c r="K497" t="s">
        <v>768</v>
      </c>
      <c r="L497" t="s">
        <v>2121</v>
      </c>
      <c r="M497" t="s">
        <v>208</v>
      </c>
      <c r="N497" t="s">
        <v>864</v>
      </c>
      <c r="O497" t="s">
        <v>824</v>
      </c>
      <c r="P497" t="s">
        <v>772</v>
      </c>
      <c r="Q497" t="s">
        <v>1033</v>
      </c>
      <c r="R497">
        <v>0</v>
      </c>
      <c r="S497">
        <v>0</v>
      </c>
      <c r="T497">
        <v>10</v>
      </c>
      <c r="U497">
        <v>7</v>
      </c>
      <c r="V497">
        <v>0</v>
      </c>
      <c r="W497">
        <v>0</v>
      </c>
      <c r="X497">
        <v>0</v>
      </c>
      <c r="Y497">
        <v>0</v>
      </c>
      <c r="Z497">
        <v>0</v>
      </c>
      <c r="AA497">
        <v>0</v>
      </c>
      <c r="AB497">
        <v>0</v>
      </c>
      <c r="AC497">
        <v>0</v>
      </c>
      <c r="AD497">
        <v>0</v>
      </c>
      <c r="AE497">
        <v>0</v>
      </c>
      <c r="AF497">
        <v>0</v>
      </c>
      <c r="AG497">
        <v>0</v>
      </c>
      <c r="AH497">
        <v>0</v>
      </c>
      <c r="AI497">
        <v>0</v>
      </c>
      <c r="AY497" t="str">
        <f t="shared" si="133"/>
        <v/>
      </c>
      <c r="AZ497" t="str">
        <f>IF(COUNTIF(AY:AY,AY497)=1,AY497,IF(AND(COUNTIF(AY:AY,AY497)&gt;1,COUNTIF(AZ$2:AZ496,AY497)&gt;=1),"",AY497))</f>
        <v/>
      </c>
      <c r="BA497" t="str">
        <f>IF(AZ497="","",COUNTIFS(AZ$3:AZ$1439,"&lt;"&amp;AZ497,AZ$3:AZ$1439,"&lt;&gt;0")+COUNTIF(AZ$3:AZ497,AZ497)-876)</f>
        <v/>
      </c>
      <c r="BC497">
        <v>495</v>
      </c>
      <c r="BD497" t="str">
        <f t="shared" si="144"/>
        <v>TIAMUVAL PREMELANGE MEDICAMENTEUX TIAMULINE 16,2 PNEUMONIE VOLAILLE-PORC</v>
      </c>
      <c r="BE497" t="str">
        <f t="shared" si="134"/>
        <v>PM</v>
      </c>
      <c r="BF497" t="str">
        <f t="shared" si="135"/>
        <v>PLEUROMUTILINES</v>
      </c>
      <c r="BG497" t="str">
        <f t="shared" si="136"/>
        <v/>
      </c>
      <c r="BH497" t="str">
        <f t="shared" si="137"/>
        <v/>
      </c>
      <c r="BI497" t="str">
        <f t="shared" si="138"/>
        <v>tiamulin</v>
      </c>
      <c r="BJ497" t="str">
        <f t="shared" si="139"/>
        <v/>
      </c>
      <c r="BK497" t="str">
        <f t="shared" si="140"/>
        <v/>
      </c>
      <c r="BL497" t="str">
        <f t="shared" si="145"/>
        <v>Tiamuline</v>
      </c>
      <c r="BM497" t="str">
        <f t="shared" si="141"/>
        <v>Tiamuline</v>
      </c>
      <c r="BN497" t="str">
        <f t="shared" si="142"/>
        <v/>
      </c>
      <c r="BO497" t="str">
        <f t="shared" si="143"/>
        <v/>
      </c>
      <c r="BP497" t="str">
        <f t="shared" si="146"/>
        <v>Pleuromutilines</v>
      </c>
      <c r="BQ497" t="str">
        <f t="shared" si="147"/>
        <v>Pleuromutilines</v>
      </c>
      <c r="BR497" t="str">
        <f t="shared" si="148"/>
        <v/>
      </c>
      <c r="BS497" t="str">
        <f t="shared" si="149"/>
        <v/>
      </c>
      <c r="BT497" s="76" t="str">
        <f t="shared" si="150"/>
        <v>Prémélanges médicamenteux</v>
      </c>
      <c r="BU497" t="str">
        <f t="shared" si="151"/>
        <v/>
      </c>
      <c r="CN497">
        <v>496</v>
      </c>
    </row>
    <row r="498" spans="1:92" x14ac:dyDescent="0.3">
      <c r="A498" s="118" t="s">
        <v>4215</v>
      </c>
      <c r="B498" t="s">
        <v>4216</v>
      </c>
      <c r="C498" t="s">
        <v>2611</v>
      </c>
      <c r="D498" t="s">
        <v>852</v>
      </c>
      <c r="E498" t="s">
        <v>813</v>
      </c>
      <c r="F498" t="s">
        <v>4217</v>
      </c>
      <c r="G498" t="s">
        <v>815</v>
      </c>
      <c r="H498" t="s">
        <v>860</v>
      </c>
      <c r="I498" t="s">
        <v>817</v>
      </c>
      <c r="J498" t="s">
        <v>768</v>
      </c>
      <c r="K498" t="s">
        <v>768</v>
      </c>
      <c r="L498" t="s">
        <v>2121</v>
      </c>
      <c r="M498" t="s">
        <v>208</v>
      </c>
      <c r="N498" t="s">
        <v>939</v>
      </c>
      <c r="O498" t="s">
        <v>824</v>
      </c>
      <c r="P498" t="s">
        <v>772</v>
      </c>
      <c r="Q498" t="s">
        <v>934</v>
      </c>
      <c r="R498">
        <v>0</v>
      </c>
      <c r="S498">
        <v>0</v>
      </c>
      <c r="T498">
        <v>10</v>
      </c>
      <c r="U498">
        <v>7</v>
      </c>
      <c r="V498">
        <v>0</v>
      </c>
      <c r="W498">
        <v>0</v>
      </c>
      <c r="X498">
        <v>0</v>
      </c>
      <c r="Y498">
        <v>0</v>
      </c>
      <c r="Z498">
        <v>0</v>
      </c>
      <c r="AA498">
        <v>0</v>
      </c>
      <c r="AB498">
        <v>0</v>
      </c>
      <c r="AC498">
        <v>0</v>
      </c>
      <c r="AD498">
        <v>0</v>
      </c>
      <c r="AE498">
        <v>0</v>
      </c>
      <c r="AF498">
        <v>0</v>
      </c>
      <c r="AG498">
        <v>0</v>
      </c>
      <c r="AH498">
        <v>0</v>
      </c>
      <c r="AI498">
        <v>0</v>
      </c>
      <c r="AY498" t="str">
        <f t="shared" si="133"/>
        <v/>
      </c>
      <c r="AZ498" t="str">
        <f>IF(COUNTIF(AY:AY,AY498)=1,AY498,IF(AND(COUNTIF(AY:AY,AY498)&gt;1,COUNTIF(AZ$2:AZ497,AY498)&gt;=1),"",AY498))</f>
        <v/>
      </c>
      <c r="BA498" t="str">
        <f>IF(AZ498="","",COUNTIFS(AZ$3:AZ$1439,"&lt;"&amp;AZ498,AZ$3:AZ$1439,"&lt;&gt;0")+COUNTIF(AZ$3:AZ498,AZ498)-876)</f>
        <v/>
      </c>
      <c r="BC498">
        <v>496</v>
      </c>
      <c r="BD498" t="str">
        <f t="shared" si="144"/>
        <v>TIAMUVAL PREMELANGE MEDICAMENTEUX TIAMULINE 6,5 ENTERITE PORC ENTEROCOLITE LAPIN</v>
      </c>
      <c r="BE498" t="str">
        <f t="shared" si="134"/>
        <v>PM</v>
      </c>
      <c r="BF498" t="str">
        <f t="shared" si="135"/>
        <v>PLEUROMUTILINES</v>
      </c>
      <c r="BG498" t="str">
        <f t="shared" si="136"/>
        <v/>
      </c>
      <c r="BH498" t="str">
        <f t="shared" si="137"/>
        <v/>
      </c>
      <c r="BI498" t="str">
        <f t="shared" si="138"/>
        <v>tiamulin</v>
      </c>
      <c r="BJ498" t="str">
        <f t="shared" si="139"/>
        <v/>
      </c>
      <c r="BK498" t="str">
        <f t="shared" si="140"/>
        <v/>
      </c>
      <c r="BL498" t="str">
        <f t="shared" si="145"/>
        <v>Tiamuline</v>
      </c>
      <c r="BM498" t="str">
        <f t="shared" si="141"/>
        <v>Tiamuline</v>
      </c>
      <c r="BN498" t="str">
        <f t="shared" si="142"/>
        <v/>
      </c>
      <c r="BO498" t="str">
        <f t="shared" si="143"/>
        <v/>
      </c>
      <c r="BP498" t="str">
        <f t="shared" si="146"/>
        <v>Pleuromutilines</v>
      </c>
      <c r="BQ498" t="str">
        <f t="shared" si="147"/>
        <v>Pleuromutilines</v>
      </c>
      <c r="BR498" t="str">
        <f t="shared" si="148"/>
        <v/>
      </c>
      <c r="BS498" t="str">
        <f t="shared" si="149"/>
        <v/>
      </c>
      <c r="BT498" s="76" t="str">
        <f t="shared" si="150"/>
        <v>Prémélanges médicamenteux</v>
      </c>
      <c r="BU498" t="str">
        <f t="shared" si="151"/>
        <v/>
      </c>
      <c r="CN498">
        <v>497</v>
      </c>
    </row>
    <row r="499" spans="1:92" x14ac:dyDescent="0.3">
      <c r="A499" s="118" t="s">
        <v>4209</v>
      </c>
      <c r="B499" t="s">
        <v>4210</v>
      </c>
      <c r="C499" t="s">
        <v>2611</v>
      </c>
      <c r="D499" t="s">
        <v>852</v>
      </c>
      <c r="E499" t="s">
        <v>813</v>
      </c>
      <c r="F499" t="s">
        <v>4211</v>
      </c>
      <c r="G499" t="s">
        <v>815</v>
      </c>
      <c r="H499" t="s">
        <v>816</v>
      </c>
      <c r="I499" t="s">
        <v>817</v>
      </c>
      <c r="J499" t="s">
        <v>768</v>
      </c>
      <c r="K499" t="s">
        <v>768</v>
      </c>
      <c r="L499" t="s">
        <v>2121</v>
      </c>
      <c r="M499" t="s">
        <v>208</v>
      </c>
      <c r="N499" t="s">
        <v>780</v>
      </c>
      <c r="O499" t="s">
        <v>824</v>
      </c>
      <c r="P499" t="s">
        <v>772</v>
      </c>
      <c r="Q499" t="s">
        <v>825</v>
      </c>
      <c r="R499">
        <v>0</v>
      </c>
      <c r="S499">
        <v>0</v>
      </c>
      <c r="T499">
        <v>10</v>
      </c>
      <c r="U499">
        <v>7</v>
      </c>
      <c r="V499">
        <v>0</v>
      </c>
      <c r="W499">
        <v>0</v>
      </c>
      <c r="X499">
        <v>0</v>
      </c>
      <c r="Y499">
        <v>0</v>
      </c>
      <c r="Z499">
        <v>0</v>
      </c>
      <c r="AA499">
        <v>0</v>
      </c>
      <c r="AB499">
        <v>0</v>
      </c>
      <c r="AC499">
        <v>0</v>
      </c>
      <c r="AD499">
        <v>0</v>
      </c>
      <c r="AE499">
        <v>0</v>
      </c>
      <c r="AF499">
        <v>0</v>
      </c>
      <c r="AG499">
        <v>0</v>
      </c>
      <c r="AH499">
        <v>0</v>
      </c>
      <c r="AI499">
        <v>0</v>
      </c>
      <c r="AY499" t="str">
        <f t="shared" si="133"/>
        <v/>
      </c>
      <c r="AZ499" t="str">
        <f>IF(COUNTIF(AY:AY,AY499)=1,AY499,IF(AND(COUNTIF(AY:AY,AY499)&gt;1,COUNTIF(AZ$2:AZ498,AY499)&gt;=1),"",AY499))</f>
        <v/>
      </c>
      <c r="BA499" t="str">
        <f>IF(AZ499="","",COUNTIFS(AZ$3:AZ$1439,"&lt;"&amp;AZ499,AZ$3:AZ$1439,"&lt;&gt;0")+COUNTIF(AZ$3:AZ499,AZ499)-876)</f>
        <v/>
      </c>
      <c r="BC499">
        <v>497</v>
      </c>
      <c r="BD499" t="str">
        <f t="shared" si="144"/>
        <v>TIAMVET SOLUTION</v>
      </c>
      <c r="BE499" t="str">
        <f t="shared" si="134"/>
        <v>ORAL</v>
      </c>
      <c r="BF499" t="str">
        <f t="shared" si="135"/>
        <v>PLEUROMUTILINES</v>
      </c>
      <c r="BG499" t="str">
        <f t="shared" si="136"/>
        <v/>
      </c>
      <c r="BH499" t="str">
        <f t="shared" si="137"/>
        <v/>
      </c>
      <c r="BI499" t="str">
        <f t="shared" si="138"/>
        <v>tiamulin</v>
      </c>
      <c r="BJ499" t="str">
        <f t="shared" si="139"/>
        <v/>
      </c>
      <c r="BK499" t="str">
        <f t="shared" si="140"/>
        <v/>
      </c>
      <c r="BL499" t="str">
        <f t="shared" si="145"/>
        <v>Tiamuline</v>
      </c>
      <c r="BM499" t="str">
        <f t="shared" si="141"/>
        <v>Tiamuline</v>
      </c>
      <c r="BN499" t="str">
        <f t="shared" si="142"/>
        <v/>
      </c>
      <c r="BO499" t="str">
        <f t="shared" si="143"/>
        <v/>
      </c>
      <c r="BP499" t="str">
        <f t="shared" si="146"/>
        <v>Pleuromutilines</v>
      </c>
      <c r="BQ499" t="str">
        <f t="shared" si="147"/>
        <v>Pleuromutilines</v>
      </c>
      <c r="BR499" t="str">
        <f t="shared" si="148"/>
        <v/>
      </c>
      <c r="BS499" t="str">
        <f t="shared" si="149"/>
        <v/>
      </c>
      <c r="BT499" s="76" t="str">
        <f t="shared" si="150"/>
        <v>Voie orale  hors prémélanges médicamenteux</v>
      </c>
      <c r="BU499" t="str">
        <f t="shared" si="151"/>
        <v/>
      </c>
      <c r="CN499">
        <v>498</v>
      </c>
    </row>
    <row r="500" spans="1:92" x14ac:dyDescent="0.3">
      <c r="A500" s="118" t="s">
        <v>4654</v>
      </c>
      <c r="B500" t="s">
        <v>4655</v>
      </c>
      <c r="C500" t="s">
        <v>3647</v>
      </c>
      <c r="D500" t="s">
        <v>776</v>
      </c>
      <c r="E500" t="s">
        <v>813</v>
      </c>
      <c r="F500" t="s">
        <v>4656</v>
      </c>
      <c r="G500" t="s">
        <v>815</v>
      </c>
      <c r="H500" t="s">
        <v>816</v>
      </c>
      <c r="I500" t="s">
        <v>817</v>
      </c>
      <c r="J500" t="s">
        <v>768</v>
      </c>
      <c r="K500" t="s">
        <v>768</v>
      </c>
      <c r="L500" t="s">
        <v>2121</v>
      </c>
      <c r="M500" t="s">
        <v>208</v>
      </c>
      <c r="N500" t="s">
        <v>864</v>
      </c>
      <c r="O500" t="s">
        <v>824</v>
      </c>
      <c r="P500" t="s">
        <v>772</v>
      </c>
      <c r="Q500" t="s">
        <v>780</v>
      </c>
      <c r="R500">
        <v>0</v>
      </c>
      <c r="S500">
        <v>0</v>
      </c>
      <c r="T500">
        <v>10</v>
      </c>
      <c r="U500">
        <v>7</v>
      </c>
      <c r="V500">
        <v>0</v>
      </c>
      <c r="W500">
        <v>0</v>
      </c>
      <c r="X500">
        <v>0</v>
      </c>
      <c r="Y500">
        <v>0</v>
      </c>
      <c r="Z500">
        <v>0</v>
      </c>
      <c r="AA500">
        <v>0</v>
      </c>
      <c r="AB500">
        <v>0</v>
      </c>
      <c r="AC500">
        <v>0</v>
      </c>
      <c r="AD500">
        <v>0</v>
      </c>
      <c r="AE500">
        <v>0</v>
      </c>
      <c r="AF500">
        <v>0</v>
      </c>
      <c r="AG500">
        <v>0</v>
      </c>
      <c r="AH500">
        <v>0</v>
      </c>
      <c r="AI500">
        <v>0</v>
      </c>
      <c r="AY500" t="str">
        <f t="shared" si="133"/>
        <v/>
      </c>
      <c r="AZ500" t="str">
        <f>IF(COUNTIF(AY:AY,AY500)=1,AY500,IF(AND(COUNTIF(AY:AY,AY500)&gt;1,COUNTIF(AZ$2:AZ499,AY500)&gt;=1),"",AY500))</f>
        <v/>
      </c>
      <c r="BA500" t="str">
        <f>IF(AZ500="","",COUNTIFS(AZ$3:AZ$1439,"&lt;"&amp;AZ500,AZ$3:AZ$1439,"&lt;&gt;0")+COUNTIF(AZ$3:AZ500,AZ500)-876)</f>
        <v/>
      </c>
      <c r="BC500">
        <v>498</v>
      </c>
      <c r="BD500" t="str">
        <f t="shared" si="144"/>
        <v>TILDOSIN 250 MG/ML SOLUTION POUR ADMINISTRATION DANS L'EAU DE BOISSON OU LAIT DE REMPLACEMENT POUR BOVINS, PORCINS, POULETS ET DINDES</v>
      </c>
      <c r="BE500" t="str">
        <f t="shared" si="134"/>
        <v>ORAL</v>
      </c>
      <c r="BF500" t="str">
        <f t="shared" si="135"/>
        <v>MACROLIDES</v>
      </c>
      <c r="BG500" t="str">
        <f t="shared" si="136"/>
        <v/>
      </c>
      <c r="BH500" t="str">
        <f t="shared" si="137"/>
        <v/>
      </c>
      <c r="BI500" t="str">
        <f t="shared" si="138"/>
        <v>tilmicosin</v>
      </c>
      <c r="BJ500" t="str">
        <f t="shared" si="139"/>
        <v/>
      </c>
      <c r="BK500" t="str">
        <f t="shared" si="140"/>
        <v/>
      </c>
      <c r="BL500" t="str">
        <f t="shared" si="145"/>
        <v>Tilmicosine</v>
      </c>
      <c r="BM500" t="str">
        <f t="shared" si="141"/>
        <v>Tilmicosine</v>
      </c>
      <c r="BN500" t="str">
        <f t="shared" si="142"/>
        <v/>
      </c>
      <c r="BO500" t="str">
        <f t="shared" si="143"/>
        <v/>
      </c>
      <c r="BP500" t="str">
        <f t="shared" si="146"/>
        <v>Macrolides</v>
      </c>
      <c r="BQ500" t="str">
        <f t="shared" si="147"/>
        <v>Macrolides</v>
      </c>
      <c r="BR500" t="str">
        <f t="shared" si="148"/>
        <v/>
      </c>
      <c r="BS500" t="str">
        <f t="shared" si="149"/>
        <v/>
      </c>
      <c r="BT500" s="76" t="str">
        <f t="shared" si="150"/>
        <v>Voie orale  hors prémélanges médicamenteux</v>
      </c>
      <c r="BU500" t="str">
        <f t="shared" si="151"/>
        <v/>
      </c>
      <c r="CN500">
        <v>499</v>
      </c>
    </row>
    <row r="501" spans="1:92" x14ac:dyDescent="0.3">
      <c r="A501" s="118" t="s">
        <v>4651</v>
      </c>
      <c r="B501" t="s">
        <v>4652</v>
      </c>
      <c r="C501" t="s">
        <v>3647</v>
      </c>
      <c r="D501" t="s">
        <v>776</v>
      </c>
      <c r="E501" t="s">
        <v>813</v>
      </c>
      <c r="F501" t="s">
        <v>4653</v>
      </c>
      <c r="G501" t="s">
        <v>815</v>
      </c>
      <c r="H501" t="s">
        <v>816</v>
      </c>
      <c r="I501" t="s">
        <v>817</v>
      </c>
      <c r="J501" t="s">
        <v>768</v>
      </c>
      <c r="K501" t="s">
        <v>768</v>
      </c>
      <c r="L501" t="s">
        <v>2121</v>
      </c>
      <c r="M501" t="s">
        <v>208</v>
      </c>
      <c r="N501" t="s">
        <v>932</v>
      </c>
      <c r="O501" t="s">
        <v>824</v>
      </c>
      <c r="P501" t="s">
        <v>772</v>
      </c>
      <c r="Q501" t="s">
        <v>852</v>
      </c>
      <c r="R501">
        <v>0</v>
      </c>
      <c r="S501">
        <v>0</v>
      </c>
      <c r="T501">
        <v>10</v>
      </c>
      <c r="U501">
        <v>7</v>
      </c>
      <c r="V501">
        <v>0</v>
      </c>
      <c r="W501">
        <v>0</v>
      </c>
      <c r="X501">
        <v>0</v>
      </c>
      <c r="Y501">
        <v>0</v>
      </c>
      <c r="Z501">
        <v>0</v>
      </c>
      <c r="AA501">
        <v>0</v>
      </c>
      <c r="AB501">
        <v>0</v>
      </c>
      <c r="AC501">
        <v>0</v>
      </c>
      <c r="AD501">
        <v>0</v>
      </c>
      <c r="AE501">
        <v>0</v>
      </c>
      <c r="AF501">
        <v>0</v>
      </c>
      <c r="AG501">
        <v>0</v>
      </c>
      <c r="AH501">
        <v>0</v>
      </c>
      <c r="AI501">
        <v>0</v>
      </c>
      <c r="AY501" t="str">
        <f t="shared" si="133"/>
        <v/>
      </c>
      <c r="AZ501" t="str">
        <f>IF(COUNTIF(AY:AY,AY501)=1,AY501,IF(AND(COUNTIF(AY:AY,AY501)&gt;1,COUNTIF(AZ$2:AZ500,AY501)&gt;=1),"",AY501))</f>
        <v/>
      </c>
      <c r="BA501" t="str">
        <f>IF(AZ501="","",COUNTIFS(AZ$3:AZ$1439,"&lt;"&amp;AZ501,AZ$3:AZ$1439,"&lt;&gt;0")+COUNTIF(AZ$3:AZ501,AZ501)-876)</f>
        <v/>
      </c>
      <c r="BC501">
        <v>499</v>
      </c>
      <c r="BD501" t="str">
        <f t="shared" si="144"/>
        <v>TILMOPRO 250 MG/ML SOLUTION BUVABLE POUR UTILISATION DANS L'EAU DE BOISSON / LAIT</v>
      </c>
      <c r="BE501" t="str">
        <f t="shared" si="134"/>
        <v>ORAL</v>
      </c>
      <c r="BF501" t="str">
        <f t="shared" si="135"/>
        <v>MACROLIDES</v>
      </c>
      <c r="BG501" t="str">
        <f t="shared" si="136"/>
        <v/>
      </c>
      <c r="BH501" t="str">
        <f t="shared" si="137"/>
        <v/>
      </c>
      <c r="BI501" t="str">
        <f t="shared" si="138"/>
        <v>tilmicosin</v>
      </c>
      <c r="BJ501" t="str">
        <f t="shared" si="139"/>
        <v/>
      </c>
      <c r="BK501" t="str">
        <f t="shared" si="140"/>
        <v/>
      </c>
      <c r="BL501" t="str">
        <f t="shared" si="145"/>
        <v>Tilmicosine</v>
      </c>
      <c r="BM501" t="str">
        <f t="shared" si="141"/>
        <v>Tilmicosine</v>
      </c>
      <c r="BN501" t="str">
        <f t="shared" si="142"/>
        <v/>
      </c>
      <c r="BO501" t="str">
        <f t="shared" si="143"/>
        <v/>
      </c>
      <c r="BP501" t="str">
        <f t="shared" si="146"/>
        <v>Macrolides</v>
      </c>
      <c r="BQ501" t="str">
        <f t="shared" si="147"/>
        <v>Macrolides</v>
      </c>
      <c r="BR501" t="str">
        <f t="shared" si="148"/>
        <v/>
      </c>
      <c r="BS501" t="str">
        <f t="shared" si="149"/>
        <v/>
      </c>
      <c r="BT501" s="76" t="str">
        <f t="shared" si="150"/>
        <v>Voie orale  hors prémélanges médicamenteux</v>
      </c>
      <c r="BU501" t="str">
        <f t="shared" si="151"/>
        <v/>
      </c>
      <c r="CN501">
        <v>500</v>
      </c>
    </row>
    <row r="502" spans="1:92" x14ac:dyDescent="0.3">
      <c r="A502" s="118" t="s">
        <v>3441</v>
      </c>
      <c r="B502" t="s">
        <v>3442</v>
      </c>
      <c r="C502" t="s">
        <v>3443</v>
      </c>
      <c r="D502" s="144" t="s">
        <v>1063</v>
      </c>
      <c r="E502" t="s">
        <v>830</v>
      </c>
      <c r="F502" t="s">
        <v>329</v>
      </c>
      <c r="G502" t="s">
        <v>831</v>
      </c>
      <c r="H502" t="s">
        <v>3349</v>
      </c>
      <c r="I502" t="s">
        <v>817</v>
      </c>
      <c r="J502" t="s">
        <v>768</v>
      </c>
      <c r="K502" t="s">
        <v>768</v>
      </c>
      <c r="L502" t="s">
        <v>2121</v>
      </c>
      <c r="M502" t="s">
        <v>208</v>
      </c>
      <c r="N502" t="s">
        <v>906</v>
      </c>
      <c r="O502" t="s">
        <v>894</v>
      </c>
      <c r="P502" t="s">
        <v>772</v>
      </c>
      <c r="Q502" t="s">
        <v>3444</v>
      </c>
      <c r="R502">
        <v>0</v>
      </c>
      <c r="S502">
        <v>0</v>
      </c>
      <c r="T502">
        <v>0</v>
      </c>
      <c r="U502">
        <v>0</v>
      </c>
      <c r="V502">
        <v>0</v>
      </c>
      <c r="W502">
        <v>0</v>
      </c>
      <c r="X502">
        <v>0</v>
      </c>
      <c r="Y502">
        <v>0</v>
      </c>
      <c r="Z502">
        <v>0</v>
      </c>
      <c r="AA502">
        <v>0</v>
      </c>
      <c r="AB502">
        <v>0</v>
      </c>
      <c r="AC502">
        <v>0</v>
      </c>
      <c r="AD502">
        <v>10</v>
      </c>
      <c r="AE502">
        <v>5</v>
      </c>
      <c r="AF502">
        <v>20</v>
      </c>
      <c r="AG502">
        <v>5</v>
      </c>
      <c r="AH502">
        <v>0</v>
      </c>
      <c r="AI502">
        <v>0</v>
      </c>
      <c r="AY502" t="str">
        <f t="shared" si="133"/>
        <v>DOXYCYCLINE CALIER 500 MG/G POUDRE POUR ADMINISTRATION DANS L'EAU DE BOISSON POUR POULETS, DINDES ET PORCINS</v>
      </c>
      <c r="AZ502" t="str">
        <f>IF(COUNTIF(AY:AY,AY502)=1,AY502,IF(AND(COUNTIF(AY:AY,AY502)&gt;1,COUNTIF(AZ$2:AZ501,AY502)&gt;=1),"",AY502))</f>
        <v>DOXYCYCLINE CALIER 500 MG/G POUDRE POUR ADMINISTRATION DANS L'EAU DE BOISSON POUR POULETS, DINDES ET PORCINS</v>
      </c>
      <c r="BA502">
        <f>IF(AZ502="","",COUNTIFS(AZ$3:AZ$1439,"&lt;"&amp;AZ502,AZ$3:AZ$1439,"&lt;&gt;0")+COUNTIF(AZ$3:AZ502,AZ502)-876)</f>
        <v>191</v>
      </c>
      <c r="BC502">
        <v>500</v>
      </c>
      <c r="BD502" t="str">
        <f t="shared" si="144"/>
        <v>TILMOVET 250 MG/ML SOLUTION BUVABLE</v>
      </c>
      <c r="BE502" t="str">
        <f t="shared" si="134"/>
        <v>ORAL</v>
      </c>
      <c r="BF502" t="str">
        <f t="shared" si="135"/>
        <v>MACROLIDES</v>
      </c>
      <c r="BG502" t="str">
        <f t="shared" si="136"/>
        <v/>
      </c>
      <c r="BH502" t="str">
        <f t="shared" si="137"/>
        <v/>
      </c>
      <c r="BI502" t="str">
        <f t="shared" si="138"/>
        <v>tilmicosin</v>
      </c>
      <c r="BJ502" t="str">
        <f t="shared" si="139"/>
        <v/>
      </c>
      <c r="BK502" t="str">
        <f t="shared" si="140"/>
        <v/>
      </c>
      <c r="BL502" t="str">
        <f t="shared" si="145"/>
        <v>Tilmicosine</v>
      </c>
      <c r="BM502" t="str">
        <f t="shared" si="141"/>
        <v>Tilmicosine</v>
      </c>
      <c r="BN502" t="str">
        <f t="shared" si="142"/>
        <v/>
      </c>
      <c r="BO502" t="str">
        <f t="shared" si="143"/>
        <v/>
      </c>
      <c r="BP502" t="str">
        <f t="shared" si="146"/>
        <v>Macrolides</v>
      </c>
      <c r="BQ502" t="str">
        <f t="shared" si="147"/>
        <v>Macrolides</v>
      </c>
      <c r="BR502" t="str">
        <f t="shared" si="148"/>
        <v/>
      </c>
      <c r="BS502" t="str">
        <f t="shared" si="149"/>
        <v/>
      </c>
      <c r="BT502" s="76" t="str">
        <f t="shared" si="150"/>
        <v>Voie orale  hors prémélanges médicamenteux</v>
      </c>
      <c r="BU502" t="str">
        <f t="shared" si="151"/>
        <v/>
      </c>
      <c r="CN502">
        <v>501</v>
      </c>
    </row>
    <row r="503" spans="1:92" x14ac:dyDescent="0.3">
      <c r="A503" s="118" t="s">
        <v>3441</v>
      </c>
      <c r="B503" t="s">
        <v>3445</v>
      </c>
      <c r="C503" t="s">
        <v>3446</v>
      </c>
      <c r="D503" s="144" t="s">
        <v>955</v>
      </c>
      <c r="E503" t="s">
        <v>830</v>
      </c>
      <c r="F503" t="s">
        <v>329</v>
      </c>
      <c r="G503" t="s">
        <v>831</v>
      </c>
      <c r="H503" t="s">
        <v>3349</v>
      </c>
      <c r="I503" t="s">
        <v>817</v>
      </c>
      <c r="J503" t="s">
        <v>768</v>
      </c>
      <c r="K503" t="s">
        <v>768</v>
      </c>
      <c r="L503" t="s">
        <v>2121</v>
      </c>
      <c r="M503" t="s">
        <v>208</v>
      </c>
      <c r="N503" t="s">
        <v>906</v>
      </c>
      <c r="O503" t="s">
        <v>894</v>
      </c>
      <c r="P503" t="s">
        <v>772</v>
      </c>
      <c r="Q503" t="s">
        <v>966</v>
      </c>
      <c r="R503">
        <v>0</v>
      </c>
      <c r="S503">
        <v>0</v>
      </c>
      <c r="T503">
        <v>0</v>
      </c>
      <c r="U503">
        <v>0</v>
      </c>
      <c r="V503">
        <v>0</v>
      </c>
      <c r="W503">
        <v>0</v>
      </c>
      <c r="X503">
        <v>0</v>
      </c>
      <c r="Y503">
        <v>0</v>
      </c>
      <c r="Z503">
        <v>0</v>
      </c>
      <c r="AA503">
        <v>0</v>
      </c>
      <c r="AB503">
        <v>0</v>
      </c>
      <c r="AC503">
        <v>0</v>
      </c>
      <c r="AD503">
        <v>10</v>
      </c>
      <c r="AE503">
        <v>5</v>
      </c>
      <c r="AF503">
        <v>20</v>
      </c>
      <c r="AG503">
        <v>5</v>
      </c>
      <c r="AH503">
        <v>0</v>
      </c>
      <c r="AI503">
        <v>0</v>
      </c>
      <c r="AY503" t="str">
        <f t="shared" si="133"/>
        <v>DOXYCYCLINE CALIER 500 MG/G POUDRE POUR ADMINISTRATION DANS L'EAU DE BOISSON POUR POULETS, DINDES ET PORCINS</v>
      </c>
      <c r="AZ503" t="str">
        <f>IF(COUNTIF(AY:AY,AY503)=1,AY503,IF(AND(COUNTIF(AY:AY,AY503)&gt;1,COUNTIF(AZ$2:AZ502,AY503)&gt;=1),"",AY503))</f>
        <v/>
      </c>
      <c r="BA503" t="str">
        <f>IF(AZ503="","",COUNTIFS(AZ$3:AZ$1439,"&lt;"&amp;AZ503,AZ$3:AZ$1439,"&lt;&gt;0")+COUNTIF(AZ$3:AZ503,AZ503)-876)</f>
        <v/>
      </c>
      <c r="BC503">
        <v>501</v>
      </c>
      <c r="BD503" t="str">
        <f t="shared" si="144"/>
        <v>TILMOVET 300 MG/ML SOLUTION INJECTABLE POUR BOVINS ET OVINS</v>
      </c>
      <c r="BE503" t="str">
        <f t="shared" si="134"/>
        <v>INJ</v>
      </c>
      <c r="BF503" t="str">
        <f t="shared" si="135"/>
        <v>MACROLIDES</v>
      </c>
      <c r="BG503" t="str">
        <f t="shared" si="136"/>
        <v/>
      </c>
      <c r="BH503" t="str">
        <f t="shared" si="137"/>
        <v/>
      </c>
      <c r="BI503" t="str">
        <f t="shared" si="138"/>
        <v>tilmicosin</v>
      </c>
      <c r="BJ503" t="str">
        <f t="shared" si="139"/>
        <v/>
      </c>
      <c r="BK503" t="str">
        <f t="shared" si="140"/>
        <v/>
      </c>
      <c r="BL503" t="str">
        <f t="shared" si="145"/>
        <v>Tilmicosine</v>
      </c>
      <c r="BM503" t="str">
        <f t="shared" si="141"/>
        <v>Tilmicosine</v>
      </c>
      <c r="BN503" t="str">
        <f t="shared" si="142"/>
        <v/>
      </c>
      <c r="BO503" t="str">
        <f t="shared" si="143"/>
        <v/>
      </c>
      <c r="BP503" t="str">
        <f t="shared" si="146"/>
        <v>Macrolides</v>
      </c>
      <c r="BQ503" t="str">
        <f t="shared" si="147"/>
        <v>Macrolides</v>
      </c>
      <c r="BR503" t="str">
        <f t="shared" si="148"/>
        <v/>
      </c>
      <c r="BS503" t="str">
        <f t="shared" si="149"/>
        <v/>
      </c>
      <c r="BT503" s="76" t="str">
        <f t="shared" si="150"/>
        <v>Voie parentérale</v>
      </c>
      <c r="BU503" t="str">
        <f t="shared" si="151"/>
        <v/>
      </c>
      <c r="CN503">
        <v>502</v>
      </c>
    </row>
    <row r="504" spans="1:92" x14ac:dyDescent="0.3">
      <c r="A504" s="118" t="s">
        <v>3441</v>
      </c>
      <c r="B504" t="s">
        <v>3447</v>
      </c>
      <c r="C504" t="s">
        <v>3450</v>
      </c>
      <c r="D504" s="144" t="s">
        <v>924</v>
      </c>
      <c r="E504" t="s">
        <v>830</v>
      </c>
      <c r="F504" t="s">
        <v>329</v>
      </c>
      <c r="G504" t="s">
        <v>831</v>
      </c>
      <c r="H504" t="s">
        <v>3349</v>
      </c>
      <c r="I504" t="s">
        <v>817</v>
      </c>
      <c r="J504" t="s">
        <v>768</v>
      </c>
      <c r="K504" t="s">
        <v>768</v>
      </c>
      <c r="L504" t="s">
        <v>2121</v>
      </c>
      <c r="M504" t="s">
        <v>208</v>
      </c>
      <c r="N504" t="s">
        <v>906</v>
      </c>
      <c r="O504" t="s">
        <v>894</v>
      </c>
      <c r="P504" t="s">
        <v>772</v>
      </c>
      <c r="Q504" t="s">
        <v>955</v>
      </c>
      <c r="R504">
        <v>0</v>
      </c>
      <c r="S504">
        <v>0</v>
      </c>
      <c r="T504">
        <v>0</v>
      </c>
      <c r="U504">
        <v>0</v>
      </c>
      <c r="V504">
        <v>0</v>
      </c>
      <c r="W504">
        <v>0</v>
      </c>
      <c r="X504">
        <v>0</v>
      </c>
      <c r="Y504">
        <v>0</v>
      </c>
      <c r="Z504">
        <v>0</v>
      </c>
      <c r="AA504">
        <v>0</v>
      </c>
      <c r="AB504">
        <v>0</v>
      </c>
      <c r="AC504">
        <v>0</v>
      </c>
      <c r="AD504">
        <v>10</v>
      </c>
      <c r="AE504">
        <v>5</v>
      </c>
      <c r="AF504">
        <v>20</v>
      </c>
      <c r="AG504">
        <v>5</v>
      </c>
      <c r="AH504">
        <v>0</v>
      </c>
      <c r="AI504">
        <v>0</v>
      </c>
      <c r="AY504" t="str">
        <f t="shared" si="133"/>
        <v>DOXYCYCLINE CALIER 500 MG/G POUDRE POUR ADMINISTRATION DANS L'EAU DE BOISSON POUR POULETS, DINDES ET PORCINS</v>
      </c>
      <c r="AZ504" t="str">
        <f>IF(COUNTIF(AY:AY,AY504)=1,AY504,IF(AND(COUNTIF(AY:AY,AY504)&gt;1,COUNTIF(AZ$2:AZ503,AY504)&gt;=1),"",AY504))</f>
        <v/>
      </c>
      <c r="BA504" t="str">
        <f>IF(AZ504="","",COUNTIFS(AZ$3:AZ$1439,"&lt;"&amp;AZ504,AZ$3:AZ$1439,"&lt;&gt;0")+COUNTIF(AZ$3:AZ504,AZ504)-876)</f>
        <v/>
      </c>
      <c r="BC504">
        <v>502</v>
      </c>
      <c r="BD504" t="str">
        <f t="shared" si="144"/>
        <v>TILMOVET 40 G/KG PREMELANGE MEDICAMENTEUX POUR PORCS ET LAPINS</v>
      </c>
      <c r="BE504" t="str">
        <f t="shared" si="134"/>
        <v>PM</v>
      </c>
      <c r="BF504" t="str">
        <f t="shared" si="135"/>
        <v>MACROLIDES</v>
      </c>
      <c r="BG504" t="str">
        <f t="shared" si="136"/>
        <v/>
      </c>
      <c r="BH504" t="str">
        <f t="shared" si="137"/>
        <v/>
      </c>
      <c r="BI504" t="str">
        <f t="shared" si="138"/>
        <v>tilmicosin</v>
      </c>
      <c r="BJ504" t="str">
        <f t="shared" si="139"/>
        <v/>
      </c>
      <c r="BK504" t="str">
        <f t="shared" si="140"/>
        <v/>
      </c>
      <c r="BL504" t="str">
        <f t="shared" si="145"/>
        <v>Tilmicosine</v>
      </c>
      <c r="BM504" t="str">
        <f t="shared" si="141"/>
        <v>Tilmicosine</v>
      </c>
      <c r="BN504" t="str">
        <f t="shared" si="142"/>
        <v/>
      </c>
      <c r="BO504" t="str">
        <f t="shared" si="143"/>
        <v/>
      </c>
      <c r="BP504" t="str">
        <f t="shared" si="146"/>
        <v>Macrolides</v>
      </c>
      <c r="BQ504" t="str">
        <f t="shared" si="147"/>
        <v>Macrolides</v>
      </c>
      <c r="BR504" t="str">
        <f t="shared" si="148"/>
        <v/>
      </c>
      <c r="BS504" t="str">
        <f t="shared" si="149"/>
        <v/>
      </c>
      <c r="BT504" s="76" t="str">
        <f t="shared" si="150"/>
        <v>Prémélanges médicamenteux</v>
      </c>
      <c r="BU504" t="str">
        <f t="shared" si="151"/>
        <v/>
      </c>
      <c r="CN504">
        <v>503</v>
      </c>
    </row>
    <row r="505" spans="1:92" x14ac:dyDescent="0.3">
      <c r="A505" s="118" t="s">
        <v>3441</v>
      </c>
      <c r="B505" t="s">
        <v>3448</v>
      </c>
      <c r="C505" t="s">
        <v>1835</v>
      </c>
      <c r="D505" s="144" t="s">
        <v>829</v>
      </c>
      <c r="E505" t="s">
        <v>830</v>
      </c>
      <c r="F505" t="s">
        <v>329</v>
      </c>
      <c r="G505" t="s">
        <v>831</v>
      </c>
      <c r="H505" t="s">
        <v>3349</v>
      </c>
      <c r="I505" t="s">
        <v>817</v>
      </c>
      <c r="J505" t="s">
        <v>768</v>
      </c>
      <c r="K505" t="s">
        <v>768</v>
      </c>
      <c r="L505" t="s">
        <v>2121</v>
      </c>
      <c r="M505" t="s">
        <v>208</v>
      </c>
      <c r="N505" t="s">
        <v>906</v>
      </c>
      <c r="O505" t="s">
        <v>894</v>
      </c>
      <c r="P505" t="s">
        <v>772</v>
      </c>
      <c r="Q505" t="s">
        <v>906</v>
      </c>
      <c r="R505">
        <v>0</v>
      </c>
      <c r="S505">
        <v>0</v>
      </c>
      <c r="T505">
        <v>0</v>
      </c>
      <c r="U505">
        <v>0</v>
      </c>
      <c r="V505">
        <v>0</v>
      </c>
      <c r="W505">
        <v>0</v>
      </c>
      <c r="X505">
        <v>0</v>
      </c>
      <c r="Y505">
        <v>0</v>
      </c>
      <c r="Z505">
        <v>0</v>
      </c>
      <c r="AA505">
        <v>0</v>
      </c>
      <c r="AB505">
        <v>0</v>
      </c>
      <c r="AC505">
        <v>0</v>
      </c>
      <c r="AD505">
        <v>10</v>
      </c>
      <c r="AE505">
        <v>5</v>
      </c>
      <c r="AF505">
        <v>20</v>
      </c>
      <c r="AG505">
        <v>5</v>
      </c>
      <c r="AH505">
        <v>0</v>
      </c>
      <c r="AI505">
        <v>0</v>
      </c>
      <c r="AY505" t="str">
        <f t="shared" si="133"/>
        <v>DOXYCYCLINE CALIER 500 MG/G POUDRE POUR ADMINISTRATION DANS L'EAU DE BOISSON POUR POULETS, DINDES ET PORCINS</v>
      </c>
      <c r="AZ505" t="str">
        <f>IF(COUNTIF(AY:AY,AY505)=1,AY505,IF(AND(COUNTIF(AY:AY,AY505)&gt;1,COUNTIF(AZ$2:AZ504,AY505)&gt;=1),"",AY505))</f>
        <v/>
      </c>
      <c r="BA505" t="str">
        <f>IF(AZ505="","",COUNTIFS(AZ$3:AZ$1439,"&lt;"&amp;AZ505,AZ$3:AZ$1439,"&lt;&gt;0")+COUNTIF(AZ$3:AZ505,AZ505)-876)</f>
        <v/>
      </c>
      <c r="BC505">
        <v>503</v>
      </c>
      <c r="BD505" t="str">
        <f t="shared" si="144"/>
        <v>TRANSGRAM ORAL</v>
      </c>
      <c r="BE505" t="str">
        <f t="shared" si="134"/>
        <v>ORAL</v>
      </c>
      <c r="BF505" t="str">
        <f t="shared" si="135"/>
        <v>AMINOGLYCOSIDES</v>
      </c>
      <c r="BG505" t="str">
        <f t="shared" si="136"/>
        <v/>
      </c>
      <c r="BH505" t="str">
        <f t="shared" si="137"/>
        <v/>
      </c>
      <c r="BI505" t="str">
        <f t="shared" si="138"/>
        <v>gentamicin</v>
      </c>
      <c r="BJ505" t="str">
        <f t="shared" si="139"/>
        <v/>
      </c>
      <c r="BK505" t="str">
        <f t="shared" si="140"/>
        <v/>
      </c>
      <c r="BL505" t="str">
        <f t="shared" si="145"/>
        <v>Gentamicine</v>
      </c>
      <c r="BM505" t="str">
        <f t="shared" si="141"/>
        <v>Gentamicine</v>
      </c>
      <c r="BN505" t="str">
        <f t="shared" si="142"/>
        <v/>
      </c>
      <c r="BO505" t="str">
        <f t="shared" si="143"/>
        <v/>
      </c>
      <c r="BP505" t="str">
        <f t="shared" si="146"/>
        <v>Aminoglycosides</v>
      </c>
      <c r="BQ505" t="str">
        <f t="shared" si="147"/>
        <v>Aminoglycosides</v>
      </c>
      <c r="BR505" t="str">
        <f t="shared" si="148"/>
        <v/>
      </c>
      <c r="BS505" t="str">
        <f t="shared" si="149"/>
        <v/>
      </c>
      <c r="BT505" s="76" t="str">
        <f t="shared" si="150"/>
        <v>Voie orale  hors prémélanges médicamenteux</v>
      </c>
      <c r="BU505" t="str">
        <f t="shared" si="151"/>
        <v/>
      </c>
      <c r="CN505">
        <v>504</v>
      </c>
    </row>
    <row r="506" spans="1:92" x14ac:dyDescent="0.3">
      <c r="A506" s="118" t="s">
        <v>3441</v>
      </c>
      <c r="B506" t="s">
        <v>3449</v>
      </c>
      <c r="C506" t="s">
        <v>3450</v>
      </c>
      <c r="D506" s="144" t="s">
        <v>924</v>
      </c>
      <c r="E506" t="s">
        <v>830</v>
      </c>
      <c r="F506" t="s">
        <v>329</v>
      </c>
      <c r="G506" t="s">
        <v>831</v>
      </c>
      <c r="H506" t="s">
        <v>3349</v>
      </c>
      <c r="I506" t="s">
        <v>817</v>
      </c>
      <c r="J506" t="s">
        <v>768</v>
      </c>
      <c r="K506" t="s">
        <v>768</v>
      </c>
      <c r="L506" t="s">
        <v>2121</v>
      </c>
      <c r="M506" t="s">
        <v>208</v>
      </c>
      <c r="N506" t="s">
        <v>906</v>
      </c>
      <c r="O506" t="s">
        <v>894</v>
      </c>
      <c r="P506" t="s">
        <v>772</v>
      </c>
      <c r="Q506" t="s">
        <v>955</v>
      </c>
      <c r="R506">
        <v>0</v>
      </c>
      <c r="S506">
        <v>0</v>
      </c>
      <c r="T506">
        <v>0</v>
      </c>
      <c r="U506">
        <v>0</v>
      </c>
      <c r="V506">
        <v>0</v>
      </c>
      <c r="W506">
        <v>0</v>
      </c>
      <c r="X506">
        <v>0</v>
      </c>
      <c r="Y506">
        <v>0</v>
      </c>
      <c r="Z506">
        <v>0</v>
      </c>
      <c r="AA506">
        <v>0</v>
      </c>
      <c r="AB506">
        <v>0</v>
      </c>
      <c r="AC506">
        <v>0</v>
      </c>
      <c r="AD506">
        <v>10</v>
      </c>
      <c r="AE506">
        <v>5</v>
      </c>
      <c r="AF506">
        <v>20</v>
      </c>
      <c r="AG506">
        <v>5</v>
      </c>
      <c r="AH506">
        <v>0</v>
      </c>
      <c r="AI506">
        <v>0</v>
      </c>
      <c r="AY506" t="str">
        <f t="shared" si="133"/>
        <v>DOXYCYCLINE CALIER 500 MG/G POUDRE POUR ADMINISTRATION DANS L'EAU DE BOISSON POUR POULETS, DINDES ET PORCINS</v>
      </c>
      <c r="AZ506" t="str">
        <f>IF(COUNTIF(AY:AY,AY506)=1,AY506,IF(AND(COUNTIF(AY:AY,AY506)&gt;1,COUNTIF(AZ$2:AZ505,AY506)&gt;=1),"",AY506))</f>
        <v/>
      </c>
      <c r="BA506" t="str">
        <f>IF(AZ506="","",COUNTIFS(AZ$3:AZ$1439,"&lt;"&amp;AZ506,AZ$3:AZ$1439,"&lt;&gt;0")+COUNTIF(AZ$3:AZ506,AZ506)-876)</f>
        <v/>
      </c>
      <c r="BC506">
        <v>504</v>
      </c>
      <c r="BD506" t="str">
        <f t="shared" si="144"/>
        <v>TRIBRISSEN INJECTABLE</v>
      </c>
      <c r="BE506" t="str">
        <f t="shared" si="134"/>
        <v>INJ</v>
      </c>
      <c r="BF506" t="str">
        <f t="shared" si="135"/>
        <v>SULFAMIDES</v>
      </c>
      <c r="BG506" t="str">
        <f t="shared" si="136"/>
        <v>TRIMETHOPRIME</v>
      </c>
      <c r="BH506" t="str">
        <f t="shared" si="137"/>
        <v/>
      </c>
      <c r="BI506" t="str">
        <f t="shared" si="138"/>
        <v>sulfadiazine</v>
      </c>
      <c r="BJ506" t="str">
        <f t="shared" si="139"/>
        <v>trimethoprim</v>
      </c>
      <c r="BK506" t="str">
        <f t="shared" si="140"/>
        <v/>
      </c>
      <c r="BL506" t="str">
        <f t="shared" si="145"/>
        <v>Sulfadiazine + Triméthoprime</v>
      </c>
      <c r="BM506" t="str">
        <f t="shared" si="141"/>
        <v>Sulfadiazine</v>
      </c>
      <c r="BN506" t="str">
        <f t="shared" si="142"/>
        <v>Triméthoprime</v>
      </c>
      <c r="BO506" t="str">
        <f t="shared" si="143"/>
        <v/>
      </c>
      <c r="BP506" t="str">
        <f t="shared" si="146"/>
        <v>Sulfamides + Trimethoprime</v>
      </c>
      <c r="BQ506" t="str">
        <f t="shared" si="147"/>
        <v>Sulfamides</v>
      </c>
      <c r="BR506" t="str">
        <f t="shared" si="148"/>
        <v>Trimethoprime</v>
      </c>
      <c r="BS506" t="str">
        <f t="shared" si="149"/>
        <v/>
      </c>
      <c r="BT506" s="76" t="str">
        <f t="shared" si="150"/>
        <v>Voie parentérale</v>
      </c>
      <c r="BU506" t="str">
        <f t="shared" si="151"/>
        <v/>
      </c>
      <c r="CN506">
        <v>505</v>
      </c>
    </row>
    <row r="507" spans="1:92" x14ac:dyDescent="0.3">
      <c r="A507" s="118" t="s">
        <v>4564</v>
      </c>
      <c r="B507" t="s">
        <v>4565</v>
      </c>
      <c r="C507" t="s">
        <v>891</v>
      </c>
      <c r="D507" s="144" t="s">
        <v>829</v>
      </c>
      <c r="E507" t="s">
        <v>830</v>
      </c>
      <c r="F507" t="s">
        <v>330</v>
      </c>
      <c r="G507" t="s">
        <v>831</v>
      </c>
      <c r="H507" t="s">
        <v>1558</v>
      </c>
      <c r="I507" t="s">
        <v>817</v>
      </c>
      <c r="J507" t="s">
        <v>768</v>
      </c>
      <c r="K507" t="s">
        <v>768</v>
      </c>
      <c r="L507" t="s">
        <v>2121</v>
      </c>
      <c r="M507" t="s">
        <v>208</v>
      </c>
      <c r="N507" t="s">
        <v>4566</v>
      </c>
      <c r="O507" t="s">
        <v>894</v>
      </c>
      <c r="P507" t="s">
        <v>772</v>
      </c>
      <c r="Q507" t="s">
        <v>4566</v>
      </c>
      <c r="R507">
        <v>10</v>
      </c>
      <c r="S507">
        <v>5</v>
      </c>
      <c r="T507">
        <v>0</v>
      </c>
      <c r="U507">
        <v>0</v>
      </c>
      <c r="V507">
        <v>0</v>
      </c>
      <c r="W507">
        <v>0</v>
      </c>
      <c r="X507">
        <v>0</v>
      </c>
      <c r="Y507">
        <v>0</v>
      </c>
      <c r="Z507">
        <v>0</v>
      </c>
      <c r="AA507">
        <v>0</v>
      </c>
      <c r="AB507">
        <v>0</v>
      </c>
      <c r="AC507">
        <v>0</v>
      </c>
      <c r="AD507">
        <v>10</v>
      </c>
      <c r="AE507">
        <v>5</v>
      </c>
      <c r="AF507">
        <v>0</v>
      </c>
      <c r="AG507">
        <v>0</v>
      </c>
      <c r="AH507">
        <v>0</v>
      </c>
      <c r="AI507">
        <v>0</v>
      </c>
      <c r="AY507" t="str">
        <f t="shared" si="133"/>
        <v>DOXYLIN 867 MG/G POUDRE POUR ADMINISTRATION DANS L’EAU DE BOISSON/LE LAIT POUR VEAUX ET PORCS</v>
      </c>
      <c r="AZ507" t="str">
        <f>IF(COUNTIF(AY:AY,AY507)=1,AY507,IF(AND(COUNTIF(AY:AY,AY507)&gt;1,COUNTIF(AZ$2:AZ506,AY507)&gt;=1),"",AY507))</f>
        <v>DOXYLIN 867 MG/G POUDRE POUR ADMINISTRATION DANS L’EAU DE BOISSON/LE LAIT POUR VEAUX ET PORCS</v>
      </c>
      <c r="BA507">
        <f>IF(AZ507="","",COUNTIFS(AZ$3:AZ$1439,"&lt;"&amp;AZ507,AZ$3:AZ$1439,"&lt;&gt;0")+COUNTIF(AZ$3:AZ507,AZ507)-876)</f>
        <v>192</v>
      </c>
      <c r="BC507">
        <v>505</v>
      </c>
      <c r="BD507" t="str">
        <f t="shared" si="144"/>
        <v>TRIBRISSEN POISSONS</v>
      </c>
      <c r="BE507" t="str">
        <f t="shared" si="134"/>
        <v>PM</v>
      </c>
      <c r="BF507" t="str">
        <f t="shared" si="135"/>
        <v>SULFAMIDES</v>
      </c>
      <c r="BG507" t="str">
        <f t="shared" si="136"/>
        <v>TRIMETHOPRIME</v>
      </c>
      <c r="BH507" t="str">
        <f t="shared" si="137"/>
        <v/>
      </c>
      <c r="BI507" t="str">
        <f t="shared" si="138"/>
        <v>sulfadiazine</v>
      </c>
      <c r="BJ507" t="str">
        <f t="shared" si="139"/>
        <v>trimethoprim</v>
      </c>
      <c r="BK507" t="str">
        <f t="shared" si="140"/>
        <v/>
      </c>
      <c r="BL507" t="str">
        <f t="shared" si="145"/>
        <v>Sulfadiazine + Triméthoprime</v>
      </c>
      <c r="BM507" t="str">
        <f t="shared" si="141"/>
        <v>Sulfadiazine</v>
      </c>
      <c r="BN507" t="str">
        <f t="shared" si="142"/>
        <v>Triméthoprime</v>
      </c>
      <c r="BO507" t="str">
        <f t="shared" si="143"/>
        <v/>
      </c>
      <c r="BP507" t="str">
        <f t="shared" si="146"/>
        <v>Sulfamides + Trimethoprime</v>
      </c>
      <c r="BQ507" t="str">
        <f t="shared" si="147"/>
        <v>Sulfamides</v>
      </c>
      <c r="BR507" t="str">
        <f t="shared" si="148"/>
        <v>Trimethoprime</v>
      </c>
      <c r="BS507" t="str">
        <f t="shared" si="149"/>
        <v/>
      </c>
      <c r="BT507" s="76" t="str">
        <f t="shared" si="150"/>
        <v>Prémélanges médicamenteux</v>
      </c>
      <c r="BU507" t="str">
        <f t="shared" si="151"/>
        <v/>
      </c>
      <c r="CN507">
        <v>506</v>
      </c>
    </row>
    <row r="508" spans="1:92" x14ac:dyDescent="0.3">
      <c r="A508" s="118" t="s">
        <v>4073</v>
      </c>
      <c r="B508" t="s">
        <v>4074</v>
      </c>
      <c r="C508" t="s">
        <v>4075</v>
      </c>
      <c r="D508" s="144" t="s">
        <v>829</v>
      </c>
      <c r="E508" t="s">
        <v>830</v>
      </c>
      <c r="F508" t="s">
        <v>4570</v>
      </c>
      <c r="G508" t="s">
        <v>831</v>
      </c>
      <c r="H508" t="s">
        <v>4076</v>
      </c>
      <c r="I508" t="s">
        <v>817</v>
      </c>
      <c r="J508" t="s">
        <v>768</v>
      </c>
      <c r="K508" t="s">
        <v>768</v>
      </c>
      <c r="L508" t="s">
        <v>2121</v>
      </c>
      <c r="M508" t="s">
        <v>208</v>
      </c>
      <c r="N508" t="s">
        <v>4077</v>
      </c>
      <c r="O508" t="s">
        <v>894</v>
      </c>
      <c r="P508" t="s">
        <v>772</v>
      </c>
      <c r="Q508" t="s">
        <v>4077</v>
      </c>
      <c r="R508">
        <v>0</v>
      </c>
      <c r="S508">
        <v>0</v>
      </c>
      <c r="T508">
        <v>0</v>
      </c>
      <c r="U508">
        <v>0</v>
      </c>
      <c r="V508">
        <v>0</v>
      </c>
      <c r="W508">
        <v>0</v>
      </c>
      <c r="X508">
        <v>0</v>
      </c>
      <c r="Y508">
        <v>0</v>
      </c>
      <c r="Z508">
        <v>0</v>
      </c>
      <c r="AA508">
        <v>0</v>
      </c>
      <c r="AB508">
        <v>0</v>
      </c>
      <c r="AC508">
        <v>0</v>
      </c>
      <c r="AD508">
        <v>0</v>
      </c>
      <c r="AE508">
        <v>0</v>
      </c>
      <c r="AF508">
        <v>25</v>
      </c>
      <c r="AG508">
        <v>5</v>
      </c>
      <c r="AH508">
        <v>0</v>
      </c>
      <c r="AI508">
        <v>0</v>
      </c>
      <c r="AY508" t="str">
        <f t="shared" si="133"/>
        <v>DOXYLIN CT WSP 433 MG/G POUDRE POUR ADMINISTRATION DANS L'EAU DE BOISSON POUR POULES ET DINDES</v>
      </c>
      <c r="AZ508" t="str">
        <f>IF(COUNTIF(AY:AY,AY508)=1,AY508,IF(AND(COUNTIF(AY:AY,AY508)&gt;1,COUNTIF(AZ$2:AZ507,AY508)&gt;=1),"",AY508))</f>
        <v>DOXYLIN CT WSP 433 MG/G POUDRE POUR ADMINISTRATION DANS L'EAU DE BOISSON POUR POULES ET DINDES</v>
      </c>
      <c r="BA508">
        <f>IF(AZ508="","",COUNTIFS(AZ$3:AZ$1439,"&lt;"&amp;AZ508,AZ$3:AZ$1439,"&lt;&gt;0")+COUNTIF(AZ$3:AZ508,AZ508)-876)</f>
        <v>193</v>
      </c>
      <c r="BC508">
        <v>506</v>
      </c>
      <c r="BD508" t="str">
        <f t="shared" si="144"/>
        <v>TRIMEDOXYNE ORALE</v>
      </c>
      <c r="BE508" t="str">
        <f t="shared" si="134"/>
        <v>ORAL</v>
      </c>
      <c r="BF508" t="str">
        <f t="shared" si="135"/>
        <v>SULFAMIDES</v>
      </c>
      <c r="BG508" t="str">
        <f t="shared" si="136"/>
        <v>TRIMETHOPRIME</v>
      </c>
      <c r="BH508" t="str">
        <f t="shared" si="137"/>
        <v/>
      </c>
      <c r="BI508" t="str">
        <f t="shared" si="138"/>
        <v>sulfadimethoxine</v>
      </c>
      <c r="BJ508" t="str">
        <f t="shared" si="139"/>
        <v>trimethoprim</v>
      </c>
      <c r="BK508" t="str">
        <f t="shared" si="140"/>
        <v/>
      </c>
      <c r="BL508" t="str">
        <f t="shared" si="145"/>
        <v>Sulfadiméthoxine + Triméthoprime</v>
      </c>
      <c r="BM508" t="str">
        <f t="shared" si="141"/>
        <v>Sulfadiméthoxine</v>
      </c>
      <c r="BN508" t="str">
        <f t="shared" si="142"/>
        <v>Triméthoprime</v>
      </c>
      <c r="BO508" t="str">
        <f t="shared" si="143"/>
        <v/>
      </c>
      <c r="BP508" t="str">
        <f t="shared" si="146"/>
        <v>Sulfamides + Trimethoprime</v>
      </c>
      <c r="BQ508" t="str">
        <f t="shared" si="147"/>
        <v>Sulfamides</v>
      </c>
      <c r="BR508" t="str">
        <f t="shared" si="148"/>
        <v>Trimethoprime</v>
      </c>
      <c r="BS508" t="str">
        <f t="shared" si="149"/>
        <v/>
      </c>
      <c r="BT508" s="76" t="str">
        <f t="shared" si="150"/>
        <v>Voie orale  hors prémélanges médicamenteux</v>
      </c>
      <c r="BU508" t="str">
        <f t="shared" si="151"/>
        <v/>
      </c>
      <c r="CN508">
        <v>507</v>
      </c>
    </row>
    <row r="509" spans="1:92" x14ac:dyDescent="0.3">
      <c r="A509" s="118" t="s">
        <v>4073</v>
      </c>
      <c r="B509" t="s">
        <v>4571</v>
      </c>
      <c r="C509" t="s">
        <v>4075</v>
      </c>
      <c r="D509" s="144" t="s">
        <v>829</v>
      </c>
      <c r="E509" t="s">
        <v>830</v>
      </c>
      <c r="F509" t="s">
        <v>4570</v>
      </c>
      <c r="G509" t="s">
        <v>831</v>
      </c>
      <c r="H509" t="s">
        <v>4076</v>
      </c>
      <c r="I509" t="s">
        <v>817</v>
      </c>
      <c r="J509" t="s">
        <v>768</v>
      </c>
      <c r="K509" t="s">
        <v>768</v>
      </c>
      <c r="L509" t="s">
        <v>2121</v>
      </c>
      <c r="M509" t="s">
        <v>208</v>
      </c>
      <c r="N509" t="s">
        <v>4077</v>
      </c>
      <c r="O509" t="s">
        <v>894</v>
      </c>
      <c r="P509" t="s">
        <v>772</v>
      </c>
      <c r="Q509" t="s">
        <v>4077</v>
      </c>
      <c r="R509">
        <v>0</v>
      </c>
      <c r="S509">
        <v>0</v>
      </c>
      <c r="T509">
        <v>0</v>
      </c>
      <c r="U509">
        <v>0</v>
      </c>
      <c r="V509">
        <v>0</v>
      </c>
      <c r="W509">
        <v>0</v>
      </c>
      <c r="X509">
        <v>0</v>
      </c>
      <c r="Y509">
        <v>0</v>
      </c>
      <c r="Z509">
        <v>0</v>
      </c>
      <c r="AA509">
        <v>0</v>
      </c>
      <c r="AB509">
        <v>0</v>
      </c>
      <c r="AC509">
        <v>0</v>
      </c>
      <c r="AD509">
        <v>0</v>
      </c>
      <c r="AE509">
        <v>0</v>
      </c>
      <c r="AF509">
        <v>25</v>
      </c>
      <c r="AG509">
        <v>5</v>
      </c>
      <c r="AH509">
        <v>0</v>
      </c>
      <c r="AI509">
        <v>0</v>
      </c>
      <c r="AY509" t="str">
        <f t="shared" si="133"/>
        <v>DOXYLIN CT WSP 433 MG/G POUDRE POUR ADMINISTRATION DANS L'EAU DE BOISSON POUR POULES ET DINDES</v>
      </c>
      <c r="AZ509" t="str">
        <f>IF(COUNTIF(AY:AY,AY509)=1,AY509,IF(AND(COUNTIF(AY:AY,AY509)&gt;1,COUNTIF(AZ$2:AZ508,AY509)&gt;=1),"",AY509))</f>
        <v/>
      </c>
      <c r="BA509" t="str">
        <f>IF(AZ509="","",COUNTIFS(AZ$3:AZ$1439,"&lt;"&amp;AZ509,AZ$3:AZ$1439,"&lt;&gt;0")+COUNTIF(AZ$3:AZ509,AZ509)-876)</f>
        <v/>
      </c>
      <c r="BC509">
        <v>507</v>
      </c>
      <c r="BD509" t="str">
        <f t="shared" si="144"/>
        <v>TRIMETHOSULFA V</v>
      </c>
      <c r="BE509" t="str">
        <f t="shared" si="134"/>
        <v>PM</v>
      </c>
      <c r="BF509" t="str">
        <f t="shared" si="135"/>
        <v>SULFAMIDES</v>
      </c>
      <c r="BG509" t="str">
        <f t="shared" si="136"/>
        <v>TRIMETHOPRIME</v>
      </c>
      <c r="BH509" t="str">
        <f t="shared" si="137"/>
        <v/>
      </c>
      <c r="BI509" t="str">
        <f t="shared" si="138"/>
        <v>sulfadimethoxine</v>
      </c>
      <c r="BJ509" t="str">
        <f t="shared" si="139"/>
        <v>trimethoprim</v>
      </c>
      <c r="BK509" t="str">
        <f t="shared" si="140"/>
        <v/>
      </c>
      <c r="BL509" t="str">
        <f t="shared" si="145"/>
        <v>Sulfadiméthoxine + Triméthoprime</v>
      </c>
      <c r="BM509" t="str">
        <f t="shared" si="141"/>
        <v>Sulfadiméthoxine</v>
      </c>
      <c r="BN509" t="str">
        <f t="shared" si="142"/>
        <v>Triméthoprime</v>
      </c>
      <c r="BO509" t="str">
        <f t="shared" si="143"/>
        <v/>
      </c>
      <c r="BP509" t="str">
        <f t="shared" si="146"/>
        <v>Sulfamides + Trimethoprime</v>
      </c>
      <c r="BQ509" t="str">
        <f t="shared" si="147"/>
        <v>Sulfamides</v>
      </c>
      <c r="BR509" t="str">
        <f t="shared" si="148"/>
        <v>Trimethoprime</v>
      </c>
      <c r="BS509" t="str">
        <f t="shared" si="149"/>
        <v/>
      </c>
      <c r="BT509" s="76" t="str">
        <f t="shared" si="150"/>
        <v>Prémélanges médicamenteux</v>
      </c>
      <c r="BU509" t="str">
        <f t="shared" si="151"/>
        <v/>
      </c>
      <c r="CN509">
        <v>508</v>
      </c>
    </row>
    <row r="510" spans="1:92" x14ac:dyDescent="0.3">
      <c r="A510" s="118" t="s">
        <v>2904</v>
      </c>
      <c r="B510" t="s">
        <v>2905</v>
      </c>
      <c r="C510" t="s">
        <v>4503</v>
      </c>
      <c r="D510" s="144" t="s">
        <v>829</v>
      </c>
      <c r="E510" t="s">
        <v>830</v>
      </c>
      <c r="F510" t="s">
        <v>331</v>
      </c>
      <c r="G510" t="s">
        <v>831</v>
      </c>
      <c r="H510" t="s">
        <v>169</v>
      </c>
      <c r="I510" t="s">
        <v>817</v>
      </c>
      <c r="J510" t="s">
        <v>768</v>
      </c>
      <c r="K510" t="s">
        <v>768</v>
      </c>
      <c r="L510" t="s">
        <v>2121</v>
      </c>
      <c r="M510" t="s">
        <v>208</v>
      </c>
      <c r="N510" t="s">
        <v>864</v>
      </c>
      <c r="O510" t="s">
        <v>894</v>
      </c>
      <c r="P510" t="s">
        <v>772</v>
      </c>
      <c r="Q510" t="s">
        <v>864</v>
      </c>
      <c r="R510">
        <v>10</v>
      </c>
      <c r="S510">
        <v>5</v>
      </c>
      <c r="T510">
        <v>0</v>
      </c>
      <c r="U510">
        <v>0</v>
      </c>
      <c r="V510">
        <v>0</v>
      </c>
      <c r="W510">
        <v>0</v>
      </c>
      <c r="X510">
        <v>0</v>
      </c>
      <c r="Y510">
        <v>0</v>
      </c>
      <c r="Z510">
        <v>10</v>
      </c>
      <c r="AA510">
        <v>5</v>
      </c>
      <c r="AB510">
        <v>10</v>
      </c>
      <c r="AC510">
        <v>5</v>
      </c>
      <c r="AD510">
        <v>0</v>
      </c>
      <c r="AE510">
        <v>0</v>
      </c>
      <c r="AF510">
        <v>0</v>
      </c>
      <c r="AG510">
        <v>0</v>
      </c>
      <c r="AH510">
        <v>0</v>
      </c>
      <c r="AI510">
        <v>0</v>
      </c>
      <c r="AY510" t="str">
        <f t="shared" si="133"/>
        <v>DOXYPRO 200 MG / G POUDRE ORALE VEAUX</v>
      </c>
      <c r="AZ510" t="str">
        <f>IF(COUNTIF(AY:AY,AY510)=1,AY510,IF(AND(COUNTIF(AY:AY,AY510)&gt;1,COUNTIF(AZ$2:AZ509,AY510)&gt;=1),"",AY510))</f>
        <v>DOXYPRO 200 MG / G POUDRE ORALE VEAUX</v>
      </c>
      <c r="BA510">
        <f>IF(AZ510="","",COUNTIFS(AZ$3:AZ$1439,"&lt;"&amp;AZ510,AZ$3:AZ$1439,"&lt;&gt;0")+COUNTIF(AZ$3:AZ510,AZ510)-876)</f>
        <v>194</v>
      </c>
      <c r="BC510">
        <v>508</v>
      </c>
      <c r="BD510" t="str">
        <f t="shared" si="144"/>
        <v>TRIMETHOX</v>
      </c>
      <c r="BE510" t="str">
        <f t="shared" si="134"/>
        <v>ORAL</v>
      </c>
      <c r="BF510" t="str">
        <f t="shared" si="135"/>
        <v>SULFAMIDES</v>
      </c>
      <c r="BG510" t="str">
        <f t="shared" si="136"/>
        <v>TRIMETHOPRIME</v>
      </c>
      <c r="BH510" t="str">
        <f t="shared" si="137"/>
        <v/>
      </c>
      <c r="BI510" t="str">
        <f t="shared" si="138"/>
        <v>sulfadimethoxine</v>
      </c>
      <c r="BJ510" t="str">
        <f t="shared" si="139"/>
        <v>trimethoprim</v>
      </c>
      <c r="BK510" t="str">
        <f t="shared" si="140"/>
        <v/>
      </c>
      <c r="BL510" t="str">
        <f t="shared" si="145"/>
        <v>Sulfadiméthoxine + Triméthoprime</v>
      </c>
      <c r="BM510" t="str">
        <f t="shared" si="141"/>
        <v>Sulfadiméthoxine</v>
      </c>
      <c r="BN510" t="str">
        <f t="shared" si="142"/>
        <v>Triméthoprime</v>
      </c>
      <c r="BO510" t="str">
        <f t="shared" si="143"/>
        <v/>
      </c>
      <c r="BP510" t="str">
        <f t="shared" si="146"/>
        <v>Sulfamides + Trimethoprime</v>
      </c>
      <c r="BQ510" t="str">
        <f t="shared" si="147"/>
        <v>Sulfamides</v>
      </c>
      <c r="BR510" t="str">
        <f t="shared" si="148"/>
        <v>Trimethoprime</v>
      </c>
      <c r="BS510" t="str">
        <f t="shared" si="149"/>
        <v/>
      </c>
      <c r="BT510" s="76" t="str">
        <f t="shared" si="150"/>
        <v>Voie orale  hors prémélanges médicamenteux</v>
      </c>
      <c r="BU510" t="str">
        <f t="shared" si="151"/>
        <v/>
      </c>
      <c r="CN510">
        <v>509</v>
      </c>
    </row>
    <row r="511" spans="1:92" x14ac:dyDescent="0.3">
      <c r="A511" s="118" t="s">
        <v>2904</v>
      </c>
      <c r="B511" t="s">
        <v>2906</v>
      </c>
      <c r="C511" t="s">
        <v>1313</v>
      </c>
      <c r="D511" s="144" t="s">
        <v>955</v>
      </c>
      <c r="E511" t="s">
        <v>830</v>
      </c>
      <c r="F511" t="s">
        <v>331</v>
      </c>
      <c r="G511" t="s">
        <v>831</v>
      </c>
      <c r="H511" t="s">
        <v>169</v>
      </c>
      <c r="I511" t="s">
        <v>817</v>
      </c>
      <c r="J511" t="s">
        <v>768</v>
      </c>
      <c r="K511" t="s">
        <v>768</v>
      </c>
      <c r="L511" t="s">
        <v>2121</v>
      </c>
      <c r="M511" t="s">
        <v>208</v>
      </c>
      <c r="N511" t="s">
        <v>864</v>
      </c>
      <c r="O511" t="s">
        <v>894</v>
      </c>
      <c r="P511" t="s">
        <v>772</v>
      </c>
      <c r="Q511" t="s">
        <v>829</v>
      </c>
      <c r="R511">
        <v>10</v>
      </c>
      <c r="S511">
        <v>5</v>
      </c>
      <c r="T511">
        <v>0</v>
      </c>
      <c r="U511">
        <v>0</v>
      </c>
      <c r="V511">
        <v>0</v>
      </c>
      <c r="W511">
        <v>0</v>
      </c>
      <c r="X511">
        <v>0</v>
      </c>
      <c r="Y511">
        <v>0</v>
      </c>
      <c r="Z511">
        <v>10</v>
      </c>
      <c r="AA511">
        <v>5</v>
      </c>
      <c r="AB511">
        <v>10</v>
      </c>
      <c r="AC511">
        <v>5</v>
      </c>
      <c r="AD511">
        <v>0</v>
      </c>
      <c r="AE511">
        <v>0</v>
      </c>
      <c r="AF511">
        <v>0</v>
      </c>
      <c r="AG511">
        <v>0</v>
      </c>
      <c r="AH511">
        <v>0</v>
      </c>
      <c r="AI511">
        <v>0</v>
      </c>
      <c r="AY511" t="str">
        <f t="shared" si="133"/>
        <v>DOXYPRO 200 MG / G POUDRE ORALE VEAUX</v>
      </c>
      <c r="AZ511" t="str">
        <f>IF(COUNTIF(AY:AY,AY511)=1,AY511,IF(AND(COUNTIF(AY:AY,AY511)&gt;1,COUNTIF(AZ$2:AZ510,AY511)&gt;=1),"",AY511))</f>
        <v/>
      </c>
      <c r="BA511" t="str">
        <f>IF(AZ511="","",COUNTIFS(AZ$3:AZ$1439,"&lt;"&amp;AZ511,AZ$3:AZ$1439,"&lt;&gt;0")+COUNTIF(AZ$3:AZ511,AZ511)-876)</f>
        <v/>
      </c>
      <c r="BC511">
        <v>509</v>
      </c>
      <c r="BD511" t="str">
        <f t="shared" si="144"/>
        <v>TRISULMIX INJECTABLE</v>
      </c>
      <c r="BE511" t="str">
        <f t="shared" si="134"/>
        <v>INJ</v>
      </c>
      <c r="BF511" t="str">
        <f t="shared" si="135"/>
        <v>SULFAMIDES</v>
      </c>
      <c r="BG511" t="str">
        <f t="shared" si="136"/>
        <v>TRIMETHOPRIME</v>
      </c>
      <c r="BH511" t="str">
        <f t="shared" si="137"/>
        <v/>
      </c>
      <c r="BI511" t="str">
        <f t="shared" si="138"/>
        <v>sulfadimethoxine</v>
      </c>
      <c r="BJ511" t="str">
        <f t="shared" si="139"/>
        <v>trimethoprim</v>
      </c>
      <c r="BK511" t="str">
        <f t="shared" si="140"/>
        <v/>
      </c>
      <c r="BL511" t="str">
        <f t="shared" si="145"/>
        <v>Sulfadiméthoxine + Triméthoprime</v>
      </c>
      <c r="BM511" t="str">
        <f t="shared" si="141"/>
        <v>Sulfadiméthoxine</v>
      </c>
      <c r="BN511" t="str">
        <f t="shared" si="142"/>
        <v>Triméthoprime</v>
      </c>
      <c r="BO511" t="str">
        <f t="shared" si="143"/>
        <v/>
      </c>
      <c r="BP511" t="str">
        <f t="shared" si="146"/>
        <v>Sulfamides + Trimethoprime</v>
      </c>
      <c r="BQ511" t="str">
        <f t="shared" si="147"/>
        <v>Sulfamides</v>
      </c>
      <c r="BR511" t="str">
        <f t="shared" si="148"/>
        <v>Trimethoprime</v>
      </c>
      <c r="BS511" t="str">
        <f t="shared" si="149"/>
        <v/>
      </c>
      <c r="BT511" s="76" t="str">
        <f t="shared" si="150"/>
        <v>Voie parentérale</v>
      </c>
      <c r="BU511" t="str">
        <f t="shared" si="151"/>
        <v/>
      </c>
      <c r="CN511">
        <v>510</v>
      </c>
    </row>
    <row r="512" spans="1:92" x14ac:dyDescent="0.3">
      <c r="A512" s="118" t="s">
        <v>2904</v>
      </c>
      <c r="B512" t="s">
        <v>4504</v>
      </c>
      <c r="C512" t="s">
        <v>4503</v>
      </c>
      <c r="D512" s="144" t="s">
        <v>829</v>
      </c>
      <c r="E512" t="s">
        <v>830</v>
      </c>
      <c r="F512" t="s">
        <v>331</v>
      </c>
      <c r="G512" t="s">
        <v>831</v>
      </c>
      <c r="H512" t="s">
        <v>169</v>
      </c>
      <c r="I512" t="s">
        <v>817</v>
      </c>
      <c r="J512" t="s">
        <v>768</v>
      </c>
      <c r="K512" t="s">
        <v>768</v>
      </c>
      <c r="L512" t="s">
        <v>2121</v>
      </c>
      <c r="M512" t="s">
        <v>208</v>
      </c>
      <c r="N512" t="s">
        <v>864</v>
      </c>
      <c r="O512" t="s">
        <v>894</v>
      </c>
      <c r="P512" t="s">
        <v>772</v>
      </c>
      <c r="Q512" t="s">
        <v>864</v>
      </c>
      <c r="R512">
        <v>10</v>
      </c>
      <c r="S512">
        <v>5</v>
      </c>
      <c r="T512">
        <v>0</v>
      </c>
      <c r="U512">
        <v>0</v>
      </c>
      <c r="V512">
        <v>0</v>
      </c>
      <c r="W512">
        <v>0</v>
      </c>
      <c r="X512">
        <v>0</v>
      </c>
      <c r="Y512">
        <v>0</v>
      </c>
      <c r="Z512">
        <v>10</v>
      </c>
      <c r="AA512">
        <v>5</v>
      </c>
      <c r="AB512">
        <v>10</v>
      </c>
      <c r="AC512">
        <v>5</v>
      </c>
      <c r="AD512">
        <v>0</v>
      </c>
      <c r="AE512">
        <v>0</v>
      </c>
      <c r="AF512">
        <v>0</v>
      </c>
      <c r="AG512">
        <v>0</v>
      </c>
      <c r="AH512">
        <v>0</v>
      </c>
      <c r="AI512">
        <v>0</v>
      </c>
      <c r="AY512" t="str">
        <f t="shared" si="133"/>
        <v>DOXYPRO 200 MG / G POUDRE ORALE VEAUX</v>
      </c>
      <c r="AZ512" t="str">
        <f>IF(COUNTIF(AY:AY,AY512)=1,AY512,IF(AND(COUNTIF(AY:AY,AY512)&gt;1,COUNTIF(AZ$2:AZ511,AY512)&gt;=1),"",AY512))</f>
        <v/>
      </c>
      <c r="BA512" t="str">
        <f>IF(AZ512="","",COUNTIFS(AZ$3:AZ$1439,"&lt;"&amp;AZ512,AZ$3:AZ$1439,"&lt;&gt;0")+COUNTIF(AZ$3:AZ512,AZ512)-876)</f>
        <v/>
      </c>
      <c r="BC512">
        <v>510</v>
      </c>
      <c r="BD512" t="str">
        <f t="shared" si="144"/>
        <v>TRISULMIX LIQUIDE</v>
      </c>
      <c r="BE512" t="str">
        <f t="shared" si="134"/>
        <v>ORAL</v>
      </c>
      <c r="BF512" t="str">
        <f t="shared" si="135"/>
        <v>SULFAMIDES</v>
      </c>
      <c r="BG512" t="str">
        <f t="shared" si="136"/>
        <v>TRIMETHOPRIME</v>
      </c>
      <c r="BH512" t="str">
        <f t="shared" si="137"/>
        <v/>
      </c>
      <c r="BI512" t="str">
        <f t="shared" si="138"/>
        <v>sulfadimethoxine</v>
      </c>
      <c r="BJ512" t="str">
        <f t="shared" si="139"/>
        <v>trimethoprim</v>
      </c>
      <c r="BK512" t="str">
        <f t="shared" si="140"/>
        <v/>
      </c>
      <c r="BL512" t="str">
        <f t="shared" si="145"/>
        <v>Sulfadiméthoxine + Triméthoprime</v>
      </c>
      <c r="BM512" t="str">
        <f t="shared" si="141"/>
        <v>Sulfadiméthoxine</v>
      </c>
      <c r="BN512" t="str">
        <f t="shared" si="142"/>
        <v>Triméthoprime</v>
      </c>
      <c r="BO512" t="str">
        <f t="shared" si="143"/>
        <v/>
      </c>
      <c r="BP512" t="str">
        <f t="shared" si="146"/>
        <v>Sulfamides + Trimethoprime</v>
      </c>
      <c r="BQ512" t="str">
        <f t="shared" si="147"/>
        <v>Sulfamides</v>
      </c>
      <c r="BR512" t="str">
        <f t="shared" si="148"/>
        <v>Trimethoprime</v>
      </c>
      <c r="BS512" t="str">
        <f t="shared" si="149"/>
        <v/>
      </c>
      <c r="BT512" s="76" t="str">
        <f t="shared" si="150"/>
        <v>Voie orale  hors prémélanges médicamenteux</v>
      </c>
      <c r="BU512" t="str">
        <f t="shared" si="151"/>
        <v/>
      </c>
      <c r="CN512">
        <v>511</v>
      </c>
    </row>
    <row r="513" spans="1:92" x14ac:dyDescent="0.3">
      <c r="A513" s="118" t="s">
        <v>2904</v>
      </c>
      <c r="B513" t="s">
        <v>4505</v>
      </c>
      <c r="C513" t="s">
        <v>1313</v>
      </c>
      <c r="D513" s="144" t="s">
        <v>955</v>
      </c>
      <c r="E513" t="s">
        <v>830</v>
      </c>
      <c r="F513" t="s">
        <v>331</v>
      </c>
      <c r="G513" t="s">
        <v>831</v>
      </c>
      <c r="H513" t="s">
        <v>169</v>
      </c>
      <c r="I513" t="s">
        <v>817</v>
      </c>
      <c r="J513" t="s">
        <v>768</v>
      </c>
      <c r="K513" t="s">
        <v>768</v>
      </c>
      <c r="L513" t="s">
        <v>2121</v>
      </c>
      <c r="M513" t="s">
        <v>208</v>
      </c>
      <c r="N513" t="s">
        <v>864</v>
      </c>
      <c r="O513" t="s">
        <v>894</v>
      </c>
      <c r="P513" t="s">
        <v>772</v>
      </c>
      <c r="Q513" t="s">
        <v>829</v>
      </c>
      <c r="R513">
        <v>10</v>
      </c>
      <c r="S513">
        <v>5</v>
      </c>
      <c r="T513">
        <v>0</v>
      </c>
      <c r="U513">
        <v>0</v>
      </c>
      <c r="V513">
        <v>0</v>
      </c>
      <c r="W513">
        <v>0</v>
      </c>
      <c r="X513">
        <v>0</v>
      </c>
      <c r="Y513">
        <v>0</v>
      </c>
      <c r="Z513">
        <v>10</v>
      </c>
      <c r="AA513">
        <v>5</v>
      </c>
      <c r="AB513">
        <v>10</v>
      </c>
      <c r="AC513">
        <v>5</v>
      </c>
      <c r="AD513">
        <v>0</v>
      </c>
      <c r="AE513">
        <v>0</v>
      </c>
      <c r="AF513">
        <v>0</v>
      </c>
      <c r="AG513">
        <v>0</v>
      </c>
      <c r="AH513">
        <v>0</v>
      </c>
      <c r="AI513">
        <v>0</v>
      </c>
      <c r="AY513" t="str">
        <f t="shared" si="133"/>
        <v>DOXYPRO 200 MG / G POUDRE ORALE VEAUX</v>
      </c>
      <c r="AZ513" t="str">
        <f>IF(COUNTIF(AY:AY,AY513)=1,AY513,IF(AND(COUNTIF(AY:AY,AY513)&gt;1,COUNTIF(AZ$2:AZ512,AY513)&gt;=1),"",AY513))</f>
        <v/>
      </c>
      <c r="BA513" t="str">
        <f>IF(AZ513="","",COUNTIFS(AZ$3:AZ$1439,"&lt;"&amp;AZ513,AZ$3:AZ$1439,"&lt;&gt;0")+COUNTIF(AZ$3:AZ513,AZ513)-876)</f>
        <v/>
      </c>
      <c r="BC513">
        <v>511</v>
      </c>
      <c r="BD513" t="str">
        <f t="shared" si="144"/>
        <v>TRISULMIX POUDRE</v>
      </c>
      <c r="BE513" t="str">
        <f t="shared" si="134"/>
        <v>ORAL</v>
      </c>
      <c r="BF513" t="str">
        <f t="shared" si="135"/>
        <v>SULFAMIDES</v>
      </c>
      <c r="BG513" t="str">
        <f t="shared" si="136"/>
        <v>TRIMETHOPRIME</v>
      </c>
      <c r="BH513" t="str">
        <f t="shared" si="137"/>
        <v/>
      </c>
      <c r="BI513" t="str">
        <f t="shared" si="138"/>
        <v>sulfadimethoxine</v>
      </c>
      <c r="BJ513" t="str">
        <f t="shared" si="139"/>
        <v>trimethoprim</v>
      </c>
      <c r="BK513" t="str">
        <f t="shared" si="140"/>
        <v/>
      </c>
      <c r="BL513" t="str">
        <f t="shared" si="145"/>
        <v>Sulfadiméthoxine + Triméthoprime</v>
      </c>
      <c r="BM513" t="str">
        <f t="shared" si="141"/>
        <v>Sulfadiméthoxine</v>
      </c>
      <c r="BN513" t="str">
        <f t="shared" si="142"/>
        <v>Triméthoprime</v>
      </c>
      <c r="BO513" t="str">
        <f t="shared" si="143"/>
        <v/>
      </c>
      <c r="BP513" t="str">
        <f t="shared" si="146"/>
        <v>Sulfamides + Trimethoprime</v>
      </c>
      <c r="BQ513" t="str">
        <f t="shared" si="147"/>
        <v>Sulfamides</v>
      </c>
      <c r="BR513" t="str">
        <f t="shared" si="148"/>
        <v>Trimethoprime</v>
      </c>
      <c r="BS513" t="str">
        <f t="shared" si="149"/>
        <v/>
      </c>
      <c r="BT513" s="76" t="str">
        <f t="shared" si="150"/>
        <v>Voie orale  hors prémélanges médicamenteux</v>
      </c>
      <c r="BU513" t="str">
        <f t="shared" si="151"/>
        <v/>
      </c>
      <c r="CN513">
        <v>512</v>
      </c>
    </row>
    <row r="514" spans="1:92" x14ac:dyDescent="0.3">
      <c r="A514" s="118" t="s">
        <v>3319</v>
      </c>
      <c r="B514" t="s">
        <v>3320</v>
      </c>
      <c r="C514" t="s">
        <v>1243</v>
      </c>
      <c r="D514" s="144" t="s">
        <v>955</v>
      </c>
      <c r="E514" t="s">
        <v>765</v>
      </c>
      <c r="F514" t="s">
        <v>332</v>
      </c>
      <c r="G514" t="s">
        <v>956</v>
      </c>
      <c r="H514" t="s">
        <v>1264</v>
      </c>
      <c r="I514" t="s">
        <v>817</v>
      </c>
      <c r="J514" t="s">
        <v>768</v>
      </c>
      <c r="K514" t="s">
        <v>768</v>
      </c>
      <c r="L514" t="s">
        <v>2121</v>
      </c>
      <c r="M514" t="s">
        <v>208</v>
      </c>
      <c r="N514" t="s">
        <v>764</v>
      </c>
      <c r="O514" t="s">
        <v>771</v>
      </c>
      <c r="P514" t="s">
        <v>772</v>
      </c>
      <c r="Q514" t="s">
        <v>906</v>
      </c>
      <c r="R514">
        <v>0</v>
      </c>
      <c r="S514">
        <v>0</v>
      </c>
      <c r="T514">
        <v>0</v>
      </c>
      <c r="U514">
        <v>0</v>
      </c>
      <c r="V514">
        <v>0</v>
      </c>
      <c r="W514">
        <v>0</v>
      </c>
      <c r="X514">
        <v>0</v>
      </c>
      <c r="Y514">
        <v>0</v>
      </c>
      <c r="Z514">
        <v>0</v>
      </c>
      <c r="AA514">
        <v>0</v>
      </c>
      <c r="AB514">
        <v>0</v>
      </c>
      <c r="AC514">
        <v>0</v>
      </c>
      <c r="AD514">
        <v>10</v>
      </c>
      <c r="AE514">
        <v>5</v>
      </c>
      <c r="AF514">
        <v>20</v>
      </c>
      <c r="AG514">
        <v>5</v>
      </c>
      <c r="AH514">
        <v>0</v>
      </c>
      <c r="AI514">
        <v>0</v>
      </c>
      <c r="AY514" t="str">
        <f t="shared" si="133"/>
        <v>DOXYSOL 10 %</v>
      </c>
      <c r="AZ514" t="str">
        <f>IF(COUNTIF(AY:AY,AY514)=1,AY514,IF(AND(COUNTIF(AY:AY,AY514)&gt;1,COUNTIF(AZ$2:AZ513,AY514)&gt;=1),"",AY514))</f>
        <v>DOXYSOL 10 %</v>
      </c>
      <c r="BA514">
        <f>IF(AZ514="","",COUNTIFS(AZ$3:AZ$1439,"&lt;"&amp;AZ514,AZ$3:AZ$1439,"&lt;&gt;0")+COUNTIF(AZ$3:AZ514,AZ514)-876)</f>
        <v>195</v>
      </c>
      <c r="BC514">
        <v>512</v>
      </c>
      <c r="BD514" t="str">
        <f t="shared" si="144"/>
        <v>TRULEVA FLOW 50 MG/ML SUSPENSION INJECTABLE POUR PORCINS ET BOVINS</v>
      </c>
      <c r="BE514" t="str">
        <f t="shared" si="134"/>
        <v>INJ</v>
      </c>
      <c r="BF514" t="str">
        <f t="shared" si="135"/>
        <v>CEPHALOSPORINES 3&amp;4G</v>
      </c>
      <c r="BG514" t="str">
        <f t="shared" si="136"/>
        <v/>
      </c>
      <c r="BH514" t="str">
        <f t="shared" si="137"/>
        <v/>
      </c>
      <c r="BI514" t="str">
        <f t="shared" si="138"/>
        <v>ceftiofur</v>
      </c>
      <c r="BJ514" t="str">
        <f t="shared" si="139"/>
        <v/>
      </c>
      <c r="BK514" t="str">
        <f t="shared" si="140"/>
        <v/>
      </c>
      <c r="BL514" t="str">
        <f t="shared" si="145"/>
        <v>Ceftiofur</v>
      </c>
      <c r="BM514" t="str">
        <f t="shared" si="141"/>
        <v>Ceftiofur</v>
      </c>
      <c r="BN514" t="str">
        <f t="shared" si="142"/>
        <v/>
      </c>
      <c r="BO514" t="str">
        <f t="shared" si="143"/>
        <v/>
      </c>
      <c r="BP514" t="str">
        <f t="shared" si="146"/>
        <v>Cephalosporines 3&amp;4G</v>
      </c>
      <c r="BQ514" t="str">
        <f t="shared" si="147"/>
        <v>Cephalosporines 3&amp;4G</v>
      </c>
      <c r="BR514" t="str">
        <f t="shared" si="148"/>
        <v/>
      </c>
      <c r="BS514" t="str">
        <f t="shared" si="149"/>
        <v/>
      </c>
      <c r="BT514" s="76" t="str">
        <f t="shared" si="150"/>
        <v>Voie parentérale</v>
      </c>
      <c r="BU514" t="str">
        <f t="shared" si="151"/>
        <v>x</v>
      </c>
      <c r="CN514">
        <v>513</v>
      </c>
    </row>
    <row r="515" spans="1:92" x14ac:dyDescent="0.3">
      <c r="A515" s="118" t="s">
        <v>3038</v>
      </c>
      <c r="B515" t="s">
        <v>3039</v>
      </c>
      <c r="C515" t="s">
        <v>2611</v>
      </c>
      <c r="D515" s="144" t="s">
        <v>852</v>
      </c>
      <c r="E515" t="s">
        <v>813</v>
      </c>
      <c r="F515" t="s">
        <v>3040</v>
      </c>
      <c r="G515" t="s">
        <v>815</v>
      </c>
      <c r="H515" t="s">
        <v>860</v>
      </c>
      <c r="I515" t="s">
        <v>817</v>
      </c>
      <c r="J515" t="s">
        <v>768</v>
      </c>
      <c r="K515" t="s">
        <v>768</v>
      </c>
      <c r="L515" t="s">
        <v>2121</v>
      </c>
      <c r="M515" t="s">
        <v>208</v>
      </c>
      <c r="N515" t="s">
        <v>764</v>
      </c>
      <c r="O515" t="s">
        <v>824</v>
      </c>
      <c r="P515" t="s">
        <v>772</v>
      </c>
      <c r="Q515" t="s">
        <v>772</v>
      </c>
      <c r="R515">
        <v>0</v>
      </c>
      <c r="S515">
        <v>0</v>
      </c>
      <c r="T515">
        <v>10</v>
      </c>
      <c r="U515">
        <v>5</v>
      </c>
      <c r="V515">
        <v>0</v>
      </c>
      <c r="W515">
        <v>0</v>
      </c>
      <c r="X515">
        <v>0</v>
      </c>
      <c r="Y515">
        <v>0</v>
      </c>
      <c r="Z515">
        <v>0</v>
      </c>
      <c r="AA515">
        <v>0</v>
      </c>
      <c r="AB515">
        <v>0</v>
      </c>
      <c r="AC515">
        <v>0</v>
      </c>
      <c r="AD515">
        <v>0</v>
      </c>
      <c r="AE515">
        <v>0</v>
      </c>
      <c r="AF515">
        <v>0</v>
      </c>
      <c r="AG515">
        <v>0</v>
      </c>
      <c r="AH515">
        <v>0</v>
      </c>
      <c r="AI515">
        <v>0</v>
      </c>
      <c r="AY515" t="str">
        <f t="shared" ref="AY515:AY578" si="152">IF(INDEX(CK$3:CL$174,MATCH(H515,CK$3:CK$174,0),2)="x",F515,"")</f>
        <v/>
      </c>
      <c r="AZ515" t="str">
        <f>IF(COUNTIF(AY:AY,AY515)=1,AY515,IF(AND(COUNTIF(AY:AY,AY515)&gt;1,COUNTIF(AZ$2:AZ514,AY515)&gt;=1),"",AY515))</f>
        <v/>
      </c>
      <c r="BA515" t="str">
        <f>IF(AZ515="","",COUNTIFS(AZ$3:AZ$1439,"&lt;"&amp;AZ515,AZ$3:AZ$1439,"&lt;&gt;0")+COUNTIF(AZ$3:AZ515,AZ515)-876)</f>
        <v/>
      </c>
      <c r="BC515">
        <v>513</v>
      </c>
      <c r="BD515" t="str">
        <f t="shared" si="144"/>
        <v>TRYMOX LA 150 MG/ML SUSPENSION INJECTABLE POUR BOVINS OVINS PORCINS CHIENS ET CHATS</v>
      </c>
      <c r="BE515" t="str">
        <f t="shared" ref="BE515:BE578" si="153">IFERROR(INDEX(F:AR,MATCH(BD515,F:F,0),4),"")</f>
        <v>INJ</v>
      </c>
      <c r="BF515" t="str">
        <f t="shared" ref="BF515:BF578" si="154">IFERROR(INDEX(F:AR,MATCH(BD515,F:F,0),6),"")</f>
        <v>PENICILLINES</v>
      </c>
      <c r="BG515" t="str">
        <f t="shared" ref="BG515:BG578" si="155">IFERROR(IF(INDEX(F:AR,MATCH(BD515,F:F,0),31)=0,"",INDEX(F:AR,MATCH(BD515,F:F,0),31)),"")</f>
        <v/>
      </c>
      <c r="BH515" t="str">
        <f t="shared" ref="BH515:BH578" si="156">IFERROR(IF(INDEX(F:AR,MATCH(BD515,F:F,0),38)=0,"",INDEX(F:AR,MATCH(BD515,F:F,0),38)),"")</f>
        <v/>
      </c>
      <c r="BI515" t="str">
        <f t="shared" ref="BI515:BI578" si="157">+IFERROR(IF(INDEX(F:AR,MATCH(BD515,F:F,0),7)=0,"",INDEX(F:AR,MATCH(BD515,F:F,0),7)),"")</f>
        <v>amoxicillin</v>
      </c>
      <c r="BJ515" t="str">
        <f t="shared" ref="BJ515:BJ578" si="158">IFERROR(IF(INDEX(F:AR,MATCH(BD515,F:F,0),32)=0,"",INDEX(F:AR,MATCH(BD515,F:F,0),32)),"")</f>
        <v/>
      </c>
      <c r="BK515" t="str">
        <f t="shared" ref="BK515:BK578" si="159">IFERROR(IF(INDEX(F:AR,MATCH(BD515,F:F,0),39)=0,"",INDEX(F:AR,MATCH(BD515,F:F,0),39)),"")</f>
        <v/>
      </c>
      <c r="BL515" t="str">
        <f t="shared" si="145"/>
        <v>Amoxicilline</v>
      </c>
      <c r="BM515" t="str">
        <f t="shared" ref="BM515:BM578" si="160">IFERROR(INDEX(BZ$3:CA$63,MATCH(BI515,BZ$3:BZ$63,0),2),"")</f>
        <v>Amoxicilline</v>
      </c>
      <c r="BN515" t="str">
        <f t="shared" ref="BN515:BN578" si="161">IFERROR(INDEX(BZ$3:CA$63,MATCH(BJ515,BZ$3:BZ$63,0),2),"")</f>
        <v/>
      </c>
      <c r="BO515" t="str">
        <f t="shared" ref="BO515:BO578" si="162">IFERROR(INDEX(BZ$3:CA$63,MATCH(BK515,BZ$3:BZ$63,0),2),"")</f>
        <v/>
      </c>
      <c r="BP515" t="str">
        <f t="shared" si="146"/>
        <v>Penicillines</v>
      </c>
      <c r="BQ515" t="str">
        <f t="shared" si="147"/>
        <v>Penicillines</v>
      </c>
      <c r="BR515" t="str">
        <f t="shared" si="148"/>
        <v/>
      </c>
      <c r="BS515" t="str">
        <f t="shared" si="149"/>
        <v/>
      </c>
      <c r="BT515" s="76" t="str">
        <f t="shared" si="150"/>
        <v>Voie parentérale</v>
      </c>
      <c r="BU515" t="str">
        <f t="shared" si="151"/>
        <v/>
      </c>
      <c r="CN515">
        <v>514</v>
      </c>
    </row>
    <row r="516" spans="1:92" x14ac:dyDescent="0.3">
      <c r="A516" s="118" t="s">
        <v>3038</v>
      </c>
      <c r="B516" t="s">
        <v>3041</v>
      </c>
      <c r="C516" t="s">
        <v>2614</v>
      </c>
      <c r="D516" s="144" t="s">
        <v>864</v>
      </c>
      <c r="E516" t="s">
        <v>813</v>
      </c>
      <c r="F516" t="s">
        <v>3040</v>
      </c>
      <c r="G516" t="s">
        <v>815</v>
      </c>
      <c r="H516" t="s">
        <v>860</v>
      </c>
      <c r="I516" t="s">
        <v>817</v>
      </c>
      <c r="J516" t="s">
        <v>768</v>
      </c>
      <c r="K516" t="s">
        <v>768</v>
      </c>
      <c r="L516" t="s">
        <v>2121</v>
      </c>
      <c r="M516" t="s">
        <v>208</v>
      </c>
      <c r="N516" t="s">
        <v>764</v>
      </c>
      <c r="O516" t="s">
        <v>824</v>
      </c>
      <c r="P516" t="s">
        <v>772</v>
      </c>
      <c r="Q516" t="s">
        <v>869</v>
      </c>
      <c r="R516">
        <v>0</v>
      </c>
      <c r="S516">
        <v>0</v>
      </c>
      <c r="T516">
        <v>10</v>
      </c>
      <c r="U516">
        <v>5</v>
      </c>
      <c r="V516">
        <v>0</v>
      </c>
      <c r="W516">
        <v>0</v>
      </c>
      <c r="X516">
        <v>0</v>
      </c>
      <c r="Y516">
        <v>0</v>
      </c>
      <c r="Z516">
        <v>0</v>
      </c>
      <c r="AA516">
        <v>0</v>
      </c>
      <c r="AB516">
        <v>0</v>
      </c>
      <c r="AC516">
        <v>0</v>
      </c>
      <c r="AD516">
        <v>0</v>
      </c>
      <c r="AE516">
        <v>0</v>
      </c>
      <c r="AF516">
        <v>0</v>
      </c>
      <c r="AG516">
        <v>0</v>
      </c>
      <c r="AH516">
        <v>0</v>
      </c>
      <c r="AI516">
        <v>0</v>
      </c>
      <c r="AY516" t="str">
        <f t="shared" si="152"/>
        <v/>
      </c>
      <c r="AZ516" t="str">
        <f>IF(COUNTIF(AY:AY,AY516)=1,AY516,IF(AND(COUNTIF(AY:AY,AY516)&gt;1,COUNTIF(AZ$2:AZ515,AY516)&gt;=1),"",AY516))</f>
        <v/>
      </c>
      <c r="BA516" t="str">
        <f>IF(AZ516="","",COUNTIFS(AZ$3:AZ$1439,"&lt;"&amp;AZ516,AZ$3:AZ$1439,"&lt;&gt;0")+COUNTIF(AZ$3:AZ516,AZ516)-876)</f>
        <v/>
      </c>
      <c r="BC516">
        <v>514</v>
      </c>
      <c r="BD516" t="str">
        <f t="shared" ref="BD516:BD562" si="163">IFERROR(INDEX(AZ:BA,MATCH(BC516,BA:BA,0),1),"")</f>
        <v>TULAPRO 100 MG/ML SOLUTION INJECTABLE POUR BOVINS, PORCINS ET OVINS</v>
      </c>
      <c r="BE516" t="str">
        <f t="shared" si="153"/>
        <v>INJ</v>
      </c>
      <c r="BF516" t="str">
        <f t="shared" si="154"/>
        <v>MACROLIDES</v>
      </c>
      <c r="BG516" t="str">
        <f t="shared" si="155"/>
        <v/>
      </c>
      <c r="BH516" t="str">
        <f t="shared" si="156"/>
        <v/>
      </c>
      <c r="BI516" t="str">
        <f t="shared" si="157"/>
        <v>tulathromycin</v>
      </c>
      <c r="BJ516" t="str">
        <f t="shared" si="158"/>
        <v/>
      </c>
      <c r="BK516" t="str">
        <f t="shared" si="159"/>
        <v/>
      </c>
      <c r="BL516" t="str">
        <f t="shared" ref="BL516:BL579" si="164">IF(3-COUNTBLANK(BM516:BO516)=1,BM516,IF(3-COUNTBLANK(BM516:BO516)=2,BM516&amp;" + "&amp;BN516,IF(3-COUNTBLANK(BM516:BO516)=3,BM516&amp;" + "&amp;BN516&amp;" + "&amp;BO516,"")))</f>
        <v>Tulathromycine</v>
      </c>
      <c r="BM516" t="str">
        <f t="shared" si="160"/>
        <v>Tulathromycine</v>
      </c>
      <c r="BN516" t="str">
        <f t="shared" si="161"/>
        <v/>
      </c>
      <c r="BO516" t="str">
        <f t="shared" si="162"/>
        <v/>
      </c>
      <c r="BP516" t="str">
        <f t="shared" ref="BP516:BP579" si="165">IF(3-COUNTBLANK(BQ516:BS516)=1,BQ516,IF(3-COUNTBLANK(BQ516:BS516)=2,IF(BQ516=BR516,BQ516,BQ516&amp;" + "&amp;BR516),IF(3-COUNTBLANK(BQ516:BS516)=3,IF(BQ516=BR516,BQ516,IF(BQ516=BS516,BQ516,IF(BR516=BS516,BR516,IF(AND(BQ516=BR516,BQ516=BS516),BQ516,BQ516&amp;" + "&amp;BR516&amp;" + "&amp;BS516)))))))</f>
        <v>Macrolides</v>
      </c>
      <c r="BQ516" t="str">
        <f t="shared" ref="BQ516:BQ579" si="166">IFERROR(INDEX(BW$3:BX$18,MATCH(BF516,BW$3:BW$18,0),2),"")</f>
        <v>Macrolides</v>
      </c>
      <c r="BR516" t="str">
        <f t="shared" ref="BR516:BR579" si="167">IFERROR(INDEX(BW$3:BX$18,MATCH(BG516,BW$3:BW$18,0),2),"")</f>
        <v/>
      </c>
      <c r="BS516" t="str">
        <f t="shared" ref="BS516:BS579" si="168">IFERROR(INDEX(BW$3:BX$18,MATCH(BH516,BW$3:BW$18,0),2),"")</f>
        <v/>
      </c>
      <c r="BT516" s="76" t="str">
        <f t="shared" ref="BT516:BT579" si="169">IFERROR(INDEX(CD$3:CE$9,MATCH(BE516,CD$3:CD$9,0),2),"")</f>
        <v>Voie parentérale</v>
      </c>
      <c r="BU516" t="str">
        <f t="shared" ref="BU516:BU579" si="170">IF(BM516="Colistine","x",IF(BN516="Colistine","x",IF(BO516="Colistine","x",IF(BQ516="Fluoroquinolones","x",IF(BR516="Fluoroquinolones","x",IF(BS516="Fluoroquinolones","x",IF(BQ516="Cephalosporines 3&amp;4G","x",IF(BR516="Cephalosporines 3&amp;4G","x",IF(BS516="Cephalosporines 3&amp;4G","x","")))))))))</f>
        <v/>
      </c>
      <c r="CN516">
        <v>515</v>
      </c>
    </row>
    <row r="517" spans="1:92" x14ac:dyDescent="0.3">
      <c r="A517" s="118" t="s">
        <v>2732</v>
      </c>
      <c r="B517" t="s">
        <v>2733</v>
      </c>
      <c r="C517" t="s">
        <v>2734</v>
      </c>
      <c r="D517" s="144" t="s">
        <v>1132</v>
      </c>
      <c r="E517" t="s">
        <v>813</v>
      </c>
      <c r="F517" t="s">
        <v>2735</v>
      </c>
      <c r="G517" t="s">
        <v>815</v>
      </c>
      <c r="H517" t="s">
        <v>816</v>
      </c>
      <c r="I517" t="s">
        <v>817</v>
      </c>
      <c r="J517" t="s">
        <v>768</v>
      </c>
      <c r="K517" t="s">
        <v>768</v>
      </c>
      <c r="L517" t="s">
        <v>2121</v>
      </c>
      <c r="M517" t="s">
        <v>208</v>
      </c>
      <c r="N517" t="s">
        <v>869</v>
      </c>
      <c r="O517" t="s">
        <v>824</v>
      </c>
      <c r="P517" t="s">
        <v>772</v>
      </c>
      <c r="Q517" t="s">
        <v>1143</v>
      </c>
      <c r="R517">
        <v>0</v>
      </c>
      <c r="S517">
        <v>0</v>
      </c>
      <c r="T517">
        <v>10</v>
      </c>
      <c r="U517">
        <v>5</v>
      </c>
      <c r="V517">
        <v>0</v>
      </c>
      <c r="W517">
        <v>0</v>
      </c>
      <c r="X517">
        <v>0</v>
      </c>
      <c r="Y517">
        <v>0</v>
      </c>
      <c r="Z517">
        <v>0</v>
      </c>
      <c r="AA517">
        <v>0</v>
      </c>
      <c r="AB517">
        <v>0</v>
      </c>
      <c r="AC517">
        <v>0</v>
      </c>
      <c r="AD517">
        <v>0</v>
      </c>
      <c r="AE517">
        <v>0</v>
      </c>
      <c r="AF517">
        <v>0</v>
      </c>
      <c r="AG517">
        <v>0</v>
      </c>
      <c r="AH517">
        <v>0</v>
      </c>
      <c r="AI517">
        <v>0</v>
      </c>
      <c r="AY517" t="str">
        <f t="shared" si="152"/>
        <v/>
      </c>
      <c r="AZ517" t="str">
        <f>IF(COUNTIF(AY:AY,AY517)=1,AY517,IF(AND(COUNTIF(AY:AY,AY517)&gt;1,COUNTIF(AZ$2:AZ516,AY517)&gt;=1),"",AY517))</f>
        <v/>
      </c>
      <c r="BA517" t="str">
        <f>IF(AZ517="","",COUNTIFS(AZ$3:AZ$1439,"&lt;"&amp;AZ517,AZ$3:AZ$1439,"&lt;&gt;0")+COUNTIF(AZ$3:AZ517,AZ517)-876)</f>
        <v/>
      </c>
      <c r="BC517">
        <v>515</v>
      </c>
      <c r="BD517" t="str">
        <f t="shared" si="163"/>
        <v>TULAPRO 25 MG/ML SOLUTION INJECTABLE POUR PORCINS</v>
      </c>
      <c r="BE517" t="str">
        <f t="shared" si="153"/>
        <v>INJ</v>
      </c>
      <c r="BF517" t="str">
        <f t="shared" si="154"/>
        <v>MACROLIDES</v>
      </c>
      <c r="BG517" t="str">
        <f t="shared" si="155"/>
        <v/>
      </c>
      <c r="BH517" t="str">
        <f t="shared" si="156"/>
        <v/>
      </c>
      <c r="BI517" t="str">
        <f t="shared" si="157"/>
        <v>tulathromycin</v>
      </c>
      <c r="BJ517" t="str">
        <f t="shared" si="158"/>
        <v/>
      </c>
      <c r="BK517" t="str">
        <f t="shared" si="159"/>
        <v/>
      </c>
      <c r="BL517" t="str">
        <f t="shared" si="164"/>
        <v>Tulathromycine</v>
      </c>
      <c r="BM517" t="str">
        <f t="shared" si="160"/>
        <v>Tulathromycine</v>
      </c>
      <c r="BN517" t="str">
        <f t="shared" si="161"/>
        <v/>
      </c>
      <c r="BO517" t="str">
        <f t="shared" si="162"/>
        <v/>
      </c>
      <c r="BP517" t="str">
        <f t="shared" si="165"/>
        <v>Macrolides</v>
      </c>
      <c r="BQ517" t="str">
        <f t="shared" si="166"/>
        <v>Macrolides</v>
      </c>
      <c r="BR517" t="str">
        <f t="shared" si="167"/>
        <v/>
      </c>
      <c r="BS517" t="str">
        <f t="shared" si="168"/>
        <v/>
      </c>
      <c r="BT517" s="76" t="str">
        <f t="shared" si="169"/>
        <v>Voie parentérale</v>
      </c>
      <c r="BU517" t="str">
        <f t="shared" si="170"/>
        <v/>
      </c>
      <c r="CN517">
        <v>516</v>
      </c>
    </row>
    <row r="518" spans="1:92" x14ac:dyDescent="0.3">
      <c r="A518" s="118" t="s">
        <v>2732</v>
      </c>
      <c r="B518" t="s">
        <v>2736</v>
      </c>
      <c r="C518" t="s">
        <v>2737</v>
      </c>
      <c r="D518" s="144" t="s">
        <v>2738</v>
      </c>
      <c r="E518" t="s">
        <v>813</v>
      </c>
      <c r="F518" t="s">
        <v>2735</v>
      </c>
      <c r="G518" t="s">
        <v>815</v>
      </c>
      <c r="H518" t="s">
        <v>816</v>
      </c>
      <c r="I518" t="s">
        <v>817</v>
      </c>
      <c r="J518" t="s">
        <v>768</v>
      </c>
      <c r="K518" t="s">
        <v>768</v>
      </c>
      <c r="L518" t="s">
        <v>2121</v>
      </c>
      <c r="M518" t="s">
        <v>208</v>
      </c>
      <c r="N518" t="s">
        <v>869</v>
      </c>
      <c r="O518" t="s">
        <v>824</v>
      </c>
      <c r="P518" t="s">
        <v>772</v>
      </c>
      <c r="Q518" t="s">
        <v>2739</v>
      </c>
      <c r="R518">
        <v>0</v>
      </c>
      <c r="S518">
        <v>0</v>
      </c>
      <c r="T518">
        <v>10</v>
      </c>
      <c r="U518">
        <v>5</v>
      </c>
      <c r="V518">
        <v>0</v>
      </c>
      <c r="W518">
        <v>0</v>
      </c>
      <c r="X518">
        <v>0</v>
      </c>
      <c r="Y518">
        <v>0</v>
      </c>
      <c r="Z518">
        <v>0</v>
      </c>
      <c r="AA518">
        <v>0</v>
      </c>
      <c r="AB518">
        <v>0</v>
      </c>
      <c r="AC518">
        <v>0</v>
      </c>
      <c r="AD518">
        <v>0</v>
      </c>
      <c r="AE518">
        <v>0</v>
      </c>
      <c r="AF518">
        <v>0</v>
      </c>
      <c r="AG518">
        <v>0</v>
      </c>
      <c r="AH518">
        <v>0</v>
      </c>
      <c r="AI518">
        <v>0</v>
      </c>
      <c r="AY518" t="str">
        <f t="shared" si="152"/>
        <v/>
      </c>
      <c r="AZ518" t="str">
        <f>IF(COUNTIF(AY:AY,AY518)=1,AY518,IF(AND(COUNTIF(AY:AY,AY518)&gt;1,COUNTIF(AZ$2:AZ517,AY518)&gt;=1),"",AY518))</f>
        <v/>
      </c>
      <c r="BA518" t="str">
        <f>IF(AZ518="","",COUNTIFS(AZ$3:AZ$1439,"&lt;"&amp;AZ518,AZ$3:AZ$1439,"&lt;&gt;0")+COUNTIF(AZ$3:AZ518,AZ518)-876)</f>
        <v/>
      </c>
      <c r="BC518">
        <v>516</v>
      </c>
      <c r="BD518" t="str">
        <f t="shared" si="163"/>
        <v>TULAVEN 100 MG/ML SOLUTION INJECTABLE POUR BOVINS PORCINS ET OVINS</v>
      </c>
      <c r="BE518" t="str">
        <f t="shared" si="153"/>
        <v>INJ</v>
      </c>
      <c r="BF518" t="str">
        <f t="shared" si="154"/>
        <v>MACROLIDES</v>
      </c>
      <c r="BG518" t="str">
        <f t="shared" si="155"/>
        <v/>
      </c>
      <c r="BH518" t="str">
        <f t="shared" si="156"/>
        <v/>
      </c>
      <c r="BI518" t="str">
        <f t="shared" si="157"/>
        <v>tulathromycin</v>
      </c>
      <c r="BJ518" t="str">
        <f t="shared" si="158"/>
        <v/>
      </c>
      <c r="BK518" t="str">
        <f t="shared" si="159"/>
        <v/>
      </c>
      <c r="BL518" t="str">
        <f t="shared" si="164"/>
        <v>Tulathromycine</v>
      </c>
      <c r="BM518" t="str">
        <f t="shared" si="160"/>
        <v>Tulathromycine</v>
      </c>
      <c r="BN518" t="str">
        <f t="shared" si="161"/>
        <v/>
      </c>
      <c r="BO518" t="str">
        <f t="shared" si="162"/>
        <v/>
      </c>
      <c r="BP518" t="str">
        <f t="shared" si="165"/>
        <v>Macrolides</v>
      </c>
      <c r="BQ518" t="str">
        <f t="shared" si="166"/>
        <v>Macrolides</v>
      </c>
      <c r="BR518" t="str">
        <f t="shared" si="167"/>
        <v/>
      </c>
      <c r="BS518" t="str">
        <f t="shared" si="168"/>
        <v/>
      </c>
      <c r="BT518" s="76" t="str">
        <f t="shared" si="169"/>
        <v>Voie parentérale</v>
      </c>
      <c r="BU518" t="str">
        <f t="shared" si="170"/>
        <v/>
      </c>
      <c r="CN518">
        <v>517</v>
      </c>
    </row>
    <row r="519" spans="1:92" x14ac:dyDescent="0.3">
      <c r="A519" s="118" t="s">
        <v>2720</v>
      </c>
      <c r="B519" t="s">
        <v>2721</v>
      </c>
      <c r="C519" t="s">
        <v>4490</v>
      </c>
      <c r="D519" s="144" t="s">
        <v>829</v>
      </c>
      <c r="E519" t="s">
        <v>830</v>
      </c>
      <c r="F519" t="s">
        <v>333</v>
      </c>
      <c r="G519" t="s">
        <v>831</v>
      </c>
      <c r="H519" t="s">
        <v>169</v>
      </c>
      <c r="I519" t="s">
        <v>817</v>
      </c>
      <c r="J519" t="s">
        <v>768</v>
      </c>
      <c r="K519" t="s">
        <v>768</v>
      </c>
      <c r="L519" t="s">
        <v>2121</v>
      </c>
      <c r="M519" t="s">
        <v>208</v>
      </c>
      <c r="N519" t="s">
        <v>864</v>
      </c>
      <c r="O519" t="s">
        <v>894</v>
      </c>
      <c r="P519" t="s">
        <v>772</v>
      </c>
      <c r="Q519" t="s">
        <v>864</v>
      </c>
      <c r="R519">
        <v>10</v>
      </c>
      <c r="S519">
        <v>5</v>
      </c>
      <c r="T519">
        <v>0</v>
      </c>
      <c r="U519">
        <v>0</v>
      </c>
      <c r="V519">
        <v>0</v>
      </c>
      <c r="W519">
        <v>0</v>
      </c>
      <c r="X519">
        <v>0</v>
      </c>
      <c r="Y519">
        <v>0</v>
      </c>
      <c r="Z519">
        <v>0</v>
      </c>
      <c r="AA519">
        <v>0</v>
      </c>
      <c r="AB519">
        <v>0</v>
      </c>
      <c r="AC519">
        <v>0</v>
      </c>
      <c r="AD519">
        <v>0</v>
      </c>
      <c r="AE519">
        <v>0</v>
      </c>
      <c r="AF519">
        <v>0</v>
      </c>
      <c r="AG519">
        <v>0</v>
      </c>
      <c r="AH519">
        <v>0</v>
      </c>
      <c r="AI519">
        <v>0</v>
      </c>
      <c r="AY519" t="str">
        <f t="shared" si="152"/>
        <v>DOXYVAL 20 %</v>
      </c>
      <c r="AZ519" t="str">
        <f>IF(COUNTIF(AY:AY,AY519)=1,AY519,IF(AND(COUNTIF(AY:AY,AY519)&gt;1,COUNTIF(AZ$2:AZ518,AY519)&gt;=1),"",AY519))</f>
        <v>DOXYVAL 20 %</v>
      </c>
      <c r="BA519">
        <f>IF(AZ519="","",COUNTIFS(AZ$3:AZ$1439,"&lt;"&amp;AZ519,AZ$3:AZ$1439,"&lt;&gt;0")+COUNTIF(AZ$3:AZ519,AZ519)-876)</f>
        <v>196</v>
      </c>
      <c r="BC519">
        <v>517</v>
      </c>
      <c r="BD519" t="str">
        <f t="shared" si="163"/>
        <v>TULAVEN 25 MG/ML SOLUTION INJECTABLE POUR PORCINS</v>
      </c>
      <c r="BE519" t="str">
        <f t="shared" si="153"/>
        <v>INJ</v>
      </c>
      <c r="BF519" t="str">
        <f t="shared" si="154"/>
        <v>MACROLIDES</v>
      </c>
      <c r="BG519" t="str">
        <f t="shared" si="155"/>
        <v/>
      </c>
      <c r="BH519" t="str">
        <f t="shared" si="156"/>
        <v/>
      </c>
      <c r="BI519" t="str">
        <f t="shared" si="157"/>
        <v>tulathromycin</v>
      </c>
      <c r="BJ519" t="str">
        <f t="shared" si="158"/>
        <v/>
      </c>
      <c r="BK519" t="str">
        <f t="shared" si="159"/>
        <v/>
      </c>
      <c r="BL519" t="str">
        <f t="shared" si="164"/>
        <v>Tulathromycine</v>
      </c>
      <c r="BM519" t="str">
        <f t="shared" si="160"/>
        <v>Tulathromycine</v>
      </c>
      <c r="BN519" t="str">
        <f t="shared" si="161"/>
        <v/>
      </c>
      <c r="BO519" t="str">
        <f t="shared" si="162"/>
        <v/>
      </c>
      <c r="BP519" t="str">
        <f t="shared" si="165"/>
        <v>Macrolides</v>
      </c>
      <c r="BQ519" t="str">
        <f t="shared" si="166"/>
        <v>Macrolides</v>
      </c>
      <c r="BR519" t="str">
        <f t="shared" si="167"/>
        <v/>
      </c>
      <c r="BS519" t="str">
        <f t="shared" si="168"/>
        <v/>
      </c>
      <c r="BT519" s="76" t="str">
        <f t="shared" si="169"/>
        <v>Voie parentérale</v>
      </c>
      <c r="BU519" t="str">
        <f t="shared" si="170"/>
        <v/>
      </c>
      <c r="CN519">
        <v>518</v>
      </c>
    </row>
    <row r="520" spans="1:92" x14ac:dyDescent="0.3">
      <c r="A520" s="118" t="s">
        <v>2720</v>
      </c>
      <c r="B520" t="s">
        <v>2722</v>
      </c>
      <c r="C520" t="s">
        <v>4491</v>
      </c>
      <c r="D520" s="144" t="s">
        <v>966</v>
      </c>
      <c r="E520" t="s">
        <v>830</v>
      </c>
      <c r="F520" t="s">
        <v>333</v>
      </c>
      <c r="G520" t="s">
        <v>831</v>
      </c>
      <c r="H520" t="s">
        <v>169</v>
      </c>
      <c r="I520" t="s">
        <v>817</v>
      </c>
      <c r="J520" t="s">
        <v>768</v>
      </c>
      <c r="K520" t="s">
        <v>768</v>
      </c>
      <c r="L520" t="s">
        <v>2121</v>
      </c>
      <c r="M520" t="s">
        <v>208</v>
      </c>
      <c r="N520" t="s">
        <v>864</v>
      </c>
      <c r="O520" t="s">
        <v>894</v>
      </c>
      <c r="P520" t="s">
        <v>772</v>
      </c>
      <c r="Q520" t="s">
        <v>906</v>
      </c>
      <c r="R520">
        <v>10</v>
      </c>
      <c r="S520">
        <v>5</v>
      </c>
      <c r="T520">
        <v>0</v>
      </c>
      <c r="U520">
        <v>0</v>
      </c>
      <c r="V520">
        <v>0</v>
      </c>
      <c r="W520">
        <v>0</v>
      </c>
      <c r="X520">
        <v>0</v>
      </c>
      <c r="Y520">
        <v>0</v>
      </c>
      <c r="Z520">
        <v>0</v>
      </c>
      <c r="AA520">
        <v>0</v>
      </c>
      <c r="AB520">
        <v>0</v>
      </c>
      <c r="AC520">
        <v>0</v>
      </c>
      <c r="AD520">
        <v>0</v>
      </c>
      <c r="AE520">
        <v>0</v>
      </c>
      <c r="AF520">
        <v>0</v>
      </c>
      <c r="AG520">
        <v>0</v>
      </c>
      <c r="AH520">
        <v>0</v>
      </c>
      <c r="AI520">
        <v>0</v>
      </c>
      <c r="AY520" t="str">
        <f t="shared" si="152"/>
        <v>DOXYVAL 20 %</v>
      </c>
      <c r="AZ520" t="str">
        <f>IF(COUNTIF(AY:AY,AY520)=1,AY520,IF(AND(COUNTIF(AY:AY,AY520)&gt;1,COUNTIF(AZ$2:AZ519,AY520)&gt;=1),"",AY520))</f>
        <v/>
      </c>
      <c r="BA520" t="str">
        <f>IF(AZ520="","",COUNTIFS(AZ$3:AZ$1439,"&lt;"&amp;AZ520,AZ$3:AZ$1439,"&lt;&gt;0")+COUNTIF(AZ$3:AZ520,AZ520)-876)</f>
        <v/>
      </c>
      <c r="BC520">
        <v>518</v>
      </c>
      <c r="BD520" t="str">
        <f t="shared" si="163"/>
        <v>TULINOVET 100 MG/ML SOLUTION INJECTABLE POUR BOVINS PORCINS ET OVINS</v>
      </c>
      <c r="BE520" t="str">
        <f t="shared" si="153"/>
        <v>INJ</v>
      </c>
      <c r="BF520" t="str">
        <f t="shared" si="154"/>
        <v>MACROLIDES</v>
      </c>
      <c r="BG520" t="str">
        <f t="shared" si="155"/>
        <v/>
      </c>
      <c r="BH520" t="str">
        <f t="shared" si="156"/>
        <v/>
      </c>
      <c r="BI520" t="str">
        <f t="shared" si="157"/>
        <v>tulathromycin</v>
      </c>
      <c r="BJ520" t="str">
        <f t="shared" si="158"/>
        <v/>
      </c>
      <c r="BK520" t="str">
        <f t="shared" si="159"/>
        <v/>
      </c>
      <c r="BL520" t="str">
        <f t="shared" si="164"/>
        <v>Tulathromycine</v>
      </c>
      <c r="BM520" t="str">
        <f t="shared" si="160"/>
        <v>Tulathromycine</v>
      </c>
      <c r="BN520" t="str">
        <f t="shared" si="161"/>
        <v/>
      </c>
      <c r="BO520" t="str">
        <f t="shared" si="162"/>
        <v/>
      </c>
      <c r="BP520" t="str">
        <f t="shared" si="165"/>
        <v>Macrolides</v>
      </c>
      <c r="BQ520" t="str">
        <f t="shared" si="166"/>
        <v>Macrolides</v>
      </c>
      <c r="BR520" t="str">
        <f t="shared" si="167"/>
        <v/>
      </c>
      <c r="BS520" t="str">
        <f t="shared" si="168"/>
        <v/>
      </c>
      <c r="BT520" s="76" t="str">
        <f t="shared" si="169"/>
        <v>Voie parentérale</v>
      </c>
      <c r="BU520" t="str">
        <f t="shared" si="170"/>
        <v/>
      </c>
      <c r="CN520">
        <v>519</v>
      </c>
    </row>
    <row r="521" spans="1:92" x14ac:dyDescent="0.3">
      <c r="A521" s="118" t="s">
        <v>2720</v>
      </c>
      <c r="B521" t="s">
        <v>2723</v>
      </c>
      <c r="C521" t="s">
        <v>4387</v>
      </c>
      <c r="D521" s="144" t="s">
        <v>955</v>
      </c>
      <c r="E521" t="s">
        <v>830</v>
      </c>
      <c r="F521" t="s">
        <v>333</v>
      </c>
      <c r="G521" t="s">
        <v>831</v>
      </c>
      <c r="H521" t="s">
        <v>169</v>
      </c>
      <c r="I521" t="s">
        <v>817</v>
      </c>
      <c r="J521" t="s">
        <v>768</v>
      </c>
      <c r="K521" t="s">
        <v>768</v>
      </c>
      <c r="L521" t="s">
        <v>2121</v>
      </c>
      <c r="M521" t="s">
        <v>208</v>
      </c>
      <c r="N521" t="s">
        <v>864</v>
      </c>
      <c r="O521" t="s">
        <v>894</v>
      </c>
      <c r="P521" t="s">
        <v>772</v>
      </c>
      <c r="Q521" t="s">
        <v>829</v>
      </c>
      <c r="R521">
        <v>10</v>
      </c>
      <c r="S521">
        <v>5</v>
      </c>
      <c r="T521">
        <v>0</v>
      </c>
      <c r="U521">
        <v>0</v>
      </c>
      <c r="V521">
        <v>0</v>
      </c>
      <c r="W521">
        <v>0</v>
      </c>
      <c r="X521">
        <v>0</v>
      </c>
      <c r="Y521">
        <v>0</v>
      </c>
      <c r="Z521">
        <v>0</v>
      </c>
      <c r="AA521">
        <v>0</v>
      </c>
      <c r="AB521">
        <v>0</v>
      </c>
      <c r="AC521">
        <v>0</v>
      </c>
      <c r="AD521">
        <v>0</v>
      </c>
      <c r="AE521">
        <v>0</v>
      </c>
      <c r="AF521">
        <v>0</v>
      </c>
      <c r="AG521">
        <v>0</v>
      </c>
      <c r="AH521">
        <v>0</v>
      </c>
      <c r="AI521">
        <v>0</v>
      </c>
      <c r="AY521" t="str">
        <f t="shared" si="152"/>
        <v>DOXYVAL 20 %</v>
      </c>
      <c r="AZ521" t="str">
        <f>IF(COUNTIF(AY:AY,AY521)=1,AY521,IF(AND(COUNTIF(AY:AY,AY521)&gt;1,COUNTIF(AZ$2:AZ520,AY521)&gt;=1),"",AY521))</f>
        <v/>
      </c>
      <c r="BA521" t="str">
        <f>IF(AZ521="","",COUNTIFS(AZ$3:AZ$1439,"&lt;"&amp;AZ521,AZ$3:AZ$1439,"&lt;&gt;0")+COUNTIF(AZ$3:AZ521,AZ521)-876)</f>
        <v/>
      </c>
      <c r="BC521">
        <v>519</v>
      </c>
      <c r="BD521" t="str">
        <f t="shared" si="163"/>
        <v>TULISSIN 100 MG/ML SOLUTION INJECTABLE POUR BOVINS PORCINS ET OVINS</v>
      </c>
      <c r="BE521" t="str">
        <f t="shared" si="153"/>
        <v>INJ</v>
      </c>
      <c r="BF521" t="str">
        <f t="shared" si="154"/>
        <v>MACROLIDES</v>
      </c>
      <c r="BG521" t="str">
        <f t="shared" si="155"/>
        <v/>
      </c>
      <c r="BH521" t="str">
        <f t="shared" si="156"/>
        <v/>
      </c>
      <c r="BI521" t="str">
        <f t="shared" si="157"/>
        <v>tulathromycin</v>
      </c>
      <c r="BJ521" t="str">
        <f t="shared" si="158"/>
        <v/>
      </c>
      <c r="BK521" t="str">
        <f t="shared" si="159"/>
        <v/>
      </c>
      <c r="BL521" t="str">
        <f t="shared" si="164"/>
        <v>Tulathromycine</v>
      </c>
      <c r="BM521" t="str">
        <f t="shared" si="160"/>
        <v>Tulathromycine</v>
      </c>
      <c r="BN521" t="str">
        <f t="shared" si="161"/>
        <v/>
      </c>
      <c r="BO521" t="str">
        <f t="shared" si="162"/>
        <v/>
      </c>
      <c r="BP521" t="str">
        <f t="shared" si="165"/>
        <v>Macrolides</v>
      </c>
      <c r="BQ521" t="str">
        <f t="shared" si="166"/>
        <v>Macrolides</v>
      </c>
      <c r="BR521" t="str">
        <f t="shared" si="167"/>
        <v/>
      </c>
      <c r="BS521" t="str">
        <f t="shared" si="168"/>
        <v/>
      </c>
      <c r="BT521" s="76" t="str">
        <f t="shared" si="169"/>
        <v>Voie parentérale</v>
      </c>
      <c r="BU521" t="str">
        <f t="shared" si="170"/>
        <v/>
      </c>
      <c r="CN521">
        <v>520</v>
      </c>
    </row>
    <row r="522" spans="1:92" x14ac:dyDescent="0.3">
      <c r="A522" s="118" t="s">
        <v>3034</v>
      </c>
      <c r="B522" t="s">
        <v>3035</v>
      </c>
      <c r="C522" t="s">
        <v>2611</v>
      </c>
      <c r="D522" s="144" t="s">
        <v>852</v>
      </c>
      <c r="E522" t="s">
        <v>813</v>
      </c>
      <c r="F522" t="s">
        <v>3036</v>
      </c>
      <c r="G522" t="s">
        <v>815</v>
      </c>
      <c r="H522" t="s">
        <v>860</v>
      </c>
      <c r="I522" t="s">
        <v>817</v>
      </c>
      <c r="J522" t="s">
        <v>768</v>
      </c>
      <c r="K522" t="s">
        <v>768</v>
      </c>
      <c r="L522" t="s">
        <v>2121</v>
      </c>
      <c r="M522" t="s">
        <v>208</v>
      </c>
      <c r="N522" t="s">
        <v>776</v>
      </c>
      <c r="O522" t="s">
        <v>824</v>
      </c>
      <c r="P522" t="s">
        <v>772</v>
      </c>
      <c r="Q522" t="s">
        <v>1126</v>
      </c>
      <c r="R522">
        <v>0</v>
      </c>
      <c r="S522">
        <v>0</v>
      </c>
      <c r="T522">
        <v>10</v>
      </c>
      <c r="U522">
        <v>5</v>
      </c>
      <c r="V522">
        <v>0</v>
      </c>
      <c r="W522">
        <v>0</v>
      </c>
      <c r="X522">
        <v>0</v>
      </c>
      <c r="Y522">
        <v>0</v>
      </c>
      <c r="Z522">
        <v>0</v>
      </c>
      <c r="AA522">
        <v>0</v>
      </c>
      <c r="AB522">
        <v>0</v>
      </c>
      <c r="AC522">
        <v>0</v>
      </c>
      <c r="AD522">
        <v>0</v>
      </c>
      <c r="AE522">
        <v>0</v>
      </c>
      <c r="AF522">
        <v>0</v>
      </c>
      <c r="AG522">
        <v>0</v>
      </c>
      <c r="AH522">
        <v>0</v>
      </c>
      <c r="AI522">
        <v>0</v>
      </c>
      <c r="AY522" t="str">
        <f t="shared" si="152"/>
        <v/>
      </c>
      <c r="AZ522" t="str">
        <f>IF(COUNTIF(AY:AY,AY522)=1,AY522,IF(AND(COUNTIF(AY:AY,AY522)&gt;1,COUNTIF(AZ$2:AZ521,AY522)&gt;=1),"",AY522))</f>
        <v/>
      </c>
      <c r="BA522" t="str">
        <f>IF(AZ522="","",COUNTIFS(AZ$3:AZ$1439,"&lt;"&amp;AZ522,AZ$3:AZ$1439,"&lt;&gt;0")+COUNTIF(AZ$3:AZ522,AZ522)-876)</f>
        <v/>
      </c>
      <c r="BC522">
        <v>520</v>
      </c>
      <c r="BD522" t="str">
        <f t="shared" si="163"/>
        <v>TULISSIN 25 MG/ML SOLUTION INJECTABLE POUR PORCINS</v>
      </c>
      <c r="BE522" t="str">
        <f t="shared" si="153"/>
        <v>INJ</v>
      </c>
      <c r="BF522" t="str">
        <f t="shared" si="154"/>
        <v>MACROLIDES</v>
      </c>
      <c r="BG522" t="str">
        <f t="shared" si="155"/>
        <v/>
      </c>
      <c r="BH522" t="str">
        <f t="shared" si="156"/>
        <v/>
      </c>
      <c r="BI522" t="str">
        <f t="shared" si="157"/>
        <v>tulathromycin</v>
      </c>
      <c r="BJ522" t="str">
        <f t="shared" si="158"/>
        <v/>
      </c>
      <c r="BK522" t="str">
        <f t="shared" si="159"/>
        <v/>
      </c>
      <c r="BL522" t="str">
        <f t="shared" si="164"/>
        <v>Tulathromycine</v>
      </c>
      <c r="BM522" t="str">
        <f t="shared" si="160"/>
        <v>Tulathromycine</v>
      </c>
      <c r="BN522" t="str">
        <f t="shared" si="161"/>
        <v/>
      </c>
      <c r="BO522" t="str">
        <f t="shared" si="162"/>
        <v/>
      </c>
      <c r="BP522" t="str">
        <f t="shared" si="165"/>
        <v>Macrolides</v>
      </c>
      <c r="BQ522" t="str">
        <f t="shared" si="166"/>
        <v>Macrolides</v>
      </c>
      <c r="BR522" t="str">
        <f t="shared" si="167"/>
        <v/>
      </c>
      <c r="BS522" t="str">
        <f t="shared" si="168"/>
        <v/>
      </c>
      <c r="BT522" s="76" t="str">
        <f t="shared" si="169"/>
        <v>Voie parentérale</v>
      </c>
      <c r="BU522" t="str">
        <f t="shared" si="170"/>
        <v/>
      </c>
      <c r="CN522">
        <v>521</v>
      </c>
    </row>
    <row r="523" spans="1:92" x14ac:dyDescent="0.3">
      <c r="A523" s="118" t="s">
        <v>3034</v>
      </c>
      <c r="B523" t="s">
        <v>3037</v>
      </c>
      <c r="C523" t="s">
        <v>2614</v>
      </c>
      <c r="D523" s="144" t="s">
        <v>864</v>
      </c>
      <c r="E523" t="s">
        <v>813</v>
      </c>
      <c r="F523" t="s">
        <v>3036</v>
      </c>
      <c r="G523" t="s">
        <v>815</v>
      </c>
      <c r="H523" t="s">
        <v>860</v>
      </c>
      <c r="I523" t="s">
        <v>817</v>
      </c>
      <c r="J523" t="s">
        <v>768</v>
      </c>
      <c r="K523" t="s">
        <v>768</v>
      </c>
      <c r="L523" t="s">
        <v>2121</v>
      </c>
      <c r="M523" t="s">
        <v>208</v>
      </c>
      <c r="N523" t="s">
        <v>776</v>
      </c>
      <c r="O523" t="s">
        <v>824</v>
      </c>
      <c r="P523" t="s">
        <v>772</v>
      </c>
      <c r="Q523" t="s">
        <v>780</v>
      </c>
      <c r="R523">
        <v>0</v>
      </c>
      <c r="S523">
        <v>0</v>
      </c>
      <c r="T523">
        <v>10</v>
      </c>
      <c r="U523">
        <v>5</v>
      </c>
      <c r="V523">
        <v>0</v>
      </c>
      <c r="W523">
        <v>0</v>
      </c>
      <c r="X523">
        <v>0</v>
      </c>
      <c r="Y523">
        <v>0</v>
      </c>
      <c r="Z523">
        <v>0</v>
      </c>
      <c r="AA523">
        <v>0</v>
      </c>
      <c r="AB523">
        <v>0</v>
      </c>
      <c r="AC523">
        <v>0</v>
      </c>
      <c r="AD523">
        <v>0</v>
      </c>
      <c r="AE523">
        <v>0</v>
      </c>
      <c r="AF523">
        <v>0</v>
      </c>
      <c r="AG523">
        <v>0</v>
      </c>
      <c r="AH523">
        <v>0</v>
      </c>
      <c r="AI523">
        <v>0</v>
      </c>
      <c r="AY523" t="str">
        <f t="shared" si="152"/>
        <v/>
      </c>
      <c r="AZ523" t="str">
        <f>IF(COUNTIF(AY:AY,AY523)=1,AY523,IF(AND(COUNTIF(AY:AY,AY523)&gt;1,COUNTIF(AZ$2:AZ522,AY523)&gt;=1),"",AY523))</f>
        <v/>
      </c>
      <c r="BA523" t="str">
        <f>IF(AZ523="","",COUNTIFS(AZ$3:AZ$1439,"&lt;"&amp;AZ523,AZ$3:AZ$1439,"&lt;&gt;0")+COUNTIF(AZ$3:AZ523,AZ523)-876)</f>
        <v/>
      </c>
      <c r="BC523">
        <v>521</v>
      </c>
      <c r="BD523" t="str">
        <f t="shared" si="163"/>
        <v>TULOXXIN 100 MG/ML SOLUTION INJECTABLE POUR BOVINS PORCINS ET OVINS</v>
      </c>
      <c r="BE523" t="str">
        <f t="shared" si="153"/>
        <v>INJ</v>
      </c>
      <c r="BF523" t="str">
        <f t="shared" si="154"/>
        <v>MACROLIDES</v>
      </c>
      <c r="BG523" t="str">
        <f t="shared" si="155"/>
        <v/>
      </c>
      <c r="BH523" t="str">
        <f t="shared" si="156"/>
        <v/>
      </c>
      <c r="BI523" t="str">
        <f t="shared" si="157"/>
        <v>tulathromycin</v>
      </c>
      <c r="BJ523" t="str">
        <f t="shared" si="158"/>
        <v/>
      </c>
      <c r="BK523" t="str">
        <f t="shared" si="159"/>
        <v/>
      </c>
      <c r="BL523" t="str">
        <f t="shared" si="164"/>
        <v>Tulathromycine</v>
      </c>
      <c r="BM523" t="str">
        <f t="shared" si="160"/>
        <v>Tulathromycine</v>
      </c>
      <c r="BN523" t="str">
        <f t="shared" si="161"/>
        <v/>
      </c>
      <c r="BO523" t="str">
        <f t="shared" si="162"/>
        <v/>
      </c>
      <c r="BP523" t="str">
        <f t="shared" si="165"/>
        <v>Macrolides</v>
      </c>
      <c r="BQ523" t="str">
        <f t="shared" si="166"/>
        <v>Macrolides</v>
      </c>
      <c r="BR523" t="str">
        <f t="shared" si="167"/>
        <v/>
      </c>
      <c r="BS523" t="str">
        <f t="shared" si="168"/>
        <v/>
      </c>
      <c r="BT523" s="76" t="str">
        <f t="shared" si="169"/>
        <v>Voie parentérale</v>
      </c>
      <c r="BU523" t="str">
        <f t="shared" si="170"/>
        <v/>
      </c>
      <c r="CN523">
        <v>522</v>
      </c>
    </row>
    <row r="524" spans="1:92" x14ac:dyDescent="0.3">
      <c r="A524" s="118" t="s">
        <v>4228</v>
      </c>
      <c r="B524" t="s">
        <v>4229</v>
      </c>
      <c r="C524" t="s">
        <v>891</v>
      </c>
      <c r="D524" t="s">
        <v>829</v>
      </c>
      <c r="E524" t="s">
        <v>830</v>
      </c>
      <c r="F524" t="s">
        <v>334</v>
      </c>
      <c r="G524" t="s">
        <v>831</v>
      </c>
      <c r="H524" t="s">
        <v>4230</v>
      </c>
      <c r="I524" t="s">
        <v>817</v>
      </c>
      <c r="J524" t="s">
        <v>768</v>
      </c>
      <c r="K524" t="s">
        <v>768</v>
      </c>
      <c r="L524" t="s">
        <v>2121</v>
      </c>
      <c r="M524" t="s">
        <v>208</v>
      </c>
      <c r="N524" t="s">
        <v>3557</v>
      </c>
      <c r="O524" t="s">
        <v>894</v>
      </c>
      <c r="P524" t="s">
        <v>772</v>
      </c>
      <c r="Q524" t="s">
        <v>3557</v>
      </c>
      <c r="R524">
        <v>8.66</v>
      </c>
      <c r="S524">
        <v>5</v>
      </c>
      <c r="T524">
        <v>0</v>
      </c>
      <c r="U524">
        <v>0</v>
      </c>
      <c r="V524">
        <v>0</v>
      </c>
      <c r="W524">
        <v>0</v>
      </c>
      <c r="X524">
        <v>0</v>
      </c>
      <c r="Y524">
        <v>0</v>
      </c>
      <c r="Z524">
        <v>0</v>
      </c>
      <c r="AA524">
        <v>0</v>
      </c>
      <c r="AB524">
        <v>0</v>
      </c>
      <c r="AC524">
        <v>0</v>
      </c>
      <c r="AD524">
        <v>8.66</v>
      </c>
      <c r="AE524">
        <v>5</v>
      </c>
      <c r="AF524">
        <v>21.65</v>
      </c>
      <c r="AG524">
        <v>5</v>
      </c>
      <c r="AH524">
        <v>0</v>
      </c>
      <c r="AI524">
        <v>0</v>
      </c>
      <c r="AY524" t="str">
        <f t="shared" si="152"/>
        <v>DOXYVETO-C 433 MG/G POUDRE POUR ADMINISTRATION DANS L'EAU DE BOISSON / LE LAIT DE REMPLACEMENT POUR LES BOVINS, PORCINS ET POULETS</v>
      </c>
      <c r="AZ524" t="str">
        <f>IF(COUNTIF(AY:AY,AY524)=1,AY524,IF(AND(COUNTIF(AY:AY,AY524)&gt;1,COUNTIF(AZ$2:AZ523,AY524)&gt;=1),"",AY524))</f>
        <v>DOXYVETO-C 433 MG/G POUDRE POUR ADMINISTRATION DANS L'EAU DE BOISSON / LE LAIT DE REMPLACEMENT POUR LES BOVINS, PORCINS ET POULETS</v>
      </c>
      <c r="BA524">
        <f>IF(AZ524="","",COUNTIFS(AZ$3:AZ$1439,"&lt;"&amp;AZ524,AZ$3:AZ$1439,"&lt;&gt;0")+COUNTIF(AZ$3:AZ524,AZ524)-876)</f>
        <v>197</v>
      </c>
      <c r="BC524">
        <v>522</v>
      </c>
      <c r="BD524" t="str">
        <f t="shared" si="163"/>
        <v>TYLAN 100 PREMIX</v>
      </c>
      <c r="BE524" t="str">
        <f t="shared" si="153"/>
        <v>PM</v>
      </c>
      <c r="BF524" t="str">
        <f t="shared" si="154"/>
        <v>MACROLIDES</v>
      </c>
      <c r="BG524" t="str">
        <f t="shared" si="155"/>
        <v/>
      </c>
      <c r="BH524" t="str">
        <f t="shared" si="156"/>
        <v/>
      </c>
      <c r="BI524" t="str">
        <f t="shared" si="157"/>
        <v>tylosin</v>
      </c>
      <c r="BJ524" t="str">
        <f t="shared" si="158"/>
        <v/>
      </c>
      <c r="BK524" t="str">
        <f t="shared" si="159"/>
        <v/>
      </c>
      <c r="BL524" t="str">
        <f t="shared" si="164"/>
        <v>Tylosine</v>
      </c>
      <c r="BM524" t="str">
        <f t="shared" si="160"/>
        <v>Tylosine</v>
      </c>
      <c r="BN524" t="str">
        <f t="shared" si="161"/>
        <v/>
      </c>
      <c r="BO524" t="str">
        <f t="shared" si="162"/>
        <v/>
      </c>
      <c r="BP524" t="str">
        <f t="shared" si="165"/>
        <v>Macrolides</v>
      </c>
      <c r="BQ524" t="str">
        <f t="shared" si="166"/>
        <v>Macrolides</v>
      </c>
      <c r="BR524" t="str">
        <f t="shared" si="167"/>
        <v/>
      </c>
      <c r="BS524" t="str">
        <f t="shared" si="168"/>
        <v/>
      </c>
      <c r="BT524" s="76" t="str">
        <f t="shared" si="169"/>
        <v>Prémélanges médicamenteux</v>
      </c>
      <c r="BU524" t="str">
        <f t="shared" si="170"/>
        <v/>
      </c>
      <c r="CN524">
        <v>523</v>
      </c>
    </row>
    <row r="525" spans="1:92" x14ac:dyDescent="0.3">
      <c r="A525" s="118" t="s">
        <v>3006</v>
      </c>
      <c r="B525" t="s">
        <v>3007</v>
      </c>
      <c r="C525" t="s">
        <v>4507</v>
      </c>
      <c r="D525" s="144" t="s">
        <v>869</v>
      </c>
      <c r="E525" t="s">
        <v>765</v>
      </c>
      <c r="F525" t="s">
        <v>335</v>
      </c>
      <c r="G525" t="s">
        <v>766</v>
      </c>
      <c r="H525" t="s">
        <v>1484</v>
      </c>
      <c r="I525" t="s">
        <v>766</v>
      </c>
      <c r="J525" t="s">
        <v>802</v>
      </c>
      <c r="K525" t="s">
        <v>802</v>
      </c>
      <c r="L525" t="s">
        <v>3008</v>
      </c>
      <c r="M525" t="s">
        <v>208</v>
      </c>
      <c r="N525" t="s">
        <v>764</v>
      </c>
      <c r="O525" t="s">
        <v>771</v>
      </c>
      <c r="P525" t="s">
        <v>772</v>
      </c>
      <c r="Q525" t="s">
        <v>1033</v>
      </c>
      <c r="R525">
        <v>2.5</v>
      </c>
      <c r="S525">
        <v>1</v>
      </c>
      <c r="T525">
        <v>0</v>
      </c>
      <c r="U525">
        <v>0</v>
      </c>
      <c r="V525">
        <v>0</v>
      </c>
      <c r="W525">
        <v>0</v>
      </c>
      <c r="X525">
        <v>0</v>
      </c>
      <c r="Y525">
        <v>0</v>
      </c>
      <c r="Z525">
        <v>0</v>
      </c>
      <c r="AA525">
        <v>0</v>
      </c>
      <c r="AB525">
        <v>2.5</v>
      </c>
      <c r="AC525">
        <v>1</v>
      </c>
      <c r="AD525">
        <v>2.5</v>
      </c>
      <c r="AE525">
        <v>1</v>
      </c>
      <c r="AF525">
        <v>0</v>
      </c>
      <c r="AG525">
        <v>0</v>
      </c>
      <c r="AH525">
        <v>0</v>
      </c>
      <c r="AI525">
        <v>0</v>
      </c>
      <c r="AY525" t="str">
        <f t="shared" si="152"/>
        <v>DRAXXIN 100 MG/ML SOLUTION INJECTABLE POUR BOVINS, PORCINS ET OVINS</v>
      </c>
      <c r="AZ525" t="str">
        <f>IF(COUNTIF(AY:AY,AY525)=1,AY525,IF(AND(COUNTIF(AY:AY,AY525)&gt;1,COUNTIF(AZ$2:AZ524,AY525)&gt;=1),"",AY525))</f>
        <v>DRAXXIN 100 MG/ML SOLUTION INJECTABLE POUR BOVINS, PORCINS ET OVINS</v>
      </c>
      <c r="BA525">
        <f>IF(AZ525="","",COUNTIFS(AZ$3:AZ$1439,"&lt;"&amp;AZ525,AZ$3:AZ$1439,"&lt;&gt;0")+COUNTIF(AZ$3:AZ525,AZ525)-876)</f>
        <v>198</v>
      </c>
      <c r="BC525">
        <v>523</v>
      </c>
      <c r="BD525" t="str">
        <f t="shared" si="163"/>
        <v>TYLAN 20 PREMIX</v>
      </c>
      <c r="BE525" t="str">
        <f t="shared" si="153"/>
        <v>PM</v>
      </c>
      <c r="BF525" t="str">
        <f t="shared" si="154"/>
        <v>MACROLIDES</v>
      </c>
      <c r="BG525" t="str">
        <f t="shared" si="155"/>
        <v/>
      </c>
      <c r="BH525" t="str">
        <f t="shared" si="156"/>
        <v/>
      </c>
      <c r="BI525" t="str">
        <f t="shared" si="157"/>
        <v>tylosin</v>
      </c>
      <c r="BJ525" t="str">
        <f t="shared" si="158"/>
        <v/>
      </c>
      <c r="BK525" t="str">
        <f t="shared" si="159"/>
        <v/>
      </c>
      <c r="BL525" t="str">
        <f t="shared" si="164"/>
        <v>Tylosine</v>
      </c>
      <c r="BM525" t="str">
        <f t="shared" si="160"/>
        <v>Tylosine</v>
      </c>
      <c r="BN525" t="str">
        <f t="shared" si="161"/>
        <v/>
      </c>
      <c r="BO525" t="str">
        <f t="shared" si="162"/>
        <v/>
      </c>
      <c r="BP525" t="str">
        <f t="shared" si="165"/>
        <v>Macrolides</v>
      </c>
      <c r="BQ525" t="str">
        <f t="shared" si="166"/>
        <v>Macrolides</v>
      </c>
      <c r="BR525" t="str">
        <f t="shared" si="167"/>
        <v/>
      </c>
      <c r="BS525" t="str">
        <f t="shared" si="168"/>
        <v/>
      </c>
      <c r="BT525" s="76" t="str">
        <f t="shared" si="169"/>
        <v>Prémélanges médicamenteux</v>
      </c>
      <c r="BU525" t="str">
        <f t="shared" si="170"/>
        <v/>
      </c>
      <c r="CN525">
        <v>524</v>
      </c>
    </row>
    <row r="526" spans="1:92" x14ac:dyDescent="0.3">
      <c r="A526" s="118" t="s">
        <v>3006</v>
      </c>
      <c r="B526" t="s">
        <v>3009</v>
      </c>
      <c r="C526" t="s">
        <v>4508</v>
      </c>
      <c r="D526" s="144" t="s">
        <v>780</v>
      </c>
      <c r="E526" t="s">
        <v>765</v>
      </c>
      <c r="F526" t="s">
        <v>335</v>
      </c>
      <c r="G526" t="s">
        <v>766</v>
      </c>
      <c r="H526" t="s">
        <v>1484</v>
      </c>
      <c r="I526" t="s">
        <v>766</v>
      </c>
      <c r="J526" t="s">
        <v>802</v>
      </c>
      <c r="K526" t="s">
        <v>802</v>
      </c>
      <c r="L526" t="s">
        <v>3008</v>
      </c>
      <c r="M526" t="s">
        <v>208</v>
      </c>
      <c r="N526" t="s">
        <v>764</v>
      </c>
      <c r="O526" t="s">
        <v>771</v>
      </c>
      <c r="P526" t="s">
        <v>772</v>
      </c>
      <c r="Q526" t="s">
        <v>885</v>
      </c>
      <c r="R526">
        <v>2.5</v>
      </c>
      <c r="S526">
        <v>1</v>
      </c>
      <c r="T526">
        <v>0</v>
      </c>
      <c r="U526">
        <v>0</v>
      </c>
      <c r="V526">
        <v>0</v>
      </c>
      <c r="W526">
        <v>0</v>
      </c>
      <c r="X526">
        <v>0</v>
      </c>
      <c r="Y526">
        <v>0</v>
      </c>
      <c r="Z526">
        <v>0</v>
      </c>
      <c r="AA526">
        <v>0</v>
      </c>
      <c r="AB526">
        <v>2.5</v>
      </c>
      <c r="AC526">
        <v>1</v>
      </c>
      <c r="AD526">
        <v>2.5</v>
      </c>
      <c r="AE526">
        <v>1</v>
      </c>
      <c r="AF526">
        <v>0</v>
      </c>
      <c r="AG526">
        <v>0</v>
      </c>
      <c r="AH526">
        <v>0</v>
      </c>
      <c r="AI526">
        <v>0</v>
      </c>
      <c r="AY526" t="str">
        <f t="shared" si="152"/>
        <v>DRAXXIN 100 MG/ML SOLUTION INJECTABLE POUR BOVINS, PORCINS ET OVINS</v>
      </c>
      <c r="AZ526" t="str">
        <f>IF(COUNTIF(AY:AY,AY526)=1,AY526,IF(AND(COUNTIF(AY:AY,AY526)&gt;1,COUNTIF(AZ$2:AZ525,AY526)&gt;=1),"",AY526))</f>
        <v/>
      </c>
      <c r="BA526" t="str">
        <f>IF(AZ526="","",COUNTIFS(AZ$3:AZ$1439,"&lt;"&amp;AZ526,AZ$3:AZ$1439,"&lt;&gt;0")+COUNTIF(AZ$3:AZ526,AZ526)-876)</f>
        <v/>
      </c>
      <c r="BC526">
        <v>524</v>
      </c>
      <c r="BD526" t="str">
        <f t="shared" si="163"/>
        <v>TYLAN 200 000 UI/ML SOLUTION INJECTABLE</v>
      </c>
      <c r="BE526" t="str">
        <f t="shared" si="153"/>
        <v>INJ</v>
      </c>
      <c r="BF526" t="str">
        <f t="shared" si="154"/>
        <v>MACROLIDES</v>
      </c>
      <c r="BG526" t="str">
        <f t="shared" si="155"/>
        <v/>
      </c>
      <c r="BH526" t="str">
        <f t="shared" si="156"/>
        <v/>
      </c>
      <c r="BI526" t="str">
        <f t="shared" si="157"/>
        <v>tylosin</v>
      </c>
      <c r="BJ526" t="str">
        <f t="shared" si="158"/>
        <v/>
      </c>
      <c r="BK526" t="str">
        <f t="shared" si="159"/>
        <v/>
      </c>
      <c r="BL526" t="str">
        <f t="shared" si="164"/>
        <v>Tylosine</v>
      </c>
      <c r="BM526" t="str">
        <f t="shared" si="160"/>
        <v>Tylosine</v>
      </c>
      <c r="BN526" t="str">
        <f t="shared" si="161"/>
        <v/>
      </c>
      <c r="BO526" t="str">
        <f t="shared" si="162"/>
        <v/>
      </c>
      <c r="BP526" t="str">
        <f t="shared" si="165"/>
        <v>Macrolides</v>
      </c>
      <c r="BQ526" t="str">
        <f t="shared" si="166"/>
        <v>Macrolides</v>
      </c>
      <c r="BR526" t="str">
        <f t="shared" si="167"/>
        <v/>
      </c>
      <c r="BS526" t="str">
        <f t="shared" si="168"/>
        <v/>
      </c>
      <c r="BT526" s="76" t="str">
        <f t="shared" si="169"/>
        <v>Voie parentérale</v>
      </c>
      <c r="BU526" t="str">
        <f t="shared" si="170"/>
        <v/>
      </c>
      <c r="CN526">
        <v>525</v>
      </c>
    </row>
    <row r="527" spans="1:92" x14ac:dyDescent="0.3">
      <c r="A527" s="118" t="s">
        <v>3006</v>
      </c>
      <c r="B527" t="s">
        <v>3010</v>
      </c>
      <c r="C527" t="s">
        <v>4509</v>
      </c>
      <c r="D527" s="144" t="s">
        <v>764</v>
      </c>
      <c r="E527" t="s">
        <v>765</v>
      </c>
      <c r="F527" t="s">
        <v>335</v>
      </c>
      <c r="G527" t="s">
        <v>766</v>
      </c>
      <c r="H527" t="s">
        <v>1484</v>
      </c>
      <c r="I527" t="s">
        <v>766</v>
      </c>
      <c r="J527" t="s">
        <v>802</v>
      </c>
      <c r="K527" t="s">
        <v>802</v>
      </c>
      <c r="L527" t="s">
        <v>3008</v>
      </c>
      <c r="M527" t="s">
        <v>208</v>
      </c>
      <c r="N527" t="s">
        <v>764</v>
      </c>
      <c r="O527" t="s">
        <v>771</v>
      </c>
      <c r="P527" t="s">
        <v>772</v>
      </c>
      <c r="Q527" t="s">
        <v>852</v>
      </c>
      <c r="R527">
        <v>2.5</v>
      </c>
      <c r="S527">
        <v>1</v>
      </c>
      <c r="T527">
        <v>0</v>
      </c>
      <c r="U527">
        <v>0</v>
      </c>
      <c r="V527">
        <v>0</v>
      </c>
      <c r="W527">
        <v>0</v>
      </c>
      <c r="X527">
        <v>0</v>
      </c>
      <c r="Y527">
        <v>0</v>
      </c>
      <c r="Z527">
        <v>0</v>
      </c>
      <c r="AA527">
        <v>0</v>
      </c>
      <c r="AB527">
        <v>2.5</v>
      </c>
      <c r="AC527">
        <v>1</v>
      </c>
      <c r="AD527">
        <v>2.5</v>
      </c>
      <c r="AE527">
        <v>1</v>
      </c>
      <c r="AF527">
        <v>0</v>
      </c>
      <c r="AG527">
        <v>0</v>
      </c>
      <c r="AH527">
        <v>0</v>
      </c>
      <c r="AI527">
        <v>0</v>
      </c>
      <c r="AY527" t="str">
        <f t="shared" si="152"/>
        <v>DRAXXIN 100 MG/ML SOLUTION INJECTABLE POUR BOVINS, PORCINS ET OVINS</v>
      </c>
      <c r="AZ527" t="str">
        <f>IF(COUNTIF(AY:AY,AY527)=1,AY527,IF(AND(COUNTIF(AY:AY,AY527)&gt;1,COUNTIF(AZ$2:AZ526,AY527)&gt;=1),"",AY527))</f>
        <v/>
      </c>
      <c r="BA527" t="str">
        <f>IF(AZ527="","",COUNTIFS(AZ$3:AZ$1439,"&lt;"&amp;AZ527,AZ$3:AZ$1439,"&lt;&gt;0")+COUNTIF(AZ$3:AZ527,AZ527)-876)</f>
        <v/>
      </c>
      <c r="BC527">
        <v>525</v>
      </c>
      <c r="BD527" t="str">
        <f t="shared" si="163"/>
        <v>TYLAN SOLUBLE 100 %</v>
      </c>
      <c r="BE527" t="str">
        <f t="shared" si="153"/>
        <v>ORAL</v>
      </c>
      <c r="BF527" t="str">
        <f t="shared" si="154"/>
        <v>MACROLIDES</v>
      </c>
      <c r="BG527" t="str">
        <f t="shared" si="155"/>
        <v/>
      </c>
      <c r="BH527" t="str">
        <f t="shared" si="156"/>
        <v/>
      </c>
      <c r="BI527" t="str">
        <f t="shared" si="157"/>
        <v>tylosin</v>
      </c>
      <c r="BJ527" t="str">
        <f t="shared" si="158"/>
        <v/>
      </c>
      <c r="BK527" t="str">
        <f t="shared" si="159"/>
        <v/>
      </c>
      <c r="BL527" t="str">
        <f t="shared" si="164"/>
        <v>Tylosine</v>
      </c>
      <c r="BM527" t="str">
        <f t="shared" si="160"/>
        <v>Tylosine</v>
      </c>
      <c r="BN527" t="str">
        <f t="shared" si="161"/>
        <v/>
      </c>
      <c r="BO527" t="str">
        <f t="shared" si="162"/>
        <v/>
      </c>
      <c r="BP527" t="str">
        <f t="shared" si="165"/>
        <v>Macrolides</v>
      </c>
      <c r="BQ527" t="str">
        <f t="shared" si="166"/>
        <v>Macrolides</v>
      </c>
      <c r="BR527" t="str">
        <f t="shared" si="167"/>
        <v/>
      </c>
      <c r="BS527" t="str">
        <f t="shared" si="168"/>
        <v/>
      </c>
      <c r="BT527" s="76" t="str">
        <f t="shared" si="169"/>
        <v>Voie orale  hors prémélanges médicamenteux</v>
      </c>
      <c r="BU527" t="str">
        <f t="shared" si="170"/>
        <v/>
      </c>
      <c r="CN527">
        <v>526</v>
      </c>
    </row>
    <row r="528" spans="1:92" x14ac:dyDescent="0.3">
      <c r="A528" s="118" t="s">
        <v>3006</v>
      </c>
      <c r="B528" t="s">
        <v>3011</v>
      </c>
      <c r="C528" t="s">
        <v>4510</v>
      </c>
      <c r="D528" s="144" t="s">
        <v>776</v>
      </c>
      <c r="E528" t="s">
        <v>765</v>
      </c>
      <c r="F528" t="s">
        <v>335</v>
      </c>
      <c r="G528" t="s">
        <v>766</v>
      </c>
      <c r="H528" t="s">
        <v>1484</v>
      </c>
      <c r="I528" t="s">
        <v>766</v>
      </c>
      <c r="J528" t="s">
        <v>802</v>
      </c>
      <c r="K528" t="s">
        <v>802</v>
      </c>
      <c r="L528" t="s">
        <v>3008</v>
      </c>
      <c r="M528" t="s">
        <v>208</v>
      </c>
      <c r="N528" t="s">
        <v>764</v>
      </c>
      <c r="O528" t="s">
        <v>771</v>
      </c>
      <c r="P528" t="s">
        <v>772</v>
      </c>
      <c r="Q528" t="s">
        <v>855</v>
      </c>
      <c r="R528">
        <v>2.5</v>
      </c>
      <c r="S528">
        <v>1</v>
      </c>
      <c r="T528">
        <v>0</v>
      </c>
      <c r="U528">
        <v>0</v>
      </c>
      <c r="V528">
        <v>0</v>
      </c>
      <c r="W528">
        <v>0</v>
      </c>
      <c r="X528">
        <v>0</v>
      </c>
      <c r="Y528">
        <v>0</v>
      </c>
      <c r="Z528">
        <v>0</v>
      </c>
      <c r="AA528">
        <v>0</v>
      </c>
      <c r="AB528">
        <v>2.5</v>
      </c>
      <c r="AC528">
        <v>1</v>
      </c>
      <c r="AD528">
        <v>2.5</v>
      </c>
      <c r="AE528">
        <v>1</v>
      </c>
      <c r="AF528">
        <v>0</v>
      </c>
      <c r="AG528">
        <v>0</v>
      </c>
      <c r="AH528">
        <v>0</v>
      </c>
      <c r="AI528">
        <v>0</v>
      </c>
      <c r="AY528" t="str">
        <f t="shared" si="152"/>
        <v>DRAXXIN 100 MG/ML SOLUTION INJECTABLE POUR BOVINS, PORCINS ET OVINS</v>
      </c>
      <c r="AZ528" t="str">
        <f>IF(COUNTIF(AY:AY,AY528)=1,AY528,IF(AND(COUNTIF(AY:AY,AY528)&gt;1,COUNTIF(AZ$2:AZ527,AY528)&gt;=1),"",AY528))</f>
        <v/>
      </c>
      <c r="BA528" t="str">
        <f>IF(AZ528="","",COUNTIFS(AZ$3:AZ$1439,"&lt;"&amp;AZ528,AZ$3:AZ$1439,"&lt;&gt;0")+COUNTIF(AZ$3:AZ528,AZ528)-876)</f>
        <v/>
      </c>
      <c r="BC528">
        <v>526</v>
      </c>
      <c r="BD528" t="str">
        <f t="shared" si="163"/>
        <v>TYLMASIN</v>
      </c>
      <c r="BE528" t="str">
        <f t="shared" si="153"/>
        <v>ORAL</v>
      </c>
      <c r="BF528" t="str">
        <f t="shared" si="154"/>
        <v>MACROLIDES</v>
      </c>
      <c r="BG528" t="str">
        <f t="shared" si="155"/>
        <v/>
      </c>
      <c r="BH528" t="str">
        <f t="shared" si="156"/>
        <v/>
      </c>
      <c r="BI528" t="str">
        <f t="shared" si="157"/>
        <v>tylosin</v>
      </c>
      <c r="BJ528" t="str">
        <f t="shared" si="158"/>
        <v/>
      </c>
      <c r="BK528" t="str">
        <f t="shared" si="159"/>
        <v/>
      </c>
      <c r="BL528" t="str">
        <f t="shared" si="164"/>
        <v>Tylosine</v>
      </c>
      <c r="BM528" t="str">
        <f t="shared" si="160"/>
        <v>Tylosine</v>
      </c>
      <c r="BN528" t="str">
        <f t="shared" si="161"/>
        <v/>
      </c>
      <c r="BO528" t="str">
        <f t="shared" si="162"/>
        <v/>
      </c>
      <c r="BP528" t="str">
        <f t="shared" si="165"/>
        <v>Macrolides</v>
      </c>
      <c r="BQ528" t="str">
        <f t="shared" si="166"/>
        <v>Macrolides</v>
      </c>
      <c r="BR528" t="str">
        <f t="shared" si="167"/>
        <v/>
      </c>
      <c r="BS528" t="str">
        <f t="shared" si="168"/>
        <v/>
      </c>
      <c r="BT528" s="76" t="str">
        <f t="shared" si="169"/>
        <v>Voie orale  hors prémélanges médicamenteux</v>
      </c>
      <c r="BU528" t="str">
        <f t="shared" si="170"/>
        <v/>
      </c>
      <c r="CN528">
        <v>527</v>
      </c>
    </row>
    <row r="529" spans="1:92" x14ac:dyDescent="0.3">
      <c r="A529" s="118" t="s">
        <v>3006</v>
      </c>
      <c r="B529" t="s">
        <v>4511</v>
      </c>
      <c r="C529" t="s">
        <v>2424</v>
      </c>
      <c r="D529" s="144" t="s">
        <v>869</v>
      </c>
      <c r="E529" t="s">
        <v>765</v>
      </c>
      <c r="F529" t="s">
        <v>335</v>
      </c>
      <c r="G529" t="s">
        <v>766</v>
      </c>
      <c r="H529" t="s">
        <v>1484</v>
      </c>
      <c r="I529" t="s">
        <v>766</v>
      </c>
      <c r="J529" t="s">
        <v>802</v>
      </c>
      <c r="K529" t="s">
        <v>802</v>
      </c>
      <c r="L529" t="s">
        <v>3008</v>
      </c>
      <c r="M529" t="s">
        <v>208</v>
      </c>
      <c r="N529" t="s">
        <v>764</v>
      </c>
      <c r="O529" t="s">
        <v>771</v>
      </c>
      <c r="P529" t="s">
        <v>772</v>
      </c>
      <c r="Q529" t="s">
        <v>1033</v>
      </c>
      <c r="R529">
        <v>2.5</v>
      </c>
      <c r="S529">
        <v>1</v>
      </c>
      <c r="T529">
        <v>0</v>
      </c>
      <c r="U529">
        <v>0</v>
      </c>
      <c r="V529">
        <v>0</v>
      </c>
      <c r="W529">
        <v>0</v>
      </c>
      <c r="X529">
        <v>0</v>
      </c>
      <c r="Y529">
        <v>0</v>
      </c>
      <c r="Z529">
        <v>0</v>
      </c>
      <c r="AA529">
        <v>0</v>
      </c>
      <c r="AB529">
        <v>2.5</v>
      </c>
      <c r="AC529">
        <v>1</v>
      </c>
      <c r="AD529">
        <v>2.5</v>
      </c>
      <c r="AE529">
        <v>1</v>
      </c>
      <c r="AF529">
        <v>0</v>
      </c>
      <c r="AG529">
        <v>0</v>
      </c>
      <c r="AH529">
        <v>0</v>
      </c>
      <c r="AI529">
        <v>0</v>
      </c>
      <c r="AY529" t="str">
        <f t="shared" si="152"/>
        <v>DRAXXIN 100 MG/ML SOLUTION INJECTABLE POUR BOVINS, PORCINS ET OVINS</v>
      </c>
      <c r="AZ529" t="str">
        <f>IF(COUNTIF(AY:AY,AY529)=1,AY529,IF(AND(COUNTIF(AY:AY,AY529)&gt;1,COUNTIF(AZ$2:AZ528,AY529)&gt;=1),"",AY529))</f>
        <v/>
      </c>
      <c r="BA529" t="str">
        <f>IF(AZ529="","",COUNTIFS(AZ$3:AZ$1439,"&lt;"&amp;AZ529,AZ$3:AZ$1439,"&lt;&gt;0")+COUNTIF(AZ$3:AZ529,AZ529)-876)</f>
        <v/>
      </c>
      <c r="BC529">
        <v>527</v>
      </c>
      <c r="BD529" t="str">
        <f t="shared" si="163"/>
        <v>TYLOGRAN 100 %</v>
      </c>
      <c r="BE529" t="str">
        <f t="shared" si="153"/>
        <v>ORAL</v>
      </c>
      <c r="BF529" t="str">
        <f t="shared" si="154"/>
        <v>MACROLIDES</v>
      </c>
      <c r="BG529" t="str">
        <f t="shared" si="155"/>
        <v/>
      </c>
      <c r="BH529" t="str">
        <f t="shared" si="156"/>
        <v/>
      </c>
      <c r="BI529" t="str">
        <f t="shared" si="157"/>
        <v>tylosin</v>
      </c>
      <c r="BJ529" t="str">
        <f t="shared" si="158"/>
        <v/>
      </c>
      <c r="BK529" t="str">
        <f t="shared" si="159"/>
        <v/>
      </c>
      <c r="BL529" t="str">
        <f t="shared" si="164"/>
        <v>Tylosine</v>
      </c>
      <c r="BM529" t="str">
        <f t="shared" si="160"/>
        <v>Tylosine</v>
      </c>
      <c r="BN529" t="str">
        <f t="shared" si="161"/>
        <v/>
      </c>
      <c r="BO529" t="str">
        <f t="shared" si="162"/>
        <v/>
      </c>
      <c r="BP529" t="str">
        <f t="shared" si="165"/>
        <v>Macrolides</v>
      </c>
      <c r="BQ529" t="str">
        <f t="shared" si="166"/>
        <v>Macrolides</v>
      </c>
      <c r="BR529" t="str">
        <f t="shared" si="167"/>
        <v/>
      </c>
      <c r="BS529" t="str">
        <f t="shared" si="168"/>
        <v/>
      </c>
      <c r="BT529" s="76" t="str">
        <f t="shared" si="169"/>
        <v>Voie orale  hors prémélanges médicamenteux</v>
      </c>
      <c r="BU529" t="str">
        <f t="shared" si="170"/>
        <v/>
      </c>
      <c r="CN529">
        <v>528</v>
      </c>
    </row>
    <row r="530" spans="1:92" x14ac:dyDescent="0.3">
      <c r="A530" s="118" t="s">
        <v>3006</v>
      </c>
      <c r="B530" t="s">
        <v>4512</v>
      </c>
      <c r="C530" t="s">
        <v>1238</v>
      </c>
      <c r="D530" s="144" t="s">
        <v>780</v>
      </c>
      <c r="E530" t="s">
        <v>765</v>
      </c>
      <c r="F530" t="s">
        <v>335</v>
      </c>
      <c r="G530" t="s">
        <v>766</v>
      </c>
      <c r="H530" t="s">
        <v>1484</v>
      </c>
      <c r="I530" t="s">
        <v>766</v>
      </c>
      <c r="J530" t="s">
        <v>802</v>
      </c>
      <c r="K530" t="s">
        <v>802</v>
      </c>
      <c r="L530" t="s">
        <v>3008</v>
      </c>
      <c r="M530" t="s">
        <v>208</v>
      </c>
      <c r="N530" t="s">
        <v>764</v>
      </c>
      <c r="O530" t="s">
        <v>771</v>
      </c>
      <c r="P530" t="s">
        <v>772</v>
      </c>
      <c r="Q530" t="s">
        <v>885</v>
      </c>
      <c r="R530">
        <v>2.5</v>
      </c>
      <c r="S530">
        <v>1</v>
      </c>
      <c r="T530">
        <v>0</v>
      </c>
      <c r="U530">
        <v>0</v>
      </c>
      <c r="V530">
        <v>0</v>
      </c>
      <c r="W530">
        <v>0</v>
      </c>
      <c r="X530">
        <v>0</v>
      </c>
      <c r="Y530">
        <v>0</v>
      </c>
      <c r="Z530">
        <v>0</v>
      </c>
      <c r="AA530">
        <v>0</v>
      </c>
      <c r="AB530">
        <v>2.5</v>
      </c>
      <c r="AC530">
        <v>1</v>
      </c>
      <c r="AD530">
        <v>2.5</v>
      </c>
      <c r="AE530">
        <v>1</v>
      </c>
      <c r="AF530">
        <v>0</v>
      </c>
      <c r="AG530">
        <v>0</v>
      </c>
      <c r="AH530">
        <v>0</v>
      </c>
      <c r="AI530">
        <v>0</v>
      </c>
      <c r="AY530" t="str">
        <f t="shared" si="152"/>
        <v>DRAXXIN 100 MG/ML SOLUTION INJECTABLE POUR BOVINS, PORCINS ET OVINS</v>
      </c>
      <c r="AZ530" t="str">
        <f>IF(COUNTIF(AY:AY,AY530)=1,AY530,IF(AND(COUNTIF(AY:AY,AY530)&gt;1,COUNTIF(AZ$2:AZ529,AY530)&gt;=1),"",AY530))</f>
        <v/>
      </c>
      <c r="BA530" t="str">
        <f>IF(AZ530="","",COUNTIFS(AZ$3:AZ$1439,"&lt;"&amp;AZ530,AZ$3:AZ$1439,"&lt;&gt;0")+COUNTIF(AZ$3:AZ530,AZ530)-876)</f>
        <v/>
      </c>
      <c r="BC530">
        <v>528</v>
      </c>
      <c r="BD530" t="str">
        <f t="shared" si="163"/>
        <v>TYLOLIDE</v>
      </c>
      <c r="BE530" t="str">
        <f t="shared" si="153"/>
        <v>ORAL</v>
      </c>
      <c r="BF530" t="str">
        <f t="shared" si="154"/>
        <v>MACROLIDES</v>
      </c>
      <c r="BG530" t="str">
        <f t="shared" si="155"/>
        <v/>
      </c>
      <c r="BH530" t="str">
        <f t="shared" si="156"/>
        <v/>
      </c>
      <c r="BI530" t="str">
        <f t="shared" si="157"/>
        <v>tylosin</v>
      </c>
      <c r="BJ530" t="str">
        <f t="shared" si="158"/>
        <v/>
      </c>
      <c r="BK530" t="str">
        <f t="shared" si="159"/>
        <v/>
      </c>
      <c r="BL530" t="str">
        <f t="shared" si="164"/>
        <v>Tylosine</v>
      </c>
      <c r="BM530" t="str">
        <f t="shared" si="160"/>
        <v>Tylosine</v>
      </c>
      <c r="BN530" t="str">
        <f t="shared" si="161"/>
        <v/>
      </c>
      <c r="BO530" t="str">
        <f t="shared" si="162"/>
        <v/>
      </c>
      <c r="BP530" t="str">
        <f t="shared" si="165"/>
        <v>Macrolides</v>
      </c>
      <c r="BQ530" t="str">
        <f t="shared" si="166"/>
        <v>Macrolides</v>
      </c>
      <c r="BR530" t="str">
        <f t="shared" si="167"/>
        <v/>
      </c>
      <c r="BS530" t="str">
        <f t="shared" si="168"/>
        <v/>
      </c>
      <c r="BT530" s="76" t="str">
        <f t="shared" si="169"/>
        <v>Voie orale  hors prémélanges médicamenteux</v>
      </c>
      <c r="BU530" t="str">
        <f t="shared" si="170"/>
        <v/>
      </c>
      <c r="CN530">
        <v>529</v>
      </c>
    </row>
    <row r="531" spans="1:92" x14ac:dyDescent="0.3">
      <c r="A531" s="118" t="s">
        <v>3006</v>
      </c>
      <c r="B531" t="s">
        <v>4513</v>
      </c>
      <c r="C531" t="s">
        <v>792</v>
      </c>
      <c r="D531" s="144" t="s">
        <v>764</v>
      </c>
      <c r="E531" t="s">
        <v>765</v>
      </c>
      <c r="F531" t="s">
        <v>335</v>
      </c>
      <c r="G531" t="s">
        <v>766</v>
      </c>
      <c r="H531" t="s">
        <v>1484</v>
      </c>
      <c r="I531" t="s">
        <v>766</v>
      </c>
      <c r="J531" t="s">
        <v>802</v>
      </c>
      <c r="K531" t="s">
        <v>802</v>
      </c>
      <c r="L531" t="s">
        <v>3008</v>
      </c>
      <c r="M531" t="s">
        <v>208</v>
      </c>
      <c r="N531" t="s">
        <v>764</v>
      </c>
      <c r="O531" t="s">
        <v>771</v>
      </c>
      <c r="P531" t="s">
        <v>772</v>
      </c>
      <c r="Q531" t="s">
        <v>852</v>
      </c>
      <c r="R531">
        <v>2.5</v>
      </c>
      <c r="S531">
        <v>1</v>
      </c>
      <c r="T531">
        <v>0</v>
      </c>
      <c r="U531">
        <v>0</v>
      </c>
      <c r="V531">
        <v>0</v>
      </c>
      <c r="W531">
        <v>0</v>
      </c>
      <c r="X531">
        <v>0</v>
      </c>
      <c r="Y531">
        <v>0</v>
      </c>
      <c r="Z531">
        <v>0</v>
      </c>
      <c r="AA531">
        <v>0</v>
      </c>
      <c r="AB531">
        <v>2.5</v>
      </c>
      <c r="AC531">
        <v>1</v>
      </c>
      <c r="AD531">
        <v>2.5</v>
      </c>
      <c r="AE531">
        <v>1</v>
      </c>
      <c r="AF531">
        <v>0</v>
      </c>
      <c r="AG531">
        <v>0</v>
      </c>
      <c r="AH531">
        <v>0</v>
      </c>
      <c r="AI531">
        <v>0</v>
      </c>
      <c r="AY531" t="str">
        <f t="shared" si="152"/>
        <v>DRAXXIN 100 MG/ML SOLUTION INJECTABLE POUR BOVINS, PORCINS ET OVINS</v>
      </c>
      <c r="AZ531" t="str">
        <f>IF(COUNTIF(AY:AY,AY531)=1,AY531,IF(AND(COUNTIF(AY:AY,AY531)&gt;1,COUNTIF(AZ$2:AZ530,AY531)&gt;=1),"",AY531))</f>
        <v/>
      </c>
      <c r="BA531" t="str">
        <f>IF(AZ531="","",COUNTIFS(AZ$3:AZ$1439,"&lt;"&amp;AZ531,AZ$3:AZ$1439,"&lt;&gt;0")+COUNTIF(AZ$3:AZ531,AZ531)-876)</f>
        <v/>
      </c>
      <c r="BC531">
        <v>529</v>
      </c>
      <c r="BD531" t="str">
        <f t="shared" si="163"/>
        <v>TYLORAL</v>
      </c>
      <c r="BE531" t="str">
        <f t="shared" si="153"/>
        <v>ORAL</v>
      </c>
      <c r="BF531" t="str">
        <f t="shared" si="154"/>
        <v>MACROLIDES</v>
      </c>
      <c r="BG531" t="str">
        <f t="shared" si="155"/>
        <v/>
      </c>
      <c r="BH531" t="str">
        <f t="shared" si="156"/>
        <v/>
      </c>
      <c r="BI531" t="str">
        <f t="shared" si="157"/>
        <v>tylosin</v>
      </c>
      <c r="BJ531" t="str">
        <f t="shared" si="158"/>
        <v/>
      </c>
      <c r="BK531" t="str">
        <f t="shared" si="159"/>
        <v/>
      </c>
      <c r="BL531" t="str">
        <f t="shared" si="164"/>
        <v>Tylosine</v>
      </c>
      <c r="BM531" t="str">
        <f t="shared" si="160"/>
        <v>Tylosine</v>
      </c>
      <c r="BN531" t="str">
        <f t="shared" si="161"/>
        <v/>
      </c>
      <c r="BO531" t="str">
        <f t="shared" si="162"/>
        <v/>
      </c>
      <c r="BP531" t="str">
        <f t="shared" si="165"/>
        <v>Macrolides</v>
      </c>
      <c r="BQ531" t="str">
        <f t="shared" si="166"/>
        <v>Macrolides</v>
      </c>
      <c r="BR531" t="str">
        <f t="shared" si="167"/>
        <v/>
      </c>
      <c r="BS531" t="str">
        <f t="shared" si="168"/>
        <v/>
      </c>
      <c r="BT531" s="76" t="str">
        <f t="shared" si="169"/>
        <v>Voie orale  hors prémélanges médicamenteux</v>
      </c>
      <c r="BU531" t="str">
        <f t="shared" si="170"/>
        <v/>
      </c>
      <c r="CN531">
        <v>530</v>
      </c>
    </row>
    <row r="532" spans="1:92" x14ac:dyDescent="0.3">
      <c r="A532" s="118" t="s">
        <v>3006</v>
      </c>
      <c r="B532" t="s">
        <v>4514</v>
      </c>
      <c r="C532" t="s">
        <v>796</v>
      </c>
      <c r="D532" s="144" t="s">
        <v>776</v>
      </c>
      <c r="E532" t="s">
        <v>765</v>
      </c>
      <c r="F532" t="s">
        <v>335</v>
      </c>
      <c r="G532" t="s">
        <v>766</v>
      </c>
      <c r="H532" t="s">
        <v>1484</v>
      </c>
      <c r="I532" t="s">
        <v>766</v>
      </c>
      <c r="J532" t="s">
        <v>802</v>
      </c>
      <c r="K532" t="s">
        <v>802</v>
      </c>
      <c r="L532" t="s">
        <v>3008</v>
      </c>
      <c r="M532" t="s">
        <v>208</v>
      </c>
      <c r="N532" t="s">
        <v>764</v>
      </c>
      <c r="O532" t="s">
        <v>771</v>
      </c>
      <c r="P532" t="s">
        <v>772</v>
      </c>
      <c r="Q532" t="s">
        <v>855</v>
      </c>
      <c r="R532">
        <v>2.5</v>
      </c>
      <c r="S532">
        <v>1</v>
      </c>
      <c r="T532">
        <v>0</v>
      </c>
      <c r="U532">
        <v>0</v>
      </c>
      <c r="V532">
        <v>0</v>
      </c>
      <c r="W532">
        <v>0</v>
      </c>
      <c r="X532">
        <v>0</v>
      </c>
      <c r="Y532">
        <v>0</v>
      </c>
      <c r="Z532">
        <v>0</v>
      </c>
      <c r="AA532">
        <v>0</v>
      </c>
      <c r="AB532">
        <v>2.5</v>
      </c>
      <c r="AC532">
        <v>1</v>
      </c>
      <c r="AD532">
        <v>2.5</v>
      </c>
      <c r="AE532">
        <v>1</v>
      </c>
      <c r="AF532">
        <v>0</v>
      </c>
      <c r="AG532">
        <v>0</v>
      </c>
      <c r="AH532">
        <v>0</v>
      </c>
      <c r="AI532">
        <v>0</v>
      </c>
      <c r="AY532" t="str">
        <f t="shared" si="152"/>
        <v>DRAXXIN 100 MG/ML SOLUTION INJECTABLE POUR BOVINS, PORCINS ET OVINS</v>
      </c>
      <c r="AZ532" t="str">
        <f>IF(COUNTIF(AY:AY,AY532)=1,AY532,IF(AND(COUNTIF(AY:AY,AY532)&gt;1,COUNTIF(AZ$2:AZ531,AY532)&gt;=1),"",AY532))</f>
        <v/>
      </c>
      <c r="BA532" t="str">
        <f>IF(AZ532="","",COUNTIFS(AZ$3:AZ$1439,"&lt;"&amp;AZ532,AZ$3:AZ$1439,"&lt;&gt;0")+COUNTIF(AZ$3:AZ532,AZ532)-876)</f>
        <v/>
      </c>
      <c r="BC532">
        <v>530</v>
      </c>
      <c r="BD532" t="str">
        <f t="shared" si="163"/>
        <v>TYLOSOL 9,2</v>
      </c>
      <c r="BE532" t="str">
        <f t="shared" si="153"/>
        <v>ORAL</v>
      </c>
      <c r="BF532" t="str">
        <f t="shared" si="154"/>
        <v>MACROLIDES</v>
      </c>
      <c r="BG532" t="str">
        <f t="shared" si="155"/>
        <v/>
      </c>
      <c r="BH532" t="str">
        <f t="shared" si="156"/>
        <v/>
      </c>
      <c r="BI532" t="str">
        <f t="shared" si="157"/>
        <v>tylosin</v>
      </c>
      <c r="BJ532" t="str">
        <f t="shared" si="158"/>
        <v/>
      </c>
      <c r="BK532" t="str">
        <f t="shared" si="159"/>
        <v/>
      </c>
      <c r="BL532" t="str">
        <f t="shared" si="164"/>
        <v>Tylosine</v>
      </c>
      <c r="BM532" t="str">
        <f t="shared" si="160"/>
        <v>Tylosine</v>
      </c>
      <c r="BN532" t="str">
        <f t="shared" si="161"/>
        <v/>
      </c>
      <c r="BO532" t="str">
        <f t="shared" si="162"/>
        <v/>
      </c>
      <c r="BP532" t="str">
        <f t="shared" si="165"/>
        <v>Macrolides</v>
      </c>
      <c r="BQ532" t="str">
        <f t="shared" si="166"/>
        <v>Macrolides</v>
      </c>
      <c r="BR532" t="str">
        <f t="shared" si="167"/>
        <v/>
      </c>
      <c r="BS532" t="str">
        <f t="shared" si="168"/>
        <v/>
      </c>
      <c r="BT532" s="76" t="str">
        <f t="shared" si="169"/>
        <v>Voie orale  hors prémélanges médicamenteux</v>
      </c>
      <c r="BU532" t="str">
        <f t="shared" si="170"/>
        <v/>
      </c>
      <c r="CN532">
        <v>531</v>
      </c>
    </row>
    <row r="533" spans="1:92" x14ac:dyDescent="0.3">
      <c r="A533" s="118" t="s">
        <v>4136</v>
      </c>
      <c r="B533" t="s">
        <v>4137</v>
      </c>
      <c r="C533" t="s">
        <v>1369</v>
      </c>
      <c r="D533" s="144" t="s">
        <v>780</v>
      </c>
      <c r="E533" t="s">
        <v>765</v>
      </c>
      <c r="F533" t="s">
        <v>336</v>
      </c>
      <c r="G533" t="s">
        <v>766</v>
      </c>
      <c r="H533" t="s">
        <v>1213</v>
      </c>
      <c r="I533" t="s">
        <v>766</v>
      </c>
      <c r="J533" t="s">
        <v>802</v>
      </c>
      <c r="K533" t="s">
        <v>802</v>
      </c>
      <c r="L533" t="s">
        <v>3008</v>
      </c>
      <c r="M533" t="s">
        <v>208</v>
      </c>
      <c r="N533" t="s">
        <v>855</v>
      </c>
      <c r="O533" t="s">
        <v>771</v>
      </c>
      <c r="P533" t="s">
        <v>772</v>
      </c>
      <c r="Q533" t="s">
        <v>1128</v>
      </c>
      <c r="R533">
        <v>0</v>
      </c>
      <c r="S533">
        <v>0</v>
      </c>
      <c r="T533">
        <v>0</v>
      </c>
      <c r="U533">
        <v>0</v>
      </c>
      <c r="V533">
        <v>0</v>
      </c>
      <c r="W533">
        <v>0</v>
      </c>
      <c r="X533">
        <v>0</v>
      </c>
      <c r="Y533">
        <v>0</v>
      </c>
      <c r="Z533">
        <v>0</v>
      </c>
      <c r="AA533">
        <v>0</v>
      </c>
      <c r="AB533">
        <v>0</v>
      </c>
      <c r="AC533">
        <v>0</v>
      </c>
      <c r="AD533">
        <v>2.5</v>
      </c>
      <c r="AE533">
        <v>1</v>
      </c>
      <c r="AF533">
        <v>0</v>
      </c>
      <c r="AG533">
        <v>0</v>
      </c>
      <c r="AH533">
        <v>0</v>
      </c>
      <c r="AI533">
        <v>0</v>
      </c>
      <c r="AY533" t="str">
        <f t="shared" si="152"/>
        <v>DRAXXIN 25 MG/ML SOLUTION INJECTABLE POUR PORCINS</v>
      </c>
      <c r="AZ533" t="str">
        <f>IF(COUNTIF(AY:AY,AY533)=1,AY533,IF(AND(COUNTIF(AY:AY,AY533)&gt;1,COUNTIF(AZ$2:AZ532,AY533)&gt;=1),"",AY533))</f>
        <v>DRAXXIN 25 MG/ML SOLUTION INJECTABLE POUR PORCINS</v>
      </c>
      <c r="BA533">
        <f>IF(AZ533="","",COUNTIFS(AZ$3:AZ$1439,"&lt;"&amp;AZ533,AZ$3:AZ$1439,"&lt;&gt;0")+COUNTIF(AZ$3:AZ533,AZ533)-876)</f>
        <v>199</v>
      </c>
      <c r="BC533">
        <v>531</v>
      </c>
      <c r="BD533" t="str">
        <f t="shared" si="163"/>
        <v>TYLUCYL 200 MG/ML SOLUTION INJECTABLE POUR BOVINS ET PORCINS</v>
      </c>
      <c r="BE533" t="str">
        <f t="shared" si="153"/>
        <v>INJ</v>
      </c>
      <c r="BF533" t="str">
        <f t="shared" si="154"/>
        <v>MACROLIDES</v>
      </c>
      <c r="BG533" t="str">
        <f t="shared" si="155"/>
        <v/>
      </c>
      <c r="BH533" t="str">
        <f t="shared" si="156"/>
        <v/>
      </c>
      <c r="BI533" t="str">
        <f t="shared" si="157"/>
        <v>tylosin</v>
      </c>
      <c r="BJ533" t="str">
        <f t="shared" si="158"/>
        <v/>
      </c>
      <c r="BK533" t="str">
        <f t="shared" si="159"/>
        <v/>
      </c>
      <c r="BL533" t="str">
        <f t="shared" si="164"/>
        <v>Tylosine</v>
      </c>
      <c r="BM533" t="str">
        <f t="shared" si="160"/>
        <v>Tylosine</v>
      </c>
      <c r="BN533" t="str">
        <f t="shared" si="161"/>
        <v/>
      </c>
      <c r="BO533" t="str">
        <f t="shared" si="162"/>
        <v/>
      </c>
      <c r="BP533" t="str">
        <f t="shared" si="165"/>
        <v>Macrolides</v>
      </c>
      <c r="BQ533" t="str">
        <f t="shared" si="166"/>
        <v>Macrolides</v>
      </c>
      <c r="BR533" t="str">
        <f t="shared" si="167"/>
        <v/>
      </c>
      <c r="BS533" t="str">
        <f t="shared" si="168"/>
        <v/>
      </c>
      <c r="BT533" s="76" t="str">
        <f t="shared" si="169"/>
        <v>Voie parentérale</v>
      </c>
      <c r="BU533" t="str">
        <f t="shared" si="170"/>
        <v/>
      </c>
      <c r="CN533">
        <v>532</v>
      </c>
    </row>
    <row r="534" spans="1:92" x14ac:dyDescent="0.3">
      <c r="A534" s="118" t="s">
        <v>4136</v>
      </c>
      <c r="B534" t="s">
        <v>4138</v>
      </c>
      <c r="C534" t="s">
        <v>1483</v>
      </c>
      <c r="D534" s="144" t="s">
        <v>764</v>
      </c>
      <c r="E534" t="s">
        <v>765</v>
      </c>
      <c r="F534" t="s">
        <v>336</v>
      </c>
      <c r="G534" t="s">
        <v>766</v>
      </c>
      <c r="H534" t="s">
        <v>1213</v>
      </c>
      <c r="I534" t="s">
        <v>766</v>
      </c>
      <c r="J534" t="s">
        <v>802</v>
      </c>
      <c r="K534" t="s">
        <v>802</v>
      </c>
      <c r="L534" t="s">
        <v>3008</v>
      </c>
      <c r="M534" t="s">
        <v>208</v>
      </c>
      <c r="N534" t="s">
        <v>855</v>
      </c>
      <c r="O534" t="s">
        <v>771</v>
      </c>
      <c r="P534" t="s">
        <v>772</v>
      </c>
      <c r="Q534" t="s">
        <v>1126</v>
      </c>
      <c r="R534">
        <v>0</v>
      </c>
      <c r="S534">
        <v>0</v>
      </c>
      <c r="T534">
        <v>0</v>
      </c>
      <c r="U534">
        <v>0</v>
      </c>
      <c r="V534">
        <v>0</v>
      </c>
      <c r="W534">
        <v>0</v>
      </c>
      <c r="X534">
        <v>0</v>
      </c>
      <c r="Y534">
        <v>0</v>
      </c>
      <c r="Z534">
        <v>0</v>
      </c>
      <c r="AA534">
        <v>0</v>
      </c>
      <c r="AB534">
        <v>0</v>
      </c>
      <c r="AC534">
        <v>0</v>
      </c>
      <c r="AD534">
        <v>2.5</v>
      </c>
      <c r="AE534">
        <v>1</v>
      </c>
      <c r="AF534">
        <v>0</v>
      </c>
      <c r="AG534">
        <v>0</v>
      </c>
      <c r="AH534">
        <v>0</v>
      </c>
      <c r="AI534">
        <v>0</v>
      </c>
      <c r="AY534" t="str">
        <f t="shared" si="152"/>
        <v>DRAXXIN 25 MG/ML SOLUTION INJECTABLE POUR PORCINS</v>
      </c>
      <c r="AZ534" t="str">
        <f>IF(COUNTIF(AY:AY,AY534)=1,AY534,IF(AND(COUNTIF(AY:AY,AY534)&gt;1,COUNTIF(AZ$2:AZ533,AY534)&gt;=1),"",AY534))</f>
        <v/>
      </c>
      <c r="BA534" t="str">
        <f>IF(AZ534="","",COUNTIFS(AZ$3:AZ$1439,"&lt;"&amp;AZ534,AZ$3:AZ$1439,"&lt;&gt;0")+COUNTIF(AZ$3:AZ534,AZ534)-876)</f>
        <v/>
      </c>
      <c r="BC534">
        <v>532</v>
      </c>
      <c r="BD534" t="str">
        <f t="shared" si="163"/>
        <v>UBIFLOX 100 MG/ML SOLUTION INJECTABLE POUR BOVINS ET PORCINS (TRUIES)</v>
      </c>
      <c r="BE534" t="str">
        <f t="shared" si="153"/>
        <v>INJ</v>
      </c>
      <c r="BF534" t="str">
        <f t="shared" si="154"/>
        <v>FLUOROQUINOLONES</v>
      </c>
      <c r="BG534" t="str">
        <f t="shared" si="155"/>
        <v/>
      </c>
      <c r="BH534" t="str">
        <f t="shared" si="156"/>
        <v/>
      </c>
      <c r="BI534" t="str">
        <f t="shared" si="157"/>
        <v>marbofloxacin</v>
      </c>
      <c r="BJ534" t="str">
        <f t="shared" si="158"/>
        <v/>
      </c>
      <c r="BK534" t="str">
        <f t="shared" si="159"/>
        <v/>
      </c>
      <c r="BL534" t="str">
        <f t="shared" si="164"/>
        <v>Marbofloxacine</v>
      </c>
      <c r="BM534" t="str">
        <f t="shared" si="160"/>
        <v>Marbofloxacine</v>
      </c>
      <c r="BN534" t="str">
        <f t="shared" si="161"/>
        <v/>
      </c>
      <c r="BO534" t="str">
        <f t="shared" si="162"/>
        <v/>
      </c>
      <c r="BP534" t="str">
        <f t="shared" si="165"/>
        <v>Fluoroquinolones</v>
      </c>
      <c r="BQ534" t="str">
        <f t="shared" si="166"/>
        <v>Fluoroquinolones</v>
      </c>
      <c r="BR534" t="str">
        <f t="shared" si="167"/>
        <v/>
      </c>
      <c r="BS534" t="str">
        <f t="shared" si="168"/>
        <v/>
      </c>
      <c r="BT534" s="76" t="str">
        <f t="shared" si="169"/>
        <v>Voie parentérale</v>
      </c>
      <c r="BU534" t="str">
        <f t="shared" si="170"/>
        <v>x</v>
      </c>
      <c r="CN534">
        <v>533</v>
      </c>
    </row>
    <row r="535" spans="1:92" x14ac:dyDescent="0.3">
      <c r="A535" s="118" t="s">
        <v>4136</v>
      </c>
      <c r="B535" t="s">
        <v>4139</v>
      </c>
      <c r="C535" t="s">
        <v>1474</v>
      </c>
      <c r="D535" s="144" t="s">
        <v>776</v>
      </c>
      <c r="E535" t="s">
        <v>765</v>
      </c>
      <c r="F535" t="s">
        <v>336</v>
      </c>
      <c r="G535" t="s">
        <v>766</v>
      </c>
      <c r="H535" t="s">
        <v>1213</v>
      </c>
      <c r="I535" t="s">
        <v>766</v>
      </c>
      <c r="J535" t="s">
        <v>802</v>
      </c>
      <c r="K535" t="s">
        <v>802</v>
      </c>
      <c r="L535" t="s">
        <v>3008</v>
      </c>
      <c r="M535" t="s">
        <v>208</v>
      </c>
      <c r="N535" t="s">
        <v>855</v>
      </c>
      <c r="O535" t="s">
        <v>771</v>
      </c>
      <c r="P535" t="s">
        <v>772</v>
      </c>
      <c r="Q535" t="s">
        <v>1625</v>
      </c>
      <c r="R535">
        <v>0</v>
      </c>
      <c r="S535">
        <v>0</v>
      </c>
      <c r="T535">
        <v>0</v>
      </c>
      <c r="U535">
        <v>0</v>
      </c>
      <c r="V535">
        <v>0</v>
      </c>
      <c r="W535">
        <v>0</v>
      </c>
      <c r="X535">
        <v>0</v>
      </c>
      <c r="Y535">
        <v>0</v>
      </c>
      <c r="Z535">
        <v>0</v>
      </c>
      <c r="AA535">
        <v>0</v>
      </c>
      <c r="AB535">
        <v>0</v>
      </c>
      <c r="AC535">
        <v>0</v>
      </c>
      <c r="AD535">
        <v>2.5</v>
      </c>
      <c r="AE535">
        <v>1</v>
      </c>
      <c r="AF535">
        <v>0</v>
      </c>
      <c r="AG535">
        <v>0</v>
      </c>
      <c r="AH535">
        <v>0</v>
      </c>
      <c r="AI535">
        <v>0</v>
      </c>
      <c r="AY535" t="str">
        <f t="shared" si="152"/>
        <v>DRAXXIN 25 MG/ML SOLUTION INJECTABLE POUR PORCINS</v>
      </c>
      <c r="AZ535" t="str">
        <f>IF(COUNTIF(AY:AY,AY535)=1,AY535,IF(AND(COUNTIF(AY:AY,AY535)&gt;1,COUNTIF(AZ$2:AZ534,AY535)&gt;=1),"",AY535))</f>
        <v/>
      </c>
      <c r="BA535" t="str">
        <f>IF(AZ535="","",COUNTIFS(AZ$3:AZ$1439,"&lt;"&amp;AZ535,AZ$3:AZ$1439,"&lt;&gt;0")+COUNTIF(AZ$3:AZ535,AZ535)-876)</f>
        <v/>
      </c>
      <c r="BC535">
        <v>533</v>
      </c>
      <c r="BD535" t="str">
        <f t="shared" si="163"/>
        <v>UBIFLOX 20 MG/ML SOLUTION INJECTABLE POUR BOVINS ET PORCINS</v>
      </c>
      <c r="BE535" t="str">
        <f t="shared" si="153"/>
        <v>INJ</v>
      </c>
      <c r="BF535" t="str">
        <f t="shared" si="154"/>
        <v>FLUOROQUINOLONES</v>
      </c>
      <c r="BG535" t="str">
        <f t="shared" si="155"/>
        <v/>
      </c>
      <c r="BH535" t="str">
        <f t="shared" si="156"/>
        <v/>
      </c>
      <c r="BI535" t="str">
        <f t="shared" si="157"/>
        <v>marbofloxacin</v>
      </c>
      <c r="BJ535" t="str">
        <f t="shared" si="158"/>
        <v/>
      </c>
      <c r="BK535" t="str">
        <f t="shared" si="159"/>
        <v/>
      </c>
      <c r="BL535" t="str">
        <f t="shared" si="164"/>
        <v>Marbofloxacine</v>
      </c>
      <c r="BM535" t="str">
        <f t="shared" si="160"/>
        <v>Marbofloxacine</v>
      </c>
      <c r="BN535" t="str">
        <f t="shared" si="161"/>
        <v/>
      </c>
      <c r="BO535" t="str">
        <f t="shared" si="162"/>
        <v/>
      </c>
      <c r="BP535" t="str">
        <f t="shared" si="165"/>
        <v>Fluoroquinolones</v>
      </c>
      <c r="BQ535" t="str">
        <f t="shared" si="166"/>
        <v>Fluoroquinolones</v>
      </c>
      <c r="BR535" t="str">
        <f t="shared" si="167"/>
        <v/>
      </c>
      <c r="BS535" t="str">
        <f t="shared" si="168"/>
        <v/>
      </c>
      <c r="BT535" s="76" t="str">
        <f t="shared" si="169"/>
        <v>Voie parentérale</v>
      </c>
      <c r="BU535" t="str">
        <f t="shared" si="170"/>
        <v>x</v>
      </c>
      <c r="CN535">
        <v>534</v>
      </c>
    </row>
    <row r="536" spans="1:92" x14ac:dyDescent="0.3">
      <c r="A536" s="118" t="s">
        <v>4692</v>
      </c>
      <c r="B536" t="s">
        <v>4693</v>
      </c>
      <c r="C536" t="s">
        <v>1238</v>
      </c>
      <c r="D536" t="s">
        <v>780</v>
      </c>
      <c r="E536" t="s">
        <v>765</v>
      </c>
      <c r="F536" t="s">
        <v>707</v>
      </c>
      <c r="G536" t="s">
        <v>766</v>
      </c>
      <c r="H536" t="s">
        <v>801</v>
      </c>
      <c r="I536" t="s">
        <v>766</v>
      </c>
      <c r="J536" t="s">
        <v>802</v>
      </c>
      <c r="K536" t="s">
        <v>802</v>
      </c>
      <c r="L536" t="s">
        <v>3008</v>
      </c>
      <c r="M536" t="s">
        <v>208</v>
      </c>
      <c r="N536" t="s">
        <v>764</v>
      </c>
      <c r="O536" t="s">
        <v>771</v>
      </c>
      <c r="P536" t="s">
        <v>772</v>
      </c>
      <c r="Q536" t="s">
        <v>885</v>
      </c>
      <c r="R536">
        <v>2.5</v>
      </c>
      <c r="S536">
        <v>1</v>
      </c>
      <c r="T536">
        <v>0</v>
      </c>
      <c r="U536">
        <v>0</v>
      </c>
      <c r="V536">
        <v>0</v>
      </c>
      <c r="W536">
        <v>0</v>
      </c>
      <c r="X536">
        <v>0</v>
      </c>
      <c r="Y536">
        <v>0</v>
      </c>
      <c r="Z536">
        <v>0</v>
      </c>
      <c r="AA536">
        <v>0</v>
      </c>
      <c r="AB536">
        <v>0</v>
      </c>
      <c r="AC536">
        <v>0</v>
      </c>
      <c r="AD536">
        <v>0</v>
      </c>
      <c r="AE536">
        <v>0</v>
      </c>
      <c r="AF536">
        <v>0</v>
      </c>
      <c r="AG536">
        <v>0</v>
      </c>
      <c r="AH536">
        <v>0</v>
      </c>
      <c r="AI536">
        <v>0</v>
      </c>
      <c r="AY536" t="str">
        <f t="shared" si="152"/>
        <v>DRAXXIN KP 100 MG/ML + 120 MG/ML SOLUTION INJECTABLE POUR BOVINS</v>
      </c>
      <c r="AZ536" t="str">
        <f>IF(COUNTIF(AY:AY,AY536)=1,AY536,IF(AND(COUNTIF(AY:AY,AY536)&gt;1,COUNTIF(AZ$2:AZ535,AY536)&gt;=1),"",AY536))</f>
        <v>DRAXXIN KP 100 MG/ML + 120 MG/ML SOLUTION INJECTABLE POUR BOVINS</v>
      </c>
      <c r="BA536">
        <f>IF(AZ536="","",COUNTIFS(AZ$3:AZ$1439,"&lt;"&amp;AZ536,AZ$3:AZ$1439,"&lt;&gt;0")+COUNTIF(AZ$3:AZ536,AZ536)-876)</f>
        <v>200</v>
      </c>
      <c r="BC536">
        <v>534</v>
      </c>
      <c r="BD536" t="str">
        <f t="shared" si="163"/>
        <v>UBROLEXIN SUSPENSION INTRAMAMMAIRE POUR VACHES LAITIERES EN LACTATION</v>
      </c>
      <c r="BE536" t="str">
        <f t="shared" si="153"/>
        <v>INTRAMAM</v>
      </c>
      <c r="BF536" t="str">
        <f t="shared" si="154"/>
        <v>CEPHALOSPORINES 1&amp;2G</v>
      </c>
      <c r="BG536" t="str">
        <f t="shared" si="155"/>
        <v>AMINOGLYCOSIDES</v>
      </c>
      <c r="BH536" t="str">
        <f t="shared" si="156"/>
        <v/>
      </c>
      <c r="BI536" t="str">
        <f t="shared" si="157"/>
        <v>cefalexin</v>
      </c>
      <c r="BJ536" t="str">
        <f t="shared" si="158"/>
        <v>kanamycin</v>
      </c>
      <c r="BK536" t="str">
        <f t="shared" si="159"/>
        <v/>
      </c>
      <c r="BL536" t="str">
        <f t="shared" si="164"/>
        <v>Céfalexine + Kanamycine</v>
      </c>
      <c r="BM536" t="str">
        <f t="shared" si="160"/>
        <v>Céfalexine</v>
      </c>
      <c r="BN536" t="str">
        <f t="shared" si="161"/>
        <v>Kanamycine</v>
      </c>
      <c r="BO536" t="str">
        <f t="shared" si="162"/>
        <v/>
      </c>
      <c r="BP536" t="str">
        <f t="shared" si="165"/>
        <v>Cephalosporines 1&amp;2G + Aminoglycosides</v>
      </c>
      <c r="BQ536" t="str">
        <f t="shared" si="166"/>
        <v>Cephalosporines 1&amp;2G</v>
      </c>
      <c r="BR536" t="str">
        <f t="shared" si="167"/>
        <v>Aminoglycosides</v>
      </c>
      <c r="BS536" t="str">
        <f t="shared" si="168"/>
        <v/>
      </c>
      <c r="BT536" s="76" t="str">
        <f t="shared" si="169"/>
        <v>Voie intramammaire</v>
      </c>
      <c r="BU536" t="str">
        <f t="shared" si="170"/>
        <v/>
      </c>
      <c r="CN536">
        <v>535</v>
      </c>
    </row>
    <row r="537" spans="1:92" x14ac:dyDescent="0.3">
      <c r="A537" s="118" t="s">
        <v>4692</v>
      </c>
      <c r="B537" t="s">
        <v>4694</v>
      </c>
      <c r="C537" t="s">
        <v>792</v>
      </c>
      <c r="D537" t="s">
        <v>764</v>
      </c>
      <c r="E537" t="s">
        <v>765</v>
      </c>
      <c r="F537" t="s">
        <v>707</v>
      </c>
      <c r="G537" t="s">
        <v>766</v>
      </c>
      <c r="H537" t="s">
        <v>801</v>
      </c>
      <c r="I537" t="s">
        <v>766</v>
      </c>
      <c r="J537" t="s">
        <v>802</v>
      </c>
      <c r="K537" t="s">
        <v>802</v>
      </c>
      <c r="L537" t="s">
        <v>3008</v>
      </c>
      <c r="M537" t="s">
        <v>208</v>
      </c>
      <c r="N537" t="s">
        <v>764</v>
      </c>
      <c r="O537" t="s">
        <v>771</v>
      </c>
      <c r="P537" t="s">
        <v>772</v>
      </c>
      <c r="Q537" t="s">
        <v>852</v>
      </c>
      <c r="R537">
        <v>2.5</v>
      </c>
      <c r="S537">
        <v>1</v>
      </c>
      <c r="T537">
        <v>0</v>
      </c>
      <c r="U537">
        <v>0</v>
      </c>
      <c r="V537">
        <v>0</v>
      </c>
      <c r="W537">
        <v>0</v>
      </c>
      <c r="X537">
        <v>0</v>
      </c>
      <c r="Y537">
        <v>0</v>
      </c>
      <c r="Z537">
        <v>0</v>
      </c>
      <c r="AA537">
        <v>0</v>
      </c>
      <c r="AB537">
        <v>0</v>
      </c>
      <c r="AC537">
        <v>0</v>
      </c>
      <c r="AD537">
        <v>0</v>
      </c>
      <c r="AE537">
        <v>0</v>
      </c>
      <c r="AF537">
        <v>0</v>
      </c>
      <c r="AG537">
        <v>0</v>
      </c>
      <c r="AH537">
        <v>0</v>
      </c>
      <c r="AI537">
        <v>0</v>
      </c>
      <c r="AY537" t="str">
        <f t="shared" si="152"/>
        <v>DRAXXIN KP 100 MG/ML + 120 MG/ML SOLUTION INJECTABLE POUR BOVINS</v>
      </c>
      <c r="AZ537" t="str">
        <f>IF(COUNTIF(AY:AY,AY537)=1,AY537,IF(AND(COUNTIF(AY:AY,AY537)&gt;1,COUNTIF(AZ$2:AZ536,AY537)&gt;=1),"",AY537))</f>
        <v/>
      </c>
      <c r="BA537" t="str">
        <f>IF(AZ537="","",COUNTIFS(AZ$3:AZ$1439,"&lt;"&amp;AZ537,AZ$3:AZ$1439,"&lt;&gt;0")+COUNTIF(AZ$3:AZ537,AZ537)-876)</f>
        <v/>
      </c>
      <c r="BC537">
        <v>535</v>
      </c>
      <c r="BD537" t="str">
        <f t="shared" si="163"/>
        <v>UBROPEN SUSPENSION INTRAMAMMAIRE POUR VACHES EN LACTATION</v>
      </c>
      <c r="BE537" t="str">
        <f t="shared" si="153"/>
        <v>INTRAMAM</v>
      </c>
      <c r="BF537" t="str">
        <f t="shared" si="154"/>
        <v>PENICILLINES</v>
      </c>
      <c r="BG537" t="str">
        <f t="shared" si="155"/>
        <v/>
      </c>
      <c r="BH537" t="str">
        <f t="shared" si="156"/>
        <v/>
      </c>
      <c r="BI537" t="str">
        <f t="shared" si="157"/>
        <v>benzylpenicillin</v>
      </c>
      <c r="BJ537" t="str">
        <f t="shared" si="158"/>
        <v/>
      </c>
      <c r="BK537" t="str">
        <f t="shared" si="159"/>
        <v/>
      </c>
      <c r="BL537" t="str">
        <f t="shared" si="164"/>
        <v>Benzylpénicilline</v>
      </c>
      <c r="BM537" t="str">
        <f t="shared" si="160"/>
        <v>Benzylpénicilline</v>
      </c>
      <c r="BN537" t="str">
        <f t="shared" si="161"/>
        <v/>
      </c>
      <c r="BO537" t="str">
        <f t="shared" si="162"/>
        <v/>
      </c>
      <c r="BP537" t="str">
        <f t="shared" si="165"/>
        <v>Penicillines</v>
      </c>
      <c r="BQ537" t="str">
        <f t="shared" si="166"/>
        <v>Penicillines</v>
      </c>
      <c r="BR537" t="str">
        <f t="shared" si="167"/>
        <v/>
      </c>
      <c r="BS537" t="str">
        <f t="shared" si="168"/>
        <v/>
      </c>
      <c r="BT537" s="76" t="str">
        <f t="shared" si="169"/>
        <v>Voie intramammaire</v>
      </c>
      <c r="BU537" t="str">
        <f t="shared" si="170"/>
        <v/>
      </c>
      <c r="CN537">
        <v>536</v>
      </c>
    </row>
    <row r="538" spans="1:92" x14ac:dyDescent="0.3">
      <c r="A538" s="118" t="s">
        <v>4692</v>
      </c>
      <c r="B538" t="s">
        <v>4695</v>
      </c>
      <c r="C538" t="s">
        <v>796</v>
      </c>
      <c r="D538" t="s">
        <v>776</v>
      </c>
      <c r="E538" t="s">
        <v>765</v>
      </c>
      <c r="F538" t="s">
        <v>707</v>
      </c>
      <c r="G538" t="s">
        <v>766</v>
      </c>
      <c r="H538" t="s">
        <v>801</v>
      </c>
      <c r="I538" t="s">
        <v>766</v>
      </c>
      <c r="J538" t="s">
        <v>802</v>
      </c>
      <c r="K538" t="s">
        <v>802</v>
      </c>
      <c r="L538" t="s">
        <v>3008</v>
      </c>
      <c r="M538" t="s">
        <v>208</v>
      </c>
      <c r="N538" t="s">
        <v>764</v>
      </c>
      <c r="O538" t="s">
        <v>771</v>
      </c>
      <c r="P538" t="s">
        <v>772</v>
      </c>
      <c r="Q538" t="s">
        <v>855</v>
      </c>
      <c r="R538">
        <v>2.5</v>
      </c>
      <c r="S538">
        <v>1</v>
      </c>
      <c r="T538">
        <v>0</v>
      </c>
      <c r="U538">
        <v>0</v>
      </c>
      <c r="V538">
        <v>0</v>
      </c>
      <c r="W538">
        <v>0</v>
      </c>
      <c r="X538">
        <v>0</v>
      </c>
      <c r="Y538">
        <v>0</v>
      </c>
      <c r="Z538">
        <v>0</v>
      </c>
      <c r="AA538">
        <v>0</v>
      </c>
      <c r="AB538">
        <v>0</v>
      </c>
      <c r="AC538">
        <v>0</v>
      </c>
      <c r="AD538">
        <v>0</v>
      </c>
      <c r="AE538">
        <v>0</v>
      </c>
      <c r="AF538">
        <v>0</v>
      </c>
      <c r="AG538">
        <v>0</v>
      </c>
      <c r="AH538">
        <v>0</v>
      </c>
      <c r="AI538">
        <v>0</v>
      </c>
      <c r="AY538" t="str">
        <f t="shared" si="152"/>
        <v>DRAXXIN KP 100 MG/ML + 120 MG/ML SOLUTION INJECTABLE POUR BOVINS</v>
      </c>
      <c r="AZ538" t="str">
        <f>IF(COUNTIF(AY:AY,AY538)=1,AY538,IF(AND(COUNTIF(AY:AY,AY538)&gt;1,COUNTIF(AZ$2:AZ537,AY538)&gt;=1),"",AY538))</f>
        <v/>
      </c>
      <c r="BA538" t="str">
        <f>IF(AZ538="","",COUNTIFS(AZ$3:AZ$1439,"&lt;"&amp;AZ538,AZ$3:AZ$1439,"&lt;&gt;0")+COUNTIF(AZ$3:AZ538,AZ538)-876)</f>
        <v/>
      </c>
      <c r="BC538">
        <v>536</v>
      </c>
      <c r="BD538" t="str">
        <f t="shared" si="163"/>
        <v>UBROSTAR SUSPENSION INTRAMAMMAIRE HORS LACTATION POUR BOVINS</v>
      </c>
      <c r="BE538" t="str">
        <f t="shared" si="153"/>
        <v>INTRAMAM</v>
      </c>
      <c r="BF538" t="str">
        <f t="shared" si="154"/>
        <v>PENICILLINES</v>
      </c>
      <c r="BG538" t="str">
        <f t="shared" si="155"/>
        <v>PENICILLINES</v>
      </c>
      <c r="BH538" t="str">
        <f t="shared" si="156"/>
        <v>AMINOGLYCOSIDES</v>
      </c>
      <c r="BI538" t="str">
        <f t="shared" si="157"/>
        <v>benzylpenicillin</v>
      </c>
      <c r="BJ538" t="str">
        <f t="shared" si="158"/>
        <v>penethamate hydriodide</v>
      </c>
      <c r="BK538" t="str">
        <f t="shared" si="159"/>
        <v>framycetin</v>
      </c>
      <c r="BL538" t="str">
        <f t="shared" si="164"/>
        <v>Benzylpénicilline + Pénéthamate (ou pénéthacilline) + Framycétine</v>
      </c>
      <c r="BM538" t="str">
        <f t="shared" si="160"/>
        <v>Benzylpénicilline</v>
      </c>
      <c r="BN538" t="str">
        <f t="shared" si="161"/>
        <v>Pénéthamate (ou pénéthacilline)</v>
      </c>
      <c r="BO538" t="str">
        <f t="shared" si="162"/>
        <v>Framycétine</v>
      </c>
      <c r="BP538" t="str">
        <f t="shared" si="165"/>
        <v>Penicillines</v>
      </c>
      <c r="BQ538" t="str">
        <f t="shared" si="166"/>
        <v>Penicillines</v>
      </c>
      <c r="BR538" t="str">
        <f t="shared" si="167"/>
        <v>Penicillines</v>
      </c>
      <c r="BS538" t="str">
        <f t="shared" si="168"/>
        <v>Aminoglycosides</v>
      </c>
      <c r="BT538" s="76" t="str">
        <f t="shared" si="169"/>
        <v>Voie intramammaire</v>
      </c>
      <c r="BU538" t="str">
        <f t="shared" si="170"/>
        <v/>
      </c>
      <c r="CN538">
        <v>537</v>
      </c>
    </row>
    <row r="539" spans="1:92" x14ac:dyDescent="0.3">
      <c r="A539" s="118" t="s">
        <v>925</v>
      </c>
      <c r="B539" t="s">
        <v>926</v>
      </c>
      <c r="C539" t="s">
        <v>809</v>
      </c>
      <c r="D539" s="144" t="s">
        <v>776</v>
      </c>
      <c r="E539" t="s">
        <v>765</v>
      </c>
      <c r="F539" t="s">
        <v>638</v>
      </c>
      <c r="G539" t="s">
        <v>766</v>
      </c>
      <c r="H539" t="s">
        <v>927</v>
      </c>
      <c r="I539" t="s">
        <v>766</v>
      </c>
      <c r="J539" t="s">
        <v>928</v>
      </c>
      <c r="K539" t="s">
        <v>862</v>
      </c>
      <c r="L539" t="s">
        <v>929</v>
      </c>
      <c r="M539" t="s">
        <v>208</v>
      </c>
      <c r="N539" t="s">
        <v>864</v>
      </c>
      <c r="O539" t="s">
        <v>771</v>
      </c>
      <c r="P539" t="s">
        <v>772</v>
      </c>
      <c r="Q539" t="s">
        <v>780</v>
      </c>
      <c r="R539">
        <v>13.4</v>
      </c>
      <c r="S539">
        <v>5</v>
      </c>
      <c r="T539">
        <v>13.4</v>
      </c>
      <c r="U539">
        <v>5</v>
      </c>
      <c r="V539">
        <v>13.4</v>
      </c>
      <c r="W539">
        <v>5</v>
      </c>
      <c r="X539">
        <v>0</v>
      </c>
      <c r="Y539">
        <v>0</v>
      </c>
      <c r="Z539">
        <v>0</v>
      </c>
      <c r="AA539">
        <v>0</v>
      </c>
      <c r="AB539">
        <v>13.4</v>
      </c>
      <c r="AC539">
        <v>5</v>
      </c>
      <c r="AD539">
        <v>13.4</v>
      </c>
      <c r="AE539">
        <v>5</v>
      </c>
      <c r="AF539">
        <v>0</v>
      </c>
      <c r="AG539">
        <v>0</v>
      </c>
      <c r="AH539">
        <v>0</v>
      </c>
      <c r="AI539">
        <v>0</v>
      </c>
      <c r="AJ539" t="s">
        <v>930</v>
      </c>
      <c r="AK539" t="s">
        <v>931</v>
      </c>
      <c r="AL539" t="s">
        <v>208</v>
      </c>
      <c r="AM539" t="s">
        <v>932</v>
      </c>
      <c r="AN539" t="s">
        <v>771</v>
      </c>
      <c r="AO539" t="s">
        <v>772</v>
      </c>
      <c r="AP539" t="s">
        <v>852</v>
      </c>
      <c r="AY539" t="str">
        <f t="shared" si="152"/>
        <v>DUOPRIM</v>
      </c>
      <c r="AZ539" t="str">
        <f>IF(COUNTIF(AY:AY,AY539)=1,AY539,IF(AND(COUNTIF(AY:AY,AY539)&gt;1,COUNTIF(AZ$2:AZ538,AY539)&gt;=1),"",AY539))</f>
        <v>DUOPRIM</v>
      </c>
      <c r="BA539">
        <f>IF(AZ539="","",COUNTIFS(AZ$3:AZ$1439,"&lt;"&amp;AZ539,AZ$3:AZ$1439,"&lt;&gt;0")+COUNTIF(AZ$3:AZ539,AZ539)-876)</f>
        <v>201</v>
      </c>
      <c r="BC539">
        <v>537</v>
      </c>
      <c r="BD539" t="str">
        <f t="shared" si="163"/>
        <v>UCAMIX V COLISTINE 200 LAPIN-VOLAILLE-PORC ET VEAU-AGNEAU-CHEVREAU SEVRES</v>
      </c>
      <c r="BE539" t="str">
        <f t="shared" si="153"/>
        <v>PM</v>
      </c>
      <c r="BF539" t="str">
        <f t="shared" si="154"/>
        <v>POLYPEPTIDES</v>
      </c>
      <c r="BG539" t="str">
        <f t="shared" si="155"/>
        <v/>
      </c>
      <c r="BH539" t="str">
        <f t="shared" si="156"/>
        <v/>
      </c>
      <c r="BI539" t="str">
        <f t="shared" si="157"/>
        <v>colistin</v>
      </c>
      <c r="BJ539" t="str">
        <f t="shared" si="158"/>
        <v/>
      </c>
      <c r="BK539" t="str">
        <f t="shared" si="159"/>
        <v/>
      </c>
      <c r="BL539" t="str">
        <f t="shared" si="164"/>
        <v>Colistine</v>
      </c>
      <c r="BM539" t="str">
        <f t="shared" si="160"/>
        <v>Colistine</v>
      </c>
      <c r="BN539" t="str">
        <f t="shared" si="161"/>
        <v/>
      </c>
      <c r="BO539" t="str">
        <f t="shared" si="162"/>
        <v/>
      </c>
      <c r="BP539" t="str">
        <f t="shared" si="165"/>
        <v>Polypeptides</v>
      </c>
      <c r="BQ539" t="str">
        <f t="shared" si="166"/>
        <v>Polypeptides</v>
      </c>
      <c r="BR539" t="str">
        <f t="shared" si="167"/>
        <v/>
      </c>
      <c r="BS539" t="str">
        <f t="shared" si="168"/>
        <v/>
      </c>
      <c r="BT539" s="76" t="str">
        <f t="shared" si="169"/>
        <v>Prémélanges médicamenteux</v>
      </c>
      <c r="BU539" t="str">
        <f t="shared" si="170"/>
        <v>x</v>
      </c>
      <c r="CN539">
        <v>538</v>
      </c>
    </row>
    <row r="540" spans="1:92" x14ac:dyDescent="0.3">
      <c r="A540" s="118" t="s">
        <v>925</v>
      </c>
      <c r="B540" t="s">
        <v>933</v>
      </c>
      <c r="C540" t="s">
        <v>807</v>
      </c>
      <c r="D540" s="144" t="s">
        <v>764</v>
      </c>
      <c r="E540" t="s">
        <v>765</v>
      </c>
      <c r="F540" t="s">
        <v>638</v>
      </c>
      <c r="G540" t="s">
        <v>766</v>
      </c>
      <c r="H540" t="s">
        <v>927</v>
      </c>
      <c r="I540" t="s">
        <v>766</v>
      </c>
      <c r="J540" t="s">
        <v>928</v>
      </c>
      <c r="K540" t="s">
        <v>862</v>
      </c>
      <c r="L540" t="s">
        <v>929</v>
      </c>
      <c r="M540" t="s">
        <v>208</v>
      </c>
      <c r="N540" t="s">
        <v>864</v>
      </c>
      <c r="O540" t="s">
        <v>771</v>
      </c>
      <c r="P540" t="s">
        <v>772</v>
      </c>
      <c r="Q540" t="s">
        <v>869</v>
      </c>
      <c r="R540">
        <v>13.4</v>
      </c>
      <c r="S540">
        <v>5</v>
      </c>
      <c r="T540">
        <v>13.4</v>
      </c>
      <c r="U540">
        <v>5</v>
      </c>
      <c r="V540">
        <v>13.4</v>
      </c>
      <c r="W540">
        <v>5</v>
      </c>
      <c r="X540">
        <v>0</v>
      </c>
      <c r="Y540">
        <v>0</v>
      </c>
      <c r="Z540">
        <v>0</v>
      </c>
      <c r="AA540">
        <v>0</v>
      </c>
      <c r="AB540">
        <v>13.4</v>
      </c>
      <c r="AC540">
        <v>5</v>
      </c>
      <c r="AD540">
        <v>13.4</v>
      </c>
      <c r="AE540">
        <v>5</v>
      </c>
      <c r="AF540">
        <v>0</v>
      </c>
      <c r="AG540">
        <v>0</v>
      </c>
      <c r="AH540">
        <v>0</v>
      </c>
      <c r="AI540">
        <v>0</v>
      </c>
      <c r="AJ540" t="s">
        <v>930</v>
      </c>
      <c r="AK540" t="s">
        <v>931</v>
      </c>
      <c r="AL540" t="s">
        <v>208</v>
      </c>
      <c r="AM540" t="s">
        <v>932</v>
      </c>
      <c r="AN540" t="s">
        <v>771</v>
      </c>
      <c r="AO540" t="s">
        <v>772</v>
      </c>
      <c r="AP540" t="s">
        <v>934</v>
      </c>
      <c r="AY540" t="str">
        <f t="shared" si="152"/>
        <v>DUOPRIM</v>
      </c>
      <c r="AZ540" t="str">
        <f>IF(COUNTIF(AY:AY,AY540)=1,AY540,IF(AND(COUNTIF(AY:AY,AY540)&gt;1,COUNTIF(AZ$2:AZ539,AY540)&gt;=1),"",AY540))</f>
        <v/>
      </c>
      <c r="BA540" t="str">
        <f>IF(AZ540="","",COUNTIFS(AZ$3:AZ$1439,"&lt;"&amp;AZ540,AZ$3:AZ$1439,"&lt;&gt;0")+COUNTIF(AZ$3:AZ540,AZ540)-876)</f>
        <v/>
      </c>
      <c r="BC540">
        <v>538</v>
      </c>
      <c r="BD540" t="str">
        <f t="shared" si="163"/>
        <v>UCAMIX V COLISTINE 400 PORC</v>
      </c>
      <c r="BE540" t="str">
        <f t="shared" si="153"/>
        <v>PM</v>
      </c>
      <c r="BF540" t="str">
        <f t="shared" si="154"/>
        <v>POLYPEPTIDES</v>
      </c>
      <c r="BG540" t="str">
        <f t="shared" si="155"/>
        <v/>
      </c>
      <c r="BH540" t="str">
        <f t="shared" si="156"/>
        <v/>
      </c>
      <c r="BI540" t="str">
        <f t="shared" si="157"/>
        <v>colistin</v>
      </c>
      <c r="BJ540" t="str">
        <f t="shared" si="158"/>
        <v/>
      </c>
      <c r="BK540" t="str">
        <f t="shared" si="159"/>
        <v/>
      </c>
      <c r="BL540" t="str">
        <f t="shared" si="164"/>
        <v>Colistine</v>
      </c>
      <c r="BM540" t="str">
        <f t="shared" si="160"/>
        <v>Colistine</v>
      </c>
      <c r="BN540" t="str">
        <f t="shared" si="161"/>
        <v/>
      </c>
      <c r="BO540" t="str">
        <f t="shared" si="162"/>
        <v/>
      </c>
      <c r="BP540" t="str">
        <f t="shared" si="165"/>
        <v>Polypeptides</v>
      </c>
      <c r="BQ540" t="str">
        <f t="shared" si="166"/>
        <v>Polypeptides</v>
      </c>
      <c r="BR540" t="str">
        <f t="shared" si="167"/>
        <v/>
      </c>
      <c r="BS540" t="str">
        <f t="shared" si="168"/>
        <v/>
      </c>
      <c r="BT540" s="76" t="str">
        <f t="shared" si="169"/>
        <v>Prémélanges médicamenteux</v>
      </c>
      <c r="BU540" t="str">
        <f t="shared" si="170"/>
        <v>x</v>
      </c>
      <c r="CN540">
        <v>539</v>
      </c>
    </row>
    <row r="541" spans="1:92" x14ac:dyDescent="0.3">
      <c r="A541" s="118" t="s">
        <v>2045</v>
      </c>
      <c r="B541" t="s">
        <v>2046</v>
      </c>
      <c r="C541" t="s">
        <v>2047</v>
      </c>
      <c r="D541" s="144" t="s">
        <v>776</v>
      </c>
      <c r="E541" t="s">
        <v>765</v>
      </c>
      <c r="F541" t="s">
        <v>337</v>
      </c>
      <c r="G541" t="s">
        <v>766</v>
      </c>
      <c r="H541" t="s">
        <v>851</v>
      </c>
      <c r="I541" t="s">
        <v>766</v>
      </c>
      <c r="J541" t="s">
        <v>768</v>
      </c>
      <c r="K541" t="s">
        <v>768</v>
      </c>
      <c r="L541" t="s">
        <v>769</v>
      </c>
      <c r="M541" t="s">
        <v>208</v>
      </c>
      <c r="N541" t="s">
        <v>864</v>
      </c>
      <c r="O541" t="s">
        <v>771</v>
      </c>
      <c r="P541" t="s">
        <v>772</v>
      </c>
      <c r="Q541" t="s">
        <v>780</v>
      </c>
      <c r="R541">
        <v>20</v>
      </c>
      <c r="S541">
        <v>1</v>
      </c>
      <c r="T541">
        <v>0</v>
      </c>
      <c r="U541">
        <v>0</v>
      </c>
      <c r="V541">
        <v>0</v>
      </c>
      <c r="W541">
        <v>0</v>
      </c>
      <c r="X541">
        <v>0</v>
      </c>
      <c r="Y541">
        <v>0</v>
      </c>
      <c r="Z541">
        <v>0</v>
      </c>
      <c r="AA541">
        <v>0</v>
      </c>
      <c r="AB541">
        <v>20</v>
      </c>
      <c r="AC541">
        <v>1</v>
      </c>
      <c r="AD541">
        <v>20</v>
      </c>
      <c r="AE541">
        <v>1</v>
      </c>
      <c r="AF541">
        <v>0</v>
      </c>
      <c r="AG541">
        <v>0</v>
      </c>
      <c r="AH541">
        <v>0</v>
      </c>
      <c r="AI541">
        <v>0</v>
      </c>
      <c r="AY541" t="str">
        <f t="shared" si="152"/>
        <v>DUPHACYCLINE LA</v>
      </c>
      <c r="AZ541" t="str">
        <f>IF(COUNTIF(AY:AY,AY541)=1,AY541,IF(AND(COUNTIF(AY:AY,AY541)&gt;1,COUNTIF(AZ$2:AZ540,AY541)&gt;=1),"",AY541))</f>
        <v>DUPHACYCLINE LA</v>
      </c>
      <c r="BA541">
        <f>IF(AZ541="","",COUNTIFS(AZ$3:AZ$1439,"&lt;"&amp;AZ541,AZ$3:AZ$1439,"&lt;&gt;0")+COUNTIF(AZ$3:AZ541,AZ541)-876)</f>
        <v>202</v>
      </c>
      <c r="BC541">
        <v>539</v>
      </c>
      <c r="BD541" t="str">
        <f t="shared" si="163"/>
        <v>UCAMIX V OXYTETRACYCLINE 100 PORC</v>
      </c>
      <c r="BE541" t="str">
        <f t="shared" si="153"/>
        <v>PM</v>
      </c>
      <c r="BF541" t="str">
        <f t="shared" si="154"/>
        <v>TETRACYCLINES</v>
      </c>
      <c r="BG541" t="str">
        <f t="shared" si="155"/>
        <v/>
      </c>
      <c r="BH541" t="str">
        <f t="shared" si="156"/>
        <v/>
      </c>
      <c r="BI541" t="str">
        <f t="shared" si="157"/>
        <v>oxytetracycline</v>
      </c>
      <c r="BJ541" t="str">
        <f t="shared" si="158"/>
        <v/>
      </c>
      <c r="BK541" t="str">
        <f t="shared" si="159"/>
        <v/>
      </c>
      <c r="BL541" t="str">
        <f t="shared" si="164"/>
        <v>Oxytétracycline</v>
      </c>
      <c r="BM541" t="str">
        <f t="shared" si="160"/>
        <v>Oxytétracycline</v>
      </c>
      <c r="BN541" t="str">
        <f t="shared" si="161"/>
        <v/>
      </c>
      <c r="BO541" t="str">
        <f t="shared" si="162"/>
        <v/>
      </c>
      <c r="BP541" t="str">
        <f t="shared" si="165"/>
        <v>Tetracyclines</v>
      </c>
      <c r="BQ541" t="str">
        <f t="shared" si="166"/>
        <v>Tetracyclines</v>
      </c>
      <c r="BR541" t="str">
        <f t="shared" si="167"/>
        <v/>
      </c>
      <c r="BS541" t="str">
        <f t="shared" si="168"/>
        <v/>
      </c>
      <c r="BT541" s="76" t="str">
        <f t="shared" si="169"/>
        <v>Prémélanges médicamenteux</v>
      </c>
      <c r="BU541" t="str">
        <f t="shared" si="170"/>
        <v/>
      </c>
      <c r="CN541">
        <v>540</v>
      </c>
    </row>
    <row r="542" spans="1:92" x14ac:dyDescent="0.3">
      <c r="A542" s="118" t="s">
        <v>2045</v>
      </c>
      <c r="B542" t="s">
        <v>2048</v>
      </c>
      <c r="C542" t="s">
        <v>4444</v>
      </c>
      <c r="D542" s="144" t="s">
        <v>906</v>
      </c>
      <c r="E542" t="s">
        <v>765</v>
      </c>
      <c r="F542" t="s">
        <v>337</v>
      </c>
      <c r="G542" t="s">
        <v>766</v>
      </c>
      <c r="H542" t="s">
        <v>851</v>
      </c>
      <c r="I542" t="s">
        <v>766</v>
      </c>
      <c r="J542" t="s">
        <v>768</v>
      </c>
      <c r="K542" t="s">
        <v>768</v>
      </c>
      <c r="L542" t="s">
        <v>769</v>
      </c>
      <c r="M542" t="s">
        <v>208</v>
      </c>
      <c r="N542" t="s">
        <v>864</v>
      </c>
      <c r="O542" t="s">
        <v>771</v>
      </c>
      <c r="P542" t="s">
        <v>772</v>
      </c>
      <c r="Q542" t="s">
        <v>764</v>
      </c>
      <c r="R542">
        <v>20</v>
      </c>
      <c r="S542">
        <v>1</v>
      </c>
      <c r="T542">
        <v>0</v>
      </c>
      <c r="U542">
        <v>0</v>
      </c>
      <c r="V542">
        <v>0</v>
      </c>
      <c r="W542">
        <v>0</v>
      </c>
      <c r="X542">
        <v>0</v>
      </c>
      <c r="Y542">
        <v>0</v>
      </c>
      <c r="Z542">
        <v>0</v>
      </c>
      <c r="AA542">
        <v>0</v>
      </c>
      <c r="AB542">
        <v>20</v>
      </c>
      <c r="AC542">
        <v>1</v>
      </c>
      <c r="AD542">
        <v>20</v>
      </c>
      <c r="AE542">
        <v>1</v>
      </c>
      <c r="AF542">
        <v>0</v>
      </c>
      <c r="AG542">
        <v>0</v>
      </c>
      <c r="AH542">
        <v>0</v>
      </c>
      <c r="AI542">
        <v>0</v>
      </c>
      <c r="AY542" t="str">
        <f t="shared" si="152"/>
        <v>DUPHACYCLINE LA</v>
      </c>
      <c r="AZ542" t="str">
        <f>IF(COUNTIF(AY:AY,AY542)=1,AY542,IF(AND(COUNTIF(AY:AY,AY542)&gt;1,COUNTIF(AZ$2:AZ541,AY542)&gt;=1),"",AY542))</f>
        <v/>
      </c>
      <c r="BA542" t="str">
        <f>IF(AZ542="","",COUNTIFS(AZ$3:AZ$1439,"&lt;"&amp;AZ542,AZ$3:AZ$1439,"&lt;&gt;0")+COUNTIF(AZ$3:AZ542,AZ542)-876)</f>
        <v/>
      </c>
      <c r="BC542">
        <v>540</v>
      </c>
      <c r="BD542" t="str">
        <f t="shared" si="163"/>
        <v>UCAMIX V OXYTETRACYCLINE 40 LAPIN-VOLAILLE-PORC ET VEAU-AGNEAU-CHEVREAU SEVRES</v>
      </c>
      <c r="BE542" t="str">
        <f t="shared" si="153"/>
        <v>PM</v>
      </c>
      <c r="BF542" t="str">
        <f t="shared" si="154"/>
        <v>TETRACYCLINES</v>
      </c>
      <c r="BG542" t="str">
        <f t="shared" si="155"/>
        <v/>
      </c>
      <c r="BH542" t="str">
        <f t="shared" si="156"/>
        <v/>
      </c>
      <c r="BI542" t="str">
        <f t="shared" si="157"/>
        <v>oxytetracycline</v>
      </c>
      <c r="BJ542" t="str">
        <f t="shared" si="158"/>
        <v/>
      </c>
      <c r="BK542" t="str">
        <f t="shared" si="159"/>
        <v/>
      </c>
      <c r="BL542" t="str">
        <f t="shared" si="164"/>
        <v>Oxytétracycline</v>
      </c>
      <c r="BM542" t="str">
        <f t="shared" si="160"/>
        <v>Oxytétracycline</v>
      </c>
      <c r="BN542" t="str">
        <f t="shared" si="161"/>
        <v/>
      </c>
      <c r="BO542" t="str">
        <f t="shared" si="162"/>
        <v/>
      </c>
      <c r="BP542" t="str">
        <f t="shared" si="165"/>
        <v>Tetracyclines</v>
      </c>
      <c r="BQ542" t="str">
        <f t="shared" si="166"/>
        <v>Tetracyclines</v>
      </c>
      <c r="BR542" t="str">
        <f t="shared" si="167"/>
        <v/>
      </c>
      <c r="BS542" t="str">
        <f t="shared" si="168"/>
        <v/>
      </c>
      <c r="BT542" s="76" t="str">
        <f t="shared" si="169"/>
        <v>Prémélanges médicamenteux</v>
      </c>
      <c r="BU542" t="str">
        <f t="shared" si="170"/>
        <v/>
      </c>
      <c r="CN542">
        <v>541</v>
      </c>
    </row>
    <row r="543" spans="1:92" x14ac:dyDescent="0.3">
      <c r="A543" s="118" t="s">
        <v>2045</v>
      </c>
      <c r="B543" t="s">
        <v>2049</v>
      </c>
      <c r="C543" t="s">
        <v>4445</v>
      </c>
      <c r="D543" s="144" t="s">
        <v>764</v>
      </c>
      <c r="E543" t="s">
        <v>765</v>
      </c>
      <c r="F543" t="s">
        <v>337</v>
      </c>
      <c r="G543" t="s">
        <v>766</v>
      </c>
      <c r="H543" t="s">
        <v>851</v>
      </c>
      <c r="I543" t="s">
        <v>766</v>
      </c>
      <c r="J543" t="s">
        <v>768</v>
      </c>
      <c r="K543" t="s">
        <v>768</v>
      </c>
      <c r="L543" t="s">
        <v>769</v>
      </c>
      <c r="M543" t="s">
        <v>208</v>
      </c>
      <c r="N543" t="s">
        <v>864</v>
      </c>
      <c r="O543" t="s">
        <v>771</v>
      </c>
      <c r="P543" t="s">
        <v>772</v>
      </c>
      <c r="Q543" t="s">
        <v>869</v>
      </c>
      <c r="R543">
        <v>20</v>
      </c>
      <c r="S543">
        <v>1</v>
      </c>
      <c r="T543">
        <v>0</v>
      </c>
      <c r="U543">
        <v>0</v>
      </c>
      <c r="V543">
        <v>0</v>
      </c>
      <c r="W543">
        <v>0</v>
      </c>
      <c r="X543">
        <v>0</v>
      </c>
      <c r="Y543">
        <v>0</v>
      </c>
      <c r="Z543">
        <v>0</v>
      </c>
      <c r="AA543">
        <v>0</v>
      </c>
      <c r="AB543">
        <v>20</v>
      </c>
      <c r="AC543">
        <v>1</v>
      </c>
      <c r="AD543">
        <v>20</v>
      </c>
      <c r="AE543">
        <v>1</v>
      </c>
      <c r="AF543">
        <v>0</v>
      </c>
      <c r="AG543">
        <v>0</v>
      </c>
      <c r="AH543">
        <v>0</v>
      </c>
      <c r="AI543">
        <v>0</v>
      </c>
      <c r="AY543" t="str">
        <f t="shared" si="152"/>
        <v>DUPHACYCLINE LA</v>
      </c>
      <c r="AZ543" t="str">
        <f>IF(COUNTIF(AY:AY,AY543)=1,AY543,IF(AND(COUNTIF(AY:AY,AY543)&gt;1,COUNTIF(AZ$2:AZ542,AY543)&gt;=1),"",AY543))</f>
        <v/>
      </c>
      <c r="BA543" t="str">
        <f>IF(AZ543="","",COUNTIFS(AZ$3:AZ$1439,"&lt;"&amp;AZ543,AZ$3:AZ$1439,"&lt;&gt;0")+COUNTIF(AZ$3:AZ543,AZ543)-876)</f>
        <v/>
      </c>
      <c r="BC543">
        <v>541</v>
      </c>
      <c r="BD543" t="str">
        <f t="shared" si="163"/>
        <v>VETMULIN 101,2 MG/ML SOLUTION A DILUER DANS L'EAU DE BOISSON POUR PORCS</v>
      </c>
      <c r="BE543" t="str">
        <f t="shared" si="153"/>
        <v>ORAL</v>
      </c>
      <c r="BF543" t="str">
        <f t="shared" si="154"/>
        <v>PLEUROMUTILINES</v>
      </c>
      <c r="BG543" t="str">
        <f t="shared" si="155"/>
        <v/>
      </c>
      <c r="BH543" t="str">
        <f t="shared" si="156"/>
        <v/>
      </c>
      <c r="BI543" t="str">
        <f t="shared" si="157"/>
        <v>tiamulin</v>
      </c>
      <c r="BJ543" t="str">
        <f t="shared" si="158"/>
        <v/>
      </c>
      <c r="BK543" t="str">
        <f t="shared" si="159"/>
        <v/>
      </c>
      <c r="BL543" t="str">
        <f t="shared" si="164"/>
        <v>Tiamuline</v>
      </c>
      <c r="BM543" t="str">
        <f t="shared" si="160"/>
        <v>Tiamuline</v>
      </c>
      <c r="BN543" t="str">
        <f t="shared" si="161"/>
        <v/>
      </c>
      <c r="BO543" t="str">
        <f t="shared" si="162"/>
        <v/>
      </c>
      <c r="BP543" t="str">
        <f t="shared" si="165"/>
        <v>Pleuromutilines</v>
      </c>
      <c r="BQ543" t="str">
        <f t="shared" si="166"/>
        <v>Pleuromutilines</v>
      </c>
      <c r="BR543" t="str">
        <f t="shared" si="167"/>
        <v/>
      </c>
      <c r="BS543" t="str">
        <f t="shared" si="168"/>
        <v/>
      </c>
      <c r="BT543" s="76" t="str">
        <f t="shared" si="169"/>
        <v>Voie orale  hors prémélanges médicamenteux</v>
      </c>
      <c r="BU543" t="str">
        <f t="shared" si="170"/>
        <v/>
      </c>
      <c r="CN543">
        <v>542</v>
      </c>
    </row>
    <row r="544" spans="1:92" x14ac:dyDescent="0.3">
      <c r="A544" s="118" t="s">
        <v>2045</v>
      </c>
      <c r="B544" t="s">
        <v>2050</v>
      </c>
      <c r="C544" t="s">
        <v>796</v>
      </c>
      <c r="D544" s="144" t="s">
        <v>776</v>
      </c>
      <c r="E544" t="s">
        <v>765</v>
      </c>
      <c r="F544" t="s">
        <v>337</v>
      </c>
      <c r="G544" t="s">
        <v>766</v>
      </c>
      <c r="H544" t="s">
        <v>851</v>
      </c>
      <c r="I544" t="s">
        <v>766</v>
      </c>
      <c r="J544" t="s">
        <v>768</v>
      </c>
      <c r="K544" t="s">
        <v>768</v>
      </c>
      <c r="L544" t="s">
        <v>769</v>
      </c>
      <c r="M544" t="s">
        <v>208</v>
      </c>
      <c r="N544" t="s">
        <v>864</v>
      </c>
      <c r="O544" t="s">
        <v>771</v>
      </c>
      <c r="P544" t="s">
        <v>772</v>
      </c>
      <c r="Q544" t="s">
        <v>780</v>
      </c>
      <c r="R544">
        <v>20</v>
      </c>
      <c r="S544">
        <v>1</v>
      </c>
      <c r="T544">
        <v>0</v>
      </c>
      <c r="U544">
        <v>0</v>
      </c>
      <c r="V544">
        <v>0</v>
      </c>
      <c r="W544">
        <v>0</v>
      </c>
      <c r="X544">
        <v>0</v>
      </c>
      <c r="Y544">
        <v>0</v>
      </c>
      <c r="Z544">
        <v>0</v>
      </c>
      <c r="AA544">
        <v>0</v>
      </c>
      <c r="AB544">
        <v>20</v>
      </c>
      <c r="AC544">
        <v>1</v>
      </c>
      <c r="AD544">
        <v>20</v>
      </c>
      <c r="AE544">
        <v>1</v>
      </c>
      <c r="AF544">
        <v>0</v>
      </c>
      <c r="AG544">
        <v>0</v>
      </c>
      <c r="AH544">
        <v>0</v>
      </c>
      <c r="AI544">
        <v>0</v>
      </c>
      <c r="AY544" t="str">
        <f t="shared" si="152"/>
        <v>DUPHACYCLINE LA</v>
      </c>
      <c r="AZ544" t="str">
        <f>IF(COUNTIF(AY:AY,AY544)=1,AY544,IF(AND(COUNTIF(AY:AY,AY544)&gt;1,COUNTIF(AZ$2:AZ543,AY544)&gt;=1),"",AY544))</f>
        <v/>
      </c>
      <c r="BA544" t="str">
        <f>IF(AZ544="","",COUNTIFS(AZ$3:AZ$1439,"&lt;"&amp;AZ544,AZ$3:AZ$1439,"&lt;&gt;0")+COUNTIF(AZ$3:AZ544,AZ544)-876)</f>
        <v/>
      </c>
      <c r="BC544">
        <v>542</v>
      </c>
      <c r="BD544" t="str">
        <f t="shared" si="163"/>
        <v>VETMULIN 101,2 MG/ML SOLUTION POUR ADMINISTRATION DANS L'EAU DE BOISSON POUR PORCINS ET POULES PONDEUSES</v>
      </c>
      <c r="BE544" t="str">
        <f t="shared" si="153"/>
        <v>ORAL</v>
      </c>
      <c r="BF544" t="str">
        <f t="shared" si="154"/>
        <v>PLEUROMUTILINES</v>
      </c>
      <c r="BG544" t="str">
        <f t="shared" si="155"/>
        <v/>
      </c>
      <c r="BH544" t="str">
        <f t="shared" si="156"/>
        <v/>
      </c>
      <c r="BI544" t="str">
        <f t="shared" si="157"/>
        <v>tiamulin</v>
      </c>
      <c r="BJ544" t="str">
        <f t="shared" si="158"/>
        <v/>
      </c>
      <c r="BK544" t="str">
        <f t="shared" si="159"/>
        <v/>
      </c>
      <c r="BL544" t="str">
        <f t="shared" si="164"/>
        <v>Tiamuline</v>
      </c>
      <c r="BM544" t="str">
        <f t="shared" si="160"/>
        <v>Tiamuline</v>
      </c>
      <c r="BN544" t="str">
        <f t="shared" si="161"/>
        <v/>
      </c>
      <c r="BO544" t="str">
        <f t="shared" si="162"/>
        <v/>
      </c>
      <c r="BP544" t="str">
        <f t="shared" si="165"/>
        <v>Pleuromutilines</v>
      </c>
      <c r="BQ544" t="str">
        <f t="shared" si="166"/>
        <v>Pleuromutilines</v>
      </c>
      <c r="BR544" t="str">
        <f t="shared" si="167"/>
        <v/>
      </c>
      <c r="BS544" t="str">
        <f t="shared" si="168"/>
        <v/>
      </c>
      <c r="BT544" s="76" t="str">
        <f t="shared" si="169"/>
        <v>Voie orale  hors prémélanges médicamenteux</v>
      </c>
      <c r="BU544" t="str">
        <f t="shared" si="170"/>
        <v/>
      </c>
      <c r="CN544">
        <v>543</v>
      </c>
    </row>
    <row r="545" spans="1:92" x14ac:dyDescent="0.3">
      <c r="A545" s="118" t="s">
        <v>2045</v>
      </c>
      <c r="B545" t="s">
        <v>2051</v>
      </c>
      <c r="C545" t="s">
        <v>792</v>
      </c>
      <c r="D545" s="144" t="s">
        <v>764</v>
      </c>
      <c r="E545" t="s">
        <v>765</v>
      </c>
      <c r="F545" t="s">
        <v>337</v>
      </c>
      <c r="G545" t="s">
        <v>766</v>
      </c>
      <c r="H545" t="s">
        <v>851</v>
      </c>
      <c r="I545" t="s">
        <v>766</v>
      </c>
      <c r="J545" t="s">
        <v>768</v>
      </c>
      <c r="K545" t="s">
        <v>768</v>
      </c>
      <c r="L545" t="s">
        <v>769</v>
      </c>
      <c r="M545" t="s">
        <v>208</v>
      </c>
      <c r="N545" t="s">
        <v>864</v>
      </c>
      <c r="O545" t="s">
        <v>771</v>
      </c>
      <c r="P545" t="s">
        <v>772</v>
      </c>
      <c r="Q545" t="s">
        <v>869</v>
      </c>
      <c r="R545">
        <v>20</v>
      </c>
      <c r="S545">
        <v>1</v>
      </c>
      <c r="T545">
        <v>0</v>
      </c>
      <c r="U545">
        <v>0</v>
      </c>
      <c r="V545">
        <v>0</v>
      </c>
      <c r="W545">
        <v>0</v>
      </c>
      <c r="X545">
        <v>0</v>
      </c>
      <c r="Y545">
        <v>0</v>
      </c>
      <c r="Z545">
        <v>0</v>
      </c>
      <c r="AA545">
        <v>0</v>
      </c>
      <c r="AB545">
        <v>20</v>
      </c>
      <c r="AC545">
        <v>1</v>
      </c>
      <c r="AD545">
        <v>20</v>
      </c>
      <c r="AE545">
        <v>1</v>
      </c>
      <c r="AF545">
        <v>0</v>
      </c>
      <c r="AG545">
        <v>0</v>
      </c>
      <c r="AH545">
        <v>0</v>
      </c>
      <c r="AI545">
        <v>0</v>
      </c>
      <c r="AY545" t="str">
        <f t="shared" si="152"/>
        <v>DUPHACYCLINE LA</v>
      </c>
      <c r="AZ545" t="str">
        <f>IF(COUNTIF(AY:AY,AY545)=1,AY545,IF(AND(COUNTIF(AY:AY,AY545)&gt;1,COUNTIF(AZ$2:AZ544,AY545)&gt;=1),"",AY545))</f>
        <v/>
      </c>
      <c r="BA545" t="str">
        <f>IF(AZ545="","",COUNTIFS(AZ$3:AZ$1439,"&lt;"&amp;AZ545,AZ$3:AZ$1439,"&lt;&gt;0")+COUNTIF(AZ$3:AZ545,AZ545)-876)</f>
        <v/>
      </c>
      <c r="BC545">
        <v>543</v>
      </c>
      <c r="BD545" t="str">
        <f t="shared" si="163"/>
        <v>VETMULIN 101,2 MG/ML SOLUTION POUR LAPINS</v>
      </c>
      <c r="BE545" t="str">
        <f t="shared" si="153"/>
        <v>ORAL</v>
      </c>
      <c r="BF545" t="str">
        <f t="shared" si="154"/>
        <v>PLEUROMUTILINES</v>
      </c>
      <c r="BG545" t="str">
        <f t="shared" si="155"/>
        <v/>
      </c>
      <c r="BH545" t="str">
        <f t="shared" si="156"/>
        <v/>
      </c>
      <c r="BI545" t="str">
        <f t="shared" si="157"/>
        <v>tiamulin</v>
      </c>
      <c r="BJ545" t="str">
        <f t="shared" si="158"/>
        <v/>
      </c>
      <c r="BK545" t="str">
        <f t="shared" si="159"/>
        <v/>
      </c>
      <c r="BL545" t="str">
        <f t="shared" si="164"/>
        <v>Tiamuline</v>
      </c>
      <c r="BM545" t="str">
        <f t="shared" si="160"/>
        <v>Tiamuline</v>
      </c>
      <c r="BN545" t="str">
        <f t="shared" si="161"/>
        <v/>
      </c>
      <c r="BO545" t="str">
        <f t="shared" si="162"/>
        <v/>
      </c>
      <c r="BP545" t="str">
        <f t="shared" si="165"/>
        <v>Pleuromutilines</v>
      </c>
      <c r="BQ545" t="str">
        <f t="shared" si="166"/>
        <v>Pleuromutilines</v>
      </c>
      <c r="BR545" t="str">
        <f t="shared" si="167"/>
        <v/>
      </c>
      <c r="BS545" t="str">
        <f t="shared" si="168"/>
        <v/>
      </c>
      <c r="BT545" s="76" t="str">
        <f t="shared" si="169"/>
        <v>Voie orale  hors prémélanges médicamenteux</v>
      </c>
      <c r="BU545" t="str">
        <f t="shared" si="170"/>
        <v/>
      </c>
      <c r="CN545">
        <v>544</v>
      </c>
    </row>
    <row r="546" spans="1:92" x14ac:dyDescent="0.3">
      <c r="A546" s="118" t="s">
        <v>2045</v>
      </c>
      <c r="B546" t="s">
        <v>2052</v>
      </c>
      <c r="C546" t="s">
        <v>1567</v>
      </c>
      <c r="D546" s="144" t="s">
        <v>906</v>
      </c>
      <c r="E546" t="s">
        <v>765</v>
      </c>
      <c r="F546" t="s">
        <v>337</v>
      </c>
      <c r="G546" t="s">
        <v>766</v>
      </c>
      <c r="H546" t="s">
        <v>851</v>
      </c>
      <c r="I546" t="s">
        <v>766</v>
      </c>
      <c r="J546" t="s">
        <v>768</v>
      </c>
      <c r="K546" t="s">
        <v>768</v>
      </c>
      <c r="L546" t="s">
        <v>769</v>
      </c>
      <c r="M546" t="s">
        <v>208</v>
      </c>
      <c r="N546" t="s">
        <v>864</v>
      </c>
      <c r="O546" t="s">
        <v>771</v>
      </c>
      <c r="P546" t="s">
        <v>772</v>
      </c>
      <c r="Q546" t="s">
        <v>764</v>
      </c>
      <c r="R546">
        <v>20</v>
      </c>
      <c r="S546">
        <v>1</v>
      </c>
      <c r="T546">
        <v>0</v>
      </c>
      <c r="U546">
        <v>0</v>
      </c>
      <c r="V546">
        <v>0</v>
      </c>
      <c r="W546">
        <v>0</v>
      </c>
      <c r="X546">
        <v>0</v>
      </c>
      <c r="Y546">
        <v>0</v>
      </c>
      <c r="Z546">
        <v>0</v>
      </c>
      <c r="AA546">
        <v>0</v>
      </c>
      <c r="AB546">
        <v>20</v>
      </c>
      <c r="AC546">
        <v>1</v>
      </c>
      <c r="AD546">
        <v>20</v>
      </c>
      <c r="AE546">
        <v>1</v>
      </c>
      <c r="AF546">
        <v>0</v>
      </c>
      <c r="AG546">
        <v>0</v>
      </c>
      <c r="AH546">
        <v>0</v>
      </c>
      <c r="AI546">
        <v>0</v>
      </c>
      <c r="AY546" t="str">
        <f t="shared" si="152"/>
        <v>DUPHACYCLINE LA</v>
      </c>
      <c r="AZ546" t="str">
        <f>IF(COUNTIF(AY:AY,AY546)=1,AY546,IF(AND(COUNTIF(AY:AY,AY546)&gt;1,COUNTIF(AZ$2:AZ545,AY546)&gt;=1),"",AY546))</f>
        <v/>
      </c>
      <c r="BA546" t="str">
        <f>IF(AZ546="","",COUNTIFS(AZ$3:AZ$1439,"&lt;"&amp;AZ546,AZ$3:AZ$1439,"&lt;&gt;0")+COUNTIF(AZ$3:AZ546,AZ546)-876)</f>
        <v/>
      </c>
      <c r="BC546">
        <v>544</v>
      </c>
      <c r="BD546" t="str">
        <f t="shared" si="163"/>
        <v>VETMULIN 16,2 MG/G PREMELANGE MEDICAMENTEUX POUR PORCS, POULETS, DINDES ET LAPINS</v>
      </c>
      <c r="BE546" t="str">
        <f t="shared" si="153"/>
        <v>PM</v>
      </c>
      <c r="BF546" t="str">
        <f t="shared" si="154"/>
        <v>PLEUROMUTILINES</v>
      </c>
      <c r="BG546" t="str">
        <f t="shared" si="155"/>
        <v/>
      </c>
      <c r="BH546" t="str">
        <f t="shared" si="156"/>
        <v/>
      </c>
      <c r="BI546" t="str">
        <f t="shared" si="157"/>
        <v>tiamulin</v>
      </c>
      <c r="BJ546" t="str">
        <f t="shared" si="158"/>
        <v/>
      </c>
      <c r="BK546" t="str">
        <f t="shared" si="159"/>
        <v/>
      </c>
      <c r="BL546" t="str">
        <f t="shared" si="164"/>
        <v>Tiamuline</v>
      </c>
      <c r="BM546" t="str">
        <f t="shared" si="160"/>
        <v>Tiamuline</v>
      </c>
      <c r="BN546" t="str">
        <f t="shared" si="161"/>
        <v/>
      </c>
      <c r="BO546" t="str">
        <f t="shared" si="162"/>
        <v/>
      </c>
      <c r="BP546" t="str">
        <f t="shared" si="165"/>
        <v>Pleuromutilines</v>
      </c>
      <c r="BQ546" t="str">
        <f t="shared" si="166"/>
        <v>Pleuromutilines</v>
      </c>
      <c r="BR546" t="str">
        <f t="shared" si="167"/>
        <v/>
      </c>
      <c r="BS546" t="str">
        <f t="shared" si="168"/>
        <v/>
      </c>
      <c r="BT546" s="76" t="str">
        <f t="shared" si="169"/>
        <v>Prémélanges médicamenteux</v>
      </c>
      <c r="BU546" t="str">
        <f t="shared" si="170"/>
        <v/>
      </c>
      <c r="CN546">
        <v>545</v>
      </c>
    </row>
    <row r="547" spans="1:92" x14ac:dyDescent="0.3">
      <c r="A547" s="118" t="s">
        <v>2359</v>
      </c>
      <c r="B547" t="s">
        <v>2360</v>
      </c>
      <c r="C547" t="s">
        <v>792</v>
      </c>
      <c r="D547" s="144" t="s">
        <v>764</v>
      </c>
      <c r="E547" t="s">
        <v>765</v>
      </c>
      <c r="F547" t="s">
        <v>338</v>
      </c>
      <c r="G547" t="s">
        <v>766</v>
      </c>
      <c r="H547" t="s">
        <v>2361</v>
      </c>
      <c r="I547" t="s">
        <v>766</v>
      </c>
      <c r="J547" t="s">
        <v>787</v>
      </c>
      <c r="K547" t="s">
        <v>787</v>
      </c>
      <c r="L547" t="s">
        <v>1055</v>
      </c>
      <c r="M547" t="s">
        <v>208</v>
      </c>
      <c r="N547" t="s">
        <v>1155</v>
      </c>
      <c r="O547" t="s">
        <v>771</v>
      </c>
      <c r="P547" t="s">
        <v>772</v>
      </c>
      <c r="Q547" t="s">
        <v>972</v>
      </c>
      <c r="R547">
        <v>15</v>
      </c>
      <c r="S547">
        <v>2</v>
      </c>
      <c r="T547">
        <v>15</v>
      </c>
      <c r="U547">
        <v>2</v>
      </c>
      <c r="V547">
        <v>0</v>
      </c>
      <c r="W547">
        <v>0</v>
      </c>
      <c r="X547">
        <v>0</v>
      </c>
      <c r="Y547">
        <v>0</v>
      </c>
      <c r="Z547">
        <v>0</v>
      </c>
      <c r="AA547">
        <v>0</v>
      </c>
      <c r="AB547">
        <v>15</v>
      </c>
      <c r="AC547">
        <v>2</v>
      </c>
      <c r="AD547">
        <v>15</v>
      </c>
      <c r="AE547">
        <v>2</v>
      </c>
      <c r="AF547">
        <v>0</v>
      </c>
      <c r="AG547">
        <v>0</v>
      </c>
      <c r="AH547">
        <v>0</v>
      </c>
      <c r="AI547">
        <v>0</v>
      </c>
      <c r="AY547" t="str">
        <f t="shared" si="152"/>
        <v>DUPHAMOX LA</v>
      </c>
      <c r="AZ547" t="str">
        <f>IF(COUNTIF(AY:AY,AY547)=1,AY547,IF(AND(COUNTIF(AY:AY,AY547)&gt;1,COUNTIF(AZ$2:AZ546,AY547)&gt;=1),"",AY547))</f>
        <v>DUPHAMOX LA</v>
      </c>
      <c r="BA547">
        <f>IF(AZ547="","",COUNTIFS(AZ$3:AZ$1439,"&lt;"&amp;AZ547,AZ$3:AZ$1439,"&lt;&gt;0")+COUNTIF(AZ$3:AZ547,AZ547)-876)</f>
        <v>203</v>
      </c>
      <c r="BC547">
        <v>545</v>
      </c>
      <c r="BD547" t="str">
        <f t="shared" si="163"/>
        <v>VETMULIN 162 MG/ML SOLUTION INJECTABLE POUR PORCS</v>
      </c>
      <c r="BE547" t="str">
        <f t="shared" si="153"/>
        <v>INJ</v>
      </c>
      <c r="BF547" t="str">
        <f t="shared" si="154"/>
        <v>PLEUROMUTILINES</v>
      </c>
      <c r="BG547" t="str">
        <f t="shared" si="155"/>
        <v/>
      </c>
      <c r="BH547" t="str">
        <f t="shared" si="156"/>
        <v/>
      </c>
      <c r="BI547" t="str">
        <f t="shared" si="157"/>
        <v>tiamulin</v>
      </c>
      <c r="BJ547" t="str">
        <f t="shared" si="158"/>
        <v/>
      </c>
      <c r="BK547" t="str">
        <f t="shared" si="159"/>
        <v/>
      </c>
      <c r="BL547" t="str">
        <f t="shared" si="164"/>
        <v>Tiamuline</v>
      </c>
      <c r="BM547" t="str">
        <f t="shared" si="160"/>
        <v>Tiamuline</v>
      </c>
      <c r="BN547" t="str">
        <f t="shared" si="161"/>
        <v/>
      </c>
      <c r="BO547" t="str">
        <f t="shared" si="162"/>
        <v/>
      </c>
      <c r="BP547" t="str">
        <f t="shared" si="165"/>
        <v>Pleuromutilines</v>
      </c>
      <c r="BQ547" t="str">
        <f t="shared" si="166"/>
        <v>Pleuromutilines</v>
      </c>
      <c r="BR547" t="str">
        <f t="shared" si="167"/>
        <v/>
      </c>
      <c r="BS547" t="str">
        <f t="shared" si="168"/>
        <v/>
      </c>
      <c r="BT547" s="76" t="str">
        <f t="shared" si="169"/>
        <v>Voie parentérale</v>
      </c>
      <c r="BU547" t="str">
        <f t="shared" si="170"/>
        <v/>
      </c>
      <c r="CN547">
        <v>546</v>
      </c>
    </row>
    <row r="548" spans="1:92" x14ac:dyDescent="0.3">
      <c r="A548" s="118" t="s">
        <v>2359</v>
      </c>
      <c r="B548" t="s">
        <v>2362</v>
      </c>
      <c r="C548" t="s">
        <v>796</v>
      </c>
      <c r="D548" s="144" t="s">
        <v>776</v>
      </c>
      <c r="E548" t="s">
        <v>765</v>
      </c>
      <c r="F548" t="s">
        <v>338</v>
      </c>
      <c r="G548" t="s">
        <v>766</v>
      </c>
      <c r="H548" t="s">
        <v>2361</v>
      </c>
      <c r="I548" t="s">
        <v>766</v>
      </c>
      <c r="J548" t="s">
        <v>787</v>
      </c>
      <c r="K548" t="s">
        <v>787</v>
      </c>
      <c r="L548" t="s">
        <v>1055</v>
      </c>
      <c r="M548" t="s">
        <v>208</v>
      </c>
      <c r="N548" t="s">
        <v>1155</v>
      </c>
      <c r="O548" t="s">
        <v>771</v>
      </c>
      <c r="P548" t="s">
        <v>772</v>
      </c>
      <c r="Q548" t="s">
        <v>1773</v>
      </c>
      <c r="R548">
        <v>15</v>
      </c>
      <c r="S548">
        <v>2</v>
      </c>
      <c r="T548">
        <v>15</v>
      </c>
      <c r="U548">
        <v>2</v>
      </c>
      <c r="V548">
        <v>0</v>
      </c>
      <c r="W548">
        <v>0</v>
      </c>
      <c r="X548">
        <v>0</v>
      </c>
      <c r="Y548">
        <v>0</v>
      </c>
      <c r="Z548">
        <v>0</v>
      </c>
      <c r="AA548">
        <v>0</v>
      </c>
      <c r="AB548">
        <v>15</v>
      </c>
      <c r="AC548">
        <v>2</v>
      </c>
      <c r="AD548">
        <v>15</v>
      </c>
      <c r="AE548">
        <v>2</v>
      </c>
      <c r="AF548">
        <v>0</v>
      </c>
      <c r="AG548">
        <v>0</v>
      </c>
      <c r="AH548">
        <v>0</v>
      </c>
      <c r="AI548">
        <v>0</v>
      </c>
      <c r="AY548" t="str">
        <f t="shared" si="152"/>
        <v>DUPHAMOX LA</v>
      </c>
      <c r="AZ548" t="str">
        <f>IF(COUNTIF(AY:AY,AY548)=1,AY548,IF(AND(COUNTIF(AY:AY,AY548)&gt;1,COUNTIF(AZ$2:AZ547,AY548)&gt;=1),"",AY548))</f>
        <v/>
      </c>
      <c r="BA548" t="str">
        <f>IF(AZ548="","",COUNTIFS(AZ$3:AZ$1439,"&lt;"&amp;AZ548,AZ$3:AZ$1439,"&lt;&gt;0")+COUNTIF(AZ$3:AZ548,AZ548)-876)</f>
        <v/>
      </c>
      <c r="BC548">
        <v>546</v>
      </c>
      <c r="BD548" t="str">
        <f t="shared" si="163"/>
        <v>VETMULIN 364 MG/G GRANULES POUR SOLUTION BUVABLE POUR PORCS POULETS ET DINDONS</v>
      </c>
      <c r="BE548" t="str">
        <f t="shared" si="153"/>
        <v>ORAL</v>
      </c>
      <c r="BF548" t="str">
        <f t="shared" si="154"/>
        <v>PLEUROMUTILINES</v>
      </c>
      <c r="BG548" t="str">
        <f t="shared" si="155"/>
        <v/>
      </c>
      <c r="BH548" t="str">
        <f t="shared" si="156"/>
        <v/>
      </c>
      <c r="BI548" t="str">
        <f t="shared" si="157"/>
        <v>tiamulin</v>
      </c>
      <c r="BJ548" t="str">
        <f t="shared" si="158"/>
        <v/>
      </c>
      <c r="BK548" t="str">
        <f t="shared" si="159"/>
        <v/>
      </c>
      <c r="BL548" t="str">
        <f t="shared" si="164"/>
        <v>Tiamuline</v>
      </c>
      <c r="BM548" t="str">
        <f t="shared" si="160"/>
        <v>Tiamuline</v>
      </c>
      <c r="BN548" t="str">
        <f t="shared" si="161"/>
        <v/>
      </c>
      <c r="BO548" t="str">
        <f t="shared" si="162"/>
        <v/>
      </c>
      <c r="BP548" t="str">
        <f t="shared" si="165"/>
        <v>Pleuromutilines</v>
      </c>
      <c r="BQ548" t="str">
        <f t="shared" si="166"/>
        <v>Pleuromutilines</v>
      </c>
      <c r="BR548" t="str">
        <f t="shared" si="167"/>
        <v/>
      </c>
      <c r="BS548" t="str">
        <f t="shared" si="168"/>
        <v/>
      </c>
      <c r="BT548" s="76" t="str">
        <f t="shared" si="169"/>
        <v>Voie orale  hors prémélanges médicamenteux</v>
      </c>
      <c r="BU548" t="str">
        <f t="shared" si="170"/>
        <v/>
      </c>
      <c r="CN548">
        <v>547</v>
      </c>
    </row>
    <row r="549" spans="1:92" x14ac:dyDescent="0.3">
      <c r="A549" s="118" t="s">
        <v>2359</v>
      </c>
      <c r="B549" t="s">
        <v>2363</v>
      </c>
      <c r="C549" t="s">
        <v>1567</v>
      </c>
      <c r="D549" s="144" t="s">
        <v>906</v>
      </c>
      <c r="E549" t="s">
        <v>765</v>
      </c>
      <c r="F549" t="s">
        <v>338</v>
      </c>
      <c r="G549" t="s">
        <v>766</v>
      </c>
      <c r="H549" t="s">
        <v>2361</v>
      </c>
      <c r="I549" t="s">
        <v>766</v>
      </c>
      <c r="J549" t="s">
        <v>787</v>
      </c>
      <c r="K549" t="s">
        <v>787</v>
      </c>
      <c r="L549" t="s">
        <v>1055</v>
      </c>
      <c r="M549" t="s">
        <v>208</v>
      </c>
      <c r="N549" t="s">
        <v>1155</v>
      </c>
      <c r="O549" t="s">
        <v>771</v>
      </c>
      <c r="P549" t="s">
        <v>772</v>
      </c>
      <c r="Q549" t="s">
        <v>1255</v>
      </c>
      <c r="R549">
        <v>15</v>
      </c>
      <c r="S549">
        <v>2</v>
      </c>
      <c r="T549">
        <v>15</v>
      </c>
      <c r="U549">
        <v>2</v>
      </c>
      <c r="V549">
        <v>0</v>
      </c>
      <c r="W549">
        <v>0</v>
      </c>
      <c r="X549">
        <v>0</v>
      </c>
      <c r="Y549">
        <v>0</v>
      </c>
      <c r="Z549">
        <v>0</v>
      </c>
      <c r="AA549">
        <v>0</v>
      </c>
      <c r="AB549">
        <v>15</v>
      </c>
      <c r="AC549">
        <v>2</v>
      </c>
      <c r="AD549">
        <v>15</v>
      </c>
      <c r="AE549">
        <v>2</v>
      </c>
      <c r="AF549">
        <v>0</v>
      </c>
      <c r="AG549">
        <v>0</v>
      </c>
      <c r="AH549">
        <v>0</v>
      </c>
      <c r="AI549">
        <v>0</v>
      </c>
      <c r="AY549" t="str">
        <f t="shared" si="152"/>
        <v>DUPHAMOX LA</v>
      </c>
      <c r="AZ549" t="str">
        <f>IF(COUNTIF(AY:AY,AY549)=1,AY549,IF(AND(COUNTIF(AY:AY,AY549)&gt;1,COUNTIF(AZ$2:AZ548,AY549)&gt;=1),"",AY549))</f>
        <v/>
      </c>
      <c r="BA549" t="str">
        <f>IF(AZ549="","",COUNTIFS(AZ$3:AZ$1439,"&lt;"&amp;AZ549,AZ$3:AZ$1439,"&lt;&gt;0")+COUNTIF(AZ$3:AZ549,AZ549)-876)</f>
        <v/>
      </c>
      <c r="BC549">
        <v>547</v>
      </c>
      <c r="BD549" t="str">
        <f t="shared" si="163"/>
        <v>VETMULIN 81 MG/G PREMELANGE MEDICAMENTEUX POUR PORCS, POULETS, DINDES ET LAPINS</v>
      </c>
      <c r="BE549" t="str">
        <f t="shared" si="153"/>
        <v>PM</v>
      </c>
      <c r="BF549" t="str">
        <f t="shared" si="154"/>
        <v>PLEUROMUTILINES</v>
      </c>
      <c r="BG549" t="str">
        <f t="shared" si="155"/>
        <v/>
      </c>
      <c r="BH549" t="str">
        <f t="shared" si="156"/>
        <v/>
      </c>
      <c r="BI549" t="str">
        <f t="shared" si="157"/>
        <v>tiamulin</v>
      </c>
      <c r="BJ549" t="str">
        <f t="shared" si="158"/>
        <v/>
      </c>
      <c r="BK549" t="str">
        <f t="shared" si="159"/>
        <v/>
      </c>
      <c r="BL549" t="str">
        <f t="shared" si="164"/>
        <v>Tiamuline</v>
      </c>
      <c r="BM549" t="str">
        <f t="shared" si="160"/>
        <v>Tiamuline</v>
      </c>
      <c r="BN549" t="str">
        <f t="shared" si="161"/>
        <v/>
      </c>
      <c r="BO549" t="str">
        <f t="shared" si="162"/>
        <v/>
      </c>
      <c r="BP549" t="str">
        <f t="shared" si="165"/>
        <v>Pleuromutilines</v>
      </c>
      <c r="BQ549" t="str">
        <f t="shared" si="166"/>
        <v>Pleuromutilines</v>
      </c>
      <c r="BR549" t="str">
        <f t="shared" si="167"/>
        <v/>
      </c>
      <c r="BS549" t="str">
        <f t="shared" si="168"/>
        <v/>
      </c>
      <c r="BT549" s="76" t="str">
        <f t="shared" si="169"/>
        <v>Prémélanges médicamenteux</v>
      </c>
      <c r="BU549" t="str">
        <f t="shared" si="170"/>
        <v/>
      </c>
      <c r="CN549">
        <v>548</v>
      </c>
    </row>
    <row r="550" spans="1:92" x14ac:dyDescent="0.3">
      <c r="A550" s="118" t="s">
        <v>2011</v>
      </c>
      <c r="B550" t="s">
        <v>2012</v>
      </c>
      <c r="C550" t="s">
        <v>2013</v>
      </c>
      <c r="D550" s="144" t="s">
        <v>932</v>
      </c>
      <c r="E550" t="s">
        <v>765</v>
      </c>
      <c r="F550" t="s">
        <v>2014</v>
      </c>
      <c r="G550" t="s">
        <v>766</v>
      </c>
      <c r="H550" t="s">
        <v>816</v>
      </c>
      <c r="I550" t="s">
        <v>766</v>
      </c>
      <c r="J550" t="s">
        <v>1396</v>
      </c>
      <c r="K550" t="s">
        <v>787</v>
      </c>
      <c r="L550" t="s">
        <v>788</v>
      </c>
      <c r="M550" t="s">
        <v>2015</v>
      </c>
      <c r="N550" t="s">
        <v>2016</v>
      </c>
      <c r="O550" t="s">
        <v>771</v>
      </c>
      <c r="P550" t="s">
        <v>1563</v>
      </c>
      <c r="Q550" t="s">
        <v>2017</v>
      </c>
      <c r="R550">
        <v>0</v>
      </c>
      <c r="S550">
        <v>0</v>
      </c>
      <c r="T550">
        <v>10.220000000000001</v>
      </c>
      <c r="U550">
        <v>1</v>
      </c>
      <c r="V550">
        <v>3.4</v>
      </c>
      <c r="W550">
        <v>1</v>
      </c>
      <c r="X550">
        <v>0</v>
      </c>
      <c r="Y550">
        <v>0</v>
      </c>
      <c r="Z550">
        <v>0</v>
      </c>
      <c r="AA550">
        <v>0</v>
      </c>
      <c r="AB550">
        <v>0</v>
      </c>
      <c r="AC550">
        <v>0</v>
      </c>
      <c r="AD550">
        <v>0</v>
      </c>
      <c r="AE550">
        <v>0</v>
      </c>
      <c r="AF550">
        <v>0</v>
      </c>
      <c r="AG550">
        <v>0</v>
      </c>
      <c r="AH550">
        <v>0</v>
      </c>
      <c r="AI550">
        <v>0</v>
      </c>
      <c r="AJ550" t="s">
        <v>787</v>
      </c>
      <c r="AK550" t="s">
        <v>788</v>
      </c>
      <c r="AL550" t="s">
        <v>2018</v>
      </c>
      <c r="AM550" t="s">
        <v>2019</v>
      </c>
      <c r="AN550" t="s">
        <v>771</v>
      </c>
      <c r="AO550" t="s">
        <v>2020</v>
      </c>
      <c r="AP550" t="s">
        <v>1944</v>
      </c>
      <c r="AY550" t="str">
        <f t="shared" si="152"/>
        <v/>
      </c>
      <c r="AZ550" t="str">
        <f>IF(COUNTIF(AY:AY,AY550)=1,AY550,IF(AND(COUNTIF(AY:AY,AY550)&gt;1,COUNTIF(AZ$2:AZ549,AY550)&gt;=1),"",AY550))</f>
        <v/>
      </c>
      <c r="BA550" t="str">
        <f>IF(AZ550="","",COUNTIFS(AZ$3:AZ$1439,"&lt;"&amp;AZ550,AZ$3:AZ$1439,"&lt;&gt;0")+COUNTIF(AZ$3:AZ550,AZ550)-876)</f>
        <v/>
      </c>
      <c r="BC550">
        <v>548</v>
      </c>
      <c r="BD550" t="str">
        <f t="shared" si="163"/>
        <v>VETO-ANTI-DIAR</v>
      </c>
      <c r="BE550" t="str">
        <f t="shared" si="153"/>
        <v>ORAL</v>
      </c>
      <c r="BF550" t="str">
        <f t="shared" si="154"/>
        <v>SULFAMIDES</v>
      </c>
      <c r="BG550" t="str">
        <f t="shared" si="155"/>
        <v/>
      </c>
      <c r="BH550" t="str">
        <f t="shared" si="156"/>
        <v/>
      </c>
      <c r="BI550" t="str">
        <f t="shared" si="157"/>
        <v>sulfaguanidine</v>
      </c>
      <c r="BJ550" t="str">
        <f t="shared" si="158"/>
        <v/>
      </c>
      <c r="BK550" t="str">
        <f t="shared" si="159"/>
        <v/>
      </c>
      <c r="BL550" t="str">
        <f t="shared" si="164"/>
        <v>Sulfaguanidine</v>
      </c>
      <c r="BM550" t="str">
        <f t="shared" si="160"/>
        <v>Sulfaguanidine</v>
      </c>
      <c r="BN550" t="str">
        <f t="shared" si="161"/>
        <v/>
      </c>
      <c r="BO550" t="str">
        <f t="shared" si="162"/>
        <v/>
      </c>
      <c r="BP550" t="str">
        <f t="shared" si="165"/>
        <v>Sulfamides</v>
      </c>
      <c r="BQ550" t="str">
        <f t="shared" si="166"/>
        <v>Sulfamides</v>
      </c>
      <c r="BR550" t="str">
        <f t="shared" si="167"/>
        <v/>
      </c>
      <c r="BS550" t="str">
        <f t="shared" si="168"/>
        <v/>
      </c>
      <c r="BT550" s="76" t="str">
        <f t="shared" si="169"/>
        <v>Voie orale  hors prémélanges médicamenteux</v>
      </c>
      <c r="BU550" t="str">
        <f t="shared" si="170"/>
        <v/>
      </c>
      <c r="CN550">
        <v>549</v>
      </c>
    </row>
    <row r="551" spans="1:92" x14ac:dyDescent="0.3">
      <c r="A551" s="118" t="s">
        <v>2011</v>
      </c>
      <c r="B551" t="s">
        <v>2021</v>
      </c>
      <c r="C551" t="s">
        <v>2022</v>
      </c>
      <c r="D551" s="144" t="s">
        <v>764</v>
      </c>
      <c r="E551" t="s">
        <v>765</v>
      </c>
      <c r="F551" t="s">
        <v>2014</v>
      </c>
      <c r="G551" t="s">
        <v>766</v>
      </c>
      <c r="H551" t="s">
        <v>816</v>
      </c>
      <c r="I551" t="s">
        <v>766</v>
      </c>
      <c r="J551" t="s">
        <v>1396</v>
      </c>
      <c r="K551" t="s">
        <v>787</v>
      </c>
      <c r="L551" t="s">
        <v>788</v>
      </c>
      <c r="M551" t="s">
        <v>2015</v>
      </c>
      <c r="N551" t="s">
        <v>2016</v>
      </c>
      <c r="O551" t="s">
        <v>771</v>
      </c>
      <c r="P551" t="s">
        <v>1563</v>
      </c>
      <c r="Q551" t="s">
        <v>2023</v>
      </c>
      <c r="R551">
        <v>0</v>
      </c>
      <c r="S551">
        <v>0</v>
      </c>
      <c r="T551">
        <v>10.220000000000001</v>
      </c>
      <c r="U551">
        <v>1</v>
      </c>
      <c r="V551">
        <v>3.4</v>
      </c>
      <c r="W551">
        <v>1</v>
      </c>
      <c r="X551">
        <v>0</v>
      </c>
      <c r="Y551">
        <v>0</v>
      </c>
      <c r="Z551">
        <v>0</v>
      </c>
      <c r="AA551">
        <v>0</v>
      </c>
      <c r="AB551">
        <v>0</v>
      </c>
      <c r="AC551">
        <v>0</v>
      </c>
      <c r="AD551">
        <v>0</v>
      </c>
      <c r="AE551">
        <v>0</v>
      </c>
      <c r="AF551">
        <v>0</v>
      </c>
      <c r="AG551">
        <v>0</v>
      </c>
      <c r="AH551">
        <v>0</v>
      </c>
      <c r="AI551">
        <v>0</v>
      </c>
      <c r="AJ551" t="s">
        <v>787</v>
      </c>
      <c r="AK551" t="s">
        <v>788</v>
      </c>
      <c r="AL551" t="s">
        <v>2018</v>
      </c>
      <c r="AM551" t="s">
        <v>2019</v>
      </c>
      <c r="AN551" t="s">
        <v>771</v>
      </c>
      <c r="AO551" t="s">
        <v>2020</v>
      </c>
      <c r="AP551" t="s">
        <v>2024</v>
      </c>
      <c r="AY551" t="str">
        <f t="shared" si="152"/>
        <v/>
      </c>
      <c r="AZ551" t="str">
        <f>IF(COUNTIF(AY:AY,AY551)=1,AY551,IF(AND(COUNTIF(AY:AY,AY551)&gt;1,COUNTIF(AZ$2:AZ550,AY551)&gt;=1),"",AY551))</f>
        <v/>
      </c>
      <c r="BA551" t="str">
        <f>IF(AZ551="","",COUNTIFS(AZ$3:AZ$1439,"&lt;"&amp;AZ551,AZ$3:AZ$1439,"&lt;&gt;0")+COUNTIF(AZ$3:AZ551,AZ551)-876)</f>
        <v/>
      </c>
      <c r="BC551">
        <v>549</v>
      </c>
      <c r="BD551" t="str">
        <f t="shared" si="163"/>
        <v>VETOCOLI POUDRE SOLUBLE</v>
      </c>
      <c r="BE551" t="str">
        <f t="shared" si="153"/>
        <v>ORAL</v>
      </c>
      <c r="BF551" t="str">
        <f t="shared" si="154"/>
        <v>POLYPEPTIDES</v>
      </c>
      <c r="BG551" t="str">
        <f t="shared" si="155"/>
        <v/>
      </c>
      <c r="BH551" t="str">
        <f t="shared" si="156"/>
        <v/>
      </c>
      <c r="BI551" t="str">
        <f t="shared" si="157"/>
        <v>colistin</v>
      </c>
      <c r="BJ551" t="str">
        <f t="shared" si="158"/>
        <v/>
      </c>
      <c r="BK551" t="str">
        <f t="shared" si="159"/>
        <v/>
      </c>
      <c r="BL551" t="str">
        <f t="shared" si="164"/>
        <v>Colistine</v>
      </c>
      <c r="BM551" t="str">
        <f t="shared" si="160"/>
        <v>Colistine</v>
      </c>
      <c r="BN551" t="str">
        <f t="shared" si="161"/>
        <v/>
      </c>
      <c r="BO551" t="str">
        <f t="shared" si="162"/>
        <v/>
      </c>
      <c r="BP551" t="str">
        <f t="shared" si="165"/>
        <v>Polypeptides</v>
      </c>
      <c r="BQ551" t="str">
        <f t="shared" si="166"/>
        <v>Polypeptides</v>
      </c>
      <c r="BR551" t="str">
        <f t="shared" si="167"/>
        <v/>
      </c>
      <c r="BS551" t="str">
        <f t="shared" si="168"/>
        <v/>
      </c>
      <c r="BT551" s="76" t="str">
        <f t="shared" si="169"/>
        <v>Voie orale  hors prémélanges médicamenteux</v>
      </c>
      <c r="BU551" t="str">
        <f t="shared" si="170"/>
        <v>x</v>
      </c>
      <c r="CN551">
        <v>550</v>
      </c>
    </row>
    <row r="552" spans="1:92" x14ac:dyDescent="0.3">
      <c r="A552" s="118" t="s">
        <v>843</v>
      </c>
      <c r="B552" t="s">
        <v>844</v>
      </c>
      <c r="C552" t="s">
        <v>839</v>
      </c>
      <c r="D552" s="144" t="s">
        <v>764</v>
      </c>
      <c r="E552" t="s">
        <v>765</v>
      </c>
      <c r="F552" t="s">
        <v>158</v>
      </c>
      <c r="G552" t="s">
        <v>766</v>
      </c>
      <c r="H552" t="s">
        <v>845</v>
      </c>
      <c r="I552" t="s">
        <v>766</v>
      </c>
      <c r="J552" t="s">
        <v>787</v>
      </c>
      <c r="K552" t="s">
        <v>787</v>
      </c>
      <c r="L552" t="s">
        <v>788</v>
      </c>
      <c r="M552" t="s">
        <v>208</v>
      </c>
      <c r="N552" t="s">
        <v>846</v>
      </c>
      <c r="O552" t="s">
        <v>771</v>
      </c>
      <c r="P552" t="s">
        <v>772</v>
      </c>
      <c r="Q552" t="s">
        <v>847</v>
      </c>
      <c r="R552">
        <v>0</v>
      </c>
      <c r="S552">
        <v>0</v>
      </c>
      <c r="T552">
        <v>17.7</v>
      </c>
      <c r="U552">
        <v>2</v>
      </c>
      <c r="V552">
        <v>12.4</v>
      </c>
      <c r="W552">
        <v>1</v>
      </c>
      <c r="X552">
        <v>12.4</v>
      </c>
      <c r="Y552">
        <v>1</v>
      </c>
      <c r="Z552">
        <v>0</v>
      </c>
      <c r="AA552">
        <v>0</v>
      </c>
      <c r="AB552">
        <v>0</v>
      </c>
      <c r="AC552">
        <v>0</v>
      </c>
      <c r="AD552">
        <v>0</v>
      </c>
      <c r="AE552">
        <v>0</v>
      </c>
      <c r="AF552">
        <v>0</v>
      </c>
      <c r="AG552">
        <v>0</v>
      </c>
      <c r="AH552">
        <v>0</v>
      </c>
      <c r="AI552">
        <v>0</v>
      </c>
      <c r="AY552" t="str">
        <f t="shared" si="152"/>
        <v>DUPLOCILLINE</v>
      </c>
      <c r="AZ552" t="str">
        <f>IF(COUNTIF(AY:AY,AY552)=1,AY552,IF(AND(COUNTIF(AY:AY,AY552)&gt;1,COUNTIF(AZ$2:AZ551,AY552)&gt;=1),"",AY552))</f>
        <v>DUPLOCILLINE</v>
      </c>
      <c r="BA552">
        <f>IF(AZ552="","",COUNTIFS(AZ$3:AZ$1439,"&lt;"&amp;AZ552,AZ$3:AZ$1439,"&lt;&gt;0")+COUNTIF(AZ$3:AZ552,AZ552)-876)</f>
        <v>204</v>
      </c>
      <c r="BC552">
        <v>550</v>
      </c>
      <c r="BD552" t="str">
        <f t="shared" si="163"/>
        <v>VETRIGEN</v>
      </c>
      <c r="BE552" t="str">
        <f t="shared" si="153"/>
        <v>INJ</v>
      </c>
      <c r="BF552" t="str">
        <f t="shared" si="154"/>
        <v>AMINOGLYCOSIDES</v>
      </c>
      <c r="BG552" t="str">
        <f t="shared" si="155"/>
        <v/>
      </c>
      <c r="BH552" t="str">
        <f t="shared" si="156"/>
        <v/>
      </c>
      <c r="BI552" t="str">
        <f t="shared" si="157"/>
        <v>gentamicin</v>
      </c>
      <c r="BJ552" t="str">
        <f t="shared" si="158"/>
        <v/>
      </c>
      <c r="BK552" t="str">
        <f t="shared" si="159"/>
        <v/>
      </c>
      <c r="BL552" t="str">
        <f t="shared" si="164"/>
        <v>Gentamicine</v>
      </c>
      <c r="BM552" t="str">
        <f t="shared" si="160"/>
        <v>Gentamicine</v>
      </c>
      <c r="BN552" t="str">
        <f t="shared" si="161"/>
        <v/>
      </c>
      <c r="BO552" t="str">
        <f t="shared" si="162"/>
        <v/>
      </c>
      <c r="BP552" t="str">
        <f t="shared" si="165"/>
        <v>Aminoglycosides</v>
      </c>
      <c r="BQ552" t="str">
        <f t="shared" si="166"/>
        <v>Aminoglycosides</v>
      </c>
      <c r="BR552" t="str">
        <f t="shared" si="167"/>
        <v/>
      </c>
      <c r="BS552" t="str">
        <f t="shared" si="168"/>
        <v/>
      </c>
      <c r="BT552" s="76" t="str">
        <f t="shared" si="169"/>
        <v>Voie parentérale</v>
      </c>
      <c r="BU552" t="str">
        <f t="shared" si="170"/>
        <v/>
      </c>
      <c r="CN552">
        <v>551</v>
      </c>
    </row>
    <row r="553" spans="1:92" x14ac:dyDescent="0.3">
      <c r="A553" s="118" t="s">
        <v>2486</v>
      </c>
      <c r="B553" t="s">
        <v>2487</v>
      </c>
      <c r="C553" t="s">
        <v>943</v>
      </c>
      <c r="D553" s="144" t="s">
        <v>764</v>
      </c>
      <c r="E553" t="s">
        <v>765</v>
      </c>
      <c r="F553" t="s">
        <v>88</v>
      </c>
      <c r="G553" t="s">
        <v>766</v>
      </c>
      <c r="H553" t="s">
        <v>801</v>
      </c>
      <c r="I553" t="s">
        <v>766</v>
      </c>
      <c r="J553" t="s">
        <v>768</v>
      </c>
      <c r="K553" t="s">
        <v>768</v>
      </c>
      <c r="L553" t="s">
        <v>769</v>
      </c>
      <c r="M553" t="s">
        <v>208</v>
      </c>
      <c r="N553" t="s">
        <v>864</v>
      </c>
      <c r="O553" t="s">
        <v>771</v>
      </c>
      <c r="P553" t="s">
        <v>772</v>
      </c>
      <c r="Q553" t="s">
        <v>869</v>
      </c>
      <c r="R553">
        <v>20</v>
      </c>
      <c r="S553">
        <v>1</v>
      </c>
      <c r="T553">
        <v>0</v>
      </c>
      <c r="U553">
        <v>0</v>
      </c>
      <c r="V553">
        <v>0</v>
      </c>
      <c r="W553">
        <v>0</v>
      </c>
      <c r="X553">
        <v>0</v>
      </c>
      <c r="Y553">
        <v>0</v>
      </c>
      <c r="Z553">
        <v>0</v>
      </c>
      <c r="AA553">
        <v>0</v>
      </c>
      <c r="AB553">
        <v>0</v>
      </c>
      <c r="AC553">
        <v>0</v>
      </c>
      <c r="AD553">
        <v>20</v>
      </c>
      <c r="AE553">
        <v>1</v>
      </c>
      <c r="AF553">
        <v>0</v>
      </c>
      <c r="AG553">
        <v>0</v>
      </c>
      <c r="AH553">
        <v>0</v>
      </c>
      <c r="AI553">
        <v>0</v>
      </c>
      <c r="AY553" t="str">
        <f t="shared" si="152"/>
        <v>DURACYKLINE</v>
      </c>
      <c r="AZ553" t="str">
        <f>IF(COUNTIF(AY:AY,AY553)=1,AY553,IF(AND(COUNTIF(AY:AY,AY553)&gt;1,COUNTIF(AZ$2:AZ552,AY553)&gt;=1),"",AY553))</f>
        <v>DURACYKLINE</v>
      </c>
      <c r="BA553">
        <f>IF(AZ553="","",COUNTIFS(AZ$3:AZ$1439,"&lt;"&amp;AZ553,AZ$3:AZ$1439,"&lt;&gt;0")+COUNTIF(AZ$3:AZ553,AZ553)-876)</f>
        <v>205</v>
      </c>
      <c r="BC553">
        <v>551</v>
      </c>
      <c r="BD553" t="str">
        <f t="shared" si="163"/>
        <v>VETRIMOXIN 48 HEURES</v>
      </c>
      <c r="BE553" t="str">
        <f t="shared" si="153"/>
        <v>INJ</v>
      </c>
      <c r="BF553" t="str">
        <f t="shared" si="154"/>
        <v>PENICILLINES</v>
      </c>
      <c r="BG553" t="str">
        <f t="shared" si="155"/>
        <v/>
      </c>
      <c r="BH553" t="str">
        <f t="shared" si="156"/>
        <v/>
      </c>
      <c r="BI553" t="str">
        <f t="shared" si="157"/>
        <v>amoxicillin</v>
      </c>
      <c r="BJ553" t="str">
        <f t="shared" si="158"/>
        <v/>
      </c>
      <c r="BK553" t="str">
        <f t="shared" si="159"/>
        <v/>
      </c>
      <c r="BL553" t="str">
        <f t="shared" si="164"/>
        <v>Amoxicilline</v>
      </c>
      <c r="BM553" t="str">
        <f t="shared" si="160"/>
        <v>Amoxicilline</v>
      </c>
      <c r="BN553" t="str">
        <f t="shared" si="161"/>
        <v/>
      </c>
      <c r="BO553" t="str">
        <f t="shared" si="162"/>
        <v/>
      </c>
      <c r="BP553" t="str">
        <f t="shared" si="165"/>
        <v>Penicillines</v>
      </c>
      <c r="BQ553" t="str">
        <f t="shared" si="166"/>
        <v>Penicillines</v>
      </c>
      <c r="BR553" t="str">
        <f t="shared" si="167"/>
        <v/>
      </c>
      <c r="BS553" t="str">
        <f t="shared" si="168"/>
        <v/>
      </c>
      <c r="BT553" s="76" t="str">
        <f t="shared" si="169"/>
        <v>Voie parentérale</v>
      </c>
      <c r="BU553" t="str">
        <f t="shared" si="170"/>
        <v/>
      </c>
      <c r="CN553">
        <v>552</v>
      </c>
    </row>
    <row r="554" spans="1:92" x14ac:dyDescent="0.3">
      <c r="A554" s="118" t="s">
        <v>2486</v>
      </c>
      <c r="B554" t="s">
        <v>2488</v>
      </c>
      <c r="C554" t="s">
        <v>949</v>
      </c>
      <c r="D554" s="144" t="s">
        <v>776</v>
      </c>
      <c r="E554" t="s">
        <v>765</v>
      </c>
      <c r="F554" t="s">
        <v>88</v>
      </c>
      <c r="G554" t="s">
        <v>766</v>
      </c>
      <c r="H554" t="s">
        <v>801</v>
      </c>
      <c r="I554" t="s">
        <v>766</v>
      </c>
      <c r="J554" t="s">
        <v>768</v>
      </c>
      <c r="K554" t="s">
        <v>768</v>
      </c>
      <c r="L554" t="s">
        <v>769</v>
      </c>
      <c r="M554" t="s">
        <v>208</v>
      </c>
      <c r="N554" t="s">
        <v>864</v>
      </c>
      <c r="O554" t="s">
        <v>771</v>
      </c>
      <c r="P554" t="s">
        <v>772</v>
      </c>
      <c r="Q554" t="s">
        <v>780</v>
      </c>
      <c r="R554">
        <v>20</v>
      </c>
      <c r="S554">
        <v>1</v>
      </c>
      <c r="T554">
        <v>0</v>
      </c>
      <c r="U554">
        <v>0</v>
      </c>
      <c r="V554">
        <v>0</v>
      </c>
      <c r="W554">
        <v>0</v>
      </c>
      <c r="X554">
        <v>0</v>
      </c>
      <c r="Y554">
        <v>0</v>
      </c>
      <c r="Z554">
        <v>0</v>
      </c>
      <c r="AA554">
        <v>0</v>
      </c>
      <c r="AB554">
        <v>0</v>
      </c>
      <c r="AC554">
        <v>0</v>
      </c>
      <c r="AD554">
        <v>20</v>
      </c>
      <c r="AE554">
        <v>1</v>
      </c>
      <c r="AF554">
        <v>0</v>
      </c>
      <c r="AG554">
        <v>0</v>
      </c>
      <c r="AH554">
        <v>0</v>
      </c>
      <c r="AI554">
        <v>0</v>
      </c>
      <c r="AY554" t="str">
        <f t="shared" si="152"/>
        <v>DURACYKLINE</v>
      </c>
      <c r="AZ554" t="str">
        <f>IF(COUNTIF(AY:AY,AY554)=1,AY554,IF(AND(COUNTIF(AY:AY,AY554)&gt;1,COUNTIF(AZ$2:AZ553,AY554)&gt;=1),"",AY554))</f>
        <v/>
      </c>
      <c r="BA554" t="str">
        <f>IF(AZ554="","",COUNTIFS(AZ$3:AZ$1439,"&lt;"&amp;AZ554,AZ$3:AZ$1439,"&lt;&gt;0")+COUNTIF(AZ$3:AZ554,AZ554)-876)</f>
        <v/>
      </c>
      <c r="BC554">
        <v>552</v>
      </c>
      <c r="BD554" t="str">
        <f t="shared" si="163"/>
        <v>VETRIMOXIN 50</v>
      </c>
      <c r="BE554" t="str">
        <f t="shared" si="153"/>
        <v>ORAL</v>
      </c>
      <c r="BF554" t="str">
        <f t="shared" si="154"/>
        <v>PENICILLINES</v>
      </c>
      <c r="BG554" t="str">
        <f t="shared" si="155"/>
        <v/>
      </c>
      <c r="BH554" t="str">
        <f t="shared" si="156"/>
        <v/>
      </c>
      <c r="BI554" t="str">
        <f t="shared" si="157"/>
        <v>amoxicillin</v>
      </c>
      <c r="BJ554" t="str">
        <f t="shared" si="158"/>
        <v/>
      </c>
      <c r="BK554" t="str">
        <f t="shared" si="159"/>
        <v/>
      </c>
      <c r="BL554" t="str">
        <f t="shared" si="164"/>
        <v>Amoxicilline</v>
      </c>
      <c r="BM554" t="str">
        <f t="shared" si="160"/>
        <v>Amoxicilline</v>
      </c>
      <c r="BN554" t="str">
        <f t="shared" si="161"/>
        <v/>
      </c>
      <c r="BO554" t="str">
        <f t="shared" si="162"/>
        <v/>
      </c>
      <c r="BP554" t="str">
        <f t="shared" si="165"/>
        <v>Penicillines</v>
      </c>
      <c r="BQ554" t="str">
        <f t="shared" si="166"/>
        <v>Penicillines</v>
      </c>
      <c r="BR554" t="str">
        <f t="shared" si="167"/>
        <v/>
      </c>
      <c r="BS554" t="str">
        <f t="shared" si="168"/>
        <v/>
      </c>
      <c r="BT554" s="76" t="str">
        <f t="shared" si="169"/>
        <v>Voie orale  hors prémélanges médicamenteux</v>
      </c>
      <c r="BU554" t="str">
        <f t="shared" si="170"/>
        <v/>
      </c>
      <c r="CN554">
        <v>553</v>
      </c>
    </row>
    <row r="555" spans="1:92" x14ac:dyDescent="0.3">
      <c r="A555" s="118" t="s">
        <v>3436</v>
      </c>
      <c r="B555" t="s">
        <v>3437</v>
      </c>
      <c r="C555" t="s">
        <v>3438</v>
      </c>
      <c r="D555" s="144" t="s">
        <v>852</v>
      </c>
      <c r="E555" t="s">
        <v>765</v>
      </c>
      <c r="F555" t="s">
        <v>3439</v>
      </c>
      <c r="G555" t="s">
        <v>964</v>
      </c>
      <c r="H555" t="s">
        <v>860</v>
      </c>
      <c r="I555" t="s">
        <v>879</v>
      </c>
      <c r="J555" t="s">
        <v>783</v>
      </c>
      <c r="K555" t="s">
        <v>783</v>
      </c>
      <c r="L555" t="s">
        <v>2037</v>
      </c>
      <c r="M555" t="s">
        <v>208</v>
      </c>
      <c r="N555" t="s">
        <v>3440</v>
      </c>
      <c r="O555" t="s">
        <v>805</v>
      </c>
      <c r="P555" t="s">
        <v>4440</v>
      </c>
      <c r="Q555" t="s">
        <v>888</v>
      </c>
      <c r="R555">
        <v>0</v>
      </c>
      <c r="S555">
        <v>0</v>
      </c>
      <c r="T555">
        <v>0</v>
      </c>
      <c r="U555">
        <v>0</v>
      </c>
      <c r="V555">
        <v>0</v>
      </c>
      <c r="W555">
        <v>0</v>
      </c>
      <c r="X555">
        <v>0</v>
      </c>
      <c r="Y555">
        <v>0</v>
      </c>
      <c r="Z555">
        <v>0</v>
      </c>
      <c r="AA555">
        <v>0</v>
      </c>
      <c r="AB555">
        <v>0</v>
      </c>
      <c r="AC555">
        <v>0</v>
      </c>
      <c r="AD555">
        <v>0</v>
      </c>
      <c r="AE555">
        <v>0</v>
      </c>
      <c r="AF555">
        <v>0</v>
      </c>
      <c r="AG555">
        <v>0</v>
      </c>
      <c r="AH555">
        <v>0</v>
      </c>
      <c r="AI555">
        <v>0</v>
      </c>
      <c r="AY555" t="str">
        <f t="shared" si="152"/>
        <v/>
      </c>
      <c r="AZ555" t="str">
        <f>IF(COUNTIF(AY:AY,AY555)=1,AY555,IF(AND(COUNTIF(AY:AY,AY555)&gt;1,COUNTIF(AZ$2:AZ554,AY555)&gt;=1),"",AY555))</f>
        <v/>
      </c>
      <c r="BA555" t="str">
        <f>IF(AZ555="","",COUNTIFS(AZ$3:AZ$1439,"&lt;"&amp;AZ555,AZ$3:AZ$1439,"&lt;&gt;0")+COUNTIF(AZ$3:AZ555,AZ555)-876)</f>
        <v/>
      </c>
      <c r="BC555">
        <v>553</v>
      </c>
      <c r="BD555" t="str">
        <f t="shared" si="163"/>
        <v>VETRIMOXIN P.O.</v>
      </c>
      <c r="BE555" t="str">
        <f t="shared" si="153"/>
        <v>ORAL</v>
      </c>
      <c r="BF555" t="str">
        <f t="shared" si="154"/>
        <v>PENICILLINES</v>
      </c>
      <c r="BG555" t="str">
        <f t="shared" si="155"/>
        <v/>
      </c>
      <c r="BH555" t="str">
        <f t="shared" si="156"/>
        <v/>
      </c>
      <c r="BI555" t="str">
        <f t="shared" si="157"/>
        <v>amoxicillin</v>
      </c>
      <c r="BJ555" t="str">
        <f t="shared" si="158"/>
        <v/>
      </c>
      <c r="BK555" t="str">
        <f t="shared" si="159"/>
        <v/>
      </c>
      <c r="BL555" t="str">
        <f t="shared" si="164"/>
        <v>Amoxicilline</v>
      </c>
      <c r="BM555" t="str">
        <f t="shared" si="160"/>
        <v>Amoxicilline</v>
      </c>
      <c r="BN555" t="str">
        <f t="shared" si="161"/>
        <v/>
      </c>
      <c r="BO555" t="str">
        <f t="shared" si="162"/>
        <v/>
      </c>
      <c r="BP555" t="str">
        <f t="shared" si="165"/>
        <v>Penicillines</v>
      </c>
      <c r="BQ555" t="str">
        <f t="shared" si="166"/>
        <v>Penicillines</v>
      </c>
      <c r="BR555" t="str">
        <f t="shared" si="167"/>
        <v/>
      </c>
      <c r="BS555" t="str">
        <f t="shared" si="168"/>
        <v/>
      </c>
      <c r="BT555" s="76" t="str">
        <f t="shared" si="169"/>
        <v>Voie orale  hors prémélanges médicamenteux</v>
      </c>
      <c r="BU555" t="str">
        <f t="shared" si="170"/>
        <v/>
      </c>
      <c r="CN555">
        <v>554</v>
      </c>
    </row>
    <row r="556" spans="1:92" x14ac:dyDescent="0.3">
      <c r="A556" s="118" t="s">
        <v>3928</v>
      </c>
      <c r="B556" t="s">
        <v>3929</v>
      </c>
      <c r="C556" t="s">
        <v>3930</v>
      </c>
      <c r="D556" s="144" t="s">
        <v>785</v>
      </c>
      <c r="E556" t="s">
        <v>813</v>
      </c>
      <c r="F556" t="s">
        <v>3931</v>
      </c>
      <c r="G556" t="s">
        <v>815</v>
      </c>
      <c r="H556" t="s">
        <v>816</v>
      </c>
      <c r="I556" t="s">
        <v>817</v>
      </c>
      <c r="J556" t="s">
        <v>2366</v>
      </c>
      <c r="K556" t="s">
        <v>2366</v>
      </c>
      <c r="L556" t="s">
        <v>2690</v>
      </c>
      <c r="M556" t="s">
        <v>208</v>
      </c>
      <c r="N556" t="s">
        <v>852</v>
      </c>
      <c r="O556" t="s">
        <v>824</v>
      </c>
      <c r="P556" t="s">
        <v>772</v>
      </c>
      <c r="Q556" t="s">
        <v>2288</v>
      </c>
      <c r="R556">
        <v>0</v>
      </c>
      <c r="S556">
        <v>0</v>
      </c>
      <c r="T556">
        <v>2</v>
      </c>
      <c r="U556">
        <v>21</v>
      </c>
      <c r="V556">
        <v>0</v>
      </c>
      <c r="W556">
        <v>0</v>
      </c>
      <c r="X556">
        <v>0</v>
      </c>
      <c r="Y556">
        <v>0</v>
      </c>
      <c r="Z556">
        <v>0</v>
      </c>
      <c r="AA556">
        <v>0</v>
      </c>
      <c r="AB556">
        <v>0</v>
      </c>
      <c r="AC556">
        <v>0</v>
      </c>
      <c r="AD556">
        <v>0</v>
      </c>
      <c r="AE556">
        <v>0</v>
      </c>
      <c r="AF556">
        <v>0</v>
      </c>
      <c r="AG556">
        <v>0</v>
      </c>
      <c r="AH556">
        <v>0</v>
      </c>
      <c r="AI556">
        <v>0</v>
      </c>
      <c r="AY556" t="str">
        <f t="shared" si="152"/>
        <v/>
      </c>
      <c r="AZ556" t="str">
        <f>IF(COUNTIF(AY:AY,AY556)=1,AY556,IF(AND(COUNTIF(AY:AY,AY556)&gt;1,COUNTIF(AZ$2:AZ555,AY556)&gt;=1),"",AY556))</f>
        <v/>
      </c>
      <c r="BA556" t="str">
        <f>IF(AZ556="","",COUNTIFS(AZ$3:AZ$1439,"&lt;"&amp;AZ556,AZ$3:AZ$1439,"&lt;&gt;0")+COUNTIF(AZ$3:AZ556,AZ556)-876)</f>
        <v/>
      </c>
      <c r="BC556">
        <v>554</v>
      </c>
      <c r="BD556" t="str">
        <f t="shared" si="163"/>
        <v>VIRBACTAN</v>
      </c>
      <c r="BE556" t="str">
        <f t="shared" si="153"/>
        <v>INTRAMAM</v>
      </c>
      <c r="BF556" t="str">
        <f t="shared" si="154"/>
        <v>CEPHALOSPORINES 3&amp;4G</v>
      </c>
      <c r="BG556" t="str">
        <f t="shared" si="155"/>
        <v/>
      </c>
      <c r="BH556" t="str">
        <f t="shared" si="156"/>
        <v/>
      </c>
      <c r="BI556" t="str">
        <f t="shared" si="157"/>
        <v>cefquinome</v>
      </c>
      <c r="BJ556" t="str">
        <f t="shared" si="158"/>
        <v/>
      </c>
      <c r="BK556" t="str">
        <f t="shared" si="159"/>
        <v/>
      </c>
      <c r="BL556" t="str">
        <f t="shared" si="164"/>
        <v>Cefquinome</v>
      </c>
      <c r="BM556" t="str">
        <f t="shared" si="160"/>
        <v>Cefquinome</v>
      </c>
      <c r="BN556" t="str">
        <f t="shared" si="161"/>
        <v/>
      </c>
      <c r="BO556" t="str">
        <f t="shared" si="162"/>
        <v/>
      </c>
      <c r="BP556" t="str">
        <f t="shared" si="165"/>
        <v>Cephalosporines 3&amp;4G</v>
      </c>
      <c r="BQ556" t="str">
        <f t="shared" si="166"/>
        <v>Cephalosporines 3&amp;4G</v>
      </c>
      <c r="BR556" t="str">
        <f t="shared" si="167"/>
        <v/>
      </c>
      <c r="BS556" t="str">
        <f t="shared" si="168"/>
        <v/>
      </c>
      <c r="BT556" s="76" t="str">
        <f t="shared" si="169"/>
        <v>Voie intramammaire</v>
      </c>
      <c r="BU556" t="str">
        <f t="shared" si="170"/>
        <v>x</v>
      </c>
      <c r="CN556">
        <v>555</v>
      </c>
    </row>
    <row r="557" spans="1:92" x14ac:dyDescent="0.3">
      <c r="A557" s="118" t="s">
        <v>3928</v>
      </c>
      <c r="B557" t="s">
        <v>3932</v>
      </c>
      <c r="C557" t="s">
        <v>3933</v>
      </c>
      <c r="D557" s="144" t="s">
        <v>852</v>
      </c>
      <c r="E557" t="s">
        <v>813</v>
      </c>
      <c r="F557" t="s">
        <v>3931</v>
      </c>
      <c r="G557" t="s">
        <v>815</v>
      </c>
      <c r="H557" t="s">
        <v>816</v>
      </c>
      <c r="I557" t="s">
        <v>817</v>
      </c>
      <c r="J557" t="s">
        <v>2366</v>
      </c>
      <c r="K557" t="s">
        <v>2366</v>
      </c>
      <c r="L557" t="s">
        <v>2690</v>
      </c>
      <c r="M557" t="s">
        <v>208</v>
      </c>
      <c r="N557" t="s">
        <v>852</v>
      </c>
      <c r="O557" t="s">
        <v>824</v>
      </c>
      <c r="P557" t="s">
        <v>772</v>
      </c>
      <c r="Q557" t="s">
        <v>980</v>
      </c>
      <c r="R557">
        <v>0</v>
      </c>
      <c r="S557">
        <v>0</v>
      </c>
      <c r="T557">
        <v>2</v>
      </c>
      <c r="U557">
        <v>21</v>
      </c>
      <c r="V557">
        <v>0</v>
      </c>
      <c r="W557">
        <v>0</v>
      </c>
      <c r="X557">
        <v>0</v>
      </c>
      <c r="Y557">
        <v>0</v>
      </c>
      <c r="Z557">
        <v>0</v>
      </c>
      <c r="AA557">
        <v>0</v>
      </c>
      <c r="AB557">
        <v>0</v>
      </c>
      <c r="AC557">
        <v>0</v>
      </c>
      <c r="AD557">
        <v>0</v>
      </c>
      <c r="AE557">
        <v>0</v>
      </c>
      <c r="AF557">
        <v>0</v>
      </c>
      <c r="AG557">
        <v>0</v>
      </c>
      <c r="AH557">
        <v>0</v>
      </c>
      <c r="AI557">
        <v>0</v>
      </c>
      <c r="AY557" t="str">
        <f t="shared" si="152"/>
        <v/>
      </c>
      <c r="AZ557" t="str">
        <f>IF(COUNTIF(AY:AY,AY557)=1,AY557,IF(AND(COUNTIF(AY:AY,AY557)&gt;1,COUNTIF(AZ$2:AZ556,AY557)&gt;=1),"",AY557))</f>
        <v/>
      </c>
      <c r="BA557" t="str">
        <f>IF(AZ557="","",COUNTIFS(AZ$3:AZ$1439,"&lt;"&amp;AZ557,AZ$3:AZ$1439,"&lt;&gt;0")+COUNTIF(AZ$3:AZ557,AZ557)-876)</f>
        <v/>
      </c>
      <c r="BC557">
        <v>555</v>
      </c>
      <c r="BD557" t="str">
        <f t="shared" si="163"/>
        <v>VIRGOCILLINE</v>
      </c>
      <c r="BE557" t="str">
        <f t="shared" si="153"/>
        <v>INJ</v>
      </c>
      <c r="BF557" t="str">
        <f t="shared" si="154"/>
        <v>POLYPEPTIDES</v>
      </c>
      <c r="BG557" t="str">
        <f t="shared" si="155"/>
        <v/>
      </c>
      <c r="BH557" t="str">
        <f t="shared" si="156"/>
        <v/>
      </c>
      <c r="BI557" t="str">
        <f t="shared" si="157"/>
        <v>colistin</v>
      </c>
      <c r="BJ557" t="str">
        <f t="shared" si="158"/>
        <v/>
      </c>
      <c r="BK557" t="str">
        <f t="shared" si="159"/>
        <v/>
      </c>
      <c r="BL557" t="str">
        <f t="shared" si="164"/>
        <v>Colistine</v>
      </c>
      <c r="BM557" t="str">
        <f t="shared" si="160"/>
        <v>Colistine</v>
      </c>
      <c r="BN557" t="str">
        <f t="shared" si="161"/>
        <v/>
      </c>
      <c r="BO557" t="str">
        <f t="shared" si="162"/>
        <v/>
      </c>
      <c r="BP557" t="str">
        <f t="shared" si="165"/>
        <v>Polypeptides</v>
      </c>
      <c r="BQ557" t="str">
        <f t="shared" si="166"/>
        <v>Polypeptides</v>
      </c>
      <c r="BR557" t="str">
        <f t="shared" si="167"/>
        <v/>
      </c>
      <c r="BS557" t="str">
        <f t="shared" si="168"/>
        <v/>
      </c>
      <c r="BT557" s="76" t="str">
        <f t="shared" si="169"/>
        <v>Voie parentérale</v>
      </c>
      <c r="BU557" t="str">
        <f t="shared" si="170"/>
        <v>x</v>
      </c>
      <c r="CN557">
        <v>556</v>
      </c>
    </row>
    <row r="558" spans="1:92" x14ac:dyDescent="0.3">
      <c r="A558" s="118" t="s">
        <v>3940</v>
      </c>
      <c r="B558" t="s">
        <v>3941</v>
      </c>
      <c r="C558" t="s">
        <v>3942</v>
      </c>
      <c r="D558" s="144" t="s">
        <v>785</v>
      </c>
      <c r="E558" t="s">
        <v>813</v>
      </c>
      <c r="F558" t="s">
        <v>3943</v>
      </c>
      <c r="G558" t="s">
        <v>815</v>
      </c>
      <c r="H558" t="s">
        <v>860</v>
      </c>
      <c r="I558" t="s">
        <v>817</v>
      </c>
      <c r="J558" t="s">
        <v>2366</v>
      </c>
      <c r="K558" t="s">
        <v>2366</v>
      </c>
      <c r="L558" t="s">
        <v>2690</v>
      </c>
      <c r="M558" t="s">
        <v>208</v>
      </c>
      <c r="N558" t="s">
        <v>764</v>
      </c>
      <c r="O558" t="s">
        <v>824</v>
      </c>
      <c r="P558" t="s">
        <v>772</v>
      </c>
      <c r="Q558" t="s">
        <v>793</v>
      </c>
      <c r="R558">
        <v>0</v>
      </c>
      <c r="S558">
        <v>0</v>
      </c>
      <c r="T558">
        <v>2</v>
      </c>
      <c r="U558">
        <v>21</v>
      </c>
      <c r="V558">
        <v>0</v>
      </c>
      <c r="W558">
        <v>0</v>
      </c>
      <c r="X558">
        <v>0</v>
      </c>
      <c r="Y558">
        <v>0</v>
      </c>
      <c r="Z558">
        <v>0</v>
      </c>
      <c r="AA558">
        <v>0</v>
      </c>
      <c r="AB558">
        <v>0</v>
      </c>
      <c r="AC558">
        <v>0</v>
      </c>
      <c r="AD558">
        <v>0</v>
      </c>
      <c r="AE558">
        <v>0</v>
      </c>
      <c r="AF558">
        <v>0</v>
      </c>
      <c r="AG558">
        <v>0</v>
      </c>
      <c r="AH558">
        <v>0</v>
      </c>
      <c r="AI558">
        <v>0</v>
      </c>
      <c r="AY558" t="str">
        <f t="shared" si="152"/>
        <v/>
      </c>
      <c r="AZ558" t="str">
        <f>IF(COUNTIF(AY:AY,AY558)=1,AY558,IF(AND(COUNTIF(AY:AY,AY558)&gt;1,COUNTIF(AZ$2:AZ557,AY558)&gt;=1),"",AY558))</f>
        <v/>
      </c>
      <c r="BA558" t="str">
        <f>IF(AZ558="","",COUNTIFS(AZ$3:AZ$1439,"&lt;"&amp;AZ558,AZ$3:AZ$1439,"&lt;&gt;0")+COUNTIF(AZ$3:AZ558,AZ558)-876)</f>
        <v/>
      </c>
      <c r="BC558">
        <v>556</v>
      </c>
      <c r="BD558" t="str">
        <f t="shared" si="163"/>
        <v>VOLACRINE SULFA</v>
      </c>
      <c r="BE558" t="str">
        <f t="shared" si="153"/>
        <v>ORAL</v>
      </c>
      <c r="BF558" t="str">
        <f t="shared" si="154"/>
        <v>SULFAMIDES</v>
      </c>
      <c r="BG558" t="str">
        <f t="shared" si="155"/>
        <v>SULFAMIDES</v>
      </c>
      <c r="BH558" t="str">
        <f t="shared" si="156"/>
        <v/>
      </c>
      <c r="BI558" t="str">
        <f t="shared" si="157"/>
        <v>sulfadimidine</v>
      </c>
      <c r="BJ558" t="str">
        <f t="shared" si="158"/>
        <v>sulfaquinoxaline</v>
      </c>
      <c r="BK558" t="str">
        <f t="shared" si="159"/>
        <v/>
      </c>
      <c r="BL558" t="str">
        <f t="shared" si="164"/>
        <v>Sulfadimidine + Sulfaquinoxaline</v>
      </c>
      <c r="BM558" t="str">
        <f t="shared" si="160"/>
        <v>Sulfadimidine</v>
      </c>
      <c r="BN558" t="str">
        <f t="shared" si="161"/>
        <v>Sulfaquinoxaline</v>
      </c>
      <c r="BO558" t="str">
        <f t="shared" si="162"/>
        <v/>
      </c>
      <c r="BP558" t="str">
        <f t="shared" si="165"/>
        <v>Sulfamides</v>
      </c>
      <c r="BQ558" t="str">
        <f t="shared" si="166"/>
        <v>Sulfamides</v>
      </c>
      <c r="BR558" t="str">
        <f t="shared" si="167"/>
        <v>Sulfamides</v>
      </c>
      <c r="BS558" t="str">
        <f t="shared" si="168"/>
        <v/>
      </c>
      <c r="BT558" s="76" t="str">
        <f t="shared" si="169"/>
        <v>Voie orale  hors prémélanges médicamenteux</v>
      </c>
      <c r="BU558" t="str">
        <f t="shared" si="170"/>
        <v/>
      </c>
      <c r="CN558">
        <v>557</v>
      </c>
    </row>
    <row r="559" spans="1:92" x14ac:dyDescent="0.3">
      <c r="A559" s="118" t="s">
        <v>3940</v>
      </c>
      <c r="B559" t="s">
        <v>3944</v>
      </c>
      <c r="C559" t="s">
        <v>3945</v>
      </c>
      <c r="D559" s="144" t="s">
        <v>793</v>
      </c>
      <c r="E559" t="s">
        <v>813</v>
      </c>
      <c r="F559" t="s">
        <v>3943</v>
      </c>
      <c r="G559" t="s">
        <v>815</v>
      </c>
      <c r="H559" t="s">
        <v>860</v>
      </c>
      <c r="I559" t="s">
        <v>817</v>
      </c>
      <c r="J559" t="s">
        <v>2366</v>
      </c>
      <c r="K559" t="s">
        <v>2366</v>
      </c>
      <c r="L559" t="s">
        <v>2690</v>
      </c>
      <c r="M559" t="s">
        <v>208</v>
      </c>
      <c r="N559" t="s">
        <v>764</v>
      </c>
      <c r="O559" t="s">
        <v>824</v>
      </c>
      <c r="P559" t="s">
        <v>772</v>
      </c>
      <c r="Q559" t="s">
        <v>2288</v>
      </c>
      <c r="R559">
        <v>0</v>
      </c>
      <c r="S559">
        <v>0</v>
      </c>
      <c r="T559">
        <v>2</v>
      </c>
      <c r="U559">
        <v>21</v>
      </c>
      <c r="V559">
        <v>0</v>
      </c>
      <c r="W559">
        <v>0</v>
      </c>
      <c r="X559">
        <v>0</v>
      </c>
      <c r="Y559">
        <v>0</v>
      </c>
      <c r="Z559">
        <v>0</v>
      </c>
      <c r="AA559">
        <v>0</v>
      </c>
      <c r="AB559">
        <v>0</v>
      </c>
      <c r="AC559">
        <v>0</v>
      </c>
      <c r="AD559">
        <v>0</v>
      </c>
      <c r="AE559">
        <v>0</v>
      </c>
      <c r="AF559">
        <v>0</v>
      </c>
      <c r="AG559">
        <v>0</v>
      </c>
      <c r="AH559">
        <v>0</v>
      </c>
      <c r="AI559">
        <v>0</v>
      </c>
      <c r="AY559" t="str">
        <f t="shared" si="152"/>
        <v/>
      </c>
      <c r="AZ559" t="str">
        <f>IF(COUNTIF(AY:AY,AY559)=1,AY559,IF(AND(COUNTIF(AY:AY,AY559)&gt;1,COUNTIF(AZ$2:AZ558,AY559)&gt;=1),"",AY559))</f>
        <v/>
      </c>
      <c r="BA559" t="str">
        <f>IF(AZ559="","",COUNTIFS(AZ$3:AZ$1439,"&lt;"&amp;AZ559,AZ$3:AZ$1439,"&lt;&gt;0")+COUNTIF(AZ$3:AZ559,AZ559)-876)</f>
        <v/>
      </c>
      <c r="BC559">
        <v>557</v>
      </c>
      <c r="BD559" t="str">
        <f t="shared" si="163"/>
        <v>ZACTRAN 150 MG/ML SOLUTION INJECTABLE POUR BOVINS OVINS ET PORCINS</v>
      </c>
      <c r="BE559" t="str">
        <f t="shared" si="153"/>
        <v>INJ</v>
      </c>
      <c r="BF559" t="str">
        <f t="shared" si="154"/>
        <v>MACROLIDES</v>
      </c>
      <c r="BG559" t="str">
        <f t="shared" si="155"/>
        <v/>
      </c>
      <c r="BH559" t="str">
        <f t="shared" si="156"/>
        <v/>
      </c>
      <c r="BI559" t="str">
        <f t="shared" si="157"/>
        <v>gamithromycin</v>
      </c>
      <c r="BJ559" t="str">
        <f t="shared" si="158"/>
        <v/>
      </c>
      <c r="BK559" t="str">
        <f t="shared" si="159"/>
        <v/>
      </c>
      <c r="BL559" t="str">
        <f t="shared" si="164"/>
        <v>Gamithromycine</v>
      </c>
      <c r="BM559" t="str">
        <f t="shared" si="160"/>
        <v>Gamithromycine</v>
      </c>
      <c r="BN559" t="str">
        <f t="shared" si="161"/>
        <v/>
      </c>
      <c r="BO559" t="str">
        <f t="shared" si="162"/>
        <v/>
      </c>
      <c r="BP559" t="str">
        <f t="shared" si="165"/>
        <v>Macrolides</v>
      </c>
      <c r="BQ559" t="str">
        <f t="shared" si="166"/>
        <v>Macrolides</v>
      </c>
      <c r="BR559" t="str">
        <f t="shared" si="167"/>
        <v/>
      </c>
      <c r="BS559" t="str">
        <f t="shared" si="168"/>
        <v/>
      </c>
      <c r="BT559" s="76" t="str">
        <f t="shared" si="169"/>
        <v>Voie parentérale</v>
      </c>
      <c r="BU559" t="str">
        <f t="shared" si="170"/>
        <v/>
      </c>
      <c r="CN559">
        <v>558</v>
      </c>
    </row>
    <row r="560" spans="1:92" x14ac:dyDescent="0.3">
      <c r="A560" s="118" t="s">
        <v>3934</v>
      </c>
      <c r="B560" t="s">
        <v>3935</v>
      </c>
      <c r="C560" t="s">
        <v>3936</v>
      </c>
      <c r="D560" s="144" t="s">
        <v>785</v>
      </c>
      <c r="E560" t="s">
        <v>813</v>
      </c>
      <c r="F560" t="s">
        <v>3937</v>
      </c>
      <c r="G560" t="s">
        <v>815</v>
      </c>
      <c r="H560" t="s">
        <v>860</v>
      </c>
      <c r="I560" t="s">
        <v>817</v>
      </c>
      <c r="J560" t="s">
        <v>2366</v>
      </c>
      <c r="K560" t="s">
        <v>2366</v>
      </c>
      <c r="L560" t="s">
        <v>2690</v>
      </c>
      <c r="M560" t="s">
        <v>208</v>
      </c>
      <c r="N560" t="s">
        <v>932</v>
      </c>
      <c r="O560" t="s">
        <v>824</v>
      </c>
      <c r="P560" t="s">
        <v>772</v>
      </c>
      <c r="Q560" t="s">
        <v>1361</v>
      </c>
      <c r="R560">
        <v>0</v>
      </c>
      <c r="S560">
        <v>0</v>
      </c>
      <c r="T560">
        <v>2</v>
      </c>
      <c r="U560">
        <v>21</v>
      </c>
      <c r="V560">
        <v>0</v>
      </c>
      <c r="W560">
        <v>0</v>
      </c>
      <c r="X560">
        <v>0</v>
      </c>
      <c r="Y560">
        <v>0</v>
      </c>
      <c r="Z560">
        <v>0</v>
      </c>
      <c r="AA560">
        <v>0</v>
      </c>
      <c r="AB560">
        <v>0</v>
      </c>
      <c r="AC560">
        <v>0</v>
      </c>
      <c r="AD560">
        <v>0</v>
      </c>
      <c r="AE560">
        <v>0</v>
      </c>
      <c r="AF560">
        <v>0</v>
      </c>
      <c r="AG560">
        <v>0</v>
      </c>
      <c r="AH560">
        <v>0</v>
      </c>
      <c r="AI560">
        <v>0</v>
      </c>
      <c r="AY560" t="str">
        <f t="shared" si="152"/>
        <v/>
      </c>
      <c r="AZ560" t="str">
        <f>IF(COUNTIF(AY:AY,AY560)=1,AY560,IF(AND(COUNTIF(AY:AY,AY560)&gt;1,COUNTIF(AZ$2:AZ559,AY560)&gt;=1),"",AY560))</f>
        <v/>
      </c>
      <c r="BA560" t="str">
        <f>IF(AZ560="","",COUNTIFS(AZ$3:AZ$1439,"&lt;"&amp;AZ560,AZ$3:AZ$1439,"&lt;&gt;0")+COUNTIF(AZ$3:AZ560,AZ560)-876)</f>
        <v/>
      </c>
      <c r="BC560">
        <v>558</v>
      </c>
      <c r="BD560" t="str">
        <f t="shared" si="163"/>
        <v>ZELERIS SOLUTION INJECTABLE POUR BOVINS</v>
      </c>
      <c r="BE560" t="str">
        <f t="shared" si="153"/>
        <v>INJ</v>
      </c>
      <c r="BF560" t="str">
        <f t="shared" si="154"/>
        <v>PHENICOLES</v>
      </c>
      <c r="BG560" t="str">
        <f t="shared" si="155"/>
        <v/>
      </c>
      <c r="BH560" t="str">
        <f t="shared" si="156"/>
        <v/>
      </c>
      <c r="BI560" t="str">
        <f t="shared" si="157"/>
        <v>florfenicol</v>
      </c>
      <c r="BJ560" t="str">
        <f t="shared" si="158"/>
        <v/>
      </c>
      <c r="BK560" t="str">
        <f t="shared" si="159"/>
        <v/>
      </c>
      <c r="BL560" t="str">
        <f t="shared" si="164"/>
        <v>Florfénicol</v>
      </c>
      <c r="BM560" t="str">
        <f t="shared" si="160"/>
        <v>Florfénicol</v>
      </c>
      <c r="BN560" t="str">
        <f t="shared" si="161"/>
        <v/>
      </c>
      <c r="BO560" t="str">
        <f t="shared" si="162"/>
        <v/>
      </c>
      <c r="BP560" t="str">
        <f t="shared" si="165"/>
        <v>Phenicoles</v>
      </c>
      <c r="BQ560" t="str">
        <f t="shared" si="166"/>
        <v>Phenicoles</v>
      </c>
      <c r="BR560" t="str">
        <f t="shared" si="167"/>
        <v/>
      </c>
      <c r="BS560" t="str">
        <f t="shared" si="168"/>
        <v/>
      </c>
      <c r="BT560" s="76" t="str">
        <f t="shared" si="169"/>
        <v>Voie parentérale</v>
      </c>
      <c r="BU560" t="str">
        <f t="shared" si="170"/>
        <v/>
      </c>
      <c r="CN560">
        <v>559</v>
      </c>
    </row>
    <row r="561" spans="1:92" x14ac:dyDescent="0.3">
      <c r="A561" s="118" t="s">
        <v>3934</v>
      </c>
      <c r="B561" t="s">
        <v>3938</v>
      </c>
      <c r="C561" t="s">
        <v>3939</v>
      </c>
      <c r="D561" s="144" t="s">
        <v>1791</v>
      </c>
      <c r="E561" t="s">
        <v>813</v>
      </c>
      <c r="F561" t="s">
        <v>3937</v>
      </c>
      <c r="G561" t="s">
        <v>815</v>
      </c>
      <c r="H561" t="s">
        <v>860</v>
      </c>
      <c r="I561" t="s">
        <v>817</v>
      </c>
      <c r="J561" t="s">
        <v>2366</v>
      </c>
      <c r="K561" t="s">
        <v>2366</v>
      </c>
      <c r="L561" t="s">
        <v>2690</v>
      </c>
      <c r="M561" t="s">
        <v>208</v>
      </c>
      <c r="N561" t="s">
        <v>932</v>
      </c>
      <c r="O561" t="s">
        <v>824</v>
      </c>
      <c r="P561" t="s">
        <v>772</v>
      </c>
      <c r="Q561" t="s">
        <v>1945</v>
      </c>
      <c r="R561">
        <v>0</v>
      </c>
      <c r="S561">
        <v>0</v>
      </c>
      <c r="T561">
        <v>2</v>
      </c>
      <c r="U561">
        <v>21</v>
      </c>
      <c r="V561">
        <v>0</v>
      </c>
      <c r="W561">
        <v>0</v>
      </c>
      <c r="X561">
        <v>0</v>
      </c>
      <c r="Y561">
        <v>0</v>
      </c>
      <c r="Z561">
        <v>0</v>
      </c>
      <c r="AA561">
        <v>0</v>
      </c>
      <c r="AB561">
        <v>0</v>
      </c>
      <c r="AC561">
        <v>0</v>
      </c>
      <c r="AD561">
        <v>0</v>
      </c>
      <c r="AE561">
        <v>0</v>
      </c>
      <c r="AF561">
        <v>0</v>
      </c>
      <c r="AG561">
        <v>0</v>
      </c>
      <c r="AH561">
        <v>0</v>
      </c>
      <c r="AI561">
        <v>0</v>
      </c>
      <c r="AY561" t="str">
        <f t="shared" si="152"/>
        <v/>
      </c>
      <c r="AZ561" t="str">
        <f>IF(COUNTIF(AY:AY,AY561)=1,AY561,IF(AND(COUNTIF(AY:AY,AY561)&gt;1,COUNTIF(AZ$2:AZ560,AY561)&gt;=1),"",AY561))</f>
        <v/>
      </c>
      <c r="BA561" t="str">
        <f>IF(AZ561="","",COUNTIFS(AZ$3:AZ$1439,"&lt;"&amp;AZ561,AZ$3:AZ$1439,"&lt;&gt;0")+COUNTIF(AZ$3:AZ561,AZ561)-876)</f>
        <v/>
      </c>
      <c r="BC561">
        <v>559</v>
      </c>
      <c r="BD561" t="str">
        <f t="shared" si="163"/>
        <v>ZUPREVO 180 MG/ML SOLUTION INJECTABLE POUR BOVINS</v>
      </c>
      <c r="BE561" t="str">
        <f t="shared" si="153"/>
        <v>INJ</v>
      </c>
      <c r="BF561" t="str">
        <f t="shared" si="154"/>
        <v>MACROLIDES</v>
      </c>
      <c r="BG561" t="str">
        <f t="shared" si="155"/>
        <v/>
      </c>
      <c r="BH561" t="str">
        <f t="shared" si="156"/>
        <v/>
      </c>
      <c r="BI561" t="str">
        <f t="shared" si="157"/>
        <v>tildiprosin</v>
      </c>
      <c r="BJ561" t="str">
        <f t="shared" si="158"/>
        <v/>
      </c>
      <c r="BK561" t="str">
        <f t="shared" si="159"/>
        <v/>
      </c>
      <c r="BL561" t="str">
        <f t="shared" si="164"/>
        <v>Tildipirosine</v>
      </c>
      <c r="BM561" t="str">
        <f t="shared" si="160"/>
        <v>Tildipirosine</v>
      </c>
      <c r="BN561" t="str">
        <f t="shared" si="161"/>
        <v/>
      </c>
      <c r="BO561" t="str">
        <f t="shared" si="162"/>
        <v/>
      </c>
      <c r="BP561" t="str">
        <f t="shared" si="165"/>
        <v>Macrolides</v>
      </c>
      <c r="BQ561" t="str">
        <f t="shared" si="166"/>
        <v>Macrolides</v>
      </c>
      <c r="BR561" t="str">
        <f t="shared" si="167"/>
        <v/>
      </c>
      <c r="BS561" t="str">
        <f t="shared" si="168"/>
        <v/>
      </c>
      <c r="BT561" s="76" t="str">
        <f t="shared" si="169"/>
        <v>Voie parentérale</v>
      </c>
      <c r="BU561" t="str">
        <f t="shared" si="170"/>
        <v/>
      </c>
      <c r="CN561">
        <v>560</v>
      </c>
    </row>
    <row r="562" spans="1:92" x14ac:dyDescent="0.3">
      <c r="A562" s="118" t="s">
        <v>3494</v>
      </c>
      <c r="B562" t="s">
        <v>3495</v>
      </c>
      <c r="C562" t="s">
        <v>3496</v>
      </c>
      <c r="D562" s="144" t="s">
        <v>780</v>
      </c>
      <c r="E562" t="s">
        <v>765</v>
      </c>
      <c r="F562" t="s">
        <v>339</v>
      </c>
      <c r="G562" t="s">
        <v>766</v>
      </c>
      <c r="H562" t="s">
        <v>1326</v>
      </c>
      <c r="I562" t="s">
        <v>766</v>
      </c>
      <c r="J562" t="s">
        <v>2165</v>
      </c>
      <c r="K562" t="s">
        <v>2165</v>
      </c>
      <c r="L562" t="s">
        <v>2432</v>
      </c>
      <c r="M562" t="s">
        <v>208</v>
      </c>
      <c r="N562" t="s">
        <v>780</v>
      </c>
      <c r="O562" t="s">
        <v>771</v>
      </c>
      <c r="P562" t="s">
        <v>772</v>
      </c>
      <c r="Q562" t="s">
        <v>1126</v>
      </c>
      <c r="R562">
        <v>1</v>
      </c>
      <c r="S562">
        <v>5</v>
      </c>
      <c r="T562">
        <v>0</v>
      </c>
      <c r="U562">
        <v>0</v>
      </c>
      <c r="V562">
        <v>0</v>
      </c>
      <c r="W562">
        <v>0</v>
      </c>
      <c r="X562">
        <v>0</v>
      </c>
      <c r="Y562">
        <v>0</v>
      </c>
      <c r="Z562">
        <v>0</v>
      </c>
      <c r="AA562">
        <v>0</v>
      </c>
      <c r="AB562">
        <v>0</v>
      </c>
      <c r="AC562">
        <v>0</v>
      </c>
      <c r="AD562">
        <v>3</v>
      </c>
      <c r="AE562">
        <v>3</v>
      </c>
      <c r="AF562">
        <v>0</v>
      </c>
      <c r="AG562">
        <v>0</v>
      </c>
      <c r="AH562">
        <v>0</v>
      </c>
      <c r="AI562">
        <v>0</v>
      </c>
      <c r="AY562" t="str">
        <f t="shared" si="152"/>
        <v>EFICUR 50 MG/ML SUSPENSION INJECTABLE POUR PORCINS ET BOVINS</v>
      </c>
      <c r="AZ562" t="str">
        <f>IF(COUNTIF(AY:AY,AY562)=1,AY562,IF(AND(COUNTIF(AY:AY,AY562)&gt;1,COUNTIF(AZ$2:AZ561,AY562)&gt;=1),"",AY562))</f>
        <v>EFICUR 50 MG/ML SUSPENSION INJECTABLE POUR PORCINS ET BOVINS</v>
      </c>
      <c r="BA562">
        <f>IF(AZ562="","",COUNTIFS(AZ$3:AZ$1439,"&lt;"&amp;AZ562,AZ$3:AZ$1439,"&lt;&gt;0")+COUNTIF(AZ$3:AZ562,AZ562)-876)</f>
        <v>206</v>
      </c>
      <c r="BC562">
        <v>560</v>
      </c>
      <c r="BD562" t="str">
        <f t="shared" si="163"/>
        <v>ZUPREVO 40 MG/ML SOLUTION INJECTABLE POUR PORCINS</v>
      </c>
      <c r="BE562" t="str">
        <f t="shared" si="153"/>
        <v>INJ</v>
      </c>
      <c r="BF562" t="str">
        <f t="shared" si="154"/>
        <v>MACROLIDES</v>
      </c>
      <c r="BG562" t="str">
        <f t="shared" si="155"/>
        <v/>
      </c>
      <c r="BH562" t="str">
        <f t="shared" si="156"/>
        <v/>
      </c>
      <c r="BI562" t="str">
        <f t="shared" si="157"/>
        <v>tildiprosin</v>
      </c>
      <c r="BJ562" t="str">
        <f t="shared" si="158"/>
        <v/>
      </c>
      <c r="BK562" t="str">
        <f t="shared" si="159"/>
        <v/>
      </c>
      <c r="BL562" t="str">
        <f t="shared" si="164"/>
        <v>Tildipirosine</v>
      </c>
      <c r="BM562" t="str">
        <f t="shared" si="160"/>
        <v>Tildipirosine</v>
      </c>
      <c r="BN562" t="str">
        <f t="shared" si="161"/>
        <v/>
      </c>
      <c r="BO562" t="str">
        <f t="shared" si="162"/>
        <v/>
      </c>
      <c r="BP562" t="str">
        <f t="shared" si="165"/>
        <v>Macrolides</v>
      </c>
      <c r="BQ562" t="str">
        <f t="shared" si="166"/>
        <v>Macrolides</v>
      </c>
      <c r="BR562" t="str">
        <f t="shared" si="167"/>
        <v/>
      </c>
      <c r="BS562" t="str">
        <f t="shared" si="168"/>
        <v/>
      </c>
      <c r="BT562" s="76" t="str">
        <f t="shared" si="169"/>
        <v>Voie parentérale</v>
      </c>
      <c r="BU562" t="str">
        <f t="shared" si="170"/>
        <v/>
      </c>
      <c r="CN562">
        <v>561</v>
      </c>
    </row>
    <row r="563" spans="1:92" x14ac:dyDescent="0.3">
      <c r="A563" s="118" t="s">
        <v>3494</v>
      </c>
      <c r="B563" t="s">
        <v>3497</v>
      </c>
      <c r="C563" t="s">
        <v>3293</v>
      </c>
      <c r="D563" s="144" t="s">
        <v>764</v>
      </c>
      <c r="E563" t="s">
        <v>765</v>
      </c>
      <c r="F563" t="s">
        <v>339</v>
      </c>
      <c r="G563" t="s">
        <v>766</v>
      </c>
      <c r="H563" t="s">
        <v>1326</v>
      </c>
      <c r="I563" t="s">
        <v>766</v>
      </c>
      <c r="J563" t="s">
        <v>2165</v>
      </c>
      <c r="K563" t="s">
        <v>2165</v>
      </c>
      <c r="L563" t="s">
        <v>2432</v>
      </c>
      <c r="M563" t="s">
        <v>208</v>
      </c>
      <c r="N563" t="s">
        <v>780</v>
      </c>
      <c r="O563" t="s">
        <v>771</v>
      </c>
      <c r="P563" t="s">
        <v>772</v>
      </c>
      <c r="Q563" t="s">
        <v>885</v>
      </c>
      <c r="R563">
        <v>1</v>
      </c>
      <c r="S563">
        <v>5</v>
      </c>
      <c r="T563">
        <v>0</v>
      </c>
      <c r="U563">
        <v>0</v>
      </c>
      <c r="V563">
        <v>0</v>
      </c>
      <c r="W563">
        <v>0</v>
      </c>
      <c r="X563">
        <v>0</v>
      </c>
      <c r="Y563">
        <v>0</v>
      </c>
      <c r="Z563">
        <v>0</v>
      </c>
      <c r="AA563">
        <v>0</v>
      </c>
      <c r="AB563">
        <v>0</v>
      </c>
      <c r="AC563">
        <v>0</v>
      </c>
      <c r="AD563">
        <v>3</v>
      </c>
      <c r="AE563">
        <v>3</v>
      </c>
      <c r="AF563">
        <v>0</v>
      </c>
      <c r="AG563">
        <v>0</v>
      </c>
      <c r="AH563">
        <v>0</v>
      </c>
      <c r="AI563">
        <v>0</v>
      </c>
      <c r="AY563" t="str">
        <f t="shared" si="152"/>
        <v>EFICUR 50 MG/ML SUSPENSION INJECTABLE POUR PORCINS ET BOVINS</v>
      </c>
      <c r="AZ563" t="str">
        <f>IF(COUNTIF(AY:AY,AY563)=1,AY563,IF(AND(COUNTIF(AY:AY,AY563)&gt;1,COUNTIF(AZ$2:AZ562,AY563)&gt;=1),"",AY563))</f>
        <v/>
      </c>
      <c r="BA563" t="str">
        <f>IF(AZ563="","",COUNTIFS(AZ$3:AZ$1439,"&lt;"&amp;AZ563,AZ$3:AZ$1439,"&lt;&gt;0")+COUNTIF(AZ$3:AZ563,AZ563)-876)</f>
        <v/>
      </c>
      <c r="BE563" t="str">
        <f t="shared" si="153"/>
        <v/>
      </c>
      <c r="BF563" t="str">
        <f t="shared" si="154"/>
        <v/>
      </c>
      <c r="BG563" t="str">
        <f t="shared" si="155"/>
        <v/>
      </c>
      <c r="BH563" t="str">
        <f t="shared" si="156"/>
        <v/>
      </c>
      <c r="BI563" t="str">
        <f t="shared" si="157"/>
        <v/>
      </c>
      <c r="BJ563" t="str">
        <f t="shared" si="158"/>
        <v/>
      </c>
      <c r="BK563" t="str">
        <f t="shared" si="159"/>
        <v/>
      </c>
      <c r="BL563" t="str">
        <f t="shared" si="164"/>
        <v/>
      </c>
      <c r="BM563" t="str">
        <f t="shared" si="160"/>
        <v/>
      </c>
      <c r="BN563" t="str">
        <f t="shared" si="161"/>
        <v/>
      </c>
      <c r="BO563" t="str">
        <f t="shared" si="162"/>
        <v/>
      </c>
      <c r="BP563" t="b">
        <f t="shared" si="165"/>
        <v>0</v>
      </c>
      <c r="BQ563" t="str">
        <f t="shared" si="166"/>
        <v/>
      </c>
      <c r="BR563" t="str">
        <f t="shared" si="167"/>
        <v/>
      </c>
      <c r="BS563" t="str">
        <f t="shared" si="168"/>
        <v/>
      </c>
      <c r="BT563" s="76" t="str">
        <f t="shared" si="169"/>
        <v/>
      </c>
      <c r="BU563" t="str">
        <f t="shared" si="170"/>
        <v/>
      </c>
      <c r="CN563">
        <v>562</v>
      </c>
    </row>
    <row r="564" spans="1:92" x14ac:dyDescent="0.3">
      <c r="A564" s="118" t="s">
        <v>3494</v>
      </c>
      <c r="B564" t="s">
        <v>3498</v>
      </c>
      <c r="C564" t="s">
        <v>3499</v>
      </c>
      <c r="D564" s="144" t="s">
        <v>776</v>
      </c>
      <c r="E564" t="s">
        <v>765</v>
      </c>
      <c r="F564" t="s">
        <v>339</v>
      </c>
      <c r="G564" t="s">
        <v>766</v>
      </c>
      <c r="H564" t="s">
        <v>1326</v>
      </c>
      <c r="I564" t="s">
        <v>766</v>
      </c>
      <c r="J564" t="s">
        <v>2165</v>
      </c>
      <c r="K564" t="s">
        <v>2165</v>
      </c>
      <c r="L564" t="s">
        <v>2432</v>
      </c>
      <c r="M564" t="s">
        <v>208</v>
      </c>
      <c r="N564" t="s">
        <v>780</v>
      </c>
      <c r="O564" t="s">
        <v>771</v>
      </c>
      <c r="P564" t="s">
        <v>772</v>
      </c>
      <c r="Q564" t="s">
        <v>1072</v>
      </c>
      <c r="R564">
        <v>1</v>
      </c>
      <c r="S564">
        <v>5</v>
      </c>
      <c r="T564">
        <v>0</v>
      </c>
      <c r="U564">
        <v>0</v>
      </c>
      <c r="V564">
        <v>0</v>
      </c>
      <c r="W564">
        <v>0</v>
      </c>
      <c r="X564">
        <v>0</v>
      </c>
      <c r="Y564">
        <v>0</v>
      </c>
      <c r="Z564">
        <v>0</v>
      </c>
      <c r="AA564">
        <v>0</v>
      </c>
      <c r="AB564">
        <v>0</v>
      </c>
      <c r="AC564">
        <v>0</v>
      </c>
      <c r="AD564">
        <v>3</v>
      </c>
      <c r="AE564">
        <v>3</v>
      </c>
      <c r="AF564">
        <v>0</v>
      </c>
      <c r="AG564">
        <v>0</v>
      </c>
      <c r="AH564">
        <v>0</v>
      </c>
      <c r="AI564">
        <v>0</v>
      </c>
      <c r="AY564" t="str">
        <f t="shared" si="152"/>
        <v>EFICUR 50 MG/ML SUSPENSION INJECTABLE POUR PORCINS ET BOVINS</v>
      </c>
      <c r="AZ564" t="str">
        <f>IF(COUNTIF(AY:AY,AY564)=1,AY564,IF(AND(COUNTIF(AY:AY,AY564)&gt;1,COUNTIF(AZ$2:AZ563,AY564)&gt;=1),"",AY564))</f>
        <v/>
      </c>
      <c r="BA564" t="str">
        <f>IF(AZ564="","",COUNTIFS(AZ$3:AZ$1439,"&lt;"&amp;AZ564,AZ$3:AZ$1439,"&lt;&gt;0")+COUNTIF(AZ$3:AZ564,AZ564)-876)</f>
        <v/>
      </c>
      <c r="BE564" t="str">
        <f t="shared" si="153"/>
        <v/>
      </c>
      <c r="BF564" t="str">
        <f t="shared" si="154"/>
        <v/>
      </c>
      <c r="BG564" t="str">
        <f t="shared" si="155"/>
        <v/>
      </c>
      <c r="BH564" t="str">
        <f t="shared" si="156"/>
        <v/>
      </c>
      <c r="BI564" t="str">
        <f t="shared" si="157"/>
        <v/>
      </c>
      <c r="BJ564" t="str">
        <f t="shared" si="158"/>
        <v/>
      </c>
      <c r="BK564" t="str">
        <f t="shared" si="159"/>
        <v/>
      </c>
      <c r="BL564" t="str">
        <f t="shared" si="164"/>
        <v/>
      </c>
      <c r="BM564" t="str">
        <f t="shared" si="160"/>
        <v/>
      </c>
      <c r="BN564" t="str">
        <f t="shared" si="161"/>
        <v/>
      </c>
      <c r="BO564" t="str">
        <f t="shared" si="162"/>
        <v/>
      </c>
      <c r="BP564" t="b">
        <f t="shared" si="165"/>
        <v>0</v>
      </c>
      <c r="BQ564" t="str">
        <f t="shared" si="166"/>
        <v/>
      </c>
      <c r="BR564" t="str">
        <f t="shared" si="167"/>
        <v/>
      </c>
      <c r="BS564" t="str">
        <f t="shared" si="168"/>
        <v/>
      </c>
      <c r="BT564" s="76" t="str">
        <f t="shared" si="169"/>
        <v/>
      </c>
      <c r="BU564" t="str">
        <f t="shared" si="170"/>
        <v/>
      </c>
      <c r="CN564">
        <v>563</v>
      </c>
    </row>
    <row r="565" spans="1:92" x14ac:dyDescent="0.3">
      <c r="A565" s="118" t="s">
        <v>3494</v>
      </c>
      <c r="B565" t="s">
        <v>3500</v>
      </c>
      <c r="C565" t="s">
        <v>3501</v>
      </c>
      <c r="D565" s="144" t="s">
        <v>780</v>
      </c>
      <c r="E565" t="s">
        <v>765</v>
      </c>
      <c r="F565" t="s">
        <v>339</v>
      </c>
      <c r="G565" t="s">
        <v>766</v>
      </c>
      <c r="H565" t="s">
        <v>1326</v>
      </c>
      <c r="I565" t="s">
        <v>766</v>
      </c>
      <c r="J565" t="s">
        <v>2165</v>
      </c>
      <c r="K565" t="s">
        <v>2165</v>
      </c>
      <c r="L565" t="s">
        <v>2432</v>
      </c>
      <c r="M565" t="s">
        <v>208</v>
      </c>
      <c r="N565" t="s">
        <v>780</v>
      </c>
      <c r="O565" t="s">
        <v>771</v>
      </c>
      <c r="P565" t="s">
        <v>772</v>
      </c>
      <c r="Q565" t="s">
        <v>1126</v>
      </c>
      <c r="R565">
        <v>1</v>
      </c>
      <c r="S565">
        <v>5</v>
      </c>
      <c r="T565">
        <v>0</v>
      </c>
      <c r="U565">
        <v>0</v>
      </c>
      <c r="V565">
        <v>0</v>
      </c>
      <c r="W565">
        <v>0</v>
      </c>
      <c r="X565">
        <v>0</v>
      </c>
      <c r="Y565">
        <v>0</v>
      </c>
      <c r="Z565">
        <v>0</v>
      </c>
      <c r="AA565">
        <v>0</v>
      </c>
      <c r="AB565">
        <v>0</v>
      </c>
      <c r="AC565">
        <v>0</v>
      </c>
      <c r="AD565">
        <v>3</v>
      </c>
      <c r="AE565">
        <v>3</v>
      </c>
      <c r="AF565">
        <v>0</v>
      </c>
      <c r="AG565">
        <v>0</v>
      </c>
      <c r="AH565">
        <v>0</v>
      </c>
      <c r="AI565">
        <v>0</v>
      </c>
      <c r="AY565" t="str">
        <f t="shared" si="152"/>
        <v>EFICUR 50 MG/ML SUSPENSION INJECTABLE POUR PORCINS ET BOVINS</v>
      </c>
      <c r="AZ565" t="str">
        <f>IF(COUNTIF(AY:AY,AY565)=1,AY565,IF(AND(COUNTIF(AY:AY,AY565)&gt;1,COUNTIF(AZ$2:AZ564,AY565)&gt;=1),"",AY565))</f>
        <v/>
      </c>
      <c r="BA565" t="str">
        <f>IF(AZ565="","",COUNTIFS(AZ$3:AZ$1439,"&lt;"&amp;AZ565,AZ$3:AZ$1439,"&lt;&gt;0")+COUNTIF(AZ$3:AZ565,AZ565)-876)</f>
        <v/>
      </c>
      <c r="BE565" t="str">
        <f t="shared" si="153"/>
        <v/>
      </c>
      <c r="BF565" t="str">
        <f t="shared" si="154"/>
        <v/>
      </c>
      <c r="BG565" t="str">
        <f t="shared" si="155"/>
        <v/>
      </c>
      <c r="BH565" t="str">
        <f t="shared" si="156"/>
        <v/>
      </c>
      <c r="BI565" t="str">
        <f t="shared" si="157"/>
        <v/>
      </c>
      <c r="BJ565" t="str">
        <f t="shared" si="158"/>
        <v/>
      </c>
      <c r="BK565" t="str">
        <f t="shared" si="159"/>
        <v/>
      </c>
      <c r="BL565" t="str">
        <f t="shared" si="164"/>
        <v/>
      </c>
      <c r="BM565" t="str">
        <f t="shared" si="160"/>
        <v/>
      </c>
      <c r="BN565" t="str">
        <f t="shared" si="161"/>
        <v/>
      </c>
      <c r="BO565" t="str">
        <f t="shared" si="162"/>
        <v/>
      </c>
      <c r="BP565" t="b">
        <f t="shared" si="165"/>
        <v>0</v>
      </c>
      <c r="BQ565" t="str">
        <f t="shared" si="166"/>
        <v/>
      </c>
      <c r="BR565" t="str">
        <f t="shared" si="167"/>
        <v/>
      </c>
      <c r="BS565" t="str">
        <f t="shared" si="168"/>
        <v/>
      </c>
      <c r="BT565" s="76" t="str">
        <f t="shared" si="169"/>
        <v/>
      </c>
      <c r="BU565" t="str">
        <f t="shared" si="170"/>
        <v/>
      </c>
      <c r="CN565">
        <v>564</v>
      </c>
    </row>
    <row r="566" spans="1:92" x14ac:dyDescent="0.3">
      <c r="A566" s="118" t="s">
        <v>3494</v>
      </c>
      <c r="B566" t="s">
        <v>3502</v>
      </c>
      <c r="C566" t="s">
        <v>3503</v>
      </c>
      <c r="D566" s="144" t="s">
        <v>764</v>
      </c>
      <c r="E566" t="s">
        <v>765</v>
      </c>
      <c r="F566" t="s">
        <v>339</v>
      </c>
      <c r="G566" t="s">
        <v>766</v>
      </c>
      <c r="H566" t="s">
        <v>1326</v>
      </c>
      <c r="I566" t="s">
        <v>766</v>
      </c>
      <c r="J566" t="s">
        <v>2165</v>
      </c>
      <c r="K566" t="s">
        <v>2165</v>
      </c>
      <c r="L566" t="s">
        <v>2432</v>
      </c>
      <c r="M566" t="s">
        <v>208</v>
      </c>
      <c r="N566" t="s">
        <v>780</v>
      </c>
      <c r="O566" t="s">
        <v>771</v>
      </c>
      <c r="P566" t="s">
        <v>772</v>
      </c>
      <c r="Q566" t="s">
        <v>885</v>
      </c>
      <c r="R566">
        <v>1</v>
      </c>
      <c r="S566">
        <v>5</v>
      </c>
      <c r="T566">
        <v>0</v>
      </c>
      <c r="U566">
        <v>0</v>
      </c>
      <c r="V566">
        <v>0</v>
      </c>
      <c r="W566">
        <v>0</v>
      </c>
      <c r="X566">
        <v>0</v>
      </c>
      <c r="Y566">
        <v>0</v>
      </c>
      <c r="Z566">
        <v>0</v>
      </c>
      <c r="AA566">
        <v>0</v>
      </c>
      <c r="AB566">
        <v>0</v>
      </c>
      <c r="AC566">
        <v>0</v>
      </c>
      <c r="AD566">
        <v>3</v>
      </c>
      <c r="AE566">
        <v>3</v>
      </c>
      <c r="AF566">
        <v>0</v>
      </c>
      <c r="AG566">
        <v>0</v>
      </c>
      <c r="AH566">
        <v>0</v>
      </c>
      <c r="AI566">
        <v>0</v>
      </c>
      <c r="AY566" t="str">
        <f t="shared" si="152"/>
        <v>EFICUR 50 MG/ML SUSPENSION INJECTABLE POUR PORCINS ET BOVINS</v>
      </c>
      <c r="AZ566" t="str">
        <f>IF(COUNTIF(AY:AY,AY566)=1,AY566,IF(AND(COUNTIF(AY:AY,AY566)&gt;1,COUNTIF(AZ$2:AZ565,AY566)&gt;=1),"",AY566))</f>
        <v/>
      </c>
      <c r="BA566" t="str">
        <f>IF(AZ566="","",COUNTIFS(AZ$3:AZ$1439,"&lt;"&amp;AZ566,AZ$3:AZ$1439,"&lt;&gt;0")+COUNTIF(AZ$3:AZ566,AZ566)-876)</f>
        <v/>
      </c>
      <c r="BE566" t="str">
        <f t="shared" si="153"/>
        <v/>
      </c>
      <c r="BF566" t="str">
        <f t="shared" si="154"/>
        <v/>
      </c>
      <c r="BG566" t="str">
        <f t="shared" si="155"/>
        <v/>
      </c>
      <c r="BH566" t="str">
        <f t="shared" si="156"/>
        <v/>
      </c>
      <c r="BI566" t="str">
        <f t="shared" si="157"/>
        <v/>
      </c>
      <c r="BJ566" t="str">
        <f t="shared" si="158"/>
        <v/>
      </c>
      <c r="BK566" t="str">
        <f t="shared" si="159"/>
        <v/>
      </c>
      <c r="BL566" t="str">
        <f t="shared" si="164"/>
        <v/>
      </c>
      <c r="BM566" t="str">
        <f t="shared" si="160"/>
        <v/>
      </c>
      <c r="BN566" t="str">
        <f t="shared" si="161"/>
        <v/>
      </c>
      <c r="BO566" t="str">
        <f t="shared" si="162"/>
        <v/>
      </c>
      <c r="BP566" t="b">
        <f t="shared" si="165"/>
        <v>0</v>
      </c>
      <c r="BQ566" t="str">
        <f t="shared" si="166"/>
        <v/>
      </c>
      <c r="BR566" t="str">
        <f t="shared" si="167"/>
        <v/>
      </c>
      <c r="BS566" t="str">
        <f t="shared" si="168"/>
        <v/>
      </c>
      <c r="BT566" s="76" t="str">
        <f t="shared" si="169"/>
        <v/>
      </c>
      <c r="BU566" t="str">
        <f t="shared" si="170"/>
        <v/>
      </c>
      <c r="CN566">
        <v>565</v>
      </c>
    </row>
    <row r="567" spans="1:92" x14ac:dyDescent="0.3">
      <c r="A567" s="118" t="s">
        <v>3494</v>
      </c>
      <c r="B567" t="s">
        <v>3504</v>
      </c>
      <c r="C567" t="s">
        <v>3505</v>
      </c>
      <c r="D567" s="144" t="s">
        <v>776</v>
      </c>
      <c r="E567" t="s">
        <v>765</v>
      </c>
      <c r="F567" t="s">
        <v>339</v>
      </c>
      <c r="G567" t="s">
        <v>766</v>
      </c>
      <c r="H567" t="s">
        <v>1326</v>
      </c>
      <c r="I567" t="s">
        <v>766</v>
      </c>
      <c r="J567" t="s">
        <v>2165</v>
      </c>
      <c r="K567" t="s">
        <v>2165</v>
      </c>
      <c r="L567" t="s">
        <v>2432</v>
      </c>
      <c r="M567" t="s">
        <v>208</v>
      </c>
      <c r="N567" t="s">
        <v>780</v>
      </c>
      <c r="O567" t="s">
        <v>771</v>
      </c>
      <c r="P567" t="s">
        <v>772</v>
      </c>
      <c r="Q567" t="s">
        <v>1072</v>
      </c>
      <c r="R567">
        <v>1</v>
      </c>
      <c r="S567">
        <v>5</v>
      </c>
      <c r="T567">
        <v>0</v>
      </c>
      <c r="U567">
        <v>0</v>
      </c>
      <c r="V567">
        <v>0</v>
      </c>
      <c r="W567">
        <v>0</v>
      </c>
      <c r="X567">
        <v>0</v>
      </c>
      <c r="Y567">
        <v>0</v>
      </c>
      <c r="Z567">
        <v>0</v>
      </c>
      <c r="AA567">
        <v>0</v>
      </c>
      <c r="AB567">
        <v>0</v>
      </c>
      <c r="AC567">
        <v>0</v>
      </c>
      <c r="AD567">
        <v>3</v>
      </c>
      <c r="AE567">
        <v>3</v>
      </c>
      <c r="AF567">
        <v>0</v>
      </c>
      <c r="AG567">
        <v>0</v>
      </c>
      <c r="AH567">
        <v>0</v>
      </c>
      <c r="AI567">
        <v>0</v>
      </c>
      <c r="AY567" t="str">
        <f t="shared" si="152"/>
        <v>EFICUR 50 MG/ML SUSPENSION INJECTABLE POUR PORCINS ET BOVINS</v>
      </c>
      <c r="AZ567" t="str">
        <f>IF(COUNTIF(AY:AY,AY567)=1,AY567,IF(AND(COUNTIF(AY:AY,AY567)&gt;1,COUNTIF(AZ$2:AZ566,AY567)&gt;=1),"",AY567))</f>
        <v/>
      </c>
      <c r="BA567" t="str">
        <f>IF(AZ567="","",COUNTIFS(AZ$3:AZ$1439,"&lt;"&amp;AZ567,AZ$3:AZ$1439,"&lt;&gt;0")+COUNTIF(AZ$3:AZ567,AZ567)-876)</f>
        <v/>
      </c>
      <c r="BE567" t="str">
        <f t="shared" si="153"/>
        <v/>
      </c>
      <c r="BF567" t="str">
        <f t="shared" si="154"/>
        <v/>
      </c>
      <c r="BG567" t="str">
        <f t="shared" si="155"/>
        <v/>
      </c>
      <c r="BH567" t="str">
        <f t="shared" si="156"/>
        <v/>
      </c>
      <c r="BI567" t="str">
        <f t="shared" si="157"/>
        <v/>
      </c>
      <c r="BJ567" t="str">
        <f t="shared" si="158"/>
        <v/>
      </c>
      <c r="BK567" t="str">
        <f t="shared" si="159"/>
        <v/>
      </c>
      <c r="BL567" t="str">
        <f t="shared" si="164"/>
        <v/>
      </c>
      <c r="BM567" t="str">
        <f t="shared" si="160"/>
        <v/>
      </c>
      <c r="BN567" t="str">
        <f t="shared" si="161"/>
        <v/>
      </c>
      <c r="BO567" t="str">
        <f t="shared" si="162"/>
        <v/>
      </c>
      <c r="BP567" t="b">
        <f t="shared" si="165"/>
        <v>0</v>
      </c>
      <c r="BQ567" t="str">
        <f t="shared" si="166"/>
        <v/>
      </c>
      <c r="BR567" t="str">
        <f t="shared" si="167"/>
        <v/>
      </c>
      <c r="BS567" t="str">
        <f t="shared" si="168"/>
        <v/>
      </c>
      <c r="BT567" s="76" t="str">
        <f t="shared" si="169"/>
        <v/>
      </c>
      <c r="BU567" t="str">
        <f t="shared" si="170"/>
        <v/>
      </c>
      <c r="CN567">
        <v>566</v>
      </c>
    </row>
    <row r="568" spans="1:92" x14ac:dyDescent="0.3">
      <c r="A568" s="118" t="s">
        <v>2289</v>
      </c>
      <c r="B568" t="s">
        <v>2290</v>
      </c>
      <c r="C568" t="s">
        <v>1002</v>
      </c>
      <c r="D568" s="144" t="s">
        <v>829</v>
      </c>
      <c r="E568" t="s">
        <v>765</v>
      </c>
      <c r="F568" t="s">
        <v>340</v>
      </c>
      <c r="G568" t="s">
        <v>956</v>
      </c>
      <c r="H568" t="s">
        <v>1896</v>
      </c>
      <c r="I568" t="s">
        <v>817</v>
      </c>
      <c r="J568" t="s">
        <v>862</v>
      </c>
      <c r="K568" t="s">
        <v>862</v>
      </c>
      <c r="L568" t="s">
        <v>1003</v>
      </c>
      <c r="M568" t="s">
        <v>208</v>
      </c>
      <c r="N568" t="s">
        <v>1897</v>
      </c>
      <c r="O568" t="s">
        <v>771</v>
      </c>
      <c r="P568" t="s">
        <v>772</v>
      </c>
      <c r="Q568" t="s">
        <v>1897</v>
      </c>
      <c r="R568">
        <v>46</v>
      </c>
      <c r="S568">
        <v>5</v>
      </c>
      <c r="T568">
        <v>0</v>
      </c>
      <c r="U568">
        <v>0</v>
      </c>
      <c r="V568">
        <v>0</v>
      </c>
      <c r="W568">
        <v>0</v>
      </c>
      <c r="X568">
        <v>0</v>
      </c>
      <c r="Y568">
        <v>0</v>
      </c>
      <c r="Z568">
        <v>55.7</v>
      </c>
      <c r="AA568">
        <v>7</v>
      </c>
      <c r="AB568">
        <v>46</v>
      </c>
      <c r="AC568">
        <v>5</v>
      </c>
      <c r="AD568">
        <v>0</v>
      </c>
      <c r="AE568">
        <v>0</v>
      </c>
      <c r="AF568">
        <v>46.5</v>
      </c>
      <c r="AG568">
        <v>7</v>
      </c>
      <c r="AH568">
        <v>46</v>
      </c>
      <c r="AI568">
        <v>5</v>
      </c>
      <c r="AY568" t="str">
        <f t="shared" si="152"/>
        <v>EMERICID SULFADIMETHOXINE</v>
      </c>
      <c r="AZ568" t="str">
        <f>IF(COUNTIF(AY:AY,AY568)=1,AY568,IF(AND(COUNTIF(AY:AY,AY568)&gt;1,COUNTIF(AZ$2:AZ567,AY568)&gt;=1),"",AY568))</f>
        <v>EMERICID SULFADIMETHOXINE</v>
      </c>
      <c r="BA568">
        <f>IF(AZ568="","",COUNTIFS(AZ$3:AZ$1439,"&lt;"&amp;AZ568,AZ$3:AZ$1439,"&lt;&gt;0")+COUNTIF(AZ$3:AZ568,AZ568)-876)</f>
        <v>207</v>
      </c>
      <c r="BE568" t="str">
        <f t="shared" si="153"/>
        <v/>
      </c>
      <c r="BF568" t="str">
        <f t="shared" si="154"/>
        <v/>
      </c>
      <c r="BG568" t="str">
        <f t="shared" si="155"/>
        <v/>
      </c>
      <c r="BH568" t="str">
        <f t="shared" si="156"/>
        <v/>
      </c>
      <c r="BI568" t="str">
        <f t="shared" si="157"/>
        <v/>
      </c>
      <c r="BJ568" t="str">
        <f t="shared" si="158"/>
        <v/>
      </c>
      <c r="BK568" t="str">
        <f t="shared" si="159"/>
        <v/>
      </c>
      <c r="BL568" t="str">
        <f t="shared" si="164"/>
        <v/>
      </c>
      <c r="BM568" t="str">
        <f t="shared" si="160"/>
        <v/>
      </c>
      <c r="BN568" t="str">
        <f t="shared" si="161"/>
        <v/>
      </c>
      <c r="BO568" t="str">
        <f t="shared" si="162"/>
        <v/>
      </c>
      <c r="BP568" t="b">
        <f t="shared" si="165"/>
        <v>0</v>
      </c>
      <c r="BQ568" t="str">
        <f t="shared" si="166"/>
        <v/>
      </c>
      <c r="BR568" t="str">
        <f t="shared" si="167"/>
        <v/>
      </c>
      <c r="BS568" t="str">
        <f t="shared" si="168"/>
        <v/>
      </c>
      <c r="BT568" s="76" t="str">
        <f t="shared" si="169"/>
        <v/>
      </c>
      <c r="BU568" t="str">
        <f t="shared" si="170"/>
        <v/>
      </c>
      <c r="CN568">
        <v>567</v>
      </c>
    </row>
    <row r="569" spans="1:92" x14ac:dyDescent="0.3">
      <c r="A569" s="118" t="s">
        <v>2289</v>
      </c>
      <c r="B569" t="s">
        <v>2291</v>
      </c>
      <c r="C569" t="s">
        <v>954</v>
      </c>
      <c r="D569" s="144" t="s">
        <v>955</v>
      </c>
      <c r="E569" t="s">
        <v>765</v>
      </c>
      <c r="F569" t="s">
        <v>340</v>
      </c>
      <c r="G569" t="s">
        <v>956</v>
      </c>
      <c r="H569" t="s">
        <v>1896</v>
      </c>
      <c r="I569" t="s">
        <v>817</v>
      </c>
      <c r="J569" t="s">
        <v>862</v>
      </c>
      <c r="K569" t="s">
        <v>862</v>
      </c>
      <c r="L569" t="s">
        <v>1003</v>
      </c>
      <c r="M569" t="s">
        <v>208</v>
      </c>
      <c r="N569" t="s">
        <v>1897</v>
      </c>
      <c r="O569" t="s">
        <v>771</v>
      </c>
      <c r="P569" t="s">
        <v>772</v>
      </c>
      <c r="Q569" t="s">
        <v>2292</v>
      </c>
      <c r="R569">
        <v>46</v>
      </c>
      <c r="S569">
        <v>5</v>
      </c>
      <c r="T569">
        <v>0</v>
      </c>
      <c r="U569">
        <v>0</v>
      </c>
      <c r="V569">
        <v>0</v>
      </c>
      <c r="W569">
        <v>0</v>
      </c>
      <c r="X569">
        <v>0</v>
      </c>
      <c r="Y569">
        <v>0</v>
      </c>
      <c r="Z569">
        <v>55.7</v>
      </c>
      <c r="AA569">
        <v>7</v>
      </c>
      <c r="AB569">
        <v>46</v>
      </c>
      <c r="AC569">
        <v>5</v>
      </c>
      <c r="AD569">
        <v>0</v>
      </c>
      <c r="AE569">
        <v>0</v>
      </c>
      <c r="AF569">
        <v>46.5</v>
      </c>
      <c r="AG569">
        <v>7</v>
      </c>
      <c r="AH569">
        <v>46</v>
      </c>
      <c r="AI569">
        <v>5</v>
      </c>
      <c r="AY569" t="str">
        <f t="shared" si="152"/>
        <v>EMERICID SULFADIMETHOXINE</v>
      </c>
      <c r="AZ569" t="str">
        <f>IF(COUNTIF(AY:AY,AY569)=1,AY569,IF(AND(COUNTIF(AY:AY,AY569)&gt;1,COUNTIF(AZ$2:AZ568,AY569)&gt;=1),"",AY569))</f>
        <v/>
      </c>
      <c r="BA569" t="str">
        <f>IF(AZ569="","",COUNTIFS(AZ$3:AZ$1439,"&lt;"&amp;AZ569,AZ$3:AZ$1439,"&lt;&gt;0")+COUNTIF(AZ$3:AZ569,AZ569)-876)</f>
        <v/>
      </c>
      <c r="BE569" t="str">
        <f t="shared" si="153"/>
        <v/>
      </c>
      <c r="BF569" t="str">
        <f t="shared" si="154"/>
        <v/>
      </c>
      <c r="BG569" t="str">
        <f t="shared" si="155"/>
        <v/>
      </c>
      <c r="BH569" t="str">
        <f t="shared" si="156"/>
        <v/>
      </c>
      <c r="BI569" t="str">
        <f t="shared" si="157"/>
        <v/>
      </c>
      <c r="BJ569" t="str">
        <f t="shared" si="158"/>
        <v/>
      </c>
      <c r="BK569" t="str">
        <f t="shared" si="159"/>
        <v/>
      </c>
      <c r="BL569" t="str">
        <f t="shared" si="164"/>
        <v/>
      </c>
      <c r="BM569" t="str">
        <f t="shared" si="160"/>
        <v/>
      </c>
      <c r="BN569" t="str">
        <f t="shared" si="161"/>
        <v/>
      </c>
      <c r="BO569" t="str">
        <f t="shared" si="162"/>
        <v/>
      </c>
      <c r="BP569" t="b">
        <f t="shared" si="165"/>
        <v>0</v>
      </c>
      <c r="BQ569" t="str">
        <f t="shared" si="166"/>
        <v/>
      </c>
      <c r="BR569" t="str">
        <f t="shared" si="167"/>
        <v/>
      </c>
      <c r="BS569" t="str">
        <f t="shared" si="168"/>
        <v/>
      </c>
      <c r="BT569" s="76" t="str">
        <f t="shared" si="169"/>
        <v/>
      </c>
      <c r="BU569" t="str">
        <f t="shared" si="170"/>
        <v/>
      </c>
      <c r="CN569">
        <v>568</v>
      </c>
    </row>
    <row r="570" spans="1:92" x14ac:dyDescent="0.3">
      <c r="A570" s="118" t="s">
        <v>848</v>
      </c>
      <c r="B570" t="s">
        <v>849</v>
      </c>
      <c r="C570" t="s">
        <v>850</v>
      </c>
      <c r="D570" s="144" t="s">
        <v>764</v>
      </c>
      <c r="E570" t="s">
        <v>765</v>
      </c>
      <c r="F570" t="s">
        <v>341</v>
      </c>
      <c r="G570" t="s">
        <v>766</v>
      </c>
      <c r="H570" t="s">
        <v>851</v>
      </c>
      <c r="I570" t="s">
        <v>766</v>
      </c>
      <c r="J570" t="s">
        <v>768</v>
      </c>
      <c r="K570" t="s">
        <v>768</v>
      </c>
      <c r="L570" t="s">
        <v>769</v>
      </c>
      <c r="M570" t="s">
        <v>208</v>
      </c>
      <c r="N570" t="s">
        <v>764</v>
      </c>
      <c r="O570" t="s">
        <v>771</v>
      </c>
      <c r="P570" t="s">
        <v>772</v>
      </c>
      <c r="Q570" t="s">
        <v>852</v>
      </c>
      <c r="R570">
        <v>10</v>
      </c>
      <c r="S570">
        <v>5</v>
      </c>
      <c r="T570">
        <v>0</v>
      </c>
      <c r="U570">
        <v>0</v>
      </c>
      <c r="V570">
        <v>0</v>
      </c>
      <c r="W570">
        <v>0</v>
      </c>
      <c r="X570">
        <v>0</v>
      </c>
      <c r="Y570">
        <v>0</v>
      </c>
      <c r="Z570">
        <v>0</v>
      </c>
      <c r="AA570">
        <v>0</v>
      </c>
      <c r="AB570">
        <v>10</v>
      </c>
      <c r="AC570">
        <v>5</v>
      </c>
      <c r="AD570">
        <v>10</v>
      </c>
      <c r="AE570">
        <v>5</v>
      </c>
      <c r="AF570">
        <v>0</v>
      </c>
      <c r="AG570">
        <v>0</v>
      </c>
      <c r="AH570">
        <v>0</v>
      </c>
      <c r="AI570">
        <v>0</v>
      </c>
      <c r="AY570" t="str">
        <f t="shared" si="152"/>
        <v>ENGEMYCINE 10 %</v>
      </c>
      <c r="AZ570" t="str">
        <f>IF(COUNTIF(AY:AY,AY570)=1,AY570,IF(AND(COUNTIF(AY:AY,AY570)&gt;1,COUNTIF(AZ$2:AZ569,AY570)&gt;=1),"",AY570))</f>
        <v>ENGEMYCINE 10 %</v>
      </c>
      <c r="BA570">
        <f>IF(AZ570="","",COUNTIFS(AZ$3:AZ$1439,"&lt;"&amp;AZ570,AZ$3:AZ$1439,"&lt;&gt;0")+COUNTIF(AZ$3:AZ570,AZ570)-876)</f>
        <v>208</v>
      </c>
      <c r="BE570" t="str">
        <f t="shared" si="153"/>
        <v/>
      </c>
      <c r="BF570" t="str">
        <f t="shared" si="154"/>
        <v/>
      </c>
      <c r="BG570" t="str">
        <f t="shared" si="155"/>
        <v/>
      </c>
      <c r="BH570" t="str">
        <f t="shared" si="156"/>
        <v/>
      </c>
      <c r="BI570" t="str">
        <f t="shared" si="157"/>
        <v/>
      </c>
      <c r="BJ570" t="str">
        <f t="shared" si="158"/>
        <v/>
      </c>
      <c r="BK570" t="str">
        <f t="shared" si="159"/>
        <v/>
      </c>
      <c r="BL570" t="str">
        <f t="shared" si="164"/>
        <v/>
      </c>
      <c r="BM570" t="str">
        <f t="shared" si="160"/>
        <v/>
      </c>
      <c r="BN570" t="str">
        <f t="shared" si="161"/>
        <v/>
      </c>
      <c r="BO570" t="str">
        <f t="shared" si="162"/>
        <v/>
      </c>
      <c r="BP570" t="b">
        <f t="shared" si="165"/>
        <v>0</v>
      </c>
      <c r="BQ570" t="str">
        <f t="shared" si="166"/>
        <v/>
      </c>
      <c r="BR570" t="str">
        <f t="shared" si="167"/>
        <v/>
      </c>
      <c r="BS570" t="str">
        <f t="shared" si="168"/>
        <v/>
      </c>
      <c r="BT570" s="76" t="str">
        <f t="shared" si="169"/>
        <v/>
      </c>
      <c r="BU570" t="str">
        <f t="shared" si="170"/>
        <v/>
      </c>
      <c r="CN570">
        <v>569</v>
      </c>
    </row>
    <row r="571" spans="1:92" x14ac:dyDescent="0.3">
      <c r="A571" s="118" t="s">
        <v>848</v>
      </c>
      <c r="B571" t="s">
        <v>853</v>
      </c>
      <c r="C571" t="s">
        <v>854</v>
      </c>
      <c r="D571" s="144" t="s">
        <v>776</v>
      </c>
      <c r="E571" t="s">
        <v>765</v>
      </c>
      <c r="F571" t="s">
        <v>341</v>
      </c>
      <c r="G571" t="s">
        <v>766</v>
      </c>
      <c r="H571" t="s">
        <v>851</v>
      </c>
      <c r="I571" t="s">
        <v>766</v>
      </c>
      <c r="J571" t="s">
        <v>768</v>
      </c>
      <c r="K571" t="s">
        <v>768</v>
      </c>
      <c r="L571" t="s">
        <v>769</v>
      </c>
      <c r="M571" t="s">
        <v>208</v>
      </c>
      <c r="N571" t="s">
        <v>764</v>
      </c>
      <c r="O571" t="s">
        <v>771</v>
      </c>
      <c r="P571" t="s">
        <v>772</v>
      </c>
      <c r="Q571" t="s">
        <v>855</v>
      </c>
      <c r="R571">
        <v>10</v>
      </c>
      <c r="S571">
        <v>5</v>
      </c>
      <c r="T571">
        <v>0</v>
      </c>
      <c r="U571">
        <v>0</v>
      </c>
      <c r="V571">
        <v>0</v>
      </c>
      <c r="W571">
        <v>0</v>
      </c>
      <c r="X571">
        <v>0</v>
      </c>
      <c r="Y571">
        <v>0</v>
      </c>
      <c r="Z571">
        <v>0</v>
      </c>
      <c r="AA571">
        <v>0</v>
      </c>
      <c r="AB571">
        <v>10</v>
      </c>
      <c r="AC571">
        <v>5</v>
      </c>
      <c r="AD571">
        <v>10</v>
      </c>
      <c r="AE571">
        <v>5</v>
      </c>
      <c r="AF571">
        <v>0</v>
      </c>
      <c r="AG571">
        <v>0</v>
      </c>
      <c r="AH571">
        <v>0</v>
      </c>
      <c r="AI571">
        <v>0</v>
      </c>
      <c r="AY571" t="str">
        <f t="shared" si="152"/>
        <v>ENGEMYCINE 10 %</v>
      </c>
      <c r="AZ571" t="str">
        <f>IF(COUNTIF(AY:AY,AY571)=1,AY571,IF(AND(COUNTIF(AY:AY,AY571)&gt;1,COUNTIF(AZ$2:AZ570,AY571)&gt;=1),"",AY571))</f>
        <v/>
      </c>
      <c r="BA571" t="str">
        <f>IF(AZ571="","",COUNTIFS(AZ$3:AZ$1439,"&lt;"&amp;AZ571,AZ$3:AZ$1439,"&lt;&gt;0")+COUNTIF(AZ$3:AZ571,AZ571)-876)</f>
        <v/>
      </c>
      <c r="BE571" t="str">
        <f t="shared" si="153"/>
        <v/>
      </c>
      <c r="BF571" t="str">
        <f t="shared" si="154"/>
        <v/>
      </c>
      <c r="BG571" t="str">
        <f t="shared" si="155"/>
        <v/>
      </c>
      <c r="BH571" t="str">
        <f t="shared" si="156"/>
        <v/>
      </c>
      <c r="BI571" t="str">
        <f t="shared" si="157"/>
        <v/>
      </c>
      <c r="BJ571" t="str">
        <f t="shared" si="158"/>
        <v/>
      </c>
      <c r="BK571" t="str">
        <f t="shared" si="159"/>
        <v/>
      </c>
      <c r="BL571" t="str">
        <f t="shared" si="164"/>
        <v/>
      </c>
      <c r="BM571" t="str">
        <f t="shared" si="160"/>
        <v/>
      </c>
      <c r="BN571" t="str">
        <f t="shared" si="161"/>
        <v/>
      </c>
      <c r="BO571" t="str">
        <f t="shared" si="162"/>
        <v/>
      </c>
      <c r="BP571" t="b">
        <f t="shared" si="165"/>
        <v>0</v>
      </c>
      <c r="BQ571" t="str">
        <f t="shared" si="166"/>
        <v/>
      </c>
      <c r="BR571" t="str">
        <f t="shared" si="167"/>
        <v/>
      </c>
      <c r="BS571" t="str">
        <f t="shared" si="168"/>
        <v/>
      </c>
      <c r="BT571" s="76" t="str">
        <f t="shared" si="169"/>
        <v/>
      </c>
      <c r="BU571" t="str">
        <f t="shared" si="170"/>
        <v/>
      </c>
      <c r="CN571">
        <v>570</v>
      </c>
    </row>
    <row r="572" spans="1:92" x14ac:dyDescent="0.3">
      <c r="A572" s="118" t="s">
        <v>4100</v>
      </c>
      <c r="B572" t="s">
        <v>4101</v>
      </c>
      <c r="C572" t="s">
        <v>4578</v>
      </c>
      <c r="D572" s="144" t="s">
        <v>852</v>
      </c>
      <c r="E572" t="s">
        <v>765</v>
      </c>
      <c r="F572" t="s">
        <v>4102</v>
      </c>
      <c r="G572" t="s">
        <v>956</v>
      </c>
      <c r="H572" t="s">
        <v>4096</v>
      </c>
      <c r="I572" t="s">
        <v>817</v>
      </c>
      <c r="J572" t="s">
        <v>2366</v>
      </c>
      <c r="K572" t="s">
        <v>2366</v>
      </c>
      <c r="L572" t="s">
        <v>2367</v>
      </c>
      <c r="M572" t="s">
        <v>208</v>
      </c>
      <c r="N572" t="s">
        <v>855</v>
      </c>
      <c r="O572" t="s">
        <v>771</v>
      </c>
      <c r="P572" t="s">
        <v>772</v>
      </c>
      <c r="Q572" t="s">
        <v>1571</v>
      </c>
      <c r="R572">
        <v>0</v>
      </c>
      <c r="S572">
        <v>0</v>
      </c>
      <c r="T572">
        <v>0</v>
      </c>
      <c r="U572">
        <v>0</v>
      </c>
      <c r="V572">
        <v>0</v>
      </c>
      <c r="W572">
        <v>0</v>
      </c>
      <c r="X572">
        <v>0</v>
      </c>
      <c r="Y572">
        <v>0</v>
      </c>
      <c r="Z572">
        <v>0</v>
      </c>
      <c r="AA572">
        <v>0</v>
      </c>
      <c r="AB572">
        <v>0</v>
      </c>
      <c r="AC572">
        <v>0</v>
      </c>
      <c r="AD572">
        <v>0</v>
      </c>
      <c r="AE572">
        <v>0</v>
      </c>
      <c r="AF572">
        <v>0</v>
      </c>
      <c r="AG572">
        <v>0</v>
      </c>
      <c r="AH572">
        <v>10</v>
      </c>
      <c r="AI572">
        <v>7</v>
      </c>
      <c r="AY572" t="str">
        <f t="shared" si="152"/>
        <v>ENROBACTIN 25 MG/ML SOLUTION A DILUER POUR SOLUTION BUVABLE POUR LAPINS DE COMPAGNIE, RONGEURS, OISEAUX ORNEMENTAUX ET REPTILES</v>
      </c>
      <c r="AZ572" t="str">
        <f>IF(COUNTIF(AY:AY,AY572)=1,AY572,IF(AND(COUNTIF(AY:AY,AY572)&gt;1,COUNTIF(AZ$2:AZ571,AY572)&gt;=1),"",AY572))</f>
        <v>ENROBACTIN 25 MG/ML SOLUTION A DILUER POUR SOLUTION BUVABLE POUR LAPINS DE COMPAGNIE, RONGEURS, OISEAUX ORNEMENTAUX ET REPTILES</v>
      </c>
      <c r="BA572">
        <f>IF(AZ572="","",COUNTIFS(AZ$3:AZ$1439,"&lt;"&amp;AZ572,AZ$3:AZ$1439,"&lt;&gt;0")+COUNTIF(AZ$3:AZ572,AZ572)-876)</f>
        <v>209</v>
      </c>
      <c r="BE572" t="str">
        <f t="shared" si="153"/>
        <v/>
      </c>
      <c r="BF572" t="str">
        <f t="shared" si="154"/>
        <v/>
      </c>
      <c r="BG572" t="str">
        <f t="shared" si="155"/>
        <v/>
      </c>
      <c r="BH572" t="str">
        <f t="shared" si="156"/>
        <v/>
      </c>
      <c r="BI572" t="str">
        <f t="shared" si="157"/>
        <v/>
      </c>
      <c r="BJ572" t="str">
        <f t="shared" si="158"/>
        <v/>
      </c>
      <c r="BK572" t="str">
        <f t="shared" si="159"/>
        <v/>
      </c>
      <c r="BL572" t="str">
        <f t="shared" si="164"/>
        <v/>
      </c>
      <c r="BM572" t="str">
        <f t="shared" si="160"/>
        <v/>
      </c>
      <c r="BN572" t="str">
        <f t="shared" si="161"/>
        <v/>
      </c>
      <c r="BO572" t="str">
        <f t="shared" si="162"/>
        <v/>
      </c>
      <c r="BP572" t="b">
        <f t="shared" si="165"/>
        <v>0</v>
      </c>
      <c r="BQ572" t="str">
        <f t="shared" si="166"/>
        <v/>
      </c>
      <c r="BR572" t="str">
        <f t="shared" si="167"/>
        <v/>
      </c>
      <c r="BS572" t="str">
        <f t="shared" si="168"/>
        <v/>
      </c>
      <c r="BT572" s="76" t="str">
        <f t="shared" si="169"/>
        <v/>
      </c>
      <c r="BU572" t="str">
        <f t="shared" si="170"/>
        <v/>
      </c>
      <c r="CN572">
        <v>571</v>
      </c>
    </row>
    <row r="573" spans="1:92" x14ac:dyDescent="0.3">
      <c r="A573" s="118" t="s">
        <v>3535</v>
      </c>
      <c r="B573" t="s">
        <v>3536</v>
      </c>
      <c r="C573" t="s">
        <v>3533</v>
      </c>
      <c r="D573" s="144" t="s">
        <v>764</v>
      </c>
      <c r="E573" t="s">
        <v>765</v>
      </c>
      <c r="F573" t="s">
        <v>639</v>
      </c>
      <c r="G573" t="s">
        <v>766</v>
      </c>
      <c r="H573" t="s">
        <v>1326</v>
      </c>
      <c r="I573" t="s">
        <v>766</v>
      </c>
      <c r="J573" t="s">
        <v>2366</v>
      </c>
      <c r="K573" t="s">
        <v>2366</v>
      </c>
      <c r="L573" t="s">
        <v>2367</v>
      </c>
      <c r="M573" t="s">
        <v>208</v>
      </c>
      <c r="N573" t="s">
        <v>764</v>
      </c>
      <c r="O573" t="s">
        <v>771</v>
      </c>
      <c r="P573" t="s">
        <v>772</v>
      </c>
      <c r="Q573" t="s">
        <v>852</v>
      </c>
      <c r="R573">
        <v>5</v>
      </c>
      <c r="S573">
        <v>5</v>
      </c>
      <c r="T573">
        <v>0</v>
      </c>
      <c r="U573">
        <v>0</v>
      </c>
      <c r="V573">
        <v>0</v>
      </c>
      <c r="W573">
        <v>0</v>
      </c>
      <c r="X573">
        <v>0</v>
      </c>
      <c r="Y573">
        <v>0</v>
      </c>
      <c r="Z573">
        <v>0</v>
      </c>
      <c r="AA573">
        <v>0</v>
      </c>
      <c r="AB573">
        <v>0</v>
      </c>
      <c r="AC573">
        <v>0</v>
      </c>
      <c r="AD573">
        <v>2.5</v>
      </c>
      <c r="AE573">
        <v>3</v>
      </c>
      <c r="AF573">
        <v>0</v>
      </c>
      <c r="AG573">
        <v>0</v>
      </c>
      <c r="AH573">
        <v>0</v>
      </c>
      <c r="AI573">
        <v>0</v>
      </c>
      <c r="AY573" t="str">
        <f t="shared" si="152"/>
        <v>ENROCARE 10 % INJECTABLE POUR BOVINS ET PORCINS</v>
      </c>
      <c r="AZ573" t="str">
        <f>IF(COUNTIF(AY:AY,AY573)=1,AY573,IF(AND(COUNTIF(AY:AY,AY573)&gt;1,COUNTIF(AZ$2:AZ572,AY573)&gt;=1),"",AY573))</f>
        <v>ENROCARE 10 % INJECTABLE POUR BOVINS ET PORCINS</v>
      </c>
      <c r="BA573">
        <f>IF(AZ573="","",COUNTIFS(AZ$3:AZ$1439,"&lt;"&amp;AZ573,AZ$3:AZ$1439,"&lt;&gt;0")+COUNTIF(AZ$3:AZ573,AZ573)-876)</f>
        <v>210</v>
      </c>
      <c r="BE573" t="str">
        <f t="shared" si="153"/>
        <v/>
      </c>
      <c r="BF573" t="str">
        <f t="shared" si="154"/>
        <v/>
      </c>
      <c r="BG573" t="str">
        <f t="shared" si="155"/>
        <v/>
      </c>
      <c r="BH573" t="str">
        <f t="shared" si="156"/>
        <v/>
      </c>
      <c r="BI573" t="str">
        <f t="shared" si="157"/>
        <v/>
      </c>
      <c r="BJ573" t="str">
        <f t="shared" si="158"/>
        <v/>
      </c>
      <c r="BK573" t="str">
        <f t="shared" si="159"/>
        <v/>
      </c>
      <c r="BL573" t="str">
        <f t="shared" si="164"/>
        <v/>
      </c>
      <c r="BM573" t="str">
        <f t="shared" si="160"/>
        <v/>
      </c>
      <c r="BN573" t="str">
        <f t="shared" si="161"/>
        <v/>
      </c>
      <c r="BO573" t="str">
        <f t="shared" si="162"/>
        <v/>
      </c>
      <c r="BP573" t="b">
        <f t="shared" si="165"/>
        <v>0</v>
      </c>
      <c r="BQ573" t="str">
        <f t="shared" si="166"/>
        <v/>
      </c>
      <c r="BR573" t="str">
        <f t="shared" si="167"/>
        <v/>
      </c>
      <c r="BS573" t="str">
        <f t="shared" si="168"/>
        <v/>
      </c>
      <c r="BT573" s="76" t="str">
        <f t="shared" si="169"/>
        <v/>
      </c>
      <c r="BU573" t="str">
        <f t="shared" si="170"/>
        <v/>
      </c>
      <c r="CN573">
        <v>572</v>
      </c>
    </row>
    <row r="574" spans="1:92" x14ac:dyDescent="0.3">
      <c r="A574" s="118" t="s">
        <v>3527</v>
      </c>
      <c r="B574" t="s">
        <v>3528</v>
      </c>
      <c r="C574" t="s">
        <v>1369</v>
      </c>
      <c r="D574" s="144" t="s">
        <v>780</v>
      </c>
      <c r="E574" t="s">
        <v>765</v>
      </c>
      <c r="F574" t="s">
        <v>3529</v>
      </c>
      <c r="G574" t="s">
        <v>766</v>
      </c>
      <c r="H574" t="s">
        <v>3530</v>
      </c>
      <c r="I574" t="s">
        <v>766</v>
      </c>
      <c r="J574" t="s">
        <v>2366</v>
      </c>
      <c r="K574" t="s">
        <v>2366</v>
      </c>
      <c r="L574" t="s">
        <v>2367</v>
      </c>
      <c r="M574" t="s">
        <v>208</v>
      </c>
      <c r="N574" t="s">
        <v>855</v>
      </c>
      <c r="O574" t="s">
        <v>771</v>
      </c>
      <c r="P574" t="s">
        <v>772</v>
      </c>
      <c r="Q574" t="s">
        <v>1128</v>
      </c>
      <c r="R574">
        <v>0</v>
      </c>
      <c r="S574">
        <v>0</v>
      </c>
      <c r="T574">
        <v>5</v>
      </c>
      <c r="U574">
        <v>5</v>
      </c>
      <c r="V574">
        <v>0</v>
      </c>
      <c r="W574">
        <v>0</v>
      </c>
      <c r="X574">
        <v>0</v>
      </c>
      <c r="Y574">
        <v>0</v>
      </c>
      <c r="Z574">
        <v>0</v>
      </c>
      <c r="AA574">
        <v>0</v>
      </c>
      <c r="AB574">
        <v>0</v>
      </c>
      <c r="AC574">
        <v>0</v>
      </c>
      <c r="AD574">
        <v>0</v>
      </c>
      <c r="AE574">
        <v>0</v>
      </c>
      <c r="AF574">
        <v>0</v>
      </c>
      <c r="AG574">
        <v>0</v>
      </c>
      <c r="AH574">
        <v>10</v>
      </c>
      <c r="AI574">
        <v>10</v>
      </c>
      <c r="AY574" t="str">
        <f t="shared" si="152"/>
        <v/>
      </c>
      <c r="AZ574" t="str">
        <f>IF(COUNTIF(AY:AY,AY574)=1,AY574,IF(AND(COUNTIF(AY:AY,AY574)&gt;1,COUNTIF(AZ$2:AZ573,AY574)&gt;=1),"",AY574))</f>
        <v/>
      </c>
      <c r="BA574" t="str">
        <f>IF(AZ574="","",COUNTIFS(AZ$3:AZ$1439,"&lt;"&amp;AZ574,AZ$3:AZ$1439,"&lt;&gt;0")+COUNTIF(AZ$3:AZ574,AZ574)-876)</f>
        <v/>
      </c>
      <c r="BE574" t="str">
        <f t="shared" si="153"/>
        <v/>
      </c>
      <c r="BF574" t="str">
        <f t="shared" si="154"/>
        <v/>
      </c>
      <c r="BG574" t="str">
        <f t="shared" si="155"/>
        <v/>
      </c>
      <c r="BH574" t="str">
        <f t="shared" si="156"/>
        <v/>
      </c>
      <c r="BI574" t="str">
        <f t="shared" si="157"/>
        <v/>
      </c>
      <c r="BJ574" t="str">
        <f t="shared" si="158"/>
        <v/>
      </c>
      <c r="BK574" t="str">
        <f t="shared" si="159"/>
        <v/>
      </c>
      <c r="BL574" t="str">
        <f t="shared" si="164"/>
        <v/>
      </c>
      <c r="BM574" t="str">
        <f t="shared" si="160"/>
        <v/>
      </c>
      <c r="BN574" t="str">
        <f t="shared" si="161"/>
        <v/>
      </c>
      <c r="BO574" t="str">
        <f t="shared" si="162"/>
        <v/>
      </c>
      <c r="BP574" t="b">
        <f t="shared" si="165"/>
        <v>0</v>
      </c>
      <c r="BQ574" t="str">
        <f t="shared" si="166"/>
        <v/>
      </c>
      <c r="BR574" t="str">
        <f t="shared" si="167"/>
        <v/>
      </c>
      <c r="BS574" t="str">
        <f t="shared" si="168"/>
        <v/>
      </c>
      <c r="BT574" s="76" t="str">
        <f t="shared" si="169"/>
        <v/>
      </c>
      <c r="BU574" t="str">
        <f t="shared" si="170"/>
        <v/>
      </c>
      <c r="CN574">
        <v>573</v>
      </c>
    </row>
    <row r="575" spans="1:92" x14ac:dyDescent="0.3">
      <c r="A575" s="118" t="s">
        <v>3531</v>
      </c>
      <c r="B575" t="s">
        <v>3532</v>
      </c>
      <c r="C575" t="s">
        <v>3533</v>
      </c>
      <c r="D575" s="144" t="s">
        <v>764</v>
      </c>
      <c r="E575" t="s">
        <v>765</v>
      </c>
      <c r="F575" t="s">
        <v>640</v>
      </c>
      <c r="G575" t="s">
        <v>766</v>
      </c>
      <c r="H575" t="s">
        <v>3534</v>
      </c>
      <c r="I575" t="s">
        <v>766</v>
      </c>
      <c r="J575" t="s">
        <v>2366</v>
      </c>
      <c r="K575" t="s">
        <v>2366</v>
      </c>
      <c r="L575" t="s">
        <v>2367</v>
      </c>
      <c r="M575" t="s">
        <v>208</v>
      </c>
      <c r="N575" t="s">
        <v>780</v>
      </c>
      <c r="O575" t="s">
        <v>771</v>
      </c>
      <c r="P575" t="s">
        <v>772</v>
      </c>
      <c r="Q575" t="s">
        <v>885</v>
      </c>
      <c r="R575">
        <v>5</v>
      </c>
      <c r="S575">
        <v>5</v>
      </c>
      <c r="T575">
        <v>5</v>
      </c>
      <c r="U575">
        <v>5</v>
      </c>
      <c r="V575">
        <v>0</v>
      </c>
      <c r="W575">
        <v>0</v>
      </c>
      <c r="X575">
        <v>0</v>
      </c>
      <c r="Y575">
        <v>0</v>
      </c>
      <c r="Z575">
        <v>0</v>
      </c>
      <c r="AA575">
        <v>0</v>
      </c>
      <c r="AB575">
        <v>0</v>
      </c>
      <c r="AC575">
        <v>0</v>
      </c>
      <c r="AD575">
        <v>2.5</v>
      </c>
      <c r="AE575">
        <v>3</v>
      </c>
      <c r="AF575">
        <v>0</v>
      </c>
      <c r="AG575">
        <v>0</v>
      </c>
      <c r="AH575">
        <v>0</v>
      </c>
      <c r="AI575">
        <v>0</v>
      </c>
      <c r="AY575" t="str">
        <f t="shared" si="152"/>
        <v>ENROCARE 5 % INJECTABLE POUR BOVINS PORCINS CHIENS ET CHATS</v>
      </c>
      <c r="AZ575" t="str">
        <f>IF(COUNTIF(AY:AY,AY575)=1,AY575,IF(AND(COUNTIF(AY:AY,AY575)&gt;1,COUNTIF(AZ$2:AZ574,AY575)&gt;=1),"",AY575))</f>
        <v>ENROCARE 5 % INJECTABLE POUR BOVINS PORCINS CHIENS ET CHATS</v>
      </c>
      <c r="BA575">
        <f>IF(AZ575="","",COUNTIFS(AZ$3:AZ$1439,"&lt;"&amp;AZ575,AZ$3:AZ$1439,"&lt;&gt;0")+COUNTIF(AZ$3:AZ575,AZ575)-876)</f>
        <v>211</v>
      </c>
      <c r="BE575" t="str">
        <f t="shared" si="153"/>
        <v/>
      </c>
      <c r="BF575" t="str">
        <f t="shared" si="154"/>
        <v/>
      </c>
      <c r="BG575" t="str">
        <f t="shared" si="155"/>
        <v/>
      </c>
      <c r="BH575" t="str">
        <f t="shared" si="156"/>
        <v/>
      </c>
      <c r="BI575" t="str">
        <f t="shared" si="157"/>
        <v/>
      </c>
      <c r="BJ575" t="str">
        <f t="shared" si="158"/>
        <v/>
      </c>
      <c r="BK575" t="str">
        <f t="shared" si="159"/>
        <v/>
      </c>
      <c r="BL575" t="str">
        <f t="shared" si="164"/>
        <v/>
      </c>
      <c r="BM575" t="str">
        <f t="shared" si="160"/>
        <v/>
      </c>
      <c r="BN575" t="str">
        <f t="shared" si="161"/>
        <v/>
      </c>
      <c r="BO575" t="str">
        <f t="shared" si="162"/>
        <v/>
      </c>
      <c r="BP575" t="b">
        <f t="shared" si="165"/>
        <v>0</v>
      </c>
      <c r="BQ575" t="str">
        <f t="shared" si="166"/>
        <v/>
      </c>
      <c r="BR575" t="str">
        <f t="shared" si="167"/>
        <v/>
      </c>
      <c r="BS575" t="str">
        <f t="shared" si="168"/>
        <v/>
      </c>
      <c r="BT575" s="76" t="str">
        <f t="shared" si="169"/>
        <v/>
      </c>
      <c r="BU575" t="str">
        <f t="shared" si="170"/>
        <v/>
      </c>
      <c r="CN575">
        <v>574</v>
      </c>
    </row>
    <row r="576" spans="1:92" x14ac:dyDescent="0.3">
      <c r="A576" s="118" t="s">
        <v>3875</v>
      </c>
      <c r="B576" t="s">
        <v>3876</v>
      </c>
      <c r="C576" t="s">
        <v>792</v>
      </c>
      <c r="D576" s="144" t="s">
        <v>764</v>
      </c>
      <c r="E576" t="s">
        <v>765</v>
      </c>
      <c r="F576" t="s">
        <v>342</v>
      </c>
      <c r="G576" t="s">
        <v>956</v>
      </c>
      <c r="H576" t="s">
        <v>2380</v>
      </c>
      <c r="I576" t="s">
        <v>817</v>
      </c>
      <c r="J576" t="s">
        <v>2366</v>
      </c>
      <c r="K576" t="s">
        <v>2366</v>
      </c>
      <c r="L576" t="s">
        <v>2367</v>
      </c>
      <c r="M576" t="s">
        <v>208</v>
      </c>
      <c r="N576" t="s">
        <v>764</v>
      </c>
      <c r="O576" t="s">
        <v>771</v>
      </c>
      <c r="P576" t="s">
        <v>772</v>
      </c>
      <c r="Q576" t="s">
        <v>852</v>
      </c>
      <c r="R576">
        <v>0</v>
      </c>
      <c r="S576">
        <v>0</v>
      </c>
      <c r="T576">
        <v>0</v>
      </c>
      <c r="U576">
        <v>0</v>
      </c>
      <c r="V576">
        <v>0</v>
      </c>
      <c r="W576">
        <v>0</v>
      </c>
      <c r="X576">
        <v>0</v>
      </c>
      <c r="Y576">
        <v>0</v>
      </c>
      <c r="Z576">
        <v>10</v>
      </c>
      <c r="AA576">
        <v>5</v>
      </c>
      <c r="AB576">
        <v>0</v>
      </c>
      <c r="AC576">
        <v>0</v>
      </c>
      <c r="AD576">
        <v>0</v>
      </c>
      <c r="AE576">
        <v>0</v>
      </c>
      <c r="AF576">
        <v>10</v>
      </c>
      <c r="AG576">
        <v>5</v>
      </c>
      <c r="AH576">
        <v>10</v>
      </c>
      <c r="AI576">
        <v>5</v>
      </c>
      <c r="AY576" t="str">
        <f t="shared" si="152"/>
        <v>ENROTRON 100 MG/ML SOLUTION BUVABLE POUR POULES, DINDES ET LAPINS</v>
      </c>
      <c r="AZ576" t="str">
        <f>IF(COUNTIF(AY:AY,AY576)=1,AY576,IF(AND(COUNTIF(AY:AY,AY576)&gt;1,COUNTIF(AZ$2:AZ575,AY576)&gt;=1),"",AY576))</f>
        <v>ENROTRON 100 MG/ML SOLUTION BUVABLE POUR POULES, DINDES ET LAPINS</v>
      </c>
      <c r="BA576">
        <f>IF(AZ576="","",COUNTIFS(AZ$3:AZ$1439,"&lt;"&amp;AZ576,AZ$3:AZ$1439,"&lt;&gt;0")+COUNTIF(AZ$3:AZ576,AZ576)-876)</f>
        <v>212</v>
      </c>
      <c r="BE576" t="str">
        <f t="shared" si="153"/>
        <v/>
      </c>
      <c r="BF576" t="str">
        <f t="shared" si="154"/>
        <v/>
      </c>
      <c r="BG576" t="str">
        <f t="shared" si="155"/>
        <v/>
      </c>
      <c r="BH576" t="str">
        <f t="shared" si="156"/>
        <v/>
      </c>
      <c r="BI576" t="str">
        <f t="shared" si="157"/>
        <v/>
      </c>
      <c r="BJ576" t="str">
        <f t="shared" si="158"/>
        <v/>
      </c>
      <c r="BK576" t="str">
        <f t="shared" si="159"/>
        <v/>
      </c>
      <c r="BL576" t="str">
        <f t="shared" si="164"/>
        <v/>
      </c>
      <c r="BM576" t="str">
        <f t="shared" si="160"/>
        <v/>
      </c>
      <c r="BN576" t="str">
        <f t="shared" si="161"/>
        <v/>
      </c>
      <c r="BO576" t="str">
        <f t="shared" si="162"/>
        <v/>
      </c>
      <c r="BP576" t="b">
        <f t="shared" si="165"/>
        <v>0</v>
      </c>
      <c r="BQ576" t="str">
        <f t="shared" si="166"/>
        <v/>
      </c>
      <c r="BR576" t="str">
        <f t="shared" si="167"/>
        <v/>
      </c>
      <c r="BS576" t="str">
        <f t="shared" si="168"/>
        <v/>
      </c>
      <c r="BT576" s="76" t="str">
        <f t="shared" si="169"/>
        <v/>
      </c>
      <c r="BU576" t="str">
        <f t="shared" si="170"/>
        <v/>
      </c>
      <c r="CN576">
        <v>575</v>
      </c>
    </row>
    <row r="577" spans="1:92" x14ac:dyDescent="0.3">
      <c r="A577" s="118" t="s">
        <v>3875</v>
      </c>
      <c r="B577" t="s">
        <v>3877</v>
      </c>
      <c r="C577" t="s">
        <v>2382</v>
      </c>
      <c r="D577" s="144" t="s">
        <v>829</v>
      </c>
      <c r="E577" t="s">
        <v>765</v>
      </c>
      <c r="F577" t="s">
        <v>342</v>
      </c>
      <c r="G577" t="s">
        <v>956</v>
      </c>
      <c r="H577" t="s">
        <v>2380</v>
      </c>
      <c r="I577" t="s">
        <v>817</v>
      </c>
      <c r="J577" t="s">
        <v>2366</v>
      </c>
      <c r="K577" t="s">
        <v>2366</v>
      </c>
      <c r="L577" t="s">
        <v>2367</v>
      </c>
      <c r="M577" t="s">
        <v>208</v>
      </c>
      <c r="N577" t="s">
        <v>764</v>
      </c>
      <c r="O577" t="s">
        <v>771</v>
      </c>
      <c r="P577" t="s">
        <v>772</v>
      </c>
      <c r="Q577" t="s">
        <v>764</v>
      </c>
      <c r="R577">
        <v>0</v>
      </c>
      <c r="S577">
        <v>0</v>
      </c>
      <c r="T577">
        <v>0</v>
      </c>
      <c r="U577">
        <v>0</v>
      </c>
      <c r="V577">
        <v>0</v>
      </c>
      <c r="W577">
        <v>0</v>
      </c>
      <c r="X577">
        <v>0</v>
      </c>
      <c r="Y577">
        <v>0</v>
      </c>
      <c r="Z577">
        <v>10</v>
      </c>
      <c r="AA577">
        <v>5</v>
      </c>
      <c r="AB577">
        <v>0</v>
      </c>
      <c r="AC577">
        <v>0</v>
      </c>
      <c r="AD577">
        <v>0</v>
      </c>
      <c r="AE577">
        <v>0</v>
      </c>
      <c r="AF577">
        <v>10</v>
      </c>
      <c r="AG577">
        <v>5</v>
      </c>
      <c r="AH577">
        <v>10</v>
      </c>
      <c r="AI577">
        <v>5</v>
      </c>
      <c r="AY577" t="str">
        <f t="shared" si="152"/>
        <v>ENROTRON 100 MG/ML SOLUTION BUVABLE POUR POULES, DINDES ET LAPINS</v>
      </c>
      <c r="AZ577" t="str">
        <f>IF(COUNTIF(AY:AY,AY577)=1,AY577,IF(AND(COUNTIF(AY:AY,AY577)&gt;1,COUNTIF(AZ$2:AZ576,AY577)&gt;=1),"",AY577))</f>
        <v/>
      </c>
      <c r="BA577" t="str">
        <f>IF(AZ577="","",COUNTIFS(AZ$3:AZ$1439,"&lt;"&amp;AZ577,AZ$3:AZ$1439,"&lt;&gt;0")+COUNTIF(AZ$3:AZ577,AZ577)-876)</f>
        <v/>
      </c>
      <c r="BE577" t="str">
        <f t="shared" si="153"/>
        <v/>
      </c>
      <c r="BF577" t="str">
        <f t="shared" si="154"/>
        <v/>
      </c>
      <c r="BG577" t="str">
        <f t="shared" si="155"/>
        <v/>
      </c>
      <c r="BH577" t="str">
        <f t="shared" si="156"/>
        <v/>
      </c>
      <c r="BI577" t="str">
        <f t="shared" si="157"/>
        <v/>
      </c>
      <c r="BJ577" t="str">
        <f t="shared" si="158"/>
        <v/>
      </c>
      <c r="BK577" t="str">
        <f t="shared" si="159"/>
        <v/>
      </c>
      <c r="BL577" t="str">
        <f t="shared" si="164"/>
        <v/>
      </c>
      <c r="BM577" t="str">
        <f t="shared" si="160"/>
        <v/>
      </c>
      <c r="BN577" t="str">
        <f t="shared" si="161"/>
        <v/>
      </c>
      <c r="BO577" t="str">
        <f t="shared" si="162"/>
        <v/>
      </c>
      <c r="BP577" t="b">
        <f t="shared" si="165"/>
        <v>0</v>
      </c>
      <c r="BQ577" t="str">
        <f t="shared" si="166"/>
        <v/>
      </c>
      <c r="BR577" t="str">
        <f t="shared" si="167"/>
        <v/>
      </c>
      <c r="BS577" t="str">
        <f t="shared" si="168"/>
        <v/>
      </c>
      <c r="BT577" s="76" t="str">
        <f t="shared" si="169"/>
        <v/>
      </c>
      <c r="BU577" t="str">
        <f t="shared" si="170"/>
        <v/>
      </c>
      <c r="CN577">
        <v>576</v>
      </c>
    </row>
    <row r="578" spans="1:92" x14ac:dyDescent="0.3">
      <c r="A578" s="118" t="s">
        <v>3413</v>
      </c>
      <c r="B578" t="s">
        <v>3414</v>
      </c>
      <c r="C578" t="s">
        <v>2909</v>
      </c>
      <c r="D578" s="144" t="s">
        <v>764</v>
      </c>
      <c r="E578" t="s">
        <v>765</v>
      </c>
      <c r="F578" t="s">
        <v>641</v>
      </c>
      <c r="G578" t="s">
        <v>956</v>
      </c>
      <c r="H578" t="s">
        <v>3214</v>
      </c>
      <c r="I578" t="s">
        <v>817</v>
      </c>
      <c r="J578" t="s">
        <v>2366</v>
      </c>
      <c r="K578" t="s">
        <v>2366</v>
      </c>
      <c r="L578" t="s">
        <v>2367</v>
      </c>
      <c r="M578" t="s">
        <v>208</v>
      </c>
      <c r="N578" t="s">
        <v>764</v>
      </c>
      <c r="O578" t="s">
        <v>771</v>
      </c>
      <c r="P578" t="s">
        <v>772</v>
      </c>
      <c r="Q578" t="s">
        <v>852</v>
      </c>
      <c r="R578">
        <v>0</v>
      </c>
      <c r="S578">
        <v>0</v>
      </c>
      <c r="T578">
        <v>0</v>
      </c>
      <c r="U578">
        <v>0</v>
      </c>
      <c r="V578">
        <v>0</v>
      </c>
      <c r="W578">
        <v>0</v>
      </c>
      <c r="X578">
        <v>0</v>
      </c>
      <c r="Y578">
        <v>0</v>
      </c>
      <c r="Z578">
        <v>0</v>
      </c>
      <c r="AA578">
        <v>0</v>
      </c>
      <c r="AB578">
        <v>0</v>
      </c>
      <c r="AC578">
        <v>0</v>
      </c>
      <c r="AD578">
        <v>0</v>
      </c>
      <c r="AE578">
        <v>0</v>
      </c>
      <c r="AF578">
        <v>10</v>
      </c>
      <c r="AG578">
        <v>5</v>
      </c>
      <c r="AH578">
        <v>0</v>
      </c>
      <c r="AI578">
        <v>0</v>
      </c>
      <c r="AY578" t="str">
        <f t="shared" si="152"/>
        <v>ENROVAL 10 % SOLUTION BUVABLE POUR VOLAILLES</v>
      </c>
      <c r="AZ578" t="str">
        <f>IF(COUNTIF(AY:AY,AY578)=1,AY578,IF(AND(COUNTIF(AY:AY,AY578)&gt;1,COUNTIF(AZ$2:AZ577,AY578)&gt;=1),"",AY578))</f>
        <v>ENROVAL 10 % SOLUTION BUVABLE POUR VOLAILLES</v>
      </c>
      <c r="BA578">
        <f>IF(AZ578="","",COUNTIFS(AZ$3:AZ$1439,"&lt;"&amp;AZ578,AZ$3:AZ$1439,"&lt;&gt;0")+COUNTIF(AZ$3:AZ578,AZ578)-876)</f>
        <v>213</v>
      </c>
      <c r="BE578" t="str">
        <f t="shared" si="153"/>
        <v/>
      </c>
      <c r="BF578" t="str">
        <f t="shared" si="154"/>
        <v/>
      </c>
      <c r="BG578" t="str">
        <f t="shared" si="155"/>
        <v/>
      </c>
      <c r="BH578" t="str">
        <f t="shared" si="156"/>
        <v/>
      </c>
      <c r="BI578" t="str">
        <f t="shared" si="157"/>
        <v/>
      </c>
      <c r="BJ578" t="str">
        <f t="shared" si="158"/>
        <v/>
      </c>
      <c r="BK578" t="str">
        <f t="shared" si="159"/>
        <v/>
      </c>
      <c r="BL578" t="str">
        <f t="shared" si="164"/>
        <v/>
      </c>
      <c r="BM578" t="str">
        <f t="shared" si="160"/>
        <v/>
      </c>
      <c r="BN578" t="str">
        <f t="shared" si="161"/>
        <v/>
      </c>
      <c r="BO578" t="str">
        <f t="shared" si="162"/>
        <v/>
      </c>
      <c r="BP578" t="b">
        <f t="shared" si="165"/>
        <v>0</v>
      </c>
      <c r="BQ578" t="str">
        <f t="shared" si="166"/>
        <v/>
      </c>
      <c r="BR578" t="str">
        <f t="shared" si="167"/>
        <v/>
      </c>
      <c r="BS578" t="str">
        <f t="shared" si="168"/>
        <v/>
      </c>
      <c r="BT578" s="76" t="str">
        <f t="shared" si="169"/>
        <v/>
      </c>
      <c r="BU578" t="str">
        <f t="shared" si="170"/>
        <v/>
      </c>
      <c r="CN578">
        <v>577</v>
      </c>
    </row>
    <row r="579" spans="1:92" x14ac:dyDescent="0.3">
      <c r="A579" s="118" t="s">
        <v>3413</v>
      </c>
      <c r="B579" t="s">
        <v>3415</v>
      </c>
      <c r="C579" t="s">
        <v>3416</v>
      </c>
      <c r="D579" s="144" t="s">
        <v>829</v>
      </c>
      <c r="E579" t="s">
        <v>765</v>
      </c>
      <c r="F579" t="s">
        <v>641</v>
      </c>
      <c r="G579" t="s">
        <v>956</v>
      </c>
      <c r="H579" t="s">
        <v>3214</v>
      </c>
      <c r="I579" t="s">
        <v>817</v>
      </c>
      <c r="J579" t="s">
        <v>2366</v>
      </c>
      <c r="K579" t="s">
        <v>2366</v>
      </c>
      <c r="L579" t="s">
        <v>2367</v>
      </c>
      <c r="M579" t="s">
        <v>208</v>
      </c>
      <c r="N579" t="s">
        <v>764</v>
      </c>
      <c r="O579" t="s">
        <v>771</v>
      </c>
      <c r="P579" t="s">
        <v>772</v>
      </c>
      <c r="Q579" t="s">
        <v>764</v>
      </c>
      <c r="R579">
        <v>0</v>
      </c>
      <c r="S579">
        <v>0</v>
      </c>
      <c r="T579">
        <v>0</v>
      </c>
      <c r="U579">
        <v>0</v>
      </c>
      <c r="V579">
        <v>0</v>
      </c>
      <c r="W579">
        <v>0</v>
      </c>
      <c r="X579">
        <v>0</v>
      </c>
      <c r="Y579">
        <v>0</v>
      </c>
      <c r="Z579">
        <v>0</v>
      </c>
      <c r="AA579">
        <v>0</v>
      </c>
      <c r="AB579">
        <v>0</v>
      </c>
      <c r="AC579">
        <v>0</v>
      </c>
      <c r="AD579">
        <v>0</v>
      </c>
      <c r="AE579">
        <v>0</v>
      </c>
      <c r="AF579">
        <v>10</v>
      </c>
      <c r="AG579">
        <v>5</v>
      </c>
      <c r="AH579">
        <v>0</v>
      </c>
      <c r="AI579">
        <v>0</v>
      </c>
      <c r="AY579" t="str">
        <f t="shared" ref="AY579:AY642" si="171">IF(INDEX(CK$3:CL$174,MATCH(H579,CK$3:CK$174,0),2)="x",F579,"")</f>
        <v>ENROVAL 10 % SOLUTION BUVABLE POUR VOLAILLES</v>
      </c>
      <c r="AZ579" t="str">
        <f>IF(COUNTIF(AY:AY,AY579)=1,AY579,IF(AND(COUNTIF(AY:AY,AY579)&gt;1,COUNTIF(AZ$2:AZ578,AY579)&gt;=1),"",AY579))</f>
        <v/>
      </c>
      <c r="BA579" t="str">
        <f>IF(AZ579="","",COUNTIFS(AZ$3:AZ$1439,"&lt;"&amp;AZ579,AZ$3:AZ$1439,"&lt;&gt;0")+COUNTIF(AZ$3:AZ579,AZ579)-876)</f>
        <v/>
      </c>
      <c r="BE579" t="str">
        <f t="shared" ref="BE579:BE602" si="172">IFERROR(INDEX(F:AR,MATCH(BD579,F:F,0),4),"")</f>
        <v/>
      </c>
      <c r="BF579" t="str">
        <f t="shared" ref="BF579:BF602" si="173">IFERROR(INDEX(F:AR,MATCH(BD579,F:F,0),6),"")</f>
        <v/>
      </c>
      <c r="BG579" t="str">
        <f t="shared" ref="BG579:BG602" si="174">IFERROR(IF(INDEX(F:AR,MATCH(BD579,F:F,0),31)=0,"",INDEX(F:AR,MATCH(BD579,F:F,0),31)),"")</f>
        <v/>
      </c>
      <c r="BH579" t="str">
        <f t="shared" ref="BH579:BH602" si="175">IFERROR(IF(INDEX(F:AR,MATCH(BD579,F:F,0),38)=0,"",INDEX(F:AR,MATCH(BD579,F:F,0),38)),"")</f>
        <v/>
      </c>
      <c r="BI579" t="str">
        <f t="shared" ref="BI579:BI602" si="176">+IFERROR(IF(INDEX(F:AR,MATCH(BD579,F:F,0),7)=0,"",INDEX(F:AR,MATCH(BD579,F:F,0),7)),"")</f>
        <v/>
      </c>
      <c r="BJ579" t="str">
        <f t="shared" ref="BJ579:BJ602" si="177">IFERROR(IF(INDEX(F:AR,MATCH(BD579,F:F,0),32)=0,"",INDEX(F:AR,MATCH(BD579,F:F,0),32)),"")</f>
        <v/>
      </c>
      <c r="BK579" t="str">
        <f t="shared" ref="BK579:BK602" si="178">IFERROR(IF(INDEX(F:AR,MATCH(BD579,F:F,0),39)=0,"",INDEX(F:AR,MATCH(BD579,F:F,0),39)),"")</f>
        <v/>
      </c>
      <c r="BL579" t="str">
        <f t="shared" si="164"/>
        <v/>
      </c>
      <c r="BM579" t="str">
        <f t="shared" ref="BM579:BM602" si="179">IFERROR(INDEX(BZ$3:CA$63,MATCH(BI579,BZ$3:BZ$63,0),2),"")</f>
        <v/>
      </c>
      <c r="BN579" t="str">
        <f t="shared" ref="BN579:BN602" si="180">IFERROR(INDEX(BZ$3:CA$63,MATCH(BJ579,BZ$3:BZ$63,0),2),"")</f>
        <v/>
      </c>
      <c r="BO579" t="str">
        <f t="shared" ref="BO579:BO602" si="181">IFERROR(INDEX(BZ$3:CA$63,MATCH(BK579,BZ$3:BZ$63,0),2),"")</f>
        <v/>
      </c>
      <c r="BP579" t="b">
        <f t="shared" si="165"/>
        <v>0</v>
      </c>
      <c r="BQ579" t="str">
        <f t="shared" si="166"/>
        <v/>
      </c>
      <c r="BR579" t="str">
        <f t="shared" si="167"/>
        <v/>
      </c>
      <c r="BS579" t="str">
        <f t="shared" si="168"/>
        <v/>
      </c>
      <c r="BT579" s="76" t="str">
        <f t="shared" si="169"/>
        <v/>
      </c>
      <c r="BU579" t="str">
        <f t="shared" si="170"/>
        <v/>
      </c>
      <c r="CN579">
        <v>578</v>
      </c>
    </row>
    <row r="580" spans="1:92" x14ac:dyDescent="0.3">
      <c r="A580" s="118" t="s">
        <v>2577</v>
      </c>
      <c r="B580" t="s">
        <v>2578</v>
      </c>
      <c r="C580" t="s">
        <v>2579</v>
      </c>
      <c r="D580" s="144" t="s">
        <v>1212</v>
      </c>
      <c r="E580" t="s">
        <v>830</v>
      </c>
      <c r="F580" t="s">
        <v>642</v>
      </c>
      <c r="G580" t="s">
        <v>1218</v>
      </c>
      <c r="H580" t="s">
        <v>1513</v>
      </c>
      <c r="I580" t="s">
        <v>817</v>
      </c>
      <c r="J580" t="s">
        <v>1038</v>
      </c>
      <c r="K580" t="s">
        <v>862</v>
      </c>
      <c r="L580" t="s">
        <v>863</v>
      </c>
      <c r="M580" t="s">
        <v>208</v>
      </c>
      <c r="N580" t="s">
        <v>2580</v>
      </c>
      <c r="O580" t="s">
        <v>894</v>
      </c>
      <c r="P580" t="s">
        <v>772</v>
      </c>
      <c r="Q580" t="s">
        <v>2581</v>
      </c>
      <c r="R580">
        <v>100</v>
      </c>
      <c r="S580">
        <v>2</v>
      </c>
      <c r="T580">
        <v>0</v>
      </c>
      <c r="U580">
        <v>0</v>
      </c>
      <c r="V580">
        <v>100</v>
      </c>
      <c r="W580">
        <v>2</v>
      </c>
      <c r="X580">
        <v>0</v>
      </c>
      <c r="Y580">
        <v>0</v>
      </c>
      <c r="Z580">
        <v>0</v>
      </c>
      <c r="AA580">
        <v>0</v>
      </c>
      <c r="AB580">
        <v>100</v>
      </c>
      <c r="AC580">
        <v>2</v>
      </c>
      <c r="AD580">
        <v>100</v>
      </c>
      <c r="AE580">
        <v>2</v>
      </c>
      <c r="AF580">
        <v>0</v>
      </c>
      <c r="AG580">
        <v>0</v>
      </c>
      <c r="AH580">
        <v>0</v>
      </c>
      <c r="AI580">
        <v>0</v>
      </c>
      <c r="AJ580" t="s">
        <v>914</v>
      </c>
      <c r="AK580" t="s">
        <v>995</v>
      </c>
      <c r="AL580" t="s">
        <v>996</v>
      </c>
      <c r="AM580" t="s">
        <v>2582</v>
      </c>
      <c r="AN580" t="s">
        <v>834</v>
      </c>
      <c r="AO580" t="s">
        <v>4371</v>
      </c>
      <c r="AP580" t="s">
        <v>4479</v>
      </c>
      <c r="AY580" t="str">
        <f t="shared" si="171"/>
        <v>ENTEROGEL 30</v>
      </c>
      <c r="AZ580" t="str">
        <f>IF(COUNTIF(AY:AY,AY580)=1,AY580,IF(AND(COUNTIF(AY:AY,AY580)&gt;1,COUNTIF(AZ$2:AZ579,AY580)&gt;=1),"",AY580))</f>
        <v>ENTEROGEL 30</v>
      </c>
      <c r="BA580">
        <f>IF(AZ580="","",COUNTIFS(AZ$3:AZ$1439,"&lt;"&amp;AZ580,AZ$3:AZ$1439,"&lt;&gt;0")+COUNTIF(AZ$3:AZ580,AZ580)-876)</f>
        <v>214</v>
      </c>
      <c r="BE580" t="str">
        <f t="shared" si="172"/>
        <v/>
      </c>
      <c r="BF580" t="str">
        <f t="shared" si="173"/>
        <v/>
      </c>
      <c r="BG580" t="str">
        <f t="shared" si="174"/>
        <v/>
      </c>
      <c r="BH580" t="str">
        <f t="shared" si="175"/>
        <v/>
      </c>
      <c r="BI580" t="str">
        <f t="shared" si="176"/>
        <v/>
      </c>
      <c r="BJ580" t="str">
        <f t="shared" si="177"/>
        <v/>
      </c>
      <c r="BK580" t="str">
        <f t="shared" si="178"/>
        <v/>
      </c>
      <c r="BL580" t="str">
        <f t="shared" ref="BL580:BL602" si="182">IF(3-COUNTBLANK(BM580:BO580)=1,BM580,IF(3-COUNTBLANK(BM580:BO580)=2,BM580&amp;" + "&amp;BN580,IF(3-COUNTBLANK(BM580:BO580)=3,BM580&amp;" + "&amp;BN580&amp;" + "&amp;BO580,"")))</f>
        <v/>
      </c>
      <c r="BM580" t="str">
        <f t="shared" si="179"/>
        <v/>
      </c>
      <c r="BN580" t="str">
        <f t="shared" si="180"/>
        <v/>
      </c>
      <c r="BO580" t="str">
        <f t="shared" si="181"/>
        <v/>
      </c>
      <c r="BP580" t="b">
        <f t="shared" ref="BP580:BP602" si="183">IF(3-COUNTBLANK(BQ580:BS580)=1,BQ580,IF(3-COUNTBLANK(BQ580:BS580)=2,IF(BQ580=BR580,BQ580,BQ580&amp;" + "&amp;BR580),IF(3-COUNTBLANK(BQ580:BS580)=3,IF(BQ580=BR580,BQ580,IF(BQ580=BS580,BQ580,IF(BR580=BS580,BR580,IF(AND(BQ580=BR580,BQ580=BS580),BQ580,BQ580&amp;" + "&amp;BR580&amp;" + "&amp;BS580)))))))</f>
        <v>0</v>
      </c>
      <c r="BQ580" t="str">
        <f t="shared" ref="BQ580:BQ602" si="184">IFERROR(INDEX(BW$3:BX$18,MATCH(BF580,BW$3:BW$18,0),2),"")</f>
        <v/>
      </c>
      <c r="BR580" t="str">
        <f t="shared" ref="BR580:BR602" si="185">IFERROR(INDEX(BW$3:BX$18,MATCH(BG580,BW$3:BW$18,0),2),"")</f>
        <v/>
      </c>
      <c r="BS580" t="str">
        <f t="shared" ref="BS580:BS602" si="186">IFERROR(INDEX(BW$3:BX$18,MATCH(BH580,BW$3:BW$18,0),2),"")</f>
        <v/>
      </c>
      <c r="BT580" s="76" t="str">
        <f t="shared" ref="BT580:BT602" si="187">IFERROR(INDEX(CD$3:CE$9,MATCH(BE580,CD$3:CD$9,0),2),"")</f>
        <v/>
      </c>
      <c r="BU580" t="str">
        <f t="shared" ref="BU580:BU602" si="188">IF(BM580="Colistine","x",IF(BN580="Colistine","x",IF(BO580="Colistine","x",IF(BQ580="Fluoroquinolones","x",IF(BR580="Fluoroquinolones","x",IF(BS580="Fluoroquinolones","x",IF(BQ580="Cephalosporines 3&amp;4G","x",IF(BR580="Cephalosporines 3&amp;4G","x",IF(BS580="Cephalosporines 3&amp;4G","x","")))))))))</f>
        <v/>
      </c>
      <c r="CN580">
        <v>579</v>
      </c>
    </row>
    <row r="581" spans="1:92" x14ac:dyDescent="0.3">
      <c r="A581" s="118" t="s">
        <v>2577</v>
      </c>
      <c r="B581" t="s">
        <v>2583</v>
      </c>
      <c r="C581" t="s">
        <v>2584</v>
      </c>
      <c r="D581" s="144" t="s">
        <v>797</v>
      </c>
      <c r="E581" t="s">
        <v>830</v>
      </c>
      <c r="F581" t="s">
        <v>642</v>
      </c>
      <c r="G581" t="s">
        <v>1218</v>
      </c>
      <c r="H581" t="s">
        <v>1513</v>
      </c>
      <c r="I581" t="s">
        <v>817</v>
      </c>
      <c r="J581" t="s">
        <v>1038</v>
      </c>
      <c r="K581" t="s">
        <v>862</v>
      </c>
      <c r="L581" t="s">
        <v>863</v>
      </c>
      <c r="M581" t="s">
        <v>208</v>
      </c>
      <c r="N581" t="s">
        <v>2580</v>
      </c>
      <c r="O581" t="s">
        <v>894</v>
      </c>
      <c r="P581" t="s">
        <v>772</v>
      </c>
      <c r="Q581" t="s">
        <v>2585</v>
      </c>
      <c r="R581">
        <v>100</v>
      </c>
      <c r="S581">
        <v>2</v>
      </c>
      <c r="T581">
        <v>0</v>
      </c>
      <c r="U581">
        <v>0</v>
      </c>
      <c r="V581">
        <v>100</v>
      </c>
      <c r="W581">
        <v>2</v>
      </c>
      <c r="X581">
        <v>0</v>
      </c>
      <c r="Y581">
        <v>0</v>
      </c>
      <c r="Z581">
        <v>0</v>
      </c>
      <c r="AA581">
        <v>0</v>
      </c>
      <c r="AB581">
        <v>100</v>
      </c>
      <c r="AC581">
        <v>2</v>
      </c>
      <c r="AD581">
        <v>100</v>
      </c>
      <c r="AE581">
        <v>2</v>
      </c>
      <c r="AF581">
        <v>0</v>
      </c>
      <c r="AG581">
        <v>0</v>
      </c>
      <c r="AH581">
        <v>0</v>
      </c>
      <c r="AI581">
        <v>0</v>
      </c>
      <c r="AJ581" t="s">
        <v>914</v>
      </c>
      <c r="AK581" t="s">
        <v>995</v>
      </c>
      <c r="AL581" t="s">
        <v>996</v>
      </c>
      <c r="AM581" t="s">
        <v>2582</v>
      </c>
      <c r="AN581" t="s">
        <v>834</v>
      </c>
      <c r="AO581" t="s">
        <v>4371</v>
      </c>
      <c r="AP581" t="s">
        <v>1119</v>
      </c>
      <c r="AY581" t="str">
        <f t="shared" si="171"/>
        <v>ENTEROGEL 30</v>
      </c>
      <c r="AZ581" t="str">
        <f>IF(COUNTIF(AY:AY,AY581)=1,AY581,IF(AND(COUNTIF(AY:AY,AY581)&gt;1,COUNTIF(AZ$2:AZ580,AY581)&gt;=1),"",AY581))</f>
        <v/>
      </c>
      <c r="BA581" t="str">
        <f>IF(AZ581="","",COUNTIFS(AZ$3:AZ$1439,"&lt;"&amp;AZ581,AZ$3:AZ$1439,"&lt;&gt;0")+COUNTIF(AZ$3:AZ581,AZ581)-876)</f>
        <v/>
      </c>
      <c r="BE581" t="str">
        <f t="shared" si="172"/>
        <v/>
      </c>
      <c r="BF581" t="str">
        <f t="shared" si="173"/>
        <v/>
      </c>
      <c r="BG581" t="str">
        <f t="shared" si="174"/>
        <v/>
      </c>
      <c r="BH581" t="str">
        <f t="shared" si="175"/>
        <v/>
      </c>
      <c r="BI581" t="str">
        <f t="shared" si="176"/>
        <v/>
      </c>
      <c r="BJ581" t="str">
        <f t="shared" si="177"/>
        <v/>
      </c>
      <c r="BK581" t="str">
        <f t="shared" si="178"/>
        <v/>
      </c>
      <c r="BL581" t="str">
        <f t="shared" si="182"/>
        <v/>
      </c>
      <c r="BM581" t="str">
        <f t="shared" si="179"/>
        <v/>
      </c>
      <c r="BN581" t="str">
        <f t="shared" si="180"/>
        <v/>
      </c>
      <c r="BO581" t="str">
        <f t="shared" si="181"/>
        <v/>
      </c>
      <c r="BP581" t="b">
        <f t="shared" si="183"/>
        <v>0</v>
      </c>
      <c r="BQ581" t="str">
        <f t="shared" si="184"/>
        <v/>
      </c>
      <c r="BR581" t="str">
        <f t="shared" si="185"/>
        <v/>
      </c>
      <c r="BS581" t="str">
        <f t="shared" si="186"/>
        <v/>
      </c>
      <c r="BT581" s="76" t="str">
        <f t="shared" si="187"/>
        <v/>
      </c>
      <c r="BU581" t="str">
        <f t="shared" si="188"/>
        <v/>
      </c>
      <c r="CN581">
        <v>580</v>
      </c>
    </row>
    <row r="582" spans="1:92" x14ac:dyDescent="0.3">
      <c r="A582" s="118" t="s">
        <v>2407</v>
      </c>
      <c r="B582" t="s">
        <v>2408</v>
      </c>
      <c r="C582" t="s">
        <v>2409</v>
      </c>
      <c r="D582" s="144" t="s">
        <v>1047</v>
      </c>
      <c r="E582" t="s">
        <v>765</v>
      </c>
      <c r="F582" t="s">
        <v>89</v>
      </c>
      <c r="G582" t="s">
        <v>1218</v>
      </c>
      <c r="H582" t="s">
        <v>169</v>
      </c>
      <c r="I582" t="s">
        <v>817</v>
      </c>
      <c r="J582" t="s">
        <v>914</v>
      </c>
      <c r="K582" t="s">
        <v>914</v>
      </c>
      <c r="L582" t="s">
        <v>995</v>
      </c>
      <c r="M582" t="s">
        <v>996</v>
      </c>
      <c r="N582" t="s">
        <v>2410</v>
      </c>
      <c r="O582" t="s">
        <v>805</v>
      </c>
      <c r="P582" t="s">
        <v>4371</v>
      </c>
      <c r="Q582" t="s">
        <v>4459</v>
      </c>
      <c r="R582">
        <v>7.5</v>
      </c>
      <c r="S582">
        <v>3</v>
      </c>
      <c r="T582">
        <v>0</v>
      </c>
      <c r="U582">
        <v>0</v>
      </c>
      <c r="V582">
        <v>0</v>
      </c>
      <c r="W582">
        <v>0</v>
      </c>
      <c r="X582">
        <v>0</v>
      </c>
      <c r="Y582">
        <v>0</v>
      </c>
      <c r="Z582">
        <v>0</v>
      </c>
      <c r="AA582">
        <v>0</v>
      </c>
      <c r="AB582">
        <v>0</v>
      </c>
      <c r="AC582">
        <v>0</v>
      </c>
      <c r="AD582">
        <v>0</v>
      </c>
      <c r="AE582">
        <v>0</v>
      </c>
      <c r="AF582">
        <v>0</v>
      </c>
      <c r="AG582">
        <v>0</v>
      </c>
      <c r="AH582">
        <v>0</v>
      </c>
      <c r="AI582">
        <v>0</v>
      </c>
      <c r="AY582" t="str">
        <f t="shared" si="171"/>
        <v>ENTEROGRAM</v>
      </c>
      <c r="AZ582" t="str">
        <f>IF(COUNTIF(AY:AY,AY582)=1,AY582,IF(AND(COUNTIF(AY:AY,AY582)&gt;1,COUNTIF(AZ$2:AZ581,AY582)&gt;=1),"",AY582))</f>
        <v>ENTEROGRAM</v>
      </c>
      <c r="BA582">
        <f>IF(AZ582="","",COUNTIFS(AZ$3:AZ$1439,"&lt;"&amp;AZ582,AZ$3:AZ$1439,"&lt;&gt;0")+COUNTIF(AZ$3:AZ582,AZ582)-876)</f>
        <v>215</v>
      </c>
      <c r="BE582" t="str">
        <f t="shared" si="172"/>
        <v/>
      </c>
      <c r="BF582" t="str">
        <f t="shared" si="173"/>
        <v/>
      </c>
      <c r="BG582" t="str">
        <f t="shared" si="174"/>
        <v/>
      </c>
      <c r="BH582" t="str">
        <f t="shared" si="175"/>
        <v/>
      </c>
      <c r="BI582" t="str">
        <f t="shared" si="176"/>
        <v/>
      </c>
      <c r="BJ582" t="str">
        <f t="shared" si="177"/>
        <v/>
      </c>
      <c r="BK582" t="str">
        <f t="shared" si="178"/>
        <v/>
      </c>
      <c r="BL582" t="str">
        <f t="shared" si="182"/>
        <v/>
      </c>
      <c r="BM582" t="str">
        <f t="shared" si="179"/>
        <v/>
      </c>
      <c r="BN582" t="str">
        <f t="shared" si="180"/>
        <v/>
      </c>
      <c r="BO582" t="str">
        <f t="shared" si="181"/>
        <v/>
      </c>
      <c r="BP582" t="b">
        <f t="shared" si="183"/>
        <v>0</v>
      </c>
      <c r="BQ582" t="str">
        <f t="shared" si="184"/>
        <v/>
      </c>
      <c r="BR582" t="str">
        <f t="shared" si="185"/>
        <v/>
      </c>
      <c r="BS582" t="str">
        <f t="shared" si="186"/>
        <v/>
      </c>
      <c r="BT582" s="76" t="str">
        <f t="shared" si="187"/>
        <v/>
      </c>
      <c r="BU582" t="str">
        <f t="shared" si="188"/>
        <v/>
      </c>
      <c r="CN582">
        <v>581</v>
      </c>
    </row>
    <row r="583" spans="1:92" x14ac:dyDescent="0.3">
      <c r="A583" s="118" t="s">
        <v>2407</v>
      </c>
      <c r="B583" t="s">
        <v>2411</v>
      </c>
      <c r="C583" t="s">
        <v>2412</v>
      </c>
      <c r="D583" s="144" t="s">
        <v>2413</v>
      </c>
      <c r="E583" t="s">
        <v>765</v>
      </c>
      <c r="F583" t="s">
        <v>89</v>
      </c>
      <c r="G583" t="s">
        <v>1218</v>
      </c>
      <c r="H583" t="s">
        <v>169</v>
      </c>
      <c r="I583" t="s">
        <v>817</v>
      </c>
      <c r="J583" t="s">
        <v>914</v>
      </c>
      <c r="K583" t="s">
        <v>914</v>
      </c>
      <c r="L583" t="s">
        <v>995</v>
      </c>
      <c r="M583" t="s">
        <v>996</v>
      </c>
      <c r="N583" t="s">
        <v>2410</v>
      </c>
      <c r="O583" t="s">
        <v>805</v>
      </c>
      <c r="P583" t="s">
        <v>4371</v>
      </c>
      <c r="Q583" t="s">
        <v>4460</v>
      </c>
      <c r="R583">
        <v>7.5</v>
      </c>
      <c r="S583">
        <v>3</v>
      </c>
      <c r="T583">
        <v>0</v>
      </c>
      <c r="U583">
        <v>0</v>
      </c>
      <c r="V583">
        <v>0</v>
      </c>
      <c r="W583">
        <v>0</v>
      </c>
      <c r="X583">
        <v>0</v>
      </c>
      <c r="Y583">
        <v>0</v>
      </c>
      <c r="Z583">
        <v>0</v>
      </c>
      <c r="AA583">
        <v>0</v>
      </c>
      <c r="AB583">
        <v>0</v>
      </c>
      <c r="AC583">
        <v>0</v>
      </c>
      <c r="AD583">
        <v>0</v>
      </c>
      <c r="AE583">
        <v>0</v>
      </c>
      <c r="AF583">
        <v>0</v>
      </c>
      <c r="AG583">
        <v>0</v>
      </c>
      <c r="AH583">
        <v>0</v>
      </c>
      <c r="AI583">
        <v>0</v>
      </c>
      <c r="AY583" t="str">
        <f t="shared" si="171"/>
        <v>ENTEROGRAM</v>
      </c>
      <c r="AZ583" t="str">
        <f>IF(COUNTIF(AY:AY,AY583)=1,AY583,IF(AND(COUNTIF(AY:AY,AY583)&gt;1,COUNTIF(AZ$2:AZ582,AY583)&gt;=1),"",AY583))</f>
        <v/>
      </c>
      <c r="BA583" t="str">
        <f>IF(AZ583="","",COUNTIFS(AZ$3:AZ$1439,"&lt;"&amp;AZ583,AZ$3:AZ$1439,"&lt;&gt;0")+COUNTIF(AZ$3:AZ583,AZ583)-876)</f>
        <v/>
      </c>
      <c r="BE583" t="str">
        <f t="shared" si="172"/>
        <v/>
      </c>
      <c r="BF583" t="str">
        <f t="shared" si="173"/>
        <v/>
      </c>
      <c r="BG583" t="str">
        <f t="shared" si="174"/>
        <v/>
      </c>
      <c r="BH583" t="str">
        <f t="shared" si="175"/>
        <v/>
      </c>
      <c r="BI583" t="str">
        <f t="shared" si="176"/>
        <v/>
      </c>
      <c r="BJ583" t="str">
        <f t="shared" si="177"/>
        <v/>
      </c>
      <c r="BK583" t="str">
        <f t="shared" si="178"/>
        <v/>
      </c>
      <c r="BL583" t="str">
        <f t="shared" si="182"/>
        <v/>
      </c>
      <c r="BM583" t="str">
        <f t="shared" si="179"/>
        <v/>
      </c>
      <c r="BN583" t="str">
        <f t="shared" si="180"/>
        <v/>
      </c>
      <c r="BO583" t="str">
        <f t="shared" si="181"/>
        <v/>
      </c>
      <c r="BP583" t="b">
        <f t="shared" si="183"/>
        <v>0</v>
      </c>
      <c r="BQ583" t="str">
        <f t="shared" si="184"/>
        <v/>
      </c>
      <c r="BR583" t="str">
        <f t="shared" si="185"/>
        <v/>
      </c>
      <c r="BS583" t="str">
        <f t="shared" si="186"/>
        <v/>
      </c>
      <c r="BT583" s="76" t="str">
        <f t="shared" si="187"/>
        <v/>
      </c>
      <c r="BU583" t="str">
        <f t="shared" si="188"/>
        <v/>
      </c>
      <c r="CN583">
        <v>582</v>
      </c>
    </row>
    <row r="584" spans="1:92" x14ac:dyDescent="0.3">
      <c r="A584" s="118" t="s">
        <v>1245</v>
      </c>
      <c r="B584" t="s">
        <v>1246</v>
      </c>
      <c r="C584" t="s">
        <v>1247</v>
      </c>
      <c r="D584" s="144" t="s">
        <v>1248</v>
      </c>
      <c r="E584" t="s">
        <v>830</v>
      </c>
      <c r="F584" t="s">
        <v>1249</v>
      </c>
      <c r="G584" t="s">
        <v>831</v>
      </c>
      <c r="H584" t="s">
        <v>1173</v>
      </c>
      <c r="I584" t="s">
        <v>817</v>
      </c>
      <c r="J584" t="s">
        <v>783</v>
      </c>
      <c r="K584" t="s">
        <v>783</v>
      </c>
      <c r="L584" t="s">
        <v>784</v>
      </c>
      <c r="M584" t="s">
        <v>208</v>
      </c>
      <c r="N584" t="s">
        <v>1250</v>
      </c>
      <c r="O584" t="s">
        <v>894</v>
      </c>
      <c r="P584" t="s">
        <v>772</v>
      </c>
      <c r="Q584" t="s">
        <v>1251</v>
      </c>
      <c r="R584">
        <v>0</v>
      </c>
      <c r="S584">
        <v>0</v>
      </c>
      <c r="T584">
        <v>0</v>
      </c>
      <c r="U584">
        <v>0</v>
      </c>
      <c r="V584">
        <v>0</v>
      </c>
      <c r="W584">
        <v>0</v>
      </c>
      <c r="X584">
        <v>0</v>
      </c>
      <c r="Y584">
        <v>0</v>
      </c>
      <c r="Z584">
        <v>20</v>
      </c>
      <c r="AA584">
        <v>3</v>
      </c>
      <c r="AB584">
        <v>0</v>
      </c>
      <c r="AC584">
        <v>0</v>
      </c>
      <c r="AD584">
        <v>0</v>
      </c>
      <c r="AE584">
        <v>0</v>
      </c>
      <c r="AF584">
        <v>0</v>
      </c>
      <c r="AG584">
        <v>0</v>
      </c>
      <c r="AH584">
        <v>0</v>
      </c>
      <c r="AI584">
        <v>0</v>
      </c>
      <c r="AY584" t="str">
        <f t="shared" si="171"/>
        <v>ENTOCUNIMYCINE</v>
      </c>
      <c r="AZ584" t="str">
        <f>IF(COUNTIF(AY:AY,AY584)=1,AY584,IF(AND(COUNTIF(AY:AY,AY584)&gt;1,COUNTIF(AZ$2:AZ583,AY584)&gt;=1),"",AY584))</f>
        <v>ENTOCUNIMYCINE</v>
      </c>
      <c r="BA584">
        <f>IF(AZ584="","",COUNTIFS(AZ$3:AZ$1439,"&lt;"&amp;AZ584,AZ$3:AZ$1439,"&lt;&gt;0")+COUNTIF(AZ$3:AZ584,AZ584)-876)</f>
        <v>216</v>
      </c>
      <c r="BE584" t="str">
        <f t="shared" si="172"/>
        <v/>
      </c>
      <c r="BF584" t="str">
        <f t="shared" si="173"/>
        <v/>
      </c>
      <c r="BG584" t="str">
        <f t="shared" si="174"/>
        <v/>
      </c>
      <c r="BH584" t="str">
        <f t="shared" si="175"/>
        <v/>
      </c>
      <c r="BI584" t="str">
        <f t="shared" si="176"/>
        <v/>
      </c>
      <c r="BJ584" t="str">
        <f t="shared" si="177"/>
        <v/>
      </c>
      <c r="BK584" t="str">
        <f t="shared" si="178"/>
        <v/>
      </c>
      <c r="BL584" t="str">
        <f t="shared" si="182"/>
        <v/>
      </c>
      <c r="BM584" t="str">
        <f t="shared" si="179"/>
        <v/>
      </c>
      <c r="BN584" t="str">
        <f t="shared" si="180"/>
        <v/>
      </c>
      <c r="BO584" t="str">
        <f t="shared" si="181"/>
        <v/>
      </c>
      <c r="BP584" t="b">
        <f t="shared" si="183"/>
        <v>0</v>
      </c>
      <c r="BQ584" t="str">
        <f t="shared" si="184"/>
        <v/>
      </c>
      <c r="BR584" t="str">
        <f t="shared" si="185"/>
        <v/>
      </c>
      <c r="BS584" t="str">
        <f t="shared" si="186"/>
        <v/>
      </c>
      <c r="BT584" s="76" t="str">
        <f t="shared" si="187"/>
        <v/>
      </c>
      <c r="BU584" t="str">
        <f t="shared" si="188"/>
        <v/>
      </c>
      <c r="CN584">
        <v>583</v>
      </c>
    </row>
    <row r="585" spans="1:92" x14ac:dyDescent="0.3">
      <c r="A585" s="118" t="s">
        <v>1439</v>
      </c>
      <c r="B585" t="s">
        <v>1440</v>
      </c>
      <c r="C585" t="s">
        <v>1441</v>
      </c>
      <c r="D585" s="144" t="s">
        <v>829</v>
      </c>
      <c r="E585" t="s">
        <v>830</v>
      </c>
      <c r="F585" t="s">
        <v>643</v>
      </c>
      <c r="G585" t="s">
        <v>831</v>
      </c>
      <c r="H585" t="s">
        <v>1326</v>
      </c>
      <c r="I585" t="s">
        <v>817</v>
      </c>
      <c r="J585" t="s">
        <v>862</v>
      </c>
      <c r="K585" t="s">
        <v>862</v>
      </c>
      <c r="L585" t="s">
        <v>863</v>
      </c>
      <c r="M585" t="s">
        <v>208</v>
      </c>
      <c r="N585" t="s">
        <v>1442</v>
      </c>
      <c r="O585" t="s">
        <v>894</v>
      </c>
      <c r="P585" t="s">
        <v>772</v>
      </c>
      <c r="Q585" t="s">
        <v>1442</v>
      </c>
      <c r="R585">
        <v>54</v>
      </c>
      <c r="S585">
        <v>4</v>
      </c>
      <c r="T585">
        <v>0</v>
      </c>
      <c r="U585">
        <v>0</v>
      </c>
      <c r="V585">
        <v>54</v>
      </c>
      <c r="W585">
        <v>4</v>
      </c>
      <c r="X585">
        <v>0</v>
      </c>
      <c r="Y585">
        <v>0</v>
      </c>
      <c r="Z585">
        <v>0</v>
      </c>
      <c r="AA585">
        <v>0</v>
      </c>
      <c r="AB585">
        <v>54</v>
      </c>
      <c r="AC585">
        <v>4</v>
      </c>
      <c r="AD585">
        <v>54</v>
      </c>
      <c r="AE585">
        <v>4</v>
      </c>
      <c r="AF585">
        <v>0</v>
      </c>
      <c r="AG585">
        <v>0</v>
      </c>
      <c r="AH585">
        <v>0</v>
      </c>
      <c r="AI585">
        <v>0</v>
      </c>
      <c r="AY585" t="str">
        <f t="shared" si="171"/>
        <v>ENZOO-GROUP</v>
      </c>
      <c r="AZ585" t="str">
        <f>IF(COUNTIF(AY:AY,AY585)=1,AY585,IF(AND(COUNTIF(AY:AY,AY585)&gt;1,COUNTIF(AZ$2:AZ584,AY585)&gt;=1),"",AY585))</f>
        <v>ENZOO-GROUP</v>
      </c>
      <c r="BA585">
        <f>IF(AZ585="","",COUNTIFS(AZ$3:AZ$1439,"&lt;"&amp;AZ585,AZ$3:AZ$1439,"&lt;&gt;0")+COUNTIF(AZ$3:AZ585,AZ585)-876)</f>
        <v>217</v>
      </c>
      <c r="BE585" t="str">
        <f t="shared" si="172"/>
        <v/>
      </c>
      <c r="BF585" t="str">
        <f t="shared" si="173"/>
        <v/>
      </c>
      <c r="BG585" t="str">
        <f t="shared" si="174"/>
        <v/>
      </c>
      <c r="BH585" t="str">
        <f t="shared" si="175"/>
        <v/>
      </c>
      <c r="BI585" t="str">
        <f t="shared" si="176"/>
        <v/>
      </c>
      <c r="BJ585" t="str">
        <f t="shared" si="177"/>
        <v/>
      </c>
      <c r="BK585" t="str">
        <f t="shared" si="178"/>
        <v/>
      </c>
      <c r="BL585" t="str">
        <f t="shared" si="182"/>
        <v/>
      </c>
      <c r="BM585" t="str">
        <f t="shared" si="179"/>
        <v/>
      </c>
      <c r="BN585" t="str">
        <f t="shared" si="180"/>
        <v/>
      </c>
      <c r="BO585" t="str">
        <f t="shared" si="181"/>
        <v/>
      </c>
      <c r="BP585" t="b">
        <f t="shared" si="183"/>
        <v>0</v>
      </c>
      <c r="BQ585" t="str">
        <f t="shared" si="184"/>
        <v/>
      </c>
      <c r="BR585" t="str">
        <f t="shared" si="185"/>
        <v/>
      </c>
      <c r="BS585" t="str">
        <f t="shared" si="186"/>
        <v/>
      </c>
      <c r="BT585" s="76" t="str">
        <f t="shared" si="187"/>
        <v/>
      </c>
      <c r="BU585" t="str">
        <f t="shared" si="188"/>
        <v/>
      </c>
      <c r="CN585">
        <v>584</v>
      </c>
    </row>
    <row r="586" spans="1:92" x14ac:dyDescent="0.3">
      <c r="A586" s="118" t="s">
        <v>1439</v>
      </c>
      <c r="B586" t="s">
        <v>1443</v>
      </c>
      <c r="C586" t="s">
        <v>1444</v>
      </c>
      <c r="D586" s="144" t="s">
        <v>955</v>
      </c>
      <c r="E586" t="s">
        <v>830</v>
      </c>
      <c r="F586" t="s">
        <v>643</v>
      </c>
      <c r="G586" t="s">
        <v>831</v>
      </c>
      <c r="H586" t="s">
        <v>1326</v>
      </c>
      <c r="I586" t="s">
        <v>817</v>
      </c>
      <c r="J586" t="s">
        <v>862</v>
      </c>
      <c r="K586" t="s">
        <v>862</v>
      </c>
      <c r="L586" t="s">
        <v>863</v>
      </c>
      <c r="M586" t="s">
        <v>208</v>
      </c>
      <c r="N586" t="s">
        <v>1442</v>
      </c>
      <c r="O586" t="s">
        <v>894</v>
      </c>
      <c r="P586" t="s">
        <v>772</v>
      </c>
      <c r="Q586" t="s">
        <v>1445</v>
      </c>
      <c r="R586">
        <v>54</v>
      </c>
      <c r="S586">
        <v>4</v>
      </c>
      <c r="T586">
        <v>0</v>
      </c>
      <c r="U586">
        <v>0</v>
      </c>
      <c r="V586">
        <v>54</v>
      </c>
      <c r="W586">
        <v>4</v>
      </c>
      <c r="X586">
        <v>0</v>
      </c>
      <c r="Y586">
        <v>0</v>
      </c>
      <c r="Z586">
        <v>0</v>
      </c>
      <c r="AA586">
        <v>0</v>
      </c>
      <c r="AB586">
        <v>54</v>
      </c>
      <c r="AC586">
        <v>4</v>
      </c>
      <c r="AD586">
        <v>54</v>
      </c>
      <c r="AE586">
        <v>4</v>
      </c>
      <c r="AF586">
        <v>0</v>
      </c>
      <c r="AG586">
        <v>0</v>
      </c>
      <c r="AH586">
        <v>0</v>
      </c>
      <c r="AI586">
        <v>0</v>
      </c>
      <c r="AY586" t="str">
        <f t="shared" si="171"/>
        <v>ENZOO-GROUP</v>
      </c>
      <c r="AZ586" t="str">
        <f>IF(COUNTIF(AY:AY,AY586)=1,AY586,IF(AND(COUNTIF(AY:AY,AY586)&gt;1,COUNTIF(AZ$2:AZ585,AY586)&gt;=1),"",AY586))</f>
        <v/>
      </c>
      <c r="BA586" t="str">
        <f>IF(AZ586="","",COUNTIFS(AZ$3:AZ$1439,"&lt;"&amp;AZ586,AZ$3:AZ$1439,"&lt;&gt;0")+COUNTIF(AZ$3:AZ586,AZ586)-876)</f>
        <v/>
      </c>
      <c r="BE586" t="str">
        <f t="shared" si="172"/>
        <v/>
      </c>
      <c r="BF586" t="str">
        <f t="shared" si="173"/>
        <v/>
      </c>
      <c r="BG586" t="str">
        <f t="shared" si="174"/>
        <v/>
      </c>
      <c r="BH586" t="str">
        <f t="shared" si="175"/>
        <v/>
      </c>
      <c r="BI586" t="str">
        <f t="shared" si="176"/>
        <v/>
      </c>
      <c r="BJ586" t="str">
        <f t="shared" si="177"/>
        <v/>
      </c>
      <c r="BK586" t="str">
        <f t="shared" si="178"/>
        <v/>
      </c>
      <c r="BL586" t="str">
        <f t="shared" si="182"/>
        <v/>
      </c>
      <c r="BM586" t="str">
        <f t="shared" si="179"/>
        <v/>
      </c>
      <c r="BN586" t="str">
        <f t="shared" si="180"/>
        <v/>
      </c>
      <c r="BO586" t="str">
        <f t="shared" si="181"/>
        <v/>
      </c>
      <c r="BP586" t="b">
        <f t="shared" si="183"/>
        <v>0</v>
      </c>
      <c r="BQ586" t="str">
        <f t="shared" si="184"/>
        <v/>
      </c>
      <c r="BR586" t="str">
        <f t="shared" si="185"/>
        <v/>
      </c>
      <c r="BS586" t="str">
        <f t="shared" si="186"/>
        <v/>
      </c>
      <c r="BT586" s="76" t="str">
        <f t="shared" si="187"/>
        <v/>
      </c>
      <c r="BU586" t="str">
        <f t="shared" si="188"/>
        <v/>
      </c>
      <c r="CN586">
        <v>585</v>
      </c>
    </row>
    <row r="587" spans="1:92" x14ac:dyDescent="0.3">
      <c r="A587" s="118" t="s">
        <v>3263</v>
      </c>
      <c r="B587" t="s">
        <v>3264</v>
      </c>
      <c r="C587" t="s">
        <v>3265</v>
      </c>
      <c r="D587" s="144" t="s">
        <v>3266</v>
      </c>
      <c r="E587" t="s">
        <v>830</v>
      </c>
      <c r="F587" t="s">
        <v>343</v>
      </c>
      <c r="G587" t="s">
        <v>1218</v>
      </c>
      <c r="H587" t="s">
        <v>3267</v>
      </c>
      <c r="I587" t="s">
        <v>817</v>
      </c>
      <c r="J587" t="s">
        <v>928</v>
      </c>
      <c r="K587" t="s">
        <v>862</v>
      </c>
      <c r="L587" t="s">
        <v>938</v>
      </c>
      <c r="M587" t="s">
        <v>208</v>
      </c>
      <c r="N587" t="s">
        <v>2523</v>
      </c>
      <c r="O587" t="s">
        <v>894</v>
      </c>
      <c r="P587" t="s">
        <v>772</v>
      </c>
      <c r="Q587" t="s">
        <v>972</v>
      </c>
      <c r="R587">
        <v>0</v>
      </c>
      <c r="S587">
        <v>0</v>
      </c>
      <c r="T587">
        <v>0</v>
      </c>
      <c r="U587">
        <v>0</v>
      </c>
      <c r="V587">
        <v>25</v>
      </c>
      <c r="W587">
        <v>5</v>
      </c>
      <c r="X587">
        <v>0</v>
      </c>
      <c r="Y587">
        <v>0</v>
      </c>
      <c r="Z587">
        <v>0</v>
      </c>
      <c r="AA587">
        <v>0</v>
      </c>
      <c r="AB587">
        <v>0</v>
      </c>
      <c r="AC587">
        <v>0</v>
      </c>
      <c r="AD587">
        <v>0</v>
      </c>
      <c r="AE587">
        <v>0</v>
      </c>
      <c r="AF587">
        <v>0</v>
      </c>
      <c r="AG587">
        <v>0</v>
      </c>
      <c r="AH587">
        <v>0</v>
      </c>
      <c r="AI587">
        <v>0</v>
      </c>
      <c r="AJ587" t="s">
        <v>930</v>
      </c>
      <c r="AK587" t="s">
        <v>931</v>
      </c>
      <c r="AL587" t="s">
        <v>208</v>
      </c>
      <c r="AM587" t="s">
        <v>3268</v>
      </c>
      <c r="AN587" t="s">
        <v>894</v>
      </c>
      <c r="AO587" t="s">
        <v>772</v>
      </c>
      <c r="AP587" t="s">
        <v>1304</v>
      </c>
      <c r="AY587" t="str">
        <f t="shared" si="171"/>
        <v>EQUIBACTIN VET (333 MG/G + 67 MG/G) PATE ORALE POUR CHEVAUX</v>
      </c>
      <c r="AZ587" t="str">
        <f>IF(COUNTIF(AY:AY,AY587)=1,AY587,IF(AND(COUNTIF(AY:AY,AY587)&gt;1,COUNTIF(AZ$2:AZ586,AY587)&gt;=1),"",AY587))</f>
        <v>EQUIBACTIN VET (333 MG/G + 67 MG/G) PATE ORALE POUR CHEVAUX</v>
      </c>
      <c r="BA587">
        <f>IF(AZ587="","",COUNTIFS(AZ$3:AZ$1439,"&lt;"&amp;AZ587,AZ$3:AZ$1439,"&lt;&gt;0")+COUNTIF(AZ$3:AZ587,AZ587)-876)</f>
        <v>218</v>
      </c>
      <c r="BE587" t="str">
        <f t="shared" si="172"/>
        <v/>
      </c>
      <c r="BF587" t="str">
        <f t="shared" si="173"/>
        <v/>
      </c>
      <c r="BG587" t="str">
        <f t="shared" si="174"/>
        <v/>
      </c>
      <c r="BH587" t="str">
        <f t="shared" si="175"/>
        <v/>
      </c>
      <c r="BI587" t="str">
        <f t="shared" si="176"/>
        <v/>
      </c>
      <c r="BJ587" t="str">
        <f t="shared" si="177"/>
        <v/>
      </c>
      <c r="BK587" t="str">
        <f t="shared" si="178"/>
        <v/>
      </c>
      <c r="BL587" t="str">
        <f t="shared" si="182"/>
        <v/>
      </c>
      <c r="BM587" t="str">
        <f t="shared" si="179"/>
        <v/>
      </c>
      <c r="BN587" t="str">
        <f t="shared" si="180"/>
        <v/>
      </c>
      <c r="BO587" t="str">
        <f t="shared" si="181"/>
        <v/>
      </c>
      <c r="BP587" t="b">
        <f t="shared" si="183"/>
        <v>0</v>
      </c>
      <c r="BQ587" t="str">
        <f t="shared" si="184"/>
        <v/>
      </c>
      <c r="BR587" t="str">
        <f t="shared" si="185"/>
        <v/>
      </c>
      <c r="BS587" t="str">
        <f t="shared" si="186"/>
        <v/>
      </c>
      <c r="BT587" s="76" t="str">
        <f t="shared" si="187"/>
        <v/>
      </c>
      <c r="BU587" t="str">
        <f t="shared" si="188"/>
        <v/>
      </c>
      <c r="CN587">
        <v>586</v>
      </c>
    </row>
    <row r="588" spans="1:92" x14ac:dyDescent="0.3">
      <c r="A588" s="118" t="s">
        <v>3263</v>
      </c>
      <c r="B588" t="s">
        <v>3269</v>
      </c>
      <c r="C588" t="s">
        <v>3270</v>
      </c>
      <c r="D588" s="144" t="s">
        <v>3271</v>
      </c>
      <c r="E588" t="s">
        <v>830</v>
      </c>
      <c r="F588" t="s">
        <v>343</v>
      </c>
      <c r="G588" t="s">
        <v>1218</v>
      </c>
      <c r="H588" t="s">
        <v>3267</v>
      </c>
      <c r="I588" t="s">
        <v>817</v>
      </c>
      <c r="J588" t="s">
        <v>928</v>
      </c>
      <c r="K588" t="s">
        <v>862</v>
      </c>
      <c r="L588" t="s">
        <v>938</v>
      </c>
      <c r="M588" t="s">
        <v>208</v>
      </c>
      <c r="N588" t="s">
        <v>2523</v>
      </c>
      <c r="O588" t="s">
        <v>894</v>
      </c>
      <c r="P588" t="s">
        <v>772</v>
      </c>
      <c r="Q588" t="s">
        <v>1255</v>
      </c>
      <c r="R588">
        <v>0</v>
      </c>
      <c r="S588">
        <v>0</v>
      </c>
      <c r="T588">
        <v>0</v>
      </c>
      <c r="U588">
        <v>0</v>
      </c>
      <c r="V588">
        <v>25</v>
      </c>
      <c r="W588">
        <v>5</v>
      </c>
      <c r="X588">
        <v>0</v>
      </c>
      <c r="Y588">
        <v>0</v>
      </c>
      <c r="Z588">
        <v>0</v>
      </c>
      <c r="AA588">
        <v>0</v>
      </c>
      <c r="AB588">
        <v>0</v>
      </c>
      <c r="AC588">
        <v>0</v>
      </c>
      <c r="AD588">
        <v>0</v>
      </c>
      <c r="AE588">
        <v>0</v>
      </c>
      <c r="AF588">
        <v>0</v>
      </c>
      <c r="AG588">
        <v>0</v>
      </c>
      <c r="AH588">
        <v>0</v>
      </c>
      <c r="AI588">
        <v>0</v>
      </c>
      <c r="AJ588" t="s">
        <v>930</v>
      </c>
      <c r="AK588" t="s">
        <v>931</v>
      </c>
      <c r="AL588" t="s">
        <v>208</v>
      </c>
      <c r="AM588" t="s">
        <v>3268</v>
      </c>
      <c r="AN588" t="s">
        <v>894</v>
      </c>
      <c r="AO588" t="s">
        <v>772</v>
      </c>
      <c r="AP588" t="s">
        <v>3272</v>
      </c>
      <c r="AY588" t="str">
        <f t="shared" si="171"/>
        <v>EQUIBACTIN VET (333 MG/G + 67 MG/G) PATE ORALE POUR CHEVAUX</v>
      </c>
      <c r="AZ588" t="str">
        <f>IF(COUNTIF(AY:AY,AY588)=1,AY588,IF(AND(COUNTIF(AY:AY,AY588)&gt;1,COUNTIF(AZ$2:AZ587,AY588)&gt;=1),"",AY588))</f>
        <v/>
      </c>
      <c r="BA588" t="str">
        <f>IF(AZ588="","",COUNTIFS(AZ$3:AZ$1439,"&lt;"&amp;AZ588,AZ$3:AZ$1439,"&lt;&gt;0")+COUNTIF(AZ$3:AZ588,AZ588)-876)</f>
        <v/>
      </c>
      <c r="BE588" t="str">
        <f t="shared" si="172"/>
        <v/>
      </c>
      <c r="BF588" t="str">
        <f t="shared" si="173"/>
        <v/>
      </c>
      <c r="BG588" t="str">
        <f t="shared" si="174"/>
        <v/>
      </c>
      <c r="BH588" t="str">
        <f t="shared" si="175"/>
        <v/>
      </c>
      <c r="BI588" t="str">
        <f t="shared" si="176"/>
        <v/>
      </c>
      <c r="BJ588" t="str">
        <f t="shared" si="177"/>
        <v/>
      </c>
      <c r="BK588" t="str">
        <f t="shared" si="178"/>
        <v/>
      </c>
      <c r="BL588" t="str">
        <f t="shared" si="182"/>
        <v/>
      </c>
      <c r="BM588" t="str">
        <f t="shared" si="179"/>
        <v/>
      </c>
      <c r="BN588" t="str">
        <f t="shared" si="180"/>
        <v/>
      </c>
      <c r="BO588" t="str">
        <f t="shared" si="181"/>
        <v/>
      </c>
      <c r="BP588" t="b">
        <f t="shared" si="183"/>
        <v>0</v>
      </c>
      <c r="BQ588" t="str">
        <f t="shared" si="184"/>
        <v/>
      </c>
      <c r="BR588" t="str">
        <f t="shared" si="185"/>
        <v/>
      </c>
      <c r="BS588" t="str">
        <f t="shared" si="186"/>
        <v/>
      </c>
      <c r="BT588" s="76" t="str">
        <f t="shared" si="187"/>
        <v/>
      </c>
      <c r="BU588" t="str">
        <f t="shared" si="188"/>
        <v/>
      </c>
      <c r="CN588">
        <v>587</v>
      </c>
    </row>
    <row r="589" spans="1:92" x14ac:dyDescent="0.3">
      <c r="A589" s="118" t="s">
        <v>4596</v>
      </c>
      <c r="B589" t="s">
        <v>4597</v>
      </c>
      <c r="C589" t="s">
        <v>4598</v>
      </c>
      <c r="D589" t="s">
        <v>1978</v>
      </c>
      <c r="E589" t="s">
        <v>830</v>
      </c>
      <c r="F589" t="s">
        <v>344</v>
      </c>
      <c r="G589" t="s">
        <v>831</v>
      </c>
      <c r="H589" t="s">
        <v>3267</v>
      </c>
      <c r="I589" t="s">
        <v>817</v>
      </c>
      <c r="J589" t="s">
        <v>928</v>
      </c>
      <c r="K589" t="s">
        <v>862</v>
      </c>
      <c r="L589" t="s">
        <v>938</v>
      </c>
      <c r="M589" t="s">
        <v>208</v>
      </c>
      <c r="N589" t="s">
        <v>776</v>
      </c>
      <c r="O589" t="s">
        <v>894</v>
      </c>
      <c r="P589" t="s">
        <v>772</v>
      </c>
      <c r="Q589" t="s">
        <v>1155</v>
      </c>
      <c r="R589">
        <v>0</v>
      </c>
      <c r="S589">
        <v>0</v>
      </c>
      <c r="T589">
        <v>0</v>
      </c>
      <c r="U589">
        <v>0</v>
      </c>
      <c r="V589">
        <v>25</v>
      </c>
      <c r="W589">
        <v>5</v>
      </c>
      <c r="X589">
        <v>0</v>
      </c>
      <c r="Y589">
        <v>0</v>
      </c>
      <c r="Z589">
        <v>0</v>
      </c>
      <c r="AA589">
        <v>0</v>
      </c>
      <c r="AB589">
        <v>0</v>
      </c>
      <c r="AC589">
        <v>0</v>
      </c>
      <c r="AD589">
        <v>0</v>
      </c>
      <c r="AE589">
        <v>0</v>
      </c>
      <c r="AF589">
        <v>0</v>
      </c>
      <c r="AG589">
        <v>0</v>
      </c>
      <c r="AH589">
        <v>0</v>
      </c>
      <c r="AI589">
        <v>0</v>
      </c>
      <c r="AJ589" t="s">
        <v>930</v>
      </c>
      <c r="AK589" t="s">
        <v>931</v>
      </c>
      <c r="AL589" t="s">
        <v>208</v>
      </c>
      <c r="AM589" t="s">
        <v>780</v>
      </c>
      <c r="AN589" t="s">
        <v>894</v>
      </c>
      <c r="AO589" t="s">
        <v>772</v>
      </c>
      <c r="AP589" t="s">
        <v>797</v>
      </c>
      <c r="AY589" t="str">
        <f t="shared" si="171"/>
        <v>EQUIBACTIN VET 250 MG/G + 50 MG/G POUDRE ORALE POUR CHEVAUX</v>
      </c>
      <c r="AZ589" t="str">
        <f>IF(COUNTIF(AY:AY,AY589)=1,AY589,IF(AND(COUNTIF(AY:AY,AY589)&gt;1,COUNTIF(AZ$2:AZ588,AY589)&gt;=1),"",AY589))</f>
        <v>EQUIBACTIN VET 250 MG/G + 50 MG/G POUDRE ORALE POUR CHEVAUX</v>
      </c>
      <c r="BA589">
        <f>IF(AZ589="","",COUNTIFS(AZ$3:AZ$1439,"&lt;"&amp;AZ589,AZ$3:AZ$1439,"&lt;&gt;0")+COUNTIF(AZ$3:AZ589,AZ589)-876)</f>
        <v>219</v>
      </c>
      <c r="BE589" t="str">
        <f t="shared" si="172"/>
        <v/>
      </c>
      <c r="BF589" t="str">
        <f t="shared" si="173"/>
        <v/>
      </c>
      <c r="BG589" t="str">
        <f t="shared" si="174"/>
        <v/>
      </c>
      <c r="BH589" t="str">
        <f t="shared" si="175"/>
        <v/>
      </c>
      <c r="BI589" t="str">
        <f t="shared" si="176"/>
        <v/>
      </c>
      <c r="BJ589" t="str">
        <f t="shared" si="177"/>
        <v/>
      </c>
      <c r="BK589" t="str">
        <f t="shared" si="178"/>
        <v/>
      </c>
      <c r="BL589" t="str">
        <f t="shared" si="182"/>
        <v/>
      </c>
      <c r="BM589" t="str">
        <f t="shared" si="179"/>
        <v/>
      </c>
      <c r="BN589" t="str">
        <f t="shared" si="180"/>
        <v/>
      </c>
      <c r="BO589" t="str">
        <f t="shared" si="181"/>
        <v/>
      </c>
      <c r="BP589" t="b">
        <f t="shared" si="183"/>
        <v>0</v>
      </c>
      <c r="BQ589" t="str">
        <f t="shared" si="184"/>
        <v/>
      </c>
      <c r="BR589" t="str">
        <f t="shared" si="185"/>
        <v/>
      </c>
      <c r="BS589" t="str">
        <f t="shared" si="186"/>
        <v/>
      </c>
      <c r="BT589" s="76" t="str">
        <f t="shared" si="187"/>
        <v/>
      </c>
      <c r="BU589" t="str">
        <f t="shared" si="188"/>
        <v/>
      </c>
      <c r="CN589">
        <v>588</v>
      </c>
    </row>
    <row r="590" spans="1:92" x14ac:dyDescent="0.3">
      <c r="A590" s="118" t="s">
        <v>4255</v>
      </c>
      <c r="B590" t="s">
        <v>4256</v>
      </c>
      <c r="C590" t="s">
        <v>4257</v>
      </c>
      <c r="D590" t="s">
        <v>797</v>
      </c>
      <c r="E590" t="s">
        <v>765</v>
      </c>
      <c r="F590" t="s">
        <v>4258</v>
      </c>
      <c r="G590" t="s">
        <v>1309</v>
      </c>
      <c r="H590" t="s">
        <v>860</v>
      </c>
      <c r="I590" t="s">
        <v>817</v>
      </c>
      <c r="J590" t="s">
        <v>821</v>
      </c>
      <c r="K590" t="s">
        <v>821</v>
      </c>
      <c r="L590" t="s">
        <v>822</v>
      </c>
      <c r="M590" t="s">
        <v>208</v>
      </c>
      <c r="N590" t="s">
        <v>1125</v>
      </c>
      <c r="O590" t="s">
        <v>771</v>
      </c>
      <c r="P590" t="s">
        <v>772</v>
      </c>
      <c r="Q590" t="s">
        <v>1260</v>
      </c>
      <c r="R590">
        <v>0</v>
      </c>
      <c r="S590">
        <v>0</v>
      </c>
      <c r="T590">
        <v>50</v>
      </c>
      <c r="U590">
        <v>7</v>
      </c>
      <c r="V590">
        <v>0</v>
      </c>
      <c r="W590">
        <v>0</v>
      </c>
      <c r="X590">
        <v>0</v>
      </c>
      <c r="Y590">
        <v>0</v>
      </c>
      <c r="Z590">
        <v>0</v>
      </c>
      <c r="AA590">
        <v>0</v>
      </c>
      <c r="AB590">
        <v>0</v>
      </c>
      <c r="AC590">
        <v>0</v>
      </c>
      <c r="AD590">
        <v>0</v>
      </c>
      <c r="AE590">
        <v>0</v>
      </c>
      <c r="AF590">
        <v>0</v>
      </c>
      <c r="AG590">
        <v>0</v>
      </c>
      <c r="AH590">
        <v>0</v>
      </c>
      <c r="AI590">
        <v>0</v>
      </c>
      <c r="AY590" t="str">
        <f t="shared" si="171"/>
        <v/>
      </c>
      <c r="AZ590" t="str">
        <f>IF(COUNTIF(AY:AY,AY590)=1,AY590,IF(AND(COUNTIF(AY:AY,AY590)&gt;1,COUNTIF(AZ$2:AZ589,AY590)&gt;=1),"",AY590))</f>
        <v/>
      </c>
      <c r="BA590" t="str">
        <f>IF(AZ590="","",COUNTIFS(AZ$3:AZ$1439,"&lt;"&amp;AZ590,AZ$3:AZ$1439,"&lt;&gt;0")+COUNTIF(AZ$3:AZ590,AZ590)-876)</f>
        <v/>
      </c>
      <c r="BE590" t="str">
        <f t="shared" si="172"/>
        <v/>
      </c>
      <c r="BF590" t="str">
        <f t="shared" si="173"/>
        <v/>
      </c>
      <c r="BG590" t="str">
        <f t="shared" si="174"/>
        <v/>
      </c>
      <c r="BH590" t="str">
        <f t="shared" si="175"/>
        <v/>
      </c>
      <c r="BI590" t="str">
        <f t="shared" si="176"/>
        <v/>
      </c>
      <c r="BJ590" t="str">
        <f t="shared" si="177"/>
        <v/>
      </c>
      <c r="BK590" t="str">
        <f t="shared" si="178"/>
        <v/>
      </c>
      <c r="BL590" t="str">
        <f t="shared" si="182"/>
        <v/>
      </c>
      <c r="BM590" t="str">
        <f t="shared" si="179"/>
        <v/>
      </c>
      <c r="BN590" t="str">
        <f t="shared" si="180"/>
        <v/>
      </c>
      <c r="BO590" t="str">
        <f t="shared" si="181"/>
        <v/>
      </c>
      <c r="BP590" t="b">
        <f t="shared" si="183"/>
        <v>0</v>
      </c>
      <c r="BQ590" t="str">
        <f t="shared" si="184"/>
        <v/>
      </c>
      <c r="BR590" t="str">
        <f t="shared" si="185"/>
        <v/>
      </c>
      <c r="BS590" t="str">
        <f t="shared" si="186"/>
        <v/>
      </c>
      <c r="BT590" s="76" t="str">
        <f t="shared" si="187"/>
        <v/>
      </c>
      <c r="BU590" t="str">
        <f t="shared" si="188"/>
        <v/>
      </c>
      <c r="CN590">
        <v>589</v>
      </c>
    </row>
    <row r="591" spans="1:92" x14ac:dyDescent="0.3">
      <c r="A591" s="118" t="s">
        <v>4255</v>
      </c>
      <c r="B591" t="s">
        <v>4259</v>
      </c>
      <c r="C591" t="s">
        <v>4260</v>
      </c>
      <c r="D591" t="s">
        <v>764</v>
      </c>
      <c r="E591" t="s">
        <v>765</v>
      </c>
      <c r="F591" t="s">
        <v>4258</v>
      </c>
      <c r="G591" t="s">
        <v>1309</v>
      </c>
      <c r="H591" t="s">
        <v>860</v>
      </c>
      <c r="I591" t="s">
        <v>817</v>
      </c>
      <c r="J591" t="s">
        <v>821</v>
      </c>
      <c r="K591" t="s">
        <v>821</v>
      </c>
      <c r="L591" t="s">
        <v>822</v>
      </c>
      <c r="M591" t="s">
        <v>208</v>
      </c>
      <c r="N591" t="s">
        <v>1125</v>
      </c>
      <c r="O591" t="s">
        <v>771</v>
      </c>
      <c r="P591" t="s">
        <v>772</v>
      </c>
      <c r="Q591" t="s">
        <v>1072</v>
      </c>
      <c r="R591">
        <v>0</v>
      </c>
      <c r="S591">
        <v>0</v>
      </c>
      <c r="T591">
        <v>50</v>
      </c>
      <c r="U591">
        <v>7</v>
      </c>
      <c r="V591">
        <v>0</v>
      </c>
      <c r="W591">
        <v>0</v>
      </c>
      <c r="X591">
        <v>0</v>
      </c>
      <c r="Y591">
        <v>0</v>
      </c>
      <c r="Z591">
        <v>0</v>
      </c>
      <c r="AA591">
        <v>0</v>
      </c>
      <c r="AB591">
        <v>0</v>
      </c>
      <c r="AC591">
        <v>0</v>
      </c>
      <c r="AD591">
        <v>0</v>
      </c>
      <c r="AE591">
        <v>0</v>
      </c>
      <c r="AF591">
        <v>0</v>
      </c>
      <c r="AG591">
        <v>0</v>
      </c>
      <c r="AH591">
        <v>0</v>
      </c>
      <c r="AI591">
        <v>0</v>
      </c>
      <c r="AY591" t="str">
        <f t="shared" si="171"/>
        <v/>
      </c>
      <c r="AZ591" t="str">
        <f>IF(COUNTIF(AY:AY,AY591)=1,AY591,IF(AND(COUNTIF(AY:AY,AY591)&gt;1,COUNTIF(AZ$2:AZ590,AY591)&gt;=1),"",AY591))</f>
        <v/>
      </c>
      <c r="BA591" t="str">
        <f>IF(AZ591="","",COUNTIFS(AZ$3:AZ$1439,"&lt;"&amp;AZ591,AZ$3:AZ$1439,"&lt;&gt;0")+COUNTIF(AZ$3:AZ591,AZ591)-876)</f>
        <v/>
      </c>
      <c r="BE591" t="str">
        <f t="shared" si="172"/>
        <v/>
      </c>
      <c r="BF591" t="str">
        <f t="shared" si="173"/>
        <v/>
      </c>
      <c r="BG591" t="str">
        <f t="shared" si="174"/>
        <v/>
      </c>
      <c r="BH591" t="str">
        <f t="shared" si="175"/>
        <v/>
      </c>
      <c r="BI591" t="str">
        <f t="shared" si="176"/>
        <v/>
      </c>
      <c r="BJ591" t="str">
        <f t="shared" si="177"/>
        <v/>
      </c>
      <c r="BK591" t="str">
        <f t="shared" si="178"/>
        <v/>
      </c>
      <c r="BL591" t="str">
        <f t="shared" si="182"/>
        <v/>
      </c>
      <c r="BM591" t="str">
        <f t="shared" si="179"/>
        <v/>
      </c>
      <c r="BN591" t="str">
        <f t="shared" si="180"/>
        <v/>
      </c>
      <c r="BO591" t="str">
        <f t="shared" si="181"/>
        <v/>
      </c>
      <c r="BP591" t="b">
        <f t="shared" si="183"/>
        <v>0</v>
      </c>
      <c r="BQ591" t="str">
        <f t="shared" si="184"/>
        <v/>
      </c>
      <c r="BR591" t="str">
        <f t="shared" si="185"/>
        <v/>
      </c>
      <c r="BS591" t="str">
        <f t="shared" si="186"/>
        <v/>
      </c>
      <c r="BT591" s="76" t="str">
        <f t="shared" si="187"/>
        <v/>
      </c>
      <c r="BU591" t="str">
        <f t="shared" si="188"/>
        <v/>
      </c>
      <c r="CN591">
        <v>590</v>
      </c>
    </row>
    <row r="592" spans="1:92" x14ac:dyDescent="0.3">
      <c r="A592" s="118" t="s">
        <v>2474</v>
      </c>
      <c r="B592" t="s">
        <v>2475</v>
      </c>
      <c r="C592" t="s">
        <v>2476</v>
      </c>
      <c r="D592" s="144" t="s">
        <v>864</v>
      </c>
      <c r="E592" t="s">
        <v>830</v>
      </c>
      <c r="F592" t="s">
        <v>644</v>
      </c>
      <c r="G592" t="s">
        <v>831</v>
      </c>
      <c r="H592" t="s">
        <v>2477</v>
      </c>
      <c r="I592" t="s">
        <v>817</v>
      </c>
      <c r="J592" t="s">
        <v>1737</v>
      </c>
      <c r="K592" t="s">
        <v>802</v>
      </c>
      <c r="L592" t="s">
        <v>1429</v>
      </c>
      <c r="M592" t="s">
        <v>208</v>
      </c>
      <c r="N592" t="s">
        <v>2478</v>
      </c>
      <c r="O592" t="s">
        <v>834</v>
      </c>
      <c r="P592" t="s">
        <v>1431</v>
      </c>
      <c r="Q592" t="s">
        <v>1345</v>
      </c>
      <c r="R592">
        <v>0</v>
      </c>
      <c r="S592">
        <v>0</v>
      </c>
      <c r="T592">
        <v>0</v>
      </c>
      <c r="U592">
        <v>0</v>
      </c>
      <c r="V592">
        <v>0</v>
      </c>
      <c r="W592">
        <v>0</v>
      </c>
      <c r="X592">
        <v>0</v>
      </c>
      <c r="Y592">
        <v>0</v>
      </c>
      <c r="Z592">
        <v>21.74</v>
      </c>
      <c r="AA592">
        <v>5</v>
      </c>
      <c r="AB592">
        <v>0</v>
      </c>
      <c r="AC592">
        <v>0</v>
      </c>
      <c r="AD592">
        <v>0</v>
      </c>
      <c r="AE592">
        <v>0</v>
      </c>
      <c r="AF592">
        <v>21.74</v>
      </c>
      <c r="AG592">
        <v>5</v>
      </c>
      <c r="AH592">
        <v>21.74</v>
      </c>
      <c r="AI592">
        <v>5</v>
      </c>
      <c r="AJ592" t="s">
        <v>768</v>
      </c>
      <c r="AK592" t="s">
        <v>1051</v>
      </c>
      <c r="AL592" t="s">
        <v>208</v>
      </c>
      <c r="AM592" t="s">
        <v>2478</v>
      </c>
      <c r="AN592" t="s">
        <v>834</v>
      </c>
      <c r="AO592" t="s">
        <v>1537</v>
      </c>
      <c r="AP592" t="s">
        <v>786</v>
      </c>
      <c r="AY592" t="str">
        <f t="shared" si="171"/>
        <v>ERYTAVICOL</v>
      </c>
      <c r="AZ592" t="str">
        <f>IF(COUNTIF(AY:AY,AY592)=1,AY592,IF(AND(COUNTIF(AY:AY,AY592)&gt;1,COUNTIF(AZ$2:AZ591,AY592)&gt;=1),"",AY592))</f>
        <v>ERYTAVICOL</v>
      </c>
      <c r="BA592">
        <f>IF(AZ592="","",COUNTIFS(AZ$3:AZ$1439,"&lt;"&amp;AZ592,AZ$3:AZ$1439,"&lt;&gt;0")+COUNTIF(AZ$3:AZ592,AZ592)-876)</f>
        <v>220</v>
      </c>
      <c r="BE592" t="str">
        <f t="shared" si="172"/>
        <v/>
      </c>
      <c r="BF592" t="str">
        <f t="shared" si="173"/>
        <v/>
      </c>
      <c r="BG592" t="str">
        <f t="shared" si="174"/>
        <v/>
      </c>
      <c r="BH592" t="str">
        <f t="shared" si="175"/>
        <v/>
      </c>
      <c r="BI592" t="str">
        <f t="shared" si="176"/>
        <v/>
      </c>
      <c r="BJ592" t="str">
        <f t="shared" si="177"/>
        <v/>
      </c>
      <c r="BK592" t="str">
        <f t="shared" si="178"/>
        <v/>
      </c>
      <c r="BL592" t="str">
        <f t="shared" si="182"/>
        <v/>
      </c>
      <c r="BM592" t="str">
        <f t="shared" si="179"/>
        <v/>
      </c>
      <c r="BN592" t="str">
        <f t="shared" si="180"/>
        <v/>
      </c>
      <c r="BO592" t="str">
        <f t="shared" si="181"/>
        <v/>
      </c>
      <c r="BP592" t="b">
        <f t="shared" si="183"/>
        <v>0</v>
      </c>
      <c r="BQ592" t="str">
        <f t="shared" si="184"/>
        <v/>
      </c>
      <c r="BR592" t="str">
        <f t="shared" si="185"/>
        <v/>
      </c>
      <c r="BS592" t="str">
        <f t="shared" si="186"/>
        <v/>
      </c>
      <c r="BT592" s="76" t="str">
        <f t="shared" si="187"/>
        <v/>
      </c>
      <c r="BU592" t="str">
        <f t="shared" si="188"/>
        <v/>
      </c>
      <c r="CN592">
        <v>591</v>
      </c>
    </row>
    <row r="593" spans="1:92" x14ac:dyDescent="0.3">
      <c r="A593" s="118" t="s">
        <v>1831</v>
      </c>
      <c r="B593" t="s">
        <v>1832</v>
      </c>
      <c r="C593" t="s">
        <v>1238</v>
      </c>
      <c r="D593" s="144" t="s">
        <v>780</v>
      </c>
      <c r="E593" t="s">
        <v>765</v>
      </c>
      <c r="F593" t="s">
        <v>345</v>
      </c>
      <c r="G593" t="s">
        <v>766</v>
      </c>
      <c r="H593" t="s">
        <v>1484</v>
      </c>
      <c r="I593" t="s">
        <v>766</v>
      </c>
      <c r="J593" t="s">
        <v>802</v>
      </c>
      <c r="K593" t="s">
        <v>802</v>
      </c>
      <c r="L593" t="s">
        <v>1429</v>
      </c>
      <c r="M593" t="s">
        <v>208</v>
      </c>
      <c r="N593" t="s">
        <v>864</v>
      </c>
      <c r="O593" t="s">
        <v>771</v>
      </c>
      <c r="P593" t="s">
        <v>772</v>
      </c>
      <c r="Q593" t="s">
        <v>852</v>
      </c>
      <c r="R593">
        <v>20</v>
      </c>
      <c r="S593">
        <v>3</v>
      </c>
      <c r="T593">
        <v>0</v>
      </c>
      <c r="U593">
        <v>0</v>
      </c>
      <c r="V593">
        <v>0</v>
      </c>
      <c r="W593">
        <v>0</v>
      </c>
      <c r="X593">
        <v>0</v>
      </c>
      <c r="Y593">
        <v>0</v>
      </c>
      <c r="Z593">
        <v>0</v>
      </c>
      <c r="AA593">
        <v>0</v>
      </c>
      <c r="AB593">
        <v>20</v>
      </c>
      <c r="AC593">
        <v>3</v>
      </c>
      <c r="AD593">
        <v>20</v>
      </c>
      <c r="AE593">
        <v>3</v>
      </c>
      <c r="AF593">
        <v>0</v>
      </c>
      <c r="AG593">
        <v>0</v>
      </c>
      <c r="AH593">
        <v>0</v>
      </c>
      <c r="AI593">
        <v>0</v>
      </c>
      <c r="AY593" t="str">
        <f t="shared" si="171"/>
        <v>ERYTHROCINE 200</v>
      </c>
      <c r="AZ593" t="str">
        <f>IF(COUNTIF(AY:AY,AY593)=1,AY593,IF(AND(COUNTIF(AY:AY,AY593)&gt;1,COUNTIF(AZ$2:AZ592,AY593)&gt;=1),"",AY593))</f>
        <v>ERYTHROCINE 200</v>
      </c>
      <c r="BA593">
        <f>IF(AZ593="","",COUNTIFS(AZ$3:AZ$1439,"&lt;"&amp;AZ593,AZ$3:AZ$1439,"&lt;&gt;0")+COUNTIF(AZ$3:AZ593,AZ593)-876)</f>
        <v>221</v>
      </c>
      <c r="BE593" t="str">
        <f t="shared" si="172"/>
        <v/>
      </c>
      <c r="BF593" t="str">
        <f t="shared" si="173"/>
        <v/>
      </c>
      <c r="BG593" t="str">
        <f t="shared" si="174"/>
        <v/>
      </c>
      <c r="BH593" t="str">
        <f t="shared" si="175"/>
        <v/>
      </c>
      <c r="BI593" t="str">
        <f t="shared" si="176"/>
        <v/>
      </c>
      <c r="BJ593" t="str">
        <f t="shared" si="177"/>
        <v/>
      </c>
      <c r="BK593" t="str">
        <f t="shared" si="178"/>
        <v/>
      </c>
      <c r="BL593" t="str">
        <f t="shared" si="182"/>
        <v/>
      </c>
      <c r="BM593" t="str">
        <f t="shared" si="179"/>
        <v/>
      </c>
      <c r="BN593" t="str">
        <f t="shared" si="180"/>
        <v/>
      </c>
      <c r="BO593" t="str">
        <f t="shared" si="181"/>
        <v/>
      </c>
      <c r="BP593" t="b">
        <f t="shared" si="183"/>
        <v>0</v>
      </c>
      <c r="BQ593" t="str">
        <f t="shared" si="184"/>
        <v/>
      </c>
      <c r="BR593" t="str">
        <f t="shared" si="185"/>
        <v/>
      </c>
      <c r="BS593" t="str">
        <f t="shared" si="186"/>
        <v/>
      </c>
      <c r="BT593" s="76" t="str">
        <f t="shared" si="187"/>
        <v/>
      </c>
      <c r="BU593" t="str">
        <f t="shared" si="188"/>
        <v/>
      </c>
      <c r="CN593">
        <v>592</v>
      </c>
    </row>
    <row r="594" spans="1:92" x14ac:dyDescent="0.3">
      <c r="A594" s="118" t="s">
        <v>1833</v>
      </c>
      <c r="B594" t="s">
        <v>1834</v>
      </c>
      <c r="C594" t="s">
        <v>1835</v>
      </c>
      <c r="D594" s="144" t="s">
        <v>829</v>
      </c>
      <c r="E594" t="s">
        <v>830</v>
      </c>
      <c r="F594" t="s">
        <v>90</v>
      </c>
      <c r="G594" t="s">
        <v>831</v>
      </c>
      <c r="H594" t="s">
        <v>1706</v>
      </c>
      <c r="I594" t="s">
        <v>817</v>
      </c>
      <c r="J594" t="s">
        <v>802</v>
      </c>
      <c r="K594" t="s">
        <v>802</v>
      </c>
      <c r="L594" t="s">
        <v>1429</v>
      </c>
      <c r="M594" t="s">
        <v>208</v>
      </c>
      <c r="N594" t="s">
        <v>864</v>
      </c>
      <c r="O594" t="s">
        <v>894</v>
      </c>
      <c r="P594" t="s">
        <v>772</v>
      </c>
      <c r="Q594" t="s">
        <v>864</v>
      </c>
      <c r="R594">
        <v>20</v>
      </c>
      <c r="S594">
        <v>3</v>
      </c>
      <c r="T594">
        <v>0</v>
      </c>
      <c r="U594">
        <v>0</v>
      </c>
      <c r="V594">
        <v>0</v>
      </c>
      <c r="W594">
        <v>0</v>
      </c>
      <c r="X594">
        <v>0</v>
      </c>
      <c r="Y594">
        <v>0</v>
      </c>
      <c r="Z594">
        <v>0</v>
      </c>
      <c r="AA594">
        <v>0</v>
      </c>
      <c r="AB594">
        <v>0</v>
      </c>
      <c r="AC594">
        <v>0</v>
      </c>
      <c r="AD594">
        <v>0</v>
      </c>
      <c r="AE594">
        <v>0</v>
      </c>
      <c r="AF594">
        <v>20</v>
      </c>
      <c r="AG594">
        <v>3</v>
      </c>
      <c r="AH594">
        <v>0</v>
      </c>
      <c r="AI594">
        <v>0</v>
      </c>
      <c r="AY594" t="str">
        <f t="shared" si="171"/>
        <v>ERYTHROVET</v>
      </c>
      <c r="AZ594" t="str">
        <f>IF(COUNTIF(AY:AY,AY594)=1,AY594,IF(AND(COUNTIF(AY:AY,AY594)&gt;1,COUNTIF(AZ$2:AZ593,AY594)&gt;=1),"",AY594))</f>
        <v>ERYTHROVET</v>
      </c>
      <c r="BA594">
        <f>IF(AZ594="","",COUNTIFS(AZ$3:AZ$1439,"&lt;"&amp;AZ594,AZ$3:AZ$1439,"&lt;&gt;0")+COUNTIF(AZ$3:AZ594,AZ594)-876)</f>
        <v>222</v>
      </c>
      <c r="BE594" t="str">
        <f t="shared" si="172"/>
        <v/>
      </c>
      <c r="BF594" t="str">
        <f t="shared" si="173"/>
        <v/>
      </c>
      <c r="BG594" t="str">
        <f t="shared" si="174"/>
        <v/>
      </c>
      <c r="BH594" t="str">
        <f t="shared" si="175"/>
        <v/>
      </c>
      <c r="BI594" t="str">
        <f t="shared" si="176"/>
        <v/>
      </c>
      <c r="BJ594" t="str">
        <f t="shared" si="177"/>
        <v/>
      </c>
      <c r="BK594" t="str">
        <f t="shared" si="178"/>
        <v/>
      </c>
      <c r="BL594" t="str">
        <f t="shared" si="182"/>
        <v/>
      </c>
      <c r="BM594" t="str">
        <f t="shared" si="179"/>
        <v/>
      </c>
      <c r="BN594" t="str">
        <f t="shared" si="180"/>
        <v/>
      </c>
      <c r="BO594" t="str">
        <f t="shared" si="181"/>
        <v/>
      </c>
      <c r="BP594" t="b">
        <f t="shared" si="183"/>
        <v>0</v>
      </c>
      <c r="BQ594" t="str">
        <f t="shared" si="184"/>
        <v/>
      </c>
      <c r="BR594" t="str">
        <f t="shared" si="185"/>
        <v/>
      </c>
      <c r="BS594" t="str">
        <f t="shared" si="186"/>
        <v/>
      </c>
      <c r="BT594" s="76" t="str">
        <f t="shared" si="187"/>
        <v/>
      </c>
      <c r="BU594" t="str">
        <f t="shared" si="188"/>
        <v/>
      </c>
      <c r="CN594">
        <v>593</v>
      </c>
    </row>
    <row r="595" spans="1:92" x14ac:dyDescent="0.3">
      <c r="A595" s="118" t="s">
        <v>1833</v>
      </c>
      <c r="B595" t="s">
        <v>1836</v>
      </c>
      <c r="C595" t="s">
        <v>1313</v>
      </c>
      <c r="D595" s="144" t="s">
        <v>955</v>
      </c>
      <c r="E595" t="s">
        <v>830</v>
      </c>
      <c r="F595" t="s">
        <v>90</v>
      </c>
      <c r="G595" t="s">
        <v>831</v>
      </c>
      <c r="H595" t="s">
        <v>1706</v>
      </c>
      <c r="I595" t="s">
        <v>817</v>
      </c>
      <c r="J595" t="s">
        <v>802</v>
      </c>
      <c r="K595" t="s">
        <v>802</v>
      </c>
      <c r="L595" t="s">
        <v>1429</v>
      </c>
      <c r="M595" t="s">
        <v>208</v>
      </c>
      <c r="N595" t="s">
        <v>864</v>
      </c>
      <c r="O595" t="s">
        <v>894</v>
      </c>
      <c r="P595" t="s">
        <v>772</v>
      </c>
      <c r="Q595" t="s">
        <v>829</v>
      </c>
      <c r="R595">
        <v>20</v>
      </c>
      <c r="S595">
        <v>3</v>
      </c>
      <c r="T595">
        <v>0</v>
      </c>
      <c r="U595">
        <v>0</v>
      </c>
      <c r="V595">
        <v>0</v>
      </c>
      <c r="W595">
        <v>0</v>
      </c>
      <c r="X595">
        <v>0</v>
      </c>
      <c r="Y595">
        <v>0</v>
      </c>
      <c r="Z595">
        <v>0</v>
      </c>
      <c r="AA595">
        <v>0</v>
      </c>
      <c r="AB595">
        <v>0</v>
      </c>
      <c r="AC595">
        <v>0</v>
      </c>
      <c r="AD595">
        <v>0</v>
      </c>
      <c r="AE595">
        <v>0</v>
      </c>
      <c r="AF595">
        <v>20</v>
      </c>
      <c r="AG595">
        <v>3</v>
      </c>
      <c r="AH595">
        <v>0</v>
      </c>
      <c r="AI595">
        <v>0</v>
      </c>
      <c r="AY595" t="str">
        <f t="shared" si="171"/>
        <v>ERYTHROVET</v>
      </c>
      <c r="AZ595" t="str">
        <f>IF(COUNTIF(AY:AY,AY595)=1,AY595,IF(AND(COUNTIF(AY:AY,AY595)&gt;1,COUNTIF(AZ$2:AZ594,AY595)&gt;=1),"",AY595))</f>
        <v/>
      </c>
      <c r="BA595" t="str">
        <f>IF(AZ595="","",COUNTIFS(AZ$3:AZ$1439,"&lt;"&amp;AZ595,AZ$3:AZ$1439,"&lt;&gt;0")+COUNTIF(AZ$3:AZ595,AZ595)-876)</f>
        <v/>
      </c>
      <c r="BE595" t="str">
        <f t="shared" si="172"/>
        <v/>
      </c>
      <c r="BF595" t="str">
        <f t="shared" si="173"/>
        <v/>
      </c>
      <c r="BG595" t="str">
        <f t="shared" si="174"/>
        <v/>
      </c>
      <c r="BH595" t="str">
        <f t="shared" si="175"/>
        <v/>
      </c>
      <c r="BI595" t="str">
        <f t="shared" si="176"/>
        <v/>
      </c>
      <c r="BJ595" t="str">
        <f t="shared" si="177"/>
        <v/>
      </c>
      <c r="BK595" t="str">
        <f t="shared" si="178"/>
        <v/>
      </c>
      <c r="BL595" t="str">
        <f t="shared" si="182"/>
        <v/>
      </c>
      <c r="BM595" t="str">
        <f t="shared" si="179"/>
        <v/>
      </c>
      <c r="BN595" t="str">
        <f t="shared" si="180"/>
        <v/>
      </c>
      <c r="BO595" t="str">
        <f t="shared" si="181"/>
        <v/>
      </c>
      <c r="BP595" t="b">
        <f t="shared" si="183"/>
        <v>0</v>
      </c>
      <c r="BQ595" t="str">
        <f t="shared" si="184"/>
        <v/>
      </c>
      <c r="BR595" t="str">
        <f t="shared" si="185"/>
        <v/>
      </c>
      <c r="BS595" t="str">
        <f t="shared" si="186"/>
        <v/>
      </c>
      <c r="BT595" s="76" t="str">
        <f t="shared" si="187"/>
        <v/>
      </c>
      <c r="BU595" t="str">
        <f t="shared" si="188"/>
        <v/>
      </c>
      <c r="CN595">
        <v>594</v>
      </c>
    </row>
    <row r="596" spans="1:92" x14ac:dyDescent="0.3">
      <c r="A596" s="118" t="s">
        <v>2429</v>
      </c>
      <c r="B596" t="s">
        <v>2430</v>
      </c>
      <c r="C596" t="s">
        <v>2431</v>
      </c>
      <c r="D596" s="144" t="s">
        <v>869</v>
      </c>
      <c r="E596" t="s">
        <v>765</v>
      </c>
      <c r="F596" t="s">
        <v>346</v>
      </c>
      <c r="G596" t="s">
        <v>766</v>
      </c>
      <c r="H596" t="s">
        <v>990</v>
      </c>
      <c r="I596" t="s">
        <v>766</v>
      </c>
      <c r="J596" t="s">
        <v>2165</v>
      </c>
      <c r="K596" t="s">
        <v>2165</v>
      </c>
      <c r="L596" t="s">
        <v>2432</v>
      </c>
      <c r="M596" t="s">
        <v>208</v>
      </c>
      <c r="N596" t="s">
        <v>780</v>
      </c>
      <c r="O596" t="s">
        <v>771</v>
      </c>
      <c r="P596" t="s">
        <v>772</v>
      </c>
      <c r="Q596" t="s">
        <v>772</v>
      </c>
      <c r="R596">
        <v>1</v>
      </c>
      <c r="S596">
        <v>5</v>
      </c>
      <c r="T596">
        <v>2.2000000000000002</v>
      </c>
      <c r="U596">
        <v>10</v>
      </c>
      <c r="V596">
        <v>2.2000000000000002</v>
      </c>
      <c r="W596">
        <v>10</v>
      </c>
      <c r="X596">
        <v>0</v>
      </c>
      <c r="Y596">
        <v>0</v>
      </c>
      <c r="Z596">
        <v>0</v>
      </c>
      <c r="AA596">
        <v>0</v>
      </c>
      <c r="AB596">
        <v>0</v>
      </c>
      <c r="AC596">
        <v>0</v>
      </c>
      <c r="AD596">
        <v>3</v>
      </c>
      <c r="AE596">
        <v>3</v>
      </c>
      <c r="AF596">
        <v>0</v>
      </c>
      <c r="AG596">
        <v>0</v>
      </c>
      <c r="AH596">
        <v>0</v>
      </c>
      <c r="AI596">
        <v>0</v>
      </c>
      <c r="AY596" t="str">
        <f t="shared" si="171"/>
        <v>EXCENEL 1 G</v>
      </c>
      <c r="AZ596" t="str">
        <f>IF(COUNTIF(AY:AY,AY596)=1,AY596,IF(AND(COUNTIF(AY:AY,AY596)&gt;1,COUNTIF(AZ$2:AZ595,AY596)&gt;=1),"",AY596))</f>
        <v>EXCENEL 1 G</v>
      </c>
      <c r="BA596">
        <f>IF(AZ596="","",COUNTIFS(AZ$3:AZ$1439,"&lt;"&amp;AZ596,AZ$3:AZ$1439,"&lt;&gt;0")+COUNTIF(AZ$3:AZ596,AZ596)-876)</f>
        <v>223</v>
      </c>
      <c r="BE596" t="str">
        <f t="shared" si="172"/>
        <v/>
      </c>
      <c r="BF596" t="str">
        <f t="shared" si="173"/>
        <v/>
      </c>
      <c r="BG596" t="str">
        <f t="shared" si="174"/>
        <v/>
      </c>
      <c r="BH596" t="str">
        <f t="shared" si="175"/>
        <v/>
      </c>
      <c r="BI596" t="str">
        <f t="shared" si="176"/>
        <v/>
      </c>
      <c r="BJ596" t="str">
        <f t="shared" si="177"/>
        <v/>
      </c>
      <c r="BK596" t="str">
        <f t="shared" si="178"/>
        <v/>
      </c>
      <c r="BL596" t="str">
        <f t="shared" si="182"/>
        <v/>
      </c>
      <c r="BM596" t="str">
        <f t="shared" si="179"/>
        <v/>
      </c>
      <c r="BN596" t="str">
        <f t="shared" si="180"/>
        <v/>
      </c>
      <c r="BO596" t="str">
        <f t="shared" si="181"/>
        <v/>
      </c>
      <c r="BP596" t="b">
        <f t="shared" si="183"/>
        <v>0</v>
      </c>
      <c r="BQ596" t="str">
        <f t="shared" si="184"/>
        <v/>
      </c>
      <c r="BR596" t="str">
        <f t="shared" si="185"/>
        <v/>
      </c>
      <c r="BS596" t="str">
        <f t="shared" si="186"/>
        <v/>
      </c>
      <c r="BT596" s="76" t="str">
        <f t="shared" si="187"/>
        <v/>
      </c>
      <c r="BU596" t="str">
        <f t="shared" si="188"/>
        <v/>
      </c>
      <c r="CN596">
        <v>595</v>
      </c>
    </row>
    <row r="597" spans="1:92" x14ac:dyDescent="0.3">
      <c r="A597" s="118" t="s">
        <v>2457</v>
      </c>
      <c r="B597" t="s">
        <v>2458</v>
      </c>
      <c r="C597" t="s">
        <v>2431</v>
      </c>
      <c r="D597" s="144" t="s">
        <v>940</v>
      </c>
      <c r="E597" t="s">
        <v>765</v>
      </c>
      <c r="F597" t="s">
        <v>347</v>
      </c>
      <c r="G597" t="s">
        <v>766</v>
      </c>
      <c r="H597" t="s">
        <v>990</v>
      </c>
      <c r="I597" t="s">
        <v>766</v>
      </c>
      <c r="J597" t="s">
        <v>2165</v>
      </c>
      <c r="K597" t="s">
        <v>2165</v>
      </c>
      <c r="L597" t="s">
        <v>2432</v>
      </c>
      <c r="M597" t="s">
        <v>208</v>
      </c>
      <c r="N597" t="s">
        <v>780</v>
      </c>
      <c r="O597" t="s">
        <v>771</v>
      </c>
      <c r="P597" t="s">
        <v>772</v>
      </c>
      <c r="Q597" t="s">
        <v>934</v>
      </c>
      <c r="R597">
        <v>1</v>
      </c>
      <c r="S597">
        <v>5</v>
      </c>
      <c r="T597">
        <v>2.2000000000000002</v>
      </c>
      <c r="U597">
        <v>10</v>
      </c>
      <c r="V597">
        <v>2.2000000000000002</v>
      </c>
      <c r="W597">
        <v>10</v>
      </c>
      <c r="X597">
        <v>0</v>
      </c>
      <c r="Y597">
        <v>0</v>
      </c>
      <c r="Z597">
        <v>0</v>
      </c>
      <c r="AA597">
        <v>0</v>
      </c>
      <c r="AB597">
        <v>0</v>
      </c>
      <c r="AC597">
        <v>0</v>
      </c>
      <c r="AD597">
        <v>3</v>
      </c>
      <c r="AE597">
        <v>3</v>
      </c>
      <c r="AF597">
        <v>0</v>
      </c>
      <c r="AG597">
        <v>0</v>
      </c>
      <c r="AH597">
        <v>0</v>
      </c>
      <c r="AI597">
        <v>0</v>
      </c>
      <c r="AY597" t="str">
        <f t="shared" si="171"/>
        <v>EXCENEL 4 G</v>
      </c>
      <c r="AZ597" t="str">
        <f>IF(COUNTIF(AY:AY,AY597)=1,AY597,IF(AND(COUNTIF(AY:AY,AY597)&gt;1,COUNTIF(AZ$2:AZ596,AY597)&gt;=1),"",AY597))</f>
        <v>EXCENEL 4 G</v>
      </c>
      <c r="BA597">
        <f>IF(AZ597="","",COUNTIFS(AZ$3:AZ$1439,"&lt;"&amp;AZ597,AZ$3:AZ$1439,"&lt;&gt;0")+COUNTIF(AZ$3:AZ597,AZ597)-876)</f>
        <v>224</v>
      </c>
      <c r="BE597" t="str">
        <f t="shared" si="172"/>
        <v/>
      </c>
      <c r="BF597" t="str">
        <f t="shared" si="173"/>
        <v/>
      </c>
      <c r="BG597" t="str">
        <f t="shared" si="174"/>
        <v/>
      </c>
      <c r="BH597" t="str">
        <f t="shared" si="175"/>
        <v/>
      </c>
      <c r="BI597" t="str">
        <f t="shared" si="176"/>
        <v/>
      </c>
      <c r="BJ597" t="str">
        <f t="shared" si="177"/>
        <v/>
      </c>
      <c r="BK597" t="str">
        <f t="shared" si="178"/>
        <v/>
      </c>
      <c r="BL597" t="str">
        <f t="shared" si="182"/>
        <v/>
      </c>
      <c r="BM597" t="str">
        <f t="shared" si="179"/>
        <v/>
      </c>
      <c r="BN597" t="str">
        <f t="shared" si="180"/>
        <v/>
      </c>
      <c r="BO597" t="str">
        <f t="shared" si="181"/>
        <v/>
      </c>
      <c r="BP597" t="b">
        <f t="shared" si="183"/>
        <v>0</v>
      </c>
      <c r="BQ597" t="str">
        <f t="shared" si="184"/>
        <v/>
      </c>
      <c r="BR597" t="str">
        <f t="shared" si="185"/>
        <v/>
      </c>
      <c r="BS597" t="str">
        <f t="shared" si="186"/>
        <v/>
      </c>
      <c r="BT597" s="76" t="str">
        <f t="shared" si="187"/>
        <v/>
      </c>
      <c r="BU597" t="str">
        <f t="shared" si="188"/>
        <v/>
      </c>
      <c r="CN597">
        <v>596</v>
      </c>
    </row>
    <row r="598" spans="1:92" x14ac:dyDescent="0.3">
      <c r="A598" s="118" t="s">
        <v>2684</v>
      </c>
      <c r="B598" t="s">
        <v>2685</v>
      </c>
      <c r="C598" t="s">
        <v>1238</v>
      </c>
      <c r="D598" s="144" t="s">
        <v>780</v>
      </c>
      <c r="E598" t="s">
        <v>765</v>
      </c>
      <c r="F598" t="s">
        <v>348</v>
      </c>
      <c r="G598" t="s">
        <v>766</v>
      </c>
      <c r="H598" t="s">
        <v>1326</v>
      </c>
      <c r="I598" t="s">
        <v>766</v>
      </c>
      <c r="J598" t="s">
        <v>2165</v>
      </c>
      <c r="K598" t="s">
        <v>2165</v>
      </c>
      <c r="L598" t="s">
        <v>2432</v>
      </c>
      <c r="M598" t="s">
        <v>208</v>
      </c>
      <c r="N598" t="s">
        <v>780</v>
      </c>
      <c r="O598" t="s">
        <v>771</v>
      </c>
      <c r="P598" t="s">
        <v>772</v>
      </c>
      <c r="Q598" t="s">
        <v>1126</v>
      </c>
      <c r="R598">
        <v>1</v>
      </c>
      <c r="S598">
        <v>5</v>
      </c>
      <c r="T598">
        <v>0</v>
      </c>
      <c r="U598">
        <v>0</v>
      </c>
      <c r="V598">
        <v>0</v>
      </c>
      <c r="W598">
        <v>0</v>
      </c>
      <c r="X598">
        <v>0</v>
      </c>
      <c r="Y598">
        <v>0</v>
      </c>
      <c r="Z598">
        <v>0</v>
      </c>
      <c r="AA598">
        <v>0</v>
      </c>
      <c r="AB598">
        <v>0</v>
      </c>
      <c r="AC598">
        <v>0</v>
      </c>
      <c r="AD598">
        <v>3</v>
      </c>
      <c r="AE598">
        <v>3</v>
      </c>
      <c r="AF598">
        <v>0</v>
      </c>
      <c r="AG598">
        <v>0</v>
      </c>
      <c r="AH598">
        <v>0</v>
      </c>
      <c r="AI598">
        <v>0</v>
      </c>
      <c r="AY598" t="str">
        <f t="shared" si="171"/>
        <v>EXCENEL FLOW 50 MG/ML SUSPENSION INJECTABLE POUR PORCINS ET BOVINS</v>
      </c>
      <c r="AZ598" t="str">
        <f>IF(COUNTIF(AY:AY,AY598)=1,AY598,IF(AND(COUNTIF(AY:AY,AY598)&gt;1,COUNTIF(AZ$2:AZ597,AY598)&gt;=1),"",AY598))</f>
        <v>EXCENEL FLOW 50 MG/ML SUSPENSION INJECTABLE POUR PORCINS ET BOVINS</v>
      </c>
      <c r="BA598">
        <f>IF(AZ598="","",COUNTIFS(AZ$3:AZ$1439,"&lt;"&amp;AZ598,AZ$3:AZ$1439,"&lt;&gt;0")+COUNTIF(AZ$3:AZ598,AZ598)-876)</f>
        <v>225</v>
      </c>
      <c r="BE598" t="str">
        <f t="shared" si="172"/>
        <v/>
      </c>
      <c r="BF598" t="str">
        <f t="shared" si="173"/>
        <v/>
      </c>
      <c r="BG598" t="str">
        <f t="shared" si="174"/>
        <v/>
      </c>
      <c r="BH598" t="str">
        <f t="shared" si="175"/>
        <v/>
      </c>
      <c r="BI598" t="str">
        <f t="shared" si="176"/>
        <v/>
      </c>
      <c r="BJ598" t="str">
        <f t="shared" si="177"/>
        <v/>
      </c>
      <c r="BK598" t="str">
        <f t="shared" si="178"/>
        <v/>
      </c>
      <c r="BL598" t="str">
        <f t="shared" si="182"/>
        <v/>
      </c>
      <c r="BM598" t="str">
        <f t="shared" si="179"/>
        <v/>
      </c>
      <c r="BN598" t="str">
        <f t="shared" si="180"/>
        <v/>
      </c>
      <c r="BO598" t="str">
        <f t="shared" si="181"/>
        <v/>
      </c>
      <c r="BP598" t="b">
        <f t="shared" si="183"/>
        <v>0</v>
      </c>
      <c r="BQ598" t="str">
        <f t="shared" si="184"/>
        <v/>
      </c>
      <c r="BR598" t="str">
        <f t="shared" si="185"/>
        <v/>
      </c>
      <c r="BS598" t="str">
        <f t="shared" si="186"/>
        <v/>
      </c>
      <c r="BT598" s="76" t="str">
        <f t="shared" si="187"/>
        <v/>
      </c>
      <c r="BU598" t="str">
        <f t="shared" si="188"/>
        <v/>
      </c>
      <c r="CN598">
        <v>597</v>
      </c>
    </row>
    <row r="599" spans="1:92" x14ac:dyDescent="0.3">
      <c r="A599" s="118" t="s">
        <v>2684</v>
      </c>
      <c r="B599" t="s">
        <v>2686</v>
      </c>
      <c r="C599" t="s">
        <v>792</v>
      </c>
      <c r="D599" s="144" t="s">
        <v>764</v>
      </c>
      <c r="E599" t="s">
        <v>765</v>
      </c>
      <c r="F599" t="s">
        <v>348</v>
      </c>
      <c r="G599" t="s">
        <v>766</v>
      </c>
      <c r="H599" t="s">
        <v>1326</v>
      </c>
      <c r="I599" t="s">
        <v>766</v>
      </c>
      <c r="J599" t="s">
        <v>2165</v>
      </c>
      <c r="K599" t="s">
        <v>2165</v>
      </c>
      <c r="L599" t="s">
        <v>2432</v>
      </c>
      <c r="M599" t="s">
        <v>208</v>
      </c>
      <c r="N599" t="s">
        <v>780</v>
      </c>
      <c r="O599" t="s">
        <v>771</v>
      </c>
      <c r="P599" t="s">
        <v>772</v>
      </c>
      <c r="Q599" t="s">
        <v>885</v>
      </c>
      <c r="R599">
        <v>1</v>
      </c>
      <c r="S599">
        <v>5</v>
      </c>
      <c r="T599">
        <v>0</v>
      </c>
      <c r="U599">
        <v>0</v>
      </c>
      <c r="V599">
        <v>0</v>
      </c>
      <c r="W599">
        <v>0</v>
      </c>
      <c r="X599">
        <v>0</v>
      </c>
      <c r="Y599">
        <v>0</v>
      </c>
      <c r="Z599">
        <v>0</v>
      </c>
      <c r="AA599">
        <v>0</v>
      </c>
      <c r="AB599">
        <v>0</v>
      </c>
      <c r="AC599">
        <v>0</v>
      </c>
      <c r="AD599">
        <v>3</v>
      </c>
      <c r="AE599">
        <v>3</v>
      </c>
      <c r="AF599">
        <v>0</v>
      </c>
      <c r="AG599">
        <v>0</v>
      </c>
      <c r="AH599">
        <v>0</v>
      </c>
      <c r="AI599">
        <v>0</v>
      </c>
      <c r="AY599" t="str">
        <f t="shared" si="171"/>
        <v>EXCENEL FLOW 50 MG/ML SUSPENSION INJECTABLE POUR PORCINS ET BOVINS</v>
      </c>
      <c r="AZ599" t="str">
        <f>IF(COUNTIF(AY:AY,AY599)=1,AY599,IF(AND(COUNTIF(AY:AY,AY599)&gt;1,COUNTIF(AZ$2:AZ598,AY599)&gt;=1),"",AY599))</f>
        <v/>
      </c>
      <c r="BA599" t="str">
        <f>IF(AZ599="","",COUNTIFS(AZ$3:AZ$1439,"&lt;"&amp;AZ599,AZ$3:AZ$1439,"&lt;&gt;0")+COUNTIF(AZ$3:AZ599,AZ599)-876)</f>
        <v/>
      </c>
      <c r="BE599" t="str">
        <f t="shared" si="172"/>
        <v/>
      </c>
      <c r="BF599" t="str">
        <f t="shared" si="173"/>
        <v/>
      </c>
      <c r="BG599" t="str">
        <f t="shared" si="174"/>
        <v/>
      </c>
      <c r="BH599" t="str">
        <f t="shared" si="175"/>
        <v/>
      </c>
      <c r="BI599" t="str">
        <f t="shared" si="176"/>
        <v/>
      </c>
      <c r="BJ599" t="str">
        <f t="shared" si="177"/>
        <v/>
      </c>
      <c r="BK599" t="str">
        <f t="shared" si="178"/>
        <v/>
      </c>
      <c r="BL599" t="str">
        <f t="shared" si="182"/>
        <v/>
      </c>
      <c r="BM599" t="str">
        <f t="shared" si="179"/>
        <v/>
      </c>
      <c r="BN599" t="str">
        <f t="shared" si="180"/>
        <v/>
      </c>
      <c r="BO599" t="str">
        <f t="shared" si="181"/>
        <v/>
      </c>
      <c r="BP599" t="b">
        <f t="shared" si="183"/>
        <v>0</v>
      </c>
      <c r="BQ599" t="str">
        <f t="shared" si="184"/>
        <v/>
      </c>
      <c r="BR599" t="str">
        <f t="shared" si="185"/>
        <v/>
      </c>
      <c r="BS599" t="str">
        <f t="shared" si="186"/>
        <v/>
      </c>
      <c r="BT599" s="76" t="str">
        <f t="shared" si="187"/>
        <v/>
      </c>
      <c r="BU599" t="str">
        <f t="shared" si="188"/>
        <v/>
      </c>
      <c r="CN599">
        <v>598</v>
      </c>
    </row>
    <row r="600" spans="1:92" x14ac:dyDescent="0.3">
      <c r="A600" s="118" t="s">
        <v>2396</v>
      </c>
      <c r="B600" t="s">
        <v>2397</v>
      </c>
      <c r="C600" t="s">
        <v>4458</v>
      </c>
      <c r="D600" s="144" t="s">
        <v>869</v>
      </c>
      <c r="E600" t="s">
        <v>813</v>
      </c>
      <c r="F600" t="s">
        <v>349</v>
      </c>
      <c r="G600" t="s">
        <v>1024</v>
      </c>
      <c r="H600" t="s">
        <v>801</v>
      </c>
      <c r="I600" t="s">
        <v>1013</v>
      </c>
      <c r="J600" t="s">
        <v>1179</v>
      </c>
      <c r="K600" t="s">
        <v>1179</v>
      </c>
      <c r="L600" t="s">
        <v>2398</v>
      </c>
      <c r="M600" t="s">
        <v>208</v>
      </c>
      <c r="N600" t="s">
        <v>1163</v>
      </c>
      <c r="O600" t="s">
        <v>824</v>
      </c>
      <c r="P600" t="s">
        <v>772</v>
      </c>
      <c r="Q600" t="s">
        <v>786</v>
      </c>
      <c r="R600">
        <v>0</v>
      </c>
      <c r="S600">
        <v>0</v>
      </c>
      <c r="T600">
        <v>0</v>
      </c>
      <c r="U600">
        <v>0</v>
      </c>
      <c r="V600">
        <v>0</v>
      </c>
      <c r="W600">
        <v>0</v>
      </c>
      <c r="X600">
        <v>0</v>
      </c>
      <c r="Y600">
        <v>0</v>
      </c>
      <c r="Z600">
        <v>0</v>
      </c>
      <c r="AA600">
        <v>0</v>
      </c>
      <c r="AB600">
        <v>0</v>
      </c>
      <c r="AC600">
        <v>0</v>
      </c>
      <c r="AD600">
        <v>0</v>
      </c>
      <c r="AE600">
        <v>0</v>
      </c>
      <c r="AF600">
        <v>0</v>
      </c>
      <c r="AG600">
        <v>0</v>
      </c>
      <c r="AH600">
        <v>0</v>
      </c>
      <c r="AI600">
        <v>0</v>
      </c>
      <c r="AY600" t="str">
        <f t="shared" si="171"/>
        <v>FACEL H.L.</v>
      </c>
      <c r="AZ600" t="str">
        <f>IF(COUNTIF(AY:AY,AY600)=1,AY600,IF(AND(COUNTIF(AY:AY,AY600)&gt;1,COUNTIF(AZ$2:AZ599,AY600)&gt;=1),"",AY600))</f>
        <v>FACEL H.L.</v>
      </c>
      <c r="BA600">
        <f>IF(AZ600="","",COUNTIFS(AZ$3:AZ$1439,"&lt;"&amp;AZ600,AZ$3:AZ$1439,"&lt;&gt;0")+COUNTIF(AZ$3:AZ600,AZ600)-876)</f>
        <v>226</v>
      </c>
      <c r="BE600" t="str">
        <f t="shared" si="172"/>
        <v/>
      </c>
      <c r="BF600" t="str">
        <f t="shared" si="173"/>
        <v/>
      </c>
      <c r="BG600" t="str">
        <f t="shared" si="174"/>
        <v/>
      </c>
      <c r="BH600" t="str">
        <f t="shared" si="175"/>
        <v/>
      </c>
      <c r="BI600" t="str">
        <f t="shared" si="176"/>
        <v/>
      </c>
      <c r="BJ600" t="str">
        <f t="shared" si="177"/>
        <v/>
      </c>
      <c r="BK600" t="str">
        <f t="shared" si="178"/>
        <v/>
      </c>
      <c r="BL600" t="str">
        <f t="shared" si="182"/>
        <v/>
      </c>
      <c r="BM600" t="str">
        <f t="shared" si="179"/>
        <v/>
      </c>
      <c r="BN600" t="str">
        <f t="shared" si="180"/>
        <v/>
      </c>
      <c r="BO600" t="str">
        <f t="shared" si="181"/>
        <v/>
      </c>
      <c r="BP600" t="b">
        <f t="shared" si="183"/>
        <v>0</v>
      </c>
      <c r="BQ600" t="str">
        <f t="shared" si="184"/>
        <v/>
      </c>
      <c r="BR600" t="str">
        <f t="shared" si="185"/>
        <v/>
      </c>
      <c r="BS600" t="str">
        <f t="shared" si="186"/>
        <v/>
      </c>
      <c r="BT600" s="76" t="str">
        <f t="shared" si="187"/>
        <v/>
      </c>
      <c r="BU600" t="str">
        <f t="shared" si="188"/>
        <v/>
      </c>
      <c r="CN600">
        <v>599</v>
      </c>
    </row>
    <row r="601" spans="1:92" x14ac:dyDescent="0.3">
      <c r="A601" s="118" t="s">
        <v>2492</v>
      </c>
      <c r="B601" t="s">
        <v>2493</v>
      </c>
      <c r="C601" t="s">
        <v>2494</v>
      </c>
      <c r="D601" s="144" t="s">
        <v>934</v>
      </c>
      <c r="E601" t="s">
        <v>813</v>
      </c>
      <c r="F601" t="s">
        <v>37</v>
      </c>
      <c r="G601" t="s">
        <v>1024</v>
      </c>
      <c r="H601" t="s">
        <v>801</v>
      </c>
      <c r="I601" t="s">
        <v>1013</v>
      </c>
      <c r="J601" t="s">
        <v>821</v>
      </c>
      <c r="K601" t="s">
        <v>821</v>
      </c>
      <c r="L601" t="s">
        <v>2495</v>
      </c>
      <c r="M601" t="s">
        <v>208</v>
      </c>
      <c r="N601" t="s">
        <v>764</v>
      </c>
      <c r="O601" t="s">
        <v>824</v>
      </c>
      <c r="P601" t="s">
        <v>772</v>
      </c>
      <c r="Q601" t="s">
        <v>1028</v>
      </c>
      <c r="R601">
        <v>0</v>
      </c>
      <c r="S601">
        <v>0</v>
      </c>
      <c r="T601">
        <v>0</v>
      </c>
      <c r="U601">
        <v>0</v>
      </c>
      <c r="V601">
        <v>0</v>
      </c>
      <c r="W601">
        <v>0</v>
      </c>
      <c r="X601">
        <v>0</v>
      </c>
      <c r="Y601">
        <v>0</v>
      </c>
      <c r="Z601">
        <v>0</v>
      </c>
      <c r="AA601">
        <v>0</v>
      </c>
      <c r="AB601">
        <v>0</v>
      </c>
      <c r="AC601">
        <v>0</v>
      </c>
      <c r="AD601">
        <v>0</v>
      </c>
      <c r="AE601">
        <v>0</v>
      </c>
      <c r="AF601">
        <v>0</v>
      </c>
      <c r="AG601">
        <v>0</v>
      </c>
      <c r="AH601">
        <v>0</v>
      </c>
      <c r="AI601">
        <v>0</v>
      </c>
      <c r="AY601" t="str">
        <f t="shared" si="171"/>
        <v>FATROX</v>
      </c>
      <c r="AZ601" t="str">
        <f>IF(COUNTIF(AY:AY,AY601)=1,AY601,IF(AND(COUNTIF(AY:AY,AY601)&gt;1,COUNTIF(AZ$2:AZ600,AY601)&gt;=1),"",AY601))</f>
        <v>FATROX</v>
      </c>
      <c r="BA601">
        <f>IF(AZ601="","",COUNTIFS(AZ$3:AZ$1439,"&lt;"&amp;AZ601,AZ$3:AZ$1439,"&lt;&gt;0")+COUNTIF(AZ$3:AZ601,AZ601)-876)</f>
        <v>227</v>
      </c>
      <c r="BE601" t="str">
        <f t="shared" si="172"/>
        <v/>
      </c>
      <c r="BF601" t="str">
        <f t="shared" si="173"/>
        <v/>
      </c>
      <c r="BG601" t="str">
        <f t="shared" si="174"/>
        <v/>
      </c>
      <c r="BH601" t="str">
        <f t="shared" si="175"/>
        <v/>
      </c>
      <c r="BI601" t="str">
        <f t="shared" si="176"/>
        <v/>
      </c>
      <c r="BJ601" t="str">
        <f t="shared" si="177"/>
        <v/>
      </c>
      <c r="BK601" t="str">
        <f t="shared" si="178"/>
        <v/>
      </c>
      <c r="BL601" t="str">
        <f t="shared" si="182"/>
        <v/>
      </c>
      <c r="BM601" t="str">
        <f t="shared" si="179"/>
        <v/>
      </c>
      <c r="BN601" t="str">
        <f t="shared" si="180"/>
        <v/>
      </c>
      <c r="BO601" t="str">
        <f t="shared" si="181"/>
        <v/>
      </c>
      <c r="BP601" t="b">
        <f t="shared" si="183"/>
        <v>0</v>
      </c>
      <c r="BQ601" t="str">
        <f t="shared" si="184"/>
        <v/>
      </c>
      <c r="BR601" t="str">
        <f t="shared" si="185"/>
        <v/>
      </c>
      <c r="BS601" t="str">
        <f t="shared" si="186"/>
        <v/>
      </c>
      <c r="BT601" s="76" t="str">
        <f t="shared" si="187"/>
        <v/>
      </c>
      <c r="BU601" t="str">
        <f t="shared" si="188"/>
        <v/>
      </c>
      <c r="CN601">
        <v>600</v>
      </c>
    </row>
    <row r="602" spans="1:92" x14ac:dyDescent="0.3">
      <c r="A602" s="118" t="s">
        <v>2492</v>
      </c>
      <c r="B602" t="s">
        <v>2496</v>
      </c>
      <c r="C602" t="s">
        <v>2497</v>
      </c>
      <c r="D602" s="144" t="s">
        <v>1047</v>
      </c>
      <c r="E602" t="s">
        <v>813</v>
      </c>
      <c r="F602" t="s">
        <v>37</v>
      </c>
      <c r="G602" t="s">
        <v>1024</v>
      </c>
      <c r="H602" t="s">
        <v>801</v>
      </c>
      <c r="I602" t="s">
        <v>1013</v>
      </c>
      <c r="J602" t="s">
        <v>821</v>
      </c>
      <c r="K602" t="s">
        <v>821</v>
      </c>
      <c r="L602" t="s">
        <v>2495</v>
      </c>
      <c r="M602" t="s">
        <v>208</v>
      </c>
      <c r="N602" t="s">
        <v>764</v>
      </c>
      <c r="O602" t="s">
        <v>824</v>
      </c>
      <c r="P602" t="s">
        <v>772</v>
      </c>
      <c r="Q602" t="s">
        <v>786</v>
      </c>
      <c r="R602">
        <v>0</v>
      </c>
      <c r="S602">
        <v>0</v>
      </c>
      <c r="T602">
        <v>0</v>
      </c>
      <c r="U602">
        <v>0</v>
      </c>
      <c r="V602">
        <v>0</v>
      </c>
      <c r="W602">
        <v>0</v>
      </c>
      <c r="X602">
        <v>0</v>
      </c>
      <c r="Y602">
        <v>0</v>
      </c>
      <c r="Z602">
        <v>0</v>
      </c>
      <c r="AA602">
        <v>0</v>
      </c>
      <c r="AB602">
        <v>0</v>
      </c>
      <c r="AC602">
        <v>0</v>
      </c>
      <c r="AD602">
        <v>0</v>
      </c>
      <c r="AE602">
        <v>0</v>
      </c>
      <c r="AF602">
        <v>0</v>
      </c>
      <c r="AG602">
        <v>0</v>
      </c>
      <c r="AH602">
        <v>0</v>
      </c>
      <c r="AI602">
        <v>0</v>
      </c>
      <c r="AY602" t="str">
        <f t="shared" si="171"/>
        <v>FATROX</v>
      </c>
      <c r="AZ602" t="str">
        <f>IF(COUNTIF(AY:AY,AY602)=1,AY602,IF(AND(COUNTIF(AY:AY,AY602)&gt;1,COUNTIF(AZ$2:AZ601,AY602)&gt;=1),"",AY602))</f>
        <v/>
      </c>
      <c r="BA602" t="str">
        <f>IF(AZ602="","",COUNTIFS(AZ$3:AZ$1439,"&lt;"&amp;AZ602,AZ$3:AZ$1439,"&lt;&gt;0")+COUNTIF(AZ$3:AZ602,AZ602)-876)</f>
        <v/>
      </c>
      <c r="BE602" t="str">
        <f t="shared" si="172"/>
        <v/>
      </c>
      <c r="BF602" t="str">
        <f t="shared" si="173"/>
        <v/>
      </c>
      <c r="BG602" t="str">
        <f t="shared" si="174"/>
        <v/>
      </c>
      <c r="BH602" t="str">
        <f t="shared" si="175"/>
        <v/>
      </c>
      <c r="BI602" t="str">
        <f t="shared" si="176"/>
        <v/>
      </c>
      <c r="BJ602" t="str">
        <f t="shared" si="177"/>
        <v/>
      </c>
      <c r="BK602" t="str">
        <f t="shared" si="178"/>
        <v/>
      </c>
      <c r="BL602" t="str">
        <f t="shared" si="182"/>
        <v/>
      </c>
      <c r="BM602" t="str">
        <f t="shared" si="179"/>
        <v/>
      </c>
      <c r="BN602" t="str">
        <f t="shared" si="180"/>
        <v/>
      </c>
      <c r="BO602" t="str">
        <f t="shared" si="181"/>
        <v/>
      </c>
      <c r="BP602" t="b">
        <f t="shared" si="183"/>
        <v>0</v>
      </c>
      <c r="BQ602" t="str">
        <f t="shared" si="184"/>
        <v/>
      </c>
      <c r="BR602" t="str">
        <f t="shared" si="185"/>
        <v/>
      </c>
      <c r="BS602" t="str">
        <f t="shared" si="186"/>
        <v/>
      </c>
      <c r="BT602" s="76" t="str">
        <f t="shared" si="187"/>
        <v/>
      </c>
      <c r="BU602" t="str">
        <f t="shared" si="188"/>
        <v/>
      </c>
      <c r="CN602">
        <v>601</v>
      </c>
    </row>
    <row r="603" spans="1:92" x14ac:dyDescent="0.3">
      <c r="A603" s="118" t="s">
        <v>2492</v>
      </c>
      <c r="B603" t="s">
        <v>2498</v>
      </c>
      <c r="C603" t="s">
        <v>2499</v>
      </c>
      <c r="D603" s="144" t="s">
        <v>785</v>
      </c>
      <c r="E603" t="s">
        <v>813</v>
      </c>
      <c r="F603" t="s">
        <v>37</v>
      </c>
      <c r="G603" t="s">
        <v>1024</v>
      </c>
      <c r="H603" t="s">
        <v>801</v>
      </c>
      <c r="I603" t="s">
        <v>1013</v>
      </c>
      <c r="J603" t="s">
        <v>821</v>
      </c>
      <c r="K603" t="s">
        <v>821</v>
      </c>
      <c r="L603" t="s">
        <v>2495</v>
      </c>
      <c r="M603" t="s">
        <v>208</v>
      </c>
      <c r="N603" t="s">
        <v>764</v>
      </c>
      <c r="O603" t="s">
        <v>824</v>
      </c>
      <c r="P603" t="s">
        <v>772</v>
      </c>
      <c r="Q603" t="s">
        <v>793</v>
      </c>
      <c r="R603">
        <v>0</v>
      </c>
      <c r="S603">
        <v>0</v>
      </c>
      <c r="T603">
        <v>0</v>
      </c>
      <c r="U603">
        <v>0</v>
      </c>
      <c r="V603">
        <v>0</v>
      </c>
      <c r="W603">
        <v>0</v>
      </c>
      <c r="X603">
        <v>0</v>
      </c>
      <c r="Y603">
        <v>0</v>
      </c>
      <c r="Z603">
        <v>0</v>
      </c>
      <c r="AA603">
        <v>0</v>
      </c>
      <c r="AB603">
        <v>0</v>
      </c>
      <c r="AC603">
        <v>0</v>
      </c>
      <c r="AD603">
        <v>0</v>
      </c>
      <c r="AE603">
        <v>0</v>
      </c>
      <c r="AF603">
        <v>0</v>
      </c>
      <c r="AG603">
        <v>0</v>
      </c>
      <c r="AH603">
        <v>0</v>
      </c>
      <c r="AI603">
        <v>0</v>
      </c>
      <c r="AY603" t="str">
        <f t="shared" si="171"/>
        <v>FATROX</v>
      </c>
      <c r="AZ603" t="str">
        <f>IF(COUNTIF(AY:AY,AY603)=1,AY603,IF(AND(COUNTIF(AY:AY,AY603)&gt;1,COUNTIF(AZ$2:AZ602,AY603)&gt;=1),"",AY603))</f>
        <v/>
      </c>
      <c r="BA603" t="str">
        <f>IF(AZ603="","",COUNTIFS(AZ$3:AZ$1439,"&lt;"&amp;AZ603,AZ$3:AZ$1439,"&lt;&gt;0")+COUNTIF(AZ$3:AZ603,AZ603)-876)</f>
        <v/>
      </c>
      <c r="BT603" s="76"/>
      <c r="CN603">
        <v>602</v>
      </c>
    </row>
    <row r="604" spans="1:92" x14ac:dyDescent="0.3">
      <c r="A604" s="118" t="s">
        <v>2492</v>
      </c>
      <c r="B604" t="s">
        <v>4471</v>
      </c>
      <c r="C604" t="s">
        <v>4472</v>
      </c>
      <c r="D604" s="144" t="s">
        <v>1791</v>
      </c>
      <c r="E604" t="s">
        <v>813</v>
      </c>
      <c r="F604" t="s">
        <v>37</v>
      </c>
      <c r="G604" t="s">
        <v>1024</v>
      </c>
      <c r="H604" t="s">
        <v>801</v>
      </c>
      <c r="I604" t="s">
        <v>1013</v>
      </c>
      <c r="J604" t="s">
        <v>821</v>
      </c>
      <c r="K604" t="s">
        <v>821</v>
      </c>
      <c r="L604" t="s">
        <v>2495</v>
      </c>
      <c r="M604" t="s">
        <v>208</v>
      </c>
      <c r="N604" t="s">
        <v>764</v>
      </c>
      <c r="O604" t="s">
        <v>824</v>
      </c>
      <c r="P604" t="s">
        <v>772</v>
      </c>
      <c r="Q604" t="s">
        <v>1355</v>
      </c>
      <c r="R604">
        <v>0</v>
      </c>
      <c r="S604">
        <v>0</v>
      </c>
      <c r="T604">
        <v>0</v>
      </c>
      <c r="U604">
        <v>0</v>
      </c>
      <c r="V604">
        <v>0</v>
      </c>
      <c r="W604">
        <v>0</v>
      </c>
      <c r="X604">
        <v>0</v>
      </c>
      <c r="Y604">
        <v>0</v>
      </c>
      <c r="Z604">
        <v>0</v>
      </c>
      <c r="AA604">
        <v>0</v>
      </c>
      <c r="AB604">
        <v>0</v>
      </c>
      <c r="AC604">
        <v>0</v>
      </c>
      <c r="AD604">
        <v>0</v>
      </c>
      <c r="AE604">
        <v>0</v>
      </c>
      <c r="AF604">
        <v>0</v>
      </c>
      <c r="AG604">
        <v>0</v>
      </c>
      <c r="AH604">
        <v>0</v>
      </c>
      <c r="AI604">
        <v>0</v>
      </c>
      <c r="AY604" t="str">
        <f t="shared" si="171"/>
        <v>FATROX</v>
      </c>
      <c r="AZ604" t="str">
        <f>IF(COUNTIF(AY:AY,AY604)=1,AY604,IF(AND(COUNTIF(AY:AY,AY604)&gt;1,COUNTIF(AZ$2:AZ603,AY604)&gt;=1),"",AY604))</f>
        <v/>
      </c>
      <c r="BA604" t="str">
        <f>IF(AZ604="","",COUNTIFS(AZ$3:AZ$1439,"&lt;"&amp;AZ604,AZ$3:AZ$1439,"&lt;&gt;0")+COUNTIF(AZ$3:AZ604,AZ604)-876)</f>
        <v/>
      </c>
      <c r="BT604" s="76"/>
      <c r="CN604">
        <v>603</v>
      </c>
    </row>
    <row r="605" spans="1:92" x14ac:dyDescent="0.3">
      <c r="A605" s="118" t="s">
        <v>2492</v>
      </c>
      <c r="B605" t="s">
        <v>4473</v>
      </c>
      <c r="C605" t="s">
        <v>4474</v>
      </c>
      <c r="D605" s="144" t="s">
        <v>793</v>
      </c>
      <c r="E605" t="s">
        <v>813</v>
      </c>
      <c r="F605" t="s">
        <v>37</v>
      </c>
      <c r="G605" t="s">
        <v>1024</v>
      </c>
      <c r="H605" t="s">
        <v>801</v>
      </c>
      <c r="I605" t="s">
        <v>1013</v>
      </c>
      <c r="J605" t="s">
        <v>821</v>
      </c>
      <c r="K605" t="s">
        <v>821</v>
      </c>
      <c r="L605" t="s">
        <v>2495</v>
      </c>
      <c r="M605" t="s">
        <v>208</v>
      </c>
      <c r="N605" t="s">
        <v>764</v>
      </c>
      <c r="O605" t="s">
        <v>824</v>
      </c>
      <c r="P605" t="s">
        <v>772</v>
      </c>
      <c r="Q605" t="s">
        <v>2288</v>
      </c>
      <c r="R605">
        <v>0</v>
      </c>
      <c r="S605">
        <v>0</v>
      </c>
      <c r="T605">
        <v>0</v>
      </c>
      <c r="U605">
        <v>0</v>
      </c>
      <c r="V605">
        <v>0</v>
      </c>
      <c r="W605">
        <v>0</v>
      </c>
      <c r="X605">
        <v>0</v>
      </c>
      <c r="Y605">
        <v>0</v>
      </c>
      <c r="Z605">
        <v>0</v>
      </c>
      <c r="AA605">
        <v>0</v>
      </c>
      <c r="AB605">
        <v>0</v>
      </c>
      <c r="AC605">
        <v>0</v>
      </c>
      <c r="AD605">
        <v>0</v>
      </c>
      <c r="AE605">
        <v>0</v>
      </c>
      <c r="AF605">
        <v>0</v>
      </c>
      <c r="AG605">
        <v>0</v>
      </c>
      <c r="AH605">
        <v>0</v>
      </c>
      <c r="AI605">
        <v>0</v>
      </c>
      <c r="AY605" t="str">
        <f t="shared" si="171"/>
        <v>FATROX</v>
      </c>
      <c r="AZ605" t="str">
        <f>IF(COUNTIF(AY:AY,AY605)=1,AY605,IF(AND(COUNTIF(AY:AY,AY605)&gt;1,COUNTIF(AZ$2:AZ604,AY605)&gt;=1),"",AY605))</f>
        <v/>
      </c>
      <c r="BA605" t="str">
        <f>IF(AZ605="","",COUNTIFS(AZ$3:AZ$1439,"&lt;"&amp;AZ605,AZ$3:AZ$1439,"&lt;&gt;0")+COUNTIF(AZ$3:AZ605,AZ605)-876)</f>
        <v/>
      </c>
      <c r="BT605" s="76"/>
      <c r="CN605">
        <v>604</v>
      </c>
    </row>
    <row r="606" spans="1:92" x14ac:dyDescent="0.3">
      <c r="A606" s="118" t="s">
        <v>2492</v>
      </c>
      <c r="B606" t="s">
        <v>4475</v>
      </c>
      <c r="C606" t="s">
        <v>4476</v>
      </c>
      <c r="D606" s="144" t="s">
        <v>1132</v>
      </c>
      <c r="E606" t="s">
        <v>813</v>
      </c>
      <c r="F606" t="s">
        <v>37</v>
      </c>
      <c r="G606" t="s">
        <v>1024</v>
      </c>
      <c r="H606" t="s">
        <v>801</v>
      </c>
      <c r="I606" t="s">
        <v>1013</v>
      </c>
      <c r="J606" t="s">
        <v>821</v>
      </c>
      <c r="K606" t="s">
        <v>821</v>
      </c>
      <c r="L606" t="s">
        <v>2495</v>
      </c>
      <c r="M606" t="s">
        <v>208</v>
      </c>
      <c r="N606" t="s">
        <v>764</v>
      </c>
      <c r="O606" t="s">
        <v>824</v>
      </c>
      <c r="P606" t="s">
        <v>772</v>
      </c>
      <c r="Q606" t="s">
        <v>1015</v>
      </c>
      <c r="R606">
        <v>0</v>
      </c>
      <c r="S606">
        <v>0</v>
      </c>
      <c r="T606">
        <v>0</v>
      </c>
      <c r="U606">
        <v>0</v>
      </c>
      <c r="V606">
        <v>0</v>
      </c>
      <c r="W606">
        <v>0</v>
      </c>
      <c r="X606">
        <v>0</v>
      </c>
      <c r="Y606">
        <v>0</v>
      </c>
      <c r="Z606">
        <v>0</v>
      </c>
      <c r="AA606">
        <v>0</v>
      </c>
      <c r="AB606">
        <v>0</v>
      </c>
      <c r="AC606">
        <v>0</v>
      </c>
      <c r="AD606">
        <v>0</v>
      </c>
      <c r="AE606">
        <v>0</v>
      </c>
      <c r="AF606">
        <v>0</v>
      </c>
      <c r="AG606">
        <v>0</v>
      </c>
      <c r="AH606">
        <v>0</v>
      </c>
      <c r="AI606">
        <v>0</v>
      </c>
      <c r="AY606" t="str">
        <f t="shared" si="171"/>
        <v>FATROX</v>
      </c>
      <c r="AZ606" t="str">
        <f>IF(COUNTIF(AY:AY,AY606)=1,AY606,IF(AND(COUNTIF(AY:AY,AY606)&gt;1,COUNTIF(AZ$2:AZ605,AY606)&gt;=1),"",AY606))</f>
        <v/>
      </c>
      <c r="BA606" t="str">
        <f>IF(AZ606="","",COUNTIFS(AZ$3:AZ$1439,"&lt;"&amp;AZ606,AZ$3:AZ$1439,"&lt;&gt;0")+COUNTIF(AZ$3:AZ606,AZ606)-876)</f>
        <v/>
      </c>
      <c r="BT606" s="76"/>
      <c r="CN606">
        <v>605</v>
      </c>
    </row>
    <row r="607" spans="1:92" x14ac:dyDescent="0.3">
      <c r="A607" s="118" t="s">
        <v>866</v>
      </c>
      <c r="B607" t="s">
        <v>867</v>
      </c>
      <c r="C607" t="s">
        <v>868</v>
      </c>
      <c r="D607" s="144" t="s">
        <v>869</v>
      </c>
      <c r="E607" t="s">
        <v>813</v>
      </c>
      <c r="F607" t="s">
        <v>870</v>
      </c>
      <c r="G607" t="s">
        <v>815</v>
      </c>
      <c r="H607" t="s">
        <v>871</v>
      </c>
      <c r="I607" t="s">
        <v>817</v>
      </c>
      <c r="J607" t="s">
        <v>861</v>
      </c>
      <c r="K607" t="s">
        <v>862</v>
      </c>
      <c r="L607" t="s">
        <v>863</v>
      </c>
      <c r="M607" t="s">
        <v>208</v>
      </c>
      <c r="N607" t="s">
        <v>780</v>
      </c>
      <c r="O607" t="s">
        <v>824</v>
      </c>
      <c r="P607" t="s">
        <v>772</v>
      </c>
      <c r="Q607" t="s">
        <v>772</v>
      </c>
      <c r="R607">
        <v>0</v>
      </c>
      <c r="S607">
        <v>0</v>
      </c>
      <c r="T607">
        <v>50</v>
      </c>
      <c r="U607">
        <v>5</v>
      </c>
      <c r="V607">
        <v>0</v>
      </c>
      <c r="W607">
        <v>0</v>
      </c>
      <c r="X607">
        <v>0</v>
      </c>
      <c r="Y607">
        <v>0</v>
      </c>
      <c r="Z607">
        <v>0</v>
      </c>
      <c r="AA607">
        <v>0</v>
      </c>
      <c r="AB607">
        <v>0</v>
      </c>
      <c r="AC607">
        <v>0</v>
      </c>
      <c r="AD607">
        <v>0</v>
      </c>
      <c r="AE607">
        <v>0</v>
      </c>
      <c r="AF607">
        <v>0</v>
      </c>
      <c r="AG607">
        <v>0</v>
      </c>
      <c r="AH607">
        <v>0</v>
      </c>
      <c r="AI607">
        <v>0</v>
      </c>
      <c r="AJ607" t="s">
        <v>783</v>
      </c>
      <c r="AK607" t="s">
        <v>865</v>
      </c>
      <c r="AL607" t="s">
        <v>208</v>
      </c>
      <c r="AM607" t="s">
        <v>872</v>
      </c>
      <c r="AN607" t="s">
        <v>824</v>
      </c>
      <c r="AO607" t="s">
        <v>772</v>
      </c>
      <c r="AP607" t="s">
        <v>873</v>
      </c>
      <c r="AY607" t="str">
        <f t="shared" si="171"/>
        <v/>
      </c>
      <c r="AZ607" t="str">
        <f>IF(COUNTIF(AY:AY,AY607)=1,AY607,IF(AND(COUNTIF(AY:AY,AY607)&gt;1,COUNTIF(AZ$2:AZ606,AY607)&gt;=1),"",AY607))</f>
        <v/>
      </c>
      <c r="BA607" t="str">
        <f>IF(AZ607="","",COUNTIFS(AZ$3:AZ$1439,"&lt;"&amp;AZ607,AZ$3:AZ$1439,"&lt;&gt;0")+COUNTIF(AZ$3:AZ607,AZ607)-876)</f>
        <v/>
      </c>
      <c r="BT607" s="76"/>
      <c r="CN607">
        <v>606</v>
      </c>
    </row>
    <row r="608" spans="1:92" x14ac:dyDescent="0.3">
      <c r="A608" s="118" t="s">
        <v>2177</v>
      </c>
      <c r="B608" t="s">
        <v>2178</v>
      </c>
      <c r="C608" t="s">
        <v>763</v>
      </c>
      <c r="D608" s="144" t="s">
        <v>764</v>
      </c>
      <c r="E608" t="s">
        <v>765</v>
      </c>
      <c r="F608" t="s">
        <v>91</v>
      </c>
      <c r="G608" t="s">
        <v>766</v>
      </c>
      <c r="H608" t="s">
        <v>801</v>
      </c>
      <c r="I608" t="s">
        <v>766</v>
      </c>
      <c r="J608" t="s">
        <v>768</v>
      </c>
      <c r="K608" t="s">
        <v>768</v>
      </c>
      <c r="L608" t="s">
        <v>769</v>
      </c>
      <c r="M608" t="s">
        <v>208</v>
      </c>
      <c r="N608" t="s">
        <v>764</v>
      </c>
      <c r="O608" t="s">
        <v>771</v>
      </c>
      <c r="P608" t="s">
        <v>772</v>
      </c>
      <c r="Q608" t="s">
        <v>852</v>
      </c>
      <c r="R608">
        <v>10</v>
      </c>
      <c r="S608">
        <v>5</v>
      </c>
      <c r="T608">
        <v>0</v>
      </c>
      <c r="U608">
        <v>0</v>
      </c>
      <c r="V608">
        <v>0</v>
      </c>
      <c r="W608">
        <v>0</v>
      </c>
      <c r="X608">
        <v>0</v>
      </c>
      <c r="Y608">
        <v>0</v>
      </c>
      <c r="Z608">
        <v>0</v>
      </c>
      <c r="AA608">
        <v>0</v>
      </c>
      <c r="AB608">
        <v>0</v>
      </c>
      <c r="AC608">
        <v>0</v>
      </c>
      <c r="AD608">
        <v>0</v>
      </c>
      <c r="AE608">
        <v>0</v>
      </c>
      <c r="AF608">
        <v>0</v>
      </c>
      <c r="AG608">
        <v>0</v>
      </c>
      <c r="AH608">
        <v>0</v>
      </c>
      <c r="AI608">
        <v>0</v>
      </c>
      <c r="AY608" t="str">
        <f t="shared" si="171"/>
        <v>FINOXALINE</v>
      </c>
      <c r="AZ608" t="str">
        <f>IF(COUNTIF(AY:AY,AY608)=1,AY608,IF(AND(COUNTIF(AY:AY,AY608)&gt;1,COUNTIF(AZ$2:AZ607,AY608)&gt;=1),"",AY608))</f>
        <v>FINOXALINE</v>
      </c>
      <c r="BA608">
        <f>IF(AZ608="","",COUNTIFS(AZ$3:AZ$1439,"&lt;"&amp;AZ608,AZ$3:AZ$1439,"&lt;&gt;0")+COUNTIF(AZ$3:AZ608,AZ608)-876)</f>
        <v>228</v>
      </c>
      <c r="BT608" s="76"/>
      <c r="CN608">
        <v>607</v>
      </c>
    </row>
    <row r="609" spans="1:92" x14ac:dyDescent="0.3">
      <c r="A609" s="118" t="s">
        <v>4553</v>
      </c>
      <c r="B609" t="s">
        <v>4554</v>
      </c>
      <c r="C609" t="s">
        <v>1402</v>
      </c>
      <c r="D609" s="144" t="s">
        <v>764</v>
      </c>
      <c r="E609" t="s">
        <v>765</v>
      </c>
      <c r="F609" t="s">
        <v>350</v>
      </c>
      <c r="G609" t="s">
        <v>766</v>
      </c>
      <c r="H609" t="s">
        <v>1326</v>
      </c>
      <c r="I609" t="s">
        <v>766</v>
      </c>
      <c r="J609" t="s">
        <v>1752</v>
      </c>
      <c r="K609" t="s">
        <v>1752</v>
      </c>
      <c r="L609" t="s">
        <v>2511</v>
      </c>
      <c r="M609" t="s">
        <v>208</v>
      </c>
      <c r="N609" t="s">
        <v>1163</v>
      </c>
      <c r="O609" t="s">
        <v>771</v>
      </c>
      <c r="P609" t="s">
        <v>772</v>
      </c>
      <c r="Q609" t="s">
        <v>797</v>
      </c>
      <c r="R609">
        <v>40</v>
      </c>
      <c r="S609">
        <v>1</v>
      </c>
      <c r="T609">
        <v>0</v>
      </c>
      <c r="U609">
        <v>0</v>
      </c>
      <c r="V609">
        <v>0</v>
      </c>
      <c r="W609">
        <v>0</v>
      </c>
      <c r="X609">
        <v>0</v>
      </c>
      <c r="Y609">
        <v>0</v>
      </c>
      <c r="Z609">
        <v>0</v>
      </c>
      <c r="AA609">
        <v>0</v>
      </c>
      <c r="AB609">
        <v>0</v>
      </c>
      <c r="AC609">
        <v>0</v>
      </c>
      <c r="AD609">
        <v>15</v>
      </c>
      <c r="AE609">
        <v>2</v>
      </c>
      <c r="AF609">
        <v>0</v>
      </c>
      <c r="AG609">
        <v>0</v>
      </c>
      <c r="AH609">
        <v>0</v>
      </c>
      <c r="AI609">
        <v>0</v>
      </c>
      <c r="AY609" t="str">
        <f t="shared" si="171"/>
        <v>FLORDOFEN 300 MG/ML SOLUTION INJECTABLE POUR BOVINS ET PORCINS</v>
      </c>
      <c r="AZ609" t="str">
        <f>IF(COUNTIF(AY:AY,AY609)=1,AY609,IF(AND(COUNTIF(AY:AY,AY609)&gt;1,COUNTIF(AZ$2:AZ608,AY609)&gt;=1),"",AY609))</f>
        <v>FLORDOFEN 300 MG/ML SOLUTION INJECTABLE POUR BOVINS ET PORCINS</v>
      </c>
      <c r="BA609">
        <f>IF(AZ609="","",COUNTIFS(AZ$3:AZ$1439,"&lt;"&amp;AZ609,AZ$3:AZ$1439,"&lt;&gt;0")+COUNTIF(AZ$3:AZ609,AZ609)-876)</f>
        <v>229</v>
      </c>
      <c r="BT609" s="76"/>
      <c r="CN609">
        <v>608</v>
      </c>
    </row>
    <row r="610" spans="1:92" x14ac:dyDescent="0.3">
      <c r="A610" s="118" t="s">
        <v>4553</v>
      </c>
      <c r="B610" t="s">
        <v>4555</v>
      </c>
      <c r="C610" t="s">
        <v>1402</v>
      </c>
      <c r="D610" s="144" t="s">
        <v>764</v>
      </c>
      <c r="E610" t="s">
        <v>765</v>
      </c>
      <c r="F610" t="s">
        <v>350</v>
      </c>
      <c r="G610" t="s">
        <v>766</v>
      </c>
      <c r="H610" t="s">
        <v>1326</v>
      </c>
      <c r="I610" t="s">
        <v>766</v>
      </c>
      <c r="J610" t="s">
        <v>1752</v>
      </c>
      <c r="K610" t="s">
        <v>1752</v>
      </c>
      <c r="L610" t="s">
        <v>2511</v>
      </c>
      <c r="M610" t="s">
        <v>208</v>
      </c>
      <c r="N610" t="s">
        <v>1163</v>
      </c>
      <c r="O610" t="s">
        <v>771</v>
      </c>
      <c r="P610" t="s">
        <v>772</v>
      </c>
      <c r="Q610" t="s">
        <v>797</v>
      </c>
      <c r="R610">
        <v>40</v>
      </c>
      <c r="S610">
        <v>1</v>
      </c>
      <c r="T610">
        <v>0</v>
      </c>
      <c r="U610">
        <v>0</v>
      </c>
      <c r="V610">
        <v>0</v>
      </c>
      <c r="W610">
        <v>0</v>
      </c>
      <c r="X610">
        <v>0</v>
      </c>
      <c r="Y610">
        <v>0</v>
      </c>
      <c r="Z610">
        <v>0</v>
      </c>
      <c r="AA610">
        <v>0</v>
      </c>
      <c r="AB610">
        <v>0</v>
      </c>
      <c r="AC610">
        <v>0</v>
      </c>
      <c r="AD610">
        <v>15</v>
      </c>
      <c r="AE610">
        <v>2</v>
      </c>
      <c r="AF610">
        <v>0</v>
      </c>
      <c r="AG610">
        <v>0</v>
      </c>
      <c r="AH610">
        <v>0</v>
      </c>
      <c r="AI610">
        <v>0</v>
      </c>
      <c r="AY610" t="str">
        <f t="shared" si="171"/>
        <v>FLORDOFEN 300 MG/ML SOLUTION INJECTABLE POUR BOVINS ET PORCINS</v>
      </c>
      <c r="AZ610" t="str">
        <f>IF(COUNTIF(AY:AY,AY610)=1,AY610,IF(AND(COUNTIF(AY:AY,AY610)&gt;1,COUNTIF(AZ$2:AZ609,AY610)&gt;=1),"",AY610))</f>
        <v/>
      </c>
      <c r="BA610" t="str">
        <f>IF(AZ610="","",COUNTIFS(AZ$3:AZ$1439,"&lt;"&amp;AZ610,AZ$3:AZ$1439,"&lt;&gt;0")+COUNTIF(AZ$3:AZ610,AZ610)-876)</f>
        <v/>
      </c>
      <c r="BT610" s="76"/>
      <c r="CN610">
        <v>609</v>
      </c>
    </row>
    <row r="611" spans="1:92" x14ac:dyDescent="0.3">
      <c r="A611" s="118" t="s">
        <v>3745</v>
      </c>
      <c r="B611" t="s">
        <v>3746</v>
      </c>
      <c r="C611" t="s">
        <v>796</v>
      </c>
      <c r="D611" s="144" t="s">
        <v>776</v>
      </c>
      <c r="E611" t="s">
        <v>765</v>
      </c>
      <c r="F611" t="s">
        <v>351</v>
      </c>
      <c r="G611" t="s">
        <v>766</v>
      </c>
      <c r="H611" t="s">
        <v>1326</v>
      </c>
      <c r="I611" t="s">
        <v>766</v>
      </c>
      <c r="J611" t="s">
        <v>1752</v>
      </c>
      <c r="K611" t="s">
        <v>1752</v>
      </c>
      <c r="L611" t="s">
        <v>2511</v>
      </c>
      <c r="M611" t="s">
        <v>208</v>
      </c>
      <c r="N611" t="s">
        <v>1163</v>
      </c>
      <c r="O611" t="s">
        <v>771</v>
      </c>
      <c r="P611" t="s">
        <v>772</v>
      </c>
      <c r="Q611" t="s">
        <v>1255</v>
      </c>
      <c r="R611">
        <v>20</v>
      </c>
      <c r="S611">
        <v>2</v>
      </c>
      <c r="T611">
        <v>0</v>
      </c>
      <c r="U611">
        <v>0</v>
      </c>
      <c r="V611">
        <v>0</v>
      </c>
      <c r="W611">
        <v>0</v>
      </c>
      <c r="X611">
        <v>0</v>
      </c>
      <c r="Y611">
        <v>0</v>
      </c>
      <c r="Z611">
        <v>0</v>
      </c>
      <c r="AA611">
        <v>0</v>
      </c>
      <c r="AB611">
        <v>0</v>
      </c>
      <c r="AC611">
        <v>0</v>
      </c>
      <c r="AD611">
        <v>15</v>
      </c>
      <c r="AE611">
        <v>2</v>
      </c>
      <c r="AF611">
        <v>0</v>
      </c>
      <c r="AG611">
        <v>0</v>
      </c>
      <c r="AH611">
        <v>0</v>
      </c>
      <c r="AI611">
        <v>0</v>
      </c>
      <c r="AY611" t="str">
        <f t="shared" si="171"/>
        <v>FLORFENIKEL 300 MG/ML SOLUTION INJECTABLE POUR BOVINS ET PORCINS</v>
      </c>
      <c r="AZ611" t="str">
        <f>IF(COUNTIF(AY:AY,AY611)=1,AY611,IF(AND(COUNTIF(AY:AY,AY611)&gt;1,COUNTIF(AZ$2:AZ610,AY611)&gt;=1),"",AY611))</f>
        <v>FLORFENIKEL 300 MG/ML SOLUTION INJECTABLE POUR BOVINS ET PORCINS</v>
      </c>
      <c r="BA611">
        <f>IF(AZ611="","",COUNTIFS(AZ$3:AZ$1439,"&lt;"&amp;AZ611,AZ$3:AZ$1439,"&lt;&gt;0")+COUNTIF(AZ$3:AZ611,AZ611)-876)</f>
        <v>230</v>
      </c>
      <c r="BT611" s="76"/>
      <c r="CN611">
        <v>610</v>
      </c>
    </row>
    <row r="612" spans="1:92" x14ac:dyDescent="0.3">
      <c r="A612" s="118" t="s">
        <v>3745</v>
      </c>
      <c r="B612" t="s">
        <v>3747</v>
      </c>
      <c r="C612" t="s">
        <v>792</v>
      </c>
      <c r="D612" s="144" t="s">
        <v>764</v>
      </c>
      <c r="E612" t="s">
        <v>765</v>
      </c>
      <c r="F612" t="s">
        <v>351</v>
      </c>
      <c r="G612" t="s">
        <v>766</v>
      </c>
      <c r="H612" t="s">
        <v>1326</v>
      </c>
      <c r="I612" t="s">
        <v>766</v>
      </c>
      <c r="J612" t="s">
        <v>1752</v>
      </c>
      <c r="K612" t="s">
        <v>1752</v>
      </c>
      <c r="L612" t="s">
        <v>2511</v>
      </c>
      <c r="M612" t="s">
        <v>208</v>
      </c>
      <c r="N612" t="s">
        <v>1163</v>
      </c>
      <c r="O612" t="s">
        <v>771</v>
      </c>
      <c r="P612" t="s">
        <v>772</v>
      </c>
      <c r="Q612" t="s">
        <v>797</v>
      </c>
      <c r="R612">
        <v>20</v>
      </c>
      <c r="S612">
        <v>2</v>
      </c>
      <c r="T612">
        <v>0</v>
      </c>
      <c r="U612">
        <v>0</v>
      </c>
      <c r="V612">
        <v>0</v>
      </c>
      <c r="W612">
        <v>0</v>
      </c>
      <c r="X612">
        <v>0</v>
      </c>
      <c r="Y612">
        <v>0</v>
      </c>
      <c r="Z612">
        <v>0</v>
      </c>
      <c r="AA612">
        <v>0</v>
      </c>
      <c r="AB612">
        <v>0</v>
      </c>
      <c r="AC612">
        <v>0</v>
      </c>
      <c r="AD612">
        <v>15</v>
      </c>
      <c r="AE612">
        <v>2</v>
      </c>
      <c r="AF612">
        <v>0</v>
      </c>
      <c r="AG612">
        <v>0</v>
      </c>
      <c r="AH612">
        <v>0</v>
      </c>
      <c r="AI612">
        <v>0</v>
      </c>
      <c r="AY612" t="str">
        <f t="shared" si="171"/>
        <v>FLORFENIKEL 300 MG/ML SOLUTION INJECTABLE POUR BOVINS ET PORCINS</v>
      </c>
      <c r="AZ612" t="str">
        <f>IF(COUNTIF(AY:AY,AY612)=1,AY612,IF(AND(COUNTIF(AY:AY,AY612)&gt;1,COUNTIF(AZ$2:AZ611,AY612)&gt;=1),"",AY612))</f>
        <v/>
      </c>
      <c r="BA612" t="str">
        <f>IF(AZ612="","",COUNTIFS(AZ$3:AZ$1439,"&lt;"&amp;AZ612,AZ$3:AZ$1439,"&lt;&gt;0")+COUNTIF(AZ$3:AZ612,AZ612)-876)</f>
        <v/>
      </c>
      <c r="BT612" s="76"/>
      <c r="CN612">
        <v>611</v>
      </c>
    </row>
    <row r="613" spans="1:92" x14ac:dyDescent="0.3">
      <c r="A613" s="118" t="s">
        <v>3537</v>
      </c>
      <c r="B613" t="s">
        <v>3538</v>
      </c>
      <c r="C613" t="s">
        <v>792</v>
      </c>
      <c r="D613" s="144" t="s">
        <v>764</v>
      </c>
      <c r="E613" t="s">
        <v>765</v>
      </c>
      <c r="F613" t="s">
        <v>352</v>
      </c>
      <c r="G613" t="s">
        <v>766</v>
      </c>
      <c r="H613" t="s">
        <v>1326</v>
      </c>
      <c r="I613" t="s">
        <v>766</v>
      </c>
      <c r="J613" t="s">
        <v>1752</v>
      </c>
      <c r="K613" t="s">
        <v>1752</v>
      </c>
      <c r="L613" t="s">
        <v>2511</v>
      </c>
      <c r="M613" t="s">
        <v>208</v>
      </c>
      <c r="N613" t="s">
        <v>1163</v>
      </c>
      <c r="O613" t="s">
        <v>771</v>
      </c>
      <c r="P613" t="s">
        <v>772</v>
      </c>
      <c r="Q613" t="s">
        <v>797</v>
      </c>
      <c r="R613">
        <v>30</v>
      </c>
      <c r="S613">
        <v>1</v>
      </c>
      <c r="T613">
        <v>0</v>
      </c>
      <c r="U613">
        <v>0</v>
      </c>
      <c r="V613">
        <v>0</v>
      </c>
      <c r="W613">
        <v>0</v>
      </c>
      <c r="X613">
        <v>0</v>
      </c>
      <c r="Y613">
        <v>0</v>
      </c>
      <c r="Z613">
        <v>0</v>
      </c>
      <c r="AA613">
        <v>0</v>
      </c>
      <c r="AB613">
        <v>0</v>
      </c>
      <c r="AC613">
        <v>0</v>
      </c>
      <c r="AD613">
        <v>22.5</v>
      </c>
      <c r="AE613">
        <v>1</v>
      </c>
      <c r="AF613">
        <v>0</v>
      </c>
      <c r="AG613">
        <v>0</v>
      </c>
      <c r="AH613">
        <v>0</v>
      </c>
      <c r="AI613">
        <v>0</v>
      </c>
      <c r="AY613" t="str">
        <f t="shared" si="171"/>
        <v>FLORGANE 300 MG/ML SUSPENSION INJECTABLE POUR BOVINS ET PORCINS</v>
      </c>
      <c r="AZ613" t="str">
        <f>IF(COUNTIF(AY:AY,AY613)=1,AY613,IF(AND(COUNTIF(AY:AY,AY613)&gt;1,COUNTIF(AZ$2:AZ612,AY613)&gt;=1),"",AY613))</f>
        <v>FLORGANE 300 MG/ML SUSPENSION INJECTABLE POUR BOVINS ET PORCINS</v>
      </c>
      <c r="BA613">
        <f>IF(AZ613="","",COUNTIFS(AZ$3:AZ$1439,"&lt;"&amp;AZ613,AZ$3:AZ$1439,"&lt;&gt;0")+COUNTIF(AZ$3:AZ613,AZ613)-876)</f>
        <v>231</v>
      </c>
      <c r="BT613" s="76"/>
      <c r="CN613">
        <v>612</v>
      </c>
    </row>
    <row r="614" spans="1:92" x14ac:dyDescent="0.3">
      <c r="A614" s="118" t="s">
        <v>3537</v>
      </c>
      <c r="B614" t="s">
        <v>3539</v>
      </c>
      <c r="C614" t="s">
        <v>796</v>
      </c>
      <c r="D614" s="144" t="s">
        <v>776</v>
      </c>
      <c r="E614" t="s">
        <v>765</v>
      </c>
      <c r="F614" t="s">
        <v>352</v>
      </c>
      <c r="G614" t="s">
        <v>766</v>
      </c>
      <c r="H614" t="s">
        <v>1326</v>
      </c>
      <c r="I614" t="s">
        <v>766</v>
      </c>
      <c r="J614" t="s">
        <v>1752</v>
      </c>
      <c r="K614" t="s">
        <v>1752</v>
      </c>
      <c r="L614" t="s">
        <v>2511</v>
      </c>
      <c r="M614" t="s">
        <v>208</v>
      </c>
      <c r="N614" t="s">
        <v>1163</v>
      </c>
      <c r="O614" t="s">
        <v>771</v>
      </c>
      <c r="P614" t="s">
        <v>772</v>
      </c>
      <c r="Q614" t="s">
        <v>1255</v>
      </c>
      <c r="R614">
        <v>30</v>
      </c>
      <c r="S614">
        <v>1</v>
      </c>
      <c r="T614">
        <v>0</v>
      </c>
      <c r="U614">
        <v>0</v>
      </c>
      <c r="V614">
        <v>0</v>
      </c>
      <c r="W614">
        <v>0</v>
      </c>
      <c r="X614">
        <v>0</v>
      </c>
      <c r="Y614">
        <v>0</v>
      </c>
      <c r="Z614">
        <v>0</v>
      </c>
      <c r="AA614">
        <v>0</v>
      </c>
      <c r="AB614">
        <v>0</v>
      </c>
      <c r="AC614">
        <v>0</v>
      </c>
      <c r="AD614">
        <v>22.5</v>
      </c>
      <c r="AE614">
        <v>1</v>
      </c>
      <c r="AF614">
        <v>0</v>
      </c>
      <c r="AG614">
        <v>0</v>
      </c>
      <c r="AH614">
        <v>0</v>
      </c>
      <c r="AI614">
        <v>0</v>
      </c>
      <c r="AY614" t="str">
        <f t="shared" si="171"/>
        <v>FLORGANE 300 MG/ML SUSPENSION INJECTABLE POUR BOVINS ET PORCINS</v>
      </c>
      <c r="AZ614" t="str">
        <f>IF(COUNTIF(AY:AY,AY614)=1,AY614,IF(AND(COUNTIF(AY:AY,AY614)&gt;1,COUNTIF(AZ$2:AZ613,AY614)&gt;=1),"",AY614))</f>
        <v/>
      </c>
      <c r="BA614" t="str">
        <f>IF(AZ614="","",COUNTIFS(AZ$3:AZ$1439,"&lt;"&amp;AZ614,AZ$3:AZ$1439,"&lt;&gt;0")+COUNTIF(AZ$3:AZ614,AZ614)-876)</f>
        <v/>
      </c>
      <c r="BT614" s="76"/>
      <c r="CN614">
        <v>613</v>
      </c>
    </row>
    <row r="615" spans="1:92" x14ac:dyDescent="0.3">
      <c r="A615" s="118" t="s">
        <v>3469</v>
      </c>
      <c r="B615" t="s">
        <v>3470</v>
      </c>
      <c r="C615" t="s">
        <v>1839</v>
      </c>
      <c r="D615" s="144" t="s">
        <v>764</v>
      </c>
      <c r="E615" t="s">
        <v>765</v>
      </c>
      <c r="F615" t="s">
        <v>353</v>
      </c>
      <c r="G615" t="s">
        <v>766</v>
      </c>
      <c r="H615" t="s">
        <v>1326</v>
      </c>
      <c r="I615" t="s">
        <v>766</v>
      </c>
      <c r="J615" t="s">
        <v>1752</v>
      </c>
      <c r="K615" t="s">
        <v>1752</v>
      </c>
      <c r="L615" t="s">
        <v>2511</v>
      </c>
      <c r="M615" t="s">
        <v>208</v>
      </c>
      <c r="N615" t="s">
        <v>1163</v>
      </c>
      <c r="O615" t="s">
        <v>771</v>
      </c>
      <c r="P615" t="s">
        <v>772</v>
      </c>
      <c r="Q615" t="s">
        <v>797</v>
      </c>
      <c r="R615">
        <v>20</v>
      </c>
      <c r="S615">
        <v>2</v>
      </c>
      <c r="T615">
        <v>0</v>
      </c>
      <c r="U615">
        <v>0</v>
      </c>
      <c r="V615">
        <v>0</v>
      </c>
      <c r="W615">
        <v>0</v>
      </c>
      <c r="X615">
        <v>15</v>
      </c>
      <c r="Y615">
        <v>2</v>
      </c>
      <c r="Z615">
        <v>0</v>
      </c>
      <c r="AA615">
        <v>0</v>
      </c>
      <c r="AB615">
        <v>0</v>
      </c>
      <c r="AC615">
        <v>0</v>
      </c>
      <c r="AD615">
        <v>15</v>
      </c>
      <c r="AE615">
        <v>2</v>
      </c>
      <c r="AF615">
        <v>0</v>
      </c>
      <c r="AG615">
        <v>0</v>
      </c>
      <c r="AH615">
        <v>0</v>
      </c>
      <c r="AI615">
        <v>0</v>
      </c>
      <c r="AY615" t="str">
        <f t="shared" si="171"/>
        <v>FLORKEM 300 MG/ML SOLUTION INJECTABLE POUR BOVINS ET PORCINS</v>
      </c>
      <c r="AZ615" t="str">
        <f>IF(COUNTIF(AY:AY,AY615)=1,AY615,IF(AND(COUNTIF(AY:AY,AY615)&gt;1,COUNTIF(AZ$2:AZ614,AY615)&gt;=1),"",AY615))</f>
        <v>FLORKEM 300 MG/ML SOLUTION INJECTABLE POUR BOVINS ET PORCINS</v>
      </c>
      <c r="BA615">
        <f>IF(AZ615="","",COUNTIFS(AZ$3:AZ$1439,"&lt;"&amp;AZ615,AZ$3:AZ$1439,"&lt;&gt;0")+COUNTIF(AZ$3:AZ615,AZ615)-876)</f>
        <v>232</v>
      </c>
      <c r="BT615" s="76"/>
      <c r="CN615">
        <v>614</v>
      </c>
    </row>
    <row r="616" spans="1:92" x14ac:dyDescent="0.3">
      <c r="A616" s="118" t="s">
        <v>3469</v>
      </c>
      <c r="B616" t="s">
        <v>3471</v>
      </c>
      <c r="C616" t="s">
        <v>1842</v>
      </c>
      <c r="D616" s="144" t="s">
        <v>776</v>
      </c>
      <c r="E616" t="s">
        <v>765</v>
      </c>
      <c r="F616" t="s">
        <v>353</v>
      </c>
      <c r="G616" t="s">
        <v>766</v>
      </c>
      <c r="H616" t="s">
        <v>1326</v>
      </c>
      <c r="I616" t="s">
        <v>766</v>
      </c>
      <c r="J616" t="s">
        <v>1752</v>
      </c>
      <c r="K616" t="s">
        <v>1752</v>
      </c>
      <c r="L616" t="s">
        <v>2511</v>
      </c>
      <c r="M616" t="s">
        <v>208</v>
      </c>
      <c r="N616" t="s">
        <v>1163</v>
      </c>
      <c r="O616" t="s">
        <v>771</v>
      </c>
      <c r="P616" t="s">
        <v>772</v>
      </c>
      <c r="Q616" t="s">
        <v>1255</v>
      </c>
      <c r="R616">
        <v>20</v>
      </c>
      <c r="S616">
        <v>2</v>
      </c>
      <c r="T616">
        <v>0</v>
      </c>
      <c r="U616">
        <v>0</v>
      </c>
      <c r="V616">
        <v>0</v>
      </c>
      <c r="W616">
        <v>0</v>
      </c>
      <c r="X616">
        <v>15</v>
      </c>
      <c r="Y616">
        <v>2</v>
      </c>
      <c r="Z616">
        <v>0</v>
      </c>
      <c r="AA616">
        <v>0</v>
      </c>
      <c r="AB616">
        <v>0</v>
      </c>
      <c r="AC616">
        <v>0</v>
      </c>
      <c r="AD616">
        <v>15</v>
      </c>
      <c r="AE616">
        <v>2</v>
      </c>
      <c r="AF616">
        <v>0</v>
      </c>
      <c r="AG616">
        <v>0</v>
      </c>
      <c r="AH616">
        <v>0</v>
      </c>
      <c r="AI616">
        <v>0</v>
      </c>
      <c r="AY616" t="str">
        <f t="shared" si="171"/>
        <v>FLORKEM 300 MG/ML SOLUTION INJECTABLE POUR BOVINS ET PORCINS</v>
      </c>
      <c r="AZ616" t="str">
        <f>IF(COUNTIF(AY:AY,AY616)=1,AY616,IF(AND(COUNTIF(AY:AY,AY616)&gt;1,COUNTIF(AZ$2:AZ615,AY616)&gt;=1),"",AY616))</f>
        <v/>
      </c>
      <c r="BA616" t="str">
        <f>IF(AZ616="","",COUNTIFS(AZ$3:AZ$1439,"&lt;"&amp;AZ616,AZ$3:AZ$1439,"&lt;&gt;0")+COUNTIF(AZ$3:AZ616,AZ616)-876)</f>
        <v/>
      </c>
      <c r="BT616" s="76"/>
      <c r="CN616">
        <v>615</v>
      </c>
    </row>
    <row r="617" spans="1:92" x14ac:dyDescent="0.3">
      <c r="A617" s="118" t="s">
        <v>3540</v>
      </c>
      <c r="B617" t="s">
        <v>3541</v>
      </c>
      <c r="C617" t="s">
        <v>1918</v>
      </c>
      <c r="D617" s="144" t="s">
        <v>852</v>
      </c>
      <c r="E617" t="s">
        <v>813</v>
      </c>
      <c r="F617" t="s">
        <v>3542</v>
      </c>
      <c r="G617" t="s">
        <v>815</v>
      </c>
      <c r="H617" t="s">
        <v>816</v>
      </c>
      <c r="I617" t="s">
        <v>817</v>
      </c>
      <c r="J617" t="s">
        <v>2366</v>
      </c>
      <c r="K617" t="s">
        <v>2366</v>
      </c>
      <c r="L617" t="s">
        <v>2367</v>
      </c>
      <c r="M617" t="s">
        <v>208</v>
      </c>
      <c r="N617" t="s">
        <v>972</v>
      </c>
      <c r="O617" t="s">
        <v>824</v>
      </c>
      <c r="P617" t="s">
        <v>772</v>
      </c>
      <c r="Q617" t="s">
        <v>2106</v>
      </c>
      <c r="R617">
        <v>0</v>
      </c>
      <c r="S617">
        <v>0</v>
      </c>
      <c r="T617">
        <v>5</v>
      </c>
      <c r="U617">
        <v>21</v>
      </c>
      <c r="V617">
        <v>0</v>
      </c>
      <c r="W617">
        <v>0</v>
      </c>
      <c r="X617">
        <v>0</v>
      </c>
      <c r="Y617">
        <v>0</v>
      </c>
      <c r="Z617">
        <v>0</v>
      </c>
      <c r="AA617">
        <v>0</v>
      </c>
      <c r="AB617">
        <v>0</v>
      </c>
      <c r="AC617">
        <v>0</v>
      </c>
      <c r="AD617">
        <v>0</v>
      </c>
      <c r="AE617">
        <v>0</v>
      </c>
      <c r="AF617">
        <v>0</v>
      </c>
      <c r="AG617">
        <v>0</v>
      </c>
      <c r="AH617">
        <v>0</v>
      </c>
      <c r="AI617">
        <v>0</v>
      </c>
      <c r="AY617" t="str">
        <f t="shared" si="171"/>
        <v/>
      </c>
      <c r="AZ617" t="str">
        <f>IF(COUNTIF(AY:AY,AY617)=1,AY617,IF(AND(COUNTIF(AY:AY,AY617)&gt;1,COUNTIF(AZ$2:AZ616,AY617)&gt;=1),"",AY617))</f>
        <v/>
      </c>
      <c r="BA617" t="str">
        <f>IF(AZ617="","",COUNTIFS(AZ$3:AZ$1439,"&lt;"&amp;AZ617,AZ$3:AZ$1439,"&lt;&gt;0")+COUNTIF(AZ$3:AZ617,AZ617)-876)</f>
        <v/>
      </c>
      <c r="BT617" s="76"/>
      <c r="CN617">
        <v>616</v>
      </c>
    </row>
    <row r="618" spans="1:92" x14ac:dyDescent="0.3">
      <c r="A618" s="118" t="s">
        <v>3546</v>
      </c>
      <c r="B618" t="s">
        <v>3547</v>
      </c>
      <c r="C618" t="s">
        <v>1647</v>
      </c>
      <c r="D618" s="144" t="s">
        <v>852</v>
      </c>
      <c r="E618" t="s">
        <v>813</v>
      </c>
      <c r="F618" t="s">
        <v>3548</v>
      </c>
      <c r="G618" t="s">
        <v>815</v>
      </c>
      <c r="H618" t="s">
        <v>860</v>
      </c>
      <c r="I618" t="s">
        <v>817</v>
      </c>
      <c r="J618" t="s">
        <v>2366</v>
      </c>
      <c r="K618" t="s">
        <v>2366</v>
      </c>
      <c r="L618" t="s">
        <v>2367</v>
      </c>
      <c r="M618" t="s">
        <v>208</v>
      </c>
      <c r="N618" t="s">
        <v>1155</v>
      </c>
      <c r="O618" t="s">
        <v>824</v>
      </c>
      <c r="P618" t="s">
        <v>772</v>
      </c>
      <c r="Q618" t="s">
        <v>1118</v>
      </c>
      <c r="R618">
        <v>0</v>
      </c>
      <c r="S618">
        <v>0</v>
      </c>
      <c r="T618">
        <v>5</v>
      </c>
      <c r="U618">
        <v>21</v>
      </c>
      <c r="V618">
        <v>0</v>
      </c>
      <c r="W618">
        <v>0</v>
      </c>
      <c r="X618">
        <v>0</v>
      </c>
      <c r="Y618">
        <v>0</v>
      </c>
      <c r="Z618">
        <v>0</v>
      </c>
      <c r="AA618">
        <v>0</v>
      </c>
      <c r="AB618">
        <v>0</v>
      </c>
      <c r="AC618">
        <v>0</v>
      </c>
      <c r="AD618">
        <v>0</v>
      </c>
      <c r="AE618">
        <v>0</v>
      </c>
      <c r="AF618">
        <v>0</v>
      </c>
      <c r="AG618">
        <v>0</v>
      </c>
      <c r="AH618">
        <v>0</v>
      </c>
      <c r="AI618">
        <v>0</v>
      </c>
      <c r="AY618" t="str">
        <f t="shared" si="171"/>
        <v/>
      </c>
      <c r="AZ618" t="str">
        <f>IF(COUNTIF(AY:AY,AY618)=1,AY618,IF(AND(COUNTIF(AY:AY,AY618)&gt;1,COUNTIF(AZ$2:AZ617,AY618)&gt;=1),"",AY618))</f>
        <v/>
      </c>
      <c r="BA618" t="str">
        <f>IF(AZ618="","",COUNTIFS(AZ$3:AZ$1439,"&lt;"&amp;AZ618,AZ$3:AZ$1439,"&lt;&gt;0")+COUNTIF(AZ$3:AZ618,AZ618)-876)</f>
        <v/>
      </c>
      <c r="BT618" s="76"/>
      <c r="CN618">
        <v>617</v>
      </c>
    </row>
    <row r="619" spans="1:92" x14ac:dyDescent="0.3">
      <c r="A619" s="118" t="s">
        <v>3543</v>
      </c>
      <c r="B619" t="s">
        <v>3544</v>
      </c>
      <c r="C619" t="s">
        <v>1918</v>
      </c>
      <c r="D619" s="144" t="s">
        <v>852</v>
      </c>
      <c r="E619" t="s">
        <v>813</v>
      </c>
      <c r="F619" t="s">
        <v>3545</v>
      </c>
      <c r="G619" t="s">
        <v>815</v>
      </c>
      <c r="H619" t="s">
        <v>860</v>
      </c>
      <c r="I619" t="s">
        <v>817</v>
      </c>
      <c r="J619" t="s">
        <v>2366</v>
      </c>
      <c r="K619" t="s">
        <v>2366</v>
      </c>
      <c r="L619" t="s">
        <v>2367</v>
      </c>
      <c r="M619" t="s">
        <v>208</v>
      </c>
      <c r="N619" t="s">
        <v>780</v>
      </c>
      <c r="O619" t="s">
        <v>824</v>
      </c>
      <c r="P619" t="s">
        <v>772</v>
      </c>
      <c r="Q619" t="s">
        <v>825</v>
      </c>
      <c r="R619">
        <v>0</v>
      </c>
      <c r="S619">
        <v>0</v>
      </c>
      <c r="T619">
        <v>5</v>
      </c>
      <c r="U619">
        <v>21</v>
      </c>
      <c r="V619">
        <v>0</v>
      </c>
      <c r="W619">
        <v>0</v>
      </c>
      <c r="X619">
        <v>0</v>
      </c>
      <c r="Y619">
        <v>0</v>
      </c>
      <c r="Z619">
        <v>0</v>
      </c>
      <c r="AA619">
        <v>0</v>
      </c>
      <c r="AB619">
        <v>0</v>
      </c>
      <c r="AC619">
        <v>0</v>
      </c>
      <c r="AD619">
        <v>0</v>
      </c>
      <c r="AE619">
        <v>0</v>
      </c>
      <c r="AF619">
        <v>0</v>
      </c>
      <c r="AG619">
        <v>0</v>
      </c>
      <c r="AH619">
        <v>0</v>
      </c>
      <c r="AI619">
        <v>0</v>
      </c>
      <c r="AY619" t="str">
        <f t="shared" si="171"/>
        <v/>
      </c>
      <c r="AZ619" t="str">
        <f>IF(COUNTIF(AY:AY,AY619)=1,AY619,IF(AND(COUNTIF(AY:AY,AY619)&gt;1,COUNTIF(AZ$2:AZ618,AY619)&gt;=1),"",AY619))</f>
        <v/>
      </c>
      <c r="BA619" t="str">
        <f>IF(AZ619="","",COUNTIFS(AZ$3:AZ$1439,"&lt;"&amp;AZ619,AZ$3:AZ$1439,"&lt;&gt;0")+COUNTIF(AZ$3:AZ619,AZ619)-876)</f>
        <v/>
      </c>
      <c r="BT619" s="76"/>
      <c r="CN619">
        <v>618</v>
      </c>
    </row>
    <row r="620" spans="1:92" x14ac:dyDescent="0.3">
      <c r="A620" s="118" t="s">
        <v>3486</v>
      </c>
      <c r="B620" t="s">
        <v>3487</v>
      </c>
      <c r="C620" t="s">
        <v>1483</v>
      </c>
      <c r="D620" s="144" t="s">
        <v>764</v>
      </c>
      <c r="E620" t="s">
        <v>765</v>
      </c>
      <c r="F620" t="s">
        <v>354</v>
      </c>
      <c r="G620" t="s">
        <v>766</v>
      </c>
      <c r="H620" t="s">
        <v>1326</v>
      </c>
      <c r="I620" t="s">
        <v>766</v>
      </c>
      <c r="J620" t="s">
        <v>2366</v>
      </c>
      <c r="K620" t="s">
        <v>2366</v>
      </c>
      <c r="L620" t="s">
        <v>2367</v>
      </c>
      <c r="M620" t="s">
        <v>208</v>
      </c>
      <c r="N620" t="s">
        <v>764</v>
      </c>
      <c r="O620" t="s">
        <v>771</v>
      </c>
      <c r="P620" t="s">
        <v>772</v>
      </c>
      <c r="Q620" t="s">
        <v>852</v>
      </c>
      <c r="R620">
        <v>5</v>
      </c>
      <c r="S620">
        <v>5</v>
      </c>
      <c r="T620">
        <v>0</v>
      </c>
      <c r="U620">
        <v>0</v>
      </c>
      <c r="V620">
        <v>0</v>
      </c>
      <c r="W620">
        <v>0</v>
      </c>
      <c r="X620">
        <v>0</v>
      </c>
      <c r="Y620">
        <v>0</v>
      </c>
      <c r="Z620">
        <v>0</v>
      </c>
      <c r="AA620">
        <v>0</v>
      </c>
      <c r="AB620">
        <v>0</v>
      </c>
      <c r="AC620">
        <v>0</v>
      </c>
      <c r="AD620">
        <v>2.5</v>
      </c>
      <c r="AE620">
        <v>3</v>
      </c>
      <c r="AF620">
        <v>0</v>
      </c>
      <c r="AG620">
        <v>0</v>
      </c>
      <c r="AH620">
        <v>0</v>
      </c>
      <c r="AI620">
        <v>0</v>
      </c>
      <c r="AY620" t="str">
        <f t="shared" si="171"/>
        <v>FLOXIBAC 100 MG/ML SOLUTION INJECTABLE POUR BOVINS ET PORCINS</v>
      </c>
      <c r="AZ620" t="str">
        <f>IF(COUNTIF(AY:AY,AY620)=1,AY620,IF(AND(COUNTIF(AY:AY,AY620)&gt;1,COUNTIF(AZ$2:AZ619,AY620)&gt;=1),"",AY620))</f>
        <v>FLOXIBAC 100 MG/ML SOLUTION INJECTABLE POUR BOVINS ET PORCINS</v>
      </c>
      <c r="BA620">
        <f>IF(AZ620="","",COUNTIFS(AZ$3:AZ$1439,"&lt;"&amp;AZ620,AZ$3:AZ$1439,"&lt;&gt;0")+COUNTIF(AZ$3:AZ620,AZ620)-876)</f>
        <v>233</v>
      </c>
      <c r="BT620" s="76"/>
      <c r="CN620">
        <v>619</v>
      </c>
    </row>
    <row r="621" spans="1:92" x14ac:dyDescent="0.3">
      <c r="A621" s="118" t="s">
        <v>3484</v>
      </c>
      <c r="B621" t="s">
        <v>3485</v>
      </c>
      <c r="C621" t="s">
        <v>1483</v>
      </c>
      <c r="D621" s="144" t="s">
        <v>764</v>
      </c>
      <c r="E621" t="s">
        <v>765</v>
      </c>
      <c r="F621" t="s">
        <v>355</v>
      </c>
      <c r="G621" t="s">
        <v>766</v>
      </c>
      <c r="H621" t="s">
        <v>1342</v>
      </c>
      <c r="I621" t="s">
        <v>766</v>
      </c>
      <c r="J621" t="s">
        <v>2366</v>
      </c>
      <c r="K621" t="s">
        <v>2366</v>
      </c>
      <c r="L621" t="s">
        <v>2367</v>
      </c>
      <c r="M621" t="s">
        <v>208</v>
      </c>
      <c r="N621" t="s">
        <v>780</v>
      </c>
      <c r="O621" t="s">
        <v>771</v>
      </c>
      <c r="P621" t="s">
        <v>772</v>
      </c>
      <c r="Q621" t="s">
        <v>885</v>
      </c>
      <c r="R621">
        <v>5</v>
      </c>
      <c r="S621">
        <v>5</v>
      </c>
      <c r="T621">
        <v>5</v>
      </c>
      <c r="U621">
        <v>5</v>
      </c>
      <c r="V621">
        <v>0</v>
      </c>
      <c r="W621">
        <v>0</v>
      </c>
      <c r="X621">
        <v>0</v>
      </c>
      <c r="Y621">
        <v>0</v>
      </c>
      <c r="Z621">
        <v>0</v>
      </c>
      <c r="AA621">
        <v>0</v>
      </c>
      <c r="AB621">
        <v>0</v>
      </c>
      <c r="AC621">
        <v>0</v>
      </c>
      <c r="AD621">
        <v>2.5</v>
      </c>
      <c r="AE621">
        <v>3</v>
      </c>
      <c r="AF621">
        <v>0</v>
      </c>
      <c r="AG621">
        <v>0</v>
      </c>
      <c r="AH621">
        <v>0</v>
      </c>
      <c r="AI621">
        <v>0</v>
      </c>
      <c r="AY621" t="str">
        <f t="shared" si="171"/>
        <v>FLOXIBAC 50 MG/ML SOLUTION INJECTABLE POUR BOVINS, PORCINS, CHIENS ET CHATS</v>
      </c>
      <c r="AZ621" t="str">
        <f>IF(COUNTIF(AY:AY,AY621)=1,AY621,IF(AND(COUNTIF(AY:AY,AY621)&gt;1,COUNTIF(AZ$2:AZ620,AY621)&gt;=1),"",AY621))</f>
        <v>FLOXIBAC 50 MG/ML SOLUTION INJECTABLE POUR BOVINS, PORCINS, CHIENS ET CHATS</v>
      </c>
      <c r="BA621">
        <f>IF(AZ621="","",COUNTIFS(AZ$3:AZ$1439,"&lt;"&amp;AZ621,AZ$3:AZ$1439,"&lt;&gt;0")+COUNTIF(AZ$3:AZ621,AZ621)-876)</f>
        <v>234</v>
      </c>
      <c r="BT621" s="76"/>
      <c r="CN621">
        <v>620</v>
      </c>
    </row>
    <row r="622" spans="1:92" x14ac:dyDescent="0.3">
      <c r="A622" s="118" t="s">
        <v>3856</v>
      </c>
      <c r="B622" t="s">
        <v>3857</v>
      </c>
      <c r="C622" t="s">
        <v>1241</v>
      </c>
      <c r="D622" s="144" t="s">
        <v>829</v>
      </c>
      <c r="E622" t="s">
        <v>765</v>
      </c>
      <c r="F622" t="s">
        <v>356</v>
      </c>
      <c r="G622" t="s">
        <v>956</v>
      </c>
      <c r="H622" t="s">
        <v>1213</v>
      </c>
      <c r="I622" t="s">
        <v>817</v>
      </c>
      <c r="J622" t="s">
        <v>1752</v>
      </c>
      <c r="K622" t="s">
        <v>1752</v>
      </c>
      <c r="L622" t="s">
        <v>2511</v>
      </c>
      <c r="M622" t="s">
        <v>208</v>
      </c>
      <c r="N622" t="s">
        <v>780</v>
      </c>
      <c r="O622" t="s">
        <v>771</v>
      </c>
      <c r="P622" t="s">
        <v>772</v>
      </c>
      <c r="Q622" t="s">
        <v>780</v>
      </c>
      <c r="R622">
        <v>0</v>
      </c>
      <c r="S622">
        <v>0</v>
      </c>
      <c r="T622">
        <v>0</v>
      </c>
      <c r="U622">
        <v>0</v>
      </c>
      <c r="V622">
        <v>0</v>
      </c>
      <c r="W622">
        <v>0</v>
      </c>
      <c r="X622">
        <v>0</v>
      </c>
      <c r="Y622">
        <v>0</v>
      </c>
      <c r="Z622">
        <v>0</v>
      </c>
      <c r="AA622">
        <v>0</v>
      </c>
      <c r="AB622">
        <v>0</v>
      </c>
      <c r="AC622">
        <v>0</v>
      </c>
      <c r="AD622">
        <v>10</v>
      </c>
      <c r="AE622">
        <v>5</v>
      </c>
      <c r="AF622">
        <v>0</v>
      </c>
      <c r="AG622">
        <v>0</v>
      </c>
      <c r="AH622">
        <v>0</v>
      </c>
      <c r="AI622">
        <v>0</v>
      </c>
      <c r="AY622" t="str">
        <f t="shared" si="171"/>
        <v>FLOXYME 50 MG/ML SOLUTION POUR EAU DE BOISSON</v>
      </c>
      <c r="AZ622" t="str">
        <f>IF(COUNTIF(AY:AY,AY622)=1,AY622,IF(AND(COUNTIF(AY:AY,AY622)&gt;1,COUNTIF(AZ$2:AZ621,AY622)&gt;=1),"",AY622))</f>
        <v>FLOXYME 50 MG/ML SOLUTION POUR EAU DE BOISSON</v>
      </c>
      <c r="BA622">
        <f>IF(AZ622="","",COUNTIFS(AZ$3:AZ$1439,"&lt;"&amp;AZ622,AZ$3:AZ$1439,"&lt;&gt;0")+COUNTIF(AZ$3:AZ622,AZ622)-876)</f>
        <v>235</v>
      </c>
      <c r="BT622" s="76"/>
      <c r="CN622">
        <v>621</v>
      </c>
    </row>
    <row r="623" spans="1:92" x14ac:dyDescent="0.3">
      <c r="A623" s="118" t="s">
        <v>2170</v>
      </c>
      <c r="B623" t="s">
        <v>2171</v>
      </c>
      <c r="C623" t="s">
        <v>1488</v>
      </c>
      <c r="D623" s="144" t="s">
        <v>869</v>
      </c>
      <c r="E623" t="s">
        <v>813</v>
      </c>
      <c r="F623" t="s">
        <v>2172</v>
      </c>
      <c r="G623" t="s">
        <v>815</v>
      </c>
      <c r="H623" t="s">
        <v>816</v>
      </c>
      <c r="I623" t="s">
        <v>817</v>
      </c>
      <c r="J623" t="s">
        <v>787</v>
      </c>
      <c r="K623" t="s">
        <v>787</v>
      </c>
      <c r="L623" t="s">
        <v>1055</v>
      </c>
      <c r="M623" t="s">
        <v>208</v>
      </c>
      <c r="N623" t="s">
        <v>855</v>
      </c>
      <c r="O623" t="s">
        <v>824</v>
      </c>
      <c r="P623" t="s">
        <v>772</v>
      </c>
      <c r="Q623" t="s">
        <v>825</v>
      </c>
      <c r="R623">
        <v>0</v>
      </c>
      <c r="S623">
        <v>0</v>
      </c>
      <c r="T623">
        <v>20</v>
      </c>
      <c r="U623">
        <v>6</v>
      </c>
      <c r="V623">
        <v>0</v>
      </c>
      <c r="W623">
        <v>0</v>
      </c>
      <c r="X623">
        <v>0</v>
      </c>
      <c r="Y623">
        <v>0</v>
      </c>
      <c r="Z623">
        <v>0</v>
      </c>
      <c r="AA623">
        <v>0</v>
      </c>
      <c r="AB623">
        <v>0</v>
      </c>
      <c r="AC623">
        <v>0</v>
      </c>
      <c r="AD623">
        <v>0</v>
      </c>
      <c r="AE623">
        <v>0</v>
      </c>
      <c r="AF623">
        <v>0</v>
      </c>
      <c r="AG623">
        <v>0</v>
      </c>
      <c r="AH623">
        <v>0</v>
      </c>
      <c r="AI623">
        <v>0</v>
      </c>
      <c r="AY623" t="str">
        <f t="shared" si="171"/>
        <v/>
      </c>
      <c r="AZ623" t="str">
        <f>IF(COUNTIF(AY:AY,AY623)=1,AY623,IF(AND(COUNTIF(AY:AY,AY623)&gt;1,COUNTIF(AZ$2:AZ622,AY623)&gt;=1),"",AY623))</f>
        <v/>
      </c>
      <c r="BA623" t="str">
        <f>IF(AZ623="","",COUNTIFS(AZ$3:AZ$1439,"&lt;"&amp;AZ623,AZ$3:AZ$1439,"&lt;&gt;0")+COUNTIF(AZ$3:AZ623,AZ623)-876)</f>
        <v/>
      </c>
      <c r="BT623" s="76"/>
      <c r="CN623">
        <v>622</v>
      </c>
    </row>
    <row r="624" spans="1:92" x14ac:dyDescent="0.3">
      <c r="A624" s="118" t="s">
        <v>2173</v>
      </c>
      <c r="B624" t="s">
        <v>2174</v>
      </c>
      <c r="C624" t="s">
        <v>2175</v>
      </c>
      <c r="D624" s="144" t="s">
        <v>1494</v>
      </c>
      <c r="E624" t="s">
        <v>813</v>
      </c>
      <c r="F624" t="s">
        <v>2176</v>
      </c>
      <c r="G624" t="s">
        <v>815</v>
      </c>
      <c r="H624" t="s">
        <v>860</v>
      </c>
      <c r="I624" t="s">
        <v>817</v>
      </c>
      <c r="J624" t="s">
        <v>787</v>
      </c>
      <c r="K624" t="s">
        <v>787</v>
      </c>
      <c r="L624" t="s">
        <v>1055</v>
      </c>
      <c r="M624" t="s">
        <v>208</v>
      </c>
      <c r="N624" t="s">
        <v>764</v>
      </c>
      <c r="O624" t="s">
        <v>824</v>
      </c>
      <c r="P624" t="s">
        <v>772</v>
      </c>
      <c r="Q624" t="s">
        <v>1944</v>
      </c>
      <c r="R624">
        <v>0</v>
      </c>
      <c r="S624">
        <v>0</v>
      </c>
      <c r="T624">
        <v>20</v>
      </c>
      <c r="U624">
        <v>6</v>
      </c>
      <c r="V624">
        <v>0</v>
      </c>
      <c r="W624">
        <v>0</v>
      </c>
      <c r="X624">
        <v>0</v>
      </c>
      <c r="Y624">
        <v>0</v>
      </c>
      <c r="Z624">
        <v>0</v>
      </c>
      <c r="AA624">
        <v>0</v>
      </c>
      <c r="AB624">
        <v>0</v>
      </c>
      <c r="AC624">
        <v>0</v>
      </c>
      <c r="AD624">
        <v>0</v>
      </c>
      <c r="AE624">
        <v>0</v>
      </c>
      <c r="AF624">
        <v>0</v>
      </c>
      <c r="AG624">
        <v>0</v>
      </c>
      <c r="AH624">
        <v>0</v>
      </c>
      <c r="AI624">
        <v>0</v>
      </c>
      <c r="AY624" t="str">
        <f t="shared" si="171"/>
        <v/>
      </c>
      <c r="AZ624" t="str">
        <f>IF(COUNTIF(AY:AY,AY624)=1,AY624,IF(AND(COUNTIF(AY:AY,AY624)&gt;1,COUNTIF(AZ$2:AZ623,AY624)&gt;=1),"",AY624))</f>
        <v/>
      </c>
      <c r="BA624" t="str">
        <f>IF(AZ624="","",COUNTIFS(AZ$3:AZ$1439,"&lt;"&amp;AZ624,AZ$3:AZ$1439,"&lt;&gt;0")+COUNTIF(AZ$3:AZ624,AZ624)-876)</f>
        <v/>
      </c>
      <c r="BT624" s="76"/>
      <c r="CN624">
        <v>623</v>
      </c>
    </row>
    <row r="625" spans="1:92" x14ac:dyDescent="0.3">
      <c r="A625" s="118" t="s">
        <v>2115</v>
      </c>
      <c r="B625" t="s">
        <v>2116</v>
      </c>
      <c r="C625" t="s">
        <v>1835</v>
      </c>
      <c r="D625" s="144" t="s">
        <v>829</v>
      </c>
      <c r="E625" t="s">
        <v>830</v>
      </c>
      <c r="F625" t="s">
        <v>357</v>
      </c>
      <c r="G625" t="s">
        <v>831</v>
      </c>
      <c r="H625" t="s">
        <v>169</v>
      </c>
      <c r="I625" t="s">
        <v>817</v>
      </c>
      <c r="J625" t="s">
        <v>1559</v>
      </c>
      <c r="K625" t="s">
        <v>1559</v>
      </c>
      <c r="L625" t="s">
        <v>1938</v>
      </c>
      <c r="M625" t="s">
        <v>208</v>
      </c>
      <c r="N625" t="s">
        <v>764</v>
      </c>
      <c r="O625" t="s">
        <v>894</v>
      </c>
      <c r="P625" t="s">
        <v>772</v>
      </c>
      <c r="Q625" t="s">
        <v>764</v>
      </c>
      <c r="R625">
        <v>12</v>
      </c>
      <c r="S625">
        <v>5</v>
      </c>
      <c r="T625">
        <v>0</v>
      </c>
      <c r="U625">
        <v>0</v>
      </c>
      <c r="V625">
        <v>0</v>
      </c>
      <c r="W625">
        <v>0</v>
      </c>
      <c r="X625">
        <v>0</v>
      </c>
      <c r="Y625">
        <v>0</v>
      </c>
      <c r="Z625">
        <v>0</v>
      </c>
      <c r="AA625">
        <v>0</v>
      </c>
      <c r="AB625">
        <v>0</v>
      </c>
      <c r="AC625">
        <v>0</v>
      </c>
      <c r="AD625">
        <v>0</v>
      </c>
      <c r="AE625">
        <v>0</v>
      </c>
      <c r="AF625">
        <v>0</v>
      </c>
      <c r="AG625">
        <v>0</v>
      </c>
      <c r="AH625">
        <v>0</v>
      </c>
      <c r="AI625">
        <v>0</v>
      </c>
      <c r="AY625" t="str">
        <f t="shared" si="171"/>
        <v>FLUMIQUIL POUDRE A 10 %</v>
      </c>
      <c r="AZ625" t="str">
        <f>IF(COUNTIF(AY:AY,AY625)=1,AY625,IF(AND(COUNTIF(AY:AY,AY625)&gt;1,COUNTIF(AZ$2:AZ624,AY625)&gt;=1),"",AY625))</f>
        <v>FLUMIQUIL POUDRE A 10 %</v>
      </c>
      <c r="BA625">
        <f>IF(AZ625="","",COUNTIFS(AZ$3:AZ$1439,"&lt;"&amp;AZ625,AZ$3:AZ$1439,"&lt;&gt;0")+COUNTIF(AZ$3:AZ625,AZ625)-876)</f>
        <v>236</v>
      </c>
      <c r="BT625" s="76"/>
      <c r="CN625">
        <v>624</v>
      </c>
    </row>
    <row r="626" spans="1:92" x14ac:dyDescent="0.3">
      <c r="A626" s="118" t="s">
        <v>2115</v>
      </c>
      <c r="B626" t="s">
        <v>2117</v>
      </c>
      <c r="C626" t="s">
        <v>1313</v>
      </c>
      <c r="D626" s="144" t="s">
        <v>955</v>
      </c>
      <c r="E626" t="s">
        <v>830</v>
      </c>
      <c r="F626" t="s">
        <v>357</v>
      </c>
      <c r="G626" t="s">
        <v>831</v>
      </c>
      <c r="H626" t="s">
        <v>169</v>
      </c>
      <c r="I626" t="s">
        <v>817</v>
      </c>
      <c r="J626" t="s">
        <v>1559</v>
      </c>
      <c r="K626" t="s">
        <v>1559</v>
      </c>
      <c r="L626" t="s">
        <v>1938</v>
      </c>
      <c r="M626" t="s">
        <v>208</v>
      </c>
      <c r="N626" t="s">
        <v>764</v>
      </c>
      <c r="O626" t="s">
        <v>894</v>
      </c>
      <c r="P626" t="s">
        <v>772</v>
      </c>
      <c r="Q626" t="s">
        <v>906</v>
      </c>
      <c r="R626">
        <v>12</v>
      </c>
      <c r="S626">
        <v>5</v>
      </c>
      <c r="T626">
        <v>0</v>
      </c>
      <c r="U626">
        <v>0</v>
      </c>
      <c r="V626">
        <v>0</v>
      </c>
      <c r="W626">
        <v>0</v>
      </c>
      <c r="X626">
        <v>0</v>
      </c>
      <c r="Y626">
        <v>0</v>
      </c>
      <c r="Z626">
        <v>0</v>
      </c>
      <c r="AA626">
        <v>0</v>
      </c>
      <c r="AB626">
        <v>0</v>
      </c>
      <c r="AC626">
        <v>0</v>
      </c>
      <c r="AD626">
        <v>0</v>
      </c>
      <c r="AE626">
        <v>0</v>
      </c>
      <c r="AF626">
        <v>0</v>
      </c>
      <c r="AG626">
        <v>0</v>
      </c>
      <c r="AH626">
        <v>0</v>
      </c>
      <c r="AI626">
        <v>0</v>
      </c>
      <c r="AY626" t="str">
        <f t="shared" si="171"/>
        <v>FLUMIQUIL POUDRE A 10 %</v>
      </c>
      <c r="AZ626" t="str">
        <f>IF(COUNTIF(AY:AY,AY626)=1,AY626,IF(AND(COUNTIF(AY:AY,AY626)&gt;1,COUNTIF(AZ$2:AZ625,AY626)&gt;=1),"",AY626))</f>
        <v/>
      </c>
      <c r="BA626" t="str">
        <f>IF(AZ626="","",COUNTIFS(AZ$3:AZ$1439,"&lt;"&amp;AZ626,AZ$3:AZ$1439,"&lt;&gt;0")+COUNTIF(AZ$3:AZ626,AZ626)-876)</f>
        <v/>
      </c>
      <c r="BT626" s="76"/>
      <c r="CN626">
        <v>625</v>
      </c>
    </row>
    <row r="627" spans="1:92" x14ac:dyDescent="0.3">
      <c r="A627" s="118" t="s">
        <v>1935</v>
      </c>
      <c r="B627" t="s">
        <v>1936</v>
      </c>
      <c r="C627" t="s">
        <v>4432</v>
      </c>
      <c r="D627" s="144" t="s">
        <v>829</v>
      </c>
      <c r="E627" t="s">
        <v>830</v>
      </c>
      <c r="F627" t="s">
        <v>358</v>
      </c>
      <c r="G627" t="s">
        <v>831</v>
      </c>
      <c r="H627" t="s">
        <v>1937</v>
      </c>
      <c r="I627" t="s">
        <v>817</v>
      </c>
      <c r="J627" t="s">
        <v>1559</v>
      </c>
      <c r="K627" t="s">
        <v>1559</v>
      </c>
      <c r="L627" t="s">
        <v>1938</v>
      </c>
      <c r="M627" t="s">
        <v>208</v>
      </c>
      <c r="N627" t="s">
        <v>797</v>
      </c>
      <c r="O627" t="s">
        <v>894</v>
      </c>
      <c r="P627" t="s">
        <v>772</v>
      </c>
      <c r="Q627" t="s">
        <v>797</v>
      </c>
      <c r="R627">
        <v>12</v>
      </c>
      <c r="S627">
        <v>5</v>
      </c>
      <c r="T627">
        <v>0</v>
      </c>
      <c r="U627">
        <v>0</v>
      </c>
      <c r="V627">
        <v>12</v>
      </c>
      <c r="W627">
        <v>5</v>
      </c>
      <c r="X627">
        <v>12</v>
      </c>
      <c r="Y627">
        <v>5</v>
      </c>
      <c r="Z627">
        <v>12</v>
      </c>
      <c r="AA627">
        <v>5</v>
      </c>
      <c r="AB627">
        <v>12</v>
      </c>
      <c r="AC627">
        <v>5</v>
      </c>
      <c r="AD627">
        <v>12</v>
      </c>
      <c r="AE627">
        <v>5</v>
      </c>
      <c r="AF627">
        <v>12</v>
      </c>
      <c r="AG627">
        <v>5</v>
      </c>
      <c r="AH627">
        <v>0</v>
      </c>
      <c r="AI627">
        <v>0</v>
      </c>
      <c r="AY627" t="str">
        <f t="shared" si="171"/>
        <v>FLUMIQUIL POUDRE A 3 %</v>
      </c>
      <c r="AZ627" t="str">
        <f>IF(COUNTIF(AY:AY,AY627)=1,AY627,IF(AND(COUNTIF(AY:AY,AY627)&gt;1,COUNTIF(AZ$2:AZ626,AY627)&gt;=1),"",AY627))</f>
        <v>FLUMIQUIL POUDRE A 3 %</v>
      </c>
      <c r="BA627">
        <f>IF(AZ627="","",COUNTIFS(AZ$3:AZ$1439,"&lt;"&amp;AZ627,AZ$3:AZ$1439,"&lt;&gt;0")+COUNTIF(AZ$3:AZ627,AZ627)-876)</f>
        <v>237</v>
      </c>
      <c r="BT627" s="76"/>
      <c r="CN627">
        <v>626</v>
      </c>
    </row>
    <row r="628" spans="1:92" x14ac:dyDescent="0.3">
      <c r="A628" s="118" t="s">
        <v>1935</v>
      </c>
      <c r="B628" t="s">
        <v>1939</v>
      </c>
      <c r="C628" t="s">
        <v>1313</v>
      </c>
      <c r="D628" s="144" t="s">
        <v>955</v>
      </c>
      <c r="E628" t="s">
        <v>830</v>
      </c>
      <c r="F628" t="s">
        <v>358</v>
      </c>
      <c r="G628" t="s">
        <v>831</v>
      </c>
      <c r="H628" t="s">
        <v>1937</v>
      </c>
      <c r="I628" t="s">
        <v>817</v>
      </c>
      <c r="J628" t="s">
        <v>1559</v>
      </c>
      <c r="K628" t="s">
        <v>1559</v>
      </c>
      <c r="L628" t="s">
        <v>1938</v>
      </c>
      <c r="M628" t="s">
        <v>208</v>
      </c>
      <c r="N628" t="s">
        <v>797</v>
      </c>
      <c r="O628" t="s">
        <v>894</v>
      </c>
      <c r="P628" t="s">
        <v>772</v>
      </c>
      <c r="Q628" t="s">
        <v>1155</v>
      </c>
      <c r="R628">
        <v>12</v>
      </c>
      <c r="S628">
        <v>5</v>
      </c>
      <c r="T628">
        <v>0</v>
      </c>
      <c r="U628">
        <v>0</v>
      </c>
      <c r="V628">
        <v>12</v>
      </c>
      <c r="W628">
        <v>5</v>
      </c>
      <c r="X628">
        <v>12</v>
      </c>
      <c r="Y628">
        <v>5</v>
      </c>
      <c r="Z628">
        <v>12</v>
      </c>
      <c r="AA628">
        <v>5</v>
      </c>
      <c r="AB628">
        <v>12</v>
      </c>
      <c r="AC628">
        <v>5</v>
      </c>
      <c r="AD628">
        <v>12</v>
      </c>
      <c r="AE628">
        <v>5</v>
      </c>
      <c r="AF628">
        <v>12</v>
      </c>
      <c r="AG628">
        <v>5</v>
      </c>
      <c r="AH628">
        <v>0</v>
      </c>
      <c r="AI628">
        <v>0</v>
      </c>
      <c r="AY628" t="str">
        <f t="shared" si="171"/>
        <v>FLUMIQUIL POUDRE A 3 %</v>
      </c>
      <c r="AZ628" t="str">
        <f>IF(COUNTIF(AY:AY,AY628)=1,AY628,IF(AND(COUNTIF(AY:AY,AY628)&gt;1,COUNTIF(AZ$2:AZ627,AY628)&gt;=1),"",AY628))</f>
        <v/>
      </c>
      <c r="BA628" t="str">
        <f>IF(AZ628="","",COUNTIFS(AZ$3:AZ$1439,"&lt;"&amp;AZ628,AZ$3:AZ$1439,"&lt;&gt;0")+COUNTIF(AZ$3:AZ628,AZ628)-876)</f>
        <v/>
      </c>
      <c r="BT628" s="76"/>
      <c r="CN628">
        <v>627</v>
      </c>
    </row>
    <row r="629" spans="1:92" x14ac:dyDescent="0.3">
      <c r="A629" s="118" t="s">
        <v>2885</v>
      </c>
      <c r="B629" t="s">
        <v>2886</v>
      </c>
      <c r="C629" t="s">
        <v>2911</v>
      </c>
      <c r="D629" s="144" t="s">
        <v>776</v>
      </c>
      <c r="E629" t="s">
        <v>765</v>
      </c>
      <c r="F629" t="s">
        <v>359</v>
      </c>
      <c r="G629" t="s">
        <v>956</v>
      </c>
      <c r="H629" t="s">
        <v>1706</v>
      </c>
      <c r="I629" t="s">
        <v>817</v>
      </c>
      <c r="J629" t="s">
        <v>1559</v>
      </c>
      <c r="K629" t="s">
        <v>1559</v>
      </c>
      <c r="L629" t="s">
        <v>1938</v>
      </c>
      <c r="M629" t="s">
        <v>208</v>
      </c>
      <c r="N629" t="s">
        <v>2887</v>
      </c>
      <c r="O629" t="s">
        <v>771</v>
      </c>
      <c r="P629" t="s">
        <v>772</v>
      </c>
      <c r="Q629" t="s">
        <v>1544</v>
      </c>
      <c r="R629">
        <v>12</v>
      </c>
      <c r="S629">
        <v>5</v>
      </c>
      <c r="T629">
        <v>0</v>
      </c>
      <c r="U629">
        <v>0</v>
      </c>
      <c r="V629">
        <v>0</v>
      </c>
      <c r="W629">
        <v>0</v>
      </c>
      <c r="X629">
        <v>0</v>
      </c>
      <c r="Y629">
        <v>0</v>
      </c>
      <c r="Z629">
        <v>0</v>
      </c>
      <c r="AA629">
        <v>0</v>
      </c>
      <c r="AB629">
        <v>0</v>
      </c>
      <c r="AC629">
        <v>0</v>
      </c>
      <c r="AD629">
        <v>0</v>
      </c>
      <c r="AE629">
        <v>0</v>
      </c>
      <c r="AF629">
        <v>12</v>
      </c>
      <c r="AG629">
        <v>5</v>
      </c>
      <c r="AH629">
        <v>0</v>
      </c>
      <c r="AI629">
        <v>0</v>
      </c>
      <c r="AY629" t="str">
        <f t="shared" si="171"/>
        <v>FLUMISOL 36 %</v>
      </c>
      <c r="AZ629" t="str">
        <f>IF(COUNTIF(AY:AY,AY629)=1,AY629,IF(AND(COUNTIF(AY:AY,AY629)&gt;1,COUNTIF(AZ$2:AZ628,AY629)&gt;=1),"",AY629))</f>
        <v>FLUMISOL 36 %</v>
      </c>
      <c r="BA629">
        <f>IF(AZ629="","",COUNTIFS(AZ$3:AZ$1439,"&lt;"&amp;AZ629,AZ$3:AZ$1439,"&lt;&gt;0")+COUNTIF(AZ$3:AZ629,AZ629)-876)</f>
        <v>238</v>
      </c>
      <c r="BT629" s="76"/>
      <c r="CN629">
        <v>628</v>
      </c>
    </row>
    <row r="630" spans="1:92" x14ac:dyDescent="0.3">
      <c r="A630" s="118" t="s">
        <v>2885</v>
      </c>
      <c r="B630" t="s">
        <v>2888</v>
      </c>
      <c r="C630" t="s">
        <v>1002</v>
      </c>
      <c r="D630" s="144" t="s">
        <v>829</v>
      </c>
      <c r="E630" t="s">
        <v>765</v>
      </c>
      <c r="F630" t="s">
        <v>359</v>
      </c>
      <c r="G630" t="s">
        <v>956</v>
      </c>
      <c r="H630" t="s">
        <v>1706</v>
      </c>
      <c r="I630" t="s">
        <v>817</v>
      </c>
      <c r="J630" t="s">
        <v>1559</v>
      </c>
      <c r="K630" t="s">
        <v>1559</v>
      </c>
      <c r="L630" t="s">
        <v>1938</v>
      </c>
      <c r="M630" t="s">
        <v>208</v>
      </c>
      <c r="N630" t="s">
        <v>2887</v>
      </c>
      <c r="O630" t="s">
        <v>771</v>
      </c>
      <c r="P630" t="s">
        <v>772</v>
      </c>
      <c r="Q630" t="s">
        <v>2887</v>
      </c>
      <c r="R630">
        <v>12</v>
      </c>
      <c r="S630">
        <v>5</v>
      </c>
      <c r="T630">
        <v>0</v>
      </c>
      <c r="U630">
        <v>0</v>
      </c>
      <c r="V630">
        <v>0</v>
      </c>
      <c r="W630">
        <v>0</v>
      </c>
      <c r="X630">
        <v>0</v>
      </c>
      <c r="Y630">
        <v>0</v>
      </c>
      <c r="Z630">
        <v>0</v>
      </c>
      <c r="AA630">
        <v>0</v>
      </c>
      <c r="AB630">
        <v>0</v>
      </c>
      <c r="AC630">
        <v>0</v>
      </c>
      <c r="AD630">
        <v>0</v>
      </c>
      <c r="AE630">
        <v>0</v>
      </c>
      <c r="AF630">
        <v>12</v>
      </c>
      <c r="AG630">
        <v>5</v>
      </c>
      <c r="AH630">
        <v>0</v>
      </c>
      <c r="AI630">
        <v>0</v>
      </c>
      <c r="AY630" t="str">
        <f t="shared" si="171"/>
        <v>FLUMISOL 36 %</v>
      </c>
      <c r="AZ630" t="str">
        <f>IF(COUNTIF(AY:AY,AY630)=1,AY630,IF(AND(COUNTIF(AY:AY,AY630)&gt;1,COUNTIF(AZ$2:AZ629,AY630)&gt;=1),"",AY630))</f>
        <v/>
      </c>
      <c r="BA630" t="str">
        <f>IF(AZ630="","",COUNTIFS(AZ$3:AZ$1439,"&lt;"&amp;AZ630,AZ$3:AZ$1439,"&lt;&gt;0")+COUNTIF(AZ$3:AZ630,AZ630)-876)</f>
        <v/>
      </c>
      <c r="BT630" s="76"/>
      <c r="CN630">
        <v>629</v>
      </c>
    </row>
    <row r="631" spans="1:92" x14ac:dyDescent="0.3">
      <c r="A631" s="118" t="s">
        <v>3091</v>
      </c>
      <c r="B631" t="s">
        <v>3092</v>
      </c>
      <c r="C631" t="s">
        <v>3093</v>
      </c>
      <c r="D631" s="144" t="s">
        <v>829</v>
      </c>
      <c r="E631" t="s">
        <v>765</v>
      </c>
      <c r="F631" t="s">
        <v>645</v>
      </c>
      <c r="G631" t="s">
        <v>956</v>
      </c>
      <c r="H631" t="s">
        <v>1706</v>
      </c>
      <c r="I631" t="s">
        <v>817</v>
      </c>
      <c r="J631" t="s">
        <v>1559</v>
      </c>
      <c r="K631" t="s">
        <v>1559</v>
      </c>
      <c r="L631" t="s">
        <v>1938</v>
      </c>
      <c r="M631" t="s">
        <v>208</v>
      </c>
      <c r="N631" t="s">
        <v>764</v>
      </c>
      <c r="O631" t="s">
        <v>771</v>
      </c>
      <c r="P631" t="s">
        <v>772</v>
      </c>
      <c r="Q631" t="s">
        <v>764</v>
      </c>
      <c r="R631">
        <v>12</v>
      </c>
      <c r="S631">
        <v>5</v>
      </c>
      <c r="T631">
        <v>0</v>
      </c>
      <c r="U631">
        <v>0</v>
      </c>
      <c r="V631">
        <v>0</v>
      </c>
      <c r="W631">
        <v>0</v>
      </c>
      <c r="X631">
        <v>0</v>
      </c>
      <c r="Y631">
        <v>0</v>
      </c>
      <c r="Z631">
        <v>0</v>
      </c>
      <c r="AA631">
        <v>0</v>
      </c>
      <c r="AB631">
        <v>0</v>
      </c>
      <c r="AC631">
        <v>0</v>
      </c>
      <c r="AD631">
        <v>0</v>
      </c>
      <c r="AE631">
        <v>0</v>
      </c>
      <c r="AF631">
        <v>12</v>
      </c>
      <c r="AG631">
        <v>5</v>
      </c>
      <c r="AH631">
        <v>0</v>
      </c>
      <c r="AI631">
        <v>0</v>
      </c>
      <c r="AY631" t="str">
        <f t="shared" si="171"/>
        <v>FLUMIVAL 10% SOLUTION ORALE POUR VOLAILLES ET VEAUX</v>
      </c>
      <c r="AZ631" t="str">
        <f>IF(COUNTIF(AY:AY,AY631)=1,AY631,IF(AND(COUNTIF(AY:AY,AY631)&gt;1,COUNTIF(AZ$2:AZ630,AY631)&gt;=1),"",AY631))</f>
        <v>FLUMIVAL 10% SOLUTION ORALE POUR VOLAILLES ET VEAUX</v>
      </c>
      <c r="BA631">
        <f>IF(AZ631="","",COUNTIFS(AZ$3:AZ$1439,"&lt;"&amp;AZ631,AZ$3:AZ$1439,"&lt;&gt;0")+COUNTIF(AZ$3:AZ631,AZ631)-876)</f>
        <v>239</v>
      </c>
      <c r="BT631" s="76"/>
      <c r="CN631">
        <v>630</v>
      </c>
    </row>
    <row r="632" spans="1:92" x14ac:dyDescent="0.3">
      <c r="A632" s="118" t="s">
        <v>3091</v>
      </c>
      <c r="B632" t="s">
        <v>3094</v>
      </c>
      <c r="C632" t="s">
        <v>3095</v>
      </c>
      <c r="D632" s="144" t="s">
        <v>955</v>
      </c>
      <c r="E632" t="s">
        <v>765</v>
      </c>
      <c r="F632" t="s">
        <v>645</v>
      </c>
      <c r="G632" t="s">
        <v>956</v>
      </c>
      <c r="H632" t="s">
        <v>1706</v>
      </c>
      <c r="I632" t="s">
        <v>817</v>
      </c>
      <c r="J632" t="s">
        <v>1559</v>
      </c>
      <c r="K632" t="s">
        <v>1559</v>
      </c>
      <c r="L632" t="s">
        <v>1938</v>
      </c>
      <c r="M632" t="s">
        <v>208</v>
      </c>
      <c r="N632" t="s">
        <v>764</v>
      </c>
      <c r="O632" t="s">
        <v>771</v>
      </c>
      <c r="P632" t="s">
        <v>772</v>
      </c>
      <c r="Q632" t="s">
        <v>906</v>
      </c>
      <c r="R632">
        <v>12</v>
      </c>
      <c r="S632">
        <v>5</v>
      </c>
      <c r="T632">
        <v>0</v>
      </c>
      <c r="U632">
        <v>0</v>
      </c>
      <c r="V632">
        <v>0</v>
      </c>
      <c r="W632">
        <v>0</v>
      </c>
      <c r="X632">
        <v>0</v>
      </c>
      <c r="Y632">
        <v>0</v>
      </c>
      <c r="Z632">
        <v>0</v>
      </c>
      <c r="AA632">
        <v>0</v>
      </c>
      <c r="AB632">
        <v>0</v>
      </c>
      <c r="AC632">
        <v>0</v>
      </c>
      <c r="AD632">
        <v>0</v>
      </c>
      <c r="AE632">
        <v>0</v>
      </c>
      <c r="AF632">
        <v>12</v>
      </c>
      <c r="AG632">
        <v>5</v>
      </c>
      <c r="AH632">
        <v>0</v>
      </c>
      <c r="AI632">
        <v>0</v>
      </c>
      <c r="AY632" t="str">
        <f t="shared" si="171"/>
        <v>FLUMIVAL 10% SOLUTION ORALE POUR VOLAILLES ET VEAUX</v>
      </c>
      <c r="AZ632" t="str">
        <f>IF(COUNTIF(AY:AY,AY632)=1,AY632,IF(AND(COUNTIF(AY:AY,AY632)&gt;1,COUNTIF(AZ$2:AZ631,AY632)&gt;=1),"",AY632))</f>
        <v/>
      </c>
      <c r="BA632" t="str">
        <f>IF(AZ632="","",COUNTIFS(AZ$3:AZ$1439,"&lt;"&amp;AZ632,AZ$3:AZ$1439,"&lt;&gt;0")+COUNTIF(AZ$3:AZ632,AZ632)-876)</f>
        <v/>
      </c>
      <c r="BT632" s="76"/>
      <c r="CN632">
        <v>631</v>
      </c>
    </row>
    <row r="633" spans="1:92" x14ac:dyDescent="0.3">
      <c r="A633" s="118" t="s">
        <v>2441</v>
      </c>
      <c r="B633" t="s">
        <v>2442</v>
      </c>
      <c r="C633" t="s">
        <v>1059</v>
      </c>
      <c r="D633" s="144" t="s">
        <v>955</v>
      </c>
      <c r="E633" t="s">
        <v>830</v>
      </c>
      <c r="F633" t="s">
        <v>360</v>
      </c>
      <c r="G633" t="s">
        <v>1064</v>
      </c>
      <c r="H633" t="s">
        <v>2443</v>
      </c>
      <c r="I633" t="s">
        <v>1066</v>
      </c>
      <c r="J633" t="s">
        <v>1559</v>
      </c>
      <c r="K633" t="s">
        <v>1559</v>
      </c>
      <c r="L633" t="s">
        <v>1938</v>
      </c>
      <c r="M633" t="s">
        <v>208</v>
      </c>
      <c r="N633" t="s">
        <v>1948</v>
      </c>
      <c r="O633" t="s">
        <v>894</v>
      </c>
      <c r="P633" t="s">
        <v>772</v>
      </c>
      <c r="Q633" t="s">
        <v>2444</v>
      </c>
      <c r="R633">
        <v>0</v>
      </c>
      <c r="S633">
        <v>0</v>
      </c>
      <c r="T633">
        <v>0</v>
      </c>
      <c r="U633">
        <v>0</v>
      </c>
      <c r="V633">
        <v>0</v>
      </c>
      <c r="W633">
        <v>0</v>
      </c>
      <c r="X633">
        <v>12</v>
      </c>
      <c r="Y633">
        <v>5</v>
      </c>
      <c r="Z633">
        <v>0</v>
      </c>
      <c r="AA633">
        <v>0</v>
      </c>
      <c r="AB633">
        <v>0</v>
      </c>
      <c r="AC633">
        <v>0</v>
      </c>
      <c r="AD633">
        <v>0</v>
      </c>
      <c r="AE633">
        <v>0</v>
      </c>
      <c r="AF633">
        <v>0</v>
      </c>
      <c r="AG633">
        <v>0</v>
      </c>
      <c r="AH633">
        <v>0</v>
      </c>
      <c r="AI633">
        <v>0</v>
      </c>
      <c r="AY633" t="str">
        <f t="shared" si="171"/>
        <v>FLUMIX FLUMEQUINE 160 SALMONIDES</v>
      </c>
      <c r="AZ633" t="str">
        <f>IF(COUNTIF(AY:AY,AY633)=1,AY633,IF(AND(COUNTIF(AY:AY,AY633)&gt;1,COUNTIF(AZ$2:AZ632,AY633)&gt;=1),"",AY633))</f>
        <v>FLUMIX FLUMEQUINE 160 SALMONIDES</v>
      </c>
      <c r="BA633">
        <f>IF(AZ633="","",COUNTIFS(AZ$3:AZ$1439,"&lt;"&amp;AZ633,AZ$3:AZ$1439,"&lt;&gt;0")+COUNTIF(AZ$3:AZ633,AZ633)-876)</f>
        <v>240</v>
      </c>
      <c r="BT633" s="76"/>
      <c r="CN633">
        <v>632</v>
      </c>
    </row>
    <row r="634" spans="1:92" x14ac:dyDescent="0.3">
      <c r="A634" s="118" t="s">
        <v>1964</v>
      </c>
      <c r="B634" t="s">
        <v>1965</v>
      </c>
      <c r="C634" t="s">
        <v>1057</v>
      </c>
      <c r="D634" s="144" t="s">
        <v>829</v>
      </c>
      <c r="E634" t="s">
        <v>830</v>
      </c>
      <c r="F634" t="s">
        <v>646</v>
      </c>
      <c r="G634" t="s">
        <v>831</v>
      </c>
      <c r="H634" t="s">
        <v>1966</v>
      </c>
      <c r="I634" t="s">
        <v>817</v>
      </c>
      <c r="J634" t="s">
        <v>1559</v>
      </c>
      <c r="K634" t="s">
        <v>1559</v>
      </c>
      <c r="L634" t="s">
        <v>1938</v>
      </c>
      <c r="M634" t="s">
        <v>208</v>
      </c>
      <c r="N634" t="s">
        <v>906</v>
      </c>
      <c r="O634" t="s">
        <v>894</v>
      </c>
      <c r="P634" t="s">
        <v>772</v>
      </c>
      <c r="Q634" t="s">
        <v>906</v>
      </c>
      <c r="R634">
        <v>12</v>
      </c>
      <c r="S634">
        <v>5</v>
      </c>
      <c r="T634">
        <v>0</v>
      </c>
      <c r="U634">
        <v>0</v>
      </c>
      <c r="V634">
        <v>12</v>
      </c>
      <c r="W634">
        <v>5</v>
      </c>
      <c r="X634">
        <v>12</v>
      </c>
      <c r="Y634">
        <v>5</v>
      </c>
      <c r="Z634">
        <v>12</v>
      </c>
      <c r="AA634">
        <v>5</v>
      </c>
      <c r="AB634">
        <v>12</v>
      </c>
      <c r="AC634">
        <v>5</v>
      </c>
      <c r="AD634">
        <v>12</v>
      </c>
      <c r="AE634">
        <v>5</v>
      </c>
      <c r="AF634">
        <v>12</v>
      </c>
      <c r="AG634">
        <v>5</v>
      </c>
      <c r="AH634">
        <v>0</v>
      </c>
      <c r="AI634">
        <v>0</v>
      </c>
      <c r="AY634" t="str">
        <f t="shared" si="171"/>
        <v>FLUQUICK POUDRE A 50 %</v>
      </c>
      <c r="AZ634" t="str">
        <f>IF(COUNTIF(AY:AY,AY634)=1,AY634,IF(AND(COUNTIF(AY:AY,AY634)&gt;1,COUNTIF(AZ$2:AZ633,AY634)&gt;=1),"",AY634))</f>
        <v>FLUQUICK POUDRE A 50 %</v>
      </c>
      <c r="BA634">
        <f>IF(AZ634="","",COUNTIFS(AZ$3:AZ$1439,"&lt;"&amp;AZ634,AZ$3:AZ$1439,"&lt;&gt;0")+COUNTIF(AZ$3:AZ634,AZ634)-876)</f>
        <v>241</v>
      </c>
      <c r="BT634" s="76"/>
      <c r="CN634">
        <v>633</v>
      </c>
    </row>
    <row r="635" spans="1:92" x14ac:dyDescent="0.3">
      <c r="A635" s="118" t="s">
        <v>3641</v>
      </c>
      <c r="B635" t="s">
        <v>3642</v>
      </c>
      <c r="C635" t="s">
        <v>1369</v>
      </c>
      <c r="D635" s="144" t="s">
        <v>780</v>
      </c>
      <c r="E635" t="s">
        <v>765</v>
      </c>
      <c r="F635" t="s">
        <v>361</v>
      </c>
      <c r="G635" t="s">
        <v>766</v>
      </c>
      <c r="H635" t="s">
        <v>801</v>
      </c>
      <c r="I635" t="s">
        <v>766</v>
      </c>
      <c r="J635" t="s">
        <v>2366</v>
      </c>
      <c r="K635" t="s">
        <v>2366</v>
      </c>
      <c r="L635" t="s">
        <v>2690</v>
      </c>
      <c r="M635" t="s">
        <v>208</v>
      </c>
      <c r="N635" t="s">
        <v>1948</v>
      </c>
      <c r="O635" t="s">
        <v>771</v>
      </c>
      <c r="P635" t="s">
        <v>772</v>
      </c>
      <c r="Q635" t="s">
        <v>1791</v>
      </c>
      <c r="R635">
        <v>10</v>
      </c>
      <c r="S635">
        <v>1</v>
      </c>
      <c r="T635">
        <v>0</v>
      </c>
      <c r="U635">
        <v>0</v>
      </c>
      <c r="V635">
        <v>0</v>
      </c>
      <c r="W635">
        <v>0</v>
      </c>
      <c r="X635">
        <v>0</v>
      </c>
      <c r="Y635">
        <v>0</v>
      </c>
      <c r="Z635">
        <v>0</v>
      </c>
      <c r="AA635">
        <v>0</v>
      </c>
      <c r="AB635">
        <v>0</v>
      </c>
      <c r="AC635">
        <v>0</v>
      </c>
      <c r="AD635">
        <v>0</v>
      </c>
      <c r="AE635">
        <v>0</v>
      </c>
      <c r="AF635">
        <v>0</v>
      </c>
      <c r="AG635">
        <v>0</v>
      </c>
      <c r="AH635">
        <v>0</v>
      </c>
      <c r="AI635">
        <v>0</v>
      </c>
      <c r="AY635" t="str">
        <f t="shared" si="171"/>
        <v>FORCYL 160 MG/ML SOLUTION INJECTABLE POUR BOVINS</v>
      </c>
      <c r="AZ635" t="str">
        <f>IF(COUNTIF(AY:AY,AY635)=1,AY635,IF(AND(COUNTIF(AY:AY,AY635)&gt;1,COUNTIF(AZ$2:AZ634,AY635)&gt;=1),"",AY635))</f>
        <v>FORCYL 160 MG/ML SOLUTION INJECTABLE POUR BOVINS</v>
      </c>
      <c r="BA635">
        <f>IF(AZ635="","",COUNTIFS(AZ$3:AZ$1439,"&lt;"&amp;AZ635,AZ$3:AZ$1439,"&lt;&gt;0")+COUNTIF(AZ$3:AZ635,AZ635)-876)</f>
        <v>242</v>
      </c>
      <c r="BT635" s="76"/>
      <c r="CN635">
        <v>634</v>
      </c>
    </row>
    <row r="636" spans="1:92" x14ac:dyDescent="0.3">
      <c r="A636" s="118" t="s">
        <v>3641</v>
      </c>
      <c r="B636" t="s">
        <v>3643</v>
      </c>
      <c r="C636" t="s">
        <v>1483</v>
      </c>
      <c r="D636" s="144" t="s">
        <v>764</v>
      </c>
      <c r="E636" t="s">
        <v>765</v>
      </c>
      <c r="F636" t="s">
        <v>361</v>
      </c>
      <c r="G636" t="s">
        <v>766</v>
      </c>
      <c r="H636" t="s">
        <v>801</v>
      </c>
      <c r="I636" t="s">
        <v>766</v>
      </c>
      <c r="J636" t="s">
        <v>2366</v>
      </c>
      <c r="K636" t="s">
        <v>2366</v>
      </c>
      <c r="L636" t="s">
        <v>2690</v>
      </c>
      <c r="M636" t="s">
        <v>208</v>
      </c>
      <c r="N636" t="s">
        <v>1948</v>
      </c>
      <c r="O636" t="s">
        <v>771</v>
      </c>
      <c r="P636" t="s">
        <v>772</v>
      </c>
      <c r="Q636" t="s">
        <v>1494</v>
      </c>
      <c r="R636">
        <v>10</v>
      </c>
      <c r="S636">
        <v>1</v>
      </c>
      <c r="T636">
        <v>0</v>
      </c>
      <c r="U636">
        <v>0</v>
      </c>
      <c r="V636">
        <v>0</v>
      </c>
      <c r="W636">
        <v>0</v>
      </c>
      <c r="X636">
        <v>0</v>
      </c>
      <c r="Y636">
        <v>0</v>
      </c>
      <c r="Z636">
        <v>0</v>
      </c>
      <c r="AA636">
        <v>0</v>
      </c>
      <c r="AB636">
        <v>0</v>
      </c>
      <c r="AC636">
        <v>0</v>
      </c>
      <c r="AD636">
        <v>0</v>
      </c>
      <c r="AE636">
        <v>0</v>
      </c>
      <c r="AF636">
        <v>0</v>
      </c>
      <c r="AG636">
        <v>0</v>
      </c>
      <c r="AH636">
        <v>0</v>
      </c>
      <c r="AI636">
        <v>0</v>
      </c>
      <c r="AY636" t="str">
        <f t="shared" si="171"/>
        <v>FORCYL 160 MG/ML SOLUTION INJECTABLE POUR BOVINS</v>
      </c>
      <c r="AZ636" t="str">
        <f>IF(COUNTIF(AY:AY,AY636)=1,AY636,IF(AND(COUNTIF(AY:AY,AY636)&gt;1,COUNTIF(AZ$2:AZ635,AY636)&gt;=1),"",AY636))</f>
        <v/>
      </c>
      <c r="BA636" t="str">
        <f>IF(AZ636="","",COUNTIFS(AZ$3:AZ$1439,"&lt;"&amp;AZ636,AZ$3:AZ$1439,"&lt;&gt;0")+COUNTIF(AZ$3:AZ636,AZ636)-876)</f>
        <v/>
      </c>
      <c r="BT636" s="76"/>
      <c r="CN636">
        <v>635</v>
      </c>
    </row>
    <row r="637" spans="1:92" x14ac:dyDescent="0.3">
      <c r="A637" s="118" t="s">
        <v>3641</v>
      </c>
      <c r="B637" t="s">
        <v>3644</v>
      </c>
      <c r="C637" t="s">
        <v>1474</v>
      </c>
      <c r="D637" s="144" t="s">
        <v>776</v>
      </c>
      <c r="E637" t="s">
        <v>765</v>
      </c>
      <c r="F637" t="s">
        <v>361</v>
      </c>
      <c r="G637" t="s">
        <v>766</v>
      </c>
      <c r="H637" t="s">
        <v>801</v>
      </c>
      <c r="I637" t="s">
        <v>766</v>
      </c>
      <c r="J637" t="s">
        <v>2366</v>
      </c>
      <c r="K637" t="s">
        <v>2366</v>
      </c>
      <c r="L637" t="s">
        <v>2690</v>
      </c>
      <c r="M637" t="s">
        <v>208</v>
      </c>
      <c r="N637" t="s">
        <v>1948</v>
      </c>
      <c r="O637" t="s">
        <v>771</v>
      </c>
      <c r="P637" t="s">
        <v>772</v>
      </c>
      <c r="Q637" t="s">
        <v>932</v>
      </c>
      <c r="R637">
        <v>10</v>
      </c>
      <c r="S637">
        <v>1</v>
      </c>
      <c r="T637">
        <v>0</v>
      </c>
      <c r="U637">
        <v>0</v>
      </c>
      <c r="V637">
        <v>0</v>
      </c>
      <c r="W637">
        <v>0</v>
      </c>
      <c r="X637">
        <v>0</v>
      </c>
      <c r="Y637">
        <v>0</v>
      </c>
      <c r="Z637">
        <v>0</v>
      </c>
      <c r="AA637">
        <v>0</v>
      </c>
      <c r="AB637">
        <v>0</v>
      </c>
      <c r="AC637">
        <v>0</v>
      </c>
      <c r="AD637">
        <v>0</v>
      </c>
      <c r="AE637">
        <v>0</v>
      </c>
      <c r="AF637">
        <v>0</v>
      </c>
      <c r="AG637">
        <v>0</v>
      </c>
      <c r="AH637">
        <v>0</v>
      </c>
      <c r="AI637">
        <v>0</v>
      </c>
      <c r="AY637" t="str">
        <f t="shared" si="171"/>
        <v>FORCYL 160 MG/ML SOLUTION INJECTABLE POUR BOVINS</v>
      </c>
      <c r="AZ637" t="str">
        <f>IF(COUNTIF(AY:AY,AY637)=1,AY637,IF(AND(COUNTIF(AY:AY,AY637)&gt;1,COUNTIF(AZ$2:AZ636,AY637)&gt;=1),"",AY637))</f>
        <v/>
      </c>
      <c r="BA637" t="str">
        <f>IF(AZ637="","",COUNTIFS(AZ$3:AZ$1439,"&lt;"&amp;AZ637,AZ$3:AZ$1439,"&lt;&gt;0")+COUNTIF(AZ$3:AZ637,AZ637)-876)</f>
        <v/>
      </c>
      <c r="BT637" s="76"/>
      <c r="CN637">
        <v>636</v>
      </c>
    </row>
    <row r="638" spans="1:92" x14ac:dyDescent="0.3">
      <c r="A638" s="118" t="s">
        <v>3852</v>
      </c>
      <c r="B638" t="s">
        <v>3853</v>
      </c>
      <c r="C638" t="s">
        <v>1238</v>
      </c>
      <c r="D638" s="144" t="s">
        <v>780</v>
      </c>
      <c r="E638" t="s">
        <v>765</v>
      </c>
      <c r="F638" t="s">
        <v>362</v>
      </c>
      <c r="G638" t="s">
        <v>766</v>
      </c>
      <c r="H638" t="s">
        <v>1213</v>
      </c>
      <c r="I638" t="s">
        <v>766</v>
      </c>
      <c r="J638" t="s">
        <v>2366</v>
      </c>
      <c r="K638" t="s">
        <v>2366</v>
      </c>
      <c r="L638" t="s">
        <v>2690</v>
      </c>
      <c r="M638" t="s">
        <v>208</v>
      </c>
      <c r="N638" t="s">
        <v>1948</v>
      </c>
      <c r="O638" t="s">
        <v>771</v>
      </c>
      <c r="P638" t="s">
        <v>772</v>
      </c>
      <c r="Q638" t="s">
        <v>1791</v>
      </c>
      <c r="R638">
        <v>0</v>
      </c>
      <c r="S638">
        <v>0</v>
      </c>
      <c r="T638">
        <v>0</v>
      </c>
      <c r="U638">
        <v>0</v>
      </c>
      <c r="V638">
        <v>0</v>
      </c>
      <c r="W638">
        <v>0</v>
      </c>
      <c r="X638">
        <v>0</v>
      </c>
      <c r="Y638">
        <v>0</v>
      </c>
      <c r="Z638">
        <v>0</v>
      </c>
      <c r="AA638">
        <v>0</v>
      </c>
      <c r="AB638">
        <v>0</v>
      </c>
      <c r="AC638">
        <v>0</v>
      </c>
      <c r="AD638">
        <v>8</v>
      </c>
      <c r="AE638">
        <v>1</v>
      </c>
      <c r="AF638">
        <v>0</v>
      </c>
      <c r="AG638">
        <v>0</v>
      </c>
      <c r="AH638">
        <v>0</v>
      </c>
      <c r="AI638">
        <v>0</v>
      </c>
      <c r="AY638" t="str">
        <f t="shared" si="171"/>
        <v>FORCYL SWINE 160 MG/ML SOLUTION INJECTABLE POUR PORCINS</v>
      </c>
      <c r="AZ638" t="str">
        <f>IF(COUNTIF(AY:AY,AY638)=1,AY638,IF(AND(COUNTIF(AY:AY,AY638)&gt;1,COUNTIF(AZ$2:AZ637,AY638)&gt;=1),"",AY638))</f>
        <v>FORCYL SWINE 160 MG/ML SOLUTION INJECTABLE POUR PORCINS</v>
      </c>
      <c r="BA638">
        <f>IF(AZ638="","",COUNTIFS(AZ$3:AZ$1439,"&lt;"&amp;AZ638,AZ$3:AZ$1439,"&lt;&gt;0")+COUNTIF(AZ$3:AZ638,AZ638)-876)</f>
        <v>243</v>
      </c>
      <c r="BT638" s="76"/>
      <c r="CN638">
        <v>637</v>
      </c>
    </row>
    <row r="639" spans="1:92" x14ac:dyDescent="0.3">
      <c r="A639" s="118" t="s">
        <v>3852</v>
      </c>
      <c r="B639" t="s">
        <v>3854</v>
      </c>
      <c r="C639" t="s">
        <v>792</v>
      </c>
      <c r="D639" s="144" t="s">
        <v>764</v>
      </c>
      <c r="E639" t="s">
        <v>765</v>
      </c>
      <c r="F639" t="s">
        <v>362</v>
      </c>
      <c r="G639" t="s">
        <v>766</v>
      </c>
      <c r="H639" t="s">
        <v>1213</v>
      </c>
      <c r="I639" t="s">
        <v>766</v>
      </c>
      <c r="J639" t="s">
        <v>2366</v>
      </c>
      <c r="K639" t="s">
        <v>2366</v>
      </c>
      <c r="L639" t="s">
        <v>2690</v>
      </c>
      <c r="M639" t="s">
        <v>208</v>
      </c>
      <c r="N639" t="s">
        <v>1948</v>
      </c>
      <c r="O639" t="s">
        <v>771</v>
      </c>
      <c r="P639" t="s">
        <v>772</v>
      </c>
      <c r="Q639" t="s">
        <v>1494</v>
      </c>
      <c r="R639">
        <v>0</v>
      </c>
      <c r="S639">
        <v>0</v>
      </c>
      <c r="T639">
        <v>0</v>
      </c>
      <c r="U639">
        <v>0</v>
      </c>
      <c r="V639">
        <v>0</v>
      </c>
      <c r="W639">
        <v>0</v>
      </c>
      <c r="X639">
        <v>0</v>
      </c>
      <c r="Y639">
        <v>0</v>
      </c>
      <c r="Z639">
        <v>0</v>
      </c>
      <c r="AA639">
        <v>0</v>
      </c>
      <c r="AB639">
        <v>0</v>
      </c>
      <c r="AC639">
        <v>0</v>
      </c>
      <c r="AD639">
        <v>8</v>
      </c>
      <c r="AE639">
        <v>1</v>
      </c>
      <c r="AF639">
        <v>0</v>
      </c>
      <c r="AG639">
        <v>0</v>
      </c>
      <c r="AH639">
        <v>0</v>
      </c>
      <c r="AI639">
        <v>0</v>
      </c>
      <c r="AY639" t="str">
        <f t="shared" si="171"/>
        <v>FORCYL SWINE 160 MG/ML SOLUTION INJECTABLE POUR PORCINS</v>
      </c>
      <c r="AZ639" t="str">
        <f>IF(COUNTIF(AY:AY,AY639)=1,AY639,IF(AND(COUNTIF(AY:AY,AY639)&gt;1,COUNTIF(AZ$2:AZ638,AY639)&gt;=1),"",AY639))</f>
        <v/>
      </c>
      <c r="BA639" t="str">
        <f>IF(AZ639="","",COUNTIFS(AZ$3:AZ$1439,"&lt;"&amp;AZ639,AZ$3:AZ$1439,"&lt;&gt;0")+COUNTIF(AZ$3:AZ639,AZ639)-876)</f>
        <v/>
      </c>
      <c r="BT639" s="76"/>
      <c r="CN639">
        <v>638</v>
      </c>
    </row>
    <row r="640" spans="1:92" x14ac:dyDescent="0.3">
      <c r="A640" s="118" t="s">
        <v>3852</v>
      </c>
      <c r="B640" t="s">
        <v>3855</v>
      </c>
      <c r="C640" t="s">
        <v>796</v>
      </c>
      <c r="D640" s="144" t="s">
        <v>776</v>
      </c>
      <c r="E640" t="s">
        <v>765</v>
      </c>
      <c r="F640" t="s">
        <v>362</v>
      </c>
      <c r="G640" t="s">
        <v>766</v>
      </c>
      <c r="H640" t="s">
        <v>1213</v>
      </c>
      <c r="I640" t="s">
        <v>766</v>
      </c>
      <c r="J640" t="s">
        <v>2366</v>
      </c>
      <c r="K640" t="s">
        <v>2366</v>
      </c>
      <c r="L640" t="s">
        <v>2690</v>
      </c>
      <c r="M640" t="s">
        <v>208</v>
      </c>
      <c r="N640" t="s">
        <v>1948</v>
      </c>
      <c r="O640" t="s">
        <v>771</v>
      </c>
      <c r="P640" t="s">
        <v>772</v>
      </c>
      <c r="Q640" t="s">
        <v>932</v>
      </c>
      <c r="R640">
        <v>0</v>
      </c>
      <c r="S640">
        <v>0</v>
      </c>
      <c r="T640">
        <v>0</v>
      </c>
      <c r="U640">
        <v>0</v>
      </c>
      <c r="V640">
        <v>0</v>
      </c>
      <c r="W640">
        <v>0</v>
      </c>
      <c r="X640">
        <v>0</v>
      </c>
      <c r="Y640">
        <v>0</v>
      </c>
      <c r="Z640">
        <v>0</v>
      </c>
      <c r="AA640">
        <v>0</v>
      </c>
      <c r="AB640">
        <v>0</v>
      </c>
      <c r="AC640">
        <v>0</v>
      </c>
      <c r="AD640">
        <v>8</v>
      </c>
      <c r="AE640">
        <v>1</v>
      </c>
      <c r="AF640">
        <v>0</v>
      </c>
      <c r="AG640">
        <v>0</v>
      </c>
      <c r="AH640">
        <v>0</v>
      </c>
      <c r="AI640">
        <v>0</v>
      </c>
      <c r="AY640" t="str">
        <f t="shared" si="171"/>
        <v>FORCYL SWINE 160 MG/ML SOLUTION INJECTABLE POUR PORCINS</v>
      </c>
      <c r="AZ640" t="str">
        <f>IF(COUNTIF(AY:AY,AY640)=1,AY640,IF(AND(COUNTIF(AY:AY,AY640)&gt;1,COUNTIF(AZ$2:AZ639,AY640)&gt;=1),"",AY640))</f>
        <v/>
      </c>
      <c r="BA640" t="str">
        <f>IF(AZ640="","",COUNTIFS(AZ$3:AZ$1439,"&lt;"&amp;AZ640,AZ$3:AZ$1439,"&lt;&gt;0")+COUNTIF(AZ$3:AZ640,AZ640)-876)</f>
        <v/>
      </c>
      <c r="BT640" s="76"/>
      <c r="CN640">
        <v>639</v>
      </c>
    </row>
    <row r="641" spans="1:92" x14ac:dyDescent="0.3">
      <c r="A641" s="118" t="s">
        <v>4734</v>
      </c>
      <c r="B641" t="s">
        <v>4735</v>
      </c>
      <c r="C641" t="s">
        <v>1238</v>
      </c>
      <c r="D641" t="s">
        <v>780</v>
      </c>
      <c r="E641" t="s">
        <v>765</v>
      </c>
      <c r="F641" t="s">
        <v>4736</v>
      </c>
      <c r="G641" t="s">
        <v>766</v>
      </c>
      <c r="H641" t="s">
        <v>1484</v>
      </c>
      <c r="I641" t="s">
        <v>766</v>
      </c>
      <c r="J641" t="s">
        <v>802</v>
      </c>
      <c r="K641" t="s">
        <v>802</v>
      </c>
      <c r="L641" t="s">
        <v>3008</v>
      </c>
      <c r="M641" t="s">
        <v>208</v>
      </c>
      <c r="N641" t="s">
        <v>764</v>
      </c>
      <c r="O641" t="s">
        <v>771</v>
      </c>
      <c r="P641" t="s">
        <v>772</v>
      </c>
      <c r="Q641" t="s">
        <v>885</v>
      </c>
      <c r="R641">
        <v>2.5</v>
      </c>
      <c r="S641">
        <v>1</v>
      </c>
      <c r="T641">
        <v>0</v>
      </c>
      <c r="U641">
        <v>0</v>
      </c>
      <c r="V641">
        <v>0</v>
      </c>
      <c r="W641">
        <v>0</v>
      </c>
      <c r="X641">
        <v>0</v>
      </c>
      <c r="Y641">
        <v>0</v>
      </c>
      <c r="Z641">
        <v>0</v>
      </c>
      <c r="AA641">
        <v>0</v>
      </c>
      <c r="AB641">
        <v>2.5</v>
      </c>
      <c r="AC641">
        <v>1</v>
      </c>
      <c r="AD641">
        <v>2.5</v>
      </c>
      <c r="AE641">
        <v>1</v>
      </c>
      <c r="AF641">
        <v>0</v>
      </c>
      <c r="AG641">
        <v>0</v>
      </c>
      <c r="AH641">
        <v>0</v>
      </c>
      <c r="AI641">
        <v>0</v>
      </c>
      <c r="AY641" t="str">
        <f t="shared" si="171"/>
        <v>FORESPIX 100 MG/ML, SOLUTION INJECTABLE POUR BOVINS, PORCINS ET OVINS</v>
      </c>
      <c r="AZ641" t="str">
        <f>IF(COUNTIF(AY:AY,AY641)=1,AY641,IF(AND(COUNTIF(AY:AY,AY641)&gt;1,COUNTIF(AZ$2:AZ640,AY641)&gt;=1),"",AY641))</f>
        <v>FORESPIX 100 MG/ML, SOLUTION INJECTABLE POUR BOVINS, PORCINS ET OVINS</v>
      </c>
      <c r="BA641">
        <f>IF(AZ641="","",COUNTIFS(AZ$3:AZ$1439,"&lt;"&amp;AZ641,AZ$3:AZ$1439,"&lt;&gt;0")+COUNTIF(AZ$3:AZ641,AZ641)-876)</f>
        <v>244</v>
      </c>
      <c r="BT641" s="76"/>
      <c r="CN641">
        <v>640</v>
      </c>
    </row>
    <row r="642" spans="1:92" x14ac:dyDescent="0.3">
      <c r="A642" s="118" t="s">
        <v>4734</v>
      </c>
      <c r="B642" t="s">
        <v>4737</v>
      </c>
      <c r="C642" t="s">
        <v>792</v>
      </c>
      <c r="D642" t="s">
        <v>764</v>
      </c>
      <c r="E642" t="s">
        <v>765</v>
      </c>
      <c r="F642" t="s">
        <v>4736</v>
      </c>
      <c r="G642" t="s">
        <v>766</v>
      </c>
      <c r="H642" t="s">
        <v>1484</v>
      </c>
      <c r="I642" t="s">
        <v>766</v>
      </c>
      <c r="J642" t="s">
        <v>802</v>
      </c>
      <c r="K642" t="s">
        <v>802</v>
      </c>
      <c r="L642" t="s">
        <v>3008</v>
      </c>
      <c r="M642" t="s">
        <v>208</v>
      </c>
      <c r="N642" t="s">
        <v>764</v>
      </c>
      <c r="O642" t="s">
        <v>771</v>
      </c>
      <c r="P642" t="s">
        <v>772</v>
      </c>
      <c r="Q642" t="s">
        <v>852</v>
      </c>
      <c r="R642">
        <v>2.5</v>
      </c>
      <c r="S642">
        <v>1</v>
      </c>
      <c r="T642">
        <v>0</v>
      </c>
      <c r="U642">
        <v>0</v>
      </c>
      <c r="V642">
        <v>0</v>
      </c>
      <c r="W642">
        <v>0</v>
      </c>
      <c r="X642">
        <v>0</v>
      </c>
      <c r="Y642">
        <v>0</v>
      </c>
      <c r="Z642">
        <v>0</v>
      </c>
      <c r="AA642">
        <v>0</v>
      </c>
      <c r="AB642">
        <v>2.5</v>
      </c>
      <c r="AC642">
        <v>1</v>
      </c>
      <c r="AD642">
        <v>2.5</v>
      </c>
      <c r="AE642">
        <v>1</v>
      </c>
      <c r="AF642">
        <v>0</v>
      </c>
      <c r="AG642">
        <v>0</v>
      </c>
      <c r="AH642">
        <v>0</v>
      </c>
      <c r="AI642">
        <v>0</v>
      </c>
      <c r="AY642" t="str">
        <f t="shared" si="171"/>
        <v>FORESPIX 100 MG/ML, SOLUTION INJECTABLE POUR BOVINS, PORCINS ET OVINS</v>
      </c>
      <c r="AZ642" t="str">
        <f>IF(COUNTIF(AY:AY,AY642)=1,AY642,IF(AND(COUNTIF(AY:AY,AY642)&gt;1,COUNTIF(AZ$2:AZ641,AY642)&gt;=1),"",AY642))</f>
        <v/>
      </c>
      <c r="BA642" t="str">
        <f>IF(AZ642="","",COUNTIFS(AZ$3:AZ$1439,"&lt;"&amp;AZ642,AZ$3:AZ$1439,"&lt;&gt;0")+COUNTIF(AZ$3:AZ642,AZ642)-876)</f>
        <v/>
      </c>
      <c r="BT642" s="76"/>
      <c r="CN642">
        <v>641</v>
      </c>
    </row>
    <row r="643" spans="1:92" x14ac:dyDescent="0.3">
      <c r="A643" s="118" t="s">
        <v>4734</v>
      </c>
      <c r="B643" t="s">
        <v>4738</v>
      </c>
      <c r="C643" t="s">
        <v>796</v>
      </c>
      <c r="D643" t="s">
        <v>776</v>
      </c>
      <c r="E643" t="s">
        <v>765</v>
      </c>
      <c r="F643" t="s">
        <v>4736</v>
      </c>
      <c r="G643" t="s">
        <v>766</v>
      </c>
      <c r="H643" t="s">
        <v>1484</v>
      </c>
      <c r="I643" t="s">
        <v>766</v>
      </c>
      <c r="J643" t="s">
        <v>802</v>
      </c>
      <c r="K643" t="s">
        <v>802</v>
      </c>
      <c r="L643" t="s">
        <v>3008</v>
      </c>
      <c r="M643" t="s">
        <v>208</v>
      </c>
      <c r="N643" t="s">
        <v>764</v>
      </c>
      <c r="O643" t="s">
        <v>771</v>
      </c>
      <c r="P643" t="s">
        <v>772</v>
      </c>
      <c r="Q643" t="s">
        <v>855</v>
      </c>
      <c r="R643">
        <v>2.5</v>
      </c>
      <c r="S643">
        <v>1</v>
      </c>
      <c r="T643">
        <v>0</v>
      </c>
      <c r="U643">
        <v>0</v>
      </c>
      <c r="V643">
        <v>0</v>
      </c>
      <c r="W643">
        <v>0</v>
      </c>
      <c r="X643">
        <v>0</v>
      </c>
      <c r="Y643">
        <v>0</v>
      </c>
      <c r="Z643">
        <v>0</v>
      </c>
      <c r="AA643">
        <v>0</v>
      </c>
      <c r="AB643">
        <v>2.5</v>
      </c>
      <c r="AC643">
        <v>1</v>
      </c>
      <c r="AD643">
        <v>2.5</v>
      </c>
      <c r="AE643">
        <v>1</v>
      </c>
      <c r="AF643">
        <v>0</v>
      </c>
      <c r="AG643">
        <v>0</v>
      </c>
      <c r="AH643">
        <v>0</v>
      </c>
      <c r="AI643">
        <v>0</v>
      </c>
      <c r="AY643" t="str">
        <f t="shared" ref="AY643:AY706" si="189">IF(INDEX(CK$3:CL$174,MATCH(H643,CK$3:CK$174,0),2)="x",F643,"")</f>
        <v>FORESPIX 100 MG/ML, SOLUTION INJECTABLE POUR BOVINS, PORCINS ET OVINS</v>
      </c>
      <c r="AZ643" t="str">
        <f>IF(COUNTIF(AY:AY,AY643)=1,AY643,IF(AND(COUNTIF(AY:AY,AY643)&gt;1,COUNTIF(AZ$2:AZ642,AY643)&gt;=1),"",AY643))</f>
        <v/>
      </c>
      <c r="BA643" t="str">
        <f>IF(AZ643="","",COUNTIFS(AZ$3:AZ$1439,"&lt;"&amp;AZ643,AZ$3:AZ$1439,"&lt;&gt;0")+COUNTIF(AZ$3:AZ643,AZ643)-876)</f>
        <v/>
      </c>
      <c r="BT643" s="76"/>
      <c r="CN643">
        <v>642</v>
      </c>
    </row>
    <row r="644" spans="1:92" x14ac:dyDescent="0.3">
      <c r="A644" s="118" t="s">
        <v>2042</v>
      </c>
      <c r="B644" t="s">
        <v>2043</v>
      </c>
      <c r="C644" t="s">
        <v>792</v>
      </c>
      <c r="D644" s="144" t="s">
        <v>764</v>
      </c>
      <c r="E644" t="s">
        <v>765</v>
      </c>
      <c r="F644" t="s">
        <v>363</v>
      </c>
      <c r="G644" t="s">
        <v>766</v>
      </c>
      <c r="H644" t="s">
        <v>169</v>
      </c>
      <c r="I644" t="s">
        <v>766</v>
      </c>
      <c r="J644" t="s">
        <v>783</v>
      </c>
      <c r="K644" t="s">
        <v>783</v>
      </c>
      <c r="L644" t="s">
        <v>2037</v>
      </c>
      <c r="M644" t="s">
        <v>208</v>
      </c>
      <c r="N644" t="s">
        <v>1383</v>
      </c>
      <c r="O644" t="s">
        <v>805</v>
      </c>
      <c r="P644" t="s">
        <v>4440</v>
      </c>
      <c r="Q644" t="s">
        <v>4442</v>
      </c>
      <c r="R644">
        <v>14.49</v>
      </c>
      <c r="S644">
        <v>3</v>
      </c>
      <c r="T644">
        <v>0</v>
      </c>
      <c r="U644">
        <v>0</v>
      </c>
      <c r="V644">
        <v>38.64</v>
      </c>
      <c r="W644">
        <v>3</v>
      </c>
      <c r="X644">
        <v>0</v>
      </c>
      <c r="Y644">
        <v>0</v>
      </c>
      <c r="Z644">
        <v>0</v>
      </c>
      <c r="AA644">
        <v>0</v>
      </c>
      <c r="AB644">
        <v>0</v>
      </c>
      <c r="AC644">
        <v>0</v>
      </c>
      <c r="AD644">
        <v>0</v>
      </c>
      <c r="AE644">
        <v>0</v>
      </c>
      <c r="AF644">
        <v>0</v>
      </c>
      <c r="AG644">
        <v>0</v>
      </c>
      <c r="AH644">
        <v>0</v>
      </c>
      <c r="AI644">
        <v>0</v>
      </c>
      <c r="AY644" t="str">
        <f t="shared" si="189"/>
        <v>FORTICINE SOLUTION</v>
      </c>
      <c r="AZ644" t="str">
        <f>IF(COUNTIF(AY:AY,AY644)=1,AY644,IF(AND(COUNTIF(AY:AY,AY644)&gt;1,COUNTIF(AZ$2:AZ643,AY644)&gt;=1),"",AY644))</f>
        <v>FORTICINE SOLUTION</v>
      </c>
      <c r="BA644">
        <f>IF(AZ644="","",COUNTIFS(AZ$3:AZ$1439,"&lt;"&amp;AZ644,AZ$3:AZ$1439,"&lt;&gt;0")+COUNTIF(AZ$3:AZ644,AZ644)-876)</f>
        <v>245</v>
      </c>
      <c r="BT644" s="76"/>
      <c r="CN644">
        <v>643</v>
      </c>
    </row>
    <row r="645" spans="1:92" x14ac:dyDescent="0.3">
      <c r="A645" s="118" t="s">
        <v>2042</v>
      </c>
      <c r="B645" t="s">
        <v>2044</v>
      </c>
      <c r="C645" t="s">
        <v>796</v>
      </c>
      <c r="D645" s="144" t="s">
        <v>776</v>
      </c>
      <c r="E645" t="s">
        <v>765</v>
      </c>
      <c r="F645" t="s">
        <v>363</v>
      </c>
      <c r="G645" t="s">
        <v>766</v>
      </c>
      <c r="H645" t="s">
        <v>169</v>
      </c>
      <c r="I645" t="s">
        <v>766</v>
      </c>
      <c r="J645" t="s">
        <v>783</v>
      </c>
      <c r="K645" t="s">
        <v>783</v>
      </c>
      <c r="L645" t="s">
        <v>2037</v>
      </c>
      <c r="M645" t="s">
        <v>208</v>
      </c>
      <c r="N645" t="s">
        <v>1383</v>
      </c>
      <c r="O645" t="s">
        <v>805</v>
      </c>
      <c r="P645" t="s">
        <v>4440</v>
      </c>
      <c r="Q645" t="s">
        <v>4443</v>
      </c>
      <c r="R645">
        <v>14.49</v>
      </c>
      <c r="S645">
        <v>3</v>
      </c>
      <c r="T645">
        <v>0</v>
      </c>
      <c r="U645">
        <v>0</v>
      </c>
      <c r="V645">
        <v>38.64</v>
      </c>
      <c r="W645">
        <v>3</v>
      </c>
      <c r="X645">
        <v>0</v>
      </c>
      <c r="Y645">
        <v>0</v>
      </c>
      <c r="Z645">
        <v>0</v>
      </c>
      <c r="AA645">
        <v>0</v>
      </c>
      <c r="AB645">
        <v>0</v>
      </c>
      <c r="AC645">
        <v>0</v>
      </c>
      <c r="AD645">
        <v>0</v>
      </c>
      <c r="AE645">
        <v>0</v>
      </c>
      <c r="AF645">
        <v>0</v>
      </c>
      <c r="AG645">
        <v>0</v>
      </c>
      <c r="AH645">
        <v>0</v>
      </c>
      <c r="AI645">
        <v>0</v>
      </c>
      <c r="AY645" t="str">
        <f t="shared" si="189"/>
        <v>FORTICINE SOLUTION</v>
      </c>
      <c r="AZ645" t="str">
        <f>IF(COUNTIF(AY:AY,AY645)=1,AY645,IF(AND(COUNTIF(AY:AY,AY645)&gt;1,COUNTIF(AZ$2:AZ644,AY645)&gt;=1),"",AY645))</f>
        <v/>
      </c>
      <c r="BA645" t="str">
        <f>IF(AZ645="","",COUNTIFS(AZ$3:AZ$1439,"&lt;"&amp;AZ645,AZ$3:AZ$1439,"&lt;&gt;0")+COUNTIF(AZ$3:AZ645,AZ645)-876)</f>
        <v/>
      </c>
      <c r="BT645" s="76"/>
      <c r="CN645">
        <v>644</v>
      </c>
    </row>
    <row r="646" spans="1:92" x14ac:dyDescent="0.3">
      <c r="A646" s="118" t="s">
        <v>981</v>
      </c>
      <c r="B646" t="s">
        <v>982</v>
      </c>
      <c r="C646" t="s">
        <v>983</v>
      </c>
      <c r="D646" s="144" t="s">
        <v>972</v>
      </c>
      <c r="E646" t="s">
        <v>830</v>
      </c>
      <c r="F646" t="s">
        <v>984</v>
      </c>
      <c r="G646" t="s">
        <v>985</v>
      </c>
      <c r="H646" t="s">
        <v>816</v>
      </c>
      <c r="I646" t="s">
        <v>879</v>
      </c>
      <c r="J646" t="s">
        <v>821</v>
      </c>
      <c r="K646" t="s">
        <v>821</v>
      </c>
      <c r="L646" t="s">
        <v>976</v>
      </c>
      <c r="M646" t="s">
        <v>208</v>
      </c>
      <c r="N646" t="s">
        <v>986</v>
      </c>
      <c r="O646" t="s">
        <v>894</v>
      </c>
      <c r="P646" t="s">
        <v>772</v>
      </c>
      <c r="Q646" t="s">
        <v>987</v>
      </c>
      <c r="R646">
        <v>0</v>
      </c>
      <c r="S646">
        <v>0</v>
      </c>
      <c r="T646">
        <v>0</v>
      </c>
      <c r="U646">
        <v>0</v>
      </c>
      <c r="V646">
        <v>0</v>
      </c>
      <c r="W646">
        <v>0</v>
      </c>
      <c r="X646">
        <v>0</v>
      </c>
      <c r="Y646">
        <v>0</v>
      </c>
      <c r="Z646">
        <v>0</v>
      </c>
      <c r="AA646">
        <v>0</v>
      </c>
      <c r="AB646">
        <v>0</v>
      </c>
      <c r="AC646">
        <v>0</v>
      </c>
      <c r="AD646">
        <v>0</v>
      </c>
      <c r="AE646">
        <v>0</v>
      </c>
      <c r="AF646">
        <v>0</v>
      </c>
      <c r="AG646">
        <v>0</v>
      </c>
      <c r="AH646">
        <v>0</v>
      </c>
      <c r="AI646">
        <v>0</v>
      </c>
      <c r="AY646" t="str">
        <f t="shared" si="189"/>
        <v/>
      </c>
      <c r="AZ646" t="str">
        <f>IF(COUNTIF(AY:AY,AY646)=1,AY646,IF(AND(COUNTIF(AY:AY,AY646)&gt;1,COUNTIF(AZ$2:AZ645,AY646)&gt;=1),"",AY646))</f>
        <v/>
      </c>
      <c r="BA646" t="str">
        <f>IF(AZ646="","",COUNTIFS(AZ$3:AZ$1439,"&lt;"&amp;AZ646,AZ$3:AZ$1439,"&lt;&gt;0")+COUNTIF(AZ$3:AZ646,AZ646)-876)</f>
        <v/>
      </c>
      <c r="BT646" s="76"/>
      <c r="CN646">
        <v>645</v>
      </c>
    </row>
    <row r="647" spans="1:92" x14ac:dyDescent="0.3">
      <c r="A647" s="118" t="s">
        <v>874</v>
      </c>
      <c r="B647" t="s">
        <v>875</v>
      </c>
      <c r="C647" t="s">
        <v>876</v>
      </c>
      <c r="D647" s="144" t="s">
        <v>772</v>
      </c>
      <c r="E647" t="s">
        <v>813</v>
      </c>
      <c r="F647" t="s">
        <v>877</v>
      </c>
      <c r="G647" t="s">
        <v>878</v>
      </c>
      <c r="H647" t="s">
        <v>816</v>
      </c>
      <c r="I647" t="s">
        <v>879</v>
      </c>
      <c r="J647" t="s">
        <v>783</v>
      </c>
      <c r="K647" t="s">
        <v>783</v>
      </c>
      <c r="L647" t="s">
        <v>865</v>
      </c>
      <c r="M647" t="s">
        <v>208</v>
      </c>
      <c r="N647" t="s">
        <v>880</v>
      </c>
      <c r="O647" t="s">
        <v>820</v>
      </c>
      <c r="P647" t="s">
        <v>4367</v>
      </c>
      <c r="Q647" t="s">
        <v>4369</v>
      </c>
      <c r="R647">
        <v>0</v>
      </c>
      <c r="S647">
        <v>0</v>
      </c>
      <c r="T647">
        <v>0</v>
      </c>
      <c r="U647">
        <v>0</v>
      </c>
      <c r="V647">
        <v>0</v>
      </c>
      <c r="W647">
        <v>0</v>
      </c>
      <c r="X647">
        <v>0</v>
      </c>
      <c r="Y647">
        <v>0</v>
      </c>
      <c r="Z647">
        <v>0</v>
      </c>
      <c r="AA647">
        <v>0</v>
      </c>
      <c r="AB647">
        <v>0</v>
      </c>
      <c r="AC647">
        <v>0</v>
      </c>
      <c r="AD647">
        <v>0</v>
      </c>
      <c r="AE647">
        <v>0</v>
      </c>
      <c r="AF647">
        <v>0</v>
      </c>
      <c r="AG647">
        <v>0</v>
      </c>
      <c r="AH647">
        <v>0</v>
      </c>
      <c r="AI647">
        <v>0</v>
      </c>
      <c r="AY647" t="str">
        <f t="shared" si="189"/>
        <v/>
      </c>
      <c r="AZ647" t="str">
        <f>IF(COUNTIF(AY:AY,AY647)=1,AY647,IF(AND(COUNTIF(AY:AY,AY647)&gt;1,COUNTIF(AZ$2:AZ646,AY647)&gt;=1),"",AY647))</f>
        <v/>
      </c>
      <c r="BA647" t="str">
        <f>IF(AZ647="","",COUNTIFS(AZ$3:AZ$1439,"&lt;"&amp;AZ647,AZ$3:AZ$1439,"&lt;&gt;0")+COUNTIF(AZ$3:AZ647,AZ647)-876)</f>
        <v/>
      </c>
      <c r="BT647" s="76"/>
      <c r="CN647">
        <v>646</v>
      </c>
    </row>
    <row r="648" spans="1:92" x14ac:dyDescent="0.3">
      <c r="A648" s="118" t="s">
        <v>882</v>
      </c>
      <c r="B648" t="s">
        <v>883</v>
      </c>
      <c r="C648" t="s">
        <v>884</v>
      </c>
      <c r="D648" s="144" t="s">
        <v>885</v>
      </c>
      <c r="E648" t="s">
        <v>830</v>
      </c>
      <c r="F648" t="s">
        <v>886</v>
      </c>
      <c r="G648" t="s">
        <v>878</v>
      </c>
      <c r="H648" t="s">
        <v>816</v>
      </c>
      <c r="I648" t="s">
        <v>879</v>
      </c>
      <c r="J648" t="s">
        <v>783</v>
      </c>
      <c r="K648" t="s">
        <v>783</v>
      </c>
      <c r="L648" t="s">
        <v>865</v>
      </c>
      <c r="M648" t="s">
        <v>208</v>
      </c>
      <c r="N648" t="s">
        <v>887</v>
      </c>
      <c r="O648" t="s">
        <v>834</v>
      </c>
      <c r="P648" t="s">
        <v>4367</v>
      </c>
      <c r="Q648" t="s">
        <v>888</v>
      </c>
      <c r="R648">
        <v>0</v>
      </c>
      <c r="S648">
        <v>0</v>
      </c>
      <c r="T648">
        <v>0</v>
      </c>
      <c r="U648">
        <v>0</v>
      </c>
      <c r="V648">
        <v>0</v>
      </c>
      <c r="W648">
        <v>0</v>
      </c>
      <c r="X648">
        <v>0</v>
      </c>
      <c r="Y648">
        <v>0</v>
      </c>
      <c r="Z648">
        <v>0</v>
      </c>
      <c r="AA648">
        <v>0</v>
      </c>
      <c r="AB648">
        <v>0</v>
      </c>
      <c r="AC648">
        <v>0</v>
      </c>
      <c r="AD648">
        <v>0</v>
      </c>
      <c r="AE648">
        <v>0</v>
      </c>
      <c r="AF648">
        <v>0</v>
      </c>
      <c r="AG648">
        <v>0</v>
      </c>
      <c r="AH648">
        <v>0</v>
      </c>
      <c r="AI648">
        <v>0</v>
      </c>
      <c r="AY648" t="str">
        <f t="shared" si="189"/>
        <v/>
      </c>
      <c r="AZ648" t="str">
        <f>IF(COUNTIF(AY:AY,AY648)=1,AY648,IF(AND(COUNTIF(AY:AY,AY648)&gt;1,COUNTIF(AZ$2:AZ647,AY648)&gt;=1),"",AY648))</f>
        <v/>
      </c>
      <c r="BA648" t="str">
        <f>IF(AZ648="","",COUNTIFS(AZ$3:AZ$1439,"&lt;"&amp;AZ648,AZ$3:AZ$1439,"&lt;&gt;0")+COUNTIF(AZ$3:AZ648,AZ648)-876)</f>
        <v/>
      </c>
      <c r="BT648" s="76"/>
      <c r="CN648">
        <v>647</v>
      </c>
    </row>
    <row r="649" spans="1:92" x14ac:dyDescent="0.3">
      <c r="A649" s="118" t="s">
        <v>2810</v>
      </c>
      <c r="B649" t="s">
        <v>2811</v>
      </c>
      <c r="C649" t="s">
        <v>4497</v>
      </c>
      <c r="D649" s="144" t="s">
        <v>776</v>
      </c>
      <c r="E649" t="s">
        <v>830</v>
      </c>
      <c r="F649" t="s">
        <v>364</v>
      </c>
      <c r="G649" t="s">
        <v>831</v>
      </c>
      <c r="H649" t="s">
        <v>2683</v>
      </c>
      <c r="I649" t="s">
        <v>817</v>
      </c>
      <c r="J649" t="s">
        <v>787</v>
      </c>
      <c r="K649" t="s">
        <v>787</v>
      </c>
      <c r="L649" t="s">
        <v>1055</v>
      </c>
      <c r="M649" t="s">
        <v>208</v>
      </c>
      <c r="N649" t="s">
        <v>906</v>
      </c>
      <c r="O649" t="s">
        <v>894</v>
      </c>
      <c r="P649" t="s">
        <v>772</v>
      </c>
      <c r="Q649" t="s">
        <v>1125</v>
      </c>
      <c r="R649">
        <v>0</v>
      </c>
      <c r="S649">
        <v>0</v>
      </c>
      <c r="T649">
        <v>0</v>
      </c>
      <c r="U649">
        <v>0</v>
      </c>
      <c r="V649">
        <v>0</v>
      </c>
      <c r="W649">
        <v>0</v>
      </c>
      <c r="X649">
        <v>0</v>
      </c>
      <c r="Y649">
        <v>0</v>
      </c>
      <c r="Z649">
        <v>0</v>
      </c>
      <c r="AA649">
        <v>0</v>
      </c>
      <c r="AB649">
        <v>0</v>
      </c>
      <c r="AC649">
        <v>0</v>
      </c>
      <c r="AD649">
        <v>0</v>
      </c>
      <c r="AE649">
        <v>0</v>
      </c>
      <c r="AF649">
        <v>20</v>
      </c>
      <c r="AG649">
        <v>5</v>
      </c>
      <c r="AH649">
        <v>0</v>
      </c>
      <c r="AI649">
        <v>0</v>
      </c>
      <c r="AY649" t="str">
        <f t="shared" si="189"/>
        <v>FRAMOX 50</v>
      </c>
      <c r="AZ649" t="str">
        <f>IF(COUNTIF(AY:AY,AY649)=1,AY649,IF(AND(COUNTIF(AY:AY,AY649)&gt;1,COUNTIF(AZ$2:AZ648,AY649)&gt;=1),"",AY649))</f>
        <v>FRAMOX 50</v>
      </c>
      <c r="BA649">
        <f>IF(AZ649="","",COUNTIFS(AZ$3:AZ$1439,"&lt;"&amp;AZ649,AZ$3:AZ$1439,"&lt;&gt;0")+COUNTIF(AZ$3:AZ649,AZ649)-876)</f>
        <v>246</v>
      </c>
      <c r="BT649" s="76"/>
      <c r="CN649">
        <v>648</v>
      </c>
    </row>
    <row r="650" spans="1:92" x14ac:dyDescent="0.3">
      <c r="A650" s="118" t="s">
        <v>2810</v>
      </c>
      <c r="B650" t="s">
        <v>2812</v>
      </c>
      <c r="C650" t="s">
        <v>4498</v>
      </c>
      <c r="D650" s="144" t="s">
        <v>829</v>
      </c>
      <c r="E650" t="s">
        <v>830</v>
      </c>
      <c r="F650" t="s">
        <v>364</v>
      </c>
      <c r="G650" t="s">
        <v>831</v>
      </c>
      <c r="H650" t="s">
        <v>2683</v>
      </c>
      <c r="I650" t="s">
        <v>817</v>
      </c>
      <c r="J650" t="s">
        <v>787</v>
      </c>
      <c r="K650" t="s">
        <v>787</v>
      </c>
      <c r="L650" t="s">
        <v>1055</v>
      </c>
      <c r="M650" t="s">
        <v>208</v>
      </c>
      <c r="N650" t="s">
        <v>906</v>
      </c>
      <c r="O650" t="s">
        <v>894</v>
      </c>
      <c r="P650" t="s">
        <v>772</v>
      </c>
      <c r="Q650" t="s">
        <v>906</v>
      </c>
      <c r="R650">
        <v>0</v>
      </c>
      <c r="S650">
        <v>0</v>
      </c>
      <c r="T650">
        <v>0</v>
      </c>
      <c r="U650">
        <v>0</v>
      </c>
      <c r="V650">
        <v>0</v>
      </c>
      <c r="W650">
        <v>0</v>
      </c>
      <c r="X650">
        <v>0</v>
      </c>
      <c r="Y650">
        <v>0</v>
      </c>
      <c r="Z650">
        <v>0</v>
      </c>
      <c r="AA650">
        <v>0</v>
      </c>
      <c r="AB650">
        <v>0</v>
      </c>
      <c r="AC650">
        <v>0</v>
      </c>
      <c r="AD650">
        <v>0</v>
      </c>
      <c r="AE650">
        <v>0</v>
      </c>
      <c r="AF650">
        <v>20</v>
      </c>
      <c r="AG650">
        <v>5</v>
      </c>
      <c r="AH650">
        <v>0</v>
      </c>
      <c r="AI650">
        <v>0</v>
      </c>
      <c r="AY650" t="str">
        <f t="shared" si="189"/>
        <v>FRAMOX 50</v>
      </c>
      <c r="AZ650" t="str">
        <f>IF(COUNTIF(AY:AY,AY650)=1,AY650,IF(AND(COUNTIF(AY:AY,AY650)&gt;1,COUNTIF(AZ$2:AZ649,AY650)&gt;=1),"",AY650))</f>
        <v/>
      </c>
      <c r="BA650" t="str">
        <f>IF(AZ650="","",COUNTIFS(AZ$3:AZ$1439,"&lt;"&amp;AZ650,AZ$3:AZ$1439,"&lt;&gt;0")+COUNTIF(AZ$3:AZ650,AZ650)-876)</f>
        <v/>
      </c>
      <c r="BT650" s="76"/>
      <c r="CN650">
        <v>649</v>
      </c>
    </row>
    <row r="651" spans="1:92" x14ac:dyDescent="0.3">
      <c r="A651" s="118" t="s">
        <v>2228</v>
      </c>
      <c r="B651" t="s">
        <v>2229</v>
      </c>
      <c r="C651" t="s">
        <v>792</v>
      </c>
      <c r="D651" s="144" t="s">
        <v>764</v>
      </c>
      <c r="E651" t="s">
        <v>765</v>
      </c>
      <c r="F651" t="s">
        <v>365</v>
      </c>
      <c r="G651" t="s">
        <v>766</v>
      </c>
      <c r="H651" t="s">
        <v>2036</v>
      </c>
      <c r="I651" t="s">
        <v>766</v>
      </c>
      <c r="J651" t="s">
        <v>783</v>
      </c>
      <c r="K651" t="s">
        <v>783</v>
      </c>
      <c r="L651" t="s">
        <v>2037</v>
      </c>
      <c r="M651" t="s">
        <v>208</v>
      </c>
      <c r="N651" t="s">
        <v>1383</v>
      </c>
      <c r="O651" t="s">
        <v>805</v>
      </c>
      <c r="P651" t="s">
        <v>4440</v>
      </c>
      <c r="Q651" t="s">
        <v>4442</v>
      </c>
      <c r="R651">
        <v>14.49</v>
      </c>
      <c r="S651">
        <v>3</v>
      </c>
      <c r="T651">
        <v>38.64</v>
      </c>
      <c r="U651">
        <v>3</v>
      </c>
      <c r="V651">
        <v>38.64</v>
      </c>
      <c r="W651">
        <v>3</v>
      </c>
      <c r="X651">
        <v>0</v>
      </c>
      <c r="Y651">
        <v>0</v>
      </c>
      <c r="Z651">
        <v>0</v>
      </c>
      <c r="AA651">
        <v>0</v>
      </c>
      <c r="AB651">
        <v>0</v>
      </c>
      <c r="AC651">
        <v>0</v>
      </c>
      <c r="AD651">
        <v>0</v>
      </c>
      <c r="AE651">
        <v>0</v>
      </c>
      <c r="AF651">
        <v>0</v>
      </c>
      <c r="AG651">
        <v>0</v>
      </c>
      <c r="AH651">
        <v>0</v>
      </c>
      <c r="AI651">
        <v>0</v>
      </c>
      <c r="AY651" t="str">
        <f t="shared" si="189"/>
        <v>G.4</v>
      </c>
      <c r="AZ651" t="str">
        <f>IF(COUNTIF(AY:AY,AY651)=1,AY651,IF(AND(COUNTIF(AY:AY,AY651)&gt;1,COUNTIF(AZ$2:AZ650,AY651)&gt;=1),"",AY651))</f>
        <v>G.4</v>
      </c>
      <c r="BA651">
        <f>IF(AZ651="","",COUNTIFS(AZ$3:AZ$1439,"&lt;"&amp;AZ651,AZ$3:AZ$1439,"&lt;&gt;0")+COUNTIF(AZ$3:AZ651,AZ651)-876)</f>
        <v>247</v>
      </c>
      <c r="BT651" s="76"/>
      <c r="CN651">
        <v>650</v>
      </c>
    </row>
    <row r="652" spans="1:92" x14ac:dyDescent="0.3">
      <c r="A652" s="118" t="s">
        <v>2228</v>
      </c>
      <c r="B652" t="s">
        <v>2230</v>
      </c>
      <c r="C652" t="s">
        <v>796</v>
      </c>
      <c r="D652" s="144" t="s">
        <v>776</v>
      </c>
      <c r="E652" t="s">
        <v>765</v>
      </c>
      <c r="F652" t="s">
        <v>365</v>
      </c>
      <c r="G652" t="s">
        <v>766</v>
      </c>
      <c r="H652" t="s">
        <v>2036</v>
      </c>
      <c r="I652" t="s">
        <v>766</v>
      </c>
      <c r="J652" t="s">
        <v>783</v>
      </c>
      <c r="K652" t="s">
        <v>783</v>
      </c>
      <c r="L652" t="s">
        <v>2037</v>
      </c>
      <c r="M652" t="s">
        <v>208</v>
      </c>
      <c r="N652" t="s">
        <v>1383</v>
      </c>
      <c r="O652" t="s">
        <v>805</v>
      </c>
      <c r="P652" t="s">
        <v>4440</v>
      </c>
      <c r="Q652" t="s">
        <v>4443</v>
      </c>
      <c r="R652">
        <v>14.49</v>
      </c>
      <c r="S652">
        <v>3</v>
      </c>
      <c r="T652">
        <v>38.64</v>
      </c>
      <c r="U652">
        <v>3</v>
      </c>
      <c r="V652">
        <v>38.64</v>
      </c>
      <c r="W652">
        <v>3</v>
      </c>
      <c r="X652">
        <v>0</v>
      </c>
      <c r="Y652">
        <v>0</v>
      </c>
      <c r="Z652">
        <v>0</v>
      </c>
      <c r="AA652">
        <v>0</v>
      </c>
      <c r="AB652">
        <v>0</v>
      </c>
      <c r="AC652">
        <v>0</v>
      </c>
      <c r="AD652">
        <v>0</v>
      </c>
      <c r="AE652">
        <v>0</v>
      </c>
      <c r="AF652">
        <v>0</v>
      </c>
      <c r="AG652">
        <v>0</v>
      </c>
      <c r="AH652">
        <v>0</v>
      </c>
      <c r="AI652">
        <v>0</v>
      </c>
      <c r="AY652" t="str">
        <f t="shared" si="189"/>
        <v>G.4</v>
      </c>
      <c r="AZ652" t="str">
        <f>IF(COUNTIF(AY:AY,AY652)=1,AY652,IF(AND(COUNTIF(AY:AY,AY652)&gt;1,COUNTIF(AZ$2:AZ651,AY652)&gt;=1),"",AY652))</f>
        <v/>
      </c>
      <c r="BA652" t="str">
        <f>IF(AZ652="","",COUNTIFS(AZ$3:AZ$1439,"&lt;"&amp;AZ652,AZ$3:AZ$1439,"&lt;&gt;0")+COUNTIF(AZ$3:AZ652,AZ652)-876)</f>
        <v/>
      </c>
      <c r="BT652" s="76"/>
      <c r="CN652">
        <v>651</v>
      </c>
    </row>
    <row r="653" spans="1:92" x14ac:dyDescent="0.3">
      <c r="A653" s="118" t="s">
        <v>4248</v>
      </c>
      <c r="B653" t="s">
        <v>4249</v>
      </c>
      <c r="C653" t="s">
        <v>4250</v>
      </c>
      <c r="D653" t="s">
        <v>829</v>
      </c>
      <c r="E653" t="s">
        <v>765</v>
      </c>
      <c r="F653" t="s">
        <v>366</v>
      </c>
      <c r="G653" t="s">
        <v>956</v>
      </c>
      <c r="H653" t="s">
        <v>1326</v>
      </c>
      <c r="I653" t="s">
        <v>817</v>
      </c>
      <c r="J653" t="s">
        <v>783</v>
      </c>
      <c r="K653" t="s">
        <v>783</v>
      </c>
      <c r="L653" t="s">
        <v>4556</v>
      </c>
      <c r="M653" t="s">
        <v>208</v>
      </c>
      <c r="N653" t="s">
        <v>2580</v>
      </c>
      <c r="O653" t="s">
        <v>771</v>
      </c>
      <c r="P653" t="s">
        <v>772</v>
      </c>
      <c r="Q653" t="s">
        <v>2580</v>
      </c>
      <c r="R653">
        <v>35</v>
      </c>
      <c r="S653">
        <v>5</v>
      </c>
      <c r="T653">
        <v>0</v>
      </c>
      <c r="U653">
        <v>0</v>
      </c>
      <c r="V653">
        <v>0</v>
      </c>
      <c r="W653">
        <v>0</v>
      </c>
      <c r="X653">
        <v>0</v>
      </c>
      <c r="Y653">
        <v>0</v>
      </c>
      <c r="Z653">
        <v>0</v>
      </c>
      <c r="AA653">
        <v>0</v>
      </c>
      <c r="AB653">
        <v>35</v>
      </c>
      <c r="AC653">
        <v>5</v>
      </c>
      <c r="AD653">
        <v>28</v>
      </c>
      <c r="AE653">
        <v>5</v>
      </c>
      <c r="AF653">
        <v>28</v>
      </c>
      <c r="AG653">
        <v>5</v>
      </c>
      <c r="AH653">
        <v>0</v>
      </c>
      <c r="AI653">
        <v>0</v>
      </c>
      <c r="AY653" t="str">
        <f t="shared" si="189"/>
        <v>GABBROVET 140 MG/ML SOLUTION POUR ADMINISTRATION DANS L’EAU DE BOISSON LE LAIT OU L’ALIMENT D’ALLAITEMENT POUR BOVINS PRE-RUMINANTS ET PORCS</v>
      </c>
      <c r="AZ653" t="str">
        <f>IF(COUNTIF(AY:AY,AY653)=1,AY653,IF(AND(COUNTIF(AY:AY,AY653)&gt;1,COUNTIF(AZ$2:AZ652,AY653)&gt;=1),"",AY653))</f>
        <v>GABBROVET 140 MG/ML SOLUTION POUR ADMINISTRATION DANS L’EAU DE BOISSON LE LAIT OU L’ALIMENT D’ALLAITEMENT POUR BOVINS PRE-RUMINANTS ET PORCS</v>
      </c>
      <c r="BA653">
        <f>IF(AZ653="","",COUNTIFS(AZ$3:AZ$1439,"&lt;"&amp;AZ653,AZ$3:AZ$1439,"&lt;&gt;0")+COUNTIF(AZ$3:AZ653,AZ653)-876)</f>
        <v>248</v>
      </c>
      <c r="BT653" s="76"/>
      <c r="CN653">
        <v>652</v>
      </c>
    </row>
    <row r="654" spans="1:92" x14ac:dyDescent="0.3">
      <c r="A654" s="118" t="s">
        <v>4248</v>
      </c>
      <c r="B654" t="s">
        <v>4251</v>
      </c>
      <c r="C654" t="s">
        <v>1567</v>
      </c>
      <c r="D654" t="s">
        <v>906</v>
      </c>
      <c r="E654" t="s">
        <v>765</v>
      </c>
      <c r="F654" t="s">
        <v>366</v>
      </c>
      <c r="G654" t="s">
        <v>956</v>
      </c>
      <c r="H654" t="s">
        <v>1326</v>
      </c>
      <c r="I654" t="s">
        <v>817</v>
      </c>
      <c r="J654" t="s">
        <v>783</v>
      </c>
      <c r="K654" t="s">
        <v>783</v>
      </c>
      <c r="L654" t="s">
        <v>4556</v>
      </c>
      <c r="M654" t="s">
        <v>208</v>
      </c>
      <c r="N654" t="s">
        <v>2580</v>
      </c>
      <c r="O654" t="s">
        <v>771</v>
      </c>
      <c r="P654" t="s">
        <v>772</v>
      </c>
      <c r="Q654" t="s">
        <v>1650</v>
      </c>
      <c r="R654">
        <v>35</v>
      </c>
      <c r="S654">
        <v>5</v>
      </c>
      <c r="T654">
        <v>0</v>
      </c>
      <c r="U654">
        <v>0</v>
      </c>
      <c r="V654">
        <v>0</v>
      </c>
      <c r="W654">
        <v>0</v>
      </c>
      <c r="X654">
        <v>0</v>
      </c>
      <c r="Y654">
        <v>0</v>
      </c>
      <c r="Z654">
        <v>0</v>
      </c>
      <c r="AA654">
        <v>0</v>
      </c>
      <c r="AB654">
        <v>35</v>
      </c>
      <c r="AC654">
        <v>5</v>
      </c>
      <c r="AD654">
        <v>28</v>
      </c>
      <c r="AE654">
        <v>5</v>
      </c>
      <c r="AF654">
        <v>28</v>
      </c>
      <c r="AG654">
        <v>5</v>
      </c>
      <c r="AH654">
        <v>0</v>
      </c>
      <c r="AI654">
        <v>0</v>
      </c>
      <c r="AY654" t="str">
        <f t="shared" si="189"/>
        <v>GABBROVET 140 MG/ML SOLUTION POUR ADMINISTRATION DANS L’EAU DE BOISSON LE LAIT OU L’ALIMENT D’ALLAITEMENT POUR BOVINS PRE-RUMINANTS ET PORCS</v>
      </c>
      <c r="AZ654" t="str">
        <f>IF(COUNTIF(AY:AY,AY654)=1,AY654,IF(AND(COUNTIF(AY:AY,AY654)&gt;1,COUNTIF(AZ$2:AZ653,AY654)&gt;=1),"",AY654))</f>
        <v/>
      </c>
      <c r="BA654" t="str">
        <f>IF(AZ654="","",COUNTIFS(AZ$3:AZ$1439,"&lt;"&amp;AZ654,AZ$3:AZ$1439,"&lt;&gt;0")+COUNTIF(AZ$3:AZ654,AZ654)-876)</f>
        <v/>
      </c>
      <c r="BT654" s="76"/>
      <c r="CN654">
        <v>653</v>
      </c>
    </row>
    <row r="655" spans="1:92" x14ac:dyDescent="0.3">
      <c r="A655" s="118" t="s">
        <v>4248</v>
      </c>
      <c r="B655" t="s">
        <v>4252</v>
      </c>
      <c r="C655" t="s">
        <v>796</v>
      </c>
      <c r="D655" t="s">
        <v>776</v>
      </c>
      <c r="E655" t="s">
        <v>765</v>
      </c>
      <c r="F655" t="s">
        <v>366</v>
      </c>
      <c r="G655" t="s">
        <v>956</v>
      </c>
      <c r="H655" t="s">
        <v>1326</v>
      </c>
      <c r="I655" t="s">
        <v>817</v>
      </c>
      <c r="J655" t="s">
        <v>783</v>
      </c>
      <c r="K655" t="s">
        <v>783</v>
      </c>
      <c r="L655" t="s">
        <v>4556</v>
      </c>
      <c r="M655" t="s">
        <v>208</v>
      </c>
      <c r="N655" t="s">
        <v>2580</v>
      </c>
      <c r="O655" t="s">
        <v>771</v>
      </c>
      <c r="P655" t="s">
        <v>772</v>
      </c>
      <c r="Q655" t="s">
        <v>1822</v>
      </c>
      <c r="R655">
        <v>35</v>
      </c>
      <c r="S655">
        <v>5</v>
      </c>
      <c r="T655">
        <v>0</v>
      </c>
      <c r="U655">
        <v>0</v>
      </c>
      <c r="V655">
        <v>0</v>
      </c>
      <c r="W655">
        <v>0</v>
      </c>
      <c r="X655">
        <v>0</v>
      </c>
      <c r="Y655">
        <v>0</v>
      </c>
      <c r="Z655">
        <v>0</v>
      </c>
      <c r="AA655">
        <v>0</v>
      </c>
      <c r="AB655">
        <v>35</v>
      </c>
      <c r="AC655">
        <v>5</v>
      </c>
      <c r="AD655">
        <v>28</v>
      </c>
      <c r="AE655">
        <v>5</v>
      </c>
      <c r="AF655">
        <v>28</v>
      </c>
      <c r="AG655">
        <v>5</v>
      </c>
      <c r="AH655">
        <v>0</v>
      </c>
      <c r="AI655">
        <v>0</v>
      </c>
      <c r="AY655" t="str">
        <f t="shared" si="189"/>
        <v>GABBROVET 140 MG/ML SOLUTION POUR ADMINISTRATION DANS L’EAU DE BOISSON LE LAIT OU L’ALIMENT D’ALLAITEMENT POUR BOVINS PRE-RUMINANTS ET PORCS</v>
      </c>
      <c r="AZ655" t="str">
        <f>IF(COUNTIF(AY:AY,AY655)=1,AY655,IF(AND(COUNTIF(AY:AY,AY655)&gt;1,COUNTIF(AZ$2:AZ654,AY655)&gt;=1),"",AY655))</f>
        <v/>
      </c>
      <c r="BA655" t="str">
        <f>IF(AZ655="","",COUNTIFS(AZ$3:AZ$1439,"&lt;"&amp;AZ655,AZ$3:AZ$1439,"&lt;&gt;0")+COUNTIF(AZ$3:AZ655,AZ655)-876)</f>
        <v/>
      </c>
      <c r="BT655" s="76"/>
      <c r="CN655">
        <v>654</v>
      </c>
    </row>
    <row r="656" spans="1:92" x14ac:dyDescent="0.3">
      <c r="A656" s="118" t="s">
        <v>1788</v>
      </c>
      <c r="B656" t="s">
        <v>1789</v>
      </c>
      <c r="C656" t="s">
        <v>868</v>
      </c>
      <c r="D656" s="144" t="s">
        <v>869</v>
      </c>
      <c r="E656" t="s">
        <v>813</v>
      </c>
      <c r="F656" t="s">
        <v>1790</v>
      </c>
      <c r="G656" t="s">
        <v>815</v>
      </c>
      <c r="H656" t="s">
        <v>816</v>
      </c>
      <c r="I656" t="s">
        <v>817</v>
      </c>
      <c r="J656" t="s">
        <v>862</v>
      </c>
      <c r="K656" t="s">
        <v>862</v>
      </c>
      <c r="L656" t="s">
        <v>863</v>
      </c>
      <c r="M656" t="s">
        <v>208</v>
      </c>
      <c r="N656" t="s">
        <v>939</v>
      </c>
      <c r="O656" t="s">
        <v>824</v>
      </c>
      <c r="P656" t="s">
        <v>772</v>
      </c>
      <c r="Q656" t="s">
        <v>1791</v>
      </c>
      <c r="R656">
        <v>0</v>
      </c>
      <c r="S656">
        <v>0</v>
      </c>
      <c r="T656">
        <v>200</v>
      </c>
      <c r="U656">
        <v>4</v>
      </c>
      <c r="V656">
        <v>0</v>
      </c>
      <c r="W656">
        <v>0</v>
      </c>
      <c r="X656">
        <v>0</v>
      </c>
      <c r="Y656">
        <v>0</v>
      </c>
      <c r="Z656">
        <v>0</v>
      </c>
      <c r="AA656">
        <v>0</v>
      </c>
      <c r="AB656">
        <v>0</v>
      </c>
      <c r="AC656">
        <v>0</v>
      </c>
      <c r="AD656">
        <v>0</v>
      </c>
      <c r="AE656">
        <v>0</v>
      </c>
      <c r="AF656">
        <v>0</v>
      </c>
      <c r="AG656">
        <v>0</v>
      </c>
      <c r="AH656">
        <v>0</v>
      </c>
      <c r="AI656">
        <v>0</v>
      </c>
      <c r="AY656" t="str">
        <f t="shared" si="189"/>
        <v/>
      </c>
      <c r="AZ656" t="str">
        <f>IF(COUNTIF(AY:AY,AY656)=1,AY656,IF(AND(COUNTIF(AY:AY,AY656)&gt;1,COUNTIF(AZ$2:AZ655,AY656)&gt;=1),"",AY656))</f>
        <v/>
      </c>
      <c r="BA656" t="str">
        <f>IF(AZ656="","",COUNTIFS(AZ$3:AZ$1439,"&lt;"&amp;AZ656,AZ$3:AZ$1439,"&lt;&gt;0")+COUNTIF(AZ$3:AZ656,AZ656)-876)</f>
        <v/>
      </c>
      <c r="BT656" s="76"/>
      <c r="CN656">
        <v>655</v>
      </c>
    </row>
    <row r="657" spans="1:92" x14ac:dyDescent="0.3">
      <c r="A657" s="118" t="s">
        <v>2057</v>
      </c>
      <c r="B657" t="s">
        <v>2058</v>
      </c>
      <c r="C657" t="s">
        <v>2059</v>
      </c>
      <c r="D657" s="144" t="s">
        <v>793</v>
      </c>
      <c r="E657" t="s">
        <v>813</v>
      </c>
      <c r="F657" t="s">
        <v>95</v>
      </c>
      <c r="G657" t="s">
        <v>1013</v>
      </c>
      <c r="H657" t="s">
        <v>801</v>
      </c>
      <c r="I657" t="s">
        <v>1013</v>
      </c>
      <c r="J657" t="s">
        <v>782</v>
      </c>
      <c r="K657" t="s">
        <v>787</v>
      </c>
      <c r="L657" t="s">
        <v>1014</v>
      </c>
      <c r="M657" t="s">
        <v>208</v>
      </c>
      <c r="N657" t="s">
        <v>864</v>
      </c>
      <c r="O657" t="s">
        <v>824</v>
      </c>
      <c r="P657" t="s">
        <v>772</v>
      </c>
      <c r="Q657" t="s">
        <v>1015</v>
      </c>
      <c r="R657">
        <v>0</v>
      </c>
      <c r="S657">
        <v>0</v>
      </c>
      <c r="T657">
        <v>0</v>
      </c>
      <c r="U657">
        <v>0</v>
      </c>
      <c r="V657">
        <v>0</v>
      </c>
      <c r="W657">
        <v>0</v>
      </c>
      <c r="X657">
        <v>0</v>
      </c>
      <c r="Y657">
        <v>0</v>
      </c>
      <c r="Z657">
        <v>0</v>
      </c>
      <c r="AA657">
        <v>0</v>
      </c>
      <c r="AB657">
        <v>0</v>
      </c>
      <c r="AC657">
        <v>0</v>
      </c>
      <c r="AD657">
        <v>0</v>
      </c>
      <c r="AE657">
        <v>0</v>
      </c>
      <c r="AF657">
        <v>0</v>
      </c>
      <c r="AG657">
        <v>0</v>
      </c>
      <c r="AH657">
        <v>0</v>
      </c>
      <c r="AI657">
        <v>0</v>
      </c>
      <c r="AJ657" t="s">
        <v>783</v>
      </c>
      <c r="AK657" t="s">
        <v>2037</v>
      </c>
      <c r="AL657" t="s">
        <v>208</v>
      </c>
      <c r="AM657" t="s">
        <v>916</v>
      </c>
      <c r="AN657" t="s">
        <v>820</v>
      </c>
      <c r="AO657" t="s">
        <v>4440</v>
      </c>
      <c r="AP657" t="s">
        <v>2060</v>
      </c>
      <c r="AY657" t="str">
        <f t="shared" si="189"/>
        <v>GENTAMAM</v>
      </c>
      <c r="AZ657" t="str">
        <f>IF(COUNTIF(AY:AY,AY657)=1,AY657,IF(AND(COUNTIF(AY:AY,AY657)&gt;1,COUNTIF(AZ$2:AZ656,AY657)&gt;=1),"",AY657))</f>
        <v>GENTAMAM</v>
      </c>
      <c r="BA657">
        <f>IF(AZ657="","",COUNTIFS(AZ$3:AZ$1439,"&lt;"&amp;AZ657,AZ$3:AZ$1439,"&lt;&gt;0")+COUNTIF(AZ$3:AZ657,AZ657)-876)</f>
        <v>249</v>
      </c>
      <c r="BT657" s="76"/>
      <c r="CN657">
        <v>656</v>
      </c>
    </row>
    <row r="658" spans="1:92" x14ac:dyDescent="0.3">
      <c r="A658" s="118" t="s">
        <v>2057</v>
      </c>
      <c r="B658" t="s">
        <v>2061</v>
      </c>
      <c r="C658" t="s">
        <v>2062</v>
      </c>
      <c r="D658" s="144" t="s">
        <v>1019</v>
      </c>
      <c r="E658" t="s">
        <v>813</v>
      </c>
      <c r="F658" t="s">
        <v>95</v>
      </c>
      <c r="G658" t="s">
        <v>1013</v>
      </c>
      <c r="H658" t="s">
        <v>801</v>
      </c>
      <c r="I658" t="s">
        <v>1013</v>
      </c>
      <c r="J658" t="s">
        <v>782</v>
      </c>
      <c r="K658" t="s">
        <v>787</v>
      </c>
      <c r="L658" t="s">
        <v>1014</v>
      </c>
      <c r="M658" t="s">
        <v>208</v>
      </c>
      <c r="N658" t="s">
        <v>864</v>
      </c>
      <c r="O658" t="s">
        <v>824</v>
      </c>
      <c r="P658" t="s">
        <v>772</v>
      </c>
      <c r="Q658" t="s">
        <v>1020</v>
      </c>
      <c r="R658">
        <v>0</v>
      </c>
      <c r="S658">
        <v>0</v>
      </c>
      <c r="T658">
        <v>0</v>
      </c>
      <c r="U658">
        <v>0</v>
      </c>
      <c r="V658">
        <v>0</v>
      </c>
      <c r="W658">
        <v>0</v>
      </c>
      <c r="X658">
        <v>0</v>
      </c>
      <c r="Y658">
        <v>0</v>
      </c>
      <c r="Z658">
        <v>0</v>
      </c>
      <c r="AA658">
        <v>0</v>
      </c>
      <c r="AB658">
        <v>0</v>
      </c>
      <c r="AC658">
        <v>0</v>
      </c>
      <c r="AD658">
        <v>0</v>
      </c>
      <c r="AE658">
        <v>0</v>
      </c>
      <c r="AF658">
        <v>0</v>
      </c>
      <c r="AG658">
        <v>0</v>
      </c>
      <c r="AH658">
        <v>0</v>
      </c>
      <c r="AI658">
        <v>0</v>
      </c>
      <c r="AJ658" t="s">
        <v>783</v>
      </c>
      <c r="AK658" t="s">
        <v>2037</v>
      </c>
      <c r="AL658" t="s">
        <v>208</v>
      </c>
      <c r="AM658" t="s">
        <v>916</v>
      </c>
      <c r="AN658" t="s">
        <v>820</v>
      </c>
      <c r="AO658" t="s">
        <v>4440</v>
      </c>
      <c r="AP658" t="s">
        <v>2063</v>
      </c>
      <c r="AY658" t="str">
        <f t="shared" si="189"/>
        <v>GENTAMAM</v>
      </c>
      <c r="AZ658" t="str">
        <f>IF(COUNTIF(AY:AY,AY658)=1,AY658,IF(AND(COUNTIF(AY:AY,AY658)&gt;1,COUNTIF(AZ$2:AZ657,AY658)&gt;=1),"",AY658))</f>
        <v/>
      </c>
      <c r="BA658" t="str">
        <f>IF(AZ658="","",COUNTIFS(AZ$3:AZ$1439,"&lt;"&amp;AZ658,AZ$3:AZ$1439,"&lt;&gt;0")+COUNTIF(AZ$3:AZ658,AZ658)-876)</f>
        <v/>
      </c>
      <c r="BT658" s="76"/>
      <c r="CN658">
        <v>657</v>
      </c>
    </row>
    <row r="659" spans="1:92" x14ac:dyDescent="0.3">
      <c r="A659" s="118" t="s">
        <v>2057</v>
      </c>
      <c r="B659" t="s">
        <v>2064</v>
      </c>
      <c r="C659" t="s">
        <v>2065</v>
      </c>
      <c r="D659" s="144" t="s">
        <v>1132</v>
      </c>
      <c r="E659" t="s">
        <v>813</v>
      </c>
      <c r="F659" t="s">
        <v>95</v>
      </c>
      <c r="G659" t="s">
        <v>1013</v>
      </c>
      <c r="H659" t="s">
        <v>801</v>
      </c>
      <c r="I659" t="s">
        <v>1013</v>
      </c>
      <c r="J659" t="s">
        <v>782</v>
      </c>
      <c r="K659" t="s">
        <v>787</v>
      </c>
      <c r="L659" t="s">
        <v>1014</v>
      </c>
      <c r="M659" t="s">
        <v>208</v>
      </c>
      <c r="N659" t="s">
        <v>864</v>
      </c>
      <c r="O659" t="s">
        <v>824</v>
      </c>
      <c r="P659" t="s">
        <v>772</v>
      </c>
      <c r="Q659" t="s">
        <v>1361</v>
      </c>
      <c r="R659">
        <v>0</v>
      </c>
      <c r="S659">
        <v>0</v>
      </c>
      <c r="T659">
        <v>0</v>
      </c>
      <c r="U659">
        <v>0</v>
      </c>
      <c r="V659">
        <v>0</v>
      </c>
      <c r="W659">
        <v>0</v>
      </c>
      <c r="X659">
        <v>0</v>
      </c>
      <c r="Y659">
        <v>0</v>
      </c>
      <c r="Z659">
        <v>0</v>
      </c>
      <c r="AA659">
        <v>0</v>
      </c>
      <c r="AB659">
        <v>0</v>
      </c>
      <c r="AC659">
        <v>0</v>
      </c>
      <c r="AD659">
        <v>0</v>
      </c>
      <c r="AE659">
        <v>0</v>
      </c>
      <c r="AF659">
        <v>0</v>
      </c>
      <c r="AG659">
        <v>0</v>
      </c>
      <c r="AH659">
        <v>0</v>
      </c>
      <c r="AI659">
        <v>0</v>
      </c>
      <c r="AJ659" t="s">
        <v>783</v>
      </c>
      <c r="AK659" t="s">
        <v>2037</v>
      </c>
      <c r="AL659" t="s">
        <v>208</v>
      </c>
      <c r="AM659" t="s">
        <v>916</v>
      </c>
      <c r="AN659" t="s">
        <v>820</v>
      </c>
      <c r="AO659" t="s">
        <v>4440</v>
      </c>
      <c r="AP659" t="s">
        <v>4446</v>
      </c>
      <c r="AY659" t="str">
        <f t="shared" si="189"/>
        <v>GENTAMAM</v>
      </c>
      <c r="AZ659" t="str">
        <f>IF(COUNTIF(AY:AY,AY659)=1,AY659,IF(AND(COUNTIF(AY:AY,AY659)&gt;1,COUNTIF(AZ$2:AZ658,AY659)&gt;=1),"",AY659))</f>
        <v/>
      </c>
      <c r="BA659" t="str">
        <f>IF(AZ659="","",COUNTIFS(AZ$3:AZ$1439,"&lt;"&amp;AZ659,AZ$3:AZ$1439,"&lt;&gt;0")+COUNTIF(AZ$3:AZ659,AZ659)-876)</f>
        <v/>
      </c>
      <c r="BT659" s="76"/>
      <c r="CN659">
        <v>658</v>
      </c>
    </row>
    <row r="660" spans="1:92" x14ac:dyDescent="0.3">
      <c r="A660" s="118" t="s">
        <v>1446</v>
      </c>
      <c r="B660" t="s">
        <v>1447</v>
      </c>
      <c r="C660" t="s">
        <v>1448</v>
      </c>
      <c r="D660" s="144" t="s">
        <v>1214</v>
      </c>
      <c r="E660" t="s">
        <v>830</v>
      </c>
      <c r="F660" t="s">
        <v>647</v>
      </c>
      <c r="G660" t="s">
        <v>831</v>
      </c>
      <c r="H660" t="s">
        <v>1449</v>
      </c>
      <c r="I660" t="s">
        <v>817</v>
      </c>
      <c r="J660" t="s">
        <v>893</v>
      </c>
      <c r="K660" t="s">
        <v>862</v>
      </c>
      <c r="L660" t="s">
        <v>895</v>
      </c>
      <c r="M660" t="s">
        <v>208</v>
      </c>
      <c r="N660" t="s">
        <v>764</v>
      </c>
      <c r="O660" t="s">
        <v>894</v>
      </c>
      <c r="P660" t="s">
        <v>772</v>
      </c>
      <c r="Q660" t="s">
        <v>1132</v>
      </c>
      <c r="R660">
        <v>80</v>
      </c>
      <c r="S660">
        <v>3</v>
      </c>
      <c r="T660">
        <v>80</v>
      </c>
      <c r="U660">
        <v>3</v>
      </c>
      <c r="V660">
        <v>80</v>
      </c>
      <c r="W660">
        <v>3</v>
      </c>
      <c r="X660">
        <v>0</v>
      </c>
      <c r="Y660">
        <v>0</v>
      </c>
      <c r="Z660">
        <v>0</v>
      </c>
      <c r="AA660">
        <v>0</v>
      </c>
      <c r="AB660">
        <v>0</v>
      </c>
      <c r="AC660">
        <v>0</v>
      </c>
      <c r="AD660">
        <v>80</v>
      </c>
      <c r="AE660">
        <v>3</v>
      </c>
      <c r="AF660">
        <v>0</v>
      </c>
      <c r="AG660">
        <v>0</v>
      </c>
      <c r="AH660">
        <v>0</v>
      </c>
      <c r="AI660">
        <v>0</v>
      </c>
      <c r="AJ660" t="s">
        <v>862</v>
      </c>
      <c r="AK660" t="s">
        <v>863</v>
      </c>
      <c r="AL660" t="s">
        <v>208</v>
      </c>
      <c r="AM660" t="s">
        <v>764</v>
      </c>
      <c r="AN660" t="s">
        <v>894</v>
      </c>
      <c r="AO660" t="s">
        <v>772</v>
      </c>
      <c r="AP660" t="s">
        <v>1132</v>
      </c>
      <c r="AY660" t="str">
        <f t="shared" si="189"/>
        <v>HEMODIARH</v>
      </c>
      <c r="AZ660" t="str">
        <f>IF(COUNTIF(AY:AY,AY660)=1,AY660,IF(AND(COUNTIF(AY:AY,AY660)&gt;1,COUNTIF(AZ$2:AZ659,AY660)&gt;=1),"",AY660))</f>
        <v>HEMODIARH</v>
      </c>
      <c r="BA660">
        <f>IF(AZ660="","",COUNTIFS(AZ$3:AZ$1439,"&lt;"&amp;AZ660,AZ$3:AZ$1439,"&lt;&gt;0")+COUNTIF(AZ$3:AZ660,AZ660)-876)</f>
        <v>250</v>
      </c>
      <c r="BT660" s="76"/>
      <c r="CN660">
        <v>659</v>
      </c>
    </row>
    <row r="661" spans="1:92" x14ac:dyDescent="0.3">
      <c r="A661" s="118" t="s">
        <v>941</v>
      </c>
      <c r="B661" t="s">
        <v>942</v>
      </c>
      <c r="C661" t="s">
        <v>943</v>
      </c>
      <c r="D661" s="144" t="s">
        <v>764</v>
      </c>
      <c r="E661" t="s">
        <v>765</v>
      </c>
      <c r="F661" t="s">
        <v>38</v>
      </c>
      <c r="G661" t="s">
        <v>766</v>
      </c>
      <c r="H661" t="s">
        <v>944</v>
      </c>
      <c r="I661" t="s">
        <v>766</v>
      </c>
      <c r="J661" t="s">
        <v>782</v>
      </c>
      <c r="K661" t="s">
        <v>783</v>
      </c>
      <c r="L661" t="s">
        <v>945</v>
      </c>
      <c r="M661" t="s">
        <v>208</v>
      </c>
      <c r="N661" t="s">
        <v>776</v>
      </c>
      <c r="O661" t="s">
        <v>771</v>
      </c>
      <c r="P661" t="s">
        <v>772</v>
      </c>
      <c r="Q661" t="s">
        <v>855</v>
      </c>
      <c r="R661">
        <v>25</v>
      </c>
      <c r="S661">
        <v>5</v>
      </c>
      <c r="T661">
        <v>25</v>
      </c>
      <c r="U661">
        <v>5</v>
      </c>
      <c r="V661">
        <v>25</v>
      </c>
      <c r="W661">
        <v>5</v>
      </c>
      <c r="X661">
        <v>0</v>
      </c>
      <c r="Y661">
        <v>0</v>
      </c>
      <c r="Z661">
        <v>0</v>
      </c>
      <c r="AA661">
        <v>0</v>
      </c>
      <c r="AB661">
        <v>25</v>
      </c>
      <c r="AC661">
        <v>5</v>
      </c>
      <c r="AD661">
        <v>25</v>
      </c>
      <c r="AE661">
        <v>5</v>
      </c>
      <c r="AF661">
        <v>0</v>
      </c>
      <c r="AG661">
        <v>0</v>
      </c>
      <c r="AH661">
        <v>0</v>
      </c>
      <c r="AI661">
        <v>0</v>
      </c>
      <c r="AJ661" t="s">
        <v>787</v>
      </c>
      <c r="AK661" t="s">
        <v>788</v>
      </c>
      <c r="AL661" t="s">
        <v>208</v>
      </c>
      <c r="AM661" t="s">
        <v>946</v>
      </c>
      <c r="AN661" t="s">
        <v>771</v>
      </c>
      <c r="AO661" t="s">
        <v>772</v>
      </c>
      <c r="AP661" t="s">
        <v>947</v>
      </c>
      <c r="AY661" t="str">
        <f t="shared" si="189"/>
        <v>HISTABIOSONE</v>
      </c>
      <c r="AZ661" t="str">
        <f>IF(COUNTIF(AY:AY,AY661)=1,AY661,IF(AND(COUNTIF(AY:AY,AY661)&gt;1,COUNTIF(AZ$2:AZ660,AY661)&gt;=1),"",AY661))</f>
        <v>HISTABIOSONE</v>
      </c>
      <c r="BA661">
        <f>IF(AZ661="","",COUNTIFS(AZ$3:AZ$1439,"&lt;"&amp;AZ661,AZ$3:AZ$1439,"&lt;&gt;0")+COUNTIF(AZ$3:AZ661,AZ661)-876)</f>
        <v>251</v>
      </c>
      <c r="BT661" s="76"/>
      <c r="CN661">
        <v>660</v>
      </c>
    </row>
    <row r="662" spans="1:92" x14ac:dyDescent="0.3">
      <c r="A662" s="118" t="s">
        <v>941</v>
      </c>
      <c r="B662" t="s">
        <v>948</v>
      </c>
      <c r="C662" t="s">
        <v>949</v>
      </c>
      <c r="D662" s="144" t="s">
        <v>776</v>
      </c>
      <c r="E662" t="s">
        <v>765</v>
      </c>
      <c r="F662" t="s">
        <v>38</v>
      </c>
      <c r="G662" t="s">
        <v>766</v>
      </c>
      <c r="H662" t="s">
        <v>944</v>
      </c>
      <c r="I662" t="s">
        <v>766</v>
      </c>
      <c r="J662" t="s">
        <v>782</v>
      </c>
      <c r="K662" t="s">
        <v>783</v>
      </c>
      <c r="L662" t="s">
        <v>945</v>
      </c>
      <c r="M662" t="s">
        <v>208</v>
      </c>
      <c r="N662" t="s">
        <v>776</v>
      </c>
      <c r="O662" t="s">
        <v>771</v>
      </c>
      <c r="P662" t="s">
        <v>772</v>
      </c>
      <c r="Q662" t="s">
        <v>950</v>
      </c>
      <c r="R662">
        <v>25</v>
      </c>
      <c r="S662">
        <v>5</v>
      </c>
      <c r="T662">
        <v>25</v>
      </c>
      <c r="U662">
        <v>5</v>
      </c>
      <c r="V662">
        <v>25</v>
      </c>
      <c r="W662">
        <v>5</v>
      </c>
      <c r="X662">
        <v>0</v>
      </c>
      <c r="Y662">
        <v>0</v>
      </c>
      <c r="Z662">
        <v>0</v>
      </c>
      <c r="AA662">
        <v>0</v>
      </c>
      <c r="AB662">
        <v>25</v>
      </c>
      <c r="AC662">
        <v>5</v>
      </c>
      <c r="AD662">
        <v>25</v>
      </c>
      <c r="AE662">
        <v>5</v>
      </c>
      <c r="AF662">
        <v>0</v>
      </c>
      <c r="AG662">
        <v>0</v>
      </c>
      <c r="AH662">
        <v>0</v>
      </c>
      <c r="AI662">
        <v>0</v>
      </c>
      <c r="AJ662" t="s">
        <v>787</v>
      </c>
      <c r="AK662" t="s">
        <v>788</v>
      </c>
      <c r="AL662" t="s">
        <v>208</v>
      </c>
      <c r="AM662" t="s">
        <v>946</v>
      </c>
      <c r="AN662" t="s">
        <v>771</v>
      </c>
      <c r="AO662" t="s">
        <v>772</v>
      </c>
      <c r="AP662" t="s">
        <v>951</v>
      </c>
      <c r="AY662" t="str">
        <f t="shared" si="189"/>
        <v>HISTABIOSONE</v>
      </c>
      <c r="AZ662" t="str">
        <f>IF(COUNTIF(AY:AY,AY662)=1,AY662,IF(AND(COUNTIF(AY:AY,AY662)&gt;1,COUNTIF(AZ$2:AZ661,AY662)&gt;=1),"",AY662))</f>
        <v/>
      </c>
      <c r="BA662" t="str">
        <f>IF(AZ662="","",COUNTIFS(AZ$3:AZ$1439,"&lt;"&amp;AZ662,AZ$3:AZ$1439,"&lt;&gt;0")+COUNTIF(AZ$3:AZ662,AZ662)-876)</f>
        <v/>
      </c>
      <c r="BT662" s="76"/>
      <c r="CN662">
        <v>661</v>
      </c>
    </row>
    <row r="663" spans="1:92" x14ac:dyDescent="0.3">
      <c r="A663" s="118" t="s">
        <v>1645</v>
      </c>
      <c r="B663" t="s">
        <v>1646</v>
      </c>
      <c r="C663" t="s">
        <v>1647</v>
      </c>
      <c r="D663" s="144" t="s">
        <v>852</v>
      </c>
      <c r="E663" t="s">
        <v>813</v>
      </c>
      <c r="F663" t="s">
        <v>1648</v>
      </c>
      <c r="G663" t="s">
        <v>815</v>
      </c>
      <c r="H663" t="s">
        <v>860</v>
      </c>
      <c r="I663" t="s">
        <v>817</v>
      </c>
      <c r="J663" t="s">
        <v>818</v>
      </c>
      <c r="K663" t="s">
        <v>802</v>
      </c>
      <c r="L663" t="s">
        <v>803</v>
      </c>
      <c r="M663" t="s">
        <v>208</v>
      </c>
      <c r="N663" t="s">
        <v>1649</v>
      </c>
      <c r="O663" t="s">
        <v>820</v>
      </c>
      <c r="P663" t="s">
        <v>4363</v>
      </c>
      <c r="Q663" t="s">
        <v>4411</v>
      </c>
      <c r="R663">
        <v>0</v>
      </c>
      <c r="S663">
        <v>0</v>
      </c>
      <c r="T663">
        <v>22.45</v>
      </c>
      <c r="U663">
        <v>10</v>
      </c>
      <c r="V663">
        <v>0</v>
      </c>
      <c r="W663">
        <v>0</v>
      </c>
      <c r="X663">
        <v>0</v>
      </c>
      <c r="Y663">
        <v>0</v>
      </c>
      <c r="Z663">
        <v>0</v>
      </c>
      <c r="AA663">
        <v>0</v>
      </c>
      <c r="AB663">
        <v>0</v>
      </c>
      <c r="AC663">
        <v>0</v>
      </c>
      <c r="AD663">
        <v>0</v>
      </c>
      <c r="AE663">
        <v>0</v>
      </c>
      <c r="AF663">
        <v>0</v>
      </c>
      <c r="AG663">
        <v>0</v>
      </c>
      <c r="AH663">
        <v>0</v>
      </c>
      <c r="AI663">
        <v>0</v>
      </c>
      <c r="AJ663" t="s">
        <v>821</v>
      </c>
      <c r="AK663" t="s">
        <v>1149</v>
      </c>
      <c r="AL663" t="s">
        <v>208</v>
      </c>
      <c r="AM663" t="s">
        <v>1650</v>
      </c>
      <c r="AN663" t="s">
        <v>824</v>
      </c>
      <c r="AO663" t="s">
        <v>772</v>
      </c>
      <c r="AP663" t="s">
        <v>1651</v>
      </c>
      <c r="AY663" t="str">
        <f t="shared" si="189"/>
        <v/>
      </c>
      <c r="AZ663" t="str">
        <f>IF(COUNTIF(AY:AY,AY663)=1,AY663,IF(AND(COUNTIF(AY:AY,AY663)&gt;1,COUNTIF(AZ$2:AZ662,AY663)&gt;=1),"",AY663))</f>
        <v/>
      </c>
      <c r="BA663" t="str">
        <f>IF(AZ663="","",COUNTIFS(AZ$3:AZ$1439,"&lt;"&amp;AZ663,AZ$3:AZ$1439,"&lt;&gt;0")+COUNTIF(AZ$3:AZ663,AZ663)-876)</f>
        <v/>
      </c>
      <c r="BT663" s="76"/>
      <c r="CN663">
        <v>662</v>
      </c>
    </row>
    <row r="664" spans="1:92" x14ac:dyDescent="0.3">
      <c r="A664" s="118" t="s">
        <v>1645</v>
      </c>
      <c r="B664" t="s">
        <v>1652</v>
      </c>
      <c r="C664" t="s">
        <v>1653</v>
      </c>
      <c r="D664" s="144" t="s">
        <v>1163</v>
      </c>
      <c r="E664" t="s">
        <v>813</v>
      </c>
      <c r="F664" t="s">
        <v>1648</v>
      </c>
      <c r="G664" t="s">
        <v>815</v>
      </c>
      <c r="H664" t="s">
        <v>860</v>
      </c>
      <c r="I664" t="s">
        <v>817</v>
      </c>
      <c r="J664" t="s">
        <v>818</v>
      </c>
      <c r="K664" t="s">
        <v>802</v>
      </c>
      <c r="L664" t="s">
        <v>803</v>
      </c>
      <c r="M664" t="s">
        <v>208</v>
      </c>
      <c r="N664" t="s">
        <v>1649</v>
      </c>
      <c r="O664" t="s">
        <v>820</v>
      </c>
      <c r="P664" t="s">
        <v>4363</v>
      </c>
      <c r="Q664" t="s">
        <v>4412</v>
      </c>
      <c r="R664">
        <v>0</v>
      </c>
      <c r="S664">
        <v>0</v>
      </c>
      <c r="T664">
        <v>22.45</v>
      </c>
      <c r="U664">
        <v>10</v>
      </c>
      <c r="V664">
        <v>0</v>
      </c>
      <c r="W664">
        <v>0</v>
      </c>
      <c r="X664">
        <v>0</v>
      </c>
      <c r="Y664">
        <v>0</v>
      </c>
      <c r="Z664">
        <v>0</v>
      </c>
      <c r="AA664">
        <v>0</v>
      </c>
      <c r="AB664">
        <v>0</v>
      </c>
      <c r="AC664">
        <v>0</v>
      </c>
      <c r="AD664">
        <v>0</v>
      </c>
      <c r="AE664">
        <v>0</v>
      </c>
      <c r="AF664">
        <v>0</v>
      </c>
      <c r="AG664">
        <v>0</v>
      </c>
      <c r="AH664">
        <v>0</v>
      </c>
      <c r="AI664">
        <v>0</v>
      </c>
      <c r="AJ664" t="s">
        <v>821</v>
      </c>
      <c r="AK664" t="s">
        <v>1149</v>
      </c>
      <c r="AL664" t="s">
        <v>208</v>
      </c>
      <c r="AM664" t="s">
        <v>1650</v>
      </c>
      <c r="AN664" t="s">
        <v>824</v>
      </c>
      <c r="AO664" t="s">
        <v>772</v>
      </c>
      <c r="AP664" t="s">
        <v>1654</v>
      </c>
      <c r="AY664" t="str">
        <f t="shared" si="189"/>
        <v/>
      </c>
      <c r="AZ664" t="str">
        <f>IF(COUNTIF(AY:AY,AY664)=1,AY664,IF(AND(COUNTIF(AY:AY,AY664)&gt;1,COUNTIF(AZ$2:AZ663,AY664)&gt;=1),"",AY664))</f>
        <v/>
      </c>
      <c r="BA664" t="str">
        <f>IF(AZ664="","",COUNTIFS(AZ$3:AZ$1439,"&lt;"&amp;AZ664,AZ$3:AZ$1439,"&lt;&gt;0")+COUNTIF(AZ$3:AZ664,AZ664)-876)</f>
        <v/>
      </c>
      <c r="BT664" s="76"/>
      <c r="CN664">
        <v>663</v>
      </c>
    </row>
    <row r="665" spans="1:92" x14ac:dyDescent="0.3">
      <c r="A665" s="118" t="s">
        <v>1640</v>
      </c>
      <c r="B665" t="s">
        <v>1641</v>
      </c>
      <c r="C665" t="s">
        <v>1642</v>
      </c>
      <c r="D665" s="144" t="s">
        <v>797</v>
      </c>
      <c r="E665" t="s">
        <v>813</v>
      </c>
      <c r="F665" t="s">
        <v>1643</v>
      </c>
      <c r="G665" t="s">
        <v>815</v>
      </c>
      <c r="H665" t="s">
        <v>871</v>
      </c>
      <c r="I665" t="s">
        <v>817</v>
      </c>
      <c r="J665" t="s">
        <v>818</v>
      </c>
      <c r="K665" t="s">
        <v>802</v>
      </c>
      <c r="L665" t="s">
        <v>803</v>
      </c>
      <c r="M665" t="s">
        <v>208</v>
      </c>
      <c r="N665" t="s">
        <v>1644</v>
      </c>
      <c r="O665" t="s">
        <v>820</v>
      </c>
      <c r="P665" t="s">
        <v>4363</v>
      </c>
      <c r="Q665" t="s">
        <v>4410</v>
      </c>
      <c r="R665">
        <v>0</v>
      </c>
      <c r="S665">
        <v>0</v>
      </c>
      <c r="T665">
        <v>18.14</v>
      </c>
      <c r="U665">
        <v>10</v>
      </c>
      <c r="V665">
        <v>0</v>
      </c>
      <c r="W665">
        <v>0</v>
      </c>
      <c r="X665">
        <v>0</v>
      </c>
      <c r="Y665">
        <v>0</v>
      </c>
      <c r="Z665">
        <v>0</v>
      </c>
      <c r="AA665">
        <v>0</v>
      </c>
      <c r="AB665">
        <v>0</v>
      </c>
      <c r="AC665">
        <v>0</v>
      </c>
      <c r="AD665">
        <v>0</v>
      </c>
      <c r="AE665">
        <v>0</v>
      </c>
      <c r="AF665">
        <v>0</v>
      </c>
      <c r="AG665">
        <v>0</v>
      </c>
      <c r="AH665">
        <v>0</v>
      </c>
      <c r="AI665">
        <v>0</v>
      </c>
      <c r="AJ665" t="s">
        <v>821</v>
      </c>
      <c r="AK665" t="s">
        <v>1149</v>
      </c>
      <c r="AL665" t="s">
        <v>208</v>
      </c>
      <c r="AM665" t="s">
        <v>1184</v>
      </c>
      <c r="AN665" t="s">
        <v>824</v>
      </c>
      <c r="AO665" t="s">
        <v>772</v>
      </c>
      <c r="AP665" t="s">
        <v>1204</v>
      </c>
      <c r="AY665" t="str">
        <f t="shared" si="189"/>
        <v/>
      </c>
      <c r="AZ665" t="str">
        <f>IF(COUNTIF(AY:AY,AY665)=1,AY665,IF(AND(COUNTIF(AY:AY,AY665)&gt;1,COUNTIF(AZ$2:AZ664,AY665)&gt;=1),"",AY665))</f>
        <v/>
      </c>
      <c r="BA665" t="str">
        <f>IF(AZ665="","",COUNTIFS(AZ$3:AZ$1439,"&lt;"&amp;AZ665,AZ$3:AZ$1439,"&lt;&gt;0")+COUNTIF(AZ$3:AZ665,AZ665)-876)</f>
        <v/>
      </c>
      <c r="BT665" s="76"/>
      <c r="CN665">
        <v>664</v>
      </c>
    </row>
    <row r="666" spans="1:92" x14ac:dyDescent="0.3">
      <c r="A666" s="118" t="s">
        <v>1400</v>
      </c>
      <c r="B666" t="s">
        <v>1401</v>
      </c>
      <c r="C666" t="s">
        <v>1402</v>
      </c>
      <c r="D666" s="144" t="s">
        <v>764</v>
      </c>
      <c r="E666" t="s">
        <v>765</v>
      </c>
      <c r="F666" t="s">
        <v>96</v>
      </c>
      <c r="G666" t="s">
        <v>766</v>
      </c>
      <c r="H666" t="s">
        <v>801</v>
      </c>
      <c r="I666" t="s">
        <v>766</v>
      </c>
      <c r="J666" t="s">
        <v>782</v>
      </c>
      <c r="K666" t="s">
        <v>783</v>
      </c>
      <c r="L666" t="s">
        <v>945</v>
      </c>
      <c r="M666" t="s">
        <v>208</v>
      </c>
      <c r="N666" t="s">
        <v>864</v>
      </c>
      <c r="O666" t="s">
        <v>771</v>
      </c>
      <c r="P666" t="s">
        <v>772</v>
      </c>
      <c r="Q666" t="s">
        <v>869</v>
      </c>
      <c r="R666">
        <v>20</v>
      </c>
      <c r="S666">
        <v>5</v>
      </c>
      <c r="T666">
        <v>0</v>
      </c>
      <c r="U666">
        <v>0</v>
      </c>
      <c r="V666">
        <v>20</v>
      </c>
      <c r="W666">
        <v>5</v>
      </c>
      <c r="X666">
        <v>0</v>
      </c>
      <c r="Y666">
        <v>0</v>
      </c>
      <c r="Z666">
        <v>0</v>
      </c>
      <c r="AA666">
        <v>0</v>
      </c>
      <c r="AB666">
        <v>20</v>
      </c>
      <c r="AC666">
        <v>5</v>
      </c>
      <c r="AD666">
        <v>20</v>
      </c>
      <c r="AE666">
        <v>5</v>
      </c>
      <c r="AF666">
        <v>0</v>
      </c>
      <c r="AG666">
        <v>0</v>
      </c>
      <c r="AH666">
        <v>0</v>
      </c>
      <c r="AI666">
        <v>0</v>
      </c>
      <c r="AJ666" t="s">
        <v>787</v>
      </c>
      <c r="AK666" t="s">
        <v>788</v>
      </c>
      <c r="AL666" t="s">
        <v>208</v>
      </c>
      <c r="AM666" t="s">
        <v>789</v>
      </c>
      <c r="AN666" t="s">
        <v>771</v>
      </c>
      <c r="AO666" t="s">
        <v>772</v>
      </c>
      <c r="AP666" t="s">
        <v>794</v>
      </c>
      <c r="AY666" t="str">
        <f t="shared" si="189"/>
        <v>HISTACLINE</v>
      </c>
      <c r="AZ666" t="str">
        <f>IF(COUNTIF(AY:AY,AY666)=1,AY666,IF(AND(COUNTIF(AY:AY,AY666)&gt;1,COUNTIF(AZ$2:AZ665,AY666)&gt;=1),"",AY666))</f>
        <v>HISTACLINE</v>
      </c>
      <c r="BA666">
        <f>IF(AZ666="","",COUNTIFS(AZ$3:AZ$1439,"&lt;"&amp;AZ666,AZ$3:AZ$1439,"&lt;&gt;0")+COUNTIF(AZ$3:AZ666,AZ666)-876)</f>
        <v>252</v>
      </c>
      <c r="BT666" s="76"/>
      <c r="CN666">
        <v>665</v>
      </c>
    </row>
    <row r="667" spans="1:92" x14ac:dyDescent="0.3">
      <c r="A667" s="118" t="s">
        <v>1400</v>
      </c>
      <c r="B667" t="s">
        <v>1403</v>
      </c>
      <c r="C667" t="s">
        <v>1404</v>
      </c>
      <c r="D667" s="144" t="s">
        <v>776</v>
      </c>
      <c r="E667" t="s">
        <v>765</v>
      </c>
      <c r="F667" t="s">
        <v>96</v>
      </c>
      <c r="G667" t="s">
        <v>766</v>
      </c>
      <c r="H667" t="s">
        <v>801</v>
      </c>
      <c r="I667" t="s">
        <v>766</v>
      </c>
      <c r="J667" t="s">
        <v>782</v>
      </c>
      <c r="K667" t="s">
        <v>783</v>
      </c>
      <c r="L667" t="s">
        <v>945</v>
      </c>
      <c r="M667" t="s">
        <v>208</v>
      </c>
      <c r="N667" t="s">
        <v>864</v>
      </c>
      <c r="O667" t="s">
        <v>771</v>
      </c>
      <c r="P667" t="s">
        <v>772</v>
      </c>
      <c r="Q667" t="s">
        <v>780</v>
      </c>
      <c r="R667">
        <v>20</v>
      </c>
      <c r="S667">
        <v>5</v>
      </c>
      <c r="T667">
        <v>0</v>
      </c>
      <c r="U667">
        <v>0</v>
      </c>
      <c r="V667">
        <v>20</v>
      </c>
      <c r="W667">
        <v>5</v>
      </c>
      <c r="X667">
        <v>0</v>
      </c>
      <c r="Y667">
        <v>0</v>
      </c>
      <c r="Z667">
        <v>0</v>
      </c>
      <c r="AA667">
        <v>0</v>
      </c>
      <c r="AB667">
        <v>20</v>
      </c>
      <c r="AC667">
        <v>5</v>
      </c>
      <c r="AD667">
        <v>20</v>
      </c>
      <c r="AE667">
        <v>5</v>
      </c>
      <c r="AF667">
        <v>0</v>
      </c>
      <c r="AG667">
        <v>0</v>
      </c>
      <c r="AH667">
        <v>0</v>
      </c>
      <c r="AI667">
        <v>0</v>
      </c>
      <c r="AJ667" t="s">
        <v>787</v>
      </c>
      <c r="AK667" t="s">
        <v>788</v>
      </c>
      <c r="AL667" t="s">
        <v>208</v>
      </c>
      <c r="AM667" t="s">
        <v>789</v>
      </c>
      <c r="AN667" t="s">
        <v>771</v>
      </c>
      <c r="AO667" t="s">
        <v>772</v>
      </c>
      <c r="AP667" t="s">
        <v>798</v>
      </c>
      <c r="AY667" t="str">
        <f t="shared" si="189"/>
        <v>HISTACLINE</v>
      </c>
      <c r="AZ667" t="str">
        <f>IF(COUNTIF(AY:AY,AY667)=1,AY667,IF(AND(COUNTIF(AY:AY,AY667)&gt;1,COUNTIF(AZ$2:AZ666,AY667)&gt;=1),"",AY667))</f>
        <v/>
      </c>
      <c r="BA667" t="str">
        <f>IF(AZ667="","",COUNTIFS(AZ$3:AZ$1439,"&lt;"&amp;AZ667,AZ$3:AZ$1439,"&lt;&gt;0")+COUNTIF(AZ$3:AZ667,AZ667)-876)</f>
        <v/>
      </c>
      <c r="BT667" s="76"/>
      <c r="CN667">
        <v>666</v>
      </c>
    </row>
    <row r="668" spans="1:92" x14ac:dyDescent="0.3">
      <c r="A668" s="118" t="s">
        <v>1400</v>
      </c>
      <c r="B668" t="s">
        <v>4398</v>
      </c>
      <c r="C668" t="s">
        <v>1839</v>
      </c>
      <c r="D668" s="144" t="s">
        <v>764</v>
      </c>
      <c r="E668" t="s">
        <v>765</v>
      </c>
      <c r="F668" t="s">
        <v>96</v>
      </c>
      <c r="G668" t="s">
        <v>766</v>
      </c>
      <c r="H668" t="s">
        <v>801</v>
      </c>
      <c r="I668" t="s">
        <v>766</v>
      </c>
      <c r="J668" t="s">
        <v>782</v>
      </c>
      <c r="K668" t="s">
        <v>783</v>
      </c>
      <c r="L668" t="s">
        <v>945</v>
      </c>
      <c r="M668" t="s">
        <v>208</v>
      </c>
      <c r="N668" t="s">
        <v>864</v>
      </c>
      <c r="O668" t="s">
        <v>771</v>
      </c>
      <c r="P668" t="s">
        <v>772</v>
      </c>
      <c r="Q668" t="s">
        <v>869</v>
      </c>
      <c r="R668">
        <v>20</v>
      </c>
      <c r="S668">
        <v>5</v>
      </c>
      <c r="T668">
        <v>0</v>
      </c>
      <c r="U668">
        <v>0</v>
      </c>
      <c r="V668">
        <v>20</v>
      </c>
      <c r="W668">
        <v>5</v>
      </c>
      <c r="X668">
        <v>0</v>
      </c>
      <c r="Y668">
        <v>0</v>
      </c>
      <c r="Z668">
        <v>0</v>
      </c>
      <c r="AA668">
        <v>0</v>
      </c>
      <c r="AB668">
        <v>20</v>
      </c>
      <c r="AC668">
        <v>5</v>
      </c>
      <c r="AD668">
        <v>20</v>
      </c>
      <c r="AE668">
        <v>5</v>
      </c>
      <c r="AF668">
        <v>0</v>
      </c>
      <c r="AG668">
        <v>0</v>
      </c>
      <c r="AH668">
        <v>0</v>
      </c>
      <c r="AI668">
        <v>0</v>
      </c>
      <c r="AJ668" t="s">
        <v>787</v>
      </c>
      <c r="AK668" t="s">
        <v>788</v>
      </c>
      <c r="AL668" t="s">
        <v>208</v>
      </c>
      <c r="AM668" t="s">
        <v>789</v>
      </c>
      <c r="AN668" t="s">
        <v>771</v>
      </c>
      <c r="AO668" t="s">
        <v>772</v>
      </c>
      <c r="AP668" t="s">
        <v>794</v>
      </c>
      <c r="AY668" t="str">
        <f t="shared" si="189"/>
        <v>HISTACLINE</v>
      </c>
      <c r="AZ668" t="str">
        <f>IF(COUNTIF(AY:AY,AY668)=1,AY668,IF(AND(COUNTIF(AY:AY,AY668)&gt;1,COUNTIF(AZ$2:AZ667,AY668)&gt;=1),"",AY668))</f>
        <v/>
      </c>
      <c r="BA668" t="str">
        <f>IF(AZ668="","",COUNTIFS(AZ$3:AZ$1439,"&lt;"&amp;AZ668,AZ$3:AZ$1439,"&lt;&gt;0")+COUNTIF(AZ$3:AZ668,AZ668)-876)</f>
        <v/>
      </c>
      <c r="BT668" s="76"/>
      <c r="CN668">
        <v>667</v>
      </c>
    </row>
    <row r="669" spans="1:92" x14ac:dyDescent="0.3">
      <c r="A669" s="118" t="s">
        <v>1400</v>
      </c>
      <c r="B669" t="s">
        <v>4399</v>
      </c>
      <c r="C669" t="s">
        <v>1842</v>
      </c>
      <c r="D669" s="144" t="s">
        <v>776</v>
      </c>
      <c r="E669" t="s">
        <v>765</v>
      </c>
      <c r="F669" t="s">
        <v>96</v>
      </c>
      <c r="G669" t="s">
        <v>766</v>
      </c>
      <c r="H669" t="s">
        <v>801</v>
      </c>
      <c r="I669" t="s">
        <v>766</v>
      </c>
      <c r="J669" t="s">
        <v>782</v>
      </c>
      <c r="K669" t="s">
        <v>783</v>
      </c>
      <c r="L669" t="s">
        <v>945</v>
      </c>
      <c r="M669" t="s">
        <v>208</v>
      </c>
      <c r="N669" t="s">
        <v>864</v>
      </c>
      <c r="O669" t="s">
        <v>771</v>
      </c>
      <c r="P669" t="s">
        <v>772</v>
      </c>
      <c r="Q669" t="s">
        <v>780</v>
      </c>
      <c r="R669">
        <v>20</v>
      </c>
      <c r="S669">
        <v>5</v>
      </c>
      <c r="T669">
        <v>0</v>
      </c>
      <c r="U669">
        <v>0</v>
      </c>
      <c r="V669">
        <v>20</v>
      </c>
      <c r="W669">
        <v>5</v>
      </c>
      <c r="X669">
        <v>0</v>
      </c>
      <c r="Y669">
        <v>0</v>
      </c>
      <c r="Z669">
        <v>0</v>
      </c>
      <c r="AA669">
        <v>0</v>
      </c>
      <c r="AB669">
        <v>20</v>
      </c>
      <c r="AC669">
        <v>5</v>
      </c>
      <c r="AD669">
        <v>20</v>
      </c>
      <c r="AE669">
        <v>5</v>
      </c>
      <c r="AF669">
        <v>0</v>
      </c>
      <c r="AG669">
        <v>0</v>
      </c>
      <c r="AH669">
        <v>0</v>
      </c>
      <c r="AI669">
        <v>0</v>
      </c>
      <c r="AJ669" t="s">
        <v>787</v>
      </c>
      <c r="AK669" t="s">
        <v>788</v>
      </c>
      <c r="AL669" t="s">
        <v>208</v>
      </c>
      <c r="AM669" t="s">
        <v>789</v>
      </c>
      <c r="AN669" t="s">
        <v>771</v>
      </c>
      <c r="AO669" t="s">
        <v>772</v>
      </c>
      <c r="AP669" t="s">
        <v>798</v>
      </c>
      <c r="AY669" t="str">
        <f t="shared" si="189"/>
        <v>HISTACLINE</v>
      </c>
      <c r="AZ669" t="str">
        <f>IF(COUNTIF(AY:AY,AY669)=1,AY669,IF(AND(COUNTIF(AY:AY,AY669)&gt;1,COUNTIF(AZ$2:AZ668,AY669)&gt;=1),"",AY669))</f>
        <v/>
      </c>
      <c r="BA669" t="str">
        <f>IF(AZ669="","",COUNTIFS(AZ$3:AZ$1439,"&lt;"&amp;AZ669,AZ$3:AZ$1439,"&lt;&gt;0")+COUNTIF(AZ$3:AZ669,AZ669)-876)</f>
        <v/>
      </c>
      <c r="BT669" s="76"/>
      <c r="CN669">
        <v>668</v>
      </c>
    </row>
    <row r="670" spans="1:92" x14ac:dyDescent="0.3">
      <c r="A670" s="118" t="s">
        <v>4748</v>
      </c>
      <c r="B670" t="s">
        <v>4749</v>
      </c>
      <c r="C670" t="s">
        <v>4750</v>
      </c>
      <c r="D670" t="s">
        <v>829</v>
      </c>
      <c r="E670" t="s">
        <v>830</v>
      </c>
      <c r="F670" t="s">
        <v>4751</v>
      </c>
      <c r="G670" t="s">
        <v>831</v>
      </c>
      <c r="H670" t="s">
        <v>4155</v>
      </c>
      <c r="I670" t="s">
        <v>817</v>
      </c>
      <c r="J670" t="s">
        <v>787</v>
      </c>
      <c r="K670" t="s">
        <v>787</v>
      </c>
      <c r="L670" t="s">
        <v>1055</v>
      </c>
      <c r="M670" t="s">
        <v>208</v>
      </c>
      <c r="N670" t="s">
        <v>3611</v>
      </c>
      <c r="O670" t="s">
        <v>894</v>
      </c>
      <c r="P670" t="s">
        <v>772</v>
      </c>
      <c r="Q670" t="s">
        <v>3611</v>
      </c>
      <c r="R670">
        <v>0</v>
      </c>
      <c r="S670">
        <v>0</v>
      </c>
      <c r="T670">
        <v>0</v>
      </c>
      <c r="U670">
        <v>0</v>
      </c>
      <c r="V670">
        <v>0</v>
      </c>
      <c r="W670">
        <v>0</v>
      </c>
      <c r="X670">
        <v>0</v>
      </c>
      <c r="Y670">
        <v>0</v>
      </c>
      <c r="Z670">
        <v>0</v>
      </c>
      <c r="AA670">
        <v>0</v>
      </c>
      <c r="AB670">
        <v>0</v>
      </c>
      <c r="AC670">
        <v>0</v>
      </c>
      <c r="AD670">
        <v>17.399999999999999</v>
      </c>
      <c r="AE670">
        <v>5</v>
      </c>
      <c r="AF670">
        <v>17.399999999999999</v>
      </c>
      <c r="AG670">
        <v>5</v>
      </c>
      <c r="AH670">
        <v>0</v>
      </c>
      <c r="AI670">
        <v>0</v>
      </c>
      <c r="AY670" t="str">
        <f t="shared" si="189"/>
        <v>HUVAMOX 697 MG/G POUDRE POUR ADMINISTRATION DANS L’EAU DE BOISSON POUR POULES, DINDES, CANARDS ET PORCS</v>
      </c>
      <c r="AZ670" t="str">
        <f>IF(COUNTIF(AY:AY,AY670)=1,AY670,IF(AND(COUNTIF(AY:AY,AY670)&gt;1,COUNTIF(AZ$2:AZ669,AY670)&gt;=1),"",AY670))</f>
        <v>HUVAMOX 697 MG/G POUDRE POUR ADMINISTRATION DANS L’EAU DE BOISSON POUR POULES, DINDES, CANARDS ET PORCS</v>
      </c>
      <c r="BA670">
        <f>IF(AZ670="","",COUNTIFS(AZ$3:AZ$1439,"&lt;"&amp;AZ670,AZ$3:AZ$1439,"&lt;&gt;0")+COUNTIF(AZ$3:AZ670,AZ670)-876)</f>
        <v>253</v>
      </c>
      <c r="BT670" s="76"/>
      <c r="CN670">
        <v>669</v>
      </c>
    </row>
    <row r="671" spans="1:92" x14ac:dyDescent="0.3">
      <c r="A671" s="118" t="s">
        <v>3451</v>
      </c>
      <c r="B671" t="s">
        <v>3452</v>
      </c>
      <c r="C671" t="s">
        <v>1835</v>
      </c>
      <c r="D671" s="144" t="s">
        <v>829</v>
      </c>
      <c r="E671" t="s">
        <v>830</v>
      </c>
      <c r="F671" t="s">
        <v>367</v>
      </c>
      <c r="G671" t="s">
        <v>831</v>
      </c>
      <c r="H671" t="s">
        <v>1264</v>
      </c>
      <c r="I671" t="s">
        <v>817</v>
      </c>
      <c r="J671" t="s">
        <v>768</v>
      </c>
      <c r="K671" t="s">
        <v>768</v>
      </c>
      <c r="L671" t="s">
        <v>2121</v>
      </c>
      <c r="M671" t="s">
        <v>208</v>
      </c>
      <c r="N671" t="s">
        <v>906</v>
      </c>
      <c r="O671" t="s">
        <v>894</v>
      </c>
      <c r="P671" t="s">
        <v>772</v>
      </c>
      <c r="Q671" t="s">
        <v>906</v>
      </c>
      <c r="R671">
        <v>0</v>
      </c>
      <c r="S671">
        <v>0</v>
      </c>
      <c r="T671">
        <v>0</v>
      </c>
      <c r="U671">
        <v>0</v>
      </c>
      <c r="V671">
        <v>0</v>
      </c>
      <c r="W671">
        <v>0</v>
      </c>
      <c r="X671">
        <v>0</v>
      </c>
      <c r="Y671">
        <v>0</v>
      </c>
      <c r="Z671">
        <v>0</v>
      </c>
      <c r="AA671">
        <v>0</v>
      </c>
      <c r="AB671">
        <v>0</v>
      </c>
      <c r="AC671">
        <v>0</v>
      </c>
      <c r="AD671">
        <v>10</v>
      </c>
      <c r="AE671">
        <v>5</v>
      </c>
      <c r="AF671">
        <v>20</v>
      </c>
      <c r="AG671">
        <v>5</v>
      </c>
      <c r="AH671">
        <v>0</v>
      </c>
      <c r="AI671">
        <v>0</v>
      </c>
      <c r="AY671" t="str">
        <f t="shared" si="189"/>
        <v>HYDRODOXX 500 MG/G POUDRE POUR ADMINISTRATION DANS L'EAU DE BOISSON POUR POULETS ET PORCS</v>
      </c>
      <c r="AZ671" t="str">
        <f>IF(COUNTIF(AY:AY,AY671)=1,AY671,IF(AND(COUNTIF(AY:AY,AY671)&gt;1,COUNTIF(AZ$2:AZ670,AY671)&gt;=1),"",AY671))</f>
        <v>HYDRODOXX 500 MG/G POUDRE POUR ADMINISTRATION DANS L'EAU DE BOISSON POUR POULETS ET PORCS</v>
      </c>
      <c r="BA671">
        <f>IF(AZ671="","",COUNTIFS(AZ$3:AZ$1439,"&lt;"&amp;AZ671,AZ$3:AZ$1439,"&lt;&gt;0")+COUNTIF(AZ$3:AZ671,AZ671)-876)</f>
        <v>254</v>
      </c>
      <c r="BT671" s="76"/>
      <c r="CN671">
        <v>670</v>
      </c>
    </row>
    <row r="672" spans="1:92" x14ac:dyDescent="0.3">
      <c r="A672" s="118" t="s">
        <v>2974</v>
      </c>
      <c r="B672" t="s">
        <v>2975</v>
      </c>
      <c r="C672" t="s">
        <v>2976</v>
      </c>
      <c r="D672" s="144" t="s">
        <v>972</v>
      </c>
      <c r="E672" t="s">
        <v>765</v>
      </c>
      <c r="F672" t="s">
        <v>2977</v>
      </c>
      <c r="G672" t="s">
        <v>1218</v>
      </c>
      <c r="H672" t="s">
        <v>208</v>
      </c>
      <c r="I672" t="s">
        <v>817</v>
      </c>
      <c r="J672" t="s">
        <v>2366</v>
      </c>
      <c r="K672" t="s">
        <v>2366</v>
      </c>
      <c r="L672" t="s">
        <v>2978</v>
      </c>
      <c r="M672" t="s">
        <v>208</v>
      </c>
      <c r="N672" t="s">
        <v>2979</v>
      </c>
      <c r="O672" t="s">
        <v>771</v>
      </c>
      <c r="P672" t="s">
        <v>772</v>
      </c>
      <c r="Q672" t="s">
        <v>2980</v>
      </c>
      <c r="R672">
        <v>0</v>
      </c>
      <c r="S672">
        <v>0</v>
      </c>
      <c r="T672">
        <v>15</v>
      </c>
      <c r="U672">
        <v>10</v>
      </c>
      <c r="V672">
        <v>15</v>
      </c>
      <c r="W672">
        <v>10</v>
      </c>
      <c r="X672">
        <v>0</v>
      </c>
      <c r="Y672">
        <v>0</v>
      </c>
      <c r="Z672">
        <v>0</v>
      </c>
      <c r="AA672">
        <v>0</v>
      </c>
      <c r="AB672">
        <v>0</v>
      </c>
      <c r="AC672">
        <v>0</v>
      </c>
      <c r="AD672">
        <v>0</v>
      </c>
      <c r="AE672">
        <v>0</v>
      </c>
      <c r="AF672">
        <v>0</v>
      </c>
      <c r="AG672">
        <v>0</v>
      </c>
      <c r="AH672">
        <v>0</v>
      </c>
      <c r="AI672">
        <v>0</v>
      </c>
      <c r="AY672" t="e">
        <f t="shared" si="189"/>
        <v>#N/A</v>
      </c>
      <c r="AZ672" t="e">
        <f>IF(COUNTIF(AY:AY,AY672)=1,AY672,IF(AND(COUNTIF(AY:AY,AY672)&gt;1,COUNTIF(AZ$2:AZ671,AY672)&gt;=1),"",AY672))</f>
        <v>#N/A</v>
      </c>
      <c r="BA672" t="e">
        <f>IF(AZ672="","",COUNTIFS(AZ$3:AZ$1439,"&lt;"&amp;AZ672,AZ$3:AZ$1439,"&lt;&gt;0")+COUNTIF(AZ$3:AZ672,AZ672)-876)</f>
        <v>#N/A</v>
      </c>
      <c r="BT672" s="76"/>
      <c r="CN672">
        <v>671</v>
      </c>
    </row>
    <row r="673" spans="1:92" x14ac:dyDescent="0.3">
      <c r="A673" s="118" t="s">
        <v>4730</v>
      </c>
      <c r="B673" t="s">
        <v>4731</v>
      </c>
      <c r="C673" t="s">
        <v>796</v>
      </c>
      <c r="D673" t="s">
        <v>776</v>
      </c>
      <c r="E673" t="s">
        <v>765</v>
      </c>
      <c r="F673" t="s">
        <v>4732</v>
      </c>
      <c r="G673" t="s">
        <v>766</v>
      </c>
      <c r="H673" t="s">
        <v>1484</v>
      </c>
      <c r="I673" t="s">
        <v>766</v>
      </c>
      <c r="J673" t="s">
        <v>802</v>
      </c>
      <c r="K673" t="s">
        <v>802</v>
      </c>
      <c r="L673" t="s">
        <v>3008</v>
      </c>
      <c r="M673" t="s">
        <v>208</v>
      </c>
      <c r="N673" t="s">
        <v>764</v>
      </c>
      <c r="O673" t="s">
        <v>771</v>
      </c>
      <c r="P673" t="s">
        <v>772</v>
      </c>
      <c r="Q673" t="s">
        <v>855</v>
      </c>
      <c r="R673">
        <v>2.5</v>
      </c>
      <c r="S673">
        <v>1</v>
      </c>
      <c r="T673">
        <v>0</v>
      </c>
      <c r="U673">
        <v>0</v>
      </c>
      <c r="V673">
        <v>0</v>
      </c>
      <c r="W673">
        <v>0</v>
      </c>
      <c r="X673">
        <v>0</v>
      </c>
      <c r="Y673">
        <v>0</v>
      </c>
      <c r="Z673">
        <v>0</v>
      </c>
      <c r="AA673">
        <v>0</v>
      </c>
      <c r="AB673">
        <v>2.5</v>
      </c>
      <c r="AC673">
        <v>1</v>
      </c>
      <c r="AD673">
        <v>2.5</v>
      </c>
      <c r="AE673">
        <v>1</v>
      </c>
      <c r="AF673">
        <v>0</v>
      </c>
      <c r="AG673">
        <v>0</v>
      </c>
      <c r="AH673">
        <v>0</v>
      </c>
      <c r="AI673">
        <v>0</v>
      </c>
      <c r="AY673" t="str">
        <f t="shared" si="189"/>
        <v>INCREXXA 100 MG/ML SOLUTION INJECTABLE POUR BOVINS PORCINS ET OVINS</v>
      </c>
      <c r="AZ673" t="str">
        <f>IF(COUNTIF(AY:AY,AY673)=1,AY673,IF(AND(COUNTIF(AY:AY,AY673)&gt;1,COUNTIF(AZ$2:AZ672,AY673)&gt;=1),"",AY673))</f>
        <v>INCREXXA 100 MG/ML SOLUTION INJECTABLE POUR BOVINS PORCINS ET OVINS</v>
      </c>
      <c r="BA673">
        <f>IF(AZ673="","",COUNTIFS(AZ$3:AZ$1439,"&lt;"&amp;AZ673,AZ$3:AZ$1439,"&lt;&gt;0")+COUNTIF(AZ$3:AZ673,AZ673)-876)</f>
        <v>255</v>
      </c>
      <c r="BT673" s="76"/>
      <c r="CN673">
        <v>672</v>
      </c>
    </row>
    <row r="674" spans="1:92" x14ac:dyDescent="0.3">
      <c r="A674" s="118" t="s">
        <v>4730</v>
      </c>
      <c r="B674" t="s">
        <v>4733</v>
      </c>
      <c r="C674" t="s">
        <v>792</v>
      </c>
      <c r="D674" t="s">
        <v>764</v>
      </c>
      <c r="E674" t="s">
        <v>765</v>
      </c>
      <c r="F674" t="s">
        <v>4732</v>
      </c>
      <c r="G674" t="s">
        <v>766</v>
      </c>
      <c r="H674" t="s">
        <v>1484</v>
      </c>
      <c r="I674" t="s">
        <v>766</v>
      </c>
      <c r="J674" t="s">
        <v>802</v>
      </c>
      <c r="K674" t="s">
        <v>802</v>
      </c>
      <c r="L674" t="s">
        <v>3008</v>
      </c>
      <c r="M674" t="s">
        <v>208</v>
      </c>
      <c r="N674" t="s">
        <v>764</v>
      </c>
      <c r="O674" t="s">
        <v>771</v>
      </c>
      <c r="P674" t="s">
        <v>772</v>
      </c>
      <c r="Q674" t="s">
        <v>852</v>
      </c>
      <c r="R674">
        <v>2.5</v>
      </c>
      <c r="S674">
        <v>1</v>
      </c>
      <c r="T674">
        <v>0</v>
      </c>
      <c r="U674">
        <v>0</v>
      </c>
      <c r="V674">
        <v>0</v>
      </c>
      <c r="W674">
        <v>0</v>
      </c>
      <c r="X674">
        <v>0</v>
      </c>
      <c r="Y674">
        <v>0</v>
      </c>
      <c r="Z674">
        <v>0</v>
      </c>
      <c r="AA674">
        <v>0</v>
      </c>
      <c r="AB674">
        <v>2.5</v>
      </c>
      <c r="AC674">
        <v>1</v>
      </c>
      <c r="AD674">
        <v>2.5</v>
      </c>
      <c r="AE674">
        <v>1</v>
      </c>
      <c r="AF674">
        <v>0</v>
      </c>
      <c r="AG674">
        <v>0</v>
      </c>
      <c r="AH674">
        <v>0</v>
      </c>
      <c r="AI674">
        <v>0</v>
      </c>
      <c r="AY674" t="str">
        <f t="shared" si="189"/>
        <v>INCREXXA 100 MG/ML SOLUTION INJECTABLE POUR BOVINS PORCINS ET OVINS</v>
      </c>
      <c r="AZ674" t="str">
        <f>IF(COUNTIF(AY:AY,AY674)=1,AY674,IF(AND(COUNTIF(AY:AY,AY674)&gt;1,COUNTIF(AZ$2:AZ673,AY674)&gt;=1),"",AY674))</f>
        <v/>
      </c>
      <c r="BA674" t="str">
        <f>IF(AZ674="","",COUNTIFS(AZ$3:AZ$1439,"&lt;"&amp;AZ674,AZ$3:AZ$1439,"&lt;&gt;0")+COUNTIF(AZ$3:AZ674,AZ674)-876)</f>
        <v/>
      </c>
      <c r="BT674" s="76"/>
      <c r="CN674">
        <v>673</v>
      </c>
    </row>
    <row r="675" spans="1:92" x14ac:dyDescent="0.3">
      <c r="A675" s="118" t="s">
        <v>4727</v>
      </c>
      <c r="B675" t="s">
        <v>4728</v>
      </c>
      <c r="C675" t="s">
        <v>792</v>
      </c>
      <c r="D675" t="s">
        <v>764</v>
      </c>
      <c r="E675" t="s">
        <v>765</v>
      </c>
      <c r="F675" t="s">
        <v>4729</v>
      </c>
      <c r="G675" t="s">
        <v>766</v>
      </c>
      <c r="H675" t="s">
        <v>1213</v>
      </c>
      <c r="I675" t="s">
        <v>766</v>
      </c>
      <c r="J675" t="s">
        <v>802</v>
      </c>
      <c r="K675" t="s">
        <v>802</v>
      </c>
      <c r="L675" t="s">
        <v>3008</v>
      </c>
      <c r="M675" t="s">
        <v>208</v>
      </c>
      <c r="N675" t="s">
        <v>855</v>
      </c>
      <c r="O675" t="s">
        <v>771</v>
      </c>
      <c r="P675" t="s">
        <v>772</v>
      </c>
      <c r="Q675" t="s">
        <v>1126</v>
      </c>
      <c r="R675">
        <v>0</v>
      </c>
      <c r="S675">
        <v>0</v>
      </c>
      <c r="T675">
        <v>0</v>
      </c>
      <c r="U675">
        <v>0</v>
      </c>
      <c r="V675">
        <v>0</v>
      </c>
      <c r="W675">
        <v>0</v>
      </c>
      <c r="X675">
        <v>0</v>
      </c>
      <c r="Y675">
        <v>0</v>
      </c>
      <c r="Z675">
        <v>0</v>
      </c>
      <c r="AA675">
        <v>0</v>
      </c>
      <c r="AB675">
        <v>0</v>
      </c>
      <c r="AC675">
        <v>0</v>
      </c>
      <c r="AD675">
        <v>2.5</v>
      </c>
      <c r="AE675">
        <v>1</v>
      </c>
      <c r="AF675">
        <v>0</v>
      </c>
      <c r="AG675">
        <v>0</v>
      </c>
      <c r="AH675">
        <v>0</v>
      </c>
      <c r="AI675">
        <v>0</v>
      </c>
      <c r="AY675" t="str">
        <f t="shared" si="189"/>
        <v>INCREXXA 25 MG/ML SOLUTION INJECTABLE POUR PORCINS</v>
      </c>
      <c r="AZ675" t="str">
        <f>IF(COUNTIF(AY:AY,AY675)=1,AY675,IF(AND(COUNTIF(AY:AY,AY675)&gt;1,COUNTIF(AZ$2:AZ674,AY675)&gt;=1),"",AY675))</f>
        <v>INCREXXA 25 MG/ML SOLUTION INJECTABLE POUR PORCINS</v>
      </c>
      <c r="BA675">
        <f>IF(AZ675="","",COUNTIFS(AZ$3:AZ$1439,"&lt;"&amp;AZ675,AZ$3:AZ$1439,"&lt;&gt;0")+COUNTIF(AZ$3:AZ675,AZ675)-876)</f>
        <v>256</v>
      </c>
      <c r="BT675" s="76"/>
      <c r="CN675">
        <v>674</v>
      </c>
    </row>
    <row r="676" spans="1:92" x14ac:dyDescent="0.3">
      <c r="A676" s="118" t="s">
        <v>2158</v>
      </c>
      <c r="B676" t="s">
        <v>2159</v>
      </c>
      <c r="C676" t="s">
        <v>1313</v>
      </c>
      <c r="D676" s="144" t="s">
        <v>955</v>
      </c>
      <c r="E676" t="s">
        <v>830</v>
      </c>
      <c r="F676" t="s">
        <v>368</v>
      </c>
      <c r="G676" t="s">
        <v>1064</v>
      </c>
      <c r="H676" t="s">
        <v>2160</v>
      </c>
      <c r="I676" t="s">
        <v>1066</v>
      </c>
      <c r="J676" t="s">
        <v>1559</v>
      </c>
      <c r="K676" t="s">
        <v>1559</v>
      </c>
      <c r="L676" t="s">
        <v>1560</v>
      </c>
      <c r="M676" t="s">
        <v>208</v>
      </c>
      <c r="N676" t="s">
        <v>1214</v>
      </c>
      <c r="O676" t="s">
        <v>894</v>
      </c>
      <c r="P676" t="s">
        <v>772</v>
      </c>
      <c r="Q676" t="s">
        <v>2161</v>
      </c>
      <c r="R676">
        <v>0</v>
      </c>
      <c r="S676">
        <v>0</v>
      </c>
      <c r="T676">
        <v>0</v>
      </c>
      <c r="U676">
        <v>0</v>
      </c>
      <c r="V676">
        <v>0</v>
      </c>
      <c r="W676">
        <v>0</v>
      </c>
      <c r="X676">
        <v>12</v>
      </c>
      <c r="Y676">
        <v>7</v>
      </c>
      <c r="Z676">
        <v>0</v>
      </c>
      <c r="AA676">
        <v>0</v>
      </c>
      <c r="AB676">
        <v>0</v>
      </c>
      <c r="AC676">
        <v>0</v>
      </c>
      <c r="AD676">
        <v>0</v>
      </c>
      <c r="AE676">
        <v>0</v>
      </c>
      <c r="AF676">
        <v>0</v>
      </c>
      <c r="AG676">
        <v>0</v>
      </c>
      <c r="AH676">
        <v>0</v>
      </c>
      <c r="AI676">
        <v>0</v>
      </c>
      <c r="AY676" t="str">
        <f t="shared" si="189"/>
        <v>INOXYL ACIDE OXOLINIQUE 240 SALMONIDES</v>
      </c>
      <c r="AZ676" t="str">
        <f>IF(COUNTIF(AY:AY,AY676)=1,AY676,IF(AND(COUNTIF(AY:AY,AY676)&gt;1,COUNTIF(AZ$2:AZ675,AY676)&gt;=1),"",AY676))</f>
        <v>INOXYL ACIDE OXOLINIQUE 240 SALMONIDES</v>
      </c>
      <c r="BA676">
        <f>IF(AZ676="","",COUNTIFS(AZ$3:AZ$1439,"&lt;"&amp;AZ676,AZ$3:AZ$1439,"&lt;&gt;0")+COUNTIF(AZ$3:AZ676,AZ676)-876)</f>
        <v>257</v>
      </c>
      <c r="BT676" s="76"/>
      <c r="CN676">
        <v>675</v>
      </c>
    </row>
    <row r="677" spans="1:92" x14ac:dyDescent="0.3">
      <c r="A677" s="118" t="s">
        <v>2191</v>
      </c>
      <c r="B677" t="s">
        <v>2192</v>
      </c>
      <c r="C677" t="s">
        <v>2193</v>
      </c>
      <c r="D677" s="144" t="s">
        <v>1163</v>
      </c>
      <c r="E677" t="s">
        <v>813</v>
      </c>
      <c r="F677" t="s">
        <v>369</v>
      </c>
      <c r="G677" t="s">
        <v>815</v>
      </c>
      <c r="H677" t="s">
        <v>169</v>
      </c>
      <c r="I677" t="s">
        <v>817</v>
      </c>
      <c r="J677" t="s">
        <v>1559</v>
      </c>
      <c r="K677" t="s">
        <v>1559</v>
      </c>
      <c r="L677" t="s">
        <v>1560</v>
      </c>
      <c r="M677" t="s">
        <v>208</v>
      </c>
      <c r="N677" t="s">
        <v>2194</v>
      </c>
      <c r="O677" t="s">
        <v>824</v>
      </c>
      <c r="P677" t="s">
        <v>772</v>
      </c>
      <c r="Q677" t="s">
        <v>2195</v>
      </c>
      <c r="R677">
        <v>14.4</v>
      </c>
      <c r="S677">
        <v>5</v>
      </c>
      <c r="T677">
        <v>0</v>
      </c>
      <c r="U677">
        <v>0</v>
      </c>
      <c r="V677">
        <v>0</v>
      </c>
      <c r="W677">
        <v>0</v>
      </c>
      <c r="X677">
        <v>0</v>
      </c>
      <c r="Y677">
        <v>0</v>
      </c>
      <c r="Z677">
        <v>0</v>
      </c>
      <c r="AA677">
        <v>0</v>
      </c>
      <c r="AB677">
        <v>14.4</v>
      </c>
      <c r="AC677">
        <v>5</v>
      </c>
      <c r="AD677">
        <v>0</v>
      </c>
      <c r="AE677">
        <v>0</v>
      </c>
      <c r="AF677">
        <v>0</v>
      </c>
      <c r="AG677">
        <v>0</v>
      </c>
      <c r="AH677">
        <v>0</v>
      </c>
      <c r="AI677">
        <v>0</v>
      </c>
      <c r="AY677" t="str">
        <f t="shared" si="189"/>
        <v>INOXYL BOLUS</v>
      </c>
      <c r="AZ677" t="str">
        <f>IF(COUNTIF(AY:AY,AY677)=1,AY677,IF(AND(COUNTIF(AY:AY,AY677)&gt;1,COUNTIF(AZ$2:AZ676,AY677)&gt;=1),"",AY677))</f>
        <v>INOXYL BOLUS</v>
      </c>
      <c r="BA677">
        <f>IF(AZ677="","",COUNTIFS(AZ$3:AZ$1439,"&lt;"&amp;AZ677,AZ$3:AZ$1439,"&lt;&gt;0")+COUNTIF(AZ$3:AZ677,AZ677)-876)</f>
        <v>258</v>
      </c>
      <c r="BT677" s="76"/>
      <c r="CN677">
        <v>676</v>
      </c>
    </row>
    <row r="678" spans="1:92" x14ac:dyDescent="0.3">
      <c r="A678" s="118" t="s">
        <v>2266</v>
      </c>
      <c r="B678" t="s">
        <v>2267</v>
      </c>
      <c r="C678" t="s">
        <v>4452</v>
      </c>
      <c r="D678" s="144" t="s">
        <v>1155</v>
      </c>
      <c r="E678" t="s">
        <v>765</v>
      </c>
      <c r="F678" t="s">
        <v>370</v>
      </c>
      <c r="G678" t="s">
        <v>1218</v>
      </c>
      <c r="H678" t="s">
        <v>170</v>
      </c>
      <c r="I678" t="s">
        <v>817</v>
      </c>
      <c r="J678" t="s">
        <v>1559</v>
      </c>
      <c r="K678" t="s">
        <v>1559</v>
      </c>
      <c r="L678" t="s">
        <v>1560</v>
      </c>
      <c r="M678" t="s">
        <v>208</v>
      </c>
      <c r="N678" t="s">
        <v>869</v>
      </c>
      <c r="O678" t="s">
        <v>771</v>
      </c>
      <c r="P678" t="s">
        <v>772</v>
      </c>
      <c r="Q678" t="s">
        <v>1304</v>
      </c>
      <c r="R678">
        <v>0</v>
      </c>
      <c r="S678">
        <v>0</v>
      </c>
      <c r="T678">
        <v>0</v>
      </c>
      <c r="U678">
        <v>0</v>
      </c>
      <c r="V678">
        <v>0</v>
      </c>
      <c r="W678">
        <v>0</v>
      </c>
      <c r="X678">
        <v>0</v>
      </c>
      <c r="Y678">
        <v>0</v>
      </c>
      <c r="Z678">
        <v>0</v>
      </c>
      <c r="AA678">
        <v>0</v>
      </c>
      <c r="AB678">
        <v>0</v>
      </c>
      <c r="AC678">
        <v>0</v>
      </c>
      <c r="AD678">
        <v>40</v>
      </c>
      <c r="AE678">
        <v>2</v>
      </c>
      <c r="AF678">
        <v>0</v>
      </c>
      <c r="AG678">
        <v>0</v>
      </c>
      <c r="AH678">
        <v>0</v>
      </c>
      <c r="AI678">
        <v>0</v>
      </c>
      <c r="AY678" t="str">
        <f t="shared" si="189"/>
        <v>INOXYL PATE ORALE</v>
      </c>
      <c r="AZ678" t="str">
        <f>IF(COUNTIF(AY:AY,AY678)=1,AY678,IF(AND(COUNTIF(AY:AY,AY678)&gt;1,COUNTIF(AZ$2:AZ677,AY678)&gt;=1),"",AY678))</f>
        <v>INOXYL PATE ORALE</v>
      </c>
      <c r="BA678">
        <f>IF(AZ678="","",COUNTIFS(AZ$3:AZ$1439,"&lt;"&amp;AZ678,AZ$3:AZ$1439,"&lt;&gt;0")+COUNTIF(AZ$3:AZ678,AZ678)-876)</f>
        <v>259</v>
      </c>
      <c r="BT678" s="76"/>
      <c r="CN678">
        <v>677</v>
      </c>
    </row>
    <row r="679" spans="1:92" x14ac:dyDescent="0.3">
      <c r="A679" s="118" t="s">
        <v>2109</v>
      </c>
      <c r="B679" t="s">
        <v>2110</v>
      </c>
      <c r="C679" t="s">
        <v>1588</v>
      </c>
      <c r="D679" s="144" t="s">
        <v>829</v>
      </c>
      <c r="E679" t="s">
        <v>830</v>
      </c>
      <c r="F679" t="s">
        <v>371</v>
      </c>
      <c r="G679" t="s">
        <v>831</v>
      </c>
      <c r="H679" t="s">
        <v>1706</v>
      </c>
      <c r="I679" t="s">
        <v>817</v>
      </c>
      <c r="J679" t="s">
        <v>1559</v>
      </c>
      <c r="K679" t="s">
        <v>1559</v>
      </c>
      <c r="L679" t="s">
        <v>1560</v>
      </c>
      <c r="M679" t="s">
        <v>208</v>
      </c>
      <c r="N679" t="s">
        <v>764</v>
      </c>
      <c r="O679" t="s">
        <v>894</v>
      </c>
      <c r="P679" t="s">
        <v>772</v>
      </c>
      <c r="Q679" t="s">
        <v>764</v>
      </c>
      <c r="R679">
        <v>20</v>
      </c>
      <c r="S679">
        <v>5</v>
      </c>
      <c r="T679">
        <v>0</v>
      </c>
      <c r="U679">
        <v>0</v>
      </c>
      <c r="V679">
        <v>0</v>
      </c>
      <c r="W679">
        <v>0</v>
      </c>
      <c r="X679">
        <v>0</v>
      </c>
      <c r="Y679">
        <v>0</v>
      </c>
      <c r="Z679">
        <v>0</v>
      </c>
      <c r="AA679">
        <v>0</v>
      </c>
      <c r="AB679">
        <v>20</v>
      </c>
      <c r="AC679">
        <v>5</v>
      </c>
      <c r="AD679">
        <v>0</v>
      </c>
      <c r="AE679">
        <v>0</v>
      </c>
      <c r="AF679">
        <v>20</v>
      </c>
      <c r="AG679">
        <v>5</v>
      </c>
      <c r="AH679">
        <v>0</v>
      </c>
      <c r="AI679">
        <v>0</v>
      </c>
      <c r="AY679" t="str">
        <f t="shared" si="189"/>
        <v>INOXYL POUDRE ORALE</v>
      </c>
      <c r="AZ679" t="str">
        <f>IF(COUNTIF(AY:AY,AY679)=1,AY679,IF(AND(COUNTIF(AY:AY,AY679)&gt;1,COUNTIF(AZ$2:AZ678,AY679)&gt;=1),"",AY679))</f>
        <v>INOXYL POUDRE ORALE</v>
      </c>
      <c r="BA679">
        <f>IF(AZ679="","",COUNTIFS(AZ$3:AZ$1439,"&lt;"&amp;AZ679,AZ$3:AZ$1439,"&lt;&gt;0")+COUNTIF(AZ$3:AZ679,AZ679)-876)</f>
        <v>260</v>
      </c>
      <c r="BT679" s="76"/>
      <c r="CN679">
        <v>678</v>
      </c>
    </row>
    <row r="680" spans="1:92" x14ac:dyDescent="0.3">
      <c r="A680" s="118" t="s">
        <v>2109</v>
      </c>
      <c r="B680" t="s">
        <v>2111</v>
      </c>
      <c r="C680" t="s">
        <v>828</v>
      </c>
      <c r="D680" s="144" t="s">
        <v>829</v>
      </c>
      <c r="E680" t="s">
        <v>830</v>
      </c>
      <c r="F680" t="s">
        <v>371</v>
      </c>
      <c r="G680" t="s">
        <v>831</v>
      </c>
      <c r="H680" t="s">
        <v>1706</v>
      </c>
      <c r="I680" t="s">
        <v>817</v>
      </c>
      <c r="J680" t="s">
        <v>1559</v>
      </c>
      <c r="K680" t="s">
        <v>1559</v>
      </c>
      <c r="L680" t="s">
        <v>1560</v>
      </c>
      <c r="M680" t="s">
        <v>208</v>
      </c>
      <c r="N680" t="s">
        <v>764</v>
      </c>
      <c r="O680" t="s">
        <v>894</v>
      </c>
      <c r="P680" t="s">
        <v>772</v>
      </c>
      <c r="Q680" t="s">
        <v>764</v>
      </c>
      <c r="R680">
        <v>20</v>
      </c>
      <c r="S680">
        <v>5</v>
      </c>
      <c r="T680">
        <v>0</v>
      </c>
      <c r="U680">
        <v>0</v>
      </c>
      <c r="V680">
        <v>0</v>
      </c>
      <c r="W680">
        <v>0</v>
      </c>
      <c r="X680">
        <v>0</v>
      </c>
      <c r="Y680">
        <v>0</v>
      </c>
      <c r="Z680">
        <v>0</v>
      </c>
      <c r="AA680">
        <v>0</v>
      </c>
      <c r="AB680">
        <v>20</v>
      </c>
      <c r="AC680">
        <v>5</v>
      </c>
      <c r="AD680">
        <v>0</v>
      </c>
      <c r="AE680">
        <v>0</v>
      </c>
      <c r="AF680">
        <v>20</v>
      </c>
      <c r="AG680">
        <v>5</v>
      </c>
      <c r="AH680">
        <v>0</v>
      </c>
      <c r="AI680">
        <v>0</v>
      </c>
      <c r="AY680" t="str">
        <f t="shared" si="189"/>
        <v>INOXYL POUDRE ORALE</v>
      </c>
      <c r="AZ680" t="str">
        <f>IF(COUNTIF(AY:AY,AY680)=1,AY680,IF(AND(COUNTIF(AY:AY,AY680)&gt;1,COUNTIF(AZ$2:AZ679,AY680)&gt;=1),"",AY680))</f>
        <v/>
      </c>
      <c r="BA680" t="str">
        <f>IF(AZ680="","",COUNTIFS(AZ$3:AZ$1439,"&lt;"&amp;AZ680,AZ$3:AZ$1439,"&lt;&gt;0")+COUNTIF(AZ$3:AZ680,AZ680)-876)</f>
        <v/>
      </c>
      <c r="BT680" s="76"/>
      <c r="CN680">
        <v>679</v>
      </c>
    </row>
    <row r="681" spans="1:92" x14ac:dyDescent="0.3">
      <c r="A681" s="118" t="s">
        <v>2109</v>
      </c>
      <c r="B681" t="s">
        <v>2112</v>
      </c>
      <c r="C681" t="s">
        <v>1313</v>
      </c>
      <c r="D681" s="144" t="s">
        <v>955</v>
      </c>
      <c r="E681" t="s">
        <v>830</v>
      </c>
      <c r="F681" t="s">
        <v>371</v>
      </c>
      <c r="G681" t="s">
        <v>831</v>
      </c>
      <c r="H681" t="s">
        <v>1706</v>
      </c>
      <c r="I681" t="s">
        <v>817</v>
      </c>
      <c r="J681" t="s">
        <v>1559</v>
      </c>
      <c r="K681" t="s">
        <v>1559</v>
      </c>
      <c r="L681" t="s">
        <v>1560</v>
      </c>
      <c r="M681" t="s">
        <v>208</v>
      </c>
      <c r="N681" t="s">
        <v>764</v>
      </c>
      <c r="O681" t="s">
        <v>894</v>
      </c>
      <c r="P681" t="s">
        <v>772</v>
      </c>
      <c r="Q681" t="s">
        <v>906</v>
      </c>
      <c r="R681">
        <v>20</v>
      </c>
      <c r="S681">
        <v>5</v>
      </c>
      <c r="T681">
        <v>0</v>
      </c>
      <c r="U681">
        <v>0</v>
      </c>
      <c r="V681">
        <v>0</v>
      </c>
      <c r="W681">
        <v>0</v>
      </c>
      <c r="X681">
        <v>0</v>
      </c>
      <c r="Y681">
        <v>0</v>
      </c>
      <c r="Z681">
        <v>0</v>
      </c>
      <c r="AA681">
        <v>0</v>
      </c>
      <c r="AB681">
        <v>20</v>
      </c>
      <c r="AC681">
        <v>5</v>
      </c>
      <c r="AD681">
        <v>0</v>
      </c>
      <c r="AE681">
        <v>0</v>
      </c>
      <c r="AF681">
        <v>20</v>
      </c>
      <c r="AG681">
        <v>5</v>
      </c>
      <c r="AH681">
        <v>0</v>
      </c>
      <c r="AI681">
        <v>0</v>
      </c>
      <c r="AY681" t="str">
        <f t="shared" si="189"/>
        <v>INOXYL POUDRE ORALE</v>
      </c>
      <c r="AZ681" t="str">
        <f>IF(COUNTIF(AY:AY,AY681)=1,AY681,IF(AND(COUNTIF(AY:AY,AY681)&gt;1,COUNTIF(AZ$2:AZ680,AY681)&gt;=1),"",AY681))</f>
        <v/>
      </c>
      <c r="BA681" t="str">
        <f>IF(AZ681="","",COUNTIFS(AZ$3:AZ$1439,"&lt;"&amp;AZ681,AZ$3:AZ$1439,"&lt;&gt;0")+COUNTIF(AZ$3:AZ681,AZ681)-876)</f>
        <v/>
      </c>
      <c r="BT681" s="76"/>
      <c r="CN681">
        <v>680</v>
      </c>
    </row>
    <row r="682" spans="1:92" x14ac:dyDescent="0.3">
      <c r="A682" s="118" t="s">
        <v>2352</v>
      </c>
      <c r="B682" t="s">
        <v>2353</v>
      </c>
      <c r="C682" t="s">
        <v>1228</v>
      </c>
      <c r="D682" s="144" t="s">
        <v>1125</v>
      </c>
      <c r="E682" t="s">
        <v>765</v>
      </c>
      <c r="F682" t="s">
        <v>372</v>
      </c>
      <c r="G682" t="s">
        <v>956</v>
      </c>
      <c r="H682" t="s">
        <v>1156</v>
      </c>
      <c r="I682" t="s">
        <v>817</v>
      </c>
      <c r="J682" t="s">
        <v>1559</v>
      </c>
      <c r="K682" t="s">
        <v>1559</v>
      </c>
      <c r="L682" t="s">
        <v>1560</v>
      </c>
      <c r="M682" t="s">
        <v>208</v>
      </c>
      <c r="N682" t="s">
        <v>780</v>
      </c>
      <c r="O682" t="s">
        <v>771</v>
      </c>
      <c r="P682" t="s">
        <v>772</v>
      </c>
      <c r="Q682" t="s">
        <v>1625</v>
      </c>
      <c r="R682">
        <v>0</v>
      </c>
      <c r="S682">
        <v>0</v>
      </c>
      <c r="T682">
        <v>0</v>
      </c>
      <c r="U682">
        <v>0</v>
      </c>
      <c r="V682">
        <v>0</v>
      </c>
      <c r="W682">
        <v>0</v>
      </c>
      <c r="X682">
        <v>0</v>
      </c>
      <c r="Y682">
        <v>0</v>
      </c>
      <c r="Z682">
        <v>0</v>
      </c>
      <c r="AA682">
        <v>0</v>
      </c>
      <c r="AB682">
        <v>0</v>
      </c>
      <c r="AC682">
        <v>0</v>
      </c>
      <c r="AD682">
        <v>0</v>
      </c>
      <c r="AE682">
        <v>0</v>
      </c>
      <c r="AF682">
        <v>20</v>
      </c>
      <c r="AG682">
        <v>5</v>
      </c>
      <c r="AH682">
        <v>0</v>
      </c>
      <c r="AI682">
        <v>0</v>
      </c>
      <c r="AY682" t="str">
        <f t="shared" si="189"/>
        <v>INOXYL SOLUTION BUVABLE</v>
      </c>
      <c r="AZ682" t="str">
        <f>IF(COUNTIF(AY:AY,AY682)=1,AY682,IF(AND(COUNTIF(AY:AY,AY682)&gt;1,COUNTIF(AZ$2:AZ681,AY682)&gt;=1),"",AY682))</f>
        <v>INOXYL SOLUTION BUVABLE</v>
      </c>
      <c r="BA682">
        <f>IF(AZ682="","",COUNTIFS(AZ$3:AZ$1439,"&lt;"&amp;AZ682,AZ$3:AZ$1439,"&lt;&gt;0")+COUNTIF(AZ$3:AZ682,AZ682)-876)</f>
        <v>261</v>
      </c>
      <c r="BT682" s="76"/>
      <c r="CN682">
        <v>681</v>
      </c>
    </row>
    <row r="683" spans="1:92" x14ac:dyDescent="0.3">
      <c r="A683" s="118" t="s">
        <v>2352</v>
      </c>
      <c r="B683" t="s">
        <v>2354</v>
      </c>
      <c r="C683" t="s">
        <v>1235</v>
      </c>
      <c r="D683" s="144" t="s">
        <v>829</v>
      </c>
      <c r="E683" t="s">
        <v>765</v>
      </c>
      <c r="F683" t="s">
        <v>372</v>
      </c>
      <c r="G683" t="s">
        <v>956</v>
      </c>
      <c r="H683" t="s">
        <v>1156</v>
      </c>
      <c r="I683" t="s">
        <v>817</v>
      </c>
      <c r="J683" t="s">
        <v>1559</v>
      </c>
      <c r="K683" t="s">
        <v>1559</v>
      </c>
      <c r="L683" t="s">
        <v>1560</v>
      </c>
      <c r="M683" t="s">
        <v>208</v>
      </c>
      <c r="N683" t="s">
        <v>780</v>
      </c>
      <c r="O683" t="s">
        <v>771</v>
      </c>
      <c r="P683" t="s">
        <v>772</v>
      </c>
      <c r="Q683" t="s">
        <v>780</v>
      </c>
      <c r="R683">
        <v>0</v>
      </c>
      <c r="S683">
        <v>0</v>
      </c>
      <c r="T683">
        <v>0</v>
      </c>
      <c r="U683">
        <v>0</v>
      </c>
      <c r="V683">
        <v>0</v>
      </c>
      <c r="W683">
        <v>0</v>
      </c>
      <c r="X683">
        <v>0</v>
      </c>
      <c r="Y683">
        <v>0</v>
      </c>
      <c r="Z683">
        <v>0</v>
      </c>
      <c r="AA683">
        <v>0</v>
      </c>
      <c r="AB683">
        <v>0</v>
      </c>
      <c r="AC683">
        <v>0</v>
      </c>
      <c r="AD683">
        <v>0</v>
      </c>
      <c r="AE683">
        <v>0</v>
      </c>
      <c r="AF683">
        <v>20</v>
      </c>
      <c r="AG683">
        <v>5</v>
      </c>
      <c r="AH683">
        <v>0</v>
      </c>
      <c r="AI683">
        <v>0</v>
      </c>
      <c r="AY683" t="str">
        <f t="shared" si="189"/>
        <v>INOXYL SOLUTION BUVABLE</v>
      </c>
      <c r="AZ683" t="str">
        <f>IF(COUNTIF(AY:AY,AY683)=1,AY683,IF(AND(COUNTIF(AY:AY,AY683)&gt;1,COUNTIF(AZ$2:AZ682,AY683)&gt;=1),"",AY683))</f>
        <v/>
      </c>
      <c r="BA683" t="str">
        <f>IF(AZ683="","",COUNTIFS(AZ$3:AZ$1439,"&lt;"&amp;AZ683,AZ$3:AZ$1439,"&lt;&gt;0")+COUNTIF(AZ$3:AZ683,AZ683)-876)</f>
        <v/>
      </c>
      <c r="BT683" s="76"/>
      <c r="CN683">
        <v>682</v>
      </c>
    </row>
    <row r="684" spans="1:92" x14ac:dyDescent="0.3">
      <c r="A684" s="118" t="s">
        <v>2352</v>
      </c>
      <c r="B684" t="s">
        <v>2355</v>
      </c>
      <c r="C684" t="s">
        <v>1233</v>
      </c>
      <c r="D684" s="144" t="s">
        <v>955</v>
      </c>
      <c r="E684" t="s">
        <v>765</v>
      </c>
      <c r="F684" t="s">
        <v>372</v>
      </c>
      <c r="G684" t="s">
        <v>956</v>
      </c>
      <c r="H684" t="s">
        <v>1156</v>
      </c>
      <c r="I684" t="s">
        <v>817</v>
      </c>
      <c r="J684" t="s">
        <v>1559</v>
      </c>
      <c r="K684" t="s">
        <v>1559</v>
      </c>
      <c r="L684" t="s">
        <v>1560</v>
      </c>
      <c r="M684" t="s">
        <v>208</v>
      </c>
      <c r="N684" t="s">
        <v>780</v>
      </c>
      <c r="O684" t="s">
        <v>771</v>
      </c>
      <c r="P684" t="s">
        <v>772</v>
      </c>
      <c r="Q684" t="s">
        <v>776</v>
      </c>
      <c r="R684">
        <v>0</v>
      </c>
      <c r="S684">
        <v>0</v>
      </c>
      <c r="T684">
        <v>0</v>
      </c>
      <c r="U684">
        <v>0</v>
      </c>
      <c r="V684">
        <v>0</v>
      </c>
      <c r="W684">
        <v>0</v>
      </c>
      <c r="X684">
        <v>0</v>
      </c>
      <c r="Y684">
        <v>0</v>
      </c>
      <c r="Z684">
        <v>0</v>
      </c>
      <c r="AA684">
        <v>0</v>
      </c>
      <c r="AB684">
        <v>0</v>
      </c>
      <c r="AC684">
        <v>0</v>
      </c>
      <c r="AD684">
        <v>0</v>
      </c>
      <c r="AE684">
        <v>0</v>
      </c>
      <c r="AF684">
        <v>20</v>
      </c>
      <c r="AG684">
        <v>5</v>
      </c>
      <c r="AH684">
        <v>0</v>
      </c>
      <c r="AI684">
        <v>0</v>
      </c>
      <c r="AY684" t="str">
        <f t="shared" si="189"/>
        <v>INOXYL SOLUTION BUVABLE</v>
      </c>
      <c r="AZ684" t="str">
        <f>IF(COUNTIF(AY:AY,AY684)=1,AY684,IF(AND(COUNTIF(AY:AY,AY684)&gt;1,COUNTIF(AZ$2:AZ683,AY684)&gt;=1),"",AY684))</f>
        <v/>
      </c>
      <c r="BA684" t="str">
        <f>IF(AZ684="","",COUNTIFS(AZ$3:AZ$1439,"&lt;"&amp;AZ684,AZ$3:AZ$1439,"&lt;&gt;0")+COUNTIF(AZ$3:AZ684,AZ684)-876)</f>
        <v/>
      </c>
      <c r="BT684" s="76"/>
      <c r="CN684">
        <v>683</v>
      </c>
    </row>
    <row r="685" spans="1:92" x14ac:dyDescent="0.3">
      <c r="A685" s="118" t="s">
        <v>1459</v>
      </c>
      <c r="B685" t="s">
        <v>1460</v>
      </c>
      <c r="C685" t="s">
        <v>1461</v>
      </c>
      <c r="D685" s="144" t="s">
        <v>797</v>
      </c>
      <c r="E685" t="s">
        <v>813</v>
      </c>
      <c r="F685" t="s">
        <v>1462</v>
      </c>
      <c r="G685" t="s">
        <v>815</v>
      </c>
      <c r="H685" t="s">
        <v>860</v>
      </c>
      <c r="I685" t="s">
        <v>817</v>
      </c>
      <c r="J685" t="s">
        <v>862</v>
      </c>
      <c r="K685" t="s">
        <v>862</v>
      </c>
      <c r="L685" t="s">
        <v>863</v>
      </c>
      <c r="M685" t="s">
        <v>208</v>
      </c>
      <c r="N685" t="s">
        <v>906</v>
      </c>
      <c r="O685" t="s">
        <v>824</v>
      </c>
      <c r="P685" t="s">
        <v>772</v>
      </c>
      <c r="Q685" t="s">
        <v>972</v>
      </c>
      <c r="R685">
        <v>0</v>
      </c>
      <c r="S685">
        <v>0</v>
      </c>
      <c r="T685">
        <v>100</v>
      </c>
      <c r="U685">
        <v>5</v>
      </c>
      <c r="V685">
        <v>0</v>
      </c>
      <c r="W685">
        <v>0</v>
      </c>
      <c r="X685">
        <v>0</v>
      </c>
      <c r="Y685">
        <v>0</v>
      </c>
      <c r="Z685">
        <v>0</v>
      </c>
      <c r="AA685">
        <v>0</v>
      </c>
      <c r="AB685">
        <v>0</v>
      </c>
      <c r="AC685">
        <v>0</v>
      </c>
      <c r="AD685">
        <v>0</v>
      </c>
      <c r="AE685">
        <v>0</v>
      </c>
      <c r="AF685">
        <v>0</v>
      </c>
      <c r="AG685">
        <v>0</v>
      </c>
      <c r="AH685">
        <v>0</v>
      </c>
      <c r="AI685">
        <v>0</v>
      </c>
      <c r="AY685" t="str">
        <f t="shared" si="189"/>
        <v/>
      </c>
      <c r="AZ685" t="str">
        <f>IF(COUNTIF(AY:AY,AY685)=1,AY685,IF(AND(COUNTIF(AY:AY,AY685)&gt;1,COUNTIF(AZ$2:AZ684,AY685)&gt;=1),"",AY685))</f>
        <v/>
      </c>
      <c r="BA685" t="str">
        <f>IF(AZ685="","",COUNTIFS(AZ$3:AZ$1439,"&lt;"&amp;AZ685,AZ$3:AZ$1439,"&lt;&gt;0")+COUNTIF(AZ$3:AZ685,AZ685)-876)</f>
        <v/>
      </c>
      <c r="BT685" s="76"/>
      <c r="CN685">
        <v>684</v>
      </c>
    </row>
    <row r="686" spans="1:92" x14ac:dyDescent="0.3">
      <c r="A686" s="118" t="s">
        <v>1034</v>
      </c>
      <c r="B686" t="s">
        <v>1035</v>
      </c>
      <c r="C686" t="s">
        <v>1036</v>
      </c>
      <c r="D686" s="144" t="s">
        <v>764</v>
      </c>
      <c r="E686" t="s">
        <v>813</v>
      </c>
      <c r="F686" t="s">
        <v>648</v>
      </c>
      <c r="G686" t="s">
        <v>815</v>
      </c>
      <c r="H686" t="s">
        <v>1037</v>
      </c>
      <c r="I686" t="s">
        <v>817</v>
      </c>
      <c r="J686" t="s">
        <v>1038</v>
      </c>
      <c r="K686" t="s">
        <v>862</v>
      </c>
      <c r="L686" t="s">
        <v>863</v>
      </c>
      <c r="M686" t="s">
        <v>208</v>
      </c>
      <c r="N686" t="s">
        <v>829</v>
      </c>
      <c r="O686" t="s">
        <v>824</v>
      </c>
      <c r="P686" t="s">
        <v>772</v>
      </c>
      <c r="Q686" t="s">
        <v>764</v>
      </c>
      <c r="R686">
        <v>100</v>
      </c>
      <c r="S686">
        <v>2</v>
      </c>
      <c r="T686">
        <v>0</v>
      </c>
      <c r="U686">
        <v>0</v>
      </c>
      <c r="V686">
        <v>0</v>
      </c>
      <c r="W686">
        <v>0</v>
      </c>
      <c r="X686">
        <v>0</v>
      </c>
      <c r="Y686">
        <v>0</v>
      </c>
      <c r="Z686">
        <v>0</v>
      </c>
      <c r="AA686">
        <v>0</v>
      </c>
      <c r="AB686">
        <v>100</v>
      </c>
      <c r="AC686">
        <v>2</v>
      </c>
      <c r="AD686">
        <v>0</v>
      </c>
      <c r="AE686">
        <v>0</v>
      </c>
      <c r="AF686">
        <v>0</v>
      </c>
      <c r="AG686">
        <v>0</v>
      </c>
      <c r="AH686">
        <v>0</v>
      </c>
      <c r="AI686">
        <v>0</v>
      </c>
      <c r="AJ686" t="s">
        <v>914</v>
      </c>
      <c r="AK686" t="s">
        <v>995</v>
      </c>
      <c r="AL686" t="s">
        <v>996</v>
      </c>
      <c r="AM686" t="s">
        <v>1039</v>
      </c>
      <c r="AN686" t="s">
        <v>820</v>
      </c>
      <c r="AO686" t="s">
        <v>4371</v>
      </c>
      <c r="AP686" t="s">
        <v>1072</v>
      </c>
      <c r="AY686" t="str">
        <f t="shared" si="189"/>
        <v>INTESTIVO</v>
      </c>
      <c r="AZ686" t="str">
        <f>IF(COUNTIF(AY:AY,AY686)=1,AY686,IF(AND(COUNTIF(AY:AY,AY686)&gt;1,COUNTIF(AZ$2:AZ685,AY686)&gt;=1),"",AY686))</f>
        <v>INTESTIVO</v>
      </c>
      <c r="BA686">
        <f>IF(AZ686="","",COUNTIFS(AZ$3:AZ$1439,"&lt;"&amp;AZ686,AZ$3:AZ$1439,"&lt;&gt;0")+COUNTIF(AZ$3:AZ686,AZ686)-876)</f>
        <v>262</v>
      </c>
      <c r="BT686" s="76"/>
      <c r="CN686">
        <v>685</v>
      </c>
    </row>
    <row r="687" spans="1:92" x14ac:dyDescent="0.3">
      <c r="A687" s="118" t="s">
        <v>1034</v>
      </c>
      <c r="B687" t="s">
        <v>1040</v>
      </c>
      <c r="C687" t="s">
        <v>1041</v>
      </c>
      <c r="D687" s="144" t="s">
        <v>829</v>
      </c>
      <c r="E687" t="s">
        <v>813</v>
      </c>
      <c r="F687" t="s">
        <v>648</v>
      </c>
      <c r="G687" t="s">
        <v>815</v>
      </c>
      <c r="H687" t="s">
        <v>1037</v>
      </c>
      <c r="I687" t="s">
        <v>817</v>
      </c>
      <c r="J687" t="s">
        <v>1038</v>
      </c>
      <c r="K687" t="s">
        <v>862</v>
      </c>
      <c r="L687" t="s">
        <v>863</v>
      </c>
      <c r="M687" t="s">
        <v>208</v>
      </c>
      <c r="N687" t="s">
        <v>829</v>
      </c>
      <c r="O687" t="s">
        <v>824</v>
      </c>
      <c r="P687" t="s">
        <v>772</v>
      </c>
      <c r="Q687" t="s">
        <v>829</v>
      </c>
      <c r="R687">
        <v>100</v>
      </c>
      <c r="S687">
        <v>2</v>
      </c>
      <c r="T687">
        <v>0</v>
      </c>
      <c r="U687">
        <v>0</v>
      </c>
      <c r="V687">
        <v>0</v>
      </c>
      <c r="W687">
        <v>0</v>
      </c>
      <c r="X687">
        <v>0</v>
      </c>
      <c r="Y687">
        <v>0</v>
      </c>
      <c r="Z687">
        <v>0</v>
      </c>
      <c r="AA687">
        <v>0</v>
      </c>
      <c r="AB687">
        <v>100</v>
      </c>
      <c r="AC687">
        <v>2</v>
      </c>
      <c r="AD687">
        <v>0</v>
      </c>
      <c r="AE687">
        <v>0</v>
      </c>
      <c r="AF687">
        <v>0</v>
      </c>
      <c r="AG687">
        <v>0</v>
      </c>
      <c r="AH687">
        <v>0</v>
      </c>
      <c r="AI687">
        <v>0</v>
      </c>
      <c r="AJ687" t="s">
        <v>914</v>
      </c>
      <c r="AK687" t="s">
        <v>995</v>
      </c>
      <c r="AL687" t="s">
        <v>996</v>
      </c>
      <c r="AM687" t="s">
        <v>1039</v>
      </c>
      <c r="AN687" t="s">
        <v>820</v>
      </c>
      <c r="AO687" t="s">
        <v>4371</v>
      </c>
      <c r="AP687" t="s">
        <v>1125</v>
      </c>
      <c r="AY687" t="str">
        <f t="shared" si="189"/>
        <v>INTESTIVO</v>
      </c>
      <c r="AZ687" t="str">
        <f>IF(COUNTIF(AY:AY,AY687)=1,AY687,IF(AND(COUNTIF(AY:AY,AY687)&gt;1,COUNTIF(AZ$2:AZ686,AY687)&gt;=1),"",AY687))</f>
        <v/>
      </c>
      <c r="BA687" t="str">
        <f>IF(AZ687="","",COUNTIFS(AZ$3:AZ$1439,"&lt;"&amp;AZ687,AZ$3:AZ$1439,"&lt;&gt;0")+COUNTIF(AZ$3:AZ687,AZ687)-876)</f>
        <v/>
      </c>
      <c r="BT687" s="76"/>
      <c r="CN687">
        <v>686</v>
      </c>
    </row>
    <row r="688" spans="1:92" x14ac:dyDescent="0.3">
      <c r="A688" s="118" t="s">
        <v>1034</v>
      </c>
      <c r="B688" t="s">
        <v>1042</v>
      </c>
      <c r="C688" t="s">
        <v>1043</v>
      </c>
      <c r="D688" s="144" t="s">
        <v>869</v>
      </c>
      <c r="E688" t="s">
        <v>813</v>
      </c>
      <c r="F688" t="s">
        <v>648</v>
      </c>
      <c r="G688" t="s">
        <v>815</v>
      </c>
      <c r="H688" t="s">
        <v>1037</v>
      </c>
      <c r="I688" t="s">
        <v>817</v>
      </c>
      <c r="J688" t="s">
        <v>1038</v>
      </c>
      <c r="K688" t="s">
        <v>862</v>
      </c>
      <c r="L688" t="s">
        <v>863</v>
      </c>
      <c r="M688" t="s">
        <v>208</v>
      </c>
      <c r="N688" t="s">
        <v>829</v>
      </c>
      <c r="O688" t="s">
        <v>824</v>
      </c>
      <c r="P688" t="s">
        <v>772</v>
      </c>
      <c r="Q688" t="s">
        <v>869</v>
      </c>
      <c r="R688">
        <v>100</v>
      </c>
      <c r="S688">
        <v>2</v>
      </c>
      <c r="T688">
        <v>0</v>
      </c>
      <c r="U688">
        <v>0</v>
      </c>
      <c r="V688">
        <v>0</v>
      </c>
      <c r="W688">
        <v>0</v>
      </c>
      <c r="X688">
        <v>0</v>
      </c>
      <c r="Y688">
        <v>0</v>
      </c>
      <c r="Z688">
        <v>0</v>
      </c>
      <c r="AA688">
        <v>0</v>
      </c>
      <c r="AB688">
        <v>100</v>
      </c>
      <c r="AC688">
        <v>2</v>
      </c>
      <c r="AD688">
        <v>0</v>
      </c>
      <c r="AE688">
        <v>0</v>
      </c>
      <c r="AF688">
        <v>0</v>
      </c>
      <c r="AG688">
        <v>0</v>
      </c>
      <c r="AH688">
        <v>0</v>
      </c>
      <c r="AI688">
        <v>0</v>
      </c>
      <c r="AJ688" t="s">
        <v>914</v>
      </c>
      <c r="AK688" t="s">
        <v>995</v>
      </c>
      <c r="AL688" t="s">
        <v>996</v>
      </c>
      <c r="AM688" t="s">
        <v>1039</v>
      </c>
      <c r="AN688" t="s">
        <v>820</v>
      </c>
      <c r="AO688" t="s">
        <v>4371</v>
      </c>
      <c r="AP688" t="s">
        <v>1126</v>
      </c>
      <c r="AY688" t="str">
        <f t="shared" si="189"/>
        <v>INTESTIVO</v>
      </c>
      <c r="AZ688" t="str">
        <f>IF(COUNTIF(AY:AY,AY688)=1,AY688,IF(AND(COUNTIF(AY:AY,AY688)&gt;1,COUNTIF(AZ$2:AZ687,AY688)&gt;=1),"",AY688))</f>
        <v/>
      </c>
      <c r="BA688" t="str">
        <f>IF(AZ688="","",COUNTIFS(AZ$3:AZ$1439,"&lt;"&amp;AZ688,AZ$3:AZ$1439,"&lt;&gt;0")+COUNTIF(AZ$3:AZ688,AZ688)-876)</f>
        <v/>
      </c>
      <c r="BT688" s="76"/>
      <c r="CN688">
        <v>687</v>
      </c>
    </row>
    <row r="689" spans="1:92" x14ac:dyDescent="0.3">
      <c r="A689" s="118" t="s">
        <v>1837</v>
      </c>
      <c r="B689" t="s">
        <v>1838</v>
      </c>
      <c r="C689" t="s">
        <v>1839</v>
      </c>
      <c r="D689" s="144" t="s">
        <v>764</v>
      </c>
      <c r="E689" t="s">
        <v>765</v>
      </c>
      <c r="F689" t="s">
        <v>98</v>
      </c>
      <c r="G689" t="s">
        <v>766</v>
      </c>
      <c r="H689" t="s">
        <v>1840</v>
      </c>
      <c r="I689" t="s">
        <v>766</v>
      </c>
      <c r="J689" t="s">
        <v>782</v>
      </c>
      <c r="K689" t="s">
        <v>783</v>
      </c>
      <c r="L689" t="s">
        <v>945</v>
      </c>
      <c r="M689" t="s">
        <v>208</v>
      </c>
      <c r="N689" t="s">
        <v>864</v>
      </c>
      <c r="O689" t="s">
        <v>771</v>
      </c>
      <c r="P689" t="s">
        <v>772</v>
      </c>
      <c r="Q689" t="s">
        <v>869</v>
      </c>
      <c r="R689">
        <v>30</v>
      </c>
      <c r="S689">
        <v>5</v>
      </c>
      <c r="T689">
        <v>40</v>
      </c>
      <c r="U689">
        <v>5</v>
      </c>
      <c r="V689">
        <v>20</v>
      </c>
      <c r="W689">
        <v>5</v>
      </c>
      <c r="X689">
        <v>0</v>
      </c>
      <c r="Y689">
        <v>0</v>
      </c>
      <c r="Z689">
        <v>0</v>
      </c>
      <c r="AA689">
        <v>0</v>
      </c>
      <c r="AB689">
        <v>30</v>
      </c>
      <c r="AC689">
        <v>5</v>
      </c>
      <c r="AD689">
        <v>30</v>
      </c>
      <c r="AE689">
        <v>5</v>
      </c>
      <c r="AF689">
        <v>0</v>
      </c>
      <c r="AG689">
        <v>0</v>
      </c>
      <c r="AH689">
        <v>30</v>
      </c>
      <c r="AI689">
        <v>5</v>
      </c>
      <c r="AJ689" t="s">
        <v>787</v>
      </c>
      <c r="AK689" t="s">
        <v>788</v>
      </c>
      <c r="AL689" t="s">
        <v>208</v>
      </c>
      <c r="AM689" t="s">
        <v>789</v>
      </c>
      <c r="AN689" t="s">
        <v>771</v>
      </c>
      <c r="AO689" t="s">
        <v>772</v>
      </c>
      <c r="AP689" t="s">
        <v>794</v>
      </c>
      <c r="AY689" t="str">
        <f t="shared" si="189"/>
        <v>INTRAMICINE</v>
      </c>
      <c r="AZ689" t="str">
        <f>IF(COUNTIF(AY:AY,AY689)=1,AY689,IF(AND(COUNTIF(AY:AY,AY689)&gt;1,COUNTIF(AZ$2:AZ688,AY689)&gt;=1),"",AY689))</f>
        <v>INTRAMICINE</v>
      </c>
      <c r="BA689">
        <f>IF(AZ689="","",COUNTIFS(AZ$3:AZ$1439,"&lt;"&amp;AZ689,AZ$3:AZ$1439,"&lt;&gt;0")+COUNTIF(AZ$3:AZ689,AZ689)-876)</f>
        <v>263</v>
      </c>
      <c r="BT689" s="76"/>
      <c r="CN689">
        <v>688</v>
      </c>
    </row>
    <row r="690" spans="1:92" x14ac:dyDescent="0.3">
      <c r="A690" s="118" t="s">
        <v>1837</v>
      </c>
      <c r="B690" t="s">
        <v>1841</v>
      </c>
      <c r="C690" t="s">
        <v>1842</v>
      </c>
      <c r="D690" s="144" t="s">
        <v>776</v>
      </c>
      <c r="E690" t="s">
        <v>765</v>
      </c>
      <c r="F690" t="s">
        <v>98</v>
      </c>
      <c r="G690" t="s">
        <v>766</v>
      </c>
      <c r="H690" t="s">
        <v>1840</v>
      </c>
      <c r="I690" t="s">
        <v>766</v>
      </c>
      <c r="J690" t="s">
        <v>782</v>
      </c>
      <c r="K690" t="s">
        <v>783</v>
      </c>
      <c r="L690" t="s">
        <v>945</v>
      </c>
      <c r="M690" t="s">
        <v>208</v>
      </c>
      <c r="N690" t="s">
        <v>864</v>
      </c>
      <c r="O690" t="s">
        <v>771</v>
      </c>
      <c r="P690" t="s">
        <v>772</v>
      </c>
      <c r="Q690" t="s">
        <v>780</v>
      </c>
      <c r="R690">
        <v>30</v>
      </c>
      <c r="S690">
        <v>5</v>
      </c>
      <c r="T690">
        <v>40</v>
      </c>
      <c r="U690">
        <v>5</v>
      </c>
      <c r="V690">
        <v>20</v>
      </c>
      <c r="W690">
        <v>5</v>
      </c>
      <c r="X690">
        <v>0</v>
      </c>
      <c r="Y690">
        <v>0</v>
      </c>
      <c r="Z690">
        <v>0</v>
      </c>
      <c r="AA690">
        <v>0</v>
      </c>
      <c r="AB690">
        <v>30</v>
      </c>
      <c r="AC690">
        <v>5</v>
      </c>
      <c r="AD690">
        <v>30</v>
      </c>
      <c r="AE690">
        <v>5</v>
      </c>
      <c r="AF690">
        <v>0</v>
      </c>
      <c r="AG690">
        <v>0</v>
      </c>
      <c r="AH690">
        <v>30</v>
      </c>
      <c r="AI690">
        <v>5</v>
      </c>
      <c r="AJ690" t="s">
        <v>787</v>
      </c>
      <c r="AK690" t="s">
        <v>788</v>
      </c>
      <c r="AL690" t="s">
        <v>208</v>
      </c>
      <c r="AM690" t="s">
        <v>789</v>
      </c>
      <c r="AN690" t="s">
        <v>771</v>
      </c>
      <c r="AO690" t="s">
        <v>772</v>
      </c>
      <c r="AP690" t="s">
        <v>798</v>
      </c>
      <c r="AY690" t="str">
        <f t="shared" si="189"/>
        <v>INTRAMICINE</v>
      </c>
      <c r="AZ690" t="str">
        <f>IF(COUNTIF(AY:AY,AY690)=1,AY690,IF(AND(COUNTIF(AY:AY,AY690)&gt;1,COUNTIF(AZ$2:AZ689,AY690)&gt;=1),"",AY690))</f>
        <v/>
      </c>
      <c r="BA690" t="str">
        <f>IF(AZ690="","",COUNTIFS(AZ$3:AZ$1439,"&lt;"&amp;AZ690,AZ$3:AZ$1439,"&lt;&gt;0")+COUNTIF(AZ$3:AZ690,AZ690)-876)</f>
        <v/>
      </c>
      <c r="BT690" s="76"/>
      <c r="CN690">
        <v>689</v>
      </c>
    </row>
    <row r="691" spans="1:92" x14ac:dyDescent="0.3">
      <c r="A691" s="118" t="s">
        <v>2697</v>
      </c>
      <c r="B691" t="s">
        <v>2698</v>
      </c>
      <c r="C691" t="s">
        <v>2699</v>
      </c>
      <c r="D691" s="144" t="s">
        <v>1304</v>
      </c>
      <c r="E691" t="s">
        <v>830</v>
      </c>
      <c r="F691" t="s">
        <v>2700</v>
      </c>
      <c r="G691" t="s">
        <v>878</v>
      </c>
      <c r="H691" t="s">
        <v>860</v>
      </c>
      <c r="I691" t="s">
        <v>879</v>
      </c>
      <c r="J691" t="s">
        <v>821</v>
      </c>
      <c r="K691" t="s">
        <v>821</v>
      </c>
      <c r="L691" t="s">
        <v>976</v>
      </c>
      <c r="M691" t="s">
        <v>208</v>
      </c>
      <c r="N691" t="s">
        <v>852</v>
      </c>
      <c r="O691" t="s">
        <v>894</v>
      </c>
      <c r="P691" t="s">
        <v>772</v>
      </c>
      <c r="Q691" t="s">
        <v>2212</v>
      </c>
      <c r="R691">
        <v>0</v>
      </c>
      <c r="S691">
        <v>0</v>
      </c>
      <c r="T691">
        <v>0</v>
      </c>
      <c r="U691">
        <v>0</v>
      </c>
      <c r="V691">
        <v>0</v>
      </c>
      <c r="W691">
        <v>0</v>
      </c>
      <c r="X691">
        <v>0</v>
      </c>
      <c r="Y691">
        <v>0</v>
      </c>
      <c r="Z691">
        <v>0</v>
      </c>
      <c r="AA691">
        <v>0</v>
      </c>
      <c r="AB691">
        <v>0</v>
      </c>
      <c r="AC691">
        <v>0</v>
      </c>
      <c r="AD691">
        <v>0</v>
      </c>
      <c r="AE691">
        <v>0</v>
      </c>
      <c r="AF691">
        <v>0</v>
      </c>
      <c r="AG691">
        <v>0</v>
      </c>
      <c r="AH691">
        <v>0</v>
      </c>
      <c r="AI691">
        <v>0</v>
      </c>
      <c r="AY691" t="str">
        <f t="shared" si="189"/>
        <v/>
      </c>
      <c r="AZ691" t="str">
        <f>IF(COUNTIF(AY:AY,AY691)=1,AY691,IF(AND(COUNTIF(AY:AY,AY691)&gt;1,COUNTIF(AZ$2:AZ690,AY691)&gt;=1),"",AY691))</f>
        <v/>
      </c>
      <c r="BA691" t="str">
        <f>IF(AZ691="","",COUNTIFS(AZ$3:AZ$1439,"&lt;"&amp;AZ691,AZ$3:AZ$1439,"&lt;&gt;0")+COUNTIF(AZ$3:AZ691,AZ691)-876)</f>
        <v/>
      </c>
      <c r="BT691" s="76"/>
      <c r="CN691">
        <v>690</v>
      </c>
    </row>
    <row r="692" spans="1:92" x14ac:dyDescent="0.3">
      <c r="A692" s="118" t="s">
        <v>2697</v>
      </c>
      <c r="B692" t="s">
        <v>2701</v>
      </c>
      <c r="C692" t="s">
        <v>2702</v>
      </c>
      <c r="D692" s="144" t="s">
        <v>1304</v>
      </c>
      <c r="E692" t="s">
        <v>830</v>
      </c>
      <c r="F692" t="s">
        <v>2700</v>
      </c>
      <c r="G692" t="s">
        <v>878</v>
      </c>
      <c r="H692" t="s">
        <v>860</v>
      </c>
      <c r="I692" t="s">
        <v>879</v>
      </c>
      <c r="J692" t="s">
        <v>821</v>
      </c>
      <c r="K692" t="s">
        <v>821</v>
      </c>
      <c r="L692" t="s">
        <v>976</v>
      </c>
      <c r="M692" t="s">
        <v>208</v>
      </c>
      <c r="N692" t="s">
        <v>852</v>
      </c>
      <c r="O692" t="s">
        <v>894</v>
      </c>
      <c r="P692" t="s">
        <v>772</v>
      </c>
      <c r="Q692" t="s">
        <v>2212</v>
      </c>
      <c r="R692">
        <v>0</v>
      </c>
      <c r="S692">
        <v>0</v>
      </c>
      <c r="T692">
        <v>0</v>
      </c>
      <c r="U692">
        <v>0</v>
      </c>
      <c r="V692">
        <v>0</v>
      </c>
      <c r="W692">
        <v>0</v>
      </c>
      <c r="X692">
        <v>0</v>
      </c>
      <c r="Y692">
        <v>0</v>
      </c>
      <c r="Z692">
        <v>0</v>
      </c>
      <c r="AA692">
        <v>0</v>
      </c>
      <c r="AB692">
        <v>0</v>
      </c>
      <c r="AC692">
        <v>0</v>
      </c>
      <c r="AD692">
        <v>0</v>
      </c>
      <c r="AE692">
        <v>0</v>
      </c>
      <c r="AF692">
        <v>0</v>
      </c>
      <c r="AG692">
        <v>0</v>
      </c>
      <c r="AH692">
        <v>0</v>
      </c>
      <c r="AI692">
        <v>0</v>
      </c>
      <c r="AY692" t="str">
        <f t="shared" si="189"/>
        <v/>
      </c>
      <c r="AZ692" t="str">
        <f>IF(COUNTIF(AY:AY,AY692)=1,AY692,IF(AND(COUNTIF(AY:AY,AY692)&gt;1,COUNTIF(AZ$2:AZ691,AY692)&gt;=1),"",AY692))</f>
        <v/>
      </c>
      <c r="BA692" t="str">
        <f>IF(AZ692="","",COUNTIFS(AZ$3:AZ$1439,"&lt;"&amp;AZ692,AZ$3:AZ$1439,"&lt;&gt;0")+COUNTIF(AZ$3:AZ692,AZ692)-876)</f>
        <v/>
      </c>
      <c r="BT692" s="76"/>
      <c r="CN692">
        <v>691</v>
      </c>
    </row>
    <row r="693" spans="1:92" x14ac:dyDescent="0.3">
      <c r="A693" s="118" t="s">
        <v>3314</v>
      </c>
      <c r="B693" t="s">
        <v>3315</v>
      </c>
      <c r="C693" t="s">
        <v>1002</v>
      </c>
      <c r="D693" s="144" t="s">
        <v>829</v>
      </c>
      <c r="E693" t="s">
        <v>765</v>
      </c>
      <c r="F693" t="s">
        <v>649</v>
      </c>
      <c r="G693" t="s">
        <v>956</v>
      </c>
      <c r="H693" t="s">
        <v>2661</v>
      </c>
      <c r="I693" t="s">
        <v>817</v>
      </c>
      <c r="J693" t="s">
        <v>2366</v>
      </c>
      <c r="K693" t="s">
        <v>2366</v>
      </c>
      <c r="L693" t="s">
        <v>2367</v>
      </c>
      <c r="M693" t="s">
        <v>208</v>
      </c>
      <c r="N693" t="s">
        <v>764</v>
      </c>
      <c r="O693" t="s">
        <v>771</v>
      </c>
      <c r="P693" t="s">
        <v>772</v>
      </c>
      <c r="Q693" t="s">
        <v>764</v>
      </c>
      <c r="R693">
        <v>0</v>
      </c>
      <c r="S693">
        <v>0</v>
      </c>
      <c r="T693">
        <v>0</v>
      </c>
      <c r="U693">
        <v>0</v>
      </c>
      <c r="V693">
        <v>0</v>
      </c>
      <c r="W693">
        <v>0</v>
      </c>
      <c r="X693">
        <v>0</v>
      </c>
      <c r="Y693">
        <v>0</v>
      </c>
      <c r="Z693">
        <v>0</v>
      </c>
      <c r="AA693">
        <v>0</v>
      </c>
      <c r="AB693">
        <v>0</v>
      </c>
      <c r="AC693">
        <v>0</v>
      </c>
      <c r="AD693">
        <v>0</v>
      </c>
      <c r="AE693">
        <v>0</v>
      </c>
      <c r="AF693">
        <v>10</v>
      </c>
      <c r="AG693">
        <v>5</v>
      </c>
      <c r="AH693">
        <v>0</v>
      </c>
      <c r="AI693">
        <v>0</v>
      </c>
      <c r="AY693" t="str">
        <f t="shared" si="189"/>
        <v>KARIFLOX 10 % SOLUTION BUVABLE POUR POULES ET DINDES</v>
      </c>
      <c r="AZ693" t="str">
        <f>IF(COUNTIF(AY:AY,AY693)=1,AY693,IF(AND(COUNTIF(AY:AY,AY693)&gt;1,COUNTIF(AZ$2:AZ692,AY693)&gt;=1),"",AY693))</f>
        <v>KARIFLOX 10 % SOLUTION BUVABLE POUR POULES ET DINDES</v>
      </c>
      <c r="BA693">
        <f>IF(AZ693="","",COUNTIFS(AZ$3:AZ$1439,"&lt;"&amp;AZ693,AZ$3:AZ$1439,"&lt;&gt;0")+COUNTIF(AZ$3:AZ693,AZ693)-876)</f>
        <v>264</v>
      </c>
      <c r="BT693" s="76"/>
      <c r="CN693">
        <v>692</v>
      </c>
    </row>
    <row r="694" spans="1:92" x14ac:dyDescent="0.3">
      <c r="A694" s="118" t="s">
        <v>3599</v>
      </c>
      <c r="B694" t="s">
        <v>3600</v>
      </c>
      <c r="C694" t="s">
        <v>1483</v>
      </c>
      <c r="D694" s="144" t="s">
        <v>764</v>
      </c>
      <c r="E694" t="s">
        <v>765</v>
      </c>
      <c r="F694" t="s">
        <v>373</v>
      </c>
      <c r="G694" t="s">
        <v>766</v>
      </c>
      <c r="H694" t="s">
        <v>1326</v>
      </c>
      <c r="I694" t="s">
        <v>766</v>
      </c>
      <c r="J694" t="s">
        <v>1752</v>
      </c>
      <c r="K694" t="s">
        <v>1752</v>
      </c>
      <c r="L694" t="s">
        <v>2511</v>
      </c>
      <c r="M694" t="s">
        <v>208</v>
      </c>
      <c r="N694" t="s">
        <v>1163</v>
      </c>
      <c r="O694" t="s">
        <v>771</v>
      </c>
      <c r="P694" t="s">
        <v>772</v>
      </c>
      <c r="Q694" t="s">
        <v>797</v>
      </c>
      <c r="R694">
        <v>40</v>
      </c>
      <c r="S694">
        <v>1</v>
      </c>
      <c r="T694">
        <v>0</v>
      </c>
      <c r="U694">
        <v>0</v>
      </c>
      <c r="V694">
        <v>0</v>
      </c>
      <c r="W694">
        <v>0</v>
      </c>
      <c r="X694">
        <v>0</v>
      </c>
      <c r="Y694">
        <v>0</v>
      </c>
      <c r="Z694">
        <v>0</v>
      </c>
      <c r="AA694">
        <v>0</v>
      </c>
      <c r="AB694">
        <v>0</v>
      </c>
      <c r="AC694">
        <v>0</v>
      </c>
      <c r="AD694">
        <v>15</v>
      </c>
      <c r="AE694">
        <v>2</v>
      </c>
      <c r="AF694">
        <v>0</v>
      </c>
      <c r="AG694">
        <v>0</v>
      </c>
      <c r="AH694">
        <v>0</v>
      </c>
      <c r="AI694">
        <v>0</v>
      </c>
      <c r="AY694" t="str">
        <f t="shared" si="189"/>
        <v>KEFLORIL 300 MG/ML SOLUTION INJECTABLE POUR BOVINS ET PORCINS</v>
      </c>
      <c r="AZ694" t="str">
        <f>IF(COUNTIF(AY:AY,AY694)=1,AY694,IF(AND(COUNTIF(AY:AY,AY694)&gt;1,COUNTIF(AZ$2:AZ693,AY694)&gt;=1),"",AY694))</f>
        <v>KEFLORIL 300 MG/ML SOLUTION INJECTABLE POUR BOVINS ET PORCINS</v>
      </c>
      <c r="BA694">
        <f>IF(AZ694="","",COUNTIFS(AZ$3:AZ$1439,"&lt;"&amp;AZ694,AZ$3:AZ$1439,"&lt;&gt;0")+COUNTIF(AZ$3:AZ694,AZ694)-876)</f>
        <v>265</v>
      </c>
      <c r="BT694" s="76"/>
      <c r="CN694">
        <v>693</v>
      </c>
    </row>
    <row r="695" spans="1:92" x14ac:dyDescent="0.3">
      <c r="A695" s="118" t="s">
        <v>3599</v>
      </c>
      <c r="B695" t="s">
        <v>3601</v>
      </c>
      <c r="C695" t="s">
        <v>1474</v>
      </c>
      <c r="D695" s="144" t="s">
        <v>776</v>
      </c>
      <c r="E695" t="s">
        <v>765</v>
      </c>
      <c r="F695" t="s">
        <v>373</v>
      </c>
      <c r="G695" t="s">
        <v>766</v>
      </c>
      <c r="H695" t="s">
        <v>1326</v>
      </c>
      <c r="I695" t="s">
        <v>766</v>
      </c>
      <c r="J695" t="s">
        <v>1752</v>
      </c>
      <c r="K695" t="s">
        <v>1752</v>
      </c>
      <c r="L695" t="s">
        <v>2511</v>
      </c>
      <c r="M695" t="s">
        <v>208</v>
      </c>
      <c r="N695" t="s">
        <v>1163</v>
      </c>
      <c r="O695" t="s">
        <v>771</v>
      </c>
      <c r="P695" t="s">
        <v>772</v>
      </c>
      <c r="Q695" t="s">
        <v>1255</v>
      </c>
      <c r="R695">
        <v>40</v>
      </c>
      <c r="S695">
        <v>1</v>
      </c>
      <c r="T695">
        <v>0</v>
      </c>
      <c r="U695">
        <v>0</v>
      </c>
      <c r="V695">
        <v>0</v>
      </c>
      <c r="W695">
        <v>0</v>
      </c>
      <c r="X695">
        <v>0</v>
      </c>
      <c r="Y695">
        <v>0</v>
      </c>
      <c r="Z695">
        <v>0</v>
      </c>
      <c r="AA695">
        <v>0</v>
      </c>
      <c r="AB695">
        <v>0</v>
      </c>
      <c r="AC695">
        <v>0</v>
      </c>
      <c r="AD695">
        <v>15</v>
      </c>
      <c r="AE695">
        <v>2</v>
      </c>
      <c r="AF695">
        <v>0</v>
      </c>
      <c r="AG695">
        <v>0</v>
      </c>
      <c r="AH695">
        <v>0</v>
      </c>
      <c r="AI695">
        <v>0</v>
      </c>
      <c r="AY695" t="str">
        <f t="shared" si="189"/>
        <v>KEFLORIL 300 MG/ML SOLUTION INJECTABLE POUR BOVINS ET PORCINS</v>
      </c>
      <c r="AZ695" t="str">
        <f>IF(COUNTIF(AY:AY,AY695)=1,AY695,IF(AND(COUNTIF(AY:AY,AY695)&gt;1,COUNTIF(AZ$2:AZ694,AY695)&gt;=1),"",AY695))</f>
        <v/>
      </c>
      <c r="BA695" t="str">
        <f>IF(AZ695="","",COUNTIFS(AZ$3:AZ$1439,"&lt;"&amp;AZ695,AZ$3:AZ$1439,"&lt;&gt;0")+COUNTIF(AZ$3:AZ695,AZ695)-876)</f>
        <v/>
      </c>
      <c r="BT695" s="76"/>
      <c r="CN695">
        <v>694</v>
      </c>
    </row>
    <row r="696" spans="1:92" x14ac:dyDescent="0.3">
      <c r="A696" s="118" t="s">
        <v>3925</v>
      </c>
      <c r="B696" t="s">
        <v>3926</v>
      </c>
      <c r="C696" t="s">
        <v>1483</v>
      </c>
      <c r="D696" s="144" t="s">
        <v>764</v>
      </c>
      <c r="E696" t="s">
        <v>765</v>
      </c>
      <c r="F696" t="s">
        <v>650</v>
      </c>
      <c r="G696" t="s">
        <v>766</v>
      </c>
      <c r="H696" t="s">
        <v>1326</v>
      </c>
      <c r="I696" t="s">
        <v>766</v>
      </c>
      <c r="J696" t="s">
        <v>2366</v>
      </c>
      <c r="K696" t="s">
        <v>2366</v>
      </c>
      <c r="L696" t="s">
        <v>2690</v>
      </c>
      <c r="M696" t="s">
        <v>208</v>
      </c>
      <c r="N696" t="s">
        <v>764</v>
      </c>
      <c r="O696" t="s">
        <v>771</v>
      </c>
      <c r="P696" t="s">
        <v>772</v>
      </c>
      <c r="Q696" t="s">
        <v>852</v>
      </c>
      <c r="R696">
        <v>8</v>
      </c>
      <c r="S696">
        <v>1</v>
      </c>
      <c r="T696">
        <v>0</v>
      </c>
      <c r="U696">
        <v>0</v>
      </c>
      <c r="V696">
        <v>0</v>
      </c>
      <c r="W696">
        <v>0</v>
      </c>
      <c r="X696">
        <v>0</v>
      </c>
      <c r="Y696">
        <v>0</v>
      </c>
      <c r="Z696">
        <v>0</v>
      </c>
      <c r="AA696">
        <v>0</v>
      </c>
      <c r="AB696">
        <v>0</v>
      </c>
      <c r="AC696">
        <v>0</v>
      </c>
      <c r="AD696">
        <v>2</v>
      </c>
      <c r="AE696">
        <v>3</v>
      </c>
      <c r="AF696">
        <v>0</v>
      </c>
      <c r="AG696">
        <v>0</v>
      </c>
      <c r="AH696">
        <v>0</v>
      </c>
      <c r="AI696">
        <v>0</v>
      </c>
      <c r="AY696" t="str">
        <f t="shared" si="189"/>
        <v>KELACYL 100 MG/ML SOLUTION INJECTABLE POUR BOVINS ET PORCINS</v>
      </c>
      <c r="AZ696" t="str">
        <f>IF(COUNTIF(AY:AY,AY696)=1,AY696,IF(AND(COUNTIF(AY:AY,AY696)&gt;1,COUNTIF(AZ$2:AZ695,AY696)&gt;=1),"",AY696))</f>
        <v>KELACYL 100 MG/ML SOLUTION INJECTABLE POUR BOVINS ET PORCINS</v>
      </c>
      <c r="BA696">
        <f>IF(AZ696="","",COUNTIFS(AZ$3:AZ$1439,"&lt;"&amp;AZ696,AZ$3:AZ$1439,"&lt;&gt;0")+COUNTIF(AZ$3:AZ696,AZ696)-876)</f>
        <v>266</v>
      </c>
      <c r="BT696" s="76"/>
      <c r="CN696">
        <v>695</v>
      </c>
    </row>
    <row r="697" spans="1:92" x14ac:dyDescent="0.3">
      <c r="A697" s="118" t="s">
        <v>3925</v>
      </c>
      <c r="B697" t="s">
        <v>3927</v>
      </c>
      <c r="C697" t="s">
        <v>1474</v>
      </c>
      <c r="D697" s="144" t="s">
        <v>776</v>
      </c>
      <c r="E697" t="s">
        <v>765</v>
      </c>
      <c r="F697" t="s">
        <v>650</v>
      </c>
      <c r="G697" t="s">
        <v>766</v>
      </c>
      <c r="H697" t="s">
        <v>1326</v>
      </c>
      <c r="I697" t="s">
        <v>766</v>
      </c>
      <c r="J697" t="s">
        <v>2366</v>
      </c>
      <c r="K697" t="s">
        <v>2366</v>
      </c>
      <c r="L697" t="s">
        <v>2690</v>
      </c>
      <c r="M697" t="s">
        <v>208</v>
      </c>
      <c r="N697" t="s">
        <v>764</v>
      </c>
      <c r="O697" t="s">
        <v>771</v>
      </c>
      <c r="P697" t="s">
        <v>772</v>
      </c>
      <c r="Q697" t="s">
        <v>855</v>
      </c>
      <c r="R697">
        <v>8</v>
      </c>
      <c r="S697">
        <v>1</v>
      </c>
      <c r="T697">
        <v>0</v>
      </c>
      <c r="U697">
        <v>0</v>
      </c>
      <c r="V697">
        <v>0</v>
      </c>
      <c r="W697">
        <v>0</v>
      </c>
      <c r="X697">
        <v>0</v>
      </c>
      <c r="Y697">
        <v>0</v>
      </c>
      <c r="Z697">
        <v>0</v>
      </c>
      <c r="AA697">
        <v>0</v>
      </c>
      <c r="AB697">
        <v>0</v>
      </c>
      <c r="AC697">
        <v>0</v>
      </c>
      <c r="AD697">
        <v>2</v>
      </c>
      <c r="AE697">
        <v>3</v>
      </c>
      <c r="AF697">
        <v>0</v>
      </c>
      <c r="AG697">
        <v>0</v>
      </c>
      <c r="AH697">
        <v>0</v>
      </c>
      <c r="AI697">
        <v>0</v>
      </c>
      <c r="AY697" t="str">
        <f t="shared" si="189"/>
        <v>KELACYL 100 MG/ML SOLUTION INJECTABLE POUR BOVINS ET PORCINS</v>
      </c>
      <c r="AZ697" t="str">
        <f>IF(COUNTIF(AY:AY,AY697)=1,AY697,IF(AND(COUNTIF(AY:AY,AY697)&gt;1,COUNTIF(AZ$2:AZ696,AY697)&gt;=1),"",AY697))</f>
        <v/>
      </c>
      <c r="BA697" t="str">
        <f>IF(AZ697="","",COUNTIFS(AZ$3:AZ$1439,"&lt;"&amp;AZ697,AZ$3:AZ$1439,"&lt;&gt;0")+COUNTIF(AZ$3:AZ697,AZ697)-876)</f>
        <v/>
      </c>
      <c r="BT697" s="76"/>
      <c r="CN697">
        <v>696</v>
      </c>
    </row>
    <row r="698" spans="1:92" x14ac:dyDescent="0.3">
      <c r="A698" s="118" t="s">
        <v>3709</v>
      </c>
      <c r="B698" t="s">
        <v>3710</v>
      </c>
      <c r="C698" t="s">
        <v>3711</v>
      </c>
      <c r="D698" s="144" t="s">
        <v>1214</v>
      </c>
      <c r="E698" t="s">
        <v>813</v>
      </c>
      <c r="F698" t="s">
        <v>4542</v>
      </c>
      <c r="G698" t="s">
        <v>815</v>
      </c>
      <c r="H698" t="s">
        <v>860</v>
      </c>
      <c r="I698" t="s">
        <v>817</v>
      </c>
      <c r="J698" t="s">
        <v>2070</v>
      </c>
      <c r="K698" t="s">
        <v>787</v>
      </c>
      <c r="L698" t="s">
        <v>1055</v>
      </c>
      <c r="M698" t="s">
        <v>208</v>
      </c>
      <c r="N698" t="s">
        <v>864</v>
      </c>
      <c r="O698" t="s">
        <v>824</v>
      </c>
      <c r="P698" t="s">
        <v>772</v>
      </c>
      <c r="Q698" t="s">
        <v>1555</v>
      </c>
      <c r="R698">
        <v>0</v>
      </c>
      <c r="S698">
        <v>0</v>
      </c>
      <c r="T698">
        <v>20</v>
      </c>
      <c r="U698">
        <v>7</v>
      </c>
      <c r="V698">
        <v>0</v>
      </c>
      <c r="W698">
        <v>0</v>
      </c>
      <c r="X698">
        <v>0</v>
      </c>
      <c r="Y698">
        <v>0</v>
      </c>
      <c r="Z698">
        <v>0</v>
      </c>
      <c r="AA698">
        <v>0</v>
      </c>
      <c r="AB698">
        <v>0</v>
      </c>
      <c r="AC698">
        <v>0</v>
      </c>
      <c r="AD698">
        <v>0</v>
      </c>
      <c r="AE698">
        <v>0</v>
      </c>
      <c r="AF698">
        <v>0</v>
      </c>
      <c r="AG698">
        <v>0</v>
      </c>
      <c r="AH698">
        <v>0</v>
      </c>
      <c r="AI698">
        <v>0</v>
      </c>
      <c r="AJ698" t="s">
        <v>2071</v>
      </c>
      <c r="AK698" t="s">
        <v>2072</v>
      </c>
      <c r="AL698" t="s">
        <v>208</v>
      </c>
      <c r="AM698" t="s">
        <v>780</v>
      </c>
      <c r="AN698" t="s">
        <v>824</v>
      </c>
      <c r="AO698" t="s">
        <v>2073</v>
      </c>
      <c r="AP698" t="s">
        <v>2073</v>
      </c>
      <c r="AY698" t="str">
        <f t="shared" si="189"/>
        <v/>
      </c>
      <c r="AZ698" t="str">
        <f>IF(COUNTIF(AY:AY,AY698)=1,AY698,IF(AND(COUNTIF(AY:AY,AY698)&gt;1,COUNTIF(AZ$2:AZ697,AY698)&gt;=1),"",AY698))</f>
        <v/>
      </c>
      <c r="BA698" t="str">
        <f>IF(AZ698="","",COUNTIFS(AZ$3:AZ$1439,"&lt;"&amp;AZ698,AZ$3:AZ$1439,"&lt;&gt;0")+COUNTIF(AZ$3:AZ698,AZ698)-876)</f>
        <v/>
      </c>
      <c r="BT698" s="76"/>
      <c r="CN698">
        <v>697</v>
      </c>
    </row>
    <row r="699" spans="1:92" x14ac:dyDescent="0.3">
      <c r="A699" s="118" t="s">
        <v>3206</v>
      </c>
      <c r="B699" t="s">
        <v>3207</v>
      </c>
      <c r="C699" t="s">
        <v>2947</v>
      </c>
      <c r="D699" s="144" t="s">
        <v>864</v>
      </c>
      <c r="E699" t="s">
        <v>813</v>
      </c>
      <c r="F699" t="s">
        <v>3208</v>
      </c>
      <c r="G699" t="s">
        <v>815</v>
      </c>
      <c r="H699" t="s">
        <v>860</v>
      </c>
      <c r="I699" t="s">
        <v>817</v>
      </c>
      <c r="J699" t="s">
        <v>2070</v>
      </c>
      <c r="K699" t="s">
        <v>787</v>
      </c>
      <c r="L699" t="s">
        <v>1055</v>
      </c>
      <c r="M699" t="s">
        <v>208</v>
      </c>
      <c r="N699" t="s">
        <v>864</v>
      </c>
      <c r="O699" t="s">
        <v>824</v>
      </c>
      <c r="P699" t="s">
        <v>772</v>
      </c>
      <c r="Q699" t="s">
        <v>932</v>
      </c>
      <c r="R699">
        <v>0</v>
      </c>
      <c r="S699">
        <v>0</v>
      </c>
      <c r="T699">
        <v>20</v>
      </c>
      <c r="U699">
        <v>7</v>
      </c>
      <c r="V699">
        <v>0</v>
      </c>
      <c r="W699">
        <v>0</v>
      </c>
      <c r="X699">
        <v>0</v>
      </c>
      <c r="Y699">
        <v>0</v>
      </c>
      <c r="Z699">
        <v>0</v>
      </c>
      <c r="AA699">
        <v>0</v>
      </c>
      <c r="AB699">
        <v>0</v>
      </c>
      <c r="AC699">
        <v>0</v>
      </c>
      <c r="AD699">
        <v>0</v>
      </c>
      <c r="AE699">
        <v>0</v>
      </c>
      <c r="AF699">
        <v>0</v>
      </c>
      <c r="AG699">
        <v>0</v>
      </c>
      <c r="AH699">
        <v>0</v>
      </c>
      <c r="AI699">
        <v>0</v>
      </c>
      <c r="AJ699" t="s">
        <v>2071</v>
      </c>
      <c r="AK699" t="s">
        <v>2072</v>
      </c>
      <c r="AL699" t="s">
        <v>208</v>
      </c>
      <c r="AM699" t="s">
        <v>780</v>
      </c>
      <c r="AN699" t="s">
        <v>824</v>
      </c>
      <c r="AO699" t="s">
        <v>2073</v>
      </c>
      <c r="AP699" t="s">
        <v>2073</v>
      </c>
      <c r="AY699" t="str">
        <f t="shared" si="189"/>
        <v/>
      </c>
      <c r="AZ699" t="str">
        <f>IF(COUNTIF(AY:AY,AY699)=1,AY699,IF(AND(COUNTIF(AY:AY,AY699)&gt;1,COUNTIF(AZ$2:AZ698,AY699)&gt;=1),"",AY699))</f>
        <v/>
      </c>
      <c r="BA699" t="str">
        <f>IF(AZ699="","",COUNTIFS(AZ$3:AZ$1439,"&lt;"&amp;AZ699,AZ$3:AZ$1439,"&lt;&gt;0")+COUNTIF(AZ$3:AZ699,AZ699)-876)</f>
        <v/>
      </c>
      <c r="BT699" s="76"/>
      <c r="CN699">
        <v>698</v>
      </c>
    </row>
    <row r="700" spans="1:92" x14ac:dyDescent="0.3">
      <c r="A700" s="118" t="s">
        <v>3704</v>
      </c>
      <c r="B700" t="s">
        <v>3705</v>
      </c>
      <c r="C700" t="s">
        <v>3706</v>
      </c>
      <c r="D700" s="144" t="s">
        <v>1214</v>
      </c>
      <c r="E700" t="s">
        <v>813</v>
      </c>
      <c r="F700" t="s">
        <v>4540</v>
      </c>
      <c r="G700" t="s">
        <v>815</v>
      </c>
      <c r="H700" t="s">
        <v>816</v>
      </c>
      <c r="I700" t="s">
        <v>817</v>
      </c>
      <c r="J700" t="s">
        <v>2070</v>
      </c>
      <c r="K700" t="s">
        <v>787</v>
      </c>
      <c r="L700" t="s">
        <v>1055</v>
      </c>
      <c r="M700" t="s">
        <v>208</v>
      </c>
      <c r="N700" t="s">
        <v>932</v>
      </c>
      <c r="O700" t="s">
        <v>824</v>
      </c>
      <c r="P700" t="s">
        <v>772</v>
      </c>
      <c r="Q700" t="s">
        <v>2358</v>
      </c>
      <c r="R700">
        <v>0</v>
      </c>
      <c r="S700">
        <v>0</v>
      </c>
      <c r="T700">
        <v>20</v>
      </c>
      <c r="U700">
        <v>7</v>
      </c>
      <c r="V700">
        <v>0</v>
      </c>
      <c r="W700">
        <v>0</v>
      </c>
      <c r="X700">
        <v>0</v>
      </c>
      <c r="Y700">
        <v>0</v>
      </c>
      <c r="Z700">
        <v>0</v>
      </c>
      <c r="AA700">
        <v>0</v>
      </c>
      <c r="AB700">
        <v>0</v>
      </c>
      <c r="AC700">
        <v>0</v>
      </c>
      <c r="AD700">
        <v>0</v>
      </c>
      <c r="AE700">
        <v>0</v>
      </c>
      <c r="AF700">
        <v>0</v>
      </c>
      <c r="AG700">
        <v>0</v>
      </c>
      <c r="AH700">
        <v>0</v>
      </c>
      <c r="AI700">
        <v>0</v>
      </c>
      <c r="AJ700" t="s">
        <v>2071</v>
      </c>
      <c r="AK700" t="s">
        <v>2072</v>
      </c>
      <c r="AL700" t="s">
        <v>208</v>
      </c>
      <c r="AM700" t="s">
        <v>852</v>
      </c>
      <c r="AN700" t="s">
        <v>824</v>
      </c>
      <c r="AO700" t="s">
        <v>2073</v>
      </c>
      <c r="AP700" t="s">
        <v>2073</v>
      </c>
      <c r="AY700" t="str">
        <f t="shared" si="189"/>
        <v/>
      </c>
      <c r="AZ700" t="str">
        <f>IF(COUNTIF(AY:AY,AY700)=1,AY700,IF(AND(COUNTIF(AY:AY,AY700)&gt;1,COUNTIF(AZ$2:AZ699,AY700)&gt;=1),"",AY700))</f>
        <v/>
      </c>
      <c r="BA700" t="str">
        <f>IF(AZ700="","",COUNTIFS(AZ$3:AZ$1439,"&lt;"&amp;AZ700,AZ$3:AZ$1439,"&lt;&gt;0")+COUNTIF(AZ$3:AZ700,AZ700)-876)</f>
        <v/>
      </c>
      <c r="BT700" s="76"/>
      <c r="CN700">
        <v>699</v>
      </c>
    </row>
    <row r="701" spans="1:92" x14ac:dyDescent="0.3">
      <c r="A701" s="118" t="s">
        <v>3712</v>
      </c>
      <c r="B701" t="s">
        <v>3713</v>
      </c>
      <c r="C701" t="s">
        <v>4543</v>
      </c>
      <c r="D701" s="144" t="s">
        <v>1214</v>
      </c>
      <c r="E701" t="s">
        <v>813</v>
      </c>
      <c r="F701" t="s">
        <v>4544</v>
      </c>
      <c r="G701" t="s">
        <v>815</v>
      </c>
      <c r="H701" t="s">
        <v>860</v>
      </c>
      <c r="I701" t="s">
        <v>817</v>
      </c>
      <c r="J701" t="s">
        <v>2070</v>
      </c>
      <c r="K701" t="s">
        <v>787</v>
      </c>
      <c r="L701" t="s">
        <v>1055</v>
      </c>
      <c r="M701" t="s">
        <v>208</v>
      </c>
      <c r="N701" t="s">
        <v>939</v>
      </c>
      <c r="O701" t="s">
        <v>824</v>
      </c>
      <c r="P701" t="s">
        <v>772</v>
      </c>
      <c r="Q701" t="s">
        <v>1506</v>
      </c>
      <c r="R701">
        <v>0</v>
      </c>
      <c r="S701">
        <v>0</v>
      </c>
      <c r="T701">
        <v>20</v>
      </c>
      <c r="U701">
        <v>7</v>
      </c>
      <c r="V701">
        <v>0</v>
      </c>
      <c r="W701">
        <v>0</v>
      </c>
      <c r="X701">
        <v>0</v>
      </c>
      <c r="Y701">
        <v>0</v>
      </c>
      <c r="Z701">
        <v>0</v>
      </c>
      <c r="AA701">
        <v>0</v>
      </c>
      <c r="AB701">
        <v>0</v>
      </c>
      <c r="AC701">
        <v>0</v>
      </c>
      <c r="AD701">
        <v>0</v>
      </c>
      <c r="AE701">
        <v>0</v>
      </c>
      <c r="AF701">
        <v>0</v>
      </c>
      <c r="AG701">
        <v>0</v>
      </c>
      <c r="AH701">
        <v>0</v>
      </c>
      <c r="AI701">
        <v>0</v>
      </c>
      <c r="AJ701" t="s">
        <v>2071</v>
      </c>
      <c r="AK701" t="s">
        <v>2072</v>
      </c>
      <c r="AL701" t="s">
        <v>208</v>
      </c>
      <c r="AM701" t="s">
        <v>764</v>
      </c>
      <c r="AN701" t="s">
        <v>824</v>
      </c>
      <c r="AO701" t="s">
        <v>2073</v>
      </c>
      <c r="AP701" t="s">
        <v>2073</v>
      </c>
      <c r="AY701" t="str">
        <f t="shared" si="189"/>
        <v/>
      </c>
      <c r="AZ701" t="str">
        <f>IF(COUNTIF(AY:AY,AY701)=1,AY701,IF(AND(COUNTIF(AY:AY,AY701)&gt;1,COUNTIF(AZ$2:AZ700,AY701)&gt;=1),"",AY701))</f>
        <v/>
      </c>
      <c r="BA701" t="str">
        <f>IF(AZ701="","",COUNTIFS(AZ$3:AZ$1439,"&lt;"&amp;AZ701,AZ$3:AZ$1439,"&lt;&gt;0")+COUNTIF(AZ$3:AZ701,AZ701)-876)</f>
        <v/>
      </c>
      <c r="BT701" s="76"/>
      <c r="CN701">
        <v>700</v>
      </c>
    </row>
    <row r="702" spans="1:92" x14ac:dyDescent="0.3">
      <c r="A702" s="118" t="s">
        <v>3712</v>
      </c>
      <c r="B702" t="s">
        <v>3714</v>
      </c>
      <c r="C702" t="s">
        <v>4545</v>
      </c>
      <c r="D702" s="144" t="s">
        <v>1506</v>
      </c>
      <c r="E702" t="s">
        <v>813</v>
      </c>
      <c r="F702" t="s">
        <v>4544</v>
      </c>
      <c r="G702" t="s">
        <v>815</v>
      </c>
      <c r="H702" t="s">
        <v>860</v>
      </c>
      <c r="I702" t="s">
        <v>817</v>
      </c>
      <c r="J702" t="s">
        <v>2070</v>
      </c>
      <c r="K702" t="s">
        <v>787</v>
      </c>
      <c r="L702" t="s">
        <v>1055</v>
      </c>
      <c r="M702" t="s">
        <v>208</v>
      </c>
      <c r="N702" t="s">
        <v>939</v>
      </c>
      <c r="O702" t="s">
        <v>824</v>
      </c>
      <c r="P702" t="s">
        <v>772</v>
      </c>
      <c r="Q702" t="s">
        <v>3715</v>
      </c>
      <c r="R702">
        <v>0</v>
      </c>
      <c r="S702">
        <v>0</v>
      </c>
      <c r="T702">
        <v>20</v>
      </c>
      <c r="U702">
        <v>7</v>
      </c>
      <c r="V702">
        <v>0</v>
      </c>
      <c r="W702">
        <v>0</v>
      </c>
      <c r="X702">
        <v>0</v>
      </c>
      <c r="Y702">
        <v>0</v>
      </c>
      <c r="Z702">
        <v>0</v>
      </c>
      <c r="AA702">
        <v>0</v>
      </c>
      <c r="AB702">
        <v>0</v>
      </c>
      <c r="AC702">
        <v>0</v>
      </c>
      <c r="AD702">
        <v>0</v>
      </c>
      <c r="AE702">
        <v>0</v>
      </c>
      <c r="AF702">
        <v>0</v>
      </c>
      <c r="AG702">
        <v>0</v>
      </c>
      <c r="AH702">
        <v>0</v>
      </c>
      <c r="AI702">
        <v>0</v>
      </c>
      <c r="AJ702" t="s">
        <v>2071</v>
      </c>
      <c r="AK702" t="s">
        <v>2072</v>
      </c>
      <c r="AL702" t="s">
        <v>208</v>
      </c>
      <c r="AM702" t="s">
        <v>764</v>
      </c>
      <c r="AN702" t="s">
        <v>824</v>
      </c>
      <c r="AO702" t="s">
        <v>2073</v>
      </c>
      <c r="AP702" t="s">
        <v>2073</v>
      </c>
      <c r="AY702" t="str">
        <f t="shared" si="189"/>
        <v/>
      </c>
      <c r="AZ702" t="str">
        <f>IF(COUNTIF(AY:AY,AY702)=1,AY702,IF(AND(COUNTIF(AY:AY,AY702)&gt;1,COUNTIF(AZ$2:AZ701,AY702)&gt;=1),"",AY702))</f>
        <v/>
      </c>
      <c r="BA702" t="str">
        <f>IF(AZ702="","",COUNTIFS(AZ$3:AZ$1439,"&lt;"&amp;AZ702,AZ$3:AZ$1439,"&lt;&gt;0")+COUNTIF(AZ$3:AZ702,AZ702)-876)</f>
        <v/>
      </c>
      <c r="BT702" s="76"/>
      <c r="CN702">
        <v>701</v>
      </c>
    </row>
    <row r="703" spans="1:92" x14ac:dyDescent="0.3">
      <c r="A703" s="118" t="s">
        <v>3203</v>
      </c>
      <c r="B703" t="s">
        <v>3204</v>
      </c>
      <c r="C703" t="s">
        <v>2947</v>
      </c>
      <c r="D703" s="144" t="s">
        <v>864</v>
      </c>
      <c r="E703" t="s">
        <v>813</v>
      </c>
      <c r="F703" t="s">
        <v>3205</v>
      </c>
      <c r="G703" t="s">
        <v>815</v>
      </c>
      <c r="H703" t="s">
        <v>816</v>
      </c>
      <c r="I703" t="s">
        <v>817</v>
      </c>
      <c r="J703" t="s">
        <v>2070</v>
      </c>
      <c r="K703" t="s">
        <v>787</v>
      </c>
      <c r="L703" t="s">
        <v>1055</v>
      </c>
      <c r="M703" t="s">
        <v>208</v>
      </c>
      <c r="N703" t="s">
        <v>932</v>
      </c>
      <c r="O703" t="s">
        <v>824</v>
      </c>
      <c r="P703" t="s">
        <v>772</v>
      </c>
      <c r="Q703" t="s">
        <v>1791</v>
      </c>
      <c r="R703">
        <v>0</v>
      </c>
      <c r="S703">
        <v>0</v>
      </c>
      <c r="T703">
        <v>20</v>
      </c>
      <c r="U703">
        <v>7</v>
      </c>
      <c r="V703">
        <v>0</v>
      </c>
      <c r="W703">
        <v>0</v>
      </c>
      <c r="X703">
        <v>0</v>
      </c>
      <c r="Y703">
        <v>0</v>
      </c>
      <c r="Z703">
        <v>0</v>
      </c>
      <c r="AA703">
        <v>0</v>
      </c>
      <c r="AB703">
        <v>0</v>
      </c>
      <c r="AC703">
        <v>0</v>
      </c>
      <c r="AD703">
        <v>0</v>
      </c>
      <c r="AE703">
        <v>0</v>
      </c>
      <c r="AF703">
        <v>0</v>
      </c>
      <c r="AG703">
        <v>0</v>
      </c>
      <c r="AH703">
        <v>0</v>
      </c>
      <c r="AI703">
        <v>0</v>
      </c>
      <c r="AJ703" t="s">
        <v>2071</v>
      </c>
      <c r="AK703" t="s">
        <v>2072</v>
      </c>
      <c r="AL703" t="s">
        <v>208</v>
      </c>
      <c r="AM703" t="s">
        <v>852</v>
      </c>
      <c r="AN703" t="s">
        <v>824</v>
      </c>
      <c r="AO703" t="s">
        <v>2073</v>
      </c>
      <c r="AP703" t="s">
        <v>2073</v>
      </c>
      <c r="AY703" t="str">
        <f t="shared" si="189"/>
        <v/>
      </c>
      <c r="AZ703" t="str">
        <f>IF(COUNTIF(AY:AY,AY703)=1,AY703,IF(AND(COUNTIF(AY:AY,AY703)&gt;1,COUNTIF(AZ$2:AZ702,AY703)&gt;=1),"",AY703))</f>
        <v/>
      </c>
      <c r="BA703" t="str">
        <f>IF(AZ703="","",COUNTIFS(AZ$3:AZ$1439,"&lt;"&amp;AZ703,AZ$3:AZ$1439,"&lt;&gt;0")+COUNTIF(AZ$3:AZ703,AZ703)-876)</f>
        <v/>
      </c>
      <c r="BT703" s="76"/>
      <c r="CN703">
        <v>702</v>
      </c>
    </row>
    <row r="704" spans="1:92" x14ac:dyDescent="0.3">
      <c r="A704" s="118" t="s">
        <v>3707</v>
      </c>
      <c r="B704" t="s">
        <v>3708</v>
      </c>
      <c r="C704" t="s">
        <v>3706</v>
      </c>
      <c r="D704" s="144" t="s">
        <v>1214</v>
      </c>
      <c r="E704" t="s">
        <v>813</v>
      </c>
      <c r="F704" t="s">
        <v>4541</v>
      </c>
      <c r="G704" t="s">
        <v>815</v>
      </c>
      <c r="H704" t="s">
        <v>816</v>
      </c>
      <c r="I704" t="s">
        <v>817</v>
      </c>
      <c r="J704" t="s">
        <v>2070</v>
      </c>
      <c r="K704" t="s">
        <v>787</v>
      </c>
      <c r="L704" t="s">
        <v>1055</v>
      </c>
      <c r="M704" t="s">
        <v>208</v>
      </c>
      <c r="N704" t="s">
        <v>780</v>
      </c>
      <c r="O704" t="s">
        <v>824</v>
      </c>
      <c r="P704" t="s">
        <v>772</v>
      </c>
      <c r="Q704" t="s">
        <v>793</v>
      </c>
      <c r="R704">
        <v>0</v>
      </c>
      <c r="S704">
        <v>0</v>
      </c>
      <c r="T704">
        <v>20</v>
      </c>
      <c r="U704">
        <v>7</v>
      </c>
      <c r="V704">
        <v>0</v>
      </c>
      <c r="W704">
        <v>0</v>
      </c>
      <c r="X704">
        <v>0</v>
      </c>
      <c r="Y704">
        <v>0</v>
      </c>
      <c r="Z704">
        <v>0</v>
      </c>
      <c r="AA704">
        <v>0</v>
      </c>
      <c r="AB704">
        <v>0</v>
      </c>
      <c r="AC704">
        <v>0</v>
      </c>
      <c r="AD704">
        <v>0</v>
      </c>
      <c r="AE704">
        <v>0</v>
      </c>
      <c r="AF704">
        <v>0</v>
      </c>
      <c r="AG704">
        <v>0</v>
      </c>
      <c r="AH704">
        <v>0</v>
      </c>
      <c r="AI704">
        <v>0</v>
      </c>
      <c r="AJ704" t="s">
        <v>2071</v>
      </c>
      <c r="AK704" t="s">
        <v>2072</v>
      </c>
      <c r="AL704" t="s">
        <v>208</v>
      </c>
      <c r="AM704" t="s">
        <v>1072</v>
      </c>
      <c r="AN704" t="s">
        <v>824</v>
      </c>
      <c r="AO704" t="s">
        <v>2073</v>
      </c>
      <c r="AP704" t="s">
        <v>2073</v>
      </c>
      <c r="AY704" t="str">
        <f t="shared" si="189"/>
        <v/>
      </c>
      <c r="AZ704" t="str">
        <f>IF(COUNTIF(AY:AY,AY704)=1,AY704,IF(AND(COUNTIF(AY:AY,AY704)&gt;1,COUNTIF(AZ$2:AZ703,AY704)&gt;=1),"",AY704))</f>
        <v/>
      </c>
      <c r="BA704" t="str">
        <f>IF(AZ704="","",COUNTIFS(AZ$3:AZ$1439,"&lt;"&amp;AZ704,AZ$3:AZ$1439,"&lt;&gt;0")+COUNTIF(AZ$3:AZ704,AZ704)-876)</f>
        <v/>
      </c>
      <c r="BT704" s="76"/>
      <c r="CN704">
        <v>703</v>
      </c>
    </row>
    <row r="705" spans="1:92" x14ac:dyDescent="0.3">
      <c r="A705" s="118" t="s">
        <v>3209</v>
      </c>
      <c r="B705" t="s">
        <v>3210</v>
      </c>
      <c r="C705" t="s">
        <v>2947</v>
      </c>
      <c r="D705" s="144" t="s">
        <v>864</v>
      </c>
      <c r="E705" t="s">
        <v>813</v>
      </c>
      <c r="F705" t="s">
        <v>3211</v>
      </c>
      <c r="G705" t="s">
        <v>815</v>
      </c>
      <c r="H705" t="s">
        <v>860</v>
      </c>
      <c r="I705" t="s">
        <v>817</v>
      </c>
      <c r="J705" t="s">
        <v>2070</v>
      </c>
      <c r="K705" t="s">
        <v>787</v>
      </c>
      <c r="L705" t="s">
        <v>1055</v>
      </c>
      <c r="M705" t="s">
        <v>208</v>
      </c>
      <c r="N705" t="s">
        <v>939</v>
      </c>
      <c r="O705" t="s">
        <v>824</v>
      </c>
      <c r="P705" t="s">
        <v>772</v>
      </c>
      <c r="Q705" t="s">
        <v>940</v>
      </c>
      <c r="R705">
        <v>0</v>
      </c>
      <c r="S705">
        <v>0</v>
      </c>
      <c r="T705">
        <v>20</v>
      </c>
      <c r="U705">
        <v>7</v>
      </c>
      <c r="V705">
        <v>0</v>
      </c>
      <c r="W705">
        <v>0</v>
      </c>
      <c r="X705">
        <v>0</v>
      </c>
      <c r="Y705">
        <v>0</v>
      </c>
      <c r="Z705">
        <v>0</v>
      </c>
      <c r="AA705">
        <v>0</v>
      </c>
      <c r="AB705">
        <v>0</v>
      </c>
      <c r="AC705">
        <v>0</v>
      </c>
      <c r="AD705">
        <v>0</v>
      </c>
      <c r="AE705">
        <v>0</v>
      </c>
      <c r="AF705">
        <v>0</v>
      </c>
      <c r="AG705">
        <v>0</v>
      </c>
      <c r="AH705">
        <v>0</v>
      </c>
      <c r="AI705">
        <v>0</v>
      </c>
      <c r="AJ705" t="s">
        <v>2071</v>
      </c>
      <c r="AK705" t="s">
        <v>2072</v>
      </c>
      <c r="AL705" t="s">
        <v>208</v>
      </c>
      <c r="AM705" t="s">
        <v>764</v>
      </c>
      <c r="AN705" t="s">
        <v>824</v>
      </c>
      <c r="AO705" t="s">
        <v>2073</v>
      </c>
      <c r="AP705" t="s">
        <v>2073</v>
      </c>
      <c r="AY705" t="str">
        <f t="shared" si="189"/>
        <v/>
      </c>
      <c r="AZ705" t="str">
        <f>IF(COUNTIF(AY:AY,AY705)=1,AY705,IF(AND(COUNTIF(AY:AY,AY705)&gt;1,COUNTIF(AZ$2:AZ704,AY705)&gt;=1),"",AY705))</f>
        <v/>
      </c>
      <c r="BA705" t="str">
        <f>IF(AZ705="","",COUNTIFS(AZ$3:AZ$1439,"&lt;"&amp;AZ705,AZ$3:AZ$1439,"&lt;&gt;0")+COUNTIF(AZ$3:AZ705,AZ705)-876)</f>
        <v/>
      </c>
      <c r="BT705" s="76"/>
      <c r="CN705">
        <v>704</v>
      </c>
    </row>
    <row r="706" spans="1:92" x14ac:dyDescent="0.3">
      <c r="A706" s="118" t="s">
        <v>3968</v>
      </c>
      <c r="B706" t="s">
        <v>3969</v>
      </c>
      <c r="C706" t="s">
        <v>3970</v>
      </c>
      <c r="D706" s="144" t="s">
        <v>1214</v>
      </c>
      <c r="E706" t="s">
        <v>813</v>
      </c>
      <c r="F706" t="s">
        <v>4552</v>
      </c>
      <c r="G706" t="s">
        <v>815</v>
      </c>
      <c r="H706" t="s">
        <v>860</v>
      </c>
      <c r="I706" t="s">
        <v>817</v>
      </c>
      <c r="J706" t="s">
        <v>2070</v>
      </c>
      <c r="K706" t="s">
        <v>787</v>
      </c>
      <c r="L706" t="s">
        <v>1055</v>
      </c>
      <c r="M706" t="s">
        <v>208</v>
      </c>
      <c r="N706" t="s">
        <v>906</v>
      </c>
      <c r="O706" t="s">
        <v>824</v>
      </c>
      <c r="P706" t="s">
        <v>772</v>
      </c>
      <c r="Q706" t="s">
        <v>785</v>
      </c>
      <c r="R706">
        <v>0</v>
      </c>
      <c r="S706">
        <v>0</v>
      </c>
      <c r="T706">
        <v>20</v>
      </c>
      <c r="U706">
        <v>7</v>
      </c>
      <c r="V706">
        <v>0</v>
      </c>
      <c r="W706">
        <v>0</v>
      </c>
      <c r="X706">
        <v>0</v>
      </c>
      <c r="Y706">
        <v>0</v>
      </c>
      <c r="Z706">
        <v>0</v>
      </c>
      <c r="AA706">
        <v>0</v>
      </c>
      <c r="AB706">
        <v>0</v>
      </c>
      <c r="AC706">
        <v>0</v>
      </c>
      <c r="AD706">
        <v>0</v>
      </c>
      <c r="AE706">
        <v>0</v>
      </c>
      <c r="AF706">
        <v>0</v>
      </c>
      <c r="AG706">
        <v>0</v>
      </c>
      <c r="AH706">
        <v>0</v>
      </c>
      <c r="AI706">
        <v>0</v>
      </c>
      <c r="AJ706" t="s">
        <v>2071</v>
      </c>
      <c r="AK706" t="s">
        <v>2072</v>
      </c>
      <c r="AL706" t="s">
        <v>208</v>
      </c>
      <c r="AM706" t="s">
        <v>1125</v>
      </c>
      <c r="AN706" t="s">
        <v>824</v>
      </c>
      <c r="AO706" t="s">
        <v>2073</v>
      </c>
      <c r="AP706" t="s">
        <v>2073</v>
      </c>
      <c r="AY706" t="str">
        <f t="shared" si="189"/>
        <v/>
      </c>
      <c r="AZ706" t="str">
        <f>IF(COUNTIF(AY:AY,AY706)=1,AY706,IF(AND(COUNTIF(AY:AY,AY706)&gt;1,COUNTIF(AZ$2:AZ705,AY706)&gt;=1),"",AY706))</f>
        <v/>
      </c>
      <c r="BA706" t="str">
        <f>IF(AZ706="","",COUNTIFS(AZ$3:AZ$1439,"&lt;"&amp;AZ706,AZ$3:AZ$1439,"&lt;&gt;0")+COUNTIF(AZ$3:AZ706,AZ706)-876)</f>
        <v/>
      </c>
      <c r="BT706" s="76"/>
      <c r="CN706">
        <v>705</v>
      </c>
    </row>
    <row r="707" spans="1:92" x14ac:dyDescent="0.3">
      <c r="A707" s="118" t="s">
        <v>4599</v>
      </c>
      <c r="B707" t="s">
        <v>4600</v>
      </c>
      <c r="C707" t="s">
        <v>1293</v>
      </c>
      <c r="D707" t="s">
        <v>924</v>
      </c>
      <c r="E707" t="s">
        <v>830</v>
      </c>
      <c r="F707" t="s">
        <v>374</v>
      </c>
      <c r="G707" t="s">
        <v>831</v>
      </c>
      <c r="H707" t="s">
        <v>832</v>
      </c>
      <c r="I707" t="s">
        <v>817</v>
      </c>
      <c r="J707" t="s">
        <v>768</v>
      </c>
      <c r="K707" t="s">
        <v>768</v>
      </c>
      <c r="L707" t="s">
        <v>2121</v>
      </c>
      <c r="M707" t="s">
        <v>208</v>
      </c>
      <c r="N707" t="s">
        <v>780</v>
      </c>
      <c r="O707" t="s">
        <v>894</v>
      </c>
      <c r="P707" t="s">
        <v>772</v>
      </c>
      <c r="Q707" t="s">
        <v>906</v>
      </c>
      <c r="R707">
        <v>10</v>
      </c>
      <c r="S707">
        <v>5</v>
      </c>
      <c r="T707">
        <v>0</v>
      </c>
      <c r="U707">
        <v>0</v>
      </c>
      <c r="V707">
        <v>0</v>
      </c>
      <c r="W707">
        <v>0</v>
      </c>
      <c r="X707">
        <v>0</v>
      </c>
      <c r="Y707">
        <v>0</v>
      </c>
      <c r="Z707">
        <v>0</v>
      </c>
      <c r="AA707">
        <v>0</v>
      </c>
      <c r="AB707">
        <v>0</v>
      </c>
      <c r="AC707">
        <v>0</v>
      </c>
      <c r="AD707">
        <v>10</v>
      </c>
      <c r="AE707">
        <v>5</v>
      </c>
      <c r="AF707">
        <v>10</v>
      </c>
      <c r="AG707">
        <v>5</v>
      </c>
      <c r="AH707">
        <v>0</v>
      </c>
      <c r="AI707">
        <v>0</v>
      </c>
      <c r="AY707" t="str">
        <f t="shared" ref="AY707:AY770" si="190">IF(INDEX(CK$3:CL$174,MATCH(H707,CK$3:CK$174,0),2)="x",F707,"")</f>
        <v>K-VET DOXYCYCLINE 50 MG/G POUDRE</v>
      </c>
      <c r="AZ707" t="str">
        <f>IF(COUNTIF(AY:AY,AY707)=1,AY707,IF(AND(COUNTIF(AY:AY,AY707)&gt;1,COUNTIF(AZ$2:AZ706,AY707)&gt;=1),"",AY707))</f>
        <v>K-VET DOXYCYCLINE 50 MG/G POUDRE</v>
      </c>
      <c r="BA707">
        <f>IF(AZ707="","",COUNTIFS(AZ$3:AZ$1439,"&lt;"&amp;AZ707,AZ$3:AZ$1439,"&lt;&gt;0")+COUNTIF(AZ$3:AZ707,AZ707)-876)</f>
        <v>267</v>
      </c>
      <c r="BT707" s="76"/>
      <c r="CN707">
        <v>706</v>
      </c>
    </row>
    <row r="708" spans="1:92" x14ac:dyDescent="0.3">
      <c r="A708" s="118" t="s">
        <v>4599</v>
      </c>
      <c r="B708" t="s">
        <v>4601</v>
      </c>
      <c r="C708" t="s">
        <v>1313</v>
      </c>
      <c r="D708" t="s">
        <v>955</v>
      </c>
      <c r="E708" t="s">
        <v>830</v>
      </c>
      <c r="F708" t="s">
        <v>374</v>
      </c>
      <c r="G708" t="s">
        <v>831</v>
      </c>
      <c r="H708" t="s">
        <v>832</v>
      </c>
      <c r="I708" t="s">
        <v>817</v>
      </c>
      <c r="J708" t="s">
        <v>768</v>
      </c>
      <c r="K708" t="s">
        <v>768</v>
      </c>
      <c r="L708" t="s">
        <v>2121</v>
      </c>
      <c r="M708" t="s">
        <v>208</v>
      </c>
      <c r="N708" t="s">
        <v>780</v>
      </c>
      <c r="O708" t="s">
        <v>894</v>
      </c>
      <c r="P708" t="s">
        <v>772</v>
      </c>
      <c r="Q708" t="s">
        <v>776</v>
      </c>
      <c r="R708">
        <v>10</v>
      </c>
      <c r="S708">
        <v>5</v>
      </c>
      <c r="T708">
        <v>0</v>
      </c>
      <c r="U708">
        <v>0</v>
      </c>
      <c r="V708">
        <v>0</v>
      </c>
      <c r="W708">
        <v>0</v>
      </c>
      <c r="X708">
        <v>0</v>
      </c>
      <c r="Y708">
        <v>0</v>
      </c>
      <c r="Z708">
        <v>0</v>
      </c>
      <c r="AA708">
        <v>0</v>
      </c>
      <c r="AB708">
        <v>0</v>
      </c>
      <c r="AC708">
        <v>0</v>
      </c>
      <c r="AD708">
        <v>10</v>
      </c>
      <c r="AE708">
        <v>5</v>
      </c>
      <c r="AF708">
        <v>10</v>
      </c>
      <c r="AG708">
        <v>5</v>
      </c>
      <c r="AH708">
        <v>0</v>
      </c>
      <c r="AI708">
        <v>0</v>
      </c>
      <c r="AY708" t="str">
        <f t="shared" si="190"/>
        <v>K-VET DOXYCYCLINE 50 MG/G POUDRE</v>
      </c>
      <c r="AZ708" t="str">
        <f>IF(COUNTIF(AY:AY,AY708)=1,AY708,IF(AND(COUNTIF(AY:AY,AY708)&gt;1,COUNTIF(AZ$2:AZ707,AY708)&gt;=1),"",AY708))</f>
        <v/>
      </c>
      <c r="BA708" t="str">
        <f>IF(AZ708="","",COUNTIFS(AZ$3:AZ$1439,"&lt;"&amp;AZ708,AZ$3:AZ$1439,"&lt;&gt;0")+COUNTIF(AZ$3:AZ708,AZ708)-876)</f>
        <v/>
      </c>
      <c r="BT708" s="76"/>
      <c r="CN708">
        <v>707</v>
      </c>
    </row>
    <row r="709" spans="1:92" x14ac:dyDescent="0.3">
      <c r="A709" s="118" t="s">
        <v>4602</v>
      </c>
      <c r="B709" t="s">
        <v>4603</v>
      </c>
      <c r="C709" t="s">
        <v>1313</v>
      </c>
      <c r="D709" t="s">
        <v>955</v>
      </c>
      <c r="E709" t="s">
        <v>830</v>
      </c>
      <c r="F709" t="s">
        <v>375</v>
      </c>
      <c r="G709" t="s">
        <v>831</v>
      </c>
      <c r="H709" t="s">
        <v>1577</v>
      </c>
      <c r="I709" t="s">
        <v>817</v>
      </c>
      <c r="J709" t="s">
        <v>768</v>
      </c>
      <c r="K709" t="s">
        <v>768</v>
      </c>
      <c r="L709" t="s">
        <v>769</v>
      </c>
      <c r="M709" t="s">
        <v>208</v>
      </c>
      <c r="N709" t="s">
        <v>906</v>
      </c>
      <c r="O709" t="s">
        <v>894</v>
      </c>
      <c r="P709" t="s">
        <v>772</v>
      </c>
      <c r="Q709" t="s">
        <v>966</v>
      </c>
      <c r="R709">
        <v>20</v>
      </c>
      <c r="S709">
        <v>5</v>
      </c>
      <c r="T709">
        <v>0</v>
      </c>
      <c r="U709">
        <v>0</v>
      </c>
      <c r="V709">
        <v>0</v>
      </c>
      <c r="W709">
        <v>0</v>
      </c>
      <c r="X709">
        <v>0</v>
      </c>
      <c r="Y709">
        <v>0</v>
      </c>
      <c r="Z709">
        <v>20</v>
      </c>
      <c r="AA709">
        <v>5</v>
      </c>
      <c r="AB709">
        <v>20</v>
      </c>
      <c r="AC709">
        <v>5</v>
      </c>
      <c r="AD709">
        <v>20</v>
      </c>
      <c r="AE709">
        <v>5</v>
      </c>
      <c r="AF709">
        <v>20</v>
      </c>
      <c r="AG709">
        <v>5</v>
      </c>
      <c r="AH709">
        <v>0</v>
      </c>
      <c r="AI709">
        <v>0</v>
      </c>
      <c r="AY709" t="str">
        <f t="shared" si="190"/>
        <v>K-VET OTC 500 MG/G POUDRE POUR ADMINISTRATION DANS L’EAU DE BOISSON, LE LAIT ET L’ALIMENT D’ALLAITEMENT</v>
      </c>
      <c r="AZ709" t="str">
        <f>IF(COUNTIF(AY:AY,AY709)=1,AY709,IF(AND(COUNTIF(AY:AY,AY709)&gt;1,COUNTIF(AZ$2:AZ708,AY709)&gt;=1),"",AY709))</f>
        <v>K-VET OTC 500 MG/G POUDRE POUR ADMINISTRATION DANS L’EAU DE BOISSON, LE LAIT ET L’ALIMENT D’ALLAITEMENT</v>
      </c>
      <c r="BA709">
        <f>IF(AZ709="","",COUNTIFS(AZ$3:AZ$1439,"&lt;"&amp;AZ709,AZ$3:AZ$1439,"&lt;&gt;0")+COUNTIF(AZ$3:AZ709,AZ709)-876)</f>
        <v>268</v>
      </c>
      <c r="BT709" s="76"/>
      <c r="CN709">
        <v>708</v>
      </c>
    </row>
    <row r="710" spans="1:92" x14ac:dyDescent="0.3">
      <c r="A710" s="118" t="s">
        <v>4265</v>
      </c>
      <c r="B710" t="s">
        <v>4266</v>
      </c>
      <c r="C710" t="s">
        <v>1313</v>
      </c>
      <c r="D710" t="s">
        <v>955</v>
      </c>
      <c r="E710" t="s">
        <v>830</v>
      </c>
      <c r="F710" t="s">
        <v>376</v>
      </c>
      <c r="G710" t="s">
        <v>831</v>
      </c>
      <c r="H710" t="s">
        <v>1213</v>
      </c>
      <c r="I710" t="s">
        <v>817</v>
      </c>
      <c r="J710" t="s">
        <v>802</v>
      </c>
      <c r="K710" t="s">
        <v>802</v>
      </c>
      <c r="L710" t="s">
        <v>1092</v>
      </c>
      <c r="M710" t="s">
        <v>208</v>
      </c>
      <c r="N710" t="s">
        <v>1730</v>
      </c>
      <c r="O710" t="s">
        <v>834</v>
      </c>
      <c r="P710" t="s">
        <v>1537</v>
      </c>
      <c r="Q710" t="s">
        <v>1731</v>
      </c>
      <c r="R710">
        <v>0</v>
      </c>
      <c r="S710">
        <v>0</v>
      </c>
      <c r="T710">
        <v>0</v>
      </c>
      <c r="U710">
        <v>0</v>
      </c>
      <c r="V710">
        <v>0</v>
      </c>
      <c r="W710">
        <v>0</v>
      </c>
      <c r="X710">
        <v>0</v>
      </c>
      <c r="Y710">
        <v>0</v>
      </c>
      <c r="Z710">
        <v>0</v>
      </c>
      <c r="AA710">
        <v>0</v>
      </c>
      <c r="AB710">
        <v>0</v>
      </c>
      <c r="AC710">
        <v>0</v>
      </c>
      <c r="AD710">
        <v>18.399999999999999</v>
      </c>
      <c r="AE710">
        <v>5</v>
      </c>
      <c r="AF710">
        <v>0</v>
      </c>
      <c r="AG710">
        <v>0</v>
      </c>
      <c r="AH710">
        <v>0</v>
      </c>
      <c r="AI710">
        <v>0</v>
      </c>
      <c r="AY710" t="str">
        <f t="shared" si="190"/>
        <v>K-VET TYLOSINE 92 000 UI/G POUDRE ORALE PORCS</v>
      </c>
      <c r="AZ710" t="str">
        <f>IF(COUNTIF(AY:AY,AY710)=1,AY710,IF(AND(COUNTIF(AY:AY,AY710)&gt;1,COUNTIF(AZ$2:AZ709,AY710)&gt;=1),"",AY710))</f>
        <v>K-VET TYLOSINE 92 000 UI/G POUDRE ORALE PORCS</v>
      </c>
      <c r="BA710">
        <f>IF(AZ710="","",COUNTIFS(AZ$3:AZ$1439,"&lt;"&amp;AZ710,AZ$3:AZ$1439,"&lt;&gt;0")+COUNTIF(AZ$3:AZ710,AZ710)-876)</f>
        <v>269</v>
      </c>
      <c r="BT710" s="76"/>
      <c r="CN710">
        <v>709</v>
      </c>
    </row>
    <row r="711" spans="1:92" x14ac:dyDescent="0.3">
      <c r="A711" s="118" t="s">
        <v>4265</v>
      </c>
      <c r="B711" t="s">
        <v>4267</v>
      </c>
      <c r="C711" t="s">
        <v>1293</v>
      </c>
      <c r="D711" t="s">
        <v>924</v>
      </c>
      <c r="E711" t="s">
        <v>830</v>
      </c>
      <c r="F711" t="s">
        <v>376</v>
      </c>
      <c r="G711" t="s">
        <v>831</v>
      </c>
      <c r="H711" t="s">
        <v>1213</v>
      </c>
      <c r="I711" t="s">
        <v>817</v>
      </c>
      <c r="J711" t="s">
        <v>802</v>
      </c>
      <c r="K711" t="s">
        <v>802</v>
      </c>
      <c r="L711" t="s">
        <v>1092</v>
      </c>
      <c r="M711" t="s">
        <v>208</v>
      </c>
      <c r="N711" t="s">
        <v>1730</v>
      </c>
      <c r="O711" t="s">
        <v>834</v>
      </c>
      <c r="P711" t="s">
        <v>1537</v>
      </c>
      <c r="Q711" t="s">
        <v>958</v>
      </c>
      <c r="R711">
        <v>0</v>
      </c>
      <c r="S711">
        <v>0</v>
      </c>
      <c r="T711">
        <v>0</v>
      </c>
      <c r="U711">
        <v>0</v>
      </c>
      <c r="V711">
        <v>0</v>
      </c>
      <c r="W711">
        <v>0</v>
      </c>
      <c r="X711">
        <v>0</v>
      </c>
      <c r="Y711">
        <v>0</v>
      </c>
      <c r="Z711">
        <v>0</v>
      </c>
      <c r="AA711">
        <v>0</v>
      </c>
      <c r="AB711">
        <v>0</v>
      </c>
      <c r="AC711">
        <v>0</v>
      </c>
      <c r="AD711">
        <v>18.399999999999999</v>
      </c>
      <c r="AE711">
        <v>5</v>
      </c>
      <c r="AF711">
        <v>0</v>
      </c>
      <c r="AG711">
        <v>0</v>
      </c>
      <c r="AH711">
        <v>0</v>
      </c>
      <c r="AI711">
        <v>0</v>
      </c>
      <c r="AY711" t="str">
        <f t="shared" si="190"/>
        <v>K-VET TYLOSINE 92 000 UI/G POUDRE ORALE PORCS</v>
      </c>
      <c r="AZ711" t="str">
        <f>IF(COUNTIF(AY:AY,AY711)=1,AY711,IF(AND(COUNTIF(AY:AY,AY711)&gt;1,COUNTIF(AZ$2:AZ710,AY711)&gt;=1),"",AY711))</f>
        <v/>
      </c>
      <c r="BA711" t="str">
        <f>IF(AZ711="","",COUNTIFS(AZ$3:AZ$1439,"&lt;"&amp;AZ711,AZ$3:AZ$1439,"&lt;&gt;0")+COUNTIF(AZ$3:AZ711,AZ711)-876)</f>
        <v/>
      </c>
      <c r="BT711" s="76"/>
      <c r="CN711">
        <v>710</v>
      </c>
    </row>
    <row r="712" spans="1:92" x14ac:dyDescent="0.3">
      <c r="A712" s="118" t="s">
        <v>3310</v>
      </c>
      <c r="B712" t="s">
        <v>3311</v>
      </c>
      <c r="C712" t="s">
        <v>949</v>
      </c>
      <c r="D712" s="144" t="s">
        <v>776</v>
      </c>
      <c r="E712" t="s">
        <v>765</v>
      </c>
      <c r="F712" t="s">
        <v>377</v>
      </c>
      <c r="G712" t="s">
        <v>956</v>
      </c>
      <c r="H712" t="s">
        <v>2661</v>
      </c>
      <c r="I712" t="s">
        <v>817</v>
      </c>
      <c r="J712" t="s">
        <v>2366</v>
      </c>
      <c r="K712" t="s">
        <v>2366</v>
      </c>
      <c r="L712" t="s">
        <v>2367</v>
      </c>
      <c r="M712" t="s">
        <v>208</v>
      </c>
      <c r="N712" t="s">
        <v>764</v>
      </c>
      <c r="O712" t="s">
        <v>771</v>
      </c>
      <c r="P712" t="s">
        <v>772</v>
      </c>
      <c r="Q712" t="s">
        <v>855</v>
      </c>
      <c r="R712">
        <v>0</v>
      </c>
      <c r="S712">
        <v>0</v>
      </c>
      <c r="T712">
        <v>0</v>
      </c>
      <c r="U712">
        <v>0</v>
      </c>
      <c r="V712">
        <v>0</v>
      </c>
      <c r="W712">
        <v>0</v>
      </c>
      <c r="X712">
        <v>0</v>
      </c>
      <c r="Y712">
        <v>0</v>
      </c>
      <c r="Z712">
        <v>0</v>
      </c>
      <c r="AA712">
        <v>0</v>
      </c>
      <c r="AB712">
        <v>0</v>
      </c>
      <c r="AC712">
        <v>0</v>
      </c>
      <c r="AD712">
        <v>0</v>
      </c>
      <c r="AE712">
        <v>0</v>
      </c>
      <c r="AF712">
        <v>10</v>
      </c>
      <c r="AG712">
        <v>5</v>
      </c>
      <c r="AH712">
        <v>0</v>
      </c>
      <c r="AI712">
        <v>0</v>
      </c>
      <c r="AY712" t="str">
        <f t="shared" si="190"/>
        <v>LANFLOX 100 MG/ML SOLUTION POUR UTILISATION DANS L'EAU DE BOISSON POUR POULETS ET DINDES</v>
      </c>
      <c r="AZ712" t="str">
        <f>IF(COUNTIF(AY:AY,AY712)=1,AY712,IF(AND(COUNTIF(AY:AY,AY712)&gt;1,COUNTIF(AZ$2:AZ711,AY712)&gt;=1),"",AY712))</f>
        <v>LANFLOX 100 MG/ML SOLUTION POUR UTILISATION DANS L'EAU DE BOISSON POUR POULETS ET DINDES</v>
      </c>
      <c r="BA712">
        <f>IF(AZ712="","",COUNTIFS(AZ$3:AZ$1439,"&lt;"&amp;AZ712,AZ$3:AZ$1439,"&lt;&gt;0")+COUNTIF(AZ$3:AZ712,AZ712)-876)</f>
        <v>270</v>
      </c>
      <c r="BT712" s="76"/>
      <c r="CN712">
        <v>711</v>
      </c>
    </row>
    <row r="713" spans="1:92" x14ac:dyDescent="0.3">
      <c r="A713" s="118" t="s">
        <v>3310</v>
      </c>
      <c r="B713" t="s">
        <v>3312</v>
      </c>
      <c r="C713" t="s">
        <v>1243</v>
      </c>
      <c r="D713" s="144" t="s">
        <v>955</v>
      </c>
      <c r="E713" t="s">
        <v>765</v>
      </c>
      <c r="F713" t="s">
        <v>377</v>
      </c>
      <c r="G713" t="s">
        <v>956</v>
      </c>
      <c r="H713" t="s">
        <v>2661</v>
      </c>
      <c r="I713" t="s">
        <v>817</v>
      </c>
      <c r="J713" t="s">
        <v>2366</v>
      </c>
      <c r="K713" t="s">
        <v>2366</v>
      </c>
      <c r="L713" t="s">
        <v>2367</v>
      </c>
      <c r="M713" t="s">
        <v>208</v>
      </c>
      <c r="N713" t="s">
        <v>764</v>
      </c>
      <c r="O713" t="s">
        <v>771</v>
      </c>
      <c r="P713" t="s">
        <v>772</v>
      </c>
      <c r="Q713" t="s">
        <v>906</v>
      </c>
      <c r="R713">
        <v>0</v>
      </c>
      <c r="S713">
        <v>0</v>
      </c>
      <c r="T713">
        <v>0</v>
      </c>
      <c r="U713">
        <v>0</v>
      </c>
      <c r="V713">
        <v>0</v>
      </c>
      <c r="W713">
        <v>0</v>
      </c>
      <c r="X713">
        <v>0</v>
      </c>
      <c r="Y713">
        <v>0</v>
      </c>
      <c r="Z713">
        <v>0</v>
      </c>
      <c r="AA713">
        <v>0</v>
      </c>
      <c r="AB713">
        <v>0</v>
      </c>
      <c r="AC713">
        <v>0</v>
      </c>
      <c r="AD713">
        <v>0</v>
      </c>
      <c r="AE713">
        <v>0</v>
      </c>
      <c r="AF713">
        <v>10</v>
      </c>
      <c r="AG713">
        <v>5</v>
      </c>
      <c r="AH713">
        <v>0</v>
      </c>
      <c r="AI713">
        <v>0</v>
      </c>
      <c r="AY713" t="str">
        <f t="shared" si="190"/>
        <v>LANFLOX 100 MG/ML SOLUTION POUR UTILISATION DANS L'EAU DE BOISSON POUR POULETS ET DINDES</v>
      </c>
      <c r="AZ713" t="str">
        <f>IF(COUNTIF(AY:AY,AY713)=1,AY713,IF(AND(COUNTIF(AY:AY,AY713)&gt;1,COUNTIF(AZ$2:AZ712,AY713)&gt;=1),"",AY713))</f>
        <v/>
      </c>
      <c r="BA713" t="str">
        <f>IF(AZ713="","",COUNTIFS(AZ$3:AZ$1439,"&lt;"&amp;AZ713,AZ$3:AZ$1439,"&lt;&gt;0")+COUNTIF(AZ$3:AZ713,AZ713)-876)</f>
        <v/>
      </c>
      <c r="BT713" s="76"/>
      <c r="CN713">
        <v>712</v>
      </c>
    </row>
    <row r="714" spans="1:92" x14ac:dyDescent="0.3">
      <c r="A714" s="118" t="s">
        <v>3310</v>
      </c>
      <c r="B714" t="s">
        <v>3313</v>
      </c>
      <c r="C714" t="s">
        <v>1241</v>
      </c>
      <c r="D714" s="144" t="s">
        <v>829</v>
      </c>
      <c r="E714" t="s">
        <v>765</v>
      </c>
      <c r="F714" t="s">
        <v>377</v>
      </c>
      <c r="G714" t="s">
        <v>956</v>
      </c>
      <c r="H714" t="s">
        <v>2661</v>
      </c>
      <c r="I714" t="s">
        <v>817</v>
      </c>
      <c r="J714" t="s">
        <v>2366</v>
      </c>
      <c r="K714" t="s">
        <v>2366</v>
      </c>
      <c r="L714" t="s">
        <v>2367</v>
      </c>
      <c r="M714" t="s">
        <v>208</v>
      </c>
      <c r="N714" t="s">
        <v>764</v>
      </c>
      <c r="O714" t="s">
        <v>771</v>
      </c>
      <c r="P714" t="s">
        <v>772</v>
      </c>
      <c r="Q714" t="s">
        <v>764</v>
      </c>
      <c r="R714">
        <v>0</v>
      </c>
      <c r="S714">
        <v>0</v>
      </c>
      <c r="T714">
        <v>0</v>
      </c>
      <c r="U714">
        <v>0</v>
      </c>
      <c r="V714">
        <v>0</v>
      </c>
      <c r="W714">
        <v>0</v>
      </c>
      <c r="X714">
        <v>0</v>
      </c>
      <c r="Y714">
        <v>0</v>
      </c>
      <c r="Z714">
        <v>0</v>
      </c>
      <c r="AA714">
        <v>0</v>
      </c>
      <c r="AB714">
        <v>0</v>
      </c>
      <c r="AC714">
        <v>0</v>
      </c>
      <c r="AD714">
        <v>0</v>
      </c>
      <c r="AE714">
        <v>0</v>
      </c>
      <c r="AF714">
        <v>10</v>
      </c>
      <c r="AG714">
        <v>5</v>
      </c>
      <c r="AH714">
        <v>0</v>
      </c>
      <c r="AI714">
        <v>0</v>
      </c>
      <c r="AY714" t="str">
        <f t="shared" si="190"/>
        <v>LANFLOX 100 MG/ML SOLUTION POUR UTILISATION DANS L'EAU DE BOISSON POUR POULETS ET DINDES</v>
      </c>
      <c r="AZ714" t="str">
        <f>IF(COUNTIF(AY:AY,AY714)=1,AY714,IF(AND(COUNTIF(AY:AY,AY714)&gt;1,COUNTIF(AZ$2:AZ713,AY714)&gt;=1),"",AY714))</f>
        <v/>
      </c>
      <c r="BA714" t="str">
        <f>IF(AZ714="","",COUNTIFS(AZ$3:AZ$1439,"&lt;"&amp;AZ714,AZ$3:AZ$1439,"&lt;&gt;0")+COUNTIF(AZ$3:AZ714,AZ714)-876)</f>
        <v/>
      </c>
      <c r="BT714" s="76"/>
      <c r="CN714">
        <v>713</v>
      </c>
    </row>
    <row r="715" spans="1:92" x14ac:dyDescent="0.3">
      <c r="A715" s="118" t="s">
        <v>3407</v>
      </c>
      <c r="B715" t="s">
        <v>3408</v>
      </c>
      <c r="C715" t="s">
        <v>3409</v>
      </c>
      <c r="D715" s="144" t="s">
        <v>829</v>
      </c>
      <c r="E715" t="s">
        <v>765</v>
      </c>
      <c r="F715" t="s">
        <v>651</v>
      </c>
      <c r="G715" t="s">
        <v>956</v>
      </c>
      <c r="H715" t="s">
        <v>169</v>
      </c>
      <c r="I715" t="s">
        <v>817</v>
      </c>
      <c r="J715" t="s">
        <v>2366</v>
      </c>
      <c r="K715" t="s">
        <v>2366</v>
      </c>
      <c r="L715" t="s">
        <v>2367</v>
      </c>
      <c r="M715" t="s">
        <v>208</v>
      </c>
      <c r="N715" t="s">
        <v>855</v>
      </c>
      <c r="O715" t="s">
        <v>771</v>
      </c>
      <c r="P715" t="s">
        <v>772</v>
      </c>
      <c r="Q715" t="s">
        <v>855</v>
      </c>
      <c r="R715">
        <v>5</v>
      </c>
      <c r="S715">
        <v>5</v>
      </c>
      <c r="T715">
        <v>0</v>
      </c>
      <c r="U715">
        <v>0</v>
      </c>
      <c r="V715">
        <v>0</v>
      </c>
      <c r="W715">
        <v>0</v>
      </c>
      <c r="X715">
        <v>0</v>
      </c>
      <c r="Y715">
        <v>0</v>
      </c>
      <c r="Z715">
        <v>0</v>
      </c>
      <c r="AA715">
        <v>0</v>
      </c>
      <c r="AB715">
        <v>0</v>
      </c>
      <c r="AC715">
        <v>0</v>
      </c>
      <c r="AD715">
        <v>0</v>
      </c>
      <c r="AE715">
        <v>0</v>
      </c>
      <c r="AF715">
        <v>0</v>
      </c>
      <c r="AG715">
        <v>0</v>
      </c>
      <c r="AH715">
        <v>0</v>
      </c>
      <c r="AI715">
        <v>0</v>
      </c>
      <c r="AY715" t="str">
        <f t="shared" si="190"/>
        <v>LANFLOX 2,5%</v>
      </c>
      <c r="AZ715" t="str">
        <f>IF(COUNTIF(AY:AY,AY715)=1,AY715,IF(AND(COUNTIF(AY:AY,AY715)&gt;1,COUNTIF(AZ$2:AZ714,AY715)&gt;=1),"",AY715))</f>
        <v>LANFLOX 2,5%</v>
      </c>
      <c r="BA715">
        <f>IF(AZ715="","",COUNTIFS(AZ$3:AZ$1439,"&lt;"&amp;AZ715,AZ$3:AZ$1439,"&lt;&gt;0")+COUNTIF(AZ$3:AZ715,AZ715)-876)</f>
        <v>271</v>
      </c>
      <c r="BT715" s="76"/>
      <c r="CN715">
        <v>714</v>
      </c>
    </row>
    <row r="716" spans="1:92" x14ac:dyDescent="0.3">
      <c r="A716" s="118" t="s">
        <v>1170</v>
      </c>
      <c r="B716" t="s">
        <v>1171</v>
      </c>
      <c r="C716" t="s">
        <v>1154</v>
      </c>
      <c r="D716" s="144" t="s">
        <v>1155</v>
      </c>
      <c r="E716" t="s">
        <v>765</v>
      </c>
      <c r="F716" t="s">
        <v>1172</v>
      </c>
      <c r="G716" t="s">
        <v>956</v>
      </c>
      <c r="H716" t="s">
        <v>1173</v>
      </c>
      <c r="I716" t="s">
        <v>817</v>
      </c>
      <c r="J716" t="s">
        <v>893</v>
      </c>
      <c r="K716" t="s">
        <v>862</v>
      </c>
      <c r="L716" t="s">
        <v>895</v>
      </c>
      <c r="M716" t="s">
        <v>208</v>
      </c>
      <c r="N716" t="s">
        <v>899</v>
      </c>
      <c r="O716" t="s">
        <v>771</v>
      </c>
      <c r="P716" t="s">
        <v>772</v>
      </c>
      <c r="Q716" t="s">
        <v>1157</v>
      </c>
      <c r="R716">
        <v>0</v>
      </c>
      <c r="S716">
        <v>0</v>
      </c>
      <c r="T716">
        <v>0</v>
      </c>
      <c r="U716">
        <v>0</v>
      </c>
      <c r="V716">
        <v>0</v>
      </c>
      <c r="W716">
        <v>0</v>
      </c>
      <c r="X716">
        <v>0</v>
      </c>
      <c r="Y716">
        <v>0</v>
      </c>
      <c r="Z716">
        <v>27.6</v>
      </c>
      <c r="AA716">
        <v>6</v>
      </c>
      <c r="AB716">
        <v>0</v>
      </c>
      <c r="AC716">
        <v>0</v>
      </c>
      <c r="AD716">
        <v>0</v>
      </c>
      <c r="AE716">
        <v>0</v>
      </c>
      <c r="AF716">
        <v>0</v>
      </c>
      <c r="AG716">
        <v>0</v>
      </c>
      <c r="AH716">
        <v>0</v>
      </c>
      <c r="AI716">
        <v>0</v>
      </c>
      <c r="AJ716" t="s">
        <v>862</v>
      </c>
      <c r="AK716" t="s">
        <v>1158</v>
      </c>
      <c r="AL716" t="s">
        <v>208</v>
      </c>
      <c r="AM716" t="s">
        <v>1159</v>
      </c>
      <c r="AN716" t="s">
        <v>771</v>
      </c>
      <c r="AO716" t="s">
        <v>772</v>
      </c>
      <c r="AP716" t="s">
        <v>1160</v>
      </c>
      <c r="AY716" t="str">
        <f t="shared" si="190"/>
        <v>LAPICRINE SULFA</v>
      </c>
      <c r="AZ716" t="str">
        <f>IF(COUNTIF(AY:AY,AY716)=1,AY716,IF(AND(COUNTIF(AY:AY,AY716)&gt;1,COUNTIF(AZ$2:AZ715,AY716)&gt;=1),"",AY716))</f>
        <v>LAPICRINE SULFA</v>
      </c>
      <c r="BA716">
        <f>IF(AZ716="","",COUNTIFS(AZ$3:AZ$1439,"&lt;"&amp;AZ716,AZ$3:AZ$1439,"&lt;&gt;0")+COUNTIF(AZ$3:AZ716,AZ716)-876)</f>
        <v>272</v>
      </c>
      <c r="BT716" s="76"/>
      <c r="CN716">
        <v>715</v>
      </c>
    </row>
    <row r="717" spans="1:92" x14ac:dyDescent="0.3">
      <c r="A717" s="118" t="s">
        <v>1170</v>
      </c>
      <c r="B717" t="s">
        <v>1174</v>
      </c>
      <c r="C717" t="s">
        <v>1162</v>
      </c>
      <c r="D717" s="144" t="s">
        <v>1163</v>
      </c>
      <c r="E717" t="s">
        <v>765</v>
      </c>
      <c r="F717" t="s">
        <v>1172</v>
      </c>
      <c r="G717" t="s">
        <v>956</v>
      </c>
      <c r="H717" t="s">
        <v>1173</v>
      </c>
      <c r="I717" t="s">
        <v>817</v>
      </c>
      <c r="J717" t="s">
        <v>893</v>
      </c>
      <c r="K717" t="s">
        <v>862</v>
      </c>
      <c r="L717" t="s">
        <v>895</v>
      </c>
      <c r="M717" t="s">
        <v>208</v>
      </c>
      <c r="N717" t="s">
        <v>899</v>
      </c>
      <c r="O717" t="s">
        <v>771</v>
      </c>
      <c r="P717" t="s">
        <v>772</v>
      </c>
      <c r="Q717" t="s">
        <v>1164</v>
      </c>
      <c r="R717">
        <v>0</v>
      </c>
      <c r="S717">
        <v>0</v>
      </c>
      <c r="T717">
        <v>0</v>
      </c>
      <c r="U717">
        <v>0</v>
      </c>
      <c r="V717">
        <v>0</v>
      </c>
      <c r="W717">
        <v>0</v>
      </c>
      <c r="X717">
        <v>0</v>
      </c>
      <c r="Y717">
        <v>0</v>
      </c>
      <c r="Z717">
        <v>27.6</v>
      </c>
      <c r="AA717">
        <v>6</v>
      </c>
      <c r="AB717">
        <v>0</v>
      </c>
      <c r="AC717">
        <v>0</v>
      </c>
      <c r="AD717">
        <v>0</v>
      </c>
      <c r="AE717">
        <v>0</v>
      </c>
      <c r="AF717">
        <v>0</v>
      </c>
      <c r="AG717">
        <v>0</v>
      </c>
      <c r="AH717">
        <v>0</v>
      </c>
      <c r="AI717">
        <v>0</v>
      </c>
      <c r="AJ717" t="s">
        <v>862</v>
      </c>
      <c r="AK717" t="s">
        <v>1158</v>
      </c>
      <c r="AL717" t="s">
        <v>208</v>
      </c>
      <c r="AM717" t="s">
        <v>1159</v>
      </c>
      <c r="AN717" t="s">
        <v>771</v>
      </c>
      <c r="AO717" t="s">
        <v>772</v>
      </c>
      <c r="AP717" t="s">
        <v>1165</v>
      </c>
      <c r="AY717" t="str">
        <f t="shared" si="190"/>
        <v>LAPICRINE SULFA</v>
      </c>
      <c r="AZ717" t="str">
        <f>IF(COUNTIF(AY:AY,AY717)=1,AY717,IF(AND(COUNTIF(AY:AY,AY717)&gt;1,COUNTIF(AZ$2:AZ716,AY717)&gt;=1),"",AY717))</f>
        <v/>
      </c>
      <c r="BA717" t="str">
        <f>IF(AZ717="","",COUNTIFS(AZ$3:AZ$1439,"&lt;"&amp;AZ717,AZ$3:AZ$1439,"&lt;&gt;0")+COUNTIF(AZ$3:AZ717,AZ717)-876)</f>
        <v/>
      </c>
      <c r="BT717" s="76"/>
      <c r="CN717">
        <v>716</v>
      </c>
    </row>
    <row r="718" spans="1:92" x14ac:dyDescent="0.3">
      <c r="A718" s="118" t="s">
        <v>1170</v>
      </c>
      <c r="B718" t="s">
        <v>1175</v>
      </c>
      <c r="C718" t="s">
        <v>1167</v>
      </c>
      <c r="D718" s="144" t="s">
        <v>906</v>
      </c>
      <c r="E718" t="s">
        <v>765</v>
      </c>
      <c r="F718" t="s">
        <v>1172</v>
      </c>
      <c r="G718" t="s">
        <v>956</v>
      </c>
      <c r="H718" t="s">
        <v>1173</v>
      </c>
      <c r="I718" t="s">
        <v>817</v>
      </c>
      <c r="J718" t="s">
        <v>893</v>
      </c>
      <c r="K718" t="s">
        <v>862</v>
      </c>
      <c r="L718" t="s">
        <v>895</v>
      </c>
      <c r="M718" t="s">
        <v>208</v>
      </c>
      <c r="N718" t="s">
        <v>899</v>
      </c>
      <c r="O718" t="s">
        <v>771</v>
      </c>
      <c r="P718" t="s">
        <v>772</v>
      </c>
      <c r="Q718" t="s">
        <v>1168</v>
      </c>
      <c r="R718">
        <v>0</v>
      </c>
      <c r="S718">
        <v>0</v>
      </c>
      <c r="T718">
        <v>0</v>
      </c>
      <c r="U718">
        <v>0</v>
      </c>
      <c r="V718">
        <v>0</v>
      </c>
      <c r="W718">
        <v>0</v>
      </c>
      <c r="X718">
        <v>0</v>
      </c>
      <c r="Y718">
        <v>0</v>
      </c>
      <c r="Z718">
        <v>27.6</v>
      </c>
      <c r="AA718">
        <v>6</v>
      </c>
      <c r="AB718">
        <v>0</v>
      </c>
      <c r="AC718">
        <v>0</v>
      </c>
      <c r="AD718">
        <v>0</v>
      </c>
      <c r="AE718">
        <v>0</v>
      </c>
      <c r="AF718">
        <v>0</v>
      </c>
      <c r="AG718">
        <v>0</v>
      </c>
      <c r="AH718">
        <v>0</v>
      </c>
      <c r="AI718">
        <v>0</v>
      </c>
      <c r="AJ718" t="s">
        <v>862</v>
      </c>
      <c r="AK718" t="s">
        <v>1158</v>
      </c>
      <c r="AL718" t="s">
        <v>208</v>
      </c>
      <c r="AM718" t="s">
        <v>1159</v>
      </c>
      <c r="AN718" t="s">
        <v>771</v>
      </c>
      <c r="AO718" t="s">
        <v>772</v>
      </c>
      <c r="AP718" t="s">
        <v>1169</v>
      </c>
      <c r="AY718" t="str">
        <f t="shared" si="190"/>
        <v>LAPICRINE SULFA</v>
      </c>
      <c r="AZ718" t="str">
        <f>IF(COUNTIF(AY:AY,AY718)=1,AY718,IF(AND(COUNTIF(AY:AY,AY718)&gt;1,COUNTIF(AZ$2:AZ717,AY718)&gt;=1),"",AY718))</f>
        <v/>
      </c>
      <c r="BA718" t="str">
        <f>IF(AZ718="","",COUNTIFS(AZ$3:AZ$1439,"&lt;"&amp;AZ718,AZ$3:AZ$1439,"&lt;&gt;0")+COUNTIF(AZ$3:AZ718,AZ718)-876)</f>
        <v/>
      </c>
      <c r="BT718" s="76"/>
      <c r="CN718">
        <v>717</v>
      </c>
    </row>
    <row r="719" spans="1:92" x14ac:dyDescent="0.3">
      <c r="A719" s="118" t="s">
        <v>2570</v>
      </c>
      <c r="B719" t="s">
        <v>2571</v>
      </c>
      <c r="C719" t="s">
        <v>4478</v>
      </c>
      <c r="D719" s="144" t="s">
        <v>1155</v>
      </c>
      <c r="E719" t="s">
        <v>830</v>
      </c>
      <c r="F719" t="s">
        <v>378</v>
      </c>
      <c r="G719" t="s">
        <v>831</v>
      </c>
      <c r="H719" t="s">
        <v>1264</v>
      </c>
      <c r="I719" t="s">
        <v>817</v>
      </c>
      <c r="J719" t="s">
        <v>1269</v>
      </c>
      <c r="K719" t="s">
        <v>1269</v>
      </c>
      <c r="L719" t="s">
        <v>1270</v>
      </c>
      <c r="M719" t="s">
        <v>208</v>
      </c>
      <c r="N719" t="s">
        <v>939</v>
      </c>
      <c r="O719" t="s">
        <v>894</v>
      </c>
      <c r="P719" t="s">
        <v>772</v>
      </c>
      <c r="Q719" t="s">
        <v>1047</v>
      </c>
      <c r="R719">
        <v>0</v>
      </c>
      <c r="S719">
        <v>0</v>
      </c>
      <c r="T719">
        <v>0</v>
      </c>
      <c r="U719">
        <v>0</v>
      </c>
      <c r="V719">
        <v>0</v>
      </c>
      <c r="W719">
        <v>0</v>
      </c>
      <c r="X719">
        <v>0</v>
      </c>
      <c r="Y719">
        <v>0</v>
      </c>
      <c r="Z719">
        <v>0</v>
      </c>
      <c r="AA719">
        <v>0</v>
      </c>
      <c r="AB719">
        <v>0</v>
      </c>
      <c r="AC719">
        <v>0</v>
      </c>
      <c r="AD719">
        <v>5</v>
      </c>
      <c r="AE719">
        <v>10</v>
      </c>
      <c r="AF719">
        <v>3</v>
      </c>
      <c r="AG719">
        <v>7</v>
      </c>
      <c r="AH719">
        <v>0</v>
      </c>
      <c r="AI719">
        <v>0</v>
      </c>
      <c r="AY719" t="str">
        <f t="shared" si="190"/>
        <v>LINCOCINE 400 MG/G POUDRE POUR ADMINISTRATION DANS L’EAU DE BOISSON</v>
      </c>
      <c r="AZ719" t="str">
        <f>IF(COUNTIF(AY:AY,AY719)=1,AY719,IF(AND(COUNTIF(AY:AY,AY719)&gt;1,COUNTIF(AZ$2:AZ718,AY719)&gt;=1),"",AY719))</f>
        <v>LINCOCINE 400 MG/G POUDRE POUR ADMINISTRATION DANS L’EAU DE BOISSON</v>
      </c>
      <c r="BA719">
        <f>IF(AZ719="","",COUNTIFS(AZ$3:AZ$1439,"&lt;"&amp;AZ719,AZ$3:AZ$1439,"&lt;&gt;0")+COUNTIF(AZ$3:AZ719,AZ719)-876)</f>
        <v>273</v>
      </c>
      <c r="BT719" s="76"/>
      <c r="CN719">
        <v>718</v>
      </c>
    </row>
    <row r="720" spans="1:92" x14ac:dyDescent="0.3">
      <c r="A720" s="118" t="s">
        <v>2570</v>
      </c>
      <c r="B720" t="s">
        <v>2572</v>
      </c>
      <c r="C720" t="s">
        <v>2573</v>
      </c>
      <c r="D720" s="144" t="s">
        <v>1079</v>
      </c>
      <c r="E720" t="s">
        <v>830</v>
      </c>
      <c r="F720" t="s">
        <v>378</v>
      </c>
      <c r="G720" t="s">
        <v>831</v>
      </c>
      <c r="H720" t="s">
        <v>1264</v>
      </c>
      <c r="I720" t="s">
        <v>817</v>
      </c>
      <c r="J720" t="s">
        <v>1269</v>
      </c>
      <c r="K720" t="s">
        <v>1269</v>
      </c>
      <c r="L720" t="s">
        <v>1270</v>
      </c>
      <c r="M720" t="s">
        <v>208</v>
      </c>
      <c r="N720" t="s">
        <v>939</v>
      </c>
      <c r="O720" t="s">
        <v>894</v>
      </c>
      <c r="P720" t="s">
        <v>772</v>
      </c>
      <c r="Q720" t="s">
        <v>1978</v>
      </c>
      <c r="R720">
        <v>0</v>
      </c>
      <c r="S720">
        <v>0</v>
      </c>
      <c r="T720">
        <v>0</v>
      </c>
      <c r="U720">
        <v>0</v>
      </c>
      <c r="V720">
        <v>0</v>
      </c>
      <c r="W720">
        <v>0</v>
      </c>
      <c r="X720">
        <v>0</v>
      </c>
      <c r="Y720">
        <v>0</v>
      </c>
      <c r="Z720">
        <v>0</v>
      </c>
      <c r="AA720">
        <v>0</v>
      </c>
      <c r="AB720">
        <v>0</v>
      </c>
      <c r="AC720">
        <v>0</v>
      </c>
      <c r="AD720">
        <v>5</v>
      </c>
      <c r="AE720">
        <v>10</v>
      </c>
      <c r="AF720">
        <v>3</v>
      </c>
      <c r="AG720">
        <v>7</v>
      </c>
      <c r="AH720">
        <v>0</v>
      </c>
      <c r="AI720">
        <v>0</v>
      </c>
      <c r="AY720" t="str">
        <f t="shared" si="190"/>
        <v>LINCOCINE 400 MG/G POUDRE POUR ADMINISTRATION DANS L’EAU DE BOISSON</v>
      </c>
      <c r="AZ720" t="str">
        <f>IF(COUNTIF(AY:AY,AY720)=1,AY720,IF(AND(COUNTIF(AY:AY,AY720)&gt;1,COUNTIF(AZ$2:AZ719,AY720)&gt;=1),"",AY720))</f>
        <v/>
      </c>
      <c r="BA720" t="str">
        <f>IF(AZ720="","",COUNTIFS(AZ$3:AZ$1439,"&lt;"&amp;AZ720,AZ$3:AZ$1439,"&lt;&gt;0")+COUNTIF(AZ$3:AZ720,AZ720)-876)</f>
        <v/>
      </c>
      <c r="BT720" s="76"/>
      <c r="CN720">
        <v>719</v>
      </c>
    </row>
    <row r="721" spans="1:92" x14ac:dyDescent="0.3">
      <c r="A721" s="118" t="s">
        <v>1277</v>
      </c>
      <c r="B721" t="s">
        <v>1278</v>
      </c>
      <c r="C721" t="s">
        <v>792</v>
      </c>
      <c r="D721" s="144" t="s">
        <v>764</v>
      </c>
      <c r="E721" t="s">
        <v>765</v>
      </c>
      <c r="F721" t="s">
        <v>379</v>
      </c>
      <c r="G721" t="s">
        <v>766</v>
      </c>
      <c r="H721" t="s">
        <v>1279</v>
      </c>
      <c r="I721" t="s">
        <v>766</v>
      </c>
      <c r="J721" t="s">
        <v>1269</v>
      </c>
      <c r="K721" t="s">
        <v>1269</v>
      </c>
      <c r="L721" t="s">
        <v>1270</v>
      </c>
      <c r="M721" t="s">
        <v>208</v>
      </c>
      <c r="N721" t="s">
        <v>764</v>
      </c>
      <c r="O721" t="s">
        <v>771</v>
      </c>
      <c r="P721" t="s">
        <v>772</v>
      </c>
      <c r="Q721" t="s">
        <v>852</v>
      </c>
      <c r="R721">
        <v>0</v>
      </c>
      <c r="S721">
        <v>0</v>
      </c>
      <c r="T721">
        <v>25</v>
      </c>
      <c r="U721">
        <v>5</v>
      </c>
      <c r="V721">
        <v>0</v>
      </c>
      <c r="W721">
        <v>0</v>
      </c>
      <c r="X721">
        <v>0</v>
      </c>
      <c r="Y721">
        <v>0</v>
      </c>
      <c r="Z721">
        <v>0</v>
      </c>
      <c r="AA721">
        <v>0</v>
      </c>
      <c r="AB721">
        <v>0</v>
      </c>
      <c r="AC721">
        <v>0</v>
      </c>
      <c r="AD721">
        <v>10</v>
      </c>
      <c r="AE721">
        <v>7</v>
      </c>
      <c r="AF721">
        <v>0</v>
      </c>
      <c r="AG721">
        <v>0</v>
      </c>
      <c r="AH721">
        <v>0</v>
      </c>
      <c r="AI721">
        <v>0</v>
      </c>
      <c r="AY721" t="str">
        <f t="shared" si="190"/>
        <v>LINCOCINE SOLUTION</v>
      </c>
      <c r="AZ721" t="str">
        <f>IF(COUNTIF(AY:AY,AY721)=1,AY721,IF(AND(COUNTIF(AY:AY,AY721)&gt;1,COUNTIF(AZ$2:AZ720,AY721)&gt;=1),"",AY721))</f>
        <v>LINCOCINE SOLUTION</v>
      </c>
      <c r="BA721">
        <f>IF(AZ721="","",COUNTIFS(AZ$3:AZ$1439,"&lt;"&amp;AZ721,AZ$3:AZ$1439,"&lt;&gt;0")+COUNTIF(AZ$3:AZ721,AZ721)-876)</f>
        <v>274</v>
      </c>
      <c r="BT721" s="76"/>
      <c r="CN721">
        <v>720</v>
      </c>
    </row>
    <row r="722" spans="1:92" x14ac:dyDescent="0.3">
      <c r="A722" s="118" t="s">
        <v>1277</v>
      </c>
      <c r="B722" t="s">
        <v>1280</v>
      </c>
      <c r="C722" t="s">
        <v>796</v>
      </c>
      <c r="D722" s="144" t="s">
        <v>776</v>
      </c>
      <c r="E722" t="s">
        <v>765</v>
      </c>
      <c r="F722" t="s">
        <v>379</v>
      </c>
      <c r="G722" t="s">
        <v>766</v>
      </c>
      <c r="H722" t="s">
        <v>1279</v>
      </c>
      <c r="I722" t="s">
        <v>766</v>
      </c>
      <c r="J722" t="s">
        <v>1269</v>
      </c>
      <c r="K722" t="s">
        <v>1269</v>
      </c>
      <c r="L722" t="s">
        <v>1270</v>
      </c>
      <c r="M722" t="s">
        <v>208</v>
      </c>
      <c r="N722" t="s">
        <v>764</v>
      </c>
      <c r="O722" t="s">
        <v>771</v>
      </c>
      <c r="P722" t="s">
        <v>772</v>
      </c>
      <c r="Q722" t="s">
        <v>855</v>
      </c>
      <c r="R722">
        <v>0</v>
      </c>
      <c r="S722">
        <v>0</v>
      </c>
      <c r="T722">
        <v>25</v>
      </c>
      <c r="U722">
        <v>5</v>
      </c>
      <c r="V722">
        <v>0</v>
      </c>
      <c r="W722">
        <v>0</v>
      </c>
      <c r="X722">
        <v>0</v>
      </c>
      <c r="Y722">
        <v>0</v>
      </c>
      <c r="Z722">
        <v>0</v>
      </c>
      <c r="AA722">
        <v>0</v>
      </c>
      <c r="AB722">
        <v>0</v>
      </c>
      <c r="AC722">
        <v>0</v>
      </c>
      <c r="AD722">
        <v>10</v>
      </c>
      <c r="AE722">
        <v>7</v>
      </c>
      <c r="AF722">
        <v>0</v>
      </c>
      <c r="AG722">
        <v>0</v>
      </c>
      <c r="AH722">
        <v>0</v>
      </c>
      <c r="AI722">
        <v>0</v>
      </c>
      <c r="AY722" t="str">
        <f t="shared" si="190"/>
        <v>LINCOCINE SOLUTION</v>
      </c>
      <c r="AZ722" t="str">
        <f>IF(COUNTIF(AY:AY,AY722)=1,AY722,IF(AND(COUNTIF(AY:AY,AY722)&gt;1,COUNTIF(AZ$2:AZ721,AY722)&gt;=1),"",AY722))</f>
        <v/>
      </c>
      <c r="BA722" t="str">
        <f>IF(AZ722="","",COUNTIFS(AZ$3:AZ$1439,"&lt;"&amp;AZ722,AZ$3:AZ$1439,"&lt;&gt;0")+COUNTIF(AZ$3:AZ722,AZ722)-876)</f>
        <v/>
      </c>
      <c r="BT722" s="76"/>
      <c r="CN722">
        <v>721</v>
      </c>
    </row>
    <row r="723" spans="1:92" x14ac:dyDescent="0.3">
      <c r="A723" s="118" t="s">
        <v>2851</v>
      </c>
      <c r="B723" t="s">
        <v>2852</v>
      </c>
      <c r="C723" t="s">
        <v>1062</v>
      </c>
      <c r="D723" s="144" t="s">
        <v>1063</v>
      </c>
      <c r="E723" t="s">
        <v>830</v>
      </c>
      <c r="F723" t="s">
        <v>380</v>
      </c>
      <c r="G723" t="s">
        <v>1064</v>
      </c>
      <c r="H723" t="s">
        <v>1213</v>
      </c>
      <c r="I723" t="s">
        <v>1066</v>
      </c>
      <c r="J723" t="s">
        <v>1269</v>
      </c>
      <c r="K723" t="s">
        <v>1269</v>
      </c>
      <c r="L723" t="s">
        <v>1270</v>
      </c>
      <c r="M723" t="s">
        <v>208</v>
      </c>
      <c r="N723" t="s">
        <v>2503</v>
      </c>
      <c r="O723" t="s">
        <v>894</v>
      </c>
      <c r="P723" t="s">
        <v>772</v>
      </c>
      <c r="Q723" t="s">
        <v>1550</v>
      </c>
      <c r="R723">
        <v>0</v>
      </c>
      <c r="S723">
        <v>0</v>
      </c>
      <c r="T723">
        <v>0</v>
      </c>
      <c r="U723">
        <v>0</v>
      </c>
      <c r="V723">
        <v>0</v>
      </c>
      <c r="W723">
        <v>0</v>
      </c>
      <c r="X723">
        <v>0</v>
      </c>
      <c r="Y723">
        <v>0</v>
      </c>
      <c r="Z723">
        <v>0</v>
      </c>
      <c r="AA723">
        <v>0</v>
      </c>
      <c r="AB723">
        <v>0</v>
      </c>
      <c r="AC723">
        <v>0</v>
      </c>
      <c r="AD723">
        <v>11</v>
      </c>
      <c r="AE723">
        <v>21</v>
      </c>
      <c r="AF723">
        <v>0</v>
      </c>
      <c r="AG723">
        <v>0</v>
      </c>
      <c r="AH723">
        <v>0</v>
      </c>
      <c r="AI723">
        <v>0</v>
      </c>
      <c r="AY723" t="str">
        <f t="shared" si="190"/>
        <v>LINCOMYCINE 22 PNEUMONIE PORC FRANVET</v>
      </c>
      <c r="AZ723" t="str">
        <f>IF(COUNTIF(AY:AY,AY723)=1,AY723,IF(AND(COUNTIF(AY:AY,AY723)&gt;1,COUNTIF(AZ$2:AZ722,AY723)&gt;=1),"",AY723))</f>
        <v>LINCOMYCINE 22 PNEUMONIE PORC FRANVET</v>
      </c>
      <c r="BA723">
        <f>IF(AZ723="","",COUNTIFS(AZ$3:AZ$1439,"&lt;"&amp;AZ723,AZ$3:AZ$1439,"&lt;&gt;0")+COUNTIF(AZ$3:AZ723,AZ723)-876)</f>
        <v>275</v>
      </c>
      <c r="BT723" s="76"/>
      <c r="CN723">
        <v>722</v>
      </c>
    </row>
    <row r="724" spans="1:92" x14ac:dyDescent="0.3">
      <c r="A724" s="118" t="s">
        <v>2472</v>
      </c>
      <c r="B724" t="s">
        <v>2473</v>
      </c>
      <c r="C724" t="s">
        <v>1222</v>
      </c>
      <c r="D724" s="144" t="s">
        <v>1063</v>
      </c>
      <c r="E724" t="s">
        <v>830</v>
      </c>
      <c r="F724" t="s">
        <v>652</v>
      </c>
      <c r="G724" t="s">
        <v>1064</v>
      </c>
      <c r="H724" t="s">
        <v>1213</v>
      </c>
      <c r="I724" t="s">
        <v>1066</v>
      </c>
      <c r="J724" t="s">
        <v>1265</v>
      </c>
      <c r="K724" t="s">
        <v>1269</v>
      </c>
      <c r="L724" t="s">
        <v>1270</v>
      </c>
      <c r="M724" t="s">
        <v>208</v>
      </c>
      <c r="N724" t="s">
        <v>2155</v>
      </c>
      <c r="O724" t="s">
        <v>894</v>
      </c>
      <c r="P724" t="s">
        <v>772</v>
      </c>
      <c r="Q724" t="s">
        <v>1712</v>
      </c>
      <c r="R724">
        <v>0</v>
      </c>
      <c r="S724">
        <v>0</v>
      </c>
      <c r="T724">
        <v>0</v>
      </c>
      <c r="U724">
        <v>0</v>
      </c>
      <c r="V724">
        <v>0</v>
      </c>
      <c r="W724">
        <v>0</v>
      </c>
      <c r="X724">
        <v>0</v>
      </c>
      <c r="Y724">
        <v>0</v>
      </c>
      <c r="Z724">
        <v>0</v>
      </c>
      <c r="AA724">
        <v>0</v>
      </c>
      <c r="AB724">
        <v>0</v>
      </c>
      <c r="AC724">
        <v>0</v>
      </c>
      <c r="AD724">
        <v>2.2000000000000002</v>
      </c>
      <c r="AE724">
        <v>21</v>
      </c>
      <c r="AF724">
        <v>0</v>
      </c>
      <c r="AG724">
        <v>0</v>
      </c>
      <c r="AH724">
        <v>0</v>
      </c>
      <c r="AI724">
        <v>0</v>
      </c>
      <c r="AJ724" t="s">
        <v>783</v>
      </c>
      <c r="AK724" t="s">
        <v>1266</v>
      </c>
      <c r="AL724" t="s">
        <v>208</v>
      </c>
      <c r="AM724" t="s">
        <v>2155</v>
      </c>
      <c r="AN724" t="s">
        <v>894</v>
      </c>
      <c r="AO724" t="s">
        <v>772</v>
      </c>
      <c r="AP724" t="s">
        <v>1712</v>
      </c>
      <c r="AY724" t="str">
        <f t="shared" si="190"/>
        <v>LINCOMYCINE 4.4 SPECTINOMYCINE 4.4 PORC FRANVET</v>
      </c>
      <c r="AZ724" t="str">
        <f>IF(COUNTIF(AY:AY,AY724)=1,AY724,IF(AND(COUNTIF(AY:AY,AY724)&gt;1,COUNTIF(AZ$2:AZ723,AY724)&gt;=1),"",AY724))</f>
        <v>LINCOMYCINE 4.4 SPECTINOMYCINE 4.4 PORC FRANVET</v>
      </c>
      <c r="BA724">
        <f>IF(AZ724="","",COUNTIFS(AZ$3:AZ$1439,"&lt;"&amp;AZ724,AZ$3:AZ$1439,"&lt;&gt;0")+COUNTIF(AZ$3:AZ724,AZ724)-876)</f>
        <v>276</v>
      </c>
      <c r="BT724" s="76"/>
      <c r="CN724">
        <v>723</v>
      </c>
    </row>
    <row r="725" spans="1:92" x14ac:dyDescent="0.3">
      <c r="A725" s="118" t="s">
        <v>2849</v>
      </c>
      <c r="B725" t="s">
        <v>2850</v>
      </c>
      <c r="C725" t="s">
        <v>1062</v>
      </c>
      <c r="D725" s="144" t="s">
        <v>1063</v>
      </c>
      <c r="E725" t="s">
        <v>830</v>
      </c>
      <c r="F725" t="s">
        <v>381</v>
      </c>
      <c r="G725" t="s">
        <v>1064</v>
      </c>
      <c r="H725" t="s">
        <v>1213</v>
      </c>
      <c r="I725" t="s">
        <v>1066</v>
      </c>
      <c r="J725" t="s">
        <v>1269</v>
      </c>
      <c r="K725" t="s">
        <v>1269</v>
      </c>
      <c r="L725" t="s">
        <v>1270</v>
      </c>
      <c r="M725" t="s">
        <v>208</v>
      </c>
      <c r="N725" t="s">
        <v>2650</v>
      </c>
      <c r="O725" t="s">
        <v>894</v>
      </c>
      <c r="P725" t="s">
        <v>772</v>
      </c>
      <c r="Q725" t="s">
        <v>1554</v>
      </c>
      <c r="R725">
        <v>0</v>
      </c>
      <c r="S725">
        <v>0</v>
      </c>
      <c r="T725">
        <v>0</v>
      </c>
      <c r="U725">
        <v>0</v>
      </c>
      <c r="V725">
        <v>0</v>
      </c>
      <c r="W725">
        <v>0</v>
      </c>
      <c r="X725">
        <v>0</v>
      </c>
      <c r="Y725">
        <v>0</v>
      </c>
      <c r="Z725">
        <v>0</v>
      </c>
      <c r="AA725">
        <v>0</v>
      </c>
      <c r="AB725">
        <v>0</v>
      </c>
      <c r="AC725">
        <v>0</v>
      </c>
      <c r="AD725">
        <v>5.5</v>
      </c>
      <c r="AE725">
        <v>21</v>
      </c>
      <c r="AF725">
        <v>0</v>
      </c>
      <c r="AG725">
        <v>0</v>
      </c>
      <c r="AH725">
        <v>0</v>
      </c>
      <c r="AI725">
        <v>0</v>
      </c>
      <c r="AY725" t="str">
        <f t="shared" si="190"/>
        <v>LINCOMYCINE 8.8 ENTERITE PORC FRANVET</v>
      </c>
      <c r="AZ725" t="str">
        <f>IF(COUNTIF(AY:AY,AY725)=1,AY725,IF(AND(COUNTIF(AY:AY,AY725)&gt;1,COUNTIF(AZ$2:AZ724,AY725)&gt;=1),"",AY725))</f>
        <v>LINCOMYCINE 8.8 ENTERITE PORC FRANVET</v>
      </c>
      <c r="BA725">
        <f>IF(AZ725="","",COUNTIFS(AZ$3:AZ$1439,"&lt;"&amp;AZ725,AZ$3:AZ$1439,"&lt;&gt;0")+COUNTIF(AZ$3:AZ725,AZ725)-876)</f>
        <v>277</v>
      </c>
      <c r="BT725" s="76"/>
      <c r="CN725">
        <v>724</v>
      </c>
    </row>
    <row r="726" spans="1:92" x14ac:dyDescent="0.3">
      <c r="A726" s="118" t="s">
        <v>1261</v>
      </c>
      <c r="B726" t="s">
        <v>1262</v>
      </c>
      <c r="C726" t="s">
        <v>1263</v>
      </c>
      <c r="D726" s="144" t="s">
        <v>1155</v>
      </c>
      <c r="E726" t="s">
        <v>830</v>
      </c>
      <c r="F726" t="s">
        <v>382</v>
      </c>
      <c r="G726" t="s">
        <v>831</v>
      </c>
      <c r="H726" t="s">
        <v>1264</v>
      </c>
      <c r="I726" t="s">
        <v>817</v>
      </c>
      <c r="J726" t="s">
        <v>1265</v>
      </c>
      <c r="K726" t="s">
        <v>783</v>
      </c>
      <c r="L726" t="s">
        <v>1266</v>
      </c>
      <c r="M726" t="s">
        <v>208</v>
      </c>
      <c r="N726" t="s">
        <v>1267</v>
      </c>
      <c r="O726" t="s">
        <v>894</v>
      </c>
      <c r="P726" t="s">
        <v>772</v>
      </c>
      <c r="Q726" t="s">
        <v>1268</v>
      </c>
      <c r="R726">
        <v>0</v>
      </c>
      <c r="S726">
        <v>0</v>
      </c>
      <c r="T726">
        <v>0</v>
      </c>
      <c r="U726">
        <v>0</v>
      </c>
      <c r="V726">
        <v>0</v>
      </c>
      <c r="W726">
        <v>0</v>
      </c>
      <c r="X726">
        <v>0</v>
      </c>
      <c r="Y726">
        <v>0</v>
      </c>
      <c r="Z726">
        <v>0</v>
      </c>
      <c r="AA726">
        <v>0</v>
      </c>
      <c r="AB726">
        <v>0</v>
      </c>
      <c r="AC726">
        <v>0</v>
      </c>
      <c r="AD726">
        <v>6.67</v>
      </c>
      <c r="AE726">
        <v>7</v>
      </c>
      <c r="AF726">
        <v>33.340000000000003</v>
      </c>
      <c r="AG726">
        <v>7</v>
      </c>
      <c r="AH726">
        <v>0</v>
      </c>
      <c r="AI726">
        <v>0</v>
      </c>
      <c r="AJ726" t="s">
        <v>1269</v>
      </c>
      <c r="AK726" t="s">
        <v>1270</v>
      </c>
      <c r="AL726" t="s">
        <v>208</v>
      </c>
      <c r="AM726" t="s">
        <v>1271</v>
      </c>
      <c r="AN726" t="s">
        <v>894</v>
      </c>
      <c r="AO726" t="s">
        <v>772</v>
      </c>
      <c r="AP726" t="s">
        <v>1272</v>
      </c>
      <c r="AY726" t="str">
        <f t="shared" si="190"/>
        <v>LINCO-SPECTIN 100, 222/444,7 MG/G POUDRE POUR ADMINISTRATION DANS L'EAU DE BOISSON POUR PORCINS ET POULETS</v>
      </c>
      <c r="AZ726" t="str">
        <f>IF(COUNTIF(AY:AY,AY726)=1,AY726,IF(AND(COUNTIF(AY:AY,AY726)&gt;1,COUNTIF(AZ$2:AZ725,AY726)&gt;=1),"",AY726))</f>
        <v>LINCO-SPECTIN 100, 222/444,7 MG/G POUDRE POUR ADMINISTRATION DANS L'EAU DE BOISSON POUR PORCINS ET POULETS</v>
      </c>
      <c r="BA726">
        <f>IF(AZ726="","",COUNTIFS(AZ$3:AZ$1439,"&lt;"&amp;AZ726,AZ$3:AZ$1439,"&lt;&gt;0")+COUNTIF(AZ$3:AZ726,AZ726)-876)</f>
        <v>278</v>
      </c>
      <c r="BT726" s="76"/>
      <c r="CN726">
        <v>725</v>
      </c>
    </row>
    <row r="727" spans="1:92" x14ac:dyDescent="0.3">
      <c r="A727" s="118" t="s">
        <v>1261</v>
      </c>
      <c r="B727" t="s">
        <v>1273</v>
      </c>
      <c r="C727" t="s">
        <v>1274</v>
      </c>
      <c r="D727" s="144" t="s">
        <v>1079</v>
      </c>
      <c r="E727" t="s">
        <v>830</v>
      </c>
      <c r="F727" t="s">
        <v>382</v>
      </c>
      <c r="G727" t="s">
        <v>831</v>
      </c>
      <c r="H727" t="s">
        <v>1264</v>
      </c>
      <c r="I727" t="s">
        <v>817</v>
      </c>
      <c r="J727" t="s">
        <v>1265</v>
      </c>
      <c r="K727" t="s">
        <v>783</v>
      </c>
      <c r="L727" t="s">
        <v>1266</v>
      </c>
      <c r="M727" t="s">
        <v>208</v>
      </c>
      <c r="N727" t="s">
        <v>1267</v>
      </c>
      <c r="O727" t="s">
        <v>894</v>
      </c>
      <c r="P727" t="s">
        <v>772</v>
      </c>
      <c r="Q727" t="s">
        <v>1275</v>
      </c>
      <c r="R727">
        <v>0</v>
      </c>
      <c r="S727">
        <v>0</v>
      </c>
      <c r="T727">
        <v>0</v>
      </c>
      <c r="U727">
        <v>0</v>
      </c>
      <c r="V727">
        <v>0</v>
      </c>
      <c r="W727">
        <v>0</v>
      </c>
      <c r="X727">
        <v>0</v>
      </c>
      <c r="Y727">
        <v>0</v>
      </c>
      <c r="Z727">
        <v>0</v>
      </c>
      <c r="AA727">
        <v>0</v>
      </c>
      <c r="AB727">
        <v>0</v>
      </c>
      <c r="AC727">
        <v>0</v>
      </c>
      <c r="AD727">
        <v>6.67</v>
      </c>
      <c r="AE727">
        <v>7</v>
      </c>
      <c r="AF727">
        <v>33.340000000000003</v>
      </c>
      <c r="AG727">
        <v>7</v>
      </c>
      <c r="AH727">
        <v>0</v>
      </c>
      <c r="AI727">
        <v>0</v>
      </c>
      <c r="AJ727" t="s">
        <v>1269</v>
      </c>
      <c r="AK727" t="s">
        <v>1270</v>
      </c>
      <c r="AL727" t="s">
        <v>208</v>
      </c>
      <c r="AM727" t="s">
        <v>1271</v>
      </c>
      <c r="AN727" t="s">
        <v>894</v>
      </c>
      <c r="AO727" t="s">
        <v>772</v>
      </c>
      <c r="AP727" t="s">
        <v>1276</v>
      </c>
      <c r="AY727" t="str">
        <f t="shared" si="190"/>
        <v>LINCO-SPECTIN 100, 222/444,7 MG/G POUDRE POUR ADMINISTRATION DANS L'EAU DE BOISSON POUR PORCINS ET POULETS</v>
      </c>
      <c r="AZ727" t="str">
        <f>IF(COUNTIF(AY:AY,AY727)=1,AY727,IF(AND(COUNTIF(AY:AY,AY727)&gt;1,COUNTIF(AZ$2:AZ726,AY727)&gt;=1),"",AY727))</f>
        <v/>
      </c>
      <c r="BA727" t="str">
        <f>IF(AZ727="","",COUNTIFS(AZ$3:AZ$1439,"&lt;"&amp;AZ727,AZ$3:AZ$1439,"&lt;&gt;0")+COUNTIF(AZ$3:AZ727,AZ727)-876)</f>
        <v/>
      </c>
      <c r="BT727" s="76"/>
      <c r="CN727">
        <v>726</v>
      </c>
    </row>
    <row r="728" spans="1:92" x14ac:dyDescent="0.3">
      <c r="A728" s="118" t="s">
        <v>1281</v>
      </c>
      <c r="B728" t="s">
        <v>1282</v>
      </c>
      <c r="C728" t="s">
        <v>1238</v>
      </c>
      <c r="D728" s="144" t="s">
        <v>780</v>
      </c>
      <c r="E728" t="s">
        <v>765</v>
      </c>
      <c r="F728" t="s">
        <v>383</v>
      </c>
      <c r="G728" t="s">
        <v>766</v>
      </c>
      <c r="H728" t="s">
        <v>1283</v>
      </c>
      <c r="I728" t="s">
        <v>766</v>
      </c>
      <c r="J728" t="s">
        <v>1265</v>
      </c>
      <c r="K728" t="s">
        <v>783</v>
      </c>
      <c r="L728" t="s">
        <v>1266</v>
      </c>
      <c r="M728" t="s">
        <v>208</v>
      </c>
      <c r="N728" t="s">
        <v>764</v>
      </c>
      <c r="O728" t="s">
        <v>771</v>
      </c>
      <c r="P728" t="s">
        <v>772</v>
      </c>
      <c r="Q728" t="s">
        <v>885</v>
      </c>
      <c r="R728">
        <v>10</v>
      </c>
      <c r="S728">
        <v>5</v>
      </c>
      <c r="T728">
        <v>20</v>
      </c>
      <c r="U728">
        <v>7</v>
      </c>
      <c r="V728">
        <v>0</v>
      </c>
      <c r="W728">
        <v>0</v>
      </c>
      <c r="X728">
        <v>0</v>
      </c>
      <c r="Y728">
        <v>0</v>
      </c>
      <c r="Z728">
        <v>0</v>
      </c>
      <c r="AA728">
        <v>0</v>
      </c>
      <c r="AB728">
        <v>10</v>
      </c>
      <c r="AC728">
        <v>5</v>
      </c>
      <c r="AD728">
        <v>10</v>
      </c>
      <c r="AE728">
        <v>5</v>
      </c>
      <c r="AF728">
        <v>20</v>
      </c>
      <c r="AG728">
        <v>3</v>
      </c>
      <c r="AH728">
        <v>0</v>
      </c>
      <c r="AI728">
        <v>0</v>
      </c>
      <c r="AJ728" t="s">
        <v>1269</v>
      </c>
      <c r="AK728" t="s">
        <v>1270</v>
      </c>
      <c r="AL728" t="s">
        <v>208</v>
      </c>
      <c r="AM728" t="s">
        <v>780</v>
      </c>
      <c r="AN728" t="s">
        <v>771</v>
      </c>
      <c r="AO728" t="s">
        <v>772</v>
      </c>
      <c r="AP728" t="s">
        <v>1126</v>
      </c>
      <c r="AY728" t="str">
        <f t="shared" si="190"/>
        <v>LINCO-SPECTIN INJECTABLE</v>
      </c>
      <c r="AZ728" t="str">
        <f>IF(COUNTIF(AY:AY,AY728)=1,AY728,IF(AND(COUNTIF(AY:AY,AY728)&gt;1,COUNTIF(AZ$2:AZ727,AY728)&gt;=1),"",AY728))</f>
        <v>LINCO-SPECTIN INJECTABLE</v>
      </c>
      <c r="BA728">
        <f>IF(AZ728="","",COUNTIFS(AZ$3:AZ$1439,"&lt;"&amp;AZ728,AZ$3:AZ$1439,"&lt;&gt;0")+COUNTIF(AZ$3:AZ728,AZ728)-876)</f>
        <v>279</v>
      </c>
      <c r="BT728" s="76"/>
      <c r="CN728">
        <v>727</v>
      </c>
    </row>
    <row r="729" spans="1:92" x14ac:dyDescent="0.3">
      <c r="A729" s="118" t="s">
        <v>1281</v>
      </c>
      <c r="B729" t="s">
        <v>1284</v>
      </c>
      <c r="C729" t="s">
        <v>792</v>
      </c>
      <c r="D729" s="144" t="s">
        <v>764</v>
      </c>
      <c r="E729" t="s">
        <v>765</v>
      </c>
      <c r="F729" t="s">
        <v>383</v>
      </c>
      <c r="G729" t="s">
        <v>766</v>
      </c>
      <c r="H729" t="s">
        <v>1283</v>
      </c>
      <c r="I729" t="s">
        <v>766</v>
      </c>
      <c r="J729" t="s">
        <v>1265</v>
      </c>
      <c r="K729" t="s">
        <v>783</v>
      </c>
      <c r="L729" t="s">
        <v>1266</v>
      </c>
      <c r="M729" t="s">
        <v>208</v>
      </c>
      <c r="N729" t="s">
        <v>764</v>
      </c>
      <c r="O729" t="s">
        <v>771</v>
      </c>
      <c r="P729" t="s">
        <v>772</v>
      </c>
      <c r="Q729" t="s">
        <v>852</v>
      </c>
      <c r="R729">
        <v>10</v>
      </c>
      <c r="S729">
        <v>5</v>
      </c>
      <c r="T729">
        <v>20</v>
      </c>
      <c r="U729">
        <v>7</v>
      </c>
      <c r="V729">
        <v>0</v>
      </c>
      <c r="W729">
        <v>0</v>
      </c>
      <c r="X729">
        <v>0</v>
      </c>
      <c r="Y729">
        <v>0</v>
      </c>
      <c r="Z729">
        <v>0</v>
      </c>
      <c r="AA729">
        <v>0</v>
      </c>
      <c r="AB729">
        <v>10</v>
      </c>
      <c r="AC729">
        <v>5</v>
      </c>
      <c r="AD729">
        <v>10</v>
      </c>
      <c r="AE729">
        <v>5</v>
      </c>
      <c r="AF729">
        <v>20</v>
      </c>
      <c r="AG729">
        <v>3</v>
      </c>
      <c r="AH729">
        <v>0</v>
      </c>
      <c r="AI729">
        <v>0</v>
      </c>
      <c r="AJ729" t="s">
        <v>1269</v>
      </c>
      <c r="AK729" t="s">
        <v>1270</v>
      </c>
      <c r="AL729" t="s">
        <v>208</v>
      </c>
      <c r="AM729" t="s">
        <v>780</v>
      </c>
      <c r="AN729" t="s">
        <v>771</v>
      </c>
      <c r="AO729" t="s">
        <v>772</v>
      </c>
      <c r="AP729" t="s">
        <v>885</v>
      </c>
      <c r="AY729" t="str">
        <f t="shared" si="190"/>
        <v>LINCO-SPECTIN INJECTABLE</v>
      </c>
      <c r="AZ729" t="str">
        <f>IF(COUNTIF(AY:AY,AY729)=1,AY729,IF(AND(COUNTIF(AY:AY,AY729)&gt;1,COUNTIF(AZ$2:AZ728,AY729)&gt;=1),"",AY729))</f>
        <v/>
      </c>
      <c r="BA729" t="str">
        <f>IF(AZ729="","",COUNTIFS(AZ$3:AZ$1439,"&lt;"&amp;AZ729,AZ$3:AZ$1439,"&lt;&gt;0")+COUNTIF(AZ$3:AZ729,AZ729)-876)</f>
        <v/>
      </c>
      <c r="BT729" s="76"/>
      <c r="CN729">
        <v>728</v>
      </c>
    </row>
    <row r="730" spans="1:92" x14ac:dyDescent="0.3">
      <c r="A730" s="118" t="s">
        <v>1281</v>
      </c>
      <c r="B730" t="s">
        <v>1285</v>
      </c>
      <c r="C730" t="s">
        <v>796</v>
      </c>
      <c r="D730" s="144" t="s">
        <v>776</v>
      </c>
      <c r="E730" t="s">
        <v>765</v>
      </c>
      <c r="F730" t="s">
        <v>383</v>
      </c>
      <c r="G730" t="s">
        <v>766</v>
      </c>
      <c r="H730" t="s">
        <v>1283</v>
      </c>
      <c r="I730" t="s">
        <v>766</v>
      </c>
      <c r="J730" t="s">
        <v>1265</v>
      </c>
      <c r="K730" t="s">
        <v>783</v>
      </c>
      <c r="L730" t="s">
        <v>1266</v>
      </c>
      <c r="M730" t="s">
        <v>208</v>
      </c>
      <c r="N730" t="s">
        <v>764</v>
      </c>
      <c r="O730" t="s">
        <v>771</v>
      </c>
      <c r="P730" t="s">
        <v>772</v>
      </c>
      <c r="Q730" t="s">
        <v>855</v>
      </c>
      <c r="R730">
        <v>10</v>
      </c>
      <c r="S730">
        <v>5</v>
      </c>
      <c r="T730">
        <v>20</v>
      </c>
      <c r="U730">
        <v>7</v>
      </c>
      <c r="V730">
        <v>0</v>
      </c>
      <c r="W730">
        <v>0</v>
      </c>
      <c r="X730">
        <v>0</v>
      </c>
      <c r="Y730">
        <v>0</v>
      </c>
      <c r="Z730">
        <v>0</v>
      </c>
      <c r="AA730">
        <v>0</v>
      </c>
      <c r="AB730">
        <v>10</v>
      </c>
      <c r="AC730">
        <v>5</v>
      </c>
      <c r="AD730">
        <v>10</v>
      </c>
      <c r="AE730">
        <v>5</v>
      </c>
      <c r="AF730">
        <v>20</v>
      </c>
      <c r="AG730">
        <v>3</v>
      </c>
      <c r="AH730">
        <v>0</v>
      </c>
      <c r="AI730">
        <v>0</v>
      </c>
      <c r="AJ730" t="s">
        <v>1269</v>
      </c>
      <c r="AK730" t="s">
        <v>1270</v>
      </c>
      <c r="AL730" t="s">
        <v>208</v>
      </c>
      <c r="AM730" t="s">
        <v>780</v>
      </c>
      <c r="AN730" t="s">
        <v>771</v>
      </c>
      <c r="AO730" t="s">
        <v>772</v>
      </c>
      <c r="AP730" t="s">
        <v>1072</v>
      </c>
      <c r="AY730" t="str">
        <f t="shared" si="190"/>
        <v>LINCO-SPECTIN INJECTABLE</v>
      </c>
      <c r="AZ730" t="str">
        <f>IF(COUNTIF(AY:AY,AY730)=1,AY730,IF(AND(COUNTIF(AY:AY,AY730)&gt;1,COUNTIF(AZ$2:AZ729,AY730)&gt;=1),"",AY730))</f>
        <v/>
      </c>
      <c r="BA730" t="str">
        <f>IF(AZ730="","",COUNTIFS(AZ$3:AZ$1439,"&lt;"&amp;AZ730,AZ$3:AZ$1439,"&lt;&gt;0")+COUNTIF(AZ$3:AZ730,AZ730)-876)</f>
        <v/>
      </c>
      <c r="BT730" s="76"/>
      <c r="CN730">
        <v>729</v>
      </c>
    </row>
    <row r="731" spans="1:92" x14ac:dyDescent="0.3">
      <c r="A731" s="118" t="s">
        <v>3551</v>
      </c>
      <c r="B731" t="s">
        <v>3552</v>
      </c>
      <c r="C731" t="s">
        <v>1483</v>
      </c>
      <c r="D731" s="144" t="s">
        <v>764</v>
      </c>
      <c r="E731" t="s">
        <v>765</v>
      </c>
      <c r="F731" t="s">
        <v>384</v>
      </c>
      <c r="G731" t="s">
        <v>766</v>
      </c>
      <c r="H731" t="s">
        <v>1342</v>
      </c>
      <c r="I731" t="s">
        <v>766</v>
      </c>
      <c r="J731" t="s">
        <v>1265</v>
      </c>
      <c r="K731" t="s">
        <v>783</v>
      </c>
      <c r="L731" t="s">
        <v>1266</v>
      </c>
      <c r="M731" t="s">
        <v>208</v>
      </c>
      <c r="N731" t="s">
        <v>764</v>
      </c>
      <c r="O731" t="s">
        <v>771</v>
      </c>
      <c r="P731" t="s">
        <v>772</v>
      </c>
      <c r="Q731" t="s">
        <v>852</v>
      </c>
      <c r="R731">
        <v>12</v>
      </c>
      <c r="S731">
        <v>5</v>
      </c>
      <c r="T731">
        <v>20</v>
      </c>
      <c r="U731">
        <v>7</v>
      </c>
      <c r="V731">
        <v>0</v>
      </c>
      <c r="W731">
        <v>0</v>
      </c>
      <c r="X731">
        <v>0</v>
      </c>
      <c r="Y731">
        <v>0</v>
      </c>
      <c r="Z731">
        <v>0</v>
      </c>
      <c r="AA731">
        <v>0</v>
      </c>
      <c r="AB731">
        <v>0</v>
      </c>
      <c r="AC731">
        <v>0</v>
      </c>
      <c r="AD731">
        <v>10</v>
      </c>
      <c r="AE731">
        <v>3</v>
      </c>
      <c r="AF731">
        <v>0</v>
      </c>
      <c r="AG731">
        <v>0</v>
      </c>
      <c r="AH731">
        <v>0</v>
      </c>
      <c r="AI731">
        <v>0</v>
      </c>
      <c r="AJ731" t="s">
        <v>1269</v>
      </c>
      <c r="AK731" t="s">
        <v>1270</v>
      </c>
      <c r="AL731" t="s">
        <v>208</v>
      </c>
      <c r="AM731" t="s">
        <v>780</v>
      </c>
      <c r="AN731" t="s">
        <v>771</v>
      </c>
      <c r="AO731" t="s">
        <v>772</v>
      </c>
      <c r="AP731" t="s">
        <v>885</v>
      </c>
      <c r="AY731" t="str">
        <f t="shared" si="190"/>
        <v>LINSPEC 50/100 MG/ML SOLUTION INJECTABLE POUR CHIENS CHATS PORCINS ET VEAUX PRE-RUMINANTS</v>
      </c>
      <c r="AZ731" t="str">
        <f>IF(COUNTIF(AY:AY,AY731)=1,AY731,IF(AND(COUNTIF(AY:AY,AY731)&gt;1,COUNTIF(AZ$2:AZ730,AY731)&gt;=1),"",AY731))</f>
        <v>LINSPEC 50/100 MG/ML SOLUTION INJECTABLE POUR CHIENS CHATS PORCINS ET VEAUX PRE-RUMINANTS</v>
      </c>
      <c r="BA731">
        <f>IF(AZ731="","",COUNTIFS(AZ$3:AZ$1439,"&lt;"&amp;AZ731,AZ$3:AZ$1439,"&lt;&gt;0")+COUNTIF(AZ$3:AZ731,AZ731)-876)</f>
        <v>280</v>
      </c>
      <c r="BT731" s="76"/>
      <c r="CN731">
        <v>730</v>
      </c>
    </row>
    <row r="732" spans="1:92" x14ac:dyDescent="0.3">
      <c r="A732" s="118" t="s">
        <v>3551</v>
      </c>
      <c r="B732" t="s">
        <v>3553</v>
      </c>
      <c r="C732" t="s">
        <v>1474</v>
      </c>
      <c r="D732" s="144" t="s">
        <v>776</v>
      </c>
      <c r="E732" t="s">
        <v>765</v>
      </c>
      <c r="F732" t="s">
        <v>384</v>
      </c>
      <c r="G732" t="s">
        <v>766</v>
      </c>
      <c r="H732" t="s">
        <v>1342</v>
      </c>
      <c r="I732" t="s">
        <v>766</v>
      </c>
      <c r="J732" t="s">
        <v>1265</v>
      </c>
      <c r="K732" t="s">
        <v>783</v>
      </c>
      <c r="L732" t="s">
        <v>1266</v>
      </c>
      <c r="M732" t="s">
        <v>208</v>
      </c>
      <c r="N732" t="s">
        <v>764</v>
      </c>
      <c r="O732" t="s">
        <v>771</v>
      </c>
      <c r="P732" t="s">
        <v>772</v>
      </c>
      <c r="Q732" t="s">
        <v>855</v>
      </c>
      <c r="R732">
        <v>12</v>
      </c>
      <c r="S732">
        <v>5</v>
      </c>
      <c r="T732">
        <v>20</v>
      </c>
      <c r="U732">
        <v>7</v>
      </c>
      <c r="V732">
        <v>0</v>
      </c>
      <c r="W732">
        <v>0</v>
      </c>
      <c r="X732">
        <v>0</v>
      </c>
      <c r="Y732">
        <v>0</v>
      </c>
      <c r="Z732">
        <v>0</v>
      </c>
      <c r="AA732">
        <v>0</v>
      </c>
      <c r="AB732">
        <v>0</v>
      </c>
      <c r="AC732">
        <v>0</v>
      </c>
      <c r="AD732">
        <v>10</v>
      </c>
      <c r="AE732">
        <v>3</v>
      </c>
      <c r="AF732">
        <v>0</v>
      </c>
      <c r="AG732">
        <v>0</v>
      </c>
      <c r="AH732">
        <v>0</v>
      </c>
      <c r="AI732">
        <v>0</v>
      </c>
      <c r="AJ732" t="s">
        <v>1269</v>
      </c>
      <c r="AK732" t="s">
        <v>1270</v>
      </c>
      <c r="AL732" t="s">
        <v>208</v>
      </c>
      <c r="AM732" t="s">
        <v>780</v>
      </c>
      <c r="AN732" t="s">
        <v>771</v>
      </c>
      <c r="AO732" t="s">
        <v>772</v>
      </c>
      <c r="AP732" t="s">
        <v>1072</v>
      </c>
      <c r="AY732" t="str">
        <f t="shared" si="190"/>
        <v>LINSPEC 50/100 MG/ML SOLUTION INJECTABLE POUR CHIENS CHATS PORCINS ET VEAUX PRE-RUMINANTS</v>
      </c>
      <c r="AZ732" t="str">
        <f>IF(COUNTIF(AY:AY,AY732)=1,AY732,IF(AND(COUNTIF(AY:AY,AY732)&gt;1,COUNTIF(AZ$2:AZ731,AY732)&gt;=1),"",AY732))</f>
        <v/>
      </c>
      <c r="BA732" t="str">
        <f>IF(AZ732="","",COUNTIFS(AZ$3:AZ$1439,"&lt;"&amp;AZ732,AZ$3:AZ$1439,"&lt;&gt;0")+COUNTIF(AZ$3:AZ732,AZ732)-876)</f>
        <v/>
      </c>
      <c r="BT732" s="76"/>
      <c r="CN732">
        <v>731</v>
      </c>
    </row>
    <row r="733" spans="1:92" x14ac:dyDescent="0.3">
      <c r="A733" s="118" t="s">
        <v>4572</v>
      </c>
      <c r="B733" t="s">
        <v>4573</v>
      </c>
      <c r="C733" t="s">
        <v>4574</v>
      </c>
      <c r="D733" s="144" t="s">
        <v>1442</v>
      </c>
      <c r="E733" t="s">
        <v>765</v>
      </c>
      <c r="F733" t="s">
        <v>4575</v>
      </c>
      <c r="G733" t="s">
        <v>766</v>
      </c>
      <c r="H733" t="s">
        <v>801</v>
      </c>
      <c r="I733" t="s">
        <v>766</v>
      </c>
      <c r="J733" t="s">
        <v>787</v>
      </c>
      <c r="K733" t="s">
        <v>787</v>
      </c>
      <c r="L733" t="s">
        <v>2522</v>
      </c>
      <c r="M733" t="s">
        <v>208</v>
      </c>
      <c r="N733" t="s">
        <v>2523</v>
      </c>
      <c r="O733" t="s">
        <v>771</v>
      </c>
      <c r="P733" t="s">
        <v>2524</v>
      </c>
      <c r="Q733" t="s">
        <v>1019</v>
      </c>
      <c r="R733">
        <v>9</v>
      </c>
      <c r="S733">
        <v>4</v>
      </c>
      <c r="T733">
        <v>0</v>
      </c>
      <c r="U733">
        <v>0</v>
      </c>
      <c r="V733">
        <v>0</v>
      </c>
      <c r="W733">
        <v>0</v>
      </c>
      <c r="X733">
        <v>0</v>
      </c>
      <c r="Y733">
        <v>0</v>
      </c>
      <c r="Z733">
        <v>0</v>
      </c>
      <c r="AA733">
        <v>0</v>
      </c>
      <c r="AB733">
        <v>0</v>
      </c>
      <c r="AC733">
        <v>0</v>
      </c>
      <c r="AD733">
        <v>0</v>
      </c>
      <c r="AE733">
        <v>0</v>
      </c>
      <c r="AF733">
        <v>0</v>
      </c>
      <c r="AG733">
        <v>0</v>
      </c>
      <c r="AH733">
        <v>0</v>
      </c>
      <c r="AI733">
        <v>0</v>
      </c>
      <c r="AY733" t="str">
        <f t="shared" si="190"/>
        <v>LOHMASTITE 214,5 MG/ML POUDRE ET SOLVANT POUR SUSPENSION INJECTABLE POUR BOVINS</v>
      </c>
      <c r="AZ733" t="str">
        <f>IF(COUNTIF(AY:AY,AY733)=1,AY733,IF(AND(COUNTIF(AY:AY,AY733)&gt;1,COUNTIF(AZ$2:AZ732,AY733)&gt;=1),"",AY733))</f>
        <v>LOHMASTITE 214,5 MG/ML POUDRE ET SOLVANT POUR SUSPENSION INJECTABLE POUR BOVINS</v>
      </c>
      <c r="BA733">
        <f>IF(AZ733="","",COUNTIFS(AZ$3:AZ$1439,"&lt;"&amp;AZ733,AZ$3:AZ$1439,"&lt;&gt;0")+COUNTIF(AZ$3:AZ733,AZ733)-876)</f>
        <v>281</v>
      </c>
      <c r="BT733" s="76"/>
      <c r="CN733">
        <v>732</v>
      </c>
    </row>
    <row r="734" spans="1:92" x14ac:dyDescent="0.3">
      <c r="A734" s="118" t="s">
        <v>2504</v>
      </c>
      <c r="B734" t="s">
        <v>2505</v>
      </c>
      <c r="C734" t="s">
        <v>1483</v>
      </c>
      <c r="D734" s="144" t="s">
        <v>764</v>
      </c>
      <c r="E734" t="s">
        <v>765</v>
      </c>
      <c r="F734" t="s">
        <v>39</v>
      </c>
      <c r="G734" t="s">
        <v>766</v>
      </c>
      <c r="H734" t="s">
        <v>2506</v>
      </c>
      <c r="I734" t="s">
        <v>766</v>
      </c>
      <c r="J734" t="s">
        <v>787</v>
      </c>
      <c r="K734" t="s">
        <v>787</v>
      </c>
      <c r="L734" t="s">
        <v>1055</v>
      </c>
      <c r="M734" t="s">
        <v>208</v>
      </c>
      <c r="N734" t="s">
        <v>1155</v>
      </c>
      <c r="O734" t="s">
        <v>771</v>
      </c>
      <c r="P734" t="s">
        <v>772</v>
      </c>
      <c r="Q734" t="s">
        <v>972</v>
      </c>
      <c r="R734">
        <v>15</v>
      </c>
      <c r="S734">
        <v>2</v>
      </c>
      <c r="T734">
        <v>0</v>
      </c>
      <c r="U734">
        <v>0</v>
      </c>
      <c r="V734">
        <v>0</v>
      </c>
      <c r="W734">
        <v>0</v>
      </c>
      <c r="X734">
        <v>0</v>
      </c>
      <c r="Y734">
        <v>0</v>
      </c>
      <c r="Z734">
        <v>0</v>
      </c>
      <c r="AA734">
        <v>0</v>
      </c>
      <c r="AB734">
        <v>15</v>
      </c>
      <c r="AC734">
        <v>2</v>
      </c>
      <c r="AD734">
        <v>15</v>
      </c>
      <c r="AE734">
        <v>2</v>
      </c>
      <c r="AF734">
        <v>0</v>
      </c>
      <c r="AG734">
        <v>0</v>
      </c>
      <c r="AH734">
        <v>0</v>
      </c>
      <c r="AI734">
        <v>0</v>
      </c>
      <c r="AY734" t="str">
        <f t="shared" si="190"/>
        <v>LONGAMOX</v>
      </c>
      <c r="AZ734" t="str">
        <f>IF(COUNTIF(AY:AY,AY734)=1,AY734,IF(AND(COUNTIF(AY:AY,AY734)&gt;1,COUNTIF(AZ$2:AZ733,AY734)&gt;=1),"",AY734))</f>
        <v>LONGAMOX</v>
      </c>
      <c r="BA734">
        <f>IF(AZ734="","",COUNTIFS(AZ$3:AZ$1439,"&lt;"&amp;AZ734,AZ$3:AZ$1439,"&lt;&gt;0")+COUNTIF(AZ$3:AZ734,AZ734)-876)</f>
        <v>282</v>
      </c>
      <c r="BT734" s="76"/>
      <c r="CN734">
        <v>733</v>
      </c>
    </row>
    <row r="735" spans="1:92" x14ac:dyDescent="0.3">
      <c r="A735" s="118" t="s">
        <v>2504</v>
      </c>
      <c r="B735" t="s">
        <v>2507</v>
      </c>
      <c r="C735" t="s">
        <v>1474</v>
      </c>
      <c r="D735" s="144" t="s">
        <v>776</v>
      </c>
      <c r="E735" t="s">
        <v>765</v>
      </c>
      <c r="F735" t="s">
        <v>39</v>
      </c>
      <c r="G735" t="s">
        <v>766</v>
      </c>
      <c r="H735" t="s">
        <v>2506</v>
      </c>
      <c r="I735" t="s">
        <v>766</v>
      </c>
      <c r="J735" t="s">
        <v>787</v>
      </c>
      <c r="K735" t="s">
        <v>787</v>
      </c>
      <c r="L735" t="s">
        <v>1055</v>
      </c>
      <c r="M735" t="s">
        <v>208</v>
      </c>
      <c r="N735" t="s">
        <v>1155</v>
      </c>
      <c r="O735" t="s">
        <v>771</v>
      </c>
      <c r="P735" t="s">
        <v>772</v>
      </c>
      <c r="Q735" t="s">
        <v>1773</v>
      </c>
      <c r="R735">
        <v>15</v>
      </c>
      <c r="S735">
        <v>2</v>
      </c>
      <c r="T735">
        <v>0</v>
      </c>
      <c r="U735">
        <v>0</v>
      </c>
      <c r="V735">
        <v>0</v>
      </c>
      <c r="W735">
        <v>0</v>
      </c>
      <c r="X735">
        <v>0</v>
      </c>
      <c r="Y735">
        <v>0</v>
      </c>
      <c r="Z735">
        <v>0</v>
      </c>
      <c r="AA735">
        <v>0</v>
      </c>
      <c r="AB735">
        <v>15</v>
      </c>
      <c r="AC735">
        <v>2</v>
      </c>
      <c r="AD735">
        <v>15</v>
      </c>
      <c r="AE735">
        <v>2</v>
      </c>
      <c r="AF735">
        <v>0</v>
      </c>
      <c r="AG735">
        <v>0</v>
      </c>
      <c r="AH735">
        <v>0</v>
      </c>
      <c r="AI735">
        <v>0</v>
      </c>
      <c r="AY735" t="str">
        <f t="shared" si="190"/>
        <v>LONGAMOX</v>
      </c>
      <c r="AZ735" t="str">
        <f>IF(COUNTIF(AY:AY,AY735)=1,AY735,IF(AND(COUNTIF(AY:AY,AY735)&gt;1,COUNTIF(AZ$2:AZ734,AY735)&gt;=1),"",AY735))</f>
        <v/>
      </c>
      <c r="BA735" t="str">
        <f>IF(AZ735="","",COUNTIFS(AZ$3:AZ$1439,"&lt;"&amp;AZ735,AZ$3:AZ$1439,"&lt;&gt;0")+COUNTIF(AZ$3:AZ735,AZ735)-876)</f>
        <v/>
      </c>
      <c r="BT735" s="76"/>
      <c r="CN735">
        <v>734</v>
      </c>
    </row>
    <row r="736" spans="1:92" x14ac:dyDescent="0.3">
      <c r="A736" s="118" t="s">
        <v>2404</v>
      </c>
      <c r="B736" t="s">
        <v>2405</v>
      </c>
      <c r="C736" t="s">
        <v>763</v>
      </c>
      <c r="D736" s="144" t="s">
        <v>764</v>
      </c>
      <c r="E736" t="s">
        <v>765</v>
      </c>
      <c r="F736" t="s">
        <v>40</v>
      </c>
      <c r="G736" t="s">
        <v>766</v>
      </c>
      <c r="H736" t="s">
        <v>1484</v>
      </c>
      <c r="I736" t="s">
        <v>766</v>
      </c>
      <c r="J736" t="s">
        <v>768</v>
      </c>
      <c r="K736" t="s">
        <v>768</v>
      </c>
      <c r="L736" t="s">
        <v>769</v>
      </c>
      <c r="M736" t="s">
        <v>208</v>
      </c>
      <c r="N736" t="s">
        <v>864</v>
      </c>
      <c r="O736" t="s">
        <v>771</v>
      </c>
      <c r="P736" t="s">
        <v>772</v>
      </c>
      <c r="Q736" t="s">
        <v>869</v>
      </c>
      <c r="R736">
        <v>20</v>
      </c>
      <c r="S736">
        <v>1</v>
      </c>
      <c r="T736">
        <v>0</v>
      </c>
      <c r="U736">
        <v>0</v>
      </c>
      <c r="V736">
        <v>0</v>
      </c>
      <c r="W736">
        <v>0</v>
      </c>
      <c r="X736">
        <v>0</v>
      </c>
      <c r="Y736">
        <v>0</v>
      </c>
      <c r="Z736">
        <v>0</v>
      </c>
      <c r="AA736">
        <v>0</v>
      </c>
      <c r="AB736">
        <v>20</v>
      </c>
      <c r="AC736">
        <v>1</v>
      </c>
      <c r="AD736">
        <v>20</v>
      </c>
      <c r="AE736">
        <v>1</v>
      </c>
      <c r="AF736">
        <v>0</v>
      </c>
      <c r="AG736">
        <v>0</v>
      </c>
      <c r="AH736">
        <v>0</v>
      </c>
      <c r="AI736">
        <v>0</v>
      </c>
      <c r="AY736" t="str">
        <f t="shared" si="190"/>
        <v>LONGICINE</v>
      </c>
      <c r="AZ736" t="str">
        <f>IF(COUNTIF(AY:AY,AY736)=1,AY736,IF(AND(COUNTIF(AY:AY,AY736)&gt;1,COUNTIF(AZ$2:AZ735,AY736)&gt;=1),"",AY736))</f>
        <v>LONGICINE</v>
      </c>
      <c r="BA736">
        <f>IF(AZ736="","",COUNTIFS(AZ$3:AZ$1439,"&lt;"&amp;AZ736,AZ$3:AZ$1439,"&lt;&gt;0")+COUNTIF(AZ$3:AZ736,AZ736)-876)</f>
        <v>283</v>
      </c>
      <c r="BT736" s="76"/>
      <c r="CN736">
        <v>735</v>
      </c>
    </row>
    <row r="737" spans="1:92" x14ac:dyDescent="0.3">
      <c r="A737" s="118" t="s">
        <v>2404</v>
      </c>
      <c r="B737" t="s">
        <v>2406</v>
      </c>
      <c r="C737" t="s">
        <v>775</v>
      </c>
      <c r="D737" s="144" t="s">
        <v>776</v>
      </c>
      <c r="E737" t="s">
        <v>765</v>
      </c>
      <c r="F737" t="s">
        <v>40</v>
      </c>
      <c r="G737" t="s">
        <v>766</v>
      </c>
      <c r="H737" t="s">
        <v>1484</v>
      </c>
      <c r="I737" t="s">
        <v>766</v>
      </c>
      <c r="J737" t="s">
        <v>768</v>
      </c>
      <c r="K737" t="s">
        <v>768</v>
      </c>
      <c r="L737" t="s">
        <v>769</v>
      </c>
      <c r="M737" t="s">
        <v>208</v>
      </c>
      <c r="N737" t="s">
        <v>864</v>
      </c>
      <c r="O737" t="s">
        <v>771</v>
      </c>
      <c r="P737" t="s">
        <v>772</v>
      </c>
      <c r="Q737" t="s">
        <v>780</v>
      </c>
      <c r="R737">
        <v>20</v>
      </c>
      <c r="S737">
        <v>1</v>
      </c>
      <c r="T737">
        <v>0</v>
      </c>
      <c r="U737">
        <v>0</v>
      </c>
      <c r="V737">
        <v>0</v>
      </c>
      <c r="W737">
        <v>0</v>
      </c>
      <c r="X737">
        <v>0</v>
      </c>
      <c r="Y737">
        <v>0</v>
      </c>
      <c r="Z737">
        <v>0</v>
      </c>
      <c r="AA737">
        <v>0</v>
      </c>
      <c r="AB737">
        <v>20</v>
      </c>
      <c r="AC737">
        <v>1</v>
      </c>
      <c r="AD737">
        <v>20</v>
      </c>
      <c r="AE737">
        <v>1</v>
      </c>
      <c r="AF737">
        <v>0</v>
      </c>
      <c r="AG737">
        <v>0</v>
      </c>
      <c r="AH737">
        <v>0</v>
      </c>
      <c r="AI737">
        <v>0</v>
      </c>
      <c r="AY737" t="str">
        <f t="shared" si="190"/>
        <v>LONGICINE</v>
      </c>
      <c r="AZ737" t="str">
        <f>IF(COUNTIF(AY:AY,AY737)=1,AY737,IF(AND(COUNTIF(AY:AY,AY737)&gt;1,COUNTIF(AZ$2:AZ736,AY737)&gt;=1),"",AY737))</f>
        <v/>
      </c>
      <c r="BA737" t="str">
        <f>IF(AZ737="","",COUNTIFS(AZ$3:AZ$1439,"&lt;"&amp;AZ737,AZ$3:AZ$1439,"&lt;&gt;0")+COUNTIF(AZ$3:AZ737,AZ737)-876)</f>
        <v/>
      </c>
      <c r="BT737" s="76"/>
      <c r="CN737">
        <v>736</v>
      </c>
    </row>
    <row r="738" spans="1:92" x14ac:dyDescent="0.3">
      <c r="A738" s="118" t="s">
        <v>4687</v>
      </c>
      <c r="B738" t="s">
        <v>4688</v>
      </c>
      <c r="C738" t="s">
        <v>1238</v>
      </c>
      <c r="D738" t="s">
        <v>780</v>
      </c>
      <c r="E738" t="s">
        <v>765</v>
      </c>
      <c r="F738" t="s">
        <v>4689</v>
      </c>
      <c r="G738" t="s">
        <v>766</v>
      </c>
      <c r="H738" t="s">
        <v>1484</v>
      </c>
      <c r="I738" t="s">
        <v>766</v>
      </c>
      <c r="J738" t="s">
        <v>802</v>
      </c>
      <c r="K738" t="s">
        <v>802</v>
      </c>
      <c r="L738" t="s">
        <v>3008</v>
      </c>
      <c r="M738" t="s">
        <v>208</v>
      </c>
      <c r="N738" t="s">
        <v>764</v>
      </c>
      <c r="O738" t="s">
        <v>771</v>
      </c>
      <c r="P738" t="s">
        <v>772</v>
      </c>
      <c r="Q738" t="s">
        <v>885</v>
      </c>
      <c r="R738">
        <v>2.5</v>
      </c>
      <c r="S738">
        <v>1</v>
      </c>
      <c r="T738">
        <v>0</v>
      </c>
      <c r="U738">
        <v>0</v>
      </c>
      <c r="V738">
        <v>0</v>
      </c>
      <c r="W738">
        <v>0</v>
      </c>
      <c r="X738">
        <v>0</v>
      </c>
      <c r="Y738">
        <v>0</v>
      </c>
      <c r="Z738">
        <v>0</v>
      </c>
      <c r="AA738">
        <v>0</v>
      </c>
      <c r="AB738">
        <v>2.5</v>
      </c>
      <c r="AC738">
        <v>1</v>
      </c>
      <c r="AD738">
        <v>2.5</v>
      </c>
      <c r="AE738">
        <v>1</v>
      </c>
      <c r="AF738">
        <v>0</v>
      </c>
      <c r="AG738">
        <v>0</v>
      </c>
      <c r="AH738">
        <v>0</v>
      </c>
      <c r="AI738">
        <v>0</v>
      </c>
      <c r="AY738" t="str">
        <f t="shared" si="190"/>
        <v>LYDAXX 100 MG/ML SOLUTION INJECTABLE POUR BOVINS PORCINS ET OVINS</v>
      </c>
      <c r="AZ738" t="str">
        <f>IF(COUNTIF(AY:AY,AY738)=1,AY738,IF(AND(COUNTIF(AY:AY,AY738)&gt;1,COUNTIF(AZ$2:AZ737,AY738)&gt;=1),"",AY738))</f>
        <v>LYDAXX 100 MG/ML SOLUTION INJECTABLE POUR BOVINS PORCINS ET OVINS</v>
      </c>
      <c r="BA738">
        <f>IF(AZ738="","",COUNTIFS(AZ$3:AZ$1439,"&lt;"&amp;AZ738,AZ$3:AZ$1439,"&lt;&gt;0")+COUNTIF(AZ$3:AZ738,AZ738)-876)</f>
        <v>284</v>
      </c>
      <c r="BT738" s="76"/>
      <c r="CN738">
        <v>737</v>
      </c>
    </row>
    <row r="739" spans="1:92" x14ac:dyDescent="0.3">
      <c r="A739" s="118" t="s">
        <v>4687</v>
      </c>
      <c r="B739" t="s">
        <v>4690</v>
      </c>
      <c r="C739" t="s">
        <v>792</v>
      </c>
      <c r="D739" t="s">
        <v>764</v>
      </c>
      <c r="E739" t="s">
        <v>765</v>
      </c>
      <c r="F739" t="s">
        <v>4689</v>
      </c>
      <c r="G739" t="s">
        <v>766</v>
      </c>
      <c r="H739" t="s">
        <v>1484</v>
      </c>
      <c r="I739" t="s">
        <v>766</v>
      </c>
      <c r="J739" t="s">
        <v>802</v>
      </c>
      <c r="K739" t="s">
        <v>802</v>
      </c>
      <c r="L739" t="s">
        <v>3008</v>
      </c>
      <c r="M739" t="s">
        <v>208</v>
      </c>
      <c r="N739" t="s">
        <v>764</v>
      </c>
      <c r="O739" t="s">
        <v>771</v>
      </c>
      <c r="P739" t="s">
        <v>772</v>
      </c>
      <c r="Q739" t="s">
        <v>852</v>
      </c>
      <c r="R739">
        <v>2.5</v>
      </c>
      <c r="S739">
        <v>1</v>
      </c>
      <c r="T739">
        <v>0</v>
      </c>
      <c r="U739">
        <v>0</v>
      </c>
      <c r="V739">
        <v>0</v>
      </c>
      <c r="W739">
        <v>0</v>
      </c>
      <c r="X739">
        <v>0</v>
      </c>
      <c r="Y739">
        <v>0</v>
      </c>
      <c r="Z739">
        <v>0</v>
      </c>
      <c r="AA739">
        <v>0</v>
      </c>
      <c r="AB739">
        <v>2.5</v>
      </c>
      <c r="AC739">
        <v>1</v>
      </c>
      <c r="AD739">
        <v>2.5</v>
      </c>
      <c r="AE739">
        <v>1</v>
      </c>
      <c r="AF739">
        <v>0</v>
      </c>
      <c r="AG739">
        <v>0</v>
      </c>
      <c r="AH739">
        <v>0</v>
      </c>
      <c r="AI739">
        <v>0</v>
      </c>
      <c r="AY739" t="str">
        <f t="shared" si="190"/>
        <v>LYDAXX 100 MG/ML SOLUTION INJECTABLE POUR BOVINS PORCINS ET OVINS</v>
      </c>
      <c r="AZ739" t="str">
        <f>IF(COUNTIF(AY:AY,AY739)=1,AY739,IF(AND(COUNTIF(AY:AY,AY739)&gt;1,COUNTIF(AZ$2:AZ738,AY739)&gt;=1),"",AY739))</f>
        <v/>
      </c>
      <c r="BA739" t="str">
        <f>IF(AZ739="","",COUNTIFS(AZ$3:AZ$1439,"&lt;"&amp;AZ739,AZ$3:AZ$1439,"&lt;&gt;0")+COUNTIF(AZ$3:AZ739,AZ739)-876)</f>
        <v/>
      </c>
      <c r="BT739" s="76"/>
      <c r="CN739">
        <v>738</v>
      </c>
    </row>
    <row r="740" spans="1:92" x14ac:dyDescent="0.3">
      <c r="A740" s="118" t="s">
        <v>4687</v>
      </c>
      <c r="B740" t="s">
        <v>4691</v>
      </c>
      <c r="C740" t="s">
        <v>796</v>
      </c>
      <c r="D740" t="s">
        <v>776</v>
      </c>
      <c r="E740" t="s">
        <v>765</v>
      </c>
      <c r="F740" t="s">
        <v>4689</v>
      </c>
      <c r="G740" t="s">
        <v>766</v>
      </c>
      <c r="H740" t="s">
        <v>1484</v>
      </c>
      <c r="I740" t="s">
        <v>766</v>
      </c>
      <c r="J740" t="s">
        <v>802</v>
      </c>
      <c r="K740" t="s">
        <v>802</v>
      </c>
      <c r="L740" t="s">
        <v>3008</v>
      </c>
      <c r="M740" t="s">
        <v>208</v>
      </c>
      <c r="N740" t="s">
        <v>764</v>
      </c>
      <c r="O740" t="s">
        <v>771</v>
      </c>
      <c r="P740" t="s">
        <v>772</v>
      </c>
      <c r="Q740" t="s">
        <v>855</v>
      </c>
      <c r="R740">
        <v>2.5</v>
      </c>
      <c r="S740">
        <v>1</v>
      </c>
      <c r="T740">
        <v>0</v>
      </c>
      <c r="U740">
        <v>0</v>
      </c>
      <c r="V740">
        <v>0</v>
      </c>
      <c r="W740">
        <v>0</v>
      </c>
      <c r="X740">
        <v>0</v>
      </c>
      <c r="Y740">
        <v>0</v>
      </c>
      <c r="Z740">
        <v>0</v>
      </c>
      <c r="AA740">
        <v>0</v>
      </c>
      <c r="AB740">
        <v>2.5</v>
      </c>
      <c r="AC740">
        <v>1</v>
      </c>
      <c r="AD740">
        <v>2.5</v>
      </c>
      <c r="AE740">
        <v>1</v>
      </c>
      <c r="AF740">
        <v>0</v>
      </c>
      <c r="AG740">
        <v>0</v>
      </c>
      <c r="AH740">
        <v>0</v>
      </c>
      <c r="AI740">
        <v>0</v>
      </c>
      <c r="AY740" t="str">
        <f t="shared" si="190"/>
        <v>LYDAXX 100 MG/ML SOLUTION INJECTABLE POUR BOVINS PORCINS ET OVINS</v>
      </c>
      <c r="AZ740" t="str">
        <f>IF(COUNTIF(AY:AY,AY740)=1,AY740,IF(AND(COUNTIF(AY:AY,AY740)&gt;1,COUNTIF(AZ$2:AZ739,AY740)&gt;=1),"",AY740))</f>
        <v/>
      </c>
      <c r="BA740" t="str">
        <f>IF(AZ740="","",COUNTIFS(AZ$3:AZ$1439,"&lt;"&amp;AZ740,AZ$3:AZ$1439,"&lt;&gt;0")+COUNTIF(AZ$3:AZ740,AZ740)-876)</f>
        <v/>
      </c>
      <c r="BT740" s="76"/>
      <c r="CN740">
        <v>739</v>
      </c>
    </row>
    <row r="741" spans="1:92" x14ac:dyDescent="0.3">
      <c r="A741" s="118" t="s">
        <v>4716</v>
      </c>
      <c r="B741" t="s">
        <v>4717</v>
      </c>
      <c r="C741" t="s">
        <v>792</v>
      </c>
      <c r="D741" t="s">
        <v>764</v>
      </c>
      <c r="E741" t="s">
        <v>765</v>
      </c>
      <c r="F741" t="s">
        <v>4718</v>
      </c>
      <c r="G741" t="s">
        <v>766</v>
      </c>
      <c r="H741" t="s">
        <v>1484</v>
      </c>
      <c r="I741" t="s">
        <v>766</v>
      </c>
      <c r="J741" t="s">
        <v>802</v>
      </c>
      <c r="K741" t="s">
        <v>802</v>
      </c>
      <c r="L741" t="s">
        <v>3008</v>
      </c>
      <c r="M741" t="s">
        <v>208</v>
      </c>
      <c r="N741" t="s">
        <v>764</v>
      </c>
      <c r="O741" t="s">
        <v>771</v>
      </c>
      <c r="P741" t="s">
        <v>772</v>
      </c>
      <c r="Q741" t="s">
        <v>852</v>
      </c>
      <c r="R741">
        <v>2.5</v>
      </c>
      <c r="S741">
        <v>1</v>
      </c>
      <c r="T741">
        <v>0</v>
      </c>
      <c r="U741">
        <v>0</v>
      </c>
      <c r="V741">
        <v>0</v>
      </c>
      <c r="W741">
        <v>0</v>
      </c>
      <c r="X741">
        <v>0</v>
      </c>
      <c r="Y741">
        <v>0</v>
      </c>
      <c r="Z741">
        <v>0</v>
      </c>
      <c r="AA741">
        <v>0</v>
      </c>
      <c r="AB741">
        <v>2.5</v>
      </c>
      <c r="AC741">
        <v>1</v>
      </c>
      <c r="AD741">
        <v>2.5</v>
      </c>
      <c r="AE741">
        <v>1</v>
      </c>
      <c r="AF741">
        <v>0</v>
      </c>
      <c r="AG741">
        <v>0</v>
      </c>
      <c r="AH741">
        <v>0</v>
      </c>
      <c r="AI741">
        <v>0</v>
      </c>
      <c r="AY741" t="str">
        <f t="shared" si="190"/>
        <v>MACROSYN 100 MG/ML SOLUTION INJECTABLE POUR BOVINS, PORCINS ET OVINS</v>
      </c>
      <c r="AZ741" t="str">
        <f>IF(COUNTIF(AY:AY,AY741)=1,AY741,IF(AND(COUNTIF(AY:AY,AY741)&gt;1,COUNTIF(AZ$2:AZ740,AY741)&gt;=1),"",AY741))</f>
        <v>MACROSYN 100 MG/ML SOLUTION INJECTABLE POUR BOVINS, PORCINS ET OVINS</v>
      </c>
      <c r="BA741">
        <f>IF(AZ741="","",COUNTIFS(AZ$3:AZ$1439,"&lt;"&amp;AZ741,AZ$3:AZ$1439,"&lt;&gt;0")+COUNTIF(AZ$3:AZ741,AZ741)-876)</f>
        <v>285</v>
      </c>
      <c r="BT741" s="76"/>
      <c r="CN741">
        <v>740</v>
      </c>
    </row>
    <row r="742" spans="1:92" x14ac:dyDescent="0.3">
      <c r="A742" s="118" t="s">
        <v>4716</v>
      </c>
      <c r="B742" t="s">
        <v>4719</v>
      </c>
      <c r="C742" t="s">
        <v>796</v>
      </c>
      <c r="D742" t="s">
        <v>776</v>
      </c>
      <c r="E742" t="s">
        <v>765</v>
      </c>
      <c r="F742" t="s">
        <v>4718</v>
      </c>
      <c r="G742" t="s">
        <v>766</v>
      </c>
      <c r="H742" t="s">
        <v>1484</v>
      </c>
      <c r="I742" t="s">
        <v>766</v>
      </c>
      <c r="J742" t="s">
        <v>802</v>
      </c>
      <c r="K742" t="s">
        <v>802</v>
      </c>
      <c r="L742" t="s">
        <v>3008</v>
      </c>
      <c r="M742" t="s">
        <v>208</v>
      </c>
      <c r="N742" t="s">
        <v>764</v>
      </c>
      <c r="O742" t="s">
        <v>771</v>
      </c>
      <c r="P742" t="s">
        <v>772</v>
      </c>
      <c r="Q742" t="s">
        <v>855</v>
      </c>
      <c r="R742">
        <v>2.5</v>
      </c>
      <c r="S742">
        <v>1</v>
      </c>
      <c r="T742">
        <v>0</v>
      </c>
      <c r="U742">
        <v>0</v>
      </c>
      <c r="V742">
        <v>0</v>
      </c>
      <c r="W742">
        <v>0</v>
      </c>
      <c r="X742">
        <v>0</v>
      </c>
      <c r="Y742">
        <v>0</v>
      </c>
      <c r="Z742">
        <v>0</v>
      </c>
      <c r="AA742">
        <v>0</v>
      </c>
      <c r="AB742">
        <v>2.5</v>
      </c>
      <c r="AC742">
        <v>1</v>
      </c>
      <c r="AD742">
        <v>2.5</v>
      </c>
      <c r="AE742">
        <v>1</v>
      </c>
      <c r="AF742">
        <v>0</v>
      </c>
      <c r="AG742">
        <v>0</v>
      </c>
      <c r="AH742">
        <v>0</v>
      </c>
      <c r="AI742">
        <v>0</v>
      </c>
      <c r="AY742" t="str">
        <f t="shared" si="190"/>
        <v>MACROSYN 100 MG/ML SOLUTION INJECTABLE POUR BOVINS, PORCINS ET OVINS</v>
      </c>
      <c r="AZ742" t="str">
        <f>IF(COUNTIF(AY:AY,AY742)=1,AY742,IF(AND(COUNTIF(AY:AY,AY742)&gt;1,COUNTIF(AZ$2:AZ741,AY742)&gt;=1),"",AY742))</f>
        <v/>
      </c>
      <c r="BA742" t="str">
        <f>IF(AZ742="","",COUNTIFS(AZ$3:AZ$1439,"&lt;"&amp;AZ742,AZ$3:AZ$1439,"&lt;&gt;0")+COUNTIF(AZ$3:AZ742,AZ742)-876)</f>
        <v/>
      </c>
      <c r="BT742" s="76"/>
      <c r="CN742">
        <v>741</v>
      </c>
    </row>
    <row r="743" spans="1:92" x14ac:dyDescent="0.3">
      <c r="A743" s="118" t="s">
        <v>2356</v>
      </c>
      <c r="B743" t="s">
        <v>2357</v>
      </c>
      <c r="C743" t="s">
        <v>4457</v>
      </c>
      <c r="D743" s="144" t="s">
        <v>1555</v>
      </c>
      <c r="E743" t="s">
        <v>813</v>
      </c>
      <c r="F743" t="s">
        <v>100</v>
      </c>
      <c r="G743" t="s">
        <v>1013</v>
      </c>
      <c r="H743" t="s">
        <v>801</v>
      </c>
      <c r="I743" t="s">
        <v>1013</v>
      </c>
      <c r="J743" t="s">
        <v>991</v>
      </c>
      <c r="K743" t="s">
        <v>787</v>
      </c>
      <c r="L743" t="s">
        <v>1014</v>
      </c>
      <c r="M743" t="s">
        <v>208</v>
      </c>
      <c r="N743" t="s">
        <v>864</v>
      </c>
      <c r="O743" t="s">
        <v>824</v>
      </c>
      <c r="P743" t="s">
        <v>772</v>
      </c>
      <c r="Q743" t="s">
        <v>2358</v>
      </c>
      <c r="R743">
        <v>0</v>
      </c>
      <c r="S743">
        <v>0</v>
      </c>
      <c r="T743">
        <v>0</v>
      </c>
      <c r="U743">
        <v>0</v>
      </c>
      <c r="V743">
        <v>0</v>
      </c>
      <c r="W743">
        <v>0</v>
      </c>
      <c r="X743">
        <v>0</v>
      </c>
      <c r="Y743">
        <v>0</v>
      </c>
      <c r="Z743">
        <v>0</v>
      </c>
      <c r="AA743">
        <v>0</v>
      </c>
      <c r="AB743">
        <v>0</v>
      </c>
      <c r="AC743">
        <v>0</v>
      </c>
      <c r="AD743">
        <v>0</v>
      </c>
      <c r="AE743">
        <v>0</v>
      </c>
      <c r="AF743">
        <v>0</v>
      </c>
      <c r="AG743">
        <v>0</v>
      </c>
      <c r="AH743">
        <v>0</v>
      </c>
      <c r="AI743">
        <v>0</v>
      </c>
      <c r="AJ743" t="s">
        <v>914</v>
      </c>
      <c r="AK743" t="s">
        <v>995</v>
      </c>
      <c r="AL743" t="s">
        <v>996</v>
      </c>
      <c r="AM743" t="s">
        <v>1016</v>
      </c>
      <c r="AN743" t="s">
        <v>820</v>
      </c>
      <c r="AO743" t="s">
        <v>4371</v>
      </c>
      <c r="AP743" t="s">
        <v>2288</v>
      </c>
      <c r="AY743" t="str">
        <f t="shared" si="190"/>
        <v>MAMMITEL</v>
      </c>
      <c r="AZ743" t="str">
        <f>IF(COUNTIF(AY:AY,AY743)=1,AY743,IF(AND(COUNTIF(AY:AY,AY743)&gt;1,COUNTIF(AZ$2:AZ742,AY743)&gt;=1),"",AY743))</f>
        <v>MAMMITEL</v>
      </c>
      <c r="BA743">
        <f>IF(AZ743="","",COUNTIFS(AZ$3:AZ$1439,"&lt;"&amp;AZ743,AZ$3:AZ$1439,"&lt;&gt;0")+COUNTIF(AZ$3:AZ743,AZ743)-876)</f>
        <v>286</v>
      </c>
      <c r="BT743" s="76"/>
      <c r="CN743">
        <v>742</v>
      </c>
    </row>
    <row r="744" spans="1:92" x14ac:dyDescent="0.3">
      <c r="A744" s="118" t="s">
        <v>3860</v>
      </c>
      <c r="B744" t="s">
        <v>3861</v>
      </c>
      <c r="C744" t="s">
        <v>2510</v>
      </c>
      <c r="D744" s="144" t="s">
        <v>780</v>
      </c>
      <c r="E744" t="s">
        <v>765</v>
      </c>
      <c r="F744" t="s">
        <v>653</v>
      </c>
      <c r="G744" t="s">
        <v>766</v>
      </c>
      <c r="H744" t="s">
        <v>1326</v>
      </c>
      <c r="I744" t="s">
        <v>766</v>
      </c>
      <c r="J744" t="s">
        <v>2366</v>
      </c>
      <c r="K744" t="s">
        <v>2366</v>
      </c>
      <c r="L744" t="s">
        <v>2690</v>
      </c>
      <c r="M744" t="s">
        <v>208</v>
      </c>
      <c r="N744" t="s">
        <v>764</v>
      </c>
      <c r="O744" t="s">
        <v>771</v>
      </c>
      <c r="P744" t="s">
        <v>772</v>
      </c>
      <c r="Q744" t="s">
        <v>885</v>
      </c>
      <c r="R744">
        <v>2</v>
      </c>
      <c r="S744">
        <v>5</v>
      </c>
      <c r="T744">
        <v>0</v>
      </c>
      <c r="U744">
        <v>0</v>
      </c>
      <c r="V744">
        <v>0</v>
      </c>
      <c r="W744">
        <v>0</v>
      </c>
      <c r="X744">
        <v>0</v>
      </c>
      <c r="Y744">
        <v>0</v>
      </c>
      <c r="Z744">
        <v>0</v>
      </c>
      <c r="AA744">
        <v>0</v>
      </c>
      <c r="AB744">
        <v>0</v>
      </c>
      <c r="AC744">
        <v>0</v>
      </c>
      <c r="AD744">
        <v>2</v>
      </c>
      <c r="AE744">
        <v>3</v>
      </c>
      <c r="AF744">
        <v>0</v>
      </c>
      <c r="AG744">
        <v>0</v>
      </c>
      <c r="AH744">
        <v>0</v>
      </c>
      <c r="AI744">
        <v>0</v>
      </c>
      <c r="AY744" t="str">
        <f t="shared" si="190"/>
        <v>MARBOCARE 100 MG/ML SOLUTION INJECTABLE POUR BOVINS ET PORCINS</v>
      </c>
      <c r="AZ744" t="str">
        <f>IF(COUNTIF(AY:AY,AY744)=1,AY744,IF(AND(COUNTIF(AY:AY,AY744)&gt;1,COUNTIF(AZ$2:AZ743,AY744)&gt;=1),"",AY744))</f>
        <v>MARBOCARE 100 MG/ML SOLUTION INJECTABLE POUR BOVINS ET PORCINS</v>
      </c>
      <c r="BA744">
        <f>IF(AZ744="","",COUNTIFS(AZ$3:AZ$1439,"&lt;"&amp;AZ744,AZ$3:AZ$1439,"&lt;&gt;0")+COUNTIF(AZ$3:AZ744,AZ744)-876)</f>
        <v>287</v>
      </c>
      <c r="BT744" s="76"/>
      <c r="CN744">
        <v>743</v>
      </c>
    </row>
    <row r="745" spans="1:92" x14ac:dyDescent="0.3">
      <c r="A745" s="118" t="s">
        <v>3860</v>
      </c>
      <c r="B745" t="s">
        <v>3862</v>
      </c>
      <c r="C745" t="s">
        <v>2590</v>
      </c>
      <c r="D745" s="144" t="s">
        <v>764</v>
      </c>
      <c r="E745" t="s">
        <v>765</v>
      </c>
      <c r="F745" t="s">
        <v>653</v>
      </c>
      <c r="G745" t="s">
        <v>766</v>
      </c>
      <c r="H745" t="s">
        <v>1326</v>
      </c>
      <c r="I745" t="s">
        <v>766</v>
      </c>
      <c r="J745" t="s">
        <v>2366</v>
      </c>
      <c r="K745" t="s">
        <v>2366</v>
      </c>
      <c r="L745" t="s">
        <v>2690</v>
      </c>
      <c r="M745" t="s">
        <v>208</v>
      </c>
      <c r="N745" t="s">
        <v>764</v>
      </c>
      <c r="O745" t="s">
        <v>771</v>
      </c>
      <c r="P745" t="s">
        <v>772</v>
      </c>
      <c r="Q745" t="s">
        <v>852</v>
      </c>
      <c r="R745">
        <v>2</v>
      </c>
      <c r="S745">
        <v>5</v>
      </c>
      <c r="T745">
        <v>0</v>
      </c>
      <c r="U745">
        <v>0</v>
      </c>
      <c r="V745">
        <v>0</v>
      </c>
      <c r="W745">
        <v>0</v>
      </c>
      <c r="X745">
        <v>0</v>
      </c>
      <c r="Y745">
        <v>0</v>
      </c>
      <c r="Z745">
        <v>0</v>
      </c>
      <c r="AA745">
        <v>0</v>
      </c>
      <c r="AB745">
        <v>0</v>
      </c>
      <c r="AC745">
        <v>0</v>
      </c>
      <c r="AD745">
        <v>2</v>
      </c>
      <c r="AE745">
        <v>3</v>
      </c>
      <c r="AF745">
        <v>0</v>
      </c>
      <c r="AG745">
        <v>0</v>
      </c>
      <c r="AH745">
        <v>0</v>
      </c>
      <c r="AI745">
        <v>0</v>
      </c>
      <c r="AY745" t="str">
        <f t="shared" si="190"/>
        <v>MARBOCARE 100 MG/ML SOLUTION INJECTABLE POUR BOVINS ET PORCINS</v>
      </c>
      <c r="AZ745" t="str">
        <f>IF(COUNTIF(AY:AY,AY745)=1,AY745,IF(AND(COUNTIF(AY:AY,AY745)&gt;1,COUNTIF(AZ$2:AZ744,AY745)&gt;=1),"",AY745))</f>
        <v/>
      </c>
      <c r="BA745" t="str">
        <f>IF(AZ745="","",COUNTIFS(AZ$3:AZ$1439,"&lt;"&amp;AZ745,AZ$3:AZ$1439,"&lt;&gt;0")+COUNTIF(AZ$3:AZ745,AZ745)-876)</f>
        <v/>
      </c>
      <c r="BT745" s="76"/>
      <c r="CN745">
        <v>744</v>
      </c>
    </row>
    <row r="746" spans="1:92" x14ac:dyDescent="0.3">
      <c r="A746" s="118" t="s">
        <v>3858</v>
      </c>
      <c r="B746" t="s">
        <v>3859</v>
      </c>
      <c r="C746" t="s">
        <v>2590</v>
      </c>
      <c r="D746" s="144" t="s">
        <v>764</v>
      </c>
      <c r="E746" t="s">
        <v>765</v>
      </c>
      <c r="F746" t="s">
        <v>654</v>
      </c>
      <c r="G746" t="s">
        <v>766</v>
      </c>
      <c r="H746" t="s">
        <v>1326</v>
      </c>
      <c r="I746" t="s">
        <v>766</v>
      </c>
      <c r="J746" t="s">
        <v>2366</v>
      </c>
      <c r="K746" t="s">
        <v>2366</v>
      </c>
      <c r="L746" t="s">
        <v>2690</v>
      </c>
      <c r="M746" t="s">
        <v>208</v>
      </c>
      <c r="N746" t="s">
        <v>869</v>
      </c>
      <c r="O746" t="s">
        <v>771</v>
      </c>
      <c r="P746" t="s">
        <v>772</v>
      </c>
      <c r="Q746" t="s">
        <v>1033</v>
      </c>
      <c r="R746">
        <v>2</v>
      </c>
      <c r="S746">
        <v>5</v>
      </c>
      <c r="T746">
        <v>0</v>
      </c>
      <c r="U746">
        <v>0</v>
      </c>
      <c r="V746">
        <v>0</v>
      </c>
      <c r="W746">
        <v>0</v>
      </c>
      <c r="X746">
        <v>0</v>
      </c>
      <c r="Y746">
        <v>0</v>
      </c>
      <c r="Z746">
        <v>0</v>
      </c>
      <c r="AA746">
        <v>0</v>
      </c>
      <c r="AB746">
        <v>0</v>
      </c>
      <c r="AC746">
        <v>0</v>
      </c>
      <c r="AD746">
        <v>2</v>
      </c>
      <c r="AE746">
        <v>5</v>
      </c>
      <c r="AF746">
        <v>0</v>
      </c>
      <c r="AG746">
        <v>0</v>
      </c>
      <c r="AH746">
        <v>0</v>
      </c>
      <c r="AI746">
        <v>0</v>
      </c>
      <c r="AY746" t="str">
        <f t="shared" si="190"/>
        <v>MARBOCARE 20 MG/ML SOLUTION INJECTABLE POUR BOVINS ET PORCINS</v>
      </c>
      <c r="AZ746" t="str">
        <f>IF(COUNTIF(AY:AY,AY746)=1,AY746,IF(AND(COUNTIF(AY:AY,AY746)&gt;1,COUNTIF(AZ$2:AZ745,AY746)&gt;=1),"",AY746))</f>
        <v>MARBOCARE 20 MG/ML SOLUTION INJECTABLE POUR BOVINS ET PORCINS</v>
      </c>
      <c r="BA746">
        <f>IF(AZ746="","",COUNTIFS(AZ$3:AZ$1439,"&lt;"&amp;AZ746,AZ$3:AZ$1439,"&lt;&gt;0")+COUNTIF(AZ$3:AZ746,AZ746)-876)</f>
        <v>288</v>
      </c>
      <c r="BT746" s="76"/>
      <c r="CN746">
        <v>745</v>
      </c>
    </row>
    <row r="747" spans="1:92" x14ac:dyDescent="0.3">
      <c r="A747" s="118" t="s">
        <v>2687</v>
      </c>
      <c r="B747" t="s">
        <v>2688</v>
      </c>
      <c r="C747" t="s">
        <v>2424</v>
      </c>
      <c r="D747" s="144" t="s">
        <v>869</v>
      </c>
      <c r="E747" t="s">
        <v>765</v>
      </c>
      <c r="F747" t="s">
        <v>385</v>
      </c>
      <c r="G747" t="s">
        <v>766</v>
      </c>
      <c r="H747" t="s">
        <v>2689</v>
      </c>
      <c r="I747" t="s">
        <v>766</v>
      </c>
      <c r="J747" t="s">
        <v>2366</v>
      </c>
      <c r="K747" t="s">
        <v>2366</v>
      </c>
      <c r="L747" t="s">
        <v>2690</v>
      </c>
      <c r="M747" t="s">
        <v>208</v>
      </c>
      <c r="N747" t="s">
        <v>764</v>
      </c>
      <c r="O747" t="s">
        <v>771</v>
      </c>
      <c r="P747" t="s">
        <v>772</v>
      </c>
      <c r="Q747" t="s">
        <v>1033</v>
      </c>
      <c r="R747">
        <v>2</v>
      </c>
      <c r="S747">
        <v>5</v>
      </c>
      <c r="T747">
        <v>0</v>
      </c>
      <c r="U747">
        <v>0</v>
      </c>
      <c r="V747">
        <v>2</v>
      </c>
      <c r="W747">
        <v>5</v>
      </c>
      <c r="X747">
        <v>0</v>
      </c>
      <c r="Y747">
        <v>0</v>
      </c>
      <c r="Z747">
        <v>0</v>
      </c>
      <c r="AA747">
        <v>0</v>
      </c>
      <c r="AB747">
        <v>0</v>
      </c>
      <c r="AC747">
        <v>0</v>
      </c>
      <c r="AD747">
        <v>2</v>
      </c>
      <c r="AE747">
        <v>3</v>
      </c>
      <c r="AF747">
        <v>0</v>
      </c>
      <c r="AG747">
        <v>0</v>
      </c>
      <c r="AH747">
        <v>0</v>
      </c>
      <c r="AI747">
        <v>0</v>
      </c>
      <c r="AY747" t="str">
        <f t="shared" si="190"/>
        <v>MARBOCYL 10 %</v>
      </c>
      <c r="AZ747" t="str">
        <f>IF(COUNTIF(AY:AY,AY747)=1,AY747,IF(AND(COUNTIF(AY:AY,AY747)&gt;1,COUNTIF(AZ$2:AZ746,AY747)&gt;=1),"",AY747))</f>
        <v>MARBOCYL 10 %</v>
      </c>
      <c r="BA747">
        <f>IF(AZ747="","",COUNTIFS(AZ$3:AZ$1439,"&lt;"&amp;AZ747,AZ$3:AZ$1439,"&lt;&gt;0")+COUNTIF(AZ$3:AZ747,AZ747)-876)</f>
        <v>289</v>
      </c>
      <c r="BT747" s="76"/>
      <c r="CN747">
        <v>746</v>
      </c>
    </row>
    <row r="748" spans="1:92" x14ac:dyDescent="0.3">
      <c r="A748" s="118" t="s">
        <v>2687</v>
      </c>
      <c r="B748" t="s">
        <v>2691</v>
      </c>
      <c r="C748" t="s">
        <v>1238</v>
      </c>
      <c r="D748" s="144" t="s">
        <v>780</v>
      </c>
      <c r="E748" t="s">
        <v>765</v>
      </c>
      <c r="F748" t="s">
        <v>385</v>
      </c>
      <c r="G748" t="s">
        <v>766</v>
      </c>
      <c r="H748" t="s">
        <v>2689</v>
      </c>
      <c r="I748" t="s">
        <v>766</v>
      </c>
      <c r="J748" t="s">
        <v>2366</v>
      </c>
      <c r="K748" t="s">
        <v>2366</v>
      </c>
      <c r="L748" t="s">
        <v>2690</v>
      </c>
      <c r="M748" t="s">
        <v>208</v>
      </c>
      <c r="N748" t="s">
        <v>764</v>
      </c>
      <c r="O748" t="s">
        <v>771</v>
      </c>
      <c r="P748" t="s">
        <v>772</v>
      </c>
      <c r="Q748" t="s">
        <v>885</v>
      </c>
      <c r="R748">
        <v>2</v>
      </c>
      <c r="S748">
        <v>5</v>
      </c>
      <c r="T748">
        <v>0</v>
      </c>
      <c r="U748">
        <v>0</v>
      </c>
      <c r="V748">
        <v>2</v>
      </c>
      <c r="W748">
        <v>5</v>
      </c>
      <c r="X748">
        <v>0</v>
      </c>
      <c r="Y748">
        <v>0</v>
      </c>
      <c r="Z748">
        <v>0</v>
      </c>
      <c r="AA748">
        <v>0</v>
      </c>
      <c r="AB748">
        <v>0</v>
      </c>
      <c r="AC748">
        <v>0</v>
      </c>
      <c r="AD748">
        <v>2</v>
      </c>
      <c r="AE748">
        <v>3</v>
      </c>
      <c r="AF748">
        <v>0</v>
      </c>
      <c r="AG748">
        <v>0</v>
      </c>
      <c r="AH748">
        <v>0</v>
      </c>
      <c r="AI748">
        <v>0</v>
      </c>
      <c r="AY748" t="str">
        <f t="shared" si="190"/>
        <v>MARBOCYL 10 %</v>
      </c>
      <c r="AZ748" t="str">
        <f>IF(COUNTIF(AY:AY,AY748)=1,AY748,IF(AND(COUNTIF(AY:AY,AY748)&gt;1,COUNTIF(AZ$2:AZ747,AY748)&gt;=1),"",AY748))</f>
        <v/>
      </c>
      <c r="BA748" t="str">
        <f>IF(AZ748="","",COUNTIFS(AZ$3:AZ$1439,"&lt;"&amp;AZ748,AZ$3:AZ$1439,"&lt;&gt;0")+COUNTIF(AZ$3:AZ748,AZ748)-876)</f>
        <v/>
      </c>
      <c r="BT748" s="76"/>
      <c r="CN748">
        <v>747</v>
      </c>
    </row>
    <row r="749" spans="1:92" x14ac:dyDescent="0.3">
      <c r="A749" s="118" t="s">
        <v>2687</v>
      </c>
      <c r="B749" t="s">
        <v>2692</v>
      </c>
      <c r="C749" t="s">
        <v>792</v>
      </c>
      <c r="D749" s="144" t="s">
        <v>764</v>
      </c>
      <c r="E749" t="s">
        <v>765</v>
      </c>
      <c r="F749" t="s">
        <v>385</v>
      </c>
      <c r="G749" t="s">
        <v>766</v>
      </c>
      <c r="H749" t="s">
        <v>2689</v>
      </c>
      <c r="I749" t="s">
        <v>766</v>
      </c>
      <c r="J749" t="s">
        <v>2366</v>
      </c>
      <c r="K749" t="s">
        <v>2366</v>
      </c>
      <c r="L749" t="s">
        <v>2690</v>
      </c>
      <c r="M749" t="s">
        <v>208</v>
      </c>
      <c r="N749" t="s">
        <v>764</v>
      </c>
      <c r="O749" t="s">
        <v>771</v>
      </c>
      <c r="P749" t="s">
        <v>772</v>
      </c>
      <c r="Q749" t="s">
        <v>852</v>
      </c>
      <c r="R749">
        <v>2</v>
      </c>
      <c r="S749">
        <v>5</v>
      </c>
      <c r="T749">
        <v>0</v>
      </c>
      <c r="U749">
        <v>0</v>
      </c>
      <c r="V749">
        <v>2</v>
      </c>
      <c r="W749">
        <v>5</v>
      </c>
      <c r="X749">
        <v>0</v>
      </c>
      <c r="Y749">
        <v>0</v>
      </c>
      <c r="Z749">
        <v>0</v>
      </c>
      <c r="AA749">
        <v>0</v>
      </c>
      <c r="AB749">
        <v>0</v>
      </c>
      <c r="AC749">
        <v>0</v>
      </c>
      <c r="AD749">
        <v>2</v>
      </c>
      <c r="AE749">
        <v>3</v>
      </c>
      <c r="AF749">
        <v>0</v>
      </c>
      <c r="AG749">
        <v>0</v>
      </c>
      <c r="AH749">
        <v>0</v>
      </c>
      <c r="AI749">
        <v>0</v>
      </c>
      <c r="AY749" t="str">
        <f t="shared" si="190"/>
        <v>MARBOCYL 10 %</v>
      </c>
      <c r="AZ749" t="str">
        <f>IF(COUNTIF(AY:AY,AY749)=1,AY749,IF(AND(COUNTIF(AY:AY,AY749)&gt;1,COUNTIF(AZ$2:AZ748,AY749)&gt;=1),"",AY749))</f>
        <v/>
      </c>
      <c r="BA749" t="str">
        <f>IF(AZ749="","",COUNTIFS(AZ$3:AZ$1439,"&lt;"&amp;AZ749,AZ$3:AZ$1439,"&lt;&gt;0")+COUNTIF(AZ$3:AZ749,AZ749)-876)</f>
        <v/>
      </c>
      <c r="BT749" s="76"/>
      <c r="CN749">
        <v>748</v>
      </c>
    </row>
    <row r="750" spans="1:92" x14ac:dyDescent="0.3">
      <c r="A750" s="118" t="s">
        <v>2687</v>
      </c>
      <c r="B750" t="s">
        <v>2693</v>
      </c>
      <c r="C750" t="s">
        <v>796</v>
      </c>
      <c r="D750" s="144" t="s">
        <v>776</v>
      </c>
      <c r="E750" t="s">
        <v>765</v>
      </c>
      <c r="F750" t="s">
        <v>385</v>
      </c>
      <c r="G750" t="s">
        <v>766</v>
      </c>
      <c r="H750" t="s">
        <v>2689</v>
      </c>
      <c r="I750" t="s">
        <v>766</v>
      </c>
      <c r="J750" t="s">
        <v>2366</v>
      </c>
      <c r="K750" t="s">
        <v>2366</v>
      </c>
      <c r="L750" t="s">
        <v>2690</v>
      </c>
      <c r="M750" t="s">
        <v>208</v>
      </c>
      <c r="N750" t="s">
        <v>764</v>
      </c>
      <c r="O750" t="s">
        <v>771</v>
      </c>
      <c r="P750" t="s">
        <v>772</v>
      </c>
      <c r="Q750" t="s">
        <v>855</v>
      </c>
      <c r="R750">
        <v>2</v>
      </c>
      <c r="S750">
        <v>5</v>
      </c>
      <c r="T750">
        <v>0</v>
      </c>
      <c r="U750">
        <v>0</v>
      </c>
      <c r="V750">
        <v>2</v>
      </c>
      <c r="W750">
        <v>5</v>
      </c>
      <c r="X750">
        <v>0</v>
      </c>
      <c r="Y750">
        <v>0</v>
      </c>
      <c r="Z750">
        <v>0</v>
      </c>
      <c r="AA750">
        <v>0</v>
      </c>
      <c r="AB750">
        <v>0</v>
      </c>
      <c r="AC750">
        <v>0</v>
      </c>
      <c r="AD750">
        <v>2</v>
      </c>
      <c r="AE750">
        <v>3</v>
      </c>
      <c r="AF750">
        <v>0</v>
      </c>
      <c r="AG750">
        <v>0</v>
      </c>
      <c r="AH750">
        <v>0</v>
      </c>
      <c r="AI750">
        <v>0</v>
      </c>
      <c r="AY750" t="str">
        <f t="shared" si="190"/>
        <v>MARBOCYL 10 %</v>
      </c>
      <c r="AZ750" t="str">
        <f>IF(COUNTIF(AY:AY,AY750)=1,AY750,IF(AND(COUNTIF(AY:AY,AY750)&gt;1,COUNTIF(AZ$2:AZ749,AY750)&gt;=1),"",AY750))</f>
        <v/>
      </c>
      <c r="BA750" t="str">
        <f>IF(AZ750="","",COUNTIFS(AZ$3:AZ$1439,"&lt;"&amp;AZ750,AZ$3:AZ$1439,"&lt;&gt;0")+COUNTIF(AZ$3:AZ750,AZ750)-876)</f>
        <v/>
      </c>
      <c r="BT750" s="76"/>
      <c r="CN750">
        <v>749</v>
      </c>
    </row>
    <row r="751" spans="1:92" x14ac:dyDescent="0.3">
      <c r="A751" s="118" t="s">
        <v>2718</v>
      </c>
      <c r="B751" t="s">
        <v>2719</v>
      </c>
      <c r="C751" t="s">
        <v>1483</v>
      </c>
      <c r="D751" s="144" t="s">
        <v>764</v>
      </c>
      <c r="E751" t="s">
        <v>765</v>
      </c>
      <c r="F751" t="s">
        <v>386</v>
      </c>
      <c r="G751" t="s">
        <v>766</v>
      </c>
      <c r="H751" t="s">
        <v>1326</v>
      </c>
      <c r="I751" t="s">
        <v>766</v>
      </c>
      <c r="J751" t="s">
        <v>2366</v>
      </c>
      <c r="K751" t="s">
        <v>2366</v>
      </c>
      <c r="L751" t="s">
        <v>2690</v>
      </c>
      <c r="M751" t="s">
        <v>208</v>
      </c>
      <c r="N751" t="s">
        <v>869</v>
      </c>
      <c r="O751" t="s">
        <v>771</v>
      </c>
      <c r="P751" t="s">
        <v>772</v>
      </c>
      <c r="Q751" t="s">
        <v>1033</v>
      </c>
      <c r="R751">
        <v>2</v>
      </c>
      <c r="S751">
        <v>5</v>
      </c>
      <c r="T751">
        <v>0</v>
      </c>
      <c r="U751">
        <v>0</v>
      </c>
      <c r="V751">
        <v>0</v>
      </c>
      <c r="W751">
        <v>0</v>
      </c>
      <c r="X751">
        <v>0</v>
      </c>
      <c r="Y751">
        <v>0</v>
      </c>
      <c r="Z751">
        <v>0</v>
      </c>
      <c r="AA751">
        <v>0</v>
      </c>
      <c r="AB751">
        <v>0</v>
      </c>
      <c r="AC751">
        <v>0</v>
      </c>
      <c r="AD751">
        <v>2</v>
      </c>
      <c r="AE751">
        <v>5</v>
      </c>
      <c r="AF751">
        <v>0</v>
      </c>
      <c r="AG751">
        <v>0</v>
      </c>
      <c r="AH751">
        <v>0</v>
      </c>
      <c r="AI751">
        <v>0</v>
      </c>
      <c r="AY751" t="str">
        <f t="shared" si="190"/>
        <v>MARBOCYL 2 %</v>
      </c>
      <c r="AZ751" t="str">
        <f>IF(COUNTIF(AY:AY,AY751)=1,AY751,IF(AND(COUNTIF(AY:AY,AY751)&gt;1,COUNTIF(AZ$2:AZ750,AY751)&gt;=1),"",AY751))</f>
        <v>MARBOCYL 2 %</v>
      </c>
      <c r="BA751">
        <f>IF(AZ751="","",COUNTIFS(AZ$3:AZ$1439,"&lt;"&amp;AZ751,AZ$3:AZ$1439,"&lt;&gt;0")+COUNTIF(AZ$3:AZ751,AZ751)-876)</f>
        <v>290</v>
      </c>
      <c r="BT751" s="76"/>
      <c r="CN751">
        <v>750</v>
      </c>
    </row>
    <row r="752" spans="1:92" x14ac:dyDescent="0.3">
      <c r="A752" s="118" t="s">
        <v>2755</v>
      </c>
      <c r="B752" t="s">
        <v>2756</v>
      </c>
      <c r="C752" t="s">
        <v>2757</v>
      </c>
      <c r="D752" s="144" t="s">
        <v>1506</v>
      </c>
      <c r="E752" t="s">
        <v>813</v>
      </c>
      <c r="F752" t="s">
        <v>387</v>
      </c>
      <c r="G752" t="s">
        <v>815</v>
      </c>
      <c r="H752" t="s">
        <v>169</v>
      </c>
      <c r="I752" t="s">
        <v>817</v>
      </c>
      <c r="J752" t="s">
        <v>2366</v>
      </c>
      <c r="K752" t="s">
        <v>2366</v>
      </c>
      <c r="L752" t="s">
        <v>2690</v>
      </c>
      <c r="M752" t="s">
        <v>208</v>
      </c>
      <c r="N752" t="s">
        <v>780</v>
      </c>
      <c r="O752" t="s">
        <v>824</v>
      </c>
      <c r="P752" t="s">
        <v>772</v>
      </c>
      <c r="Q752" t="s">
        <v>1361</v>
      </c>
      <c r="R752">
        <v>1</v>
      </c>
      <c r="S752">
        <v>3</v>
      </c>
      <c r="T752">
        <v>0</v>
      </c>
      <c r="U752">
        <v>0</v>
      </c>
      <c r="V752">
        <v>0</v>
      </c>
      <c r="W752">
        <v>0</v>
      </c>
      <c r="X752">
        <v>0</v>
      </c>
      <c r="Y752">
        <v>0</v>
      </c>
      <c r="Z752">
        <v>0</v>
      </c>
      <c r="AA752">
        <v>0</v>
      </c>
      <c r="AB752">
        <v>0</v>
      </c>
      <c r="AC752">
        <v>0</v>
      </c>
      <c r="AD752">
        <v>0</v>
      </c>
      <c r="AE752">
        <v>0</v>
      </c>
      <c r="AF752">
        <v>0</v>
      </c>
      <c r="AG752">
        <v>0</v>
      </c>
      <c r="AH752">
        <v>0</v>
      </c>
      <c r="AI752">
        <v>0</v>
      </c>
      <c r="AY752" t="str">
        <f t="shared" si="190"/>
        <v>MARBOCYL BOLUS</v>
      </c>
      <c r="AZ752" t="str">
        <f>IF(COUNTIF(AY:AY,AY752)=1,AY752,IF(AND(COUNTIF(AY:AY,AY752)&gt;1,COUNTIF(AZ$2:AZ751,AY752)&gt;=1),"",AY752))</f>
        <v>MARBOCYL BOLUS</v>
      </c>
      <c r="BA752">
        <f>IF(AZ752="","",COUNTIFS(AZ$3:AZ$1439,"&lt;"&amp;AZ752,AZ$3:AZ$1439,"&lt;&gt;0")+COUNTIF(AZ$3:AZ752,AZ752)-876)</f>
        <v>291</v>
      </c>
      <c r="BT752" s="76"/>
      <c r="CN752">
        <v>751</v>
      </c>
    </row>
    <row r="753" spans="1:92" x14ac:dyDescent="0.3">
      <c r="A753" s="118" t="s">
        <v>2755</v>
      </c>
      <c r="B753" t="s">
        <v>2758</v>
      </c>
      <c r="C753" t="s">
        <v>2759</v>
      </c>
      <c r="D753" s="144" t="s">
        <v>1214</v>
      </c>
      <c r="E753" t="s">
        <v>813</v>
      </c>
      <c r="F753" t="s">
        <v>387</v>
      </c>
      <c r="G753" t="s">
        <v>815</v>
      </c>
      <c r="H753" t="s">
        <v>169</v>
      </c>
      <c r="I753" t="s">
        <v>817</v>
      </c>
      <c r="J753" t="s">
        <v>2366</v>
      </c>
      <c r="K753" t="s">
        <v>2366</v>
      </c>
      <c r="L753" t="s">
        <v>2690</v>
      </c>
      <c r="M753" t="s">
        <v>208</v>
      </c>
      <c r="N753" t="s">
        <v>780</v>
      </c>
      <c r="O753" t="s">
        <v>824</v>
      </c>
      <c r="P753" t="s">
        <v>772</v>
      </c>
      <c r="Q753" t="s">
        <v>793</v>
      </c>
      <c r="R753">
        <v>1</v>
      </c>
      <c r="S753">
        <v>3</v>
      </c>
      <c r="T753">
        <v>0</v>
      </c>
      <c r="U753">
        <v>0</v>
      </c>
      <c r="V753">
        <v>0</v>
      </c>
      <c r="W753">
        <v>0</v>
      </c>
      <c r="X753">
        <v>0</v>
      </c>
      <c r="Y753">
        <v>0</v>
      </c>
      <c r="Z753">
        <v>0</v>
      </c>
      <c r="AA753">
        <v>0</v>
      </c>
      <c r="AB753">
        <v>0</v>
      </c>
      <c r="AC753">
        <v>0</v>
      </c>
      <c r="AD753">
        <v>0</v>
      </c>
      <c r="AE753">
        <v>0</v>
      </c>
      <c r="AF753">
        <v>0</v>
      </c>
      <c r="AG753">
        <v>0</v>
      </c>
      <c r="AH753">
        <v>0</v>
      </c>
      <c r="AI753">
        <v>0</v>
      </c>
      <c r="AY753" t="str">
        <f t="shared" si="190"/>
        <v>MARBOCYL BOLUS</v>
      </c>
      <c r="AZ753" t="str">
        <f>IF(COUNTIF(AY:AY,AY753)=1,AY753,IF(AND(COUNTIF(AY:AY,AY753)&gt;1,COUNTIF(AZ$2:AZ752,AY753)&gt;=1),"",AY753))</f>
        <v/>
      </c>
      <c r="BA753" t="str">
        <f>IF(AZ753="","",COUNTIFS(AZ$3:AZ$1439,"&lt;"&amp;AZ753,AZ$3:AZ$1439,"&lt;&gt;0")+COUNTIF(AZ$3:AZ753,AZ753)-876)</f>
        <v/>
      </c>
      <c r="BT753" s="76"/>
      <c r="CN753">
        <v>752</v>
      </c>
    </row>
    <row r="754" spans="1:92" x14ac:dyDescent="0.3">
      <c r="A754" s="118" t="s">
        <v>2767</v>
      </c>
      <c r="B754" t="s">
        <v>2768</v>
      </c>
      <c r="C754" t="s">
        <v>2769</v>
      </c>
      <c r="D754" s="144" t="s">
        <v>869</v>
      </c>
      <c r="E754" t="s">
        <v>765</v>
      </c>
      <c r="F754" t="s">
        <v>2770</v>
      </c>
      <c r="G754" t="s">
        <v>766</v>
      </c>
      <c r="H754" t="s">
        <v>816</v>
      </c>
      <c r="I754" t="s">
        <v>766</v>
      </c>
      <c r="J754" t="s">
        <v>2366</v>
      </c>
      <c r="K754" t="s">
        <v>2366</v>
      </c>
      <c r="L754" t="s">
        <v>2690</v>
      </c>
      <c r="M754" t="s">
        <v>208</v>
      </c>
      <c r="N754" t="s">
        <v>852</v>
      </c>
      <c r="O754" t="s">
        <v>771</v>
      </c>
      <c r="P754" t="s">
        <v>772</v>
      </c>
      <c r="Q754" t="s">
        <v>1490</v>
      </c>
      <c r="R754">
        <v>0</v>
      </c>
      <c r="S754">
        <v>0</v>
      </c>
      <c r="T754">
        <v>2</v>
      </c>
      <c r="U754">
        <v>1</v>
      </c>
      <c r="V754">
        <v>0</v>
      </c>
      <c r="W754">
        <v>0</v>
      </c>
      <c r="X754">
        <v>0</v>
      </c>
      <c r="Y754">
        <v>0</v>
      </c>
      <c r="Z754">
        <v>0</v>
      </c>
      <c r="AA754">
        <v>0</v>
      </c>
      <c r="AB754">
        <v>0</v>
      </c>
      <c r="AC754">
        <v>0</v>
      </c>
      <c r="AD754">
        <v>0</v>
      </c>
      <c r="AE754">
        <v>0</v>
      </c>
      <c r="AF754">
        <v>0</v>
      </c>
      <c r="AG754">
        <v>0</v>
      </c>
      <c r="AH754">
        <v>0</v>
      </c>
      <c r="AI754">
        <v>0</v>
      </c>
      <c r="AY754" t="str">
        <f t="shared" si="190"/>
        <v/>
      </c>
      <c r="AZ754" t="str">
        <f>IF(COUNTIF(AY:AY,AY754)=1,AY754,IF(AND(COUNTIF(AY:AY,AY754)&gt;1,COUNTIF(AZ$2:AZ753,AY754)&gt;=1),"",AY754))</f>
        <v/>
      </c>
      <c r="BA754" t="str">
        <f>IF(AZ754="","",COUNTIFS(AZ$3:AZ$1439,"&lt;"&amp;AZ754,AZ$3:AZ$1439,"&lt;&gt;0")+COUNTIF(AZ$3:AZ754,AZ754)-876)</f>
        <v/>
      </c>
      <c r="BT754" s="76"/>
      <c r="CN754">
        <v>753</v>
      </c>
    </row>
    <row r="755" spans="1:92" x14ac:dyDescent="0.3">
      <c r="A755" s="118" t="s">
        <v>2991</v>
      </c>
      <c r="B755" t="s">
        <v>2992</v>
      </c>
      <c r="C755" t="s">
        <v>1918</v>
      </c>
      <c r="D755" s="144" t="s">
        <v>852</v>
      </c>
      <c r="E755" t="s">
        <v>813</v>
      </c>
      <c r="F755" t="s">
        <v>2993</v>
      </c>
      <c r="G755" t="s">
        <v>815</v>
      </c>
      <c r="H755" t="s">
        <v>860</v>
      </c>
      <c r="I755" t="s">
        <v>817</v>
      </c>
      <c r="J755" t="s">
        <v>2366</v>
      </c>
      <c r="K755" t="s">
        <v>2366</v>
      </c>
      <c r="L755" t="s">
        <v>2690</v>
      </c>
      <c r="M755" t="s">
        <v>208</v>
      </c>
      <c r="N755" t="s">
        <v>869</v>
      </c>
      <c r="O755" t="s">
        <v>824</v>
      </c>
      <c r="P755" t="s">
        <v>772</v>
      </c>
      <c r="Q755" t="s">
        <v>1490</v>
      </c>
      <c r="R755">
        <v>0</v>
      </c>
      <c r="S755">
        <v>0</v>
      </c>
      <c r="T755">
        <v>2</v>
      </c>
      <c r="U755">
        <v>21</v>
      </c>
      <c r="V755">
        <v>0</v>
      </c>
      <c r="W755">
        <v>0</v>
      </c>
      <c r="X755">
        <v>0</v>
      </c>
      <c r="Y755">
        <v>0</v>
      </c>
      <c r="Z755">
        <v>0</v>
      </c>
      <c r="AA755">
        <v>0</v>
      </c>
      <c r="AB755">
        <v>0</v>
      </c>
      <c r="AC755">
        <v>0</v>
      </c>
      <c r="AD755">
        <v>0</v>
      </c>
      <c r="AE755">
        <v>0</v>
      </c>
      <c r="AF755">
        <v>0</v>
      </c>
      <c r="AG755">
        <v>0</v>
      </c>
      <c r="AH755">
        <v>0</v>
      </c>
      <c r="AI755">
        <v>0</v>
      </c>
      <c r="AY755" t="str">
        <f t="shared" si="190"/>
        <v/>
      </c>
      <c r="AZ755" t="str">
        <f>IF(COUNTIF(AY:AY,AY755)=1,AY755,IF(AND(COUNTIF(AY:AY,AY755)&gt;1,COUNTIF(AZ$2:AZ754,AY755)&gt;=1),"",AY755))</f>
        <v/>
      </c>
      <c r="BA755" t="str">
        <f>IF(AZ755="","",COUNTIFS(AZ$3:AZ$1439,"&lt;"&amp;AZ755,AZ$3:AZ$1439,"&lt;&gt;0")+COUNTIF(AZ$3:AZ755,AZ755)-876)</f>
        <v/>
      </c>
      <c r="BT755" s="76"/>
      <c r="CN755">
        <v>754</v>
      </c>
    </row>
    <row r="756" spans="1:92" x14ac:dyDescent="0.3">
      <c r="A756" s="118" t="s">
        <v>2991</v>
      </c>
      <c r="B756" t="s">
        <v>2994</v>
      </c>
      <c r="C756" t="s">
        <v>1915</v>
      </c>
      <c r="D756" s="144" t="s">
        <v>764</v>
      </c>
      <c r="E756" t="s">
        <v>813</v>
      </c>
      <c r="F756" t="s">
        <v>2993</v>
      </c>
      <c r="G756" t="s">
        <v>815</v>
      </c>
      <c r="H756" t="s">
        <v>860</v>
      </c>
      <c r="I756" t="s">
        <v>817</v>
      </c>
      <c r="J756" t="s">
        <v>2366</v>
      </c>
      <c r="K756" t="s">
        <v>2366</v>
      </c>
      <c r="L756" t="s">
        <v>2690</v>
      </c>
      <c r="M756" t="s">
        <v>208</v>
      </c>
      <c r="N756" t="s">
        <v>869</v>
      </c>
      <c r="O756" t="s">
        <v>824</v>
      </c>
      <c r="P756" t="s">
        <v>772</v>
      </c>
      <c r="Q756" t="s">
        <v>1033</v>
      </c>
      <c r="R756">
        <v>0</v>
      </c>
      <c r="S756">
        <v>0</v>
      </c>
      <c r="T756">
        <v>2</v>
      </c>
      <c r="U756">
        <v>21</v>
      </c>
      <c r="V756">
        <v>0</v>
      </c>
      <c r="W756">
        <v>0</v>
      </c>
      <c r="X756">
        <v>0</v>
      </c>
      <c r="Y756">
        <v>0</v>
      </c>
      <c r="Z756">
        <v>0</v>
      </c>
      <c r="AA756">
        <v>0</v>
      </c>
      <c r="AB756">
        <v>0</v>
      </c>
      <c r="AC756">
        <v>0</v>
      </c>
      <c r="AD756">
        <v>0</v>
      </c>
      <c r="AE756">
        <v>0</v>
      </c>
      <c r="AF756">
        <v>0</v>
      </c>
      <c r="AG756">
        <v>0</v>
      </c>
      <c r="AH756">
        <v>0</v>
      </c>
      <c r="AI756">
        <v>0</v>
      </c>
      <c r="AY756" t="str">
        <f t="shared" si="190"/>
        <v/>
      </c>
      <c r="AZ756" t="str">
        <f>IF(COUNTIF(AY:AY,AY756)=1,AY756,IF(AND(COUNTIF(AY:AY,AY756)&gt;1,COUNTIF(AZ$2:AZ755,AY756)&gt;=1),"",AY756))</f>
        <v/>
      </c>
      <c r="BA756" t="str">
        <f>IF(AZ756="","",COUNTIFS(AZ$3:AZ$1439,"&lt;"&amp;AZ756,AZ$3:AZ$1439,"&lt;&gt;0")+COUNTIF(AZ$3:AZ756,AZ756)-876)</f>
        <v/>
      </c>
      <c r="BT756" s="76"/>
      <c r="CN756">
        <v>755</v>
      </c>
    </row>
    <row r="757" spans="1:92" x14ac:dyDescent="0.3">
      <c r="A757" s="118" t="s">
        <v>2991</v>
      </c>
      <c r="B757" t="s">
        <v>2995</v>
      </c>
      <c r="C757" t="s">
        <v>2990</v>
      </c>
      <c r="D757" s="144" t="s">
        <v>776</v>
      </c>
      <c r="E757" t="s">
        <v>813</v>
      </c>
      <c r="F757" t="s">
        <v>2993</v>
      </c>
      <c r="G757" t="s">
        <v>815</v>
      </c>
      <c r="H757" t="s">
        <v>860</v>
      </c>
      <c r="I757" t="s">
        <v>817</v>
      </c>
      <c r="J757" t="s">
        <v>2366</v>
      </c>
      <c r="K757" t="s">
        <v>2366</v>
      </c>
      <c r="L757" t="s">
        <v>2690</v>
      </c>
      <c r="M757" t="s">
        <v>208</v>
      </c>
      <c r="N757" t="s">
        <v>869</v>
      </c>
      <c r="O757" t="s">
        <v>824</v>
      </c>
      <c r="P757" t="s">
        <v>772</v>
      </c>
      <c r="Q757" t="s">
        <v>885</v>
      </c>
      <c r="R757">
        <v>0</v>
      </c>
      <c r="S757">
        <v>0</v>
      </c>
      <c r="T757">
        <v>2</v>
      </c>
      <c r="U757">
        <v>21</v>
      </c>
      <c r="V757">
        <v>0</v>
      </c>
      <c r="W757">
        <v>0</v>
      </c>
      <c r="X757">
        <v>0</v>
      </c>
      <c r="Y757">
        <v>0</v>
      </c>
      <c r="Z757">
        <v>0</v>
      </c>
      <c r="AA757">
        <v>0</v>
      </c>
      <c r="AB757">
        <v>0</v>
      </c>
      <c r="AC757">
        <v>0</v>
      </c>
      <c r="AD757">
        <v>0</v>
      </c>
      <c r="AE757">
        <v>0</v>
      </c>
      <c r="AF757">
        <v>0</v>
      </c>
      <c r="AG757">
        <v>0</v>
      </c>
      <c r="AH757">
        <v>0</v>
      </c>
      <c r="AI757">
        <v>0</v>
      </c>
      <c r="AY757" t="str">
        <f t="shared" si="190"/>
        <v/>
      </c>
      <c r="AZ757" t="str">
        <f>IF(COUNTIF(AY:AY,AY757)=1,AY757,IF(AND(COUNTIF(AY:AY,AY757)&gt;1,COUNTIF(AZ$2:AZ756,AY757)&gt;=1),"",AY757))</f>
        <v/>
      </c>
      <c r="BA757" t="str">
        <f>IF(AZ757="","",COUNTIFS(AZ$3:AZ$1439,"&lt;"&amp;AZ757,AZ$3:AZ$1439,"&lt;&gt;0")+COUNTIF(AZ$3:AZ757,AZ757)-876)</f>
        <v/>
      </c>
      <c r="BT757" s="76"/>
      <c r="CN757">
        <v>756</v>
      </c>
    </row>
    <row r="758" spans="1:92" x14ac:dyDescent="0.3">
      <c r="A758" s="118" t="s">
        <v>2985</v>
      </c>
      <c r="B758" t="s">
        <v>2986</v>
      </c>
      <c r="C758" t="s">
        <v>1918</v>
      </c>
      <c r="D758" s="144" t="s">
        <v>852</v>
      </c>
      <c r="E758" t="s">
        <v>813</v>
      </c>
      <c r="F758" t="s">
        <v>2987</v>
      </c>
      <c r="G758" t="s">
        <v>815</v>
      </c>
      <c r="H758" t="s">
        <v>816</v>
      </c>
      <c r="I758" t="s">
        <v>817</v>
      </c>
      <c r="J758" t="s">
        <v>2366</v>
      </c>
      <c r="K758" t="s">
        <v>2366</v>
      </c>
      <c r="L758" t="s">
        <v>2690</v>
      </c>
      <c r="M758" t="s">
        <v>208</v>
      </c>
      <c r="N758" t="s">
        <v>885</v>
      </c>
      <c r="O758" t="s">
        <v>824</v>
      </c>
      <c r="P758" t="s">
        <v>772</v>
      </c>
      <c r="Q758" t="s">
        <v>881</v>
      </c>
      <c r="R758">
        <v>0</v>
      </c>
      <c r="S758">
        <v>0</v>
      </c>
      <c r="T758">
        <v>2</v>
      </c>
      <c r="U758">
        <v>21</v>
      </c>
      <c r="V758">
        <v>0</v>
      </c>
      <c r="W758">
        <v>0</v>
      </c>
      <c r="X758">
        <v>0</v>
      </c>
      <c r="Y758">
        <v>0</v>
      </c>
      <c r="Z758">
        <v>0</v>
      </c>
      <c r="AA758">
        <v>0</v>
      </c>
      <c r="AB758">
        <v>0</v>
      </c>
      <c r="AC758">
        <v>0</v>
      </c>
      <c r="AD758">
        <v>0</v>
      </c>
      <c r="AE758">
        <v>0</v>
      </c>
      <c r="AF758">
        <v>0</v>
      </c>
      <c r="AG758">
        <v>0</v>
      </c>
      <c r="AH758">
        <v>0</v>
      </c>
      <c r="AI758">
        <v>0</v>
      </c>
      <c r="AY758" t="str">
        <f t="shared" si="190"/>
        <v/>
      </c>
      <c r="AZ758" t="str">
        <f>IF(COUNTIF(AY:AY,AY758)=1,AY758,IF(AND(COUNTIF(AY:AY,AY758)&gt;1,COUNTIF(AZ$2:AZ757,AY758)&gt;=1),"",AY758))</f>
        <v/>
      </c>
      <c r="BA758" t="str">
        <f>IF(AZ758="","",COUNTIFS(AZ$3:AZ$1439,"&lt;"&amp;AZ758,AZ$3:AZ$1439,"&lt;&gt;0")+COUNTIF(AZ$3:AZ758,AZ758)-876)</f>
        <v/>
      </c>
      <c r="BT758" s="76"/>
      <c r="CN758">
        <v>757</v>
      </c>
    </row>
    <row r="759" spans="1:92" x14ac:dyDescent="0.3">
      <c r="A759" s="118" t="s">
        <v>2985</v>
      </c>
      <c r="B759" t="s">
        <v>2988</v>
      </c>
      <c r="C759" t="s">
        <v>1915</v>
      </c>
      <c r="D759" s="144" t="s">
        <v>764</v>
      </c>
      <c r="E759" t="s">
        <v>813</v>
      </c>
      <c r="F759" t="s">
        <v>2987</v>
      </c>
      <c r="G759" t="s">
        <v>815</v>
      </c>
      <c r="H759" t="s">
        <v>816</v>
      </c>
      <c r="I759" t="s">
        <v>817</v>
      </c>
      <c r="J759" t="s">
        <v>2366</v>
      </c>
      <c r="K759" t="s">
        <v>2366</v>
      </c>
      <c r="L759" t="s">
        <v>2690</v>
      </c>
      <c r="M759" t="s">
        <v>208</v>
      </c>
      <c r="N759" t="s">
        <v>885</v>
      </c>
      <c r="O759" t="s">
        <v>824</v>
      </c>
      <c r="P759" t="s">
        <v>772</v>
      </c>
      <c r="Q759" t="s">
        <v>825</v>
      </c>
      <c r="R759">
        <v>0</v>
      </c>
      <c r="S759">
        <v>0</v>
      </c>
      <c r="T759">
        <v>2</v>
      </c>
      <c r="U759">
        <v>21</v>
      </c>
      <c r="V759">
        <v>0</v>
      </c>
      <c r="W759">
        <v>0</v>
      </c>
      <c r="X759">
        <v>0</v>
      </c>
      <c r="Y759">
        <v>0</v>
      </c>
      <c r="Z759">
        <v>0</v>
      </c>
      <c r="AA759">
        <v>0</v>
      </c>
      <c r="AB759">
        <v>0</v>
      </c>
      <c r="AC759">
        <v>0</v>
      </c>
      <c r="AD759">
        <v>0</v>
      </c>
      <c r="AE759">
        <v>0</v>
      </c>
      <c r="AF759">
        <v>0</v>
      </c>
      <c r="AG759">
        <v>0</v>
      </c>
      <c r="AH759">
        <v>0</v>
      </c>
      <c r="AI759">
        <v>0</v>
      </c>
      <c r="AY759" t="str">
        <f t="shared" si="190"/>
        <v/>
      </c>
      <c r="AZ759" t="str">
        <f>IF(COUNTIF(AY:AY,AY759)=1,AY759,IF(AND(COUNTIF(AY:AY,AY759)&gt;1,COUNTIF(AZ$2:AZ758,AY759)&gt;=1),"",AY759))</f>
        <v/>
      </c>
      <c r="BA759" t="str">
        <f>IF(AZ759="","",COUNTIFS(AZ$3:AZ$1439,"&lt;"&amp;AZ759,AZ$3:AZ$1439,"&lt;&gt;0")+COUNTIF(AZ$3:AZ759,AZ759)-876)</f>
        <v/>
      </c>
      <c r="BT759" s="76"/>
      <c r="CN759">
        <v>758</v>
      </c>
    </row>
    <row r="760" spans="1:92" x14ac:dyDescent="0.3">
      <c r="A760" s="118" t="s">
        <v>2985</v>
      </c>
      <c r="B760" t="s">
        <v>2989</v>
      </c>
      <c r="C760" t="s">
        <v>2990</v>
      </c>
      <c r="D760" s="144" t="s">
        <v>776</v>
      </c>
      <c r="E760" t="s">
        <v>813</v>
      </c>
      <c r="F760" t="s">
        <v>2987</v>
      </c>
      <c r="G760" t="s">
        <v>815</v>
      </c>
      <c r="H760" t="s">
        <v>816</v>
      </c>
      <c r="I760" t="s">
        <v>817</v>
      </c>
      <c r="J760" t="s">
        <v>2366</v>
      </c>
      <c r="K760" t="s">
        <v>2366</v>
      </c>
      <c r="L760" t="s">
        <v>2690</v>
      </c>
      <c r="M760" t="s">
        <v>208</v>
      </c>
      <c r="N760" t="s">
        <v>885</v>
      </c>
      <c r="O760" t="s">
        <v>824</v>
      </c>
      <c r="P760" t="s">
        <v>772</v>
      </c>
      <c r="Q760" t="s">
        <v>1128</v>
      </c>
      <c r="R760">
        <v>0</v>
      </c>
      <c r="S760">
        <v>0</v>
      </c>
      <c r="T760">
        <v>2</v>
      </c>
      <c r="U760">
        <v>21</v>
      </c>
      <c r="V760">
        <v>0</v>
      </c>
      <c r="W760">
        <v>0</v>
      </c>
      <c r="X760">
        <v>0</v>
      </c>
      <c r="Y760">
        <v>0</v>
      </c>
      <c r="Z760">
        <v>0</v>
      </c>
      <c r="AA760">
        <v>0</v>
      </c>
      <c r="AB760">
        <v>0</v>
      </c>
      <c r="AC760">
        <v>0</v>
      </c>
      <c r="AD760">
        <v>0</v>
      </c>
      <c r="AE760">
        <v>0</v>
      </c>
      <c r="AF760">
        <v>0</v>
      </c>
      <c r="AG760">
        <v>0</v>
      </c>
      <c r="AH760">
        <v>0</v>
      </c>
      <c r="AI760">
        <v>0</v>
      </c>
      <c r="AY760" t="str">
        <f t="shared" si="190"/>
        <v/>
      </c>
      <c r="AZ760" t="str">
        <f>IF(COUNTIF(AY:AY,AY760)=1,AY760,IF(AND(COUNTIF(AY:AY,AY760)&gt;1,COUNTIF(AZ$2:AZ759,AY760)&gt;=1),"",AY760))</f>
        <v/>
      </c>
      <c r="BA760" t="str">
        <f>IF(AZ760="","",COUNTIFS(AZ$3:AZ$1439,"&lt;"&amp;AZ760,AZ$3:AZ$1439,"&lt;&gt;0")+COUNTIF(AZ$3:AZ760,AZ760)-876)</f>
        <v/>
      </c>
      <c r="BT760" s="76"/>
      <c r="CN760">
        <v>759</v>
      </c>
    </row>
    <row r="761" spans="1:92" x14ac:dyDescent="0.3">
      <c r="A761" s="118" t="s">
        <v>2996</v>
      </c>
      <c r="B761" t="s">
        <v>2997</v>
      </c>
      <c r="C761" t="s">
        <v>2998</v>
      </c>
      <c r="D761" s="144" t="s">
        <v>793</v>
      </c>
      <c r="E761" t="s">
        <v>813</v>
      </c>
      <c r="F761" t="s">
        <v>2999</v>
      </c>
      <c r="G761" t="s">
        <v>815</v>
      </c>
      <c r="H761" t="s">
        <v>860</v>
      </c>
      <c r="I761" t="s">
        <v>817</v>
      </c>
      <c r="J761" t="s">
        <v>2366</v>
      </c>
      <c r="K761" t="s">
        <v>2366</v>
      </c>
      <c r="L761" t="s">
        <v>2690</v>
      </c>
      <c r="M761" t="s">
        <v>208</v>
      </c>
      <c r="N761" t="s">
        <v>940</v>
      </c>
      <c r="O761" t="s">
        <v>824</v>
      </c>
      <c r="P761" t="s">
        <v>772</v>
      </c>
      <c r="Q761" t="s">
        <v>3000</v>
      </c>
      <c r="R761">
        <v>0</v>
      </c>
      <c r="S761">
        <v>0</v>
      </c>
      <c r="T761">
        <v>2</v>
      </c>
      <c r="U761">
        <v>21</v>
      </c>
      <c r="V761">
        <v>0</v>
      </c>
      <c r="W761">
        <v>0</v>
      </c>
      <c r="X761">
        <v>0</v>
      </c>
      <c r="Y761">
        <v>0</v>
      </c>
      <c r="Z761">
        <v>0</v>
      </c>
      <c r="AA761">
        <v>0</v>
      </c>
      <c r="AB761">
        <v>0</v>
      </c>
      <c r="AC761">
        <v>0</v>
      </c>
      <c r="AD761">
        <v>0</v>
      </c>
      <c r="AE761">
        <v>0</v>
      </c>
      <c r="AF761">
        <v>0</v>
      </c>
      <c r="AG761">
        <v>0</v>
      </c>
      <c r="AH761">
        <v>0</v>
      </c>
      <c r="AI761">
        <v>0</v>
      </c>
      <c r="AY761" t="str">
        <f t="shared" si="190"/>
        <v/>
      </c>
      <c r="AZ761" t="str">
        <f>IF(COUNTIF(AY:AY,AY761)=1,AY761,IF(AND(COUNTIF(AY:AY,AY761)&gt;1,COUNTIF(AZ$2:AZ760,AY761)&gt;=1),"",AY761))</f>
        <v/>
      </c>
      <c r="BA761" t="str">
        <f>IF(AZ761="","",COUNTIFS(AZ$3:AZ$1439,"&lt;"&amp;AZ761,AZ$3:AZ$1439,"&lt;&gt;0")+COUNTIF(AZ$3:AZ761,AZ761)-876)</f>
        <v/>
      </c>
      <c r="BT761" s="76"/>
      <c r="CN761">
        <v>760</v>
      </c>
    </row>
    <row r="762" spans="1:92" x14ac:dyDescent="0.3">
      <c r="A762" s="118" t="s">
        <v>2996</v>
      </c>
      <c r="B762" t="s">
        <v>3001</v>
      </c>
      <c r="C762" t="s">
        <v>3002</v>
      </c>
      <c r="D762" s="144" t="s">
        <v>1183</v>
      </c>
      <c r="E762" t="s">
        <v>813</v>
      </c>
      <c r="F762" t="s">
        <v>2999</v>
      </c>
      <c r="G762" t="s">
        <v>815</v>
      </c>
      <c r="H762" t="s">
        <v>860</v>
      </c>
      <c r="I762" t="s">
        <v>817</v>
      </c>
      <c r="J762" t="s">
        <v>2366</v>
      </c>
      <c r="K762" t="s">
        <v>2366</v>
      </c>
      <c r="L762" t="s">
        <v>2690</v>
      </c>
      <c r="M762" t="s">
        <v>208</v>
      </c>
      <c r="N762" t="s">
        <v>940</v>
      </c>
      <c r="O762" t="s">
        <v>824</v>
      </c>
      <c r="P762" t="s">
        <v>772</v>
      </c>
      <c r="Q762" t="s">
        <v>2739</v>
      </c>
      <c r="R762">
        <v>0</v>
      </c>
      <c r="S762">
        <v>0</v>
      </c>
      <c r="T762">
        <v>2</v>
      </c>
      <c r="U762">
        <v>21</v>
      </c>
      <c r="V762">
        <v>0</v>
      </c>
      <c r="W762">
        <v>0</v>
      </c>
      <c r="X762">
        <v>0</v>
      </c>
      <c r="Y762">
        <v>0</v>
      </c>
      <c r="Z762">
        <v>0</v>
      </c>
      <c r="AA762">
        <v>0</v>
      </c>
      <c r="AB762">
        <v>0</v>
      </c>
      <c r="AC762">
        <v>0</v>
      </c>
      <c r="AD762">
        <v>0</v>
      </c>
      <c r="AE762">
        <v>0</v>
      </c>
      <c r="AF762">
        <v>0</v>
      </c>
      <c r="AG762">
        <v>0</v>
      </c>
      <c r="AH762">
        <v>0</v>
      </c>
      <c r="AI762">
        <v>0</v>
      </c>
      <c r="AY762" t="str">
        <f t="shared" si="190"/>
        <v/>
      </c>
      <c r="AZ762" t="str">
        <f>IF(COUNTIF(AY:AY,AY762)=1,AY762,IF(AND(COUNTIF(AY:AY,AY762)&gt;1,COUNTIF(AZ$2:AZ761,AY762)&gt;=1),"",AY762))</f>
        <v/>
      </c>
      <c r="BA762" t="str">
        <f>IF(AZ762="","",COUNTIFS(AZ$3:AZ$1439,"&lt;"&amp;AZ762,AZ$3:AZ$1439,"&lt;&gt;0")+COUNTIF(AZ$3:AZ762,AZ762)-876)</f>
        <v/>
      </c>
      <c r="BT762" s="76"/>
      <c r="CN762">
        <v>761</v>
      </c>
    </row>
    <row r="763" spans="1:92" x14ac:dyDescent="0.3">
      <c r="A763" s="118" t="s">
        <v>2996</v>
      </c>
      <c r="B763" t="s">
        <v>3003</v>
      </c>
      <c r="C763" t="s">
        <v>3004</v>
      </c>
      <c r="D763" s="144" t="s">
        <v>1214</v>
      </c>
      <c r="E763" t="s">
        <v>813</v>
      </c>
      <c r="F763" t="s">
        <v>2999</v>
      </c>
      <c r="G763" t="s">
        <v>815</v>
      </c>
      <c r="H763" t="s">
        <v>860</v>
      </c>
      <c r="I763" t="s">
        <v>817</v>
      </c>
      <c r="J763" t="s">
        <v>2366</v>
      </c>
      <c r="K763" t="s">
        <v>2366</v>
      </c>
      <c r="L763" t="s">
        <v>2690</v>
      </c>
      <c r="M763" t="s">
        <v>208</v>
      </c>
      <c r="N763" t="s">
        <v>940</v>
      </c>
      <c r="O763" t="s">
        <v>824</v>
      </c>
      <c r="P763" t="s">
        <v>772</v>
      </c>
      <c r="Q763" t="s">
        <v>3005</v>
      </c>
      <c r="R763">
        <v>0</v>
      </c>
      <c r="S763">
        <v>0</v>
      </c>
      <c r="T763">
        <v>2</v>
      </c>
      <c r="U763">
        <v>21</v>
      </c>
      <c r="V763">
        <v>0</v>
      </c>
      <c r="W763">
        <v>0</v>
      </c>
      <c r="X763">
        <v>0</v>
      </c>
      <c r="Y763">
        <v>0</v>
      </c>
      <c r="Z763">
        <v>0</v>
      </c>
      <c r="AA763">
        <v>0</v>
      </c>
      <c r="AB763">
        <v>0</v>
      </c>
      <c r="AC763">
        <v>0</v>
      </c>
      <c r="AD763">
        <v>0</v>
      </c>
      <c r="AE763">
        <v>0</v>
      </c>
      <c r="AF763">
        <v>0</v>
      </c>
      <c r="AG763">
        <v>0</v>
      </c>
      <c r="AH763">
        <v>0</v>
      </c>
      <c r="AI763">
        <v>0</v>
      </c>
      <c r="AY763" t="str">
        <f t="shared" si="190"/>
        <v/>
      </c>
      <c r="AZ763" t="str">
        <f>IF(COUNTIF(AY:AY,AY763)=1,AY763,IF(AND(COUNTIF(AY:AY,AY763)&gt;1,COUNTIF(AZ$2:AZ762,AY763)&gt;=1),"",AY763))</f>
        <v/>
      </c>
      <c r="BA763" t="str">
        <f>IF(AZ763="","",COUNTIFS(AZ$3:AZ$1439,"&lt;"&amp;AZ763,AZ$3:AZ$1439,"&lt;&gt;0")+COUNTIF(AZ$3:AZ763,AZ763)-876)</f>
        <v/>
      </c>
      <c r="BT763" s="76"/>
      <c r="CN763">
        <v>762</v>
      </c>
    </row>
    <row r="764" spans="1:92" x14ac:dyDescent="0.3">
      <c r="A764" s="118" t="s">
        <v>3199</v>
      </c>
      <c r="B764" t="s">
        <v>3200</v>
      </c>
      <c r="C764" t="s">
        <v>3105</v>
      </c>
      <c r="D764" s="144" t="s">
        <v>780</v>
      </c>
      <c r="E764" t="s">
        <v>765</v>
      </c>
      <c r="F764" t="s">
        <v>655</v>
      </c>
      <c r="G764" t="s">
        <v>766</v>
      </c>
      <c r="H764" t="s">
        <v>801</v>
      </c>
      <c r="I764" t="s">
        <v>766</v>
      </c>
      <c r="J764" t="s">
        <v>2366</v>
      </c>
      <c r="K764" t="s">
        <v>2366</v>
      </c>
      <c r="L764" t="s">
        <v>2690</v>
      </c>
      <c r="M764" t="s">
        <v>208</v>
      </c>
      <c r="N764" t="s">
        <v>764</v>
      </c>
      <c r="O764" t="s">
        <v>771</v>
      </c>
      <c r="P764" t="s">
        <v>772</v>
      </c>
      <c r="Q764" t="s">
        <v>885</v>
      </c>
      <c r="R764">
        <v>8</v>
      </c>
      <c r="S764">
        <v>1</v>
      </c>
      <c r="T764">
        <v>0</v>
      </c>
      <c r="U764">
        <v>0</v>
      </c>
      <c r="V764">
        <v>0</v>
      </c>
      <c r="W764">
        <v>0</v>
      </c>
      <c r="X764">
        <v>0</v>
      </c>
      <c r="Y764">
        <v>0</v>
      </c>
      <c r="Z764">
        <v>0</v>
      </c>
      <c r="AA764">
        <v>0</v>
      </c>
      <c r="AB764">
        <v>0</v>
      </c>
      <c r="AC764">
        <v>0</v>
      </c>
      <c r="AD764">
        <v>0</v>
      </c>
      <c r="AE764">
        <v>0</v>
      </c>
      <c r="AF764">
        <v>0</v>
      </c>
      <c r="AG764">
        <v>0</v>
      </c>
      <c r="AH764">
        <v>0</v>
      </c>
      <c r="AI764">
        <v>0</v>
      </c>
      <c r="AY764" t="str">
        <f t="shared" si="190"/>
        <v>MARBOCYL S</v>
      </c>
      <c r="AZ764" t="str">
        <f>IF(COUNTIF(AY:AY,AY764)=1,AY764,IF(AND(COUNTIF(AY:AY,AY764)&gt;1,COUNTIF(AZ$2:AZ763,AY764)&gt;=1),"",AY764))</f>
        <v>MARBOCYL S</v>
      </c>
      <c r="BA764">
        <f>IF(AZ764="","",COUNTIFS(AZ$3:AZ$1439,"&lt;"&amp;AZ764,AZ$3:AZ$1439,"&lt;&gt;0")+COUNTIF(AZ$3:AZ764,AZ764)-876)</f>
        <v>292</v>
      </c>
      <c r="BT764" s="76"/>
      <c r="CN764">
        <v>763</v>
      </c>
    </row>
    <row r="765" spans="1:92" x14ac:dyDescent="0.3">
      <c r="A765" s="118" t="s">
        <v>3199</v>
      </c>
      <c r="B765" t="s">
        <v>3201</v>
      </c>
      <c r="C765" t="s">
        <v>3202</v>
      </c>
      <c r="D765" s="144" t="s">
        <v>776</v>
      </c>
      <c r="E765" t="s">
        <v>765</v>
      </c>
      <c r="F765" t="s">
        <v>655</v>
      </c>
      <c r="G765" t="s">
        <v>766</v>
      </c>
      <c r="H765" t="s">
        <v>801</v>
      </c>
      <c r="I765" t="s">
        <v>766</v>
      </c>
      <c r="J765" t="s">
        <v>2366</v>
      </c>
      <c r="K765" t="s">
        <v>2366</v>
      </c>
      <c r="L765" t="s">
        <v>2690</v>
      </c>
      <c r="M765" t="s">
        <v>208</v>
      </c>
      <c r="N765" t="s">
        <v>764</v>
      </c>
      <c r="O765" t="s">
        <v>771</v>
      </c>
      <c r="P765" t="s">
        <v>772</v>
      </c>
      <c r="Q765" t="s">
        <v>855</v>
      </c>
      <c r="R765">
        <v>8</v>
      </c>
      <c r="S765">
        <v>1</v>
      </c>
      <c r="T765">
        <v>0</v>
      </c>
      <c r="U765">
        <v>0</v>
      </c>
      <c r="V765">
        <v>0</v>
      </c>
      <c r="W765">
        <v>0</v>
      </c>
      <c r="X765">
        <v>0</v>
      </c>
      <c r="Y765">
        <v>0</v>
      </c>
      <c r="Z765">
        <v>0</v>
      </c>
      <c r="AA765">
        <v>0</v>
      </c>
      <c r="AB765">
        <v>0</v>
      </c>
      <c r="AC765">
        <v>0</v>
      </c>
      <c r="AD765">
        <v>0</v>
      </c>
      <c r="AE765">
        <v>0</v>
      </c>
      <c r="AF765">
        <v>0</v>
      </c>
      <c r="AG765">
        <v>0</v>
      </c>
      <c r="AH765">
        <v>0</v>
      </c>
      <c r="AI765">
        <v>0</v>
      </c>
      <c r="AY765" t="str">
        <f t="shared" si="190"/>
        <v>MARBOCYL S</v>
      </c>
      <c r="AZ765" t="str">
        <f>IF(COUNTIF(AY:AY,AY765)=1,AY765,IF(AND(COUNTIF(AY:AY,AY765)&gt;1,COUNTIF(AZ$2:AZ764,AY765)&gt;=1),"",AY765))</f>
        <v/>
      </c>
      <c r="BA765" t="str">
        <f>IF(AZ765="","",COUNTIFS(AZ$3:AZ$1439,"&lt;"&amp;AZ765,AZ$3:AZ$1439,"&lt;&gt;0")+COUNTIF(AZ$3:AZ765,AZ765)-876)</f>
        <v/>
      </c>
      <c r="BT765" s="76"/>
      <c r="CN765">
        <v>764</v>
      </c>
    </row>
    <row r="766" spans="1:92" x14ac:dyDescent="0.3">
      <c r="A766" s="118" t="s">
        <v>3863</v>
      </c>
      <c r="B766" t="s">
        <v>3864</v>
      </c>
      <c r="C766" t="s">
        <v>3865</v>
      </c>
      <c r="D766" s="144" t="s">
        <v>764</v>
      </c>
      <c r="E766" t="s">
        <v>765</v>
      </c>
      <c r="F766" t="s">
        <v>656</v>
      </c>
      <c r="G766" t="s">
        <v>766</v>
      </c>
      <c r="H766" t="s">
        <v>1326</v>
      </c>
      <c r="I766" t="s">
        <v>766</v>
      </c>
      <c r="J766" t="s">
        <v>2366</v>
      </c>
      <c r="K766" t="s">
        <v>2366</v>
      </c>
      <c r="L766" t="s">
        <v>2690</v>
      </c>
      <c r="M766" t="s">
        <v>208</v>
      </c>
      <c r="N766" t="s">
        <v>764</v>
      </c>
      <c r="O766" t="s">
        <v>771</v>
      </c>
      <c r="P766" t="s">
        <v>772</v>
      </c>
      <c r="Q766" t="s">
        <v>852</v>
      </c>
      <c r="R766">
        <v>2</v>
      </c>
      <c r="S766">
        <v>5</v>
      </c>
      <c r="T766">
        <v>0</v>
      </c>
      <c r="U766">
        <v>0</v>
      </c>
      <c r="V766">
        <v>0</v>
      </c>
      <c r="W766">
        <v>0</v>
      </c>
      <c r="X766">
        <v>0</v>
      </c>
      <c r="Y766">
        <v>0</v>
      </c>
      <c r="Z766">
        <v>0</v>
      </c>
      <c r="AA766">
        <v>0</v>
      </c>
      <c r="AB766">
        <v>0</v>
      </c>
      <c r="AC766">
        <v>0</v>
      </c>
      <c r="AD766">
        <v>2</v>
      </c>
      <c r="AE766">
        <v>3</v>
      </c>
      <c r="AF766">
        <v>0</v>
      </c>
      <c r="AG766">
        <v>0</v>
      </c>
      <c r="AH766">
        <v>0</v>
      </c>
      <c r="AI766">
        <v>0</v>
      </c>
      <c r="AY766" t="str">
        <f t="shared" si="190"/>
        <v>MARBONOR 100 MG/ML SOLUTION INJECTABLE POUR BOVINS ET PORCINS</v>
      </c>
      <c r="AZ766" t="str">
        <f>IF(COUNTIF(AY:AY,AY766)=1,AY766,IF(AND(COUNTIF(AY:AY,AY766)&gt;1,COUNTIF(AZ$2:AZ765,AY766)&gt;=1),"",AY766))</f>
        <v>MARBONOR 100 MG/ML SOLUTION INJECTABLE POUR BOVINS ET PORCINS</v>
      </c>
      <c r="BA766">
        <f>IF(AZ766="","",COUNTIFS(AZ$3:AZ$1439,"&lt;"&amp;AZ766,AZ$3:AZ$1439,"&lt;&gt;0")+COUNTIF(AZ$3:AZ766,AZ766)-876)</f>
        <v>293</v>
      </c>
      <c r="BT766" s="76"/>
      <c r="CN766">
        <v>765</v>
      </c>
    </row>
    <row r="767" spans="1:92" x14ac:dyDescent="0.3">
      <c r="A767" s="118" t="s">
        <v>3863</v>
      </c>
      <c r="B767" t="s">
        <v>3866</v>
      </c>
      <c r="C767" t="s">
        <v>2462</v>
      </c>
      <c r="D767" s="144" t="s">
        <v>776</v>
      </c>
      <c r="E767" t="s">
        <v>765</v>
      </c>
      <c r="F767" t="s">
        <v>656</v>
      </c>
      <c r="G767" t="s">
        <v>766</v>
      </c>
      <c r="H767" t="s">
        <v>1326</v>
      </c>
      <c r="I767" t="s">
        <v>766</v>
      </c>
      <c r="J767" t="s">
        <v>2366</v>
      </c>
      <c r="K767" t="s">
        <v>2366</v>
      </c>
      <c r="L767" t="s">
        <v>2690</v>
      </c>
      <c r="M767" t="s">
        <v>208</v>
      </c>
      <c r="N767" t="s">
        <v>764</v>
      </c>
      <c r="O767" t="s">
        <v>771</v>
      </c>
      <c r="P767" t="s">
        <v>772</v>
      </c>
      <c r="Q767" t="s">
        <v>855</v>
      </c>
      <c r="R767">
        <v>2</v>
      </c>
      <c r="S767">
        <v>5</v>
      </c>
      <c r="T767">
        <v>0</v>
      </c>
      <c r="U767">
        <v>0</v>
      </c>
      <c r="V767">
        <v>0</v>
      </c>
      <c r="W767">
        <v>0</v>
      </c>
      <c r="X767">
        <v>0</v>
      </c>
      <c r="Y767">
        <v>0</v>
      </c>
      <c r="Z767">
        <v>0</v>
      </c>
      <c r="AA767">
        <v>0</v>
      </c>
      <c r="AB767">
        <v>0</v>
      </c>
      <c r="AC767">
        <v>0</v>
      </c>
      <c r="AD767">
        <v>2</v>
      </c>
      <c r="AE767">
        <v>3</v>
      </c>
      <c r="AF767">
        <v>0</v>
      </c>
      <c r="AG767">
        <v>0</v>
      </c>
      <c r="AH767">
        <v>0</v>
      </c>
      <c r="AI767">
        <v>0</v>
      </c>
      <c r="AY767" t="str">
        <f t="shared" si="190"/>
        <v>MARBONOR 100 MG/ML SOLUTION INJECTABLE POUR BOVINS ET PORCINS</v>
      </c>
      <c r="AZ767" t="str">
        <f>IF(COUNTIF(AY:AY,AY767)=1,AY767,IF(AND(COUNTIF(AY:AY,AY767)&gt;1,COUNTIF(AZ$2:AZ766,AY767)&gt;=1),"",AY767))</f>
        <v/>
      </c>
      <c r="BA767" t="str">
        <f>IF(AZ767="","",COUNTIFS(AZ$3:AZ$1439,"&lt;"&amp;AZ767,AZ$3:AZ$1439,"&lt;&gt;0")+COUNTIF(AZ$3:AZ767,AZ767)-876)</f>
        <v/>
      </c>
      <c r="BT767" s="76"/>
      <c r="CN767">
        <v>766</v>
      </c>
    </row>
    <row r="768" spans="1:92" x14ac:dyDescent="0.3">
      <c r="A768" s="118" t="s">
        <v>3595</v>
      </c>
      <c r="B768" t="s">
        <v>3596</v>
      </c>
      <c r="C768" t="s">
        <v>1238</v>
      </c>
      <c r="D768" s="144" t="s">
        <v>780</v>
      </c>
      <c r="E768" t="s">
        <v>765</v>
      </c>
      <c r="F768" t="s">
        <v>388</v>
      </c>
      <c r="G768" t="s">
        <v>766</v>
      </c>
      <c r="H768" t="s">
        <v>2689</v>
      </c>
      <c r="I768" t="s">
        <v>766</v>
      </c>
      <c r="J768" t="s">
        <v>2366</v>
      </c>
      <c r="K768" t="s">
        <v>2366</v>
      </c>
      <c r="L768" t="s">
        <v>2690</v>
      </c>
      <c r="M768" t="s">
        <v>208</v>
      </c>
      <c r="N768" t="s">
        <v>764</v>
      </c>
      <c r="O768" t="s">
        <v>771</v>
      </c>
      <c r="P768" t="s">
        <v>772</v>
      </c>
      <c r="Q768" t="s">
        <v>885</v>
      </c>
      <c r="R768">
        <v>8</v>
      </c>
      <c r="S768">
        <v>1</v>
      </c>
      <c r="T768">
        <v>0</v>
      </c>
      <c r="U768">
        <v>0</v>
      </c>
      <c r="V768">
        <v>0</v>
      </c>
      <c r="W768">
        <v>0</v>
      </c>
      <c r="X768">
        <v>0</v>
      </c>
      <c r="Y768">
        <v>0</v>
      </c>
      <c r="Z768">
        <v>0</v>
      </c>
      <c r="AA768">
        <v>0</v>
      </c>
      <c r="AB768">
        <v>0</v>
      </c>
      <c r="AC768">
        <v>0</v>
      </c>
      <c r="AD768">
        <v>2</v>
      </c>
      <c r="AE768">
        <v>3</v>
      </c>
      <c r="AF768">
        <v>0</v>
      </c>
      <c r="AG768">
        <v>0</v>
      </c>
      <c r="AH768">
        <v>0</v>
      </c>
      <c r="AI768">
        <v>0</v>
      </c>
      <c r="AY768" t="str">
        <f t="shared" si="190"/>
        <v>MARBOX 100 MG/ML SOLUTION INJECTABLE POUR BOVINS ET PORCINS</v>
      </c>
      <c r="AZ768" t="str">
        <f>IF(COUNTIF(AY:AY,AY768)=1,AY768,IF(AND(COUNTIF(AY:AY,AY768)&gt;1,COUNTIF(AZ$2:AZ767,AY768)&gt;=1),"",AY768))</f>
        <v>MARBOX 100 MG/ML SOLUTION INJECTABLE POUR BOVINS ET PORCINS</v>
      </c>
      <c r="BA768">
        <f>IF(AZ768="","",COUNTIFS(AZ$3:AZ$1439,"&lt;"&amp;AZ768,AZ$3:AZ$1439,"&lt;&gt;0")+COUNTIF(AZ$3:AZ768,AZ768)-876)</f>
        <v>294</v>
      </c>
      <c r="BT768" s="76"/>
      <c r="CN768">
        <v>767</v>
      </c>
    </row>
    <row r="769" spans="1:92" x14ac:dyDescent="0.3">
      <c r="A769" s="118" t="s">
        <v>3595</v>
      </c>
      <c r="B769" t="s">
        <v>3597</v>
      </c>
      <c r="C769" t="s">
        <v>792</v>
      </c>
      <c r="D769" s="144" t="s">
        <v>764</v>
      </c>
      <c r="E769" t="s">
        <v>765</v>
      </c>
      <c r="F769" t="s">
        <v>388</v>
      </c>
      <c r="G769" t="s">
        <v>766</v>
      </c>
      <c r="H769" t="s">
        <v>2689</v>
      </c>
      <c r="I769" t="s">
        <v>766</v>
      </c>
      <c r="J769" t="s">
        <v>2366</v>
      </c>
      <c r="K769" t="s">
        <v>2366</v>
      </c>
      <c r="L769" t="s">
        <v>2690</v>
      </c>
      <c r="M769" t="s">
        <v>208</v>
      </c>
      <c r="N769" t="s">
        <v>764</v>
      </c>
      <c r="O769" t="s">
        <v>771</v>
      </c>
      <c r="P769" t="s">
        <v>772</v>
      </c>
      <c r="Q769" t="s">
        <v>852</v>
      </c>
      <c r="R769">
        <v>8</v>
      </c>
      <c r="S769">
        <v>1</v>
      </c>
      <c r="T769">
        <v>0</v>
      </c>
      <c r="U769">
        <v>0</v>
      </c>
      <c r="V769">
        <v>0</v>
      </c>
      <c r="W769">
        <v>0</v>
      </c>
      <c r="X769">
        <v>0</v>
      </c>
      <c r="Y769">
        <v>0</v>
      </c>
      <c r="Z769">
        <v>0</v>
      </c>
      <c r="AA769">
        <v>0</v>
      </c>
      <c r="AB769">
        <v>0</v>
      </c>
      <c r="AC769">
        <v>0</v>
      </c>
      <c r="AD769">
        <v>2</v>
      </c>
      <c r="AE769">
        <v>3</v>
      </c>
      <c r="AF769">
        <v>0</v>
      </c>
      <c r="AG769">
        <v>0</v>
      </c>
      <c r="AH769">
        <v>0</v>
      </c>
      <c r="AI769">
        <v>0</v>
      </c>
      <c r="AY769" t="str">
        <f t="shared" si="190"/>
        <v>MARBOX 100 MG/ML SOLUTION INJECTABLE POUR BOVINS ET PORCINS</v>
      </c>
      <c r="AZ769" t="str">
        <f>IF(COUNTIF(AY:AY,AY769)=1,AY769,IF(AND(COUNTIF(AY:AY,AY769)&gt;1,COUNTIF(AZ$2:AZ768,AY769)&gt;=1),"",AY769))</f>
        <v/>
      </c>
      <c r="BA769" t="str">
        <f>IF(AZ769="","",COUNTIFS(AZ$3:AZ$1439,"&lt;"&amp;AZ769,AZ$3:AZ$1439,"&lt;&gt;0")+COUNTIF(AZ$3:AZ769,AZ769)-876)</f>
        <v/>
      </c>
      <c r="BT769" s="76"/>
      <c r="CN769">
        <v>768</v>
      </c>
    </row>
    <row r="770" spans="1:92" x14ac:dyDescent="0.3">
      <c r="A770" s="118" t="s">
        <v>3595</v>
      </c>
      <c r="B770" t="s">
        <v>3598</v>
      </c>
      <c r="C770" t="s">
        <v>796</v>
      </c>
      <c r="D770" s="144" t="s">
        <v>776</v>
      </c>
      <c r="E770" t="s">
        <v>765</v>
      </c>
      <c r="F770" t="s">
        <v>388</v>
      </c>
      <c r="G770" t="s">
        <v>766</v>
      </c>
      <c r="H770" t="s">
        <v>2689</v>
      </c>
      <c r="I770" t="s">
        <v>766</v>
      </c>
      <c r="J770" t="s">
        <v>2366</v>
      </c>
      <c r="K770" t="s">
        <v>2366</v>
      </c>
      <c r="L770" t="s">
        <v>2690</v>
      </c>
      <c r="M770" t="s">
        <v>208</v>
      </c>
      <c r="N770" t="s">
        <v>764</v>
      </c>
      <c r="O770" t="s">
        <v>771</v>
      </c>
      <c r="P770" t="s">
        <v>772</v>
      </c>
      <c r="Q770" t="s">
        <v>855</v>
      </c>
      <c r="R770">
        <v>8</v>
      </c>
      <c r="S770">
        <v>1</v>
      </c>
      <c r="T770">
        <v>0</v>
      </c>
      <c r="U770">
        <v>0</v>
      </c>
      <c r="V770">
        <v>0</v>
      </c>
      <c r="W770">
        <v>0</v>
      </c>
      <c r="X770">
        <v>0</v>
      </c>
      <c r="Y770">
        <v>0</v>
      </c>
      <c r="Z770">
        <v>0</v>
      </c>
      <c r="AA770">
        <v>0</v>
      </c>
      <c r="AB770">
        <v>0</v>
      </c>
      <c r="AC770">
        <v>0</v>
      </c>
      <c r="AD770">
        <v>2</v>
      </c>
      <c r="AE770">
        <v>3</v>
      </c>
      <c r="AF770">
        <v>0</v>
      </c>
      <c r="AG770">
        <v>0</v>
      </c>
      <c r="AH770">
        <v>0</v>
      </c>
      <c r="AI770">
        <v>0</v>
      </c>
      <c r="AY770" t="str">
        <f t="shared" si="190"/>
        <v>MARBOX 100 MG/ML SOLUTION INJECTABLE POUR BOVINS ET PORCINS</v>
      </c>
      <c r="AZ770" t="str">
        <f>IF(COUNTIF(AY:AY,AY770)=1,AY770,IF(AND(COUNTIF(AY:AY,AY770)&gt;1,COUNTIF(AZ$2:AZ769,AY770)&gt;=1),"",AY770))</f>
        <v/>
      </c>
      <c r="BA770" t="str">
        <f>IF(AZ770="","",COUNTIFS(AZ$3:AZ$1439,"&lt;"&amp;AZ770,AZ$3:AZ$1439,"&lt;&gt;0")+COUNTIF(AZ$3:AZ770,AZ770)-876)</f>
        <v/>
      </c>
      <c r="BT770" s="76"/>
      <c r="CN770">
        <v>769</v>
      </c>
    </row>
    <row r="771" spans="1:92" x14ac:dyDescent="0.3">
      <c r="A771" s="118" t="s">
        <v>3979</v>
      </c>
      <c r="B771" t="s">
        <v>3980</v>
      </c>
      <c r="C771" t="s">
        <v>3977</v>
      </c>
      <c r="D771" s="144" t="s">
        <v>2580</v>
      </c>
      <c r="E771" t="s">
        <v>813</v>
      </c>
      <c r="F771" t="s">
        <v>3981</v>
      </c>
      <c r="G771" t="s">
        <v>815</v>
      </c>
      <c r="H771" t="s">
        <v>860</v>
      </c>
      <c r="I771" t="s">
        <v>817</v>
      </c>
      <c r="J771" t="s">
        <v>2366</v>
      </c>
      <c r="K771" t="s">
        <v>2366</v>
      </c>
      <c r="L771" t="s">
        <v>2690</v>
      </c>
      <c r="M771" t="s">
        <v>208</v>
      </c>
      <c r="N771" t="s">
        <v>869</v>
      </c>
      <c r="O771" t="s">
        <v>824</v>
      </c>
      <c r="P771" t="s">
        <v>772</v>
      </c>
      <c r="Q771" t="s">
        <v>1169</v>
      </c>
      <c r="R771">
        <v>0</v>
      </c>
      <c r="S771">
        <v>0</v>
      </c>
      <c r="T771">
        <v>2</v>
      </c>
      <c r="U771">
        <v>21</v>
      </c>
      <c r="V771">
        <v>0</v>
      </c>
      <c r="W771">
        <v>0</v>
      </c>
      <c r="X771">
        <v>0</v>
      </c>
      <c r="Y771">
        <v>0</v>
      </c>
      <c r="Z771">
        <v>0</v>
      </c>
      <c r="AA771">
        <v>0</v>
      </c>
      <c r="AB771">
        <v>0</v>
      </c>
      <c r="AC771">
        <v>0</v>
      </c>
      <c r="AD771">
        <v>0</v>
      </c>
      <c r="AE771">
        <v>0</v>
      </c>
      <c r="AF771">
        <v>0</v>
      </c>
      <c r="AG771">
        <v>0</v>
      </c>
      <c r="AH771">
        <v>0</v>
      </c>
      <c r="AI771">
        <v>0</v>
      </c>
      <c r="AY771" t="str">
        <f t="shared" ref="AY771:AY834" si="191">IF(INDEX(CK$3:CL$174,MATCH(H771,CK$3:CK$174,0),2)="x",F771,"")</f>
        <v/>
      </c>
      <c r="AZ771" t="str">
        <f>IF(COUNTIF(AY:AY,AY771)=1,AY771,IF(AND(COUNTIF(AY:AY,AY771)&gt;1,COUNTIF(AZ$2:AZ770,AY771)&gt;=1),"",AY771))</f>
        <v/>
      </c>
      <c r="BA771" t="str">
        <f>IF(AZ771="","",COUNTIFS(AZ$3:AZ$1439,"&lt;"&amp;AZ771,AZ$3:AZ$1439,"&lt;&gt;0")+COUNTIF(AZ$3:AZ771,AZ771)-876)</f>
        <v/>
      </c>
      <c r="BT771" s="76"/>
      <c r="CN771">
        <v>770</v>
      </c>
    </row>
    <row r="772" spans="1:92" x14ac:dyDescent="0.3">
      <c r="A772" s="118" t="s">
        <v>3975</v>
      </c>
      <c r="B772" t="s">
        <v>3976</v>
      </c>
      <c r="C772" t="s">
        <v>3977</v>
      </c>
      <c r="D772" s="144" t="s">
        <v>2580</v>
      </c>
      <c r="E772" t="s">
        <v>813</v>
      </c>
      <c r="F772" t="s">
        <v>3978</v>
      </c>
      <c r="G772" t="s">
        <v>815</v>
      </c>
      <c r="H772" t="s">
        <v>816</v>
      </c>
      <c r="I772" t="s">
        <v>817</v>
      </c>
      <c r="J772" t="s">
        <v>2366</v>
      </c>
      <c r="K772" t="s">
        <v>2366</v>
      </c>
      <c r="L772" t="s">
        <v>2690</v>
      </c>
      <c r="M772" t="s">
        <v>208</v>
      </c>
      <c r="N772" t="s">
        <v>885</v>
      </c>
      <c r="O772" t="s">
        <v>824</v>
      </c>
      <c r="P772" t="s">
        <v>772</v>
      </c>
      <c r="Q772" t="s">
        <v>1651</v>
      </c>
      <c r="R772">
        <v>0</v>
      </c>
      <c r="S772">
        <v>0</v>
      </c>
      <c r="T772">
        <v>2</v>
      </c>
      <c r="U772">
        <v>21</v>
      </c>
      <c r="V772">
        <v>0</v>
      </c>
      <c r="W772">
        <v>0</v>
      </c>
      <c r="X772">
        <v>0</v>
      </c>
      <c r="Y772">
        <v>0</v>
      </c>
      <c r="Z772">
        <v>0</v>
      </c>
      <c r="AA772">
        <v>0</v>
      </c>
      <c r="AB772">
        <v>0</v>
      </c>
      <c r="AC772">
        <v>0</v>
      </c>
      <c r="AD772">
        <v>0</v>
      </c>
      <c r="AE772">
        <v>0</v>
      </c>
      <c r="AF772">
        <v>0</v>
      </c>
      <c r="AG772">
        <v>0</v>
      </c>
      <c r="AH772">
        <v>0</v>
      </c>
      <c r="AI772">
        <v>0</v>
      </c>
      <c r="AY772" t="str">
        <f t="shared" si="191"/>
        <v/>
      </c>
      <c r="AZ772" t="str">
        <f>IF(COUNTIF(AY:AY,AY772)=1,AY772,IF(AND(COUNTIF(AY:AY,AY772)&gt;1,COUNTIF(AZ$2:AZ771,AY772)&gt;=1),"",AY772))</f>
        <v/>
      </c>
      <c r="BA772" t="str">
        <f>IF(AZ772="","",COUNTIFS(AZ$3:AZ$1439,"&lt;"&amp;AZ772,AZ$3:AZ$1439,"&lt;&gt;0")+COUNTIF(AZ$3:AZ772,AZ772)-876)</f>
        <v/>
      </c>
      <c r="BT772" s="76"/>
      <c r="CN772">
        <v>771</v>
      </c>
    </row>
    <row r="773" spans="1:92" x14ac:dyDescent="0.3">
      <c r="A773" s="118" t="s">
        <v>3982</v>
      </c>
      <c r="B773" t="s">
        <v>3983</v>
      </c>
      <c r="C773" t="s">
        <v>3984</v>
      </c>
      <c r="D773" s="144" t="s">
        <v>1650</v>
      </c>
      <c r="E773" t="s">
        <v>813</v>
      </c>
      <c r="F773" t="s">
        <v>3985</v>
      </c>
      <c r="G773" t="s">
        <v>815</v>
      </c>
      <c r="H773" t="s">
        <v>860</v>
      </c>
      <c r="I773" t="s">
        <v>817</v>
      </c>
      <c r="J773" t="s">
        <v>2366</v>
      </c>
      <c r="K773" t="s">
        <v>2366</v>
      </c>
      <c r="L773" t="s">
        <v>2690</v>
      </c>
      <c r="M773" t="s">
        <v>208</v>
      </c>
      <c r="N773" t="s">
        <v>940</v>
      </c>
      <c r="O773" t="s">
        <v>824</v>
      </c>
      <c r="P773" t="s">
        <v>772</v>
      </c>
      <c r="Q773" t="s">
        <v>1159</v>
      </c>
      <c r="R773">
        <v>0</v>
      </c>
      <c r="S773">
        <v>0</v>
      </c>
      <c r="T773">
        <v>2</v>
      </c>
      <c r="U773">
        <v>21</v>
      </c>
      <c r="V773">
        <v>0</v>
      </c>
      <c r="W773">
        <v>0</v>
      </c>
      <c r="X773">
        <v>0</v>
      </c>
      <c r="Y773">
        <v>0</v>
      </c>
      <c r="Z773">
        <v>0</v>
      </c>
      <c r="AA773">
        <v>0</v>
      </c>
      <c r="AB773">
        <v>0</v>
      </c>
      <c r="AC773">
        <v>0</v>
      </c>
      <c r="AD773">
        <v>0</v>
      </c>
      <c r="AE773">
        <v>0</v>
      </c>
      <c r="AF773">
        <v>0</v>
      </c>
      <c r="AG773">
        <v>0</v>
      </c>
      <c r="AH773">
        <v>0</v>
      </c>
      <c r="AI773">
        <v>0</v>
      </c>
      <c r="AY773" t="str">
        <f t="shared" si="191"/>
        <v/>
      </c>
      <c r="AZ773" t="str">
        <f>IF(COUNTIF(AY:AY,AY773)=1,AY773,IF(AND(COUNTIF(AY:AY,AY773)&gt;1,COUNTIF(AZ$2:AZ772,AY773)&gt;=1),"",AY773))</f>
        <v/>
      </c>
      <c r="BA773" t="str">
        <f>IF(AZ773="","",COUNTIFS(AZ$3:AZ$1439,"&lt;"&amp;AZ773,AZ$3:AZ$1439,"&lt;&gt;0")+COUNTIF(AZ$3:AZ773,AZ773)-876)</f>
        <v/>
      </c>
      <c r="BT773" s="76"/>
      <c r="CN773">
        <v>772</v>
      </c>
    </row>
    <row r="774" spans="1:92" x14ac:dyDescent="0.3">
      <c r="A774" s="118" t="s">
        <v>3635</v>
      </c>
      <c r="B774" t="s">
        <v>3636</v>
      </c>
      <c r="C774" t="s">
        <v>3637</v>
      </c>
      <c r="D774" s="144" t="s">
        <v>780</v>
      </c>
      <c r="E774" t="s">
        <v>765</v>
      </c>
      <c r="F774" t="s">
        <v>389</v>
      </c>
      <c r="G774" t="s">
        <v>766</v>
      </c>
      <c r="H774" t="s">
        <v>2689</v>
      </c>
      <c r="I774" t="s">
        <v>766</v>
      </c>
      <c r="J774" t="s">
        <v>2366</v>
      </c>
      <c r="K774" t="s">
        <v>2366</v>
      </c>
      <c r="L774" t="s">
        <v>2690</v>
      </c>
      <c r="M774" t="s">
        <v>208</v>
      </c>
      <c r="N774" t="s">
        <v>764</v>
      </c>
      <c r="O774" t="s">
        <v>771</v>
      </c>
      <c r="P774" t="s">
        <v>772</v>
      </c>
      <c r="Q774" t="s">
        <v>885</v>
      </c>
      <c r="R774">
        <v>8</v>
      </c>
      <c r="S774">
        <v>1</v>
      </c>
      <c r="T774">
        <v>2</v>
      </c>
      <c r="U774">
        <v>1</v>
      </c>
      <c r="V774">
        <v>8</v>
      </c>
      <c r="W774">
        <v>1</v>
      </c>
      <c r="X774">
        <v>0</v>
      </c>
      <c r="Y774">
        <v>0</v>
      </c>
      <c r="Z774">
        <v>0</v>
      </c>
      <c r="AA774">
        <v>0</v>
      </c>
      <c r="AB774">
        <v>0</v>
      </c>
      <c r="AC774">
        <v>0</v>
      </c>
      <c r="AD774">
        <v>2</v>
      </c>
      <c r="AE774">
        <v>3</v>
      </c>
      <c r="AF774">
        <v>0</v>
      </c>
      <c r="AG774">
        <v>0</v>
      </c>
      <c r="AH774">
        <v>0</v>
      </c>
      <c r="AI774">
        <v>0</v>
      </c>
      <c r="AY774" t="str">
        <f t="shared" si="191"/>
        <v>MARFLOQUIN 100 MG/ML SOLUTION INJECTABLE POUR BOVINS ET PORCINS (TRUIES)</v>
      </c>
      <c r="AZ774" t="str">
        <f>IF(COUNTIF(AY:AY,AY774)=1,AY774,IF(AND(COUNTIF(AY:AY,AY774)&gt;1,COUNTIF(AZ$2:AZ773,AY774)&gt;=1),"",AY774))</f>
        <v>MARFLOQUIN 100 MG/ML SOLUTION INJECTABLE POUR BOVINS ET PORCINS (TRUIES)</v>
      </c>
      <c r="BA774">
        <f>IF(AZ774="","",COUNTIFS(AZ$3:AZ$1439,"&lt;"&amp;AZ774,AZ$3:AZ$1439,"&lt;&gt;0")+COUNTIF(AZ$3:AZ774,AZ774)-876)</f>
        <v>295</v>
      </c>
      <c r="BT774" s="76"/>
      <c r="CN774">
        <v>773</v>
      </c>
    </row>
    <row r="775" spans="1:92" x14ac:dyDescent="0.3">
      <c r="A775" s="118" t="s">
        <v>3635</v>
      </c>
      <c r="B775" t="s">
        <v>3638</v>
      </c>
      <c r="C775" t="s">
        <v>3533</v>
      </c>
      <c r="D775" s="144" t="s">
        <v>764</v>
      </c>
      <c r="E775" t="s">
        <v>765</v>
      </c>
      <c r="F775" t="s">
        <v>389</v>
      </c>
      <c r="G775" t="s">
        <v>766</v>
      </c>
      <c r="H775" t="s">
        <v>2689</v>
      </c>
      <c r="I775" t="s">
        <v>766</v>
      </c>
      <c r="J775" t="s">
        <v>2366</v>
      </c>
      <c r="K775" t="s">
        <v>2366</v>
      </c>
      <c r="L775" t="s">
        <v>2690</v>
      </c>
      <c r="M775" t="s">
        <v>208</v>
      </c>
      <c r="N775" t="s">
        <v>764</v>
      </c>
      <c r="O775" t="s">
        <v>771</v>
      </c>
      <c r="P775" t="s">
        <v>772</v>
      </c>
      <c r="Q775" t="s">
        <v>852</v>
      </c>
      <c r="R775">
        <v>8</v>
      </c>
      <c r="S775">
        <v>1</v>
      </c>
      <c r="T775">
        <v>2</v>
      </c>
      <c r="U775">
        <v>1</v>
      </c>
      <c r="V775">
        <v>8</v>
      </c>
      <c r="W775">
        <v>1</v>
      </c>
      <c r="X775">
        <v>0</v>
      </c>
      <c r="Y775">
        <v>0</v>
      </c>
      <c r="Z775">
        <v>0</v>
      </c>
      <c r="AA775">
        <v>0</v>
      </c>
      <c r="AB775">
        <v>0</v>
      </c>
      <c r="AC775">
        <v>0</v>
      </c>
      <c r="AD775">
        <v>2</v>
      </c>
      <c r="AE775">
        <v>3</v>
      </c>
      <c r="AF775">
        <v>0</v>
      </c>
      <c r="AG775">
        <v>0</v>
      </c>
      <c r="AH775">
        <v>0</v>
      </c>
      <c r="AI775">
        <v>0</v>
      </c>
      <c r="AY775" t="str">
        <f t="shared" si="191"/>
        <v>MARFLOQUIN 100 MG/ML SOLUTION INJECTABLE POUR BOVINS ET PORCINS (TRUIES)</v>
      </c>
      <c r="AZ775" t="str">
        <f>IF(COUNTIF(AY:AY,AY775)=1,AY775,IF(AND(COUNTIF(AY:AY,AY775)&gt;1,COUNTIF(AZ$2:AZ774,AY775)&gt;=1),"",AY775))</f>
        <v/>
      </c>
      <c r="BA775" t="str">
        <f>IF(AZ775="","",COUNTIFS(AZ$3:AZ$1439,"&lt;"&amp;AZ775,AZ$3:AZ$1439,"&lt;&gt;0")+COUNTIF(AZ$3:AZ775,AZ775)-876)</f>
        <v/>
      </c>
      <c r="BT775" s="76"/>
      <c r="CN775">
        <v>774</v>
      </c>
    </row>
    <row r="776" spans="1:92" x14ac:dyDescent="0.3">
      <c r="A776" s="118" t="s">
        <v>3635</v>
      </c>
      <c r="B776" t="s">
        <v>3639</v>
      </c>
      <c r="C776" t="s">
        <v>792</v>
      </c>
      <c r="D776" s="144" t="s">
        <v>764</v>
      </c>
      <c r="E776" t="s">
        <v>765</v>
      </c>
      <c r="F776" t="s">
        <v>389</v>
      </c>
      <c r="G776" t="s">
        <v>766</v>
      </c>
      <c r="H776" t="s">
        <v>2689</v>
      </c>
      <c r="I776" t="s">
        <v>766</v>
      </c>
      <c r="J776" t="s">
        <v>2366</v>
      </c>
      <c r="K776" t="s">
        <v>2366</v>
      </c>
      <c r="L776" t="s">
        <v>2690</v>
      </c>
      <c r="M776" t="s">
        <v>208</v>
      </c>
      <c r="N776" t="s">
        <v>764</v>
      </c>
      <c r="O776" t="s">
        <v>771</v>
      </c>
      <c r="P776" t="s">
        <v>772</v>
      </c>
      <c r="Q776" t="s">
        <v>852</v>
      </c>
      <c r="R776">
        <v>8</v>
      </c>
      <c r="S776">
        <v>1</v>
      </c>
      <c r="T776">
        <v>2</v>
      </c>
      <c r="U776">
        <v>1</v>
      </c>
      <c r="V776">
        <v>8</v>
      </c>
      <c r="W776">
        <v>1</v>
      </c>
      <c r="X776">
        <v>0</v>
      </c>
      <c r="Y776">
        <v>0</v>
      </c>
      <c r="Z776">
        <v>0</v>
      </c>
      <c r="AA776">
        <v>0</v>
      </c>
      <c r="AB776">
        <v>0</v>
      </c>
      <c r="AC776">
        <v>0</v>
      </c>
      <c r="AD776">
        <v>2</v>
      </c>
      <c r="AE776">
        <v>3</v>
      </c>
      <c r="AF776">
        <v>0</v>
      </c>
      <c r="AG776">
        <v>0</v>
      </c>
      <c r="AH776">
        <v>0</v>
      </c>
      <c r="AI776">
        <v>0</v>
      </c>
      <c r="AY776" t="str">
        <f t="shared" si="191"/>
        <v>MARFLOQUIN 100 MG/ML SOLUTION INJECTABLE POUR BOVINS ET PORCINS (TRUIES)</v>
      </c>
      <c r="AZ776" t="str">
        <f>IF(COUNTIF(AY:AY,AY776)=1,AY776,IF(AND(COUNTIF(AY:AY,AY776)&gt;1,COUNTIF(AZ$2:AZ775,AY776)&gt;=1),"",AY776))</f>
        <v/>
      </c>
      <c r="BA776" t="str">
        <f>IF(AZ776="","",COUNTIFS(AZ$3:AZ$1439,"&lt;"&amp;AZ776,AZ$3:AZ$1439,"&lt;&gt;0")+COUNTIF(AZ$3:AZ776,AZ776)-876)</f>
        <v/>
      </c>
      <c r="BT776" s="76"/>
      <c r="CN776">
        <v>775</v>
      </c>
    </row>
    <row r="777" spans="1:92" x14ac:dyDescent="0.3">
      <c r="A777" s="118" t="s">
        <v>3635</v>
      </c>
      <c r="B777" t="s">
        <v>3640</v>
      </c>
      <c r="C777" t="s">
        <v>1238</v>
      </c>
      <c r="D777" s="144" t="s">
        <v>780</v>
      </c>
      <c r="E777" t="s">
        <v>765</v>
      </c>
      <c r="F777" t="s">
        <v>389</v>
      </c>
      <c r="G777" t="s">
        <v>766</v>
      </c>
      <c r="H777" t="s">
        <v>2689</v>
      </c>
      <c r="I777" t="s">
        <v>766</v>
      </c>
      <c r="J777" t="s">
        <v>2366</v>
      </c>
      <c r="K777" t="s">
        <v>2366</v>
      </c>
      <c r="L777" t="s">
        <v>2690</v>
      </c>
      <c r="M777" t="s">
        <v>208</v>
      </c>
      <c r="N777" t="s">
        <v>764</v>
      </c>
      <c r="O777" t="s">
        <v>771</v>
      </c>
      <c r="P777" t="s">
        <v>772</v>
      </c>
      <c r="Q777" t="s">
        <v>885</v>
      </c>
      <c r="R777">
        <v>8</v>
      </c>
      <c r="S777">
        <v>1</v>
      </c>
      <c r="T777">
        <v>2</v>
      </c>
      <c r="U777">
        <v>1</v>
      </c>
      <c r="V777">
        <v>8</v>
      </c>
      <c r="W777">
        <v>1</v>
      </c>
      <c r="X777">
        <v>0</v>
      </c>
      <c r="Y777">
        <v>0</v>
      </c>
      <c r="Z777">
        <v>0</v>
      </c>
      <c r="AA777">
        <v>0</v>
      </c>
      <c r="AB777">
        <v>0</v>
      </c>
      <c r="AC777">
        <v>0</v>
      </c>
      <c r="AD777">
        <v>2</v>
      </c>
      <c r="AE777">
        <v>3</v>
      </c>
      <c r="AF777">
        <v>0</v>
      </c>
      <c r="AG777">
        <v>0</v>
      </c>
      <c r="AH777">
        <v>0</v>
      </c>
      <c r="AI777">
        <v>0</v>
      </c>
      <c r="AY777" t="str">
        <f t="shared" si="191"/>
        <v>MARFLOQUIN 100 MG/ML SOLUTION INJECTABLE POUR BOVINS ET PORCINS (TRUIES)</v>
      </c>
      <c r="AZ777" t="str">
        <f>IF(COUNTIF(AY:AY,AY777)=1,AY777,IF(AND(COUNTIF(AY:AY,AY777)&gt;1,COUNTIF(AZ$2:AZ776,AY777)&gt;=1),"",AY777))</f>
        <v/>
      </c>
      <c r="BA777" t="str">
        <f>IF(AZ777="","",COUNTIFS(AZ$3:AZ$1439,"&lt;"&amp;AZ777,AZ$3:AZ$1439,"&lt;&gt;0")+COUNTIF(AZ$3:AZ777,AZ777)-876)</f>
        <v/>
      </c>
      <c r="BT777" s="76"/>
      <c r="CN777">
        <v>776</v>
      </c>
    </row>
    <row r="778" spans="1:92" x14ac:dyDescent="0.3">
      <c r="A778" s="118" t="s">
        <v>3919</v>
      </c>
      <c r="B778" t="s">
        <v>3920</v>
      </c>
      <c r="C778" t="s">
        <v>1915</v>
      </c>
      <c r="D778" s="144" t="s">
        <v>764</v>
      </c>
      <c r="E778" t="s">
        <v>813</v>
      </c>
      <c r="F778" t="s">
        <v>3921</v>
      </c>
      <c r="G778" t="s">
        <v>815</v>
      </c>
      <c r="H778" t="s">
        <v>860</v>
      </c>
      <c r="I778" t="s">
        <v>817</v>
      </c>
      <c r="J778" t="s">
        <v>2366</v>
      </c>
      <c r="K778" t="s">
        <v>2366</v>
      </c>
      <c r="L778" t="s">
        <v>2690</v>
      </c>
      <c r="M778" t="s">
        <v>208</v>
      </c>
      <c r="N778" t="s">
        <v>869</v>
      </c>
      <c r="O778" t="s">
        <v>824</v>
      </c>
      <c r="P778" t="s">
        <v>772</v>
      </c>
      <c r="Q778" t="s">
        <v>1033</v>
      </c>
      <c r="R778">
        <v>0</v>
      </c>
      <c r="S778">
        <v>0</v>
      </c>
      <c r="T778">
        <v>2</v>
      </c>
      <c r="U778">
        <v>21</v>
      </c>
      <c r="V778">
        <v>0</v>
      </c>
      <c r="W778">
        <v>0</v>
      </c>
      <c r="X778">
        <v>0</v>
      </c>
      <c r="Y778">
        <v>0</v>
      </c>
      <c r="Z778">
        <v>0</v>
      </c>
      <c r="AA778">
        <v>0</v>
      </c>
      <c r="AB778">
        <v>0</v>
      </c>
      <c r="AC778">
        <v>0</v>
      </c>
      <c r="AD778">
        <v>0</v>
      </c>
      <c r="AE778">
        <v>0</v>
      </c>
      <c r="AF778">
        <v>0</v>
      </c>
      <c r="AG778">
        <v>0</v>
      </c>
      <c r="AH778">
        <v>0</v>
      </c>
      <c r="AI778">
        <v>0</v>
      </c>
      <c r="AY778" t="str">
        <f t="shared" si="191"/>
        <v/>
      </c>
      <c r="AZ778" t="str">
        <f>IF(COUNTIF(AY:AY,AY778)=1,AY778,IF(AND(COUNTIF(AY:AY,AY778)&gt;1,COUNTIF(AZ$2:AZ777,AY778)&gt;=1),"",AY778))</f>
        <v/>
      </c>
      <c r="BA778" t="str">
        <f>IF(AZ778="","",COUNTIFS(AZ$3:AZ$1439,"&lt;"&amp;AZ778,AZ$3:AZ$1439,"&lt;&gt;0")+COUNTIF(AZ$3:AZ778,AZ778)-876)</f>
        <v/>
      </c>
      <c r="BT778" s="76"/>
      <c r="CN778">
        <v>777</v>
      </c>
    </row>
    <row r="779" spans="1:92" x14ac:dyDescent="0.3">
      <c r="A779" s="118" t="s">
        <v>3658</v>
      </c>
      <c r="B779" t="s">
        <v>3659</v>
      </c>
      <c r="C779" t="s">
        <v>2909</v>
      </c>
      <c r="D779" s="144" t="s">
        <v>764</v>
      </c>
      <c r="E779" t="s">
        <v>765</v>
      </c>
      <c r="F779" t="s">
        <v>390</v>
      </c>
      <c r="G779" t="s">
        <v>766</v>
      </c>
      <c r="H779" t="s">
        <v>1326</v>
      </c>
      <c r="I779" t="s">
        <v>766</v>
      </c>
      <c r="J779" t="s">
        <v>2366</v>
      </c>
      <c r="K779" t="s">
        <v>2366</v>
      </c>
      <c r="L779" t="s">
        <v>2690</v>
      </c>
      <c r="M779" t="s">
        <v>208</v>
      </c>
      <c r="N779" t="s">
        <v>869</v>
      </c>
      <c r="O779" t="s">
        <v>771</v>
      </c>
      <c r="P779" t="s">
        <v>772</v>
      </c>
      <c r="Q779" t="s">
        <v>1033</v>
      </c>
      <c r="R779">
        <v>2</v>
      </c>
      <c r="S779">
        <v>5</v>
      </c>
      <c r="T779">
        <v>0</v>
      </c>
      <c r="U779">
        <v>0</v>
      </c>
      <c r="V779">
        <v>2</v>
      </c>
      <c r="W779">
        <v>5</v>
      </c>
      <c r="X779">
        <v>0</v>
      </c>
      <c r="Y779">
        <v>0</v>
      </c>
      <c r="Z779">
        <v>0</v>
      </c>
      <c r="AA779">
        <v>0</v>
      </c>
      <c r="AB779">
        <v>0</v>
      </c>
      <c r="AC779">
        <v>0</v>
      </c>
      <c r="AD779">
        <v>2</v>
      </c>
      <c r="AE779">
        <v>5</v>
      </c>
      <c r="AF779">
        <v>0</v>
      </c>
      <c r="AG779">
        <v>0</v>
      </c>
      <c r="AH779">
        <v>0</v>
      </c>
      <c r="AI779">
        <v>0</v>
      </c>
      <c r="AY779" t="str">
        <f t="shared" si="191"/>
        <v>MARFLOQUIN 20 MG/ML SOLUTION INJECTABLE POUR BOVINS (VEAUX) ET PORCINS</v>
      </c>
      <c r="AZ779" t="str">
        <f>IF(COUNTIF(AY:AY,AY779)=1,AY779,IF(AND(COUNTIF(AY:AY,AY779)&gt;1,COUNTIF(AZ$2:AZ778,AY779)&gt;=1),"",AY779))</f>
        <v>MARFLOQUIN 20 MG/ML SOLUTION INJECTABLE POUR BOVINS (VEAUX) ET PORCINS</v>
      </c>
      <c r="BA779">
        <f>IF(AZ779="","",COUNTIFS(AZ$3:AZ$1439,"&lt;"&amp;AZ779,AZ$3:AZ$1439,"&lt;&gt;0")+COUNTIF(AZ$3:AZ779,AZ779)-876)</f>
        <v>296</v>
      </c>
      <c r="BT779" s="76"/>
      <c r="CN779">
        <v>778</v>
      </c>
    </row>
    <row r="780" spans="1:92" x14ac:dyDescent="0.3">
      <c r="A780" s="118" t="s">
        <v>3658</v>
      </c>
      <c r="B780" t="s">
        <v>3660</v>
      </c>
      <c r="C780" t="s">
        <v>792</v>
      </c>
      <c r="D780" s="144" t="s">
        <v>764</v>
      </c>
      <c r="E780" t="s">
        <v>765</v>
      </c>
      <c r="F780" t="s">
        <v>390</v>
      </c>
      <c r="G780" t="s">
        <v>766</v>
      </c>
      <c r="H780" t="s">
        <v>1326</v>
      </c>
      <c r="I780" t="s">
        <v>766</v>
      </c>
      <c r="J780" t="s">
        <v>2366</v>
      </c>
      <c r="K780" t="s">
        <v>2366</v>
      </c>
      <c r="L780" t="s">
        <v>2690</v>
      </c>
      <c r="M780" t="s">
        <v>208</v>
      </c>
      <c r="N780" t="s">
        <v>869</v>
      </c>
      <c r="O780" t="s">
        <v>771</v>
      </c>
      <c r="P780" t="s">
        <v>772</v>
      </c>
      <c r="Q780" t="s">
        <v>1033</v>
      </c>
      <c r="R780">
        <v>2</v>
      </c>
      <c r="S780">
        <v>5</v>
      </c>
      <c r="T780">
        <v>0</v>
      </c>
      <c r="U780">
        <v>0</v>
      </c>
      <c r="V780">
        <v>2</v>
      </c>
      <c r="W780">
        <v>5</v>
      </c>
      <c r="X780">
        <v>0</v>
      </c>
      <c r="Y780">
        <v>0</v>
      </c>
      <c r="Z780">
        <v>0</v>
      </c>
      <c r="AA780">
        <v>0</v>
      </c>
      <c r="AB780">
        <v>0</v>
      </c>
      <c r="AC780">
        <v>0</v>
      </c>
      <c r="AD780">
        <v>2</v>
      </c>
      <c r="AE780">
        <v>5</v>
      </c>
      <c r="AF780">
        <v>0</v>
      </c>
      <c r="AG780">
        <v>0</v>
      </c>
      <c r="AH780">
        <v>0</v>
      </c>
      <c r="AI780">
        <v>0</v>
      </c>
      <c r="AY780" t="str">
        <f t="shared" si="191"/>
        <v>MARFLOQUIN 20 MG/ML SOLUTION INJECTABLE POUR BOVINS (VEAUX) ET PORCINS</v>
      </c>
      <c r="AZ780" t="str">
        <f>IF(COUNTIF(AY:AY,AY780)=1,AY780,IF(AND(COUNTIF(AY:AY,AY780)&gt;1,COUNTIF(AZ$2:AZ779,AY780)&gt;=1),"",AY780))</f>
        <v/>
      </c>
      <c r="BA780" t="str">
        <f>IF(AZ780="","",COUNTIFS(AZ$3:AZ$1439,"&lt;"&amp;AZ780,AZ$3:AZ$1439,"&lt;&gt;0")+COUNTIF(AZ$3:AZ780,AZ780)-876)</f>
        <v/>
      </c>
      <c r="BT780" s="76"/>
      <c r="CN780">
        <v>779</v>
      </c>
    </row>
    <row r="781" spans="1:92" x14ac:dyDescent="0.3">
      <c r="A781" s="118" t="s">
        <v>3915</v>
      </c>
      <c r="B781" t="s">
        <v>3916</v>
      </c>
      <c r="C781" t="s">
        <v>1915</v>
      </c>
      <c r="D781" s="144" t="s">
        <v>764</v>
      </c>
      <c r="E781" t="s">
        <v>813</v>
      </c>
      <c r="F781" t="s">
        <v>3917</v>
      </c>
      <c r="G781" t="s">
        <v>815</v>
      </c>
      <c r="H781" t="s">
        <v>816</v>
      </c>
      <c r="I781" t="s">
        <v>817</v>
      </c>
      <c r="J781" t="s">
        <v>2366</v>
      </c>
      <c r="K781" t="s">
        <v>2366</v>
      </c>
      <c r="L781" t="s">
        <v>2690</v>
      </c>
      <c r="M781" t="s">
        <v>208</v>
      </c>
      <c r="N781" t="s">
        <v>885</v>
      </c>
      <c r="O781" t="s">
        <v>824</v>
      </c>
      <c r="P781" t="s">
        <v>772</v>
      </c>
      <c r="Q781" t="s">
        <v>825</v>
      </c>
      <c r="R781">
        <v>0</v>
      </c>
      <c r="S781">
        <v>0</v>
      </c>
      <c r="T781">
        <v>2</v>
      </c>
      <c r="U781">
        <v>21</v>
      </c>
      <c r="V781">
        <v>0</v>
      </c>
      <c r="W781">
        <v>0</v>
      </c>
      <c r="X781">
        <v>0</v>
      </c>
      <c r="Y781">
        <v>0</v>
      </c>
      <c r="Z781">
        <v>0</v>
      </c>
      <c r="AA781">
        <v>0</v>
      </c>
      <c r="AB781">
        <v>0</v>
      </c>
      <c r="AC781">
        <v>0</v>
      </c>
      <c r="AD781">
        <v>0</v>
      </c>
      <c r="AE781">
        <v>0</v>
      </c>
      <c r="AF781">
        <v>0</v>
      </c>
      <c r="AG781">
        <v>0</v>
      </c>
      <c r="AH781">
        <v>0</v>
      </c>
      <c r="AI781">
        <v>0</v>
      </c>
      <c r="AY781" t="str">
        <f t="shared" si="191"/>
        <v/>
      </c>
      <c r="AZ781" t="str">
        <f>IF(COUNTIF(AY:AY,AY781)=1,AY781,IF(AND(COUNTIF(AY:AY,AY781)&gt;1,COUNTIF(AZ$2:AZ780,AY781)&gt;=1),"",AY781))</f>
        <v/>
      </c>
      <c r="BA781" t="str">
        <f>IF(AZ781="","",COUNTIFS(AZ$3:AZ$1439,"&lt;"&amp;AZ781,AZ$3:AZ$1439,"&lt;&gt;0")+COUNTIF(AZ$3:AZ781,AZ781)-876)</f>
        <v/>
      </c>
      <c r="BT781" s="76"/>
      <c r="CN781">
        <v>780</v>
      </c>
    </row>
    <row r="782" spans="1:92" x14ac:dyDescent="0.3">
      <c r="A782" s="118" t="s">
        <v>3915</v>
      </c>
      <c r="B782" t="s">
        <v>3918</v>
      </c>
      <c r="C782" t="s">
        <v>1915</v>
      </c>
      <c r="D782" s="144" t="s">
        <v>764</v>
      </c>
      <c r="E782" t="s">
        <v>813</v>
      </c>
      <c r="F782" t="s">
        <v>3917</v>
      </c>
      <c r="G782" t="s">
        <v>815</v>
      </c>
      <c r="H782" t="s">
        <v>816</v>
      </c>
      <c r="I782" t="s">
        <v>817</v>
      </c>
      <c r="J782" t="s">
        <v>2366</v>
      </c>
      <c r="K782" t="s">
        <v>2366</v>
      </c>
      <c r="L782" t="s">
        <v>2690</v>
      </c>
      <c r="M782" t="s">
        <v>208</v>
      </c>
      <c r="N782" t="s">
        <v>885</v>
      </c>
      <c r="O782" t="s">
        <v>824</v>
      </c>
      <c r="P782" t="s">
        <v>772</v>
      </c>
      <c r="Q782" t="s">
        <v>825</v>
      </c>
      <c r="R782">
        <v>0</v>
      </c>
      <c r="S782">
        <v>0</v>
      </c>
      <c r="T782">
        <v>2</v>
      </c>
      <c r="U782">
        <v>21</v>
      </c>
      <c r="V782">
        <v>0</v>
      </c>
      <c r="W782">
        <v>0</v>
      </c>
      <c r="X782">
        <v>0</v>
      </c>
      <c r="Y782">
        <v>0</v>
      </c>
      <c r="Z782">
        <v>0</v>
      </c>
      <c r="AA782">
        <v>0</v>
      </c>
      <c r="AB782">
        <v>0</v>
      </c>
      <c r="AC782">
        <v>0</v>
      </c>
      <c r="AD782">
        <v>0</v>
      </c>
      <c r="AE782">
        <v>0</v>
      </c>
      <c r="AF782">
        <v>0</v>
      </c>
      <c r="AG782">
        <v>0</v>
      </c>
      <c r="AH782">
        <v>0</v>
      </c>
      <c r="AI782">
        <v>0</v>
      </c>
      <c r="AY782" t="str">
        <f t="shared" si="191"/>
        <v/>
      </c>
      <c r="AZ782" t="str">
        <f>IF(COUNTIF(AY:AY,AY782)=1,AY782,IF(AND(COUNTIF(AY:AY,AY782)&gt;1,COUNTIF(AZ$2:AZ781,AY782)&gt;=1),"",AY782))</f>
        <v/>
      </c>
      <c r="BA782" t="str">
        <f>IF(AZ782="","",COUNTIFS(AZ$3:AZ$1439,"&lt;"&amp;AZ782,AZ$3:AZ$1439,"&lt;&gt;0")+COUNTIF(AZ$3:AZ782,AZ782)-876)</f>
        <v/>
      </c>
      <c r="BT782" s="76"/>
      <c r="CN782">
        <v>781</v>
      </c>
    </row>
    <row r="783" spans="1:92" x14ac:dyDescent="0.3">
      <c r="A783" s="118" t="s">
        <v>3922</v>
      </c>
      <c r="B783" t="s">
        <v>3923</v>
      </c>
      <c r="C783" t="s">
        <v>3002</v>
      </c>
      <c r="D783" s="144" t="s">
        <v>1183</v>
      </c>
      <c r="E783" t="s">
        <v>813</v>
      </c>
      <c r="F783" t="s">
        <v>3924</v>
      </c>
      <c r="G783" t="s">
        <v>815</v>
      </c>
      <c r="H783" t="s">
        <v>860</v>
      </c>
      <c r="I783" t="s">
        <v>817</v>
      </c>
      <c r="J783" t="s">
        <v>2366</v>
      </c>
      <c r="K783" t="s">
        <v>2366</v>
      </c>
      <c r="L783" t="s">
        <v>2690</v>
      </c>
      <c r="M783" t="s">
        <v>208</v>
      </c>
      <c r="N783" t="s">
        <v>940</v>
      </c>
      <c r="O783" t="s">
        <v>824</v>
      </c>
      <c r="P783" t="s">
        <v>772</v>
      </c>
      <c r="Q783" t="s">
        <v>2739</v>
      </c>
      <c r="R783">
        <v>0</v>
      </c>
      <c r="S783">
        <v>0</v>
      </c>
      <c r="T783">
        <v>2</v>
      </c>
      <c r="U783">
        <v>21</v>
      </c>
      <c r="V783">
        <v>0</v>
      </c>
      <c r="W783">
        <v>0</v>
      </c>
      <c r="X783">
        <v>0</v>
      </c>
      <c r="Y783">
        <v>0</v>
      </c>
      <c r="Z783">
        <v>0</v>
      </c>
      <c r="AA783">
        <v>0</v>
      </c>
      <c r="AB783">
        <v>0</v>
      </c>
      <c r="AC783">
        <v>0</v>
      </c>
      <c r="AD783">
        <v>0</v>
      </c>
      <c r="AE783">
        <v>0</v>
      </c>
      <c r="AF783">
        <v>0</v>
      </c>
      <c r="AG783">
        <v>0</v>
      </c>
      <c r="AH783">
        <v>0</v>
      </c>
      <c r="AI783">
        <v>0</v>
      </c>
      <c r="AY783" t="str">
        <f t="shared" si="191"/>
        <v/>
      </c>
      <c r="AZ783" t="str">
        <f>IF(COUNTIF(AY:AY,AY783)=1,AY783,IF(AND(COUNTIF(AY:AY,AY783)&gt;1,COUNTIF(AZ$2:AZ782,AY783)&gt;=1),"",AY783))</f>
        <v/>
      </c>
      <c r="BA783" t="str">
        <f>IF(AZ783="","",COUNTIFS(AZ$3:AZ$1439,"&lt;"&amp;AZ783,AZ$3:AZ$1439,"&lt;&gt;0")+COUNTIF(AZ$3:AZ783,AZ783)-876)</f>
        <v/>
      </c>
      <c r="BT783" s="76"/>
      <c r="CN783">
        <v>782</v>
      </c>
    </row>
    <row r="784" spans="1:92" x14ac:dyDescent="0.3">
      <c r="A784" s="118" t="s">
        <v>2256</v>
      </c>
      <c r="B784" t="s">
        <v>2257</v>
      </c>
      <c r="C784" t="s">
        <v>2258</v>
      </c>
      <c r="D784" s="144" t="s">
        <v>793</v>
      </c>
      <c r="E784" t="s">
        <v>813</v>
      </c>
      <c r="F784" t="s">
        <v>101</v>
      </c>
      <c r="G784" t="s">
        <v>1013</v>
      </c>
      <c r="H784" t="s">
        <v>801</v>
      </c>
      <c r="I784" t="s">
        <v>1013</v>
      </c>
      <c r="J784" t="s">
        <v>991</v>
      </c>
      <c r="K784" t="s">
        <v>787</v>
      </c>
      <c r="L784" t="s">
        <v>1014</v>
      </c>
      <c r="M784" t="s">
        <v>208</v>
      </c>
      <c r="N784" t="s">
        <v>864</v>
      </c>
      <c r="O784" t="s">
        <v>824</v>
      </c>
      <c r="P784" t="s">
        <v>772</v>
      </c>
      <c r="Q784" t="s">
        <v>1015</v>
      </c>
      <c r="R784">
        <v>0</v>
      </c>
      <c r="S784">
        <v>0</v>
      </c>
      <c r="T784">
        <v>0</v>
      </c>
      <c r="U784">
        <v>0</v>
      </c>
      <c r="V784">
        <v>0</v>
      </c>
      <c r="W784">
        <v>0</v>
      </c>
      <c r="X784">
        <v>0</v>
      </c>
      <c r="Y784">
        <v>0</v>
      </c>
      <c r="Z784">
        <v>0</v>
      </c>
      <c r="AA784">
        <v>0</v>
      </c>
      <c r="AB784">
        <v>0</v>
      </c>
      <c r="AC784">
        <v>0</v>
      </c>
      <c r="AD784">
        <v>0</v>
      </c>
      <c r="AE784">
        <v>0</v>
      </c>
      <c r="AF784">
        <v>0</v>
      </c>
      <c r="AG784">
        <v>0</v>
      </c>
      <c r="AH784">
        <v>0</v>
      </c>
      <c r="AI784">
        <v>0</v>
      </c>
      <c r="AJ784" t="s">
        <v>914</v>
      </c>
      <c r="AK784" t="s">
        <v>995</v>
      </c>
      <c r="AL784" t="s">
        <v>996</v>
      </c>
      <c r="AM784" t="s">
        <v>1016</v>
      </c>
      <c r="AN784" t="s">
        <v>820</v>
      </c>
      <c r="AO784" t="s">
        <v>4371</v>
      </c>
      <c r="AP784" t="s">
        <v>4374</v>
      </c>
      <c r="AY784" t="str">
        <f t="shared" si="191"/>
        <v>MASTICOLI</v>
      </c>
      <c r="AZ784" t="str">
        <f>IF(COUNTIF(AY:AY,AY784)=1,AY784,IF(AND(COUNTIF(AY:AY,AY784)&gt;1,COUNTIF(AZ$2:AZ783,AY784)&gt;=1),"",AY784))</f>
        <v>MASTICOLI</v>
      </c>
      <c r="BA784">
        <f>IF(AZ784="","",COUNTIFS(AZ$3:AZ$1439,"&lt;"&amp;AZ784,AZ$3:AZ$1439,"&lt;&gt;0")+COUNTIF(AZ$3:AZ784,AZ784)-876)</f>
        <v>297</v>
      </c>
      <c r="BT784" s="76"/>
      <c r="CN784">
        <v>783</v>
      </c>
    </row>
    <row r="785" spans="1:92" x14ac:dyDescent="0.3">
      <c r="A785" s="118" t="s">
        <v>2256</v>
      </c>
      <c r="B785" t="s">
        <v>2259</v>
      </c>
      <c r="C785" t="s">
        <v>2260</v>
      </c>
      <c r="D785" s="144" t="s">
        <v>1132</v>
      </c>
      <c r="E785" t="s">
        <v>813</v>
      </c>
      <c r="F785" t="s">
        <v>101</v>
      </c>
      <c r="G785" t="s">
        <v>1013</v>
      </c>
      <c r="H785" t="s">
        <v>801</v>
      </c>
      <c r="I785" t="s">
        <v>1013</v>
      </c>
      <c r="J785" t="s">
        <v>991</v>
      </c>
      <c r="K785" t="s">
        <v>787</v>
      </c>
      <c r="L785" t="s">
        <v>1014</v>
      </c>
      <c r="M785" t="s">
        <v>208</v>
      </c>
      <c r="N785" t="s">
        <v>864</v>
      </c>
      <c r="O785" t="s">
        <v>824</v>
      </c>
      <c r="P785" t="s">
        <v>772</v>
      </c>
      <c r="Q785" t="s">
        <v>1361</v>
      </c>
      <c r="R785">
        <v>0</v>
      </c>
      <c r="S785">
        <v>0</v>
      </c>
      <c r="T785">
        <v>0</v>
      </c>
      <c r="U785">
        <v>0</v>
      </c>
      <c r="V785">
        <v>0</v>
      </c>
      <c r="W785">
        <v>0</v>
      </c>
      <c r="X785">
        <v>0</v>
      </c>
      <c r="Y785">
        <v>0</v>
      </c>
      <c r="Z785">
        <v>0</v>
      </c>
      <c r="AA785">
        <v>0</v>
      </c>
      <c r="AB785">
        <v>0</v>
      </c>
      <c r="AC785">
        <v>0</v>
      </c>
      <c r="AD785">
        <v>0</v>
      </c>
      <c r="AE785">
        <v>0</v>
      </c>
      <c r="AF785">
        <v>0</v>
      </c>
      <c r="AG785">
        <v>0</v>
      </c>
      <c r="AH785">
        <v>0</v>
      </c>
      <c r="AI785">
        <v>0</v>
      </c>
      <c r="AJ785" t="s">
        <v>914</v>
      </c>
      <c r="AK785" t="s">
        <v>995</v>
      </c>
      <c r="AL785" t="s">
        <v>996</v>
      </c>
      <c r="AM785" t="s">
        <v>1016</v>
      </c>
      <c r="AN785" t="s">
        <v>820</v>
      </c>
      <c r="AO785" t="s">
        <v>4371</v>
      </c>
      <c r="AP785" t="s">
        <v>2524</v>
      </c>
      <c r="AY785" t="str">
        <f t="shared" si="191"/>
        <v>MASTICOLI</v>
      </c>
      <c r="AZ785" t="str">
        <f>IF(COUNTIF(AY:AY,AY785)=1,AY785,IF(AND(COUNTIF(AY:AY,AY785)&gt;1,COUNTIF(AZ$2:AZ784,AY785)&gt;=1),"",AY785))</f>
        <v/>
      </c>
      <c r="BA785" t="str">
        <f>IF(AZ785="","",COUNTIFS(AZ$3:AZ$1439,"&lt;"&amp;AZ785,AZ$3:AZ$1439,"&lt;&gt;0")+COUNTIF(AZ$3:AZ785,AZ785)-876)</f>
        <v/>
      </c>
      <c r="BT785" s="76"/>
      <c r="CN785">
        <v>784</v>
      </c>
    </row>
    <row r="786" spans="1:92" x14ac:dyDescent="0.3">
      <c r="A786" s="118" t="s">
        <v>1193</v>
      </c>
      <c r="B786" t="s">
        <v>1194</v>
      </c>
      <c r="C786" t="s">
        <v>1195</v>
      </c>
      <c r="D786" s="144" t="s">
        <v>934</v>
      </c>
      <c r="E786" t="s">
        <v>813</v>
      </c>
      <c r="F786" t="s">
        <v>41</v>
      </c>
      <c r="G786" t="s">
        <v>1013</v>
      </c>
      <c r="H786" t="s">
        <v>801</v>
      </c>
      <c r="I786" t="s">
        <v>1013</v>
      </c>
      <c r="J786" t="s">
        <v>1196</v>
      </c>
      <c r="K786" t="s">
        <v>783</v>
      </c>
      <c r="L786" t="s">
        <v>784</v>
      </c>
      <c r="M786" t="s">
        <v>208</v>
      </c>
      <c r="N786" t="s">
        <v>776</v>
      </c>
      <c r="O786" t="s">
        <v>824</v>
      </c>
      <c r="P786" t="s">
        <v>772</v>
      </c>
      <c r="Q786" t="s">
        <v>772</v>
      </c>
      <c r="R786">
        <v>0</v>
      </c>
      <c r="S786">
        <v>0</v>
      </c>
      <c r="T786">
        <v>0</v>
      </c>
      <c r="U786">
        <v>0</v>
      </c>
      <c r="V786">
        <v>0</v>
      </c>
      <c r="W786">
        <v>0</v>
      </c>
      <c r="X786">
        <v>0</v>
      </c>
      <c r="Y786">
        <v>0</v>
      </c>
      <c r="Z786">
        <v>0</v>
      </c>
      <c r="AA786">
        <v>0</v>
      </c>
      <c r="AB786">
        <v>0</v>
      </c>
      <c r="AC786">
        <v>0</v>
      </c>
      <c r="AD786">
        <v>0</v>
      </c>
      <c r="AE786">
        <v>0</v>
      </c>
      <c r="AF786">
        <v>0</v>
      </c>
      <c r="AG786">
        <v>0</v>
      </c>
      <c r="AH786">
        <v>0</v>
      </c>
      <c r="AI786">
        <v>0</v>
      </c>
      <c r="AJ786" t="s">
        <v>768</v>
      </c>
      <c r="AK786" t="s">
        <v>1051</v>
      </c>
      <c r="AL786" t="s">
        <v>208</v>
      </c>
      <c r="AM786" t="s">
        <v>1197</v>
      </c>
      <c r="AN786" t="s">
        <v>824</v>
      </c>
      <c r="AO786" t="s">
        <v>772</v>
      </c>
      <c r="AP786" t="s">
        <v>1198</v>
      </c>
      <c r="AQ786" t="s">
        <v>914</v>
      </c>
      <c r="AR786" t="s">
        <v>1199</v>
      </c>
      <c r="AS786" t="s">
        <v>208</v>
      </c>
      <c r="AT786" t="s">
        <v>902</v>
      </c>
      <c r="AU786" t="s">
        <v>820</v>
      </c>
      <c r="AV786" t="s">
        <v>4383</v>
      </c>
      <c r="AW786" t="s">
        <v>1200</v>
      </c>
      <c r="AY786" t="str">
        <f t="shared" si="191"/>
        <v>MASTIJET</v>
      </c>
      <c r="AZ786" t="str">
        <f>IF(COUNTIF(AY:AY,AY786)=1,AY786,IF(AND(COUNTIF(AY:AY,AY786)&gt;1,COUNTIF(AZ$2:AZ785,AY786)&gt;=1),"",AY786))</f>
        <v>MASTIJET</v>
      </c>
      <c r="BA786">
        <f>IF(AZ786="","",COUNTIFS(AZ$3:AZ$1439,"&lt;"&amp;AZ786,AZ$3:AZ$1439,"&lt;&gt;0")+COUNTIF(AZ$3:AZ786,AZ786)-876)</f>
        <v>298</v>
      </c>
      <c r="BT786" s="76"/>
      <c r="CN786">
        <v>785</v>
      </c>
    </row>
    <row r="787" spans="1:92" x14ac:dyDescent="0.3">
      <c r="A787" s="118" t="s">
        <v>1193</v>
      </c>
      <c r="B787" t="s">
        <v>1201</v>
      </c>
      <c r="C787" t="s">
        <v>1202</v>
      </c>
      <c r="D787" s="144" t="s">
        <v>869</v>
      </c>
      <c r="E787" t="s">
        <v>813</v>
      </c>
      <c r="F787" t="s">
        <v>41</v>
      </c>
      <c r="G787" t="s">
        <v>1013</v>
      </c>
      <c r="H787" t="s">
        <v>801</v>
      </c>
      <c r="I787" t="s">
        <v>1013</v>
      </c>
      <c r="J787" t="s">
        <v>1196</v>
      </c>
      <c r="K787" t="s">
        <v>783</v>
      </c>
      <c r="L787" t="s">
        <v>784</v>
      </c>
      <c r="M787" t="s">
        <v>208</v>
      </c>
      <c r="N787" t="s">
        <v>776</v>
      </c>
      <c r="O787" t="s">
        <v>824</v>
      </c>
      <c r="P787" t="s">
        <v>772</v>
      </c>
      <c r="Q787" t="s">
        <v>885</v>
      </c>
      <c r="R787">
        <v>0</v>
      </c>
      <c r="S787">
        <v>0</v>
      </c>
      <c r="T787">
        <v>0</v>
      </c>
      <c r="U787">
        <v>0</v>
      </c>
      <c r="V787">
        <v>0</v>
      </c>
      <c r="W787">
        <v>0</v>
      </c>
      <c r="X787">
        <v>0</v>
      </c>
      <c r="Y787">
        <v>0</v>
      </c>
      <c r="Z787">
        <v>0</v>
      </c>
      <c r="AA787">
        <v>0</v>
      </c>
      <c r="AB787">
        <v>0</v>
      </c>
      <c r="AC787">
        <v>0</v>
      </c>
      <c r="AD787">
        <v>0</v>
      </c>
      <c r="AE787">
        <v>0</v>
      </c>
      <c r="AF787">
        <v>0</v>
      </c>
      <c r="AG787">
        <v>0</v>
      </c>
      <c r="AH787">
        <v>0</v>
      </c>
      <c r="AI787">
        <v>0</v>
      </c>
      <c r="AJ787" t="s">
        <v>768</v>
      </c>
      <c r="AK787" t="s">
        <v>1051</v>
      </c>
      <c r="AL787" t="s">
        <v>208</v>
      </c>
      <c r="AM787" t="s">
        <v>1197</v>
      </c>
      <c r="AN787" t="s">
        <v>824</v>
      </c>
      <c r="AO787" t="s">
        <v>772</v>
      </c>
      <c r="AP787" t="s">
        <v>1203</v>
      </c>
      <c r="AQ787" t="s">
        <v>914</v>
      </c>
      <c r="AR787" t="s">
        <v>1199</v>
      </c>
      <c r="AS787" t="s">
        <v>208</v>
      </c>
      <c r="AT787" t="s">
        <v>902</v>
      </c>
      <c r="AU787" t="s">
        <v>820</v>
      </c>
      <c r="AV787" t="s">
        <v>4383</v>
      </c>
      <c r="AW787" t="s">
        <v>1204</v>
      </c>
      <c r="AY787" t="str">
        <f t="shared" si="191"/>
        <v>MASTIJET</v>
      </c>
      <c r="AZ787" t="str">
        <f>IF(COUNTIF(AY:AY,AY787)=1,AY787,IF(AND(COUNTIF(AY:AY,AY787)&gt;1,COUNTIF(AZ$2:AZ786,AY787)&gt;=1),"",AY787))</f>
        <v/>
      </c>
      <c r="BA787" t="str">
        <f>IF(AZ787="","",COUNTIFS(AZ$3:AZ$1439,"&lt;"&amp;AZ787,AZ$3:AZ$1439,"&lt;&gt;0")+COUNTIF(AZ$3:AZ787,AZ787)-876)</f>
        <v/>
      </c>
      <c r="BT787" s="76"/>
      <c r="CN787">
        <v>786</v>
      </c>
    </row>
    <row r="788" spans="1:92" x14ac:dyDescent="0.3">
      <c r="A788" s="118" t="s">
        <v>2138</v>
      </c>
      <c r="B788" t="s">
        <v>2139</v>
      </c>
      <c r="C788" t="s">
        <v>2140</v>
      </c>
      <c r="D788" s="144" t="s">
        <v>793</v>
      </c>
      <c r="E788" t="s">
        <v>813</v>
      </c>
      <c r="F788" t="s">
        <v>102</v>
      </c>
      <c r="G788" t="s">
        <v>1013</v>
      </c>
      <c r="H788" t="s">
        <v>1387</v>
      </c>
      <c r="I788" t="s">
        <v>1013</v>
      </c>
      <c r="J788" t="s">
        <v>782</v>
      </c>
      <c r="K788" t="s">
        <v>787</v>
      </c>
      <c r="L788" t="s">
        <v>788</v>
      </c>
      <c r="M788" t="s">
        <v>208</v>
      </c>
      <c r="N788" t="s">
        <v>2141</v>
      </c>
      <c r="O788" t="s">
        <v>824</v>
      </c>
      <c r="P788" t="s">
        <v>772</v>
      </c>
      <c r="Q788" t="s">
        <v>2142</v>
      </c>
      <c r="R788">
        <v>0</v>
      </c>
      <c r="S788">
        <v>0</v>
      </c>
      <c r="T788">
        <v>0</v>
      </c>
      <c r="U788">
        <v>0</v>
      </c>
      <c r="V788">
        <v>0</v>
      </c>
      <c r="W788">
        <v>0</v>
      </c>
      <c r="X788">
        <v>0</v>
      </c>
      <c r="Y788">
        <v>0</v>
      </c>
      <c r="Z788">
        <v>0</v>
      </c>
      <c r="AA788">
        <v>0</v>
      </c>
      <c r="AB788">
        <v>0</v>
      </c>
      <c r="AC788">
        <v>0</v>
      </c>
      <c r="AD788">
        <v>0</v>
      </c>
      <c r="AE788">
        <v>0</v>
      </c>
      <c r="AF788">
        <v>0</v>
      </c>
      <c r="AG788">
        <v>0</v>
      </c>
      <c r="AH788">
        <v>0</v>
      </c>
      <c r="AI788">
        <v>0</v>
      </c>
      <c r="AJ788" t="s">
        <v>783</v>
      </c>
      <c r="AK788" t="s">
        <v>945</v>
      </c>
      <c r="AL788" t="s">
        <v>208</v>
      </c>
      <c r="AM788" t="s">
        <v>2143</v>
      </c>
      <c r="AN788" t="s">
        <v>824</v>
      </c>
      <c r="AO788" t="s">
        <v>772</v>
      </c>
      <c r="AP788" t="s">
        <v>2144</v>
      </c>
      <c r="AY788" t="str">
        <f t="shared" si="191"/>
        <v>MASTI-PENI</v>
      </c>
      <c r="AZ788" t="str">
        <f>IF(COUNTIF(AY:AY,AY788)=1,AY788,IF(AND(COUNTIF(AY:AY,AY788)&gt;1,COUNTIF(AZ$2:AZ787,AY788)&gt;=1),"",AY788))</f>
        <v>MASTI-PENI</v>
      </c>
      <c r="BA788">
        <f>IF(AZ788="","",COUNTIFS(AZ$3:AZ$1439,"&lt;"&amp;AZ788,AZ$3:AZ$1439,"&lt;&gt;0")+COUNTIF(AZ$3:AZ788,AZ788)-876)</f>
        <v>299</v>
      </c>
      <c r="BT788" s="76"/>
      <c r="CN788">
        <v>787</v>
      </c>
    </row>
    <row r="789" spans="1:92" x14ac:dyDescent="0.3">
      <c r="A789" s="118" t="s">
        <v>2138</v>
      </c>
      <c r="B789" t="s">
        <v>2145</v>
      </c>
      <c r="C789" t="s">
        <v>2146</v>
      </c>
      <c r="D789" s="144" t="s">
        <v>1132</v>
      </c>
      <c r="E789" t="s">
        <v>813</v>
      </c>
      <c r="F789" t="s">
        <v>102</v>
      </c>
      <c r="G789" t="s">
        <v>1013</v>
      </c>
      <c r="H789" t="s">
        <v>1387</v>
      </c>
      <c r="I789" t="s">
        <v>1013</v>
      </c>
      <c r="J789" t="s">
        <v>782</v>
      </c>
      <c r="K789" t="s">
        <v>787</v>
      </c>
      <c r="L789" t="s">
        <v>788</v>
      </c>
      <c r="M789" t="s">
        <v>208</v>
      </c>
      <c r="N789" t="s">
        <v>2141</v>
      </c>
      <c r="O789" t="s">
        <v>824</v>
      </c>
      <c r="P789" t="s">
        <v>772</v>
      </c>
      <c r="Q789" t="s">
        <v>2147</v>
      </c>
      <c r="R789">
        <v>0</v>
      </c>
      <c r="S789">
        <v>0</v>
      </c>
      <c r="T789">
        <v>0</v>
      </c>
      <c r="U789">
        <v>0</v>
      </c>
      <c r="V789">
        <v>0</v>
      </c>
      <c r="W789">
        <v>0</v>
      </c>
      <c r="X789">
        <v>0</v>
      </c>
      <c r="Y789">
        <v>0</v>
      </c>
      <c r="Z789">
        <v>0</v>
      </c>
      <c r="AA789">
        <v>0</v>
      </c>
      <c r="AB789">
        <v>0</v>
      </c>
      <c r="AC789">
        <v>0</v>
      </c>
      <c r="AD789">
        <v>0</v>
      </c>
      <c r="AE789">
        <v>0</v>
      </c>
      <c r="AF789">
        <v>0</v>
      </c>
      <c r="AG789">
        <v>0</v>
      </c>
      <c r="AH789">
        <v>0</v>
      </c>
      <c r="AI789">
        <v>0</v>
      </c>
      <c r="AJ789" t="s">
        <v>783</v>
      </c>
      <c r="AK789" t="s">
        <v>945</v>
      </c>
      <c r="AL789" t="s">
        <v>208</v>
      </c>
      <c r="AM789" t="s">
        <v>2143</v>
      </c>
      <c r="AN789" t="s">
        <v>824</v>
      </c>
      <c r="AO789" t="s">
        <v>772</v>
      </c>
      <c r="AP789" t="s">
        <v>2148</v>
      </c>
      <c r="AY789" t="str">
        <f t="shared" si="191"/>
        <v>MASTI-PENI</v>
      </c>
      <c r="AZ789" t="str">
        <f>IF(COUNTIF(AY:AY,AY789)=1,AY789,IF(AND(COUNTIF(AY:AY,AY789)&gt;1,COUNTIF(AZ$2:AZ788,AY789)&gt;=1),"",AY789))</f>
        <v/>
      </c>
      <c r="BA789" t="str">
        <f>IF(AZ789="","",COUNTIFS(AZ$3:AZ$1439,"&lt;"&amp;AZ789,AZ$3:AZ$1439,"&lt;&gt;0")+COUNTIF(AZ$3:AZ789,AZ789)-876)</f>
        <v/>
      </c>
      <c r="BT789" s="76"/>
      <c r="CN789">
        <v>788</v>
      </c>
    </row>
    <row r="790" spans="1:92" x14ac:dyDescent="0.3">
      <c r="A790" s="118" t="s">
        <v>3297</v>
      </c>
      <c r="B790" t="s">
        <v>3298</v>
      </c>
      <c r="C790" t="s">
        <v>3299</v>
      </c>
      <c r="D790" s="144" t="s">
        <v>869</v>
      </c>
      <c r="E790" t="s">
        <v>813</v>
      </c>
      <c r="F790" t="s">
        <v>391</v>
      </c>
      <c r="G790" t="s">
        <v>1013</v>
      </c>
      <c r="H790" t="s">
        <v>1387</v>
      </c>
      <c r="I790" t="s">
        <v>1013</v>
      </c>
      <c r="J790" t="s">
        <v>1179</v>
      </c>
      <c r="K790" t="s">
        <v>1179</v>
      </c>
      <c r="L790" t="s">
        <v>2398</v>
      </c>
      <c r="M790" t="s">
        <v>208</v>
      </c>
      <c r="N790" t="s">
        <v>1163</v>
      </c>
      <c r="O790" t="s">
        <v>824</v>
      </c>
      <c r="P790" t="s">
        <v>772</v>
      </c>
      <c r="Q790" t="s">
        <v>786</v>
      </c>
      <c r="R790">
        <v>0</v>
      </c>
      <c r="S790">
        <v>0</v>
      </c>
      <c r="T790">
        <v>0</v>
      </c>
      <c r="U790">
        <v>0</v>
      </c>
      <c r="V790">
        <v>0</v>
      </c>
      <c r="W790">
        <v>0</v>
      </c>
      <c r="X790">
        <v>0</v>
      </c>
      <c r="Y790">
        <v>0</v>
      </c>
      <c r="Z790">
        <v>0</v>
      </c>
      <c r="AA790">
        <v>0</v>
      </c>
      <c r="AB790">
        <v>0</v>
      </c>
      <c r="AC790">
        <v>0</v>
      </c>
      <c r="AD790">
        <v>0</v>
      </c>
      <c r="AE790">
        <v>0</v>
      </c>
      <c r="AF790">
        <v>0</v>
      </c>
      <c r="AG790">
        <v>0</v>
      </c>
      <c r="AH790">
        <v>0</v>
      </c>
      <c r="AI790">
        <v>0</v>
      </c>
      <c r="AY790" t="str">
        <f t="shared" si="191"/>
        <v>MASTIPLAN LC</v>
      </c>
      <c r="AZ790" t="str">
        <f>IF(COUNTIF(AY:AY,AY790)=1,AY790,IF(AND(COUNTIF(AY:AY,AY790)&gt;1,COUNTIF(AZ$2:AZ789,AY790)&gt;=1),"",AY790))</f>
        <v>MASTIPLAN LC</v>
      </c>
      <c r="BA790">
        <f>IF(AZ790="","",COUNTIFS(AZ$3:AZ$1439,"&lt;"&amp;AZ790,AZ$3:AZ$1439,"&lt;&gt;0")+COUNTIF(AZ$3:AZ790,AZ790)-876)</f>
        <v>300</v>
      </c>
      <c r="BT790" s="76"/>
      <c r="CN790">
        <v>789</v>
      </c>
    </row>
    <row r="791" spans="1:92" x14ac:dyDescent="0.3">
      <c r="A791" s="118" t="s">
        <v>3297</v>
      </c>
      <c r="B791" t="s">
        <v>3300</v>
      </c>
      <c r="C791" t="s">
        <v>3301</v>
      </c>
      <c r="D791" s="144" t="s">
        <v>934</v>
      </c>
      <c r="E791" t="s">
        <v>813</v>
      </c>
      <c r="F791" t="s">
        <v>391</v>
      </c>
      <c r="G791" t="s">
        <v>1013</v>
      </c>
      <c r="H791" t="s">
        <v>1387</v>
      </c>
      <c r="I791" t="s">
        <v>1013</v>
      </c>
      <c r="J791" t="s">
        <v>1179</v>
      </c>
      <c r="K791" t="s">
        <v>1179</v>
      </c>
      <c r="L791" t="s">
        <v>2398</v>
      </c>
      <c r="M791" t="s">
        <v>208</v>
      </c>
      <c r="N791" t="s">
        <v>1163</v>
      </c>
      <c r="O791" t="s">
        <v>824</v>
      </c>
      <c r="P791" t="s">
        <v>772</v>
      </c>
      <c r="Q791" t="s">
        <v>2288</v>
      </c>
      <c r="R791">
        <v>0</v>
      </c>
      <c r="S791">
        <v>0</v>
      </c>
      <c r="T791">
        <v>0</v>
      </c>
      <c r="U791">
        <v>0</v>
      </c>
      <c r="V791">
        <v>0</v>
      </c>
      <c r="W791">
        <v>0</v>
      </c>
      <c r="X791">
        <v>0</v>
      </c>
      <c r="Y791">
        <v>0</v>
      </c>
      <c r="Z791">
        <v>0</v>
      </c>
      <c r="AA791">
        <v>0</v>
      </c>
      <c r="AB791">
        <v>0</v>
      </c>
      <c r="AC791">
        <v>0</v>
      </c>
      <c r="AD791">
        <v>0</v>
      </c>
      <c r="AE791">
        <v>0</v>
      </c>
      <c r="AF791">
        <v>0</v>
      </c>
      <c r="AG791">
        <v>0</v>
      </c>
      <c r="AH791">
        <v>0</v>
      </c>
      <c r="AI791">
        <v>0</v>
      </c>
      <c r="AY791" t="str">
        <f t="shared" si="191"/>
        <v>MASTIPLAN LC</v>
      </c>
      <c r="AZ791" t="str">
        <f>IF(COUNTIF(AY:AY,AY791)=1,AY791,IF(AND(COUNTIF(AY:AY,AY791)&gt;1,COUNTIF(AZ$2:AZ790,AY791)&gt;=1),"",AY791))</f>
        <v/>
      </c>
      <c r="BA791" t="str">
        <f>IF(AZ791="","",COUNTIFS(AZ$3:AZ$1439,"&lt;"&amp;AZ791,AZ$3:AZ$1439,"&lt;&gt;0")+COUNTIF(AZ$3:AZ791,AZ791)-876)</f>
        <v/>
      </c>
      <c r="BT791" s="76"/>
      <c r="CN791">
        <v>790</v>
      </c>
    </row>
    <row r="792" spans="1:92" x14ac:dyDescent="0.3">
      <c r="A792" s="118" t="s">
        <v>2299</v>
      </c>
      <c r="B792" t="s">
        <v>2300</v>
      </c>
      <c r="C792" t="s">
        <v>2301</v>
      </c>
      <c r="D792" s="144" t="s">
        <v>1132</v>
      </c>
      <c r="E792" t="s">
        <v>813</v>
      </c>
      <c r="F792" t="s">
        <v>392</v>
      </c>
      <c r="G792" t="s">
        <v>1024</v>
      </c>
      <c r="H792" t="s">
        <v>801</v>
      </c>
      <c r="I792" t="s">
        <v>1013</v>
      </c>
      <c r="J792" t="s">
        <v>782</v>
      </c>
      <c r="K792" t="s">
        <v>787</v>
      </c>
      <c r="L792" t="s">
        <v>788</v>
      </c>
      <c r="M792" t="s">
        <v>208</v>
      </c>
      <c r="N792" t="s">
        <v>2302</v>
      </c>
      <c r="O792" t="s">
        <v>824</v>
      </c>
      <c r="P792" t="s">
        <v>772</v>
      </c>
      <c r="Q792" t="s">
        <v>2303</v>
      </c>
      <c r="R792">
        <v>0</v>
      </c>
      <c r="S792">
        <v>0</v>
      </c>
      <c r="T792">
        <v>0</v>
      </c>
      <c r="U792">
        <v>0</v>
      </c>
      <c r="V792">
        <v>0</v>
      </c>
      <c r="W792">
        <v>0</v>
      </c>
      <c r="X792">
        <v>0</v>
      </c>
      <c r="Y792">
        <v>0</v>
      </c>
      <c r="Z792">
        <v>0</v>
      </c>
      <c r="AA792">
        <v>0</v>
      </c>
      <c r="AB792">
        <v>0</v>
      </c>
      <c r="AC792">
        <v>0</v>
      </c>
      <c r="AD792">
        <v>0</v>
      </c>
      <c r="AE792">
        <v>0</v>
      </c>
      <c r="AF792">
        <v>0</v>
      </c>
      <c r="AG792">
        <v>0</v>
      </c>
      <c r="AH792">
        <v>0</v>
      </c>
      <c r="AI792">
        <v>0</v>
      </c>
      <c r="AJ792" t="s">
        <v>783</v>
      </c>
      <c r="AK792" t="s">
        <v>784</v>
      </c>
      <c r="AL792" t="s">
        <v>208</v>
      </c>
      <c r="AM792" t="s">
        <v>1016</v>
      </c>
      <c r="AN792" t="s">
        <v>820</v>
      </c>
      <c r="AO792" t="s">
        <v>4370</v>
      </c>
      <c r="AP792" t="s">
        <v>4453</v>
      </c>
      <c r="AY792" t="str">
        <f t="shared" si="191"/>
        <v>MASTITAR HL</v>
      </c>
      <c r="AZ792" t="str">
        <f>IF(COUNTIF(AY:AY,AY792)=1,AY792,IF(AND(COUNTIF(AY:AY,AY792)&gt;1,COUNTIF(AZ$2:AZ791,AY792)&gt;=1),"",AY792))</f>
        <v>MASTITAR HL</v>
      </c>
      <c r="BA792">
        <f>IF(AZ792="","",COUNTIFS(AZ$3:AZ$1439,"&lt;"&amp;AZ792,AZ$3:AZ$1439,"&lt;&gt;0")+COUNTIF(AZ$3:AZ792,AZ792)-876)</f>
        <v>301</v>
      </c>
      <c r="BT792" s="76"/>
      <c r="CN792">
        <v>791</v>
      </c>
    </row>
    <row r="793" spans="1:92" x14ac:dyDescent="0.3">
      <c r="A793" s="118" t="s">
        <v>2299</v>
      </c>
      <c r="B793" t="s">
        <v>2304</v>
      </c>
      <c r="C793" t="s">
        <v>2305</v>
      </c>
      <c r="D793" s="144" t="s">
        <v>785</v>
      </c>
      <c r="E793" t="s">
        <v>813</v>
      </c>
      <c r="F793" t="s">
        <v>392</v>
      </c>
      <c r="G793" t="s">
        <v>1024</v>
      </c>
      <c r="H793" t="s">
        <v>801</v>
      </c>
      <c r="I793" t="s">
        <v>1013</v>
      </c>
      <c r="J793" t="s">
        <v>782</v>
      </c>
      <c r="K793" t="s">
        <v>787</v>
      </c>
      <c r="L793" t="s">
        <v>788</v>
      </c>
      <c r="M793" t="s">
        <v>208</v>
      </c>
      <c r="N793" t="s">
        <v>2302</v>
      </c>
      <c r="O793" t="s">
        <v>824</v>
      </c>
      <c r="P793" t="s">
        <v>772</v>
      </c>
      <c r="Q793" t="s">
        <v>2306</v>
      </c>
      <c r="R793">
        <v>0</v>
      </c>
      <c r="S793">
        <v>0</v>
      </c>
      <c r="T793">
        <v>0</v>
      </c>
      <c r="U793">
        <v>0</v>
      </c>
      <c r="V793">
        <v>0</v>
      </c>
      <c r="W793">
        <v>0</v>
      </c>
      <c r="X793">
        <v>0</v>
      </c>
      <c r="Y793">
        <v>0</v>
      </c>
      <c r="Z793">
        <v>0</v>
      </c>
      <c r="AA793">
        <v>0</v>
      </c>
      <c r="AB793">
        <v>0</v>
      </c>
      <c r="AC793">
        <v>0</v>
      </c>
      <c r="AD793">
        <v>0</v>
      </c>
      <c r="AE793">
        <v>0</v>
      </c>
      <c r="AF793">
        <v>0</v>
      </c>
      <c r="AG793">
        <v>0</v>
      </c>
      <c r="AH793">
        <v>0</v>
      </c>
      <c r="AI793">
        <v>0</v>
      </c>
      <c r="AJ793" t="s">
        <v>783</v>
      </c>
      <c r="AK793" t="s">
        <v>784</v>
      </c>
      <c r="AL793" t="s">
        <v>208</v>
      </c>
      <c r="AM793" t="s">
        <v>1016</v>
      </c>
      <c r="AN793" t="s">
        <v>820</v>
      </c>
      <c r="AO793" t="s">
        <v>4370</v>
      </c>
      <c r="AP793" t="s">
        <v>4422</v>
      </c>
      <c r="AY793" t="str">
        <f t="shared" si="191"/>
        <v>MASTITAR HL</v>
      </c>
      <c r="AZ793" t="str">
        <f>IF(COUNTIF(AY:AY,AY793)=1,AY793,IF(AND(COUNTIF(AY:AY,AY793)&gt;1,COUNTIF(AZ$2:AZ792,AY793)&gt;=1),"",AY793))</f>
        <v/>
      </c>
      <c r="BA793" t="str">
        <f>IF(AZ793="","",COUNTIFS(AZ$3:AZ$1439,"&lt;"&amp;AZ793,AZ$3:AZ$1439,"&lt;&gt;0")+COUNTIF(AZ$3:AZ793,AZ793)-876)</f>
        <v/>
      </c>
      <c r="BT793" s="76"/>
      <c r="CN793">
        <v>792</v>
      </c>
    </row>
    <row r="794" spans="1:92" x14ac:dyDescent="0.3">
      <c r="A794" s="118" t="s">
        <v>2299</v>
      </c>
      <c r="B794" t="s">
        <v>2307</v>
      </c>
      <c r="C794" t="s">
        <v>2308</v>
      </c>
      <c r="D794" s="144" t="s">
        <v>1047</v>
      </c>
      <c r="E794" t="s">
        <v>813</v>
      </c>
      <c r="F794" t="s">
        <v>392</v>
      </c>
      <c r="G794" t="s">
        <v>1024</v>
      </c>
      <c r="H794" t="s">
        <v>801</v>
      </c>
      <c r="I794" t="s">
        <v>1013</v>
      </c>
      <c r="J794" t="s">
        <v>782</v>
      </c>
      <c r="K794" t="s">
        <v>787</v>
      </c>
      <c r="L794" t="s">
        <v>788</v>
      </c>
      <c r="M794" t="s">
        <v>208</v>
      </c>
      <c r="N794" t="s">
        <v>2302</v>
      </c>
      <c r="O794" t="s">
        <v>824</v>
      </c>
      <c r="P794" t="s">
        <v>772</v>
      </c>
      <c r="Q794" t="s">
        <v>2309</v>
      </c>
      <c r="R794">
        <v>0</v>
      </c>
      <c r="S794">
        <v>0</v>
      </c>
      <c r="T794">
        <v>0</v>
      </c>
      <c r="U794">
        <v>0</v>
      </c>
      <c r="V794">
        <v>0</v>
      </c>
      <c r="W794">
        <v>0</v>
      </c>
      <c r="X794">
        <v>0</v>
      </c>
      <c r="Y794">
        <v>0</v>
      </c>
      <c r="Z794">
        <v>0</v>
      </c>
      <c r="AA794">
        <v>0</v>
      </c>
      <c r="AB794">
        <v>0</v>
      </c>
      <c r="AC794">
        <v>0</v>
      </c>
      <c r="AD794">
        <v>0</v>
      </c>
      <c r="AE794">
        <v>0</v>
      </c>
      <c r="AF794">
        <v>0</v>
      </c>
      <c r="AG794">
        <v>0</v>
      </c>
      <c r="AH794">
        <v>0</v>
      </c>
      <c r="AI794">
        <v>0</v>
      </c>
      <c r="AJ794" t="s">
        <v>783</v>
      </c>
      <c r="AK794" t="s">
        <v>784</v>
      </c>
      <c r="AL794" t="s">
        <v>208</v>
      </c>
      <c r="AM794" t="s">
        <v>1016</v>
      </c>
      <c r="AN794" t="s">
        <v>820</v>
      </c>
      <c r="AO794" t="s">
        <v>4370</v>
      </c>
      <c r="AP794" t="s">
        <v>4454</v>
      </c>
      <c r="AY794" t="str">
        <f t="shared" si="191"/>
        <v>MASTITAR HL</v>
      </c>
      <c r="AZ794" t="str">
        <f>IF(COUNTIF(AY:AY,AY794)=1,AY794,IF(AND(COUNTIF(AY:AY,AY794)&gt;1,COUNTIF(AZ$2:AZ793,AY794)&gt;=1),"",AY794))</f>
        <v/>
      </c>
      <c r="BA794" t="str">
        <f>IF(AZ794="","",COUNTIFS(AZ$3:AZ$1439,"&lt;"&amp;AZ794,AZ$3:AZ$1439,"&lt;&gt;0")+COUNTIF(AZ$3:AZ794,AZ794)-876)</f>
        <v/>
      </c>
      <c r="BT794" s="76"/>
      <c r="CN794">
        <v>793</v>
      </c>
    </row>
    <row r="795" spans="1:92" x14ac:dyDescent="0.3">
      <c r="A795" s="118" t="s">
        <v>3997</v>
      </c>
      <c r="B795" t="s">
        <v>3998</v>
      </c>
      <c r="C795" t="s">
        <v>3053</v>
      </c>
      <c r="D795" s="144" t="s">
        <v>764</v>
      </c>
      <c r="E795" t="s">
        <v>830</v>
      </c>
      <c r="F795" t="s">
        <v>393</v>
      </c>
      <c r="G795" t="s">
        <v>831</v>
      </c>
      <c r="H795" t="s">
        <v>3999</v>
      </c>
      <c r="I795" t="s">
        <v>817</v>
      </c>
      <c r="J795" t="s">
        <v>802</v>
      </c>
      <c r="K795" t="s">
        <v>802</v>
      </c>
      <c r="L795" t="s">
        <v>1092</v>
      </c>
      <c r="M795" t="s">
        <v>208</v>
      </c>
      <c r="N795" t="s">
        <v>829</v>
      </c>
      <c r="O795" t="s">
        <v>894</v>
      </c>
      <c r="P795" t="s">
        <v>772</v>
      </c>
      <c r="Q795" t="s">
        <v>764</v>
      </c>
      <c r="R795">
        <v>40</v>
      </c>
      <c r="S795">
        <v>14</v>
      </c>
      <c r="T795">
        <v>0</v>
      </c>
      <c r="U795">
        <v>0</v>
      </c>
      <c r="V795">
        <v>0</v>
      </c>
      <c r="W795">
        <v>0</v>
      </c>
      <c r="X795">
        <v>0</v>
      </c>
      <c r="Y795">
        <v>0</v>
      </c>
      <c r="Z795">
        <v>0</v>
      </c>
      <c r="AA795">
        <v>0</v>
      </c>
      <c r="AB795">
        <v>0</v>
      </c>
      <c r="AC795">
        <v>0</v>
      </c>
      <c r="AD795">
        <v>25</v>
      </c>
      <c r="AE795">
        <v>10</v>
      </c>
      <c r="AF795">
        <v>100</v>
      </c>
      <c r="AG795">
        <v>5</v>
      </c>
      <c r="AH795">
        <v>0</v>
      </c>
      <c r="AI795">
        <v>0</v>
      </c>
      <c r="AY795" t="str">
        <f t="shared" si="191"/>
        <v>MAYLOSINE POUDRE POUR SOLUTION BUVABLE POUR VOLAILLES PORCINS ET VEAUX</v>
      </c>
      <c r="AZ795" t="str">
        <f>IF(COUNTIF(AY:AY,AY795)=1,AY795,IF(AND(COUNTIF(AY:AY,AY795)&gt;1,COUNTIF(AZ$2:AZ794,AY795)&gt;=1),"",AY795))</f>
        <v>MAYLOSINE POUDRE POUR SOLUTION BUVABLE POUR VOLAILLES PORCINS ET VEAUX</v>
      </c>
      <c r="BA795">
        <f>IF(AZ795="","",COUNTIFS(AZ$3:AZ$1439,"&lt;"&amp;AZ795,AZ$3:AZ$1439,"&lt;&gt;0")+COUNTIF(AZ$3:AZ795,AZ795)-876)</f>
        <v>302</v>
      </c>
      <c r="BT795" s="76"/>
      <c r="CN795">
        <v>794</v>
      </c>
    </row>
    <row r="796" spans="1:92" x14ac:dyDescent="0.3">
      <c r="A796" s="118" t="s">
        <v>3997</v>
      </c>
      <c r="B796" t="s">
        <v>4000</v>
      </c>
      <c r="C796" t="s">
        <v>3277</v>
      </c>
      <c r="D796" s="144" t="s">
        <v>829</v>
      </c>
      <c r="E796" t="s">
        <v>830</v>
      </c>
      <c r="F796" t="s">
        <v>393</v>
      </c>
      <c r="G796" t="s">
        <v>831</v>
      </c>
      <c r="H796" t="s">
        <v>3999</v>
      </c>
      <c r="I796" t="s">
        <v>817</v>
      </c>
      <c r="J796" t="s">
        <v>802</v>
      </c>
      <c r="K796" t="s">
        <v>802</v>
      </c>
      <c r="L796" t="s">
        <v>1092</v>
      </c>
      <c r="M796" t="s">
        <v>208</v>
      </c>
      <c r="N796" t="s">
        <v>829</v>
      </c>
      <c r="O796" t="s">
        <v>894</v>
      </c>
      <c r="P796" t="s">
        <v>772</v>
      </c>
      <c r="Q796" t="s">
        <v>829</v>
      </c>
      <c r="R796">
        <v>40</v>
      </c>
      <c r="S796">
        <v>14</v>
      </c>
      <c r="T796">
        <v>0</v>
      </c>
      <c r="U796">
        <v>0</v>
      </c>
      <c r="V796">
        <v>0</v>
      </c>
      <c r="W796">
        <v>0</v>
      </c>
      <c r="X796">
        <v>0</v>
      </c>
      <c r="Y796">
        <v>0</v>
      </c>
      <c r="Z796">
        <v>0</v>
      </c>
      <c r="AA796">
        <v>0</v>
      </c>
      <c r="AB796">
        <v>0</v>
      </c>
      <c r="AC796">
        <v>0</v>
      </c>
      <c r="AD796">
        <v>25</v>
      </c>
      <c r="AE796">
        <v>10</v>
      </c>
      <c r="AF796">
        <v>100</v>
      </c>
      <c r="AG796">
        <v>5</v>
      </c>
      <c r="AH796">
        <v>0</v>
      </c>
      <c r="AI796">
        <v>0</v>
      </c>
      <c r="AY796" t="str">
        <f t="shared" si="191"/>
        <v>MAYLOSINE POUDRE POUR SOLUTION BUVABLE POUR VOLAILLES PORCINS ET VEAUX</v>
      </c>
      <c r="AZ796" t="str">
        <f>IF(COUNTIF(AY:AY,AY796)=1,AY796,IF(AND(COUNTIF(AY:AY,AY796)&gt;1,COUNTIF(AZ$2:AZ795,AY796)&gt;=1),"",AY796))</f>
        <v/>
      </c>
      <c r="BA796" t="str">
        <f>IF(AZ796="","",COUNTIFS(AZ$3:AZ$1439,"&lt;"&amp;AZ796,AZ$3:AZ$1439,"&lt;&gt;0")+COUNTIF(AZ$3:AZ796,AZ796)-876)</f>
        <v/>
      </c>
      <c r="BT796" s="76"/>
      <c r="CN796">
        <v>795</v>
      </c>
    </row>
    <row r="797" spans="1:92" x14ac:dyDescent="0.3">
      <c r="A797" s="118" t="s">
        <v>3839</v>
      </c>
      <c r="B797" t="s">
        <v>3840</v>
      </c>
      <c r="C797" t="s">
        <v>1243</v>
      </c>
      <c r="D797" s="144" t="s">
        <v>955</v>
      </c>
      <c r="E797" t="s">
        <v>765</v>
      </c>
      <c r="F797" t="s">
        <v>394</v>
      </c>
      <c r="G797" t="s">
        <v>956</v>
      </c>
      <c r="H797" t="s">
        <v>3466</v>
      </c>
      <c r="I797" t="s">
        <v>817</v>
      </c>
      <c r="J797" t="s">
        <v>928</v>
      </c>
      <c r="K797" t="s">
        <v>862</v>
      </c>
      <c r="L797" t="s">
        <v>1943</v>
      </c>
      <c r="M797" t="s">
        <v>208</v>
      </c>
      <c r="N797" t="s">
        <v>764</v>
      </c>
      <c r="O797" t="s">
        <v>771</v>
      </c>
      <c r="P797" t="s">
        <v>772</v>
      </c>
      <c r="Q797" t="s">
        <v>906</v>
      </c>
      <c r="R797">
        <v>0</v>
      </c>
      <c r="S797">
        <v>0</v>
      </c>
      <c r="T797">
        <v>0</v>
      </c>
      <c r="U797">
        <v>0</v>
      </c>
      <c r="V797">
        <v>0</v>
      </c>
      <c r="W797">
        <v>0</v>
      </c>
      <c r="X797">
        <v>0</v>
      </c>
      <c r="Y797">
        <v>0</v>
      </c>
      <c r="Z797">
        <v>0</v>
      </c>
      <c r="AA797">
        <v>0</v>
      </c>
      <c r="AB797">
        <v>0</v>
      </c>
      <c r="AC797">
        <v>0</v>
      </c>
      <c r="AD797">
        <v>21</v>
      </c>
      <c r="AE797">
        <v>4</v>
      </c>
      <c r="AF797">
        <v>27.5</v>
      </c>
      <c r="AG797">
        <v>4</v>
      </c>
      <c r="AH797">
        <v>0</v>
      </c>
      <c r="AI797">
        <v>0</v>
      </c>
      <c r="AJ797" t="s">
        <v>930</v>
      </c>
      <c r="AK797" t="s">
        <v>931</v>
      </c>
      <c r="AL797" t="s">
        <v>208</v>
      </c>
      <c r="AM797" t="s">
        <v>869</v>
      </c>
      <c r="AN797" t="s">
        <v>771</v>
      </c>
      <c r="AO797" t="s">
        <v>772</v>
      </c>
      <c r="AP797" t="s">
        <v>764</v>
      </c>
      <c r="AY797" t="str">
        <f t="shared" si="191"/>
        <v>METHOXASOL 20/100 MG/ML, SOLUTION POUR UTILISATION DANS L'EAU DE BOISSON POUR PORCS ET POULETS</v>
      </c>
      <c r="AZ797" t="str">
        <f>IF(COUNTIF(AY:AY,AY797)=1,AY797,IF(AND(COUNTIF(AY:AY,AY797)&gt;1,COUNTIF(AZ$2:AZ796,AY797)&gt;=1),"",AY797))</f>
        <v>METHOXASOL 20/100 MG/ML, SOLUTION POUR UTILISATION DANS L'EAU DE BOISSON POUR PORCS ET POULETS</v>
      </c>
      <c r="BA797">
        <f>IF(AZ797="","",COUNTIFS(AZ$3:AZ$1439,"&lt;"&amp;AZ797,AZ$3:AZ$1439,"&lt;&gt;0")+COUNTIF(AZ$3:AZ797,AZ797)-876)</f>
        <v>303</v>
      </c>
      <c r="BT797" s="76"/>
      <c r="CN797">
        <v>796</v>
      </c>
    </row>
    <row r="798" spans="1:92" x14ac:dyDescent="0.3">
      <c r="A798" s="118" t="s">
        <v>1894</v>
      </c>
      <c r="B798" t="s">
        <v>1895</v>
      </c>
      <c r="C798" t="s">
        <v>792</v>
      </c>
      <c r="D798" s="144" t="s">
        <v>764</v>
      </c>
      <c r="E798" t="s">
        <v>765</v>
      </c>
      <c r="F798" t="s">
        <v>103</v>
      </c>
      <c r="G798" t="s">
        <v>956</v>
      </c>
      <c r="H798" t="s">
        <v>1896</v>
      </c>
      <c r="I798" t="s">
        <v>817</v>
      </c>
      <c r="J798" t="s">
        <v>862</v>
      </c>
      <c r="K798" t="s">
        <v>862</v>
      </c>
      <c r="L798" t="s">
        <v>1003</v>
      </c>
      <c r="M798" t="s">
        <v>208</v>
      </c>
      <c r="N798" t="s">
        <v>1897</v>
      </c>
      <c r="O798" t="s">
        <v>771</v>
      </c>
      <c r="P798" t="s">
        <v>772</v>
      </c>
      <c r="Q798" t="s">
        <v>1898</v>
      </c>
      <c r="R798">
        <v>46</v>
      </c>
      <c r="S798">
        <v>5</v>
      </c>
      <c r="T798">
        <v>0</v>
      </c>
      <c r="U798">
        <v>0</v>
      </c>
      <c r="V798">
        <v>0</v>
      </c>
      <c r="W798">
        <v>0</v>
      </c>
      <c r="X798">
        <v>0</v>
      </c>
      <c r="Y798">
        <v>0</v>
      </c>
      <c r="Z798">
        <v>55.7</v>
      </c>
      <c r="AA798">
        <v>7</v>
      </c>
      <c r="AB798">
        <v>46</v>
      </c>
      <c r="AC798">
        <v>5</v>
      </c>
      <c r="AD798">
        <v>46</v>
      </c>
      <c r="AE798">
        <v>5</v>
      </c>
      <c r="AF798">
        <v>46.5</v>
      </c>
      <c r="AG798">
        <v>7</v>
      </c>
      <c r="AH798">
        <v>0</v>
      </c>
      <c r="AI798">
        <v>0</v>
      </c>
      <c r="AY798" t="str">
        <f t="shared" si="191"/>
        <v>METOXYL</v>
      </c>
      <c r="AZ798" t="str">
        <f>IF(COUNTIF(AY:AY,AY798)=1,AY798,IF(AND(COUNTIF(AY:AY,AY798)&gt;1,COUNTIF(AZ$2:AZ797,AY798)&gt;=1),"",AY798))</f>
        <v>METOXYL</v>
      </c>
      <c r="BA798">
        <f>IF(AZ798="","",COUNTIFS(AZ$3:AZ$1439,"&lt;"&amp;AZ798,AZ$3:AZ$1439,"&lt;&gt;0")+COUNTIF(AZ$3:AZ798,AZ798)-876)</f>
        <v>304</v>
      </c>
      <c r="BT798" s="76"/>
      <c r="CN798">
        <v>797</v>
      </c>
    </row>
    <row r="799" spans="1:92" x14ac:dyDescent="0.3">
      <c r="A799" s="118" t="s">
        <v>1894</v>
      </c>
      <c r="B799" t="s">
        <v>1899</v>
      </c>
      <c r="C799" t="s">
        <v>1900</v>
      </c>
      <c r="D799" s="144" t="s">
        <v>829</v>
      </c>
      <c r="E799" t="s">
        <v>765</v>
      </c>
      <c r="F799" t="s">
        <v>103</v>
      </c>
      <c r="G799" t="s">
        <v>956</v>
      </c>
      <c r="H799" t="s">
        <v>1896</v>
      </c>
      <c r="I799" t="s">
        <v>817</v>
      </c>
      <c r="J799" t="s">
        <v>862</v>
      </c>
      <c r="K799" t="s">
        <v>862</v>
      </c>
      <c r="L799" t="s">
        <v>1003</v>
      </c>
      <c r="M799" t="s">
        <v>208</v>
      </c>
      <c r="N799" t="s">
        <v>1897</v>
      </c>
      <c r="O799" t="s">
        <v>771</v>
      </c>
      <c r="P799" t="s">
        <v>772</v>
      </c>
      <c r="Q799" t="s">
        <v>1897</v>
      </c>
      <c r="R799">
        <v>46</v>
      </c>
      <c r="S799">
        <v>5</v>
      </c>
      <c r="T799">
        <v>0</v>
      </c>
      <c r="U799">
        <v>0</v>
      </c>
      <c r="V799">
        <v>0</v>
      </c>
      <c r="W799">
        <v>0</v>
      </c>
      <c r="X799">
        <v>0</v>
      </c>
      <c r="Y799">
        <v>0</v>
      </c>
      <c r="Z799">
        <v>55.7</v>
      </c>
      <c r="AA799">
        <v>7</v>
      </c>
      <c r="AB799">
        <v>46</v>
      </c>
      <c r="AC799">
        <v>5</v>
      </c>
      <c r="AD799">
        <v>46</v>
      </c>
      <c r="AE799">
        <v>5</v>
      </c>
      <c r="AF799">
        <v>46.5</v>
      </c>
      <c r="AG799">
        <v>7</v>
      </c>
      <c r="AH799">
        <v>0</v>
      </c>
      <c r="AI799">
        <v>0</v>
      </c>
      <c r="AY799" t="str">
        <f t="shared" si="191"/>
        <v>METOXYL</v>
      </c>
      <c r="AZ799" t="str">
        <f>IF(COUNTIF(AY:AY,AY799)=1,AY799,IF(AND(COUNTIF(AY:AY,AY799)&gt;1,COUNTIF(AZ$2:AZ798,AY799)&gt;=1),"",AY799))</f>
        <v/>
      </c>
      <c r="BA799" t="str">
        <f>IF(AZ799="","",COUNTIFS(AZ$3:AZ$1439,"&lt;"&amp;AZ799,AZ$3:AZ$1439,"&lt;&gt;0")+COUNTIF(AZ$3:AZ799,AZ799)-876)</f>
        <v/>
      </c>
      <c r="BT799" s="76"/>
      <c r="CN799">
        <v>798</v>
      </c>
    </row>
    <row r="800" spans="1:92" x14ac:dyDescent="0.3">
      <c r="A800" s="118" t="s">
        <v>1894</v>
      </c>
      <c r="B800" t="s">
        <v>1901</v>
      </c>
      <c r="C800" t="s">
        <v>796</v>
      </c>
      <c r="D800" s="144" t="s">
        <v>776</v>
      </c>
      <c r="E800" t="s">
        <v>765</v>
      </c>
      <c r="F800" t="s">
        <v>103</v>
      </c>
      <c r="G800" t="s">
        <v>956</v>
      </c>
      <c r="H800" t="s">
        <v>1896</v>
      </c>
      <c r="I800" t="s">
        <v>817</v>
      </c>
      <c r="J800" t="s">
        <v>862</v>
      </c>
      <c r="K800" t="s">
        <v>862</v>
      </c>
      <c r="L800" t="s">
        <v>1003</v>
      </c>
      <c r="M800" t="s">
        <v>208</v>
      </c>
      <c r="N800" t="s">
        <v>1897</v>
      </c>
      <c r="O800" t="s">
        <v>771</v>
      </c>
      <c r="P800" t="s">
        <v>772</v>
      </c>
      <c r="Q800" t="s">
        <v>1698</v>
      </c>
      <c r="R800">
        <v>46</v>
      </c>
      <c r="S800">
        <v>5</v>
      </c>
      <c r="T800">
        <v>0</v>
      </c>
      <c r="U800">
        <v>0</v>
      </c>
      <c r="V800">
        <v>0</v>
      </c>
      <c r="W800">
        <v>0</v>
      </c>
      <c r="X800">
        <v>0</v>
      </c>
      <c r="Y800">
        <v>0</v>
      </c>
      <c r="Z800">
        <v>55.7</v>
      </c>
      <c r="AA800">
        <v>7</v>
      </c>
      <c r="AB800">
        <v>46</v>
      </c>
      <c r="AC800">
        <v>5</v>
      </c>
      <c r="AD800">
        <v>46</v>
      </c>
      <c r="AE800">
        <v>5</v>
      </c>
      <c r="AF800">
        <v>46.5</v>
      </c>
      <c r="AG800">
        <v>7</v>
      </c>
      <c r="AH800">
        <v>0</v>
      </c>
      <c r="AI800">
        <v>0</v>
      </c>
      <c r="AY800" t="str">
        <f t="shared" si="191"/>
        <v>METOXYL</v>
      </c>
      <c r="AZ800" t="str">
        <f>IF(COUNTIF(AY:AY,AY800)=1,AY800,IF(AND(COUNTIF(AY:AY,AY800)&gt;1,COUNTIF(AZ$2:AZ799,AY800)&gt;=1),"",AY800))</f>
        <v/>
      </c>
      <c r="BA800" t="str">
        <f>IF(AZ800="","",COUNTIFS(AZ$3:AZ$1439,"&lt;"&amp;AZ800,AZ$3:AZ$1439,"&lt;&gt;0")+COUNTIF(AZ$3:AZ800,AZ800)-876)</f>
        <v/>
      </c>
      <c r="BT800" s="76"/>
      <c r="CN800">
        <v>799</v>
      </c>
    </row>
    <row r="801" spans="1:92" x14ac:dyDescent="0.3">
      <c r="A801" s="118" t="s">
        <v>2631</v>
      </c>
      <c r="B801" t="s">
        <v>2632</v>
      </c>
      <c r="C801" t="s">
        <v>2633</v>
      </c>
      <c r="D801" s="144" t="s">
        <v>852</v>
      </c>
      <c r="E801" t="s">
        <v>813</v>
      </c>
      <c r="F801" t="s">
        <v>104</v>
      </c>
      <c r="G801" t="s">
        <v>1133</v>
      </c>
      <c r="H801" t="s">
        <v>1387</v>
      </c>
      <c r="I801" t="s">
        <v>1133</v>
      </c>
      <c r="J801" t="s">
        <v>1179</v>
      </c>
      <c r="K801" t="s">
        <v>1179</v>
      </c>
      <c r="L801" t="s">
        <v>2398</v>
      </c>
      <c r="M801" t="s">
        <v>208</v>
      </c>
      <c r="N801" t="s">
        <v>906</v>
      </c>
      <c r="O801" t="s">
        <v>824</v>
      </c>
      <c r="P801" t="s">
        <v>772</v>
      </c>
      <c r="Q801" t="s">
        <v>885</v>
      </c>
      <c r="R801">
        <v>0</v>
      </c>
      <c r="S801">
        <v>0</v>
      </c>
      <c r="T801">
        <v>0</v>
      </c>
      <c r="U801">
        <v>0</v>
      </c>
      <c r="V801">
        <v>0</v>
      </c>
      <c r="W801">
        <v>0</v>
      </c>
      <c r="X801">
        <v>0</v>
      </c>
      <c r="Y801">
        <v>0</v>
      </c>
      <c r="Z801">
        <v>0</v>
      </c>
      <c r="AA801">
        <v>0</v>
      </c>
      <c r="AB801">
        <v>0</v>
      </c>
      <c r="AC801">
        <v>0</v>
      </c>
      <c r="AD801">
        <v>0</v>
      </c>
      <c r="AE801">
        <v>0</v>
      </c>
      <c r="AF801">
        <v>0</v>
      </c>
      <c r="AG801">
        <v>0</v>
      </c>
      <c r="AH801">
        <v>0</v>
      </c>
      <c r="AI801">
        <v>0</v>
      </c>
      <c r="AY801" t="str">
        <f t="shared" si="191"/>
        <v>METRICURE</v>
      </c>
      <c r="AZ801" t="str">
        <f>IF(COUNTIF(AY:AY,AY801)=1,AY801,IF(AND(COUNTIF(AY:AY,AY801)&gt;1,COUNTIF(AZ$2:AZ800,AY801)&gt;=1),"",AY801))</f>
        <v>METRICURE</v>
      </c>
      <c r="BA801">
        <f>IF(AZ801="","",COUNTIFS(AZ$3:AZ$1439,"&lt;"&amp;AZ801,AZ$3:AZ$1439,"&lt;&gt;0")+COUNTIF(AZ$3:AZ801,AZ801)-876)</f>
        <v>305</v>
      </c>
      <c r="BT801" s="76"/>
      <c r="CN801">
        <v>800</v>
      </c>
    </row>
    <row r="802" spans="1:92" x14ac:dyDescent="0.3">
      <c r="A802" s="118" t="s">
        <v>1568</v>
      </c>
      <c r="B802" t="s">
        <v>1569</v>
      </c>
      <c r="C802" t="s">
        <v>1570</v>
      </c>
      <c r="D802" s="144" t="s">
        <v>864</v>
      </c>
      <c r="E802" t="s">
        <v>765</v>
      </c>
      <c r="F802" t="s">
        <v>657</v>
      </c>
      <c r="G802" t="s">
        <v>1133</v>
      </c>
      <c r="H802" t="s">
        <v>801</v>
      </c>
      <c r="I802" t="s">
        <v>1133</v>
      </c>
      <c r="J802" t="s">
        <v>991</v>
      </c>
      <c r="K802" t="s">
        <v>787</v>
      </c>
      <c r="L802" t="s">
        <v>992</v>
      </c>
      <c r="M802" t="s">
        <v>208</v>
      </c>
      <c r="N802" t="s">
        <v>855</v>
      </c>
      <c r="O802" t="s">
        <v>771</v>
      </c>
      <c r="P802" t="s">
        <v>772</v>
      </c>
      <c r="Q802" t="s">
        <v>885</v>
      </c>
      <c r="R802">
        <v>0</v>
      </c>
      <c r="S802">
        <v>0</v>
      </c>
      <c r="T802">
        <v>0</v>
      </c>
      <c r="U802">
        <v>0</v>
      </c>
      <c r="V802">
        <v>0</v>
      </c>
      <c r="W802">
        <v>0</v>
      </c>
      <c r="X802">
        <v>0</v>
      </c>
      <c r="Y802">
        <v>0</v>
      </c>
      <c r="Z802">
        <v>0</v>
      </c>
      <c r="AA802">
        <v>0</v>
      </c>
      <c r="AB802">
        <v>0</v>
      </c>
      <c r="AC802">
        <v>0</v>
      </c>
      <c r="AD802">
        <v>0</v>
      </c>
      <c r="AE802">
        <v>0</v>
      </c>
      <c r="AF802">
        <v>0</v>
      </c>
      <c r="AG802">
        <v>0</v>
      </c>
      <c r="AH802">
        <v>0</v>
      </c>
      <c r="AI802">
        <v>0</v>
      </c>
      <c r="AJ802" t="s">
        <v>914</v>
      </c>
      <c r="AK802" t="s">
        <v>995</v>
      </c>
      <c r="AL802" t="s">
        <v>996</v>
      </c>
      <c r="AM802" t="s">
        <v>1063</v>
      </c>
      <c r="AN802" t="s">
        <v>805</v>
      </c>
      <c r="AO802" t="s">
        <v>4371</v>
      </c>
      <c r="AP802" t="s">
        <v>1571</v>
      </c>
      <c r="AY802" t="str">
        <f t="shared" si="191"/>
        <v>METRIJECTYL</v>
      </c>
      <c r="AZ802" t="str">
        <f>IF(COUNTIF(AY:AY,AY802)=1,AY802,IF(AND(COUNTIF(AY:AY,AY802)&gt;1,COUNTIF(AZ$2:AZ801,AY802)&gt;=1),"",AY802))</f>
        <v>METRIJECTYL</v>
      </c>
      <c r="BA802">
        <f>IF(AZ802="","",COUNTIFS(AZ$3:AZ$1439,"&lt;"&amp;AZ802,AZ$3:AZ$1439,"&lt;&gt;0")+COUNTIF(AZ$3:AZ802,AZ802)-876)</f>
        <v>306</v>
      </c>
      <c r="BT802" s="76"/>
      <c r="CN802">
        <v>801</v>
      </c>
    </row>
    <row r="803" spans="1:92" x14ac:dyDescent="0.3">
      <c r="A803" s="118" t="s">
        <v>1568</v>
      </c>
      <c r="B803" t="s">
        <v>1572</v>
      </c>
      <c r="C803" t="s">
        <v>1573</v>
      </c>
      <c r="D803" s="144" t="s">
        <v>864</v>
      </c>
      <c r="E803" t="s">
        <v>765</v>
      </c>
      <c r="F803" t="s">
        <v>657</v>
      </c>
      <c r="G803" t="s">
        <v>1133</v>
      </c>
      <c r="H803" t="s">
        <v>801</v>
      </c>
      <c r="I803" t="s">
        <v>1133</v>
      </c>
      <c r="J803" t="s">
        <v>991</v>
      </c>
      <c r="K803" t="s">
        <v>787</v>
      </c>
      <c r="L803" t="s">
        <v>992</v>
      </c>
      <c r="M803" t="s">
        <v>208</v>
      </c>
      <c r="N803" t="s">
        <v>855</v>
      </c>
      <c r="O803" t="s">
        <v>771</v>
      </c>
      <c r="P803" t="s">
        <v>772</v>
      </c>
      <c r="Q803" t="s">
        <v>885</v>
      </c>
      <c r="R803">
        <v>0</v>
      </c>
      <c r="S803">
        <v>0</v>
      </c>
      <c r="T803">
        <v>0</v>
      </c>
      <c r="U803">
        <v>0</v>
      </c>
      <c r="V803">
        <v>0</v>
      </c>
      <c r="W803">
        <v>0</v>
      </c>
      <c r="X803">
        <v>0</v>
      </c>
      <c r="Y803">
        <v>0</v>
      </c>
      <c r="Z803">
        <v>0</v>
      </c>
      <c r="AA803">
        <v>0</v>
      </c>
      <c r="AB803">
        <v>0</v>
      </c>
      <c r="AC803">
        <v>0</v>
      </c>
      <c r="AD803">
        <v>0</v>
      </c>
      <c r="AE803">
        <v>0</v>
      </c>
      <c r="AF803">
        <v>0</v>
      </c>
      <c r="AG803">
        <v>0</v>
      </c>
      <c r="AH803">
        <v>0</v>
      </c>
      <c r="AI803">
        <v>0</v>
      </c>
      <c r="AJ803" t="s">
        <v>914</v>
      </c>
      <c r="AK803" t="s">
        <v>995</v>
      </c>
      <c r="AL803" t="s">
        <v>996</v>
      </c>
      <c r="AM803" t="s">
        <v>1063</v>
      </c>
      <c r="AN803" t="s">
        <v>805</v>
      </c>
      <c r="AO803" t="s">
        <v>4371</v>
      </c>
      <c r="AP803" t="s">
        <v>1571</v>
      </c>
      <c r="AY803" t="str">
        <f t="shared" si="191"/>
        <v>METRIJECTYL</v>
      </c>
      <c r="AZ803" t="str">
        <f>IF(COUNTIF(AY:AY,AY803)=1,AY803,IF(AND(COUNTIF(AY:AY,AY803)&gt;1,COUNTIF(AZ$2:AZ802,AY803)&gt;=1),"",AY803))</f>
        <v/>
      </c>
      <c r="BA803" t="str">
        <f>IF(AZ803="","",COUNTIFS(AZ$3:AZ$1439,"&lt;"&amp;AZ803,AZ$3:AZ$1439,"&lt;&gt;0")+COUNTIF(AZ$3:AZ803,AZ803)-876)</f>
        <v/>
      </c>
      <c r="BT803" s="76"/>
      <c r="CN803">
        <v>802</v>
      </c>
    </row>
    <row r="804" spans="1:92" x14ac:dyDescent="0.3">
      <c r="A804" s="118" t="s">
        <v>4128</v>
      </c>
      <c r="B804" t="s">
        <v>4129</v>
      </c>
      <c r="C804" t="s">
        <v>3647</v>
      </c>
      <c r="D804" s="144" t="s">
        <v>776</v>
      </c>
      <c r="E804" t="s">
        <v>813</v>
      </c>
      <c r="F804" t="s">
        <v>4130</v>
      </c>
      <c r="G804" t="s">
        <v>815</v>
      </c>
      <c r="H804" t="s">
        <v>816</v>
      </c>
      <c r="I804" t="s">
        <v>817</v>
      </c>
      <c r="J804" t="s">
        <v>821</v>
      </c>
      <c r="K804" t="s">
        <v>821</v>
      </c>
      <c r="L804" t="s">
        <v>822</v>
      </c>
      <c r="M804" t="s">
        <v>208</v>
      </c>
      <c r="N804" t="s">
        <v>776</v>
      </c>
      <c r="O804" t="s">
        <v>824</v>
      </c>
      <c r="P804" t="s">
        <v>772</v>
      </c>
      <c r="Q804" t="s">
        <v>950</v>
      </c>
      <c r="R804">
        <v>0</v>
      </c>
      <c r="S804">
        <v>0</v>
      </c>
      <c r="T804">
        <v>50</v>
      </c>
      <c r="U804">
        <v>7</v>
      </c>
      <c r="V804">
        <v>0</v>
      </c>
      <c r="W804">
        <v>0</v>
      </c>
      <c r="X804">
        <v>0</v>
      </c>
      <c r="Y804">
        <v>0</v>
      </c>
      <c r="Z804">
        <v>0</v>
      </c>
      <c r="AA804">
        <v>0</v>
      </c>
      <c r="AB804">
        <v>0</v>
      </c>
      <c r="AC804">
        <v>0</v>
      </c>
      <c r="AD804">
        <v>0</v>
      </c>
      <c r="AE804">
        <v>0</v>
      </c>
      <c r="AF804">
        <v>0</v>
      </c>
      <c r="AG804">
        <v>0</v>
      </c>
      <c r="AH804">
        <v>0</v>
      </c>
      <c r="AI804">
        <v>0</v>
      </c>
      <c r="AY804" t="str">
        <f t="shared" si="191"/>
        <v/>
      </c>
      <c r="AZ804" t="str">
        <f>IF(COUNTIF(AY:AY,AY804)=1,AY804,IF(AND(COUNTIF(AY:AY,AY804)&gt;1,COUNTIF(AZ$2:AZ803,AY804)&gt;=1),"",AY804))</f>
        <v/>
      </c>
      <c r="BA804" t="str">
        <f>IF(AZ804="","",COUNTIFS(AZ$3:AZ$1439,"&lt;"&amp;AZ804,AZ$3:AZ$1439,"&lt;&gt;0")+COUNTIF(AZ$3:AZ804,AZ804)-876)</f>
        <v/>
      </c>
      <c r="BT804" s="76"/>
      <c r="CN804">
        <v>803</v>
      </c>
    </row>
    <row r="805" spans="1:92" x14ac:dyDescent="0.3">
      <c r="A805" s="118" t="s">
        <v>4128</v>
      </c>
      <c r="B805" t="s">
        <v>4131</v>
      </c>
      <c r="C805" t="s">
        <v>2611</v>
      </c>
      <c r="D805" s="144" t="s">
        <v>852</v>
      </c>
      <c r="E805" t="s">
        <v>813</v>
      </c>
      <c r="F805" t="s">
        <v>4130</v>
      </c>
      <c r="G805" t="s">
        <v>815</v>
      </c>
      <c r="H805" t="s">
        <v>816</v>
      </c>
      <c r="I805" t="s">
        <v>817</v>
      </c>
      <c r="J805" t="s">
        <v>821</v>
      </c>
      <c r="K805" t="s">
        <v>821</v>
      </c>
      <c r="L805" t="s">
        <v>822</v>
      </c>
      <c r="M805" t="s">
        <v>208</v>
      </c>
      <c r="N805" t="s">
        <v>776</v>
      </c>
      <c r="O805" t="s">
        <v>824</v>
      </c>
      <c r="P805" t="s">
        <v>772</v>
      </c>
      <c r="Q805" t="s">
        <v>1126</v>
      </c>
      <c r="R805">
        <v>0</v>
      </c>
      <c r="S805">
        <v>0</v>
      </c>
      <c r="T805">
        <v>50</v>
      </c>
      <c r="U805">
        <v>7</v>
      </c>
      <c r="V805">
        <v>0</v>
      </c>
      <c r="W805">
        <v>0</v>
      </c>
      <c r="X805">
        <v>0</v>
      </c>
      <c r="Y805">
        <v>0</v>
      </c>
      <c r="Z805">
        <v>0</v>
      </c>
      <c r="AA805">
        <v>0</v>
      </c>
      <c r="AB805">
        <v>0</v>
      </c>
      <c r="AC805">
        <v>0</v>
      </c>
      <c r="AD805">
        <v>0</v>
      </c>
      <c r="AE805">
        <v>0</v>
      </c>
      <c r="AF805">
        <v>0</v>
      </c>
      <c r="AG805">
        <v>0</v>
      </c>
      <c r="AH805">
        <v>0</v>
      </c>
      <c r="AI805">
        <v>0</v>
      </c>
      <c r="AY805" t="str">
        <f t="shared" si="191"/>
        <v/>
      </c>
      <c r="AZ805" t="str">
        <f>IF(COUNTIF(AY:AY,AY805)=1,AY805,IF(AND(COUNTIF(AY:AY,AY805)&gt;1,COUNTIF(AZ$2:AZ804,AY805)&gt;=1),"",AY805))</f>
        <v/>
      </c>
      <c r="BA805" t="str">
        <f>IF(AZ805="","",COUNTIFS(AZ$3:AZ$1439,"&lt;"&amp;AZ805,AZ$3:AZ$1439,"&lt;&gt;0")+COUNTIF(AZ$3:AZ805,AZ805)-876)</f>
        <v/>
      </c>
      <c r="BT805" s="76"/>
      <c r="CN805">
        <v>804</v>
      </c>
    </row>
    <row r="806" spans="1:92" x14ac:dyDescent="0.3">
      <c r="A806" s="118" t="s">
        <v>4132</v>
      </c>
      <c r="B806" t="s">
        <v>4133</v>
      </c>
      <c r="C806" t="s">
        <v>3647</v>
      </c>
      <c r="D806" s="144" t="s">
        <v>776</v>
      </c>
      <c r="E806" t="s">
        <v>813</v>
      </c>
      <c r="F806" t="s">
        <v>4134</v>
      </c>
      <c r="G806" t="s">
        <v>815</v>
      </c>
      <c r="H806" t="s">
        <v>816</v>
      </c>
      <c r="I806" t="s">
        <v>817</v>
      </c>
      <c r="J806" t="s">
        <v>821</v>
      </c>
      <c r="K806" t="s">
        <v>821</v>
      </c>
      <c r="L806" t="s">
        <v>822</v>
      </c>
      <c r="M806" t="s">
        <v>208</v>
      </c>
      <c r="N806" t="s">
        <v>906</v>
      </c>
      <c r="O806" t="s">
        <v>824</v>
      </c>
      <c r="P806" t="s">
        <v>772</v>
      </c>
      <c r="Q806" t="s">
        <v>1125</v>
      </c>
      <c r="R806">
        <v>0</v>
      </c>
      <c r="S806">
        <v>0</v>
      </c>
      <c r="T806">
        <v>50</v>
      </c>
      <c r="U806">
        <v>7</v>
      </c>
      <c r="V806">
        <v>0</v>
      </c>
      <c r="W806">
        <v>0</v>
      </c>
      <c r="X806">
        <v>0</v>
      </c>
      <c r="Y806">
        <v>0</v>
      </c>
      <c r="Z806">
        <v>0</v>
      </c>
      <c r="AA806">
        <v>0</v>
      </c>
      <c r="AB806">
        <v>0</v>
      </c>
      <c r="AC806">
        <v>0</v>
      </c>
      <c r="AD806">
        <v>0</v>
      </c>
      <c r="AE806">
        <v>0</v>
      </c>
      <c r="AF806">
        <v>0</v>
      </c>
      <c r="AG806">
        <v>0</v>
      </c>
      <c r="AH806">
        <v>0</v>
      </c>
      <c r="AI806">
        <v>0</v>
      </c>
      <c r="AY806" t="str">
        <f t="shared" si="191"/>
        <v/>
      </c>
      <c r="AZ806" t="str">
        <f>IF(COUNTIF(AY:AY,AY806)=1,AY806,IF(AND(COUNTIF(AY:AY,AY806)&gt;1,COUNTIF(AZ$2:AZ805,AY806)&gt;=1),"",AY806))</f>
        <v/>
      </c>
      <c r="BA806" t="str">
        <f>IF(AZ806="","",COUNTIFS(AZ$3:AZ$1439,"&lt;"&amp;AZ806,AZ$3:AZ$1439,"&lt;&gt;0")+COUNTIF(AZ$3:AZ806,AZ806)-876)</f>
        <v/>
      </c>
      <c r="BT806" s="76"/>
      <c r="CN806">
        <v>805</v>
      </c>
    </row>
    <row r="807" spans="1:92" x14ac:dyDescent="0.3">
      <c r="A807" s="118" t="s">
        <v>4132</v>
      </c>
      <c r="B807" t="s">
        <v>4135</v>
      </c>
      <c r="C807" t="s">
        <v>2611</v>
      </c>
      <c r="D807" s="144" t="s">
        <v>852</v>
      </c>
      <c r="E807" t="s">
        <v>813</v>
      </c>
      <c r="F807" t="s">
        <v>4134</v>
      </c>
      <c r="G807" t="s">
        <v>815</v>
      </c>
      <c r="H807" t="s">
        <v>816</v>
      </c>
      <c r="I807" t="s">
        <v>817</v>
      </c>
      <c r="J807" t="s">
        <v>821</v>
      </c>
      <c r="K807" t="s">
        <v>821</v>
      </c>
      <c r="L807" t="s">
        <v>822</v>
      </c>
      <c r="M807" t="s">
        <v>208</v>
      </c>
      <c r="N807" t="s">
        <v>906</v>
      </c>
      <c r="O807" t="s">
        <v>824</v>
      </c>
      <c r="P807" t="s">
        <v>772</v>
      </c>
      <c r="Q807" t="s">
        <v>885</v>
      </c>
      <c r="R807">
        <v>0</v>
      </c>
      <c r="S807">
        <v>0</v>
      </c>
      <c r="T807">
        <v>50</v>
      </c>
      <c r="U807">
        <v>7</v>
      </c>
      <c r="V807">
        <v>0</v>
      </c>
      <c r="W807">
        <v>0</v>
      </c>
      <c r="X807">
        <v>0</v>
      </c>
      <c r="Y807">
        <v>0</v>
      </c>
      <c r="Z807">
        <v>0</v>
      </c>
      <c r="AA807">
        <v>0</v>
      </c>
      <c r="AB807">
        <v>0</v>
      </c>
      <c r="AC807">
        <v>0</v>
      </c>
      <c r="AD807">
        <v>0</v>
      </c>
      <c r="AE807">
        <v>0</v>
      </c>
      <c r="AF807">
        <v>0</v>
      </c>
      <c r="AG807">
        <v>0</v>
      </c>
      <c r="AH807">
        <v>0</v>
      </c>
      <c r="AI807">
        <v>0</v>
      </c>
      <c r="AY807" t="str">
        <f t="shared" si="191"/>
        <v/>
      </c>
      <c r="AZ807" t="str">
        <f>IF(COUNTIF(AY:AY,AY807)=1,AY807,IF(AND(COUNTIF(AY:AY,AY807)&gt;1,COUNTIF(AZ$2:AZ806,AY807)&gt;=1),"",AY807))</f>
        <v/>
      </c>
      <c r="BA807" t="str">
        <f>IF(AZ807="","",COUNTIFS(AZ$3:AZ$1439,"&lt;"&amp;AZ807,AZ$3:AZ$1439,"&lt;&gt;0")+COUNTIF(AZ$3:AZ807,AZ807)-876)</f>
        <v/>
      </c>
      <c r="BT807" s="76"/>
      <c r="CN807">
        <v>806</v>
      </c>
    </row>
    <row r="808" spans="1:92" x14ac:dyDescent="0.3">
      <c r="A808" s="118" t="s">
        <v>4627</v>
      </c>
      <c r="B808" t="s">
        <v>4628</v>
      </c>
      <c r="C808" t="s">
        <v>3647</v>
      </c>
      <c r="D808" t="s">
        <v>776</v>
      </c>
      <c r="E808" t="s">
        <v>813</v>
      </c>
      <c r="F808" t="s">
        <v>4629</v>
      </c>
      <c r="G808" t="s">
        <v>815</v>
      </c>
      <c r="H808" t="s">
        <v>816</v>
      </c>
      <c r="I808" t="s">
        <v>817</v>
      </c>
      <c r="J808" t="s">
        <v>821</v>
      </c>
      <c r="K808" t="s">
        <v>821</v>
      </c>
      <c r="L808" t="s">
        <v>822</v>
      </c>
      <c r="M808" t="s">
        <v>208</v>
      </c>
      <c r="N808" t="s">
        <v>776</v>
      </c>
      <c r="O808" t="s">
        <v>824</v>
      </c>
      <c r="P808" t="s">
        <v>772</v>
      </c>
      <c r="Q808" t="s">
        <v>950</v>
      </c>
      <c r="R808">
        <v>0</v>
      </c>
      <c r="S808">
        <v>0</v>
      </c>
      <c r="T808">
        <v>50</v>
      </c>
      <c r="U808">
        <v>7</v>
      </c>
      <c r="V808">
        <v>0</v>
      </c>
      <c r="W808">
        <v>0</v>
      </c>
      <c r="X808">
        <v>0</v>
      </c>
      <c r="Y808">
        <v>0</v>
      </c>
      <c r="Z808">
        <v>0</v>
      </c>
      <c r="AA808">
        <v>0</v>
      </c>
      <c r="AB808">
        <v>0</v>
      </c>
      <c r="AC808">
        <v>0</v>
      </c>
      <c r="AD808">
        <v>0</v>
      </c>
      <c r="AE808">
        <v>0</v>
      </c>
      <c r="AF808">
        <v>0</v>
      </c>
      <c r="AG808">
        <v>0</v>
      </c>
      <c r="AH808">
        <v>0</v>
      </c>
      <c r="AI808">
        <v>0</v>
      </c>
      <c r="AY808" t="str">
        <f t="shared" si="191"/>
        <v/>
      </c>
      <c r="AZ808" t="str">
        <f>IF(COUNTIF(AY:AY,AY808)=1,AY808,IF(AND(COUNTIF(AY:AY,AY808)&gt;1,COUNTIF(AZ$2:AZ807,AY808)&gt;=1),"",AY808))</f>
        <v/>
      </c>
      <c r="BA808" t="str">
        <f>IF(AZ808="","",COUNTIFS(AZ$3:AZ$1439,"&lt;"&amp;AZ808,AZ$3:AZ$1439,"&lt;&gt;0")+COUNTIF(AZ$3:AZ808,AZ808)-876)</f>
        <v/>
      </c>
      <c r="BT808" s="76"/>
      <c r="CN808">
        <v>807</v>
      </c>
    </row>
    <row r="809" spans="1:92" x14ac:dyDescent="0.3">
      <c r="A809" s="118" t="s">
        <v>4630</v>
      </c>
      <c r="B809" t="s">
        <v>4631</v>
      </c>
      <c r="C809" t="s">
        <v>3647</v>
      </c>
      <c r="D809" t="s">
        <v>776</v>
      </c>
      <c r="E809" t="s">
        <v>813</v>
      </c>
      <c r="F809" t="s">
        <v>4632</v>
      </c>
      <c r="G809" t="s">
        <v>815</v>
      </c>
      <c r="H809" t="s">
        <v>816</v>
      </c>
      <c r="I809" t="s">
        <v>817</v>
      </c>
      <c r="J809" t="s">
        <v>821</v>
      </c>
      <c r="K809" t="s">
        <v>821</v>
      </c>
      <c r="L809" t="s">
        <v>822</v>
      </c>
      <c r="M809" t="s">
        <v>208</v>
      </c>
      <c r="N809" t="s">
        <v>906</v>
      </c>
      <c r="O809" t="s">
        <v>824</v>
      </c>
      <c r="P809" t="s">
        <v>772</v>
      </c>
      <c r="Q809" t="s">
        <v>1125</v>
      </c>
      <c r="R809">
        <v>0</v>
      </c>
      <c r="S809">
        <v>0</v>
      </c>
      <c r="T809">
        <v>50</v>
      </c>
      <c r="U809">
        <v>7</v>
      </c>
      <c r="V809">
        <v>0</v>
      </c>
      <c r="W809">
        <v>0</v>
      </c>
      <c r="X809">
        <v>0</v>
      </c>
      <c r="Y809">
        <v>0</v>
      </c>
      <c r="Z809">
        <v>0</v>
      </c>
      <c r="AA809">
        <v>0</v>
      </c>
      <c r="AB809">
        <v>0</v>
      </c>
      <c r="AC809">
        <v>0</v>
      </c>
      <c r="AD809">
        <v>0</v>
      </c>
      <c r="AE809">
        <v>0</v>
      </c>
      <c r="AF809">
        <v>0</v>
      </c>
      <c r="AG809">
        <v>0</v>
      </c>
      <c r="AH809">
        <v>0</v>
      </c>
      <c r="AI809">
        <v>0</v>
      </c>
      <c r="AY809" t="str">
        <f t="shared" si="191"/>
        <v/>
      </c>
      <c r="AZ809" t="str">
        <f>IF(COUNTIF(AY:AY,AY809)=1,AY809,IF(AND(COUNTIF(AY:AY,AY809)&gt;1,COUNTIF(AZ$2:AZ808,AY809)&gt;=1),"",AY809))</f>
        <v/>
      </c>
      <c r="BA809" t="str">
        <f>IF(AZ809="","",COUNTIFS(AZ$3:AZ$1439,"&lt;"&amp;AZ809,AZ$3:AZ$1439,"&lt;&gt;0")+COUNTIF(AZ$3:AZ809,AZ809)-876)</f>
        <v/>
      </c>
      <c r="BT809" s="76"/>
      <c r="CN809">
        <v>808</v>
      </c>
    </row>
    <row r="810" spans="1:92" x14ac:dyDescent="0.3">
      <c r="A810" s="118" t="s">
        <v>4641</v>
      </c>
      <c r="B810" t="s">
        <v>4642</v>
      </c>
      <c r="C810" t="s">
        <v>3371</v>
      </c>
      <c r="D810" t="s">
        <v>764</v>
      </c>
      <c r="E810" t="s">
        <v>813</v>
      </c>
      <c r="F810" t="s">
        <v>4643</v>
      </c>
      <c r="G810" t="s">
        <v>815</v>
      </c>
      <c r="H810" t="s">
        <v>816</v>
      </c>
      <c r="I810" t="s">
        <v>817</v>
      </c>
      <c r="J810" t="s">
        <v>821</v>
      </c>
      <c r="K810" t="s">
        <v>821</v>
      </c>
      <c r="L810" t="s">
        <v>822</v>
      </c>
      <c r="M810" t="s">
        <v>208</v>
      </c>
      <c r="N810" t="s">
        <v>764</v>
      </c>
      <c r="O810" t="s">
        <v>824</v>
      </c>
      <c r="P810" t="s">
        <v>772</v>
      </c>
      <c r="Q810" t="s">
        <v>852</v>
      </c>
      <c r="R810">
        <v>0</v>
      </c>
      <c r="S810">
        <v>0</v>
      </c>
      <c r="T810">
        <v>50</v>
      </c>
      <c r="U810">
        <v>7</v>
      </c>
      <c r="V810">
        <v>0</v>
      </c>
      <c r="W810">
        <v>0</v>
      </c>
      <c r="X810">
        <v>0</v>
      </c>
      <c r="Y810">
        <v>0</v>
      </c>
      <c r="Z810">
        <v>0</v>
      </c>
      <c r="AA810">
        <v>0</v>
      </c>
      <c r="AB810">
        <v>0</v>
      </c>
      <c r="AC810">
        <v>0</v>
      </c>
      <c r="AD810">
        <v>0</v>
      </c>
      <c r="AE810">
        <v>0</v>
      </c>
      <c r="AF810">
        <v>0</v>
      </c>
      <c r="AG810">
        <v>0</v>
      </c>
      <c r="AH810">
        <v>0</v>
      </c>
      <c r="AI810">
        <v>0</v>
      </c>
      <c r="AY810" t="str">
        <f t="shared" si="191"/>
        <v/>
      </c>
      <c r="AZ810" t="str">
        <f>IF(COUNTIF(AY:AY,AY810)=1,AY810,IF(AND(COUNTIF(AY:AY,AY810)&gt;1,COUNTIF(AZ$2:AZ809,AY810)&gt;=1),"",AY810))</f>
        <v/>
      </c>
      <c r="BA810" t="str">
        <f>IF(AZ810="","",COUNTIFS(AZ$3:AZ$1439,"&lt;"&amp;AZ810,AZ$3:AZ$1439,"&lt;&gt;0")+COUNTIF(AZ$3:AZ810,AZ810)-876)</f>
        <v/>
      </c>
      <c r="BT810" s="76"/>
      <c r="CN810">
        <v>809</v>
      </c>
    </row>
    <row r="811" spans="1:92" x14ac:dyDescent="0.3">
      <c r="A811" s="118" t="s">
        <v>4644</v>
      </c>
      <c r="B811" t="s">
        <v>4645</v>
      </c>
      <c r="C811" t="s">
        <v>3371</v>
      </c>
      <c r="D811" t="s">
        <v>764</v>
      </c>
      <c r="E811" t="s">
        <v>813</v>
      </c>
      <c r="F811" t="s">
        <v>4646</v>
      </c>
      <c r="G811" t="s">
        <v>815</v>
      </c>
      <c r="H811" t="s">
        <v>816</v>
      </c>
      <c r="I811" t="s">
        <v>817</v>
      </c>
      <c r="J811" t="s">
        <v>821</v>
      </c>
      <c r="K811" t="s">
        <v>821</v>
      </c>
      <c r="L811" t="s">
        <v>822</v>
      </c>
      <c r="M811" t="s">
        <v>208</v>
      </c>
      <c r="N811" t="s">
        <v>776</v>
      </c>
      <c r="O811" t="s">
        <v>824</v>
      </c>
      <c r="P811" t="s">
        <v>772</v>
      </c>
      <c r="Q811" t="s">
        <v>855</v>
      </c>
      <c r="R811">
        <v>0</v>
      </c>
      <c r="S811">
        <v>0</v>
      </c>
      <c r="T811">
        <v>50</v>
      </c>
      <c r="U811">
        <v>7</v>
      </c>
      <c r="V811">
        <v>0</v>
      </c>
      <c r="W811">
        <v>0</v>
      </c>
      <c r="X811">
        <v>0</v>
      </c>
      <c r="Y811">
        <v>0</v>
      </c>
      <c r="Z811">
        <v>0</v>
      </c>
      <c r="AA811">
        <v>0</v>
      </c>
      <c r="AB811">
        <v>0</v>
      </c>
      <c r="AC811">
        <v>0</v>
      </c>
      <c r="AD811">
        <v>0</v>
      </c>
      <c r="AE811">
        <v>0</v>
      </c>
      <c r="AF811">
        <v>0</v>
      </c>
      <c r="AG811">
        <v>0</v>
      </c>
      <c r="AH811">
        <v>0</v>
      </c>
      <c r="AI811">
        <v>0</v>
      </c>
      <c r="AY811" t="str">
        <f t="shared" si="191"/>
        <v/>
      </c>
      <c r="AZ811" t="str">
        <f>IF(COUNTIF(AY:AY,AY811)=1,AY811,IF(AND(COUNTIF(AY:AY,AY811)&gt;1,COUNTIF(AZ$2:AZ810,AY811)&gt;=1),"",AY811))</f>
        <v/>
      </c>
      <c r="BA811" t="str">
        <f>IF(AZ811="","",COUNTIFS(AZ$3:AZ$1439,"&lt;"&amp;AZ811,AZ$3:AZ$1439,"&lt;&gt;0")+COUNTIF(AZ$3:AZ811,AZ811)-876)</f>
        <v/>
      </c>
      <c r="BT811" s="76"/>
      <c r="CN811">
        <v>810</v>
      </c>
    </row>
    <row r="812" spans="1:92" x14ac:dyDescent="0.3">
      <c r="A812" s="118" t="s">
        <v>4647</v>
      </c>
      <c r="B812" t="s">
        <v>4648</v>
      </c>
      <c r="C812" t="s">
        <v>4649</v>
      </c>
      <c r="D812" t="s">
        <v>940</v>
      </c>
      <c r="E812" t="s">
        <v>813</v>
      </c>
      <c r="F812" t="s">
        <v>4650</v>
      </c>
      <c r="G812" t="s">
        <v>815</v>
      </c>
      <c r="H812" t="s">
        <v>860</v>
      </c>
      <c r="I812" t="s">
        <v>817</v>
      </c>
      <c r="J812" t="s">
        <v>821</v>
      </c>
      <c r="K812" t="s">
        <v>821</v>
      </c>
      <c r="L812" t="s">
        <v>822</v>
      </c>
      <c r="M812" t="s">
        <v>208</v>
      </c>
      <c r="N812" t="s">
        <v>1426</v>
      </c>
      <c r="O812" t="s">
        <v>824</v>
      </c>
      <c r="P812" t="s">
        <v>772</v>
      </c>
      <c r="Q812" t="s">
        <v>1047</v>
      </c>
      <c r="R812">
        <v>0</v>
      </c>
      <c r="S812">
        <v>0</v>
      </c>
      <c r="T812">
        <v>50</v>
      </c>
      <c r="U812">
        <v>7</v>
      </c>
      <c r="V812">
        <v>0</v>
      </c>
      <c r="W812">
        <v>0</v>
      </c>
      <c r="X812">
        <v>0</v>
      </c>
      <c r="Y812">
        <v>0</v>
      </c>
      <c r="Z812">
        <v>0</v>
      </c>
      <c r="AA812">
        <v>0</v>
      </c>
      <c r="AB812">
        <v>0</v>
      </c>
      <c r="AC812">
        <v>0</v>
      </c>
      <c r="AD812">
        <v>0</v>
      </c>
      <c r="AE812">
        <v>0</v>
      </c>
      <c r="AF812">
        <v>0</v>
      </c>
      <c r="AG812">
        <v>0</v>
      </c>
      <c r="AH812">
        <v>0</v>
      </c>
      <c r="AI812">
        <v>0</v>
      </c>
      <c r="AY812" t="str">
        <f t="shared" si="191"/>
        <v/>
      </c>
      <c r="AZ812" t="str">
        <f>IF(COUNTIF(AY:AY,AY812)=1,AY812,IF(AND(COUNTIF(AY:AY,AY812)&gt;1,COUNTIF(AZ$2:AZ811,AY812)&gt;=1),"",AY812))</f>
        <v/>
      </c>
      <c r="BA812" t="str">
        <f>IF(AZ812="","",COUNTIFS(AZ$3:AZ$1439,"&lt;"&amp;AZ812,AZ$3:AZ$1439,"&lt;&gt;0")+COUNTIF(AZ$3:AZ812,AZ812)-876)</f>
        <v/>
      </c>
      <c r="BT812" s="76"/>
      <c r="CN812">
        <v>811</v>
      </c>
    </row>
    <row r="813" spans="1:92" x14ac:dyDescent="0.3">
      <c r="A813" s="118" t="s">
        <v>2467</v>
      </c>
      <c r="B813" t="s">
        <v>2468</v>
      </c>
      <c r="C813" t="s">
        <v>792</v>
      </c>
      <c r="D813" s="144" t="s">
        <v>764</v>
      </c>
      <c r="E813" t="s">
        <v>765</v>
      </c>
      <c r="F813" t="s">
        <v>4466</v>
      </c>
      <c r="G813" t="s">
        <v>766</v>
      </c>
      <c r="H813" t="s">
        <v>2469</v>
      </c>
      <c r="I813" t="s">
        <v>766</v>
      </c>
      <c r="J813" t="s">
        <v>802</v>
      </c>
      <c r="K813" t="s">
        <v>802</v>
      </c>
      <c r="L813" t="s">
        <v>2470</v>
      </c>
      <c r="M813" t="s">
        <v>208</v>
      </c>
      <c r="N813" t="s">
        <v>1163</v>
      </c>
      <c r="O813" t="s">
        <v>771</v>
      </c>
      <c r="P813" t="s">
        <v>772</v>
      </c>
      <c r="Q813" t="s">
        <v>797</v>
      </c>
      <c r="R813">
        <v>10</v>
      </c>
      <c r="S813">
        <v>1</v>
      </c>
      <c r="T813">
        <v>0</v>
      </c>
      <c r="U813">
        <v>0</v>
      </c>
      <c r="V813">
        <v>0</v>
      </c>
      <c r="W813">
        <v>0</v>
      </c>
      <c r="X813">
        <v>0</v>
      </c>
      <c r="Y813">
        <v>0</v>
      </c>
      <c r="Z813">
        <v>0</v>
      </c>
      <c r="AA813">
        <v>0</v>
      </c>
      <c r="AB813">
        <v>10</v>
      </c>
      <c r="AC813">
        <v>1</v>
      </c>
      <c r="AD813">
        <v>0</v>
      </c>
      <c r="AE813">
        <v>0</v>
      </c>
      <c r="AF813">
        <v>0</v>
      </c>
      <c r="AG813">
        <v>0</v>
      </c>
      <c r="AH813">
        <v>0</v>
      </c>
      <c r="AI813">
        <v>0</v>
      </c>
      <c r="AY813" t="str">
        <f t="shared" si="191"/>
        <v>MICOTIL 300 MG/ML SOLUTION INJECTABLE</v>
      </c>
      <c r="AZ813" t="str">
        <f>IF(COUNTIF(AY:AY,AY813)=1,AY813,IF(AND(COUNTIF(AY:AY,AY813)&gt;1,COUNTIF(AZ$2:AZ812,AY813)&gt;=1),"",AY813))</f>
        <v>MICOTIL 300 MG/ML SOLUTION INJECTABLE</v>
      </c>
      <c r="BA813">
        <f>IF(AZ813="","",COUNTIFS(AZ$3:AZ$1439,"&lt;"&amp;AZ813,AZ$3:AZ$1439,"&lt;&gt;0")+COUNTIF(AZ$3:AZ813,AZ813)-876)</f>
        <v>307</v>
      </c>
      <c r="BT813" s="76"/>
      <c r="CN813">
        <v>812</v>
      </c>
    </row>
    <row r="814" spans="1:92" x14ac:dyDescent="0.3">
      <c r="A814" s="118" t="s">
        <v>2467</v>
      </c>
      <c r="B814" t="s">
        <v>2471</v>
      </c>
      <c r="C814" t="s">
        <v>796</v>
      </c>
      <c r="D814" s="144" t="s">
        <v>776</v>
      </c>
      <c r="E814" t="s">
        <v>765</v>
      </c>
      <c r="F814" t="s">
        <v>4466</v>
      </c>
      <c r="G814" t="s">
        <v>766</v>
      </c>
      <c r="H814" t="s">
        <v>2469</v>
      </c>
      <c r="I814" t="s">
        <v>766</v>
      </c>
      <c r="J814" t="s">
        <v>802</v>
      </c>
      <c r="K814" t="s">
        <v>802</v>
      </c>
      <c r="L814" t="s">
        <v>2470</v>
      </c>
      <c r="M814" t="s">
        <v>208</v>
      </c>
      <c r="N814" t="s">
        <v>1163</v>
      </c>
      <c r="O814" t="s">
        <v>771</v>
      </c>
      <c r="P814" t="s">
        <v>772</v>
      </c>
      <c r="Q814" t="s">
        <v>1255</v>
      </c>
      <c r="R814">
        <v>10</v>
      </c>
      <c r="S814">
        <v>1</v>
      </c>
      <c r="T814">
        <v>0</v>
      </c>
      <c r="U814">
        <v>0</v>
      </c>
      <c r="V814">
        <v>0</v>
      </c>
      <c r="W814">
        <v>0</v>
      </c>
      <c r="X814">
        <v>0</v>
      </c>
      <c r="Y814">
        <v>0</v>
      </c>
      <c r="Z814">
        <v>0</v>
      </c>
      <c r="AA814">
        <v>0</v>
      </c>
      <c r="AB814">
        <v>10</v>
      </c>
      <c r="AC814">
        <v>1</v>
      </c>
      <c r="AD814">
        <v>0</v>
      </c>
      <c r="AE814">
        <v>0</v>
      </c>
      <c r="AF814">
        <v>0</v>
      </c>
      <c r="AG814">
        <v>0</v>
      </c>
      <c r="AH814">
        <v>0</v>
      </c>
      <c r="AI814">
        <v>0</v>
      </c>
      <c r="AY814" t="str">
        <f t="shared" si="191"/>
        <v>MICOTIL 300 MG/ML SOLUTION INJECTABLE</v>
      </c>
      <c r="AZ814" t="str">
        <f>IF(COUNTIF(AY:AY,AY814)=1,AY814,IF(AND(COUNTIF(AY:AY,AY814)&gt;1,COUNTIF(AZ$2:AZ813,AY814)&gt;=1),"",AY814))</f>
        <v/>
      </c>
      <c r="BA814" t="str">
        <f>IF(AZ814="","",COUNTIFS(AZ$3:AZ$1439,"&lt;"&amp;AZ814,AZ$3:AZ$1439,"&lt;&gt;0")+COUNTIF(AZ$3:AZ814,AZ814)-876)</f>
        <v/>
      </c>
      <c r="BT814" s="76"/>
      <c r="CN814">
        <v>813</v>
      </c>
    </row>
    <row r="815" spans="1:92" x14ac:dyDescent="0.3">
      <c r="A815" s="118" t="s">
        <v>2467</v>
      </c>
      <c r="B815" t="s">
        <v>4467</v>
      </c>
      <c r="C815" t="s">
        <v>4468</v>
      </c>
      <c r="D815" s="144" t="s">
        <v>764</v>
      </c>
      <c r="E815" t="s">
        <v>765</v>
      </c>
      <c r="F815" t="s">
        <v>4466</v>
      </c>
      <c r="G815" t="s">
        <v>766</v>
      </c>
      <c r="H815" t="s">
        <v>2469</v>
      </c>
      <c r="I815" t="s">
        <v>766</v>
      </c>
      <c r="J815" t="s">
        <v>802</v>
      </c>
      <c r="K815" t="s">
        <v>802</v>
      </c>
      <c r="L815" t="s">
        <v>2470</v>
      </c>
      <c r="M815" t="s">
        <v>208</v>
      </c>
      <c r="N815" t="s">
        <v>1163</v>
      </c>
      <c r="O815" t="s">
        <v>771</v>
      </c>
      <c r="P815" t="s">
        <v>772</v>
      </c>
      <c r="Q815" t="s">
        <v>797</v>
      </c>
      <c r="R815">
        <v>10</v>
      </c>
      <c r="S815">
        <v>1</v>
      </c>
      <c r="T815">
        <v>0</v>
      </c>
      <c r="U815">
        <v>0</v>
      </c>
      <c r="V815">
        <v>0</v>
      </c>
      <c r="W815">
        <v>0</v>
      </c>
      <c r="X815">
        <v>0</v>
      </c>
      <c r="Y815">
        <v>0</v>
      </c>
      <c r="Z815">
        <v>0</v>
      </c>
      <c r="AA815">
        <v>0</v>
      </c>
      <c r="AB815">
        <v>10</v>
      </c>
      <c r="AC815">
        <v>1</v>
      </c>
      <c r="AD815">
        <v>0</v>
      </c>
      <c r="AE815">
        <v>0</v>
      </c>
      <c r="AF815">
        <v>0</v>
      </c>
      <c r="AG815">
        <v>0</v>
      </c>
      <c r="AH815">
        <v>0</v>
      </c>
      <c r="AI815">
        <v>0</v>
      </c>
      <c r="AY815" t="str">
        <f t="shared" si="191"/>
        <v>MICOTIL 300 MG/ML SOLUTION INJECTABLE</v>
      </c>
      <c r="AZ815" t="str">
        <f>IF(COUNTIF(AY:AY,AY815)=1,AY815,IF(AND(COUNTIF(AY:AY,AY815)&gt;1,COUNTIF(AZ$2:AZ814,AY815)&gt;=1),"",AY815))</f>
        <v/>
      </c>
      <c r="BA815" t="str">
        <f>IF(AZ815="","",COUNTIFS(AZ$3:AZ$1439,"&lt;"&amp;AZ815,AZ$3:AZ$1439,"&lt;&gt;0")+COUNTIF(AZ$3:AZ815,AZ815)-876)</f>
        <v/>
      </c>
      <c r="BT815" s="76"/>
      <c r="CN815">
        <v>814</v>
      </c>
    </row>
    <row r="816" spans="1:92" x14ac:dyDescent="0.3">
      <c r="A816" s="118" t="s">
        <v>2467</v>
      </c>
      <c r="B816" t="s">
        <v>4469</v>
      </c>
      <c r="C816" t="s">
        <v>4470</v>
      </c>
      <c r="D816" s="144" t="s">
        <v>776</v>
      </c>
      <c r="E816" t="s">
        <v>765</v>
      </c>
      <c r="F816" t="s">
        <v>4466</v>
      </c>
      <c r="G816" t="s">
        <v>766</v>
      </c>
      <c r="H816" t="s">
        <v>2469</v>
      </c>
      <c r="I816" t="s">
        <v>766</v>
      </c>
      <c r="J816" t="s">
        <v>802</v>
      </c>
      <c r="K816" t="s">
        <v>802</v>
      </c>
      <c r="L816" t="s">
        <v>2470</v>
      </c>
      <c r="M816" t="s">
        <v>208</v>
      </c>
      <c r="N816" t="s">
        <v>1163</v>
      </c>
      <c r="O816" t="s">
        <v>771</v>
      </c>
      <c r="P816" t="s">
        <v>772</v>
      </c>
      <c r="Q816" t="s">
        <v>1255</v>
      </c>
      <c r="R816">
        <v>10</v>
      </c>
      <c r="S816">
        <v>1</v>
      </c>
      <c r="T816">
        <v>0</v>
      </c>
      <c r="U816">
        <v>0</v>
      </c>
      <c r="V816">
        <v>0</v>
      </c>
      <c r="W816">
        <v>0</v>
      </c>
      <c r="X816">
        <v>0</v>
      </c>
      <c r="Y816">
        <v>0</v>
      </c>
      <c r="Z816">
        <v>0</v>
      </c>
      <c r="AA816">
        <v>0</v>
      </c>
      <c r="AB816">
        <v>10</v>
      </c>
      <c r="AC816">
        <v>1</v>
      </c>
      <c r="AD816">
        <v>0</v>
      </c>
      <c r="AE816">
        <v>0</v>
      </c>
      <c r="AF816">
        <v>0</v>
      </c>
      <c r="AG816">
        <v>0</v>
      </c>
      <c r="AH816">
        <v>0</v>
      </c>
      <c r="AI816">
        <v>0</v>
      </c>
      <c r="AY816" t="str">
        <f t="shared" si="191"/>
        <v>MICOTIL 300 MG/ML SOLUTION INJECTABLE</v>
      </c>
      <c r="AZ816" t="str">
        <f>IF(COUNTIF(AY:AY,AY816)=1,AY816,IF(AND(COUNTIF(AY:AY,AY816)&gt;1,COUNTIF(AZ$2:AZ815,AY816)&gt;=1),"",AY816))</f>
        <v/>
      </c>
      <c r="BA816" t="str">
        <f>IF(AZ816="","",COUNTIFS(AZ$3:AZ$1439,"&lt;"&amp;AZ816,AZ$3:AZ$1439,"&lt;&gt;0")+COUNTIF(AZ$3:AZ816,AZ816)-876)</f>
        <v/>
      </c>
      <c r="BT816" s="76"/>
      <c r="CN816">
        <v>815</v>
      </c>
    </row>
    <row r="817" spans="1:92" x14ac:dyDescent="0.3">
      <c r="A817" s="118" t="s">
        <v>2780</v>
      </c>
      <c r="B817" t="s">
        <v>2781</v>
      </c>
      <c r="C817" t="s">
        <v>2782</v>
      </c>
      <c r="D817" s="144" t="s">
        <v>906</v>
      </c>
      <c r="E817" t="s">
        <v>765</v>
      </c>
      <c r="F817" t="s">
        <v>105</v>
      </c>
      <c r="G817" t="s">
        <v>956</v>
      </c>
      <c r="H817" t="s">
        <v>1070</v>
      </c>
      <c r="I817" t="s">
        <v>817</v>
      </c>
      <c r="J817" t="s">
        <v>914</v>
      </c>
      <c r="K817" t="s">
        <v>914</v>
      </c>
      <c r="L817" t="s">
        <v>995</v>
      </c>
      <c r="M817" t="s">
        <v>996</v>
      </c>
      <c r="N817" t="s">
        <v>1501</v>
      </c>
      <c r="O817" t="s">
        <v>805</v>
      </c>
      <c r="P817" t="s">
        <v>4371</v>
      </c>
      <c r="Q817" t="s">
        <v>780</v>
      </c>
      <c r="R817">
        <v>5</v>
      </c>
      <c r="S817">
        <v>5</v>
      </c>
      <c r="T817">
        <v>0</v>
      </c>
      <c r="U817">
        <v>0</v>
      </c>
      <c r="V817">
        <v>0</v>
      </c>
      <c r="W817">
        <v>0</v>
      </c>
      <c r="X817">
        <v>0</v>
      </c>
      <c r="Y817">
        <v>0</v>
      </c>
      <c r="Z817">
        <v>0</v>
      </c>
      <c r="AA817">
        <v>0</v>
      </c>
      <c r="AB817">
        <v>5</v>
      </c>
      <c r="AC817">
        <v>5</v>
      </c>
      <c r="AD817">
        <v>5</v>
      </c>
      <c r="AE817">
        <v>5</v>
      </c>
      <c r="AF817">
        <v>3.75</v>
      </c>
      <c r="AG817">
        <v>5</v>
      </c>
      <c r="AH817">
        <v>0</v>
      </c>
      <c r="AI817">
        <v>0</v>
      </c>
      <c r="AY817" t="str">
        <f t="shared" si="191"/>
        <v>MILICOLI</v>
      </c>
      <c r="AZ817" t="str">
        <f>IF(COUNTIF(AY:AY,AY817)=1,AY817,IF(AND(COUNTIF(AY:AY,AY817)&gt;1,COUNTIF(AZ$2:AZ816,AY817)&gt;=1),"",AY817))</f>
        <v>MILICOLI</v>
      </c>
      <c r="BA817">
        <f>IF(AZ817="","",COUNTIFS(AZ$3:AZ$1439,"&lt;"&amp;AZ817,AZ$3:AZ$1439,"&lt;&gt;0")+COUNTIF(AZ$3:AZ817,AZ817)-876)</f>
        <v>308</v>
      </c>
      <c r="BT817" s="76"/>
      <c r="CN817">
        <v>816</v>
      </c>
    </row>
    <row r="818" spans="1:92" x14ac:dyDescent="0.3">
      <c r="A818" s="118" t="s">
        <v>2780</v>
      </c>
      <c r="B818" t="s">
        <v>2783</v>
      </c>
      <c r="C818" t="s">
        <v>1900</v>
      </c>
      <c r="D818" s="144" t="s">
        <v>829</v>
      </c>
      <c r="E818" t="s">
        <v>765</v>
      </c>
      <c r="F818" t="s">
        <v>105</v>
      </c>
      <c r="G818" t="s">
        <v>956</v>
      </c>
      <c r="H818" t="s">
        <v>1070</v>
      </c>
      <c r="I818" t="s">
        <v>817</v>
      </c>
      <c r="J818" t="s">
        <v>914</v>
      </c>
      <c r="K818" t="s">
        <v>914</v>
      </c>
      <c r="L818" t="s">
        <v>995</v>
      </c>
      <c r="M818" t="s">
        <v>996</v>
      </c>
      <c r="N818" t="s">
        <v>1501</v>
      </c>
      <c r="O818" t="s">
        <v>805</v>
      </c>
      <c r="P818" t="s">
        <v>4371</v>
      </c>
      <c r="Q818" t="s">
        <v>764</v>
      </c>
      <c r="R818">
        <v>5</v>
      </c>
      <c r="S818">
        <v>5</v>
      </c>
      <c r="T818">
        <v>0</v>
      </c>
      <c r="U818">
        <v>0</v>
      </c>
      <c r="V818">
        <v>0</v>
      </c>
      <c r="W818">
        <v>0</v>
      </c>
      <c r="X818">
        <v>0</v>
      </c>
      <c r="Y818">
        <v>0</v>
      </c>
      <c r="Z818">
        <v>0</v>
      </c>
      <c r="AA818">
        <v>0</v>
      </c>
      <c r="AB818">
        <v>5</v>
      </c>
      <c r="AC818">
        <v>5</v>
      </c>
      <c r="AD818">
        <v>5</v>
      </c>
      <c r="AE818">
        <v>5</v>
      </c>
      <c r="AF818">
        <v>3.75</v>
      </c>
      <c r="AG818">
        <v>5</v>
      </c>
      <c r="AH818">
        <v>0</v>
      </c>
      <c r="AI818">
        <v>0</v>
      </c>
      <c r="AY818" t="str">
        <f t="shared" si="191"/>
        <v>MILICOLI</v>
      </c>
      <c r="AZ818" t="str">
        <f>IF(COUNTIF(AY:AY,AY818)=1,AY818,IF(AND(COUNTIF(AY:AY,AY818)&gt;1,COUNTIF(AZ$2:AZ817,AY818)&gt;=1),"",AY818))</f>
        <v/>
      </c>
      <c r="BA818" t="str">
        <f>IF(AZ818="","",COUNTIFS(AZ$3:AZ$1439,"&lt;"&amp;AZ818,AZ$3:AZ$1439,"&lt;&gt;0")+COUNTIF(AZ$3:AZ818,AZ818)-876)</f>
        <v/>
      </c>
      <c r="BT818" s="76"/>
      <c r="CN818">
        <v>817</v>
      </c>
    </row>
    <row r="819" spans="1:92" x14ac:dyDescent="0.3">
      <c r="A819" s="118" t="s">
        <v>2780</v>
      </c>
      <c r="B819" t="s">
        <v>2784</v>
      </c>
      <c r="C819" t="s">
        <v>2327</v>
      </c>
      <c r="D819" s="144" t="s">
        <v>902</v>
      </c>
      <c r="E819" t="s">
        <v>765</v>
      </c>
      <c r="F819" t="s">
        <v>105</v>
      </c>
      <c r="G819" t="s">
        <v>956</v>
      </c>
      <c r="H819" t="s">
        <v>1070</v>
      </c>
      <c r="I819" t="s">
        <v>817</v>
      </c>
      <c r="J819" t="s">
        <v>914</v>
      </c>
      <c r="K819" t="s">
        <v>914</v>
      </c>
      <c r="L819" t="s">
        <v>995</v>
      </c>
      <c r="M819" t="s">
        <v>996</v>
      </c>
      <c r="N819" t="s">
        <v>1501</v>
      </c>
      <c r="O819" t="s">
        <v>805</v>
      </c>
      <c r="P819" t="s">
        <v>4371</v>
      </c>
      <c r="Q819" t="s">
        <v>864</v>
      </c>
      <c r="R819">
        <v>5</v>
      </c>
      <c r="S819">
        <v>5</v>
      </c>
      <c r="T819">
        <v>0</v>
      </c>
      <c r="U819">
        <v>0</v>
      </c>
      <c r="V819">
        <v>0</v>
      </c>
      <c r="W819">
        <v>0</v>
      </c>
      <c r="X819">
        <v>0</v>
      </c>
      <c r="Y819">
        <v>0</v>
      </c>
      <c r="Z819">
        <v>0</v>
      </c>
      <c r="AA819">
        <v>0</v>
      </c>
      <c r="AB819">
        <v>5</v>
      </c>
      <c r="AC819">
        <v>5</v>
      </c>
      <c r="AD819">
        <v>5</v>
      </c>
      <c r="AE819">
        <v>5</v>
      </c>
      <c r="AF819">
        <v>3.75</v>
      </c>
      <c r="AG819">
        <v>5</v>
      </c>
      <c r="AH819">
        <v>0</v>
      </c>
      <c r="AI819">
        <v>0</v>
      </c>
      <c r="AY819" t="str">
        <f t="shared" si="191"/>
        <v>MILICOLI</v>
      </c>
      <c r="AZ819" t="str">
        <f>IF(COUNTIF(AY:AY,AY819)=1,AY819,IF(AND(COUNTIF(AY:AY,AY819)&gt;1,COUNTIF(AZ$2:AZ818,AY819)&gt;=1),"",AY819))</f>
        <v/>
      </c>
      <c r="BA819" t="str">
        <f>IF(AZ819="","",COUNTIFS(AZ$3:AZ$1439,"&lt;"&amp;AZ819,AZ$3:AZ$1439,"&lt;&gt;0")+COUNTIF(AZ$3:AZ819,AZ819)-876)</f>
        <v/>
      </c>
      <c r="BT819" s="76"/>
      <c r="CN819">
        <v>818</v>
      </c>
    </row>
    <row r="820" spans="1:92" x14ac:dyDescent="0.3">
      <c r="A820" s="118" t="s">
        <v>2780</v>
      </c>
      <c r="B820" t="s">
        <v>2785</v>
      </c>
      <c r="C820" t="s">
        <v>2330</v>
      </c>
      <c r="D820" s="144" t="s">
        <v>955</v>
      </c>
      <c r="E820" t="s">
        <v>765</v>
      </c>
      <c r="F820" t="s">
        <v>105</v>
      </c>
      <c r="G820" t="s">
        <v>956</v>
      </c>
      <c r="H820" t="s">
        <v>1070</v>
      </c>
      <c r="I820" t="s">
        <v>817</v>
      </c>
      <c r="J820" t="s">
        <v>914</v>
      </c>
      <c r="K820" t="s">
        <v>914</v>
      </c>
      <c r="L820" t="s">
        <v>995</v>
      </c>
      <c r="M820" t="s">
        <v>996</v>
      </c>
      <c r="N820" t="s">
        <v>1501</v>
      </c>
      <c r="O820" t="s">
        <v>805</v>
      </c>
      <c r="P820" t="s">
        <v>4371</v>
      </c>
      <c r="Q820" t="s">
        <v>906</v>
      </c>
      <c r="R820">
        <v>5</v>
      </c>
      <c r="S820">
        <v>5</v>
      </c>
      <c r="T820">
        <v>0</v>
      </c>
      <c r="U820">
        <v>0</v>
      </c>
      <c r="V820">
        <v>0</v>
      </c>
      <c r="W820">
        <v>0</v>
      </c>
      <c r="X820">
        <v>0</v>
      </c>
      <c r="Y820">
        <v>0</v>
      </c>
      <c r="Z820">
        <v>0</v>
      </c>
      <c r="AA820">
        <v>0</v>
      </c>
      <c r="AB820">
        <v>5</v>
      </c>
      <c r="AC820">
        <v>5</v>
      </c>
      <c r="AD820">
        <v>5</v>
      </c>
      <c r="AE820">
        <v>5</v>
      </c>
      <c r="AF820">
        <v>3.75</v>
      </c>
      <c r="AG820">
        <v>5</v>
      </c>
      <c r="AH820">
        <v>0</v>
      </c>
      <c r="AI820">
        <v>0</v>
      </c>
      <c r="AY820" t="str">
        <f t="shared" si="191"/>
        <v>MILICOLI</v>
      </c>
      <c r="AZ820" t="str">
        <f>IF(COUNTIF(AY:AY,AY820)=1,AY820,IF(AND(COUNTIF(AY:AY,AY820)&gt;1,COUNTIF(AZ$2:AZ819,AY820)&gt;=1),"",AY820))</f>
        <v/>
      </c>
      <c r="BA820" t="str">
        <f>IF(AZ820="","",COUNTIFS(AZ$3:AZ$1439,"&lt;"&amp;AZ820,AZ$3:AZ$1439,"&lt;&gt;0")+COUNTIF(AZ$3:AZ820,AZ820)-876)</f>
        <v/>
      </c>
      <c r="BT820" s="76"/>
      <c r="CN820">
        <v>819</v>
      </c>
    </row>
    <row r="821" spans="1:92" x14ac:dyDescent="0.3">
      <c r="A821" s="118" t="s">
        <v>2780</v>
      </c>
      <c r="B821" t="s">
        <v>2786</v>
      </c>
      <c r="C821" t="s">
        <v>2787</v>
      </c>
      <c r="D821" s="144" t="s">
        <v>764</v>
      </c>
      <c r="E821" t="s">
        <v>765</v>
      </c>
      <c r="F821" t="s">
        <v>105</v>
      </c>
      <c r="G821" t="s">
        <v>956</v>
      </c>
      <c r="H821" t="s">
        <v>1070</v>
      </c>
      <c r="I821" t="s">
        <v>817</v>
      </c>
      <c r="J821" t="s">
        <v>914</v>
      </c>
      <c r="K821" t="s">
        <v>914</v>
      </c>
      <c r="L821" t="s">
        <v>995</v>
      </c>
      <c r="M821" t="s">
        <v>996</v>
      </c>
      <c r="N821" t="s">
        <v>1501</v>
      </c>
      <c r="O821" t="s">
        <v>805</v>
      </c>
      <c r="P821" t="s">
        <v>4371</v>
      </c>
      <c r="Q821" t="s">
        <v>852</v>
      </c>
      <c r="R821">
        <v>5</v>
      </c>
      <c r="S821">
        <v>5</v>
      </c>
      <c r="T821">
        <v>0</v>
      </c>
      <c r="U821">
        <v>0</v>
      </c>
      <c r="V821">
        <v>0</v>
      </c>
      <c r="W821">
        <v>0</v>
      </c>
      <c r="X821">
        <v>0</v>
      </c>
      <c r="Y821">
        <v>0</v>
      </c>
      <c r="Z821">
        <v>0</v>
      </c>
      <c r="AA821">
        <v>0</v>
      </c>
      <c r="AB821">
        <v>5</v>
      </c>
      <c r="AC821">
        <v>5</v>
      </c>
      <c r="AD821">
        <v>5</v>
      </c>
      <c r="AE821">
        <v>5</v>
      </c>
      <c r="AF821">
        <v>3.75</v>
      </c>
      <c r="AG821">
        <v>5</v>
      </c>
      <c r="AH821">
        <v>0</v>
      </c>
      <c r="AI821">
        <v>0</v>
      </c>
      <c r="AY821" t="str">
        <f t="shared" si="191"/>
        <v>MILICOLI</v>
      </c>
      <c r="AZ821" t="str">
        <f>IF(COUNTIF(AY:AY,AY821)=1,AY821,IF(AND(COUNTIF(AY:AY,AY821)&gt;1,COUNTIF(AZ$2:AZ820,AY821)&gt;=1),"",AY821))</f>
        <v/>
      </c>
      <c r="BA821" t="str">
        <f>IF(AZ821="","",COUNTIFS(AZ$3:AZ$1439,"&lt;"&amp;AZ821,AZ$3:AZ$1439,"&lt;&gt;0")+COUNTIF(AZ$3:AZ821,AZ821)-876)</f>
        <v/>
      </c>
      <c r="BT821" s="76"/>
      <c r="CN821">
        <v>820</v>
      </c>
    </row>
    <row r="822" spans="1:92" x14ac:dyDescent="0.3">
      <c r="A822" s="118" t="s">
        <v>4061</v>
      </c>
      <c r="B822" t="s">
        <v>4062</v>
      </c>
      <c r="C822" t="s">
        <v>4063</v>
      </c>
      <c r="D822" s="144" t="s">
        <v>869</v>
      </c>
      <c r="E822" t="s">
        <v>765</v>
      </c>
      <c r="F822" t="s">
        <v>4064</v>
      </c>
      <c r="G822" t="s">
        <v>964</v>
      </c>
      <c r="H822" t="s">
        <v>816</v>
      </c>
      <c r="I822" t="s">
        <v>879</v>
      </c>
      <c r="J822" t="s">
        <v>914</v>
      </c>
      <c r="K822" t="s">
        <v>914</v>
      </c>
      <c r="L822" t="s">
        <v>915</v>
      </c>
      <c r="M822" t="s">
        <v>208</v>
      </c>
      <c r="N822" t="s">
        <v>4568</v>
      </c>
      <c r="O822" t="s">
        <v>771</v>
      </c>
      <c r="P822" t="s">
        <v>772</v>
      </c>
      <c r="Q822" t="s">
        <v>918</v>
      </c>
      <c r="R822">
        <v>0</v>
      </c>
      <c r="S822">
        <v>0</v>
      </c>
      <c r="T822">
        <v>0</v>
      </c>
      <c r="U822">
        <v>0</v>
      </c>
      <c r="V822">
        <v>0</v>
      </c>
      <c r="W822">
        <v>0</v>
      </c>
      <c r="X822">
        <v>0</v>
      </c>
      <c r="Y822">
        <v>0</v>
      </c>
      <c r="Z822">
        <v>0</v>
      </c>
      <c r="AA822">
        <v>0</v>
      </c>
      <c r="AB822">
        <v>0</v>
      </c>
      <c r="AC822">
        <v>0</v>
      </c>
      <c r="AD822">
        <v>0</v>
      </c>
      <c r="AE822">
        <v>0</v>
      </c>
      <c r="AF822">
        <v>0</v>
      </c>
      <c r="AG822">
        <v>0</v>
      </c>
      <c r="AH822">
        <v>0</v>
      </c>
      <c r="AI822">
        <v>0</v>
      </c>
      <c r="AY822" t="str">
        <f t="shared" si="191"/>
        <v/>
      </c>
      <c r="AZ822" t="str">
        <f>IF(COUNTIF(AY:AY,AY822)=1,AY822,IF(AND(COUNTIF(AY:AY,AY822)&gt;1,COUNTIF(AZ$2:AZ821,AY822)&gt;=1),"",AY822))</f>
        <v/>
      </c>
      <c r="BA822" t="str">
        <f>IF(AZ822="","",COUNTIFS(AZ$3:AZ$1439,"&lt;"&amp;AZ822,AZ$3:AZ$1439,"&lt;&gt;0")+COUNTIF(AZ$3:AZ822,AZ822)-876)</f>
        <v/>
      </c>
      <c r="BT822" s="76"/>
      <c r="CN822">
        <v>821</v>
      </c>
    </row>
    <row r="823" spans="1:92" x14ac:dyDescent="0.3">
      <c r="A823" s="118" t="s">
        <v>4245</v>
      </c>
      <c r="B823" t="s">
        <v>4246</v>
      </c>
      <c r="C823" t="s">
        <v>891</v>
      </c>
      <c r="D823" t="s">
        <v>829</v>
      </c>
      <c r="E823" t="s">
        <v>830</v>
      </c>
      <c r="F823" t="s">
        <v>395</v>
      </c>
      <c r="G823" t="s">
        <v>831</v>
      </c>
      <c r="H823" t="s">
        <v>4247</v>
      </c>
      <c r="I823" t="s">
        <v>817</v>
      </c>
      <c r="J823" t="s">
        <v>787</v>
      </c>
      <c r="K823" t="s">
        <v>787</v>
      </c>
      <c r="L823" t="s">
        <v>1055</v>
      </c>
      <c r="M823" t="s">
        <v>208</v>
      </c>
      <c r="N823" t="s">
        <v>906</v>
      </c>
      <c r="O823" t="s">
        <v>894</v>
      </c>
      <c r="P823" t="s">
        <v>772</v>
      </c>
      <c r="Q823" t="s">
        <v>906</v>
      </c>
      <c r="R823">
        <v>0</v>
      </c>
      <c r="S823">
        <v>0</v>
      </c>
      <c r="T823">
        <v>0</v>
      </c>
      <c r="U823">
        <v>0</v>
      </c>
      <c r="V823">
        <v>0</v>
      </c>
      <c r="W823">
        <v>0</v>
      </c>
      <c r="X823">
        <v>0</v>
      </c>
      <c r="Y823">
        <v>0</v>
      </c>
      <c r="Z823">
        <v>0</v>
      </c>
      <c r="AA823">
        <v>0</v>
      </c>
      <c r="AB823">
        <v>0</v>
      </c>
      <c r="AC823">
        <v>0</v>
      </c>
      <c r="AD823">
        <v>17.399999999999999</v>
      </c>
      <c r="AE823">
        <v>5</v>
      </c>
      <c r="AF823">
        <v>17.399999999999999</v>
      </c>
      <c r="AG823">
        <v>5</v>
      </c>
      <c r="AH823">
        <v>0</v>
      </c>
      <c r="AI823">
        <v>0</v>
      </c>
      <c r="AY823" t="str">
        <f t="shared" si="191"/>
        <v>MOXAPULVIS 500 MG/G POUDRE POUR ADMINISTRATION DANS L'EAU DE BOISSON</v>
      </c>
      <c r="AZ823" t="str">
        <f>IF(COUNTIF(AY:AY,AY823)=1,AY823,IF(AND(COUNTIF(AY:AY,AY823)&gt;1,COUNTIF(AZ$2:AZ822,AY823)&gt;=1),"",AY823))</f>
        <v>MOXAPULVIS 500 MG/G POUDRE POUR ADMINISTRATION DANS L'EAU DE BOISSON</v>
      </c>
      <c r="BA823">
        <f>IF(AZ823="","",COUNTIFS(AZ$3:AZ$1439,"&lt;"&amp;AZ823,AZ$3:AZ$1439,"&lt;&gt;0")+COUNTIF(AZ$3:AZ823,AZ823)-876)</f>
        <v>309</v>
      </c>
      <c r="BT823" s="76"/>
      <c r="CN823">
        <v>822</v>
      </c>
    </row>
    <row r="824" spans="1:92" x14ac:dyDescent="0.3">
      <c r="A824" s="118" t="s">
        <v>1561</v>
      </c>
      <c r="B824" t="s">
        <v>1562</v>
      </c>
      <c r="C824" t="s">
        <v>1238</v>
      </c>
      <c r="D824" s="144" t="s">
        <v>780</v>
      </c>
      <c r="E824" t="s">
        <v>765</v>
      </c>
      <c r="F824" t="s">
        <v>42</v>
      </c>
      <c r="G824" t="s">
        <v>766</v>
      </c>
      <c r="H824" t="s">
        <v>990</v>
      </c>
      <c r="I824" t="s">
        <v>766</v>
      </c>
      <c r="J824" t="s">
        <v>991</v>
      </c>
      <c r="K824" t="s">
        <v>787</v>
      </c>
      <c r="L824" t="s">
        <v>992</v>
      </c>
      <c r="M824" t="s">
        <v>208</v>
      </c>
      <c r="N824" t="s">
        <v>764</v>
      </c>
      <c r="O824" t="s">
        <v>771</v>
      </c>
      <c r="P824" t="s">
        <v>772</v>
      </c>
      <c r="Q824" t="s">
        <v>885</v>
      </c>
      <c r="R824">
        <v>20</v>
      </c>
      <c r="S824">
        <v>3</v>
      </c>
      <c r="T824">
        <v>0</v>
      </c>
      <c r="U824">
        <v>0</v>
      </c>
      <c r="V824">
        <v>20</v>
      </c>
      <c r="W824">
        <v>3</v>
      </c>
      <c r="X824">
        <v>0</v>
      </c>
      <c r="Y824">
        <v>0</v>
      </c>
      <c r="Z824">
        <v>0</v>
      </c>
      <c r="AA824">
        <v>0</v>
      </c>
      <c r="AB824">
        <v>20</v>
      </c>
      <c r="AC824">
        <v>3</v>
      </c>
      <c r="AD824">
        <v>20</v>
      </c>
      <c r="AE824">
        <v>3</v>
      </c>
      <c r="AF824">
        <v>0</v>
      </c>
      <c r="AG824">
        <v>0</v>
      </c>
      <c r="AH824">
        <v>0</v>
      </c>
      <c r="AI824">
        <v>0</v>
      </c>
      <c r="AJ824" t="s">
        <v>914</v>
      </c>
      <c r="AK824" t="s">
        <v>995</v>
      </c>
      <c r="AL824" t="s">
        <v>996</v>
      </c>
      <c r="AM824" t="s">
        <v>997</v>
      </c>
      <c r="AN824" t="s">
        <v>805</v>
      </c>
      <c r="AO824" t="s">
        <v>4371</v>
      </c>
      <c r="AP824" t="s">
        <v>4403</v>
      </c>
      <c r="AY824" t="str">
        <f t="shared" si="191"/>
        <v>MULTIBIO</v>
      </c>
      <c r="AZ824" t="str">
        <f>IF(COUNTIF(AY:AY,AY824)=1,AY824,IF(AND(COUNTIF(AY:AY,AY824)&gt;1,COUNTIF(AZ$2:AZ823,AY824)&gt;=1),"",AY824))</f>
        <v>MULTIBIO</v>
      </c>
      <c r="BA824">
        <f>IF(AZ824="","",COUNTIFS(AZ$3:AZ$1439,"&lt;"&amp;AZ824,AZ$3:AZ$1439,"&lt;&gt;0")+COUNTIF(AZ$3:AZ824,AZ824)-876)</f>
        <v>310</v>
      </c>
      <c r="BT824" s="76"/>
      <c r="CN824">
        <v>823</v>
      </c>
    </row>
    <row r="825" spans="1:92" x14ac:dyDescent="0.3">
      <c r="A825" s="118" t="s">
        <v>1561</v>
      </c>
      <c r="B825" t="s">
        <v>1564</v>
      </c>
      <c r="C825" t="s">
        <v>792</v>
      </c>
      <c r="D825" s="144" t="s">
        <v>764</v>
      </c>
      <c r="E825" t="s">
        <v>765</v>
      </c>
      <c r="F825" t="s">
        <v>42</v>
      </c>
      <c r="G825" t="s">
        <v>766</v>
      </c>
      <c r="H825" t="s">
        <v>990</v>
      </c>
      <c r="I825" t="s">
        <v>766</v>
      </c>
      <c r="J825" t="s">
        <v>991</v>
      </c>
      <c r="K825" t="s">
        <v>787</v>
      </c>
      <c r="L825" t="s">
        <v>992</v>
      </c>
      <c r="M825" t="s">
        <v>208</v>
      </c>
      <c r="N825" t="s">
        <v>764</v>
      </c>
      <c r="O825" t="s">
        <v>771</v>
      </c>
      <c r="P825" t="s">
        <v>772</v>
      </c>
      <c r="Q825" t="s">
        <v>852</v>
      </c>
      <c r="R825">
        <v>20</v>
      </c>
      <c r="S825">
        <v>3</v>
      </c>
      <c r="T825">
        <v>0</v>
      </c>
      <c r="U825">
        <v>0</v>
      </c>
      <c r="V825">
        <v>20</v>
      </c>
      <c r="W825">
        <v>3</v>
      </c>
      <c r="X825">
        <v>0</v>
      </c>
      <c r="Y825">
        <v>0</v>
      </c>
      <c r="Z825">
        <v>0</v>
      </c>
      <c r="AA825">
        <v>0</v>
      </c>
      <c r="AB825">
        <v>20</v>
      </c>
      <c r="AC825">
        <v>3</v>
      </c>
      <c r="AD825">
        <v>20</v>
      </c>
      <c r="AE825">
        <v>3</v>
      </c>
      <c r="AF825">
        <v>0</v>
      </c>
      <c r="AG825">
        <v>0</v>
      </c>
      <c r="AH825">
        <v>0</v>
      </c>
      <c r="AI825">
        <v>0</v>
      </c>
      <c r="AJ825" t="s">
        <v>914</v>
      </c>
      <c r="AK825" t="s">
        <v>995</v>
      </c>
      <c r="AL825" t="s">
        <v>996</v>
      </c>
      <c r="AM825" t="s">
        <v>997</v>
      </c>
      <c r="AN825" t="s">
        <v>805</v>
      </c>
      <c r="AO825" t="s">
        <v>4371</v>
      </c>
      <c r="AP825" t="s">
        <v>1128</v>
      </c>
      <c r="AY825" t="str">
        <f t="shared" si="191"/>
        <v>MULTIBIO</v>
      </c>
      <c r="AZ825" t="str">
        <f>IF(COUNTIF(AY:AY,AY825)=1,AY825,IF(AND(COUNTIF(AY:AY,AY825)&gt;1,COUNTIF(AZ$2:AZ824,AY825)&gt;=1),"",AY825))</f>
        <v/>
      </c>
      <c r="BA825" t="str">
        <f>IF(AZ825="","",COUNTIFS(AZ$3:AZ$1439,"&lt;"&amp;AZ825,AZ$3:AZ$1439,"&lt;&gt;0")+COUNTIF(AZ$3:AZ825,AZ825)-876)</f>
        <v/>
      </c>
      <c r="BT825" s="76"/>
      <c r="CN825">
        <v>824</v>
      </c>
    </row>
    <row r="826" spans="1:92" x14ac:dyDescent="0.3">
      <c r="A826" s="118" t="s">
        <v>1561</v>
      </c>
      <c r="B826" t="s">
        <v>1565</v>
      </c>
      <c r="C826" t="s">
        <v>796</v>
      </c>
      <c r="D826" s="144" t="s">
        <v>776</v>
      </c>
      <c r="E826" t="s">
        <v>765</v>
      </c>
      <c r="F826" t="s">
        <v>42</v>
      </c>
      <c r="G826" t="s">
        <v>766</v>
      </c>
      <c r="H826" t="s">
        <v>990</v>
      </c>
      <c r="I826" t="s">
        <v>766</v>
      </c>
      <c r="J826" t="s">
        <v>991</v>
      </c>
      <c r="K826" t="s">
        <v>787</v>
      </c>
      <c r="L826" t="s">
        <v>992</v>
      </c>
      <c r="M826" t="s">
        <v>208</v>
      </c>
      <c r="N826" t="s">
        <v>764</v>
      </c>
      <c r="O826" t="s">
        <v>771</v>
      </c>
      <c r="P826" t="s">
        <v>772</v>
      </c>
      <c r="Q826" t="s">
        <v>855</v>
      </c>
      <c r="R826">
        <v>20</v>
      </c>
      <c r="S826">
        <v>3</v>
      </c>
      <c r="T826">
        <v>0</v>
      </c>
      <c r="U826">
        <v>0</v>
      </c>
      <c r="V826">
        <v>20</v>
      </c>
      <c r="W826">
        <v>3</v>
      </c>
      <c r="X826">
        <v>0</v>
      </c>
      <c r="Y826">
        <v>0</v>
      </c>
      <c r="Z826">
        <v>0</v>
      </c>
      <c r="AA826">
        <v>0</v>
      </c>
      <c r="AB826">
        <v>20</v>
      </c>
      <c r="AC826">
        <v>3</v>
      </c>
      <c r="AD826">
        <v>20</v>
      </c>
      <c r="AE826">
        <v>3</v>
      </c>
      <c r="AF826">
        <v>0</v>
      </c>
      <c r="AG826">
        <v>0</v>
      </c>
      <c r="AH826">
        <v>0</v>
      </c>
      <c r="AI826">
        <v>0</v>
      </c>
      <c r="AJ826" t="s">
        <v>914</v>
      </c>
      <c r="AK826" t="s">
        <v>995</v>
      </c>
      <c r="AL826" t="s">
        <v>996</v>
      </c>
      <c r="AM826" t="s">
        <v>997</v>
      </c>
      <c r="AN826" t="s">
        <v>805</v>
      </c>
      <c r="AO826" t="s">
        <v>4371</v>
      </c>
      <c r="AP826" t="s">
        <v>4372</v>
      </c>
      <c r="AY826" t="str">
        <f t="shared" si="191"/>
        <v>MULTIBIO</v>
      </c>
      <c r="AZ826" t="str">
        <f>IF(COUNTIF(AY:AY,AY826)=1,AY826,IF(AND(COUNTIF(AY:AY,AY826)&gt;1,COUNTIF(AZ$2:AZ825,AY826)&gt;=1),"",AY826))</f>
        <v/>
      </c>
      <c r="BA826" t="str">
        <f>IF(AZ826="","",COUNTIFS(AZ$3:AZ$1439,"&lt;"&amp;AZ826,AZ$3:AZ$1439,"&lt;&gt;0")+COUNTIF(AZ$3:AZ826,AZ826)-876)</f>
        <v/>
      </c>
      <c r="BT826" s="76"/>
      <c r="CN826">
        <v>825</v>
      </c>
    </row>
    <row r="827" spans="1:92" x14ac:dyDescent="0.3">
      <c r="A827" s="118" t="s">
        <v>1561</v>
      </c>
      <c r="B827" t="s">
        <v>1566</v>
      </c>
      <c r="C827" t="s">
        <v>1567</v>
      </c>
      <c r="D827" s="144" t="s">
        <v>906</v>
      </c>
      <c r="E827" t="s">
        <v>765</v>
      </c>
      <c r="F827" t="s">
        <v>42</v>
      </c>
      <c r="G827" t="s">
        <v>766</v>
      </c>
      <c r="H827" t="s">
        <v>990</v>
      </c>
      <c r="I827" t="s">
        <v>766</v>
      </c>
      <c r="J827" t="s">
        <v>991</v>
      </c>
      <c r="K827" t="s">
        <v>787</v>
      </c>
      <c r="L827" t="s">
        <v>992</v>
      </c>
      <c r="M827" t="s">
        <v>208</v>
      </c>
      <c r="N827" t="s">
        <v>764</v>
      </c>
      <c r="O827" t="s">
        <v>771</v>
      </c>
      <c r="P827" t="s">
        <v>772</v>
      </c>
      <c r="Q827" t="s">
        <v>780</v>
      </c>
      <c r="R827">
        <v>20</v>
      </c>
      <c r="S827">
        <v>3</v>
      </c>
      <c r="T827">
        <v>0</v>
      </c>
      <c r="U827">
        <v>0</v>
      </c>
      <c r="V827">
        <v>20</v>
      </c>
      <c r="W827">
        <v>3</v>
      </c>
      <c r="X827">
        <v>0</v>
      </c>
      <c r="Y827">
        <v>0</v>
      </c>
      <c r="Z827">
        <v>0</v>
      </c>
      <c r="AA827">
        <v>0</v>
      </c>
      <c r="AB827">
        <v>20</v>
      </c>
      <c r="AC827">
        <v>3</v>
      </c>
      <c r="AD827">
        <v>20</v>
      </c>
      <c r="AE827">
        <v>3</v>
      </c>
      <c r="AF827">
        <v>0</v>
      </c>
      <c r="AG827">
        <v>0</v>
      </c>
      <c r="AH827">
        <v>0</v>
      </c>
      <c r="AI827">
        <v>0</v>
      </c>
      <c r="AJ827" t="s">
        <v>914</v>
      </c>
      <c r="AK827" t="s">
        <v>995</v>
      </c>
      <c r="AL827" t="s">
        <v>996</v>
      </c>
      <c r="AM827" t="s">
        <v>997</v>
      </c>
      <c r="AN827" t="s">
        <v>805</v>
      </c>
      <c r="AO827" t="s">
        <v>4371</v>
      </c>
      <c r="AP827" t="s">
        <v>1625</v>
      </c>
      <c r="AY827" t="str">
        <f t="shared" si="191"/>
        <v>MULTIBIO</v>
      </c>
      <c r="AZ827" t="str">
        <f>IF(COUNTIF(AY:AY,AY827)=1,AY827,IF(AND(COUNTIF(AY:AY,AY827)&gt;1,COUNTIF(AZ$2:AZ826,AY827)&gt;=1),"",AY827))</f>
        <v/>
      </c>
      <c r="BA827" t="str">
        <f>IF(AZ827="","",COUNTIFS(AZ$3:AZ$1439,"&lt;"&amp;AZ827,AZ$3:AZ$1439,"&lt;&gt;0")+COUNTIF(AZ$3:AZ827,AZ827)-876)</f>
        <v/>
      </c>
      <c r="BT827" s="76"/>
      <c r="CN827">
        <v>826</v>
      </c>
    </row>
    <row r="828" spans="1:92" x14ac:dyDescent="0.3">
      <c r="A828" s="118" t="s">
        <v>3784</v>
      </c>
      <c r="B828" t="s">
        <v>3785</v>
      </c>
      <c r="C828" t="s">
        <v>3786</v>
      </c>
      <c r="D828" s="144" t="s">
        <v>1132</v>
      </c>
      <c r="E828" t="s">
        <v>813</v>
      </c>
      <c r="F828" t="s">
        <v>396</v>
      </c>
      <c r="G828" t="s">
        <v>1024</v>
      </c>
      <c r="H828" t="s">
        <v>1387</v>
      </c>
      <c r="I828" t="s">
        <v>1013</v>
      </c>
      <c r="J828" t="s">
        <v>1026</v>
      </c>
      <c r="K828" t="s">
        <v>787</v>
      </c>
      <c r="L828" t="s">
        <v>788</v>
      </c>
      <c r="M828" t="s">
        <v>208</v>
      </c>
      <c r="N828" t="s">
        <v>3787</v>
      </c>
      <c r="O828" t="s">
        <v>824</v>
      </c>
      <c r="P828" t="s">
        <v>772</v>
      </c>
      <c r="Q828" t="s">
        <v>3788</v>
      </c>
      <c r="R828">
        <v>0</v>
      </c>
      <c r="S828">
        <v>0</v>
      </c>
      <c r="T828">
        <v>0</v>
      </c>
      <c r="U828">
        <v>0</v>
      </c>
      <c r="V828">
        <v>0</v>
      </c>
      <c r="W828">
        <v>0</v>
      </c>
      <c r="X828">
        <v>0</v>
      </c>
      <c r="Y828">
        <v>0</v>
      </c>
      <c r="Z828">
        <v>0</v>
      </c>
      <c r="AA828">
        <v>0</v>
      </c>
      <c r="AB828">
        <v>0</v>
      </c>
      <c r="AC828">
        <v>0</v>
      </c>
      <c r="AD828">
        <v>0</v>
      </c>
      <c r="AE828">
        <v>0</v>
      </c>
      <c r="AF828">
        <v>0</v>
      </c>
      <c r="AG828">
        <v>0</v>
      </c>
      <c r="AH828">
        <v>0</v>
      </c>
      <c r="AI828">
        <v>0</v>
      </c>
      <c r="AJ828" t="s">
        <v>783</v>
      </c>
      <c r="AK828" t="s">
        <v>784</v>
      </c>
      <c r="AL828" t="s">
        <v>208</v>
      </c>
      <c r="AM828" t="s">
        <v>3789</v>
      </c>
      <c r="AN828" t="s">
        <v>820</v>
      </c>
      <c r="AO828" t="s">
        <v>4370</v>
      </c>
      <c r="AP828" t="s">
        <v>4546</v>
      </c>
      <c r="AQ828" t="s">
        <v>787</v>
      </c>
      <c r="AR828" t="s">
        <v>2522</v>
      </c>
      <c r="AS828" t="s">
        <v>208</v>
      </c>
      <c r="AT828" t="s">
        <v>764</v>
      </c>
      <c r="AU828" t="s">
        <v>824</v>
      </c>
      <c r="AV828" t="s">
        <v>2524</v>
      </c>
      <c r="AW828" t="s">
        <v>3790</v>
      </c>
      <c r="AY828" t="str">
        <f t="shared" si="191"/>
        <v>MULTISHIELD DC SUSPENSION INTRAMAMMAIRE POUR VACHES</v>
      </c>
      <c r="AZ828" t="str">
        <f>IF(COUNTIF(AY:AY,AY828)=1,AY828,IF(AND(COUNTIF(AY:AY,AY828)&gt;1,COUNTIF(AZ$2:AZ827,AY828)&gt;=1),"",AY828))</f>
        <v>MULTISHIELD DC SUSPENSION INTRAMAMMAIRE POUR VACHES</v>
      </c>
      <c r="BA828">
        <f>IF(AZ828="","",COUNTIFS(AZ$3:AZ$1439,"&lt;"&amp;AZ828,AZ$3:AZ$1439,"&lt;&gt;0")+COUNTIF(AZ$3:AZ828,AZ828)-876)</f>
        <v>311</v>
      </c>
      <c r="BT828" s="76"/>
      <c r="CN828">
        <v>827</v>
      </c>
    </row>
    <row r="829" spans="1:92" x14ac:dyDescent="0.3">
      <c r="A829" s="118" t="s">
        <v>3784</v>
      </c>
      <c r="B829" t="s">
        <v>3791</v>
      </c>
      <c r="C829" t="s">
        <v>3792</v>
      </c>
      <c r="D829" s="144" t="s">
        <v>785</v>
      </c>
      <c r="E829" t="s">
        <v>813</v>
      </c>
      <c r="F829" t="s">
        <v>396</v>
      </c>
      <c r="G829" t="s">
        <v>1024</v>
      </c>
      <c r="H829" t="s">
        <v>1387</v>
      </c>
      <c r="I829" t="s">
        <v>1013</v>
      </c>
      <c r="J829" t="s">
        <v>1026</v>
      </c>
      <c r="K829" t="s">
        <v>787</v>
      </c>
      <c r="L829" t="s">
        <v>788</v>
      </c>
      <c r="M829" t="s">
        <v>208</v>
      </c>
      <c r="N829" t="s">
        <v>3787</v>
      </c>
      <c r="O829" t="s">
        <v>824</v>
      </c>
      <c r="P829" t="s">
        <v>772</v>
      </c>
      <c r="Q829" t="s">
        <v>3793</v>
      </c>
      <c r="R829">
        <v>0</v>
      </c>
      <c r="S829">
        <v>0</v>
      </c>
      <c r="T829">
        <v>0</v>
      </c>
      <c r="U829">
        <v>0</v>
      </c>
      <c r="V829">
        <v>0</v>
      </c>
      <c r="W829">
        <v>0</v>
      </c>
      <c r="X829">
        <v>0</v>
      </c>
      <c r="Y829">
        <v>0</v>
      </c>
      <c r="Z829">
        <v>0</v>
      </c>
      <c r="AA829">
        <v>0</v>
      </c>
      <c r="AB829">
        <v>0</v>
      </c>
      <c r="AC829">
        <v>0</v>
      </c>
      <c r="AD829">
        <v>0</v>
      </c>
      <c r="AE829">
        <v>0</v>
      </c>
      <c r="AF829">
        <v>0</v>
      </c>
      <c r="AG829">
        <v>0</v>
      </c>
      <c r="AH829">
        <v>0</v>
      </c>
      <c r="AI829">
        <v>0</v>
      </c>
      <c r="AJ829" t="s">
        <v>783</v>
      </c>
      <c r="AK829" t="s">
        <v>784</v>
      </c>
      <c r="AL829" t="s">
        <v>208</v>
      </c>
      <c r="AM829" t="s">
        <v>3789</v>
      </c>
      <c r="AN829" t="s">
        <v>820</v>
      </c>
      <c r="AO829" t="s">
        <v>4370</v>
      </c>
      <c r="AP829" t="s">
        <v>1721</v>
      </c>
      <c r="AQ829" t="s">
        <v>787</v>
      </c>
      <c r="AR829" t="s">
        <v>2522</v>
      </c>
      <c r="AS829" t="s">
        <v>208</v>
      </c>
      <c r="AT829" t="s">
        <v>764</v>
      </c>
      <c r="AU829" t="s">
        <v>824</v>
      </c>
      <c r="AV829" t="s">
        <v>2524</v>
      </c>
      <c r="AW829" t="s">
        <v>1020</v>
      </c>
      <c r="AY829" t="str">
        <f t="shared" si="191"/>
        <v>MULTISHIELD DC SUSPENSION INTRAMAMMAIRE POUR VACHES</v>
      </c>
      <c r="AZ829" t="str">
        <f>IF(COUNTIF(AY:AY,AY829)=1,AY829,IF(AND(COUNTIF(AY:AY,AY829)&gt;1,COUNTIF(AZ$2:AZ828,AY829)&gt;=1),"",AY829))</f>
        <v/>
      </c>
      <c r="BA829" t="str">
        <f>IF(AZ829="","",COUNTIFS(AZ$3:AZ$1439,"&lt;"&amp;AZ829,AZ$3:AZ$1439,"&lt;&gt;0")+COUNTIF(AZ$3:AZ829,AZ829)-876)</f>
        <v/>
      </c>
      <c r="BT829" s="76"/>
      <c r="CN829">
        <v>828</v>
      </c>
    </row>
    <row r="830" spans="1:92" x14ac:dyDescent="0.3">
      <c r="A830" s="118" t="s">
        <v>3742</v>
      </c>
      <c r="B830" t="s">
        <v>3743</v>
      </c>
      <c r="C830" t="s">
        <v>792</v>
      </c>
      <c r="D830" s="144" t="s">
        <v>764</v>
      </c>
      <c r="E830" t="s">
        <v>765</v>
      </c>
      <c r="F830" t="s">
        <v>397</v>
      </c>
      <c r="G830" t="s">
        <v>766</v>
      </c>
      <c r="H830" t="s">
        <v>1326</v>
      </c>
      <c r="I830" t="s">
        <v>766</v>
      </c>
      <c r="J830" t="s">
        <v>1752</v>
      </c>
      <c r="K830" t="s">
        <v>1752</v>
      </c>
      <c r="L830" t="s">
        <v>2511</v>
      </c>
      <c r="M830" t="s">
        <v>208</v>
      </c>
      <c r="N830" t="s">
        <v>1163</v>
      </c>
      <c r="O830" t="s">
        <v>771</v>
      </c>
      <c r="P830" t="s">
        <v>772</v>
      </c>
      <c r="Q830" t="s">
        <v>797</v>
      </c>
      <c r="R830">
        <v>20</v>
      </c>
      <c r="S830">
        <v>2</v>
      </c>
      <c r="T830">
        <v>0</v>
      </c>
      <c r="U830">
        <v>0</v>
      </c>
      <c r="V830">
        <v>0</v>
      </c>
      <c r="W830">
        <v>0</v>
      </c>
      <c r="X830">
        <v>15</v>
      </c>
      <c r="Y830">
        <v>2</v>
      </c>
      <c r="Z830">
        <v>0</v>
      </c>
      <c r="AA830">
        <v>0</v>
      </c>
      <c r="AB830">
        <v>0</v>
      </c>
      <c r="AC830">
        <v>0</v>
      </c>
      <c r="AD830">
        <v>15</v>
      </c>
      <c r="AE830">
        <v>2</v>
      </c>
      <c r="AF830">
        <v>0</v>
      </c>
      <c r="AG830">
        <v>0</v>
      </c>
      <c r="AH830">
        <v>0</v>
      </c>
      <c r="AI830">
        <v>0</v>
      </c>
      <c r="AY830" t="str">
        <f t="shared" si="191"/>
        <v>MYCOFLOR 300 MG/ML SOLUTION INJECTABLE POUR BOVINS ET PORCINS</v>
      </c>
      <c r="AZ830" t="str">
        <f>IF(COUNTIF(AY:AY,AY830)=1,AY830,IF(AND(COUNTIF(AY:AY,AY830)&gt;1,COUNTIF(AZ$2:AZ829,AY830)&gt;=1),"",AY830))</f>
        <v>MYCOFLOR 300 MG/ML SOLUTION INJECTABLE POUR BOVINS ET PORCINS</v>
      </c>
      <c r="BA830">
        <f>IF(AZ830="","",COUNTIFS(AZ$3:AZ$1439,"&lt;"&amp;AZ830,AZ$3:AZ$1439,"&lt;&gt;0")+COUNTIF(AZ$3:AZ830,AZ830)-876)</f>
        <v>312</v>
      </c>
      <c r="BT830" s="76"/>
      <c r="CN830">
        <v>829</v>
      </c>
    </row>
    <row r="831" spans="1:92" x14ac:dyDescent="0.3">
      <c r="A831" s="118" t="s">
        <v>3742</v>
      </c>
      <c r="B831" t="s">
        <v>3744</v>
      </c>
      <c r="C831" t="s">
        <v>796</v>
      </c>
      <c r="D831" s="144" t="s">
        <v>776</v>
      </c>
      <c r="E831" t="s">
        <v>765</v>
      </c>
      <c r="F831" t="s">
        <v>397</v>
      </c>
      <c r="G831" t="s">
        <v>766</v>
      </c>
      <c r="H831" t="s">
        <v>1326</v>
      </c>
      <c r="I831" t="s">
        <v>766</v>
      </c>
      <c r="J831" t="s">
        <v>1752</v>
      </c>
      <c r="K831" t="s">
        <v>1752</v>
      </c>
      <c r="L831" t="s">
        <v>2511</v>
      </c>
      <c r="M831" t="s">
        <v>208</v>
      </c>
      <c r="N831" t="s">
        <v>1163</v>
      </c>
      <c r="O831" t="s">
        <v>771</v>
      </c>
      <c r="P831" t="s">
        <v>772</v>
      </c>
      <c r="Q831" t="s">
        <v>1255</v>
      </c>
      <c r="R831">
        <v>20</v>
      </c>
      <c r="S831">
        <v>2</v>
      </c>
      <c r="T831">
        <v>0</v>
      </c>
      <c r="U831">
        <v>0</v>
      </c>
      <c r="V831">
        <v>0</v>
      </c>
      <c r="W831">
        <v>0</v>
      </c>
      <c r="X831">
        <v>15</v>
      </c>
      <c r="Y831">
        <v>2</v>
      </c>
      <c r="Z831">
        <v>0</v>
      </c>
      <c r="AA831">
        <v>0</v>
      </c>
      <c r="AB831">
        <v>0</v>
      </c>
      <c r="AC831">
        <v>0</v>
      </c>
      <c r="AD831">
        <v>15</v>
      </c>
      <c r="AE831">
        <v>2</v>
      </c>
      <c r="AF831">
        <v>0</v>
      </c>
      <c r="AG831">
        <v>0</v>
      </c>
      <c r="AH831">
        <v>0</v>
      </c>
      <c r="AI831">
        <v>0</v>
      </c>
      <c r="AY831" t="str">
        <f t="shared" si="191"/>
        <v>MYCOFLOR 300 MG/ML SOLUTION INJECTABLE POUR BOVINS ET PORCINS</v>
      </c>
      <c r="AZ831" t="str">
        <f>IF(COUNTIF(AY:AY,AY831)=1,AY831,IF(AND(COUNTIF(AY:AY,AY831)&gt;1,COUNTIF(AZ$2:AZ830,AY831)&gt;=1),"",AY831))</f>
        <v/>
      </c>
      <c r="BA831" t="str">
        <f>IF(AZ831="","",COUNTIFS(AZ$3:AZ$1439,"&lt;"&amp;AZ831,AZ$3:AZ$1439,"&lt;&gt;0")+COUNTIF(AZ$3:AZ831,AZ831)-876)</f>
        <v/>
      </c>
      <c r="BT831" s="76"/>
      <c r="CN831">
        <v>830</v>
      </c>
    </row>
    <row r="832" spans="1:92" x14ac:dyDescent="0.3">
      <c r="A832" s="118" t="s">
        <v>2284</v>
      </c>
      <c r="B832" t="s">
        <v>2285</v>
      </c>
      <c r="C832" t="s">
        <v>2286</v>
      </c>
      <c r="D832" s="144" t="s">
        <v>972</v>
      </c>
      <c r="E832" t="s">
        <v>765</v>
      </c>
      <c r="F832" t="s">
        <v>2287</v>
      </c>
      <c r="G832" t="s">
        <v>956</v>
      </c>
      <c r="H832" t="s">
        <v>2103</v>
      </c>
      <c r="I832" t="s">
        <v>817</v>
      </c>
      <c r="J832" t="s">
        <v>1752</v>
      </c>
      <c r="K832" t="s">
        <v>1752</v>
      </c>
      <c r="L832" t="s">
        <v>1753</v>
      </c>
      <c r="M832" t="s">
        <v>208</v>
      </c>
      <c r="N832" t="s">
        <v>940</v>
      </c>
      <c r="O832" t="s">
        <v>771</v>
      </c>
      <c r="P832" t="s">
        <v>772</v>
      </c>
      <c r="Q832" t="s">
        <v>2288</v>
      </c>
      <c r="R832">
        <v>0</v>
      </c>
      <c r="S832">
        <v>0</v>
      </c>
      <c r="T832">
        <v>0</v>
      </c>
      <c r="U832">
        <v>0</v>
      </c>
      <c r="V832">
        <v>0</v>
      </c>
      <c r="W832">
        <v>0</v>
      </c>
      <c r="X832">
        <v>0</v>
      </c>
      <c r="Y832">
        <v>0</v>
      </c>
      <c r="Z832">
        <v>0</v>
      </c>
      <c r="AA832">
        <v>0</v>
      </c>
      <c r="AB832">
        <v>0</v>
      </c>
      <c r="AC832">
        <v>0</v>
      </c>
      <c r="AD832">
        <v>0</v>
      </c>
      <c r="AE832">
        <v>0</v>
      </c>
      <c r="AF832">
        <v>0</v>
      </c>
      <c r="AG832">
        <v>0</v>
      </c>
      <c r="AH832">
        <v>20</v>
      </c>
      <c r="AI832">
        <v>7</v>
      </c>
      <c r="AY832" t="str">
        <f t="shared" si="191"/>
        <v/>
      </c>
      <c r="AZ832" t="str">
        <f>IF(COUNTIF(AY:AY,AY832)=1,AY832,IF(AND(COUNTIF(AY:AY,AY832)&gt;1,COUNTIF(AZ$2:AZ831,AY832)&gt;=1),"",AY832))</f>
        <v/>
      </c>
      <c r="BA832" t="str">
        <f>IF(AZ832="","",COUNTIFS(AZ$3:AZ$1439,"&lt;"&amp;AZ832,AZ$3:AZ$1439,"&lt;&gt;0")+COUNTIF(AZ$3:AZ832,AZ832)-876)</f>
        <v/>
      </c>
      <c r="BT832" s="76"/>
      <c r="CN832">
        <v>831</v>
      </c>
    </row>
    <row r="833" spans="1:92" x14ac:dyDescent="0.3">
      <c r="A833" s="118" t="s">
        <v>1763</v>
      </c>
      <c r="B833" t="s">
        <v>1764</v>
      </c>
      <c r="C833" t="s">
        <v>1601</v>
      </c>
      <c r="D833" s="144" t="s">
        <v>829</v>
      </c>
      <c r="E833" t="s">
        <v>830</v>
      </c>
      <c r="F833" t="s">
        <v>658</v>
      </c>
      <c r="G833" t="s">
        <v>831</v>
      </c>
      <c r="H833" t="s">
        <v>1577</v>
      </c>
      <c r="I833" t="s">
        <v>817</v>
      </c>
      <c r="J833" t="s">
        <v>912</v>
      </c>
      <c r="K833" t="s">
        <v>783</v>
      </c>
      <c r="L833" t="s">
        <v>784</v>
      </c>
      <c r="M833" t="s">
        <v>208</v>
      </c>
      <c r="N833" t="s">
        <v>1765</v>
      </c>
      <c r="O833" t="s">
        <v>834</v>
      </c>
      <c r="P833" t="s">
        <v>4370</v>
      </c>
      <c r="Q833" t="s">
        <v>4422</v>
      </c>
      <c r="R833">
        <v>26.2</v>
      </c>
      <c r="S833">
        <v>3</v>
      </c>
      <c r="T833">
        <v>0</v>
      </c>
      <c r="U833">
        <v>0</v>
      </c>
      <c r="V833">
        <v>0</v>
      </c>
      <c r="W833">
        <v>0</v>
      </c>
      <c r="X833">
        <v>0</v>
      </c>
      <c r="Y833">
        <v>0</v>
      </c>
      <c r="Z833">
        <v>26.2</v>
      </c>
      <c r="AA833">
        <v>3</v>
      </c>
      <c r="AB833">
        <v>26.2</v>
      </c>
      <c r="AC833">
        <v>3</v>
      </c>
      <c r="AD833">
        <v>26.2</v>
      </c>
      <c r="AE833">
        <v>3</v>
      </c>
      <c r="AF833">
        <v>26.2</v>
      </c>
      <c r="AG833">
        <v>3</v>
      </c>
      <c r="AH833">
        <v>0</v>
      </c>
      <c r="AI833">
        <v>0</v>
      </c>
      <c r="AJ833" t="s">
        <v>914</v>
      </c>
      <c r="AK833" t="s">
        <v>995</v>
      </c>
      <c r="AL833" t="s">
        <v>996</v>
      </c>
      <c r="AM833" t="s">
        <v>1766</v>
      </c>
      <c r="AN833" t="s">
        <v>834</v>
      </c>
      <c r="AO833" t="s">
        <v>4371</v>
      </c>
      <c r="AP833" t="s">
        <v>972</v>
      </c>
      <c r="AY833" t="str">
        <f t="shared" si="191"/>
        <v>N.P. 8</v>
      </c>
      <c r="AZ833" t="str">
        <f>IF(COUNTIF(AY:AY,AY833)=1,AY833,IF(AND(COUNTIF(AY:AY,AY833)&gt;1,COUNTIF(AZ$2:AZ832,AY833)&gt;=1),"",AY833))</f>
        <v>N.P. 8</v>
      </c>
      <c r="BA833">
        <f>IF(AZ833="","",COUNTIFS(AZ$3:AZ$1439,"&lt;"&amp;AZ833,AZ$3:AZ$1439,"&lt;&gt;0")+COUNTIF(AZ$3:AZ833,AZ833)-876)</f>
        <v>313</v>
      </c>
      <c r="BT833" s="76"/>
      <c r="CN833">
        <v>832</v>
      </c>
    </row>
    <row r="834" spans="1:92" x14ac:dyDescent="0.3">
      <c r="A834" s="118" t="s">
        <v>1763</v>
      </c>
      <c r="B834" t="s">
        <v>1767</v>
      </c>
      <c r="C834" t="s">
        <v>1603</v>
      </c>
      <c r="D834" s="144" t="s">
        <v>966</v>
      </c>
      <c r="E834" t="s">
        <v>830</v>
      </c>
      <c r="F834" t="s">
        <v>658</v>
      </c>
      <c r="G834" t="s">
        <v>831</v>
      </c>
      <c r="H834" t="s">
        <v>1577</v>
      </c>
      <c r="I834" t="s">
        <v>817</v>
      </c>
      <c r="J834" t="s">
        <v>912</v>
      </c>
      <c r="K834" t="s">
        <v>783</v>
      </c>
      <c r="L834" t="s">
        <v>784</v>
      </c>
      <c r="M834" t="s">
        <v>208</v>
      </c>
      <c r="N834" t="s">
        <v>1765</v>
      </c>
      <c r="O834" t="s">
        <v>834</v>
      </c>
      <c r="P834" t="s">
        <v>4370</v>
      </c>
      <c r="Q834" t="s">
        <v>4423</v>
      </c>
      <c r="R834">
        <v>26.2</v>
      </c>
      <c r="S834">
        <v>3</v>
      </c>
      <c r="T834">
        <v>0</v>
      </c>
      <c r="U834">
        <v>0</v>
      </c>
      <c r="V834">
        <v>0</v>
      </c>
      <c r="W834">
        <v>0</v>
      </c>
      <c r="X834">
        <v>0</v>
      </c>
      <c r="Y834">
        <v>0</v>
      </c>
      <c r="Z834">
        <v>26.2</v>
      </c>
      <c r="AA834">
        <v>3</v>
      </c>
      <c r="AB834">
        <v>26.2</v>
      </c>
      <c r="AC834">
        <v>3</v>
      </c>
      <c r="AD834">
        <v>26.2</v>
      </c>
      <c r="AE834">
        <v>3</v>
      </c>
      <c r="AF834">
        <v>26.2</v>
      </c>
      <c r="AG834">
        <v>3</v>
      </c>
      <c r="AH834">
        <v>0</v>
      </c>
      <c r="AI834">
        <v>0</v>
      </c>
      <c r="AJ834" t="s">
        <v>914</v>
      </c>
      <c r="AK834" t="s">
        <v>995</v>
      </c>
      <c r="AL834" t="s">
        <v>996</v>
      </c>
      <c r="AM834" t="s">
        <v>1766</v>
      </c>
      <c r="AN834" t="s">
        <v>834</v>
      </c>
      <c r="AO834" t="s">
        <v>4371</v>
      </c>
      <c r="AP834" t="s">
        <v>1773</v>
      </c>
      <c r="AY834" t="str">
        <f t="shared" si="191"/>
        <v>N.P. 8</v>
      </c>
      <c r="AZ834" t="str">
        <f>IF(COUNTIF(AY:AY,AY834)=1,AY834,IF(AND(COUNTIF(AY:AY,AY834)&gt;1,COUNTIF(AZ$2:AZ833,AY834)&gt;=1),"",AY834))</f>
        <v/>
      </c>
      <c r="BA834" t="str">
        <f>IF(AZ834="","",COUNTIFS(AZ$3:AZ$1439,"&lt;"&amp;AZ834,AZ$3:AZ$1439,"&lt;&gt;0")+COUNTIF(AZ$3:AZ834,AZ834)-876)</f>
        <v/>
      </c>
      <c r="BT834" s="76"/>
      <c r="CN834">
        <v>833</v>
      </c>
    </row>
    <row r="835" spans="1:92" x14ac:dyDescent="0.3">
      <c r="A835" s="118" t="s">
        <v>1763</v>
      </c>
      <c r="B835" t="s">
        <v>1768</v>
      </c>
      <c r="C835" t="s">
        <v>1769</v>
      </c>
      <c r="D835" s="144" t="s">
        <v>955</v>
      </c>
      <c r="E835" t="s">
        <v>830</v>
      </c>
      <c r="F835" t="s">
        <v>658</v>
      </c>
      <c r="G835" t="s">
        <v>831</v>
      </c>
      <c r="H835" t="s">
        <v>1577</v>
      </c>
      <c r="I835" t="s">
        <v>817</v>
      </c>
      <c r="J835" t="s">
        <v>912</v>
      </c>
      <c r="K835" t="s">
        <v>783</v>
      </c>
      <c r="L835" t="s">
        <v>784</v>
      </c>
      <c r="M835" t="s">
        <v>208</v>
      </c>
      <c r="N835" t="s">
        <v>1765</v>
      </c>
      <c r="O835" t="s">
        <v>834</v>
      </c>
      <c r="P835" t="s">
        <v>4370</v>
      </c>
      <c r="Q835" t="s">
        <v>4424</v>
      </c>
      <c r="R835">
        <v>26.2</v>
      </c>
      <c r="S835">
        <v>3</v>
      </c>
      <c r="T835">
        <v>0</v>
      </c>
      <c r="U835">
        <v>0</v>
      </c>
      <c r="V835">
        <v>0</v>
      </c>
      <c r="W835">
        <v>0</v>
      </c>
      <c r="X835">
        <v>0</v>
      </c>
      <c r="Y835">
        <v>0</v>
      </c>
      <c r="Z835">
        <v>26.2</v>
      </c>
      <c r="AA835">
        <v>3</v>
      </c>
      <c r="AB835">
        <v>26.2</v>
      </c>
      <c r="AC835">
        <v>3</v>
      </c>
      <c r="AD835">
        <v>26.2</v>
      </c>
      <c r="AE835">
        <v>3</v>
      </c>
      <c r="AF835">
        <v>26.2</v>
      </c>
      <c r="AG835">
        <v>3</v>
      </c>
      <c r="AH835">
        <v>0</v>
      </c>
      <c r="AI835">
        <v>0</v>
      </c>
      <c r="AJ835" t="s">
        <v>914</v>
      </c>
      <c r="AK835" t="s">
        <v>995</v>
      </c>
      <c r="AL835" t="s">
        <v>996</v>
      </c>
      <c r="AM835" t="s">
        <v>1766</v>
      </c>
      <c r="AN835" t="s">
        <v>834</v>
      </c>
      <c r="AO835" t="s">
        <v>4371</v>
      </c>
      <c r="AP835" t="s">
        <v>1255</v>
      </c>
      <c r="AY835" t="str">
        <f t="shared" ref="AY835:AY898" si="192">IF(INDEX(CK$3:CL$174,MATCH(H835,CK$3:CK$174,0),2)="x",F835,"")</f>
        <v>N.P. 8</v>
      </c>
      <c r="AZ835" t="str">
        <f>IF(COUNTIF(AY:AY,AY835)=1,AY835,IF(AND(COUNTIF(AY:AY,AY835)&gt;1,COUNTIF(AZ$2:AZ834,AY835)&gt;=1),"",AY835))</f>
        <v/>
      </c>
      <c r="BA835" t="str">
        <f>IF(AZ835="","",COUNTIFS(AZ$3:AZ$1439,"&lt;"&amp;AZ835,AZ$3:AZ$1439,"&lt;&gt;0")+COUNTIF(AZ$3:AZ835,AZ835)-876)</f>
        <v/>
      </c>
      <c r="BT835" s="76"/>
      <c r="CN835">
        <v>834</v>
      </c>
    </row>
    <row r="836" spans="1:92" x14ac:dyDescent="0.3">
      <c r="A836" s="118" t="s">
        <v>1021</v>
      </c>
      <c r="B836" t="s">
        <v>1022</v>
      </c>
      <c r="C836" t="s">
        <v>1023</v>
      </c>
      <c r="D836" s="144" t="s">
        <v>934</v>
      </c>
      <c r="E836" t="s">
        <v>813</v>
      </c>
      <c r="F836" t="s">
        <v>203</v>
      </c>
      <c r="G836" t="s">
        <v>1024</v>
      </c>
      <c r="H836" t="s">
        <v>1025</v>
      </c>
      <c r="I836" t="s">
        <v>1013</v>
      </c>
      <c r="J836" t="s">
        <v>1026</v>
      </c>
      <c r="K836" t="s">
        <v>787</v>
      </c>
      <c r="L836" t="s">
        <v>788</v>
      </c>
      <c r="M836" t="s">
        <v>208</v>
      </c>
      <c r="N836" t="s">
        <v>841</v>
      </c>
      <c r="O836" t="s">
        <v>824</v>
      </c>
      <c r="P836" t="s">
        <v>772</v>
      </c>
      <c r="Q836" t="s">
        <v>1027</v>
      </c>
      <c r="R836">
        <v>0</v>
      </c>
      <c r="S836">
        <v>0</v>
      </c>
      <c r="T836">
        <v>0</v>
      </c>
      <c r="U836">
        <v>0</v>
      </c>
      <c r="V836">
        <v>0</v>
      </c>
      <c r="W836">
        <v>0</v>
      </c>
      <c r="X836">
        <v>0</v>
      </c>
      <c r="Y836">
        <v>0</v>
      </c>
      <c r="Z836">
        <v>0</v>
      </c>
      <c r="AA836">
        <v>0</v>
      </c>
      <c r="AB836">
        <v>0</v>
      </c>
      <c r="AC836">
        <v>0</v>
      </c>
      <c r="AD836">
        <v>0</v>
      </c>
      <c r="AE836">
        <v>0</v>
      </c>
      <c r="AF836">
        <v>0</v>
      </c>
      <c r="AG836">
        <v>0</v>
      </c>
      <c r="AH836">
        <v>0</v>
      </c>
      <c r="AI836">
        <v>0</v>
      </c>
      <c r="AJ836" t="s">
        <v>783</v>
      </c>
      <c r="AK836" t="s">
        <v>945</v>
      </c>
      <c r="AL836" t="s">
        <v>208</v>
      </c>
      <c r="AM836" t="s">
        <v>764</v>
      </c>
      <c r="AN836" t="s">
        <v>824</v>
      </c>
      <c r="AO836" t="s">
        <v>772</v>
      </c>
      <c r="AP836" t="s">
        <v>1028</v>
      </c>
      <c r="AQ836" t="s">
        <v>787</v>
      </c>
      <c r="AR836" t="s">
        <v>1029</v>
      </c>
      <c r="AS836" t="s">
        <v>208</v>
      </c>
      <c r="AT836" t="s">
        <v>764</v>
      </c>
      <c r="AU836" t="s">
        <v>824</v>
      </c>
      <c r="AV836" t="s">
        <v>772</v>
      </c>
      <c r="AW836" t="s">
        <v>1028</v>
      </c>
      <c r="AY836" t="str">
        <f t="shared" si="192"/>
        <v>NAFPENZAL T</v>
      </c>
      <c r="AZ836" t="str">
        <f>IF(COUNTIF(AY:AY,AY836)=1,AY836,IF(AND(COUNTIF(AY:AY,AY836)&gt;1,COUNTIF(AZ$2:AZ835,AY836)&gt;=1),"",AY836))</f>
        <v>NAFPENZAL T</v>
      </c>
      <c r="BA836">
        <f>IF(AZ836="","",COUNTIFS(AZ$3:AZ$1439,"&lt;"&amp;AZ836,AZ$3:AZ$1439,"&lt;&gt;0")+COUNTIF(AZ$3:AZ836,AZ836)-876)</f>
        <v>314</v>
      </c>
      <c r="BT836" s="76"/>
      <c r="CN836">
        <v>835</v>
      </c>
    </row>
    <row r="837" spans="1:92" x14ac:dyDescent="0.3">
      <c r="A837" s="118" t="s">
        <v>1021</v>
      </c>
      <c r="B837" t="s">
        <v>1030</v>
      </c>
      <c r="C837" t="s">
        <v>1031</v>
      </c>
      <c r="D837" s="144" t="s">
        <v>869</v>
      </c>
      <c r="E837" t="s">
        <v>813</v>
      </c>
      <c r="F837" t="s">
        <v>203</v>
      </c>
      <c r="G837" t="s">
        <v>1024</v>
      </c>
      <c r="H837" t="s">
        <v>1025</v>
      </c>
      <c r="I837" t="s">
        <v>1013</v>
      </c>
      <c r="J837" t="s">
        <v>1026</v>
      </c>
      <c r="K837" t="s">
        <v>787</v>
      </c>
      <c r="L837" t="s">
        <v>788</v>
      </c>
      <c r="M837" t="s">
        <v>208</v>
      </c>
      <c r="N837" t="s">
        <v>841</v>
      </c>
      <c r="O837" t="s">
        <v>824</v>
      </c>
      <c r="P837" t="s">
        <v>772</v>
      </c>
      <c r="Q837" t="s">
        <v>1032</v>
      </c>
      <c r="R837">
        <v>0</v>
      </c>
      <c r="S837">
        <v>0</v>
      </c>
      <c r="T837">
        <v>0</v>
      </c>
      <c r="U837">
        <v>0</v>
      </c>
      <c r="V837">
        <v>0</v>
      </c>
      <c r="W837">
        <v>0</v>
      </c>
      <c r="X837">
        <v>0</v>
      </c>
      <c r="Y837">
        <v>0</v>
      </c>
      <c r="Z837">
        <v>0</v>
      </c>
      <c r="AA837">
        <v>0</v>
      </c>
      <c r="AB837">
        <v>0</v>
      </c>
      <c r="AC837">
        <v>0</v>
      </c>
      <c r="AD837">
        <v>0</v>
      </c>
      <c r="AE837">
        <v>0</v>
      </c>
      <c r="AF837">
        <v>0</v>
      </c>
      <c r="AG837">
        <v>0</v>
      </c>
      <c r="AH837">
        <v>0</v>
      </c>
      <c r="AI837">
        <v>0</v>
      </c>
      <c r="AJ837" t="s">
        <v>783</v>
      </c>
      <c r="AK837" t="s">
        <v>945</v>
      </c>
      <c r="AL837" t="s">
        <v>208</v>
      </c>
      <c r="AM837" t="s">
        <v>764</v>
      </c>
      <c r="AN837" t="s">
        <v>824</v>
      </c>
      <c r="AO837" t="s">
        <v>772</v>
      </c>
      <c r="AP837" t="s">
        <v>1033</v>
      </c>
      <c r="AQ837" t="s">
        <v>787</v>
      </c>
      <c r="AR837" t="s">
        <v>1029</v>
      </c>
      <c r="AS837" t="s">
        <v>208</v>
      </c>
      <c r="AT837" t="s">
        <v>764</v>
      </c>
      <c r="AU837" t="s">
        <v>824</v>
      </c>
      <c r="AV837" t="s">
        <v>772</v>
      </c>
      <c r="AW837" t="s">
        <v>1033</v>
      </c>
      <c r="AY837" t="str">
        <f t="shared" si="192"/>
        <v>NAFPENZAL T</v>
      </c>
      <c r="AZ837" t="str">
        <f>IF(COUNTIF(AY:AY,AY837)=1,AY837,IF(AND(COUNTIF(AY:AY,AY837)&gt;1,COUNTIF(AZ$2:AZ836,AY837)&gt;=1),"",AY837))</f>
        <v/>
      </c>
      <c r="BA837" t="str">
        <f>IF(AZ837="","",COUNTIFS(AZ$3:AZ$1439,"&lt;"&amp;AZ837,AZ$3:AZ$1439,"&lt;&gt;0")+COUNTIF(AZ$3:AZ837,AZ837)-876)</f>
        <v/>
      </c>
      <c r="BT837" s="76"/>
      <c r="CN837">
        <v>836</v>
      </c>
    </row>
    <row r="838" spans="1:92" x14ac:dyDescent="0.3">
      <c r="A838" s="118" t="s">
        <v>3012</v>
      </c>
      <c r="B838" t="s">
        <v>3013</v>
      </c>
      <c r="C838" t="s">
        <v>1369</v>
      </c>
      <c r="D838" s="144" t="s">
        <v>780</v>
      </c>
      <c r="E838" t="s">
        <v>765</v>
      </c>
      <c r="F838" t="s">
        <v>398</v>
      </c>
      <c r="G838" t="s">
        <v>766</v>
      </c>
      <c r="H838" t="s">
        <v>1213</v>
      </c>
      <c r="I838" t="s">
        <v>766</v>
      </c>
      <c r="J838" t="s">
        <v>2165</v>
      </c>
      <c r="K838" t="s">
        <v>2165</v>
      </c>
      <c r="L838" t="s">
        <v>2432</v>
      </c>
      <c r="M838" t="s">
        <v>208</v>
      </c>
      <c r="N838" t="s">
        <v>764</v>
      </c>
      <c r="O838" t="s">
        <v>771</v>
      </c>
      <c r="P838" t="s">
        <v>772</v>
      </c>
      <c r="Q838" t="s">
        <v>885</v>
      </c>
      <c r="R838">
        <v>0</v>
      </c>
      <c r="S838">
        <v>0</v>
      </c>
      <c r="T838">
        <v>0</v>
      </c>
      <c r="U838">
        <v>0</v>
      </c>
      <c r="V838">
        <v>0</v>
      </c>
      <c r="W838">
        <v>0</v>
      </c>
      <c r="X838">
        <v>0</v>
      </c>
      <c r="Y838">
        <v>0</v>
      </c>
      <c r="Z838">
        <v>0</v>
      </c>
      <c r="AA838">
        <v>0</v>
      </c>
      <c r="AB838">
        <v>0</v>
      </c>
      <c r="AC838">
        <v>0</v>
      </c>
      <c r="AD838">
        <v>5</v>
      </c>
      <c r="AE838">
        <v>1</v>
      </c>
      <c r="AF838">
        <v>0</v>
      </c>
      <c r="AG838">
        <v>0</v>
      </c>
      <c r="AH838">
        <v>0</v>
      </c>
      <c r="AI838">
        <v>0</v>
      </c>
      <c r="AY838" t="str">
        <f t="shared" si="192"/>
        <v>NAXCEL 100 MG/ML SUSPENSION INJECTABLE POUR PORCINS</v>
      </c>
      <c r="AZ838" t="str">
        <f>IF(COUNTIF(AY:AY,AY838)=1,AY838,IF(AND(COUNTIF(AY:AY,AY838)&gt;1,COUNTIF(AZ$2:AZ837,AY838)&gt;=1),"",AY838))</f>
        <v>NAXCEL 100 MG/ML SUSPENSION INJECTABLE POUR PORCINS</v>
      </c>
      <c r="BA838">
        <f>IF(AZ838="","",COUNTIFS(AZ$3:AZ$1439,"&lt;"&amp;AZ838,AZ$3:AZ$1439,"&lt;&gt;0")+COUNTIF(AZ$3:AZ838,AZ838)-876)</f>
        <v>315</v>
      </c>
      <c r="BT838" s="76"/>
      <c r="CN838">
        <v>837</v>
      </c>
    </row>
    <row r="839" spans="1:92" x14ac:dyDescent="0.3">
      <c r="A839" s="118" t="s">
        <v>3012</v>
      </c>
      <c r="B839" t="s">
        <v>3014</v>
      </c>
      <c r="C839" t="s">
        <v>1483</v>
      </c>
      <c r="D839" s="144" t="s">
        <v>764</v>
      </c>
      <c r="E839" t="s">
        <v>765</v>
      </c>
      <c r="F839" t="s">
        <v>398</v>
      </c>
      <c r="G839" t="s">
        <v>766</v>
      </c>
      <c r="H839" t="s">
        <v>1213</v>
      </c>
      <c r="I839" t="s">
        <v>766</v>
      </c>
      <c r="J839" t="s">
        <v>2165</v>
      </c>
      <c r="K839" t="s">
        <v>2165</v>
      </c>
      <c r="L839" t="s">
        <v>2432</v>
      </c>
      <c r="M839" t="s">
        <v>208</v>
      </c>
      <c r="N839" t="s">
        <v>764</v>
      </c>
      <c r="O839" t="s">
        <v>771</v>
      </c>
      <c r="P839" t="s">
        <v>772</v>
      </c>
      <c r="Q839" t="s">
        <v>852</v>
      </c>
      <c r="R839">
        <v>0</v>
      </c>
      <c r="S839">
        <v>0</v>
      </c>
      <c r="T839">
        <v>0</v>
      </c>
      <c r="U839">
        <v>0</v>
      </c>
      <c r="V839">
        <v>0</v>
      </c>
      <c r="W839">
        <v>0</v>
      </c>
      <c r="X839">
        <v>0</v>
      </c>
      <c r="Y839">
        <v>0</v>
      </c>
      <c r="Z839">
        <v>0</v>
      </c>
      <c r="AA839">
        <v>0</v>
      </c>
      <c r="AB839">
        <v>0</v>
      </c>
      <c r="AC839">
        <v>0</v>
      </c>
      <c r="AD839">
        <v>5</v>
      </c>
      <c r="AE839">
        <v>1</v>
      </c>
      <c r="AF839">
        <v>0</v>
      </c>
      <c r="AG839">
        <v>0</v>
      </c>
      <c r="AH839">
        <v>0</v>
      </c>
      <c r="AI839">
        <v>0</v>
      </c>
      <c r="AY839" t="str">
        <f t="shared" si="192"/>
        <v>NAXCEL 100 MG/ML SUSPENSION INJECTABLE POUR PORCINS</v>
      </c>
      <c r="AZ839" t="str">
        <f>IF(COUNTIF(AY:AY,AY839)=1,AY839,IF(AND(COUNTIF(AY:AY,AY839)&gt;1,COUNTIF(AZ$2:AZ838,AY839)&gt;=1),"",AY839))</f>
        <v/>
      </c>
      <c r="BA839" t="str">
        <f>IF(AZ839="","",COUNTIFS(AZ$3:AZ$1439,"&lt;"&amp;AZ839,AZ$3:AZ$1439,"&lt;&gt;0")+COUNTIF(AZ$3:AZ839,AZ839)-876)</f>
        <v/>
      </c>
      <c r="BT839" s="76"/>
      <c r="CN839">
        <v>838</v>
      </c>
    </row>
    <row r="840" spans="1:92" x14ac:dyDescent="0.3">
      <c r="A840" s="118" t="s">
        <v>3506</v>
      </c>
      <c r="B840" t="s">
        <v>3507</v>
      </c>
      <c r="C840" t="s">
        <v>1483</v>
      </c>
      <c r="D840" s="144" t="s">
        <v>764</v>
      </c>
      <c r="E840" t="s">
        <v>765</v>
      </c>
      <c r="F840" t="s">
        <v>399</v>
      </c>
      <c r="G840" t="s">
        <v>766</v>
      </c>
      <c r="H840" t="s">
        <v>801</v>
      </c>
      <c r="I840" t="s">
        <v>766</v>
      </c>
      <c r="J840" t="s">
        <v>2165</v>
      </c>
      <c r="K840" t="s">
        <v>2165</v>
      </c>
      <c r="L840" t="s">
        <v>2432</v>
      </c>
      <c r="M840" t="s">
        <v>208</v>
      </c>
      <c r="N840" t="s">
        <v>864</v>
      </c>
      <c r="O840" t="s">
        <v>771</v>
      </c>
      <c r="P840" t="s">
        <v>772</v>
      </c>
      <c r="Q840" t="s">
        <v>869</v>
      </c>
      <c r="R840">
        <v>6.6</v>
      </c>
      <c r="S840">
        <v>1</v>
      </c>
      <c r="T840">
        <v>0</v>
      </c>
      <c r="U840">
        <v>0</v>
      </c>
      <c r="V840">
        <v>0</v>
      </c>
      <c r="W840">
        <v>0</v>
      </c>
      <c r="X840">
        <v>0</v>
      </c>
      <c r="Y840">
        <v>0</v>
      </c>
      <c r="Z840">
        <v>0</v>
      </c>
      <c r="AA840">
        <v>0</v>
      </c>
      <c r="AB840">
        <v>0</v>
      </c>
      <c r="AC840">
        <v>0</v>
      </c>
      <c r="AD840">
        <v>0</v>
      </c>
      <c r="AE840">
        <v>0</v>
      </c>
      <c r="AF840">
        <v>0</v>
      </c>
      <c r="AG840">
        <v>0</v>
      </c>
      <c r="AH840">
        <v>0</v>
      </c>
      <c r="AI840">
        <v>0</v>
      </c>
      <c r="AY840" t="str">
        <f t="shared" si="192"/>
        <v>NAXCEL 200 MG/ML SUSPENSION INJECTABLE POUR BOVINS</v>
      </c>
      <c r="AZ840" t="str">
        <f>IF(COUNTIF(AY:AY,AY840)=1,AY840,IF(AND(COUNTIF(AY:AY,AY840)&gt;1,COUNTIF(AZ$2:AZ839,AY840)&gt;=1),"",AY840))</f>
        <v>NAXCEL 200 MG/ML SUSPENSION INJECTABLE POUR BOVINS</v>
      </c>
      <c r="BA840">
        <f>IF(AZ840="","",COUNTIFS(AZ$3:AZ$1439,"&lt;"&amp;AZ840,AZ$3:AZ$1439,"&lt;&gt;0")+COUNTIF(AZ$3:AZ840,AZ840)-876)</f>
        <v>316</v>
      </c>
      <c r="BT840" s="76"/>
      <c r="CN840">
        <v>839</v>
      </c>
    </row>
    <row r="841" spans="1:92" x14ac:dyDescent="0.3">
      <c r="A841" s="118" t="s">
        <v>2273</v>
      </c>
      <c r="B841" t="s">
        <v>2274</v>
      </c>
      <c r="C841" t="s">
        <v>2275</v>
      </c>
      <c r="D841" s="144" t="s">
        <v>772</v>
      </c>
      <c r="E841" t="s">
        <v>813</v>
      </c>
      <c r="F841" t="s">
        <v>659</v>
      </c>
      <c r="G841" t="s">
        <v>985</v>
      </c>
      <c r="H841" t="s">
        <v>2276</v>
      </c>
      <c r="I841" t="s">
        <v>879</v>
      </c>
      <c r="J841" t="s">
        <v>1752</v>
      </c>
      <c r="K841" t="s">
        <v>1752</v>
      </c>
      <c r="L841" t="s">
        <v>2277</v>
      </c>
      <c r="M841" t="s">
        <v>208</v>
      </c>
      <c r="N841" t="s">
        <v>2278</v>
      </c>
      <c r="O841" t="s">
        <v>824</v>
      </c>
      <c r="P841" t="s">
        <v>772</v>
      </c>
      <c r="Q841" t="s">
        <v>2073</v>
      </c>
      <c r="R841">
        <v>0</v>
      </c>
      <c r="S841">
        <v>0</v>
      </c>
      <c r="T841">
        <v>0</v>
      </c>
      <c r="U841">
        <v>0</v>
      </c>
      <c r="V841">
        <v>0</v>
      </c>
      <c r="W841">
        <v>0</v>
      </c>
      <c r="X841">
        <v>0</v>
      </c>
      <c r="Y841">
        <v>0</v>
      </c>
      <c r="Z841">
        <v>0</v>
      </c>
      <c r="AA841">
        <v>0</v>
      </c>
      <c r="AB841">
        <v>0</v>
      </c>
      <c r="AC841">
        <v>0</v>
      </c>
      <c r="AD841">
        <v>0</v>
      </c>
      <c r="AE841">
        <v>0</v>
      </c>
      <c r="AF841">
        <v>0</v>
      </c>
      <c r="AG841">
        <v>0</v>
      </c>
      <c r="AH841">
        <v>0</v>
      </c>
      <c r="AI841">
        <v>0</v>
      </c>
      <c r="AY841" t="str">
        <f t="shared" si="192"/>
        <v>NEGEROL AEROSOL</v>
      </c>
      <c r="AZ841" t="str">
        <f>IF(COUNTIF(AY:AY,AY841)=1,AY841,IF(AND(COUNTIF(AY:AY,AY841)&gt;1,COUNTIF(AZ$2:AZ840,AY841)&gt;=1),"",AY841))</f>
        <v>NEGEROL AEROSOL</v>
      </c>
      <c r="BA841">
        <f>IF(AZ841="","",COUNTIFS(AZ$3:AZ$1439,"&lt;"&amp;AZ841,AZ$3:AZ$1439,"&lt;&gt;0")+COUNTIF(AZ$3:AZ841,AZ841)-876)</f>
        <v>317</v>
      </c>
      <c r="BT841" s="76"/>
      <c r="CN841">
        <v>840</v>
      </c>
    </row>
    <row r="842" spans="1:92" x14ac:dyDescent="0.3">
      <c r="A842" s="118" t="s">
        <v>2877</v>
      </c>
      <c r="B842" t="s">
        <v>2878</v>
      </c>
      <c r="C842" t="s">
        <v>891</v>
      </c>
      <c r="D842" s="144" t="s">
        <v>829</v>
      </c>
      <c r="E842" t="s">
        <v>830</v>
      </c>
      <c r="F842" t="s">
        <v>400</v>
      </c>
      <c r="G842" t="s">
        <v>831</v>
      </c>
      <c r="H842" t="s">
        <v>1606</v>
      </c>
      <c r="I842" t="s">
        <v>817</v>
      </c>
      <c r="J842" t="s">
        <v>783</v>
      </c>
      <c r="K842" t="s">
        <v>783</v>
      </c>
      <c r="L842" t="s">
        <v>784</v>
      </c>
      <c r="M842" t="s">
        <v>208</v>
      </c>
      <c r="N842" t="s">
        <v>906</v>
      </c>
      <c r="O842" t="s">
        <v>894</v>
      </c>
      <c r="P842" t="s">
        <v>772</v>
      </c>
      <c r="Q842" t="s">
        <v>906</v>
      </c>
      <c r="R842">
        <v>30</v>
      </c>
      <c r="S842">
        <v>5</v>
      </c>
      <c r="T842">
        <v>0</v>
      </c>
      <c r="U842">
        <v>0</v>
      </c>
      <c r="V842">
        <v>0</v>
      </c>
      <c r="W842">
        <v>0</v>
      </c>
      <c r="X842">
        <v>0</v>
      </c>
      <c r="Y842">
        <v>0</v>
      </c>
      <c r="Z842">
        <v>30</v>
      </c>
      <c r="AA842">
        <v>5</v>
      </c>
      <c r="AB842">
        <v>30</v>
      </c>
      <c r="AC842">
        <v>5</v>
      </c>
      <c r="AD842">
        <v>30</v>
      </c>
      <c r="AE842">
        <v>5</v>
      </c>
      <c r="AF842">
        <v>30</v>
      </c>
      <c r="AG842">
        <v>5</v>
      </c>
      <c r="AH842">
        <v>0</v>
      </c>
      <c r="AI842">
        <v>0</v>
      </c>
      <c r="AY842" t="str">
        <f t="shared" si="192"/>
        <v>NEO 50 FRANVET</v>
      </c>
      <c r="AZ842" t="str">
        <f>IF(COUNTIF(AY:AY,AY842)=1,AY842,IF(AND(COUNTIF(AY:AY,AY842)&gt;1,COUNTIF(AZ$2:AZ841,AY842)&gt;=1),"",AY842))</f>
        <v>NEO 50 FRANVET</v>
      </c>
      <c r="BA842">
        <f>IF(AZ842="","",COUNTIFS(AZ$3:AZ$1439,"&lt;"&amp;AZ842,AZ$3:AZ$1439,"&lt;&gt;0")+COUNTIF(AZ$3:AZ842,AZ842)-876)</f>
        <v>318</v>
      </c>
      <c r="BT842" s="76"/>
      <c r="CN842">
        <v>841</v>
      </c>
    </row>
    <row r="843" spans="1:92" x14ac:dyDescent="0.3">
      <c r="A843" s="118" t="s">
        <v>2877</v>
      </c>
      <c r="B843" t="s">
        <v>2879</v>
      </c>
      <c r="C843" t="s">
        <v>4502</v>
      </c>
      <c r="D843" s="144" t="s">
        <v>955</v>
      </c>
      <c r="E843" t="s">
        <v>830</v>
      </c>
      <c r="F843" t="s">
        <v>400</v>
      </c>
      <c r="G843" t="s">
        <v>831</v>
      </c>
      <c r="H843" t="s">
        <v>1606</v>
      </c>
      <c r="I843" t="s">
        <v>817</v>
      </c>
      <c r="J843" t="s">
        <v>783</v>
      </c>
      <c r="K843" t="s">
        <v>783</v>
      </c>
      <c r="L843" t="s">
        <v>784</v>
      </c>
      <c r="M843" t="s">
        <v>208</v>
      </c>
      <c r="N843" t="s">
        <v>906</v>
      </c>
      <c r="O843" t="s">
        <v>894</v>
      </c>
      <c r="P843" t="s">
        <v>772</v>
      </c>
      <c r="Q843" t="s">
        <v>966</v>
      </c>
      <c r="R843">
        <v>30</v>
      </c>
      <c r="S843">
        <v>5</v>
      </c>
      <c r="T843">
        <v>0</v>
      </c>
      <c r="U843">
        <v>0</v>
      </c>
      <c r="V843">
        <v>0</v>
      </c>
      <c r="W843">
        <v>0</v>
      </c>
      <c r="X843">
        <v>0</v>
      </c>
      <c r="Y843">
        <v>0</v>
      </c>
      <c r="Z843">
        <v>30</v>
      </c>
      <c r="AA843">
        <v>5</v>
      </c>
      <c r="AB843">
        <v>30</v>
      </c>
      <c r="AC843">
        <v>5</v>
      </c>
      <c r="AD843">
        <v>30</v>
      </c>
      <c r="AE843">
        <v>5</v>
      </c>
      <c r="AF843">
        <v>30</v>
      </c>
      <c r="AG843">
        <v>5</v>
      </c>
      <c r="AH843">
        <v>0</v>
      </c>
      <c r="AI843">
        <v>0</v>
      </c>
      <c r="AY843" t="str">
        <f t="shared" si="192"/>
        <v>NEO 50 FRANVET</v>
      </c>
      <c r="AZ843" t="str">
        <f>IF(COUNTIF(AY:AY,AY843)=1,AY843,IF(AND(COUNTIF(AY:AY,AY843)&gt;1,COUNTIF(AZ$2:AZ842,AY843)&gt;=1),"",AY843))</f>
        <v/>
      </c>
      <c r="BA843" t="str">
        <f>IF(AZ843="","",COUNTIFS(AZ$3:AZ$1439,"&lt;"&amp;AZ843,AZ$3:AZ$1439,"&lt;&gt;0")+COUNTIF(AZ$3:AZ843,AZ843)-876)</f>
        <v/>
      </c>
      <c r="BT843" s="76"/>
      <c r="CN843">
        <v>842</v>
      </c>
    </row>
    <row r="844" spans="1:92" x14ac:dyDescent="0.3">
      <c r="A844" s="118" t="s">
        <v>4604</v>
      </c>
      <c r="B844" t="s">
        <v>4605</v>
      </c>
      <c r="C844" t="s">
        <v>1835</v>
      </c>
      <c r="D844" t="s">
        <v>829</v>
      </c>
      <c r="E844" t="s">
        <v>830</v>
      </c>
      <c r="F844" t="s">
        <v>4606</v>
      </c>
      <c r="G844" t="s">
        <v>831</v>
      </c>
      <c r="H844" t="s">
        <v>3999</v>
      </c>
      <c r="I844" t="s">
        <v>817</v>
      </c>
      <c r="J844" t="s">
        <v>783</v>
      </c>
      <c r="K844" t="s">
        <v>783</v>
      </c>
      <c r="L844" t="s">
        <v>784</v>
      </c>
      <c r="M844" t="s">
        <v>208</v>
      </c>
      <c r="N844" t="s">
        <v>1016</v>
      </c>
      <c r="O844" t="s">
        <v>834</v>
      </c>
      <c r="P844" t="s">
        <v>4370</v>
      </c>
      <c r="Q844" t="s">
        <v>4404</v>
      </c>
      <c r="R844">
        <v>32.75</v>
      </c>
      <c r="S844">
        <v>4</v>
      </c>
      <c r="T844">
        <v>0</v>
      </c>
      <c r="U844">
        <v>0</v>
      </c>
      <c r="V844">
        <v>0</v>
      </c>
      <c r="W844">
        <v>0</v>
      </c>
      <c r="X844">
        <v>0</v>
      </c>
      <c r="Y844">
        <v>0</v>
      </c>
      <c r="Z844">
        <v>0</v>
      </c>
      <c r="AA844">
        <v>0</v>
      </c>
      <c r="AB844">
        <v>0</v>
      </c>
      <c r="AC844">
        <v>0</v>
      </c>
      <c r="AD844">
        <v>32.75</v>
      </c>
      <c r="AE844">
        <v>4</v>
      </c>
      <c r="AF844">
        <v>32.75</v>
      </c>
      <c r="AG844">
        <v>4</v>
      </c>
      <c r="AH844">
        <v>0</v>
      </c>
      <c r="AI844">
        <v>0</v>
      </c>
      <c r="AY844" t="str">
        <f t="shared" si="192"/>
        <v>NEOACTIVE</v>
      </c>
      <c r="AZ844" t="str">
        <f>IF(COUNTIF(AY:AY,AY844)=1,AY844,IF(AND(COUNTIF(AY:AY,AY844)&gt;1,COUNTIF(AZ$2:AZ843,AY844)&gt;=1),"",AY844))</f>
        <v>NEOACTIVE</v>
      </c>
      <c r="BA844">
        <f>IF(AZ844="","",COUNTIFS(AZ$3:AZ$1439,"&lt;"&amp;AZ844,AZ$3:AZ$1439,"&lt;&gt;0")+COUNTIF(AZ$3:AZ844,AZ844)-876)</f>
        <v>319</v>
      </c>
      <c r="BT844" s="76"/>
      <c r="CN844">
        <v>843</v>
      </c>
    </row>
    <row r="845" spans="1:92" x14ac:dyDescent="0.3">
      <c r="A845" s="118" t="s">
        <v>4103</v>
      </c>
      <c r="B845" t="s">
        <v>4104</v>
      </c>
      <c r="C845" t="s">
        <v>1835</v>
      </c>
      <c r="D845" s="144" t="s">
        <v>829</v>
      </c>
      <c r="E845" t="s">
        <v>830</v>
      </c>
      <c r="F845" t="s">
        <v>107</v>
      </c>
      <c r="G845" t="s">
        <v>831</v>
      </c>
      <c r="H845" t="s">
        <v>3999</v>
      </c>
      <c r="I845" t="s">
        <v>817</v>
      </c>
      <c r="J845" t="s">
        <v>783</v>
      </c>
      <c r="K845" t="s">
        <v>783</v>
      </c>
      <c r="L845" t="s">
        <v>784</v>
      </c>
      <c r="M845" t="s">
        <v>208</v>
      </c>
      <c r="N845" t="s">
        <v>1016</v>
      </c>
      <c r="O845" t="s">
        <v>834</v>
      </c>
      <c r="P845" t="s">
        <v>4370</v>
      </c>
      <c r="Q845" t="s">
        <v>4404</v>
      </c>
      <c r="R845">
        <v>32.75</v>
      </c>
      <c r="S845">
        <v>4</v>
      </c>
      <c r="T845">
        <v>0</v>
      </c>
      <c r="U845">
        <v>0</v>
      </c>
      <c r="V845">
        <v>0</v>
      </c>
      <c r="W845">
        <v>0</v>
      </c>
      <c r="X845">
        <v>0</v>
      </c>
      <c r="Y845">
        <v>0</v>
      </c>
      <c r="Z845">
        <v>0</v>
      </c>
      <c r="AA845">
        <v>0</v>
      </c>
      <c r="AB845">
        <v>0</v>
      </c>
      <c r="AC845">
        <v>0</v>
      </c>
      <c r="AD845">
        <v>32.75</v>
      </c>
      <c r="AE845">
        <v>4</v>
      </c>
      <c r="AF845">
        <v>32.75</v>
      </c>
      <c r="AG845">
        <v>4</v>
      </c>
      <c r="AH845">
        <v>0</v>
      </c>
      <c r="AI845">
        <v>0</v>
      </c>
      <c r="AY845" t="str">
        <f t="shared" si="192"/>
        <v>NEOMAY</v>
      </c>
      <c r="AZ845" t="str">
        <f>IF(COUNTIF(AY:AY,AY845)=1,AY845,IF(AND(COUNTIF(AY:AY,AY845)&gt;1,COUNTIF(AZ$2:AZ844,AY845)&gt;=1),"",AY845))</f>
        <v>NEOMAY</v>
      </c>
      <c r="BA845">
        <f>IF(AZ845="","",COUNTIFS(AZ$3:AZ$1439,"&lt;"&amp;AZ845,AZ$3:AZ$1439,"&lt;&gt;0")+COUNTIF(AZ$3:AZ845,AZ845)-876)</f>
        <v>320</v>
      </c>
      <c r="BT845" s="76"/>
      <c r="CN845">
        <v>844</v>
      </c>
    </row>
    <row r="846" spans="1:92" x14ac:dyDescent="0.3">
      <c r="A846" s="118" t="s">
        <v>4103</v>
      </c>
      <c r="B846" t="s">
        <v>4105</v>
      </c>
      <c r="C846" t="s">
        <v>4106</v>
      </c>
      <c r="D846" s="144" t="s">
        <v>764</v>
      </c>
      <c r="E846" t="s">
        <v>830</v>
      </c>
      <c r="F846" t="s">
        <v>107</v>
      </c>
      <c r="G846" t="s">
        <v>831</v>
      </c>
      <c r="H846" t="s">
        <v>3999</v>
      </c>
      <c r="I846" t="s">
        <v>817</v>
      </c>
      <c r="J846" t="s">
        <v>783</v>
      </c>
      <c r="K846" t="s">
        <v>783</v>
      </c>
      <c r="L846" t="s">
        <v>784</v>
      </c>
      <c r="M846" t="s">
        <v>208</v>
      </c>
      <c r="N846" t="s">
        <v>1016</v>
      </c>
      <c r="O846" t="s">
        <v>834</v>
      </c>
      <c r="P846" t="s">
        <v>4370</v>
      </c>
      <c r="Q846" t="s">
        <v>4579</v>
      </c>
      <c r="R846">
        <v>32.75</v>
      </c>
      <c r="S846">
        <v>4</v>
      </c>
      <c r="T846">
        <v>0</v>
      </c>
      <c r="U846">
        <v>0</v>
      </c>
      <c r="V846">
        <v>0</v>
      </c>
      <c r="W846">
        <v>0</v>
      </c>
      <c r="X846">
        <v>0</v>
      </c>
      <c r="Y846">
        <v>0</v>
      </c>
      <c r="Z846">
        <v>0</v>
      </c>
      <c r="AA846">
        <v>0</v>
      </c>
      <c r="AB846">
        <v>0</v>
      </c>
      <c r="AC846">
        <v>0</v>
      </c>
      <c r="AD846">
        <v>32.75</v>
      </c>
      <c r="AE846">
        <v>4</v>
      </c>
      <c r="AF846">
        <v>32.75</v>
      </c>
      <c r="AG846">
        <v>4</v>
      </c>
      <c r="AH846">
        <v>0</v>
      </c>
      <c r="AI846">
        <v>0</v>
      </c>
      <c r="AY846" t="str">
        <f t="shared" si="192"/>
        <v>NEOMAY</v>
      </c>
      <c r="AZ846" t="str">
        <f>IF(COUNTIF(AY:AY,AY846)=1,AY846,IF(AND(COUNTIF(AY:AY,AY846)&gt;1,COUNTIF(AZ$2:AZ845,AY846)&gt;=1),"",AY846))</f>
        <v/>
      </c>
      <c r="BA846" t="str">
        <f>IF(AZ846="","",COUNTIFS(AZ$3:AZ$1439,"&lt;"&amp;AZ846,AZ$3:AZ$1439,"&lt;&gt;0")+COUNTIF(AZ$3:AZ846,AZ846)-876)</f>
        <v/>
      </c>
      <c r="BT846" s="76"/>
      <c r="CN846">
        <v>845</v>
      </c>
    </row>
    <row r="847" spans="1:92" x14ac:dyDescent="0.3">
      <c r="A847" s="118" t="s">
        <v>1380</v>
      </c>
      <c r="B847" t="s">
        <v>1381</v>
      </c>
      <c r="C847" t="s">
        <v>1062</v>
      </c>
      <c r="D847" s="144" t="s">
        <v>1063</v>
      </c>
      <c r="E847" t="s">
        <v>830</v>
      </c>
      <c r="F847" t="s">
        <v>4396</v>
      </c>
      <c r="G847" t="s">
        <v>1064</v>
      </c>
      <c r="H847" t="s">
        <v>1382</v>
      </c>
      <c r="I847" t="s">
        <v>1066</v>
      </c>
      <c r="J847" t="s">
        <v>783</v>
      </c>
      <c r="K847" t="s">
        <v>783</v>
      </c>
      <c r="L847" t="s">
        <v>784</v>
      </c>
      <c r="M847" t="s">
        <v>208</v>
      </c>
      <c r="N847" t="s">
        <v>1383</v>
      </c>
      <c r="O847" t="s">
        <v>834</v>
      </c>
      <c r="P847" t="s">
        <v>4370</v>
      </c>
      <c r="Q847" t="s">
        <v>4397</v>
      </c>
      <c r="R847">
        <v>0</v>
      </c>
      <c r="S847">
        <v>0</v>
      </c>
      <c r="T847">
        <v>0</v>
      </c>
      <c r="U847">
        <v>0</v>
      </c>
      <c r="V847">
        <v>0</v>
      </c>
      <c r="W847">
        <v>0</v>
      </c>
      <c r="X847">
        <v>0</v>
      </c>
      <c r="Y847">
        <v>0</v>
      </c>
      <c r="Z847">
        <v>26.2</v>
      </c>
      <c r="AA847">
        <v>10</v>
      </c>
      <c r="AB847">
        <v>26.2</v>
      </c>
      <c r="AC847">
        <v>10</v>
      </c>
      <c r="AD847">
        <v>26.2</v>
      </c>
      <c r="AE847">
        <v>10</v>
      </c>
      <c r="AF847">
        <v>26.2</v>
      </c>
      <c r="AG847">
        <v>10</v>
      </c>
      <c r="AH847">
        <v>0</v>
      </c>
      <c r="AI847">
        <v>0</v>
      </c>
      <c r="AY847" t="str">
        <f t="shared" si="192"/>
        <v>NEOMYCINE 40 LAPIN-VOLAILLE-PORC ET AGNEAU-CHEVREAU SEVRES</v>
      </c>
      <c r="AZ847" t="str">
        <f>IF(COUNTIF(AY:AY,AY847)=1,AY847,IF(AND(COUNTIF(AY:AY,AY847)&gt;1,COUNTIF(AZ$2:AZ846,AY847)&gt;=1),"",AY847))</f>
        <v>NEOMYCINE 40 LAPIN-VOLAILLE-PORC ET AGNEAU-CHEVREAU SEVRES</v>
      </c>
      <c r="BA847">
        <f>IF(AZ847="","",COUNTIFS(AZ$3:AZ$1439,"&lt;"&amp;AZ847,AZ$3:AZ$1439,"&lt;&gt;0")+COUNTIF(AZ$3:AZ847,AZ847)-876)</f>
        <v>321</v>
      </c>
      <c r="BT847" s="76"/>
      <c r="CN847">
        <v>846</v>
      </c>
    </row>
    <row r="848" spans="1:92" x14ac:dyDescent="0.3">
      <c r="A848" s="118" t="s">
        <v>1321</v>
      </c>
      <c r="B848" t="s">
        <v>1322</v>
      </c>
      <c r="C848" t="s">
        <v>1323</v>
      </c>
      <c r="D848" s="144" t="s">
        <v>829</v>
      </c>
      <c r="E848" t="s">
        <v>830</v>
      </c>
      <c r="F848" t="s">
        <v>660</v>
      </c>
      <c r="G848" t="s">
        <v>831</v>
      </c>
      <c r="H848" t="s">
        <v>832</v>
      </c>
      <c r="I848" t="s">
        <v>817</v>
      </c>
      <c r="J848" t="s">
        <v>783</v>
      </c>
      <c r="K848" t="s">
        <v>783</v>
      </c>
      <c r="L848" t="s">
        <v>784</v>
      </c>
      <c r="M848" t="s">
        <v>208</v>
      </c>
      <c r="N848" t="s">
        <v>906</v>
      </c>
      <c r="O848" t="s">
        <v>894</v>
      </c>
      <c r="P848" t="s">
        <v>772</v>
      </c>
      <c r="Q848" t="s">
        <v>906</v>
      </c>
      <c r="R848">
        <v>25</v>
      </c>
      <c r="S848">
        <v>4</v>
      </c>
      <c r="T848">
        <v>0</v>
      </c>
      <c r="U848">
        <v>0</v>
      </c>
      <c r="V848">
        <v>0</v>
      </c>
      <c r="W848">
        <v>0</v>
      </c>
      <c r="X848">
        <v>0</v>
      </c>
      <c r="Y848">
        <v>0</v>
      </c>
      <c r="Z848">
        <v>0</v>
      </c>
      <c r="AA848">
        <v>0</v>
      </c>
      <c r="AB848">
        <v>0</v>
      </c>
      <c r="AC848">
        <v>0</v>
      </c>
      <c r="AD848">
        <v>25</v>
      </c>
      <c r="AE848">
        <v>4</v>
      </c>
      <c r="AF848">
        <v>25</v>
      </c>
      <c r="AG848">
        <v>4</v>
      </c>
      <c r="AH848">
        <v>0</v>
      </c>
      <c r="AI848">
        <v>0</v>
      </c>
      <c r="AY848" t="str">
        <f t="shared" si="192"/>
        <v>NEOMYCINE 50 % VIRBAC</v>
      </c>
      <c r="AZ848" t="str">
        <f>IF(COUNTIF(AY:AY,AY848)=1,AY848,IF(AND(COUNTIF(AY:AY,AY848)&gt;1,COUNTIF(AZ$2:AZ847,AY848)&gt;=1),"",AY848))</f>
        <v>NEOMYCINE 50 % VIRBAC</v>
      </c>
      <c r="BA848">
        <f>IF(AZ848="","",COUNTIFS(AZ$3:AZ$1439,"&lt;"&amp;AZ848,AZ$3:AZ$1439,"&lt;&gt;0")+COUNTIF(AZ$3:AZ848,AZ848)-876)</f>
        <v>322</v>
      </c>
      <c r="BT848" s="76"/>
      <c r="CN848">
        <v>847</v>
      </c>
    </row>
    <row r="849" spans="1:92" x14ac:dyDescent="0.3">
      <c r="A849" s="118" t="s">
        <v>1604</v>
      </c>
      <c r="B849" t="s">
        <v>1605</v>
      </c>
      <c r="C849" t="s">
        <v>828</v>
      </c>
      <c r="D849" s="144" t="s">
        <v>829</v>
      </c>
      <c r="E849" t="s">
        <v>830</v>
      </c>
      <c r="F849" t="s">
        <v>401</v>
      </c>
      <c r="G849" t="s">
        <v>831</v>
      </c>
      <c r="H849" t="s">
        <v>1606</v>
      </c>
      <c r="I849" t="s">
        <v>817</v>
      </c>
      <c r="J849" t="s">
        <v>783</v>
      </c>
      <c r="K849" t="s">
        <v>783</v>
      </c>
      <c r="L849" t="s">
        <v>784</v>
      </c>
      <c r="M849" t="s">
        <v>208</v>
      </c>
      <c r="N849" t="s">
        <v>1016</v>
      </c>
      <c r="O849" t="s">
        <v>834</v>
      </c>
      <c r="P849" t="s">
        <v>4370</v>
      </c>
      <c r="Q849" t="s">
        <v>4404</v>
      </c>
      <c r="R849">
        <v>39.299999999999997</v>
      </c>
      <c r="S849">
        <v>5</v>
      </c>
      <c r="T849">
        <v>0</v>
      </c>
      <c r="U849">
        <v>0</v>
      </c>
      <c r="V849">
        <v>0</v>
      </c>
      <c r="W849">
        <v>0</v>
      </c>
      <c r="X849">
        <v>0</v>
      </c>
      <c r="Y849">
        <v>0</v>
      </c>
      <c r="Z849">
        <v>39.299999999999997</v>
      </c>
      <c r="AA849">
        <v>5</v>
      </c>
      <c r="AB849">
        <v>39.299999999999997</v>
      </c>
      <c r="AC849">
        <v>5</v>
      </c>
      <c r="AD849">
        <v>39.299999999999997</v>
      </c>
      <c r="AE849">
        <v>5</v>
      </c>
      <c r="AF849">
        <v>39.299999999999997</v>
      </c>
      <c r="AG849">
        <v>5</v>
      </c>
      <c r="AH849">
        <v>0</v>
      </c>
      <c r="AI849">
        <v>0</v>
      </c>
      <c r="AY849" t="str">
        <f t="shared" si="192"/>
        <v>NEOMYCINE 50 COOPHAVET</v>
      </c>
      <c r="AZ849" t="str">
        <f>IF(COUNTIF(AY:AY,AY849)=1,AY849,IF(AND(COUNTIF(AY:AY,AY849)&gt;1,COUNTIF(AZ$2:AZ848,AY849)&gt;=1),"",AY849))</f>
        <v>NEOMYCINE 50 COOPHAVET</v>
      </c>
      <c r="BA849">
        <f>IF(AZ849="","",COUNTIFS(AZ$3:AZ$1439,"&lt;"&amp;AZ849,AZ$3:AZ$1439,"&lt;&gt;0")+COUNTIF(AZ$3:AZ849,AZ849)-876)</f>
        <v>323</v>
      </c>
      <c r="BT849" s="76"/>
      <c r="CN849">
        <v>848</v>
      </c>
    </row>
    <row r="850" spans="1:92" x14ac:dyDescent="0.3">
      <c r="A850" s="118" t="s">
        <v>1604</v>
      </c>
      <c r="B850" t="s">
        <v>1607</v>
      </c>
      <c r="C850" t="s">
        <v>1313</v>
      </c>
      <c r="D850" s="144" t="s">
        <v>955</v>
      </c>
      <c r="E850" t="s">
        <v>830</v>
      </c>
      <c r="F850" t="s">
        <v>401</v>
      </c>
      <c r="G850" t="s">
        <v>831</v>
      </c>
      <c r="H850" t="s">
        <v>1606</v>
      </c>
      <c r="I850" t="s">
        <v>817</v>
      </c>
      <c r="J850" t="s">
        <v>783</v>
      </c>
      <c r="K850" t="s">
        <v>783</v>
      </c>
      <c r="L850" t="s">
        <v>784</v>
      </c>
      <c r="M850" t="s">
        <v>208</v>
      </c>
      <c r="N850" t="s">
        <v>1016</v>
      </c>
      <c r="O850" t="s">
        <v>834</v>
      </c>
      <c r="P850" t="s">
        <v>4370</v>
      </c>
      <c r="Q850" t="s">
        <v>4405</v>
      </c>
      <c r="R850">
        <v>39.299999999999997</v>
      </c>
      <c r="S850">
        <v>5</v>
      </c>
      <c r="T850">
        <v>0</v>
      </c>
      <c r="U850">
        <v>0</v>
      </c>
      <c r="V850">
        <v>0</v>
      </c>
      <c r="W850">
        <v>0</v>
      </c>
      <c r="X850">
        <v>0</v>
      </c>
      <c r="Y850">
        <v>0</v>
      </c>
      <c r="Z850">
        <v>39.299999999999997</v>
      </c>
      <c r="AA850">
        <v>5</v>
      </c>
      <c r="AB850">
        <v>39.299999999999997</v>
      </c>
      <c r="AC850">
        <v>5</v>
      </c>
      <c r="AD850">
        <v>39.299999999999997</v>
      </c>
      <c r="AE850">
        <v>5</v>
      </c>
      <c r="AF850">
        <v>39.299999999999997</v>
      </c>
      <c r="AG850">
        <v>5</v>
      </c>
      <c r="AH850">
        <v>0</v>
      </c>
      <c r="AI850">
        <v>0</v>
      </c>
      <c r="AY850" t="str">
        <f t="shared" si="192"/>
        <v>NEOMYCINE 50 COOPHAVET</v>
      </c>
      <c r="AZ850" t="str">
        <f>IF(COUNTIF(AY:AY,AY850)=1,AY850,IF(AND(COUNTIF(AY:AY,AY850)&gt;1,COUNTIF(AZ$2:AZ849,AY850)&gt;=1),"",AY850))</f>
        <v/>
      </c>
      <c r="BA850" t="str">
        <f>IF(AZ850="","",COUNTIFS(AZ$3:AZ$1439,"&lt;"&amp;AZ850,AZ$3:AZ$1439,"&lt;&gt;0")+COUNTIF(AZ$3:AZ850,AZ850)-876)</f>
        <v/>
      </c>
      <c r="BT850" s="76"/>
      <c r="CN850">
        <v>849</v>
      </c>
    </row>
    <row r="851" spans="1:92" x14ac:dyDescent="0.3">
      <c r="A851" s="118" t="s">
        <v>1878</v>
      </c>
      <c r="B851" t="s">
        <v>1879</v>
      </c>
      <c r="C851" t="s">
        <v>1588</v>
      </c>
      <c r="D851" s="144" t="s">
        <v>829</v>
      </c>
      <c r="E851" t="s">
        <v>830</v>
      </c>
      <c r="F851" t="s">
        <v>108</v>
      </c>
      <c r="G851" t="s">
        <v>831</v>
      </c>
      <c r="H851" t="s">
        <v>1070</v>
      </c>
      <c r="I851" t="s">
        <v>817</v>
      </c>
      <c r="J851" t="s">
        <v>1208</v>
      </c>
      <c r="K851" t="s">
        <v>783</v>
      </c>
      <c r="L851" t="s">
        <v>784</v>
      </c>
      <c r="M851" t="s">
        <v>208</v>
      </c>
      <c r="N851" t="s">
        <v>864</v>
      </c>
      <c r="O851" t="s">
        <v>894</v>
      </c>
      <c r="P851" t="s">
        <v>772</v>
      </c>
      <c r="Q851" t="s">
        <v>864</v>
      </c>
      <c r="R851">
        <v>20</v>
      </c>
      <c r="S851">
        <v>3</v>
      </c>
      <c r="T851">
        <v>0</v>
      </c>
      <c r="U851">
        <v>0</v>
      </c>
      <c r="V851">
        <v>0</v>
      </c>
      <c r="W851">
        <v>0</v>
      </c>
      <c r="X851">
        <v>0</v>
      </c>
      <c r="Y851">
        <v>0</v>
      </c>
      <c r="Z851">
        <v>0</v>
      </c>
      <c r="AA851">
        <v>0</v>
      </c>
      <c r="AB851">
        <v>20</v>
      </c>
      <c r="AC851">
        <v>3</v>
      </c>
      <c r="AD851">
        <v>20</v>
      </c>
      <c r="AE851">
        <v>3</v>
      </c>
      <c r="AF851">
        <v>20</v>
      </c>
      <c r="AG851">
        <v>3</v>
      </c>
      <c r="AH851">
        <v>0</v>
      </c>
      <c r="AI851">
        <v>0</v>
      </c>
      <c r="AJ851" t="s">
        <v>768</v>
      </c>
      <c r="AK851" t="s">
        <v>769</v>
      </c>
      <c r="AL851" t="s">
        <v>208</v>
      </c>
      <c r="AM851" t="s">
        <v>864</v>
      </c>
      <c r="AN851" t="s">
        <v>894</v>
      </c>
      <c r="AO851" t="s">
        <v>772</v>
      </c>
      <c r="AP851" t="s">
        <v>864</v>
      </c>
      <c r="AY851" t="str">
        <f t="shared" si="192"/>
        <v>NEOXYNE</v>
      </c>
      <c r="AZ851" t="str">
        <f>IF(COUNTIF(AY:AY,AY851)=1,AY851,IF(AND(COUNTIF(AY:AY,AY851)&gt;1,COUNTIF(AZ$2:AZ850,AY851)&gt;=1),"",AY851))</f>
        <v>NEOXYNE</v>
      </c>
      <c r="BA851">
        <f>IF(AZ851="","",COUNTIFS(AZ$3:AZ$1439,"&lt;"&amp;AZ851,AZ$3:AZ$1439,"&lt;&gt;0")+COUNTIF(AZ$3:AZ851,AZ851)-876)</f>
        <v>324</v>
      </c>
      <c r="BT851" s="76"/>
      <c r="CN851">
        <v>850</v>
      </c>
    </row>
    <row r="852" spans="1:92" x14ac:dyDescent="0.3">
      <c r="A852" s="118" t="s">
        <v>1878</v>
      </c>
      <c r="B852" t="s">
        <v>1880</v>
      </c>
      <c r="C852" t="s">
        <v>828</v>
      </c>
      <c r="D852" s="144" t="s">
        <v>829</v>
      </c>
      <c r="E852" t="s">
        <v>830</v>
      </c>
      <c r="F852" t="s">
        <v>108</v>
      </c>
      <c r="G852" t="s">
        <v>831</v>
      </c>
      <c r="H852" t="s">
        <v>1070</v>
      </c>
      <c r="I852" t="s">
        <v>817</v>
      </c>
      <c r="J852" t="s">
        <v>1208</v>
      </c>
      <c r="K852" t="s">
        <v>783</v>
      </c>
      <c r="L852" t="s">
        <v>784</v>
      </c>
      <c r="M852" t="s">
        <v>208</v>
      </c>
      <c r="N852" t="s">
        <v>864</v>
      </c>
      <c r="O852" t="s">
        <v>894</v>
      </c>
      <c r="P852" t="s">
        <v>772</v>
      </c>
      <c r="Q852" t="s">
        <v>864</v>
      </c>
      <c r="R852">
        <v>20</v>
      </c>
      <c r="S852">
        <v>3</v>
      </c>
      <c r="T852">
        <v>0</v>
      </c>
      <c r="U852">
        <v>0</v>
      </c>
      <c r="V852">
        <v>0</v>
      </c>
      <c r="W852">
        <v>0</v>
      </c>
      <c r="X852">
        <v>0</v>
      </c>
      <c r="Y852">
        <v>0</v>
      </c>
      <c r="Z852">
        <v>0</v>
      </c>
      <c r="AA852">
        <v>0</v>
      </c>
      <c r="AB852">
        <v>20</v>
      </c>
      <c r="AC852">
        <v>3</v>
      </c>
      <c r="AD852">
        <v>20</v>
      </c>
      <c r="AE852">
        <v>3</v>
      </c>
      <c r="AF852">
        <v>20</v>
      </c>
      <c r="AG852">
        <v>3</v>
      </c>
      <c r="AH852">
        <v>0</v>
      </c>
      <c r="AI852">
        <v>0</v>
      </c>
      <c r="AJ852" t="s">
        <v>768</v>
      </c>
      <c r="AK852" t="s">
        <v>769</v>
      </c>
      <c r="AL852" t="s">
        <v>208</v>
      </c>
      <c r="AM852" t="s">
        <v>864</v>
      </c>
      <c r="AN852" t="s">
        <v>894</v>
      </c>
      <c r="AO852" t="s">
        <v>772</v>
      </c>
      <c r="AP852" t="s">
        <v>864</v>
      </c>
      <c r="AY852" t="str">
        <f t="shared" si="192"/>
        <v>NEOXYNE</v>
      </c>
      <c r="AZ852" t="str">
        <f>IF(COUNTIF(AY:AY,AY852)=1,AY852,IF(AND(COUNTIF(AY:AY,AY852)&gt;1,COUNTIF(AZ$2:AZ851,AY852)&gt;=1),"",AY852))</f>
        <v/>
      </c>
      <c r="BA852" t="str">
        <f>IF(AZ852="","",COUNTIFS(AZ$3:AZ$1439,"&lt;"&amp;AZ852,AZ$3:AZ$1439,"&lt;&gt;0")+COUNTIF(AZ$3:AZ852,AZ852)-876)</f>
        <v/>
      </c>
      <c r="BT852" s="76"/>
      <c r="CN852">
        <v>851</v>
      </c>
    </row>
    <row r="853" spans="1:92" x14ac:dyDescent="0.3">
      <c r="A853" s="118" t="s">
        <v>4659</v>
      </c>
      <c r="B853" t="s">
        <v>4660</v>
      </c>
      <c r="C853" t="s">
        <v>4661</v>
      </c>
      <c r="D853" t="s">
        <v>1033</v>
      </c>
      <c r="E853" t="s">
        <v>765</v>
      </c>
      <c r="F853" t="s">
        <v>4662</v>
      </c>
      <c r="G853" t="s">
        <v>964</v>
      </c>
      <c r="H853" t="s">
        <v>860</v>
      </c>
      <c r="I853" t="s">
        <v>879</v>
      </c>
      <c r="J853" t="s">
        <v>1752</v>
      </c>
      <c r="K853" t="s">
        <v>1752</v>
      </c>
      <c r="L853" t="s">
        <v>2511</v>
      </c>
      <c r="M853" t="s">
        <v>208</v>
      </c>
      <c r="N853" t="s">
        <v>4663</v>
      </c>
      <c r="O853" t="s">
        <v>771</v>
      </c>
      <c r="P853" t="s">
        <v>772</v>
      </c>
      <c r="Q853" t="s">
        <v>2212</v>
      </c>
      <c r="R853">
        <v>0</v>
      </c>
      <c r="S853">
        <v>0</v>
      </c>
      <c r="T853">
        <v>0</v>
      </c>
      <c r="U853">
        <v>0</v>
      </c>
      <c r="V853">
        <v>0</v>
      </c>
      <c r="W853">
        <v>0</v>
      </c>
      <c r="X853">
        <v>0</v>
      </c>
      <c r="Y853">
        <v>0</v>
      </c>
      <c r="Z853">
        <v>0</v>
      </c>
      <c r="AA853">
        <v>0</v>
      </c>
      <c r="AB853">
        <v>0</v>
      </c>
      <c r="AC853">
        <v>0</v>
      </c>
      <c r="AD853">
        <v>0</v>
      </c>
      <c r="AE853">
        <v>0</v>
      </c>
      <c r="AF853">
        <v>0</v>
      </c>
      <c r="AG853">
        <v>0</v>
      </c>
      <c r="AH853">
        <v>0</v>
      </c>
      <c r="AI853">
        <v>0</v>
      </c>
      <c r="AY853" t="str">
        <f t="shared" si="192"/>
        <v/>
      </c>
      <c r="AZ853" t="str">
        <f>IF(COUNTIF(AY:AY,AY853)=1,AY853,IF(AND(COUNTIF(AY:AY,AY853)&gt;1,COUNTIF(AZ$2:AZ852,AY853)&gt;=1),"",AY853))</f>
        <v/>
      </c>
      <c r="BA853" t="str">
        <f>IF(AZ853="","",COUNTIFS(AZ$3:AZ$1439,"&lt;"&amp;AZ853,AZ$3:AZ$1439,"&lt;&gt;0")+COUNTIF(AZ$3:AZ853,AZ853)-876)</f>
        <v/>
      </c>
      <c r="BT853" s="76"/>
      <c r="CN853">
        <v>852</v>
      </c>
    </row>
    <row r="854" spans="1:92" x14ac:dyDescent="0.3">
      <c r="A854" s="118" t="s">
        <v>4659</v>
      </c>
      <c r="B854" t="s">
        <v>4664</v>
      </c>
      <c r="C854" t="s">
        <v>4665</v>
      </c>
      <c r="D854" t="s">
        <v>852</v>
      </c>
      <c r="E854" t="s">
        <v>765</v>
      </c>
      <c r="F854" t="s">
        <v>4662</v>
      </c>
      <c r="G854" t="s">
        <v>964</v>
      </c>
      <c r="H854" t="s">
        <v>860</v>
      </c>
      <c r="I854" t="s">
        <v>879</v>
      </c>
      <c r="J854" t="s">
        <v>1752</v>
      </c>
      <c r="K854" t="s">
        <v>1752</v>
      </c>
      <c r="L854" t="s">
        <v>2511</v>
      </c>
      <c r="M854" t="s">
        <v>208</v>
      </c>
      <c r="N854" t="s">
        <v>4663</v>
      </c>
      <c r="O854" t="s">
        <v>771</v>
      </c>
      <c r="P854" t="s">
        <v>772</v>
      </c>
      <c r="Q854" t="s">
        <v>873</v>
      </c>
      <c r="R854">
        <v>0</v>
      </c>
      <c r="S854">
        <v>0</v>
      </c>
      <c r="T854">
        <v>0</v>
      </c>
      <c r="U854">
        <v>0</v>
      </c>
      <c r="V854">
        <v>0</v>
      </c>
      <c r="W854">
        <v>0</v>
      </c>
      <c r="X854">
        <v>0</v>
      </c>
      <c r="Y854">
        <v>0</v>
      </c>
      <c r="Z854">
        <v>0</v>
      </c>
      <c r="AA854">
        <v>0</v>
      </c>
      <c r="AB854">
        <v>0</v>
      </c>
      <c r="AC854">
        <v>0</v>
      </c>
      <c r="AD854">
        <v>0</v>
      </c>
      <c r="AE854">
        <v>0</v>
      </c>
      <c r="AF854">
        <v>0</v>
      </c>
      <c r="AG854">
        <v>0</v>
      </c>
      <c r="AH854">
        <v>0</v>
      </c>
      <c r="AI854">
        <v>0</v>
      </c>
      <c r="AY854" t="str">
        <f t="shared" si="192"/>
        <v/>
      </c>
      <c r="AZ854" t="str">
        <f>IF(COUNTIF(AY:AY,AY854)=1,AY854,IF(AND(COUNTIF(AY:AY,AY854)&gt;1,COUNTIF(AZ$2:AZ853,AY854)&gt;=1),"",AY854))</f>
        <v/>
      </c>
      <c r="BA854" t="str">
        <f>IF(AZ854="","",COUNTIFS(AZ$3:AZ$1439,"&lt;"&amp;AZ854,AZ$3:AZ$1439,"&lt;&gt;0")+COUNTIF(AZ$3:AZ854,AZ854)-876)</f>
        <v/>
      </c>
      <c r="BT854" s="76"/>
      <c r="CN854">
        <v>853</v>
      </c>
    </row>
    <row r="855" spans="1:92" x14ac:dyDescent="0.3">
      <c r="A855" s="118" t="s">
        <v>3986</v>
      </c>
      <c r="B855" t="s">
        <v>3987</v>
      </c>
      <c r="C855" t="s">
        <v>1241</v>
      </c>
      <c r="D855" s="144" t="s">
        <v>829</v>
      </c>
      <c r="E855" t="s">
        <v>765</v>
      </c>
      <c r="F855" t="s">
        <v>402</v>
      </c>
      <c r="G855" t="s">
        <v>956</v>
      </c>
      <c r="H855" t="s">
        <v>1213</v>
      </c>
      <c r="I855" t="s">
        <v>817</v>
      </c>
      <c r="J855" t="s">
        <v>1752</v>
      </c>
      <c r="K855" t="s">
        <v>1752</v>
      </c>
      <c r="L855" t="s">
        <v>2511</v>
      </c>
      <c r="M855" t="s">
        <v>208</v>
      </c>
      <c r="N855" t="s">
        <v>764</v>
      </c>
      <c r="O855" t="s">
        <v>771</v>
      </c>
      <c r="P855" t="s">
        <v>772</v>
      </c>
      <c r="Q855" t="s">
        <v>764</v>
      </c>
      <c r="R855">
        <v>10</v>
      </c>
      <c r="S855">
        <v>5</v>
      </c>
      <c r="T855">
        <v>0</v>
      </c>
      <c r="U855">
        <v>0</v>
      </c>
      <c r="V855">
        <v>0</v>
      </c>
      <c r="W855">
        <v>0</v>
      </c>
      <c r="X855">
        <v>0</v>
      </c>
      <c r="Y855">
        <v>0</v>
      </c>
      <c r="Z855">
        <v>0</v>
      </c>
      <c r="AA855">
        <v>0</v>
      </c>
      <c r="AB855">
        <v>0</v>
      </c>
      <c r="AC855">
        <v>0</v>
      </c>
      <c r="AD855">
        <v>10</v>
      </c>
      <c r="AE855">
        <v>5</v>
      </c>
      <c r="AF855">
        <v>0</v>
      </c>
      <c r="AG855">
        <v>0</v>
      </c>
      <c r="AH855">
        <v>0</v>
      </c>
      <c r="AI855">
        <v>0</v>
      </c>
      <c r="AY855" t="str">
        <f t="shared" si="192"/>
        <v>NIFENCOL 100 MG/ML SOLUTION POUR ADMINISTRATION DANS L'EAU DE BOISSONS POUR PORCINS</v>
      </c>
      <c r="AZ855" t="str">
        <f>IF(COUNTIF(AY:AY,AY855)=1,AY855,IF(AND(COUNTIF(AY:AY,AY855)&gt;1,COUNTIF(AZ$2:AZ854,AY855)&gt;=1),"",AY855))</f>
        <v>NIFENCOL 100 MG/ML SOLUTION POUR ADMINISTRATION DANS L'EAU DE BOISSONS POUR PORCINS</v>
      </c>
      <c r="BA855">
        <f>IF(AZ855="","",COUNTIFS(AZ$3:AZ$1439,"&lt;"&amp;AZ855,AZ$3:AZ$1439,"&lt;&gt;0")+COUNTIF(AZ$3:AZ855,AZ855)-876)</f>
        <v>325</v>
      </c>
      <c r="BT855" s="76"/>
      <c r="CN855">
        <v>854</v>
      </c>
    </row>
    <row r="856" spans="1:92" x14ac:dyDescent="0.3">
      <c r="A856" s="118" t="s">
        <v>3965</v>
      </c>
      <c r="B856" t="s">
        <v>3966</v>
      </c>
      <c r="C856" t="s">
        <v>792</v>
      </c>
      <c r="D856" s="144" t="s">
        <v>764</v>
      </c>
      <c r="E856" t="s">
        <v>765</v>
      </c>
      <c r="F856" t="s">
        <v>403</v>
      </c>
      <c r="G856" t="s">
        <v>766</v>
      </c>
      <c r="H856" t="s">
        <v>1326</v>
      </c>
      <c r="I856" t="s">
        <v>766</v>
      </c>
      <c r="J856" t="s">
        <v>1752</v>
      </c>
      <c r="K856" t="s">
        <v>1752</v>
      </c>
      <c r="L856" t="s">
        <v>2511</v>
      </c>
      <c r="M856" t="s">
        <v>208</v>
      </c>
      <c r="N856" t="s">
        <v>1163</v>
      </c>
      <c r="O856" t="s">
        <v>771</v>
      </c>
      <c r="P856" t="s">
        <v>772</v>
      </c>
      <c r="Q856" t="s">
        <v>797</v>
      </c>
      <c r="R856">
        <v>40</v>
      </c>
      <c r="S856">
        <v>1</v>
      </c>
      <c r="T856">
        <v>0</v>
      </c>
      <c r="U856">
        <v>0</v>
      </c>
      <c r="V856">
        <v>0</v>
      </c>
      <c r="W856">
        <v>0</v>
      </c>
      <c r="X856">
        <v>0</v>
      </c>
      <c r="Y856">
        <v>0</v>
      </c>
      <c r="Z856">
        <v>0</v>
      </c>
      <c r="AA856">
        <v>0</v>
      </c>
      <c r="AB856">
        <v>0</v>
      </c>
      <c r="AC856">
        <v>0</v>
      </c>
      <c r="AD856">
        <v>15</v>
      </c>
      <c r="AE856">
        <v>2</v>
      </c>
      <c r="AF856">
        <v>0</v>
      </c>
      <c r="AG856">
        <v>0</v>
      </c>
      <c r="AH856">
        <v>0</v>
      </c>
      <c r="AI856">
        <v>0</v>
      </c>
      <c r="AY856" t="str">
        <f t="shared" si="192"/>
        <v>NIFENCOL 300 MG/ML SOLUTION INJECTABLE POUR BOVINS ET PORCINS</v>
      </c>
      <c r="AZ856" t="str">
        <f>IF(COUNTIF(AY:AY,AY856)=1,AY856,IF(AND(COUNTIF(AY:AY,AY856)&gt;1,COUNTIF(AZ$2:AZ855,AY856)&gt;=1),"",AY856))</f>
        <v>NIFENCOL 300 MG/ML SOLUTION INJECTABLE POUR BOVINS ET PORCINS</v>
      </c>
      <c r="BA856">
        <f>IF(AZ856="","",COUNTIFS(AZ$3:AZ$1439,"&lt;"&amp;AZ856,AZ$3:AZ$1439,"&lt;&gt;0")+COUNTIF(AZ$3:AZ856,AZ856)-876)</f>
        <v>326</v>
      </c>
      <c r="BT856" s="76"/>
      <c r="CN856">
        <v>855</v>
      </c>
    </row>
    <row r="857" spans="1:92" x14ac:dyDescent="0.3">
      <c r="A857" s="118" t="s">
        <v>3965</v>
      </c>
      <c r="B857" t="s">
        <v>3967</v>
      </c>
      <c r="C857" t="s">
        <v>796</v>
      </c>
      <c r="D857" s="144" t="s">
        <v>776</v>
      </c>
      <c r="E857" t="s">
        <v>765</v>
      </c>
      <c r="F857" t="s">
        <v>403</v>
      </c>
      <c r="G857" t="s">
        <v>766</v>
      </c>
      <c r="H857" t="s">
        <v>1326</v>
      </c>
      <c r="I857" t="s">
        <v>766</v>
      </c>
      <c r="J857" t="s">
        <v>1752</v>
      </c>
      <c r="K857" t="s">
        <v>1752</v>
      </c>
      <c r="L857" t="s">
        <v>2511</v>
      </c>
      <c r="M857" t="s">
        <v>208</v>
      </c>
      <c r="N857" t="s">
        <v>1163</v>
      </c>
      <c r="O857" t="s">
        <v>771</v>
      </c>
      <c r="P857" t="s">
        <v>772</v>
      </c>
      <c r="Q857" t="s">
        <v>1255</v>
      </c>
      <c r="R857">
        <v>40</v>
      </c>
      <c r="S857">
        <v>1</v>
      </c>
      <c r="T857">
        <v>0</v>
      </c>
      <c r="U857">
        <v>0</v>
      </c>
      <c r="V857">
        <v>0</v>
      </c>
      <c r="W857">
        <v>0</v>
      </c>
      <c r="X857">
        <v>0</v>
      </c>
      <c r="Y857">
        <v>0</v>
      </c>
      <c r="Z857">
        <v>0</v>
      </c>
      <c r="AA857">
        <v>0</v>
      </c>
      <c r="AB857">
        <v>0</v>
      </c>
      <c r="AC857">
        <v>0</v>
      </c>
      <c r="AD857">
        <v>15</v>
      </c>
      <c r="AE857">
        <v>2</v>
      </c>
      <c r="AF857">
        <v>0</v>
      </c>
      <c r="AG857">
        <v>0</v>
      </c>
      <c r="AH857">
        <v>0</v>
      </c>
      <c r="AI857">
        <v>0</v>
      </c>
      <c r="AY857" t="str">
        <f t="shared" si="192"/>
        <v>NIFENCOL 300 MG/ML SOLUTION INJECTABLE POUR BOVINS ET PORCINS</v>
      </c>
      <c r="AZ857" t="str">
        <f>IF(COUNTIF(AY:AY,AY857)=1,AY857,IF(AND(COUNTIF(AY:AY,AY857)&gt;1,COUNTIF(AZ$2:AZ856,AY857)&gt;=1),"",AY857))</f>
        <v/>
      </c>
      <c r="BA857" t="str">
        <f>IF(AZ857="","",COUNTIFS(AZ$3:AZ$1439,"&lt;"&amp;AZ857,AZ$3:AZ$1439,"&lt;&gt;0")+COUNTIF(AZ$3:AZ857,AZ857)-876)</f>
        <v/>
      </c>
      <c r="BT857" s="76"/>
      <c r="CN857">
        <v>856</v>
      </c>
    </row>
    <row r="858" spans="1:92" x14ac:dyDescent="0.3">
      <c r="A858" s="118" t="s">
        <v>3796</v>
      </c>
      <c r="B858" t="s">
        <v>3797</v>
      </c>
      <c r="C858" t="s">
        <v>3798</v>
      </c>
      <c r="D858" s="144" t="s">
        <v>764</v>
      </c>
      <c r="E858" t="s">
        <v>765</v>
      </c>
      <c r="F858" t="s">
        <v>661</v>
      </c>
      <c r="G858" t="s">
        <v>766</v>
      </c>
      <c r="H858" t="s">
        <v>1326</v>
      </c>
      <c r="I858" t="s">
        <v>766</v>
      </c>
      <c r="J858" t="s">
        <v>1752</v>
      </c>
      <c r="K858" t="s">
        <v>1752</v>
      </c>
      <c r="L858" t="s">
        <v>2511</v>
      </c>
      <c r="M858" t="s">
        <v>208</v>
      </c>
      <c r="N858" t="s">
        <v>1163</v>
      </c>
      <c r="O858" t="s">
        <v>771</v>
      </c>
      <c r="P858" t="s">
        <v>772</v>
      </c>
      <c r="Q858" t="s">
        <v>797</v>
      </c>
      <c r="R858">
        <v>40</v>
      </c>
      <c r="S858">
        <v>1</v>
      </c>
      <c r="T858">
        <v>0</v>
      </c>
      <c r="U858">
        <v>0</v>
      </c>
      <c r="V858">
        <v>0</v>
      </c>
      <c r="W858">
        <v>0</v>
      </c>
      <c r="X858">
        <v>0</v>
      </c>
      <c r="Y858">
        <v>0</v>
      </c>
      <c r="Z858">
        <v>0</v>
      </c>
      <c r="AA858">
        <v>0</v>
      </c>
      <c r="AB858">
        <v>0</v>
      </c>
      <c r="AC858">
        <v>0</v>
      </c>
      <c r="AD858">
        <v>15</v>
      </c>
      <c r="AE858">
        <v>2</v>
      </c>
      <c r="AF858">
        <v>0</v>
      </c>
      <c r="AG858">
        <v>0</v>
      </c>
      <c r="AH858">
        <v>0</v>
      </c>
      <c r="AI858">
        <v>0</v>
      </c>
      <c r="AY858" t="str">
        <f t="shared" si="192"/>
        <v>NORFENICOL 300 MG/ML SOLUTION INJECTABLE POUR BOVINS ET PORCINS</v>
      </c>
      <c r="AZ858" t="str">
        <f>IF(COUNTIF(AY:AY,AY858)=1,AY858,IF(AND(COUNTIF(AY:AY,AY858)&gt;1,COUNTIF(AZ$2:AZ857,AY858)&gt;=1),"",AY858))</f>
        <v>NORFENICOL 300 MG/ML SOLUTION INJECTABLE POUR BOVINS ET PORCINS</v>
      </c>
      <c r="BA858">
        <f>IF(AZ858="","",COUNTIFS(AZ$3:AZ$1439,"&lt;"&amp;AZ858,AZ$3:AZ$1439,"&lt;&gt;0")+COUNTIF(AZ$3:AZ858,AZ858)-876)</f>
        <v>327</v>
      </c>
      <c r="BT858" s="76"/>
      <c r="CN858">
        <v>857</v>
      </c>
    </row>
    <row r="859" spans="1:92" x14ac:dyDescent="0.3">
      <c r="A859" s="118" t="s">
        <v>3796</v>
      </c>
      <c r="B859" t="s">
        <v>3799</v>
      </c>
      <c r="C859" t="s">
        <v>3800</v>
      </c>
      <c r="D859" s="144" t="s">
        <v>776</v>
      </c>
      <c r="E859" t="s">
        <v>765</v>
      </c>
      <c r="F859" t="s">
        <v>661</v>
      </c>
      <c r="G859" t="s">
        <v>766</v>
      </c>
      <c r="H859" t="s">
        <v>1326</v>
      </c>
      <c r="I859" t="s">
        <v>766</v>
      </c>
      <c r="J859" t="s">
        <v>1752</v>
      </c>
      <c r="K859" t="s">
        <v>1752</v>
      </c>
      <c r="L859" t="s">
        <v>2511</v>
      </c>
      <c r="M859" t="s">
        <v>208</v>
      </c>
      <c r="N859" t="s">
        <v>1163</v>
      </c>
      <c r="O859" t="s">
        <v>771</v>
      </c>
      <c r="P859" t="s">
        <v>772</v>
      </c>
      <c r="Q859" t="s">
        <v>1255</v>
      </c>
      <c r="R859">
        <v>40</v>
      </c>
      <c r="S859">
        <v>1</v>
      </c>
      <c r="T859">
        <v>0</v>
      </c>
      <c r="U859">
        <v>0</v>
      </c>
      <c r="V859">
        <v>0</v>
      </c>
      <c r="W859">
        <v>0</v>
      </c>
      <c r="X859">
        <v>0</v>
      </c>
      <c r="Y859">
        <v>0</v>
      </c>
      <c r="Z859">
        <v>0</v>
      </c>
      <c r="AA859">
        <v>0</v>
      </c>
      <c r="AB859">
        <v>0</v>
      </c>
      <c r="AC859">
        <v>0</v>
      </c>
      <c r="AD859">
        <v>15</v>
      </c>
      <c r="AE859">
        <v>2</v>
      </c>
      <c r="AF859">
        <v>0</v>
      </c>
      <c r="AG859">
        <v>0</v>
      </c>
      <c r="AH859">
        <v>0</v>
      </c>
      <c r="AI859">
        <v>0</v>
      </c>
      <c r="AY859" t="str">
        <f t="shared" si="192"/>
        <v>NORFENICOL 300 MG/ML SOLUTION INJECTABLE POUR BOVINS ET PORCINS</v>
      </c>
      <c r="AZ859" t="str">
        <f>IF(COUNTIF(AY:AY,AY859)=1,AY859,IF(AND(COUNTIF(AY:AY,AY859)&gt;1,COUNTIF(AZ$2:AZ858,AY859)&gt;=1),"",AY859))</f>
        <v/>
      </c>
      <c r="BA859" t="str">
        <f>IF(AZ859="","",COUNTIFS(AZ$3:AZ$1439,"&lt;"&amp;AZ859,AZ$3:AZ$1439,"&lt;&gt;0")+COUNTIF(AZ$3:AZ859,AZ859)-876)</f>
        <v/>
      </c>
      <c r="BT859" s="76"/>
      <c r="CN859">
        <v>858</v>
      </c>
    </row>
    <row r="860" spans="1:92" x14ac:dyDescent="0.3">
      <c r="A860" s="118" t="s">
        <v>3796</v>
      </c>
      <c r="B860" t="s">
        <v>3801</v>
      </c>
      <c r="C860" t="s">
        <v>3802</v>
      </c>
      <c r="D860" s="144" t="s">
        <v>906</v>
      </c>
      <c r="E860" t="s">
        <v>765</v>
      </c>
      <c r="F860" t="s">
        <v>661</v>
      </c>
      <c r="G860" t="s">
        <v>766</v>
      </c>
      <c r="H860" t="s">
        <v>1326</v>
      </c>
      <c r="I860" t="s">
        <v>766</v>
      </c>
      <c r="J860" t="s">
        <v>1752</v>
      </c>
      <c r="K860" t="s">
        <v>1752</v>
      </c>
      <c r="L860" t="s">
        <v>2511</v>
      </c>
      <c r="M860" t="s">
        <v>208</v>
      </c>
      <c r="N860" t="s">
        <v>1163</v>
      </c>
      <c r="O860" t="s">
        <v>771</v>
      </c>
      <c r="P860" t="s">
        <v>772</v>
      </c>
      <c r="Q860" t="s">
        <v>1155</v>
      </c>
      <c r="R860">
        <v>40</v>
      </c>
      <c r="S860">
        <v>1</v>
      </c>
      <c r="T860">
        <v>0</v>
      </c>
      <c r="U860">
        <v>0</v>
      </c>
      <c r="V860">
        <v>0</v>
      </c>
      <c r="W860">
        <v>0</v>
      </c>
      <c r="X860">
        <v>0</v>
      </c>
      <c r="Y860">
        <v>0</v>
      </c>
      <c r="Z860">
        <v>0</v>
      </c>
      <c r="AA860">
        <v>0</v>
      </c>
      <c r="AB860">
        <v>0</v>
      </c>
      <c r="AC860">
        <v>0</v>
      </c>
      <c r="AD860">
        <v>15</v>
      </c>
      <c r="AE860">
        <v>2</v>
      </c>
      <c r="AF860">
        <v>0</v>
      </c>
      <c r="AG860">
        <v>0</v>
      </c>
      <c r="AH860">
        <v>0</v>
      </c>
      <c r="AI860">
        <v>0</v>
      </c>
      <c r="AY860" t="str">
        <f t="shared" si="192"/>
        <v>NORFENICOL 300 MG/ML SOLUTION INJECTABLE POUR BOVINS ET PORCINS</v>
      </c>
      <c r="AZ860" t="str">
        <f>IF(COUNTIF(AY:AY,AY860)=1,AY860,IF(AND(COUNTIF(AY:AY,AY860)&gt;1,COUNTIF(AZ$2:AZ859,AY860)&gt;=1),"",AY860))</f>
        <v/>
      </c>
      <c r="BA860" t="str">
        <f>IF(AZ860="","",COUNTIFS(AZ$3:AZ$1439,"&lt;"&amp;AZ860,AZ$3:AZ$1439,"&lt;&gt;0")+COUNTIF(AZ$3:AZ860,AZ860)-876)</f>
        <v/>
      </c>
      <c r="BT860" s="76"/>
      <c r="CN860">
        <v>859</v>
      </c>
    </row>
    <row r="861" spans="1:92" x14ac:dyDescent="0.3">
      <c r="A861" s="118" t="s">
        <v>3073</v>
      </c>
      <c r="B861" t="s">
        <v>3074</v>
      </c>
      <c r="C861" t="s">
        <v>3075</v>
      </c>
      <c r="D861" s="144" t="s">
        <v>869</v>
      </c>
      <c r="E861" t="s">
        <v>813</v>
      </c>
      <c r="F861" t="s">
        <v>3076</v>
      </c>
      <c r="G861" t="s">
        <v>815</v>
      </c>
      <c r="H861" t="s">
        <v>860</v>
      </c>
      <c r="I861" t="s">
        <v>817</v>
      </c>
      <c r="J861" t="s">
        <v>2070</v>
      </c>
      <c r="K861" t="s">
        <v>787</v>
      </c>
      <c r="L861" t="s">
        <v>1055</v>
      </c>
      <c r="M861" t="s">
        <v>208</v>
      </c>
      <c r="N861" t="s">
        <v>864</v>
      </c>
      <c r="O861" t="s">
        <v>824</v>
      </c>
      <c r="P861" t="s">
        <v>772</v>
      </c>
      <c r="Q861" t="s">
        <v>934</v>
      </c>
      <c r="R861">
        <v>0</v>
      </c>
      <c r="S861">
        <v>0</v>
      </c>
      <c r="T861">
        <v>20</v>
      </c>
      <c r="U861">
        <v>7</v>
      </c>
      <c r="V861">
        <v>0</v>
      </c>
      <c r="W861">
        <v>0</v>
      </c>
      <c r="X861">
        <v>0</v>
      </c>
      <c r="Y861">
        <v>0</v>
      </c>
      <c r="Z861">
        <v>0</v>
      </c>
      <c r="AA861">
        <v>0</v>
      </c>
      <c r="AB861">
        <v>0</v>
      </c>
      <c r="AC861">
        <v>0</v>
      </c>
      <c r="AD861">
        <v>0</v>
      </c>
      <c r="AE861">
        <v>0</v>
      </c>
      <c r="AF861">
        <v>0</v>
      </c>
      <c r="AG861">
        <v>0</v>
      </c>
      <c r="AH861">
        <v>0</v>
      </c>
      <c r="AI861">
        <v>0</v>
      </c>
      <c r="AJ861" t="s">
        <v>2071</v>
      </c>
      <c r="AK861" t="s">
        <v>2072</v>
      </c>
      <c r="AL861" t="s">
        <v>208</v>
      </c>
      <c r="AM861" t="s">
        <v>780</v>
      </c>
      <c r="AN861" t="s">
        <v>824</v>
      </c>
      <c r="AO861" t="s">
        <v>2073</v>
      </c>
      <c r="AP861" t="s">
        <v>2073</v>
      </c>
      <c r="AY861" t="str">
        <f t="shared" si="192"/>
        <v/>
      </c>
      <c r="AZ861" t="str">
        <f>IF(COUNTIF(AY:AY,AY861)=1,AY861,IF(AND(COUNTIF(AY:AY,AY861)&gt;1,COUNTIF(AZ$2:AZ860,AY861)&gt;=1),"",AY861))</f>
        <v/>
      </c>
      <c r="BA861" t="str">
        <f>IF(AZ861="","",COUNTIFS(AZ$3:AZ$1439,"&lt;"&amp;AZ861,AZ$3:AZ$1439,"&lt;&gt;0")+COUNTIF(AZ$3:AZ861,AZ861)-876)</f>
        <v/>
      </c>
      <c r="BT861" s="76"/>
      <c r="CN861">
        <v>860</v>
      </c>
    </row>
    <row r="862" spans="1:92" x14ac:dyDescent="0.3">
      <c r="A862" s="118" t="s">
        <v>3073</v>
      </c>
      <c r="B862" t="s">
        <v>3077</v>
      </c>
      <c r="C862" t="s">
        <v>3078</v>
      </c>
      <c r="D862" s="144" t="s">
        <v>776</v>
      </c>
      <c r="E862" t="s">
        <v>813</v>
      </c>
      <c r="F862" t="s">
        <v>3076</v>
      </c>
      <c r="G862" t="s">
        <v>815</v>
      </c>
      <c r="H862" t="s">
        <v>860</v>
      </c>
      <c r="I862" t="s">
        <v>817</v>
      </c>
      <c r="J862" t="s">
        <v>2070</v>
      </c>
      <c r="K862" t="s">
        <v>787</v>
      </c>
      <c r="L862" t="s">
        <v>1055</v>
      </c>
      <c r="M862" t="s">
        <v>208</v>
      </c>
      <c r="N862" t="s">
        <v>864</v>
      </c>
      <c r="O862" t="s">
        <v>824</v>
      </c>
      <c r="P862" t="s">
        <v>772</v>
      </c>
      <c r="Q862" t="s">
        <v>780</v>
      </c>
      <c r="R862">
        <v>0</v>
      </c>
      <c r="S862">
        <v>0</v>
      </c>
      <c r="T862">
        <v>20</v>
      </c>
      <c r="U862">
        <v>7</v>
      </c>
      <c r="V862">
        <v>0</v>
      </c>
      <c r="W862">
        <v>0</v>
      </c>
      <c r="X862">
        <v>0</v>
      </c>
      <c r="Y862">
        <v>0</v>
      </c>
      <c r="Z862">
        <v>0</v>
      </c>
      <c r="AA862">
        <v>0</v>
      </c>
      <c r="AB862">
        <v>0</v>
      </c>
      <c r="AC862">
        <v>0</v>
      </c>
      <c r="AD862">
        <v>0</v>
      </c>
      <c r="AE862">
        <v>0</v>
      </c>
      <c r="AF862">
        <v>0</v>
      </c>
      <c r="AG862">
        <v>0</v>
      </c>
      <c r="AH862">
        <v>0</v>
      </c>
      <c r="AI862">
        <v>0</v>
      </c>
      <c r="AJ862" t="s">
        <v>2071</v>
      </c>
      <c r="AK862" t="s">
        <v>2072</v>
      </c>
      <c r="AL862" t="s">
        <v>208</v>
      </c>
      <c r="AM862" t="s">
        <v>780</v>
      </c>
      <c r="AN862" t="s">
        <v>824</v>
      </c>
      <c r="AO862" t="s">
        <v>2073</v>
      </c>
      <c r="AP862" t="s">
        <v>2073</v>
      </c>
      <c r="AY862" t="str">
        <f t="shared" si="192"/>
        <v/>
      </c>
      <c r="AZ862" t="str">
        <f>IF(COUNTIF(AY:AY,AY862)=1,AY862,IF(AND(COUNTIF(AY:AY,AY862)&gt;1,COUNTIF(AZ$2:AZ861,AY862)&gt;=1),"",AY862))</f>
        <v/>
      </c>
      <c r="BA862" t="str">
        <f>IF(AZ862="","",COUNTIFS(AZ$3:AZ$1439,"&lt;"&amp;AZ862,AZ$3:AZ$1439,"&lt;&gt;0")+COUNTIF(AZ$3:AZ862,AZ862)-876)</f>
        <v/>
      </c>
      <c r="BT862" s="76"/>
      <c r="CN862">
        <v>861</v>
      </c>
    </row>
    <row r="863" spans="1:92" x14ac:dyDescent="0.3">
      <c r="A863" s="118" t="s">
        <v>3073</v>
      </c>
      <c r="B863" t="s">
        <v>3079</v>
      </c>
      <c r="C863" t="s">
        <v>3080</v>
      </c>
      <c r="D863" s="144" t="s">
        <v>776</v>
      </c>
      <c r="E863" t="s">
        <v>813</v>
      </c>
      <c r="F863" t="s">
        <v>3076</v>
      </c>
      <c r="G863" t="s">
        <v>815</v>
      </c>
      <c r="H863" t="s">
        <v>860</v>
      </c>
      <c r="I863" t="s">
        <v>817</v>
      </c>
      <c r="J863" t="s">
        <v>2070</v>
      </c>
      <c r="K863" t="s">
        <v>787</v>
      </c>
      <c r="L863" t="s">
        <v>1055</v>
      </c>
      <c r="M863" t="s">
        <v>208</v>
      </c>
      <c r="N863" t="s">
        <v>864</v>
      </c>
      <c r="O863" t="s">
        <v>824</v>
      </c>
      <c r="P863" t="s">
        <v>772</v>
      </c>
      <c r="Q863" t="s">
        <v>780</v>
      </c>
      <c r="R863">
        <v>0</v>
      </c>
      <c r="S863">
        <v>0</v>
      </c>
      <c r="T863">
        <v>20</v>
      </c>
      <c r="U863">
        <v>7</v>
      </c>
      <c r="V863">
        <v>0</v>
      </c>
      <c r="W863">
        <v>0</v>
      </c>
      <c r="X863">
        <v>0</v>
      </c>
      <c r="Y863">
        <v>0</v>
      </c>
      <c r="Z863">
        <v>0</v>
      </c>
      <c r="AA863">
        <v>0</v>
      </c>
      <c r="AB863">
        <v>0</v>
      </c>
      <c r="AC863">
        <v>0</v>
      </c>
      <c r="AD863">
        <v>0</v>
      </c>
      <c r="AE863">
        <v>0</v>
      </c>
      <c r="AF863">
        <v>0</v>
      </c>
      <c r="AG863">
        <v>0</v>
      </c>
      <c r="AH863">
        <v>0</v>
      </c>
      <c r="AI863">
        <v>0</v>
      </c>
      <c r="AJ863" t="s">
        <v>2071</v>
      </c>
      <c r="AK863" t="s">
        <v>2072</v>
      </c>
      <c r="AL863" t="s">
        <v>208</v>
      </c>
      <c r="AM863" t="s">
        <v>780</v>
      </c>
      <c r="AN863" t="s">
        <v>824</v>
      </c>
      <c r="AO863" t="s">
        <v>2073</v>
      </c>
      <c r="AP863" t="s">
        <v>2073</v>
      </c>
      <c r="AY863" t="str">
        <f t="shared" si="192"/>
        <v/>
      </c>
      <c r="AZ863" t="str">
        <f>IF(COUNTIF(AY:AY,AY863)=1,AY863,IF(AND(COUNTIF(AY:AY,AY863)&gt;1,COUNTIF(AZ$2:AZ862,AY863)&gt;=1),"",AY863))</f>
        <v/>
      </c>
      <c r="BA863" t="str">
        <f>IF(AZ863="","",COUNTIFS(AZ$3:AZ$1439,"&lt;"&amp;AZ863,AZ$3:AZ$1439,"&lt;&gt;0")+COUNTIF(AZ$3:AZ863,AZ863)-876)</f>
        <v/>
      </c>
      <c r="BT863" s="76"/>
      <c r="CN863">
        <v>862</v>
      </c>
    </row>
    <row r="864" spans="1:92" x14ac:dyDescent="0.3">
      <c r="A864" s="118" t="s">
        <v>3328</v>
      </c>
      <c r="B864" t="s">
        <v>3329</v>
      </c>
      <c r="C864" t="s">
        <v>3075</v>
      </c>
      <c r="D864" s="144" t="s">
        <v>869</v>
      </c>
      <c r="E864" t="s">
        <v>813</v>
      </c>
      <c r="F864" t="s">
        <v>3330</v>
      </c>
      <c r="G864" t="s">
        <v>815</v>
      </c>
      <c r="H864" t="s">
        <v>860</v>
      </c>
      <c r="I864" t="s">
        <v>817</v>
      </c>
      <c r="J864" t="s">
        <v>2070</v>
      </c>
      <c r="K864" t="s">
        <v>787</v>
      </c>
      <c r="L864" t="s">
        <v>1055</v>
      </c>
      <c r="M864" t="s">
        <v>208</v>
      </c>
      <c r="N864" t="s">
        <v>939</v>
      </c>
      <c r="O864" t="s">
        <v>824</v>
      </c>
      <c r="P864" t="s">
        <v>772</v>
      </c>
      <c r="Q864" t="s">
        <v>1791</v>
      </c>
      <c r="R864">
        <v>0</v>
      </c>
      <c r="S864">
        <v>0</v>
      </c>
      <c r="T864">
        <v>20</v>
      </c>
      <c r="U864">
        <v>7</v>
      </c>
      <c r="V864">
        <v>0</v>
      </c>
      <c r="W864">
        <v>0</v>
      </c>
      <c r="X864">
        <v>0</v>
      </c>
      <c r="Y864">
        <v>0</v>
      </c>
      <c r="Z864">
        <v>0</v>
      </c>
      <c r="AA864">
        <v>0</v>
      </c>
      <c r="AB864">
        <v>0</v>
      </c>
      <c r="AC864">
        <v>0</v>
      </c>
      <c r="AD864">
        <v>0</v>
      </c>
      <c r="AE864">
        <v>0</v>
      </c>
      <c r="AF864">
        <v>0</v>
      </c>
      <c r="AG864">
        <v>0</v>
      </c>
      <c r="AH864">
        <v>0</v>
      </c>
      <c r="AI864">
        <v>0</v>
      </c>
      <c r="AJ864" t="s">
        <v>2071</v>
      </c>
      <c r="AK864" t="s">
        <v>2072</v>
      </c>
      <c r="AL864" t="s">
        <v>208</v>
      </c>
      <c r="AM864" t="s">
        <v>764</v>
      </c>
      <c r="AN864" t="s">
        <v>824</v>
      </c>
      <c r="AO864" t="s">
        <v>2073</v>
      </c>
      <c r="AP864" t="s">
        <v>2073</v>
      </c>
      <c r="AY864" t="str">
        <f t="shared" si="192"/>
        <v/>
      </c>
      <c r="AZ864" t="str">
        <f>IF(COUNTIF(AY:AY,AY864)=1,AY864,IF(AND(COUNTIF(AY:AY,AY864)&gt;1,COUNTIF(AZ$2:AZ863,AY864)&gt;=1),"",AY864))</f>
        <v/>
      </c>
      <c r="BA864" t="str">
        <f>IF(AZ864="","",COUNTIFS(AZ$3:AZ$1439,"&lt;"&amp;AZ864,AZ$3:AZ$1439,"&lt;&gt;0")+COUNTIF(AZ$3:AZ864,AZ864)-876)</f>
        <v/>
      </c>
      <c r="BT864" s="76"/>
      <c r="CN864">
        <v>863</v>
      </c>
    </row>
    <row r="865" spans="1:92" x14ac:dyDescent="0.3">
      <c r="A865" s="118" t="s">
        <v>3328</v>
      </c>
      <c r="B865" t="s">
        <v>3331</v>
      </c>
      <c r="C865" t="s">
        <v>3332</v>
      </c>
      <c r="D865" s="144" t="s">
        <v>764</v>
      </c>
      <c r="E865" t="s">
        <v>813</v>
      </c>
      <c r="F865" t="s">
        <v>3330</v>
      </c>
      <c r="G865" t="s">
        <v>815</v>
      </c>
      <c r="H865" t="s">
        <v>860</v>
      </c>
      <c r="I865" t="s">
        <v>817</v>
      </c>
      <c r="J865" t="s">
        <v>2070</v>
      </c>
      <c r="K865" t="s">
        <v>787</v>
      </c>
      <c r="L865" t="s">
        <v>1055</v>
      </c>
      <c r="M865" t="s">
        <v>208</v>
      </c>
      <c r="N865" t="s">
        <v>939</v>
      </c>
      <c r="O865" t="s">
        <v>824</v>
      </c>
      <c r="P865" t="s">
        <v>772</v>
      </c>
      <c r="Q865" t="s">
        <v>932</v>
      </c>
      <c r="R865">
        <v>0</v>
      </c>
      <c r="S865">
        <v>0</v>
      </c>
      <c r="T865">
        <v>20</v>
      </c>
      <c r="U865">
        <v>7</v>
      </c>
      <c r="V865">
        <v>0</v>
      </c>
      <c r="W865">
        <v>0</v>
      </c>
      <c r="X865">
        <v>0</v>
      </c>
      <c r="Y865">
        <v>0</v>
      </c>
      <c r="Z865">
        <v>0</v>
      </c>
      <c r="AA865">
        <v>0</v>
      </c>
      <c r="AB865">
        <v>0</v>
      </c>
      <c r="AC865">
        <v>0</v>
      </c>
      <c r="AD865">
        <v>0</v>
      </c>
      <c r="AE865">
        <v>0</v>
      </c>
      <c r="AF865">
        <v>0</v>
      </c>
      <c r="AG865">
        <v>0</v>
      </c>
      <c r="AH865">
        <v>0</v>
      </c>
      <c r="AI865">
        <v>0</v>
      </c>
      <c r="AJ865" t="s">
        <v>2071</v>
      </c>
      <c r="AK865" t="s">
        <v>2072</v>
      </c>
      <c r="AL865" t="s">
        <v>208</v>
      </c>
      <c r="AM865" t="s">
        <v>764</v>
      </c>
      <c r="AN865" t="s">
        <v>824</v>
      </c>
      <c r="AO865" t="s">
        <v>2073</v>
      </c>
      <c r="AP865" t="s">
        <v>2073</v>
      </c>
      <c r="AY865" t="str">
        <f t="shared" si="192"/>
        <v/>
      </c>
      <c r="AZ865" t="str">
        <f>IF(COUNTIF(AY:AY,AY865)=1,AY865,IF(AND(COUNTIF(AY:AY,AY865)&gt;1,COUNTIF(AZ$2:AZ864,AY865)&gt;=1),"",AY865))</f>
        <v/>
      </c>
      <c r="BA865" t="str">
        <f>IF(AZ865="","",COUNTIFS(AZ$3:AZ$1439,"&lt;"&amp;AZ865,AZ$3:AZ$1439,"&lt;&gt;0")+COUNTIF(AZ$3:AZ865,AZ865)-876)</f>
        <v/>
      </c>
      <c r="BT865" s="76"/>
      <c r="CN865">
        <v>864</v>
      </c>
    </row>
    <row r="866" spans="1:92" x14ac:dyDescent="0.3">
      <c r="A866" s="118" t="s">
        <v>3328</v>
      </c>
      <c r="B866" t="s">
        <v>3333</v>
      </c>
      <c r="C866" t="s">
        <v>3332</v>
      </c>
      <c r="D866" s="144" t="s">
        <v>764</v>
      </c>
      <c r="E866" t="s">
        <v>813</v>
      </c>
      <c r="F866" t="s">
        <v>3330</v>
      </c>
      <c r="G866" t="s">
        <v>815</v>
      </c>
      <c r="H866" t="s">
        <v>860</v>
      </c>
      <c r="I866" t="s">
        <v>817</v>
      </c>
      <c r="J866" t="s">
        <v>2070</v>
      </c>
      <c r="K866" t="s">
        <v>787</v>
      </c>
      <c r="L866" t="s">
        <v>1055</v>
      </c>
      <c r="M866" t="s">
        <v>208</v>
      </c>
      <c r="N866" t="s">
        <v>939</v>
      </c>
      <c r="O866" t="s">
        <v>824</v>
      </c>
      <c r="P866" t="s">
        <v>772</v>
      </c>
      <c r="Q866" t="s">
        <v>932</v>
      </c>
      <c r="R866">
        <v>0</v>
      </c>
      <c r="S866">
        <v>0</v>
      </c>
      <c r="T866">
        <v>20</v>
      </c>
      <c r="U866">
        <v>7</v>
      </c>
      <c r="V866">
        <v>0</v>
      </c>
      <c r="W866">
        <v>0</v>
      </c>
      <c r="X866">
        <v>0</v>
      </c>
      <c r="Y866">
        <v>0</v>
      </c>
      <c r="Z866">
        <v>0</v>
      </c>
      <c r="AA866">
        <v>0</v>
      </c>
      <c r="AB866">
        <v>0</v>
      </c>
      <c r="AC866">
        <v>0</v>
      </c>
      <c r="AD866">
        <v>0</v>
      </c>
      <c r="AE866">
        <v>0</v>
      </c>
      <c r="AF866">
        <v>0</v>
      </c>
      <c r="AG866">
        <v>0</v>
      </c>
      <c r="AH866">
        <v>0</v>
      </c>
      <c r="AI866">
        <v>0</v>
      </c>
      <c r="AJ866" t="s">
        <v>2071</v>
      </c>
      <c r="AK866" t="s">
        <v>2072</v>
      </c>
      <c r="AL866" t="s">
        <v>208</v>
      </c>
      <c r="AM866" t="s">
        <v>764</v>
      </c>
      <c r="AN866" t="s">
        <v>824</v>
      </c>
      <c r="AO866" t="s">
        <v>2073</v>
      </c>
      <c r="AP866" t="s">
        <v>2073</v>
      </c>
      <c r="AY866" t="str">
        <f t="shared" si="192"/>
        <v/>
      </c>
      <c r="AZ866" t="str">
        <f>IF(COUNTIF(AY:AY,AY866)=1,AY866,IF(AND(COUNTIF(AY:AY,AY866)&gt;1,COUNTIF(AZ$2:AZ865,AY866)&gt;=1),"",AY866))</f>
        <v/>
      </c>
      <c r="BA866" t="str">
        <f>IF(AZ866="","",COUNTIFS(AZ$3:AZ$1439,"&lt;"&amp;AZ866,AZ$3:AZ$1439,"&lt;&gt;0")+COUNTIF(AZ$3:AZ866,AZ866)-876)</f>
        <v/>
      </c>
      <c r="BT866" s="76"/>
      <c r="CN866">
        <v>865</v>
      </c>
    </row>
    <row r="867" spans="1:92" x14ac:dyDescent="0.3">
      <c r="A867" s="118" t="s">
        <v>3067</v>
      </c>
      <c r="B867" t="s">
        <v>3068</v>
      </c>
      <c r="C867" t="s">
        <v>2206</v>
      </c>
      <c r="D867" s="144" t="s">
        <v>869</v>
      </c>
      <c r="E867" t="s">
        <v>813</v>
      </c>
      <c r="F867" t="s">
        <v>3069</v>
      </c>
      <c r="G867" t="s">
        <v>815</v>
      </c>
      <c r="H867" t="s">
        <v>816</v>
      </c>
      <c r="I867" t="s">
        <v>817</v>
      </c>
      <c r="J867" t="s">
        <v>2070</v>
      </c>
      <c r="K867" t="s">
        <v>787</v>
      </c>
      <c r="L867" t="s">
        <v>1055</v>
      </c>
      <c r="M867" t="s">
        <v>208</v>
      </c>
      <c r="N867" t="s">
        <v>932</v>
      </c>
      <c r="O867" t="s">
        <v>824</v>
      </c>
      <c r="P867" t="s">
        <v>772</v>
      </c>
      <c r="Q867" t="s">
        <v>1355</v>
      </c>
      <c r="R867">
        <v>0</v>
      </c>
      <c r="S867">
        <v>0</v>
      </c>
      <c r="T867">
        <v>20</v>
      </c>
      <c r="U867">
        <v>7</v>
      </c>
      <c r="V867">
        <v>0</v>
      </c>
      <c r="W867">
        <v>0</v>
      </c>
      <c r="X867">
        <v>0</v>
      </c>
      <c r="Y867">
        <v>0</v>
      </c>
      <c r="Z867">
        <v>0</v>
      </c>
      <c r="AA867">
        <v>0</v>
      </c>
      <c r="AB867">
        <v>0</v>
      </c>
      <c r="AC867">
        <v>0</v>
      </c>
      <c r="AD867">
        <v>0</v>
      </c>
      <c r="AE867">
        <v>0</v>
      </c>
      <c r="AF867">
        <v>0</v>
      </c>
      <c r="AG867">
        <v>0</v>
      </c>
      <c r="AH867">
        <v>0</v>
      </c>
      <c r="AI867">
        <v>0</v>
      </c>
      <c r="AJ867" t="s">
        <v>2071</v>
      </c>
      <c r="AK867" t="s">
        <v>2072</v>
      </c>
      <c r="AL867" t="s">
        <v>208</v>
      </c>
      <c r="AM867" t="s">
        <v>852</v>
      </c>
      <c r="AN867" t="s">
        <v>824</v>
      </c>
      <c r="AO867" t="s">
        <v>2073</v>
      </c>
      <c r="AP867" t="s">
        <v>2073</v>
      </c>
      <c r="AY867" t="str">
        <f t="shared" si="192"/>
        <v/>
      </c>
      <c r="AZ867" t="str">
        <f>IF(COUNTIF(AY:AY,AY867)=1,AY867,IF(AND(COUNTIF(AY:AY,AY867)&gt;1,COUNTIF(AZ$2:AZ866,AY867)&gt;=1),"",AY867))</f>
        <v/>
      </c>
      <c r="BA867" t="str">
        <f>IF(AZ867="","",COUNTIFS(AZ$3:AZ$1439,"&lt;"&amp;AZ867,AZ$3:AZ$1439,"&lt;&gt;0")+COUNTIF(AZ$3:AZ867,AZ867)-876)</f>
        <v/>
      </c>
      <c r="BT867" s="76"/>
      <c r="CN867">
        <v>866</v>
      </c>
    </row>
    <row r="868" spans="1:92" x14ac:dyDescent="0.3">
      <c r="A868" s="118" t="s">
        <v>3067</v>
      </c>
      <c r="B868" t="s">
        <v>3070</v>
      </c>
      <c r="C868" t="s">
        <v>3071</v>
      </c>
      <c r="D868" s="144" t="s">
        <v>906</v>
      </c>
      <c r="E868" t="s">
        <v>813</v>
      </c>
      <c r="F868" t="s">
        <v>3069</v>
      </c>
      <c r="G868" t="s">
        <v>815</v>
      </c>
      <c r="H868" t="s">
        <v>816</v>
      </c>
      <c r="I868" t="s">
        <v>817</v>
      </c>
      <c r="J868" t="s">
        <v>2070</v>
      </c>
      <c r="K868" t="s">
        <v>787</v>
      </c>
      <c r="L868" t="s">
        <v>1055</v>
      </c>
      <c r="M868" t="s">
        <v>208</v>
      </c>
      <c r="N868" t="s">
        <v>932</v>
      </c>
      <c r="O868" t="s">
        <v>824</v>
      </c>
      <c r="P868" t="s">
        <v>772</v>
      </c>
      <c r="Q868" t="s">
        <v>869</v>
      </c>
      <c r="R868">
        <v>0</v>
      </c>
      <c r="S868">
        <v>0</v>
      </c>
      <c r="T868">
        <v>20</v>
      </c>
      <c r="U868">
        <v>7</v>
      </c>
      <c r="V868">
        <v>0</v>
      </c>
      <c r="W868">
        <v>0</v>
      </c>
      <c r="X868">
        <v>0</v>
      </c>
      <c r="Y868">
        <v>0</v>
      </c>
      <c r="Z868">
        <v>0</v>
      </c>
      <c r="AA868">
        <v>0</v>
      </c>
      <c r="AB868">
        <v>0</v>
      </c>
      <c r="AC868">
        <v>0</v>
      </c>
      <c r="AD868">
        <v>0</v>
      </c>
      <c r="AE868">
        <v>0</v>
      </c>
      <c r="AF868">
        <v>0</v>
      </c>
      <c r="AG868">
        <v>0</v>
      </c>
      <c r="AH868">
        <v>0</v>
      </c>
      <c r="AI868">
        <v>0</v>
      </c>
      <c r="AJ868" t="s">
        <v>2071</v>
      </c>
      <c r="AK868" t="s">
        <v>2072</v>
      </c>
      <c r="AL868" t="s">
        <v>208</v>
      </c>
      <c r="AM868" t="s">
        <v>852</v>
      </c>
      <c r="AN868" t="s">
        <v>824</v>
      </c>
      <c r="AO868" t="s">
        <v>2073</v>
      </c>
      <c r="AP868" t="s">
        <v>2073</v>
      </c>
      <c r="AY868" t="str">
        <f t="shared" si="192"/>
        <v/>
      </c>
      <c r="AZ868" t="str">
        <f>IF(COUNTIF(AY:AY,AY868)=1,AY868,IF(AND(COUNTIF(AY:AY,AY868)&gt;1,COUNTIF(AZ$2:AZ867,AY868)&gt;=1),"",AY868))</f>
        <v/>
      </c>
      <c r="BA868" t="str">
        <f>IF(AZ868="","",COUNTIFS(AZ$3:AZ$1439,"&lt;"&amp;AZ868,AZ$3:AZ$1439,"&lt;&gt;0")+COUNTIF(AZ$3:AZ868,AZ868)-876)</f>
        <v/>
      </c>
      <c r="BT868" s="76"/>
      <c r="CN868">
        <v>867</v>
      </c>
    </row>
    <row r="869" spans="1:92" x14ac:dyDescent="0.3">
      <c r="A869" s="118" t="s">
        <v>3067</v>
      </c>
      <c r="B869" t="s">
        <v>3072</v>
      </c>
      <c r="C869" t="s">
        <v>1915</v>
      </c>
      <c r="D869" s="144" t="s">
        <v>764</v>
      </c>
      <c r="E869" t="s">
        <v>813</v>
      </c>
      <c r="F869" t="s">
        <v>3069</v>
      </c>
      <c r="G869" t="s">
        <v>815</v>
      </c>
      <c r="H869" t="s">
        <v>816</v>
      </c>
      <c r="I869" t="s">
        <v>817</v>
      </c>
      <c r="J869" t="s">
        <v>2070</v>
      </c>
      <c r="K869" t="s">
        <v>787</v>
      </c>
      <c r="L869" t="s">
        <v>1055</v>
      </c>
      <c r="M869" t="s">
        <v>208</v>
      </c>
      <c r="N869" t="s">
        <v>932</v>
      </c>
      <c r="O869" t="s">
        <v>824</v>
      </c>
      <c r="P869" t="s">
        <v>772</v>
      </c>
      <c r="Q869" t="s">
        <v>934</v>
      </c>
      <c r="R869">
        <v>0</v>
      </c>
      <c r="S869">
        <v>0</v>
      </c>
      <c r="T869">
        <v>20</v>
      </c>
      <c r="U869">
        <v>7</v>
      </c>
      <c r="V869">
        <v>0</v>
      </c>
      <c r="W869">
        <v>0</v>
      </c>
      <c r="X869">
        <v>0</v>
      </c>
      <c r="Y869">
        <v>0</v>
      </c>
      <c r="Z869">
        <v>0</v>
      </c>
      <c r="AA869">
        <v>0</v>
      </c>
      <c r="AB869">
        <v>0</v>
      </c>
      <c r="AC869">
        <v>0</v>
      </c>
      <c r="AD869">
        <v>0</v>
      </c>
      <c r="AE869">
        <v>0</v>
      </c>
      <c r="AF869">
        <v>0</v>
      </c>
      <c r="AG869">
        <v>0</v>
      </c>
      <c r="AH869">
        <v>0</v>
      </c>
      <c r="AI869">
        <v>0</v>
      </c>
      <c r="AJ869" t="s">
        <v>2071</v>
      </c>
      <c r="AK869" t="s">
        <v>2072</v>
      </c>
      <c r="AL869" t="s">
        <v>208</v>
      </c>
      <c r="AM869" t="s">
        <v>852</v>
      </c>
      <c r="AN869" t="s">
        <v>824</v>
      </c>
      <c r="AO869" t="s">
        <v>2073</v>
      </c>
      <c r="AP869" t="s">
        <v>2073</v>
      </c>
      <c r="AY869" t="str">
        <f t="shared" si="192"/>
        <v/>
      </c>
      <c r="AZ869" t="str">
        <f>IF(COUNTIF(AY:AY,AY869)=1,AY869,IF(AND(COUNTIF(AY:AY,AY869)&gt;1,COUNTIF(AZ$2:AZ868,AY869)&gt;=1),"",AY869))</f>
        <v/>
      </c>
      <c r="BA869" t="str">
        <f>IF(AZ869="","",COUNTIFS(AZ$3:AZ$1439,"&lt;"&amp;AZ869,AZ$3:AZ$1439,"&lt;&gt;0")+COUNTIF(AZ$3:AZ869,AZ869)-876)</f>
        <v/>
      </c>
      <c r="BT869" s="76"/>
      <c r="CN869">
        <v>868</v>
      </c>
    </row>
    <row r="870" spans="1:92" x14ac:dyDescent="0.3">
      <c r="A870" s="118" t="s">
        <v>4696</v>
      </c>
      <c r="B870" t="s">
        <v>4697</v>
      </c>
      <c r="C870" t="s">
        <v>4698</v>
      </c>
      <c r="D870" t="s">
        <v>1132</v>
      </c>
      <c r="E870" t="s">
        <v>813</v>
      </c>
      <c r="F870" t="s">
        <v>404</v>
      </c>
      <c r="G870" t="s">
        <v>1013</v>
      </c>
      <c r="H870" t="s">
        <v>1387</v>
      </c>
      <c r="I870" t="s">
        <v>1013</v>
      </c>
      <c r="J870" t="s">
        <v>2070</v>
      </c>
      <c r="K870" t="s">
        <v>787</v>
      </c>
      <c r="L870" t="s">
        <v>1055</v>
      </c>
      <c r="M870" t="s">
        <v>208</v>
      </c>
      <c r="N870" t="s">
        <v>864</v>
      </c>
      <c r="O870" t="s">
        <v>824</v>
      </c>
      <c r="P870" t="s">
        <v>772</v>
      </c>
      <c r="Q870" t="s">
        <v>1361</v>
      </c>
      <c r="R870">
        <v>0</v>
      </c>
      <c r="S870">
        <v>0</v>
      </c>
      <c r="T870">
        <v>0</v>
      </c>
      <c r="U870">
        <v>0</v>
      </c>
      <c r="V870">
        <v>0</v>
      </c>
      <c r="W870">
        <v>0</v>
      </c>
      <c r="X870">
        <v>0</v>
      </c>
      <c r="Y870">
        <v>0</v>
      </c>
      <c r="Z870">
        <v>0</v>
      </c>
      <c r="AA870">
        <v>0</v>
      </c>
      <c r="AB870">
        <v>0</v>
      </c>
      <c r="AC870">
        <v>0</v>
      </c>
      <c r="AD870">
        <v>0</v>
      </c>
      <c r="AE870">
        <v>0</v>
      </c>
      <c r="AF870">
        <v>0</v>
      </c>
      <c r="AG870">
        <v>0</v>
      </c>
      <c r="AH870">
        <v>0</v>
      </c>
      <c r="AI870">
        <v>0</v>
      </c>
      <c r="AJ870" t="s">
        <v>2071</v>
      </c>
      <c r="AK870" t="s">
        <v>2072</v>
      </c>
      <c r="AL870" t="s">
        <v>208</v>
      </c>
      <c r="AM870" t="s">
        <v>780</v>
      </c>
      <c r="AN870" t="s">
        <v>824</v>
      </c>
      <c r="AO870" t="s">
        <v>2073</v>
      </c>
      <c r="AP870" t="s">
        <v>2073</v>
      </c>
      <c r="AY870" t="str">
        <f t="shared" si="192"/>
        <v>NOROCLAV SUSPENSION INTRAMAMMAIRE POUR VACHES EN LACTATION</v>
      </c>
      <c r="AZ870" t="str">
        <f>IF(COUNTIF(AY:AY,AY870)=1,AY870,IF(AND(COUNTIF(AY:AY,AY870)&gt;1,COUNTIF(AZ$2:AZ869,AY870)&gt;=1),"",AY870))</f>
        <v>NOROCLAV SUSPENSION INTRAMAMMAIRE POUR VACHES EN LACTATION</v>
      </c>
      <c r="BA870">
        <f>IF(AZ870="","",COUNTIFS(AZ$3:AZ$1439,"&lt;"&amp;AZ870,AZ$3:AZ$1439,"&lt;&gt;0")+COUNTIF(AZ$3:AZ870,AZ870)-876)</f>
        <v>328</v>
      </c>
      <c r="BT870" s="76"/>
      <c r="CN870">
        <v>869</v>
      </c>
    </row>
    <row r="871" spans="1:92" x14ac:dyDescent="0.3">
      <c r="A871" s="118" t="s">
        <v>3015</v>
      </c>
      <c r="B871" t="s">
        <v>3016</v>
      </c>
      <c r="C871" t="s">
        <v>763</v>
      </c>
      <c r="D871" s="144" t="s">
        <v>764</v>
      </c>
      <c r="E871" t="s">
        <v>765</v>
      </c>
      <c r="F871" t="s">
        <v>662</v>
      </c>
      <c r="G871" t="s">
        <v>766</v>
      </c>
      <c r="H871" t="s">
        <v>1213</v>
      </c>
      <c r="I871" t="s">
        <v>766</v>
      </c>
      <c r="J871" t="s">
        <v>802</v>
      </c>
      <c r="K871" t="s">
        <v>802</v>
      </c>
      <c r="L871" t="s">
        <v>1092</v>
      </c>
      <c r="M871" t="s">
        <v>208</v>
      </c>
      <c r="N871" t="s">
        <v>1155</v>
      </c>
      <c r="O871" t="s">
        <v>771</v>
      </c>
      <c r="P871" t="s">
        <v>772</v>
      </c>
      <c r="Q871" t="s">
        <v>972</v>
      </c>
      <c r="R871">
        <v>0</v>
      </c>
      <c r="S871">
        <v>0</v>
      </c>
      <c r="T871">
        <v>0</v>
      </c>
      <c r="U871">
        <v>0</v>
      </c>
      <c r="V871">
        <v>0</v>
      </c>
      <c r="W871">
        <v>0</v>
      </c>
      <c r="X871">
        <v>0</v>
      </c>
      <c r="Y871">
        <v>0</v>
      </c>
      <c r="Z871">
        <v>0</v>
      </c>
      <c r="AA871">
        <v>0</v>
      </c>
      <c r="AB871">
        <v>0</v>
      </c>
      <c r="AC871">
        <v>0</v>
      </c>
      <c r="AD871">
        <v>20</v>
      </c>
      <c r="AE871">
        <v>1</v>
      </c>
      <c r="AF871">
        <v>0</v>
      </c>
      <c r="AG871">
        <v>0</v>
      </c>
      <c r="AH871">
        <v>0</v>
      </c>
      <c r="AI871">
        <v>0</v>
      </c>
      <c r="AY871" t="str">
        <f t="shared" si="192"/>
        <v>NOROTYL LA 150 MG/ML SUSPENSION INJECTABLE</v>
      </c>
      <c r="AZ871" t="str">
        <f>IF(COUNTIF(AY:AY,AY871)=1,AY871,IF(AND(COUNTIF(AY:AY,AY871)&gt;1,COUNTIF(AZ$2:AZ870,AY871)&gt;=1),"",AY871))</f>
        <v>NOROTYL LA 150 MG/ML SUSPENSION INJECTABLE</v>
      </c>
      <c r="BA871">
        <f>IF(AZ871="","",COUNTIFS(AZ$3:AZ$1439,"&lt;"&amp;AZ871,AZ$3:AZ$1439,"&lt;&gt;0")+COUNTIF(AZ$3:AZ871,AZ871)-876)</f>
        <v>329</v>
      </c>
      <c r="BT871" s="76"/>
      <c r="CN871">
        <v>870</v>
      </c>
    </row>
    <row r="872" spans="1:92" x14ac:dyDescent="0.3">
      <c r="A872" s="118" t="s">
        <v>2508</v>
      </c>
      <c r="B872" t="s">
        <v>2509</v>
      </c>
      <c r="C872" t="s">
        <v>2510</v>
      </c>
      <c r="D872" s="144" t="s">
        <v>780</v>
      </c>
      <c r="E872" t="s">
        <v>765</v>
      </c>
      <c r="F872" t="s">
        <v>43</v>
      </c>
      <c r="G872" t="s">
        <v>766</v>
      </c>
      <c r="H872" t="s">
        <v>1326</v>
      </c>
      <c r="I872" t="s">
        <v>766</v>
      </c>
      <c r="J872" t="s">
        <v>1752</v>
      </c>
      <c r="K872" t="s">
        <v>1752</v>
      </c>
      <c r="L872" t="s">
        <v>2511</v>
      </c>
      <c r="M872" t="s">
        <v>208</v>
      </c>
      <c r="N872" t="s">
        <v>1163</v>
      </c>
      <c r="O872" t="s">
        <v>771</v>
      </c>
      <c r="P872" t="s">
        <v>772</v>
      </c>
      <c r="Q872" t="s">
        <v>972</v>
      </c>
      <c r="R872">
        <v>40</v>
      </c>
      <c r="S872">
        <v>1</v>
      </c>
      <c r="T872">
        <v>0</v>
      </c>
      <c r="U872">
        <v>0</v>
      </c>
      <c r="V872">
        <v>0</v>
      </c>
      <c r="W872">
        <v>0</v>
      </c>
      <c r="X872">
        <v>0</v>
      </c>
      <c r="Y872">
        <v>0</v>
      </c>
      <c r="Z872">
        <v>0</v>
      </c>
      <c r="AA872">
        <v>0</v>
      </c>
      <c r="AB872">
        <v>0</v>
      </c>
      <c r="AC872">
        <v>0</v>
      </c>
      <c r="AD872">
        <v>15</v>
      </c>
      <c r="AE872">
        <v>2</v>
      </c>
      <c r="AF872">
        <v>0</v>
      </c>
      <c r="AG872">
        <v>0</v>
      </c>
      <c r="AH872">
        <v>0</v>
      </c>
      <c r="AI872">
        <v>0</v>
      </c>
      <c r="AY872" t="str">
        <f t="shared" si="192"/>
        <v>NUFLOR</v>
      </c>
      <c r="AZ872" t="str">
        <f>IF(COUNTIF(AY:AY,AY872)=1,AY872,IF(AND(COUNTIF(AY:AY,AY872)&gt;1,COUNTIF(AZ$2:AZ871,AY872)&gt;=1),"",AY872))</f>
        <v>NUFLOR</v>
      </c>
      <c r="BA872">
        <f>IF(AZ872="","",COUNTIFS(AZ$3:AZ$1439,"&lt;"&amp;AZ872,AZ$3:AZ$1439,"&lt;&gt;0")+COUNTIF(AZ$3:AZ872,AZ872)-876)</f>
        <v>330</v>
      </c>
      <c r="BT872" s="76"/>
      <c r="CN872">
        <v>871</v>
      </c>
    </row>
    <row r="873" spans="1:92" x14ac:dyDescent="0.3">
      <c r="A873" s="118" t="s">
        <v>2508</v>
      </c>
      <c r="B873" t="s">
        <v>2512</v>
      </c>
      <c r="C873" t="s">
        <v>2513</v>
      </c>
      <c r="D873" s="144" t="s">
        <v>764</v>
      </c>
      <c r="E873" t="s">
        <v>765</v>
      </c>
      <c r="F873" t="s">
        <v>43</v>
      </c>
      <c r="G873" t="s">
        <v>766</v>
      </c>
      <c r="H873" t="s">
        <v>1326</v>
      </c>
      <c r="I873" t="s">
        <v>766</v>
      </c>
      <c r="J873" t="s">
        <v>1752</v>
      </c>
      <c r="K873" t="s">
        <v>1752</v>
      </c>
      <c r="L873" t="s">
        <v>2511</v>
      </c>
      <c r="M873" t="s">
        <v>208</v>
      </c>
      <c r="N873" t="s">
        <v>1163</v>
      </c>
      <c r="O873" t="s">
        <v>771</v>
      </c>
      <c r="P873" t="s">
        <v>772</v>
      </c>
      <c r="Q873" t="s">
        <v>797</v>
      </c>
      <c r="R873">
        <v>40</v>
      </c>
      <c r="S873">
        <v>1</v>
      </c>
      <c r="T873">
        <v>0</v>
      </c>
      <c r="U873">
        <v>0</v>
      </c>
      <c r="V873">
        <v>0</v>
      </c>
      <c r="W873">
        <v>0</v>
      </c>
      <c r="X873">
        <v>0</v>
      </c>
      <c r="Y873">
        <v>0</v>
      </c>
      <c r="Z873">
        <v>0</v>
      </c>
      <c r="AA873">
        <v>0</v>
      </c>
      <c r="AB873">
        <v>0</v>
      </c>
      <c r="AC873">
        <v>0</v>
      </c>
      <c r="AD873">
        <v>15</v>
      </c>
      <c r="AE873">
        <v>2</v>
      </c>
      <c r="AF873">
        <v>0</v>
      </c>
      <c r="AG873">
        <v>0</v>
      </c>
      <c r="AH873">
        <v>0</v>
      </c>
      <c r="AI873">
        <v>0</v>
      </c>
      <c r="AY873" t="str">
        <f t="shared" si="192"/>
        <v>NUFLOR</v>
      </c>
      <c r="AZ873" t="str">
        <f>IF(COUNTIF(AY:AY,AY873)=1,AY873,IF(AND(COUNTIF(AY:AY,AY873)&gt;1,COUNTIF(AZ$2:AZ872,AY873)&gt;=1),"",AY873))</f>
        <v/>
      </c>
      <c r="BA873" t="str">
        <f>IF(AZ873="","",COUNTIFS(AZ$3:AZ$1439,"&lt;"&amp;AZ873,AZ$3:AZ$1439,"&lt;&gt;0")+COUNTIF(AZ$3:AZ873,AZ873)-876)</f>
        <v/>
      </c>
      <c r="BT873" s="76"/>
      <c r="CN873">
        <v>872</v>
      </c>
    </row>
    <row r="874" spans="1:92" x14ac:dyDescent="0.3">
      <c r="A874" s="118" t="s">
        <v>2508</v>
      </c>
      <c r="B874" t="s">
        <v>2514</v>
      </c>
      <c r="C874" t="s">
        <v>2515</v>
      </c>
      <c r="D874" s="144" t="s">
        <v>776</v>
      </c>
      <c r="E874" t="s">
        <v>765</v>
      </c>
      <c r="F874" t="s">
        <v>43</v>
      </c>
      <c r="G874" t="s">
        <v>766</v>
      </c>
      <c r="H874" t="s">
        <v>1326</v>
      </c>
      <c r="I874" t="s">
        <v>766</v>
      </c>
      <c r="J874" t="s">
        <v>1752</v>
      </c>
      <c r="K874" t="s">
        <v>1752</v>
      </c>
      <c r="L874" t="s">
        <v>2511</v>
      </c>
      <c r="M874" t="s">
        <v>208</v>
      </c>
      <c r="N874" t="s">
        <v>1163</v>
      </c>
      <c r="O874" t="s">
        <v>771</v>
      </c>
      <c r="P874" t="s">
        <v>772</v>
      </c>
      <c r="Q874" t="s">
        <v>1255</v>
      </c>
      <c r="R874">
        <v>40</v>
      </c>
      <c r="S874">
        <v>1</v>
      </c>
      <c r="T874">
        <v>0</v>
      </c>
      <c r="U874">
        <v>0</v>
      </c>
      <c r="V874">
        <v>0</v>
      </c>
      <c r="W874">
        <v>0</v>
      </c>
      <c r="X874">
        <v>0</v>
      </c>
      <c r="Y874">
        <v>0</v>
      </c>
      <c r="Z874">
        <v>0</v>
      </c>
      <c r="AA874">
        <v>0</v>
      </c>
      <c r="AB874">
        <v>0</v>
      </c>
      <c r="AC874">
        <v>0</v>
      </c>
      <c r="AD874">
        <v>15</v>
      </c>
      <c r="AE874">
        <v>2</v>
      </c>
      <c r="AF874">
        <v>0</v>
      </c>
      <c r="AG874">
        <v>0</v>
      </c>
      <c r="AH874">
        <v>0</v>
      </c>
      <c r="AI874">
        <v>0</v>
      </c>
      <c r="AY874" t="str">
        <f t="shared" si="192"/>
        <v>NUFLOR</v>
      </c>
      <c r="AZ874" t="str">
        <f>IF(COUNTIF(AY:AY,AY874)=1,AY874,IF(AND(COUNTIF(AY:AY,AY874)&gt;1,COUNTIF(AZ$2:AZ873,AY874)&gt;=1),"",AY874))</f>
        <v/>
      </c>
      <c r="BA874" t="str">
        <f>IF(AZ874="","",COUNTIFS(AZ$3:AZ$1439,"&lt;"&amp;AZ874,AZ$3:AZ$1439,"&lt;&gt;0")+COUNTIF(AZ$3:AZ874,AZ874)-876)</f>
        <v/>
      </c>
      <c r="BT874" s="76"/>
      <c r="CN874">
        <v>873</v>
      </c>
    </row>
    <row r="875" spans="1:92" x14ac:dyDescent="0.3">
      <c r="A875" s="118" t="s">
        <v>2508</v>
      </c>
      <c r="B875" t="s">
        <v>2516</v>
      </c>
      <c r="C875" t="s">
        <v>2517</v>
      </c>
      <c r="D875" s="144" t="s">
        <v>906</v>
      </c>
      <c r="E875" t="s">
        <v>765</v>
      </c>
      <c r="F875" t="s">
        <v>43</v>
      </c>
      <c r="G875" t="s">
        <v>766</v>
      </c>
      <c r="H875" t="s">
        <v>1326</v>
      </c>
      <c r="I875" t="s">
        <v>766</v>
      </c>
      <c r="J875" t="s">
        <v>1752</v>
      </c>
      <c r="K875" t="s">
        <v>1752</v>
      </c>
      <c r="L875" t="s">
        <v>2511</v>
      </c>
      <c r="M875" t="s">
        <v>208</v>
      </c>
      <c r="N875" t="s">
        <v>1163</v>
      </c>
      <c r="O875" t="s">
        <v>771</v>
      </c>
      <c r="P875" t="s">
        <v>772</v>
      </c>
      <c r="Q875" t="s">
        <v>1155</v>
      </c>
      <c r="R875">
        <v>40</v>
      </c>
      <c r="S875">
        <v>1</v>
      </c>
      <c r="T875">
        <v>0</v>
      </c>
      <c r="U875">
        <v>0</v>
      </c>
      <c r="V875">
        <v>0</v>
      </c>
      <c r="W875">
        <v>0</v>
      </c>
      <c r="X875">
        <v>0</v>
      </c>
      <c r="Y875">
        <v>0</v>
      </c>
      <c r="Z875">
        <v>0</v>
      </c>
      <c r="AA875">
        <v>0</v>
      </c>
      <c r="AB875">
        <v>0</v>
      </c>
      <c r="AC875">
        <v>0</v>
      </c>
      <c r="AD875">
        <v>15</v>
      </c>
      <c r="AE875">
        <v>2</v>
      </c>
      <c r="AF875">
        <v>0</v>
      </c>
      <c r="AG875">
        <v>0</v>
      </c>
      <c r="AH875">
        <v>0</v>
      </c>
      <c r="AI875">
        <v>0</v>
      </c>
      <c r="AY875" t="str">
        <f t="shared" si="192"/>
        <v>NUFLOR</v>
      </c>
      <c r="AZ875" t="str">
        <f>IF(COUNTIF(AY:AY,AY875)=1,AY875,IF(AND(COUNTIF(AY:AY,AY875)&gt;1,COUNTIF(AZ$2:AZ874,AY875)&gt;=1),"",AY875))</f>
        <v/>
      </c>
      <c r="BA875" t="str">
        <f>IF(AZ875="","",COUNTIFS(AZ$3:AZ$1439,"&lt;"&amp;AZ875,AZ$3:AZ$1439,"&lt;&gt;0")+COUNTIF(AZ$3:AZ875,AZ875)-876)</f>
        <v/>
      </c>
      <c r="BT875" s="76"/>
      <c r="CN875">
        <v>874</v>
      </c>
    </row>
    <row r="876" spans="1:92" x14ac:dyDescent="0.3">
      <c r="A876" s="118" t="s">
        <v>3734</v>
      </c>
      <c r="B876" t="s">
        <v>3735</v>
      </c>
      <c r="C876" t="s">
        <v>1238</v>
      </c>
      <c r="D876" s="144" t="s">
        <v>780</v>
      </c>
      <c r="E876" t="s">
        <v>765</v>
      </c>
      <c r="F876" t="s">
        <v>405</v>
      </c>
      <c r="G876" t="s">
        <v>766</v>
      </c>
      <c r="H876" t="s">
        <v>2469</v>
      </c>
      <c r="I876" t="s">
        <v>766</v>
      </c>
      <c r="J876" t="s">
        <v>1752</v>
      </c>
      <c r="K876" t="s">
        <v>1752</v>
      </c>
      <c r="L876" t="s">
        <v>2511</v>
      </c>
      <c r="M876" t="s">
        <v>208</v>
      </c>
      <c r="N876" t="s">
        <v>1163</v>
      </c>
      <c r="O876" t="s">
        <v>771</v>
      </c>
      <c r="P876" t="s">
        <v>772</v>
      </c>
      <c r="Q876" t="s">
        <v>972</v>
      </c>
      <c r="R876">
        <v>40</v>
      </c>
      <c r="S876">
        <v>1</v>
      </c>
      <c r="T876">
        <v>40</v>
      </c>
      <c r="U876">
        <v>1</v>
      </c>
      <c r="V876">
        <v>40</v>
      </c>
      <c r="W876">
        <v>1</v>
      </c>
      <c r="X876">
        <v>15</v>
      </c>
      <c r="Y876">
        <v>2</v>
      </c>
      <c r="Z876">
        <v>0</v>
      </c>
      <c r="AA876">
        <v>0</v>
      </c>
      <c r="AB876">
        <v>20</v>
      </c>
      <c r="AC876">
        <v>3</v>
      </c>
      <c r="AD876">
        <v>15</v>
      </c>
      <c r="AE876">
        <v>2</v>
      </c>
      <c r="AF876">
        <v>0</v>
      </c>
      <c r="AG876">
        <v>0</v>
      </c>
      <c r="AH876">
        <v>0</v>
      </c>
      <c r="AI876">
        <v>0</v>
      </c>
      <c r="AY876" t="str">
        <f t="shared" si="192"/>
        <v>NUFLOR 300 MG/ML SOLUTION INJECTABLE POUR BOVINS ET OVINS</v>
      </c>
      <c r="AZ876" t="str">
        <f>IF(COUNTIF(AY:AY,AY876)=1,AY876,IF(AND(COUNTIF(AY:AY,AY876)&gt;1,COUNTIF(AZ$2:AZ875,AY876)&gt;=1),"",AY876))</f>
        <v>NUFLOR 300 MG/ML SOLUTION INJECTABLE POUR BOVINS ET OVINS</v>
      </c>
      <c r="BA876">
        <f>IF(AZ876="","",COUNTIFS(AZ$3:AZ$1439,"&lt;"&amp;AZ876,AZ$3:AZ$1439,"&lt;&gt;0")+COUNTIF(AZ$3:AZ876,AZ876)-876)</f>
        <v>331</v>
      </c>
      <c r="BT876" s="76"/>
      <c r="CN876">
        <v>875</v>
      </c>
    </row>
    <row r="877" spans="1:92" x14ac:dyDescent="0.3">
      <c r="A877" s="118" t="s">
        <v>3734</v>
      </c>
      <c r="B877" t="s">
        <v>3736</v>
      </c>
      <c r="C877" t="s">
        <v>792</v>
      </c>
      <c r="D877" s="144" t="s">
        <v>764</v>
      </c>
      <c r="E877" t="s">
        <v>765</v>
      </c>
      <c r="F877" t="s">
        <v>405</v>
      </c>
      <c r="G877" t="s">
        <v>766</v>
      </c>
      <c r="H877" t="s">
        <v>2469</v>
      </c>
      <c r="I877" t="s">
        <v>766</v>
      </c>
      <c r="J877" t="s">
        <v>1752</v>
      </c>
      <c r="K877" t="s">
        <v>1752</v>
      </c>
      <c r="L877" t="s">
        <v>2511</v>
      </c>
      <c r="M877" t="s">
        <v>208</v>
      </c>
      <c r="N877" t="s">
        <v>1163</v>
      </c>
      <c r="O877" t="s">
        <v>771</v>
      </c>
      <c r="P877" t="s">
        <v>772</v>
      </c>
      <c r="Q877" t="s">
        <v>797</v>
      </c>
      <c r="R877">
        <v>40</v>
      </c>
      <c r="S877">
        <v>1</v>
      </c>
      <c r="T877">
        <v>40</v>
      </c>
      <c r="U877">
        <v>1</v>
      </c>
      <c r="V877">
        <v>40</v>
      </c>
      <c r="W877">
        <v>1</v>
      </c>
      <c r="X877">
        <v>15</v>
      </c>
      <c r="Y877">
        <v>2</v>
      </c>
      <c r="Z877">
        <v>0</v>
      </c>
      <c r="AA877">
        <v>0</v>
      </c>
      <c r="AB877">
        <v>20</v>
      </c>
      <c r="AC877">
        <v>3</v>
      </c>
      <c r="AD877">
        <v>15</v>
      </c>
      <c r="AE877">
        <v>2</v>
      </c>
      <c r="AF877">
        <v>0</v>
      </c>
      <c r="AG877">
        <v>0</v>
      </c>
      <c r="AH877">
        <v>0</v>
      </c>
      <c r="AI877">
        <v>0</v>
      </c>
      <c r="AY877" t="str">
        <f t="shared" si="192"/>
        <v>NUFLOR 300 MG/ML SOLUTION INJECTABLE POUR BOVINS ET OVINS</v>
      </c>
      <c r="AZ877" t="str">
        <f>IF(COUNTIF(AY:AY,AY877)=1,AY877,IF(AND(COUNTIF(AY:AY,AY877)&gt;1,COUNTIF(AZ$2:AZ876,AY877)&gt;=1),"",AY877))</f>
        <v/>
      </c>
      <c r="BA877" t="str">
        <f>IF(AZ877="","",COUNTIFS(AZ$3:AZ$1439,"&lt;"&amp;AZ877,AZ$3:AZ$1439,"&lt;&gt;0")+COUNTIF(AZ$3:AZ877,AZ877)-876)</f>
        <v/>
      </c>
      <c r="BT877" s="76"/>
      <c r="CN877">
        <v>876</v>
      </c>
    </row>
    <row r="878" spans="1:92" x14ac:dyDescent="0.3">
      <c r="A878" s="118" t="s">
        <v>3734</v>
      </c>
      <c r="B878" t="s">
        <v>3737</v>
      </c>
      <c r="C878" t="s">
        <v>796</v>
      </c>
      <c r="D878" s="144" t="s">
        <v>776</v>
      </c>
      <c r="E878" t="s">
        <v>765</v>
      </c>
      <c r="F878" t="s">
        <v>405</v>
      </c>
      <c r="G878" t="s">
        <v>766</v>
      </c>
      <c r="H878" t="s">
        <v>2469</v>
      </c>
      <c r="I878" t="s">
        <v>766</v>
      </c>
      <c r="J878" t="s">
        <v>1752</v>
      </c>
      <c r="K878" t="s">
        <v>1752</v>
      </c>
      <c r="L878" t="s">
        <v>2511</v>
      </c>
      <c r="M878" t="s">
        <v>208</v>
      </c>
      <c r="N878" t="s">
        <v>1163</v>
      </c>
      <c r="O878" t="s">
        <v>771</v>
      </c>
      <c r="P878" t="s">
        <v>772</v>
      </c>
      <c r="Q878" t="s">
        <v>1255</v>
      </c>
      <c r="R878">
        <v>40</v>
      </c>
      <c r="S878">
        <v>1</v>
      </c>
      <c r="T878">
        <v>40</v>
      </c>
      <c r="U878">
        <v>1</v>
      </c>
      <c r="V878">
        <v>40</v>
      </c>
      <c r="W878">
        <v>1</v>
      </c>
      <c r="X878">
        <v>15</v>
      </c>
      <c r="Y878">
        <v>2</v>
      </c>
      <c r="Z878">
        <v>0</v>
      </c>
      <c r="AA878">
        <v>0</v>
      </c>
      <c r="AB878">
        <v>20</v>
      </c>
      <c r="AC878">
        <v>3</v>
      </c>
      <c r="AD878">
        <v>15</v>
      </c>
      <c r="AE878">
        <v>2</v>
      </c>
      <c r="AF878">
        <v>0</v>
      </c>
      <c r="AG878">
        <v>0</v>
      </c>
      <c r="AH878">
        <v>0</v>
      </c>
      <c r="AI878">
        <v>0</v>
      </c>
      <c r="AY878" t="str">
        <f t="shared" si="192"/>
        <v>NUFLOR 300 MG/ML SOLUTION INJECTABLE POUR BOVINS ET OVINS</v>
      </c>
      <c r="AZ878" t="str">
        <f>IF(COUNTIF(AY:AY,AY878)=1,AY878,IF(AND(COUNTIF(AY:AY,AY878)&gt;1,COUNTIF(AZ$2:AZ877,AY878)&gt;=1),"",AY878))</f>
        <v/>
      </c>
      <c r="BA878" t="str">
        <f>IF(AZ878="","",COUNTIFS(AZ$3:AZ$1439,"&lt;"&amp;AZ878,AZ$3:AZ$1439,"&lt;&gt;0")+COUNTIF(AZ$3:AZ878,AZ878)-876)</f>
        <v/>
      </c>
      <c r="BT878" s="76"/>
      <c r="CN878">
        <v>877</v>
      </c>
    </row>
    <row r="879" spans="1:92" x14ac:dyDescent="0.3">
      <c r="A879" s="118" t="s">
        <v>3403</v>
      </c>
      <c r="B879" t="s">
        <v>3404</v>
      </c>
      <c r="C879" t="s">
        <v>1483</v>
      </c>
      <c r="D879" s="144" t="s">
        <v>764</v>
      </c>
      <c r="E879" t="s">
        <v>765</v>
      </c>
      <c r="F879" t="s">
        <v>406</v>
      </c>
      <c r="G879" t="s">
        <v>766</v>
      </c>
      <c r="H879" t="s">
        <v>801</v>
      </c>
      <c r="I879" t="s">
        <v>766</v>
      </c>
      <c r="J879" t="s">
        <v>1752</v>
      </c>
      <c r="K879" t="s">
        <v>1752</v>
      </c>
      <c r="L879" t="s">
        <v>2511</v>
      </c>
      <c r="M879" t="s">
        <v>208</v>
      </c>
      <c r="N879" t="s">
        <v>2833</v>
      </c>
      <c r="O879" t="s">
        <v>771</v>
      </c>
      <c r="P879" t="s">
        <v>772</v>
      </c>
      <c r="Q879" t="s">
        <v>3266</v>
      </c>
      <c r="R879">
        <v>40</v>
      </c>
      <c r="S879">
        <v>1</v>
      </c>
      <c r="T879">
        <v>40</v>
      </c>
      <c r="U879">
        <v>1</v>
      </c>
      <c r="V879">
        <v>0</v>
      </c>
      <c r="W879">
        <v>0</v>
      </c>
      <c r="X879">
        <v>0</v>
      </c>
      <c r="Y879">
        <v>0</v>
      </c>
      <c r="Z879">
        <v>0</v>
      </c>
      <c r="AA879">
        <v>0</v>
      </c>
      <c r="AB879">
        <v>0</v>
      </c>
      <c r="AC879">
        <v>0</v>
      </c>
      <c r="AD879">
        <v>0</v>
      </c>
      <c r="AE879">
        <v>0</v>
      </c>
      <c r="AF879">
        <v>0</v>
      </c>
      <c r="AG879">
        <v>0</v>
      </c>
      <c r="AH879">
        <v>0</v>
      </c>
      <c r="AI879">
        <v>0</v>
      </c>
      <c r="AY879" t="str">
        <f t="shared" si="192"/>
        <v>NUFLOR 450 SOLUTION INJECTABLE POUR BOVINS</v>
      </c>
      <c r="AZ879" t="str">
        <f>IF(COUNTIF(AY:AY,AY879)=1,AY879,IF(AND(COUNTIF(AY:AY,AY879)&gt;1,COUNTIF(AZ$2:AZ878,AY879)&gt;=1),"",AY879))</f>
        <v>NUFLOR 450 SOLUTION INJECTABLE POUR BOVINS</v>
      </c>
      <c r="BA879">
        <f>IF(AZ879="","",COUNTIFS(AZ$3:AZ$1439,"&lt;"&amp;AZ879,AZ$3:AZ$1439,"&lt;&gt;0")+COUNTIF(AZ$3:AZ879,AZ879)-876)</f>
        <v>332</v>
      </c>
      <c r="BT879" s="76"/>
      <c r="CN879">
        <v>878</v>
      </c>
    </row>
    <row r="880" spans="1:92" x14ac:dyDescent="0.3">
      <c r="A880" s="118" t="s">
        <v>3403</v>
      </c>
      <c r="B880" t="s">
        <v>3405</v>
      </c>
      <c r="C880" t="s">
        <v>1474</v>
      </c>
      <c r="D880" s="144" t="s">
        <v>776</v>
      </c>
      <c r="E880" t="s">
        <v>765</v>
      </c>
      <c r="F880" t="s">
        <v>406</v>
      </c>
      <c r="G880" t="s">
        <v>766</v>
      </c>
      <c r="H880" t="s">
        <v>801</v>
      </c>
      <c r="I880" t="s">
        <v>766</v>
      </c>
      <c r="J880" t="s">
        <v>1752</v>
      </c>
      <c r="K880" t="s">
        <v>1752</v>
      </c>
      <c r="L880" t="s">
        <v>2511</v>
      </c>
      <c r="M880" t="s">
        <v>208</v>
      </c>
      <c r="N880" t="s">
        <v>2833</v>
      </c>
      <c r="O880" t="s">
        <v>771</v>
      </c>
      <c r="P880" t="s">
        <v>772</v>
      </c>
      <c r="Q880" t="s">
        <v>1077</v>
      </c>
      <c r="R880">
        <v>40</v>
      </c>
      <c r="S880">
        <v>1</v>
      </c>
      <c r="T880">
        <v>40</v>
      </c>
      <c r="U880">
        <v>1</v>
      </c>
      <c r="V880">
        <v>0</v>
      </c>
      <c r="W880">
        <v>0</v>
      </c>
      <c r="X880">
        <v>0</v>
      </c>
      <c r="Y880">
        <v>0</v>
      </c>
      <c r="Z880">
        <v>0</v>
      </c>
      <c r="AA880">
        <v>0</v>
      </c>
      <c r="AB880">
        <v>0</v>
      </c>
      <c r="AC880">
        <v>0</v>
      </c>
      <c r="AD880">
        <v>0</v>
      </c>
      <c r="AE880">
        <v>0</v>
      </c>
      <c r="AF880">
        <v>0</v>
      </c>
      <c r="AG880">
        <v>0</v>
      </c>
      <c r="AH880">
        <v>0</v>
      </c>
      <c r="AI880">
        <v>0</v>
      </c>
      <c r="AY880" t="str">
        <f t="shared" si="192"/>
        <v>NUFLOR 450 SOLUTION INJECTABLE POUR BOVINS</v>
      </c>
      <c r="AZ880" t="str">
        <f>IF(COUNTIF(AY:AY,AY880)=1,AY880,IF(AND(COUNTIF(AY:AY,AY880)&gt;1,COUNTIF(AZ$2:AZ879,AY880)&gt;=1),"",AY880))</f>
        <v/>
      </c>
      <c r="BA880" t="str">
        <f>IF(AZ880="","",COUNTIFS(AZ$3:AZ$1439,"&lt;"&amp;AZ880,AZ$3:AZ$1439,"&lt;&gt;0")+COUNTIF(AZ$3:AZ880,AZ880)-876)</f>
        <v/>
      </c>
      <c r="BT880" s="76"/>
      <c r="CN880">
        <v>879</v>
      </c>
    </row>
    <row r="881" spans="1:92" x14ac:dyDescent="0.3">
      <c r="A881" s="118" t="s">
        <v>3403</v>
      </c>
      <c r="B881" t="s">
        <v>3406</v>
      </c>
      <c r="C881" t="s">
        <v>1369</v>
      </c>
      <c r="D881" s="144" t="s">
        <v>780</v>
      </c>
      <c r="E881" t="s">
        <v>765</v>
      </c>
      <c r="F881" t="s">
        <v>406</v>
      </c>
      <c r="G881" t="s">
        <v>766</v>
      </c>
      <c r="H881" t="s">
        <v>801</v>
      </c>
      <c r="I881" t="s">
        <v>766</v>
      </c>
      <c r="J881" t="s">
        <v>1752</v>
      </c>
      <c r="K881" t="s">
        <v>1752</v>
      </c>
      <c r="L881" t="s">
        <v>2511</v>
      </c>
      <c r="M881" t="s">
        <v>208</v>
      </c>
      <c r="N881" t="s">
        <v>2833</v>
      </c>
      <c r="O881" t="s">
        <v>771</v>
      </c>
      <c r="P881" t="s">
        <v>772</v>
      </c>
      <c r="Q881" t="s">
        <v>1366</v>
      </c>
      <c r="R881">
        <v>40</v>
      </c>
      <c r="S881">
        <v>1</v>
      </c>
      <c r="T881">
        <v>40</v>
      </c>
      <c r="U881">
        <v>1</v>
      </c>
      <c r="V881">
        <v>0</v>
      </c>
      <c r="W881">
        <v>0</v>
      </c>
      <c r="X881">
        <v>0</v>
      </c>
      <c r="Y881">
        <v>0</v>
      </c>
      <c r="Z881">
        <v>0</v>
      </c>
      <c r="AA881">
        <v>0</v>
      </c>
      <c r="AB881">
        <v>0</v>
      </c>
      <c r="AC881">
        <v>0</v>
      </c>
      <c r="AD881">
        <v>0</v>
      </c>
      <c r="AE881">
        <v>0</v>
      </c>
      <c r="AF881">
        <v>0</v>
      </c>
      <c r="AG881">
        <v>0</v>
      </c>
      <c r="AH881">
        <v>0</v>
      </c>
      <c r="AI881">
        <v>0</v>
      </c>
      <c r="AY881" t="str">
        <f t="shared" si="192"/>
        <v>NUFLOR 450 SOLUTION INJECTABLE POUR BOVINS</v>
      </c>
      <c r="AZ881" t="str">
        <f>IF(COUNTIF(AY:AY,AY881)=1,AY881,IF(AND(COUNTIF(AY:AY,AY881)&gt;1,COUNTIF(AZ$2:AZ880,AY881)&gt;=1),"",AY881))</f>
        <v/>
      </c>
      <c r="BA881" t="str">
        <f>IF(AZ881="","",COUNTIFS(AZ$3:AZ$1439,"&lt;"&amp;AZ881,AZ$3:AZ$1439,"&lt;&gt;0")+COUNTIF(AZ$3:AZ881,AZ881)-876)</f>
        <v/>
      </c>
      <c r="BT881" s="76"/>
      <c r="CN881">
        <v>880</v>
      </c>
    </row>
    <row r="882" spans="1:92" x14ac:dyDescent="0.3">
      <c r="A882" s="118" t="s">
        <v>3774</v>
      </c>
      <c r="B882" t="s">
        <v>3775</v>
      </c>
      <c r="C882" t="s">
        <v>763</v>
      </c>
      <c r="D882" s="144" t="s">
        <v>764</v>
      </c>
      <c r="E882" t="s">
        <v>765</v>
      </c>
      <c r="F882" t="s">
        <v>663</v>
      </c>
      <c r="G882" t="s">
        <v>766</v>
      </c>
      <c r="H882" t="s">
        <v>1213</v>
      </c>
      <c r="I882" t="s">
        <v>766</v>
      </c>
      <c r="J882" t="s">
        <v>1752</v>
      </c>
      <c r="K882" t="s">
        <v>1752</v>
      </c>
      <c r="L882" t="s">
        <v>2511</v>
      </c>
      <c r="M882" t="s">
        <v>208</v>
      </c>
      <c r="N882" t="s">
        <v>2833</v>
      </c>
      <c r="O882" t="s">
        <v>771</v>
      </c>
      <c r="P882" t="s">
        <v>772</v>
      </c>
      <c r="Q882" t="s">
        <v>3266</v>
      </c>
      <c r="R882">
        <v>0</v>
      </c>
      <c r="S882">
        <v>0</v>
      </c>
      <c r="T882">
        <v>0</v>
      </c>
      <c r="U882">
        <v>0</v>
      </c>
      <c r="V882">
        <v>0</v>
      </c>
      <c r="W882">
        <v>0</v>
      </c>
      <c r="X882">
        <v>0</v>
      </c>
      <c r="Y882">
        <v>0</v>
      </c>
      <c r="Z882">
        <v>0</v>
      </c>
      <c r="AA882">
        <v>0</v>
      </c>
      <c r="AB882">
        <v>0</v>
      </c>
      <c r="AC882">
        <v>0</v>
      </c>
      <c r="AD882">
        <v>30</v>
      </c>
      <c r="AE882">
        <v>1</v>
      </c>
      <c r="AF882">
        <v>0</v>
      </c>
      <c r="AG882">
        <v>0</v>
      </c>
      <c r="AH882">
        <v>0</v>
      </c>
      <c r="AI882">
        <v>0</v>
      </c>
      <c r="AY882" t="str">
        <f t="shared" si="192"/>
        <v>NUFLOR MONO SOLUTION INJECTABLE 450 MG/ML POUR PORCINS</v>
      </c>
      <c r="AZ882" t="str">
        <f>IF(COUNTIF(AY:AY,AY882)=1,AY882,IF(AND(COUNTIF(AY:AY,AY882)&gt;1,COUNTIF(AZ$2:AZ881,AY882)&gt;=1),"",AY882))</f>
        <v>NUFLOR MONO SOLUTION INJECTABLE 450 MG/ML POUR PORCINS</v>
      </c>
      <c r="BA882">
        <f>IF(AZ882="","",COUNTIFS(AZ$3:AZ$1439,"&lt;"&amp;AZ882,AZ$3:AZ$1439,"&lt;&gt;0")+COUNTIF(AZ$3:AZ882,AZ882)-876)</f>
        <v>333</v>
      </c>
      <c r="BT882" s="76"/>
      <c r="CN882">
        <v>881</v>
      </c>
    </row>
    <row r="883" spans="1:92" x14ac:dyDescent="0.3">
      <c r="A883" s="118" t="s">
        <v>3774</v>
      </c>
      <c r="B883" t="s">
        <v>3776</v>
      </c>
      <c r="C883" t="s">
        <v>775</v>
      </c>
      <c r="D883" s="144" t="s">
        <v>776</v>
      </c>
      <c r="E883" t="s">
        <v>765</v>
      </c>
      <c r="F883" t="s">
        <v>663</v>
      </c>
      <c r="G883" t="s">
        <v>766</v>
      </c>
      <c r="H883" t="s">
        <v>1213</v>
      </c>
      <c r="I883" t="s">
        <v>766</v>
      </c>
      <c r="J883" t="s">
        <v>1752</v>
      </c>
      <c r="K883" t="s">
        <v>1752</v>
      </c>
      <c r="L883" t="s">
        <v>2511</v>
      </c>
      <c r="M883" t="s">
        <v>208</v>
      </c>
      <c r="N883" t="s">
        <v>2833</v>
      </c>
      <c r="O883" t="s">
        <v>771</v>
      </c>
      <c r="P883" t="s">
        <v>772</v>
      </c>
      <c r="Q883" t="s">
        <v>1077</v>
      </c>
      <c r="R883">
        <v>0</v>
      </c>
      <c r="S883">
        <v>0</v>
      </c>
      <c r="T883">
        <v>0</v>
      </c>
      <c r="U883">
        <v>0</v>
      </c>
      <c r="V883">
        <v>0</v>
      </c>
      <c r="W883">
        <v>0</v>
      </c>
      <c r="X883">
        <v>0</v>
      </c>
      <c r="Y883">
        <v>0</v>
      </c>
      <c r="Z883">
        <v>0</v>
      </c>
      <c r="AA883">
        <v>0</v>
      </c>
      <c r="AB883">
        <v>0</v>
      </c>
      <c r="AC883">
        <v>0</v>
      </c>
      <c r="AD883">
        <v>30</v>
      </c>
      <c r="AE883">
        <v>1</v>
      </c>
      <c r="AF883">
        <v>0</v>
      </c>
      <c r="AG883">
        <v>0</v>
      </c>
      <c r="AH883">
        <v>0</v>
      </c>
      <c r="AI883">
        <v>0</v>
      </c>
      <c r="AY883" t="str">
        <f t="shared" si="192"/>
        <v>NUFLOR MONO SOLUTION INJECTABLE 450 MG/ML POUR PORCINS</v>
      </c>
      <c r="AZ883" t="str">
        <f>IF(COUNTIF(AY:AY,AY883)=1,AY883,IF(AND(COUNTIF(AY:AY,AY883)&gt;1,COUNTIF(AZ$2:AZ882,AY883)&gt;=1),"",AY883))</f>
        <v/>
      </c>
      <c r="BA883" t="str">
        <f>IF(AZ883="","",COUNTIFS(AZ$3:AZ$1439,"&lt;"&amp;AZ883,AZ$3:AZ$1439,"&lt;&gt;0")+COUNTIF(AZ$3:AZ883,AZ883)-876)</f>
        <v/>
      </c>
      <c r="BT883" s="76"/>
      <c r="CN883">
        <v>882</v>
      </c>
    </row>
    <row r="884" spans="1:92" x14ac:dyDescent="0.3">
      <c r="A884" s="118" t="s">
        <v>2907</v>
      </c>
      <c r="B884" t="s">
        <v>2908</v>
      </c>
      <c r="C884" t="s">
        <v>2909</v>
      </c>
      <c r="D884" s="144" t="s">
        <v>764</v>
      </c>
      <c r="E884" t="s">
        <v>765</v>
      </c>
      <c r="F884" t="s">
        <v>664</v>
      </c>
      <c r="G884" t="s">
        <v>766</v>
      </c>
      <c r="H884" t="s">
        <v>1213</v>
      </c>
      <c r="I884" t="s">
        <v>766</v>
      </c>
      <c r="J884" t="s">
        <v>1752</v>
      </c>
      <c r="K884" t="s">
        <v>1752</v>
      </c>
      <c r="L884" t="s">
        <v>2511</v>
      </c>
      <c r="M884" t="s">
        <v>208</v>
      </c>
      <c r="N884" t="s">
        <v>1163</v>
      </c>
      <c r="O884" t="s">
        <v>771</v>
      </c>
      <c r="P884" t="s">
        <v>772</v>
      </c>
      <c r="Q884" t="s">
        <v>797</v>
      </c>
      <c r="R884">
        <v>0</v>
      </c>
      <c r="S884">
        <v>0</v>
      </c>
      <c r="T884">
        <v>0</v>
      </c>
      <c r="U884">
        <v>0</v>
      </c>
      <c r="V884">
        <v>0</v>
      </c>
      <c r="W884">
        <v>0</v>
      </c>
      <c r="X884">
        <v>15</v>
      </c>
      <c r="Y884">
        <v>2</v>
      </c>
      <c r="Z884">
        <v>0</v>
      </c>
      <c r="AA884">
        <v>0</v>
      </c>
      <c r="AB884">
        <v>0</v>
      </c>
      <c r="AC884">
        <v>0</v>
      </c>
      <c r="AD884">
        <v>15</v>
      </c>
      <c r="AE884">
        <v>2</v>
      </c>
      <c r="AF884">
        <v>0</v>
      </c>
      <c r="AG884">
        <v>0</v>
      </c>
      <c r="AH884">
        <v>0</v>
      </c>
      <c r="AI884">
        <v>0</v>
      </c>
      <c r="AY884" t="str">
        <f t="shared" si="192"/>
        <v>NUFLOR PORCINS SOLUTION INJECTABLE 300 MG/ML</v>
      </c>
      <c r="AZ884" t="str">
        <f>IF(COUNTIF(AY:AY,AY884)=1,AY884,IF(AND(COUNTIF(AY:AY,AY884)&gt;1,COUNTIF(AZ$2:AZ883,AY884)&gt;=1),"",AY884))</f>
        <v>NUFLOR PORCINS SOLUTION INJECTABLE 300 MG/ML</v>
      </c>
      <c r="BA884">
        <f>IF(AZ884="","",COUNTIFS(AZ$3:AZ$1439,"&lt;"&amp;AZ884,AZ$3:AZ$1439,"&lt;&gt;0")+COUNTIF(AZ$3:AZ884,AZ884)-876)</f>
        <v>334</v>
      </c>
      <c r="BT884" s="76"/>
      <c r="CN884">
        <v>883</v>
      </c>
    </row>
    <row r="885" spans="1:92" x14ac:dyDescent="0.3">
      <c r="A885" s="118" t="s">
        <v>2907</v>
      </c>
      <c r="B885" t="s">
        <v>2910</v>
      </c>
      <c r="C885" t="s">
        <v>2911</v>
      </c>
      <c r="D885" s="144" t="s">
        <v>776</v>
      </c>
      <c r="E885" t="s">
        <v>765</v>
      </c>
      <c r="F885" t="s">
        <v>664</v>
      </c>
      <c r="G885" t="s">
        <v>766</v>
      </c>
      <c r="H885" t="s">
        <v>1213</v>
      </c>
      <c r="I885" t="s">
        <v>766</v>
      </c>
      <c r="J885" t="s">
        <v>1752</v>
      </c>
      <c r="K885" t="s">
        <v>1752</v>
      </c>
      <c r="L885" t="s">
        <v>2511</v>
      </c>
      <c r="M885" t="s">
        <v>208</v>
      </c>
      <c r="N885" t="s">
        <v>1163</v>
      </c>
      <c r="O885" t="s">
        <v>771</v>
      </c>
      <c r="P885" t="s">
        <v>772</v>
      </c>
      <c r="Q885" t="s">
        <v>1255</v>
      </c>
      <c r="R885">
        <v>0</v>
      </c>
      <c r="S885">
        <v>0</v>
      </c>
      <c r="T885">
        <v>0</v>
      </c>
      <c r="U885">
        <v>0</v>
      </c>
      <c r="V885">
        <v>0</v>
      </c>
      <c r="W885">
        <v>0</v>
      </c>
      <c r="X885">
        <v>15</v>
      </c>
      <c r="Y885">
        <v>2</v>
      </c>
      <c r="Z885">
        <v>0</v>
      </c>
      <c r="AA885">
        <v>0</v>
      </c>
      <c r="AB885">
        <v>0</v>
      </c>
      <c r="AC885">
        <v>0</v>
      </c>
      <c r="AD885">
        <v>15</v>
      </c>
      <c r="AE885">
        <v>2</v>
      </c>
      <c r="AF885">
        <v>0</v>
      </c>
      <c r="AG885">
        <v>0</v>
      </c>
      <c r="AH885">
        <v>0</v>
      </c>
      <c r="AI885">
        <v>0</v>
      </c>
      <c r="AY885" t="str">
        <f t="shared" si="192"/>
        <v>NUFLOR PORCINS SOLUTION INJECTABLE 300 MG/ML</v>
      </c>
      <c r="AZ885" t="str">
        <f>IF(COUNTIF(AY:AY,AY885)=1,AY885,IF(AND(COUNTIF(AY:AY,AY885)&gt;1,COUNTIF(AZ$2:AZ884,AY885)&gt;=1),"",AY885))</f>
        <v/>
      </c>
      <c r="BA885" t="str">
        <f>IF(AZ885="","",COUNTIFS(AZ$3:AZ$1439,"&lt;"&amp;AZ885,AZ$3:AZ$1439,"&lt;&gt;0")+COUNTIF(AZ$3:AZ885,AZ885)-876)</f>
        <v/>
      </c>
      <c r="BT885" s="76"/>
      <c r="CN885">
        <v>884</v>
      </c>
    </row>
    <row r="886" spans="1:92" x14ac:dyDescent="0.3">
      <c r="A886" s="118" t="s">
        <v>2099</v>
      </c>
      <c r="B886" t="s">
        <v>2100</v>
      </c>
      <c r="C886" t="s">
        <v>2101</v>
      </c>
      <c r="D886" s="144" t="s">
        <v>972</v>
      </c>
      <c r="E886" t="s">
        <v>765</v>
      </c>
      <c r="F886" t="s">
        <v>2102</v>
      </c>
      <c r="G886" t="s">
        <v>956</v>
      </c>
      <c r="H886" t="s">
        <v>2103</v>
      </c>
      <c r="I886" t="s">
        <v>817</v>
      </c>
      <c r="J886" t="s">
        <v>1148</v>
      </c>
      <c r="K886" t="s">
        <v>862</v>
      </c>
      <c r="L886" t="s">
        <v>1003</v>
      </c>
      <c r="M886" t="s">
        <v>208</v>
      </c>
      <c r="N886" t="s">
        <v>797</v>
      </c>
      <c r="O886" t="s">
        <v>771</v>
      </c>
      <c r="P886" t="s">
        <v>772</v>
      </c>
      <c r="Q886" t="s">
        <v>2104</v>
      </c>
      <c r="R886">
        <v>0</v>
      </c>
      <c r="S886">
        <v>0</v>
      </c>
      <c r="T886">
        <v>0</v>
      </c>
      <c r="U886">
        <v>0</v>
      </c>
      <c r="V886">
        <v>0</v>
      </c>
      <c r="W886">
        <v>0</v>
      </c>
      <c r="X886">
        <v>0</v>
      </c>
      <c r="Y886">
        <v>0</v>
      </c>
      <c r="Z886">
        <v>0</v>
      </c>
      <c r="AA886">
        <v>0</v>
      </c>
      <c r="AB886">
        <v>0</v>
      </c>
      <c r="AC886">
        <v>0</v>
      </c>
      <c r="AD886">
        <v>0</v>
      </c>
      <c r="AE886">
        <v>0</v>
      </c>
      <c r="AF886">
        <v>0</v>
      </c>
      <c r="AG886">
        <v>0</v>
      </c>
      <c r="AH886">
        <v>75</v>
      </c>
      <c r="AI886">
        <v>5</v>
      </c>
      <c r="AJ886" t="s">
        <v>821</v>
      </c>
      <c r="AK886" t="s">
        <v>2105</v>
      </c>
      <c r="AL886" t="s">
        <v>208</v>
      </c>
      <c r="AM886" t="s">
        <v>852</v>
      </c>
      <c r="AN886" t="s">
        <v>771</v>
      </c>
      <c r="AO886" t="s">
        <v>772</v>
      </c>
      <c r="AP886" t="s">
        <v>2106</v>
      </c>
      <c r="AY886" t="str">
        <f t="shared" si="192"/>
        <v/>
      </c>
      <c r="AZ886" t="str">
        <f>IF(COUNTIF(AY:AY,AY886)=1,AY886,IF(AND(COUNTIF(AY:AY,AY886)&gt;1,COUNTIF(AZ$2:AZ885,AY886)&gt;=1),"",AY886))</f>
        <v/>
      </c>
      <c r="BA886" t="str">
        <f>IF(AZ886="","",COUNTIFS(AZ$3:AZ$1439,"&lt;"&amp;AZ886,AZ$3:AZ$1439,"&lt;&gt;0")+COUNTIF(AZ$3:AZ886,AZ886)-876)</f>
        <v/>
      </c>
      <c r="BT886" s="76"/>
      <c r="CN886">
        <v>885</v>
      </c>
    </row>
    <row r="887" spans="1:92" x14ac:dyDescent="0.3">
      <c r="A887" s="118" t="s">
        <v>2099</v>
      </c>
      <c r="B887" t="s">
        <v>2107</v>
      </c>
      <c r="C887" t="s">
        <v>2108</v>
      </c>
      <c r="D887" s="144" t="s">
        <v>780</v>
      </c>
      <c r="E887" t="s">
        <v>765</v>
      </c>
      <c r="F887" t="s">
        <v>2102</v>
      </c>
      <c r="G887" t="s">
        <v>956</v>
      </c>
      <c r="H887" t="s">
        <v>2103</v>
      </c>
      <c r="I887" t="s">
        <v>817</v>
      </c>
      <c r="J887" t="s">
        <v>1148</v>
      </c>
      <c r="K887" t="s">
        <v>862</v>
      </c>
      <c r="L887" t="s">
        <v>1003</v>
      </c>
      <c r="M887" t="s">
        <v>208</v>
      </c>
      <c r="N887" t="s">
        <v>797</v>
      </c>
      <c r="O887" t="s">
        <v>771</v>
      </c>
      <c r="P887" t="s">
        <v>772</v>
      </c>
      <c r="Q887" t="s">
        <v>1118</v>
      </c>
      <c r="R887">
        <v>0</v>
      </c>
      <c r="S887">
        <v>0</v>
      </c>
      <c r="T887">
        <v>0</v>
      </c>
      <c r="U887">
        <v>0</v>
      </c>
      <c r="V887">
        <v>0</v>
      </c>
      <c r="W887">
        <v>0</v>
      </c>
      <c r="X887">
        <v>0</v>
      </c>
      <c r="Y887">
        <v>0</v>
      </c>
      <c r="Z887">
        <v>0</v>
      </c>
      <c r="AA887">
        <v>0</v>
      </c>
      <c r="AB887">
        <v>0</v>
      </c>
      <c r="AC887">
        <v>0</v>
      </c>
      <c r="AD887">
        <v>0</v>
      </c>
      <c r="AE887">
        <v>0</v>
      </c>
      <c r="AF887">
        <v>0</v>
      </c>
      <c r="AG887">
        <v>0</v>
      </c>
      <c r="AH887">
        <v>75</v>
      </c>
      <c r="AI887">
        <v>5</v>
      </c>
      <c r="AJ887" t="s">
        <v>821</v>
      </c>
      <c r="AK887" t="s">
        <v>2105</v>
      </c>
      <c r="AL887" t="s">
        <v>208</v>
      </c>
      <c r="AM887" t="s">
        <v>852</v>
      </c>
      <c r="AN887" t="s">
        <v>771</v>
      </c>
      <c r="AO887" t="s">
        <v>772</v>
      </c>
      <c r="AP887" t="s">
        <v>825</v>
      </c>
      <c r="AY887" t="str">
        <f t="shared" si="192"/>
        <v/>
      </c>
      <c r="AZ887" t="str">
        <f>IF(COUNTIF(AY:AY,AY887)=1,AY887,IF(AND(COUNTIF(AY:AY,AY887)&gt;1,COUNTIF(AZ$2:AZ886,AY887)&gt;=1),"",AY887))</f>
        <v/>
      </c>
      <c r="BA887" t="str">
        <f>IF(AZ887="","",COUNTIFS(AZ$3:AZ$1439,"&lt;"&amp;AZ887,AZ$3:AZ$1439,"&lt;&gt;0")+COUNTIF(AZ$3:AZ887,AZ887)-876)</f>
        <v/>
      </c>
      <c r="BT887" s="76"/>
      <c r="CN887">
        <v>886</v>
      </c>
    </row>
    <row r="888" spans="1:92" x14ac:dyDescent="0.3">
      <c r="A888" s="118" t="s">
        <v>2279</v>
      </c>
      <c r="B888" t="s">
        <v>2280</v>
      </c>
      <c r="C888" t="s">
        <v>2281</v>
      </c>
      <c r="D888" s="144" t="s">
        <v>1304</v>
      </c>
      <c r="E888" t="s">
        <v>830</v>
      </c>
      <c r="F888" t="s">
        <v>2282</v>
      </c>
      <c r="G888" t="s">
        <v>831</v>
      </c>
      <c r="H888" t="s">
        <v>2103</v>
      </c>
      <c r="I888" t="s">
        <v>817</v>
      </c>
      <c r="J888" t="s">
        <v>783</v>
      </c>
      <c r="K888" t="s">
        <v>783</v>
      </c>
      <c r="L888" t="s">
        <v>784</v>
      </c>
      <c r="M888" t="s">
        <v>208</v>
      </c>
      <c r="N888" t="s">
        <v>2283</v>
      </c>
      <c r="O888" t="s">
        <v>894</v>
      </c>
      <c r="P888" t="s">
        <v>772</v>
      </c>
      <c r="Q888" t="s">
        <v>772</v>
      </c>
      <c r="R888">
        <v>0</v>
      </c>
      <c r="S888">
        <v>0</v>
      </c>
      <c r="T888">
        <v>0</v>
      </c>
      <c r="U888">
        <v>0</v>
      </c>
      <c r="V888">
        <v>0</v>
      </c>
      <c r="W888">
        <v>0</v>
      </c>
      <c r="X888">
        <v>0</v>
      </c>
      <c r="Y888">
        <v>0</v>
      </c>
      <c r="Z888">
        <v>0</v>
      </c>
      <c r="AA888">
        <v>0</v>
      </c>
      <c r="AB888">
        <v>0</v>
      </c>
      <c r="AC888">
        <v>0</v>
      </c>
      <c r="AD888">
        <v>0</v>
      </c>
      <c r="AE888">
        <v>0</v>
      </c>
      <c r="AF888">
        <v>0</v>
      </c>
      <c r="AG888">
        <v>0</v>
      </c>
      <c r="AH888">
        <v>8</v>
      </c>
      <c r="AI888">
        <v>7</v>
      </c>
      <c r="AY888" t="str">
        <f t="shared" si="192"/>
        <v/>
      </c>
      <c r="AZ888" t="str">
        <f>IF(COUNTIF(AY:AY,AY888)=1,AY888,IF(AND(COUNTIF(AY:AY,AY888)&gt;1,COUNTIF(AZ$2:AZ887,AY888)&gt;=1),"",AY888))</f>
        <v/>
      </c>
      <c r="BA888" t="str">
        <f>IF(AZ888="","",COUNTIFS(AZ$3:AZ$1439,"&lt;"&amp;AZ888,AZ$3:AZ$1439,"&lt;&gt;0")+COUNTIF(AZ$3:AZ888,AZ888)-876)</f>
        <v/>
      </c>
      <c r="BT888" s="76"/>
      <c r="CN888">
        <v>887</v>
      </c>
    </row>
    <row r="889" spans="1:92" x14ac:dyDescent="0.3">
      <c r="A889" s="118" t="s">
        <v>3738</v>
      </c>
      <c r="B889" t="s">
        <v>3739</v>
      </c>
      <c r="C889" t="s">
        <v>3740</v>
      </c>
      <c r="D889" s="144" t="s">
        <v>829</v>
      </c>
      <c r="E889" t="s">
        <v>830</v>
      </c>
      <c r="F889" t="s">
        <v>407</v>
      </c>
      <c r="G889" t="s">
        <v>831</v>
      </c>
      <c r="H889" t="s">
        <v>1213</v>
      </c>
      <c r="I889" t="s">
        <v>817</v>
      </c>
      <c r="J889" t="s">
        <v>787</v>
      </c>
      <c r="K889" t="s">
        <v>787</v>
      </c>
      <c r="L889" t="s">
        <v>1055</v>
      </c>
      <c r="M889" t="s">
        <v>208</v>
      </c>
      <c r="N889" t="s">
        <v>3611</v>
      </c>
      <c r="O889" t="s">
        <v>894</v>
      </c>
      <c r="P889" t="s">
        <v>772</v>
      </c>
      <c r="Q889" t="s">
        <v>3611</v>
      </c>
      <c r="R889">
        <v>0</v>
      </c>
      <c r="S889">
        <v>0</v>
      </c>
      <c r="T889">
        <v>0</v>
      </c>
      <c r="U889">
        <v>0</v>
      </c>
      <c r="V889">
        <v>0</v>
      </c>
      <c r="W889">
        <v>0</v>
      </c>
      <c r="X889">
        <v>0</v>
      </c>
      <c r="Y889">
        <v>0</v>
      </c>
      <c r="Z889">
        <v>0</v>
      </c>
      <c r="AA889">
        <v>0</v>
      </c>
      <c r="AB889">
        <v>0</v>
      </c>
      <c r="AC889">
        <v>0</v>
      </c>
      <c r="AD889">
        <v>14</v>
      </c>
      <c r="AE889">
        <v>5</v>
      </c>
      <c r="AF889">
        <v>0</v>
      </c>
      <c r="AG889">
        <v>0</v>
      </c>
      <c r="AH889">
        <v>0</v>
      </c>
      <c r="AI889">
        <v>0</v>
      </c>
      <c r="AY889" t="str">
        <f t="shared" si="192"/>
        <v>OCTACILLIN 697 MG/G POUDRE POUR ADMINISTRATION DANS L'EAU DE BOISSON DES PORCS</v>
      </c>
      <c r="AZ889" t="str">
        <f>IF(COUNTIF(AY:AY,AY889)=1,AY889,IF(AND(COUNTIF(AY:AY,AY889)&gt;1,COUNTIF(AZ$2:AZ888,AY889)&gt;=1),"",AY889))</f>
        <v>OCTACILLIN 697 MG/G POUDRE POUR ADMINISTRATION DANS L'EAU DE BOISSON DES PORCS</v>
      </c>
      <c r="BA889">
        <f>IF(AZ889="","",COUNTIFS(AZ$3:AZ$1439,"&lt;"&amp;AZ889,AZ$3:AZ$1439,"&lt;&gt;0")+COUNTIF(AZ$3:AZ889,AZ889)-876)</f>
        <v>335</v>
      </c>
      <c r="BT889" s="76"/>
      <c r="CN889">
        <v>888</v>
      </c>
    </row>
    <row r="890" spans="1:92" x14ac:dyDescent="0.3">
      <c r="A890" s="118" t="s">
        <v>3738</v>
      </c>
      <c r="B890" t="s">
        <v>3741</v>
      </c>
      <c r="C890" t="s">
        <v>3610</v>
      </c>
      <c r="D890" s="144" t="s">
        <v>906</v>
      </c>
      <c r="E890" t="s">
        <v>830</v>
      </c>
      <c r="F890" t="s">
        <v>407</v>
      </c>
      <c r="G890" t="s">
        <v>831</v>
      </c>
      <c r="H890" t="s">
        <v>1213</v>
      </c>
      <c r="I890" t="s">
        <v>817</v>
      </c>
      <c r="J890" t="s">
        <v>787</v>
      </c>
      <c r="K890" t="s">
        <v>787</v>
      </c>
      <c r="L890" t="s">
        <v>1055</v>
      </c>
      <c r="M890" t="s">
        <v>208</v>
      </c>
      <c r="N890" t="s">
        <v>3611</v>
      </c>
      <c r="O890" t="s">
        <v>894</v>
      </c>
      <c r="P890" t="s">
        <v>772</v>
      </c>
      <c r="Q890" t="s">
        <v>3612</v>
      </c>
      <c r="R890">
        <v>0</v>
      </c>
      <c r="S890">
        <v>0</v>
      </c>
      <c r="T890">
        <v>0</v>
      </c>
      <c r="U890">
        <v>0</v>
      </c>
      <c r="V890">
        <v>0</v>
      </c>
      <c r="W890">
        <v>0</v>
      </c>
      <c r="X890">
        <v>0</v>
      </c>
      <c r="Y890">
        <v>0</v>
      </c>
      <c r="Z890">
        <v>0</v>
      </c>
      <c r="AA890">
        <v>0</v>
      </c>
      <c r="AB890">
        <v>0</v>
      </c>
      <c r="AC890">
        <v>0</v>
      </c>
      <c r="AD890">
        <v>14</v>
      </c>
      <c r="AE890">
        <v>5</v>
      </c>
      <c r="AF890">
        <v>0</v>
      </c>
      <c r="AG890">
        <v>0</v>
      </c>
      <c r="AH890">
        <v>0</v>
      </c>
      <c r="AI890">
        <v>0</v>
      </c>
      <c r="AY890" t="str">
        <f t="shared" si="192"/>
        <v>OCTACILLIN 697 MG/G POUDRE POUR ADMINISTRATION DANS L'EAU DE BOISSON DES PORCS</v>
      </c>
      <c r="AZ890" t="str">
        <f>IF(COUNTIF(AY:AY,AY890)=1,AY890,IF(AND(COUNTIF(AY:AY,AY890)&gt;1,COUNTIF(AZ$2:AZ889,AY890)&gt;=1),"",AY890))</f>
        <v/>
      </c>
      <c r="BA890" t="str">
        <f>IF(AZ890="","",COUNTIFS(AZ$3:AZ$1439,"&lt;"&amp;AZ890,AZ$3:AZ$1439,"&lt;&gt;0")+COUNTIF(AZ$3:AZ890,AZ890)-876)</f>
        <v/>
      </c>
      <c r="BT890" s="76"/>
      <c r="CN890">
        <v>889</v>
      </c>
    </row>
    <row r="891" spans="1:92" x14ac:dyDescent="0.3">
      <c r="A891" s="118" t="s">
        <v>3608</v>
      </c>
      <c r="B891" t="s">
        <v>3609</v>
      </c>
      <c r="C891" t="s">
        <v>3610</v>
      </c>
      <c r="D891" s="144" t="s">
        <v>906</v>
      </c>
      <c r="E891" t="s">
        <v>830</v>
      </c>
      <c r="F891" t="s">
        <v>408</v>
      </c>
      <c r="G891" t="s">
        <v>831</v>
      </c>
      <c r="H891" t="s">
        <v>2683</v>
      </c>
      <c r="I891" t="s">
        <v>817</v>
      </c>
      <c r="J891" t="s">
        <v>787</v>
      </c>
      <c r="K891" t="s">
        <v>787</v>
      </c>
      <c r="L891" t="s">
        <v>1055</v>
      </c>
      <c r="M891" t="s">
        <v>208</v>
      </c>
      <c r="N891" t="s">
        <v>3611</v>
      </c>
      <c r="O891" t="s">
        <v>894</v>
      </c>
      <c r="P891" t="s">
        <v>772</v>
      </c>
      <c r="Q891" t="s">
        <v>3612</v>
      </c>
      <c r="R891">
        <v>0</v>
      </c>
      <c r="S891">
        <v>0</v>
      </c>
      <c r="T891">
        <v>0</v>
      </c>
      <c r="U891">
        <v>0</v>
      </c>
      <c r="V891">
        <v>0</v>
      </c>
      <c r="W891">
        <v>0</v>
      </c>
      <c r="X891">
        <v>0</v>
      </c>
      <c r="Y891">
        <v>0</v>
      </c>
      <c r="Z891">
        <v>0</v>
      </c>
      <c r="AA891">
        <v>0</v>
      </c>
      <c r="AB891">
        <v>0</v>
      </c>
      <c r="AC891">
        <v>0</v>
      </c>
      <c r="AD891">
        <v>0</v>
      </c>
      <c r="AE891">
        <v>0</v>
      </c>
      <c r="AF891">
        <v>20</v>
      </c>
      <c r="AG891">
        <v>5</v>
      </c>
      <c r="AH891">
        <v>0</v>
      </c>
      <c r="AI891">
        <v>0</v>
      </c>
      <c r="AY891" t="str">
        <f t="shared" si="192"/>
        <v>OCTACILLIN 697 MG/G POUDRE POUR ADMINISTRATION DANS L'EAU DE BOISSONS DES POULETS</v>
      </c>
      <c r="AZ891" t="str">
        <f>IF(COUNTIF(AY:AY,AY891)=1,AY891,IF(AND(COUNTIF(AY:AY,AY891)&gt;1,COUNTIF(AZ$2:AZ890,AY891)&gt;=1),"",AY891))</f>
        <v>OCTACILLIN 697 MG/G POUDRE POUR ADMINISTRATION DANS L'EAU DE BOISSONS DES POULETS</v>
      </c>
      <c r="BA891">
        <f>IF(AZ891="","",COUNTIFS(AZ$3:AZ$1439,"&lt;"&amp;AZ891,AZ$3:AZ$1439,"&lt;&gt;0")+COUNTIF(AZ$3:AZ891,AZ891)-876)</f>
        <v>336</v>
      </c>
      <c r="BT891" s="76"/>
      <c r="CN891">
        <v>890</v>
      </c>
    </row>
    <row r="892" spans="1:92" x14ac:dyDescent="0.3">
      <c r="A892" s="118" t="s">
        <v>3608</v>
      </c>
      <c r="B892" t="s">
        <v>3613</v>
      </c>
      <c r="C892" t="s">
        <v>3556</v>
      </c>
      <c r="D892" s="144" t="s">
        <v>829</v>
      </c>
      <c r="E892" t="s">
        <v>830</v>
      </c>
      <c r="F892" t="s">
        <v>408</v>
      </c>
      <c r="G892" t="s">
        <v>831</v>
      </c>
      <c r="H892" t="s">
        <v>2683</v>
      </c>
      <c r="I892" t="s">
        <v>817</v>
      </c>
      <c r="J892" t="s">
        <v>787</v>
      </c>
      <c r="K892" t="s">
        <v>787</v>
      </c>
      <c r="L892" t="s">
        <v>1055</v>
      </c>
      <c r="M892" t="s">
        <v>208</v>
      </c>
      <c r="N892" t="s">
        <v>3611</v>
      </c>
      <c r="O892" t="s">
        <v>894</v>
      </c>
      <c r="P892" t="s">
        <v>772</v>
      </c>
      <c r="Q892" t="s">
        <v>3611</v>
      </c>
      <c r="R892">
        <v>0</v>
      </c>
      <c r="S892">
        <v>0</v>
      </c>
      <c r="T892">
        <v>0</v>
      </c>
      <c r="U892">
        <v>0</v>
      </c>
      <c r="V892">
        <v>0</v>
      </c>
      <c r="W892">
        <v>0</v>
      </c>
      <c r="X892">
        <v>0</v>
      </c>
      <c r="Y892">
        <v>0</v>
      </c>
      <c r="Z892">
        <v>0</v>
      </c>
      <c r="AA892">
        <v>0</v>
      </c>
      <c r="AB892">
        <v>0</v>
      </c>
      <c r="AC892">
        <v>0</v>
      </c>
      <c r="AD892">
        <v>0</v>
      </c>
      <c r="AE892">
        <v>0</v>
      </c>
      <c r="AF892">
        <v>20</v>
      </c>
      <c r="AG892">
        <v>5</v>
      </c>
      <c r="AH892">
        <v>0</v>
      </c>
      <c r="AI892">
        <v>0</v>
      </c>
      <c r="AY892" t="str">
        <f t="shared" si="192"/>
        <v>OCTACILLIN 697 MG/G POUDRE POUR ADMINISTRATION DANS L'EAU DE BOISSONS DES POULETS</v>
      </c>
      <c r="AZ892" t="str">
        <f>IF(COUNTIF(AY:AY,AY892)=1,AY892,IF(AND(COUNTIF(AY:AY,AY892)&gt;1,COUNTIF(AZ$2:AZ891,AY892)&gt;=1),"",AY892))</f>
        <v/>
      </c>
      <c r="BA892" t="str">
        <f>IF(AZ892="","",COUNTIFS(AZ$3:AZ$1439,"&lt;"&amp;AZ892,AZ$3:AZ$1439,"&lt;&gt;0")+COUNTIF(AZ$3:AZ892,AZ892)-876)</f>
        <v/>
      </c>
      <c r="BT892" s="76"/>
      <c r="CN892">
        <v>891</v>
      </c>
    </row>
    <row r="893" spans="1:92" x14ac:dyDescent="0.3">
      <c r="A893" s="118" t="s">
        <v>2268</v>
      </c>
      <c r="B893" t="s">
        <v>2269</v>
      </c>
      <c r="C893" t="s">
        <v>2270</v>
      </c>
      <c r="D893" s="144" t="s">
        <v>852</v>
      </c>
      <c r="E893" t="s">
        <v>765</v>
      </c>
      <c r="F893" t="s">
        <v>2271</v>
      </c>
      <c r="G893" t="s">
        <v>878</v>
      </c>
      <c r="H893" t="s">
        <v>816</v>
      </c>
      <c r="I893" t="s">
        <v>879</v>
      </c>
      <c r="J893" t="s">
        <v>912</v>
      </c>
      <c r="K893" t="s">
        <v>783</v>
      </c>
      <c r="L893" t="s">
        <v>865</v>
      </c>
      <c r="M893" t="s">
        <v>208</v>
      </c>
      <c r="N893" t="s">
        <v>2272</v>
      </c>
      <c r="O893" t="s">
        <v>805</v>
      </c>
      <c r="P893" t="s">
        <v>4367</v>
      </c>
      <c r="Q893" t="s">
        <v>980</v>
      </c>
      <c r="R893">
        <v>0</v>
      </c>
      <c r="S893">
        <v>0</v>
      </c>
      <c r="T893">
        <v>0</v>
      </c>
      <c r="U893">
        <v>0</v>
      </c>
      <c r="V893">
        <v>0</v>
      </c>
      <c r="W893">
        <v>0</v>
      </c>
      <c r="X893">
        <v>0</v>
      </c>
      <c r="Y893">
        <v>0</v>
      </c>
      <c r="Z893">
        <v>0</v>
      </c>
      <c r="AA893">
        <v>0</v>
      </c>
      <c r="AB893">
        <v>0</v>
      </c>
      <c r="AC893">
        <v>0</v>
      </c>
      <c r="AD893">
        <v>0</v>
      </c>
      <c r="AE893">
        <v>0</v>
      </c>
      <c r="AF893">
        <v>0</v>
      </c>
      <c r="AG893">
        <v>0</v>
      </c>
      <c r="AH893">
        <v>0</v>
      </c>
      <c r="AI893">
        <v>0</v>
      </c>
      <c r="AJ893" t="s">
        <v>914</v>
      </c>
      <c r="AK893" t="s">
        <v>915</v>
      </c>
      <c r="AL893" t="s">
        <v>208</v>
      </c>
      <c r="AM893" t="s">
        <v>2272</v>
      </c>
      <c r="AN893" t="s">
        <v>805</v>
      </c>
      <c r="AO893" t="s">
        <v>917</v>
      </c>
      <c r="AP893" t="s">
        <v>918</v>
      </c>
      <c r="AY893" t="str">
        <f t="shared" si="192"/>
        <v/>
      </c>
      <c r="AZ893" t="str">
        <f>IF(COUNTIF(AY:AY,AY893)=1,AY893,IF(AND(COUNTIF(AY:AY,AY893)&gt;1,COUNTIF(AZ$2:AZ892,AY893)&gt;=1),"",AY893))</f>
        <v/>
      </c>
      <c r="BA893" t="str">
        <f>IF(AZ893="","",COUNTIFS(AZ$3:AZ$1439,"&lt;"&amp;AZ893,AZ$3:AZ$1439,"&lt;&gt;0")+COUNTIF(AZ$3:AZ893,AZ893)-876)</f>
        <v/>
      </c>
      <c r="BT893" s="76"/>
      <c r="CN893">
        <v>892</v>
      </c>
    </row>
    <row r="894" spans="1:92" x14ac:dyDescent="0.3">
      <c r="A894" s="118" t="s">
        <v>1295</v>
      </c>
      <c r="B894" t="s">
        <v>1296</v>
      </c>
      <c r="C894" t="s">
        <v>4388</v>
      </c>
      <c r="D894" s="144" t="s">
        <v>855</v>
      </c>
      <c r="E894" t="s">
        <v>765</v>
      </c>
      <c r="F894" t="s">
        <v>1297</v>
      </c>
      <c r="G894" t="s">
        <v>878</v>
      </c>
      <c r="H894" t="s">
        <v>816</v>
      </c>
      <c r="I894" t="s">
        <v>879</v>
      </c>
      <c r="J894" t="s">
        <v>783</v>
      </c>
      <c r="K894" t="s">
        <v>783</v>
      </c>
      <c r="L894" t="s">
        <v>784</v>
      </c>
      <c r="M894" t="s">
        <v>208</v>
      </c>
      <c r="N894" t="s">
        <v>1298</v>
      </c>
      <c r="O894" t="s">
        <v>805</v>
      </c>
      <c r="P894" t="s">
        <v>4370</v>
      </c>
      <c r="Q894" t="s">
        <v>1299</v>
      </c>
      <c r="R894">
        <v>0</v>
      </c>
      <c r="S894">
        <v>0</v>
      </c>
      <c r="T894">
        <v>0</v>
      </c>
      <c r="U894">
        <v>0</v>
      </c>
      <c r="V894">
        <v>0</v>
      </c>
      <c r="W894">
        <v>0</v>
      </c>
      <c r="X894">
        <v>0</v>
      </c>
      <c r="Y894">
        <v>0</v>
      </c>
      <c r="Z894">
        <v>0</v>
      </c>
      <c r="AA894">
        <v>0</v>
      </c>
      <c r="AB894">
        <v>0</v>
      </c>
      <c r="AC894">
        <v>0</v>
      </c>
      <c r="AD894">
        <v>0</v>
      </c>
      <c r="AE894">
        <v>0</v>
      </c>
      <c r="AF894">
        <v>0</v>
      </c>
      <c r="AG894">
        <v>0</v>
      </c>
      <c r="AH894">
        <v>0</v>
      </c>
      <c r="AI894">
        <v>0</v>
      </c>
      <c r="AY894" t="str">
        <f t="shared" si="192"/>
        <v/>
      </c>
      <c r="AZ894" t="str">
        <f>IF(COUNTIF(AY:AY,AY894)=1,AY894,IF(AND(COUNTIF(AY:AY,AY894)&gt;1,COUNTIF(AZ$2:AZ893,AY894)&gt;=1),"",AY894))</f>
        <v/>
      </c>
      <c r="BA894" t="str">
        <f>IF(AZ894="","",COUNTIFS(AZ$3:AZ$1439,"&lt;"&amp;AZ894,AZ$3:AZ$1439,"&lt;&gt;0")+COUNTIF(AZ$3:AZ894,AZ894)-876)</f>
        <v/>
      </c>
      <c r="BT894" s="76"/>
      <c r="CN894">
        <v>893</v>
      </c>
    </row>
    <row r="895" spans="1:92" x14ac:dyDescent="0.3">
      <c r="A895" s="118" t="s">
        <v>1855</v>
      </c>
      <c r="B895" t="s">
        <v>1856</v>
      </c>
      <c r="C895" t="s">
        <v>1857</v>
      </c>
      <c r="D895" s="144" t="s">
        <v>885</v>
      </c>
      <c r="E895" t="s">
        <v>830</v>
      </c>
      <c r="F895" t="s">
        <v>1858</v>
      </c>
      <c r="G895" t="s">
        <v>878</v>
      </c>
      <c r="H895" t="s">
        <v>816</v>
      </c>
      <c r="I895" t="s">
        <v>879</v>
      </c>
      <c r="J895" t="s">
        <v>1752</v>
      </c>
      <c r="K895" t="s">
        <v>1752</v>
      </c>
      <c r="L895" t="s">
        <v>1753</v>
      </c>
      <c r="M895" t="s">
        <v>208</v>
      </c>
      <c r="N895" t="s">
        <v>852</v>
      </c>
      <c r="O895" t="s">
        <v>894</v>
      </c>
      <c r="P895" t="s">
        <v>772</v>
      </c>
      <c r="Q895" t="s">
        <v>881</v>
      </c>
      <c r="R895">
        <v>0</v>
      </c>
      <c r="S895">
        <v>0</v>
      </c>
      <c r="T895">
        <v>0</v>
      </c>
      <c r="U895">
        <v>0</v>
      </c>
      <c r="V895">
        <v>0</v>
      </c>
      <c r="W895">
        <v>0</v>
      </c>
      <c r="X895">
        <v>0</v>
      </c>
      <c r="Y895">
        <v>0</v>
      </c>
      <c r="Z895">
        <v>0</v>
      </c>
      <c r="AA895">
        <v>0</v>
      </c>
      <c r="AB895">
        <v>0</v>
      </c>
      <c r="AC895">
        <v>0</v>
      </c>
      <c r="AD895">
        <v>0</v>
      </c>
      <c r="AE895">
        <v>0</v>
      </c>
      <c r="AF895">
        <v>0</v>
      </c>
      <c r="AG895">
        <v>0</v>
      </c>
      <c r="AH895">
        <v>0</v>
      </c>
      <c r="AI895">
        <v>0</v>
      </c>
      <c r="AY895" t="str">
        <f t="shared" si="192"/>
        <v/>
      </c>
      <c r="AZ895" t="str">
        <f>IF(COUNTIF(AY:AY,AY895)=1,AY895,IF(AND(COUNTIF(AY:AY,AY895)&gt;1,COUNTIF(AZ$2:AZ894,AY895)&gt;=1),"",AY895))</f>
        <v/>
      </c>
      <c r="BA895" t="str">
        <f>IF(AZ895="","",COUNTIFS(AZ$3:AZ$1439,"&lt;"&amp;AZ895,AZ$3:AZ$1439,"&lt;&gt;0")+COUNTIF(AZ$3:AZ895,AZ895)-876)</f>
        <v/>
      </c>
      <c r="BT895" s="76"/>
      <c r="CN895">
        <v>894</v>
      </c>
    </row>
    <row r="896" spans="1:92" x14ac:dyDescent="0.3">
      <c r="A896" s="118" t="s">
        <v>4199</v>
      </c>
      <c r="B896" t="s">
        <v>4200</v>
      </c>
      <c r="C896" t="s">
        <v>4201</v>
      </c>
      <c r="D896" t="s">
        <v>885</v>
      </c>
      <c r="E896" t="s">
        <v>830</v>
      </c>
      <c r="F896" t="s">
        <v>409</v>
      </c>
      <c r="G896" t="s">
        <v>878</v>
      </c>
      <c r="H896" t="s">
        <v>845</v>
      </c>
      <c r="I896" t="s">
        <v>879</v>
      </c>
      <c r="J896" t="s">
        <v>768</v>
      </c>
      <c r="K896" t="s">
        <v>768</v>
      </c>
      <c r="L896" t="s">
        <v>1087</v>
      </c>
      <c r="M896" t="s">
        <v>208</v>
      </c>
      <c r="N896" t="s">
        <v>4202</v>
      </c>
      <c r="O896" t="s">
        <v>894</v>
      </c>
      <c r="P896" t="s">
        <v>772</v>
      </c>
      <c r="Q896" t="s">
        <v>881</v>
      </c>
      <c r="R896">
        <v>0</v>
      </c>
      <c r="S896">
        <v>0</v>
      </c>
      <c r="T896">
        <v>0</v>
      </c>
      <c r="U896">
        <v>0</v>
      </c>
      <c r="V896">
        <v>0</v>
      </c>
      <c r="W896">
        <v>0</v>
      </c>
      <c r="X896">
        <v>0</v>
      </c>
      <c r="Y896">
        <v>0</v>
      </c>
      <c r="Z896">
        <v>0</v>
      </c>
      <c r="AA896">
        <v>0</v>
      </c>
      <c r="AB896">
        <v>0</v>
      </c>
      <c r="AC896">
        <v>0</v>
      </c>
      <c r="AD896">
        <v>0</v>
      </c>
      <c r="AE896">
        <v>0</v>
      </c>
      <c r="AF896">
        <v>0</v>
      </c>
      <c r="AG896">
        <v>0</v>
      </c>
      <c r="AH896">
        <v>0</v>
      </c>
      <c r="AI896">
        <v>0</v>
      </c>
      <c r="AY896" t="str">
        <f t="shared" si="192"/>
        <v>OPHTOCYCLINE POMMADE OPHTALMIQUE POUR CHIENS CHATS ET CHEVAUX</v>
      </c>
      <c r="AZ896" t="str">
        <f>IF(COUNTIF(AY:AY,AY896)=1,AY896,IF(AND(COUNTIF(AY:AY,AY896)&gt;1,COUNTIF(AZ$2:AZ895,AY896)&gt;=1),"",AY896))</f>
        <v>OPHTOCYCLINE POMMADE OPHTALMIQUE POUR CHIENS CHATS ET CHEVAUX</v>
      </c>
      <c r="BA896">
        <f>IF(AZ896="","",COUNTIFS(AZ$3:AZ$1439,"&lt;"&amp;AZ896,AZ$3:AZ$1439,"&lt;&gt;0")+COUNTIF(AZ$3:AZ896,AZ896)-876)</f>
        <v>337</v>
      </c>
      <c r="BT896" s="76"/>
      <c r="CN896">
        <v>895</v>
      </c>
    </row>
    <row r="897" spans="1:92" x14ac:dyDescent="0.3">
      <c r="A897" s="118" t="s">
        <v>1300</v>
      </c>
      <c r="B897" t="s">
        <v>1301</v>
      </c>
      <c r="C897" t="s">
        <v>1122</v>
      </c>
      <c r="D897" s="144" t="s">
        <v>869</v>
      </c>
      <c r="E897" t="s">
        <v>813</v>
      </c>
      <c r="F897" t="s">
        <v>1302</v>
      </c>
      <c r="G897" t="s">
        <v>815</v>
      </c>
      <c r="H897" t="s">
        <v>816</v>
      </c>
      <c r="I897" t="s">
        <v>817</v>
      </c>
      <c r="J897" t="s">
        <v>862</v>
      </c>
      <c r="K897" t="s">
        <v>862</v>
      </c>
      <c r="L897" t="s">
        <v>1303</v>
      </c>
      <c r="M897" t="s">
        <v>208</v>
      </c>
      <c r="N897" t="s">
        <v>1155</v>
      </c>
      <c r="O897" t="s">
        <v>824</v>
      </c>
      <c r="P897" t="s">
        <v>772</v>
      </c>
      <c r="Q897" t="s">
        <v>1304</v>
      </c>
      <c r="R897">
        <v>0</v>
      </c>
      <c r="S897">
        <v>0</v>
      </c>
      <c r="T897">
        <v>50</v>
      </c>
      <c r="U897">
        <v>4</v>
      </c>
      <c r="V897">
        <v>0</v>
      </c>
      <c r="W897">
        <v>0</v>
      </c>
      <c r="X897">
        <v>0</v>
      </c>
      <c r="Y897">
        <v>0</v>
      </c>
      <c r="Z897">
        <v>0</v>
      </c>
      <c r="AA897">
        <v>0</v>
      </c>
      <c r="AB897">
        <v>0</v>
      </c>
      <c r="AC897">
        <v>0</v>
      </c>
      <c r="AD897">
        <v>0</v>
      </c>
      <c r="AE897">
        <v>0</v>
      </c>
      <c r="AF897">
        <v>0</v>
      </c>
      <c r="AG897">
        <v>0</v>
      </c>
      <c r="AH897">
        <v>0</v>
      </c>
      <c r="AI897">
        <v>0</v>
      </c>
      <c r="AY897" t="str">
        <f t="shared" si="192"/>
        <v/>
      </c>
      <c r="AZ897" t="str">
        <f>IF(COUNTIF(AY:AY,AY897)=1,AY897,IF(AND(COUNTIF(AY:AY,AY897)&gt;1,COUNTIF(AZ$2:AZ896,AY897)&gt;=1),"",AY897))</f>
        <v/>
      </c>
      <c r="BA897" t="str">
        <f>IF(AZ897="","",COUNTIFS(AZ$3:AZ$1439,"&lt;"&amp;AZ897,AZ$3:AZ$1439,"&lt;&gt;0")+COUNTIF(AZ$3:AZ897,AZ897)-876)</f>
        <v/>
      </c>
      <c r="BT897" s="76"/>
      <c r="CN897">
        <v>896</v>
      </c>
    </row>
    <row r="898" spans="1:92" x14ac:dyDescent="0.3">
      <c r="A898" s="118" t="s">
        <v>3380</v>
      </c>
      <c r="B898" t="s">
        <v>3381</v>
      </c>
      <c r="C898" t="s">
        <v>3382</v>
      </c>
      <c r="D898" s="144" t="s">
        <v>869</v>
      </c>
      <c r="E898" t="s">
        <v>765</v>
      </c>
      <c r="F898" t="s">
        <v>3383</v>
      </c>
      <c r="G898" t="s">
        <v>1309</v>
      </c>
      <c r="H898" t="s">
        <v>816</v>
      </c>
      <c r="I898" t="s">
        <v>817</v>
      </c>
      <c r="J898" t="s">
        <v>2366</v>
      </c>
      <c r="K898" t="s">
        <v>2366</v>
      </c>
      <c r="L898" t="s">
        <v>3287</v>
      </c>
      <c r="M898" t="s">
        <v>208</v>
      </c>
      <c r="N898" t="s">
        <v>797</v>
      </c>
      <c r="O898" t="s">
        <v>771</v>
      </c>
      <c r="P898" t="s">
        <v>772</v>
      </c>
      <c r="Q898" t="s">
        <v>2524</v>
      </c>
      <c r="R898">
        <v>0</v>
      </c>
      <c r="S898">
        <v>0</v>
      </c>
      <c r="T898">
        <v>7.5</v>
      </c>
      <c r="U898">
        <v>10</v>
      </c>
      <c r="V898">
        <v>0</v>
      </c>
      <c r="W898">
        <v>0</v>
      </c>
      <c r="X898">
        <v>0</v>
      </c>
      <c r="Y898">
        <v>0</v>
      </c>
      <c r="Z898">
        <v>0</v>
      </c>
      <c r="AA898">
        <v>0</v>
      </c>
      <c r="AB898">
        <v>0</v>
      </c>
      <c r="AC898">
        <v>0</v>
      </c>
      <c r="AD898">
        <v>0</v>
      </c>
      <c r="AE898">
        <v>0</v>
      </c>
      <c r="AF898">
        <v>0</v>
      </c>
      <c r="AG898">
        <v>0</v>
      </c>
      <c r="AH898">
        <v>0</v>
      </c>
      <c r="AI898">
        <v>0</v>
      </c>
      <c r="AY898" t="str">
        <f t="shared" si="192"/>
        <v/>
      </c>
      <c r="AZ898" t="str">
        <f>IF(COUNTIF(AY:AY,AY898)=1,AY898,IF(AND(COUNTIF(AY:AY,AY898)&gt;1,COUNTIF(AZ$2:AZ897,AY898)&gt;=1),"",AY898))</f>
        <v/>
      </c>
      <c r="BA898" t="str">
        <f>IF(AZ898="","",COUNTIFS(AZ$3:AZ$1439,"&lt;"&amp;AZ898,AZ$3:AZ$1439,"&lt;&gt;0")+COUNTIF(AZ$3:AZ898,AZ898)-876)</f>
        <v/>
      </c>
      <c r="BT898" s="76"/>
      <c r="CN898">
        <v>897</v>
      </c>
    </row>
    <row r="899" spans="1:92" x14ac:dyDescent="0.3">
      <c r="A899" s="118" t="s">
        <v>1388</v>
      </c>
      <c r="B899" t="s">
        <v>1389</v>
      </c>
      <c r="C899" t="s">
        <v>1390</v>
      </c>
      <c r="D899" s="144" t="s">
        <v>1132</v>
      </c>
      <c r="E899" t="s">
        <v>813</v>
      </c>
      <c r="F899" t="s">
        <v>410</v>
      </c>
      <c r="G899" t="s">
        <v>1024</v>
      </c>
      <c r="H899" t="s">
        <v>801</v>
      </c>
      <c r="I899" t="s">
        <v>1013</v>
      </c>
      <c r="J899" t="s">
        <v>787</v>
      </c>
      <c r="K899" t="s">
        <v>787</v>
      </c>
      <c r="L899" t="s">
        <v>1014</v>
      </c>
      <c r="M899" t="s">
        <v>208</v>
      </c>
      <c r="N899" t="s">
        <v>906</v>
      </c>
      <c r="O899" t="s">
        <v>824</v>
      </c>
      <c r="P899" t="s">
        <v>772</v>
      </c>
      <c r="Q899" t="s">
        <v>793</v>
      </c>
      <c r="R899">
        <v>0</v>
      </c>
      <c r="S899">
        <v>0</v>
      </c>
      <c r="T899">
        <v>0</v>
      </c>
      <c r="U899">
        <v>0</v>
      </c>
      <c r="V899">
        <v>0</v>
      </c>
      <c r="W899">
        <v>0</v>
      </c>
      <c r="X899">
        <v>0</v>
      </c>
      <c r="Y899">
        <v>0</v>
      </c>
      <c r="Z899">
        <v>0</v>
      </c>
      <c r="AA899">
        <v>0</v>
      </c>
      <c r="AB899">
        <v>0</v>
      </c>
      <c r="AC899">
        <v>0</v>
      </c>
      <c r="AD899">
        <v>0</v>
      </c>
      <c r="AE899">
        <v>0</v>
      </c>
      <c r="AF899">
        <v>0</v>
      </c>
      <c r="AG899">
        <v>0</v>
      </c>
      <c r="AH899">
        <v>0</v>
      </c>
      <c r="AI899">
        <v>0</v>
      </c>
      <c r="AY899" t="str">
        <f t="shared" ref="AY899:AY962" si="193">IF(INDEX(CK$3:CL$174,MATCH(H899,CK$3:CK$174,0),2)="x",F899,"")</f>
        <v>ORBENIN HORS LACTATION</v>
      </c>
      <c r="AZ899" t="str">
        <f>IF(COUNTIF(AY:AY,AY899)=1,AY899,IF(AND(COUNTIF(AY:AY,AY899)&gt;1,COUNTIF(AZ$2:AZ898,AY899)&gt;=1),"",AY899))</f>
        <v>ORBENIN HORS LACTATION</v>
      </c>
      <c r="BA899">
        <f>IF(AZ899="","",COUNTIFS(AZ$3:AZ$1439,"&lt;"&amp;AZ899,AZ$3:AZ$1439,"&lt;&gt;0")+COUNTIF(AZ$3:AZ899,AZ899)-876)</f>
        <v>338</v>
      </c>
      <c r="BT899" s="76"/>
      <c r="CN899">
        <v>898</v>
      </c>
    </row>
    <row r="900" spans="1:92" x14ac:dyDescent="0.3">
      <c r="A900" s="118" t="s">
        <v>1388</v>
      </c>
      <c r="B900" t="s">
        <v>1391</v>
      </c>
      <c r="C900" t="s">
        <v>1392</v>
      </c>
      <c r="D900" s="144" t="s">
        <v>1047</v>
      </c>
      <c r="E900" t="s">
        <v>813</v>
      </c>
      <c r="F900" t="s">
        <v>410</v>
      </c>
      <c r="G900" t="s">
        <v>1024</v>
      </c>
      <c r="H900" t="s">
        <v>801</v>
      </c>
      <c r="I900" t="s">
        <v>1013</v>
      </c>
      <c r="J900" t="s">
        <v>787</v>
      </c>
      <c r="K900" t="s">
        <v>787</v>
      </c>
      <c r="L900" t="s">
        <v>1014</v>
      </c>
      <c r="M900" t="s">
        <v>208</v>
      </c>
      <c r="N900" t="s">
        <v>906</v>
      </c>
      <c r="O900" t="s">
        <v>824</v>
      </c>
      <c r="P900" t="s">
        <v>772</v>
      </c>
      <c r="Q900" t="s">
        <v>797</v>
      </c>
      <c r="R900">
        <v>0</v>
      </c>
      <c r="S900">
        <v>0</v>
      </c>
      <c r="T900">
        <v>0</v>
      </c>
      <c r="U900">
        <v>0</v>
      </c>
      <c r="V900">
        <v>0</v>
      </c>
      <c r="W900">
        <v>0</v>
      </c>
      <c r="X900">
        <v>0</v>
      </c>
      <c r="Y900">
        <v>0</v>
      </c>
      <c r="Z900">
        <v>0</v>
      </c>
      <c r="AA900">
        <v>0</v>
      </c>
      <c r="AB900">
        <v>0</v>
      </c>
      <c r="AC900">
        <v>0</v>
      </c>
      <c r="AD900">
        <v>0</v>
      </c>
      <c r="AE900">
        <v>0</v>
      </c>
      <c r="AF900">
        <v>0</v>
      </c>
      <c r="AG900">
        <v>0</v>
      </c>
      <c r="AH900">
        <v>0</v>
      </c>
      <c r="AI900">
        <v>0</v>
      </c>
      <c r="AY900" t="str">
        <f t="shared" si="193"/>
        <v>ORBENIN HORS LACTATION</v>
      </c>
      <c r="AZ900" t="str">
        <f>IF(COUNTIF(AY:AY,AY900)=1,AY900,IF(AND(COUNTIF(AY:AY,AY900)&gt;1,COUNTIF(AZ$2:AZ899,AY900)&gt;=1),"",AY900))</f>
        <v/>
      </c>
      <c r="BA900" t="str">
        <f>IF(AZ900="","",COUNTIFS(AZ$3:AZ$1439,"&lt;"&amp;AZ900,AZ$3:AZ$1439,"&lt;&gt;0")+COUNTIF(AZ$3:AZ900,AZ900)-876)</f>
        <v/>
      </c>
      <c r="BT900" s="76"/>
      <c r="CN900">
        <v>899</v>
      </c>
    </row>
    <row r="901" spans="1:92" x14ac:dyDescent="0.3">
      <c r="A901" s="118" t="s">
        <v>1384</v>
      </c>
      <c r="B901" t="s">
        <v>1385</v>
      </c>
      <c r="C901" t="s">
        <v>1386</v>
      </c>
      <c r="D901" s="144" t="s">
        <v>793</v>
      </c>
      <c r="E901" t="s">
        <v>813</v>
      </c>
      <c r="F901" t="s">
        <v>411</v>
      </c>
      <c r="G901" t="s">
        <v>1013</v>
      </c>
      <c r="H901" t="s">
        <v>1387</v>
      </c>
      <c r="I901" t="s">
        <v>1013</v>
      </c>
      <c r="J901" t="s">
        <v>787</v>
      </c>
      <c r="K901" t="s">
        <v>787</v>
      </c>
      <c r="L901" t="s">
        <v>1014</v>
      </c>
      <c r="M901" t="s">
        <v>208</v>
      </c>
      <c r="N901" t="s">
        <v>864</v>
      </c>
      <c r="O901" t="s">
        <v>824</v>
      </c>
      <c r="P901" t="s">
        <v>772</v>
      </c>
      <c r="Q901" t="s">
        <v>1015</v>
      </c>
      <c r="R901">
        <v>0</v>
      </c>
      <c r="S901">
        <v>0</v>
      </c>
      <c r="T901">
        <v>0</v>
      </c>
      <c r="U901">
        <v>0</v>
      </c>
      <c r="V901">
        <v>0</v>
      </c>
      <c r="W901">
        <v>0</v>
      </c>
      <c r="X901">
        <v>0</v>
      </c>
      <c r="Y901">
        <v>0</v>
      </c>
      <c r="Z901">
        <v>0</v>
      </c>
      <c r="AA901">
        <v>0</v>
      </c>
      <c r="AB901">
        <v>0</v>
      </c>
      <c r="AC901">
        <v>0</v>
      </c>
      <c r="AD901">
        <v>0</v>
      </c>
      <c r="AE901">
        <v>0</v>
      </c>
      <c r="AF901">
        <v>0</v>
      </c>
      <c r="AG901">
        <v>0</v>
      </c>
      <c r="AH901">
        <v>0</v>
      </c>
      <c r="AI901">
        <v>0</v>
      </c>
      <c r="AY901" t="str">
        <f t="shared" si="193"/>
        <v>ORBENIN LONGUE ACTION</v>
      </c>
      <c r="AZ901" t="str">
        <f>IF(COUNTIF(AY:AY,AY901)=1,AY901,IF(AND(COUNTIF(AY:AY,AY901)&gt;1,COUNTIF(AZ$2:AZ900,AY901)&gt;=1),"",AY901))</f>
        <v>ORBENIN LONGUE ACTION</v>
      </c>
      <c r="BA901">
        <f>IF(AZ901="","",COUNTIFS(AZ$3:AZ$1439,"&lt;"&amp;AZ901,AZ$3:AZ$1439,"&lt;&gt;0")+COUNTIF(AZ$3:AZ901,AZ901)-876)</f>
        <v>339</v>
      </c>
      <c r="BT901" s="76"/>
      <c r="CN901">
        <v>900</v>
      </c>
    </row>
    <row r="902" spans="1:92" x14ac:dyDescent="0.3">
      <c r="A902" s="118" t="s">
        <v>2348</v>
      </c>
      <c r="B902" t="s">
        <v>2349</v>
      </c>
      <c r="C902" t="s">
        <v>1390</v>
      </c>
      <c r="D902" s="144" t="s">
        <v>1132</v>
      </c>
      <c r="E902" t="s">
        <v>813</v>
      </c>
      <c r="F902" t="s">
        <v>412</v>
      </c>
      <c r="G902" t="s">
        <v>1024</v>
      </c>
      <c r="H902" t="s">
        <v>801</v>
      </c>
      <c r="I902" t="s">
        <v>1013</v>
      </c>
      <c r="J902" t="s">
        <v>787</v>
      </c>
      <c r="K902" t="s">
        <v>787</v>
      </c>
      <c r="L902" t="s">
        <v>1014</v>
      </c>
      <c r="M902" t="s">
        <v>208</v>
      </c>
      <c r="N902" t="s">
        <v>1978</v>
      </c>
      <c r="O902" t="s">
        <v>824</v>
      </c>
      <c r="P902" t="s">
        <v>772</v>
      </c>
      <c r="Q902" t="s">
        <v>2350</v>
      </c>
      <c r="R902">
        <v>0</v>
      </c>
      <c r="S902">
        <v>0</v>
      </c>
      <c r="T902">
        <v>0</v>
      </c>
      <c r="U902">
        <v>0</v>
      </c>
      <c r="V902">
        <v>0</v>
      </c>
      <c r="W902">
        <v>0</v>
      </c>
      <c r="X902">
        <v>0</v>
      </c>
      <c r="Y902">
        <v>0</v>
      </c>
      <c r="Z902">
        <v>0</v>
      </c>
      <c r="AA902">
        <v>0</v>
      </c>
      <c r="AB902">
        <v>0</v>
      </c>
      <c r="AC902">
        <v>0</v>
      </c>
      <c r="AD902">
        <v>0</v>
      </c>
      <c r="AE902">
        <v>0</v>
      </c>
      <c r="AF902">
        <v>0</v>
      </c>
      <c r="AG902">
        <v>0</v>
      </c>
      <c r="AH902">
        <v>0</v>
      </c>
      <c r="AI902">
        <v>0</v>
      </c>
      <c r="AY902" t="str">
        <f t="shared" si="193"/>
        <v>ORBENOR HORS LACTATION</v>
      </c>
      <c r="AZ902" t="str">
        <f>IF(COUNTIF(AY:AY,AY902)=1,AY902,IF(AND(COUNTIF(AY:AY,AY902)&gt;1,COUNTIF(AZ$2:AZ901,AY902)&gt;=1),"",AY902))</f>
        <v>ORBENOR HORS LACTATION</v>
      </c>
      <c r="BA902">
        <f>IF(AZ902="","",COUNTIFS(AZ$3:AZ$1439,"&lt;"&amp;AZ902,AZ$3:AZ$1439,"&lt;&gt;0")+COUNTIF(AZ$3:AZ902,AZ902)-876)</f>
        <v>340</v>
      </c>
      <c r="BT902" s="76"/>
      <c r="CN902">
        <v>901</v>
      </c>
    </row>
    <row r="903" spans="1:92" x14ac:dyDescent="0.3">
      <c r="A903" s="118" t="s">
        <v>2348</v>
      </c>
      <c r="B903" t="s">
        <v>2351</v>
      </c>
      <c r="C903" t="s">
        <v>1392</v>
      </c>
      <c r="D903" s="144" t="s">
        <v>1047</v>
      </c>
      <c r="E903" t="s">
        <v>813</v>
      </c>
      <c r="F903" t="s">
        <v>412</v>
      </c>
      <c r="G903" t="s">
        <v>1024</v>
      </c>
      <c r="H903" t="s">
        <v>801</v>
      </c>
      <c r="I903" t="s">
        <v>1013</v>
      </c>
      <c r="J903" t="s">
        <v>787</v>
      </c>
      <c r="K903" t="s">
        <v>787</v>
      </c>
      <c r="L903" t="s">
        <v>1014</v>
      </c>
      <c r="M903" t="s">
        <v>208</v>
      </c>
      <c r="N903" t="s">
        <v>1978</v>
      </c>
      <c r="O903" t="s">
        <v>824</v>
      </c>
      <c r="P903" t="s">
        <v>772</v>
      </c>
      <c r="Q903" t="s">
        <v>1019</v>
      </c>
      <c r="R903">
        <v>0</v>
      </c>
      <c r="S903">
        <v>0</v>
      </c>
      <c r="T903">
        <v>0</v>
      </c>
      <c r="U903">
        <v>0</v>
      </c>
      <c r="V903">
        <v>0</v>
      </c>
      <c r="W903">
        <v>0</v>
      </c>
      <c r="X903">
        <v>0</v>
      </c>
      <c r="Y903">
        <v>0</v>
      </c>
      <c r="Z903">
        <v>0</v>
      </c>
      <c r="AA903">
        <v>0</v>
      </c>
      <c r="AB903">
        <v>0</v>
      </c>
      <c r="AC903">
        <v>0</v>
      </c>
      <c r="AD903">
        <v>0</v>
      </c>
      <c r="AE903">
        <v>0</v>
      </c>
      <c r="AF903">
        <v>0</v>
      </c>
      <c r="AG903">
        <v>0</v>
      </c>
      <c r="AH903">
        <v>0</v>
      </c>
      <c r="AI903">
        <v>0</v>
      </c>
      <c r="AY903" t="str">
        <f t="shared" si="193"/>
        <v>ORBENOR HORS LACTATION</v>
      </c>
      <c r="AZ903" t="str">
        <f>IF(COUNTIF(AY:AY,AY903)=1,AY903,IF(AND(COUNTIF(AY:AY,AY903)&gt;1,COUNTIF(AZ$2:AZ902,AY903)&gt;=1),"",AY903))</f>
        <v/>
      </c>
      <c r="BA903" t="str">
        <f>IF(AZ903="","",COUNTIFS(AZ$3:AZ$1439,"&lt;"&amp;AZ903,AZ$3:AZ$1439,"&lt;&gt;0")+COUNTIF(AZ$3:AZ903,AZ903)-876)</f>
        <v/>
      </c>
      <c r="BT903" s="76"/>
      <c r="CN903">
        <v>902</v>
      </c>
    </row>
    <row r="904" spans="1:92" x14ac:dyDescent="0.3">
      <c r="A904" s="118" t="s">
        <v>2414</v>
      </c>
      <c r="B904" t="s">
        <v>2415</v>
      </c>
      <c r="C904" t="s">
        <v>2416</v>
      </c>
      <c r="D904" s="144" t="s">
        <v>852</v>
      </c>
      <c r="E904" t="s">
        <v>830</v>
      </c>
      <c r="F904" t="s">
        <v>2417</v>
      </c>
      <c r="G904" t="s">
        <v>964</v>
      </c>
      <c r="H904" t="s">
        <v>816</v>
      </c>
      <c r="I904" t="s">
        <v>879</v>
      </c>
      <c r="J904" t="s">
        <v>783</v>
      </c>
      <c r="K904" t="s">
        <v>783</v>
      </c>
      <c r="L904" t="s">
        <v>784</v>
      </c>
      <c r="M904" t="s">
        <v>208</v>
      </c>
      <c r="N904" t="s">
        <v>2418</v>
      </c>
      <c r="O904" t="s">
        <v>834</v>
      </c>
      <c r="P904" t="s">
        <v>4370</v>
      </c>
      <c r="Q904" t="s">
        <v>881</v>
      </c>
      <c r="R904">
        <v>0</v>
      </c>
      <c r="S904">
        <v>0</v>
      </c>
      <c r="T904">
        <v>0</v>
      </c>
      <c r="U904">
        <v>0</v>
      </c>
      <c r="V904">
        <v>0</v>
      </c>
      <c r="W904">
        <v>0</v>
      </c>
      <c r="X904">
        <v>0</v>
      </c>
      <c r="Y904">
        <v>0</v>
      </c>
      <c r="Z904">
        <v>0</v>
      </c>
      <c r="AA904">
        <v>0</v>
      </c>
      <c r="AB904">
        <v>0</v>
      </c>
      <c r="AC904">
        <v>0</v>
      </c>
      <c r="AD904">
        <v>0</v>
      </c>
      <c r="AE904">
        <v>0</v>
      </c>
      <c r="AF904">
        <v>0</v>
      </c>
      <c r="AG904">
        <v>0</v>
      </c>
      <c r="AH904">
        <v>0</v>
      </c>
      <c r="AI904">
        <v>0</v>
      </c>
      <c r="AY904" t="str">
        <f t="shared" si="193"/>
        <v/>
      </c>
      <c r="AZ904" t="str">
        <f>IF(COUNTIF(AY:AY,AY904)=1,AY904,IF(AND(COUNTIF(AY:AY,AY904)&gt;1,COUNTIF(AZ$2:AZ903,AY904)&gt;=1),"",AY904))</f>
        <v/>
      </c>
      <c r="BA904" t="str">
        <f>IF(AZ904="","",COUNTIFS(AZ$3:AZ$1439,"&lt;"&amp;AZ904,AZ$3:AZ$1439,"&lt;&gt;0")+COUNTIF(AZ$3:AZ904,AZ904)-876)</f>
        <v/>
      </c>
      <c r="BT904" s="76"/>
      <c r="CN904">
        <v>903</v>
      </c>
    </row>
    <row r="905" spans="1:92" x14ac:dyDescent="0.3">
      <c r="A905" s="118" t="s">
        <v>3521</v>
      </c>
      <c r="B905" t="s">
        <v>3522</v>
      </c>
      <c r="C905" t="s">
        <v>3523</v>
      </c>
      <c r="D905" s="144" t="s">
        <v>852</v>
      </c>
      <c r="E905" t="s">
        <v>830</v>
      </c>
      <c r="F905" t="s">
        <v>3524</v>
      </c>
      <c r="G905" t="s">
        <v>964</v>
      </c>
      <c r="H905" t="s">
        <v>816</v>
      </c>
      <c r="I905" t="s">
        <v>879</v>
      </c>
      <c r="J905" t="s">
        <v>783</v>
      </c>
      <c r="K905" t="s">
        <v>783</v>
      </c>
      <c r="L905" t="s">
        <v>784</v>
      </c>
      <c r="M905" t="s">
        <v>208</v>
      </c>
      <c r="N905" t="s">
        <v>2418</v>
      </c>
      <c r="O905" t="s">
        <v>834</v>
      </c>
      <c r="P905" t="s">
        <v>4370</v>
      </c>
      <c r="Q905" t="s">
        <v>881</v>
      </c>
      <c r="R905">
        <v>0</v>
      </c>
      <c r="S905">
        <v>0</v>
      </c>
      <c r="T905">
        <v>0</v>
      </c>
      <c r="U905">
        <v>0</v>
      </c>
      <c r="V905">
        <v>0</v>
      </c>
      <c r="W905">
        <v>0</v>
      </c>
      <c r="X905">
        <v>0</v>
      </c>
      <c r="Y905">
        <v>0</v>
      </c>
      <c r="Z905">
        <v>0</v>
      </c>
      <c r="AA905">
        <v>0</v>
      </c>
      <c r="AB905">
        <v>0</v>
      </c>
      <c r="AC905">
        <v>0</v>
      </c>
      <c r="AD905">
        <v>0</v>
      </c>
      <c r="AE905">
        <v>0</v>
      </c>
      <c r="AF905">
        <v>0</v>
      </c>
      <c r="AG905">
        <v>0</v>
      </c>
      <c r="AH905">
        <v>0</v>
      </c>
      <c r="AI905">
        <v>0</v>
      </c>
      <c r="AY905" t="str">
        <f t="shared" si="193"/>
        <v/>
      </c>
      <c r="AZ905" t="str">
        <f>IF(COUNTIF(AY:AY,AY905)=1,AY905,IF(AND(COUNTIF(AY:AY,AY905)&gt;1,COUNTIF(AZ$2:AZ904,AY905)&gt;=1),"",AY905))</f>
        <v/>
      </c>
      <c r="BA905" t="str">
        <f>IF(AZ905="","",COUNTIFS(AZ$3:AZ$1439,"&lt;"&amp;AZ905,AZ$3:AZ$1439,"&lt;&gt;0")+COUNTIF(AZ$3:AZ905,AZ905)-876)</f>
        <v/>
      </c>
      <c r="BT905" s="76"/>
      <c r="CN905">
        <v>904</v>
      </c>
    </row>
    <row r="906" spans="1:92" x14ac:dyDescent="0.3">
      <c r="A906" s="118" t="s">
        <v>3521</v>
      </c>
      <c r="B906" t="s">
        <v>3525</v>
      </c>
      <c r="C906" t="s">
        <v>3526</v>
      </c>
      <c r="D906" s="144" t="s">
        <v>797</v>
      </c>
      <c r="E906" t="s">
        <v>830</v>
      </c>
      <c r="F906" t="s">
        <v>3524</v>
      </c>
      <c r="G906" t="s">
        <v>964</v>
      </c>
      <c r="H906" t="s">
        <v>816</v>
      </c>
      <c r="I906" t="s">
        <v>879</v>
      </c>
      <c r="J906" t="s">
        <v>783</v>
      </c>
      <c r="K906" t="s">
        <v>783</v>
      </c>
      <c r="L906" t="s">
        <v>784</v>
      </c>
      <c r="M906" t="s">
        <v>208</v>
      </c>
      <c r="N906" t="s">
        <v>2418</v>
      </c>
      <c r="O906" t="s">
        <v>834</v>
      </c>
      <c r="P906" t="s">
        <v>4370</v>
      </c>
      <c r="Q906" t="s">
        <v>2709</v>
      </c>
      <c r="R906">
        <v>0</v>
      </c>
      <c r="S906">
        <v>0</v>
      </c>
      <c r="T906">
        <v>0</v>
      </c>
      <c r="U906">
        <v>0</v>
      </c>
      <c r="V906">
        <v>0</v>
      </c>
      <c r="W906">
        <v>0</v>
      </c>
      <c r="X906">
        <v>0</v>
      </c>
      <c r="Y906">
        <v>0</v>
      </c>
      <c r="Z906">
        <v>0</v>
      </c>
      <c r="AA906">
        <v>0</v>
      </c>
      <c r="AB906">
        <v>0</v>
      </c>
      <c r="AC906">
        <v>0</v>
      </c>
      <c r="AD906">
        <v>0</v>
      </c>
      <c r="AE906">
        <v>0</v>
      </c>
      <c r="AF906">
        <v>0</v>
      </c>
      <c r="AG906">
        <v>0</v>
      </c>
      <c r="AH906">
        <v>0</v>
      </c>
      <c r="AI906">
        <v>0</v>
      </c>
      <c r="AY906" t="str">
        <f t="shared" si="193"/>
        <v/>
      </c>
      <c r="AZ906" t="str">
        <f>IF(COUNTIF(AY:AY,AY906)=1,AY906,IF(AND(COUNTIF(AY:AY,AY906)&gt;1,COUNTIF(AZ$2:AZ905,AY906)&gt;=1),"",AY906))</f>
        <v/>
      </c>
      <c r="BA906" t="str">
        <f>IF(AZ906="","",COUNTIFS(AZ$3:AZ$1439,"&lt;"&amp;AZ906,AZ$3:AZ$1439,"&lt;&gt;0")+COUNTIF(AZ$3:AZ906,AZ906)-876)</f>
        <v/>
      </c>
      <c r="BT906" s="76"/>
      <c r="CN906">
        <v>905</v>
      </c>
    </row>
    <row r="907" spans="1:92" x14ac:dyDescent="0.3">
      <c r="A907" s="118" t="s">
        <v>3959</v>
      </c>
      <c r="B907" t="s">
        <v>3960</v>
      </c>
      <c r="C907" t="s">
        <v>3961</v>
      </c>
      <c r="D907" s="144" t="s">
        <v>962</v>
      </c>
      <c r="E907" t="s">
        <v>765</v>
      </c>
      <c r="F907" t="s">
        <v>3962</v>
      </c>
      <c r="G907" t="s">
        <v>964</v>
      </c>
      <c r="H907" t="s">
        <v>816</v>
      </c>
      <c r="I907" t="s">
        <v>879</v>
      </c>
      <c r="J907" t="s">
        <v>965</v>
      </c>
      <c r="K907" t="s">
        <v>783</v>
      </c>
      <c r="L907" t="s">
        <v>784</v>
      </c>
      <c r="M907" t="s">
        <v>208</v>
      </c>
      <c r="N907" t="s">
        <v>966</v>
      </c>
      <c r="O907" t="s">
        <v>805</v>
      </c>
      <c r="P907" t="s">
        <v>4370</v>
      </c>
      <c r="Q907" t="s">
        <v>888</v>
      </c>
      <c r="R907">
        <v>0</v>
      </c>
      <c r="S907">
        <v>0</v>
      </c>
      <c r="T907">
        <v>0</v>
      </c>
      <c r="U907">
        <v>0</v>
      </c>
      <c r="V907">
        <v>0</v>
      </c>
      <c r="W907">
        <v>0</v>
      </c>
      <c r="X907">
        <v>0</v>
      </c>
      <c r="Y907">
        <v>0</v>
      </c>
      <c r="Z907">
        <v>0</v>
      </c>
      <c r="AA907">
        <v>0</v>
      </c>
      <c r="AB907">
        <v>0</v>
      </c>
      <c r="AC907">
        <v>0</v>
      </c>
      <c r="AD907">
        <v>0</v>
      </c>
      <c r="AE907">
        <v>0</v>
      </c>
      <c r="AF907">
        <v>0</v>
      </c>
      <c r="AG907">
        <v>0</v>
      </c>
      <c r="AH907">
        <v>0</v>
      </c>
      <c r="AI907">
        <v>0</v>
      </c>
      <c r="AJ907" t="s">
        <v>821</v>
      </c>
      <c r="AK907" t="s">
        <v>967</v>
      </c>
      <c r="AL907" t="s">
        <v>208</v>
      </c>
      <c r="AM907" t="s">
        <v>968</v>
      </c>
      <c r="AN907" t="s">
        <v>771</v>
      </c>
      <c r="AO907" t="s">
        <v>772</v>
      </c>
      <c r="AP907" t="s">
        <v>888</v>
      </c>
      <c r="AY907" t="str">
        <f t="shared" si="193"/>
        <v/>
      </c>
      <c r="AZ907" t="str">
        <f>IF(COUNTIF(AY:AY,AY907)=1,AY907,IF(AND(COUNTIF(AY:AY,AY907)&gt;1,COUNTIF(AZ$2:AZ906,AY907)&gt;=1),"",AY907))</f>
        <v/>
      </c>
      <c r="BA907" t="str">
        <f>IF(AZ907="","",COUNTIFS(AZ$3:AZ$1439,"&lt;"&amp;AZ907,AZ$3:AZ$1439,"&lt;&gt;0")+COUNTIF(AZ$3:AZ907,AZ907)-876)</f>
        <v/>
      </c>
      <c r="BT907" s="76"/>
      <c r="CN907">
        <v>906</v>
      </c>
    </row>
    <row r="908" spans="1:92" x14ac:dyDescent="0.3">
      <c r="A908" s="118" t="s">
        <v>1134</v>
      </c>
      <c r="B908" t="s">
        <v>1135</v>
      </c>
      <c r="C908" t="s">
        <v>1136</v>
      </c>
      <c r="D908" s="144" t="s">
        <v>932</v>
      </c>
      <c r="E908" t="s">
        <v>765</v>
      </c>
      <c r="F908" t="s">
        <v>1137</v>
      </c>
      <c r="G908" t="s">
        <v>766</v>
      </c>
      <c r="H908" t="s">
        <v>1138</v>
      </c>
      <c r="I908" t="s">
        <v>766</v>
      </c>
      <c r="J908" t="s">
        <v>782</v>
      </c>
      <c r="K908" t="s">
        <v>783</v>
      </c>
      <c r="L908" t="s">
        <v>945</v>
      </c>
      <c r="M908" t="s">
        <v>208</v>
      </c>
      <c r="N908" t="s">
        <v>1139</v>
      </c>
      <c r="O908" t="s">
        <v>805</v>
      </c>
      <c r="P908" t="s">
        <v>1140</v>
      </c>
      <c r="Q908" t="s">
        <v>1141</v>
      </c>
      <c r="R908">
        <v>0</v>
      </c>
      <c r="S908">
        <v>0</v>
      </c>
      <c r="T908">
        <v>0</v>
      </c>
      <c r="U908">
        <v>0</v>
      </c>
      <c r="V908">
        <v>0</v>
      </c>
      <c r="W908">
        <v>0</v>
      </c>
      <c r="X908">
        <v>0</v>
      </c>
      <c r="Y908">
        <v>0</v>
      </c>
      <c r="Z908">
        <v>0</v>
      </c>
      <c r="AA908">
        <v>0</v>
      </c>
      <c r="AB908">
        <v>0</v>
      </c>
      <c r="AC908">
        <v>0</v>
      </c>
      <c r="AD908">
        <v>0</v>
      </c>
      <c r="AE908">
        <v>0</v>
      </c>
      <c r="AF908">
        <v>113.46</v>
      </c>
      <c r="AG908">
        <v>2</v>
      </c>
      <c r="AH908">
        <v>113.46</v>
      </c>
      <c r="AI908">
        <v>2</v>
      </c>
      <c r="AJ908" t="s">
        <v>787</v>
      </c>
      <c r="AK908" t="s">
        <v>992</v>
      </c>
      <c r="AL908" t="s">
        <v>208</v>
      </c>
      <c r="AM908" t="s">
        <v>1142</v>
      </c>
      <c r="AN908" t="s">
        <v>771</v>
      </c>
      <c r="AO908" t="s">
        <v>772</v>
      </c>
      <c r="AP908" t="s">
        <v>1143</v>
      </c>
      <c r="AY908" t="str">
        <f t="shared" si="193"/>
        <v/>
      </c>
      <c r="AZ908" t="str">
        <f>IF(COUNTIF(AY:AY,AY908)=1,AY908,IF(AND(COUNTIF(AY:AY,AY908)&gt;1,COUNTIF(AZ$2:AZ907,AY908)&gt;=1),"",AY908))</f>
        <v/>
      </c>
      <c r="BA908" t="str">
        <f>IF(AZ908="","",COUNTIFS(AZ$3:AZ$1439,"&lt;"&amp;AZ908,AZ$3:AZ$1439,"&lt;&gt;0")+COUNTIF(AZ$3:AZ908,AZ908)-876)</f>
        <v/>
      </c>
      <c r="BT908" s="76"/>
      <c r="CN908">
        <v>907</v>
      </c>
    </row>
    <row r="909" spans="1:92" x14ac:dyDescent="0.3">
      <c r="A909" s="118" t="s">
        <v>4145</v>
      </c>
      <c r="B909" t="s">
        <v>4146</v>
      </c>
      <c r="C909" t="s">
        <v>4147</v>
      </c>
      <c r="D909" s="144" t="s">
        <v>1358</v>
      </c>
      <c r="E909" t="s">
        <v>830</v>
      </c>
      <c r="F909" t="s">
        <v>4148</v>
      </c>
      <c r="G909" t="s">
        <v>831</v>
      </c>
      <c r="H909" t="s">
        <v>4149</v>
      </c>
      <c r="I909" t="s">
        <v>817</v>
      </c>
      <c r="J909" t="s">
        <v>768</v>
      </c>
      <c r="K909" t="s">
        <v>768</v>
      </c>
      <c r="L909" t="s">
        <v>2121</v>
      </c>
      <c r="M909" t="s">
        <v>208</v>
      </c>
      <c r="N909" t="s">
        <v>1248</v>
      </c>
      <c r="O909" t="s">
        <v>894</v>
      </c>
      <c r="P909" t="s">
        <v>772</v>
      </c>
      <c r="Q909" t="s">
        <v>2325</v>
      </c>
      <c r="R909">
        <v>0</v>
      </c>
      <c r="S909">
        <v>0</v>
      </c>
      <c r="T909">
        <v>0</v>
      </c>
      <c r="U909">
        <v>0</v>
      </c>
      <c r="V909">
        <v>0</v>
      </c>
      <c r="W909">
        <v>0</v>
      </c>
      <c r="X909">
        <v>0</v>
      </c>
      <c r="Y909">
        <v>0</v>
      </c>
      <c r="Z909">
        <v>0</v>
      </c>
      <c r="AA909">
        <v>0</v>
      </c>
      <c r="AB909">
        <v>0</v>
      </c>
      <c r="AC909">
        <v>0</v>
      </c>
      <c r="AD909">
        <v>0</v>
      </c>
      <c r="AE909">
        <v>0</v>
      </c>
      <c r="AF909">
        <v>0</v>
      </c>
      <c r="AG909">
        <v>0</v>
      </c>
      <c r="AH909">
        <v>46</v>
      </c>
      <c r="AI909">
        <v>30</v>
      </c>
      <c r="AY909" t="str">
        <f t="shared" si="193"/>
        <v/>
      </c>
      <c r="AZ909" t="str">
        <f>IF(COUNTIF(AY:AY,AY909)=1,AY909,IF(AND(COUNTIF(AY:AY,AY909)&gt;1,COUNTIF(AZ$2:AZ908,AY909)&gt;=1),"",AY909))</f>
        <v/>
      </c>
      <c r="BA909" t="str">
        <f>IF(AZ909="","",COUNTIFS(AZ$3:AZ$1439,"&lt;"&amp;AZ909,AZ$3:AZ$1439,"&lt;&gt;0")+COUNTIF(AZ$3:AZ909,AZ909)-876)</f>
        <v/>
      </c>
      <c r="BT909" s="76"/>
      <c r="CN909">
        <v>908</v>
      </c>
    </row>
    <row r="910" spans="1:92" x14ac:dyDescent="0.3">
      <c r="A910" s="118" t="s">
        <v>4145</v>
      </c>
      <c r="B910" t="s">
        <v>4150</v>
      </c>
      <c r="C910" t="s">
        <v>4151</v>
      </c>
      <c r="D910" s="144" t="s">
        <v>864</v>
      </c>
      <c r="E910" t="s">
        <v>830</v>
      </c>
      <c r="F910" t="s">
        <v>4148</v>
      </c>
      <c r="G910" t="s">
        <v>831</v>
      </c>
      <c r="H910" t="s">
        <v>4149</v>
      </c>
      <c r="I910" t="s">
        <v>817</v>
      </c>
      <c r="J910" t="s">
        <v>768</v>
      </c>
      <c r="K910" t="s">
        <v>768</v>
      </c>
      <c r="L910" t="s">
        <v>2121</v>
      </c>
      <c r="M910" t="s">
        <v>208</v>
      </c>
      <c r="N910" t="s">
        <v>1248</v>
      </c>
      <c r="O910" t="s">
        <v>894</v>
      </c>
      <c r="P910" t="s">
        <v>772</v>
      </c>
      <c r="Q910" t="s">
        <v>4152</v>
      </c>
      <c r="R910">
        <v>0</v>
      </c>
      <c r="S910">
        <v>0</v>
      </c>
      <c r="T910">
        <v>0</v>
      </c>
      <c r="U910">
        <v>0</v>
      </c>
      <c r="V910">
        <v>0</v>
      </c>
      <c r="W910">
        <v>0</v>
      </c>
      <c r="X910">
        <v>0</v>
      </c>
      <c r="Y910">
        <v>0</v>
      </c>
      <c r="Z910">
        <v>0</v>
      </c>
      <c r="AA910">
        <v>0</v>
      </c>
      <c r="AB910">
        <v>0</v>
      </c>
      <c r="AC910">
        <v>0</v>
      </c>
      <c r="AD910">
        <v>0</v>
      </c>
      <c r="AE910">
        <v>0</v>
      </c>
      <c r="AF910">
        <v>0</v>
      </c>
      <c r="AG910">
        <v>0</v>
      </c>
      <c r="AH910">
        <v>46</v>
      </c>
      <c r="AI910">
        <v>30</v>
      </c>
      <c r="AY910" t="str">
        <f t="shared" si="193"/>
        <v/>
      </c>
      <c r="AZ910" t="str">
        <f>IF(COUNTIF(AY:AY,AY910)=1,AY910,IF(AND(COUNTIF(AY:AY,AY910)&gt;1,COUNTIF(AZ$2:AZ909,AY910)&gt;=1),"",AY910))</f>
        <v/>
      </c>
      <c r="BA910" t="str">
        <f>IF(AZ910="","",COUNTIFS(AZ$3:AZ$1439,"&lt;"&amp;AZ910,AZ$3:AZ$1439,"&lt;&gt;0")+COUNTIF(AZ$3:AZ910,AZ910)-876)</f>
        <v/>
      </c>
      <c r="BT910" s="76"/>
      <c r="CN910">
        <v>909</v>
      </c>
    </row>
    <row r="911" spans="1:92" x14ac:dyDescent="0.3">
      <c r="A911" s="118" t="s">
        <v>4092</v>
      </c>
      <c r="B911" t="s">
        <v>4093</v>
      </c>
      <c r="C911" t="s">
        <v>4094</v>
      </c>
      <c r="D911" s="144" t="s">
        <v>852</v>
      </c>
      <c r="E911" t="s">
        <v>765</v>
      </c>
      <c r="F911" t="s">
        <v>4095</v>
      </c>
      <c r="G911" t="s">
        <v>956</v>
      </c>
      <c r="H911" t="s">
        <v>4096</v>
      </c>
      <c r="I911" t="s">
        <v>817</v>
      </c>
      <c r="J911" t="s">
        <v>2366</v>
      </c>
      <c r="K911" t="s">
        <v>2366</v>
      </c>
      <c r="L911" t="s">
        <v>2367</v>
      </c>
      <c r="M911" t="s">
        <v>208</v>
      </c>
      <c r="N911" t="s">
        <v>855</v>
      </c>
      <c r="O911" t="s">
        <v>771</v>
      </c>
      <c r="P911" t="s">
        <v>772</v>
      </c>
      <c r="Q911" t="s">
        <v>1571</v>
      </c>
      <c r="R911">
        <v>0</v>
      </c>
      <c r="S911">
        <v>0</v>
      </c>
      <c r="T911">
        <v>0</v>
      </c>
      <c r="U911">
        <v>0</v>
      </c>
      <c r="V911">
        <v>0</v>
      </c>
      <c r="W911">
        <v>0</v>
      </c>
      <c r="X911">
        <v>0</v>
      </c>
      <c r="Y911">
        <v>0</v>
      </c>
      <c r="Z911">
        <v>0</v>
      </c>
      <c r="AA911">
        <v>0</v>
      </c>
      <c r="AB911">
        <v>0</v>
      </c>
      <c r="AC911">
        <v>0</v>
      </c>
      <c r="AD911">
        <v>0</v>
      </c>
      <c r="AE911">
        <v>0</v>
      </c>
      <c r="AF911">
        <v>0</v>
      </c>
      <c r="AG911">
        <v>0</v>
      </c>
      <c r="AH911">
        <v>10</v>
      </c>
      <c r="AI911">
        <v>7</v>
      </c>
      <c r="AY911" t="str">
        <f t="shared" si="193"/>
        <v>ORNIFLOX 25 MG/ML SOLUTION A DILUER POUR SOLUTION BUVABLE POUR LAPINS DE COMPAGNIE, RONGEURS, OISEAUX D'ORNEMENT ET REPTILES</v>
      </c>
      <c r="AZ911" t="str">
        <f>IF(COUNTIF(AY:AY,AY911)=1,AY911,IF(AND(COUNTIF(AY:AY,AY911)&gt;1,COUNTIF(AZ$2:AZ910,AY911)&gt;=1),"",AY911))</f>
        <v>ORNIFLOX 25 MG/ML SOLUTION A DILUER POUR SOLUTION BUVABLE POUR LAPINS DE COMPAGNIE, RONGEURS, OISEAUX D'ORNEMENT ET REPTILES</v>
      </c>
      <c r="BA911">
        <f>IF(AZ911="","",COUNTIFS(AZ$3:AZ$1439,"&lt;"&amp;AZ911,AZ$3:AZ$1439,"&lt;&gt;0")+COUNTIF(AZ$3:AZ911,AZ911)-876)</f>
        <v>341</v>
      </c>
      <c r="BT911" s="76"/>
      <c r="CN911">
        <v>910</v>
      </c>
    </row>
    <row r="912" spans="1:92" x14ac:dyDescent="0.3">
      <c r="A912" s="118" t="s">
        <v>4092</v>
      </c>
      <c r="B912" t="s">
        <v>4576</v>
      </c>
      <c r="C912" t="s">
        <v>4577</v>
      </c>
      <c r="D912" s="144" t="s">
        <v>780</v>
      </c>
      <c r="E912" t="s">
        <v>765</v>
      </c>
      <c r="F912" t="s">
        <v>4095</v>
      </c>
      <c r="G912" t="s">
        <v>956</v>
      </c>
      <c r="H912" t="s">
        <v>4096</v>
      </c>
      <c r="I912" t="s">
        <v>817</v>
      </c>
      <c r="J912" t="s">
        <v>2366</v>
      </c>
      <c r="K912" t="s">
        <v>2366</v>
      </c>
      <c r="L912" t="s">
        <v>2367</v>
      </c>
      <c r="M912" t="s">
        <v>208</v>
      </c>
      <c r="N912" t="s">
        <v>855</v>
      </c>
      <c r="O912" t="s">
        <v>771</v>
      </c>
      <c r="P912" t="s">
        <v>772</v>
      </c>
      <c r="Q912" t="s">
        <v>1128</v>
      </c>
      <c r="R912">
        <v>0</v>
      </c>
      <c r="S912">
        <v>0</v>
      </c>
      <c r="T912">
        <v>0</v>
      </c>
      <c r="U912">
        <v>0</v>
      </c>
      <c r="V912">
        <v>0</v>
      </c>
      <c r="W912">
        <v>0</v>
      </c>
      <c r="X912">
        <v>0</v>
      </c>
      <c r="Y912">
        <v>0</v>
      </c>
      <c r="Z912">
        <v>0</v>
      </c>
      <c r="AA912">
        <v>0</v>
      </c>
      <c r="AB912">
        <v>0</v>
      </c>
      <c r="AC912">
        <v>0</v>
      </c>
      <c r="AD912">
        <v>0</v>
      </c>
      <c r="AE912">
        <v>0</v>
      </c>
      <c r="AF912">
        <v>0</v>
      </c>
      <c r="AG912">
        <v>0</v>
      </c>
      <c r="AH912">
        <v>10</v>
      </c>
      <c r="AI912">
        <v>7</v>
      </c>
      <c r="AY912" t="str">
        <f t="shared" si="193"/>
        <v>ORNIFLOX 25 MG/ML SOLUTION A DILUER POUR SOLUTION BUVABLE POUR LAPINS DE COMPAGNIE, RONGEURS, OISEAUX D'ORNEMENT ET REPTILES</v>
      </c>
      <c r="AZ912" t="str">
        <f>IF(COUNTIF(AY:AY,AY912)=1,AY912,IF(AND(COUNTIF(AY:AY,AY912)&gt;1,COUNTIF(AZ$2:AZ911,AY912)&gt;=1),"",AY912))</f>
        <v/>
      </c>
      <c r="BA912" t="str">
        <f>IF(AZ912="","",COUNTIFS(AZ$3:AZ$1439,"&lt;"&amp;AZ912,AZ$3:AZ$1439,"&lt;&gt;0")+COUNTIF(AZ$3:AZ912,AZ912)-876)</f>
        <v/>
      </c>
      <c r="BT912" s="76"/>
      <c r="CN912">
        <v>911</v>
      </c>
    </row>
    <row r="913" spans="1:92" x14ac:dyDescent="0.3">
      <c r="A913" s="118" t="s">
        <v>1463</v>
      </c>
      <c r="B913" t="s">
        <v>1464</v>
      </c>
      <c r="C913" t="s">
        <v>4400</v>
      </c>
      <c r="D913" s="144" t="s">
        <v>772</v>
      </c>
      <c r="E913" t="s">
        <v>813</v>
      </c>
      <c r="F913" t="s">
        <v>109</v>
      </c>
      <c r="G913" t="s">
        <v>985</v>
      </c>
      <c r="H913" t="s">
        <v>1465</v>
      </c>
      <c r="I913" t="s">
        <v>879</v>
      </c>
      <c r="J913" t="s">
        <v>1067</v>
      </c>
      <c r="K913" t="s">
        <v>862</v>
      </c>
      <c r="L913" t="s">
        <v>1466</v>
      </c>
      <c r="M913" t="s">
        <v>208</v>
      </c>
      <c r="N913" t="s">
        <v>1467</v>
      </c>
      <c r="O913" t="s">
        <v>824</v>
      </c>
      <c r="P913" t="s">
        <v>772</v>
      </c>
      <c r="Q913" t="s">
        <v>1468</v>
      </c>
      <c r="R913">
        <v>0</v>
      </c>
      <c r="S913">
        <v>0</v>
      </c>
      <c r="T913">
        <v>0</v>
      </c>
      <c r="U913">
        <v>0</v>
      </c>
      <c r="V913">
        <v>0</v>
      </c>
      <c r="W913">
        <v>0</v>
      </c>
      <c r="X913">
        <v>0</v>
      </c>
      <c r="Y913">
        <v>0</v>
      </c>
      <c r="Z913">
        <v>0</v>
      </c>
      <c r="AA913">
        <v>0</v>
      </c>
      <c r="AB913">
        <v>0</v>
      </c>
      <c r="AC913">
        <v>0</v>
      </c>
      <c r="AD913">
        <v>0</v>
      </c>
      <c r="AE913">
        <v>0</v>
      </c>
      <c r="AF913">
        <v>0</v>
      </c>
      <c r="AG913">
        <v>0</v>
      </c>
      <c r="AH913">
        <v>0</v>
      </c>
      <c r="AI913">
        <v>0</v>
      </c>
      <c r="AJ913" t="s">
        <v>768</v>
      </c>
      <c r="AK913" t="s">
        <v>1087</v>
      </c>
      <c r="AL913" t="s">
        <v>208</v>
      </c>
      <c r="AM913" t="s">
        <v>1469</v>
      </c>
      <c r="AN913" t="s">
        <v>824</v>
      </c>
      <c r="AO913" t="s">
        <v>772</v>
      </c>
      <c r="AP913" t="s">
        <v>1198</v>
      </c>
      <c r="AY913" t="str">
        <f t="shared" si="193"/>
        <v>OROSPRAY</v>
      </c>
      <c r="AZ913" t="str">
        <f>IF(COUNTIF(AY:AY,AY913)=1,AY913,IF(AND(COUNTIF(AY:AY,AY913)&gt;1,COUNTIF(AZ$2:AZ912,AY913)&gt;=1),"",AY913))</f>
        <v>OROSPRAY</v>
      </c>
      <c r="BA913">
        <f>IF(AZ913="","",COUNTIFS(AZ$3:AZ$1439,"&lt;"&amp;AZ913,AZ$3:AZ$1439,"&lt;&gt;0")+COUNTIF(AZ$3:AZ913,AZ913)-876)</f>
        <v>342</v>
      </c>
      <c r="BT913" s="76"/>
      <c r="CN913">
        <v>912</v>
      </c>
    </row>
    <row r="914" spans="1:92" x14ac:dyDescent="0.3">
      <c r="A914" s="118" t="s">
        <v>4015</v>
      </c>
      <c r="B914" t="s">
        <v>4016</v>
      </c>
      <c r="C914" t="s">
        <v>4017</v>
      </c>
      <c r="D914" s="144" t="s">
        <v>4560</v>
      </c>
      <c r="E914" t="s">
        <v>830</v>
      </c>
      <c r="F914" t="s">
        <v>4018</v>
      </c>
      <c r="G914" t="s">
        <v>964</v>
      </c>
      <c r="H914" t="s">
        <v>860</v>
      </c>
      <c r="I914" t="s">
        <v>879</v>
      </c>
      <c r="J914" t="s">
        <v>1752</v>
      </c>
      <c r="K914" t="s">
        <v>1752</v>
      </c>
      <c r="L914" t="s">
        <v>2511</v>
      </c>
      <c r="M914" t="s">
        <v>208</v>
      </c>
      <c r="N914" t="s">
        <v>4019</v>
      </c>
      <c r="O914" t="s">
        <v>894</v>
      </c>
      <c r="P914" t="s">
        <v>772</v>
      </c>
      <c r="Q914" t="s">
        <v>2212</v>
      </c>
      <c r="R914">
        <v>0</v>
      </c>
      <c r="S914">
        <v>0</v>
      </c>
      <c r="T914">
        <v>0</v>
      </c>
      <c r="U914">
        <v>0</v>
      </c>
      <c r="V914">
        <v>0</v>
      </c>
      <c r="W914">
        <v>0</v>
      </c>
      <c r="X914">
        <v>0</v>
      </c>
      <c r="Y914">
        <v>0</v>
      </c>
      <c r="Z914">
        <v>0</v>
      </c>
      <c r="AA914">
        <v>0</v>
      </c>
      <c r="AB914">
        <v>0</v>
      </c>
      <c r="AC914">
        <v>0</v>
      </c>
      <c r="AD914">
        <v>0</v>
      </c>
      <c r="AE914">
        <v>0</v>
      </c>
      <c r="AF914">
        <v>0</v>
      </c>
      <c r="AG914">
        <v>0</v>
      </c>
      <c r="AH914">
        <v>0</v>
      </c>
      <c r="AI914">
        <v>0</v>
      </c>
      <c r="AY914" t="str">
        <f t="shared" si="193"/>
        <v/>
      </c>
      <c r="AZ914" t="str">
        <f>IF(COUNTIF(AY:AY,AY914)=1,AY914,IF(AND(COUNTIF(AY:AY,AY914)&gt;1,COUNTIF(AZ$2:AZ913,AY914)&gt;=1),"",AY914))</f>
        <v/>
      </c>
      <c r="BA914" t="str">
        <f>IF(AZ914="","",COUNTIFS(AZ$3:AZ$1439,"&lt;"&amp;AZ914,AZ$3:AZ$1439,"&lt;&gt;0")+COUNTIF(AZ$3:AZ914,AZ914)-876)</f>
        <v/>
      </c>
      <c r="BT914" s="76"/>
      <c r="CN914">
        <v>913</v>
      </c>
    </row>
    <row r="915" spans="1:92" x14ac:dyDescent="0.3">
      <c r="A915" s="118" t="s">
        <v>4015</v>
      </c>
      <c r="B915" t="s">
        <v>4020</v>
      </c>
      <c r="C915" t="s">
        <v>4021</v>
      </c>
      <c r="D915" s="144" t="s">
        <v>1320</v>
      </c>
      <c r="E915" t="s">
        <v>830</v>
      </c>
      <c r="F915" t="s">
        <v>4018</v>
      </c>
      <c r="G915" t="s">
        <v>964</v>
      </c>
      <c r="H915" t="s">
        <v>860</v>
      </c>
      <c r="I915" t="s">
        <v>879</v>
      </c>
      <c r="J915" t="s">
        <v>1752</v>
      </c>
      <c r="K915" t="s">
        <v>1752</v>
      </c>
      <c r="L915" t="s">
        <v>2511</v>
      </c>
      <c r="M915" t="s">
        <v>208</v>
      </c>
      <c r="N915" t="s">
        <v>4019</v>
      </c>
      <c r="O915" t="s">
        <v>894</v>
      </c>
      <c r="P915" t="s">
        <v>772</v>
      </c>
      <c r="Q915" t="s">
        <v>4022</v>
      </c>
      <c r="R915">
        <v>0</v>
      </c>
      <c r="S915">
        <v>0</v>
      </c>
      <c r="T915">
        <v>0</v>
      </c>
      <c r="U915">
        <v>0</v>
      </c>
      <c r="V915">
        <v>0</v>
      </c>
      <c r="W915">
        <v>0</v>
      </c>
      <c r="X915">
        <v>0</v>
      </c>
      <c r="Y915">
        <v>0</v>
      </c>
      <c r="Z915">
        <v>0</v>
      </c>
      <c r="AA915">
        <v>0</v>
      </c>
      <c r="AB915">
        <v>0</v>
      </c>
      <c r="AC915">
        <v>0</v>
      </c>
      <c r="AD915">
        <v>0</v>
      </c>
      <c r="AE915">
        <v>0</v>
      </c>
      <c r="AF915">
        <v>0</v>
      </c>
      <c r="AG915">
        <v>0</v>
      </c>
      <c r="AH915">
        <v>0</v>
      </c>
      <c r="AI915">
        <v>0</v>
      </c>
      <c r="AY915" t="str">
        <f t="shared" si="193"/>
        <v/>
      </c>
      <c r="AZ915" t="str">
        <f>IF(COUNTIF(AY:AY,AY915)=1,AY915,IF(AND(COUNTIF(AY:AY,AY915)&gt;1,COUNTIF(AZ$2:AZ914,AY915)&gt;=1),"",AY915))</f>
        <v/>
      </c>
      <c r="BA915" t="str">
        <f>IF(AZ915="","",COUNTIFS(AZ$3:AZ$1439,"&lt;"&amp;AZ915,AZ$3:AZ$1439,"&lt;&gt;0")+COUNTIF(AZ$3:AZ915,AZ915)-876)</f>
        <v/>
      </c>
      <c r="BT915" s="76"/>
      <c r="CN915">
        <v>914</v>
      </c>
    </row>
    <row r="916" spans="1:92" x14ac:dyDescent="0.3">
      <c r="A916" s="118" t="s">
        <v>4015</v>
      </c>
      <c r="B916" t="s">
        <v>4561</v>
      </c>
      <c r="C916" t="s">
        <v>4562</v>
      </c>
      <c r="D916" s="144" t="s">
        <v>4563</v>
      </c>
      <c r="E916" t="s">
        <v>830</v>
      </c>
      <c r="F916" t="s">
        <v>4018</v>
      </c>
      <c r="G916" t="s">
        <v>964</v>
      </c>
      <c r="H916" t="s">
        <v>860</v>
      </c>
      <c r="I916" t="s">
        <v>879</v>
      </c>
      <c r="J916" t="s">
        <v>1752</v>
      </c>
      <c r="K916" t="s">
        <v>1752</v>
      </c>
      <c r="L916" t="s">
        <v>2511</v>
      </c>
      <c r="M916" t="s">
        <v>208</v>
      </c>
      <c r="N916" t="s">
        <v>4019</v>
      </c>
      <c r="O916" t="s">
        <v>894</v>
      </c>
      <c r="P916" t="s">
        <v>772</v>
      </c>
      <c r="Q916" t="s">
        <v>1027</v>
      </c>
      <c r="R916">
        <v>0</v>
      </c>
      <c r="S916">
        <v>0</v>
      </c>
      <c r="T916">
        <v>0</v>
      </c>
      <c r="U916">
        <v>0</v>
      </c>
      <c r="V916">
        <v>0</v>
      </c>
      <c r="W916">
        <v>0</v>
      </c>
      <c r="X916">
        <v>0</v>
      </c>
      <c r="Y916">
        <v>0</v>
      </c>
      <c r="Z916">
        <v>0</v>
      </c>
      <c r="AA916">
        <v>0</v>
      </c>
      <c r="AB916">
        <v>0</v>
      </c>
      <c r="AC916">
        <v>0</v>
      </c>
      <c r="AD916">
        <v>0</v>
      </c>
      <c r="AE916">
        <v>0</v>
      </c>
      <c r="AF916">
        <v>0</v>
      </c>
      <c r="AG916">
        <v>0</v>
      </c>
      <c r="AH916">
        <v>0</v>
      </c>
      <c r="AI916">
        <v>0</v>
      </c>
      <c r="AY916" t="str">
        <f t="shared" si="193"/>
        <v/>
      </c>
      <c r="AZ916" t="str">
        <f>IF(COUNTIF(AY:AY,AY916)=1,AY916,IF(AND(COUNTIF(AY:AY,AY916)&gt;1,COUNTIF(AZ$2:AZ915,AY916)&gt;=1),"",AY916))</f>
        <v/>
      </c>
      <c r="BA916" t="str">
        <f>IF(AZ916="","",COUNTIFS(AZ$3:AZ$1439,"&lt;"&amp;AZ916,AZ$3:AZ$1439,"&lt;&gt;0")+COUNTIF(AZ$3:AZ916,AZ916)-876)</f>
        <v/>
      </c>
      <c r="BT916" s="76"/>
      <c r="CN916">
        <v>915</v>
      </c>
    </row>
    <row r="917" spans="1:92" x14ac:dyDescent="0.3">
      <c r="A917" s="118" t="s">
        <v>2880</v>
      </c>
      <c r="B917" t="s">
        <v>2881</v>
      </c>
      <c r="C917" t="s">
        <v>1293</v>
      </c>
      <c r="D917" s="144" t="s">
        <v>924</v>
      </c>
      <c r="E917" t="s">
        <v>830</v>
      </c>
      <c r="F917" t="s">
        <v>413</v>
      </c>
      <c r="G917" t="s">
        <v>831</v>
      </c>
      <c r="H917" t="s">
        <v>1697</v>
      </c>
      <c r="I917" t="s">
        <v>817</v>
      </c>
      <c r="J917" t="s">
        <v>768</v>
      </c>
      <c r="K917" t="s">
        <v>768</v>
      </c>
      <c r="L917" t="s">
        <v>769</v>
      </c>
      <c r="M917" t="s">
        <v>208</v>
      </c>
      <c r="N917" t="s">
        <v>906</v>
      </c>
      <c r="O917" t="s">
        <v>894</v>
      </c>
      <c r="P917" t="s">
        <v>772</v>
      </c>
      <c r="Q917" t="s">
        <v>955</v>
      </c>
      <c r="R917">
        <v>20</v>
      </c>
      <c r="S917">
        <v>5</v>
      </c>
      <c r="T917">
        <v>0</v>
      </c>
      <c r="U917">
        <v>0</v>
      </c>
      <c r="V917">
        <v>0</v>
      </c>
      <c r="W917">
        <v>0</v>
      </c>
      <c r="X917">
        <v>0</v>
      </c>
      <c r="Y917">
        <v>0</v>
      </c>
      <c r="Z917">
        <v>20</v>
      </c>
      <c r="AA917">
        <v>5</v>
      </c>
      <c r="AB917">
        <v>20</v>
      </c>
      <c r="AC917">
        <v>5</v>
      </c>
      <c r="AD917">
        <v>20</v>
      </c>
      <c r="AE917">
        <v>5</v>
      </c>
      <c r="AF917">
        <v>20</v>
      </c>
      <c r="AG917">
        <v>5</v>
      </c>
      <c r="AH917">
        <v>0</v>
      </c>
      <c r="AI917">
        <v>0</v>
      </c>
      <c r="AY917" t="str">
        <f t="shared" si="193"/>
        <v>OTC 50 FRANVET</v>
      </c>
      <c r="AZ917" t="str">
        <f>IF(COUNTIF(AY:AY,AY917)=1,AY917,IF(AND(COUNTIF(AY:AY,AY917)&gt;1,COUNTIF(AZ$2:AZ916,AY917)&gt;=1),"",AY917))</f>
        <v>OTC 50 FRANVET</v>
      </c>
      <c r="BA917">
        <f>IF(AZ917="","",COUNTIFS(AZ$3:AZ$1439,"&lt;"&amp;AZ917,AZ$3:AZ$1439,"&lt;&gt;0")+COUNTIF(AZ$3:AZ917,AZ917)-876)</f>
        <v>343</v>
      </c>
      <c r="BT917" s="76"/>
      <c r="CN917">
        <v>916</v>
      </c>
    </row>
    <row r="918" spans="1:92" x14ac:dyDescent="0.3">
      <c r="A918" s="118" t="s">
        <v>2880</v>
      </c>
      <c r="B918" t="s">
        <v>2882</v>
      </c>
      <c r="C918" t="s">
        <v>1313</v>
      </c>
      <c r="D918" s="144" t="s">
        <v>955</v>
      </c>
      <c r="E918" t="s">
        <v>830</v>
      </c>
      <c r="F918" t="s">
        <v>413</v>
      </c>
      <c r="G918" t="s">
        <v>831</v>
      </c>
      <c r="H918" t="s">
        <v>1697</v>
      </c>
      <c r="I918" t="s">
        <v>817</v>
      </c>
      <c r="J918" t="s">
        <v>768</v>
      </c>
      <c r="K918" t="s">
        <v>768</v>
      </c>
      <c r="L918" t="s">
        <v>769</v>
      </c>
      <c r="M918" t="s">
        <v>208</v>
      </c>
      <c r="N918" t="s">
        <v>906</v>
      </c>
      <c r="O918" t="s">
        <v>894</v>
      </c>
      <c r="P918" t="s">
        <v>772</v>
      </c>
      <c r="Q918" t="s">
        <v>966</v>
      </c>
      <c r="R918">
        <v>20</v>
      </c>
      <c r="S918">
        <v>5</v>
      </c>
      <c r="T918">
        <v>0</v>
      </c>
      <c r="U918">
        <v>0</v>
      </c>
      <c r="V918">
        <v>0</v>
      </c>
      <c r="W918">
        <v>0</v>
      </c>
      <c r="X918">
        <v>0</v>
      </c>
      <c r="Y918">
        <v>0</v>
      </c>
      <c r="Z918">
        <v>20</v>
      </c>
      <c r="AA918">
        <v>5</v>
      </c>
      <c r="AB918">
        <v>20</v>
      </c>
      <c r="AC918">
        <v>5</v>
      </c>
      <c r="AD918">
        <v>20</v>
      </c>
      <c r="AE918">
        <v>5</v>
      </c>
      <c r="AF918">
        <v>20</v>
      </c>
      <c r="AG918">
        <v>5</v>
      </c>
      <c r="AH918">
        <v>0</v>
      </c>
      <c r="AI918">
        <v>0</v>
      </c>
      <c r="AY918" t="str">
        <f t="shared" si="193"/>
        <v>OTC 50 FRANVET</v>
      </c>
      <c r="AZ918" t="str">
        <f>IF(COUNTIF(AY:AY,AY918)=1,AY918,IF(AND(COUNTIF(AY:AY,AY918)&gt;1,COUNTIF(AZ$2:AZ917,AY918)&gt;=1),"",AY918))</f>
        <v/>
      </c>
      <c r="BA918" t="str">
        <f>IF(AZ918="","",COUNTIFS(AZ$3:AZ$1439,"&lt;"&amp;AZ918,AZ$3:AZ$1439,"&lt;&gt;0")+COUNTIF(AZ$3:AZ918,AZ918)-876)</f>
        <v/>
      </c>
      <c r="BT918" s="76"/>
      <c r="CN918">
        <v>917</v>
      </c>
    </row>
    <row r="919" spans="1:92" x14ac:dyDescent="0.3">
      <c r="A919" s="118" t="s">
        <v>2880</v>
      </c>
      <c r="B919" t="s">
        <v>2883</v>
      </c>
      <c r="C919" t="s">
        <v>891</v>
      </c>
      <c r="D919" s="144" t="s">
        <v>829</v>
      </c>
      <c r="E919" t="s">
        <v>830</v>
      </c>
      <c r="F919" t="s">
        <v>413</v>
      </c>
      <c r="G919" t="s">
        <v>831</v>
      </c>
      <c r="H919" t="s">
        <v>1697</v>
      </c>
      <c r="I919" t="s">
        <v>817</v>
      </c>
      <c r="J919" t="s">
        <v>768</v>
      </c>
      <c r="K919" t="s">
        <v>768</v>
      </c>
      <c r="L919" t="s">
        <v>769</v>
      </c>
      <c r="M919" t="s">
        <v>208</v>
      </c>
      <c r="N919" t="s">
        <v>906</v>
      </c>
      <c r="O919" t="s">
        <v>894</v>
      </c>
      <c r="P919" t="s">
        <v>772</v>
      </c>
      <c r="Q919" t="s">
        <v>906</v>
      </c>
      <c r="R919">
        <v>20</v>
      </c>
      <c r="S919">
        <v>5</v>
      </c>
      <c r="T919">
        <v>0</v>
      </c>
      <c r="U919">
        <v>0</v>
      </c>
      <c r="V919">
        <v>0</v>
      </c>
      <c r="W919">
        <v>0</v>
      </c>
      <c r="X919">
        <v>0</v>
      </c>
      <c r="Y919">
        <v>0</v>
      </c>
      <c r="Z919">
        <v>20</v>
      </c>
      <c r="AA919">
        <v>5</v>
      </c>
      <c r="AB919">
        <v>20</v>
      </c>
      <c r="AC919">
        <v>5</v>
      </c>
      <c r="AD919">
        <v>20</v>
      </c>
      <c r="AE919">
        <v>5</v>
      </c>
      <c r="AF919">
        <v>20</v>
      </c>
      <c r="AG919">
        <v>5</v>
      </c>
      <c r="AH919">
        <v>0</v>
      </c>
      <c r="AI919">
        <v>0</v>
      </c>
      <c r="AY919" t="str">
        <f t="shared" si="193"/>
        <v>OTC 50 FRANVET</v>
      </c>
      <c r="AZ919" t="str">
        <f>IF(COUNTIF(AY:AY,AY919)=1,AY919,IF(AND(COUNTIF(AY:AY,AY919)&gt;1,COUNTIF(AZ$2:AZ918,AY919)&gt;=1),"",AY919))</f>
        <v/>
      </c>
      <c r="BA919" t="str">
        <f>IF(AZ919="","",COUNTIFS(AZ$3:AZ$1439,"&lt;"&amp;AZ919,AZ$3:AZ$1439,"&lt;&gt;0")+COUNTIF(AZ$3:AZ919,AZ919)-876)</f>
        <v/>
      </c>
      <c r="BT919" s="76"/>
      <c r="CN919">
        <v>918</v>
      </c>
    </row>
    <row r="920" spans="1:92" x14ac:dyDescent="0.3">
      <c r="A920" s="118" t="s">
        <v>2880</v>
      </c>
      <c r="B920" t="s">
        <v>2884</v>
      </c>
      <c r="C920" t="s">
        <v>2336</v>
      </c>
      <c r="D920" s="144" t="s">
        <v>955</v>
      </c>
      <c r="E920" t="s">
        <v>830</v>
      </c>
      <c r="F920" t="s">
        <v>413</v>
      </c>
      <c r="G920" t="s">
        <v>831</v>
      </c>
      <c r="H920" t="s">
        <v>1697</v>
      </c>
      <c r="I920" t="s">
        <v>817</v>
      </c>
      <c r="J920" t="s">
        <v>768</v>
      </c>
      <c r="K920" t="s">
        <v>768</v>
      </c>
      <c r="L920" t="s">
        <v>769</v>
      </c>
      <c r="M920" t="s">
        <v>208</v>
      </c>
      <c r="N920" t="s">
        <v>906</v>
      </c>
      <c r="O920" t="s">
        <v>894</v>
      </c>
      <c r="P920" t="s">
        <v>772</v>
      </c>
      <c r="Q920" t="s">
        <v>966</v>
      </c>
      <c r="R920">
        <v>20</v>
      </c>
      <c r="S920">
        <v>5</v>
      </c>
      <c r="T920">
        <v>0</v>
      </c>
      <c r="U920">
        <v>0</v>
      </c>
      <c r="V920">
        <v>0</v>
      </c>
      <c r="W920">
        <v>0</v>
      </c>
      <c r="X920">
        <v>0</v>
      </c>
      <c r="Y920">
        <v>0</v>
      </c>
      <c r="Z920">
        <v>20</v>
      </c>
      <c r="AA920">
        <v>5</v>
      </c>
      <c r="AB920">
        <v>20</v>
      </c>
      <c r="AC920">
        <v>5</v>
      </c>
      <c r="AD920">
        <v>20</v>
      </c>
      <c r="AE920">
        <v>5</v>
      </c>
      <c r="AF920">
        <v>20</v>
      </c>
      <c r="AG920">
        <v>5</v>
      </c>
      <c r="AH920">
        <v>0</v>
      </c>
      <c r="AI920">
        <v>0</v>
      </c>
      <c r="AY920" t="str">
        <f t="shared" si="193"/>
        <v>OTC 50 FRANVET</v>
      </c>
      <c r="AZ920" t="str">
        <f>IF(COUNTIF(AY:AY,AY920)=1,AY920,IF(AND(COUNTIF(AY:AY,AY920)&gt;1,COUNTIF(AZ$2:AZ919,AY920)&gt;=1),"",AY920))</f>
        <v/>
      </c>
      <c r="BA920" t="str">
        <f>IF(AZ920="","",COUNTIFS(AZ$3:AZ$1439,"&lt;"&amp;AZ920,AZ$3:AZ$1439,"&lt;&gt;0")+COUNTIF(AZ$3:AZ920,AZ920)-876)</f>
        <v/>
      </c>
      <c r="BT920" s="76"/>
      <c r="CN920">
        <v>919</v>
      </c>
    </row>
    <row r="921" spans="1:92" x14ac:dyDescent="0.3">
      <c r="A921" s="118" t="s">
        <v>2703</v>
      </c>
      <c r="B921" t="s">
        <v>2704</v>
      </c>
      <c r="C921" t="s">
        <v>2705</v>
      </c>
      <c r="D921" s="144" t="s">
        <v>2706</v>
      </c>
      <c r="E921" t="s">
        <v>765</v>
      </c>
      <c r="F921" t="s">
        <v>2707</v>
      </c>
      <c r="G921" t="s">
        <v>964</v>
      </c>
      <c r="H921" t="s">
        <v>860</v>
      </c>
      <c r="I921" t="s">
        <v>879</v>
      </c>
      <c r="J921" t="s">
        <v>783</v>
      </c>
      <c r="K921" t="s">
        <v>783</v>
      </c>
      <c r="L921" t="s">
        <v>2037</v>
      </c>
      <c r="M921" t="s">
        <v>208</v>
      </c>
      <c r="N921" t="s">
        <v>2708</v>
      </c>
      <c r="O921" t="s">
        <v>805</v>
      </c>
      <c r="P921" t="s">
        <v>4440</v>
      </c>
      <c r="Q921" t="s">
        <v>2709</v>
      </c>
      <c r="R921">
        <v>0</v>
      </c>
      <c r="S921">
        <v>0</v>
      </c>
      <c r="T921">
        <v>0</v>
      </c>
      <c r="U921">
        <v>0</v>
      </c>
      <c r="V921">
        <v>0</v>
      </c>
      <c r="W921">
        <v>0</v>
      </c>
      <c r="X921">
        <v>0</v>
      </c>
      <c r="Y921">
        <v>0</v>
      </c>
      <c r="Z921">
        <v>0</v>
      </c>
      <c r="AA921">
        <v>0</v>
      </c>
      <c r="AB921">
        <v>0</v>
      </c>
      <c r="AC921">
        <v>0</v>
      </c>
      <c r="AD921">
        <v>0</v>
      </c>
      <c r="AE921">
        <v>0</v>
      </c>
      <c r="AF921">
        <v>0</v>
      </c>
      <c r="AG921">
        <v>0</v>
      </c>
      <c r="AH921">
        <v>0</v>
      </c>
      <c r="AI921">
        <v>0</v>
      </c>
      <c r="AY921" t="str">
        <f t="shared" si="193"/>
        <v/>
      </c>
      <c r="AZ921" t="str">
        <f>IF(COUNTIF(AY:AY,AY921)=1,AY921,IF(AND(COUNTIF(AY:AY,AY921)&gt;1,COUNTIF(AZ$2:AZ920,AY921)&gt;=1),"",AY921))</f>
        <v/>
      </c>
      <c r="BA921" t="str">
        <f>IF(AZ921="","",COUNTIFS(AZ$3:AZ$1439,"&lt;"&amp;AZ921,AZ$3:AZ$1439,"&lt;&gt;0")+COUNTIF(AZ$3:AZ921,AZ921)-876)</f>
        <v/>
      </c>
      <c r="BT921" s="76"/>
      <c r="CN921">
        <v>920</v>
      </c>
    </row>
    <row r="922" spans="1:92" x14ac:dyDescent="0.3">
      <c r="A922" s="118" t="s">
        <v>2703</v>
      </c>
      <c r="B922" t="s">
        <v>2710</v>
      </c>
      <c r="C922" t="s">
        <v>2711</v>
      </c>
      <c r="D922" s="144" t="s">
        <v>2712</v>
      </c>
      <c r="E922" t="s">
        <v>765</v>
      </c>
      <c r="F922" t="s">
        <v>2707</v>
      </c>
      <c r="G922" t="s">
        <v>964</v>
      </c>
      <c r="H922" t="s">
        <v>860</v>
      </c>
      <c r="I922" t="s">
        <v>879</v>
      </c>
      <c r="J922" t="s">
        <v>783</v>
      </c>
      <c r="K922" t="s">
        <v>783</v>
      </c>
      <c r="L922" t="s">
        <v>2037</v>
      </c>
      <c r="M922" t="s">
        <v>208</v>
      </c>
      <c r="N922" t="s">
        <v>2708</v>
      </c>
      <c r="O922" t="s">
        <v>805</v>
      </c>
      <c r="P922" t="s">
        <v>4440</v>
      </c>
      <c r="Q922" t="s">
        <v>975</v>
      </c>
      <c r="R922">
        <v>0</v>
      </c>
      <c r="S922">
        <v>0</v>
      </c>
      <c r="T922">
        <v>0</v>
      </c>
      <c r="U922">
        <v>0</v>
      </c>
      <c r="V922">
        <v>0</v>
      </c>
      <c r="W922">
        <v>0</v>
      </c>
      <c r="X922">
        <v>0</v>
      </c>
      <c r="Y922">
        <v>0</v>
      </c>
      <c r="Z922">
        <v>0</v>
      </c>
      <c r="AA922">
        <v>0</v>
      </c>
      <c r="AB922">
        <v>0</v>
      </c>
      <c r="AC922">
        <v>0</v>
      </c>
      <c r="AD922">
        <v>0</v>
      </c>
      <c r="AE922">
        <v>0</v>
      </c>
      <c r="AF922">
        <v>0</v>
      </c>
      <c r="AG922">
        <v>0</v>
      </c>
      <c r="AH922">
        <v>0</v>
      </c>
      <c r="AI922">
        <v>0</v>
      </c>
      <c r="AY922" t="str">
        <f t="shared" si="193"/>
        <v/>
      </c>
      <c r="AZ922" t="str">
        <f>IF(COUNTIF(AY:AY,AY922)=1,AY922,IF(AND(COUNTIF(AY:AY,AY922)&gt;1,COUNTIF(AZ$2:AZ921,AY922)&gt;=1),"",AY922))</f>
        <v/>
      </c>
      <c r="BA922" t="str">
        <f>IF(AZ922="","",COUNTIFS(AZ$3:AZ$1439,"&lt;"&amp;AZ922,AZ$3:AZ$1439,"&lt;&gt;0")+COUNTIF(AZ$3:AZ922,AZ922)-876)</f>
        <v/>
      </c>
      <c r="BT922" s="76"/>
      <c r="CN922">
        <v>921</v>
      </c>
    </row>
    <row r="923" spans="1:92" x14ac:dyDescent="0.3">
      <c r="A923" s="118" t="s">
        <v>1556</v>
      </c>
      <c r="B923" t="s">
        <v>1557</v>
      </c>
      <c r="C923" t="s">
        <v>1313</v>
      </c>
      <c r="D923" s="144" t="s">
        <v>955</v>
      </c>
      <c r="E923" t="s">
        <v>830</v>
      </c>
      <c r="F923" t="s">
        <v>111</v>
      </c>
      <c r="G923" t="s">
        <v>831</v>
      </c>
      <c r="H923" t="s">
        <v>1558</v>
      </c>
      <c r="I923" t="s">
        <v>817</v>
      </c>
      <c r="J923" t="s">
        <v>1559</v>
      </c>
      <c r="K923" t="s">
        <v>1559</v>
      </c>
      <c r="L923" t="s">
        <v>1560</v>
      </c>
      <c r="M923" t="s">
        <v>208</v>
      </c>
      <c r="N923" t="s">
        <v>780</v>
      </c>
      <c r="O923" t="s">
        <v>894</v>
      </c>
      <c r="P923" t="s">
        <v>772</v>
      </c>
      <c r="Q923" t="s">
        <v>776</v>
      </c>
      <c r="R923">
        <v>20</v>
      </c>
      <c r="S923">
        <v>5</v>
      </c>
      <c r="T923">
        <v>0</v>
      </c>
      <c r="U923">
        <v>0</v>
      </c>
      <c r="V923">
        <v>0</v>
      </c>
      <c r="W923">
        <v>0</v>
      </c>
      <c r="X923">
        <v>0</v>
      </c>
      <c r="Y923">
        <v>0</v>
      </c>
      <c r="Z923">
        <v>0</v>
      </c>
      <c r="AA923">
        <v>0</v>
      </c>
      <c r="AB923">
        <v>0</v>
      </c>
      <c r="AC923">
        <v>0</v>
      </c>
      <c r="AD923">
        <v>20</v>
      </c>
      <c r="AE923">
        <v>5</v>
      </c>
      <c r="AF923">
        <v>0</v>
      </c>
      <c r="AG923">
        <v>0</v>
      </c>
      <c r="AH923">
        <v>0</v>
      </c>
      <c r="AI923">
        <v>0</v>
      </c>
      <c r="AY923" t="str">
        <f t="shared" si="193"/>
        <v>OXOMID</v>
      </c>
      <c r="AZ923" t="str">
        <f>IF(COUNTIF(AY:AY,AY923)=1,AY923,IF(AND(COUNTIF(AY:AY,AY923)&gt;1,COUNTIF(AZ$2:AZ922,AY923)&gt;=1),"",AY923))</f>
        <v>OXOMID</v>
      </c>
      <c r="BA923">
        <f>IF(AZ923="","",COUNTIFS(AZ$3:AZ$1439,"&lt;"&amp;AZ923,AZ$3:AZ$1439,"&lt;&gt;0")+COUNTIF(AZ$3:AZ923,AZ923)-876)</f>
        <v>344</v>
      </c>
      <c r="BT923" s="76"/>
      <c r="CN923">
        <v>922</v>
      </c>
    </row>
    <row r="924" spans="1:92" x14ac:dyDescent="0.3">
      <c r="A924" s="118" t="s">
        <v>2333</v>
      </c>
      <c r="B924" t="s">
        <v>2334</v>
      </c>
      <c r="C924" t="s">
        <v>828</v>
      </c>
      <c r="D924" s="144" t="s">
        <v>829</v>
      </c>
      <c r="E924" t="s">
        <v>830</v>
      </c>
      <c r="F924" t="s">
        <v>414</v>
      </c>
      <c r="G924" t="s">
        <v>831</v>
      </c>
      <c r="H924" t="s">
        <v>1156</v>
      </c>
      <c r="I924" t="s">
        <v>817</v>
      </c>
      <c r="J924" t="s">
        <v>1559</v>
      </c>
      <c r="K924" t="s">
        <v>1559</v>
      </c>
      <c r="L924" t="s">
        <v>1560</v>
      </c>
      <c r="M924" t="s">
        <v>208</v>
      </c>
      <c r="N924" t="s">
        <v>864</v>
      </c>
      <c r="O924" t="s">
        <v>894</v>
      </c>
      <c r="P924" t="s">
        <v>772</v>
      </c>
      <c r="Q924" t="s">
        <v>864</v>
      </c>
      <c r="R924">
        <v>20</v>
      </c>
      <c r="S924">
        <v>5</v>
      </c>
      <c r="T924">
        <v>0</v>
      </c>
      <c r="U924">
        <v>0</v>
      </c>
      <c r="V924">
        <v>0</v>
      </c>
      <c r="W924">
        <v>0</v>
      </c>
      <c r="X924">
        <v>0</v>
      </c>
      <c r="Y924">
        <v>0</v>
      </c>
      <c r="Z924">
        <v>0</v>
      </c>
      <c r="AA924">
        <v>0</v>
      </c>
      <c r="AB924">
        <v>0</v>
      </c>
      <c r="AC924">
        <v>0</v>
      </c>
      <c r="AD924">
        <v>20</v>
      </c>
      <c r="AE924">
        <v>5</v>
      </c>
      <c r="AF924">
        <v>20</v>
      </c>
      <c r="AG924">
        <v>5</v>
      </c>
      <c r="AH924">
        <v>0</v>
      </c>
      <c r="AI924">
        <v>0</v>
      </c>
      <c r="AY924" t="str">
        <f t="shared" si="193"/>
        <v>OXOMID 20</v>
      </c>
      <c r="AZ924" t="str">
        <f>IF(COUNTIF(AY:AY,AY924)=1,AY924,IF(AND(COUNTIF(AY:AY,AY924)&gt;1,COUNTIF(AZ$2:AZ923,AY924)&gt;=1),"",AY924))</f>
        <v>OXOMID 20</v>
      </c>
      <c r="BA924">
        <f>IF(AZ924="","",COUNTIFS(AZ$3:AZ$1439,"&lt;"&amp;AZ924,AZ$3:AZ$1439,"&lt;&gt;0")+COUNTIF(AZ$3:AZ924,AZ924)-876)</f>
        <v>345</v>
      </c>
      <c r="BT924" s="76"/>
      <c r="CN924">
        <v>923</v>
      </c>
    </row>
    <row r="925" spans="1:92" x14ac:dyDescent="0.3">
      <c r="A925" s="118" t="s">
        <v>2333</v>
      </c>
      <c r="B925" t="s">
        <v>2335</v>
      </c>
      <c r="C925" t="s">
        <v>2336</v>
      </c>
      <c r="D925" s="144" t="s">
        <v>955</v>
      </c>
      <c r="E925" t="s">
        <v>830</v>
      </c>
      <c r="F925" t="s">
        <v>414</v>
      </c>
      <c r="G925" t="s">
        <v>831</v>
      </c>
      <c r="H925" t="s">
        <v>1156</v>
      </c>
      <c r="I925" t="s">
        <v>817</v>
      </c>
      <c r="J925" t="s">
        <v>1559</v>
      </c>
      <c r="K925" t="s">
        <v>1559</v>
      </c>
      <c r="L925" t="s">
        <v>1560</v>
      </c>
      <c r="M925" t="s">
        <v>208</v>
      </c>
      <c r="N925" t="s">
        <v>864</v>
      </c>
      <c r="O925" t="s">
        <v>894</v>
      </c>
      <c r="P925" t="s">
        <v>772</v>
      </c>
      <c r="Q925" t="s">
        <v>829</v>
      </c>
      <c r="R925">
        <v>20</v>
      </c>
      <c r="S925">
        <v>5</v>
      </c>
      <c r="T925">
        <v>0</v>
      </c>
      <c r="U925">
        <v>0</v>
      </c>
      <c r="V925">
        <v>0</v>
      </c>
      <c r="W925">
        <v>0</v>
      </c>
      <c r="X925">
        <v>0</v>
      </c>
      <c r="Y925">
        <v>0</v>
      </c>
      <c r="Z925">
        <v>0</v>
      </c>
      <c r="AA925">
        <v>0</v>
      </c>
      <c r="AB925">
        <v>0</v>
      </c>
      <c r="AC925">
        <v>0</v>
      </c>
      <c r="AD925">
        <v>20</v>
      </c>
      <c r="AE925">
        <v>5</v>
      </c>
      <c r="AF925">
        <v>20</v>
      </c>
      <c r="AG925">
        <v>5</v>
      </c>
      <c r="AH925">
        <v>0</v>
      </c>
      <c r="AI925">
        <v>0</v>
      </c>
      <c r="AY925" t="str">
        <f t="shared" si="193"/>
        <v>OXOMID 20</v>
      </c>
      <c r="AZ925" t="str">
        <f>IF(COUNTIF(AY:AY,AY925)=1,AY925,IF(AND(COUNTIF(AY:AY,AY925)&gt;1,COUNTIF(AZ$2:AZ924,AY925)&gt;=1),"",AY925))</f>
        <v/>
      </c>
      <c r="BA925" t="str">
        <f>IF(AZ925="","",COUNTIFS(AZ$3:AZ$1439,"&lt;"&amp;AZ925,AZ$3:AZ$1439,"&lt;&gt;0")+COUNTIF(AZ$3:AZ925,AZ925)-876)</f>
        <v/>
      </c>
      <c r="BT925" s="76"/>
      <c r="CN925">
        <v>924</v>
      </c>
    </row>
    <row r="926" spans="1:92" x14ac:dyDescent="0.3">
      <c r="A926" s="118" t="s">
        <v>2339</v>
      </c>
      <c r="B926" t="s">
        <v>2340</v>
      </c>
      <c r="C926" t="s">
        <v>1059</v>
      </c>
      <c r="D926" s="144" t="s">
        <v>955</v>
      </c>
      <c r="E926" t="s">
        <v>830</v>
      </c>
      <c r="F926" t="s">
        <v>665</v>
      </c>
      <c r="G926" t="s">
        <v>1064</v>
      </c>
      <c r="H926" t="s">
        <v>2160</v>
      </c>
      <c r="I926" t="s">
        <v>1066</v>
      </c>
      <c r="J926" t="s">
        <v>1559</v>
      </c>
      <c r="K926" t="s">
        <v>1559</v>
      </c>
      <c r="L926" t="s">
        <v>1560</v>
      </c>
      <c r="M926" t="s">
        <v>208</v>
      </c>
      <c r="N926" t="s">
        <v>1214</v>
      </c>
      <c r="O926" t="s">
        <v>894</v>
      </c>
      <c r="P926" t="s">
        <v>772</v>
      </c>
      <c r="Q926" t="s">
        <v>2161</v>
      </c>
      <c r="R926">
        <v>0</v>
      </c>
      <c r="S926">
        <v>0</v>
      </c>
      <c r="T926">
        <v>0</v>
      </c>
      <c r="U926">
        <v>0</v>
      </c>
      <c r="V926">
        <v>0</v>
      </c>
      <c r="W926">
        <v>0</v>
      </c>
      <c r="X926">
        <v>12</v>
      </c>
      <c r="Y926">
        <v>7</v>
      </c>
      <c r="Z926">
        <v>0</v>
      </c>
      <c r="AA926">
        <v>0</v>
      </c>
      <c r="AB926">
        <v>0</v>
      </c>
      <c r="AC926">
        <v>0</v>
      </c>
      <c r="AD926">
        <v>0</v>
      </c>
      <c r="AE926">
        <v>0</v>
      </c>
      <c r="AF926">
        <v>0</v>
      </c>
      <c r="AG926">
        <v>0</v>
      </c>
      <c r="AH926">
        <v>0</v>
      </c>
      <c r="AI926">
        <v>0</v>
      </c>
      <c r="AY926" t="str">
        <f t="shared" si="193"/>
        <v>OXOMID ACIDE OXOLINIQUE 240 SALMONIDES</v>
      </c>
      <c r="AZ926" t="str">
        <f>IF(COUNTIF(AY:AY,AY926)=1,AY926,IF(AND(COUNTIF(AY:AY,AY926)&gt;1,COUNTIF(AZ$2:AZ925,AY926)&gt;=1),"",AY926))</f>
        <v>OXOMID ACIDE OXOLINIQUE 240 SALMONIDES</v>
      </c>
      <c r="BA926">
        <f>IF(AZ926="","",COUNTIFS(AZ$3:AZ$1439,"&lt;"&amp;AZ926,AZ$3:AZ$1439,"&lt;&gt;0")+COUNTIF(AZ$3:AZ926,AZ926)-876)</f>
        <v>346</v>
      </c>
      <c r="BT926" s="76"/>
      <c r="CN926">
        <v>925</v>
      </c>
    </row>
    <row r="927" spans="1:92" x14ac:dyDescent="0.3">
      <c r="A927" s="118" t="s">
        <v>1845</v>
      </c>
      <c r="B927" t="s">
        <v>1846</v>
      </c>
      <c r="C927" t="s">
        <v>1222</v>
      </c>
      <c r="D927" s="144" t="s">
        <v>1063</v>
      </c>
      <c r="E927" t="s">
        <v>830</v>
      </c>
      <c r="F927" t="s">
        <v>666</v>
      </c>
      <c r="G927" t="s">
        <v>1064</v>
      </c>
      <c r="H927" t="s">
        <v>1847</v>
      </c>
      <c r="I927" t="s">
        <v>1066</v>
      </c>
      <c r="J927" t="s">
        <v>1848</v>
      </c>
      <c r="K927" t="s">
        <v>768</v>
      </c>
      <c r="L927" t="s">
        <v>769</v>
      </c>
      <c r="M927" t="s">
        <v>208</v>
      </c>
      <c r="N927" t="s">
        <v>1650</v>
      </c>
      <c r="O927" t="s">
        <v>894</v>
      </c>
      <c r="P927" t="s">
        <v>772</v>
      </c>
      <c r="Q927" t="s">
        <v>1849</v>
      </c>
      <c r="R927">
        <v>28</v>
      </c>
      <c r="S927">
        <v>5</v>
      </c>
      <c r="T927">
        <v>0</v>
      </c>
      <c r="U927">
        <v>0</v>
      </c>
      <c r="V927">
        <v>0</v>
      </c>
      <c r="W927">
        <v>0</v>
      </c>
      <c r="X927">
        <v>0</v>
      </c>
      <c r="Y927">
        <v>0</v>
      </c>
      <c r="Z927">
        <v>0</v>
      </c>
      <c r="AA927">
        <v>0</v>
      </c>
      <c r="AB927">
        <v>0</v>
      </c>
      <c r="AC927">
        <v>0</v>
      </c>
      <c r="AD927">
        <v>28</v>
      </c>
      <c r="AE927">
        <v>5</v>
      </c>
      <c r="AF927">
        <v>28</v>
      </c>
      <c r="AG927">
        <v>5</v>
      </c>
      <c r="AH927">
        <v>0</v>
      </c>
      <c r="AI927">
        <v>0</v>
      </c>
      <c r="AJ927" t="s">
        <v>914</v>
      </c>
      <c r="AK927" t="s">
        <v>995</v>
      </c>
      <c r="AL927" t="s">
        <v>996</v>
      </c>
      <c r="AM927" t="s">
        <v>1103</v>
      </c>
      <c r="AN927" t="s">
        <v>834</v>
      </c>
      <c r="AO927" t="s">
        <v>4371</v>
      </c>
      <c r="AP927" t="s">
        <v>776</v>
      </c>
      <c r="AY927" t="str">
        <f t="shared" si="193"/>
        <v>OXYCOLI</v>
      </c>
      <c r="AZ927" t="str">
        <f>IF(COUNTIF(AY:AY,AY927)=1,AY927,IF(AND(COUNTIF(AY:AY,AY927)&gt;1,COUNTIF(AZ$2:AZ926,AY927)&gt;=1),"",AY927))</f>
        <v>OXYCOLI</v>
      </c>
      <c r="BA927">
        <f>IF(AZ927="","",COUNTIFS(AZ$3:AZ$1439,"&lt;"&amp;AZ927,AZ$3:AZ$1439,"&lt;&gt;0")+COUNTIF(AZ$3:AZ927,AZ927)-876)</f>
        <v>347</v>
      </c>
      <c r="BT927" s="76"/>
      <c r="CN927">
        <v>926</v>
      </c>
    </row>
    <row r="928" spans="1:92" x14ac:dyDescent="0.3">
      <c r="A928" s="118" t="s">
        <v>1596</v>
      </c>
      <c r="B928" t="s">
        <v>1597</v>
      </c>
      <c r="C928" t="s">
        <v>1598</v>
      </c>
      <c r="D928" s="144" t="s">
        <v>829</v>
      </c>
      <c r="E928" t="s">
        <v>830</v>
      </c>
      <c r="F928" t="s">
        <v>667</v>
      </c>
      <c r="G928" t="s">
        <v>831</v>
      </c>
      <c r="H928" t="s">
        <v>1599</v>
      </c>
      <c r="I928" t="s">
        <v>817</v>
      </c>
      <c r="J928" t="s">
        <v>768</v>
      </c>
      <c r="K928" t="s">
        <v>768</v>
      </c>
      <c r="L928" t="s">
        <v>769</v>
      </c>
      <c r="M928" t="s">
        <v>208</v>
      </c>
      <c r="N928" t="s">
        <v>764</v>
      </c>
      <c r="O928" t="s">
        <v>894</v>
      </c>
      <c r="P928" t="s">
        <v>772</v>
      </c>
      <c r="Q928" t="s">
        <v>764</v>
      </c>
      <c r="R928">
        <v>20</v>
      </c>
      <c r="S928">
        <v>5</v>
      </c>
      <c r="T928">
        <v>0</v>
      </c>
      <c r="U928">
        <v>0</v>
      </c>
      <c r="V928">
        <v>0</v>
      </c>
      <c r="W928">
        <v>0</v>
      </c>
      <c r="X928">
        <v>0</v>
      </c>
      <c r="Y928">
        <v>0</v>
      </c>
      <c r="Z928">
        <v>0</v>
      </c>
      <c r="AA928">
        <v>0</v>
      </c>
      <c r="AB928">
        <v>20</v>
      </c>
      <c r="AC928">
        <v>5</v>
      </c>
      <c r="AD928">
        <v>20</v>
      </c>
      <c r="AE928">
        <v>5</v>
      </c>
      <c r="AF928">
        <v>20</v>
      </c>
      <c r="AG928">
        <v>5</v>
      </c>
      <c r="AH928">
        <v>0</v>
      </c>
      <c r="AI928">
        <v>0</v>
      </c>
      <c r="AY928" t="str">
        <f t="shared" si="193"/>
        <v>OXYTETRACYCLINE 10 % COOPHAVET</v>
      </c>
      <c r="AZ928" t="str">
        <f>IF(COUNTIF(AY:AY,AY928)=1,AY928,IF(AND(COUNTIF(AY:AY,AY928)&gt;1,COUNTIF(AZ$2:AZ927,AY928)&gt;=1),"",AY928))</f>
        <v>OXYTETRACYCLINE 10 % COOPHAVET</v>
      </c>
      <c r="BA928">
        <f>IF(AZ928="","",COUNTIFS(AZ$3:AZ$1439,"&lt;"&amp;AZ928,AZ$3:AZ$1439,"&lt;&gt;0")+COUNTIF(AZ$3:AZ928,AZ928)-876)</f>
        <v>348</v>
      </c>
      <c r="BT928" s="76"/>
      <c r="CN928">
        <v>927</v>
      </c>
    </row>
    <row r="929" spans="1:92" x14ac:dyDescent="0.3">
      <c r="A929" s="118" t="s">
        <v>1596</v>
      </c>
      <c r="B929" t="s">
        <v>1600</v>
      </c>
      <c r="C929" t="s">
        <v>1601</v>
      </c>
      <c r="D929" s="144" t="s">
        <v>829</v>
      </c>
      <c r="E929" t="s">
        <v>830</v>
      </c>
      <c r="F929" t="s">
        <v>667</v>
      </c>
      <c r="G929" t="s">
        <v>831</v>
      </c>
      <c r="H929" t="s">
        <v>1599</v>
      </c>
      <c r="I929" t="s">
        <v>817</v>
      </c>
      <c r="J929" t="s">
        <v>768</v>
      </c>
      <c r="K929" t="s">
        <v>768</v>
      </c>
      <c r="L929" t="s">
        <v>769</v>
      </c>
      <c r="M929" t="s">
        <v>208</v>
      </c>
      <c r="N929" t="s">
        <v>764</v>
      </c>
      <c r="O929" t="s">
        <v>894</v>
      </c>
      <c r="P929" t="s">
        <v>772</v>
      </c>
      <c r="Q929" t="s">
        <v>764</v>
      </c>
      <c r="R929">
        <v>20</v>
      </c>
      <c r="S929">
        <v>5</v>
      </c>
      <c r="T929">
        <v>0</v>
      </c>
      <c r="U929">
        <v>0</v>
      </c>
      <c r="V929">
        <v>0</v>
      </c>
      <c r="W929">
        <v>0</v>
      </c>
      <c r="X929">
        <v>0</v>
      </c>
      <c r="Y929">
        <v>0</v>
      </c>
      <c r="Z929">
        <v>0</v>
      </c>
      <c r="AA929">
        <v>0</v>
      </c>
      <c r="AB929">
        <v>20</v>
      </c>
      <c r="AC929">
        <v>5</v>
      </c>
      <c r="AD929">
        <v>20</v>
      </c>
      <c r="AE929">
        <v>5</v>
      </c>
      <c r="AF929">
        <v>20</v>
      </c>
      <c r="AG929">
        <v>5</v>
      </c>
      <c r="AH929">
        <v>0</v>
      </c>
      <c r="AI929">
        <v>0</v>
      </c>
      <c r="AY929" t="str">
        <f t="shared" si="193"/>
        <v>OXYTETRACYCLINE 10 % COOPHAVET</v>
      </c>
      <c r="AZ929" t="str">
        <f>IF(COUNTIF(AY:AY,AY929)=1,AY929,IF(AND(COUNTIF(AY:AY,AY929)&gt;1,COUNTIF(AZ$2:AZ928,AY929)&gt;=1),"",AY929))</f>
        <v/>
      </c>
      <c r="BA929" t="str">
        <f>IF(AZ929="","",COUNTIFS(AZ$3:AZ$1439,"&lt;"&amp;AZ929,AZ$3:AZ$1439,"&lt;&gt;0")+COUNTIF(AZ$3:AZ929,AZ929)-876)</f>
        <v/>
      </c>
      <c r="BT929" s="76"/>
      <c r="CN929">
        <v>928</v>
      </c>
    </row>
    <row r="930" spans="1:92" x14ac:dyDescent="0.3">
      <c r="A930" s="118" t="s">
        <v>1596</v>
      </c>
      <c r="B930" t="s">
        <v>1602</v>
      </c>
      <c r="C930" t="s">
        <v>1603</v>
      </c>
      <c r="D930" s="144" t="s">
        <v>966</v>
      </c>
      <c r="E930" t="s">
        <v>830</v>
      </c>
      <c r="F930" t="s">
        <v>667</v>
      </c>
      <c r="G930" t="s">
        <v>831</v>
      </c>
      <c r="H930" t="s">
        <v>1599</v>
      </c>
      <c r="I930" t="s">
        <v>817</v>
      </c>
      <c r="J930" t="s">
        <v>768</v>
      </c>
      <c r="K930" t="s">
        <v>768</v>
      </c>
      <c r="L930" t="s">
        <v>769</v>
      </c>
      <c r="M930" t="s">
        <v>208</v>
      </c>
      <c r="N930" t="s">
        <v>764</v>
      </c>
      <c r="O930" t="s">
        <v>894</v>
      </c>
      <c r="P930" t="s">
        <v>772</v>
      </c>
      <c r="Q930" t="s">
        <v>776</v>
      </c>
      <c r="R930">
        <v>20</v>
      </c>
      <c r="S930">
        <v>5</v>
      </c>
      <c r="T930">
        <v>0</v>
      </c>
      <c r="U930">
        <v>0</v>
      </c>
      <c r="V930">
        <v>0</v>
      </c>
      <c r="W930">
        <v>0</v>
      </c>
      <c r="X930">
        <v>0</v>
      </c>
      <c r="Y930">
        <v>0</v>
      </c>
      <c r="Z930">
        <v>0</v>
      </c>
      <c r="AA930">
        <v>0</v>
      </c>
      <c r="AB930">
        <v>20</v>
      </c>
      <c r="AC930">
        <v>5</v>
      </c>
      <c r="AD930">
        <v>20</v>
      </c>
      <c r="AE930">
        <v>5</v>
      </c>
      <c r="AF930">
        <v>20</v>
      </c>
      <c r="AG930">
        <v>5</v>
      </c>
      <c r="AH930">
        <v>0</v>
      </c>
      <c r="AI930">
        <v>0</v>
      </c>
      <c r="AY930" t="str">
        <f t="shared" si="193"/>
        <v>OXYTETRACYCLINE 10 % COOPHAVET</v>
      </c>
      <c r="AZ930" t="str">
        <f>IF(COUNTIF(AY:AY,AY930)=1,AY930,IF(AND(COUNTIF(AY:AY,AY930)&gt;1,COUNTIF(AZ$2:AZ929,AY930)&gt;=1),"",AY930))</f>
        <v/>
      </c>
      <c r="BA930" t="str">
        <f>IF(AZ930="","",COUNTIFS(AZ$3:AZ$1439,"&lt;"&amp;AZ930,AZ$3:AZ$1439,"&lt;&gt;0")+COUNTIF(AZ$3:AZ930,AZ930)-876)</f>
        <v/>
      </c>
      <c r="BT930" s="76"/>
      <c r="CN930">
        <v>929</v>
      </c>
    </row>
    <row r="931" spans="1:92" x14ac:dyDescent="0.3">
      <c r="A931" s="118" t="s">
        <v>1960</v>
      </c>
      <c r="B931" t="s">
        <v>1961</v>
      </c>
      <c r="C931" t="s">
        <v>763</v>
      </c>
      <c r="D931" s="144" t="s">
        <v>764</v>
      </c>
      <c r="E931" t="s">
        <v>765</v>
      </c>
      <c r="F931" t="s">
        <v>415</v>
      </c>
      <c r="G931" t="s">
        <v>766</v>
      </c>
      <c r="H931" t="s">
        <v>1962</v>
      </c>
      <c r="I931" t="s">
        <v>766</v>
      </c>
      <c r="J931" t="s">
        <v>768</v>
      </c>
      <c r="K931" t="s">
        <v>768</v>
      </c>
      <c r="L931" t="s">
        <v>769</v>
      </c>
      <c r="M931" t="s">
        <v>208</v>
      </c>
      <c r="N931" t="s">
        <v>764</v>
      </c>
      <c r="O931" t="s">
        <v>771</v>
      </c>
      <c r="P931" t="s">
        <v>772</v>
      </c>
      <c r="Q931" t="s">
        <v>852</v>
      </c>
      <c r="R931">
        <v>10</v>
      </c>
      <c r="S931">
        <v>5</v>
      </c>
      <c r="T931">
        <v>0</v>
      </c>
      <c r="U931">
        <v>0</v>
      </c>
      <c r="V931">
        <v>10</v>
      </c>
      <c r="W931">
        <v>5</v>
      </c>
      <c r="X931">
        <v>0</v>
      </c>
      <c r="Y931">
        <v>0</v>
      </c>
      <c r="Z931">
        <v>0</v>
      </c>
      <c r="AA931">
        <v>0</v>
      </c>
      <c r="AB931">
        <v>10</v>
      </c>
      <c r="AC931">
        <v>5</v>
      </c>
      <c r="AD931">
        <v>10</v>
      </c>
      <c r="AE931">
        <v>5</v>
      </c>
      <c r="AF931">
        <v>0</v>
      </c>
      <c r="AG931">
        <v>0</v>
      </c>
      <c r="AH931">
        <v>0</v>
      </c>
      <c r="AI931">
        <v>0</v>
      </c>
      <c r="AY931" t="str">
        <f t="shared" si="193"/>
        <v>OXYTETRACYCLINE 10 % VETOQUINOL</v>
      </c>
      <c r="AZ931" t="str">
        <f>IF(COUNTIF(AY:AY,AY931)=1,AY931,IF(AND(COUNTIF(AY:AY,AY931)&gt;1,COUNTIF(AZ$2:AZ930,AY931)&gt;=1),"",AY931))</f>
        <v>OXYTETRACYCLINE 10 % VETOQUINOL</v>
      </c>
      <c r="BA931">
        <f>IF(AZ931="","",COUNTIFS(AZ$3:AZ$1439,"&lt;"&amp;AZ931,AZ$3:AZ$1439,"&lt;&gt;0")+COUNTIF(AZ$3:AZ931,AZ931)-876)</f>
        <v>349</v>
      </c>
      <c r="BT931" s="76"/>
      <c r="CN931">
        <v>930</v>
      </c>
    </row>
    <row r="932" spans="1:92" x14ac:dyDescent="0.3">
      <c r="A932" s="118" t="s">
        <v>1960</v>
      </c>
      <c r="B932" t="s">
        <v>1963</v>
      </c>
      <c r="C932" t="s">
        <v>775</v>
      </c>
      <c r="D932" s="144" t="s">
        <v>776</v>
      </c>
      <c r="E932" t="s">
        <v>765</v>
      </c>
      <c r="F932" t="s">
        <v>415</v>
      </c>
      <c r="G932" t="s">
        <v>766</v>
      </c>
      <c r="H932" t="s">
        <v>1962</v>
      </c>
      <c r="I932" t="s">
        <v>766</v>
      </c>
      <c r="J932" t="s">
        <v>768</v>
      </c>
      <c r="K932" t="s">
        <v>768</v>
      </c>
      <c r="L932" t="s">
        <v>769</v>
      </c>
      <c r="M932" t="s">
        <v>208</v>
      </c>
      <c r="N932" t="s">
        <v>764</v>
      </c>
      <c r="O932" t="s">
        <v>771</v>
      </c>
      <c r="P932" t="s">
        <v>772</v>
      </c>
      <c r="Q932" t="s">
        <v>855</v>
      </c>
      <c r="R932">
        <v>10</v>
      </c>
      <c r="S932">
        <v>5</v>
      </c>
      <c r="T932">
        <v>0</v>
      </c>
      <c r="U932">
        <v>0</v>
      </c>
      <c r="V932">
        <v>10</v>
      </c>
      <c r="W932">
        <v>5</v>
      </c>
      <c r="X932">
        <v>0</v>
      </c>
      <c r="Y932">
        <v>0</v>
      </c>
      <c r="Z932">
        <v>0</v>
      </c>
      <c r="AA932">
        <v>0</v>
      </c>
      <c r="AB932">
        <v>10</v>
      </c>
      <c r="AC932">
        <v>5</v>
      </c>
      <c r="AD932">
        <v>10</v>
      </c>
      <c r="AE932">
        <v>5</v>
      </c>
      <c r="AF932">
        <v>0</v>
      </c>
      <c r="AG932">
        <v>0</v>
      </c>
      <c r="AH932">
        <v>0</v>
      </c>
      <c r="AI932">
        <v>0</v>
      </c>
      <c r="AY932" t="str">
        <f t="shared" si="193"/>
        <v>OXYTETRACYCLINE 10 % VETOQUINOL</v>
      </c>
      <c r="AZ932" t="str">
        <f>IF(COUNTIF(AY:AY,AY932)=1,AY932,IF(AND(COUNTIF(AY:AY,AY932)&gt;1,COUNTIF(AZ$2:AZ931,AY932)&gt;=1),"",AY932))</f>
        <v/>
      </c>
      <c r="BA932" t="str">
        <f>IF(AZ932="","",COUNTIFS(AZ$3:AZ$1439,"&lt;"&amp;AZ932,AZ$3:AZ$1439,"&lt;&gt;0")+COUNTIF(AZ$3:AZ932,AZ932)-876)</f>
        <v/>
      </c>
      <c r="BT932" s="76"/>
      <c r="CN932">
        <v>931</v>
      </c>
    </row>
    <row r="933" spans="1:92" x14ac:dyDescent="0.3">
      <c r="A933" s="118" t="s">
        <v>1853</v>
      </c>
      <c r="B933" t="s">
        <v>1854</v>
      </c>
      <c r="C933" t="s">
        <v>1222</v>
      </c>
      <c r="D933" s="144" t="s">
        <v>1063</v>
      </c>
      <c r="E933" t="s">
        <v>830</v>
      </c>
      <c r="F933" t="s">
        <v>668</v>
      </c>
      <c r="G933" t="s">
        <v>1064</v>
      </c>
      <c r="H933" t="s">
        <v>1082</v>
      </c>
      <c r="I933" t="s">
        <v>1066</v>
      </c>
      <c r="J933" t="s">
        <v>768</v>
      </c>
      <c r="K933" t="s">
        <v>768</v>
      </c>
      <c r="L933" t="s">
        <v>769</v>
      </c>
      <c r="M933" t="s">
        <v>208</v>
      </c>
      <c r="N933" t="s">
        <v>764</v>
      </c>
      <c r="O933" t="s">
        <v>894</v>
      </c>
      <c r="P933" t="s">
        <v>772</v>
      </c>
      <c r="Q933" t="s">
        <v>966</v>
      </c>
      <c r="R933">
        <v>0</v>
      </c>
      <c r="S933">
        <v>0</v>
      </c>
      <c r="T933">
        <v>0</v>
      </c>
      <c r="U933">
        <v>0</v>
      </c>
      <c r="V933">
        <v>0</v>
      </c>
      <c r="W933">
        <v>0</v>
      </c>
      <c r="X933">
        <v>0</v>
      </c>
      <c r="Y933">
        <v>0</v>
      </c>
      <c r="Z933">
        <v>0</v>
      </c>
      <c r="AA933">
        <v>0</v>
      </c>
      <c r="AB933">
        <v>40</v>
      </c>
      <c r="AC933">
        <v>10</v>
      </c>
      <c r="AD933">
        <v>50</v>
      </c>
      <c r="AE933">
        <v>10</v>
      </c>
      <c r="AF933">
        <v>0</v>
      </c>
      <c r="AG933">
        <v>0</v>
      </c>
      <c r="AH933">
        <v>0</v>
      </c>
      <c r="AI933">
        <v>0</v>
      </c>
      <c r="AY933" t="str">
        <f t="shared" si="193"/>
        <v>OXYTETRACYCLINE 100-B PORC ET AGNEAU-CHEVREAU SEVRES FRANVET</v>
      </c>
      <c r="AZ933" t="str">
        <f>IF(COUNTIF(AY:AY,AY933)=1,AY933,IF(AND(COUNTIF(AY:AY,AY933)&gt;1,COUNTIF(AZ$2:AZ932,AY933)&gt;=1),"",AY933))</f>
        <v>OXYTETRACYCLINE 100-B PORC ET AGNEAU-CHEVREAU SEVRES FRANVET</v>
      </c>
      <c r="BA933">
        <f>IF(AZ933="","",COUNTIFS(AZ$3:AZ$1439,"&lt;"&amp;AZ933,AZ$3:AZ$1439,"&lt;&gt;0")+COUNTIF(AZ$3:AZ933,AZ933)-876)</f>
        <v>350</v>
      </c>
      <c r="BT933" s="76"/>
      <c r="CN933">
        <v>932</v>
      </c>
    </row>
    <row r="934" spans="1:92" x14ac:dyDescent="0.3">
      <c r="A934" s="118" t="s">
        <v>2562</v>
      </c>
      <c r="B934" t="s">
        <v>2563</v>
      </c>
      <c r="C934" t="s">
        <v>1062</v>
      </c>
      <c r="D934" s="144" t="s">
        <v>1063</v>
      </c>
      <c r="E934" t="s">
        <v>830</v>
      </c>
      <c r="F934" t="s">
        <v>416</v>
      </c>
      <c r="G934" t="s">
        <v>1064</v>
      </c>
      <c r="H934" t="s">
        <v>1082</v>
      </c>
      <c r="I934" t="s">
        <v>1066</v>
      </c>
      <c r="J934" t="s">
        <v>768</v>
      </c>
      <c r="K934" t="s">
        <v>768</v>
      </c>
      <c r="L934" t="s">
        <v>769</v>
      </c>
      <c r="M934" t="s">
        <v>208</v>
      </c>
      <c r="N934" t="s">
        <v>764</v>
      </c>
      <c r="O934" t="s">
        <v>894</v>
      </c>
      <c r="P934" t="s">
        <v>772</v>
      </c>
      <c r="Q934" t="s">
        <v>966</v>
      </c>
      <c r="R934">
        <v>0</v>
      </c>
      <c r="S934">
        <v>0</v>
      </c>
      <c r="T934">
        <v>0</v>
      </c>
      <c r="U934">
        <v>0</v>
      </c>
      <c r="V934">
        <v>0</v>
      </c>
      <c r="W934">
        <v>0</v>
      </c>
      <c r="X934">
        <v>0</v>
      </c>
      <c r="Y934">
        <v>0</v>
      </c>
      <c r="Z934">
        <v>0</v>
      </c>
      <c r="AA934">
        <v>0</v>
      </c>
      <c r="AB934">
        <v>40</v>
      </c>
      <c r="AC934">
        <v>10</v>
      </c>
      <c r="AD934">
        <v>50</v>
      </c>
      <c r="AE934">
        <v>10</v>
      </c>
      <c r="AF934">
        <v>0</v>
      </c>
      <c r="AG934">
        <v>0</v>
      </c>
      <c r="AH934">
        <v>0</v>
      </c>
      <c r="AI934">
        <v>0</v>
      </c>
      <c r="AY934" t="str">
        <f t="shared" si="193"/>
        <v>OXYTETRACYCLINE 100-CR PORC ET AGNEAU-CHEVREAU SEVRES FRANVET</v>
      </c>
      <c r="AZ934" t="str">
        <f>IF(COUNTIF(AY:AY,AY934)=1,AY934,IF(AND(COUNTIF(AY:AY,AY934)&gt;1,COUNTIF(AZ$2:AZ933,AY934)&gt;=1),"",AY934))</f>
        <v>OXYTETRACYCLINE 100-CR PORC ET AGNEAU-CHEVREAU SEVRES FRANVET</v>
      </c>
      <c r="BA934">
        <f>IF(AZ934="","",COUNTIFS(AZ$3:AZ$1439,"&lt;"&amp;AZ934,AZ$3:AZ$1439,"&lt;&gt;0")+COUNTIF(AZ$3:AZ934,AZ934)-876)</f>
        <v>351</v>
      </c>
      <c r="BT934" s="76"/>
      <c r="CN934">
        <v>933</v>
      </c>
    </row>
    <row r="935" spans="1:92" x14ac:dyDescent="0.3">
      <c r="A935" s="118" t="s">
        <v>2553</v>
      </c>
      <c r="B935" t="s">
        <v>2554</v>
      </c>
      <c r="C935" t="s">
        <v>2555</v>
      </c>
      <c r="D935" s="144" t="s">
        <v>1063</v>
      </c>
      <c r="E935" t="s">
        <v>830</v>
      </c>
      <c r="F935" t="s">
        <v>669</v>
      </c>
      <c r="G935" t="s">
        <v>1064</v>
      </c>
      <c r="H935" t="s">
        <v>1037</v>
      </c>
      <c r="I935" t="s">
        <v>1066</v>
      </c>
      <c r="J935" t="s">
        <v>768</v>
      </c>
      <c r="K935" t="s">
        <v>768</v>
      </c>
      <c r="L935" t="s">
        <v>769</v>
      </c>
      <c r="M935" t="s">
        <v>208</v>
      </c>
      <c r="N935" t="s">
        <v>869</v>
      </c>
      <c r="O935" t="s">
        <v>894</v>
      </c>
      <c r="P935" t="s">
        <v>772</v>
      </c>
      <c r="Q935" t="s">
        <v>906</v>
      </c>
      <c r="R935">
        <v>40</v>
      </c>
      <c r="S935">
        <v>10</v>
      </c>
      <c r="T935">
        <v>0</v>
      </c>
      <c r="U935">
        <v>0</v>
      </c>
      <c r="V935">
        <v>0</v>
      </c>
      <c r="W935">
        <v>0</v>
      </c>
      <c r="X935">
        <v>0</v>
      </c>
      <c r="Y935">
        <v>0</v>
      </c>
      <c r="Z935">
        <v>0</v>
      </c>
      <c r="AA935">
        <v>0</v>
      </c>
      <c r="AB935">
        <v>40</v>
      </c>
      <c r="AC935">
        <v>10</v>
      </c>
      <c r="AD935">
        <v>0</v>
      </c>
      <c r="AE935">
        <v>0</v>
      </c>
      <c r="AF935">
        <v>0</v>
      </c>
      <c r="AG935">
        <v>0</v>
      </c>
      <c r="AH935">
        <v>0</v>
      </c>
      <c r="AI935">
        <v>0</v>
      </c>
      <c r="AY935" t="str">
        <f t="shared" si="193"/>
        <v>OXYTETRACYCLINE 200-D VEAU-AGNEAU-CHEVREAU FRANVET</v>
      </c>
      <c r="AZ935" t="str">
        <f>IF(COUNTIF(AY:AY,AY935)=1,AY935,IF(AND(COUNTIF(AY:AY,AY935)&gt;1,COUNTIF(AZ$2:AZ934,AY935)&gt;=1),"",AY935))</f>
        <v>OXYTETRACYCLINE 200-D VEAU-AGNEAU-CHEVREAU FRANVET</v>
      </c>
      <c r="BA935">
        <f>IF(AZ935="","",COUNTIFS(AZ$3:AZ$1439,"&lt;"&amp;AZ935,AZ$3:AZ$1439,"&lt;&gt;0")+COUNTIF(AZ$3:AZ935,AZ935)-876)</f>
        <v>352</v>
      </c>
      <c r="BT935" s="76"/>
      <c r="CN935">
        <v>934</v>
      </c>
    </row>
    <row r="936" spans="1:92" x14ac:dyDescent="0.3">
      <c r="A936" s="118" t="s">
        <v>2560</v>
      </c>
      <c r="B936" t="s">
        <v>2561</v>
      </c>
      <c r="C936" t="s">
        <v>1062</v>
      </c>
      <c r="D936" s="144" t="s">
        <v>1063</v>
      </c>
      <c r="E936" t="s">
        <v>830</v>
      </c>
      <c r="F936" t="s">
        <v>417</v>
      </c>
      <c r="G936" t="s">
        <v>1064</v>
      </c>
      <c r="H936" t="s">
        <v>1102</v>
      </c>
      <c r="I936" t="s">
        <v>1066</v>
      </c>
      <c r="J936" t="s">
        <v>768</v>
      </c>
      <c r="K936" t="s">
        <v>768</v>
      </c>
      <c r="L936" t="s">
        <v>769</v>
      </c>
      <c r="M936" t="s">
        <v>208</v>
      </c>
      <c r="N936" t="s">
        <v>932</v>
      </c>
      <c r="O936" t="s">
        <v>894</v>
      </c>
      <c r="P936" t="s">
        <v>772</v>
      </c>
      <c r="Q936" t="s">
        <v>829</v>
      </c>
      <c r="R936">
        <v>0</v>
      </c>
      <c r="S936">
        <v>0</v>
      </c>
      <c r="T936">
        <v>0</v>
      </c>
      <c r="U936">
        <v>0</v>
      </c>
      <c r="V936">
        <v>0</v>
      </c>
      <c r="W936">
        <v>0</v>
      </c>
      <c r="X936">
        <v>0</v>
      </c>
      <c r="Y936">
        <v>0</v>
      </c>
      <c r="Z936">
        <v>40</v>
      </c>
      <c r="AA936">
        <v>10</v>
      </c>
      <c r="AB936">
        <v>40</v>
      </c>
      <c r="AC936">
        <v>10</v>
      </c>
      <c r="AD936">
        <v>50</v>
      </c>
      <c r="AE936">
        <v>10</v>
      </c>
      <c r="AF936">
        <v>40</v>
      </c>
      <c r="AG936">
        <v>10</v>
      </c>
      <c r="AH936">
        <v>0</v>
      </c>
      <c r="AI936">
        <v>0</v>
      </c>
      <c r="AY936" t="str">
        <f t="shared" si="193"/>
        <v>OXYTETRACYCLINE 40-CR LAPIN-VOLAILLE-PORC ET AGNEAU-CHEVREAU SEVRES FRANVET</v>
      </c>
      <c r="AZ936" t="str">
        <f>IF(COUNTIF(AY:AY,AY936)=1,AY936,IF(AND(COUNTIF(AY:AY,AY936)&gt;1,COUNTIF(AZ$2:AZ935,AY936)&gt;=1),"",AY936))</f>
        <v>OXYTETRACYCLINE 40-CR LAPIN-VOLAILLE-PORC ET AGNEAU-CHEVREAU SEVRES FRANVET</v>
      </c>
      <c r="BA936">
        <f>IF(AZ936="","",COUNTIFS(AZ$3:AZ$1439,"&lt;"&amp;AZ936,AZ$3:AZ$1439,"&lt;&gt;0")+COUNTIF(AZ$3:AZ936,AZ936)-876)</f>
        <v>353</v>
      </c>
      <c r="BT936" s="76"/>
      <c r="CN936">
        <v>935</v>
      </c>
    </row>
    <row r="937" spans="1:92" x14ac:dyDescent="0.3">
      <c r="A937" s="118" t="s">
        <v>1470</v>
      </c>
      <c r="B937" t="s">
        <v>1471</v>
      </c>
      <c r="C937" t="s">
        <v>1369</v>
      </c>
      <c r="D937" s="144" t="s">
        <v>780</v>
      </c>
      <c r="E937" t="s">
        <v>765</v>
      </c>
      <c r="F937" t="s">
        <v>418</v>
      </c>
      <c r="G937" t="s">
        <v>766</v>
      </c>
      <c r="H937" t="s">
        <v>1472</v>
      </c>
      <c r="I937" t="s">
        <v>766</v>
      </c>
      <c r="J937" t="s">
        <v>768</v>
      </c>
      <c r="K937" t="s">
        <v>768</v>
      </c>
      <c r="L937" t="s">
        <v>769</v>
      </c>
      <c r="M937" t="s">
        <v>208</v>
      </c>
      <c r="N937" t="s">
        <v>780</v>
      </c>
      <c r="O937" t="s">
        <v>771</v>
      </c>
      <c r="P937" t="s">
        <v>772</v>
      </c>
      <c r="Q937" t="s">
        <v>1126</v>
      </c>
      <c r="R937">
        <v>10</v>
      </c>
      <c r="S937">
        <v>5</v>
      </c>
      <c r="T937">
        <v>10</v>
      </c>
      <c r="U937">
        <v>5</v>
      </c>
      <c r="V937">
        <v>10</v>
      </c>
      <c r="W937">
        <v>5</v>
      </c>
      <c r="X937">
        <v>0</v>
      </c>
      <c r="Y937">
        <v>0</v>
      </c>
      <c r="Z937">
        <v>0</v>
      </c>
      <c r="AA937">
        <v>0</v>
      </c>
      <c r="AB937">
        <v>10</v>
      </c>
      <c r="AC937">
        <v>5</v>
      </c>
      <c r="AD937">
        <v>10</v>
      </c>
      <c r="AE937">
        <v>5</v>
      </c>
      <c r="AF937">
        <v>0</v>
      </c>
      <c r="AG937">
        <v>0</v>
      </c>
      <c r="AH937">
        <v>0</v>
      </c>
      <c r="AI937">
        <v>0</v>
      </c>
      <c r="AY937" t="str">
        <f t="shared" si="193"/>
        <v>OXYTETRACYCLINE 5 % VETOQUINOL</v>
      </c>
      <c r="AZ937" t="str">
        <f>IF(COUNTIF(AY:AY,AY937)=1,AY937,IF(AND(COUNTIF(AY:AY,AY937)&gt;1,COUNTIF(AZ$2:AZ936,AY937)&gt;=1),"",AY937))</f>
        <v>OXYTETRACYCLINE 5 % VETOQUINOL</v>
      </c>
      <c r="BA937">
        <f>IF(AZ937="","",COUNTIFS(AZ$3:AZ$1439,"&lt;"&amp;AZ937,AZ$3:AZ$1439,"&lt;&gt;0")+COUNTIF(AZ$3:AZ937,AZ937)-876)</f>
        <v>354</v>
      </c>
      <c r="BT937" s="76"/>
      <c r="CN937">
        <v>936</v>
      </c>
    </row>
    <row r="938" spans="1:92" x14ac:dyDescent="0.3">
      <c r="A938" s="118" t="s">
        <v>1470</v>
      </c>
      <c r="B938" t="s">
        <v>1473</v>
      </c>
      <c r="C938" t="s">
        <v>1474</v>
      </c>
      <c r="D938" s="144" t="s">
        <v>776</v>
      </c>
      <c r="E938" t="s">
        <v>765</v>
      </c>
      <c r="F938" t="s">
        <v>418</v>
      </c>
      <c r="G938" t="s">
        <v>766</v>
      </c>
      <c r="H938" t="s">
        <v>1472</v>
      </c>
      <c r="I938" t="s">
        <v>766</v>
      </c>
      <c r="J938" t="s">
        <v>768</v>
      </c>
      <c r="K938" t="s">
        <v>768</v>
      </c>
      <c r="L938" t="s">
        <v>769</v>
      </c>
      <c r="M938" t="s">
        <v>208</v>
      </c>
      <c r="N938" t="s">
        <v>780</v>
      </c>
      <c r="O938" t="s">
        <v>771</v>
      </c>
      <c r="P938" t="s">
        <v>772</v>
      </c>
      <c r="Q938" t="s">
        <v>1072</v>
      </c>
      <c r="R938">
        <v>10</v>
      </c>
      <c r="S938">
        <v>5</v>
      </c>
      <c r="T938">
        <v>10</v>
      </c>
      <c r="U938">
        <v>5</v>
      </c>
      <c r="V938">
        <v>10</v>
      </c>
      <c r="W938">
        <v>5</v>
      </c>
      <c r="X938">
        <v>0</v>
      </c>
      <c r="Y938">
        <v>0</v>
      </c>
      <c r="Z938">
        <v>0</v>
      </c>
      <c r="AA938">
        <v>0</v>
      </c>
      <c r="AB938">
        <v>10</v>
      </c>
      <c r="AC938">
        <v>5</v>
      </c>
      <c r="AD938">
        <v>10</v>
      </c>
      <c r="AE938">
        <v>5</v>
      </c>
      <c r="AF938">
        <v>0</v>
      </c>
      <c r="AG938">
        <v>0</v>
      </c>
      <c r="AH938">
        <v>0</v>
      </c>
      <c r="AI938">
        <v>0</v>
      </c>
      <c r="AY938" t="str">
        <f t="shared" si="193"/>
        <v>OXYTETRACYCLINE 5 % VETOQUINOL</v>
      </c>
      <c r="AZ938" t="str">
        <f>IF(COUNTIF(AY:AY,AY938)=1,AY938,IF(AND(COUNTIF(AY:AY,AY938)&gt;1,COUNTIF(AZ$2:AZ937,AY938)&gt;=1),"",AY938))</f>
        <v/>
      </c>
      <c r="BA938" t="str">
        <f>IF(AZ938="","",COUNTIFS(AZ$3:AZ$1439,"&lt;"&amp;AZ938,AZ$3:AZ$1439,"&lt;&gt;0")+COUNTIF(AZ$3:AZ938,AZ938)-876)</f>
        <v/>
      </c>
      <c r="BT938" s="76"/>
      <c r="CN938">
        <v>937</v>
      </c>
    </row>
    <row r="939" spans="1:92" x14ac:dyDescent="0.3">
      <c r="A939" s="118" t="s">
        <v>1311</v>
      </c>
      <c r="B939" t="s">
        <v>1312</v>
      </c>
      <c r="C939" t="s">
        <v>1313</v>
      </c>
      <c r="D939" s="144" t="s">
        <v>955</v>
      </c>
      <c r="E939" t="s">
        <v>830</v>
      </c>
      <c r="F939" t="s">
        <v>419</v>
      </c>
      <c r="G939" t="s">
        <v>831</v>
      </c>
      <c r="H939" t="s">
        <v>832</v>
      </c>
      <c r="I939" t="s">
        <v>817</v>
      </c>
      <c r="J939" t="s">
        <v>768</v>
      </c>
      <c r="K939" t="s">
        <v>768</v>
      </c>
      <c r="L939" t="s">
        <v>769</v>
      </c>
      <c r="M939" t="s">
        <v>208</v>
      </c>
      <c r="N939" t="s">
        <v>906</v>
      </c>
      <c r="O939" t="s">
        <v>894</v>
      </c>
      <c r="P939" t="s">
        <v>772</v>
      </c>
      <c r="Q939" t="s">
        <v>966</v>
      </c>
      <c r="R939">
        <v>20</v>
      </c>
      <c r="S939">
        <v>5</v>
      </c>
      <c r="T939">
        <v>0</v>
      </c>
      <c r="U939">
        <v>0</v>
      </c>
      <c r="V939">
        <v>0</v>
      </c>
      <c r="W939">
        <v>0</v>
      </c>
      <c r="X939">
        <v>0</v>
      </c>
      <c r="Y939">
        <v>0</v>
      </c>
      <c r="Z939">
        <v>0</v>
      </c>
      <c r="AA939">
        <v>0</v>
      </c>
      <c r="AB939">
        <v>0</v>
      </c>
      <c r="AC939">
        <v>0</v>
      </c>
      <c r="AD939">
        <v>20</v>
      </c>
      <c r="AE939">
        <v>5</v>
      </c>
      <c r="AF939">
        <v>20</v>
      </c>
      <c r="AG939">
        <v>5</v>
      </c>
      <c r="AH939">
        <v>0</v>
      </c>
      <c r="AI939">
        <v>0</v>
      </c>
      <c r="AY939" t="str">
        <f t="shared" si="193"/>
        <v>OXYTETRACYCLINE 50 % VIRBAC</v>
      </c>
      <c r="AZ939" t="str">
        <f>IF(COUNTIF(AY:AY,AY939)=1,AY939,IF(AND(COUNTIF(AY:AY,AY939)&gt;1,COUNTIF(AZ$2:AZ938,AY939)&gt;=1),"",AY939))</f>
        <v>OXYTETRACYCLINE 50 % VIRBAC</v>
      </c>
      <c r="BA939">
        <f>IF(AZ939="","",COUNTIFS(AZ$3:AZ$1439,"&lt;"&amp;AZ939,AZ$3:AZ$1439,"&lt;&gt;0")+COUNTIF(AZ$3:AZ939,AZ939)-876)</f>
        <v>355</v>
      </c>
      <c r="BT939" s="76"/>
      <c r="CN939">
        <v>938</v>
      </c>
    </row>
    <row r="940" spans="1:92" x14ac:dyDescent="0.3">
      <c r="A940" s="118" t="s">
        <v>1311</v>
      </c>
      <c r="B940" t="s">
        <v>1314</v>
      </c>
      <c r="C940" t="s">
        <v>828</v>
      </c>
      <c r="D940" s="144" t="s">
        <v>829</v>
      </c>
      <c r="E940" t="s">
        <v>830</v>
      </c>
      <c r="F940" t="s">
        <v>419</v>
      </c>
      <c r="G940" t="s">
        <v>831</v>
      </c>
      <c r="H940" t="s">
        <v>832</v>
      </c>
      <c r="I940" t="s">
        <v>817</v>
      </c>
      <c r="J940" t="s">
        <v>768</v>
      </c>
      <c r="K940" t="s">
        <v>768</v>
      </c>
      <c r="L940" t="s">
        <v>769</v>
      </c>
      <c r="M940" t="s">
        <v>208</v>
      </c>
      <c r="N940" t="s">
        <v>906</v>
      </c>
      <c r="O940" t="s">
        <v>894</v>
      </c>
      <c r="P940" t="s">
        <v>772</v>
      </c>
      <c r="Q940" t="s">
        <v>906</v>
      </c>
      <c r="R940">
        <v>20</v>
      </c>
      <c r="S940">
        <v>5</v>
      </c>
      <c r="T940">
        <v>0</v>
      </c>
      <c r="U940">
        <v>0</v>
      </c>
      <c r="V940">
        <v>0</v>
      </c>
      <c r="W940">
        <v>0</v>
      </c>
      <c r="X940">
        <v>0</v>
      </c>
      <c r="Y940">
        <v>0</v>
      </c>
      <c r="Z940">
        <v>0</v>
      </c>
      <c r="AA940">
        <v>0</v>
      </c>
      <c r="AB940">
        <v>0</v>
      </c>
      <c r="AC940">
        <v>0</v>
      </c>
      <c r="AD940">
        <v>20</v>
      </c>
      <c r="AE940">
        <v>5</v>
      </c>
      <c r="AF940">
        <v>20</v>
      </c>
      <c r="AG940">
        <v>5</v>
      </c>
      <c r="AH940">
        <v>0</v>
      </c>
      <c r="AI940">
        <v>0</v>
      </c>
      <c r="AY940" t="str">
        <f t="shared" si="193"/>
        <v>OXYTETRACYCLINE 50 % VIRBAC</v>
      </c>
      <c r="AZ940" t="str">
        <f>IF(COUNTIF(AY:AY,AY940)=1,AY940,IF(AND(COUNTIF(AY:AY,AY940)&gt;1,COUNTIF(AZ$2:AZ939,AY940)&gt;=1),"",AY940))</f>
        <v/>
      </c>
      <c r="BA940" t="str">
        <f>IF(AZ940="","",COUNTIFS(AZ$3:AZ$1439,"&lt;"&amp;AZ940,AZ$3:AZ$1439,"&lt;&gt;0")+COUNTIF(AZ$3:AZ940,AZ940)-876)</f>
        <v/>
      </c>
      <c r="BT940" s="76"/>
      <c r="CN940">
        <v>939</v>
      </c>
    </row>
    <row r="941" spans="1:92" x14ac:dyDescent="0.3">
      <c r="A941" s="118" t="s">
        <v>2293</v>
      </c>
      <c r="B941" t="s">
        <v>2294</v>
      </c>
      <c r="C941" t="s">
        <v>2295</v>
      </c>
      <c r="D941" s="144" t="s">
        <v>780</v>
      </c>
      <c r="E941" t="s">
        <v>830</v>
      </c>
      <c r="F941" t="s">
        <v>420</v>
      </c>
      <c r="G941" t="s">
        <v>985</v>
      </c>
      <c r="H941" t="s">
        <v>2296</v>
      </c>
      <c r="I941" t="s">
        <v>879</v>
      </c>
      <c r="J941" t="s">
        <v>768</v>
      </c>
      <c r="K941" t="s">
        <v>768</v>
      </c>
      <c r="L941" t="s">
        <v>769</v>
      </c>
      <c r="M941" t="s">
        <v>208</v>
      </c>
      <c r="N941" t="s">
        <v>764</v>
      </c>
      <c r="O941" t="s">
        <v>894</v>
      </c>
      <c r="P941" t="s">
        <v>772</v>
      </c>
      <c r="Q941" t="s">
        <v>885</v>
      </c>
      <c r="R941">
        <v>0</v>
      </c>
      <c r="S941">
        <v>0</v>
      </c>
      <c r="T941">
        <v>0</v>
      </c>
      <c r="U941">
        <v>0</v>
      </c>
      <c r="V941">
        <v>0</v>
      </c>
      <c r="W941">
        <v>0</v>
      </c>
      <c r="X941">
        <v>0</v>
      </c>
      <c r="Y941">
        <v>0</v>
      </c>
      <c r="Z941">
        <v>0</v>
      </c>
      <c r="AA941">
        <v>0</v>
      </c>
      <c r="AB941">
        <v>0</v>
      </c>
      <c r="AC941">
        <v>0</v>
      </c>
      <c r="AD941">
        <v>0</v>
      </c>
      <c r="AE941">
        <v>0</v>
      </c>
      <c r="AF941">
        <v>0</v>
      </c>
      <c r="AG941">
        <v>0</v>
      </c>
      <c r="AH941">
        <v>0</v>
      </c>
      <c r="AI941">
        <v>0</v>
      </c>
      <c r="AY941" t="str">
        <f t="shared" si="193"/>
        <v>OXYTETRIN P</v>
      </c>
      <c r="AZ941" t="str">
        <f>IF(COUNTIF(AY:AY,AY941)=1,AY941,IF(AND(COUNTIF(AY:AY,AY941)&gt;1,COUNTIF(AZ$2:AZ940,AY941)&gt;=1),"",AY941))</f>
        <v>OXYTETRIN P</v>
      </c>
      <c r="BA941">
        <f>IF(AZ941="","",COUNTIFS(AZ$3:AZ$1439,"&lt;"&amp;AZ941,AZ$3:AZ$1439,"&lt;&gt;0")+COUNTIF(AZ$3:AZ941,AZ941)-876)</f>
        <v>356</v>
      </c>
      <c r="BT941" s="76"/>
      <c r="CN941">
        <v>940</v>
      </c>
    </row>
    <row r="942" spans="1:92" x14ac:dyDescent="0.3">
      <c r="A942" s="118" t="s">
        <v>2293</v>
      </c>
      <c r="B942" t="s">
        <v>2297</v>
      </c>
      <c r="C942" t="s">
        <v>2298</v>
      </c>
      <c r="D942" s="144" t="s">
        <v>764</v>
      </c>
      <c r="E942" t="s">
        <v>830</v>
      </c>
      <c r="F942" t="s">
        <v>420</v>
      </c>
      <c r="G942" t="s">
        <v>985</v>
      </c>
      <c r="H942" t="s">
        <v>2296</v>
      </c>
      <c r="I942" t="s">
        <v>879</v>
      </c>
      <c r="J942" t="s">
        <v>768</v>
      </c>
      <c r="K942" t="s">
        <v>768</v>
      </c>
      <c r="L942" t="s">
        <v>769</v>
      </c>
      <c r="M942" t="s">
        <v>208</v>
      </c>
      <c r="N942" t="s">
        <v>764</v>
      </c>
      <c r="O942" t="s">
        <v>894</v>
      </c>
      <c r="P942" t="s">
        <v>772</v>
      </c>
      <c r="Q942" t="s">
        <v>852</v>
      </c>
      <c r="R942">
        <v>0</v>
      </c>
      <c r="S942">
        <v>0</v>
      </c>
      <c r="T942">
        <v>0</v>
      </c>
      <c r="U942">
        <v>0</v>
      </c>
      <c r="V942">
        <v>0</v>
      </c>
      <c r="W942">
        <v>0</v>
      </c>
      <c r="X942">
        <v>0</v>
      </c>
      <c r="Y942">
        <v>0</v>
      </c>
      <c r="Z942">
        <v>0</v>
      </c>
      <c r="AA942">
        <v>0</v>
      </c>
      <c r="AB942">
        <v>0</v>
      </c>
      <c r="AC942">
        <v>0</v>
      </c>
      <c r="AD942">
        <v>0</v>
      </c>
      <c r="AE942">
        <v>0</v>
      </c>
      <c r="AF942">
        <v>0</v>
      </c>
      <c r="AG942">
        <v>0</v>
      </c>
      <c r="AH942">
        <v>0</v>
      </c>
      <c r="AI942">
        <v>0</v>
      </c>
      <c r="AY942" t="str">
        <f t="shared" si="193"/>
        <v>OXYTETRIN P</v>
      </c>
      <c r="AZ942" t="str">
        <f>IF(COUNTIF(AY:AY,AY942)=1,AY942,IF(AND(COUNTIF(AY:AY,AY942)&gt;1,COUNTIF(AZ$2:AZ941,AY942)&gt;=1),"",AY942))</f>
        <v/>
      </c>
      <c r="BA942" t="str">
        <f>IF(AZ942="","",COUNTIFS(AZ$3:AZ$1439,"&lt;"&amp;AZ942,AZ$3:AZ$1439,"&lt;&gt;0")+COUNTIF(AZ$3:AZ942,AZ942)-876)</f>
        <v/>
      </c>
      <c r="BT942" s="76"/>
      <c r="CN942">
        <v>941</v>
      </c>
    </row>
    <row r="943" spans="1:92" x14ac:dyDescent="0.3">
      <c r="A943" s="118" t="s">
        <v>1048</v>
      </c>
      <c r="B943" t="s">
        <v>1049</v>
      </c>
      <c r="C943" t="s">
        <v>1050</v>
      </c>
      <c r="D943" s="144" t="s">
        <v>780</v>
      </c>
      <c r="E943" t="s">
        <v>765</v>
      </c>
      <c r="F943" t="s">
        <v>44</v>
      </c>
      <c r="G943" t="s">
        <v>766</v>
      </c>
      <c r="H943" t="s">
        <v>801</v>
      </c>
      <c r="I943" t="s">
        <v>766</v>
      </c>
      <c r="J943" t="s">
        <v>768</v>
      </c>
      <c r="K943" t="s">
        <v>768</v>
      </c>
      <c r="L943" t="s">
        <v>1051</v>
      </c>
      <c r="M943" t="s">
        <v>208</v>
      </c>
      <c r="N943" t="s">
        <v>940</v>
      </c>
      <c r="O943" t="s">
        <v>771</v>
      </c>
      <c r="P943" t="s">
        <v>772</v>
      </c>
      <c r="Q943" t="s">
        <v>934</v>
      </c>
      <c r="R943">
        <v>5</v>
      </c>
      <c r="S943">
        <v>1</v>
      </c>
      <c r="T943">
        <v>0</v>
      </c>
      <c r="U943">
        <v>0</v>
      </c>
      <c r="V943">
        <v>0</v>
      </c>
      <c r="W943">
        <v>0</v>
      </c>
      <c r="X943">
        <v>0</v>
      </c>
      <c r="Y943">
        <v>0</v>
      </c>
      <c r="Z943">
        <v>0</v>
      </c>
      <c r="AA943">
        <v>0</v>
      </c>
      <c r="AB943">
        <v>0</v>
      </c>
      <c r="AC943">
        <v>0</v>
      </c>
      <c r="AD943">
        <v>0</v>
      </c>
      <c r="AE943">
        <v>0</v>
      </c>
      <c r="AF943">
        <v>0</v>
      </c>
      <c r="AG943">
        <v>0</v>
      </c>
      <c r="AH943">
        <v>0</v>
      </c>
      <c r="AI943">
        <v>0</v>
      </c>
      <c r="AY943" t="str">
        <f t="shared" si="193"/>
        <v>PANADIA</v>
      </c>
      <c r="AZ943" t="str">
        <f>IF(COUNTIF(AY:AY,AY943)=1,AY943,IF(AND(COUNTIF(AY:AY,AY943)&gt;1,COUNTIF(AZ$2:AZ942,AY943)&gt;=1),"",AY943))</f>
        <v>PANADIA</v>
      </c>
      <c r="BA943">
        <f>IF(AZ943="","",COUNTIFS(AZ$3:AZ$1439,"&lt;"&amp;AZ943,AZ$3:AZ$1439,"&lt;&gt;0")+COUNTIF(AZ$3:AZ943,AZ943)-876)</f>
        <v>357</v>
      </c>
      <c r="BT943" s="76"/>
      <c r="CN943">
        <v>942</v>
      </c>
    </row>
    <row r="944" spans="1:92" x14ac:dyDescent="0.3">
      <c r="A944" s="118" t="s">
        <v>1048</v>
      </c>
      <c r="B944" t="s">
        <v>4375</v>
      </c>
      <c r="C944" t="s">
        <v>1050</v>
      </c>
      <c r="D944" s="144" t="s">
        <v>780</v>
      </c>
      <c r="E944" t="s">
        <v>765</v>
      </c>
      <c r="F944" t="s">
        <v>44</v>
      </c>
      <c r="G944" t="s">
        <v>766</v>
      </c>
      <c r="H944" t="s">
        <v>801</v>
      </c>
      <c r="I944" t="s">
        <v>766</v>
      </c>
      <c r="J944" t="s">
        <v>768</v>
      </c>
      <c r="K944" t="s">
        <v>768</v>
      </c>
      <c r="L944" t="s">
        <v>1051</v>
      </c>
      <c r="M944" t="s">
        <v>208</v>
      </c>
      <c r="N944" t="s">
        <v>940</v>
      </c>
      <c r="O944" t="s">
        <v>771</v>
      </c>
      <c r="P944" t="s">
        <v>772</v>
      </c>
      <c r="Q944" t="s">
        <v>934</v>
      </c>
      <c r="R944">
        <v>5</v>
      </c>
      <c r="S944">
        <v>1</v>
      </c>
      <c r="T944">
        <v>0</v>
      </c>
      <c r="U944">
        <v>0</v>
      </c>
      <c r="V944">
        <v>0</v>
      </c>
      <c r="W944">
        <v>0</v>
      </c>
      <c r="X944">
        <v>0</v>
      </c>
      <c r="Y944">
        <v>0</v>
      </c>
      <c r="Z944">
        <v>0</v>
      </c>
      <c r="AA944">
        <v>0</v>
      </c>
      <c r="AB944">
        <v>0</v>
      </c>
      <c r="AC944">
        <v>0</v>
      </c>
      <c r="AD944">
        <v>0</v>
      </c>
      <c r="AE944">
        <v>0</v>
      </c>
      <c r="AF944">
        <v>0</v>
      </c>
      <c r="AG944">
        <v>0</v>
      </c>
      <c r="AH944">
        <v>0</v>
      </c>
      <c r="AI944">
        <v>0</v>
      </c>
      <c r="AY944" t="str">
        <f t="shared" si="193"/>
        <v>PANADIA</v>
      </c>
      <c r="AZ944" t="str">
        <f>IF(COUNTIF(AY:AY,AY944)=1,AY944,IF(AND(COUNTIF(AY:AY,AY944)&gt;1,COUNTIF(AZ$2:AZ943,AY944)&gt;=1),"",AY944))</f>
        <v/>
      </c>
      <c r="BA944" t="str">
        <f>IF(AZ944="","",COUNTIFS(AZ$3:AZ$1439,"&lt;"&amp;AZ944,AZ$3:AZ$1439,"&lt;&gt;0")+COUNTIF(AZ$3:AZ944,AZ944)-876)</f>
        <v/>
      </c>
      <c r="BT944" s="76"/>
      <c r="CN944">
        <v>943</v>
      </c>
    </row>
    <row r="945" spans="1:92" x14ac:dyDescent="0.3">
      <c r="A945" s="118" t="s">
        <v>1205</v>
      </c>
      <c r="B945" t="s">
        <v>1206</v>
      </c>
      <c r="C945" t="s">
        <v>1207</v>
      </c>
      <c r="D945" s="144" t="s">
        <v>869</v>
      </c>
      <c r="E945" t="s">
        <v>765</v>
      </c>
      <c r="F945" t="s">
        <v>112</v>
      </c>
      <c r="G945" t="s">
        <v>766</v>
      </c>
      <c r="H945" t="s">
        <v>801</v>
      </c>
      <c r="I945" t="s">
        <v>766</v>
      </c>
      <c r="J945" t="s">
        <v>1208</v>
      </c>
      <c r="K945" t="s">
        <v>783</v>
      </c>
      <c r="L945" t="s">
        <v>945</v>
      </c>
      <c r="M945" t="s">
        <v>208</v>
      </c>
      <c r="N945" t="s">
        <v>776</v>
      </c>
      <c r="O945" t="s">
        <v>771</v>
      </c>
      <c r="P945" t="s">
        <v>772</v>
      </c>
      <c r="Q945" t="s">
        <v>885</v>
      </c>
      <c r="R945">
        <v>8.33</v>
      </c>
      <c r="S945">
        <v>1</v>
      </c>
      <c r="T945">
        <v>8.33</v>
      </c>
      <c r="U945">
        <v>1</v>
      </c>
      <c r="V945">
        <v>0</v>
      </c>
      <c r="W945">
        <v>0</v>
      </c>
      <c r="X945">
        <v>0</v>
      </c>
      <c r="Y945">
        <v>0</v>
      </c>
      <c r="Z945">
        <v>0</v>
      </c>
      <c r="AA945">
        <v>0</v>
      </c>
      <c r="AB945">
        <v>8.33</v>
      </c>
      <c r="AC945">
        <v>1</v>
      </c>
      <c r="AD945">
        <v>8.33</v>
      </c>
      <c r="AE945">
        <v>1</v>
      </c>
      <c r="AF945">
        <v>0</v>
      </c>
      <c r="AG945">
        <v>0</v>
      </c>
      <c r="AH945">
        <v>0</v>
      </c>
      <c r="AI945">
        <v>0</v>
      </c>
      <c r="AJ945" t="s">
        <v>768</v>
      </c>
      <c r="AK945" t="s">
        <v>1051</v>
      </c>
      <c r="AL945" t="s">
        <v>208</v>
      </c>
      <c r="AM945" t="s">
        <v>780</v>
      </c>
      <c r="AN945" t="s">
        <v>771</v>
      </c>
      <c r="AO945" t="s">
        <v>772</v>
      </c>
      <c r="AP945" t="s">
        <v>772</v>
      </c>
      <c r="AY945" t="str">
        <f t="shared" si="193"/>
        <v>PANAFUGE</v>
      </c>
      <c r="AZ945" t="str">
        <f>IF(COUNTIF(AY:AY,AY945)=1,AY945,IF(AND(COUNTIF(AY:AY,AY945)&gt;1,COUNTIF(AZ$2:AZ944,AY945)&gt;=1),"",AY945))</f>
        <v>PANAFUGE</v>
      </c>
      <c r="BA945">
        <f>IF(AZ945="","",COUNTIFS(AZ$3:AZ$1439,"&lt;"&amp;AZ945,AZ$3:AZ$1439,"&lt;&gt;0")+COUNTIF(AZ$3:AZ945,AZ945)-876)</f>
        <v>358</v>
      </c>
      <c r="BT945" s="76"/>
      <c r="CN945">
        <v>944</v>
      </c>
    </row>
    <row r="946" spans="1:92" x14ac:dyDescent="0.3">
      <c r="A946" s="118" t="s">
        <v>2034</v>
      </c>
      <c r="B946" t="s">
        <v>2035</v>
      </c>
      <c r="C946" t="s">
        <v>1477</v>
      </c>
      <c r="D946" s="144" t="s">
        <v>780</v>
      </c>
      <c r="E946" t="s">
        <v>765</v>
      </c>
      <c r="F946" t="s">
        <v>421</v>
      </c>
      <c r="G946" t="s">
        <v>766</v>
      </c>
      <c r="H946" t="s">
        <v>2036</v>
      </c>
      <c r="I946" t="s">
        <v>766</v>
      </c>
      <c r="J946" t="s">
        <v>783</v>
      </c>
      <c r="K946" t="s">
        <v>783</v>
      </c>
      <c r="L946" t="s">
        <v>2037</v>
      </c>
      <c r="M946" t="s">
        <v>208</v>
      </c>
      <c r="N946" t="s">
        <v>1383</v>
      </c>
      <c r="O946" t="s">
        <v>805</v>
      </c>
      <c r="P946" t="s">
        <v>4440</v>
      </c>
      <c r="Q946" t="s">
        <v>4441</v>
      </c>
      <c r="R946">
        <v>14.49</v>
      </c>
      <c r="S946">
        <v>3</v>
      </c>
      <c r="T946">
        <v>38.64</v>
      </c>
      <c r="U946">
        <v>3</v>
      </c>
      <c r="V946">
        <v>38.64</v>
      </c>
      <c r="W946">
        <v>3</v>
      </c>
      <c r="X946">
        <v>0</v>
      </c>
      <c r="Y946">
        <v>0</v>
      </c>
      <c r="Z946">
        <v>0</v>
      </c>
      <c r="AA946">
        <v>0</v>
      </c>
      <c r="AB946">
        <v>0</v>
      </c>
      <c r="AC946">
        <v>0</v>
      </c>
      <c r="AD946">
        <v>0</v>
      </c>
      <c r="AE946">
        <v>0</v>
      </c>
      <c r="AF946">
        <v>0</v>
      </c>
      <c r="AG946">
        <v>0</v>
      </c>
      <c r="AH946">
        <v>0</v>
      </c>
      <c r="AI946">
        <v>0</v>
      </c>
      <c r="AY946" t="str">
        <f t="shared" si="193"/>
        <v>PANGRAM 4 %</v>
      </c>
      <c r="AZ946" t="str">
        <f>IF(COUNTIF(AY:AY,AY946)=1,AY946,IF(AND(COUNTIF(AY:AY,AY946)&gt;1,COUNTIF(AZ$2:AZ945,AY946)&gt;=1),"",AY946))</f>
        <v>PANGRAM 4 %</v>
      </c>
      <c r="BA946">
        <f>IF(AZ946="","",COUNTIFS(AZ$3:AZ$1439,"&lt;"&amp;AZ946,AZ$3:AZ$1439,"&lt;&gt;0")+COUNTIF(AZ$3:AZ946,AZ946)-876)</f>
        <v>359</v>
      </c>
      <c r="BT946" s="76"/>
      <c r="CN946">
        <v>945</v>
      </c>
    </row>
    <row r="947" spans="1:92" x14ac:dyDescent="0.3">
      <c r="A947" s="118" t="s">
        <v>2034</v>
      </c>
      <c r="B947" t="s">
        <v>2038</v>
      </c>
      <c r="C947" t="s">
        <v>943</v>
      </c>
      <c r="D947" s="144" t="s">
        <v>764</v>
      </c>
      <c r="E947" t="s">
        <v>765</v>
      </c>
      <c r="F947" t="s">
        <v>421</v>
      </c>
      <c r="G947" t="s">
        <v>766</v>
      </c>
      <c r="H947" t="s">
        <v>2036</v>
      </c>
      <c r="I947" t="s">
        <v>766</v>
      </c>
      <c r="J947" t="s">
        <v>783</v>
      </c>
      <c r="K947" t="s">
        <v>783</v>
      </c>
      <c r="L947" t="s">
        <v>2037</v>
      </c>
      <c r="M947" t="s">
        <v>208</v>
      </c>
      <c r="N947" t="s">
        <v>1383</v>
      </c>
      <c r="O947" t="s">
        <v>805</v>
      </c>
      <c r="P947" t="s">
        <v>4440</v>
      </c>
      <c r="Q947" t="s">
        <v>4442</v>
      </c>
      <c r="R947">
        <v>14.49</v>
      </c>
      <c r="S947">
        <v>3</v>
      </c>
      <c r="T947">
        <v>38.64</v>
      </c>
      <c r="U947">
        <v>3</v>
      </c>
      <c r="V947">
        <v>38.64</v>
      </c>
      <c r="W947">
        <v>3</v>
      </c>
      <c r="X947">
        <v>0</v>
      </c>
      <c r="Y947">
        <v>0</v>
      </c>
      <c r="Z947">
        <v>0</v>
      </c>
      <c r="AA947">
        <v>0</v>
      </c>
      <c r="AB947">
        <v>0</v>
      </c>
      <c r="AC947">
        <v>0</v>
      </c>
      <c r="AD947">
        <v>0</v>
      </c>
      <c r="AE947">
        <v>0</v>
      </c>
      <c r="AF947">
        <v>0</v>
      </c>
      <c r="AG947">
        <v>0</v>
      </c>
      <c r="AH947">
        <v>0</v>
      </c>
      <c r="AI947">
        <v>0</v>
      </c>
      <c r="AY947" t="str">
        <f t="shared" si="193"/>
        <v>PANGRAM 4 %</v>
      </c>
      <c r="AZ947" t="str">
        <f>IF(COUNTIF(AY:AY,AY947)=1,AY947,IF(AND(COUNTIF(AY:AY,AY947)&gt;1,COUNTIF(AZ$2:AZ946,AY947)&gt;=1),"",AY947))</f>
        <v/>
      </c>
      <c r="BA947" t="str">
        <f>IF(AZ947="","",COUNTIFS(AZ$3:AZ$1439,"&lt;"&amp;AZ947,AZ$3:AZ$1439,"&lt;&gt;0")+COUNTIF(AZ$3:AZ947,AZ947)-876)</f>
        <v/>
      </c>
      <c r="BT947" s="76"/>
      <c r="CN947">
        <v>946</v>
      </c>
    </row>
    <row r="948" spans="1:92" x14ac:dyDescent="0.3">
      <c r="A948" s="118" t="s">
        <v>2034</v>
      </c>
      <c r="B948" t="s">
        <v>2039</v>
      </c>
      <c r="C948" t="s">
        <v>949</v>
      </c>
      <c r="D948" s="144" t="s">
        <v>776</v>
      </c>
      <c r="E948" t="s">
        <v>765</v>
      </c>
      <c r="F948" t="s">
        <v>421</v>
      </c>
      <c r="G948" t="s">
        <v>766</v>
      </c>
      <c r="H948" t="s">
        <v>2036</v>
      </c>
      <c r="I948" t="s">
        <v>766</v>
      </c>
      <c r="J948" t="s">
        <v>783</v>
      </c>
      <c r="K948" t="s">
        <v>783</v>
      </c>
      <c r="L948" t="s">
        <v>2037</v>
      </c>
      <c r="M948" t="s">
        <v>208</v>
      </c>
      <c r="N948" t="s">
        <v>1383</v>
      </c>
      <c r="O948" t="s">
        <v>805</v>
      </c>
      <c r="P948" t="s">
        <v>4440</v>
      </c>
      <c r="Q948" t="s">
        <v>4443</v>
      </c>
      <c r="R948">
        <v>14.49</v>
      </c>
      <c r="S948">
        <v>3</v>
      </c>
      <c r="T948">
        <v>38.64</v>
      </c>
      <c r="U948">
        <v>3</v>
      </c>
      <c r="V948">
        <v>38.64</v>
      </c>
      <c r="W948">
        <v>3</v>
      </c>
      <c r="X948">
        <v>0</v>
      </c>
      <c r="Y948">
        <v>0</v>
      </c>
      <c r="Z948">
        <v>0</v>
      </c>
      <c r="AA948">
        <v>0</v>
      </c>
      <c r="AB948">
        <v>0</v>
      </c>
      <c r="AC948">
        <v>0</v>
      </c>
      <c r="AD948">
        <v>0</v>
      </c>
      <c r="AE948">
        <v>0</v>
      </c>
      <c r="AF948">
        <v>0</v>
      </c>
      <c r="AG948">
        <v>0</v>
      </c>
      <c r="AH948">
        <v>0</v>
      </c>
      <c r="AI948">
        <v>0</v>
      </c>
      <c r="AY948" t="str">
        <f t="shared" si="193"/>
        <v>PANGRAM 4 %</v>
      </c>
      <c r="AZ948" t="str">
        <f>IF(COUNTIF(AY:AY,AY948)=1,AY948,IF(AND(COUNTIF(AY:AY,AY948)&gt;1,COUNTIF(AZ$2:AZ947,AY948)&gt;=1),"",AY948))</f>
        <v/>
      </c>
      <c r="BA948" t="str">
        <f>IF(AZ948="","",COUNTIFS(AZ$3:AZ$1439,"&lt;"&amp;AZ948,AZ$3:AZ$1439,"&lt;&gt;0")+COUNTIF(AZ$3:AZ948,AZ948)-876)</f>
        <v/>
      </c>
      <c r="BT948" s="76"/>
      <c r="CN948">
        <v>947</v>
      </c>
    </row>
    <row r="949" spans="1:92" x14ac:dyDescent="0.3">
      <c r="A949" s="118" t="s">
        <v>959</v>
      </c>
      <c r="B949" t="s">
        <v>960</v>
      </c>
      <c r="C949" t="s">
        <v>961</v>
      </c>
      <c r="D949" s="144" t="s">
        <v>962</v>
      </c>
      <c r="E949" t="s">
        <v>765</v>
      </c>
      <c r="F949" t="s">
        <v>963</v>
      </c>
      <c r="G949" t="s">
        <v>964</v>
      </c>
      <c r="H949" t="s">
        <v>816</v>
      </c>
      <c r="I949" t="s">
        <v>879</v>
      </c>
      <c r="J949" t="s">
        <v>965</v>
      </c>
      <c r="K949" t="s">
        <v>783</v>
      </c>
      <c r="L949" t="s">
        <v>784</v>
      </c>
      <c r="M949" t="s">
        <v>208</v>
      </c>
      <c r="N949" t="s">
        <v>966</v>
      </c>
      <c r="O949" t="s">
        <v>805</v>
      </c>
      <c r="P949" t="s">
        <v>4370</v>
      </c>
      <c r="Q949" t="s">
        <v>888</v>
      </c>
      <c r="R949">
        <v>0</v>
      </c>
      <c r="S949">
        <v>0</v>
      </c>
      <c r="T949">
        <v>0</v>
      </c>
      <c r="U949">
        <v>0</v>
      </c>
      <c r="V949">
        <v>0</v>
      </c>
      <c r="W949">
        <v>0</v>
      </c>
      <c r="X949">
        <v>0</v>
      </c>
      <c r="Y949">
        <v>0</v>
      </c>
      <c r="Z949">
        <v>0</v>
      </c>
      <c r="AA949">
        <v>0</v>
      </c>
      <c r="AB949">
        <v>0</v>
      </c>
      <c r="AC949">
        <v>0</v>
      </c>
      <c r="AD949">
        <v>0</v>
      </c>
      <c r="AE949">
        <v>0</v>
      </c>
      <c r="AF949">
        <v>0</v>
      </c>
      <c r="AG949">
        <v>0</v>
      </c>
      <c r="AH949">
        <v>0</v>
      </c>
      <c r="AI949">
        <v>0</v>
      </c>
      <c r="AJ949" t="s">
        <v>821</v>
      </c>
      <c r="AK949" t="s">
        <v>967</v>
      </c>
      <c r="AL949" t="s">
        <v>208</v>
      </c>
      <c r="AM949" t="s">
        <v>968</v>
      </c>
      <c r="AN949" t="s">
        <v>771</v>
      </c>
      <c r="AO949" t="s">
        <v>772</v>
      </c>
      <c r="AP949" t="s">
        <v>888</v>
      </c>
      <c r="AY949" t="str">
        <f t="shared" si="193"/>
        <v/>
      </c>
      <c r="AZ949" t="str">
        <f>IF(COUNTIF(AY:AY,AY949)=1,AY949,IF(AND(COUNTIF(AY:AY,AY949)&gt;1,COUNTIF(AZ$2:AZ948,AY949)&gt;=1),"",AY949))</f>
        <v/>
      </c>
      <c r="BA949" t="str">
        <f>IF(AZ949="","",COUNTIFS(AZ$3:AZ$1439,"&lt;"&amp;AZ949,AZ$3:AZ$1439,"&lt;&gt;0")+COUNTIF(AZ$3:AZ949,AZ949)-876)</f>
        <v/>
      </c>
      <c r="BT949" s="76"/>
      <c r="CN949">
        <v>948</v>
      </c>
    </row>
    <row r="950" spans="1:92" x14ac:dyDescent="0.3">
      <c r="A950" s="118" t="s">
        <v>4187</v>
      </c>
      <c r="B950" t="s">
        <v>4188</v>
      </c>
      <c r="C950" t="s">
        <v>4189</v>
      </c>
      <c r="D950" s="144" t="s">
        <v>1125</v>
      </c>
      <c r="E950" t="s">
        <v>765</v>
      </c>
      <c r="F950" t="s">
        <v>422</v>
      </c>
      <c r="G950" t="s">
        <v>956</v>
      </c>
      <c r="H950" t="s">
        <v>1558</v>
      </c>
      <c r="I950" t="s">
        <v>817</v>
      </c>
      <c r="J950" t="s">
        <v>783</v>
      </c>
      <c r="K950" t="s">
        <v>783</v>
      </c>
      <c r="L950" t="s">
        <v>4556</v>
      </c>
      <c r="M950" t="s">
        <v>208</v>
      </c>
      <c r="N950" t="s">
        <v>2580</v>
      </c>
      <c r="O950" t="s">
        <v>771</v>
      </c>
      <c r="P950" t="s">
        <v>772</v>
      </c>
      <c r="Q950" t="s">
        <v>1818</v>
      </c>
      <c r="R950">
        <v>35</v>
      </c>
      <c r="S950">
        <v>5</v>
      </c>
      <c r="T950">
        <v>0</v>
      </c>
      <c r="U950">
        <v>0</v>
      </c>
      <c r="V950">
        <v>0</v>
      </c>
      <c r="W950">
        <v>0</v>
      </c>
      <c r="X950">
        <v>0</v>
      </c>
      <c r="Y950">
        <v>0</v>
      </c>
      <c r="Z950">
        <v>0</v>
      </c>
      <c r="AA950">
        <v>0</v>
      </c>
      <c r="AB950">
        <v>0</v>
      </c>
      <c r="AC950">
        <v>0</v>
      </c>
      <c r="AD950">
        <v>28</v>
      </c>
      <c r="AE950">
        <v>5</v>
      </c>
      <c r="AF950">
        <v>0</v>
      </c>
      <c r="AG950">
        <v>0</v>
      </c>
      <c r="AH950">
        <v>0</v>
      </c>
      <c r="AI950">
        <v>0</v>
      </c>
      <c r="AY950" t="str">
        <f t="shared" si="193"/>
        <v>PAROFOR 140 MG/ML SOLUTION POUR ADMINISTRATION DANS L'EAU DE BOISSON LE LAIT OU L'ALIMENT D'ALLAITEMENT POUR BOVINS PRERUMINANTS ET PORCS</v>
      </c>
      <c r="AZ950" t="str">
        <f>IF(COUNTIF(AY:AY,AY950)=1,AY950,IF(AND(COUNTIF(AY:AY,AY950)&gt;1,COUNTIF(AZ$2:AZ949,AY950)&gt;=1),"",AY950))</f>
        <v>PAROFOR 140 MG/ML SOLUTION POUR ADMINISTRATION DANS L'EAU DE BOISSON LE LAIT OU L'ALIMENT D'ALLAITEMENT POUR BOVINS PRERUMINANTS ET PORCS</v>
      </c>
      <c r="BA950">
        <f>IF(AZ950="","",COUNTIFS(AZ$3:AZ$1439,"&lt;"&amp;AZ950,AZ$3:AZ$1439,"&lt;&gt;0")+COUNTIF(AZ$3:AZ950,AZ950)-876)</f>
        <v>360</v>
      </c>
      <c r="BT950" s="76"/>
      <c r="CN950">
        <v>949</v>
      </c>
    </row>
    <row r="951" spans="1:92" x14ac:dyDescent="0.3">
      <c r="A951" s="118" t="s">
        <v>4187</v>
      </c>
      <c r="B951" t="s">
        <v>4190</v>
      </c>
      <c r="C951" t="s">
        <v>949</v>
      </c>
      <c r="D951" t="s">
        <v>776</v>
      </c>
      <c r="E951" t="s">
        <v>765</v>
      </c>
      <c r="F951" t="s">
        <v>422</v>
      </c>
      <c r="G951" t="s">
        <v>956</v>
      </c>
      <c r="H951" t="s">
        <v>1558</v>
      </c>
      <c r="I951" t="s">
        <v>817</v>
      </c>
      <c r="J951" t="s">
        <v>783</v>
      </c>
      <c r="K951" t="s">
        <v>783</v>
      </c>
      <c r="L951" t="s">
        <v>4556</v>
      </c>
      <c r="M951" t="s">
        <v>208</v>
      </c>
      <c r="N951" t="s">
        <v>2580</v>
      </c>
      <c r="O951" t="s">
        <v>771</v>
      </c>
      <c r="P951" t="s">
        <v>772</v>
      </c>
      <c r="Q951" t="s">
        <v>1822</v>
      </c>
      <c r="R951">
        <v>35</v>
      </c>
      <c r="S951">
        <v>5</v>
      </c>
      <c r="T951">
        <v>0</v>
      </c>
      <c r="U951">
        <v>0</v>
      </c>
      <c r="V951">
        <v>0</v>
      </c>
      <c r="W951">
        <v>0</v>
      </c>
      <c r="X951">
        <v>0</v>
      </c>
      <c r="Y951">
        <v>0</v>
      </c>
      <c r="Z951">
        <v>0</v>
      </c>
      <c r="AA951">
        <v>0</v>
      </c>
      <c r="AB951">
        <v>0</v>
      </c>
      <c r="AC951">
        <v>0</v>
      </c>
      <c r="AD951">
        <v>28</v>
      </c>
      <c r="AE951">
        <v>5</v>
      </c>
      <c r="AF951">
        <v>0</v>
      </c>
      <c r="AG951">
        <v>0</v>
      </c>
      <c r="AH951">
        <v>0</v>
      </c>
      <c r="AI951">
        <v>0</v>
      </c>
      <c r="AY951" t="str">
        <f t="shared" si="193"/>
        <v>PAROFOR 140 MG/ML SOLUTION POUR ADMINISTRATION DANS L'EAU DE BOISSON LE LAIT OU L'ALIMENT D'ALLAITEMENT POUR BOVINS PRERUMINANTS ET PORCS</v>
      </c>
      <c r="AZ951" t="str">
        <f>IF(COUNTIF(AY:AY,AY951)=1,AY951,IF(AND(COUNTIF(AY:AY,AY951)&gt;1,COUNTIF(AZ$2:AZ950,AY951)&gt;=1),"",AY951))</f>
        <v/>
      </c>
      <c r="BA951" t="str">
        <f>IF(AZ951="","",COUNTIFS(AZ$3:AZ$1439,"&lt;"&amp;AZ951,AZ$3:AZ$1439,"&lt;&gt;0")+COUNTIF(AZ$3:AZ951,AZ951)-876)</f>
        <v/>
      </c>
      <c r="BT951" s="76"/>
      <c r="CN951">
        <v>950</v>
      </c>
    </row>
    <row r="952" spans="1:92" x14ac:dyDescent="0.3">
      <c r="A952" s="118" t="s">
        <v>4187</v>
      </c>
      <c r="B952" t="s">
        <v>4191</v>
      </c>
      <c r="C952" t="s">
        <v>1167</v>
      </c>
      <c r="D952" t="s">
        <v>906</v>
      </c>
      <c r="E952" t="s">
        <v>765</v>
      </c>
      <c r="F952" t="s">
        <v>422</v>
      </c>
      <c r="G952" t="s">
        <v>956</v>
      </c>
      <c r="H952" t="s">
        <v>1558</v>
      </c>
      <c r="I952" t="s">
        <v>817</v>
      </c>
      <c r="J952" t="s">
        <v>783</v>
      </c>
      <c r="K952" t="s">
        <v>783</v>
      </c>
      <c r="L952" t="s">
        <v>4556</v>
      </c>
      <c r="M952" t="s">
        <v>208</v>
      </c>
      <c r="N952" t="s">
        <v>2580</v>
      </c>
      <c r="O952" t="s">
        <v>771</v>
      </c>
      <c r="P952" t="s">
        <v>772</v>
      </c>
      <c r="Q952" t="s">
        <v>1650</v>
      </c>
      <c r="R952">
        <v>35</v>
      </c>
      <c r="S952">
        <v>5</v>
      </c>
      <c r="T952">
        <v>0</v>
      </c>
      <c r="U952">
        <v>0</v>
      </c>
      <c r="V952">
        <v>0</v>
      </c>
      <c r="W952">
        <v>0</v>
      </c>
      <c r="X952">
        <v>0</v>
      </c>
      <c r="Y952">
        <v>0</v>
      </c>
      <c r="Z952">
        <v>0</v>
      </c>
      <c r="AA952">
        <v>0</v>
      </c>
      <c r="AB952">
        <v>0</v>
      </c>
      <c r="AC952">
        <v>0</v>
      </c>
      <c r="AD952">
        <v>28</v>
      </c>
      <c r="AE952">
        <v>5</v>
      </c>
      <c r="AF952">
        <v>0</v>
      </c>
      <c r="AG952">
        <v>0</v>
      </c>
      <c r="AH952">
        <v>0</v>
      </c>
      <c r="AI952">
        <v>0</v>
      </c>
      <c r="AY952" t="str">
        <f t="shared" si="193"/>
        <v>PAROFOR 140 MG/ML SOLUTION POUR ADMINISTRATION DANS L'EAU DE BOISSON LE LAIT OU L'ALIMENT D'ALLAITEMENT POUR BOVINS PRERUMINANTS ET PORCS</v>
      </c>
      <c r="AZ952" t="str">
        <f>IF(COUNTIF(AY:AY,AY952)=1,AY952,IF(AND(COUNTIF(AY:AY,AY952)&gt;1,COUNTIF(AZ$2:AZ951,AY952)&gt;=1),"",AY952))</f>
        <v/>
      </c>
      <c r="BA952" t="str">
        <f>IF(AZ952="","",COUNTIFS(AZ$3:AZ$1439,"&lt;"&amp;AZ952,AZ$3:AZ$1439,"&lt;&gt;0")+COUNTIF(AZ$3:AZ952,AZ952)-876)</f>
        <v/>
      </c>
      <c r="BT952" s="76"/>
      <c r="CN952">
        <v>951</v>
      </c>
    </row>
    <row r="953" spans="1:92" x14ac:dyDescent="0.3">
      <c r="A953" s="118" t="s">
        <v>4187</v>
      </c>
      <c r="B953" t="s">
        <v>4192</v>
      </c>
      <c r="C953" t="s">
        <v>1241</v>
      </c>
      <c r="D953" t="s">
        <v>829</v>
      </c>
      <c r="E953" t="s">
        <v>765</v>
      </c>
      <c r="F953" t="s">
        <v>422</v>
      </c>
      <c r="G953" t="s">
        <v>956</v>
      </c>
      <c r="H953" t="s">
        <v>1558</v>
      </c>
      <c r="I953" t="s">
        <v>817</v>
      </c>
      <c r="J953" t="s">
        <v>783</v>
      </c>
      <c r="K953" t="s">
        <v>783</v>
      </c>
      <c r="L953" t="s">
        <v>4556</v>
      </c>
      <c r="M953" t="s">
        <v>208</v>
      </c>
      <c r="N953" t="s">
        <v>2580</v>
      </c>
      <c r="O953" t="s">
        <v>771</v>
      </c>
      <c r="P953" t="s">
        <v>772</v>
      </c>
      <c r="Q953" t="s">
        <v>2580</v>
      </c>
      <c r="R953">
        <v>35</v>
      </c>
      <c r="S953">
        <v>5</v>
      </c>
      <c r="T953">
        <v>0</v>
      </c>
      <c r="U953">
        <v>0</v>
      </c>
      <c r="V953">
        <v>0</v>
      </c>
      <c r="W953">
        <v>0</v>
      </c>
      <c r="X953">
        <v>0</v>
      </c>
      <c r="Y953">
        <v>0</v>
      </c>
      <c r="Z953">
        <v>0</v>
      </c>
      <c r="AA953">
        <v>0</v>
      </c>
      <c r="AB953">
        <v>0</v>
      </c>
      <c r="AC953">
        <v>0</v>
      </c>
      <c r="AD953">
        <v>28</v>
      </c>
      <c r="AE953">
        <v>5</v>
      </c>
      <c r="AF953">
        <v>0</v>
      </c>
      <c r="AG953">
        <v>0</v>
      </c>
      <c r="AH953">
        <v>0</v>
      </c>
      <c r="AI953">
        <v>0</v>
      </c>
      <c r="AY953" t="str">
        <f t="shared" si="193"/>
        <v>PAROFOR 140 MG/ML SOLUTION POUR ADMINISTRATION DANS L'EAU DE BOISSON LE LAIT OU L'ALIMENT D'ALLAITEMENT POUR BOVINS PRERUMINANTS ET PORCS</v>
      </c>
      <c r="AZ953" t="str">
        <f>IF(COUNTIF(AY:AY,AY953)=1,AY953,IF(AND(COUNTIF(AY:AY,AY953)&gt;1,COUNTIF(AZ$2:AZ952,AY953)&gt;=1),"",AY953))</f>
        <v/>
      </c>
      <c r="BA953" t="str">
        <f>IF(AZ953="","",COUNTIFS(AZ$3:AZ$1439,"&lt;"&amp;AZ953,AZ$3:AZ$1439,"&lt;&gt;0")+COUNTIF(AZ$3:AZ953,AZ953)-876)</f>
        <v/>
      </c>
      <c r="BT953" s="76"/>
      <c r="CN953">
        <v>952</v>
      </c>
    </row>
    <row r="954" spans="1:92" x14ac:dyDescent="0.3">
      <c r="A954" s="118" t="s">
        <v>3992</v>
      </c>
      <c r="B954" t="s">
        <v>3993</v>
      </c>
      <c r="C954" t="s">
        <v>3556</v>
      </c>
      <c r="D954" s="144" t="s">
        <v>829</v>
      </c>
      <c r="E954" t="s">
        <v>830</v>
      </c>
      <c r="F954" t="s">
        <v>423</v>
      </c>
      <c r="G954" t="s">
        <v>831</v>
      </c>
      <c r="H954" t="s">
        <v>1558</v>
      </c>
      <c r="I954" t="s">
        <v>817</v>
      </c>
      <c r="J954" t="s">
        <v>783</v>
      </c>
      <c r="K954" t="s">
        <v>783</v>
      </c>
      <c r="L954" t="s">
        <v>4556</v>
      </c>
      <c r="M954" t="s">
        <v>208</v>
      </c>
      <c r="N954" t="s">
        <v>3789</v>
      </c>
      <c r="O954" t="s">
        <v>834</v>
      </c>
      <c r="P954" t="s">
        <v>4557</v>
      </c>
      <c r="Q954" t="s">
        <v>4558</v>
      </c>
      <c r="R954">
        <v>46.55</v>
      </c>
      <c r="S954">
        <v>5</v>
      </c>
      <c r="T954">
        <v>0</v>
      </c>
      <c r="U954">
        <v>0</v>
      </c>
      <c r="V954">
        <v>0</v>
      </c>
      <c r="W954">
        <v>0</v>
      </c>
      <c r="X954">
        <v>0</v>
      </c>
      <c r="Y954">
        <v>0</v>
      </c>
      <c r="Z954">
        <v>0</v>
      </c>
      <c r="AA954">
        <v>0</v>
      </c>
      <c r="AB954">
        <v>46.55</v>
      </c>
      <c r="AC954">
        <v>5</v>
      </c>
      <c r="AD954">
        <v>37.24</v>
      </c>
      <c r="AE954">
        <v>5</v>
      </c>
      <c r="AF954">
        <v>0</v>
      </c>
      <c r="AG954">
        <v>0</v>
      </c>
      <c r="AH954">
        <v>0</v>
      </c>
      <c r="AI954">
        <v>0</v>
      </c>
      <c r="AY954" t="str">
        <f t="shared" si="193"/>
        <v>PAROFOR 70000 UI/G POUDRE POUR ADMINISTRATION DANS L'EAU DE BOISSON LE LAIT OU L'ALIMENT D'ALLAITEMENT POUR BOVINS PRERUMINANTS ET PORCS</v>
      </c>
      <c r="AZ954" t="str">
        <f>IF(COUNTIF(AY:AY,AY954)=1,AY954,IF(AND(COUNTIF(AY:AY,AY954)&gt;1,COUNTIF(AZ$2:AZ953,AY954)&gt;=1),"",AY954))</f>
        <v>PAROFOR 70000 UI/G POUDRE POUR ADMINISTRATION DANS L'EAU DE BOISSON LE LAIT OU L'ALIMENT D'ALLAITEMENT POUR BOVINS PRERUMINANTS ET PORCS</v>
      </c>
      <c r="BA954">
        <f>IF(AZ954="","",COUNTIFS(AZ$3:AZ$1439,"&lt;"&amp;AZ954,AZ$3:AZ$1439,"&lt;&gt;0")+COUNTIF(AZ$3:AZ954,AZ954)-876)</f>
        <v>361</v>
      </c>
      <c r="BT954" s="76"/>
      <c r="CN954">
        <v>953</v>
      </c>
    </row>
    <row r="955" spans="1:92" x14ac:dyDescent="0.3">
      <c r="A955" s="118" t="s">
        <v>2162</v>
      </c>
      <c r="B955" t="s">
        <v>2163</v>
      </c>
      <c r="C955" t="s">
        <v>2164</v>
      </c>
      <c r="D955" s="144" t="s">
        <v>772</v>
      </c>
      <c r="E955" t="s">
        <v>813</v>
      </c>
      <c r="F955" t="s">
        <v>113</v>
      </c>
      <c r="G955" t="s">
        <v>1013</v>
      </c>
      <c r="H955" t="s">
        <v>1387</v>
      </c>
      <c r="I955" t="s">
        <v>1013</v>
      </c>
      <c r="J955" t="s">
        <v>2165</v>
      </c>
      <c r="K955" t="s">
        <v>2165</v>
      </c>
      <c r="L955" t="s">
        <v>2166</v>
      </c>
      <c r="M955" t="s">
        <v>208</v>
      </c>
      <c r="N955" t="s">
        <v>776</v>
      </c>
      <c r="O955" t="s">
        <v>824</v>
      </c>
      <c r="P955" t="s">
        <v>772</v>
      </c>
      <c r="Q955" t="s">
        <v>1571</v>
      </c>
      <c r="R955">
        <v>0</v>
      </c>
      <c r="S955">
        <v>0</v>
      </c>
      <c r="T955">
        <v>0</v>
      </c>
      <c r="U955">
        <v>0</v>
      </c>
      <c r="V955">
        <v>0</v>
      </c>
      <c r="W955">
        <v>0</v>
      </c>
      <c r="X955">
        <v>0</v>
      </c>
      <c r="Y955">
        <v>0</v>
      </c>
      <c r="Z955">
        <v>0</v>
      </c>
      <c r="AA955">
        <v>0</v>
      </c>
      <c r="AB955">
        <v>0</v>
      </c>
      <c r="AC955">
        <v>0</v>
      </c>
      <c r="AD955">
        <v>0</v>
      </c>
      <c r="AE955">
        <v>0</v>
      </c>
      <c r="AF955">
        <v>0</v>
      </c>
      <c r="AG955">
        <v>0</v>
      </c>
      <c r="AH955">
        <v>0</v>
      </c>
      <c r="AI955">
        <v>0</v>
      </c>
      <c r="AY955" t="str">
        <f t="shared" si="193"/>
        <v>PATHOZONE</v>
      </c>
      <c r="AZ955" t="str">
        <f>IF(COUNTIF(AY:AY,AY955)=1,AY955,IF(AND(COUNTIF(AY:AY,AY955)&gt;1,COUNTIF(AZ$2:AZ954,AY955)&gt;=1),"",AY955))</f>
        <v>PATHOZONE</v>
      </c>
      <c r="BA955">
        <f>IF(AZ955="","",COUNTIFS(AZ$3:AZ$1439,"&lt;"&amp;AZ955,AZ$3:AZ$1439,"&lt;&gt;0")+COUNTIF(AZ$3:AZ955,AZ955)-876)</f>
        <v>362</v>
      </c>
      <c r="BT955" s="76"/>
      <c r="CN955">
        <v>954</v>
      </c>
    </row>
    <row r="956" spans="1:92" x14ac:dyDescent="0.3">
      <c r="A956" s="118" t="s">
        <v>2518</v>
      </c>
      <c r="B956" t="s">
        <v>2519</v>
      </c>
      <c r="C956" t="s">
        <v>2520</v>
      </c>
      <c r="D956" s="144" t="s">
        <v>1155</v>
      </c>
      <c r="E956" t="s">
        <v>765</v>
      </c>
      <c r="F956" t="s">
        <v>548</v>
      </c>
      <c r="G956" t="s">
        <v>766</v>
      </c>
      <c r="H956" t="s">
        <v>2521</v>
      </c>
      <c r="I956" t="s">
        <v>766</v>
      </c>
      <c r="J956" t="s">
        <v>787</v>
      </c>
      <c r="K956" t="s">
        <v>787</v>
      </c>
      <c r="L956" t="s">
        <v>2522</v>
      </c>
      <c r="M956" t="s">
        <v>208</v>
      </c>
      <c r="N956" t="s">
        <v>2523</v>
      </c>
      <c r="O956" t="s">
        <v>771</v>
      </c>
      <c r="P956" t="s">
        <v>2524</v>
      </c>
      <c r="Q956" t="s">
        <v>797</v>
      </c>
      <c r="R956">
        <v>0</v>
      </c>
      <c r="S956">
        <v>0</v>
      </c>
      <c r="T956">
        <v>0</v>
      </c>
      <c r="U956">
        <v>0</v>
      </c>
      <c r="V956">
        <v>12</v>
      </c>
      <c r="W956">
        <v>3</v>
      </c>
      <c r="X956">
        <v>0</v>
      </c>
      <c r="Y956">
        <v>0</v>
      </c>
      <c r="Z956">
        <v>0</v>
      </c>
      <c r="AA956">
        <v>0</v>
      </c>
      <c r="AB956">
        <v>0</v>
      </c>
      <c r="AC956">
        <v>0</v>
      </c>
      <c r="AD956">
        <v>0</v>
      </c>
      <c r="AE956">
        <v>0</v>
      </c>
      <c r="AF956">
        <v>0</v>
      </c>
      <c r="AG956">
        <v>0</v>
      </c>
      <c r="AH956">
        <v>0</v>
      </c>
      <c r="AI956">
        <v>0</v>
      </c>
      <c r="AY956" t="str">
        <f t="shared" si="193"/>
        <v>PENETAVET</v>
      </c>
      <c r="AZ956" t="str">
        <f>IF(COUNTIF(AY:AY,AY956)=1,AY956,IF(AND(COUNTIF(AY:AY,AY956)&gt;1,COUNTIF(AZ$2:AZ955,AY956)&gt;=1),"",AY956))</f>
        <v>PENETAVET</v>
      </c>
      <c r="BA956">
        <f>IF(AZ956="","",COUNTIFS(AZ$3:AZ$1439,"&lt;"&amp;AZ956,AZ$3:AZ$1439,"&lt;&gt;0")+COUNTIF(AZ$3:AZ956,AZ956)-876)</f>
        <v>363</v>
      </c>
      <c r="BT956" s="76"/>
      <c r="CN956">
        <v>955</v>
      </c>
    </row>
    <row r="957" spans="1:92" x14ac:dyDescent="0.3">
      <c r="A957" s="118" t="s">
        <v>4083</v>
      </c>
      <c r="B957" t="s">
        <v>4084</v>
      </c>
      <c r="C957" t="s">
        <v>4085</v>
      </c>
      <c r="D957" s="144" t="s">
        <v>932</v>
      </c>
      <c r="E957" t="s">
        <v>765</v>
      </c>
      <c r="F957" t="s">
        <v>549</v>
      </c>
      <c r="G957" t="s">
        <v>766</v>
      </c>
      <c r="H957" t="s">
        <v>801</v>
      </c>
      <c r="I957" t="s">
        <v>766</v>
      </c>
      <c r="J957" t="s">
        <v>787</v>
      </c>
      <c r="K957" t="s">
        <v>787</v>
      </c>
      <c r="L957" t="s">
        <v>2522</v>
      </c>
      <c r="M957" t="s">
        <v>208</v>
      </c>
      <c r="N957" t="s">
        <v>4086</v>
      </c>
      <c r="O957" t="s">
        <v>771</v>
      </c>
      <c r="P957" t="s">
        <v>2524</v>
      </c>
      <c r="Q957" t="s">
        <v>4087</v>
      </c>
      <c r="R957">
        <v>8.52</v>
      </c>
      <c r="S957">
        <v>4</v>
      </c>
      <c r="T957">
        <v>0</v>
      </c>
      <c r="U957">
        <v>0</v>
      </c>
      <c r="V957">
        <v>0</v>
      </c>
      <c r="W957">
        <v>0</v>
      </c>
      <c r="X957">
        <v>0</v>
      </c>
      <c r="Y957">
        <v>0</v>
      </c>
      <c r="Z957">
        <v>0</v>
      </c>
      <c r="AA957">
        <v>0</v>
      </c>
      <c r="AB957">
        <v>0</v>
      </c>
      <c r="AC957">
        <v>0</v>
      </c>
      <c r="AD957">
        <v>0</v>
      </c>
      <c r="AE957">
        <v>0</v>
      </c>
      <c r="AF957">
        <v>0</v>
      </c>
      <c r="AG957">
        <v>0</v>
      </c>
      <c r="AH957">
        <v>0</v>
      </c>
      <c r="AI957">
        <v>0</v>
      </c>
      <c r="AY957" t="str">
        <f t="shared" si="193"/>
        <v>PENETHAONE 182,5 MG/ML POUDRE ET SOLVANT POUR SUSPENSION INJECTABLE POUR BOVINS</v>
      </c>
      <c r="AZ957" t="str">
        <f>IF(COUNTIF(AY:AY,AY957)=1,AY957,IF(AND(COUNTIF(AY:AY,AY957)&gt;1,COUNTIF(AZ$2:AZ956,AY957)&gt;=1),"",AY957))</f>
        <v>PENETHAONE 182,5 MG/ML POUDRE ET SOLVANT POUR SUSPENSION INJECTABLE POUR BOVINS</v>
      </c>
      <c r="BA957">
        <f>IF(AZ957="","",COUNTIFS(AZ$3:AZ$1439,"&lt;"&amp;AZ957,AZ$3:AZ$1439,"&lt;&gt;0")+COUNTIF(AZ$3:AZ957,AZ957)-876)</f>
        <v>364</v>
      </c>
      <c r="BT957" s="76"/>
      <c r="CN957">
        <v>956</v>
      </c>
    </row>
    <row r="958" spans="1:92" x14ac:dyDescent="0.3">
      <c r="A958" s="118" t="s">
        <v>1475</v>
      </c>
      <c r="B958" t="s">
        <v>1476</v>
      </c>
      <c r="C958" t="s">
        <v>1477</v>
      </c>
      <c r="D958" s="144" t="s">
        <v>780</v>
      </c>
      <c r="E958" t="s">
        <v>765</v>
      </c>
      <c r="F958" t="s">
        <v>424</v>
      </c>
      <c r="G958" t="s">
        <v>766</v>
      </c>
      <c r="H958" t="s">
        <v>1478</v>
      </c>
      <c r="I958" t="s">
        <v>766</v>
      </c>
      <c r="J958" t="s">
        <v>782</v>
      </c>
      <c r="K958" t="s">
        <v>783</v>
      </c>
      <c r="L958" t="s">
        <v>945</v>
      </c>
      <c r="M958" t="s">
        <v>208</v>
      </c>
      <c r="N958" t="s">
        <v>776</v>
      </c>
      <c r="O958" t="s">
        <v>771</v>
      </c>
      <c r="P958" t="s">
        <v>772</v>
      </c>
      <c r="Q958" t="s">
        <v>1072</v>
      </c>
      <c r="R958">
        <v>25</v>
      </c>
      <c r="S958">
        <v>5</v>
      </c>
      <c r="T958">
        <v>25</v>
      </c>
      <c r="U958">
        <v>5</v>
      </c>
      <c r="V958">
        <v>25</v>
      </c>
      <c r="W958">
        <v>5</v>
      </c>
      <c r="X958">
        <v>0</v>
      </c>
      <c r="Y958">
        <v>0</v>
      </c>
      <c r="Z958">
        <v>0</v>
      </c>
      <c r="AA958">
        <v>0</v>
      </c>
      <c r="AB958">
        <v>25</v>
      </c>
      <c r="AC958">
        <v>5</v>
      </c>
      <c r="AD958">
        <v>25</v>
      </c>
      <c r="AE958">
        <v>5</v>
      </c>
      <c r="AF958">
        <v>0</v>
      </c>
      <c r="AG958">
        <v>0</v>
      </c>
      <c r="AH958">
        <v>0</v>
      </c>
      <c r="AI958">
        <v>0</v>
      </c>
      <c r="AJ958" t="s">
        <v>787</v>
      </c>
      <c r="AK958" t="s">
        <v>788</v>
      </c>
      <c r="AL958" t="s">
        <v>208</v>
      </c>
      <c r="AM958" t="s">
        <v>789</v>
      </c>
      <c r="AN958" t="s">
        <v>771</v>
      </c>
      <c r="AO958" t="s">
        <v>772</v>
      </c>
      <c r="AP958" t="s">
        <v>790</v>
      </c>
      <c r="AY958" t="str">
        <f t="shared" si="193"/>
        <v>PEN-HISTA-STREP</v>
      </c>
      <c r="AZ958" t="str">
        <f>IF(COUNTIF(AY:AY,AY958)=1,AY958,IF(AND(COUNTIF(AY:AY,AY958)&gt;1,COUNTIF(AZ$2:AZ957,AY958)&gt;=1),"",AY958))</f>
        <v>PEN-HISTA-STREP</v>
      </c>
      <c r="BA958">
        <f>IF(AZ958="","",COUNTIFS(AZ$3:AZ$1439,"&lt;"&amp;AZ958,AZ$3:AZ$1439,"&lt;&gt;0")+COUNTIF(AZ$3:AZ958,AZ958)-876)</f>
        <v>365</v>
      </c>
      <c r="BT958" s="76"/>
      <c r="CN958">
        <v>957</v>
      </c>
    </row>
    <row r="959" spans="1:92" x14ac:dyDescent="0.3">
      <c r="A959" s="118" t="s">
        <v>1475</v>
      </c>
      <c r="B959" t="s">
        <v>1479</v>
      </c>
      <c r="C959" t="s">
        <v>943</v>
      </c>
      <c r="D959" s="144" t="s">
        <v>764</v>
      </c>
      <c r="E959" t="s">
        <v>765</v>
      </c>
      <c r="F959" t="s">
        <v>424</v>
      </c>
      <c r="G959" t="s">
        <v>766</v>
      </c>
      <c r="H959" t="s">
        <v>1478</v>
      </c>
      <c r="I959" t="s">
        <v>766</v>
      </c>
      <c r="J959" t="s">
        <v>782</v>
      </c>
      <c r="K959" t="s">
        <v>783</v>
      </c>
      <c r="L959" t="s">
        <v>945</v>
      </c>
      <c r="M959" t="s">
        <v>208</v>
      </c>
      <c r="N959" t="s">
        <v>776</v>
      </c>
      <c r="O959" t="s">
        <v>771</v>
      </c>
      <c r="P959" t="s">
        <v>772</v>
      </c>
      <c r="Q959" t="s">
        <v>855</v>
      </c>
      <c r="R959">
        <v>25</v>
      </c>
      <c r="S959">
        <v>5</v>
      </c>
      <c r="T959">
        <v>25</v>
      </c>
      <c r="U959">
        <v>5</v>
      </c>
      <c r="V959">
        <v>25</v>
      </c>
      <c r="W959">
        <v>5</v>
      </c>
      <c r="X959">
        <v>0</v>
      </c>
      <c r="Y959">
        <v>0</v>
      </c>
      <c r="Z959">
        <v>0</v>
      </c>
      <c r="AA959">
        <v>0</v>
      </c>
      <c r="AB959">
        <v>25</v>
      </c>
      <c r="AC959">
        <v>5</v>
      </c>
      <c r="AD959">
        <v>25</v>
      </c>
      <c r="AE959">
        <v>5</v>
      </c>
      <c r="AF959">
        <v>0</v>
      </c>
      <c r="AG959">
        <v>0</v>
      </c>
      <c r="AH959">
        <v>0</v>
      </c>
      <c r="AI959">
        <v>0</v>
      </c>
      <c r="AJ959" t="s">
        <v>787</v>
      </c>
      <c r="AK959" t="s">
        <v>788</v>
      </c>
      <c r="AL959" t="s">
        <v>208</v>
      </c>
      <c r="AM959" t="s">
        <v>789</v>
      </c>
      <c r="AN959" t="s">
        <v>771</v>
      </c>
      <c r="AO959" t="s">
        <v>772</v>
      </c>
      <c r="AP959" t="s">
        <v>794</v>
      </c>
      <c r="AY959" t="str">
        <f t="shared" si="193"/>
        <v>PEN-HISTA-STREP</v>
      </c>
      <c r="AZ959" t="str">
        <f>IF(COUNTIF(AY:AY,AY959)=1,AY959,IF(AND(COUNTIF(AY:AY,AY959)&gt;1,COUNTIF(AZ$2:AZ958,AY959)&gt;=1),"",AY959))</f>
        <v/>
      </c>
      <c r="BA959" t="str">
        <f>IF(AZ959="","",COUNTIFS(AZ$3:AZ$1439,"&lt;"&amp;AZ959,AZ$3:AZ$1439,"&lt;&gt;0")+COUNTIF(AZ$3:AZ959,AZ959)-876)</f>
        <v/>
      </c>
      <c r="BT959" s="76"/>
      <c r="CN959">
        <v>958</v>
      </c>
    </row>
    <row r="960" spans="1:92" x14ac:dyDescent="0.3">
      <c r="A960" s="118" t="s">
        <v>1475</v>
      </c>
      <c r="B960" t="s">
        <v>1480</v>
      </c>
      <c r="C960" t="s">
        <v>949</v>
      </c>
      <c r="D960" s="144" t="s">
        <v>776</v>
      </c>
      <c r="E960" t="s">
        <v>765</v>
      </c>
      <c r="F960" t="s">
        <v>424</v>
      </c>
      <c r="G960" t="s">
        <v>766</v>
      </c>
      <c r="H960" t="s">
        <v>1478</v>
      </c>
      <c r="I960" t="s">
        <v>766</v>
      </c>
      <c r="J960" t="s">
        <v>782</v>
      </c>
      <c r="K960" t="s">
        <v>783</v>
      </c>
      <c r="L960" t="s">
        <v>945</v>
      </c>
      <c r="M960" t="s">
        <v>208</v>
      </c>
      <c r="N960" t="s">
        <v>776</v>
      </c>
      <c r="O960" t="s">
        <v>771</v>
      </c>
      <c r="P960" t="s">
        <v>772</v>
      </c>
      <c r="Q960" t="s">
        <v>950</v>
      </c>
      <c r="R960">
        <v>25</v>
      </c>
      <c r="S960">
        <v>5</v>
      </c>
      <c r="T960">
        <v>25</v>
      </c>
      <c r="U960">
        <v>5</v>
      </c>
      <c r="V960">
        <v>25</v>
      </c>
      <c r="W960">
        <v>5</v>
      </c>
      <c r="X960">
        <v>0</v>
      </c>
      <c r="Y960">
        <v>0</v>
      </c>
      <c r="Z960">
        <v>0</v>
      </c>
      <c r="AA960">
        <v>0</v>
      </c>
      <c r="AB960">
        <v>25</v>
      </c>
      <c r="AC960">
        <v>5</v>
      </c>
      <c r="AD960">
        <v>25</v>
      </c>
      <c r="AE960">
        <v>5</v>
      </c>
      <c r="AF960">
        <v>0</v>
      </c>
      <c r="AG960">
        <v>0</v>
      </c>
      <c r="AH960">
        <v>0</v>
      </c>
      <c r="AI960">
        <v>0</v>
      </c>
      <c r="AJ960" t="s">
        <v>787</v>
      </c>
      <c r="AK960" t="s">
        <v>788</v>
      </c>
      <c r="AL960" t="s">
        <v>208</v>
      </c>
      <c r="AM960" t="s">
        <v>789</v>
      </c>
      <c r="AN960" t="s">
        <v>771</v>
      </c>
      <c r="AO960" t="s">
        <v>772</v>
      </c>
      <c r="AP960" t="s">
        <v>798</v>
      </c>
      <c r="AY960" t="str">
        <f t="shared" si="193"/>
        <v>PEN-HISTA-STREP</v>
      </c>
      <c r="AZ960" t="str">
        <f>IF(COUNTIF(AY:AY,AY960)=1,AY960,IF(AND(COUNTIF(AY:AY,AY960)&gt;1,COUNTIF(AZ$2:AZ959,AY960)&gt;=1),"",AY960))</f>
        <v/>
      </c>
      <c r="BA960" t="str">
        <f>IF(AZ960="","",COUNTIFS(AZ$3:AZ$1439,"&lt;"&amp;AZ960,AZ$3:AZ$1439,"&lt;&gt;0")+COUNTIF(AZ$3:AZ960,AZ960)-876)</f>
        <v/>
      </c>
      <c r="BT960" s="76"/>
      <c r="CN960">
        <v>959</v>
      </c>
    </row>
    <row r="961" spans="1:92" x14ac:dyDescent="0.3">
      <c r="A961" s="118" t="s">
        <v>1614</v>
      </c>
      <c r="B961" t="s">
        <v>1615</v>
      </c>
      <c r="C961" t="s">
        <v>1616</v>
      </c>
      <c r="D961" s="144" t="s">
        <v>829</v>
      </c>
      <c r="E961" t="s">
        <v>765</v>
      </c>
      <c r="F961" t="s">
        <v>425</v>
      </c>
      <c r="G961" t="s">
        <v>766</v>
      </c>
      <c r="H961" t="s">
        <v>851</v>
      </c>
      <c r="I961" t="s">
        <v>766</v>
      </c>
      <c r="J961" t="s">
        <v>782</v>
      </c>
      <c r="K961" t="s">
        <v>783</v>
      </c>
      <c r="L961" t="s">
        <v>945</v>
      </c>
      <c r="M961" t="s">
        <v>208</v>
      </c>
      <c r="N961" t="s">
        <v>1317</v>
      </c>
      <c r="O961" t="s">
        <v>771</v>
      </c>
      <c r="P961" t="s">
        <v>772</v>
      </c>
      <c r="Q961" t="s">
        <v>1317</v>
      </c>
      <c r="R961">
        <v>24.6</v>
      </c>
      <c r="S961">
        <v>5</v>
      </c>
      <c r="T961">
        <v>0</v>
      </c>
      <c r="U961">
        <v>0</v>
      </c>
      <c r="V961">
        <v>24.6</v>
      </c>
      <c r="W961">
        <v>5</v>
      </c>
      <c r="X961">
        <v>0</v>
      </c>
      <c r="Y961">
        <v>0</v>
      </c>
      <c r="Z961">
        <v>0</v>
      </c>
      <c r="AA961">
        <v>0</v>
      </c>
      <c r="AB961">
        <v>24.6</v>
      </c>
      <c r="AC961">
        <v>5</v>
      </c>
      <c r="AD961">
        <v>24.6</v>
      </c>
      <c r="AE961">
        <v>5</v>
      </c>
      <c r="AF961">
        <v>0</v>
      </c>
      <c r="AG961">
        <v>0</v>
      </c>
      <c r="AH961">
        <v>0</v>
      </c>
      <c r="AI961">
        <v>0</v>
      </c>
      <c r="AJ961" t="s">
        <v>787</v>
      </c>
      <c r="AK961" t="s">
        <v>788</v>
      </c>
      <c r="AL961" t="s">
        <v>208</v>
      </c>
      <c r="AM961" t="s">
        <v>789</v>
      </c>
      <c r="AN961" t="s">
        <v>771</v>
      </c>
      <c r="AO961" t="s">
        <v>772</v>
      </c>
      <c r="AP961" t="s">
        <v>789</v>
      </c>
      <c r="AY961" t="str">
        <f t="shared" si="193"/>
        <v>PENI DHS COOPHAVET</v>
      </c>
      <c r="AZ961" t="str">
        <f>IF(COUNTIF(AY:AY,AY961)=1,AY961,IF(AND(COUNTIF(AY:AY,AY961)&gt;1,COUNTIF(AZ$2:AZ960,AY961)&gt;=1),"",AY961))</f>
        <v>PENI DHS COOPHAVET</v>
      </c>
      <c r="BA961">
        <f>IF(AZ961="","",COUNTIFS(AZ$3:AZ$1439,"&lt;"&amp;AZ961,AZ$3:AZ$1439,"&lt;&gt;0")+COUNTIF(AZ$3:AZ961,AZ961)-876)</f>
        <v>366</v>
      </c>
      <c r="BT961" s="76"/>
      <c r="CN961">
        <v>960</v>
      </c>
    </row>
    <row r="962" spans="1:92" x14ac:dyDescent="0.3">
      <c r="A962" s="118" t="s">
        <v>1614</v>
      </c>
      <c r="B962" t="s">
        <v>1617</v>
      </c>
      <c r="C962" t="s">
        <v>1618</v>
      </c>
      <c r="D962" s="144" t="s">
        <v>829</v>
      </c>
      <c r="E962" t="s">
        <v>765</v>
      </c>
      <c r="F962" t="s">
        <v>425</v>
      </c>
      <c r="G962" t="s">
        <v>766</v>
      </c>
      <c r="H962" t="s">
        <v>851</v>
      </c>
      <c r="I962" t="s">
        <v>766</v>
      </c>
      <c r="J962" t="s">
        <v>782</v>
      </c>
      <c r="K962" t="s">
        <v>783</v>
      </c>
      <c r="L962" t="s">
        <v>945</v>
      </c>
      <c r="M962" t="s">
        <v>208</v>
      </c>
      <c r="N962" t="s">
        <v>1317</v>
      </c>
      <c r="O962" t="s">
        <v>771</v>
      </c>
      <c r="P962" t="s">
        <v>772</v>
      </c>
      <c r="Q962" t="s">
        <v>1317</v>
      </c>
      <c r="R962">
        <v>24.6</v>
      </c>
      <c r="S962">
        <v>5</v>
      </c>
      <c r="T962">
        <v>0</v>
      </c>
      <c r="U962">
        <v>0</v>
      </c>
      <c r="V962">
        <v>24.6</v>
      </c>
      <c r="W962">
        <v>5</v>
      </c>
      <c r="X962">
        <v>0</v>
      </c>
      <c r="Y962">
        <v>0</v>
      </c>
      <c r="Z962">
        <v>0</v>
      </c>
      <c r="AA962">
        <v>0</v>
      </c>
      <c r="AB962">
        <v>24.6</v>
      </c>
      <c r="AC962">
        <v>5</v>
      </c>
      <c r="AD962">
        <v>24.6</v>
      </c>
      <c r="AE962">
        <v>5</v>
      </c>
      <c r="AF962">
        <v>0</v>
      </c>
      <c r="AG962">
        <v>0</v>
      </c>
      <c r="AH962">
        <v>0</v>
      </c>
      <c r="AI962">
        <v>0</v>
      </c>
      <c r="AJ962" t="s">
        <v>787</v>
      </c>
      <c r="AK962" t="s">
        <v>788</v>
      </c>
      <c r="AL962" t="s">
        <v>208</v>
      </c>
      <c r="AM962" t="s">
        <v>789</v>
      </c>
      <c r="AN962" t="s">
        <v>771</v>
      </c>
      <c r="AO962" t="s">
        <v>772</v>
      </c>
      <c r="AP962" t="s">
        <v>789</v>
      </c>
      <c r="AY962" t="str">
        <f t="shared" si="193"/>
        <v>PENI DHS COOPHAVET</v>
      </c>
      <c r="AZ962" t="str">
        <f>IF(COUNTIF(AY:AY,AY962)=1,AY962,IF(AND(COUNTIF(AY:AY,AY962)&gt;1,COUNTIF(AZ$2:AZ961,AY962)&gt;=1),"",AY962))</f>
        <v/>
      </c>
      <c r="BA962" t="str">
        <f>IF(AZ962="","",COUNTIFS(AZ$3:AZ$1439,"&lt;"&amp;AZ962,AZ$3:AZ$1439,"&lt;&gt;0")+COUNTIF(AZ$3:AZ962,AZ962)-876)</f>
        <v/>
      </c>
      <c r="BT962" s="76"/>
      <c r="CN962">
        <v>961</v>
      </c>
    </row>
    <row r="963" spans="1:92" x14ac:dyDescent="0.3">
      <c r="A963" s="118" t="s">
        <v>1614</v>
      </c>
      <c r="B963" t="s">
        <v>1619</v>
      </c>
      <c r="C963" t="s">
        <v>792</v>
      </c>
      <c r="D963" s="144" t="s">
        <v>764</v>
      </c>
      <c r="E963" t="s">
        <v>765</v>
      </c>
      <c r="F963" t="s">
        <v>425</v>
      </c>
      <c r="G963" t="s">
        <v>766</v>
      </c>
      <c r="H963" t="s">
        <v>851</v>
      </c>
      <c r="I963" t="s">
        <v>766</v>
      </c>
      <c r="J963" t="s">
        <v>782</v>
      </c>
      <c r="K963" t="s">
        <v>783</v>
      </c>
      <c r="L963" t="s">
        <v>945</v>
      </c>
      <c r="M963" t="s">
        <v>208</v>
      </c>
      <c r="N963" t="s">
        <v>1317</v>
      </c>
      <c r="O963" t="s">
        <v>771</v>
      </c>
      <c r="P963" t="s">
        <v>772</v>
      </c>
      <c r="Q963" t="s">
        <v>1318</v>
      </c>
      <c r="R963">
        <v>24.6</v>
      </c>
      <c r="S963">
        <v>5</v>
      </c>
      <c r="T963">
        <v>0</v>
      </c>
      <c r="U963">
        <v>0</v>
      </c>
      <c r="V963">
        <v>24.6</v>
      </c>
      <c r="W963">
        <v>5</v>
      </c>
      <c r="X963">
        <v>0</v>
      </c>
      <c r="Y963">
        <v>0</v>
      </c>
      <c r="Z963">
        <v>0</v>
      </c>
      <c r="AA963">
        <v>0</v>
      </c>
      <c r="AB963">
        <v>24.6</v>
      </c>
      <c r="AC963">
        <v>5</v>
      </c>
      <c r="AD963">
        <v>24.6</v>
      </c>
      <c r="AE963">
        <v>5</v>
      </c>
      <c r="AF963">
        <v>0</v>
      </c>
      <c r="AG963">
        <v>0</v>
      </c>
      <c r="AH963">
        <v>0</v>
      </c>
      <c r="AI963">
        <v>0</v>
      </c>
      <c r="AJ963" t="s">
        <v>787</v>
      </c>
      <c r="AK963" t="s">
        <v>788</v>
      </c>
      <c r="AL963" t="s">
        <v>208</v>
      </c>
      <c r="AM963" t="s">
        <v>789</v>
      </c>
      <c r="AN963" t="s">
        <v>771</v>
      </c>
      <c r="AO963" t="s">
        <v>772</v>
      </c>
      <c r="AP963" t="s">
        <v>794</v>
      </c>
      <c r="AY963" t="str">
        <f t="shared" ref="AY963:AY1026" si="194">IF(INDEX(CK$3:CL$174,MATCH(H963,CK$3:CK$174,0),2)="x",F963,"")</f>
        <v>PENI DHS COOPHAVET</v>
      </c>
      <c r="AZ963" t="str">
        <f>IF(COUNTIF(AY:AY,AY963)=1,AY963,IF(AND(COUNTIF(AY:AY,AY963)&gt;1,COUNTIF(AZ$2:AZ962,AY963)&gt;=1),"",AY963))</f>
        <v/>
      </c>
      <c r="BA963" t="str">
        <f>IF(AZ963="","",COUNTIFS(AZ$3:AZ$1439,"&lt;"&amp;AZ963,AZ$3:AZ$1439,"&lt;&gt;0")+COUNTIF(AZ$3:AZ963,AZ963)-876)</f>
        <v/>
      </c>
      <c r="BT963" s="76"/>
      <c r="CN963">
        <v>962</v>
      </c>
    </row>
    <row r="964" spans="1:92" x14ac:dyDescent="0.3">
      <c r="A964" s="118" t="s">
        <v>1614</v>
      </c>
      <c r="B964" t="s">
        <v>1620</v>
      </c>
      <c r="C964" t="s">
        <v>796</v>
      </c>
      <c r="D964" s="144" t="s">
        <v>776</v>
      </c>
      <c r="E964" t="s">
        <v>765</v>
      </c>
      <c r="F964" t="s">
        <v>425</v>
      </c>
      <c r="G964" t="s">
        <v>766</v>
      </c>
      <c r="H964" t="s">
        <v>851</v>
      </c>
      <c r="I964" t="s">
        <v>766</v>
      </c>
      <c r="J964" t="s">
        <v>782</v>
      </c>
      <c r="K964" t="s">
        <v>783</v>
      </c>
      <c r="L964" t="s">
        <v>945</v>
      </c>
      <c r="M964" t="s">
        <v>208</v>
      </c>
      <c r="N964" t="s">
        <v>1317</v>
      </c>
      <c r="O964" t="s">
        <v>771</v>
      </c>
      <c r="P964" t="s">
        <v>772</v>
      </c>
      <c r="Q964" t="s">
        <v>1320</v>
      </c>
      <c r="R964">
        <v>24.6</v>
      </c>
      <c r="S964">
        <v>5</v>
      </c>
      <c r="T964">
        <v>0</v>
      </c>
      <c r="U964">
        <v>0</v>
      </c>
      <c r="V964">
        <v>24.6</v>
      </c>
      <c r="W964">
        <v>5</v>
      </c>
      <c r="X964">
        <v>0</v>
      </c>
      <c r="Y964">
        <v>0</v>
      </c>
      <c r="Z964">
        <v>0</v>
      </c>
      <c r="AA964">
        <v>0</v>
      </c>
      <c r="AB964">
        <v>24.6</v>
      </c>
      <c r="AC964">
        <v>5</v>
      </c>
      <c r="AD964">
        <v>24.6</v>
      </c>
      <c r="AE964">
        <v>5</v>
      </c>
      <c r="AF964">
        <v>0</v>
      </c>
      <c r="AG964">
        <v>0</v>
      </c>
      <c r="AH964">
        <v>0</v>
      </c>
      <c r="AI964">
        <v>0</v>
      </c>
      <c r="AJ964" t="s">
        <v>787</v>
      </c>
      <c r="AK964" t="s">
        <v>788</v>
      </c>
      <c r="AL964" t="s">
        <v>208</v>
      </c>
      <c r="AM964" t="s">
        <v>789</v>
      </c>
      <c r="AN964" t="s">
        <v>771</v>
      </c>
      <c r="AO964" t="s">
        <v>772</v>
      </c>
      <c r="AP964" t="s">
        <v>798</v>
      </c>
      <c r="AY964" t="str">
        <f t="shared" si="194"/>
        <v>PENI DHS COOPHAVET</v>
      </c>
      <c r="AZ964" t="str">
        <f>IF(COUNTIF(AY:AY,AY964)=1,AY964,IF(AND(COUNTIF(AY:AY,AY964)&gt;1,COUNTIF(AZ$2:AZ963,AY964)&gt;=1),"",AY964))</f>
        <v/>
      </c>
      <c r="BA964" t="str">
        <f>IF(AZ964="","",COUNTIFS(AZ$3:AZ$1439,"&lt;"&amp;AZ964,AZ$3:AZ$1439,"&lt;&gt;0")+COUNTIF(AZ$3:AZ964,AZ964)-876)</f>
        <v/>
      </c>
      <c r="BT964" s="76"/>
      <c r="CN964">
        <v>963</v>
      </c>
    </row>
    <row r="965" spans="1:92" x14ac:dyDescent="0.3">
      <c r="A965" s="118" t="s">
        <v>1614</v>
      </c>
      <c r="B965" t="s">
        <v>4408</v>
      </c>
      <c r="C965" t="s">
        <v>792</v>
      </c>
      <c r="D965" s="144" t="s">
        <v>764</v>
      </c>
      <c r="E965" t="s">
        <v>765</v>
      </c>
      <c r="F965" t="s">
        <v>425</v>
      </c>
      <c r="G965" t="s">
        <v>766</v>
      </c>
      <c r="H965" t="s">
        <v>851</v>
      </c>
      <c r="I965" t="s">
        <v>766</v>
      </c>
      <c r="J965" t="s">
        <v>782</v>
      </c>
      <c r="K965" t="s">
        <v>783</v>
      </c>
      <c r="L965" t="s">
        <v>945</v>
      </c>
      <c r="M965" t="s">
        <v>208</v>
      </c>
      <c r="N965" t="s">
        <v>1317</v>
      </c>
      <c r="O965" t="s">
        <v>771</v>
      </c>
      <c r="P965" t="s">
        <v>772</v>
      </c>
      <c r="Q965" t="s">
        <v>1318</v>
      </c>
      <c r="R965">
        <v>24.6</v>
      </c>
      <c r="S965">
        <v>5</v>
      </c>
      <c r="T965">
        <v>0</v>
      </c>
      <c r="U965">
        <v>0</v>
      </c>
      <c r="V965">
        <v>24.6</v>
      </c>
      <c r="W965">
        <v>5</v>
      </c>
      <c r="X965">
        <v>0</v>
      </c>
      <c r="Y965">
        <v>0</v>
      </c>
      <c r="Z965">
        <v>0</v>
      </c>
      <c r="AA965">
        <v>0</v>
      </c>
      <c r="AB965">
        <v>24.6</v>
      </c>
      <c r="AC965">
        <v>5</v>
      </c>
      <c r="AD965">
        <v>24.6</v>
      </c>
      <c r="AE965">
        <v>5</v>
      </c>
      <c r="AF965">
        <v>0</v>
      </c>
      <c r="AG965">
        <v>0</v>
      </c>
      <c r="AH965">
        <v>0</v>
      </c>
      <c r="AI965">
        <v>0</v>
      </c>
      <c r="AJ965" t="s">
        <v>787</v>
      </c>
      <c r="AK965" t="s">
        <v>788</v>
      </c>
      <c r="AL965" t="s">
        <v>208</v>
      </c>
      <c r="AM965" t="s">
        <v>789</v>
      </c>
      <c r="AN965" t="s">
        <v>771</v>
      </c>
      <c r="AO965" t="s">
        <v>772</v>
      </c>
      <c r="AP965" t="s">
        <v>794</v>
      </c>
      <c r="AY965" t="str">
        <f t="shared" si="194"/>
        <v>PENI DHS COOPHAVET</v>
      </c>
      <c r="AZ965" t="str">
        <f>IF(COUNTIF(AY:AY,AY965)=1,AY965,IF(AND(COUNTIF(AY:AY,AY965)&gt;1,COUNTIF(AZ$2:AZ964,AY965)&gt;=1),"",AY965))</f>
        <v/>
      </c>
      <c r="BA965" t="str">
        <f>IF(AZ965="","",COUNTIFS(AZ$3:AZ$1439,"&lt;"&amp;AZ965,AZ$3:AZ$1439,"&lt;&gt;0")+COUNTIF(AZ$3:AZ965,AZ965)-876)</f>
        <v/>
      </c>
      <c r="BT965" s="76"/>
      <c r="CN965">
        <v>964</v>
      </c>
    </row>
    <row r="966" spans="1:92" x14ac:dyDescent="0.3">
      <c r="A966" s="118" t="s">
        <v>1315</v>
      </c>
      <c r="B966" t="s">
        <v>1316</v>
      </c>
      <c r="C966" t="s">
        <v>943</v>
      </c>
      <c r="D966" s="144" t="s">
        <v>764</v>
      </c>
      <c r="E966" t="s">
        <v>765</v>
      </c>
      <c r="F966" t="s">
        <v>45</v>
      </c>
      <c r="G966" t="s">
        <v>766</v>
      </c>
      <c r="H966" t="s">
        <v>851</v>
      </c>
      <c r="I966" t="s">
        <v>766</v>
      </c>
      <c r="J966" t="s">
        <v>782</v>
      </c>
      <c r="K966" t="s">
        <v>783</v>
      </c>
      <c r="L966" t="s">
        <v>945</v>
      </c>
      <c r="M966" t="s">
        <v>208</v>
      </c>
      <c r="N966" t="s">
        <v>1317</v>
      </c>
      <c r="O966" t="s">
        <v>771</v>
      </c>
      <c r="P966" t="s">
        <v>772</v>
      </c>
      <c r="Q966" t="s">
        <v>1318</v>
      </c>
      <c r="R966">
        <v>24.6</v>
      </c>
      <c r="S966">
        <v>5</v>
      </c>
      <c r="T966">
        <v>0</v>
      </c>
      <c r="U966">
        <v>0</v>
      </c>
      <c r="V966">
        <v>16.399999999999999</v>
      </c>
      <c r="W966">
        <v>5</v>
      </c>
      <c r="X966">
        <v>0</v>
      </c>
      <c r="Y966">
        <v>0</v>
      </c>
      <c r="Z966">
        <v>0</v>
      </c>
      <c r="AA966">
        <v>0</v>
      </c>
      <c r="AB966">
        <v>24.6</v>
      </c>
      <c r="AC966">
        <v>5</v>
      </c>
      <c r="AD966">
        <v>24.6</v>
      </c>
      <c r="AE966">
        <v>5</v>
      </c>
      <c r="AF966">
        <v>0</v>
      </c>
      <c r="AG966">
        <v>0</v>
      </c>
      <c r="AH966">
        <v>0</v>
      </c>
      <c r="AI966">
        <v>0</v>
      </c>
      <c r="AJ966" t="s">
        <v>787</v>
      </c>
      <c r="AK966" t="s">
        <v>788</v>
      </c>
      <c r="AL966" t="s">
        <v>208</v>
      </c>
      <c r="AM966" t="s">
        <v>789</v>
      </c>
      <c r="AN966" t="s">
        <v>771</v>
      </c>
      <c r="AO966" t="s">
        <v>772</v>
      </c>
      <c r="AP966" t="s">
        <v>794</v>
      </c>
      <c r="AY966" t="str">
        <f t="shared" si="194"/>
        <v>PENIJECTYL</v>
      </c>
      <c r="AZ966" t="str">
        <f>IF(COUNTIF(AY:AY,AY966)=1,AY966,IF(AND(COUNTIF(AY:AY,AY966)&gt;1,COUNTIF(AZ$2:AZ965,AY966)&gt;=1),"",AY966))</f>
        <v>PENIJECTYL</v>
      </c>
      <c r="BA966">
        <f>IF(AZ966="","",COUNTIFS(AZ$3:AZ$1439,"&lt;"&amp;AZ966,AZ$3:AZ$1439,"&lt;&gt;0")+COUNTIF(AZ$3:AZ966,AZ966)-876)</f>
        <v>367</v>
      </c>
      <c r="BT966" s="76"/>
      <c r="CN966">
        <v>965</v>
      </c>
    </row>
    <row r="967" spans="1:92" x14ac:dyDescent="0.3">
      <c r="A967" s="118" t="s">
        <v>1315</v>
      </c>
      <c r="B967" t="s">
        <v>1319</v>
      </c>
      <c r="C967" t="s">
        <v>949</v>
      </c>
      <c r="D967" s="144" t="s">
        <v>776</v>
      </c>
      <c r="E967" t="s">
        <v>765</v>
      </c>
      <c r="F967" t="s">
        <v>45</v>
      </c>
      <c r="G967" t="s">
        <v>766</v>
      </c>
      <c r="H967" t="s">
        <v>851</v>
      </c>
      <c r="I967" t="s">
        <v>766</v>
      </c>
      <c r="J967" t="s">
        <v>782</v>
      </c>
      <c r="K967" t="s">
        <v>783</v>
      </c>
      <c r="L967" t="s">
        <v>945</v>
      </c>
      <c r="M967" t="s">
        <v>208</v>
      </c>
      <c r="N967" t="s">
        <v>1317</v>
      </c>
      <c r="O967" t="s">
        <v>771</v>
      </c>
      <c r="P967" t="s">
        <v>772</v>
      </c>
      <c r="Q967" t="s">
        <v>1320</v>
      </c>
      <c r="R967">
        <v>24.6</v>
      </c>
      <c r="S967">
        <v>5</v>
      </c>
      <c r="T967">
        <v>0</v>
      </c>
      <c r="U967">
        <v>0</v>
      </c>
      <c r="V967">
        <v>16.399999999999999</v>
      </c>
      <c r="W967">
        <v>5</v>
      </c>
      <c r="X967">
        <v>0</v>
      </c>
      <c r="Y967">
        <v>0</v>
      </c>
      <c r="Z967">
        <v>0</v>
      </c>
      <c r="AA967">
        <v>0</v>
      </c>
      <c r="AB967">
        <v>24.6</v>
      </c>
      <c r="AC967">
        <v>5</v>
      </c>
      <c r="AD967">
        <v>24.6</v>
      </c>
      <c r="AE967">
        <v>5</v>
      </c>
      <c r="AF967">
        <v>0</v>
      </c>
      <c r="AG967">
        <v>0</v>
      </c>
      <c r="AH967">
        <v>0</v>
      </c>
      <c r="AI967">
        <v>0</v>
      </c>
      <c r="AJ967" t="s">
        <v>787</v>
      </c>
      <c r="AK967" t="s">
        <v>788</v>
      </c>
      <c r="AL967" t="s">
        <v>208</v>
      </c>
      <c r="AM967" t="s">
        <v>789</v>
      </c>
      <c r="AN967" t="s">
        <v>771</v>
      </c>
      <c r="AO967" t="s">
        <v>772</v>
      </c>
      <c r="AP967" t="s">
        <v>798</v>
      </c>
      <c r="AY967" t="str">
        <f t="shared" si="194"/>
        <v>PENIJECTYL</v>
      </c>
      <c r="AZ967" t="str">
        <f>IF(COUNTIF(AY:AY,AY967)=1,AY967,IF(AND(COUNTIF(AY:AY,AY967)&gt;1,COUNTIF(AZ$2:AZ966,AY967)&gt;=1),"",AY967))</f>
        <v/>
      </c>
      <c r="BA967" t="str">
        <f>IF(AZ967="","",COUNTIFS(AZ$3:AZ$1439,"&lt;"&amp;AZ967,AZ$3:AZ$1439,"&lt;&gt;0")+COUNTIF(AZ$3:AZ967,AZ967)-876)</f>
        <v/>
      </c>
      <c r="BT967" s="76"/>
      <c r="CN967">
        <v>966</v>
      </c>
    </row>
    <row r="968" spans="1:92" x14ac:dyDescent="0.3">
      <c r="A968" s="118" t="s">
        <v>3024</v>
      </c>
      <c r="B968" t="s">
        <v>3025</v>
      </c>
      <c r="C968" t="s">
        <v>1062</v>
      </c>
      <c r="D968" s="144" t="s">
        <v>1063</v>
      </c>
      <c r="E968" t="s">
        <v>830</v>
      </c>
      <c r="F968" t="s">
        <v>426</v>
      </c>
      <c r="G968" t="s">
        <v>1064</v>
      </c>
      <c r="H968" t="s">
        <v>1213</v>
      </c>
      <c r="I968" t="s">
        <v>1066</v>
      </c>
      <c r="J968" t="s">
        <v>787</v>
      </c>
      <c r="K968" t="s">
        <v>787</v>
      </c>
      <c r="L968" t="s">
        <v>1055</v>
      </c>
      <c r="M968" t="s">
        <v>208</v>
      </c>
      <c r="N968" t="s">
        <v>764</v>
      </c>
      <c r="O968" t="s">
        <v>894</v>
      </c>
      <c r="P968" t="s">
        <v>772</v>
      </c>
      <c r="Q968" t="s">
        <v>966</v>
      </c>
      <c r="R968">
        <v>0</v>
      </c>
      <c r="S968">
        <v>0</v>
      </c>
      <c r="T968">
        <v>0</v>
      </c>
      <c r="U968">
        <v>0</v>
      </c>
      <c r="V968">
        <v>0</v>
      </c>
      <c r="W968">
        <v>0</v>
      </c>
      <c r="X968">
        <v>0</v>
      </c>
      <c r="Y968">
        <v>0</v>
      </c>
      <c r="Z968">
        <v>0</v>
      </c>
      <c r="AA968">
        <v>0</v>
      </c>
      <c r="AB968">
        <v>0</v>
      </c>
      <c r="AC968">
        <v>0</v>
      </c>
      <c r="AD968">
        <v>20</v>
      </c>
      <c r="AE968">
        <v>5</v>
      </c>
      <c r="AF968">
        <v>0</v>
      </c>
      <c r="AG968">
        <v>0</v>
      </c>
      <c r="AH968">
        <v>0</v>
      </c>
      <c r="AI968">
        <v>0</v>
      </c>
      <c r="AY968" t="str">
        <f t="shared" si="194"/>
        <v>PERLIUM AMOXIVAL AMOXICILLINE 100 PREMELANGE MEDICAMENTEUX PORC</v>
      </c>
      <c r="AZ968" t="str">
        <f>IF(COUNTIF(AY:AY,AY968)=1,AY968,IF(AND(COUNTIF(AY:AY,AY968)&gt;1,COUNTIF(AZ$2:AZ967,AY968)&gt;=1),"",AY968))</f>
        <v>PERLIUM AMOXIVAL AMOXICILLINE 100 PREMELANGE MEDICAMENTEUX PORC</v>
      </c>
      <c r="BA968">
        <f>IF(AZ968="","",COUNTIFS(AZ$3:AZ$1439,"&lt;"&amp;AZ968,AZ$3:AZ$1439,"&lt;&gt;0")+COUNTIF(AZ$3:AZ968,AZ968)-876)</f>
        <v>368</v>
      </c>
      <c r="BT968" s="76"/>
      <c r="CN968">
        <v>967</v>
      </c>
    </row>
    <row r="969" spans="1:92" x14ac:dyDescent="0.3">
      <c r="A969" s="118" t="s">
        <v>2857</v>
      </c>
      <c r="B969" t="s">
        <v>2858</v>
      </c>
      <c r="C969" t="s">
        <v>1222</v>
      </c>
      <c r="D969" s="144" t="s">
        <v>1063</v>
      </c>
      <c r="E969" t="s">
        <v>830</v>
      </c>
      <c r="F969" t="s">
        <v>427</v>
      </c>
      <c r="G969" t="s">
        <v>1064</v>
      </c>
      <c r="H969" t="s">
        <v>1213</v>
      </c>
      <c r="I969" t="s">
        <v>1066</v>
      </c>
      <c r="J969" t="s">
        <v>768</v>
      </c>
      <c r="K969" t="s">
        <v>768</v>
      </c>
      <c r="L969" t="s">
        <v>2121</v>
      </c>
      <c r="M969" t="s">
        <v>208</v>
      </c>
      <c r="N969" t="s">
        <v>932</v>
      </c>
      <c r="O969" t="s">
        <v>894</v>
      </c>
      <c r="P969" t="s">
        <v>772</v>
      </c>
      <c r="Q969" t="s">
        <v>829</v>
      </c>
      <c r="R969">
        <v>0</v>
      </c>
      <c r="S969">
        <v>0</v>
      </c>
      <c r="T969">
        <v>0</v>
      </c>
      <c r="U969">
        <v>0</v>
      </c>
      <c r="V969">
        <v>0</v>
      </c>
      <c r="W969">
        <v>0</v>
      </c>
      <c r="X969">
        <v>0</v>
      </c>
      <c r="Y969">
        <v>0</v>
      </c>
      <c r="Z969">
        <v>0</v>
      </c>
      <c r="AA969">
        <v>0</v>
      </c>
      <c r="AB969">
        <v>0</v>
      </c>
      <c r="AC969">
        <v>0</v>
      </c>
      <c r="AD969">
        <v>10</v>
      </c>
      <c r="AE969">
        <v>5</v>
      </c>
      <c r="AF969">
        <v>0</v>
      </c>
      <c r="AG969">
        <v>0</v>
      </c>
      <c r="AH969">
        <v>0</v>
      </c>
      <c r="AI969">
        <v>0</v>
      </c>
      <c r="AY969" t="str">
        <f t="shared" si="194"/>
        <v>PERLIUM DOXYVAL DOXYCYCLINE 40 PREMELANGE MEDICAMENTEUX PORCS</v>
      </c>
      <c r="AZ969" t="str">
        <f>IF(COUNTIF(AY:AY,AY969)=1,AY969,IF(AND(COUNTIF(AY:AY,AY969)&gt;1,COUNTIF(AZ$2:AZ968,AY969)&gt;=1),"",AY969))</f>
        <v>PERLIUM DOXYVAL DOXYCYCLINE 40 PREMELANGE MEDICAMENTEUX PORCS</v>
      </c>
      <c r="BA969">
        <f>IF(AZ969="","",COUNTIFS(AZ$3:AZ$1439,"&lt;"&amp;AZ969,AZ$3:AZ$1439,"&lt;&gt;0")+COUNTIF(AZ$3:AZ969,AZ969)-876)</f>
        <v>369</v>
      </c>
      <c r="BT969" s="76"/>
      <c r="CN969">
        <v>968</v>
      </c>
    </row>
    <row r="970" spans="1:92" x14ac:dyDescent="0.3">
      <c r="A970" s="118" t="s">
        <v>4088</v>
      </c>
      <c r="B970" t="s">
        <v>4089</v>
      </c>
      <c r="C970" t="s">
        <v>4090</v>
      </c>
      <c r="D970" s="144" t="s">
        <v>939</v>
      </c>
      <c r="E970" t="s">
        <v>765</v>
      </c>
      <c r="F970" t="s">
        <v>550</v>
      </c>
      <c r="G970" t="s">
        <v>766</v>
      </c>
      <c r="H970" t="s">
        <v>801</v>
      </c>
      <c r="I970" t="s">
        <v>766</v>
      </c>
      <c r="J970" t="s">
        <v>787</v>
      </c>
      <c r="K970" t="s">
        <v>787</v>
      </c>
      <c r="L970" t="s">
        <v>2522</v>
      </c>
      <c r="M970" t="s">
        <v>208</v>
      </c>
      <c r="N970" t="s">
        <v>4086</v>
      </c>
      <c r="O970" t="s">
        <v>771</v>
      </c>
      <c r="P970" t="s">
        <v>2524</v>
      </c>
      <c r="Q970" t="s">
        <v>4091</v>
      </c>
      <c r="R970">
        <v>8.52</v>
      </c>
      <c r="S970">
        <v>4</v>
      </c>
      <c r="T970">
        <v>0</v>
      </c>
      <c r="U970">
        <v>0</v>
      </c>
      <c r="V970">
        <v>0</v>
      </c>
      <c r="W970">
        <v>0</v>
      </c>
      <c r="X970">
        <v>0</v>
      </c>
      <c r="Y970">
        <v>0</v>
      </c>
      <c r="Z970">
        <v>0</v>
      </c>
      <c r="AA970">
        <v>0</v>
      </c>
      <c r="AB970">
        <v>0</v>
      </c>
      <c r="AC970">
        <v>0</v>
      </c>
      <c r="AD970">
        <v>0</v>
      </c>
      <c r="AE970">
        <v>0</v>
      </c>
      <c r="AF970">
        <v>0</v>
      </c>
      <c r="AG970">
        <v>0</v>
      </c>
      <c r="AH970">
        <v>0</v>
      </c>
      <c r="AI970">
        <v>0</v>
      </c>
      <c r="AY970" t="str">
        <f t="shared" si="194"/>
        <v>PERMACYL 182,5 MG/ML POUDRE ET SOLVANT POUR SUSPENSION INJECTABLE POUR BOVINS</v>
      </c>
      <c r="AZ970" t="str">
        <f>IF(COUNTIF(AY:AY,AY970)=1,AY970,IF(AND(COUNTIF(AY:AY,AY970)&gt;1,COUNTIF(AZ$2:AZ969,AY970)&gt;=1),"",AY970))</f>
        <v>PERMACYL 182,5 MG/ML POUDRE ET SOLVANT POUR SUSPENSION INJECTABLE POUR BOVINS</v>
      </c>
      <c r="BA970">
        <f>IF(AZ970="","",COUNTIFS(AZ$3:AZ$1439,"&lt;"&amp;AZ970,AZ$3:AZ$1439,"&lt;&gt;0")+COUNTIF(AZ$3:AZ970,AZ970)-876)</f>
        <v>370</v>
      </c>
      <c r="BT970" s="76"/>
      <c r="CN970">
        <v>969</v>
      </c>
    </row>
    <row r="971" spans="1:92" x14ac:dyDescent="0.3">
      <c r="A971" s="118" t="s">
        <v>1189</v>
      </c>
      <c r="B971" t="s">
        <v>1190</v>
      </c>
      <c r="C971" t="s">
        <v>1191</v>
      </c>
      <c r="D971" s="144" t="s">
        <v>955</v>
      </c>
      <c r="E971" t="s">
        <v>830</v>
      </c>
      <c r="F971" t="s">
        <v>670</v>
      </c>
      <c r="G971" t="s">
        <v>831</v>
      </c>
      <c r="H971" t="s">
        <v>1192</v>
      </c>
      <c r="I971" t="s">
        <v>817</v>
      </c>
      <c r="J971" t="s">
        <v>991</v>
      </c>
      <c r="K971" t="s">
        <v>787</v>
      </c>
      <c r="L971" t="s">
        <v>992</v>
      </c>
      <c r="M971" t="s">
        <v>208</v>
      </c>
      <c r="N971" t="s">
        <v>885</v>
      </c>
      <c r="O971" t="s">
        <v>894</v>
      </c>
      <c r="P971" t="s">
        <v>772</v>
      </c>
      <c r="Q971" t="s">
        <v>855</v>
      </c>
      <c r="R971">
        <v>20</v>
      </c>
      <c r="S971">
        <v>3</v>
      </c>
      <c r="T971">
        <v>0</v>
      </c>
      <c r="U971">
        <v>0</v>
      </c>
      <c r="V971">
        <v>0</v>
      </c>
      <c r="W971">
        <v>0</v>
      </c>
      <c r="X971">
        <v>0</v>
      </c>
      <c r="Y971">
        <v>0</v>
      </c>
      <c r="Z971">
        <v>0</v>
      </c>
      <c r="AA971">
        <v>0</v>
      </c>
      <c r="AB971">
        <v>20</v>
      </c>
      <c r="AC971">
        <v>3</v>
      </c>
      <c r="AD971">
        <v>0</v>
      </c>
      <c r="AE971">
        <v>0</v>
      </c>
      <c r="AF971">
        <v>20</v>
      </c>
      <c r="AG971">
        <v>3</v>
      </c>
      <c r="AH971">
        <v>0</v>
      </c>
      <c r="AI971">
        <v>0</v>
      </c>
      <c r="AJ971" t="s">
        <v>914</v>
      </c>
      <c r="AK971" t="s">
        <v>995</v>
      </c>
      <c r="AL971" t="s">
        <v>996</v>
      </c>
      <c r="AM971" t="s">
        <v>924</v>
      </c>
      <c r="AN971" t="s">
        <v>834</v>
      </c>
      <c r="AO971" t="s">
        <v>4371</v>
      </c>
      <c r="AP971" t="s">
        <v>1126</v>
      </c>
      <c r="AY971" t="str">
        <f t="shared" si="194"/>
        <v>PHADILACT</v>
      </c>
      <c r="AZ971" t="str">
        <f>IF(COUNTIF(AY:AY,AY971)=1,AY971,IF(AND(COUNTIF(AY:AY,AY971)&gt;1,COUNTIF(AZ$2:AZ970,AY971)&gt;=1),"",AY971))</f>
        <v>PHADILACT</v>
      </c>
      <c r="BA971">
        <f>IF(AZ971="","",COUNTIFS(AZ$3:AZ$1439,"&lt;"&amp;AZ971,AZ$3:AZ$1439,"&lt;&gt;0")+COUNTIF(AZ$3:AZ971,AZ971)-876)</f>
        <v>371</v>
      </c>
      <c r="BT971" s="76"/>
      <c r="CN971">
        <v>970</v>
      </c>
    </row>
    <row r="972" spans="1:92" x14ac:dyDescent="0.3">
      <c r="A972" s="118" t="s">
        <v>4157</v>
      </c>
      <c r="B972" t="s">
        <v>4158</v>
      </c>
      <c r="C972" t="s">
        <v>1313</v>
      </c>
      <c r="D972" s="144" t="s">
        <v>955</v>
      </c>
      <c r="E972" t="s">
        <v>830</v>
      </c>
      <c r="F972" t="s">
        <v>428</v>
      </c>
      <c r="G972" t="s">
        <v>1064</v>
      </c>
      <c r="H972" t="s">
        <v>1091</v>
      </c>
      <c r="I972" t="s">
        <v>1066</v>
      </c>
      <c r="J972" t="s">
        <v>802</v>
      </c>
      <c r="K972" t="s">
        <v>802</v>
      </c>
      <c r="L972" t="s">
        <v>1092</v>
      </c>
      <c r="M972" t="s">
        <v>208</v>
      </c>
      <c r="N972" t="s">
        <v>819</v>
      </c>
      <c r="O972" t="s">
        <v>834</v>
      </c>
      <c r="P972" t="s">
        <v>1537</v>
      </c>
      <c r="Q972" t="s">
        <v>906</v>
      </c>
      <c r="R972">
        <v>0</v>
      </c>
      <c r="S972">
        <v>0</v>
      </c>
      <c r="T972">
        <v>0</v>
      </c>
      <c r="U972">
        <v>0</v>
      </c>
      <c r="V972">
        <v>0</v>
      </c>
      <c r="W972">
        <v>0</v>
      </c>
      <c r="X972">
        <v>0</v>
      </c>
      <c r="Y972">
        <v>0</v>
      </c>
      <c r="Z972">
        <v>0</v>
      </c>
      <c r="AA972">
        <v>0</v>
      </c>
      <c r="AB972">
        <v>0</v>
      </c>
      <c r="AC972">
        <v>0</v>
      </c>
      <c r="AD972">
        <v>5</v>
      </c>
      <c r="AE972">
        <v>21</v>
      </c>
      <c r="AF972">
        <v>100</v>
      </c>
      <c r="AG972">
        <v>5</v>
      </c>
      <c r="AH972">
        <v>0</v>
      </c>
      <c r="AI972">
        <v>0</v>
      </c>
      <c r="AY972" t="str">
        <f t="shared" si="194"/>
        <v>PHARMASIN 100 PREMELANGE MEDICAMENTEUX VOLAILLES PORCS</v>
      </c>
      <c r="AZ972" t="str">
        <f>IF(COUNTIF(AY:AY,AY972)=1,AY972,IF(AND(COUNTIF(AY:AY,AY972)&gt;1,COUNTIF(AZ$2:AZ971,AY972)&gt;=1),"",AY972))</f>
        <v>PHARMASIN 100 PREMELANGE MEDICAMENTEUX VOLAILLES PORCS</v>
      </c>
      <c r="BA972">
        <f>IF(AZ972="","",COUNTIFS(AZ$3:AZ$1439,"&lt;"&amp;AZ972,AZ$3:AZ$1439,"&lt;&gt;0")+COUNTIF(AZ$3:AZ972,AZ972)-876)</f>
        <v>372</v>
      </c>
      <c r="BT972" s="76"/>
      <c r="CN972">
        <v>971</v>
      </c>
    </row>
    <row r="973" spans="1:92" x14ac:dyDescent="0.3">
      <c r="A973" s="118" t="s">
        <v>4157</v>
      </c>
      <c r="B973" t="s">
        <v>4159</v>
      </c>
      <c r="C973" t="s">
        <v>2263</v>
      </c>
      <c r="D973" s="144" t="s">
        <v>1536</v>
      </c>
      <c r="E973" t="s">
        <v>830</v>
      </c>
      <c r="F973" t="s">
        <v>428</v>
      </c>
      <c r="G973" t="s">
        <v>1064</v>
      </c>
      <c r="H973" t="s">
        <v>1091</v>
      </c>
      <c r="I973" t="s">
        <v>1066</v>
      </c>
      <c r="J973" t="s">
        <v>802</v>
      </c>
      <c r="K973" t="s">
        <v>802</v>
      </c>
      <c r="L973" t="s">
        <v>1092</v>
      </c>
      <c r="M973" t="s">
        <v>208</v>
      </c>
      <c r="N973" t="s">
        <v>819</v>
      </c>
      <c r="O973" t="s">
        <v>834</v>
      </c>
      <c r="P973" t="s">
        <v>1537</v>
      </c>
      <c r="Q973" t="s">
        <v>902</v>
      </c>
      <c r="R973">
        <v>0</v>
      </c>
      <c r="S973">
        <v>0</v>
      </c>
      <c r="T973">
        <v>0</v>
      </c>
      <c r="U973">
        <v>0</v>
      </c>
      <c r="V973">
        <v>0</v>
      </c>
      <c r="W973">
        <v>0</v>
      </c>
      <c r="X973">
        <v>0</v>
      </c>
      <c r="Y973">
        <v>0</v>
      </c>
      <c r="Z973">
        <v>0</v>
      </c>
      <c r="AA973">
        <v>0</v>
      </c>
      <c r="AB973">
        <v>0</v>
      </c>
      <c r="AC973">
        <v>0</v>
      </c>
      <c r="AD973">
        <v>5</v>
      </c>
      <c r="AE973">
        <v>21</v>
      </c>
      <c r="AF973">
        <v>100</v>
      </c>
      <c r="AG973">
        <v>5</v>
      </c>
      <c r="AH973">
        <v>0</v>
      </c>
      <c r="AI973">
        <v>0</v>
      </c>
      <c r="AY973" t="str">
        <f t="shared" si="194"/>
        <v>PHARMASIN 100 PREMELANGE MEDICAMENTEUX VOLAILLES PORCS</v>
      </c>
      <c r="AZ973" t="str">
        <f>IF(COUNTIF(AY:AY,AY973)=1,AY973,IF(AND(COUNTIF(AY:AY,AY973)&gt;1,COUNTIF(AZ$2:AZ972,AY973)&gt;=1),"",AY973))</f>
        <v/>
      </c>
      <c r="BA973" t="str">
        <f>IF(AZ973="","",COUNTIFS(AZ$3:AZ$1439,"&lt;"&amp;AZ973,AZ$3:AZ$1439,"&lt;&gt;0")+COUNTIF(AZ$3:AZ973,AZ973)-876)</f>
        <v/>
      </c>
      <c r="BT973" s="76"/>
      <c r="CN973">
        <v>972</v>
      </c>
    </row>
    <row r="974" spans="1:92" x14ac:dyDescent="0.3">
      <c r="A974" s="118" t="s">
        <v>3549</v>
      </c>
      <c r="B974" t="s">
        <v>3550</v>
      </c>
      <c r="C974" t="s">
        <v>2263</v>
      </c>
      <c r="D974" s="144" t="s">
        <v>1536</v>
      </c>
      <c r="E974" t="s">
        <v>830</v>
      </c>
      <c r="F974" t="s">
        <v>429</v>
      </c>
      <c r="G974" t="s">
        <v>1064</v>
      </c>
      <c r="H974" t="s">
        <v>1091</v>
      </c>
      <c r="I974" t="s">
        <v>1066</v>
      </c>
      <c r="J974" t="s">
        <v>802</v>
      </c>
      <c r="K974" t="s">
        <v>802</v>
      </c>
      <c r="L974" t="s">
        <v>1092</v>
      </c>
      <c r="M974" t="s">
        <v>208</v>
      </c>
      <c r="N974" t="s">
        <v>1536</v>
      </c>
      <c r="O974" t="s">
        <v>834</v>
      </c>
      <c r="P974" t="s">
        <v>1537</v>
      </c>
      <c r="Q974" t="s">
        <v>939</v>
      </c>
      <c r="R974">
        <v>0</v>
      </c>
      <c r="S974">
        <v>0</v>
      </c>
      <c r="T974">
        <v>0</v>
      </c>
      <c r="U974">
        <v>0</v>
      </c>
      <c r="V974">
        <v>0</v>
      </c>
      <c r="W974">
        <v>0</v>
      </c>
      <c r="X974">
        <v>0</v>
      </c>
      <c r="Y974">
        <v>0</v>
      </c>
      <c r="Z974">
        <v>0</v>
      </c>
      <c r="AA974">
        <v>0</v>
      </c>
      <c r="AB974">
        <v>0</v>
      </c>
      <c r="AC974">
        <v>0</v>
      </c>
      <c r="AD974">
        <v>5</v>
      </c>
      <c r="AE974">
        <v>21</v>
      </c>
      <c r="AF974">
        <v>100</v>
      </c>
      <c r="AG974">
        <v>5</v>
      </c>
      <c r="AH974">
        <v>0</v>
      </c>
      <c r="AI974">
        <v>0</v>
      </c>
      <c r="AY974" t="str">
        <f t="shared" si="194"/>
        <v>PHARMASIN 20 G/KG PREMELANGE MEDICAMENTEUX VOLAILLES PORCS</v>
      </c>
      <c r="AZ974" t="str">
        <f>IF(COUNTIF(AY:AY,AY974)=1,AY974,IF(AND(COUNTIF(AY:AY,AY974)&gt;1,COUNTIF(AZ$2:AZ973,AY974)&gt;=1),"",AY974))</f>
        <v>PHARMASIN 20 G/KG PREMELANGE MEDICAMENTEUX VOLAILLES PORCS</v>
      </c>
      <c r="BA974">
        <f>IF(AZ974="","",COUNTIFS(AZ$3:AZ$1439,"&lt;"&amp;AZ974,AZ$3:AZ$1439,"&lt;&gt;0")+COUNTIF(AZ$3:AZ974,AZ974)-876)</f>
        <v>373</v>
      </c>
      <c r="BT974" s="76"/>
      <c r="CN974">
        <v>973</v>
      </c>
    </row>
    <row r="975" spans="1:92" x14ac:dyDescent="0.3">
      <c r="A975" s="118" t="s">
        <v>3867</v>
      </c>
      <c r="B975" t="s">
        <v>3868</v>
      </c>
      <c r="C975" t="s">
        <v>792</v>
      </c>
      <c r="D975" s="144" t="s">
        <v>764</v>
      </c>
      <c r="E975" t="s">
        <v>765</v>
      </c>
      <c r="F975" t="s">
        <v>430</v>
      </c>
      <c r="G975" t="s">
        <v>766</v>
      </c>
      <c r="H975" t="s">
        <v>851</v>
      </c>
      <c r="I975" t="s">
        <v>766</v>
      </c>
      <c r="J975" t="s">
        <v>802</v>
      </c>
      <c r="K975" t="s">
        <v>802</v>
      </c>
      <c r="L975" t="s">
        <v>1092</v>
      </c>
      <c r="M975" t="s">
        <v>208</v>
      </c>
      <c r="N975" t="s">
        <v>1103</v>
      </c>
      <c r="O975" t="s">
        <v>805</v>
      </c>
      <c r="P975" t="s">
        <v>1537</v>
      </c>
      <c r="Q975" t="s">
        <v>869</v>
      </c>
      <c r="R975">
        <v>10</v>
      </c>
      <c r="S975">
        <v>3</v>
      </c>
      <c r="T975">
        <v>0</v>
      </c>
      <c r="U975">
        <v>0</v>
      </c>
      <c r="V975">
        <v>0</v>
      </c>
      <c r="W975">
        <v>0</v>
      </c>
      <c r="X975">
        <v>0</v>
      </c>
      <c r="Y975">
        <v>0</v>
      </c>
      <c r="Z975">
        <v>0</v>
      </c>
      <c r="AA975">
        <v>0</v>
      </c>
      <c r="AB975">
        <v>10</v>
      </c>
      <c r="AC975">
        <v>3</v>
      </c>
      <c r="AD975">
        <v>10</v>
      </c>
      <c r="AE975">
        <v>3</v>
      </c>
      <c r="AF975">
        <v>0</v>
      </c>
      <c r="AG975">
        <v>0</v>
      </c>
      <c r="AH975">
        <v>0</v>
      </c>
      <c r="AI975">
        <v>0</v>
      </c>
      <c r="AY975" t="str">
        <f t="shared" si="194"/>
        <v>PHARMASIN 200 MG/ML SOLUTION INJECTABLE POUR BOVINS OVINS CAPRINS ET PORCINS</v>
      </c>
      <c r="AZ975" t="str">
        <f>IF(COUNTIF(AY:AY,AY975)=1,AY975,IF(AND(COUNTIF(AY:AY,AY975)&gt;1,COUNTIF(AZ$2:AZ974,AY975)&gt;=1),"",AY975))</f>
        <v>PHARMASIN 200 MG/ML SOLUTION INJECTABLE POUR BOVINS OVINS CAPRINS ET PORCINS</v>
      </c>
      <c r="BA975">
        <f>IF(AZ975="","",COUNTIFS(AZ$3:AZ$1439,"&lt;"&amp;AZ975,AZ$3:AZ$1439,"&lt;&gt;0")+COUNTIF(AZ$3:AZ975,AZ975)-876)</f>
        <v>374</v>
      </c>
      <c r="BT975" s="76"/>
      <c r="CN975">
        <v>974</v>
      </c>
    </row>
    <row r="976" spans="1:92" x14ac:dyDescent="0.3">
      <c r="A976" s="118" t="s">
        <v>3867</v>
      </c>
      <c r="B976" t="s">
        <v>3869</v>
      </c>
      <c r="C976" t="s">
        <v>796</v>
      </c>
      <c r="D976" s="144" t="s">
        <v>776</v>
      </c>
      <c r="E976" t="s">
        <v>765</v>
      </c>
      <c r="F976" t="s">
        <v>430</v>
      </c>
      <c r="G976" t="s">
        <v>766</v>
      </c>
      <c r="H976" t="s">
        <v>851</v>
      </c>
      <c r="I976" t="s">
        <v>766</v>
      </c>
      <c r="J976" t="s">
        <v>802</v>
      </c>
      <c r="K976" t="s">
        <v>802</v>
      </c>
      <c r="L976" t="s">
        <v>1092</v>
      </c>
      <c r="M976" t="s">
        <v>208</v>
      </c>
      <c r="N976" t="s">
        <v>1103</v>
      </c>
      <c r="O976" t="s">
        <v>805</v>
      </c>
      <c r="P976" t="s">
        <v>1537</v>
      </c>
      <c r="Q976" t="s">
        <v>780</v>
      </c>
      <c r="R976">
        <v>10</v>
      </c>
      <c r="S976">
        <v>3</v>
      </c>
      <c r="T976">
        <v>0</v>
      </c>
      <c r="U976">
        <v>0</v>
      </c>
      <c r="V976">
        <v>0</v>
      </c>
      <c r="W976">
        <v>0</v>
      </c>
      <c r="X976">
        <v>0</v>
      </c>
      <c r="Y976">
        <v>0</v>
      </c>
      <c r="Z976">
        <v>0</v>
      </c>
      <c r="AA976">
        <v>0</v>
      </c>
      <c r="AB976">
        <v>10</v>
      </c>
      <c r="AC976">
        <v>3</v>
      </c>
      <c r="AD976">
        <v>10</v>
      </c>
      <c r="AE976">
        <v>3</v>
      </c>
      <c r="AF976">
        <v>0</v>
      </c>
      <c r="AG976">
        <v>0</v>
      </c>
      <c r="AH976">
        <v>0</v>
      </c>
      <c r="AI976">
        <v>0</v>
      </c>
      <c r="AY976" t="str">
        <f t="shared" si="194"/>
        <v>PHARMASIN 200 MG/ML SOLUTION INJECTABLE POUR BOVINS OVINS CAPRINS ET PORCINS</v>
      </c>
      <c r="AZ976" t="str">
        <f>IF(COUNTIF(AY:AY,AY976)=1,AY976,IF(AND(COUNTIF(AY:AY,AY976)&gt;1,COUNTIF(AZ$2:AZ975,AY976)&gt;=1),"",AY976))</f>
        <v/>
      </c>
      <c r="BA976" t="str">
        <f>IF(AZ976="","",COUNTIFS(AZ$3:AZ$1439,"&lt;"&amp;AZ976,AZ$3:AZ$1439,"&lt;&gt;0")+COUNTIF(AZ$3:AZ976,AZ976)-876)</f>
        <v/>
      </c>
      <c r="BT976" s="76"/>
      <c r="CN976">
        <v>975</v>
      </c>
    </row>
    <row r="977" spans="1:92" x14ac:dyDescent="0.3">
      <c r="A977" s="118" t="s">
        <v>4125</v>
      </c>
      <c r="B977" t="s">
        <v>4126</v>
      </c>
      <c r="C977" t="s">
        <v>3610</v>
      </c>
      <c r="D977" s="144" t="s">
        <v>906</v>
      </c>
      <c r="E977" t="s">
        <v>830</v>
      </c>
      <c r="F977" t="s">
        <v>431</v>
      </c>
      <c r="G977" t="s">
        <v>831</v>
      </c>
      <c r="H977" t="s">
        <v>2126</v>
      </c>
      <c r="I977" t="s">
        <v>817</v>
      </c>
      <c r="J977" t="s">
        <v>787</v>
      </c>
      <c r="K977" t="s">
        <v>787</v>
      </c>
      <c r="L977" t="s">
        <v>3252</v>
      </c>
      <c r="M977" t="s">
        <v>208</v>
      </c>
      <c r="N977" t="s">
        <v>2444</v>
      </c>
      <c r="O977" t="s">
        <v>894</v>
      </c>
      <c r="P977" t="s">
        <v>772</v>
      </c>
      <c r="Q977" t="s">
        <v>939</v>
      </c>
      <c r="R977">
        <v>0</v>
      </c>
      <c r="S977">
        <v>0</v>
      </c>
      <c r="T977">
        <v>0</v>
      </c>
      <c r="U977">
        <v>0</v>
      </c>
      <c r="V977">
        <v>0</v>
      </c>
      <c r="W977">
        <v>0</v>
      </c>
      <c r="X977">
        <v>0</v>
      </c>
      <c r="Y977">
        <v>0</v>
      </c>
      <c r="Z977">
        <v>0</v>
      </c>
      <c r="AA977">
        <v>0</v>
      </c>
      <c r="AB977">
        <v>0</v>
      </c>
      <c r="AC977">
        <v>0</v>
      </c>
      <c r="AD977">
        <v>0</v>
      </c>
      <c r="AE977">
        <v>0</v>
      </c>
      <c r="AF977">
        <v>20</v>
      </c>
      <c r="AG977">
        <v>5</v>
      </c>
      <c r="AH977">
        <v>0</v>
      </c>
      <c r="AI977">
        <v>0</v>
      </c>
      <c r="AY977" t="str">
        <f t="shared" si="194"/>
        <v>PHENOCILLIN 800 MG/G POUDRE POUR ADMINISTRATION DANS L'EAU DE BOISSON POUR POULETS</v>
      </c>
      <c r="AZ977" t="str">
        <f>IF(COUNTIF(AY:AY,AY977)=1,AY977,IF(AND(COUNTIF(AY:AY,AY977)&gt;1,COUNTIF(AZ$2:AZ976,AY977)&gt;=1),"",AY977))</f>
        <v>PHENOCILLIN 800 MG/G POUDRE POUR ADMINISTRATION DANS L'EAU DE BOISSON POUR POULETS</v>
      </c>
      <c r="BA977">
        <f>IF(AZ977="","",COUNTIFS(AZ$3:AZ$1439,"&lt;"&amp;AZ977,AZ$3:AZ$1439,"&lt;&gt;0")+COUNTIF(AZ$3:AZ977,AZ977)-876)</f>
        <v>375</v>
      </c>
      <c r="BT977" s="76"/>
      <c r="CN977">
        <v>976</v>
      </c>
    </row>
    <row r="978" spans="1:92" x14ac:dyDescent="0.3">
      <c r="A978" s="118" t="s">
        <v>4125</v>
      </c>
      <c r="B978" t="s">
        <v>4127</v>
      </c>
      <c r="C978" t="s">
        <v>3556</v>
      </c>
      <c r="D978" s="144" t="s">
        <v>829</v>
      </c>
      <c r="E978" t="s">
        <v>830</v>
      </c>
      <c r="F978" t="s">
        <v>431</v>
      </c>
      <c r="G978" t="s">
        <v>831</v>
      </c>
      <c r="H978" t="s">
        <v>2126</v>
      </c>
      <c r="I978" t="s">
        <v>817</v>
      </c>
      <c r="J978" t="s">
        <v>787</v>
      </c>
      <c r="K978" t="s">
        <v>787</v>
      </c>
      <c r="L978" t="s">
        <v>3252</v>
      </c>
      <c r="M978" t="s">
        <v>208</v>
      </c>
      <c r="N978" t="s">
        <v>2444</v>
      </c>
      <c r="O978" t="s">
        <v>894</v>
      </c>
      <c r="P978" t="s">
        <v>772</v>
      </c>
      <c r="Q978" t="s">
        <v>2444</v>
      </c>
      <c r="R978">
        <v>0</v>
      </c>
      <c r="S978">
        <v>0</v>
      </c>
      <c r="T978">
        <v>0</v>
      </c>
      <c r="U978">
        <v>0</v>
      </c>
      <c r="V978">
        <v>0</v>
      </c>
      <c r="W978">
        <v>0</v>
      </c>
      <c r="X978">
        <v>0</v>
      </c>
      <c r="Y978">
        <v>0</v>
      </c>
      <c r="Z978">
        <v>0</v>
      </c>
      <c r="AA978">
        <v>0</v>
      </c>
      <c r="AB978">
        <v>0</v>
      </c>
      <c r="AC978">
        <v>0</v>
      </c>
      <c r="AD978">
        <v>0</v>
      </c>
      <c r="AE978">
        <v>0</v>
      </c>
      <c r="AF978">
        <v>20</v>
      </c>
      <c r="AG978">
        <v>5</v>
      </c>
      <c r="AH978">
        <v>0</v>
      </c>
      <c r="AI978">
        <v>0</v>
      </c>
      <c r="AY978" t="str">
        <f t="shared" si="194"/>
        <v>PHENOCILLIN 800 MG/G POUDRE POUR ADMINISTRATION DANS L'EAU DE BOISSON POUR POULETS</v>
      </c>
      <c r="AZ978" t="str">
        <f>IF(COUNTIF(AY:AY,AY978)=1,AY978,IF(AND(COUNTIF(AY:AY,AY978)&gt;1,COUNTIF(AZ$2:AZ977,AY978)&gt;=1),"",AY978))</f>
        <v/>
      </c>
      <c r="BA978" t="str">
        <f>IF(AZ978="","",COUNTIFS(AZ$3:AZ$1439,"&lt;"&amp;AZ978,AZ$3:AZ$1439,"&lt;&gt;0")+COUNTIF(AZ$3:AZ978,AZ978)-876)</f>
        <v/>
      </c>
      <c r="BT978" s="76"/>
      <c r="CN978">
        <v>977</v>
      </c>
    </row>
    <row r="979" spans="1:92" x14ac:dyDescent="0.3">
      <c r="A979" s="118" t="s">
        <v>3250</v>
      </c>
      <c r="B979" t="s">
        <v>3251</v>
      </c>
      <c r="C979" t="s">
        <v>828</v>
      </c>
      <c r="D979" s="144" t="s">
        <v>829</v>
      </c>
      <c r="E979" t="s">
        <v>830</v>
      </c>
      <c r="F979" t="s">
        <v>432</v>
      </c>
      <c r="G979" t="s">
        <v>831</v>
      </c>
      <c r="H979" t="s">
        <v>2683</v>
      </c>
      <c r="I979" t="s">
        <v>817</v>
      </c>
      <c r="J979" t="s">
        <v>787</v>
      </c>
      <c r="K979" t="s">
        <v>787</v>
      </c>
      <c r="L979" t="s">
        <v>3252</v>
      </c>
      <c r="M979" t="s">
        <v>208</v>
      </c>
      <c r="N979" t="s">
        <v>3253</v>
      </c>
      <c r="O979" t="s">
        <v>894</v>
      </c>
      <c r="P979" t="s">
        <v>772</v>
      </c>
      <c r="Q979" t="s">
        <v>3253</v>
      </c>
      <c r="R979">
        <v>0</v>
      </c>
      <c r="S979">
        <v>0</v>
      </c>
      <c r="T979">
        <v>0</v>
      </c>
      <c r="U979">
        <v>0</v>
      </c>
      <c r="V979">
        <v>0</v>
      </c>
      <c r="W979">
        <v>0</v>
      </c>
      <c r="X979">
        <v>0</v>
      </c>
      <c r="Y979">
        <v>0</v>
      </c>
      <c r="Z979">
        <v>0</v>
      </c>
      <c r="AA979">
        <v>0</v>
      </c>
      <c r="AB979">
        <v>0</v>
      </c>
      <c r="AC979">
        <v>0</v>
      </c>
      <c r="AD979">
        <v>0</v>
      </c>
      <c r="AE979">
        <v>0</v>
      </c>
      <c r="AF979">
        <v>20</v>
      </c>
      <c r="AG979">
        <v>5</v>
      </c>
      <c r="AH979">
        <v>20</v>
      </c>
      <c r="AI979">
        <v>5</v>
      </c>
      <c r="AY979" t="str">
        <f t="shared" si="194"/>
        <v>PHENOXYPEN WSP</v>
      </c>
      <c r="AZ979" t="str">
        <f>IF(COUNTIF(AY:AY,AY979)=1,AY979,IF(AND(COUNTIF(AY:AY,AY979)&gt;1,COUNTIF(AZ$2:AZ978,AY979)&gt;=1),"",AY979))</f>
        <v>PHENOXYPEN WSP</v>
      </c>
      <c r="BA979">
        <f>IF(AZ979="","",COUNTIFS(AZ$3:AZ$1439,"&lt;"&amp;AZ979,AZ$3:AZ$1439,"&lt;&gt;0")+COUNTIF(AZ$3:AZ979,AZ979)-876)</f>
        <v>376</v>
      </c>
      <c r="BT979" s="76"/>
      <c r="CN979">
        <v>978</v>
      </c>
    </row>
    <row r="980" spans="1:92" x14ac:dyDescent="0.3">
      <c r="A980" s="118" t="s">
        <v>3250</v>
      </c>
      <c r="B980" t="s">
        <v>3254</v>
      </c>
      <c r="C980" t="s">
        <v>3255</v>
      </c>
      <c r="D980" s="144" t="s">
        <v>829</v>
      </c>
      <c r="E980" t="s">
        <v>830</v>
      </c>
      <c r="F980" t="s">
        <v>432</v>
      </c>
      <c r="G980" t="s">
        <v>831</v>
      </c>
      <c r="H980" t="s">
        <v>2683</v>
      </c>
      <c r="I980" t="s">
        <v>817</v>
      </c>
      <c r="J980" t="s">
        <v>787</v>
      </c>
      <c r="K980" t="s">
        <v>787</v>
      </c>
      <c r="L980" t="s">
        <v>3252</v>
      </c>
      <c r="M980" t="s">
        <v>208</v>
      </c>
      <c r="N980" t="s">
        <v>3253</v>
      </c>
      <c r="O980" t="s">
        <v>894</v>
      </c>
      <c r="P980" t="s">
        <v>772</v>
      </c>
      <c r="Q980" t="s">
        <v>3253</v>
      </c>
      <c r="R980">
        <v>0</v>
      </c>
      <c r="S980">
        <v>0</v>
      </c>
      <c r="T980">
        <v>0</v>
      </c>
      <c r="U980">
        <v>0</v>
      </c>
      <c r="V980">
        <v>0</v>
      </c>
      <c r="W980">
        <v>0</v>
      </c>
      <c r="X980">
        <v>0</v>
      </c>
      <c r="Y980">
        <v>0</v>
      </c>
      <c r="Z980">
        <v>0</v>
      </c>
      <c r="AA980">
        <v>0</v>
      </c>
      <c r="AB980">
        <v>0</v>
      </c>
      <c r="AC980">
        <v>0</v>
      </c>
      <c r="AD980">
        <v>0</v>
      </c>
      <c r="AE980">
        <v>0</v>
      </c>
      <c r="AF980">
        <v>20</v>
      </c>
      <c r="AG980">
        <v>5</v>
      </c>
      <c r="AH980">
        <v>20</v>
      </c>
      <c r="AI980">
        <v>5</v>
      </c>
      <c r="AY980" t="str">
        <f t="shared" si="194"/>
        <v>PHENOXYPEN WSP</v>
      </c>
      <c r="AZ980" t="str">
        <f>IF(COUNTIF(AY:AY,AY980)=1,AY980,IF(AND(COUNTIF(AY:AY,AY980)&gt;1,COUNTIF(AZ$2:AZ979,AY980)&gt;=1),"",AY980))</f>
        <v/>
      </c>
      <c r="BA980" t="str">
        <f>IF(AZ980="","",COUNTIFS(AZ$3:AZ$1439,"&lt;"&amp;AZ980,AZ$3:AZ$1439,"&lt;&gt;0")+COUNTIF(AZ$3:AZ980,AZ980)-876)</f>
        <v/>
      </c>
      <c r="BT980" s="76"/>
      <c r="CN980">
        <v>979</v>
      </c>
    </row>
    <row r="981" spans="1:92" x14ac:dyDescent="0.3">
      <c r="A981" s="118" t="s">
        <v>1144</v>
      </c>
      <c r="B981" t="s">
        <v>1145</v>
      </c>
      <c r="C981" t="s">
        <v>1146</v>
      </c>
      <c r="D981" s="144" t="s">
        <v>764</v>
      </c>
      <c r="E981" t="s">
        <v>813</v>
      </c>
      <c r="F981" t="s">
        <v>1147</v>
      </c>
      <c r="G981" t="s">
        <v>815</v>
      </c>
      <c r="H981" t="s">
        <v>1138</v>
      </c>
      <c r="I981" t="s">
        <v>817</v>
      </c>
      <c r="J981" t="s">
        <v>1148</v>
      </c>
      <c r="K981" t="s">
        <v>862</v>
      </c>
      <c r="L981" t="s">
        <v>895</v>
      </c>
      <c r="M981" t="s">
        <v>208</v>
      </c>
      <c r="N981" t="s">
        <v>932</v>
      </c>
      <c r="O981" t="s">
        <v>824</v>
      </c>
      <c r="P981" t="s">
        <v>772</v>
      </c>
      <c r="Q981" t="s">
        <v>934</v>
      </c>
      <c r="R981">
        <v>0</v>
      </c>
      <c r="S981">
        <v>0</v>
      </c>
      <c r="T981">
        <v>0</v>
      </c>
      <c r="U981">
        <v>0</v>
      </c>
      <c r="V981">
        <v>0</v>
      </c>
      <c r="W981">
        <v>0</v>
      </c>
      <c r="X981">
        <v>0</v>
      </c>
      <c r="Y981">
        <v>0</v>
      </c>
      <c r="Z981">
        <v>0</v>
      </c>
      <c r="AA981">
        <v>0</v>
      </c>
      <c r="AB981">
        <v>0</v>
      </c>
      <c r="AC981">
        <v>0</v>
      </c>
      <c r="AD981">
        <v>0</v>
      </c>
      <c r="AE981">
        <v>0</v>
      </c>
      <c r="AF981">
        <v>0</v>
      </c>
      <c r="AG981">
        <v>0</v>
      </c>
      <c r="AH981">
        <v>400</v>
      </c>
      <c r="AI981">
        <v>5</v>
      </c>
      <c r="AJ981" t="s">
        <v>821</v>
      </c>
      <c r="AK981" t="s">
        <v>1149</v>
      </c>
      <c r="AL981" t="s">
        <v>208</v>
      </c>
      <c r="AM981" t="s">
        <v>934</v>
      </c>
      <c r="AN981" t="s">
        <v>824</v>
      </c>
      <c r="AO981" t="s">
        <v>772</v>
      </c>
      <c r="AP981" t="s">
        <v>1028</v>
      </c>
      <c r="AY981" t="str">
        <f t="shared" si="194"/>
        <v/>
      </c>
      <c r="AZ981" t="str">
        <f>IF(COUNTIF(AY:AY,AY981)=1,AY981,IF(AND(COUNTIF(AY:AY,AY981)&gt;1,COUNTIF(AZ$2:AZ980,AY981)&gt;=1),"",AY981))</f>
        <v/>
      </c>
      <c r="BA981" t="str">
        <f>IF(AZ981="","",COUNTIFS(AZ$3:AZ$1439,"&lt;"&amp;AZ981,AZ$3:AZ$1439,"&lt;&gt;0")+COUNTIF(AZ$3:AZ981,AZ981)-876)</f>
        <v/>
      </c>
      <c r="BT981" s="76"/>
      <c r="CN981">
        <v>980</v>
      </c>
    </row>
    <row r="982" spans="1:92" x14ac:dyDescent="0.3">
      <c r="A982" s="118" t="s">
        <v>1144</v>
      </c>
      <c r="B982" t="s">
        <v>1150</v>
      </c>
      <c r="C982" t="s">
        <v>1151</v>
      </c>
      <c r="D982" s="144" t="s">
        <v>906</v>
      </c>
      <c r="E982" t="s">
        <v>813</v>
      </c>
      <c r="F982" t="s">
        <v>1147</v>
      </c>
      <c r="G982" t="s">
        <v>815</v>
      </c>
      <c r="H982" t="s">
        <v>1138</v>
      </c>
      <c r="I982" t="s">
        <v>817</v>
      </c>
      <c r="J982" t="s">
        <v>1148</v>
      </c>
      <c r="K982" t="s">
        <v>862</v>
      </c>
      <c r="L982" t="s">
        <v>895</v>
      </c>
      <c r="M982" t="s">
        <v>208</v>
      </c>
      <c r="N982" t="s">
        <v>932</v>
      </c>
      <c r="O982" t="s">
        <v>824</v>
      </c>
      <c r="P982" t="s">
        <v>772</v>
      </c>
      <c r="Q982" t="s">
        <v>869</v>
      </c>
      <c r="R982">
        <v>0</v>
      </c>
      <c r="S982">
        <v>0</v>
      </c>
      <c r="T982">
        <v>0</v>
      </c>
      <c r="U982">
        <v>0</v>
      </c>
      <c r="V982">
        <v>0</v>
      </c>
      <c r="W982">
        <v>0</v>
      </c>
      <c r="X982">
        <v>0</v>
      </c>
      <c r="Y982">
        <v>0</v>
      </c>
      <c r="Z982">
        <v>0</v>
      </c>
      <c r="AA982">
        <v>0</v>
      </c>
      <c r="AB982">
        <v>0</v>
      </c>
      <c r="AC982">
        <v>0</v>
      </c>
      <c r="AD982">
        <v>0</v>
      </c>
      <c r="AE982">
        <v>0</v>
      </c>
      <c r="AF982">
        <v>0</v>
      </c>
      <c r="AG982">
        <v>0</v>
      </c>
      <c r="AH982">
        <v>400</v>
      </c>
      <c r="AI982">
        <v>5</v>
      </c>
      <c r="AJ982" t="s">
        <v>821</v>
      </c>
      <c r="AK982" t="s">
        <v>1149</v>
      </c>
      <c r="AL982" t="s">
        <v>208</v>
      </c>
      <c r="AM982" t="s">
        <v>934</v>
      </c>
      <c r="AN982" t="s">
        <v>824</v>
      </c>
      <c r="AO982" t="s">
        <v>772</v>
      </c>
      <c r="AP982" t="s">
        <v>1033</v>
      </c>
      <c r="AY982" t="str">
        <f t="shared" si="194"/>
        <v/>
      </c>
      <c r="AZ982" t="str">
        <f>IF(COUNTIF(AY:AY,AY982)=1,AY982,IF(AND(COUNTIF(AY:AY,AY982)&gt;1,COUNTIF(AZ$2:AZ981,AY982)&gt;=1),"",AY982))</f>
        <v/>
      </c>
      <c r="BA982" t="str">
        <f>IF(AZ982="","",COUNTIFS(AZ$3:AZ$1439,"&lt;"&amp;AZ982,AZ$3:AZ$1439,"&lt;&gt;0")+COUNTIF(AZ$3:AZ982,AZ982)-876)</f>
        <v/>
      </c>
      <c r="BT982" s="76"/>
      <c r="CN982">
        <v>981</v>
      </c>
    </row>
    <row r="983" spans="1:92" x14ac:dyDescent="0.3">
      <c r="A983" s="118" t="s">
        <v>2834</v>
      </c>
      <c r="B983" t="s">
        <v>2835</v>
      </c>
      <c r="C983" t="s">
        <v>4499</v>
      </c>
      <c r="D983" s="144" t="s">
        <v>1132</v>
      </c>
      <c r="E983" t="s">
        <v>813</v>
      </c>
      <c r="F983" t="s">
        <v>433</v>
      </c>
      <c r="G983" t="s">
        <v>1013</v>
      </c>
      <c r="H983" t="s">
        <v>1387</v>
      </c>
      <c r="I983" t="s">
        <v>1013</v>
      </c>
      <c r="J983" t="s">
        <v>1269</v>
      </c>
      <c r="K983" t="s">
        <v>1269</v>
      </c>
      <c r="L983" t="s">
        <v>2837</v>
      </c>
      <c r="M983" t="s">
        <v>208</v>
      </c>
      <c r="N983" t="s">
        <v>780</v>
      </c>
      <c r="O983" t="s">
        <v>824</v>
      </c>
      <c r="P983" t="s">
        <v>772</v>
      </c>
      <c r="Q983" t="s">
        <v>2288</v>
      </c>
      <c r="R983">
        <v>0</v>
      </c>
      <c r="S983">
        <v>0</v>
      </c>
      <c r="T983">
        <v>0</v>
      </c>
      <c r="U983">
        <v>0</v>
      </c>
      <c r="V983">
        <v>0</v>
      </c>
      <c r="W983">
        <v>0</v>
      </c>
      <c r="X983">
        <v>0</v>
      </c>
      <c r="Y983">
        <v>0</v>
      </c>
      <c r="Z983">
        <v>0</v>
      </c>
      <c r="AA983">
        <v>0</v>
      </c>
      <c r="AB983">
        <v>0</v>
      </c>
      <c r="AC983">
        <v>0</v>
      </c>
      <c r="AD983">
        <v>0</v>
      </c>
      <c r="AE983">
        <v>0</v>
      </c>
      <c r="AF983">
        <v>0</v>
      </c>
      <c r="AG983">
        <v>0</v>
      </c>
      <c r="AH983">
        <v>0</v>
      </c>
      <c r="AI983">
        <v>0</v>
      </c>
      <c r="AY983" t="str">
        <f t="shared" si="194"/>
        <v>PIRSUE 5 MG/ML SOLUTION INTRAMAMMAIRE POUR BOVINS</v>
      </c>
      <c r="AZ983" t="str">
        <f>IF(COUNTIF(AY:AY,AY983)=1,AY983,IF(AND(COUNTIF(AY:AY,AY983)&gt;1,COUNTIF(AZ$2:AZ982,AY983)&gt;=1),"",AY983))</f>
        <v>PIRSUE 5 MG/ML SOLUTION INTRAMAMMAIRE POUR BOVINS</v>
      </c>
      <c r="BA983">
        <f>IF(AZ983="","",COUNTIFS(AZ$3:AZ$1439,"&lt;"&amp;AZ983,AZ$3:AZ$1439,"&lt;&gt;0")+COUNTIF(AZ$3:AZ983,AZ983)-876)</f>
        <v>377</v>
      </c>
      <c r="BT983" s="76"/>
      <c r="CN983">
        <v>982</v>
      </c>
    </row>
    <row r="984" spans="1:92" x14ac:dyDescent="0.3">
      <c r="A984" s="118" t="s">
        <v>2834</v>
      </c>
      <c r="B984" t="s">
        <v>2838</v>
      </c>
      <c r="C984" t="s">
        <v>2836</v>
      </c>
      <c r="D984" s="144" t="s">
        <v>1132</v>
      </c>
      <c r="E984" t="s">
        <v>813</v>
      </c>
      <c r="F984" t="s">
        <v>433</v>
      </c>
      <c r="G984" t="s">
        <v>1013</v>
      </c>
      <c r="H984" t="s">
        <v>1387</v>
      </c>
      <c r="I984" t="s">
        <v>1013</v>
      </c>
      <c r="J984" t="s">
        <v>1269</v>
      </c>
      <c r="K984" t="s">
        <v>1269</v>
      </c>
      <c r="L984" t="s">
        <v>2837</v>
      </c>
      <c r="M984" t="s">
        <v>208</v>
      </c>
      <c r="N984" t="s">
        <v>780</v>
      </c>
      <c r="O984" t="s">
        <v>824</v>
      </c>
      <c r="P984" t="s">
        <v>772</v>
      </c>
      <c r="Q984" t="s">
        <v>2288</v>
      </c>
      <c r="R984">
        <v>0</v>
      </c>
      <c r="S984">
        <v>0</v>
      </c>
      <c r="T984">
        <v>0</v>
      </c>
      <c r="U984">
        <v>0</v>
      </c>
      <c r="V984">
        <v>0</v>
      </c>
      <c r="W984">
        <v>0</v>
      </c>
      <c r="X984">
        <v>0</v>
      </c>
      <c r="Y984">
        <v>0</v>
      </c>
      <c r="Z984">
        <v>0</v>
      </c>
      <c r="AA984">
        <v>0</v>
      </c>
      <c r="AB984">
        <v>0</v>
      </c>
      <c r="AC984">
        <v>0</v>
      </c>
      <c r="AD984">
        <v>0</v>
      </c>
      <c r="AE984">
        <v>0</v>
      </c>
      <c r="AF984">
        <v>0</v>
      </c>
      <c r="AG984">
        <v>0</v>
      </c>
      <c r="AH984">
        <v>0</v>
      </c>
      <c r="AI984">
        <v>0</v>
      </c>
      <c r="AY984" t="str">
        <f t="shared" si="194"/>
        <v>PIRSUE 5 MG/ML SOLUTION INTRAMAMMAIRE POUR BOVINS</v>
      </c>
      <c r="AZ984" t="str">
        <f>IF(COUNTIF(AY:AY,AY984)=1,AY984,IF(AND(COUNTIF(AY:AY,AY984)&gt;1,COUNTIF(AZ$2:AZ983,AY984)&gt;=1),"",AY984))</f>
        <v/>
      </c>
      <c r="BA984" t="str">
        <f>IF(AZ984="","",COUNTIFS(AZ$3:AZ$1439,"&lt;"&amp;AZ984,AZ$3:AZ$1439,"&lt;&gt;0")+COUNTIF(AZ$3:AZ984,AZ984)-876)</f>
        <v/>
      </c>
      <c r="BT984" s="76"/>
      <c r="CN984">
        <v>983</v>
      </c>
    </row>
    <row r="985" spans="1:92" x14ac:dyDescent="0.3">
      <c r="A985" s="118" t="s">
        <v>2242</v>
      </c>
      <c r="B985" t="s">
        <v>2243</v>
      </c>
      <c r="C985" t="s">
        <v>2244</v>
      </c>
      <c r="D985" s="144" t="s">
        <v>1063</v>
      </c>
      <c r="E985" t="s">
        <v>830</v>
      </c>
      <c r="F985" t="s">
        <v>671</v>
      </c>
      <c r="G985" t="s">
        <v>1064</v>
      </c>
      <c r="H985" t="s">
        <v>2245</v>
      </c>
      <c r="I985" t="s">
        <v>1066</v>
      </c>
      <c r="J985" t="s">
        <v>914</v>
      </c>
      <c r="K985" t="s">
        <v>914</v>
      </c>
      <c r="L985" t="s">
        <v>995</v>
      </c>
      <c r="M985" t="s">
        <v>996</v>
      </c>
      <c r="N985" t="s">
        <v>2246</v>
      </c>
      <c r="O985" t="s">
        <v>834</v>
      </c>
      <c r="P985" t="s">
        <v>4371</v>
      </c>
      <c r="Q985" t="s">
        <v>906</v>
      </c>
      <c r="R985">
        <v>0</v>
      </c>
      <c r="S985">
        <v>0</v>
      </c>
      <c r="T985">
        <v>0</v>
      </c>
      <c r="U985">
        <v>0</v>
      </c>
      <c r="V985">
        <v>0</v>
      </c>
      <c r="W985">
        <v>0</v>
      </c>
      <c r="X985">
        <v>0</v>
      </c>
      <c r="Y985">
        <v>0</v>
      </c>
      <c r="Z985">
        <v>0</v>
      </c>
      <c r="AA985">
        <v>0</v>
      </c>
      <c r="AB985">
        <v>5</v>
      </c>
      <c r="AC985">
        <v>10</v>
      </c>
      <c r="AD985">
        <v>5</v>
      </c>
      <c r="AE985">
        <v>10</v>
      </c>
      <c r="AF985">
        <v>0</v>
      </c>
      <c r="AG985">
        <v>0</v>
      </c>
      <c r="AH985">
        <v>0</v>
      </c>
      <c r="AI985">
        <v>0</v>
      </c>
      <c r="AY985" t="str">
        <f t="shared" si="194"/>
        <v>PM 11-2 COLISTINE 400 PORC ET AGNEAU SEVRE</v>
      </c>
      <c r="AZ985" t="str">
        <f>IF(COUNTIF(AY:AY,AY985)=1,AY985,IF(AND(COUNTIF(AY:AY,AY985)&gt;1,COUNTIF(AZ$2:AZ984,AY985)&gt;=1),"",AY985))</f>
        <v>PM 11-2 COLISTINE 400 PORC ET AGNEAU SEVRE</v>
      </c>
      <c r="BA985">
        <f>IF(AZ985="","",COUNTIFS(AZ$3:AZ$1439,"&lt;"&amp;AZ985,AZ$3:AZ$1439,"&lt;&gt;0")+COUNTIF(AZ$3:AZ985,AZ985)-876)</f>
        <v>378</v>
      </c>
      <c r="BT985" s="76"/>
      <c r="CN985">
        <v>984</v>
      </c>
    </row>
    <row r="986" spans="1:92" x14ac:dyDescent="0.3">
      <c r="A986" s="118" t="s">
        <v>2185</v>
      </c>
      <c r="B986" t="s">
        <v>2186</v>
      </c>
      <c r="C986" t="s">
        <v>1062</v>
      </c>
      <c r="D986" s="144" t="s">
        <v>1063</v>
      </c>
      <c r="E986" t="s">
        <v>830</v>
      </c>
      <c r="F986" t="s">
        <v>434</v>
      </c>
      <c r="G986" t="s">
        <v>1064</v>
      </c>
      <c r="H986" t="s">
        <v>1070</v>
      </c>
      <c r="I986" t="s">
        <v>1066</v>
      </c>
      <c r="J986" t="s">
        <v>928</v>
      </c>
      <c r="K986" t="s">
        <v>862</v>
      </c>
      <c r="L986" t="s">
        <v>938</v>
      </c>
      <c r="M986" t="s">
        <v>208</v>
      </c>
      <c r="N986" t="s">
        <v>2187</v>
      </c>
      <c r="O986" t="s">
        <v>894</v>
      </c>
      <c r="P986" t="s">
        <v>772</v>
      </c>
      <c r="Q986" t="s">
        <v>2188</v>
      </c>
      <c r="R986">
        <v>23</v>
      </c>
      <c r="S986">
        <v>8</v>
      </c>
      <c r="T986">
        <v>0</v>
      </c>
      <c r="U986">
        <v>0</v>
      </c>
      <c r="V986">
        <v>0</v>
      </c>
      <c r="W986">
        <v>0</v>
      </c>
      <c r="X986">
        <v>0</v>
      </c>
      <c r="Y986">
        <v>0</v>
      </c>
      <c r="Z986">
        <v>0</v>
      </c>
      <c r="AA986">
        <v>0</v>
      </c>
      <c r="AB986">
        <v>23</v>
      </c>
      <c r="AC986">
        <v>8</v>
      </c>
      <c r="AD986">
        <v>23</v>
      </c>
      <c r="AE986">
        <v>8</v>
      </c>
      <c r="AF986">
        <v>46</v>
      </c>
      <c r="AG986">
        <v>8</v>
      </c>
      <c r="AH986">
        <v>0</v>
      </c>
      <c r="AI986">
        <v>0</v>
      </c>
      <c r="AJ986" t="s">
        <v>930</v>
      </c>
      <c r="AK986" t="s">
        <v>931</v>
      </c>
      <c r="AL986" t="s">
        <v>208</v>
      </c>
      <c r="AM986" t="s">
        <v>1072</v>
      </c>
      <c r="AN986" t="s">
        <v>894</v>
      </c>
      <c r="AO986" t="s">
        <v>772</v>
      </c>
      <c r="AP986" t="s">
        <v>1073</v>
      </c>
      <c r="AY986" t="str">
        <f t="shared" si="194"/>
        <v>PM 113 C60/M30</v>
      </c>
      <c r="AZ986" t="str">
        <f>IF(COUNTIF(AY:AY,AY986)=1,AY986,IF(AND(COUNTIF(AY:AY,AY986)&gt;1,COUNTIF(AZ$2:AZ985,AY986)&gt;=1),"",AY986))</f>
        <v>PM 113 C60/M30</v>
      </c>
      <c r="BA986">
        <f>IF(AZ986="","",COUNTIFS(AZ$3:AZ$1439,"&lt;"&amp;AZ986,AZ$3:AZ$1439,"&lt;&gt;0")+COUNTIF(AZ$3:AZ986,AZ986)-876)</f>
        <v>379</v>
      </c>
      <c r="BT986" s="76"/>
      <c r="CN986">
        <v>985</v>
      </c>
    </row>
    <row r="987" spans="1:92" x14ac:dyDescent="0.3">
      <c r="A987" s="118" t="s">
        <v>2189</v>
      </c>
      <c r="B987" t="s">
        <v>2190</v>
      </c>
      <c r="C987" t="s">
        <v>1062</v>
      </c>
      <c r="D987" s="144" t="s">
        <v>1063</v>
      </c>
      <c r="E987" t="s">
        <v>830</v>
      </c>
      <c r="F987" t="s">
        <v>435</v>
      </c>
      <c r="G987" t="s">
        <v>1064</v>
      </c>
      <c r="H987" t="s">
        <v>1070</v>
      </c>
      <c r="I987" t="s">
        <v>1066</v>
      </c>
      <c r="J987" t="s">
        <v>928</v>
      </c>
      <c r="K987" t="s">
        <v>862</v>
      </c>
      <c r="L987" t="s">
        <v>938</v>
      </c>
      <c r="M987" t="s">
        <v>208</v>
      </c>
      <c r="N987" t="s">
        <v>2187</v>
      </c>
      <c r="O987" t="s">
        <v>894</v>
      </c>
      <c r="P987" t="s">
        <v>772</v>
      </c>
      <c r="Q987" t="s">
        <v>2188</v>
      </c>
      <c r="R987">
        <v>23</v>
      </c>
      <c r="S987">
        <v>8</v>
      </c>
      <c r="T987">
        <v>0</v>
      </c>
      <c r="U987">
        <v>0</v>
      </c>
      <c r="V987">
        <v>0</v>
      </c>
      <c r="W987">
        <v>0</v>
      </c>
      <c r="X987">
        <v>0</v>
      </c>
      <c r="Y987">
        <v>0</v>
      </c>
      <c r="Z987">
        <v>0</v>
      </c>
      <c r="AA987">
        <v>0</v>
      </c>
      <c r="AB987">
        <v>23</v>
      </c>
      <c r="AC987">
        <v>8</v>
      </c>
      <c r="AD987">
        <v>23</v>
      </c>
      <c r="AE987">
        <v>8</v>
      </c>
      <c r="AF987">
        <v>46</v>
      </c>
      <c r="AG987">
        <v>8</v>
      </c>
      <c r="AH987">
        <v>0</v>
      </c>
      <c r="AI987">
        <v>0</v>
      </c>
      <c r="AJ987" t="s">
        <v>930</v>
      </c>
      <c r="AK987" t="s">
        <v>931</v>
      </c>
      <c r="AL987" t="s">
        <v>208</v>
      </c>
      <c r="AM987" t="s">
        <v>1072</v>
      </c>
      <c r="AN987" t="s">
        <v>894</v>
      </c>
      <c r="AO987" t="s">
        <v>772</v>
      </c>
      <c r="AP987" t="s">
        <v>1073</v>
      </c>
      <c r="AY987" t="str">
        <f t="shared" si="194"/>
        <v>PM 113 LACT</v>
      </c>
      <c r="AZ987" t="str">
        <f>IF(COUNTIF(AY:AY,AY987)=1,AY987,IF(AND(COUNTIF(AY:AY,AY987)&gt;1,COUNTIF(AZ$2:AZ986,AY987)&gt;=1),"",AY987))</f>
        <v>PM 113 LACT</v>
      </c>
      <c r="BA987">
        <f>IF(AZ987="","",COUNTIFS(AZ$3:AZ$1439,"&lt;"&amp;AZ987,AZ$3:AZ$1439,"&lt;&gt;0")+COUNTIF(AZ$3:AZ987,AZ987)-876)</f>
        <v>380</v>
      </c>
      <c r="BT987" s="76"/>
      <c r="CN987">
        <v>986</v>
      </c>
    </row>
    <row r="988" spans="1:92" x14ac:dyDescent="0.3">
      <c r="A988" s="118" t="s">
        <v>3617</v>
      </c>
      <c r="B988" t="s">
        <v>3618</v>
      </c>
      <c r="C988" t="s">
        <v>4534</v>
      </c>
      <c r="D988" s="144" t="s">
        <v>1063</v>
      </c>
      <c r="E988" t="s">
        <v>830</v>
      </c>
      <c r="F988" t="s">
        <v>436</v>
      </c>
      <c r="G988" t="s">
        <v>1064</v>
      </c>
      <c r="H988" t="s">
        <v>1082</v>
      </c>
      <c r="I988" t="s">
        <v>1066</v>
      </c>
      <c r="J988" t="s">
        <v>914</v>
      </c>
      <c r="K988" t="s">
        <v>914</v>
      </c>
      <c r="L988" t="s">
        <v>995</v>
      </c>
      <c r="M988" t="s">
        <v>996</v>
      </c>
      <c r="N988" t="s">
        <v>2246</v>
      </c>
      <c r="O988" t="s">
        <v>834</v>
      </c>
      <c r="P988" t="s">
        <v>4371</v>
      </c>
      <c r="Q988" t="s">
        <v>906</v>
      </c>
      <c r="R988">
        <v>0</v>
      </c>
      <c r="S988">
        <v>0</v>
      </c>
      <c r="T988">
        <v>0</v>
      </c>
      <c r="U988">
        <v>0</v>
      </c>
      <c r="V988">
        <v>0</v>
      </c>
      <c r="W988">
        <v>0</v>
      </c>
      <c r="X988">
        <v>0</v>
      </c>
      <c r="Y988">
        <v>0</v>
      </c>
      <c r="Z988">
        <v>0</v>
      </c>
      <c r="AA988">
        <v>0</v>
      </c>
      <c r="AB988">
        <v>5</v>
      </c>
      <c r="AC988">
        <v>7</v>
      </c>
      <c r="AD988">
        <v>5</v>
      </c>
      <c r="AE988">
        <v>7</v>
      </c>
      <c r="AF988">
        <v>0</v>
      </c>
      <c r="AG988">
        <v>0</v>
      </c>
      <c r="AH988">
        <v>0</v>
      </c>
      <c r="AI988">
        <v>0</v>
      </c>
      <c r="AY988" t="str">
        <f t="shared" si="194"/>
        <v>PM 11-B COLISTINE 400 PORC-AGNEAU ET CHEVREAU SEVRES</v>
      </c>
      <c r="AZ988" t="str">
        <f>IF(COUNTIF(AY:AY,AY988)=1,AY988,IF(AND(COUNTIF(AY:AY,AY988)&gt;1,COUNTIF(AZ$2:AZ987,AY988)&gt;=1),"",AY988))</f>
        <v>PM 11-B COLISTINE 400 PORC-AGNEAU ET CHEVREAU SEVRES</v>
      </c>
      <c r="BA988">
        <f>IF(AZ988="","",COUNTIFS(AZ$3:AZ$1439,"&lt;"&amp;AZ988,AZ$3:AZ$1439,"&lt;&gt;0")+COUNTIF(AZ$3:AZ988,AZ988)-876)</f>
        <v>381</v>
      </c>
      <c r="BT988" s="76"/>
      <c r="CN988">
        <v>987</v>
      </c>
    </row>
    <row r="989" spans="1:92" x14ac:dyDescent="0.3">
      <c r="A989" s="118" t="s">
        <v>2792</v>
      </c>
      <c r="B989" t="s">
        <v>2793</v>
      </c>
      <c r="C989" t="s">
        <v>1222</v>
      </c>
      <c r="D989" s="144" t="s">
        <v>1063</v>
      </c>
      <c r="E989" t="s">
        <v>830</v>
      </c>
      <c r="F989" t="s">
        <v>672</v>
      </c>
      <c r="G989" t="s">
        <v>1064</v>
      </c>
      <c r="H989" t="s">
        <v>1082</v>
      </c>
      <c r="I989" t="s">
        <v>1066</v>
      </c>
      <c r="J989" t="s">
        <v>768</v>
      </c>
      <c r="K989" t="s">
        <v>768</v>
      </c>
      <c r="L989" t="s">
        <v>1087</v>
      </c>
      <c r="M989" t="s">
        <v>208</v>
      </c>
      <c r="N989" t="s">
        <v>764</v>
      </c>
      <c r="O989" t="s">
        <v>894</v>
      </c>
      <c r="P989" t="s">
        <v>772</v>
      </c>
      <c r="Q989" t="s">
        <v>966</v>
      </c>
      <c r="R989">
        <v>0</v>
      </c>
      <c r="S989">
        <v>0</v>
      </c>
      <c r="T989">
        <v>0</v>
      </c>
      <c r="U989">
        <v>0</v>
      </c>
      <c r="V989">
        <v>0</v>
      </c>
      <c r="W989">
        <v>0</v>
      </c>
      <c r="X989">
        <v>0</v>
      </c>
      <c r="Y989">
        <v>0</v>
      </c>
      <c r="Z989">
        <v>0</v>
      </c>
      <c r="AA989">
        <v>0</v>
      </c>
      <c r="AB989">
        <v>40</v>
      </c>
      <c r="AC989">
        <v>10</v>
      </c>
      <c r="AD989">
        <v>50</v>
      </c>
      <c r="AE989">
        <v>10</v>
      </c>
      <c r="AF989">
        <v>0</v>
      </c>
      <c r="AG989">
        <v>0</v>
      </c>
      <c r="AH989">
        <v>0</v>
      </c>
      <c r="AI989">
        <v>0</v>
      </c>
      <c r="AY989" t="str">
        <f t="shared" si="194"/>
        <v>PM 16-2 CHLORTETRACYCLINE 100 PORC ET AGNEAU-CHEVREAU SEVRES</v>
      </c>
      <c r="AZ989" t="str">
        <f>IF(COUNTIF(AY:AY,AY989)=1,AY989,IF(AND(COUNTIF(AY:AY,AY989)&gt;1,COUNTIF(AZ$2:AZ988,AY989)&gt;=1),"",AY989))</f>
        <v>PM 16-2 CHLORTETRACYCLINE 100 PORC ET AGNEAU-CHEVREAU SEVRES</v>
      </c>
      <c r="BA989">
        <f>IF(AZ989="","",COUNTIFS(AZ$3:AZ$1439,"&lt;"&amp;AZ989,AZ$3:AZ$1439,"&lt;&gt;0")+COUNTIF(AZ$3:AZ989,AZ989)-876)</f>
        <v>382</v>
      </c>
      <c r="BT989" s="76"/>
      <c r="CN989">
        <v>988</v>
      </c>
    </row>
    <row r="990" spans="1:92" x14ac:dyDescent="0.3">
      <c r="A990" s="118" t="s">
        <v>3619</v>
      </c>
      <c r="B990" t="s">
        <v>3620</v>
      </c>
      <c r="C990" t="s">
        <v>4534</v>
      </c>
      <c r="D990" s="144" t="s">
        <v>1063</v>
      </c>
      <c r="E990" t="s">
        <v>830</v>
      </c>
      <c r="F990" t="s">
        <v>437</v>
      </c>
      <c r="G990" t="s">
        <v>1064</v>
      </c>
      <c r="H990" t="s">
        <v>1082</v>
      </c>
      <c r="I990" t="s">
        <v>1066</v>
      </c>
      <c r="J990" t="s">
        <v>768</v>
      </c>
      <c r="K990" t="s">
        <v>768</v>
      </c>
      <c r="L990" t="s">
        <v>1087</v>
      </c>
      <c r="M990" t="s">
        <v>208</v>
      </c>
      <c r="N990" t="s">
        <v>764</v>
      </c>
      <c r="O990" t="s">
        <v>894</v>
      </c>
      <c r="P990" t="s">
        <v>772</v>
      </c>
      <c r="Q990" t="s">
        <v>966</v>
      </c>
      <c r="R990">
        <v>0</v>
      </c>
      <c r="S990">
        <v>0</v>
      </c>
      <c r="T990">
        <v>0</v>
      </c>
      <c r="U990">
        <v>0</v>
      </c>
      <c r="V990">
        <v>0</v>
      </c>
      <c r="W990">
        <v>0</v>
      </c>
      <c r="X990">
        <v>0</v>
      </c>
      <c r="Y990">
        <v>0</v>
      </c>
      <c r="Z990">
        <v>0</v>
      </c>
      <c r="AA990">
        <v>0</v>
      </c>
      <c r="AB990">
        <v>40</v>
      </c>
      <c r="AC990">
        <v>10</v>
      </c>
      <c r="AD990">
        <v>50</v>
      </c>
      <c r="AE990">
        <v>10</v>
      </c>
      <c r="AF990">
        <v>0</v>
      </c>
      <c r="AG990">
        <v>0</v>
      </c>
      <c r="AH990">
        <v>0</v>
      </c>
      <c r="AI990">
        <v>0</v>
      </c>
      <c r="AY990" t="str">
        <f t="shared" si="194"/>
        <v>PM 16-B CHLORTETRACYCLINE 100 PORC-AGNEAU ET CHEVREAU SEVRES</v>
      </c>
      <c r="AZ990" t="str">
        <f>IF(COUNTIF(AY:AY,AY990)=1,AY990,IF(AND(COUNTIF(AY:AY,AY990)&gt;1,COUNTIF(AZ$2:AZ989,AY990)&gt;=1),"",AY990))</f>
        <v>PM 16-B CHLORTETRACYCLINE 100 PORC-AGNEAU ET CHEVREAU SEVRES</v>
      </c>
      <c r="BA990">
        <f>IF(AZ990="","",COUNTIFS(AZ$3:AZ$1439,"&lt;"&amp;AZ990,AZ$3:AZ$1439,"&lt;&gt;0")+COUNTIF(AZ$3:AZ990,AZ990)-876)</f>
        <v>383</v>
      </c>
      <c r="BT990" s="76"/>
      <c r="CN990">
        <v>989</v>
      </c>
    </row>
    <row r="991" spans="1:92" x14ac:dyDescent="0.3">
      <c r="A991" s="118" t="s">
        <v>3621</v>
      </c>
      <c r="B991" t="s">
        <v>208</v>
      </c>
      <c r="C991" t="s">
        <v>3622</v>
      </c>
      <c r="D991" s="144" t="s">
        <v>924</v>
      </c>
      <c r="E991" t="s">
        <v>830</v>
      </c>
      <c r="F991" t="s">
        <v>438</v>
      </c>
      <c r="G991" t="s">
        <v>1064</v>
      </c>
      <c r="H991" t="s">
        <v>1102</v>
      </c>
      <c r="I991" t="s">
        <v>1066</v>
      </c>
      <c r="J991" t="s">
        <v>768</v>
      </c>
      <c r="K991" t="s">
        <v>768</v>
      </c>
      <c r="L991" t="s">
        <v>769</v>
      </c>
      <c r="M991" t="s">
        <v>208</v>
      </c>
      <c r="N991" t="s">
        <v>932</v>
      </c>
      <c r="O991" t="s">
        <v>894</v>
      </c>
      <c r="P991" t="s">
        <v>772</v>
      </c>
      <c r="Q991" t="s">
        <v>939</v>
      </c>
      <c r="R991">
        <v>0</v>
      </c>
      <c r="S991">
        <v>0</v>
      </c>
      <c r="T991">
        <v>0</v>
      </c>
      <c r="U991">
        <v>0</v>
      </c>
      <c r="V991">
        <v>0</v>
      </c>
      <c r="W991">
        <v>0</v>
      </c>
      <c r="X991">
        <v>0</v>
      </c>
      <c r="Y991">
        <v>0</v>
      </c>
      <c r="Z991">
        <v>40</v>
      </c>
      <c r="AA991">
        <v>10</v>
      </c>
      <c r="AB991">
        <v>40</v>
      </c>
      <c r="AC991">
        <v>10</v>
      </c>
      <c r="AD991">
        <v>50</v>
      </c>
      <c r="AE991">
        <v>10</v>
      </c>
      <c r="AF991">
        <v>40</v>
      </c>
      <c r="AG991">
        <v>10</v>
      </c>
      <c r="AH991">
        <v>0</v>
      </c>
      <c r="AI991">
        <v>0</v>
      </c>
      <c r="AY991" t="str">
        <f t="shared" si="194"/>
        <v>PM 17-A OXYTETRACYCLINE 40 LAPIN-VOLAILLE-PORC-AGNEAU ET CHEVREAU SEVRES</v>
      </c>
      <c r="AZ991" t="str">
        <f>IF(COUNTIF(AY:AY,AY991)=1,AY991,IF(AND(COUNTIF(AY:AY,AY991)&gt;1,COUNTIF(AZ$2:AZ990,AY991)&gt;=1),"",AY991))</f>
        <v>PM 17-A OXYTETRACYCLINE 40 LAPIN-VOLAILLE-PORC-AGNEAU ET CHEVREAU SEVRES</v>
      </c>
      <c r="BA991">
        <f>IF(AZ991="","",COUNTIFS(AZ$3:AZ$1439,"&lt;"&amp;AZ991,AZ$3:AZ$1439,"&lt;&gt;0")+COUNTIF(AZ$3:AZ991,AZ991)-876)</f>
        <v>384</v>
      </c>
      <c r="BT991" s="76"/>
      <c r="CN991">
        <v>990</v>
      </c>
    </row>
    <row r="992" spans="1:92" x14ac:dyDescent="0.3">
      <c r="A992" s="118" t="s">
        <v>3621</v>
      </c>
      <c r="B992" t="s">
        <v>3623</v>
      </c>
      <c r="C992" t="s">
        <v>4535</v>
      </c>
      <c r="D992" s="144" t="s">
        <v>1063</v>
      </c>
      <c r="E992" t="s">
        <v>830</v>
      </c>
      <c r="F992" t="s">
        <v>438</v>
      </c>
      <c r="G992" t="s">
        <v>1064</v>
      </c>
      <c r="H992" t="s">
        <v>1102</v>
      </c>
      <c r="I992" t="s">
        <v>1066</v>
      </c>
      <c r="J992" t="s">
        <v>768</v>
      </c>
      <c r="K992" t="s">
        <v>768</v>
      </c>
      <c r="L992" t="s">
        <v>769</v>
      </c>
      <c r="M992" t="s">
        <v>208</v>
      </c>
      <c r="N992" t="s">
        <v>932</v>
      </c>
      <c r="O992" t="s">
        <v>894</v>
      </c>
      <c r="P992" t="s">
        <v>772</v>
      </c>
      <c r="Q992" t="s">
        <v>829</v>
      </c>
      <c r="R992">
        <v>0</v>
      </c>
      <c r="S992">
        <v>0</v>
      </c>
      <c r="T992">
        <v>0</v>
      </c>
      <c r="U992">
        <v>0</v>
      </c>
      <c r="V992">
        <v>0</v>
      </c>
      <c r="W992">
        <v>0</v>
      </c>
      <c r="X992">
        <v>0</v>
      </c>
      <c r="Y992">
        <v>0</v>
      </c>
      <c r="Z992">
        <v>40</v>
      </c>
      <c r="AA992">
        <v>10</v>
      </c>
      <c r="AB992">
        <v>40</v>
      </c>
      <c r="AC992">
        <v>10</v>
      </c>
      <c r="AD992">
        <v>50</v>
      </c>
      <c r="AE992">
        <v>10</v>
      </c>
      <c r="AF992">
        <v>40</v>
      </c>
      <c r="AG992">
        <v>10</v>
      </c>
      <c r="AH992">
        <v>0</v>
      </c>
      <c r="AI992">
        <v>0</v>
      </c>
      <c r="AY992" t="str">
        <f t="shared" si="194"/>
        <v>PM 17-A OXYTETRACYCLINE 40 LAPIN-VOLAILLE-PORC-AGNEAU ET CHEVREAU SEVRES</v>
      </c>
      <c r="AZ992" t="str">
        <f>IF(COUNTIF(AY:AY,AY992)=1,AY992,IF(AND(COUNTIF(AY:AY,AY992)&gt;1,COUNTIF(AZ$2:AZ991,AY992)&gt;=1),"",AY992))</f>
        <v/>
      </c>
      <c r="BA992" t="str">
        <f>IF(AZ992="","",COUNTIFS(AZ$3:AZ$1439,"&lt;"&amp;AZ992,AZ$3:AZ$1439,"&lt;&gt;0")+COUNTIF(AZ$3:AZ992,AZ992)-876)</f>
        <v/>
      </c>
      <c r="BT992" s="76"/>
      <c r="CN992">
        <v>991</v>
      </c>
    </row>
    <row r="993" spans="1:92" x14ac:dyDescent="0.3">
      <c r="A993" s="118" t="s">
        <v>3624</v>
      </c>
      <c r="B993" t="s">
        <v>3625</v>
      </c>
      <c r="C993" t="s">
        <v>1090</v>
      </c>
      <c r="D993" s="144" t="s">
        <v>1063</v>
      </c>
      <c r="E993" t="s">
        <v>830</v>
      </c>
      <c r="F993" t="s">
        <v>673</v>
      </c>
      <c r="G993" t="s">
        <v>1064</v>
      </c>
      <c r="H993" t="s">
        <v>1082</v>
      </c>
      <c r="I993" t="s">
        <v>1066</v>
      </c>
      <c r="J993" t="s">
        <v>768</v>
      </c>
      <c r="K993" t="s">
        <v>768</v>
      </c>
      <c r="L993" t="s">
        <v>769</v>
      </c>
      <c r="M993" t="s">
        <v>208</v>
      </c>
      <c r="N993" t="s">
        <v>764</v>
      </c>
      <c r="O993" t="s">
        <v>894</v>
      </c>
      <c r="P993" t="s">
        <v>772</v>
      </c>
      <c r="Q993" t="s">
        <v>966</v>
      </c>
      <c r="R993">
        <v>0</v>
      </c>
      <c r="S993">
        <v>0</v>
      </c>
      <c r="T993">
        <v>0</v>
      </c>
      <c r="U993">
        <v>0</v>
      </c>
      <c r="V993">
        <v>0</v>
      </c>
      <c r="W993">
        <v>0</v>
      </c>
      <c r="X993">
        <v>0</v>
      </c>
      <c r="Y993">
        <v>0</v>
      </c>
      <c r="Z993">
        <v>0</v>
      </c>
      <c r="AA993">
        <v>0</v>
      </c>
      <c r="AB993">
        <v>40</v>
      </c>
      <c r="AC993">
        <v>10</v>
      </c>
      <c r="AD993">
        <v>50</v>
      </c>
      <c r="AE993">
        <v>10</v>
      </c>
      <c r="AF993">
        <v>40</v>
      </c>
      <c r="AG993">
        <v>10</v>
      </c>
      <c r="AH993">
        <v>0</v>
      </c>
      <c r="AI993">
        <v>0</v>
      </c>
      <c r="AY993" t="str">
        <f t="shared" si="194"/>
        <v>PM 17-B OXYTETRACYCLINE 100 PORC-AGNEAU ET CHEVREAU SEVRES</v>
      </c>
      <c r="AZ993" t="str">
        <f>IF(COUNTIF(AY:AY,AY993)=1,AY993,IF(AND(COUNTIF(AY:AY,AY993)&gt;1,COUNTIF(AZ$2:AZ992,AY993)&gt;=1),"",AY993))</f>
        <v>PM 17-B OXYTETRACYCLINE 100 PORC-AGNEAU ET CHEVREAU SEVRES</v>
      </c>
      <c r="BA993">
        <f>IF(AZ993="","",COUNTIFS(AZ$3:AZ$1439,"&lt;"&amp;AZ993,AZ$3:AZ$1439,"&lt;&gt;0")+COUNTIF(AZ$3:AZ993,AZ993)-876)</f>
        <v>385</v>
      </c>
      <c r="BT993" s="76"/>
      <c r="CN993">
        <v>992</v>
      </c>
    </row>
    <row r="994" spans="1:92" x14ac:dyDescent="0.3">
      <c r="A994" s="118" t="s">
        <v>3064</v>
      </c>
      <c r="B994" t="s">
        <v>3065</v>
      </c>
      <c r="C994" t="s">
        <v>3066</v>
      </c>
      <c r="D994" s="144" t="s">
        <v>1063</v>
      </c>
      <c r="E994" t="s">
        <v>830</v>
      </c>
      <c r="F994" t="s">
        <v>674</v>
      </c>
      <c r="G994" t="s">
        <v>1064</v>
      </c>
      <c r="H994" t="s">
        <v>1959</v>
      </c>
      <c r="I994" t="s">
        <v>1066</v>
      </c>
      <c r="J994" t="s">
        <v>2081</v>
      </c>
      <c r="K994" t="s">
        <v>2081</v>
      </c>
      <c r="L994" t="s">
        <v>2082</v>
      </c>
      <c r="M994" t="s">
        <v>208</v>
      </c>
      <c r="N994" t="s">
        <v>1374</v>
      </c>
      <c r="O994" t="s">
        <v>894</v>
      </c>
      <c r="P994" t="s">
        <v>772</v>
      </c>
      <c r="Q994" t="s">
        <v>2233</v>
      </c>
      <c r="R994">
        <v>0</v>
      </c>
      <c r="S994">
        <v>0</v>
      </c>
      <c r="T994">
        <v>0</v>
      </c>
      <c r="U994">
        <v>0</v>
      </c>
      <c r="V994">
        <v>0</v>
      </c>
      <c r="W994">
        <v>0</v>
      </c>
      <c r="X994">
        <v>0</v>
      </c>
      <c r="Y994">
        <v>0</v>
      </c>
      <c r="Z994">
        <v>2.5</v>
      </c>
      <c r="AA994">
        <v>31</v>
      </c>
      <c r="AB994">
        <v>0</v>
      </c>
      <c r="AC994">
        <v>0</v>
      </c>
      <c r="AD994">
        <v>8</v>
      </c>
      <c r="AE994">
        <v>10</v>
      </c>
      <c r="AF994">
        <v>0</v>
      </c>
      <c r="AG994">
        <v>0</v>
      </c>
      <c r="AH994">
        <v>0</v>
      </c>
      <c r="AI994">
        <v>0</v>
      </c>
      <c r="AY994" t="str">
        <f t="shared" si="194"/>
        <v>PM 18-3 TIAMULINE 6.5 DELTAVIT ENTERITE PORC ENTEROCOLITE LAPIN</v>
      </c>
      <c r="AZ994" t="str">
        <f>IF(COUNTIF(AY:AY,AY994)=1,AY994,IF(AND(COUNTIF(AY:AY,AY994)&gt;1,COUNTIF(AZ$2:AZ993,AY994)&gt;=1),"",AY994))</f>
        <v>PM 18-3 TIAMULINE 6.5 DELTAVIT ENTERITE PORC ENTEROCOLITE LAPIN</v>
      </c>
      <c r="BA994">
        <f>IF(AZ994="","",COUNTIFS(AZ$3:AZ$1439,"&lt;"&amp;AZ994,AZ$3:AZ$1439,"&lt;&gt;0")+COUNTIF(AZ$3:AZ994,AZ994)-876)</f>
        <v>386</v>
      </c>
      <c r="BT994" s="76"/>
      <c r="CN994">
        <v>993</v>
      </c>
    </row>
    <row r="995" spans="1:92" x14ac:dyDescent="0.3">
      <c r="A995" s="118" t="s">
        <v>3108</v>
      </c>
      <c r="B995" t="s">
        <v>3109</v>
      </c>
      <c r="C995" t="s">
        <v>3110</v>
      </c>
      <c r="D995" s="144" t="s">
        <v>924</v>
      </c>
      <c r="E995" t="s">
        <v>830</v>
      </c>
      <c r="F995" t="s">
        <v>675</v>
      </c>
      <c r="G995" t="s">
        <v>1064</v>
      </c>
      <c r="H995" t="s">
        <v>3111</v>
      </c>
      <c r="I995" t="s">
        <v>1066</v>
      </c>
      <c r="J995" t="s">
        <v>802</v>
      </c>
      <c r="K995" t="s">
        <v>802</v>
      </c>
      <c r="L995" t="s">
        <v>2470</v>
      </c>
      <c r="M995" t="s">
        <v>208</v>
      </c>
      <c r="N995" t="s">
        <v>932</v>
      </c>
      <c r="O995" t="s">
        <v>894</v>
      </c>
      <c r="P995" t="s">
        <v>772</v>
      </c>
      <c r="Q995" t="s">
        <v>939</v>
      </c>
      <c r="R995">
        <v>0</v>
      </c>
      <c r="S995">
        <v>0</v>
      </c>
      <c r="T995">
        <v>0</v>
      </c>
      <c r="U995">
        <v>0</v>
      </c>
      <c r="V995">
        <v>0</v>
      </c>
      <c r="W995">
        <v>0</v>
      </c>
      <c r="X995">
        <v>0</v>
      </c>
      <c r="Y995">
        <v>0</v>
      </c>
      <c r="Z995">
        <v>0</v>
      </c>
      <c r="AA995">
        <v>0</v>
      </c>
      <c r="AB995">
        <v>0</v>
      </c>
      <c r="AC995">
        <v>0</v>
      </c>
      <c r="AD995">
        <v>20</v>
      </c>
      <c r="AE995">
        <v>15</v>
      </c>
      <c r="AF995">
        <v>0</v>
      </c>
      <c r="AG995">
        <v>0</v>
      </c>
      <c r="AH995">
        <v>0</v>
      </c>
      <c r="AI995">
        <v>0</v>
      </c>
      <c r="AY995" t="str">
        <f t="shared" si="194"/>
        <v>PM 20 TILMICOSINE 40 PORCS</v>
      </c>
      <c r="AZ995" t="str">
        <f>IF(COUNTIF(AY:AY,AY995)=1,AY995,IF(AND(COUNTIF(AY:AY,AY995)&gt;1,COUNTIF(AZ$2:AZ994,AY995)&gt;=1),"",AY995))</f>
        <v>PM 20 TILMICOSINE 40 PORCS</v>
      </c>
      <c r="BA995">
        <f>IF(AZ995="","",COUNTIFS(AZ$3:AZ$1439,"&lt;"&amp;AZ995,AZ$3:AZ$1439,"&lt;&gt;0")+COUNTIF(AZ$3:AZ995,AZ995)-876)</f>
        <v>387</v>
      </c>
      <c r="BT995" s="76"/>
      <c r="CN995">
        <v>994</v>
      </c>
    </row>
    <row r="996" spans="1:92" x14ac:dyDescent="0.3">
      <c r="A996" s="118" t="s">
        <v>3730</v>
      </c>
      <c r="B996" t="s">
        <v>3731</v>
      </c>
      <c r="C996" t="s">
        <v>3061</v>
      </c>
      <c r="D996" s="144" t="s">
        <v>1063</v>
      </c>
      <c r="E996" t="s">
        <v>830</v>
      </c>
      <c r="F996" t="s">
        <v>676</v>
      </c>
      <c r="G996" t="s">
        <v>1064</v>
      </c>
      <c r="H996" t="s">
        <v>1091</v>
      </c>
      <c r="I996" t="s">
        <v>1066</v>
      </c>
      <c r="J996" t="s">
        <v>802</v>
      </c>
      <c r="K996" t="s">
        <v>802</v>
      </c>
      <c r="L996" t="s">
        <v>1092</v>
      </c>
      <c r="M996" t="s">
        <v>208</v>
      </c>
      <c r="N996" t="s">
        <v>869</v>
      </c>
      <c r="O996" t="s">
        <v>894</v>
      </c>
      <c r="P996" t="s">
        <v>772</v>
      </c>
      <c r="Q996" t="s">
        <v>906</v>
      </c>
      <c r="R996">
        <v>0</v>
      </c>
      <c r="S996">
        <v>0</v>
      </c>
      <c r="T996">
        <v>0</v>
      </c>
      <c r="U996">
        <v>0</v>
      </c>
      <c r="V996">
        <v>0</v>
      </c>
      <c r="W996">
        <v>0</v>
      </c>
      <c r="X996">
        <v>0</v>
      </c>
      <c r="Y996">
        <v>0</v>
      </c>
      <c r="Z996">
        <v>0</v>
      </c>
      <c r="AA996">
        <v>0</v>
      </c>
      <c r="AB996">
        <v>0</v>
      </c>
      <c r="AC996">
        <v>0</v>
      </c>
      <c r="AD996">
        <v>5</v>
      </c>
      <c r="AE996">
        <v>21</v>
      </c>
      <c r="AF996">
        <v>100</v>
      </c>
      <c r="AG996">
        <v>5</v>
      </c>
      <c r="AH996">
        <v>0</v>
      </c>
      <c r="AI996">
        <v>0</v>
      </c>
      <c r="AY996" t="str">
        <f t="shared" si="194"/>
        <v>PM 21 TYLOSINE 20 PORC-VOLAILLE</v>
      </c>
      <c r="AZ996" t="str">
        <f>IF(COUNTIF(AY:AY,AY996)=1,AY996,IF(AND(COUNTIF(AY:AY,AY996)&gt;1,COUNTIF(AZ$2:AZ995,AY996)&gt;=1),"",AY996))</f>
        <v>PM 21 TYLOSINE 20 PORC-VOLAILLE</v>
      </c>
      <c r="BA996">
        <f>IF(AZ996="","",COUNTIFS(AZ$3:AZ$1439,"&lt;"&amp;AZ996,AZ$3:AZ$1439,"&lt;&gt;0")+COUNTIF(AZ$3:AZ996,AZ996)-876)</f>
        <v>388</v>
      </c>
      <c r="BT996" s="76"/>
      <c r="CN996">
        <v>995</v>
      </c>
    </row>
    <row r="997" spans="1:92" x14ac:dyDescent="0.3">
      <c r="A997" s="118" t="s">
        <v>2040</v>
      </c>
      <c r="B997" t="s">
        <v>2041</v>
      </c>
      <c r="C997" t="s">
        <v>1222</v>
      </c>
      <c r="D997" s="144" t="s">
        <v>1063</v>
      </c>
      <c r="E997" t="s">
        <v>830</v>
      </c>
      <c r="F997" t="s">
        <v>677</v>
      </c>
      <c r="G997" t="s">
        <v>1064</v>
      </c>
      <c r="H997" t="s">
        <v>1213</v>
      </c>
      <c r="I997" t="s">
        <v>1066</v>
      </c>
      <c r="J997" t="s">
        <v>783</v>
      </c>
      <c r="K997" t="s">
        <v>783</v>
      </c>
      <c r="L997" t="s">
        <v>1953</v>
      </c>
      <c r="M997" t="s">
        <v>208</v>
      </c>
      <c r="N997" t="s">
        <v>869</v>
      </c>
      <c r="O997" t="s">
        <v>894</v>
      </c>
      <c r="P997" t="s">
        <v>772</v>
      </c>
      <c r="Q997" t="s">
        <v>906</v>
      </c>
      <c r="R997">
        <v>0</v>
      </c>
      <c r="S997">
        <v>0</v>
      </c>
      <c r="T997">
        <v>0</v>
      </c>
      <c r="U997">
        <v>0</v>
      </c>
      <c r="V997">
        <v>0</v>
      </c>
      <c r="W997">
        <v>0</v>
      </c>
      <c r="X997">
        <v>0</v>
      </c>
      <c r="Y997">
        <v>0</v>
      </c>
      <c r="Z997">
        <v>0</v>
      </c>
      <c r="AA997">
        <v>0</v>
      </c>
      <c r="AB997">
        <v>0</v>
      </c>
      <c r="AC997">
        <v>0</v>
      </c>
      <c r="AD997">
        <v>9.0500000000000007</v>
      </c>
      <c r="AE997">
        <v>21</v>
      </c>
      <c r="AF997">
        <v>0</v>
      </c>
      <c r="AG997">
        <v>0</v>
      </c>
      <c r="AH997">
        <v>0</v>
      </c>
      <c r="AI997">
        <v>0</v>
      </c>
      <c r="AY997" t="str">
        <f t="shared" si="194"/>
        <v>PM 23 APRAMYCINE 20 PORC</v>
      </c>
      <c r="AZ997" t="str">
        <f>IF(COUNTIF(AY:AY,AY997)=1,AY997,IF(AND(COUNTIF(AY:AY,AY997)&gt;1,COUNTIF(AZ$2:AZ996,AY997)&gt;=1),"",AY997))</f>
        <v>PM 23 APRAMYCINE 20 PORC</v>
      </c>
      <c r="BA997">
        <f>IF(AZ997="","",COUNTIFS(AZ$3:AZ$1439,"&lt;"&amp;AZ997,AZ$3:AZ$1439,"&lt;&gt;0")+COUNTIF(AZ$3:AZ997,AZ997)-876)</f>
        <v>389</v>
      </c>
      <c r="BT997" s="76"/>
      <c r="CN997">
        <v>996</v>
      </c>
    </row>
    <row r="998" spans="1:92" x14ac:dyDescent="0.3">
      <c r="A998" s="118" t="s">
        <v>2153</v>
      </c>
      <c r="B998" t="s">
        <v>2154</v>
      </c>
      <c r="C998" t="s">
        <v>1090</v>
      </c>
      <c r="D998" s="144" t="s">
        <v>1063</v>
      </c>
      <c r="E998" t="s">
        <v>830</v>
      </c>
      <c r="F998" t="s">
        <v>678</v>
      </c>
      <c r="G998" t="s">
        <v>1064</v>
      </c>
      <c r="H998" t="s">
        <v>1213</v>
      </c>
      <c r="I998" t="s">
        <v>1066</v>
      </c>
      <c r="J998" t="s">
        <v>1265</v>
      </c>
      <c r="K998" t="s">
        <v>1269</v>
      </c>
      <c r="L998" t="s">
        <v>1270</v>
      </c>
      <c r="M998" t="s">
        <v>208</v>
      </c>
      <c r="N998" t="s">
        <v>2155</v>
      </c>
      <c r="O998" t="s">
        <v>894</v>
      </c>
      <c r="P998" t="s">
        <v>772</v>
      </c>
      <c r="Q998" t="s">
        <v>1712</v>
      </c>
      <c r="R998">
        <v>0</v>
      </c>
      <c r="S998">
        <v>0</v>
      </c>
      <c r="T998">
        <v>0</v>
      </c>
      <c r="U998">
        <v>0</v>
      </c>
      <c r="V998">
        <v>0</v>
      </c>
      <c r="W998">
        <v>0</v>
      </c>
      <c r="X998">
        <v>0</v>
      </c>
      <c r="Y998">
        <v>0</v>
      </c>
      <c r="Z998">
        <v>0</v>
      </c>
      <c r="AA998">
        <v>0</v>
      </c>
      <c r="AB998">
        <v>0</v>
      </c>
      <c r="AC998">
        <v>0</v>
      </c>
      <c r="AD998">
        <v>2.2000000000000002</v>
      </c>
      <c r="AE998">
        <v>21</v>
      </c>
      <c r="AF998">
        <v>0</v>
      </c>
      <c r="AG998">
        <v>0</v>
      </c>
      <c r="AH998">
        <v>0</v>
      </c>
      <c r="AI998">
        <v>0</v>
      </c>
      <c r="AJ998" t="s">
        <v>783</v>
      </c>
      <c r="AK998" t="s">
        <v>1266</v>
      </c>
      <c r="AL998" t="s">
        <v>208</v>
      </c>
      <c r="AM998" t="s">
        <v>2155</v>
      </c>
      <c r="AN998" t="s">
        <v>894</v>
      </c>
      <c r="AO998" t="s">
        <v>772</v>
      </c>
      <c r="AP998" t="s">
        <v>1712</v>
      </c>
      <c r="AY998" t="str">
        <f t="shared" si="194"/>
        <v>PM 27 LINCOMYCINE 4.4 SPECTINOMYCINE 4.4 PORC</v>
      </c>
      <c r="AZ998" t="str">
        <f>IF(COUNTIF(AY:AY,AY998)=1,AY998,IF(AND(COUNTIF(AY:AY,AY998)&gt;1,COUNTIF(AZ$2:AZ997,AY998)&gt;=1),"",AY998))</f>
        <v>PM 27 LINCOMYCINE 4.4 SPECTINOMYCINE 4.4 PORC</v>
      </c>
      <c r="BA998">
        <f>IF(AZ998="","",COUNTIFS(AZ$3:AZ$1439,"&lt;"&amp;AZ998,AZ$3:AZ$1439,"&lt;&gt;0")+COUNTIF(AZ$3:AZ998,AZ998)-876)</f>
        <v>390</v>
      </c>
      <c r="BT998" s="76"/>
      <c r="CN998">
        <v>997</v>
      </c>
    </row>
    <row r="999" spans="1:92" x14ac:dyDescent="0.3">
      <c r="A999" s="118" t="s">
        <v>3685</v>
      </c>
      <c r="B999" t="s">
        <v>3686</v>
      </c>
      <c r="C999" t="s">
        <v>1222</v>
      </c>
      <c r="D999" s="144" t="s">
        <v>1063</v>
      </c>
      <c r="E999" t="s">
        <v>830</v>
      </c>
      <c r="F999" t="s">
        <v>679</v>
      </c>
      <c r="G999" t="s">
        <v>1064</v>
      </c>
      <c r="H999" t="s">
        <v>170</v>
      </c>
      <c r="I999" t="s">
        <v>1066</v>
      </c>
      <c r="J999" t="s">
        <v>1559</v>
      </c>
      <c r="K999" t="s">
        <v>1559</v>
      </c>
      <c r="L999" t="s">
        <v>1560</v>
      </c>
      <c r="M999" t="s">
        <v>208</v>
      </c>
      <c r="N999" t="s">
        <v>940</v>
      </c>
      <c r="O999" t="s">
        <v>894</v>
      </c>
      <c r="P999" t="s">
        <v>772</v>
      </c>
      <c r="Q999" t="s">
        <v>902</v>
      </c>
      <c r="R999">
        <v>0</v>
      </c>
      <c r="S999">
        <v>0</v>
      </c>
      <c r="T999">
        <v>0</v>
      </c>
      <c r="U999">
        <v>0</v>
      </c>
      <c r="V999">
        <v>0</v>
      </c>
      <c r="W999">
        <v>0</v>
      </c>
      <c r="X999">
        <v>0</v>
      </c>
      <c r="Y999">
        <v>0</v>
      </c>
      <c r="Z999">
        <v>0</v>
      </c>
      <c r="AA999">
        <v>0</v>
      </c>
      <c r="AB999">
        <v>0</v>
      </c>
      <c r="AC999">
        <v>0</v>
      </c>
      <c r="AD999">
        <v>20</v>
      </c>
      <c r="AE999">
        <v>5</v>
      </c>
      <c r="AF999">
        <v>0</v>
      </c>
      <c r="AG999">
        <v>0</v>
      </c>
      <c r="AH999">
        <v>0</v>
      </c>
      <c r="AI999">
        <v>0</v>
      </c>
      <c r="AY999" t="str">
        <f t="shared" si="194"/>
        <v>PM 35-A ACIDE OXOLINIQUE 80 PORC</v>
      </c>
      <c r="AZ999" t="str">
        <f>IF(COUNTIF(AY:AY,AY999)=1,AY999,IF(AND(COUNTIF(AY:AY,AY999)&gt;1,COUNTIF(AZ$2:AZ998,AY999)&gt;=1),"",AY999))</f>
        <v>PM 35-A ACIDE OXOLINIQUE 80 PORC</v>
      </c>
      <c r="BA999">
        <f>IF(AZ999="","",COUNTIFS(AZ$3:AZ$1439,"&lt;"&amp;AZ999,AZ$3:AZ$1439,"&lt;&gt;0")+COUNTIF(AZ$3:AZ999,AZ999)-876)</f>
        <v>391</v>
      </c>
      <c r="BT999" s="76"/>
      <c r="CN999">
        <v>998</v>
      </c>
    </row>
    <row r="1000" spans="1:92" x14ac:dyDescent="0.3">
      <c r="A1000" s="118" t="s">
        <v>1735</v>
      </c>
      <c r="B1000" t="s">
        <v>1736</v>
      </c>
      <c r="C1000" t="s">
        <v>1588</v>
      </c>
      <c r="D1000" s="144" t="s">
        <v>829</v>
      </c>
      <c r="E1000" t="s">
        <v>830</v>
      </c>
      <c r="F1000" t="s">
        <v>116</v>
      </c>
      <c r="G1000" t="s">
        <v>831</v>
      </c>
      <c r="H1000" t="s">
        <v>832</v>
      </c>
      <c r="I1000" t="s">
        <v>817</v>
      </c>
      <c r="J1000" t="s">
        <v>1737</v>
      </c>
      <c r="K1000" t="s">
        <v>768</v>
      </c>
      <c r="L1000" t="s">
        <v>769</v>
      </c>
      <c r="M1000" t="s">
        <v>208</v>
      </c>
      <c r="N1000" t="s">
        <v>764</v>
      </c>
      <c r="O1000" t="s">
        <v>894</v>
      </c>
      <c r="P1000" t="s">
        <v>772</v>
      </c>
      <c r="Q1000" t="s">
        <v>764</v>
      </c>
      <c r="R1000">
        <v>20</v>
      </c>
      <c r="S1000">
        <v>4</v>
      </c>
      <c r="T1000">
        <v>0</v>
      </c>
      <c r="U1000">
        <v>0</v>
      </c>
      <c r="V1000">
        <v>0</v>
      </c>
      <c r="W1000">
        <v>0</v>
      </c>
      <c r="X1000">
        <v>0</v>
      </c>
      <c r="Y1000">
        <v>0</v>
      </c>
      <c r="Z1000">
        <v>20</v>
      </c>
      <c r="AA1000">
        <v>4</v>
      </c>
      <c r="AB1000">
        <v>20</v>
      </c>
      <c r="AC1000">
        <v>4</v>
      </c>
      <c r="AD1000">
        <v>20</v>
      </c>
      <c r="AE1000">
        <v>5</v>
      </c>
      <c r="AF1000">
        <v>20</v>
      </c>
      <c r="AG1000">
        <v>4</v>
      </c>
      <c r="AH1000">
        <v>0</v>
      </c>
      <c r="AI1000">
        <v>0</v>
      </c>
      <c r="AJ1000" t="s">
        <v>802</v>
      </c>
      <c r="AK1000" t="s">
        <v>803</v>
      </c>
      <c r="AL1000" t="s">
        <v>208</v>
      </c>
      <c r="AM1000" t="s">
        <v>997</v>
      </c>
      <c r="AN1000" t="s">
        <v>834</v>
      </c>
      <c r="AO1000" t="s">
        <v>4363</v>
      </c>
      <c r="AP1000" t="s">
        <v>4417</v>
      </c>
      <c r="AY1000" t="str">
        <f t="shared" si="194"/>
        <v>PNEUMOBIOTIQUE</v>
      </c>
      <c r="AZ1000" t="str">
        <f>IF(COUNTIF(AY:AY,AY1000)=1,AY1000,IF(AND(COUNTIF(AY:AY,AY1000)&gt;1,COUNTIF(AZ$2:AZ999,AY1000)&gt;=1),"",AY1000))</f>
        <v>PNEUMOBIOTIQUE</v>
      </c>
      <c r="BA1000">
        <f>IF(AZ1000="","",COUNTIFS(AZ$3:AZ$1439,"&lt;"&amp;AZ1000,AZ$3:AZ$1439,"&lt;&gt;0")+COUNTIF(AZ$3:AZ1000,AZ1000)-876)</f>
        <v>392</v>
      </c>
      <c r="BT1000" s="76"/>
      <c r="CN1000">
        <v>999</v>
      </c>
    </row>
    <row r="1001" spans="1:92" x14ac:dyDescent="0.3">
      <c r="A1001" s="118" t="s">
        <v>1735</v>
      </c>
      <c r="B1001" t="s">
        <v>1738</v>
      </c>
      <c r="C1001" t="s">
        <v>828</v>
      </c>
      <c r="D1001" s="144" t="s">
        <v>829</v>
      </c>
      <c r="E1001" t="s">
        <v>830</v>
      </c>
      <c r="F1001" t="s">
        <v>116</v>
      </c>
      <c r="G1001" t="s">
        <v>831</v>
      </c>
      <c r="H1001" t="s">
        <v>832</v>
      </c>
      <c r="I1001" t="s">
        <v>817</v>
      </c>
      <c r="J1001" t="s">
        <v>1737</v>
      </c>
      <c r="K1001" t="s">
        <v>768</v>
      </c>
      <c r="L1001" t="s">
        <v>769</v>
      </c>
      <c r="M1001" t="s">
        <v>208</v>
      </c>
      <c r="N1001" t="s">
        <v>764</v>
      </c>
      <c r="O1001" t="s">
        <v>894</v>
      </c>
      <c r="P1001" t="s">
        <v>772</v>
      </c>
      <c r="Q1001" t="s">
        <v>764</v>
      </c>
      <c r="R1001">
        <v>20</v>
      </c>
      <c r="S1001">
        <v>4</v>
      </c>
      <c r="T1001">
        <v>0</v>
      </c>
      <c r="U1001">
        <v>0</v>
      </c>
      <c r="V1001">
        <v>0</v>
      </c>
      <c r="W1001">
        <v>0</v>
      </c>
      <c r="X1001">
        <v>0</v>
      </c>
      <c r="Y1001">
        <v>0</v>
      </c>
      <c r="Z1001">
        <v>20</v>
      </c>
      <c r="AA1001">
        <v>4</v>
      </c>
      <c r="AB1001">
        <v>20</v>
      </c>
      <c r="AC1001">
        <v>4</v>
      </c>
      <c r="AD1001">
        <v>20</v>
      </c>
      <c r="AE1001">
        <v>5</v>
      </c>
      <c r="AF1001">
        <v>20</v>
      </c>
      <c r="AG1001">
        <v>4</v>
      </c>
      <c r="AH1001">
        <v>0</v>
      </c>
      <c r="AI1001">
        <v>0</v>
      </c>
      <c r="AJ1001" t="s">
        <v>802</v>
      </c>
      <c r="AK1001" t="s">
        <v>803</v>
      </c>
      <c r="AL1001" t="s">
        <v>208</v>
      </c>
      <c r="AM1001" t="s">
        <v>997</v>
      </c>
      <c r="AN1001" t="s">
        <v>834</v>
      </c>
      <c r="AO1001" t="s">
        <v>4363</v>
      </c>
      <c r="AP1001" t="s">
        <v>4417</v>
      </c>
      <c r="AY1001" t="str">
        <f t="shared" si="194"/>
        <v>PNEUMOBIOTIQUE</v>
      </c>
      <c r="AZ1001" t="str">
        <f>IF(COUNTIF(AY:AY,AY1001)=1,AY1001,IF(AND(COUNTIF(AY:AY,AY1001)&gt;1,COUNTIF(AZ$2:AZ1000,AY1001)&gt;=1),"",AY1001))</f>
        <v/>
      </c>
      <c r="BA1001" t="str">
        <f>IF(AZ1001="","",COUNTIFS(AZ$3:AZ$1439,"&lt;"&amp;AZ1001,AZ$3:AZ$1439,"&lt;&gt;0")+COUNTIF(AZ$3:AZ1001,AZ1001)-876)</f>
        <v/>
      </c>
      <c r="BT1001" s="76"/>
      <c r="CN1001">
        <v>1000</v>
      </c>
    </row>
    <row r="1002" spans="1:92" x14ac:dyDescent="0.3">
      <c r="A1002" s="118" t="s">
        <v>1735</v>
      </c>
      <c r="B1002" t="s">
        <v>1739</v>
      </c>
      <c r="C1002" t="s">
        <v>1740</v>
      </c>
      <c r="D1002" s="144" t="s">
        <v>1163</v>
      </c>
      <c r="E1002" t="s">
        <v>830</v>
      </c>
      <c r="F1002" t="s">
        <v>116</v>
      </c>
      <c r="G1002" t="s">
        <v>831</v>
      </c>
      <c r="H1002" t="s">
        <v>832</v>
      </c>
      <c r="I1002" t="s">
        <v>817</v>
      </c>
      <c r="J1002" t="s">
        <v>1737</v>
      </c>
      <c r="K1002" t="s">
        <v>768</v>
      </c>
      <c r="L1002" t="s">
        <v>769</v>
      </c>
      <c r="M1002" t="s">
        <v>208</v>
      </c>
      <c r="N1002" t="s">
        <v>764</v>
      </c>
      <c r="O1002" t="s">
        <v>894</v>
      </c>
      <c r="P1002" t="s">
        <v>772</v>
      </c>
      <c r="Q1002" t="s">
        <v>797</v>
      </c>
      <c r="R1002">
        <v>20</v>
      </c>
      <c r="S1002">
        <v>4</v>
      </c>
      <c r="T1002">
        <v>0</v>
      </c>
      <c r="U1002">
        <v>0</v>
      </c>
      <c r="V1002">
        <v>0</v>
      </c>
      <c r="W1002">
        <v>0</v>
      </c>
      <c r="X1002">
        <v>0</v>
      </c>
      <c r="Y1002">
        <v>0</v>
      </c>
      <c r="Z1002">
        <v>20</v>
      </c>
      <c r="AA1002">
        <v>4</v>
      </c>
      <c r="AB1002">
        <v>20</v>
      </c>
      <c r="AC1002">
        <v>4</v>
      </c>
      <c r="AD1002">
        <v>20</v>
      </c>
      <c r="AE1002">
        <v>5</v>
      </c>
      <c r="AF1002">
        <v>20</v>
      </c>
      <c r="AG1002">
        <v>4</v>
      </c>
      <c r="AH1002">
        <v>0</v>
      </c>
      <c r="AI1002">
        <v>0</v>
      </c>
      <c r="AJ1002" t="s">
        <v>802</v>
      </c>
      <c r="AK1002" t="s">
        <v>803</v>
      </c>
      <c r="AL1002" t="s">
        <v>208</v>
      </c>
      <c r="AM1002" t="s">
        <v>997</v>
      </c>
      <c r="AN1002" t="s">
        <v>834</v>
      </c>
      <c r="AO1002" t="s">
        <v>4363</v>
      </c>
      <c r="AP1002" t="s">
        <v>4418</v>
      </c>
      <c r="AY1002" t="str">
        <f t="shared" si="194"/>
        <v>PNEUMOBIOTIQUE</v>
      </c>
      <c r="AZ1002" t="str">
        <f>IF(COUNTIF(AY:AY,AY1002)=1,AY1002,IF(AND(COUNTIF(AY:AY,AY1002)&gt;1,COUNTIF(AZ$2:AZ1001,AY1002)&gt;=1),"",AY1002))</f>
        <v/>
      </c>
      <c r="BA1002" t="str">
        <f>IF(AZ1002="","",COUNTIFS(AZ$3:AZ$1439,"&lt;"&amp;AZ1002,AZ$3:AZ$1439,"&lt;&gt;0")+COUNTIF(AZ$3:AZ1002,AZ1002)-876)</f>
        <v/>
      </c>
      <c r="BT1002" s="76"/>
      <c r="CN1002">
        <v>1001</v>
      </c>
    </row>
    <row r="1003" spans="1:92" x14ac:dyDescent="0.3">
      <c r="A1003" s="118" t="s">
        <v>1735</v>
      </c>
      <c r="B1003" t="s">
        <v>1741</v>
      </c>
      <c r="C1003" t="s">
        <v>1742</v>
      </c>
      <c r="D1003" s="144" t="s">
        <v>1212</v>
      </c>
      <c r="E1003" t="s">
        <v>830</v>
      </c>
      <c r="F1003" t="s">
        <v>116</v>
      </c>
      <c r="G1003" t="s">
        <v>831</v>
      </c>
      <c r="H1003" t="s">
        <v>832</v>
      </c>
      <c r="I1003" t="s">
        <v>817</v>
      </c>
      <c r="J1003" t="s">
        <v>1737</v>
      </c>
      <c r="K1003" t="s">
        <v>768</v>
      </c>
      <c r="L1003" t="s">
        <v>769</v>
      </c>
      <c r="M1003" t="s">
        <v>208</v>
      </c>
      <c r="N1003" t="s">
        <v>764</v>
      </c>
      <c r="O1003" t="s">
        <v>894</v>
      </c>
      <c r="P1003" t="s">
        <v>772</v>
      </c>
      <c r="Q1003" t="s">
        <v>1163</v>
      </c>
      <c r="R1003">
        <v>20</v>
      </c>
      <c r="S1003">
        <v>4</v>
      </c>
      <c r="T1003">
        <v>0</v>
      </c>
      <c r="U1003">
        <v>0</v>
      </c>
      <c r="V1003">
        <v>0</v>
      </c>
      <c r="W1003">
        <v>0</v>
      </c>
      <c r="X1003">
        <v>0</v>
      </c>
      <c r="Y1003">
        <v>0</v>
      </c>
      <c r="Z1003">
        <v>20</v>
      </c>
      <c r="AA1003">
        <v>4</v>
      </c>
      <c r="AB1003">
        <v>20</v>
      </c>
      <c r="AC1003">
        <v>4</v>
      </c>
      <c r="AD1003">
        <v>20</v>
      </c>
      <c r="AE1003">
        <v>5</v>
      </c>
      <c r="AF1003">
        <v>20</v>
      </c>
      <c r="AG1003">
        <v>4</v>
      </c>
      <c r="AH1003">
        <v>0</v>
      </c>
      <c r="AI1003">
        <v>0</v>
      </c>
      <c r="AJ1003" t="s">
        <v>802</v>
      </c>
      <c r="AK1003" t="s">
        <v>803</v>
      </c>
      <c r="AL1003" t="s">
        <v>208</v>
      </c>
      <c r="AM1003" t="s">
        <v>997</v>
      </c>
      <c r="AN1003" t="s">
        <v>834</v>
      </c>
      <c r="AO1003" t="s">
        <v>4363</v>
      </c>
      <c r="AP1003" t="s">
        <v>4419</v>
      </c>
      <c r="AY1003" t="str">
        <f t="shared" si="194"/>
        <v>PNEUMOBIOTIQUE</v>
      </c>
      <c r="AZ1003" t="str">
        <f>IF(COUNTIF(AY:AY,AY1003)=1,AY1003,IF(AND(COUNTIF(AY:AY,AY1003)&gt;1,COUNTIF(AZ$2:AZ1002,AY1003)&gt;=1),"",AY1003))</f>
        <v/>
      </c>
      <c r="BA1003" t="str">
        <f>IF(AZ1003="","",COUNTIFS(AZ$3:AZ$1439,"&lt;"&amp;AZ1003,AZ$3:AZ$1439,"&lt;&gt;0")+COUNTIF(AZ$3:AZ1003,AZ1003)-876)</f>
        <v/>
      </c>
      <c r="BT1003" s="76"/>
      <c r="CN1003">
        <v>1002</v>
      </c>
    </row>
    <row r="1004" spans="1:92" x14ac:dyDescent="0.3">
      <c r="A1004" s="118" t="s">
        <v>1735</v>
      </c>
      <c r="B1004" t="s">
        <v>1743</v>
      </c>
      <c r="C1004" t="s">
        <v>836</v>
      </c>
      <c r="D1004" s="144" t="s">
        <v>764</v>
      </c>
      <c r="E1004" t="s">
        <v>830</v>
      </c>
      <c r="F1004" t="s">
        <v>116</v>
      </c>
      <c r="G1004" t="s">
        <v>831</v>
      </c>
      <c r="H1004" t="s">
        <v>832</v>
      </c>
      <c r="I1004" t="s">
        <v>817</v>
      </c>
      <c r="J1004" t="s">
        <v>1737</v>
      </c>
      <c r="K1004" t="s">
        <v>768</v>
      </c>
      <c r="L1004" t="s">
        <v>769</v>
      </c>
      <c r="M1004" t="s">
        <v>208</v>
      </c>
      <c r="N1004" t="s">
        <v>764</v>
      </c>
      <c r="O1004" t="s">
        <v>894</v>
      </c>
      <c r="P1004" t="s">
        <v>772</v>
      </c>
      <c r="Q1004" t="s">
        <v>852</v>
      </c>
      <c r="R1004">
        <v>20</v>
      </c>
      <c r="S1004">
        <v>4</v>
      </c>
      <c r="T1004">
        <v>0</v>
      </c>
      <c r="U1004">
        <v>0</v>
      </c>
      <c r="V1004">
        <v>0</v>
      </c>
      <c r="W1004">
        <v>0</v>
      </c>
      <c r="X1004">
        <v>0</v>
      </c>
      <c r="Y1004">
        <v>0</v>
      </c>
      <c r="Z1004">
        <v>20</v>
      </c>
      <c r="AA1004">
        <v>4</v>
      </c>
      <c r="AB1004">
        <v>20</v>
      </c>
      <c r="AC1004">
        <v>4</v>
      </c>
      <c r="AD1004">
        <v>20</v>
      </c>
      <c r="AE1004">
        <v>5</v>
      </c>
      <c r="AF1004">
        <v>20</v>
      </c>
      <c r="AG1004">
        <v>4</v>
      </c>
      <c r="AH1004">
        <v>0</v>
      </c>
      <c r="AI1004">
        <v>0</v>
      </c>
      <c r="AJ1004" t="s">
        <v>802</v>
      </c>
      <c r="AK1004" t="s">
        <v>803</v>
      </c>
      <c r="AL1004" t="s">
        <v>208</v>
      </c>
      <c r="AM1004" t="s">
        <v>997</v>
      </c>
      <c r="AN1004" t="s">
        <v>834</v>
      </c>
      <c r="AO1004" t="s">
        <v>4363</v>
      </c>
      <c r="AP1004" t="s">
        <v>4420</v>
      </c>
      <c r="AY1004" t="str">
        <f t="shared" si="194"/>
        <v>PNEUMOBIOTIQUE</v>
      </c>
      <c r="AZ1004" t="str">
        <f>IF(COUNTIF(AY:AY,AY1004)=1,AY1004,IF(AND(COUNTIF(AY:AY,AY1004)&gt;1,COUNTIF(AZ$2:AZ1003,AY1004)&gt;=1),"",AY1004))</f>
        <v/>
      </c>
      <c r="BA1004" t="str">
        <f>IF(AZ1004="","",COUNTIFS(AZ$3:AZ$1439,"&lt;"&amp;AZ1004,AZ$3:AZ$1439,"&lt;&gt;0")+COUNTIF(AZ$3:AZ1004,AZ1004)-876)</f>
        <v/>
      </c>
      <c r="BT1004" s="76"/>
      <c r="CN1004">
        <v>1003</v>
      </c>
    </row>
    <row r="1005" spans="1:92" x14ac:dyDescent="0.3">
      <c r="A1005" s="118" t="s">
        <v>3971</v>
      </c>
      <c r="B1005" t="s">
        <v>3972</v>
      </c>
      <c r="C1005" t="s">
        <v>792</v>
      </c>
      <c r="D1005" s="144" t="s">
        <v>764</v>
      </c>
      <c r="E1005" t="s">
        <v>765</v>
      </c>
      <c r="F1005" t="s">
        <v>439</v>
      </c>
      <c r="G1005" t="s">
        <v>766</v>
      </c>
      <c r="H1005" t="s">
        <v>3973</v>
      </c>
      <c r="I1005" t="s">
        <v>766</v>
      </c>
      <c r="J1005" t="s">
        <v>1265</v>
      </c>
      <c r="K1005" t="s">
        <v>783</v>
      </c>
      <c r="L1005" t="s">
        <v>1266</v>
      </c>
      <c r="M1005" t="s">
        <v>208</v>
      </c>
      <c r="N1005" t="s">
        <v>764</v>
      </c>
      <c r="O1005" t="s">
        <v>771</v>
      </c>
      <c r="P1005" t="s">
        <v>772</v>
      </c>
      <c r="Q1005" t="s">
        <v>852</v>
      </c>
      <c r="R1005">
        <v>10</v>
      </c>
      <c r="S1005">
        <v>5</v>
      </c>
      <c r="T1005">
        <v>20</v>
      </c>
      <c r="U1005">
        <v>7</v>
      </c>
      <c r="V1005">
        <v>0</v>
      </c>
      <c r="W1005">
        <v>0</v>
      </c>
      <c r="X1005">
        <v>0</v>
      </c>
      <c r="Y1005">
        <v>0</v>
      </c>
      <c r="Z1005">
        <v>0</v>
      </c>
      <c r="AA1005">
        <v>0</v>
      </c>
      <c r="AB1005">
        <v>10</v>
      </c>
      <c r="AC1005">
        <v>5</v>
      </c>
      <c r="AD1005">
        <v>10</v>
      </c>
      <c r="AE1005">
        <v>5</v>
      </c>
      <c r="AF1005">
        <v>20</v>
      </c>
      <c r="AG1005">
        <v>3</v>
      </c>
      <c r="AH1005">
        <v>0</v>
      </c>
      <c r="AI1005">
        <v>0</v>
      </c>
      <c r="AJ1005" t="s">
        <v>1269</v>
      </c>
      <c r="AK1005" t="s">
        <v>1270</v>
      </c>
      <c r="AL1005" t="s">
        <v>208</v>
      </c>
      <c r="AM1005" t="s">
        <v>780</v>
      </c>
      <c r="AN1005" t="s">
        <v>771</v>
      </c>
      <c r="AO1005" t="s">
        <v>772</v>
      </c>
      <c r="AP1005" t="s">
        <v>885</v>
      </c>
      <c r="AY1005" t="str">
        <f t="shared" si="194"/>
        <v>PNEUMOSPECTIN 50/100 MG/ML SOLUTION INJECTABLE</v>
      </c>
      <c r="AZ1005" t="str">
        <f>IF(COUNTIF(AY:AY,AY1005)=1,AY1005,IF(AND(COUNTIF(AY:AY,AY1005)&gt;1,COUNTIF(AZ$2:AZ1004,AY1005)&gt;=1),"",AY1005))</f>
        <v>PNEUMOSPECTIN 50/100 MG/ML SOLUTION INJECTABLE</v>
      </c>
      <c r="BA1005">
        <f>IF(AZ1005="","",COUNTIFS(AZ$3:AZ$1439,"&lt;"&amp;AZ1005,AZ$3:AZ$1439,"&lt;&gt;0")+COUNTIF(AZ$3:AZ1005,AZ1005)-876)</f>
        <v>393</v>
      </c>
      <c r="BT1005" s="76"/>
      <c r="CN1005">
        <v>1004</v>
      </c>
    </row>
    <row r="1006" spans="1:92" x14ac:dyDescent="0.3">
      <c r="A1006" s="118" t="s">
        <v>3971</v>
      </c>
      <c r="B1006" t="s">
        <v>3974</v>
      </c>
      <c r="C1006" t="s">
        <v>796</v>
      </c>
      <c r="D1006" s="144" t="s">
        <v>776</v>
      </c>
      <c r="E1006" t="s">
        <v>765</v>
      </c>
      <c r="F1006" t="s">
        <v>439</v>
      </c>
      <c r="G1006" t="s">
        <v>766</v>
      </c>
      <c r="H1006" t="s">
        <v>3973</v>
      </c>
      <c r="I1006" t="s">
        <v>766</v>
      </c>
      <c r="J1006" t="s">
        <v>1265</v>
      </c>
      <c r="K1006" t="s">
        <v>783</v>
      </c>
      <c r="L1006" t="s">
        <v>1266</v>
      </c>
      <c r="M1006" t="s">
        <v>208</v>
      </c>
      <c r="N1006" t="s">
        <v>764</v>
      </c>
      <c r="O1006" t="s">
        <v>771</v>
      </c>
      <c r="P1006" t="s">
        <v>772</v>
      </c>
      <c r="Q1006" t="s">
        <v>855</v>
      </c>
      <c r="R1006">
        <v>10</v>
      </c>
      <c r="S1006">
        <v>5</v>
      </c>
      <c r="T1006">
        <v>20</v>
      </c>
      <c r="U1006">
        <v>7</v>
      </c>
      <c r="V1006">
        <v>0</v>
      </c>
      <c r="W1006">
        <v>0</v>
      </c>
      <c r="X1006">
        <v>0</v>
      </c>
      <c r="Y1006">
        <v>0</v>
      </c>
      <c r="Z1006">
        <v>0</v>
      </c>
      <c r="AA1006">
        <v>0</v>
      </c>
      <c r="AB1006">
        <v>10</v>
      </c>
      <c r="AC1006">
        <v>5</v>
      </c>
      <c r="AD1006">
        <v>10</v>
      </c>
      <c r="AE1006">
        <v>5</v>
      </c>
      <c r="AF1006">
        <v>20</v>
      </c>
      <c r="AG1006">
        <v>3</v>
      </c>
      <c r="AH1006">
        <v>0</v>
      </c>
      <c r="AI1006">
        <v>0</v>
      </c>
      <c r="AJ1006" t="s">
        <v>1269</v>
      </c>
      <c r="AK1006" t="s">
        <v>1270</v>
      </c>
      <c r="AL1006" t="s">
        <v>208</v>
      </c>
      <c r="AM1006" t="s">
        <v>780</v>
      </c>
      <c r="AN1006" t="s">
        <v>771</v>
      </c>
      <c r="AO1006" t="s">
        <v>772</v>
      </c>
      <c r="AP1006" t="s">
        <v>1072</v>
      </c>
      <c r="AY1006" t="str">
        <f t="shared" si="194"/>
        <v>PNEUMOSPECTIN 50/100 MG/ML SOLUTION INJECTABLE</v>
      </c>
      <c r="AZ1006" t="str">
        <f>IF(COUNTIF(AY:AY,AY1006)=1,AY1006,IF(AND(COUNTIF(AY:AY,AY1006)&gt;1,COUNTIF(AZ$2:AZ1005,AY1006)&gt;=1),"",AY1006))</f>
        <v/>
      </c>
      <c r="BA1006" t="str">
        <f>IF(AZ1006="","",COUNTIFS(AZ$3:AZ$1439,"&lt;"&amp;AZ1006,AZ$3:AZ$1439,"&lt;&gt;0")+COUNTIF(AZ$3:AZ1006,AZ1006)-876)</f>
        <v/>
      </c>
      <c r="BT1006" s="76"/>
      <c r="CN1006">
        <v>1005</v>
      </c>
    </row>
    <row r="1007" spans="1:92" x14ac:dyDescent="0.3">
      <c r="A1007" s="118" t="s">
        <v>2817</v>
      </c>
      <c r="B1007" t="s">
        <v>2818</v>
      </c>
      <c r="C1007" t="s">
        <v>891</v>
      </c>
      <c r="D1007" s="144" t="s">
        <v>829</v>
      </c>
      <c r="E1007" t="s">
        <v>830</v>
      </c>
      <c r="F1007" t="s">
        <v>440</v>
      </c>
      <c r="G1007" t="s">
        <v>831</v>
      </c>
      <c r="H1007" t="s">
        <v>1871</v>
      </c>
      <c r="I1007" t="s">
        <v>817</v>
      </c>
      <c r="J1007" t="s">
        <v>914</v>
      </c>
      <c r="K1007" t="s">
        <v>914</v>
      </c>
      <c r="L1007" t="s">
        <v>995</v>
      </c>
      <c r="M1007" t="s">
        <v>996</v>
      </c>
      <c r="N1007" t="s">
        <v>1805</v>
      </c>
      <c r="O1007" t="s">
        <v>834</v>
      </c>
      <c r="P1007" t="s">
        <v>4371</v>
      </c>
      <c r="Q1007" t="s">
        <v>780</v>
      </c>
      <c r="R1007">
        <v>5</v>
      </c>
      <c r="S1007">
        <v>3</v>
      </c>
      <c r="T1007">
        <v>0</v>
      </c>
      <c r="U1007">
        <v>0</v>
      </c>
      <c r="V1007">
        <v>0</v>
      </c>
      <c r="W1007">
        <v>0</v>
      </c>
      <c r="X1007">
        <v>0</v>
      </c>
      <c r="Y1007">
        <v>0</v>
      </c>
      <c r="Z1007">
        <v>5</v>
      </c>
      <c r="AA1007">
        <v>3</v>
      </c>
      <c r="AB1007">
        <v>0</v>
      </c>
      <c r="AC1007">
        <v>0</v>
      </c>
      <c r="AD1007">
        <v>5</v>
      </c>
      <c r="AE1007">
        <v>3</v>
      </c>
      <c r="AF1007">
        <v>3.75</v>
      </c>
      <c r="AG1007">
        <v>3</v>
      </c>
      <c r="AH1007">
        <v>0</v>
      </c>
      <c r="AI1007">
        <v>0</v>
      </c>
      <c r="AY1007" t="str">
        <f t="shared" si="194"/>
        <v>PO 11 COLISTINE 100 LAPIN - VOLAILLE - PORC - VEAU</v>
      </c>
      <c r="AZ1007" t="str">
        <f>IF(COUNTIF(AY:AY,AY1007)=1,AY1007,IF(AND(COUNTIF(AY:AY,AY1007)&gt;1,COUNTIF(AZ$2:AZ1006,AY1007)&gt;=1),"",AY1007))</f>
        <v>PO 11 COLISTINE 100 LAPIN - VOLAILLE - PORC - VEAU</v>
      </c>
      <c r="BA1007">
        <f>IF(AZ1007="","",COUNTIFS(AZ$3:AZ$1439,"&lt;"&amp;AZ1007,AZ$3:AZ$1439,"&lt;&gt;0")+COUNTIF(AZ$3:AZ1007,AZ1007)-876)</f>
        <v>394</v>
      </c>
      <c r="BT1007" s="76"/>
      <c r="CN1007">
        <v>1006</v>
      </c>
    </row>
    <row r="1008" spans="1:92" x14ac:dyDescent="0.3">
      <c r="A1008" s="118" t="s">
        <v>2817</v>
      </c>
      <c r="B1008" t="s">
        <v>2819</v>
      </c>
      <c r="C1008" t="s">
        <v>1293</v>
      </c>
      <c r="D1008" s="144" t="s">
        <v>924</v>
      </c>
      <c r="E1008" t="s">
        <v>830</v>
      </c>
      <c r="F1008" t="s">
        <v>440</v>
      </c>
      <c r="G1008" t="s">
        <v>831</v>
      </c>
      <c r="H1008" t="s">
        <v>1871</v>
      </c>
      <c r="I1008" t="s">
        <v>817</v>
      </c>
      <c r="J1008" t="s">
        <v>914</v>
      </c>
      <c r="K1008" t="s">
        <v>914</v>
      </c>
      <c r="L1008" t="s">
        <v>995</v>
      </c>
      <c r="M1008" t="s">
        <v>996</v>
      </c>
      <c r="N1008" t="s">
        <v>1805</v>
      </c>
      <c r="O1008" t="s">
        <v>834</v>
      </c>
      <c r="P1008" t="s">
        <v>4371</v>
      </c>
      <c r="Q1008" t="s">
        <v>906</v>
      </c>
      <c r="R1008">
        <v>5</v>
      </c>
      <c r="S1008">
        <v>3</v>
      </c>
      <c r="T1008">
        <v>0</v>
      </c>
      <c r="U1008">
        <v>0</v>
      </c>
      <c r="V1008">
        <v>0</v>
      </c>
      <c r="W1008">
        <v>0</v>
      </c>
      <c r="X1008">
        <v>0</v>
      </c>
      <c r="Y1008">
        <v>0</v>
      </c>
      <c r="Z1008">
        <v>5</v>
      </c>
      <c r="AA1008">
        <v>3</v>
      </c>
      <c r="AB1008">
        <v>0</v>
      </c>
      <c r="AC1008">
        <v>0</v>
      </c>
      <c r="AD1008">
        <v>5</v>
      </c>
      <c r="AE1008">
        <v>3</v>
      </c>
      <c r="AF1008">
        <v>3.75</v>
      </c>
      <c r="AG1008">
        <v>3</v>
      </c>
      <c r="AH1008">
        <v>0</v>
      </c>
      <c r="AI1008">
        <v>0</v>
      </c>
      <c r="AY1008" t="str">
        <f t="shared" si="194"/>
        <v>PO 11 COLISTINE 100 LAPIN - VOLAILLE - PORC - VEAU</v>
      </c>
      <c r="AZ1008" t="str">
        <f>IF(COUNTIF(AY:AY,AY1008)=1,AY1008,IF(AND(COUNTIF(AY:AY,AY1008)&gt;1,COUNTIF(AZ$2:AZ1007,AY1008)&gt;=1),"",AY1008))</f>
        <v/>
      </c>
      <c r="BA1008" t="str">
        <f>IF(AZ1008="","",COUNTIFS(AZ$3:AZ$1439,"&lt;"&amp;AZ1008,AZ$3:AZ$1439,"&lt;&gt;0")+COUNTIF(AZ$3:AZ1008,AZ1008)-876)</f>
        <v/>
      </c>
      <c r="BT1008" s="76"/>
      <c r="CN1008">
        <v>1007</v>
      </c>
    </row>
    <row r="1009" spans="1:92" x14ac:dyDescent="0.3">
      <c r="A1009" s="118" t="s">
        <v>2889</v>
      </c>
      <c r="B1009" t="s">
        <v>2890</v>
      </c>
      <c r="C1009" t="s">
        <v>1313</v>
      </c>
      <c r="D1009" s="144" t="s">
        <v>955</v>
      </c>
      <c r="E1009" t="s">
        <v>830</v>
      </c>
      <c r="F1009" t="s">
        <v>441</v>
      </c>
      <c r="G1009" t="s">
        <v>831</v>
      </c>
      <c r="H1009" t="s">
        <v>1584</v>
      </c>
      <c r="I1009" t="s">
        <v>817</v>
      </c>
      <c r="J1009" t="s">
        <v>787</v>
      </c>
      <c r="K1009" t="s">
        <v>787</v>
      </c>
      <c r="L1009" t="s">
        <v>992</v>
      </c>
      <c r="M1009" t="s">
        <v>208</v>
      </c>
      <c r="N1009" t="s">
        <v>764</v>
      </c>
      <c r="O1009" t="s">
        <v>894</v>
      </c>
      <c r="P1009" t="s">
        <v>772</v>
      </c>
      <c r="Q1009" t="s">
        <v>906</v>
      </c>
      <c r="R1009">
        <v>20</v>
      </c>
      <c r="S1009">
        <v>3</v>
      </c>
      <c r="T1009">
        <v>0</v>
      </c>
      <c r="U1009">
        <v>0</v>
      </c>
      <c r="V1009">
        <v>0</v>
      </c>
      <c r="W1009">
        <v>0</v>
      </c>
      <c r="X1009">
        <v>0</v>
      </c>
      <c r="Y1009">
        <v>0</v>
      </c>
      <c r="Z1009">
        <v>0</v>
      </c>
      <c r="AA1009">
        <v>0</v>
      </c>
      <c r="AB1009">
        <v>20</v>
      </c>
      <c r="AC1009">
        <v>3</v>
      </c>
      <c r="AD1009">
        <v>20</v>
      </c>
      <c r="AE1009">
        <v>3</v>
      </c>
      <c r="AF1009">
        <v>20</v>
      </c>
      <c r="AG1009">
        <v>3</v>
      </c>
      <c r="AH1009">
        <v>0</v>
      </c>
      <c r="AI1009">
        <v>0</v>
      </c>
      <c r="AY1009" t="str">
        <f t="shared" si="194"/>
        <v>PO 121 AMPICILLINE 10 VOLAILLE-PORC-VEAU-AGNEAU-CHEVREAU</v>
      </c>
      <c r="AZ1009" t="str">
        <f>IF(COUNTIF(AY:AY,AY1009)=1,AY1009,IF(AND(COUNTIF(AY:AY,AY1009)&gt;1,COUNTIF(AZ$2:AZ1008,AY1009)&gt;=1),"",AY1009))</f>
        <v>PO 121 AMPICILLINE 10 VOLAILLE-PORC-VEAU-AGNEAU-CHEVREAU</v>
      </c>
      <c r="BA1009">
        <f>IF(AZ1009="","",COUNTIFS(AZ$3:AZ$1439,"&lt;"&amp;AZ1009,AZ$3:AZ$1439,"&lt;&gt;0")+COUNTIF(AZ$3:AZ1009,AZ1009)-876)</f>
        <v>395</v>
      </c>
      <c r="BT1009" s="76"/>
      <c r="CN1009">
        <v>1008</v>
      </c>
    </row>
    <row r="1010" spans="1:92" x14ac:dyDescent="0.3">
      <c r="A1010" s="118" t="s">
        <v>2889</v>
      </c>
      <c r="B1010" t="s">
        <v>2891</v>
      </c>
      <c r="C1010" t="s">
        <v>891</v>
      </c>
      <c r="D1010" s="144" t="s">
        <v>829</v>
      </c>
      <c r="E1010" t="s">
        <v>830</v>
      </c>
      <c r="F1010" t="s">
        <v>441</v>
      </c>
      <c r="G1010" t="s">
        <v>831</v>
      </c>
      <c r="H1010" t="s">
        <v>1584</v>
      </c>
      <c r="I1010" t="s">
        <v>817</v>
      </c>
      <c r="J1010" t="s">
        <v>787</v>
      </c>
      <c r="K1010" t="s">
        <v>787</v>
      </c>
      <c r="L1010" t="s">
        <v>992</v>
      </c>
      <c r="M1010" t="s">
        <v>208</v>
      </c>
      <c r="N1010" t="s">
        <v>764</v>
      </c>
      <c r="O1010" t="s">
        <v>894</v>
      </c>
      <c r="P1010" t="s">
        <v>772</v>
      </c>
      <c r="Q1010" t="s">
        <v>764</v>
      </c>
      <c r="R1010">
        <v>20</v>
      </c>
      <c r="S1010">
        <v>3</v>
      </c>
      <c r="T1010">
        <v>0</v>
      </c>
      <c r="U1010">
        <v>0</v>
      </c>
      <c r="V1010">
        <v>0</v>
      </c>
      <c r="W1010">
        <v>0</v>
      </c>
      <c r="X1010">
        <v>0</v>
      </c>
      <c r="Y1010">
        <v>0</v>
      </c>
      <c r="Z1010">
        <v>0</v>
      </c>
      <c r="AA1010">
        <v>0</v>
      </c>
      <c r="AB1010">
        <v>20</v>
      </c>
      <c r="AC1010">
        <v>3</v>
      </c>
      <c r="AD1010">
        <v>20</v>
      </c>
      <c r="AE1010">
        <v>3</v>
      </c>
      <c r="AF1010">
        <v>20</v>
      </c>
      <c r="AG1010">
        <v>3</v>
      </c>
      <c r="AH1010">
        <v>0</v>
      </c>
      <c r="AI1010">
        <v>0</v>
      </c>
      <c r="AY1010" t="str">
        <f t="shared" si="194"/>
        <v>PO 121 AMPICILLINE 10 VOLAILLE-PORC-VEAU-AGNEAU-CHEVREAU</v>
      </c>
      <c r="AZ1010" t="str">
        <f>IF(COUNTIF(AY:AY,AY1010)=1,AY1010,IF(AND(COUNTIF(AY:AY,AY1010)&gt;1,COUNTIF(AZ$2:AZ1009,AY1010)&gt;=1),"",AY1010))</f>
        <v/>
      </c>
      <c r="BA1010" t="str">
        <f>IF(AZ1010="","",COUNTIFS(AZ$3:AZ$1439,"&lt;"&amp;AZ1010,AZ$3:AZ$1439,"&lt;&gt;0")+COUNTIF(AZ$3:AZ1010,AZ1010)-876)</f>
        <v/>
      </c>
      <c r="BT1010" s="76"/>
      <c r="CN1010">
        <v>1009</v>
      </c>
    </row>
    <row r="1011" spans="1:92" x14ac:dyDescent="0.3">
      <c r="A1011" s="118" t="s">
        <v>3282</v>
      </c>
      <c r="B1011" t="s">
        <v>3283</v>
      </c>
      <c r="C1011" t="s">
        <v>3284</v>
      </c>
      <c r="D1011" s="144" t="s">
        <v>3285</v>
      </c>
      <c r="E1011" t="s">
        <v>765</v>
      </c>
      <c r="F1011" t="s">
        <v>3286</v>
      </c>
      <c r="G1011" t="s">
        <v>964</v>
      </c>
      <c r="H1011" t="s">
        <v>860</v>
      </c>
      <c r="I1011" t="s">
        <v>879</v>
      </c>
      <c r="J1011" t="s">
        <v>2366</v>
      </c>
      <c r="K1011" t="s">
        <v>2366</v>
      </c>
      <c r="L1011" t="s">
        <v>3287</v>
      </c>
      <c r="M1011" t="s">
        <v>208</v>
      </c>
      <c r="N1011" t="s">
        <v>3178</v>
      </c>
      <c r="O1011" t="s">
        <v>771</v>
      </c>
      <c r="P1011" t="s">
        <v>772</v>
      </c>
      <c r="Q1011" t="s">
        <v>2709</v>
      </c>
      <c r="R1011">
        <v>0</v>
      </c>
      <c r="S1011">
        <v>0</v>
      </c>
      <c r="T1011">
        <v>0</v>
      </c>
      <c r="U1011">
        <v>0</v>
      </c>
      <c r="V1011">
        <v>0</v>
      </c>
      <c r="W1011">
        <v>0</v>
      </c>
      <c r="X1011">
        <v>0</v>
      </c>
      <c r="Y1011">
        <v>0</v>
      </c>
      <c r="Z1011">
        <v>0</v>
      </c>
      <c r="AA1011">
        <v>0</v>
      </c>
      <c r="AB1011">
        <v>0</v>
      </c>
      <c r="AC1011">
        <v>0</v>
      </c>
      <c r="AD1011">
        <v>0</v>
      </c>
      <c r="AE1011">
        <v>0</v>
      </c>
      <c r="AF1011">
        <v>0</v>
      </c>
      <c r="AG1011">
        <v>0</v>
      </c>
      <c r="AH1011">
        <v>0</v>
      </c>
      <c r="AI1011">
        <v>0</v>
      </c>
      <c r="AY1011" t="str">
        <f t="shared" si="194"/>
        <v/>
      </c>
      <c r="AZ1011" t="str">
        <f>IF(COUNTIF(AY:AY,AY1011)=1,AY1011,IF(AND(COUNTIF(AY:AY,AY1011)&gt;1,COUNTIF(AZ$2:AZ1010,AY1011)&gt;=1),"",AY1011))</f>
        <v/>
      </c>
      <c r="BA1011" t="str">
        <f>IF(AZ1011="","",COUNTIFS(AZ$3:AZ$1439,"&lt;"&amp;AZ1011,AZ$3:AZ$1439,"&lt;&gt;0")+COUNTIF(AZ$3:AZ1011,AZ1011)-876)</f>
        <v/>
      </c>
      <c r="BT1011" s="76"/>
      <c r="CN1011">
        <v>1010</v>
      </c>
    </row>
    <row r="1012" spans="1:92" x14ac:dyDescent="0.3">
      <c r="A1012" s="118" t="s">
        <v>3282</v>
      </c>
      <c r="B1012" t="s">
        <v>3288</v>
      </c>
      <c r="C1012" t="s">
        <v>3289</v>
      </c>
      <c r="D1012" s="144" t="s">
        <v>1791</v>
      </c>
      <c r="E1012" t="s">
        <v>765</v>
      </c>
      <c r="F1012" t="s">
        <v>3286</v>
      </c>
      <c r="G1012" t="s">
        <v>964</v>
      </c>
      <c r="H1012" t="s">
        <v>860</v>
      </c>
      <c r="I1012" t="s">
        <v>879</v>
      </c>
      <c r="J1012" t="s">
        <v>2366</v>
      </c>
      <c r="K1012" t="s">
        <v>2366</v>
      </c>
      <c r="L1012" t="s">
        <v>3287</v>
      </c>
      <c r="M1012" t="s">
        <v>208</v>
      </c>
      <c r="N1012" t="s">
        <v>3178</v>
      </c>
      <c r="O1012" t="s">
        <v>771</v>
      </c>
      <c r="P1012" t="s">
        <v>772</v>
      </c>
      <c r="Q1012" t="s">
        <v>3290</v>
      </c>
      <c r="R1012">
        <v>0</v>
      </c>
      <c r="S1012">
        <v>0</v>
      </c>
      <c r="T1012">
        <v>0</v>
      </c>
      <c r="U1012">
        <v>0</v>
      </c>
      <c r="V1012">
        <v>0</v>
      </c>
      <c r="W1012">
        <v>0</v>
      </c>
      <c r="X1012">
        <v>0</v>
      </c>
      <c r="Y1012">
        <v>0</v>
      </c>
      <c r="Z1012">
        <v>0</v>
      </c>
      <c r="AA1012">
        <v>0</v>
      </c>
      <c r="AB1012">
        <v>0</v>
      </c>
      <c r="AC1012">
        <v>0</v>
      </c>
      <c r="AD1012">
        <v>0</v>
      </c>
      <c r="AE1012">
        <v>0</v>
      </c>
      <c r="AF1012">
        <v>0</v>
      </c>
      <c r="AG1012">
        <v>0</v>
      </c>
      <c r="AH1012">
        <v>0</v>
      </c>
      <c r="AI1012">
        <v>0</v>
      </c>
      <c r="AY1012" t="str">
        <f t="shared" si="194"/>
        <v/>
      </c>
      <c r="AZ1012" t="str">
        <f>IF(COUNTIF(AY:AY,AY1012)=1,AY1012,IF(AND(COUNTIF(AY:AY,AY1012)&gt;1,COUNTIF(AZ$2:AZ1011,AY1012)&gt;=1),"",AY1012))</f>
        <v/>
      </c>
      <c r="BA1012" t="str">
        <f>IF(AZ1012="","",COUNTIFS(AZ$3:AZ$1439,"&lt;"&amp;AZ1012,AZ$3:AZ$1439,"&lt;&gt;0")+COUNTIF(AZ$3:AZ1012,AZ1012)-876)</f>
        <v/>
      </c>
      <c r="BT1012" s="76"/>
      <c r="CN1012">
        <v>1011</v>
      </c>
    </row>
    <row r="1013" spans="1:92" x14ac:dyDescent="0.3">
      <c r="A1013" s="118" t="s">
        <v>1967</v>
      </c>
      <c r="B1013" t="s">
        <v>1968</v>
      </c>
      <c r="C1013" t="s">
        <v>1477</v>
      </c>
      <c r="D1013" s="144" t="s">
        <v>780</v>
      </c>
      <c r="E1013" t="s">
        <v>765</v>
      </c>
      <c r="F1013" t="s">
        <v>117</v>
      </c>
      <c r="G1013" t="s">
        <v>766</v>
      </c>
      <c r="H1013" t="s">
        <v>1969</v>
      </c>
      <c r="I1013" t="s">
        <v>766</v>
      </c>
      <c r="J1013" t="s">
        <v>991</v>
      </c>
      <c r="K1013" t="s">
        <v>787</v>
      </c>
      <c r="L1013" t="s">
        <v>1055</v>
      </c>
      <c r="M1013" t="s">
        <v>208</v>
      </c>
      <c r="N1013" t="s">
        <v>764</v>
      </c>
      <c r="O1013" t="s">
        <v>771</v>
      </c>
      <c r="P1013" t="s">
        <v>772</v>
      </c>
      <c r="Q1013" t="s">
        <v>885</v>
      </c>
      <c r="R1013">
        <v>10</v>
      </c>
      <c r="S1013">
        <v>5</v>
      </c>
      <c r="T1013">
        <v>10</v>
      </c>
      <c r="U1013">
        <v>5</v>
      </c>
      <c r="V1013">
        <v>0</v>
      </c>
      <c r="W1013">
        <v>0</v>
      </c>
      <c r="X1013">
        <v>0</v>
      </c>
      <c r="Y1013">
        <v>0</v>
      </c>
      <c r="Z1013">
        <v>0</v>
      </c>
      <c r="AA1013">
        <v>0</v>
      </c>
      <c r="AB1013">
        <v>0</v>
      </c>
      <c r="AC1013">
        <v>0</v>
      </c>
      <c r="AD1013">
        <v>10</v>
      </c>
      <c r="AE1013">
        <v>5</v>
      </c>
      <c r="AF1013">
        <v>0</v>
      </c>
      <c r="AG1013">
        <v>0</v>
      </c>
      <c r="AH1013">
        <v>0</v>
      </c>
      <c r="AI1013">
        <v>0</v>
      </c>
      <c r="AJ1013" t="s">
        <v>914</v>
      </c>
      <c r="AK1013" t="s">
        <v>995</v>
      </c>
      <c r="AL1013" t="s">
        <v>996</v>
      </c>
      <c r="AM1013" t="s">
        <v>997</v>
      </c>
      <c r="AN1013" t="s">
        <v>805</v>
      </c>
      <c r="AO1013" t="s">
        <v>4371</v>
      </c>
      <c r="AP1013" t="s">
        <v>4403</v>
      </c>
      <c r="AY1013" t="str">
        <f t="shared" si="194"/>
        <v>POTENCIL</v>
      </c>
      <c r="AZ1013" t="str">
        <f>IF(COUNTIF(AY:AY,AY1013)=1,AY1013,IF(AND(COUNTIF(AY:AY,AY1013)&gt;1,COUNTIF(AZ$2:AZ1012,AY1013)&gt;=1),"",AY1013))</f>
        <v>POTENCIL</v>
      </c>
      <c r="BA1013">
        <f>IF(AZ1013="","",COUNTIFS(AZ$3:AZ$1439,"&lt;"&amp;AZ1013,AZ$3:AZ$1439,"&lt;&gt;0")+COUNTIF(AZ$3:AZ1013,AZ1013)-876)</f>
        <v>396</v>
      </c>
      <c r="BT1013" s="76"/>
      <c r="CN1013">
        <v>1012</v>
      </c>
    </row>
    <row r="1014" spans="1:92" x14ac:dyDescent="0.3">
      <c r="A1014" s="118" t="s">
        <v>1967</v>
      </c>
      <c r="B1014" t="s">
        <v>1970</v>
      </c>
      <c r="C1014" t="s">
        <v>943</v>
      </c>
      <c r="D1014" s="144" t="s">
        <v>764</v>
      </c>
      <c r="E1014" t="s">
        <v>765</v>
      </c>
      <c r="F1014" t="s">
        <v>117</v>
      </c>
      <c r="G1014" t="s">
        <v>766</v>
      </c>
      <c r="H1014" t="s">
        <v>1969</v>
      </c>
      <c r="I1014" t="s">
        <v>766</v>
      </c>
      <c r="J1014" t="s">
        <v>991</v>
      </c>
      <c r="K1014" t="s">
        <v>787</v>
      </c>
      <c r="L1014" t="s">
        <v>1055</v>
      </c>
      <c r="M1014" t="s">
        <v>208</v>
      </c>
      <c r="N1014" t="s">
        <v>764</v>
      </c>
      <c r="O1014" t="s">
        <v>771</v>
      </c>
      <c r="P1014" t="s">
        <v>772</v>
      </c>
      <c r="Q1014" t="s">
        <v>852</v>
      </c>
      <c r="R1014">
        <v>10</v>
      </c>
      <c r="S1014">
        <v>5</v>
      </c>
      <c r="T1014">
        <v>10</v>
      </c>
      <c r="U1014">
        <v>5</v>
      </c>
      <c r="V1014">
        <v>0</v>
      </c>
      <c r="W1014">
        <v>0</v>
      </c>
      <c r="X1014">
        <v>0</v>
      </c>
      <c r="Y1014">
        <v>0</v>
      </c>
      <c r="Z1014">
        <v>0</v>
      </c>
      <c r="AA1014">
        <v>0</v>
      </c>
      <c r="AB1014">
        <v>0</v>
      </c>
      <c r="AC1014">
        <v>0</v>
      </c>
      <c r="AD1014">
        <v>10</v>
      </c>
      <c r="AE1014">
        <v>5</v>
      </c>
      <c r="AF1014">
        <v>0</v>
      </c>
      <c r="AG1014">
        <v>0</v>
      </c>
      <c r="AH1014">
        <v>0</v>
      </c>
      <c r="AI1014">
        <v>0</v>
      </c>
      <c r="AJ1014" t="s">
        <v>914</v>
      </c>
      <c r="AK1014" t="s">
        <v>995</v>
      </c>
      <c r="AL1014" t="s">
        <v>996</v>
      </c>
      <c r="AM1014" t="s">
        <v>997</v>
      </c>
      <c r="AN1014" t="s">
        <v>805</v>
      </c>
      <c r="AO1014" t="s">
        <v>4371</v>
      </c>
      <c r="AP1014" t="s">
        <v>1128</v>
      </c>
      <c r="AY1014" t="str">
        <f t="shared" si="194"/>
        <v>POTENCIL</v>
      </c>
      <c r="AZ1014" t="str">
        <f>IF(COUNTIF(AY:AY,AY1014)=1,AY1014,IF(AND(COUNTIF(AY:AY,AY1014)&gt;1,COUNTIF(AZ$2:AZ1013,AY1014)&gt;=1),"",AY1014))</f>
        <v/>
      </c>
      <c r="BA1014" t="str">
        <f>IF(AZ1014="","",COUNTIFS(AZ$3:AZ$1439,"&lt;"&amp;AZ1014,AZ$3:AZ$1439,"&lt;&gt;0")+COUNTIF(AZ$3:AZ1014,AZ1014)-876)</f>
        <v/>
      </c>
      <c r="BT1014" s="76"/>
      <c r="CN1014">
        <v>1013</v>
      </c>
    </row>
    <row r="1015" spans="1:92" x14ac:dyDescent="0.3">
      <c r="A1015" s="118" t="s">
        <v>1967</v>
      </c>
      <c r="B1015" t="s">
        <v>1971</v>
      </c>
      <c r="C1015" t="s">
        <v>949</v>
      </c>
      <c r="D1015" s="144" t="s">
        <v>776</v>
      </c>
      <c r="E1015" t="s">
        <v>765</v>
      </c>
      <c r="F1015" t="s">
        <v>117</v>
      </c>
      <c r="G1015" t="s">
        <v>766</v>
      </c>
      <c r="H1015" t="s">
        <v>1969</v>
      </c>
      <c r="I1015" t="s">
        <v>766</v>
      </c>
      <c r="J1015" t="s">
        <v>991</v>
      </c>
      <c r="K1015" t="s">
        <v>787</v>
      </c>
      <c r="L1015" t="s">
        <v>1055</v>
      </c>
      <c r="M1015" t="s">
        <v>208</v>
      </c>
      <c r="N1015" t="s">
        <v>764</v>
      </c>
      <c r="O1015" t="s">
        <v>771</v>
      </c>
      <c r="P1015" t="s">
        <v>772</v>
      </c>
      <c r="Q1015" t="s">
        <v>855</v>
      </c>
      <c r="R1015">
        <v>10</v>
      </c>
      <c r="S1015">
        <v>5</v>
      </c>
      <c r="T1015">
        <v>10</v>
      </c>
      <c r="U1015">
        <v>5</v>
      </c>
      <c r="V1015">
        <v>0</v>
      </c>
      <c r="W1015">
        <v>0</v>
      </c>
      <c r="X1015">
        <v>0</v>
      </c>
      <c r="Y1015">
        <v>0</v>
      </c>
      <c r="Z1015">
        <v>0</v>
      </c>
      <c r="AA1015">
        <v>0</v>
      </c>
      <c r="AB1015">
        <v>0</v>
      </c>
      <c r="AC1015">
        <v>0</v>
      </c>
      <c r="AD1015">
        <v>10</v>
      </c>
      <c r="AE1015">
        <v>5</v>
      </c>
      <c r="AF1015">
        <v>0</v>
      </c>
      <c r="AG1015">
        <v>0</v>
      </c>
      <c r="AH1015">
        <v>0</v>
      </c>
      <c r="AI1015">
        <v>0</v>
      </c>
      <c r="AJ1015" t="s">
        <v>914</v>
      </c>
      <c r="AK1015" t="s">
        <v>995</v>
      </c>
      <c r="AL1015" t="s">
        <v>996</v>
      </c>
      <c r="AM1015" t="s">
        <v>997</v>
      </c>
      <c r="AN1015" t="s">
        <v>805</v>
      </c>
      <c r="AO1015" t="s">
        <v>4371</v>
      </c>
      <c r="AP1015" t="s">
        <v>4372</v>
      </c>
      <c r="AY1015" t="str">
        <f t="shared" si="194"/>
        <v>POTENCIL</v>
      </c>
      <c r="AZ1015" t="str">
        <f>IF(COUNTIF(AY:AY,AY1015)=1,AY1015,IF(AND(COUNTIF(AY:AY,AY1015)&gt;1,COUNTIF(AZ$2:AZ1014,AY1015)&gt;=1),"",AY1015))</f>
        <v/>
      </c>
      <c r="BA1015" t="str">
        <f>IF(AZ1015="","",COUNTIFS(AZ$3:AZ$1439,"&lt;"&amp;AZ1015,AZ$3:AZ$1439,"&lt;&gt;0")+COUNTIF(AZ$3:AZ1015,AZ1015)-876)</f>
        <v/>
      </c>
      <c r="BT1015" s="76"/>
      <c r="CN1015">
        <v>1014</v>
      </c>
    </row>
    <row r="1016" spans="1:92" x14ac:dyDescent="0.3">
      <c r="A1016" s="118" t="s">
        <v>1450</v>
      </c>
      <c r="B1016" t="s">
        <v>1451</v>
      </c>
      <c r="C1016" t="s">
        <v>1452</v>
      </c>
      <c r="D1016" s="144" t="s">
        <v>785</v>
      </c>
      <c r="E1016" t="s">
        <v>765</v>
      </c>
      <c r="F1016" t="s">
        <v>1453</v>
      </c>
      <c r="G1016" t="s">
        <v>985</v>
      </c>
      <c r="H1016" t="s">
        <v>1454</v>
      </c>
      <c r="I1016" t="s">
        <v>879</v>
      </c>
      <c r="J1016" t="s">
        <v>783</v>
      </c>
      <c r="K1016" t="s">
        <v>783</v>
      </c>
      <c r="L1016" t="s">
        <v>784</v>
      </c>
      <c r="M1016" t="s">
        <v>208</v>
      </c>
      <c r="N1016" t="s">
        <v>1455</v>
      </c>
      <c r="O1016" t="s">
        <v>834</v>
      </c>
      <c r="P1016" t="s">
        <v>4370</v>
      </c>
      <c r="Q1016" t="s">
        <v>4378</v>
      </c>
      <c r="R1016">
        <v>0</v>
      </c>
      <c r="S1016">
        <v>0</v>
      </c>
      <c r="T1016">
        <v>0</v>
      </c>
      <c r="U1016">
        <v>0</v>
      </c>
      <c r="V1016">
        <v>0</v>
      </c>
      <c r="W1016">
        <v>0</v>
      </c>
      <c r="X1016">
        <v>0</v>
      </c>
      <c r="Y1016">
        <v>0</v>
      </c>
      <c r="Z1016">
        <v>0</v>
      </c>
      <c r="AA1016">
        <v>0</v>
      </c>
      <c r="AB1016">
        <v>0</v>
      </c>
      <c r="AC1016">
        <v>0</v>
      </c>
      <c r="AD1016">
        <v>0</v>
      </c>
      <c r="AE1016">
        <v>0</v>
      </c>
      <c r="AF1016">
        <v>0</v>
      </c>
      <c r="AG1016">
        <v>0</v>
      </c>
      <c r="AH1016">
        <v>0</v>
      </c>
      <c r="AI1016">
        <v>0</v>
      </c>
      <c r="AY1016" t="str">
        <f t="shared" si="194"/>
        <v>PREDNIDERM</v>
      </c>
      <c r="AZ1016" t="str">
        <f>IF(COUNTIF(AY:AY,AY1016)=1,AY1016,IF(AND(COUNTIF(AY:AY,AY1016)&gt;1,COUNTIF(AZ$2:AZ1015,AY1016)&gt;=1),"",AY1016))</f>
        <v>PREDNIDERM</v>
      </c>
      <c r="BA1016">
        <f>IF(AZ1016="","",COUNTIFS(AZ$3:AZ$1439,"&lt;"&amp;AZ1016,AZ$3:AZ$1439,"&lt;&gt;0")+COUNTIF(AZ$3:AZ1016,AZ1016)-876)</f>
        <v>397</v>
      </c>
      <c r="BT1016" s="76"/>
      <c r="CN1016">
        <v>1015</v>
      </c>
    </row>
    <row r="1017" spans="1:92" x14ac:dyDescent="0.3">
      <c r="A1017" s="118" t="s">
        <v>1450</v>
      </c>
      <c r="B1017" t="s">
        <v>1456</v>
      </c>
      <c r="C1017" t="s">
        <v>1457</v>
      </c>
      <c r="D1017" s="144" t="s">
        <v>1047</v>
      </c>
      <c r="E1017" t="s">
        <v>765</v>
      </c>
      <c r="F1017" t="s">
        <v>1453</v>
      </c>
      <c r="G1017" t="s">
        <v>985</v>
      </c>
      <c r="H1017" t="s">
        <v>1454</v>
      </c>
      <c r="I1017" t="s">
        <v>879</v>
      </c>
      <c r="J1017" t="s">
        <v>783</v>
      </c>
      <c r="K1017" t="s">
        <v>783</v>
      </c>
      <c r="L1017" t="s">
        <v>784</v>
      </c>
      <c r="M1017" t="s">
        <v>208</v>
      </c>
      <c r="N1017" t="s">
        <v>1455</v>
      </c>
      <c r="O1017" t="s">
        <v>834</v>
      </c>
      <c r="P1017" t="s">
        <v>4370</v>
      </c>
      <c r="Q1017" t="s">
        <v>1458</v>
      </c>
      <c r="R1017">
        <v>0</v>
      </c>
      <c r="S1017">
        <v>0</v>
      </c>
      <c r="T1017">
        <v>0</v>
      </c>
      <c r="U1017">
        <v>0</v>
      </c>
      <c r="V1017">
        <v>0</v>
      </c>
      <c r="W1017">
        <v>0</v>
      </c>
      <c r="X1017">
        <v>0</v>
      </c>
      <c r="Y1017">
        <v>0</v>
      </c>
      <c r="Z1017">
        <v>0</v>
      </c>
      <c r="AA1017">
        <v>0</v>
      </c>
      <c r="AB1017">
        <v>0</v>
      </c>
      <c r="AC1017">
        <v>0</v>
      </c>
      <c r="AD1017">
        <v>0</v>
      </c>
      <c r="AE1017">
        <v>0</v>
      </c>
      <c r="AF1017">
        <v>0</v>
      </c>
      <c r="AG1017">
        <v>0</v>
      </c>
      <c r="AH1017">
        <v>0</v>
      </c>
      <c r="AI1017">
        <v>0</v>
      </c>
      <c r="AY1017" t="str">
        <f t="shared" si="194"/>
        <v>PREDNIDERM</v>
      </c>
      <c r="AZ1017" t="str">
        <f>IF(COUNTIF(AY:AY,AY1017)=1,AY1017,IF(AND(COUNTIF(AY:AY,AY1017)&gt;1,COUNTIF(AZ$2:AZ1016,AY1017)&gt;=1),"",AY1017))</f>
        <v/>
      </c>
      <c r="BA1017" t="str">
        <f>IF(AZ1017="","",COUNTIFS(AZ$3:AZ$1439,"&lt;"&amp;AZ1017,AZ$3:AZ$1439,"&lt;&gt;0")+COUNTIF(AZ$3:AZ1017,AZ1017)-876)</f>
        <v/>
      </c>
      <c r="BT1017" s="76"/>
      <c r="CN1017">
        <v>1016</v>
      </c>
    </row>
    <row r="1018" spans="1:92" x14ac:dyDescent="0.3">
      <c r="A1018" s="118" t="s">
        <v>1220</v>
      </c>
      <c r="B1018" t="s">
        <v>1221</v>
      </c>
      <c r="C1018" t="s">
        <v>1222</v>
      </c>
      <c r="D1018" s="144" t="s">
        <v>1063</v>
      </c>
      <c r="E1018" t="s">
        <v>830</v>
      </c>
      <c r="F1018" t="s">
        <v>680</v>
      </c>
      <c r="G1018" t="s">
        <v>1064</v>
      </c>
      <c r="H1018" t="s">
        <v>1086</v>
      </c>
      <c r="I1018" t="s">
        <v>1066</v>
      </c>
      <c r="J1018" t="s">
        <v>1038</v>
      </c>
      <c r="K1018" t="s">
        <v>862</v>
      </c>
      <c r="L1018" t="s">
        <v>1003</v>
      </c>
      <c r="M1018" t="s">
        <v>208</v>
      </c>
      <c r="N1018" t="s">
        <v>1223</v>
      </c>
      <c r="O1018" t="s">
        <v>894</v>
      </c>
      <c r="P1018" t="s">
        <v>772</v>
      </c>
      <c r="Q1018" t="s">
        <v>1224</v>
      </c>
      <c r="R1018">
        <v>30</v>
      </c>
      <c r="S1018">
        <v>8</v>
      </c>
      <c r="T1018">
        <v>0</v>
      </c>
      <c r="U1018">
        <v>0</v>
      </c>
      <c r="V1018">
        <v>0</v>
      </c>
      <c r="W1018">
        <v>0</v>
      </c>
      <c r="X1018">
        <v>0</v>
      </c>
      <c r="Y1018">
        <v>0</v>
      </c>
      <c r="Z1018">
        <v>0</v>
      </c>
      <c r="AA1018">
        <v>0</v>
      </c>
      <c r="AB1018">
        <v>30</v>
      </c>
      <c r="AC1018">
        <v>8</v>
      </c>
      <c r="AD1018">
        <v>30</v>
      </c>
      <c r="AE1018">
        <v>8</v>
      </c>
      <c r="AF1018">
        <v>0</v>
      </c>
      <c r="AG1018">
        <v>0</v>
      </c>
      <c r="AH1018">
        <v>0</v>
      </c>
      <c r="AI1018">
        <v>0</v>
      </c>
      <c r="AJ1018" t="s">
        <v>914</v>
      </c>
      <c r="AK1018" t="s">
        <v>995</v>
      </c>
      <c r="AL1018" t="s">
        <v>996</v>
      </c>
      <c r="AM1018" t="s">
        <v>1225</v>
      </c>
      <c r="AN1018" t="s">
        <v>834</v>
      </c>
      <c r="AO1018" t="s">
        <v>4371</v>
      </c>
      <c r="AP1018" t="s">
        <v>4384</v>
      </c>
      <c r="AY1018" t="str">
        <f t="shared" si="194"/>
        <v>PREMELANGE MEDICAMENTEUX CS FRANVET</v>
      </c>
      <c r="AZ1018" t="str">
        <f>IF(COUNTIF(AY:AY,AY1018)=1,AY1018,IF(AND(COUNTIF(AY:AY,AY1018)&gt;1,COUNTIF(AZ$2:AZ1017,AY1018)&gt;=1),"",AY1018))</f>
        <v>PREMELANGE MEDICAMENTEUX CS FRANVET</v>
      </c>
      <c r="BA1018">
        <f>IF(AZ1018="","",COUNTIFS(AZ$3:AZ$1439,"&lt;"&amp;AZ1018,AZ$3:AZ$1439,"&lt;&gt;0")+COUNTIF(AZ$3:AZ1018,AZ1018)-876)</f>
        <v>398</v>
      </c>
      <c r="BT1018" s="76"/>
      <c r="CN1018">
        <v>1017</v>
      </c>
    </row>
    <row r="1019" spans="1:92" x14ac:dyDescent="0.3">
      <c r="A1019" s="118" t="s">
        <v>1074</v>
      </c>
      <c r="B1019" t="s">
        <v>1075</v>
      </c>
      <c r="C1019" t="s">
        <v>1062</v>
      </c>
      <c r="D1019" s="144" t="s">
        <v>1063</v>
      </c>
      <c r="E1019" t="s">
        <v>830</v>
      </c>
      <c r="F1019" t="s">
        <v>442</v>
      </c>
      <c r="G1019" t="s">
        <v>1064</v>
      </c>
      <c r="H1019" t="s">
        <v>1076</v>
      </c>
      <c r="I1019" t="s">
        <v>1066</v>
      </c>
      <c r="J1019" t="s">
        <v>1067</v>
      </c>
      <c r="K1019" t="s">
        <v>862</v>
      </c>
      <c r="L1019" t="s">
        <v>895</v>
      </c>
      <c r="M1019" t="s">
        <v>208</v>
      </c>
      <c r="N1019" t="s">
        <v>1077</v>
      </c>
      <c r="O1019" t="s">
        <v>894</v>
      </c>
      <c r="P1019" t="s">
        <v>772</v>
      </c>
      <c r="Q1019" t="s">
        <v>1078</v>
      </c>
      <c r="R1019">
        <v>37.5</v>
      </c>
      <c r="S1019">
        <v>8</v>
      </c>
      <c r="T1019">
        <v>0</v>
      </c>
      <c r="U1019">
        <v>0</v>
      </c>
      <c r="V1019">
        <v>0</v>
      </c>
      <c r="W1019">
        <v>0</v>
      </c>
      <c r="X1019">
        <v>0</v>
      </c>
      <c r="Y1019">
        <v>0</v>
      </c>
      <c r="Z1019">
        <v>0</v>
      </c>
      <c r="AA1019">
        <v>0</v>
      </c>
      <c r="AB1019">
        <v>37.5</v>
      </c>
      <c r="AC1019">
        <v>8</v>
      </c>
      <c r="AD1019">
        <v>94</v>
      </c>
      <c r="AE1019">
        <v>8</v>
      </c>
      <c r="AF1019">
        <v>0</v>
      </c>
      <c r="AG1019">
        <v>0</v>
      </c>
      <c r="AH1019">
        <v>0</v>
      </c>
      <c r="AI1019">
        <v>0</v>
      </c>
      <c r="AJ1019" t="s">
        <v>768</v>
      </c>
      <c r="AK1019" t="s">
        <v>769</v>
      </c>
      <c r="AL1019" t="s">
        <v>208</v>
      </c>
      <c r="AM1019" t="s">
        <v>1047</v>
      </c>
      <c r="AN1019" t="s">
        <v>894</v>
      </c>
      <c r="AO1019" t="s">
        <v>772</v>
      </c>
      <c r="AP1019" t="s">
        <v>1079</v>
      </c>
      <c r="AY1019" t="str">
        <f t="shared" si="194"/>
        <v>PREMELANGE MEDICAMENTEUX Z 27</v>
      </c>
      <c r="AZ1019" t="str">
        <f>IF(COUNTIF(AY:AY,AY1019)=1,AY1019,IF(AND(COUNTIF(AY:AY,AY1019)&gt;1,COUNTIF(AZ$2:AZ1018,AY1019)&gt;=1),"",AY1019))</f>
        <v>PREMELANGE MEDICAMENTEUX Z 27</v>
      </c>
      <c r="BA1019">
        <f>IF(AZ1019="","",COUNTIFS(AZ$3:AZ$1439,"&lt;"&amp;AZ1019,AZ$3:AZ$1439,"&lt;&gt;0")+COUNTIF(AZ$3:AZ1019,AZ1019)-876)</f>
        <v>399</v>
      </c>
      <c r="BT1019" s="76"/>
      <c r="CN1019">
        <v>1018</v>
      </c>
    </row>
    <row r="1020" spans="1:92" x14ac:dyDescent="0.3">
      <c r="A1020" s="118" t="s">
        <v>1060</v>
      </c>
      <c r="B1020" t="s">
        <v>1061</v>
      </c>
      <c r="C1020" t="s">
        <v>1062</v>
      </c>
      <c r="D1020" s="144" t="s">
        <v>1063</v>
      </c>
      <c r="E1020" t="s">
        <v>830</v>
      </c>
      <c r="F1020" t="s">
        <v>443</v>
      </c>
      <c r="G1020" t="s">
        <v>1064</v>
      </c>
      <c r="H1020" t="s">
        <v>1065</v>
      </c>
      <c r="I1020" t="s">
        <v>1066</v>
      </c>
      <c r="J1020" t="s">
        <v>1067</v>
      </c>
      <c r="K1020" t="s">
        <v>862</v>
      </c>
      <c r="L1020" t="s">
        <v>1003</v>
      </c>
      <c r="M1020" t="s">
        <v>208</v>
      </c>
      <c r="N1020" t="s">
        <v>764</v>
      </c>
      <c r="O1020" t="s">
        <v>894</v>
      </c>
      <c r="P1020" t="s">
        <v>772</v>
      </c>
      <c r="Q1020" t="s">
        <v>966</v>
      </c>
      <c r="R1020">
        <v>0</v>
      </c>
      <c r="S1020">
        <v>0</v>
      </c>
      <c r="T1020">
        <v>0</v>
      </c>
      <c r="U1020">
        <v>0</v>
      </c>
      <c r="V1020">
        <v>0</v>
      </c>
      <c r="W1020">
        <v>0</v>
      </c>
      <c r="X1020">
        <v>0</v>
      </c>
      <c r="Y1020">
        <v>0</v>
      </c>
      <c r="Z1020">
        <v>50</v>
      </c>
      <c r="AA1020">
        <v>8</v>
      </c>
      <c r="AB1020">
        <v>50</v>
      </c>
      <c r="AC1020">
        <v>8</v>
      </c>
      <c r="AD1020">
        <v>0</v>
      </c>
      <c r="AE1020">
        <v>0</v>
      </c>
      <c r="AF1020">
        <v>0</v>
      </c>
      <c r="AG1020">
        <v>0</v>
      </c>
      <c r="AH1020">
        <v>0</v>
      </c>
      <c r="AI1020">
        <v>0</v>
      </c>
      <c r="AJ1020" t="s">
        <v>768</v>
      </c>
      <c r="AK1020" t="s">
        <v>769</v>
      </c>
      <c r="AL1020" t="s">
        <v>208</v>
      </c>
      <c r="AM1020" t="s">
        <v>932</v>
      </c>
      <c r="AN1020" t="s">
        <v>894</v>
      </c>
      <c r="AO1020" t="s">
        <v>772</v>
      </c>
      <c r="AP1020" t="s">
        <v>829</v>
      </c>
      <c r="AY1020" t="str">
        <f t="shared" si="194"/>
        <v>PREMELANGE MEDICAMENTEUX Z 29</v>
      </c>
      <c r="AZ1020" t="str">
        <f>IF(COUNTIF(AY:AY,AY1020)=1,AY1020,IF(AND(COUNTIF(AY:AY,AY1020)&gt;1,COUNTIF(AZ$2:AZ1019,AY1020)&gt;=1),"",AY1020))</f>
        <v>PREMELANGE MEDICAMENTEUX Z 29</v>
      </c>
      <c r="BA1020">
        <f>IF(AZ1020="","",COUNTIFS(AZ$3:AZ$1439,"&lt;"&amp;AZ1020,AZ$3:AZ$1439,"&lt;&gt;0")+COUNTIF(AZ$3:AZ1020,AZ1020)-876)</f>
        <v>400</v>
      </c>
      <c r="BT1020" s="76"/>
      <c r="CN1020">
        <v>1019</v>
      </c>
    </row>
    <row r="1021" spans="1:92" x14ac:dyDescent="0.3">
      <c r="A1021" s="118" t="s">
        <v>1068</v>
      </c>
      <c r="B1021" t="s">
        <v>1069</v>
      </c>
      <c r="C1021" t="s">
        <v>1062</v>
      </c>
      <c r="D1021" s="144" t="s">
        <v>1063</v>
      </c>
      <c r="E1021" t="s">
        <v>830</v>
      </c>
      <c r="F1021" t="s">
        <v>444</v>
      </c>
      <c r="G1021" t="s">
        <v>1064</v>
      </c>
      <c r="H1021" t="s">
        <v>1070</v>
      </c>
      <c r="I1021" t="s">
        <v>1066</v>
      </c>
      <c r="J1021" t="s">
        <v>928</v>
      </c>
      <c r="K1021" t="s">
        <v>862</v>
      </c>
      <c r="L1021" t="s">
        <v>938</v>
      </c>
      <c r="M1021" t="s">
        <v>208</v>
      </c>
      <c r="N1021" t="s">
        <v>950</v>
      </c>
      <c r="O1021" t="s">
        <v>894</v>
      </c>
      <c r="P1021" t="s">
        <v>772</v>
      </c>
      <c r="Q1021" t="s">
        <v>1071</v>
      </c>
      <c r="R1021">
        <v>25</v>
      </c>
      <c r="S1021">
        <v>10</v>
      </c>
      <c r="T1021">
        <v>0</v>
      </c>
      <c r="U1021">
        <v>0</v>
      </c>
      <c r="V1021">
        <v>0</v>
      </c>
      <c r="W1021">
        <v>0</v>
      </c>
      <c r="X1021">
        <v>0</v>
      </c>
      <c r="Y1021">
        <v>0</v>
      </c>
      <c r="Z1021">
        <v>25</v>
      </c>
      <c r="AA1021">
        <v>10</v>
      </c>
      <c r="AB1021">
        <v>25</v>
      </c>
      <c r="AC1021">
        <v>10</v>
      </c>
      <c r="AD1021">
        <v>25</v>
      </c>
      <c r="AE1021">
        <v>8</v>
      </c>
      <c r="AF1021">
        <v>50</v>
      </c>
      <c r="AG1021">
        <v>8</v>
      </c>
      <c r="AH1021">
        <v>0</v>
      </c>
      <c r="AI1021">
        <v>0</v>
      </c>
      <c r="AJ1021" t="s">
        <v>930</v>
      </c>
      <c r="AK1021" t="s">
        <v>931</v>
      </c>
      <c r="AL1021" t="s">
        <v>208</v>
      </c>
      <c r="AM1021" t="s">
        <v>1072</v>
      </c>
      <c r="AN1021" t="s">
        <v>894</v>
      </c>
      <c r="AO1021" t="s">
        <v>772</v>
      </c>
      <c r="AP1021" t="s">
        <v>1073</v>
      </c>
      <c r="AY1021" t="str">
        <f t="shared" si="194"/>
        <v>PREMELANGE MEDICAMENTEUX Z 30</v>
      </c>
      <c r="AZ1021" t="str">
        <f>IF(COUNTIF(AY:AY,AY1021)=1,AY1021,IF(AND(COUNTIF(AY:AY,AY1021)&gt;1,COUNTIF(AZ$2:AZ1020,AY1021)&gt;=1),"",AY1021))</f>
        <v>PREMELANGE MEDICAMENTEUX Z 30</v>
      </c>
      <c r="BA1021">
        <f>IF(AZ1021="","",COUNTIFS(AZ$3:AZ$1439,"&lt;"&amp;AZ1021,AZ$3:AZ$1439,"&lt;&gt;0")+COUNTIF(AZ$3:AZ1021,AZ1021)-876)</f>
        <v>401</v>
      </c>
      <c r="BT1021" s="76"/>
      <c r="CN1021">
        <v>1020</v>
      </c>
    </row>
    <row r="1022" spans="1:92" x14ac:dyDescent="0.3">
      <c r="A1022" s="118" t="s">
        <v>1986</v>
      </c>
      <c r="B1022" t="s">
        <v>1987</v>
      </c>
      <c r="C1022" t="s">
        <v>1988</v>
      </c>
      <c r="D1022" s="144" t="s">
        <v>1494</v>
      </c>
      <c r="E1022" t="s">
        <v>813</v>
      </c>
      <c r="F1022" t="s">
        <v>1989</v>
      </c>
      <c r="G1022" t="s">
        <v>815</v>
      </c>
      <c r="H1022" t="s">
        <v>816</v>
      </c>
      <c r="I1022" t="s">
        <v>817</v>
      </c>
      <c r="J1022" t="s">
        <v>928</v>
      </c>
      <c r="K1022" t="s">
        <v>862</v>
      </c>
      <c r="L1022" t="s">
        <v>1943</v>
      </c>
      <c r="M1022" t="s">
        <v>208</v>
      </c>
      <c r="N1022" t="s">
        <v>764</v>
      </c>
      <c r="O1022" t="s">
        <v>824</v>
      </c>
      <c r="P1022" t="s">
        <v>772</v>
      </c>
      <c r="Q1022" t="s">
        <v>1944</v>
      </c>
      <c r="R1022">
        <v>0</v>
      </c>
      <c r="S1022">
        <v>0</v>
      </c>
      <c r="T1022">
        <v>25</v>
      </c>
      <c r="U1022">
        <v>4</v>
      </c>
      <c r="V1022">
        <v>0</v>
      </c>
      <c r="W1022">
        <v>0</v>
      </c>
      <c r="X1022">
        <v>0</v>
      </c>
      <c r="Y1022">
        <v>0</v>
      </c>
      <c r="Z1022">
        <v>0</v>
      </c>
      <c r="AA1022">
        <v>0</v>
      </c>
      <c r="AB1022">
        <v>0</v>
      </c>
      <c r="AC1022">
        <v>0</v>
      </c>
      <c r="AD1022">
        <v>0</v>
      </c>
      <c r="AE1022">
        <v>0</v>
      </c>
      <c r="AF1022">
        <v>0</v>
      </c>
      <c r="AG1022">
        <v>0</v>
      </c>
      <c r="AH1022">
        <v>0</v>
      </c>
      <c r="AI1022">
        <v>0</v>
      </c>
      <c r="AJ1022" t="s">
        <v>930</v>
      </c>
      <c r="AK1022" t="s">
        <v>931</v>
      </c>
      <c r="AL1022" t="s">
        <v>208</v>
      </c>
      <c r="AM1022" t="s">
        <v>869</v>
      </c>
      <c r="AN1022" t="s">
        <v>824</v>
      </c>
      <c r="AO1022" t="s">
        <v>772</v>
      </c>
      <c r="AP1022" t="s">
        <v>1945</v>
      </c>
      <c r="AY1022" t="str">
        <f t="shared" si="194"/>
        <v/>
      </c>
      <c r="AZ1022" t="str">
        <f>IF(COUNTIF(AY:AY,AY1022)=1,AY1022,IF(AND(COUNTIF(AY:AY,AY1022)&gt;1,COUNTIF(AZ$2:AZ1021,AY1022)&gt;=1),"",AY1022))</f>
        <v/>
      </c>
      <c r="BA1022" t="str">
        <f>IF(AZ1022="","",COUNTIFS(AZ$3:AZ$1439,"&lt;"&amp;AZ1022,AZ$3:AZ$1439,"&lt;&gt;0")+COUNTIF(AZ$3:AZ1022,AZ1022)-876)</f>
        <v/>
      </c>
      <c r="BT1022" s="76"/>
      <c r="CN1022">
        <v>1021</v>
      </c>
    </row>
    <row r="1023" spans="1:92" x14ac:dyDescent="0.3">
      <c r="A1023" s="118" t="s">
        <v>4023</v>
      </c>
      <c r="B1023" t="s">
        <v>4024</v>
      </c>
      <c r="C1023" t="s">
        <v>891</v>
      </c>
      <c r="D1023" s="144" t="s">
        <v>829</v>
      </c>
      <c r="E1023" t="s">
        <v>830</v>
      </c>
      <c r="F1023" t="s">
        <v>118</v>
      </c>
      <c r="G1023" t="s">
        <v>831</v>
      </c>
      <c r="H1023" t="s">
        <v>1577</v>
      </c>
      <c r="I1023" t="s">
        <v>817</v>
      </c>
      <c r="J1023" t="s">
        <v>768</v>
      </c>
      <c r="K1023" t="s">
        <v>768</v>
      </c>
      <c r="L1023" t="s">
        <v>769</v>
      </c>
      <c r="M1023" t="s">
        <v>208</v>
      </c>
      <c r="N1023" t="s">
        <v>906</v>
      </c>
      <c r="O1023" t="s">
        <v>894</v>
      </c>
      <c r="P1023" t="s">
        <v>772</v>
      </c>
      <c r="Q1023" t="s">
        <v>906</v>
      </c>
      <c r="R1023">
        <v>20</v>
      </c>
      <c r="S1023">
        <v>5</v>
      </c>
      <c r="T1023">
        <v>0</v>
      </c>
      <c r="U1023">
        <v>0</v>
      </c>
      <c r="V1023">
        <v>0</v>
      </c>
      <c r="W1023">
        <v>0</v>
      </c>
      <c r="X1023">
        <v>0</v>
      </c>
      <c r="Y1023">
        <v>0</v>
      </c>
      <c r="Z1023">
        <v>20</v>
      </c>
      <c r="AA1023">
        <v>5</v>
      </c>
      <c r="AB1023">
        <v>20</v>
      </c>
      <c r="AC1023">
        <v>5</v>
      </c>
      <c r="AD1023">
        <v>20</v>
      </c>
      <c r="AE1023">
        <v>5</v>
      </c>
      <c r="AF1023">
        <v>20</v>
      </c>
      <c r="AG1023">
        <v>5</v>
      </c>
      <c r="AH1023">
        <v>0</v>
      </c>
      <c r="AI1023">
        <v>0</v>
      </c>
      <c r="AY1023" t="str">
        <f t="shared" si="194"/>
        <v>PRIMOX</v>
      </c>
      <c r="AZ1023" t="str">
        <f>IF(COUNTIF(AY:AY,AY1023)=1,AY1023,IF(AND(COUNTIF(AY:AY,AY1023)&gt;1,COUNTIF(AZ$2:AZ1022,AY1023)&gt;=1),"",AY1023))</f>
        <v>PRIMOX</v>
      </c>
      <c r="BA1023">
        <f>IF(AZ1023="","",COUNTIFS(AZ$3:AZ$1439,"&lt;"&amp;AZ1023,AZ$3:AZ$1439,"&lt;&gt;0")+COUNTIF(AZ$3:AZ1023,AZ1023)-876)</f>
        <v>402</v>
      </c>
      <c r="BT1023" s="76"/>
      <c r="CN1023">
        <v>1022</v>
      </c>
    </row>
    <row r="1024" spans="1:92" x14ac:dyDescent="0.3">
      <c r="A1024" s="118" t="s">
        <v>4023</v>
      </c>
      <c r="B1024" t="s">
        <v>4025</v>
      </c>
      <c r="C1024" t="s">
        <v>1313</v>
      </c>
      <c r="D1024" s="144" t="s">
        <v>955</v>
      </c>
      <c r="E1024" t="s">
        <v>830</v>
      </c>
      <c r="F1024" t="s">
        <v>118</v>
      </c>
      <c r="G1024" t="s">
        <v>831</v>
      </c>
      <c r="H1024" t="s">
        <v>1577</v>
      </c>
      <c r="I1024" t="s">
        <v>817</v>
      </c>
      <c r="J1024" t="s">
        <v>768</v>
      </c>
      <c r="K1024" t="s">
        <v>768</v>
      </c>
      <c r="L1024" t="s">
        <v>769</v>
      </c>
      <c r="M1024" t="s">
        <v>208</v>
      </c>
      <c r="N1024" t="s">
        <v>906</v>
      </c>
      <c r="O1024" t="s">
        <v>894</v>
      </c>
      <c r="P1024" t="s">
        <v>772</v>
      </c>
      <c r="Q1024" t="s">
        <v>966</v>
      </c>
      <c r="R1024">
        <v>20</v>
      </c>
      <c r="S1024">
        <v>5</v>
      </c>
      <c r="T1024">
        <v>0</v>
      </c>
      <c r="U1024">
        <v>0</v>
      </c>
      <c r="V1024">
        <v>0</v>
      </c>
      <c r="W1024">
        <v>0</v>
      </c>
      <c r="X1024">
        <v>0</v>
      </c>
      <c r="Y1024">
        <v>0</v>
      </c>
      <c r="Z1024">
        <v>20</v>
      </c>
      <c r="AA1024">
        <v>5</v>
      </c>
      <c r="AB1024">
        <v>20</v>
      </c>
      <c r="AC1024">
        <v>5</v>
      </c>
      <c r="AD1024">
        <v>20</v>
      </c>
      <c r="AE1024">
        <v>5</v>
      </c>
      <c r="AF1024">
        <v>20</v>
      </c>
      <c r="AG1024">
        <v>5</v>
      </c>
      <c r="AH1024">
        <v>0</v>
      </c>
      <c r="AI1024">
        <v>0</v>
      </c>
      <c r="AY1024" t="str">
        <f t="shared" si="194"/>
        <v>PRIMOX</v>
      </c>
      <c r="AZ1024" t="str">
        <f>IF(COUNTIF(AY:AY,AY1024)=1,AY1024,IF(AND(COUNTIF(AY:AY,AY1024)&gt;1,COUNTIF(AZ$2:AZ1023,AY1024)&gt;=1),"",AY1024))</f>
        <v/>
      </c>
      <c r="BA1024" t="str">
        <f>IF(AZ1024="","",COUNTIFS(AZ$3:AZ$1439,"&lt;"&amp;AZ1024,AZ$3:AZ$1439,"&lt;&gt;0")+COUNTIF(AZ$3:AZ1024,AZ1024)-876)</f>
        <v/>
      </c>
      <c r="BT1024" s="76"/>
      <c r="CN1024">
        <v>1023</v>
      </c>
    </row>
    <row r="1025" spans="1:92" x14ac:dyDescent="0.3">
      <c r="A1025" s="118" t="s">
        <v>4023</v>
      </c>
      <c r="B1025" t="s">
        <v>4026</v>
      </c>
      <c r="C1025" t="s">
        <v>1293</v>
      </c>
      <c r="D1025" s="144" t="s">
        <v>924</v>
      </c>
      <c r="E1025" t="s">
        <v>830</v>
      </c>
      <c r="F1025" t="s">
        <v>118</v>
      </c>
      <c r="G1025" t="s">
        <v>831</v>
      </c>
      <c r="H1025" t="s">
        <v>1577</v>
      </c>
      <c r="I1025" t="s">
        <v>817</v>
      </c>
      <c r="J1025" t="s">
        <v>768</v>
      </c>
      <c r="K1025" t="s">
        <v>768</v>
      </c>
      <c r="L1025" t="s">
        <v>769</v>
      </c>
      <c r="M1025" t="s">
        <v>208</v>
      </c>
      <c r="N1025" t="s">
        <v>906</v>
      </c>
      <c r="O1025" t="s">
        <v>894</v>
      </c>
      <c r="P1025" t="s">
        <v>772</v>
      </c>
      <c r="Q1025" t="s">
        <v>955</v>
      </c>
      <c r="R1025">
        <v>20</v>
      </c>
      <c r="S1025">
        <v>5</v>
      </c>
      <c r="T1025">
        <v>0</v>
      </c>
      <c r="U1025">
        <v>0</v>
      </c>
      <c r="V1025">
        <v>0</v>
      </c>
      <c r="W1025">
        <v>0</v>
      </c>
      <c r="X1025">
        <v>0</v>
      </c>
      <c r="Y1025">
        <v>0</v>
      </c>
      <c r="Z1025">
        <v>20</v>
      </c>
      <c r="AA1025">
        <v>5</v>
      </c>
      <c r="AB1025">
        <v>20</v>
      </c>
      <c r="AC1025">
        <v>5</v>
      </c>
      <c r="AD1025">
        <v>20</v>
      </c>
      <c r="AE1025">
        <v>5</v>
      </c>
      <c r="AF1025">
        <v>20</v>
      </c>
      <c r="AG1025">
        <v>5</v>
      </c>
      <c r="AH1025">
        <v>0</v>
      </c>
      <c r="AI1025">
        <v>0</v>
      </c>
      <c r="AY1025" t="str">
        <f t="shared" si="194"/>
        <v>PRIMOX</v>
      </c>
      <c r="AZ1025" t="str">
        <f>IF(COUNTIF(AY:AY,AY1025)=1,AY1025,IF(AND(COUNTIF(AY:AY,AY1025)&gt;1,COUNTIF(AZ$2:AZ1024,AY1025)&gt;=1),"",AY1025))</f>
        <v/>
      </c>
      <c r="BA1025" t="str">
        <f>IF(AZ1025="","",COUNTIFS(AZ$3:AZ$1439,"&lt;"&amp;AZ1025,AZ$3:AZ$1439,"&lt;&gt;0")+COUNTIF(AZ$3:AZ1025,AZ1025)-876)</f>
        <v/>
      </c>
      <c r="BT1025" s="76"/>
      <c r="CN1025">
        <v>1024</v>
      </c>
    </row>
    <row r="1026" spans="1:92" x14ac:dyDescent="0.3">
      <c r="A1026" s="118" t="s">
        <v>4271</v>
      </c>
      <c r="B1026" t="s">
        <v>4272</v>
      </c>
      <c r="C1026" t="s">
        <v>792</v>
      </c>
      <c r="D1026" t="s">
        <v>764</v>
      </c>
      <c r="E1026" t="s">
        <v>765</v>
      </c>
      <c r="F1026" t="s">
        <v>445</v>
      </c>
      <c r="G1026" t="s">
        <v>766</v>
      </c>
      <c r="H1026" t="s">
        <v>1326</v>
      </c>
      <c r="I1026" t="s">
        <v>766</v>
      </c>
      <c r="J1026" t="s">
        <v>787</v>
      </c>
      <c r="K1026" t="s">
        <v>787</v>
      </c>
      <c r="L1026" t="s">
        <v>788</v>
      </c>
      <c r="M1026" t="s">
        <v>208</v>
      </c>
      <c r="N1026" t="s">
        <v>4273</v>
      </c>
      <c r="O1026" t="s">
        <v>771</v>
      </c>
      <c r="P1026" t="s">
        <v>772</v>
      </c>
      <c r="Q1026" t="s">
        <v>842</v>
      </c>
      <c r="R1026">
        <v>5.66</v>
      </c>
      <c r="S1026">
        <v>5</v>
      </c>
      <c r="T1026">
        <v>0</v>
      </c>
      <c r="U1026">
        <v>0</v>
      </c>
      <c r="V1026">
        <v>0</v>
      </c>
      <c r="W1026">
        <v>0</v>
      </c>
      <c r="X1026">
        <v>0</v>
      </c>
      <c r="Y1026">
        <v>0</v>
      </c>
      <c r="Z1026">
        <v>0</v>
      </c>
      <c r="AA1026">
        <v>0</v>
      </c>
      <c r="AB1026">
        <v>0</v>
      </c>
      <c r="AC1026">
        <v>0</v>
      </c>
      <c r="AD1026">
        <v>5.66</v>
      </c>
      <c r="AE1026">
        <v>5</v>
      </c>
      <c r="AF1026">
        <v>0</v>
      </c>
      <c r="AG1026">
        <v>0</v>
      </c>
      <c r="AH1026">
        <v>0</v>
      </c>
      <c r="AI1026">
        <v>0</v>
      </c>
      <c r="AY1026" t="str">
        <f t="shared" si="194"/>
        <v>PROCACTIVE SUSPENSION INJECTABLE POUR BOVINS ET PORCINS</v>
      </c>
      <c r="AZ1026" t="str">
        <f>IF(COUNTIF(AY:AY,AY1026)=1,AY1026,IF(AND(COUNTIF(AY:AY,AY1026)&gt;1,COUNTIF(AZ$2:AZ1025,AY1026)&gt;=1),"",AY1026))</f>
        <v>PROCACTIVE SUSPENSION INJECTABLE POUR BOVINS ET PORCINS</v>
      </c>
      <c r="BA1026">
        <f>IF(AZ1026="","",COUNTIFS(AZ$3:AZ$1439,"&lt;"&amp;AZ1026,AZ$3:AZ$1439,"&lt;&gt;0")+COUNTIF(AZ$3:AZ1026,AZ1026)-876)</f>
        <v>403</v>
      </c>
      <c r="BT1026" s="76"/>
      <c r="CN1026">
        <v>1025</v>
      </c>
    </row>
    <row r="1027" spans="1:92" x14ac:dyDescent="0.3">
      <c r="A1027" s="118" t="s">
        <v>4271</v>
      </c>
      <c r="B1027" t="s">
        <v>4274</v>
      </c>
      <c r="C1027" t="s">
        <v>796</v>
      </c>
      <c r="D1027" t="s">
        <v>776</v>
      </c>
      <c r="E1027" t="s">
        <v>765</v>
      </c>
      <c r="F1027" t="s">
        <v>445</v>
      </c>
      <c r="G1027" t="s">
        <v>766</v>
      </c>
      <c r="H1027" t="s">
        <v>1326</v>
      </c>
      <c r="I1027" t="s">
        <v>766</v>
      </c>
      <c r="J1027" t="s">
        <v>787</v>
      </c>
      <c r="K1027" t="s">
        <v>787</v>
      </c>
      <c r="L1027" t="s">
        <v>788</v>
      </c>
      <c r="M1027" t="s">
        <v>208</v>
      </c>
      <c r="N1027" t="s">
        <v>4273</v>
      </c>
      <c r="O1027" t="s">
        <v>771</v>
      </c>
      <c r="P1027" t="s">
        <v>772</v>
      </c>
      <c r="Q1027" t="s">
        <v>4275</v>
      </c>
      <c r="R1027">
        <v>5.66</v>
      </c>
      <c r="S1027">
        <v>5</v>
      </c>
      <c r="T1027">
        <v>0</v>
      </c>
      <c r="U1027">
        <v>0</v>
      </c>
      <c r="V1027">
        <v>0</v>
      </c>
      <c r="W1027">
        <v>0</v>
      </c>
      <c r="X1027">
        <v>0</v>
      </c>
      <c r="Y1027">
        <v>0</v>
      </c>
      <c r="Z1027">
        <v>0</v>
      </c>
      <c r="AA1027">
        <v>0</v>
      </c>
      <c r="AB1027">
        <v>0</v>
      </c>
      <c r="AC1027">
        <v>0</v>
      </c>
      <c r="AD1027">
        <v>5.66</v>
      </c>
      <c r="AE1027">
        <v>5</v>
      </c>
      <c r="AF1027">
        <v>0</v>
      </c>
      <c r="AG1027">
        <v>0</v>
      </c>
      <c r="AH1027">
        <v>0</v>
      </c>
      <c r="AI1027">
        <v>0</v>
      </c>
      <c r="AY1027" t="str">
        <f t="shared" ref="AY1027:AY1090" si="195">IF(INDEX(CK$3:CL$174,MATCH(H1027,CK$3:CK$174,0),2)="x",F1027,"")</f>
        <v>PROCACTIVE SUSPENSION INJECTABLE POUR BOVINS ET PORCINS</v>
      </c>
      <c r="AZ1027" t="str">
        <f>IF(COUNTIF(AY:AY,AY1027)=1,AY1027,IF(AND(COUNTIF(AY:AY,AY1027)&gt;1,COUNTIF(AZ$2:AZ1026,AY1027)&gt;=1),"",AY1027))</f>
        <v/>
      </c>
      <c r="BA1027" t="str">
        <f>IF(AZ1027="","",COUNTIFS(AZ$3:AZ$1439,"&lt;"&amp;AZ1027,AZ$3:AZ$1439,"&lt;&gt;0")+COUNTIF(AZ$3:AZ1027,AZ1027)-876)</f>
        <v/>
      </c>
      <c r="BT1027" s="76"/>
      <c r="CN1027">
        <v>1026</v>
      </c>
    </row>
    <row r="1028" spans="1:92" x14ac:dyDescent="0.3">
      <c r="A1028" s="118" t="s">
        <v>1680</v>
      </c>
      <c r="B1028" t="s">
        <v>1681</v>
      </c>
      <c r="C1028" t="s">
        <v>1313</v>
      </c>
      <c r="D1028" s="144" t="s">
        <v>955</v>
      </c>
      <c r="E1028" t="s">
        <v>830</v>
      </c>
      <c r="F1028" t="s">
        <v>446</v>
      </c>
      <c r="G1028" t="s">
        <v>1064</v>
      </c>
      <c r="H1028" t="s">
        <v>1682</v>
      </c>
      <c r="I1028" t="s">
        <v>1066</v>
      </c>
      <c r="J1028" t="s">
        <v>768</v>
      </c>
      <c r="K1028" t="s">
        <v>768</v>
      </c>
      <c r="L1028" t="s">
        <v>769</v>
      </c>
      <c r="M1028" t="s">
        <v>208</v>
      </c>
      <c r="N1028" t="s">
        <v>1426</v>
      </c>
      <c r="O1028" t="s">
        <v>894</v>
      </c>
      <c r="P1028" t="s">
        <v>772</v>
      </c>
      <c r="Q1028" t="s">
        <v>1683</v>
      </c>
      <c r="R1028">
        <v>0</v>
      </c>
      <c r="S1028">
        <v>0</v>
      </c>
      <c r="T1028">
        <v>0</v>
      </c>
      <c r="U1028">
        <v>0</v>
      </c>
      <c r="V1028">
        <v>0</v>
      </c>
      <c r="W1028">
        <v>0</v>
      </c>
      <c r="X1028">
        <v>55</v>
      </c>
      <c r="Y1028">
        <v>10</v>
      </c>
      <c r="Z1028">
        <v>0</v>
      </c>
      <c r="AA1028">
        <v>0</v>
      </c>
      <c r="AB1028">
        <v>0</v>
      </c>
      <c r="AC1028">
        <v>0</v>
      </c>
      <c r="AD1028">
        <v>0</v>
      </c>
      <c r="AE1028">
        <v>0</v>
      </c>
      <c r="AF1028">
        <v>0</v>
      </c>
      <c r="AG1028">
        <v>0</v>
      </c>
      <c r="AH1028">
        <v>0</v>
      </c>
      <c r="AI1028">
        <v>0</v>
      </c>
      <c r="AY1028" t="str">
        <f t="shared" si="195"/>
        <v>PS OXYTETRACYCLINE AQUACULTURE</v>
      </c>
      <c r="AZ1028" t="str">
        <f>IF(COUNTIF(AY:AY,AY1028)=1,AY1028,IF(AND(COUNTIF(AY:AY,AY1028)&gt;1,COUNTIF(AZ$2:AZ1027,AY1028)&gt;=1),"",AY1028))</f>
        <v>PS OXYTETRACYCLINE AQUACULTURE</v>
      </c>
      <c r="BA1028">
        <f>IF(AZ1028="","",COUNTIFS(AZ$3:AZ$1439,"&lt;"&amp;AZ1028,AZ$3:AZ$1439,"&lt;&gt;0")+COUNTIF(AZ$3:AZ1028,AZ1028)-876)</f>
        <v>404</v>
      </c>
      <c r="BT1028" s="76"/>
      <c r="CN1028">
        <v>1027</v>
      </c>
    </row>
    <row r="1029" spans="1:92" x14ac:dyDescent="0.3">
      <c r="A1029" s="118" t="s">
        <v>1680</v>
      </c>
      <c r="B1029" t="s">
        <v>1684</v>
      </c>
      <c r="C1029" t="s">
        <v>1062</v>
      </c>
      <c r="D1029" s="144" t="s">
        <v>1063</v>
      </c>
      <c r="E1029" t="s">
        <v>830</v>
      </c>
      <c r="F1029" t="s">
        <v>446</v>
      </c>
      <c r="G1029" t="s">
        <v>1064</v>
      </c>
      <c r="H1029" t="s">
        <v>1682</v>
      </c>
      <c r="I1029" t="s">
        <v>1066</v>
      </c>
      <c r="J1029" t="s">
        <v>768</v>
      </c>
      <c r="K1029" t="s">
        <v>768</v>
      </c>
      <c r="L1029" t="s">
        <v>769</v>
      </c>
      <c r="M1029" t="s">
        <v>208</v>
      </c>
      <c r="N1029" t="s">
        <v>1426</v>
      </c>
      <c r="O1029" t="s">
        <v>894</v>
      </c>
      <c r="P1029" t="s">
        <v>772</v>
      </c>
      <c r="Q1029" t="s">
        <v>1685</v>
      </c>
      <c r="R1029">
        <v>0</v>
      </c>
      <c r="S1029">
        <v>0</v>
      </c>
      <c r="T1029">
        <v>0</v>
      </c>
      <c r="U1029">
        <v>0</v>
      </c>
      <c r="V1029">
        <v>0</v>
      </c>
      <c r="W1029">
        <v>0</v>
      </c>
      <c r="X1029">
        <v>55</v>
      </c>
      <c r="Y1029">
        <v>10</v>
      </c>
      <c r="Z1029">
        <v>0</v>
      </c>
      <c r="AA1029">
        <v>0</v>
      </c>
      <c r="AB1029">
        <v>0</v>
      </c>
      <c r="AC1029">
        <v>0</v>
      </c>
      <c r="AD1029">
        <v>0</v>
      </c>
      <c r="AE1029">
        <v>0</v>
      </c>
      <c r="AF1029">
        <v>0</v>
      </c>
      <c r="AG1029">
        <v>0</v>
      </c>
      <c r="AH1029">
        <v>0</v>
      </c>
      <c r="AI1029">
        <v>0</v>
      </c>
      <c r="AY1029" t="str">
        <f t="shared" si="195"/>
        <v>PS OXYTETRACYCLINE AQUACULTURE</v>
      </c>
      <c r="AZ1029" t="str">
        <f>IF(COUNTIF(AY:AY,AY1029)=1,AY1029,IF(AND(COUNTIF(AY:AY,AY1029)&gt;1,COUNTIF(AZ$2:AZ1028,AY1029)&gt;=1),"",AY1029))</f>
        <v/>
      </c>
      <c r="BA1029" t="str">
        <f>IF(AZ1029="","",COUNTIFS(AZ$3:AZ$1439,"&lt;"&amp;AZ1029,AZ$3:AZ$1439,"&lt;&gt;0")+COUNTIF(AZ$3:AZ1029,AZ1029)-876)</f>
        <v/>
      </c>
      <c r="BT1029" s="76"/>
      <c r="CN1029">
        <v>1028</v>
      </c>
    </row>
    <row r="1030" spans="1:92" x14ac:dyDescent="0.3">
      <c r="A1030" s="118" t="s">
        <v>3346</v>
      </c>
      <c r="B1030" t="s">
        <v>3347</v>
      </c>
      <c r="C1030" t="s">
        <v>3348</v>
      </c>
      <c r="D1030" s="144" t="s">
        <v>829</v>
      </c>
      <c r="E1030" t="s">
        <v>830</v>
      </c>
      <c r="F1030" t="s">
        <v>681</v>
      </c>
      <c r="G1030" t="s">
        <v>831</v>
      </c>
      <c r="H1030" t="s">
        <v>3349</v>
      </c>
      <c r="I1030" t="s">
        <v>817</v>
      </c>
      <c r="J1030" t="s">
        <v>768</v>
      </c>
      <c r="K1030" t="s">
        <v>768</v>
      </c>
      <c r="L1030" t="s">
        <v>2121</v>
      </c>
      <c r="M1030" t="s">
        <v>208</v>
      </c>
      <c r="N1030" t="s">
        <v>906</v>
      </c>
      <c r="O1030" t="s">
        <v>894</v>
      </c>
      <c r="P1030" t="s">
        <v>772</v>
      </c>
      <c r="Q1030" t="s">
        <v>906</v>
      </c>
      <c r="R1030">
        <v>0</v>
      </c>
      <c r="S1030">
        <v>0</v>
      </c>
      <c r="T1030">
        <v>0</v>
      </c>
      <c r="U1030">
        <v>0</v>
      </c>
      <c r="V1030">
        <v>0</v>
      </c>
      <c r="W1030">
        <v>0</v>
      </c>
      <c r="X1030">
        <v>0</v>
      </c>
      <c r="Y1030">
        <v>0</v>
      </c>
      <c r="Z1030">
        <v>0</v>
      </c>
      <c r="AA1030">
        <v>0</v>
      </c>
      <c r="AB1030">
        <v>10</v>
      </c>
      <c r="AC1030">
        <v>5</v>
      </c>
      <c r="AD1030">
        <v>20</v>
      </c>
      <c r="AE1030">
        <v>5</v>
      </c>
      <c r="AF1030">
        <v>25</v>
      </c>
      <c r="AG1030">
        <v>5</v>
      </c>
      <c r="AH1030">
        <v>0</v>
      </c>
      <c r="AI1030">
        <v>0</v>
      </c>
      <c r="AY1030" t="str">
        <f t="shared" si="195"/>
        <v>PULMODOX 500 MG/G GRANULES POUR SOLUTION BUVABLE POUR PORCS, POULETS ET DINDES</v>
      </c>
      <c r="AZ1030" t="str">
        <f>IF(COUNTIF(AY:AY,AY1030)=1,AY1030,IF(AND(COUNTIF(AY:AY,AY1030)&gt;1,COUNTIF(AZ$2:AZ1029,AY1030)&gt;=1),"",AY1030))</f>
        <v>PULMODOX 500 MG/G GRANULES POUR SOLUTION BUVABLE POUR PORCS, POULETS ET DINDES</v>
      </c>
      <c r="BA1030">
        <f>IF(AZ1030="","",COUNTIFS(AZ$3:AZ$1439,"&lt;"&amp;AZ1030,AZ$3:AZ$1439,"&lt;&gt;0")+COUNTIF(AZ$3:AZ1030,AZ1030)-876)</f>
        <v>405</v>
      </c>
      <c r="BT1030" s="76"/>
      <c r="CN1030">
        <v>1029</v>
      </c>
    </row>
    <row r="1031" spans="1:92" x14ac:dyDescent="0.3">
      <c r="A1031" s="118" t="s">
        <v>2730</v>
      </c>
      <c r="B1031" t="s">
        <v>2731</v>
      </c>
      <c r="C1031" t="s">
        <v>1062</v>
      </c>
      <c r="D1031" s="144" t="s">
        <v>1063</v>
      </c>
      <c r="E1031" t="s">
        <v>830</v>
      </c>
      <c r="F1031" t="s">
        <v>447</v>
      </c>
      <c r="G1031" t="s">
        <v>1064</v>
      </c>
      <c r="H1031" t="s">
        <v>1213</v>
      </c>
      <c r="I1031" t="s">
        <v>1066</v>
      </c>
      <c r="J1031" t="s">
        <v>768</v>
      </c>
      <c r="K1031" t="s">
        <v>768</v>
      </c>
      <c r="L1031" t="s">
        <v>2121</v>
      </c>
      <c r="M1031" t="s">
        <v>208</v>
      </c>
      <c r="N1031" t="s">
        <v>780</v>
      </c>
      <c r="O1031" t="s">
        <v>894</v>
      </c>
      <c r="P1031" t="s">
        <v>772</v>
      </c>
      <c r="Q1031" t="s">
        <v>1244</v>
      </c>
      <c r="R1031">
        <v>0</v>
      </c>
      <c r="S1031">
        <v>0</v>
      </c>
      <c r="T1031">
        <v>0</v>
      </c>
      <c r="U1031">
        <v>0</v>
      </c>
      <c r="V1031">
        <v>0</v>
      </c>
      <c r="W1031">
        <v>0</v>
      </c>
      <c r="X1031">
        <v>0</v>
      </c>
      <c r="Y1031">
        <v>0</v>
      </c>
      <c r="Z1031">
        <v>0</v>
      </c>
      <c r="AA1031">
        <v>0</v>
      </c>
      <c r="AB1031">
        <v>0</v>
      </c>
      <c r="AC1031">
        <v>0</v>
      </c>
      <c r="AD1031">
        <v>12.5</v>
      </c>
      <c r="AE1031">
        <v>8</v>
      </c>
      <c r="AF1031">
        <v>0</v>
      </c>
      <c r="AG1031">
        <v>0</v>
      </c>
      <c r="AH1031">
        <v>0</v>
      </c>
      <c r="AI1031">
        <v>0</v>
      </c>
      <c r="AY1031" t="str">
        <f t="shared" si="195"/>
        <v>PULMODOX DOXYCYCLINE 50 PORC</v>
      </c>
      <c r="AZ1031" t="str">
        <f>IF(COUNTIF(AY:AY,AY1031)=1,AY1031,IF(AND(COUNTIF(AY:AY,AY1031)&gt;1,COUNTIF(AZ$2:AZ1030,AY1031)&gt;=1),"",AY1031))</f>
        <v>PULMODOX DOXYCYCLINE 50 PORC</v>
      </c>
      <c r="BA1031">
        <f>IF(AZ1031="","",COUNTIFS(AZ$3:AZ$1439,"&lt;"&amp;AZ1031,AZ$3:AZ$1439,"&lt;&gt;0")+COUNTIF(AZ$3:AZ1031,AZ1031)-876)</f>
        <v>406</v>
      </c>
      <c r="BT1031" s="76"/>
      <c r="CN1031">
        <v>1030</v>
      </c>
    </row>
    <row r="1032" spans="1:92" x14ac:dyDescent="0.3">
      <c r="A1032" s="118" t="s">
        <v>2771</v>
      </c>
      <c r="B1032" t="s">
        <v>2772</v>
      </c>
      <c r="C1032" t="s">
        <v>2336</v>
      </c>
      <c r="D1032" s="144" t="s">
        <v>955</v>
      </c>
      <c r="E1032" t="s">
        <v>830</v>
      </c>
      <c r="F1032" t="s">
        <v>448</v>
      </c>
      <c r="G1032" t="s">
        <v>831</v>
      </c>
      <c r="H1032" t="s">
        <v>2715</v>
      </c>
      <c r="I1032" t="s">
        <v>817</v>
      </c>
      <c r="J1032" t="s">
        <v>768</v>
      </c>
      <c r="K1032" t="s">
        <v>768</v>
      </c>
      <c r="L1032" t="s">
        <v>2121</v>
      </c>
      <c r="M1032" t="s">
        <v>208</v>
      </c>
      <c r="N1032" t="s">
        <v>780</v>
      </c>
      <c r="O1032" t="s">
        <v>894</v>
      </c>
      <c r="P1032" t="s">
        <v>772</v>
      </c>
      <c r="Q1032" t="s">
        <v>776</v>
      </c>
      <c r="R1032">
        <v>10</v>
      </c>
      <c r="S1032">
        <v>5</v>
      </c>
      <c r="T1032">
        <v>0</v>
      </c>
      <c r="U1032">
        <v>0</v>
      </c>
      <c r="V1032">
        <v>0</v>
      </c>
      <c r="W1032">
        <v>0</v>
      </c>
      <c r="X1032">
        <v>0</v>
      </c>
      <c r="Y1032">
        <v>0</v>
      </c>
      <c r="Z1032">
        <v>0</v>
      </c>
      <c r="AA1032">
        <v>0</v>
      </c>
      <c r="AB1032">
        <v>0</v>
      </c>
      <c r="AC1032">
        <v>0</v>
      </c>
      <c r="AD1032">
        <v>10</v>
      </c>
      <c r="AE1032">
        <v>5</v>
      </c>
      <c r="AF1032">
        <v>10</v>
      </c>
      <c r="AG1032">
        <v>5</v>
      </c>
      <c r="AH1032">
        <v>0</v>
      </c>
      <c r="AI1032">
        <v>0</v>
      </c>
      <c r="AY1032" t="str">
        <f t="shared" si="195"/>
        <v>PULMODOX P.O.S. 5 %</v>
      </c>
      <c r="AZ1032" t="str">
        <f>IF(COUNTIF(AY:AY,AY1032)=1,AY1032,IF(AND(COUNTIF(AY:AY,AY1032)&gt;1,COUNTIF(AZ$2:AZ1031,AY1032)&gt;=1),"",AY1032))</f>
        <v>PULMODOX P.O.S. 5 %</v>
      </c>
      <c r="BA1032">
        <f>IF(AZ1032="","",COUNTIFS(AZ$3:AZ$1439,"&lt;"&amp;AZ1032,AZ$3:AZ$1439,"&lt;&gt;0")+COUNTIF(AZ$3:AZ1032,AZ1032)-876)</f>
        <v>407</v>
      </c>
      <c r="BT1032" s="76"/>
      <c r="CN1032">
        <v>1031</v>
      </c>
    </row>
    <row r="1033" spans="1:92" x14ac:dyDescent="0.3">
      <c r="A1033" s="118" t="s">
        <v>2801</v>
      </c>
      <c r="B1033" t="s">
        <v>2802</v>
      </c>
      <c r="C1033" t="s">
        <v>4496</v>
      </c>
      <c r="D1033" s="144" t="s">
        <v>1499</v>
      </c>
      <c r="E1033" t="s">
        <v>765</v>
      </c>
      <c r="F1033" t="s">
        <v>449</v>
      </c>
      <c r="G1033" t="s">
        <v>956</v>
      </c>
      <c r="H1033" t="s">
        <v>2803</v>
      </c>
      <c r="I1033" t="s">
        <v>817</v>
      </c>
      <c r="J1033" t="s">
        <v>802</v>
      </c>
      <c r="K1033" t="s">
        <v>802</v>
      </c>
      <c r="L1033" t="s">
        <v>2470</v>
      </c>
      <c r="M1033" t="s">
        <v>208</v>
      </c>
      <c r="N1033" t="s">
        <v>776</v>
      </c>
      <c r="O1033" t="s">
        <v>771</v>
      </c>
      <c r="P1033" t="s">
        <v>772</v>
      </c>
      <c r="Q1033" t="s">
        <v>1214</v>
      </c>
      <c r="R1033">
        <v>25</v>
      </c>
      <c r="S1033">
        <v>5</v>
      </c>
      <c r="T1033">
        <v>0</v>
      </c>
      <c r="U1033">
        <v>0</v>
      </c>
      <c r="V1033">
        <v>0</v>
      </c>
      <c r="W1033">
        <v>0</v>
      </c>
      <c r="X1033">
        <v>0</v>
      </c>
      <c r="Y1033">
        <v>0</v>
      </c>
      <c r="Z1033">
        <v>20</v>
      </c>
      <c r="AA1033">
        <v>5</v>
      </c>
      <c r="AB1033">
        <v>0</v>
      </c>
      <c r="AC1033">
        <v>0</v>
      </c>
      <c r="AD1033">
        <v>20</v>
      </c>
      <c r="AE1033">
        <v>5</v>
      </c>
      <c r="AF1033">
        <v>27</v>
      </c>
      <c r="AG1033">
        <v>3</v>
      </c>
      <c r="AH1033">
        <v>0</v>
      </c>
      <c r="AI1033">
        <v>0</v>
      </c>
      <c r="AY1033" t="str">
        <f t="shared" si="195"/>
        <v>PULMOTIL AC</v>
      </c>
      <c r="AZ1033" t="str">
        <f>IF(COUNTIF(AY:AY,AY1033)=1,AY1033,IF(AND(COUNTIF(AY:AY,AY1033)&gt;1,COUNTIF(AZ$2:AZ1032,AY1033)&gt;=1),"",AY1033))</f>
        <v>PULMOTIL AC</v>
      </c>
      <c r="BA1033">
        <f>IF(AZ1033="","",COUNTIFS(AZ$3:AZ$1439,"&lt;"&amp;AZ1033,AZ$3:AZ$1439,"&lt;&gt;0")+COUNTIF(AZ$3:AZ1033,AZ1033)-876)</f>
        <v>408</v>
      </c>
      <c r="BT1033" s="76"/>
      <c r="CN1033">
        <v>1032</v>
      </c>
    </row>
    <row r="1034" spans="1:92" x14ac:dyDescent="0.3">
      <c r="A1034" s="118" t="s">
        <v>2674</v>
      </c>
      <c r="B1034" t="s">
        <v>2675</v>
      </c>
      <c r="C1034" t="s">
        <v>1701</v>
      </c>
      <c r="D1034" s="144" t="s">
        <v>924</v>
      </c>
      <c r="E1034" t="s">
        <v>830</v>
      </c>
      <c r="F1034" t="s">
        <v>682</v>
      </c>
      <c r="G1034" t="s">
        <v>1064</v>
      </c>
      <c r="H1034" t="s">
        <v>1959</v>
      </c>
      <c r="I1034" t="s">
        <v>1066</v>
      </c>
      <c r="J1034" t="s">
        <v>802</v>
      </c>
      <c r="K1034" t="s">
        <v>802</v>
      </c>
      <c r="L1034" t="s">
        <v>2470</v>
      </c>
      <c r="M1034" t="s">
        <v>208</v>
      </c>
      <c r="N1034" t="s">
        <v>932</v>
      </c>
      <c r="O1034" t="s">
        <v>894</v>
      </c>
      <c r="P1034" t="s">
        <v>772</v>
      </c>
      <c r="Q1034" t="s">
        <v>939</v>
      </c>
      <c r="R1034">
        <v>0</v>
      </c>
      <c r="S1034">
        <v>0</v>
      </c>
      <c r="T1034">
        <v>0</v>
      </c>
      <c r="U1034">
        <v>0</v>
      </c>
      <c r="V1034">
        <v>0</v>
      </c>
      <c r="W1034">
        <v>0</v>
      </c>
      <c r="X1034">
        <v>0</v>
      </c>
      <c r="Y1034">
        <v>0</v>
      </c>
      <c r="Z1034">
        <v>12.5</v>
      </c>
      <c r="AA1034">
        <v>7</v>
      </c>
      <c r="AB1034">
        <v>0</v>
      </c>
      <c r="AC1034">
        <v>0</v>
      </c>
      <c r="AD1034">
        <v>16</v>
      </c>
      <c r="AE1034">
        <v>21</v>
      </c>
      <c r="AF1034">
        <v>0</v>
      </c>
      <c r="AG1034">
        <v>0</v>
      </c>
      <c r="AH1034">
        <v>0</v>
      </c>
      <c r="AI1034">
        <v>0</v>
      </c>
      <c r="AY1034" t="str">
        <f t="shared" si="195"/>
        <v>PULMOTIL TILMICOSINE 40 PORC-LAPIN</v>
      </c>
      <c r="AZ1034" t="str">
        <f>IF(COUNTIF(AY:AY,AY1034)=1,AY1034,IF(AND(COUNTIF(AY:AY,AY1034)&gt;1,COUNTIF(AZ$2:AZ1033,AY1034)&gt;=1),"",AY1034))</f>
        <v>PULMOTIL TILMICOSINE 40 PORC-LAPIN</v>
      </c>
      <c r="BA1034">
        <f>IF(AZ1034="","",COUNTIFS(AZ$3:AZ$1439,"&lt;"&amp;AZ1034,AZ$3:AZ$1439,"&lt;&gt;0")+COUNTIF(AZ$3:AZ1034,AZ1034)-876)</f>
        <v>409</v>
      </c>
      <c r="BT1034" s="76"/>
      <c r="CN1034">
        <v>1033</v>
      </c>
    </row>
    <row r="1035" spans="1:92" x14ac:dyDescent="0.3">
      <c r="A1035" s="118" t="s">
        <v>2645</v>
      </c>
      <c r="B1035" t="s">
        <v>2646</v>
      </c>
      <c r="C1035" t="s">
        <v>1062</v>
      </c>
      <c r="D1035" s="144" t="s">
        <v>1063</v>
      </c>
      <c r="E1035" t="s">
        <v>830</v>
      </c>
      <c r="F1035" t="s">
        <v>450</v>
      </c>
      <c r="G1035" t="s">
        <v>1064</v>
      </c>
      <c r="H1035" t="s">
        <v>1082</v>
      </c>
      <c r="I1035" t="s">
        <v>1066</v>
      </c>
      <c r="J1035" t="s">
        <v>768</v>
      </c>
      <c r="K1035" t="s">
        <v>768</v>
      </c>
      <c r="L1035" t="s">
        <v>1087</v>
      </c>
      <c r="M1035" t="s">
        <v>208</v>
      </c>
      <c r="N1035" t="s">
        <v>764</v>
      </c>
      <c r="O1035" t="s">
        <v>894</v>
      </c>
      <c r="P1035" t="s">
        <v>772</v>
      </c>
      <c r="Q1035" t="s">
        <v>966</v>
      </c>
      <c r="R1035">
        <v>0</v>
      </c>
      <c r="S1035">
        <v>0</v>
      </c>
      <c r="T1035">
        <v>0</v>
      </c>
      <c r="U1035">
        <v>0</v>
      </c>
      <c r="V1035">
        <v>0</v>
      </c>
      <c r="W1035">
        <v>0</v>
      </c>
      <c r="X1035">
        <v>0</v>
      </c>
      <c r="Y1035">
        <v>0</v>
      </c>
      <c r="Z1035">
        <v>0</v>
      </c>
      <c r="AA1035">
        <v>0</v>
      </c>
      <c r="AB1035">
        <v>40</v>
      </c>
      <c r="AC1035">
        <v>10</v>
      </c>
      <c r="AD1035">
        <v>50</v>
      </c>
      <c r="AE1035">
        <v>10</v>
      </c>
      <c r="AF1035">
        <v>0</v>
      </c>
      <c r="AG1035">
        <v>0</v>
      </c>
      <c r="AH1035">
        <v>0</v>
      </c>
      <c r="AI1035">
        <v>0</v>
      </c>
      <c r="AY1035" t="str">
        <f t="shared" si="195"/>
        <v>PULMOVAL CHLORTETRACYCLINE 100 PORC ET AGNEAU-CHEVREAU SEVRES</v>
      </c>
      <c r="AZ1035" t="str">
        <f>IF(COUNTIF(AY:AY,AY1035)=1,AY1035,IF(AND(COUNTIF(AY:AY,AY1035)&gt;1,COUNTIF(AZ$2:AZ1034,AY1035)&gt;=1),"",AY1035))</f>
        <v>PULMOVAL CHLORTETRACYCLINE 100 PORC ET AGNEAU-CHEVREAU SEVRES</v>
      </c>
      <c r="BA1035">
        <f>IF(AZ1035="","",COUNTIFS(AZ$3:AZ$1439,"&lt;"&amp;AZ1035,AZ$3:AZ$1439,"&lt;&gt;0")+COUNTIF(AZ$3:AZ1035,AZ1035)-876)</f>
        <v>410</v>
      </c>
      <c r="BT1035" s="76"/>
      <c r="CN1035">
        <v>1034</v>
      </c>
    </row>
    <row r="1036" spans="1:92" x14ac:dyDescent="0.3">
      <c r="A1036" s="118" t="s">
        <v>1104</v>
      </c>
      <c r="B1036" t="s">
        <v>1105</v>
      </c>
      <c r="C1036" t="s">
        <v>1062</v>
      </c>
      <c r="D1036" s="144" t="s">
        <v>1063</v>
      </c>
      <c r="E1036" t="s">
        <v>830</v>
      </c>
      <c r="F1036" t="s">
        <v>451</v>
      </c>
      <c r="G1036" t="s">
        <v>1064</v>
      </c>
      <c r="H1036" t="s">
        <v>1102</v>
      </c>
      <c r="I1036" t="s">
        <v>1066</v>
      </c>
      <c r="J1036" t="s">
        <v>768</v>
      </c>
      <c r="K1036" t="s">
        <v>768</v>
      </c>
      <c r="L1036" t="s">
        <v>1087</v>
      </c>
      <c r="M1036" t="s">
        <v>208</v>
      </c>
      <c r="N1036" t="s">
        <v>932</v>
      </c>
      <c r="O1036" t="s">
        <v>894</v>
      </c>
      <c r="P1036" t="s">
        <v>772</v>
      </c>
      <c r="Q1036" t="s">
        <v>829</v>
      </c>
      <c r="R1036">
        <v>0</v>
      </c>
      <c r="S1036">
        <v>0</v>
      </c>
      <c r="T1036">
        <v>0</v>
      </c>
      <c r="U1036">
        <v>0</v>
      </c>
      <c r="V1036">
        <v>0</v>
      </c>
      <c r="W1036">
        <v>0</v>
      </c>
      <c r="X1036">
        <v>0</v>
      </c>
      <c r="Y1036">
        <v>0</v>
      </c>
      <c r="Z1036">
        <v>40</v>
      </c>
      <c r="AA1036">
        <v>10</v>
      </c>
      <c r="AB1036">
        <v>40</v>
      </c>
      <c r="AC1036">
        <v>10</v>
      </c>
      <c r="AD1036">
        <v>50</v>
      </c>
      <c r="AE1036">
        <v>10</v>
      </c>
      <c r="AF1036">
        <v>40</v>
      </c>
      <c r="AG1036">
        <v>10</v>
      </c>
      <c r="AH1036">
        <v>0</v>
      </c>
      <c r="AI1036">
        <v>0</v>
      </c>
      <c r="AY1036" t="str">
        <f t="shared" si="195"/>
        <v>PULMOVAL CHLORTETRACYCLINE 40 LAPIN-VOLAILLE-PORC ET AGNEAU-CHEVREAU SEVRES</v>
      </c>
      <c r="AZ1036" t="str">
        <f>IF(COUNTIF(AY:AY,AY1036)=1,AY1036,IF(AND(COUNTIF(AY:AY,AY1036)&gt;1,COUNTIF(AZ$2:AZ1035,AY1036)&gt;=1),"",AY1036))</f>
        <v>PULMOVAL CHLORTETRACYCLINE 40 LAPIN-VOLAILLE-PORC ET AGNEAU-CHEVREAU SEVRES</v>
      </c>
      <c r="BA1036">
        <f>IF(AZ1036="","",COUNTIFS(AZ$3:AZ$1439,"&lt;"&amp;AZ1036,AZ$3:AZ$1439,"&lt;&gt;0")+COUNTIF(AZ$3:AZ1036,AZ1036)-876)</f>
        <v>411</v>
      </c>
      <c r="BT1036" s="76"/>
      <c r="CN1036">
        <v>1035</v>
      </c>
    </row>
    <row r="1037" spans="1:92" x14ac:dyDescent="0.3">
      <c r="A1037" s="118" t="s">
        <v>4752</v>
      </c>
      <c r="B1037" t="s">
        <v>4753</v>
      </c>
      <c r="C1037" t="s">
        <v>3325</v>
      </c>
      <c r="D1037" t="s">
        <v>1499</v>
      </c>
      <c r="E1037" t="s">
        <v>765</v>
      </c>
      <c r="F1037" t="s">
        <v>4754</v>
      </c>
      <c r="G1037" t="s">
        <v>956</v>
      </c>
      <c r="H1037" t="s">
        <v>4755</v>
      </c>
      <c r="I1037" t="s">
        <v>817</v>
      </c>
      <c r="J1037" t="s">
        <v>802</v>
      </c>
      <c r="K1037" t="s">
        <v>802</v>
      </c>
      <c r="L1037" t="s">
        <v>2470</v>
      </c>
      <c r="M1037" t="s">
        <v>208</v>
      </c>
      <c r="N1037" t="s">
        <v>776</v>
      </c>
      <c r="O1037" t="s">
        <v>771</v>
      </c>
      <c r="P1037" t="s">
        <v>772</v>
      </c>
      <c r="Q1037" t="s">
        <v>1214</v>
      </c>
      <c r="R1037">
        <v>25</v>
      </c>
      <c r="S1037">
        <v>5</v>
      </c>
      <c r="T1037">
        <v>0</v>
      </c>
      <c r="U1037">
        <v>0</v>
      </c>
      <c r="V1037">
        <v>0</v>
      </c>
      <c r="W1037">
        <v>0</v>
      </c>
      <c r="X1037">
        <v>0</v>
      </c>
      <c r="Y1037">
        <v>0</v>
      </c>
      <c r="Z1037">
        <v>0</v>
      </c>
      <c r="AA1037">
        <v>0</v>
      </c>
      <c r="AB1037">
        <v>0</v>
      </c>
      <c r="AC1037">
        <v>0</v>
      </c>
      <c r="AD1037">
        <v>20</v>
      </c>
      <c r="AE1037">
        <v>5</v>
      </c>
      <c r="AF1037">
        <v>27</v>
      </c>
      <c r="AG1037">
        <v>3</v>
      </c>
      <c r="AH1037">
        <v>0</v>
      </c>
      <c r="AI1037">
        <v>0</v>
      </c>
      <c r="AY1037" t="str">
        <f t="shared" si="195"/>
        <v>PULMOVET 250 MG/ML SOLUTION POUR ADMINISTRATION DANS L'EAU DE BOISSON OU LE LAIT DE REMPLACEMENT POUR BOVINS, PORCINS, POULETS ET DINDES</v>
      </c>
      <c r="AZ1037" t="str">
        <f>IF(COUNTIF(AY:AY,AY1037)=1,AY1037,IF(AND(COUNTIF(AY:AY,AY1037)&gt;1,COUNTIF(AZ$2:AZ1036,AY1037)&gt;=1),"",AY1037))</f>
        <v>PULMOVET 250 MG/ML SOLUTION POUR ADMINISTRATION DANS L'EAU DE BOISSON OU LE LAIT DE REMPLACEMENT POUR BOVINS, PORCINS, POULETS ET DINDES</v>
      </c>
      <c r="BA1037">
        <f>IF(AZ1037="","",COUNTIFS(AZ$3:AZ$1439,"&lt;"&amp;AZ1037,AZ$3:AZ$1439,"&lt;&gt;0")+COUNTIF(AZ$3:AZ1037,AZ1037)-876)</f>
        <v>412</v>
      </c>
      <c r="BT1037" s="76"/>
      <c r="CN1037">
        <v>1036</v>
      </c>
    </row>
    <row r="1038" spans="1:92" x14ac:dyDescent="0.3">
      <c r="A1038" s="118" t="s">
        <v>4752</v>
      </c>
      <c r="B1038" t="s">
        <v>4756</v>
      </c>
      <c r="C1038" t="s">
        <v>4242</v>
      </c>
      <c r="D1038" t="s">
        <v>4243</v>
      </c>
      <c r="E1038" t="s">
        <v>765</v>
      </c>
      <c r="F1038" t="s">
        <v>4754</v>
      </c>
      <c r="G1038" t="s">
        <v>956</v>
      </c>
      <c r="H1038" t="s">
        <v>4755</v>
      </c>
      <c r="I1038" t="s">
        <v>817</v>
      </c>
      <c r="J1038" t="s">
        <v>802</v>
      </c>
      <c r="K1038" t="s">
        <v>802</v>
      </c>
      <c r="L1038" t="s">
        <v>2470</v>
      </c>
      <c r="M1038" t="s">
        <v>208</v>
      </c>
      <c r="N1038" t="s">
        <v>776</v>
      </c>
      <c r="O1038" t="s">
        <v>771</v>
      </c>
      <c r="P1038" t="s">
        <v>772</v>
      </c>
      <c r="Q1038" t="s">
        <v>4244</v>
      </c>
      <c r="R1038">
        <v>25</v>
      </c>
      <c r="S1038">
        <v>5</v>
      </c>
      <c r="T1038">
        <v>0</v>
      </c>
      <c r="U1038">
        <v>0</v>
      </c>
      <c r="V1038">
        <v>0</v>
      </c>
      <c r="W1038">
        <v>0</v>
      </c>
      <c r="X1038">
        <v>0</v>
      </c>
      <c r="Y1038">
        <v>0</v>
      </c>
      <c r="Z1038">
        <v>0</v>
      </c>
      <c r="AA1038">
        <v>0</v>
      </c>
      <c r="AB1038">
        <v>0</v>
      </c>
      <c r="AC1038">
        <v>0</v>
      </c>
      <c r="AD1038">
        <v>20</v>
      </c>
      <c r="AE1038">
        <v>5</v>
      </c>
      <c r="AF1038">
        <v>27</v>
      </c>
      <c r="AG1038">
        <v>3</v>
      </c>
      <c r="AH1038">
        <v>0</v>
      </c>
      <c r="AI1038">
        <v>0</v>
      </c>
      <c r="AY1038" t="str">
        <f t="shared" si="195"/>
        <v>PULMOVET 250 MG/ML SOLUTION POUR ADMINISTRATION DANS L'EAU DE BOISSON OU LE LAIT DE REMPLACEMENT POUR BOVINS, PORCINS, POULETS ET DINDES</v>
      </c>
      <c r="AZ1038" t="str">
        <f>IF(COUNTIF(AY:AY,AY1038)=1,AY1038,IF(AND(COUNTIF(AY:AY,AY1038)&gt;1,COUNTIF(AZ$2:AZ1037,AY1038)&gt;=1),"",AY1038))</f>
        <v/>
      </c>
      <c r="BA1038" t="str">
        <f>IF(AZ1038="","",COUNTIFS(AZ$3:AZ$1439,"&lt;"&amp;AZ1038,AZ$3:AZ$1439,"&lt;&gt;0")+COUNTIF(AZ$3:AZ1038,AZ1038)-876)</f>
        <v/>
      </c>
      <c r="BT1038" s="76"/>
      <c r="CN1038">
        <v>1037</v>
      </c>
    </row>
    <row r="1039" spans="1:92" x14ac:dyDescent="0.3">
      <c r="A1039" s="118" t="s">
        <v>3410</v>
      </c>
      <c r="B1039" t="s">
        <v>3411</v>
      </c>
      <c r="C1039" t="s">
        <v>3412</v>
      </c>
      <c r="D1039" s="144" t="s">
        <v>829</v>
      </c>
      <c r="E1039" t="s">
        <v>765</v>
      </c>
      <c r="F1039" t="s">
        <v>452</v>
      </c>
      <c r="G1039" t="s">
        <v>956</v>
      </c>
      <c r="H1039" t="s">
        <v>169</v>
      </c>
      <c r="I1039" t="s">
        <v>817</v>
      </c>
      <c r="J1039" t="s">
        <v>2366</v>
      </c>
      <c r="K1039" t="s">
        <v>2366</v>
      </c>
      <c r="L1039" t="s">
        <v>2367</v>
      </c>
      <c r="M1039" t="s">
        <v>208</v>
      </c>
      <c r="N1039" t="s">
        <v>855</v>
      </c>
      <c r="O1039" t="s">
        <v>771</v>
      </c>
      <c r="P1039" t="s">
        <v>772</v>
      </c>
      <c r="Q1039" t="s">
        <v>855</v>
      </c>
      <c r="R1039">
        <v>5</v>
      </c>
      <c r="S1039">
        <v>5</v>
      </c>
      <c r="T1039">
        <v>0</v>
      </c>
      <c r="U1039">
        <v>0</v>
      </c>
      <c r="V1039">
        <v>0</v>
      </c>
      <c r="W1039">
        <v>0</v>
      </c>
      <c r="X1039">
        <v>0</v>
      </c>
      <c r="Y1039">
        <v>0</v>
      </c>
      <c r="Z1039">
        <v>0</v>
      </c>
      <c r="AA1039">
        <v>0</v>
      </c>
      <c r="AB1039">
        <v>0</v>
      </c>
      <c r="AC1039">
        <v>0</v>
      </c>
      <c r="AD1039">
        <v>0</v>
      </c>
      <c r="AE1039">
        <v>0</v>
      </c>
      <c r="AF1039">
        <v>0</v>
      </c>
      <c r="AG1039">
        <v>0</v>
      </c>
      <c r="AH1039">
        <v>0</v>
      </c>
      <c r="AI1039">
        <v>0</v>
      </c>
      <c r="AY1039" t="str">
        <f t="shared" si="195"/>
        <v>QUINOEX 2,5 % SOLUTION BUVABLE POUR VEAUX</v>
      </c>
      <c r="AZ1039" t="str">
        <f>IF(COUNTIF(AY:AY,AY1039)=1,AY1039,IF(AND(COUNTIF(AY:AY,AY1039)&gt;1,COUNTIF(AZ$2:AZ1038,AY1039)&gt;=1),"",AY1039))</f>
        <v>QUINOEX 2,5 % SOLUTION BUVABLE POUR VEAUX</v>
      </c>
      <c r="BA1039">
        <f>IF(AZ1039="","",COUNTIFS(AZ$3:AZ$1439,"&lt;"&amp;AZ1039,AZ$3:AZ$1439,"&lt;&gt;0")+COUNTIF(AZ$3:AZ1039,AZ1039)-876)</f>
        <v>413</v>
      </c>
      <c r="BT1039" s="76"/>
      <c r="CN1039">
        <v>1038</v>
      </c>
    </row>
    <row r="1040" spans="1:92" x14ac:dyDescent="0.3">
      <c r="A1040" s="118" t="s">
        <v>3354</v>
      </c>
      <c r="B1040" t="s">
        <v>3355</v>
      </c>
      <c r="C1040" t="s">
        <v>943</v>
      </c>
      <c r="D1040" s="144" t="s">
        <v>764</v>
      </c>
      <c r="E1040" t="s">
        <v>765</v>
      </c>
      <c r="F1040" t="s">
        <v>453</v>
      </c>
      <c r="G1040" t="s">
        <v>956</v>
      </c>
      <c r="H1040" t="s">
        <v>2661</v>
      </c>
      <c r="I1040" t="s">
        <v>817</v>
      </c>
      <c r="J1040" t="s">
        <v>2366</v>
      </c>
      <c r="K1040" t="s">
        <v>2366</v>
      </c>
      <c r="L1040" t="s">
        <v>2367</v>
      </c>
      <c r="M1040" t="s">
        <v>208</v>
      </c>
      <c r="N1040" t="s">
        <v>764</v>
      </c>
      <c r="O1040" t="s">
        <v>771</v>
      </c>
      <c r="P1040" t="s">
        <v>772</v>
      </c>
      <c r="Q1040" t="s">
        <v>852</v>
      </c>
      <c r="R1040">
        <v>0</v>
      </c>
      <c r="S1040">
        <v>0</v>
      </c>
      <c r="T1040">
        <v>0</v>
      </c>
      <c r="U1040">
        <v>0</v>
      </c>
      <c r="V1040">
        <v>0</v>
      </c>
      <c r="W1040">
        <v>0</v>
      </c>
      <c r="X1040">
        <v>0</v>
      </c>
      <c r="Y1040">
        <v>0</v>
      </c>
      <c r="Z1040">
        <v>0</v>
      </c>
      <c r="AA1040">
        <v>0</v>
      </c>
      <c r="AB1040">
        <v>0</v>
      </c>
      <c r="AC1040">
        <v>0</v>
      </c>
      <c r="AD1040">
        <v>0</v>
      </c>
      <c r="AE1040">
        <v>0</v>
      </c>
      <c r="AF1040">
        <v>10</v>
      </c>
      <c r="AG1040">
        <v>5</v>
      </c>
      <c r="AH1040">
        <v>0</v>
      </c>
      <c r="AI1040">
        <v>0</v>
      </c>
      <c r="AY1040" t="str">
        <f t="shared" si="195"/>
        <v>QUINOFLOX 10% SOLUTION BUVABLE</v>
      </c>
      <c r="AZ1040" t="str">
        <f>IF(COUNTIF(AY:AY,AY1040)=1,AY1040,IF(AND(COUNTIF(AY:AY,AY1040)&gt;1,COUNTIF(AZ$2:AZ1039,AY1040)&gt;=1),"",AY1040))</f>
        <v>QUINOFLOX 10% SOLUTION BUVABLE</v>
      </c>
      <c r="BA1040">
        <f>IF(AZ1040="","",COUNTIFS(AZ$3:AZ$1439,"&lt;"&amp;AZ1040,AZ$3:AZ$1439,"&lt;&gt;0")+COUNTIF(AZ$3:AZ1040,AZ1040)-876)</f>
        <v>414</v>
      </c>
      <c r="BT1040" s="76"/>
      <c r="CN1040">
        <v>1039</v>
      </c>
    </row>
    <row r="1041" spans="1:92" x14ac:dyDescent="0.3">
      <c r="A1041" s="118" t="s">
        <v>3354</v>
      </c>
      <c r="B1041" t="s">
        <v>3356</v>
      </c>
      <c r="C1041" t="s">
        <v>1241</v>
      </c>
      <c r="D1041" s="144" t="s">
        <v>829</v>
      </c>
      <c r="E1041" t="s">
        <v>765</v>
      </c>
      <c r="F1041" t="s">
        <v>453</v>
      </c>
      <c r="G1041" t="s">
        <v>956</v>
      </c>
      <c r="H1041" t="s">
        <v>2661</v>
      </c>
      <c r="I1041" t="s">
        <v>817</v>
      </c>
      <c r="J1041" t="s">
        <v>2366</v>
      </c>
      <c r="K1041" t="s">
        <v>2366</v>
      </c>
      <c r="L1041" t="s">
        <v>2367</v>
      </c>
      <c r="M1041" t="s">
        <v>208</v>
      </c>
      <c r="N1041" t="s">
        <v>764</v>
      </c>
      <c r="O1041" t="s">
        <v>771</v>
      </c>
      <c r="P1041" t="s">
        <v>772</v>
      </c>
      <c r="Q1041" t="s">
        <v>764</v>
      </c>
      <c r="R1041">
        <v>0</v>
      </c>
      <c r="S1041">
        <v>0</v>
      </c>
      <c r="T1041">
        <v>0</v>
      </c>
      <c r="U1041">
        <v>0</v>
      </c>
      <c r="V1041">
        <v>0</v>
      </c>
      <c r="W1041">
        <v>0</v>
      </c>
      <c r="X1041">
        <v>0</v>
      </c>
      <c r="Y1041">
        <v>0</v>
      </c>
      <c r="Z1041">
        <v>0</v>
      </c>
      <c r="AA1041">
        <v>0</v>
      </c>
      <c r="AB1041">
        <v>0</v>
      </c>
      <c r="AC1041">
        <v>0</v>
      </c>
      <c r="AD1041">
        <v>0</v>
      </c>
      <c r="AE1041">
        <v>0</v>
      </c>
      <c r="AF1041">
        <v>10</v>
      </c>
      <c r="AG1041">
        <v>5</v>
      </c>
      <c r="AH1041">
        <v>0</v>
      </c>
      <c r="AI1041">
        <v>0</v>
      </c>
      <c r="AY1041" t="str">
        <f t="shared" si="195"/>
        <v>QUINOFLOX 10% SOLUTION BUVABLE</v>
      </c>
      <c r="AZ1041" t="str">
        <f>IF(COUNTIF(AY:AY,AY1041)=1,AY1041,IF(AND(COUNTIF(AY:AY,AY1041)&gt;1,COUNTIF(AZ$2:AZ1040,AY1041)&gt;=1),"",AY1041))</f>
        <v/>
      </c>
      <c r="BA1041" t="str">
        <f>IF(AZ1041="","",COUNTIFS(AZ$3:AZ$1439,"&lt;"&amp;AZ1041,AZ$3:AZ$1439,"&lt;&gt;0")+COUNTIF(AZ$3:AZ1041,AZ1041)-876)</f>
        <v/>
      </c>
      <c r="BT1041" s="76"/>
      <c r="CN1041">
        <v>1040</v>
      </c>
    </row>
    <row r="1042" spans="1:92" x14ac:dyDescent="0.3">
      <c r="A1042" s="118" t="s">
        <v>3782</v>
      </c>
      <c r="B1042" t="s">
        <v>3783</v>
      </c>
      <c r="C1042" t="s">
        <v>1483</v>
      </c>
      <c r="D1042" s="144" t="s">
        <v>764</v>
      </c>
      <c r="E1042" t="s">
        <v>765</v>
      </c>
      <c r="F1042" t="s">
        <v>454</v>
      </c>
      <c r="G1042" t="s">
        <v>766</v>
      </c>
      <c r="H1042" t="s">
        <v>1326</v>
      </c>
      <c r="I1042" t="s">
        <v>766</v>
      </c>
      <c r="J1042" t="s">
        <v>2366</v>
      </c>
      <c r="K1042" t="s">
        <v>2366</v>
      </c>
      <c r="L1042" t="s">
        <v>2367</v>
      </c>
      <c r="M1042" t="s">
        <v>208</v>
      </c>
      <c r="N1042" t="s">
        <v>764</v>
      </c>
      <c r="O1042" t="s">
        <v>771</v>
      </c>
      <c r="P1042" t="s">
        <v>772</v>
      </c>
      <c r="Q1042" t="s">
        <v>852</v>
      </c>
      <c r="R1042">
        <v>5</v>
      </c>
      <c r="S1042">
        <v>5</v>
      </c>
      <c r="T1042">
        <v>0</v>
      </c>
      <c r="U1042">
        <v>0</v>
      </c>
      <c r="V1042">
        <v>0</v>
      </c>
      <c r="W1042">
        <v>0</v>
      </c>
      <c r="X1042">
        <v>0</v>
      </c>
      <c r="Y1042">
        <v>0</v>
      </c>
      <c r="Z1042">
        <v>0</v>
      </c>
      <c r="AA1042">
        <v>0</v>
      </c>
      <c r="AB1042">
        <v>0</v>
      </c>
      <c r="AC1042">
        <v>0</v>
      </c>
      <c r="AD1042">
        <v>2.5</v>
      </c>
      <c r="AE1042">
        <v>3</v>
      </c>
      <c r="AF1042">
        <v>0</v>
      </c>
      <c r="AG1042">
        <v>0</v>
      </c>
      <c r="AH1042">
        <v>0</v>
      </c>
      <c r="AI1042">
        <v>0</v>
      </c>
      <c r="AY1042" t="str">
        <f t="shared" si="195"/>
        <v>QUINOTRYL 100 MG/ML SOLUTION INJECTABLE POUR BOVINS ET PORCINS</v>
      </c>
      <c r="AZ1042" t="str">
        <f>IF(COUNTIF(AY:AY,AY1042)=1,AY1042,IF(AND(COUNTIF(AY:AY,AY1042)&gt;1,COUNTIF(AZ$2:AZ1041,AY1042)&gt;=1),"",AY1042))</f>
        <v>QUINOTRYL 100 MG/ML SOLUTION INJECTABLE POUR BOVINS ET PORCINS</v>
      </c>
      <c r="BA1042">
        <f>IF(AZ1042="","",COUNTIFS(AZ$3:AZ$1439,"&lt;"&amp;AZ1042,AZ$3:AZ$1439,"&lt;&gt;0")+COUNTIF(AZ$3:AZ1042,AZ1042)-876)</f>
        <v>415</v>
      </c>
      <c r="BT1042" s="76"/>
      <c r="CN1042">
        <v>1041</v>
      </c>
    </row>
    <row r="1043" spans="1:92" x14ac:dyDescent="0.3">
      <c r="A1043" s="118" t="s">
        <v>3780</v>
      </c>
      <c r="B1043" t="s">
        <v>3781</v>
      </c>
      <c r="C1043" t="s">
        <v>792</v>
      </c>
      <c r="D1043" s="144" t="s">
        <v>764</v>
      </c>
      <c r="E1043" t="s">
        <v>765</v>
      </c>
      <c r="F1043" t="s">
        <v>455</v>
      </c>
      <c r="G1043" t="s">
        <v>766</v>
      </c>
      <c r="H1043" t="s">
        <v>1326</v>
      </c>
      <c r="I1043" t="s">
        <v>766</v>
      </c>
      <c r="J1043" t="s">
        <v>2366</v>
      </c>
      <c r="K1043" t="s">
        <v>2366</v>
      </c>
      <c r="L1043" t="s">
        <v>2367</v>
      </c>
      <c r="M1043" t="s">
        <v>208</v>
      </c>
      <c r="N1043" t="s">
        <v>780</v>
      </c>
      <c r="O1043" t="s">
        <v>771</v>
      </c>
      <c r="P1043" t="s">
        <v>772</v>
      </c>
      <c r="Q1043" t="s">
        <v>885</v>
      </c>
      <c r="R1043">
        <v>5</v>
      </c>
      <c r="S1043">
        <v>5</v>
      </c>
      <c r="T1043">
        <v>0</v>
      </c>
      <c r="U1043">
        <v>0</v>
      </c>
      <c r="V1043">
        <v>0</v>
      </c>
      <c r="W1043">
        <v>0</v>
      </c>
      <c r="X1043">
        <v>0</v>
      </c>
      <c r="Y1043">
        <v>0</v>
      </c>
      <c r="Z1043">
        <v>0</v>
      </c>
      <c r="AA1043">
        <v>0</v>
      </c>
      <c r="AB1043">
        <v>0</v>
      </c>
      <c r="AC1043">
        <v>0</v>
      </c>
      <c r="AD1043">
        <v>2.5</v>
      </c>
      <c r="AE1043">
        <v>3</v>
      </c>
      <c r="AF1043">
        <v>0</v>
      </c>
      <c r="AG1043">
        <v>0</v>
      </c>
      <c r="AH1043">
        <v>0</v>
      </c>
      <c r="AI1043">
        <v>0</v>
      </c>
      <c r="AY1043" t="str">
        <f t="shared" si="195"/>
        <v>QUINOTRYL 50 MG/ML SOLUTION INJECTABLE POUR BOVINS ET PORCINS</v>
      </c>
      <c r="AZ1043" t="str">
        <f>IF(COUNTIF(AY:AY,AY1043)=1,AY1043,IF(AND(COUNTIF(AY:AY,AY1043)&gt;1,COUNTIF(AZ$2:AZ1042,AY1043)&gt;=1),"",AY1043))</f>
        <v>QUINOTRYL 50 MG/ML SOLUTION INJECTABLE POUR BOVINS ET PORCINS</v>
      </c>
      <c r="BA1043">
        <f>IF(AZ1043="","",COUNTIFS(AZ$3:AZ$1439,"&lt;"&amp;AZ1043,AZ$3:AZ$1439,"&lt;&gt;0")+COUNTIF(AZ$3:AZ1043,AZ1043)-876)</f>
        <v>416</v>
      </c>
      <c r="BT1043" s="76"/>
      <c r="CN1043">
        <v>1042</v>
      </c>
    </row>
    <row r="1044" spans="1:92" x14ac:dyDescent="0.3">
      <c r="A1044" s="118" t="s">
        <v>3602</v>
      </c>
      <c r="B1044" t="s">
        <v>3603</v>
      </c>
      <c r="C1044" t="s">
        <v>792</v>
      </c>
      <c r="D1044" s="144" t="s">
        <v>764</v>
      </c>
      <c r="E1044" t="s">
        <v>765</v>
      </c>
      <c r="F1044" t="s">
        <v>456</v>
      </c>
      <c r="G1044" t="s">
        <v>766</v>
      </c>
      <c r="H1044" t="s">
        <v>1326</v>
      </c>
      <c r="I1044" t="s">
        <v>766</v>
      </c>
      <c r="J1044" t="s">
        <v>2165</v>
      </c>
      <c r="K1044" t="s">
        <v>2165</v>
      </c>
      <c r="L1044" t="s">
        <v>2432</v>
      </c>
      <c r="M1044" t="s">
        <v>208</v>
      </c>
      <c r="N1044" t="s">
        <v>780</v>
      </c>
      <c r="O1044" t="s">
        <v>771</v>
      </c>
      <c r="P1044" t="s">
        <v>772</v>
      </c>
      <c r="Q1044" t="s">
        <v>885</v>
      </c>
      <c r="R1044">
        <v>1</v>
      </c>
      <c r="S1044">
        <v>5</v>
      </c>
      <c r="T1044">
        <v>0</v>
      </c>
      <c r="U1044">
        <v>0</v>
      </c>
      <c r="V1044">
        <v>0</v>
      </c>
      <c r="W1044">
        <v>0</v>
      </c>
      <c r="X1044">
        <v>0</v>
      </c>
      <c r="Y1044">
        <v>0</v>
      </c>
      <c r="Z1044">
        <v>0</v>
      </c>
      <c r="AA1044">
        <v>0</v>
      </c>
      <c r="AB1044">
        <v>0</v>
      </c>
      <c r="AC1044">
        <v>0</v>
      </c>
      <c r="AD1044">
        <v>3</v>
      </c>
      <c r="AE1044">
        <v>3</v>
      </c>
      <c r="AF1044">
        <v>0</v>
      </c>
      <c r="AG1044">
        <v>0</v>
      </c>
      <c r="AH1044">
        <v>0</v>
      </c>
      <c r="AI1044">
        <v>0</v>
      </c>
      <c r="AY1044" t="str">
        <f t="shared" si="195"/>
        <v>READYCEF 50 MG/ML SUSPENSION INJECTABLE POUR PORCINS ET BOVINS</v>
      </c>
      <c r="AZ1044" t="str">
        <f>IF(COUNTIF(AY:AY,AY1044)=1,AY1044,IF(AND(COUNTIF(AY:AY,AY1044)&gt;1,COUNTIF(AZ$2:AZ1043,AY1044)&gt;=1),"",AY1044))</f>
        <v>READYCEF 50 MG/ML SUSPENSION INJECTABLE POUR PORCINS ET BOVINS</v>
      </c>
      <c r="BA1044">
        <f>IF(AZ1044="","",COUNTIFS(AZ$3:AZ$1439,"&lt;"&amp;AZ1044,AZ$3:AZ$1439,"&lt;&gt;0")+COUNTIF(AZ$3:AZ1044,AZ1044)-876)</f>
        <v>417</v>
      </c>
      <c r="BT1044" s="76"/>
      <c r="CN1044">
        <v>1043</v>
      </c>
    </row>
    <row r="1045" spans="1:92" x14ac:dyDescent="0.3">
      <c r="A1045" s="118" t="s">
        <v>3146</v>
      </c>
      <c r="B1045" t="s">
        <v>3147</v>
      </c>
      <c r="C1045" t="s">
        <v>792</v>
      </c>
      <c r="D1045" s="144" t="s">
        <v>764</v>
      </c>
      <c r="E1045" t="s">
        <v>765</v>
      </c>
      <c r="F1045" t="s">
        <v>457</v>
      </c>
      <c r="G1045" t="s">
        <v>766</v>
      </c>
      <c r="H1045" t="s">
        <v>801</v>
      </c>
      <c r="I1045" t="s">
        <v>766</v>
      </c>
      <c r="J1045" t="s">
        <v>1752</v>
      </c>
      <c r="K1045" t="s">
        <v>1752</v>
      </c>
      <c r="L1045" t="s">
        <v>2511</v>
      </c>
      <c r="M1045" t="s">
        <v>208</v>
      </c>
      <c r="N1045" t="s">
        <v>1163</v>
      </c>
      <c r="O1045" t="s">
        <v>771</v>
      </c>
      <c r="P1045" t="s">
        <v>772</v>
      </c>
      <c r="Q1045" t="s">
        <v>797</v>
      </c>
      <c r="R1045">
        <v>40</v>
      </c>
      <c r="S1045">
        <v>1</v>
      </c>
      <c r="T1045">
        <v>40</v>
      </c>
      <c r="U1045">
        <v>1</v>
      </c>
      <c r="V1045">
        <v>0</v>
      </c>
      <c r="W1045">
        <v>0</v>
      </c>
      <c r="X1045">
        <v>0</v>
      </c>
      <c r="Y1045">
        <v>0</v>
      </c>
      <c r="Z1045">
        <v>0</v>
      </c>
      <c r="AA1045">
        <v>0</v>
      </c>
      <c r="AB1045">
        <v>0</v>
      </c>
      <c r="AC1045">
        <v>0</v>
      </c>
      <c r="AD1045">
        <v>0</v>
      </c>
      <c r="AE1045">
        <v>0</v>
      </c>
      <c r="AF1045">
        <v>0</v>
      </c>
      <c r="AG1045">
        <v>0</v>
      </c>
      <c r="AH1045">
        <v>0</v>
      </c>
      <c r="AI1045">
        <v>0</v>
      </c>
      <c r="AY1045" t="str">
        <f t="shared" si="195"/>
        <v>RESFLOR SOLUTION INJECTABLE</v>
      </c>
      <c r="AZ1045" t="str">
        <f>IF(COUNTIF(AY:AY,AY1045)=1,AY1045,IF(AND(COUNTIF(AY:AY,AY1045)&gt;1,COUNTIF(AZ$2:AZ1044,AY1045)&gt;=1),"",AY1045))</f>
        <v>RESFLOR SOLUTION INJECTABLE</v>
      </c>
      <c r="BA1045">
        <f>IF(AZ1045="","",COUNTIFS(AZ$3:AZ$1439,"&lt;"&amp;AZ1045,AZ$3:AZ$1439,"&lt;&gt;0")+COUNTIF(AZ$3:AZ1045,AZ1045)-876)</f>
        <v>418</v>
      </c>
      <c r="BT1045" s="76"/>
      <c r="CN1045">
        <v>1044</v>
      </c>
    </row>
    <row r="1046" spans="1:92" x14ac:dyDescent="0.3">
      <c r="A1046" s="118" t="s">
        <v>3146</v>
      </c>
      <c r="B1046" t="s">
        <v>3148</v>
      </c>
      <c r="C1046" t="s">
        <v>796</v>
      </c>
      <c r="D1046" s="144" t="s">
        <v>776</v>
      </c>
      <c r="E1046" t="s">
        <v>765</v>
      </c>
      <c r="F1046" t="s">
        <v>457</v>
      </c>
      <c r="G1046" t="s">
        <v>766</v>
      </c>
      <c r="H1046" t="s">
        <v>801</v>
      </c>
      <c r="I1046" t="s">
        <v>766</v>
      </c>
      <c r="J1046" t="s">
        <v>1752</v>
      </c>
      <c r="K1046" t="s">
        <v>1752</v>
      </c>
      <c r="L1046" t="s">
        <v>2511</v>
      </c>
      <c r="M1046" t="s">
        <v>208</v>
      </c>
      <c r="N1046" t="s">
        <v>1163</v>
      </c>
      <c r="O1046" t="s">
        <v>771</v>
      </c>
      <c r="P1046" t="s">
        <v>772</v>
      </c>
      <c r="Q1046" t="s">
        <v>1255</v>
      </c>
      <c r="R1046">
        <v>40</v>
      </c>
      <c r="S1046">
        <v>1</v>
      </c>
      <c r="T1046">
        <v>40</v>
      </c>
      <c r="U1046">
        <v>1</v>
      </c>
      <c r="V1046">
        <v>0</v>
      </c>
      <c r="W1046">
        <v>0</v>
      </c>
      <c r="X1046">
        <v>0</v>
      </c>
      <c r="Y1046">
        <v>0</v>
      </c>
      <c r="Z1046">
        <v>0</v>
      </c>
      <c r="AA1046">
        <v>0</v>
      </c>
      <c r="AB1046">
        <v>0</v>
      </c>
      <c r="AC1046">
        <v>0</v>
      </c>
      <c r="AD1046">
        <v>0</v>
      </c>
      <c r="AE1046">
        <v>0</v>
      </c>
      <c r="AF1046">
        <v>0</v>
      </c>
      <c r="AG1046">
        <v>0</v>
      </c>
      <c r="AH1046">
        <v>0</v>
      </c>
      <c r="AI1046">
        <v>0</v>
      </c>
      <c r="AY1046" t="str">
        <f t="shared" si="195"/>
        <v>RESFLOR SOLUTION INJECTABLE</v>
      </c>
      <c r="AZ1046" t="str">
        <f>IF(COUNTIF(AY:AY,AY1046)=1,AY1046,IF(AND(COUNTIF(AY:AY,AY1046)&gt;1,COUNTIF(AZ$2:AZ1045,AY1046)&gt;=1),"",AY1046))</f>
        <v/>
      </c>
      <c r="BA1046" t="str">
        <f>IF(AZ1046="","",COUNTIFS(AZ$3:AZ$1439,"&lt;"&amp;AZ1046,AZ$3:AZ$1439,"&lt;&gt;0")+COUNTIF(AZ$3:AZ1046,AZ1046)-876)</f>
        <v/>
      </c>
      <c r="BT1046" s="76"/>
      <c r="CN1046">
        <v>1045</v>
      </c>
    </row>
    <row r="1047" spans="1:92" x14ac:dyDescent="0.3">
      <c r="A1047" s="118" t="s">
        <v>3588</v>
      </c>
      <c r="B1047" t="s">
        <v>3589</v>
      </c>
      <c r="C1047" t="s">
        <v>3590</v>
      </c>
      <c r="D1047" s="144" t="s">
        <v>764</v>
      </c>
      <c r="E1047" t="s">
        <v>765</v>
      </c>
      <c r="F1047" t="s">
        <v>683</v>
      </c>
      <c r="G1047" t="s">
        <v>766</v>
      </c>
      <c r="H1047" t="s">
        <v>801</v>
      </c>
      <c r="I1047" t="s">
        <v>766</v>
      </c>
      <c r="J1047" t="s">
        <v>2366</v>
      </c>
      <c r="K1047" t="s">
        <v>2366</v>
      </c>
      <c r="L1047" t="s">
        <v>2367</v>
      </c>
      <c r="M1047" t="s">
        <v>208</v>
      </c>
      <c r="N1047" t="s">
        <v>764</v>
      </c>
      <c r="O1047" t="s">
        <v>771</v>
      </c>
      <c r="P1047" t="s">
        <v>772</v>
      </c>
      <c r="Q1047" t="s">
        <v>852</v>
      </c>
      <c r="R1047">
        <v>7.5</v>
      </c>
      <c r="S1047">
        <v>1</v>
      </c>
      <c r="T1047">
        <v>0</v>
      </c>
      <c r="U1047">
        <v>0</v>
      </c>
      <c r="V1047">
        <v>0</v>
      </c>
      <c r="W1047">
        <v>0</v>
      </c>
      <c r="X1047">
        <v>0</v>
      </c>
      <c r="Y1047">
        <v>0</v>
      </c>
      <c r="Z1047">
        <v>0</v>
      </c>
      <c r="AA1047">
        <v>0</v>
      </c>
      <c r="AB1047">
        <v>0</v>
      </c>
      <c r="AC1047">
        <v>0</v>
      </c>
      <c r="AD1047">
        <v>0</v>
      </c>
      <c r="AE1047">
        <v>0</v>
      </c>
      <c r="AF1047">
        <v>0</v>
      </c>
      <c r="AG1047">
        <v>0</v>
      </c>
      <c r="AH1047">
        <v>0</v>
      </c>
      <c r="AI1047">
        <v>0</v>
      </c>
      <c r="AY1047" t="str">
        <f t="shared" si="195"/>
        <v>RESPYTRIL 100 MG/ML SOLUTION INJECTABLE POUR BOVINS</v>
      </c>
      <c r="AZ1047" t="str">
        <f>IF(COUNTIF(AY:AY,AY1047)=1,AY1047,IF(AND(COUNTIF(AY:AY,AY1047)&gt;1,COUNTIF(AZ$2:AZ1046,AY1047)&gt;=1),"",AY1047))</f>
        <v>RESPYTRIL 100 MG/ML SOLUTION INJECTABLE POUR BOVINS</v>
      </c>
      <c r="BA1047">
        <f>IF(AZ1047="","",COUNTIFS(AZ$3:AZ$1439,"&lt;"&amp;AZ1047,AZ$3:AZ$1439,"&lt;&gt;0")+COUNTIF(AZ$3:AZ1047,AZ1047)-876)</f>
        <v>419</v>
      </c>
      <c r="BT1047" s="76"/>
      <c r="CN1047">
        <v>1046</v>
      </c>
    </row>
    <row r="1048" spans="1:92" x14ac:dyDescent="0.3">
      <c r="A1048" s="118" t="s">
        <v>3588</v>
      </c>
      <c r="B1048" t="s">
        <v>3591</v>
      </c>
      <c r="C1048" t="s">
        <v>3592</v>
      </c>
      <c r="D1048" s="144" t="s">
        <v>776</v>
      </c>
      <c r="E1048" t="s">
        <v>765</v>
      </c>
      <c r="F1048" t="s">
        <v>683</v>
      </c>
      <c r="G1048" t="s">
        <v>766</v>
      </c>
      <c r="H1048" t="s">
        <v>801</v>
      </c>
      <c r="I1048" t="s">
        <v>766</v>
      </c>
      <c r="J1048" t="s">
        <v>2366</v>
      </c>
      <c r="K1048" t="s">
        <v>2366</v>
      </c>
      <c r="L1048" t="s">
        <v>2367</v>
      </c>
      <c r="M1048" t="s">
        <v>208</v>
      </c>
      <c r="N1048" t="s">
        <v>764</v>
      </c>
      <c r="O1048" t="s">
        <v>771</v>
      </c>
      <c r="P1048" t="s">
        <v>772</v>
      </c>
      <c r="Q1048" t="s">
        <v>855</v>
      </c>
      <c r="R1048">
        <v>7.5</v>
      </c>
      <c r="S1048">
        <v>1</v>
      </c>
      <c r="T1048">
        <v>0</v>
      </c>
      <c r="U1048">
        <v>0</v>
      </c>
      <c r="V1048">
        <v>0</v>
      </c>
      <c r="W1048">
        <v>0</v>
      </c>
      <c r="X1048">
        <v>0</v>
      </c>
      <c r="Y1048">
        <v>0</v>
      </c>
      <c r="Z1048">
        <v>0</v>
      </c>
      <c r="AA1048">
        <v>0</v>
      </c>
      <c r="AB1048">
        <v>0</v>
      </c>
      <c r="AC1048">
        <v>0</v>
      </c>
      <c r="AD1048">
        <v>0</v>
      </c>
      <c r="AE1048">
        <v>0</v>
      </c>
      <c r="AF1048">
        <v>0</v>
      </c>
      <c r="AG1048">
        <v>0</v>
      </c>
      <c r="AH1048">
        <v>0</v>
      </c>
      <c r="AI1048">
        <v>0</v>
      </c>
      <c r="AY1048" t="str">
        <f t="shared" si="195"/>
        <v>RESPYTRIL 100 MG/ML SOLUTION INJECTABLE POUR BOVINS</v>
      </c>
      <c r="AZ1048" t="str">
        <f>IF(COUNTIF(AY:AY,AY1048)=1,AY1048,IF(AND(COUNTIF(AY:AY,AY1048)&gt;1,COUNTIF(AZ$2:AZ1047,AY1048)&gt;=1),"",AY1048))</f>
        <v/>
      </c>
      <c r="BA1048" t="str">
        <f>IF(AZ1048="","",COUNTIFS(AZ$3:AZ$1439,"&lt;"&amp;AZ1048,AZ$3:AZ$1439,"&lt;&gt;0")+COUNTIF(AZ$3:AZ1048,AZ1048)-876)</f>
        <v/>
      </c>
      <c r="BT1048" s="76"/>
      <c r="CN1048">
        <v>1047</v>
      </c>
    </row>
    <row r="1049" spans="1:92" x14ac:dyDescent="0.3">
      <c r="A1049" s="118" t="s">
        <v>3588</v>
      </c>
      <c r="B1049" t="s">
        <v>3593</v>
      </c>
      <c r="C1049" t="s">
        <v>3594</v>
      </c>
      <c r="D1049" s="144" t="s">
        <v>906</v>
      </c>
      <c r="E1049" t="s">
        <v>765</v>
      </c>
      <c r="F1049" t="s">
        <v>683</v>
      </c>
      <c r="G1049" t="s">
        <v>766</v>
      </c>
      <c r="H1049" t="s">
        <v>801</v>
      </c>
      <c r="I1049" t="s">
        <v>766</v>
      </c>
      <c r="J1049" t="s">
        <v>2366</v>
      </c>
      <c r="K1049" t="s">
        <v>2366</v>
      </c>
      <c r="L1049" t="s">
        <v>2367</v>
      </c>
      <c r="M1049" t="s">
        <v>208</v>
      </c>
      <c r="N1049" t="s">
        <v>764</v>
      </c>
      <c r="O1049" t="s">
        <v>771</v>
      </c>
      <c r="P1049" t="s">
        <v>772</v>
      </c>
      <c r="Q1049" t="s">
        <v>780</v>
      </c>
      <c r="R1049">
        <v>7.5</v>
      </c>
      <c r="S1049">
        <v>1</v>
      </c>
      <c r="T1049">
        <v>0</v>
      </c>
      <c r="U1049">
        <v>0</v>
      </c>
      <c r="V1049">
        <v>0</v>
      </c>
      <c r="W1049">
        <v>0</v>
      </c>
      <c r="X1049">
        <v>0</v>
      </c>
      <c r="Y1049">
        <v>0</v>
      </c>
      <c r="Z1049">
        <v>0</v>
      </c>
      <c r="AA1049">
        <v>0</v>
      </c>
      <c r="AB1049">
        <v>0</v>
      </c>
      <c r="AC1049">
        <v>0</v>
      </c>
      <c r="AD1049">
        <v>0</v>
      </c>
      <c r="AE1049">
        <v>0</v>
      </c>
      <c r="AF1049">
        <v>0</v>
      </c>
      <c r="AG1049">
        <v>0</v>
      </c>
      <c r="AH1049">
        <v>0</v>
      </c>
      <c r="AI1049">
        <v>0</v>
      </c>
      <c r="AY1049" t="str">
        <f t="shared" si="195"/>
        <v>RESPYTRIL 100 MG/ML SOLUTION INJECTABLE POUR BOVINS</v>
      </c>
      <c r="AZ1049" t="str">
        <f>IF(COUNTIF(AY:AY,AY1049)=1,AY1049,IF(AND(COUNTIF(AY:AY,AY1049)&gt;1,COUNTIF(AZ$2:AZ1048,AY1049)&gt;=1),"",AY1049))</f>
        <v/>
      </c>
      <c r="BA1049" t="str">
        <f>IF(AZ1049="","",COUNTIFS(AZ$3:AZ$1439,"&lt;"&amp;AZ1049,AZ$3:AZ$1439,"&lt;&gt;0")+COUNTIF(AZ$3:AZ1049,AZ1049)-876)</f>
        <v/>
      </c>
      <c r="BT1049" s="76"/>
      <c r="CN1049">
        <v>1048</v>
      </c>
    </row>
    <row r="1050" spans="1:92" x14ac:dyDescent="0.3">
      <c r="A1050" s="118" t="s">
        <v>4253</v>
      </c>
      <c r="B1050" t="s">
        <v>4254</v>
      </c>
      <c r="C1050" t="s">
        <v>1238</v>
      </c>
      <c r="D1050" t="s">
        <v>780</v>
      </c>
      <c r="E1050" t="s">
        <v>765</v>
      </c>
      <c r="F1050" t="s">
        <v>551</v>
      </c>
      <c r="G1050" t="s">
        <v>766</v>
      </c>
      <c r="H1050" t="s">
        <v>1387</v>
      </c>
      <c r="I1050" t="s">
        <v>766</v>
      </c>
      <c r="J1050" t="s">
        <v>787</v>
      </c>
      <c r="K1050" t="s">
        <v>787</v>
      </c>
      <c r="L1050" t="s">
        <v>2522</v>
      </c>
      <c r="M1050" t="s">
        <v>208</v>
      </c>
      <c r="N1050" t="s">
        <v>939</v>
      </c>
      <c r="O1050" t="s">
        <v>771</v>
      </c>
      <c r="P1050" t="s">
        <v>2524</v>
      </c>
      <c r="Q1050" t="s">
        <v>793</v>
      </c>
      <c r="R1050">
        <v>9</v>
      </c>
      <c r="S1050">
        <v>3</v>
      </c>
      <c r="T1050">
        <v>0</v>
      </c>
      <c r="U1050">
        <v>0</v>
      </c>
      <c r="V1050">
        <v>0</v>
      </c>
      <c r="W1050">
        <v>0</v>
      </c>
      <c r="X1050">
        <v>0</v>
      </c>
      <c r="Y1050">
        <v>0</v>
      </c>
      <c r="Z1050">
        <v>0</v>
      </c>
      <c r="AA1050">
        <v>0</v>
      </c>
      <c r="AB1050">
        <v>0</v>
      </c>
      <c r="AC1050">
        <v>0</v>
      </c>
      <c r="AD1050">
        <v>0</v>
      </c>
      <c r="AE1050">
        <v>0</v>
      </c>
      <c r="AF1050">
        <v>0</v>
      </c>
      <c r="AG1050">
        <v>0</v>
      </c>
      <c r="AH1050">
        <v>0</v>
      </c>
      <c r="AI1050">
        <v>0</v>
      </c>
      <c r="AY1050" t="str">
        <f t="shared" si="195"/>
        <v>REVOZYN RTU 308,8 MG/ML SUSPENSION INJECTABLE POUR BOVINS</v>
      </c>
      <c r="AZ1050" t="str">
        <f>IF(COUNTIF(AY:AY,AY1050)=1,AY1050,IF(AND(COUNTIF(AY:AY,AY1050)&gt;1,COUNTIF(AZ$2:AZ1049,AY1050)&gt;=1),"",AY1050))</f>
        <v>REVOZYN RTU 308,8 MG/ML SUSPENSION INJECTABLE POUR BOVINS</v>
      </c>
      <c r="BA1050">
        <f>IF(AZ1050="","",COUNTIFS(AZ$3:AZ$1439,"&lt;"&amp;AZ1050,AZ$3:AZ$1439,"&lt;&gt;0")+COUNTIF(AZ$3:AZ1050,AZ1050)-876)</f>
        <v>420</v>
      </c>
      <c r="BT1050" s="76"/>
      <c r="CN1050">
        <v>1049</v>
      </c>
    </row>
    <row r="1051" spans="1:92" x14ac:dyDescent="0.3">
      <c r="A1051" s="118" t="s">
        <v>4153</v>
      </c>
      <c r="B1051" t="s">
        <v>4154</v>
      </c>
      <c r="C1051" t="s">
        <v>3740</v>
      </c>
      <c r="D1051" s="144" t="s">
        <v>829</v>
      </c>
      <c r="E1051" t="s">
        <v>830</v>
      </c>
      <c r="F1051" t="s">
        <v>4581</v>
      </c>
      <c r="G1051" t="s">
        <v>831</v>
      </c>
      <c r="H1051" t="s">
        <v>4155</v>
      </c>
      <c r="I1051" t="s">
        <v>817</v>
      </c>
      <c r="J1051" t="s">
        <v>787</v>
      </c>
      <c r="K1051" t="s">
        <v>787</v>
      </c>
      <c r="L1051" t="s">
        <v>1055</v>
      </c>
      <c r="M1051" t="s">
        <v>208</v>
      </c>
      <c r="N1051" t="s">
        <v>4156</v>
      </c>
      <c r="O1051" t="s">
        <v>894</v>
      </c>
      <c r="P1051" t="s">
        <v>772</v>
      </c>
      <c r="Q1051" t="s">
        <v>4156</v>
      </c>
      <c r="R1051">
        <v>0</v>
      </c>
      <c r="S1051">
        <v>0</v>
      </c>
      <c r="T1051">
        <v>0</v>
      </c>
      <c r="U1051">
        <v>0</v>
      </c>
      <c r="V1051">
        <v>0</v>
      </c>
      <c r="W1051">
        <v>0</v>
      </c>
      <c r="X1051">
        <v>0</v>
      </c>
      <c r="Y1051">
        <v>0</v>
      </c>
      <c r="Z1051">
        <v>0</v>
      </c>
      <c r="AA1051">
        <v>0</v>
      </c>
      <c r="AB1051">
        <v>0</v>
      </c>
      <c r="AC1051">
        <v>0</v>
      </c>
      <c r="AD1051">
        <v>17.399999999999999</v>
      </c>
      <c r="AE1051">
        <v>4</v>
      </c>
      <c r="AF1051">
        <v>17.399999999999999</v>
      </c>
      <c r="AG1051">
        <v>5</v>
      </c>
      <c r="AH1051">
        <v>0</v>
      </c>
      <c r="AI1051">
        <v>0</v>
      </c>
      <c r="AY1051" t="str">
        <f t="shared" si="195"/>
        <v>RHEMOX 435,6 MG/G POUDRE POUR ADMINISTRATION DANS L'EAU DE BOISSON POUR PORCINS, POULES, CANARDS, ET DINDES</v>
      </c>
      <c r="AZ1051" t="str">
        <f>IF(COUNTIF(AY:AY,AY1051)=1,AY1051,IF(AND(COUNTIF(AY:AY,AY1051)&gt;1,COUNTIF(AZ$2:AZ1050,AY1051)&gt;=1),"",AY1051))</f>
        <v>RHEMOX 435,6 MG/G POUDRE POUR ADMINISTRATION DANS L'EAU DE BOISSON POUR PORCINS, POULES, CANARDS, ET DINDES</v>
      </c>
      <c r="BA1051">
        <f>IF(AZ1051="","",COUNTIFS(AZ$3:AZ$1439,"&lt;"&amp;AZ1051,AZ$3:AZ$1439,"&lt;&gt;0")+COUNTIF(AZ$3:AZ1051,AZ1051)-876)</f>
        <v>421</v>
      </c>
      <c r="BT1051" s="76"/>
      <c r="CN1051">
        <v>1050</v>
      </c>
    </row>
    <row r="1052" spans="1:92" x14ac:dyDescent="0.3">
      <c r="A1052" s="118" t="s">
        <v>3157</v>
      </c>
      <c r="B1052" t="s">
        <v>3158</v>
      </c>
      <c r="C1052" t="s">
        <v>3151</v>
      </c>
      <c r="D1052" s="144" t="s">
        <v>2712</v>
      </c>
      <c r="E1052" t="s">
        <v>813</v>
      </c>
      <c r="F1052" t="s">
        <v>3159</v>
      </c>
      <c r="G1052" t="s">
        <v>815</v>
      </c>
      <c r="H1052" t="s">
        <v>860</v>
      </c>
      <c r="I1052" t="s">
        <v>817</v>
      </c>
      <c r="J1052" t="s">
        <v>1179</v>
      </c>
      <c r="K1052" t="s">
        <v>1179</v>
      </c>
      <c r="L1052" t="s">
        <v>1354</v>
      </c>
      <c r="M1052" t="s">
        <v>208</v>
      </c>
      <c r="N1052" t="s">
        <v>1163</v>
      </c>
      <c r="O1052" t="s">
        <v>824</v>
      </c>
      <c r="P1052" t="s">
        <v>772</v>
      </c>
      <c r="Q1052" t="s">
        <v>2585</v>
      </c>
      <c r="R1052">
        <v>0</v>
      </c>
      <c r="S1052">
        <v>0</v>
      </c>
      <c r="T1052">
        <v>30</v>
      </c>
      <c r="U1052">
        <v>21</v>
      </c>
      <c r="V1052">
        <v>0</v>
      </c>
      <c r="W1052">
        <v>0</v>
      </c>
      <c r="X1052">
        <v>0</v>
      </c>
      <c r="Y1052">
        <v>0</v>
      </c>
      <c r="Z1052">
        <v>0</v>
      </c>
      <c r="AA1052">
        <v>0</v>
      </c>
      <c r="AB1052">
        <v>0</v>
      </c>
      <c r="AC1052">
        <v>0</v>
      </c>
      <c r="AD1052">
        <v>0</v>
      </c>
      <c r="AE1052">
        <v>0</v>
      </c>
      <c r="AF1052">
        <v>0</v>
      </c>
      <c r="AG1052">
        <v>0</v>
      </c>
      <c r="AH1052">
        <v>0</v>
      </c>
      <c r="AI1052">
        <v>0</v>
      </c>
      <c r="AY1052" t="str">
        <f t="shared" si="195"/>
        <v/>
      </c>
      <c r="AZ1052" t="str">
        <f>IF(COUNTIF(AY:AY,AY1052)=1,AY1052,IF(AND(COUNTIF(AY:AY,AY1052)&gt;1,COUNTIF(AZ$2:AZ1051,AY1052)&gt;=1),"",AY1052))</f>
        <v/>
      </c>
      <c r="BA1052" t="str">
        <f>IF(AZ1052="","",COUNTIFS(AZ$3:AZ$1439,"&lt;"&amp;AZ1052,AZ$3:AZ$1439,"&lt;&gt;0")+COUNTIF(AZ$3:AZ1052,AZ1052)-876)</f>
        <v/>
      </c>
      <c r="BT1052" s="76"/>
      <c r="CN1052">
        <v>1051</v>
      </c>
    </row>
    <row r="1053" spans="1:92" x14ac:dyDescent="0.3">
      <c r="A1053" s="118" t="s">
        <v>3157</v>
      </c>
      <c r="B1053" t="s">
        <v>3160</v>
      </c>
      <c r="C1053" t="s">
        <v>3155</v>
      </c>
      <c r="D1053" s="144" t="s">
        <v>1223</v>
      </c>
      <c r="E1053" t="s">
        <v>813</v>
      </c>
      <c r="F1053" t="s">
        <v>3159</v>
      </c>
      <c r="G1053" t="s">
        <v>815</v>
      </c>
      <c r="H1053" t="s">
        <v>860</v>
      </c>
      <c r="I1053" t="s">
        <v>817</v>
      </c>
      <c r="J1053" t="s">
        <v>1179</v>
      </c>
      <c r="K1053" t="s">
        <v>1179</v>
      </c>
      <c r="L1053" t="s">
        <v>1354</v>
      </c>
      <c r="M1053" t="s">
        <v>208</v>
      </c>
      <c r="N1053" t="s">
        <v>1163</v>
      </c>
      <c r="O1053" t="s">
        <v>824</v>
      </c>
      <c r="P1053" t="s">
        <v>772</v>
      </c>
      <c r="Q1053" t="s">
        <v>3161</v>
      </c>
      <c r="R1053">
        <v>0</v>
      </c>
      <c r="S1053">
        <v>0</v>
      </c>
      <c r="T1053">
        <v>30</v>
      </c>
      <c r="U1053">
        <v>21</v>
      </c>
      <c r="V1053">
        <v>0</v>
      </c>
      <c r="W1053">
        <v>0</v>
      </c>
      <c r="X1053">
        <v>0</v>
      </c>
      <c r="Y1053">
        <v>0</v>
      </c>
      <c r="Z1053">
        <v>0</v>
      </c>
      <c r="AA1053">
        <v>0</v>
      </c>
      <c r="AB1053">
        <v>0</v>
      </c>
      <c r="AC1053">
        <v>0</v>
      </c>
      <c r="AD1053">
        <v>0</v>
      </c>
      <c r="AE1053">
        <v>0</v>
      </c>
      <c r="AF1053">
        <v>0</v>
      </c>
      <c r="AG1053">
        <v>0</v>
      </c>
      <c r="AH1053">
        <v>0</v>
      </c>
      <c r="AI1053">
        <v>0</v>
      </c>
      <c r="AY1053" t="str">
        <f t="shared" si="195"/>
        <v/>
      </c>
      <c r="AZ1053" t="str">
        <f>IF(COUNTIF(AY:AY,AY1053)=1,AY1053,IF(AND(COUNTIF(AY:AY,AY1053)&gt;1,COUNTIF(AZ$2:AZ1052,AY1053)&gt;=1),"",AY1053))</f>
        <v/>
      </c>
      <c r="BA1053" t="str">
        <f>IF(AZ1053="","",COUNTIFS(AZ$3:AZ$1439,"&lt;"&amp;AZ1053,AZ$3:AZ$1439,"&lt;&gt;0")+COUNTIF(AZ$3:AZ1053,AZ1053)-876)</f>
        <v/>
      </c>
      <c r="BT1053" s="76"/>
      <c r="CN1053">
        <v>1052</v>
      </c>
    </row>
    <row r="1054" spans="1:92" x14ac:dyDescent="0.3">
      <c r="A1054" s="118" t="s">
        <v>3162</v>
      </c>
      <c r="B1054" t="s">
        <v>3163</v>
      </c>
      <c r="C1054" t="s">
        <v>3151</v>
      </c>
      <c r="D1054" s="144" t="s">
        <v>2712</v>
      </c>
      <c r="E1054" t="s">
        <v>813</v>
      </c>
      <c r="F1054" t="s">
        <v>3164</v>
      </c>
      <c r="G1054" t="s">
        <v>815</v>
      </c>
      <c r="H1054" t="s">
        <v>860</v>
      </c>
      <c r="I1054" t="s">
        <v>817</v>
      </c>
      <c r="J1054" t="s">
        <v>1179</v>
      </c>
      <c r="K1054" t="s">
        <v>1179</v>
      </c>
      <c r="L1054" t="s">
        <v>1354</v>
      </c>
      <c r="M1054" t="s">
        <v>208</v>
      </c>
      <c r="N1054" t="s">
        <v>1978</v>
      </c>
      <c r="O1054" t="s">
        <v>824</v>
      </c>
      <c r="P1054" t="s">
        <v>772</v>
      </c>
      <c r="Q1054" t="s">
        <v>3165</v>
      </c>
      <c r="R1054">
        <v>0</v>
      </c>
      <c r="S1054">
        <v>0</v>
      </c>
      <c r="T1054">
        <v>30</v>
      </c>
      <c r="U1054">
        <v>21</v>
      </c>
      <c r="V1054">
        <v>0</v>
      </c>
      <c r="W1054">
        <v>0</v>
      </c>
      <c r="X1054">
        <v>0</v>
      </c>
      <c r="Y1054">
        <v>0</v>
      </c>
      <c r="Z1054">
        <v>0</v>
      </c>
      <c r="AA1054">
        <v>0</v>
      </c>
      <c r="AB1054">
        <v>0</v>
      </c>
      <c r="AC1054">
        <v>0</v>
      </c>
      <c r="AD1054">
        <v>0</v>
      </c>
      <c r="AE1054">
        <v>0</v>
      </c>
      <c r="AF1054">
        <v>0</v>
      </c>
      <c r="AG1054">
        <v>0</v>
      </c>
      <c r="AH1054">
        <v>0</v>
      </c>
      <c r="AI1054">
        <v>0</v>
      </c>
      <c r="AY1054" t="str">
        <f t="shared" si="195"/>
        <v/>
      </c>
      <c r="AZ1054" t="str">
        <f>IF(COUNTIF(AY:AY,AY1054)=1,AY1054,IF(AND(COUNTIF(AY:AY,AY1054)&gt;1,COUNTIF(AZ$2:AZ1053,AY1054)&gt;=1),"",AY1054))</f>
        <v/>
      </c>
      <c r="BA1054" t="str">
        <f>IF(AZ1054="","",COUNTIFS(AZ$3:AZ$1439,"&lt;"&amp;AZ1054,AZ$3:AZ$1439,"&lt;&gt;0")+COUNTIF(AZ$3:AZ1054,AZ1054)-876)</f>
        <v/>
      </c>
      <c r="BT1054" s="76"/>
      <c r="CN1054">
        <v>1053</v>
      </c>
    </row>
    <row r="1055" spans="1:92" x14ac:dyDescent="0.3">
      <c r="A1055" s="118" t="s">
        <v>3162</v>
      </c>
      <c r="B1055" t="s">
        <v>3166</v>
      </c>
      <c r="C1055" t="s">
        <v>3155</v>
      </c>
      <c r="D1055" s="144" t="s">
        <v>1223</v>
      </c>
      <c r="E1055" t="s">
        <v>813</v>
      </c>
      <c r="F1055" t="s">
        <v>3164</v>
      </c>
      <c r="G1055" t="s">
        <v>815</v>
      </c>
      <c r="H1055" t="s">
        <v>860</v>
      </c>
      <c r="I1055" t="s">
        <v>817</v>
      </c>
      <c r="J1055" t="s">
        <v>1179</v>
      </c>
      <c r="K1055" t="s">
        <v>1179</v>
      </c>
      <c r="L1055" t="s">
        <v>1354</v>
      </c>
      <c r="M1055" t="s">
        <v>208</v>
      </c>
      <c r="N1055" t="s">
        <v>1978</v>
      </c>
      <c r="O1055" t="s">
        <v>824</v>
      </c>
      <c r="P1055" t="s">
        <v>772</v>
      </c>
      <c r="Q1055" t="s">
        <v>3167</v>
      </c>
      <c r="R1055">
        <v>0</v>
      </c>
      <c r="S1055">
        <v>0</v>
      </c>
      <c r="T1055">
        <v>30</v>
      </c>
      <c r="U1055">
        <v>21</v>
      </c>
      <c r="V1055">
        <v>0</v>
      </c>
      <c r="W1055">
        <v>0</v>
      </c>
      <c r="X1055">
        <v>0</v>
      </c>
      <c r="Y1055">
        <v>0</v>
      </c>
      <c r="Z1055">
        <v>0</v>
      </c>
      <c r="AA1055">
        <v>0</v>
      </c>
      <c r="AB1055">
        <v>0</v>
      </c>
      <c r="AC1055">
        <v>0</v>
      </c>
      <c r="AD1055">
        <v>0</v>
      </c>
      <c r="AE1055">
        <v>0</v>
      </c>
      <c r="AF1055">
        <v>0</v>
      </c>
      <c r="AG1055">
        <v>0</v>
      </c>
      <c r="AH1055">
        <v>0</v>
      </c>
      <c r="AI1055">
        <v>0</v>
      </c>
      <c r="AY1055" t="str">
        <f t="shared" si="195"/>
        <v/>
      </c>
      <c r="AZ1055" t="str">
        <f>IF(COUNTIF(AY:AY,AY1055)=1,AY1055,IF(AND(COUNTIF(AY:AY,AY1055)&gt;1,COUNTIF(AZ$2:AZ1054,AY1055)&gt;=1),"",AY1055))</f>
        <v/>
      </c>
      <c r="BA1055" t="str">
        <f>IF(AZ1055="","",COUNTIFS(AZ$3:AZ$1439,"&lt;"&amp;AZ1055,AZ$3:AZ$1439,"&lt;&gt;0")+COUNTIF(AZ$3:AZ1055,AZ1055)-876)</f>
        <v/>
      </c>
      <c r="BT1055" s="76"/>
      <c r="CN1055">
        <v>1054</v>
      </c>
    </row>
    <row r="1056" spans="1:92" x14ac:dyDescent="0.3">
      <c r="A1056" s="118" t="s">
        <v>3149</v>
      </c>
      <c r="B1056" t="s">
        <v>3150</v>
      </c>
      <c r="C1056" t="s">
        <v>3151</v>
      </c>
      <c r="D1056" s="144" t="s">
        <v>2712</v>
      </c>
      <c r="E1056" t="s">
        <v>813</v>
      </c>
      <c r="F1056" t="s">
        <v>3152</v>
      </c>
      <c r="G1056" t="s">
        <v>815</v>
      </c>
      <c r="H1056" t="s">
        <v>816</v>
      </c>
      <c r="I1056" t="s">
        <v>817</v>
      </c>
      <c r="J1056" t="s">
        <v>1179</v>
      </c>
      <c r="K1056" t="s">
        <v>1179</v>
      </c>
      <c r="L1056" t="s">
        <v>1354</v>
      </c>
      <c r="M1056" t="s">
        <v>208</v>
      </c>
      <c r="N1056" t="s">
        <v>1255</v>
      </c>
      <c r="O1056" t="s">
        <v>824</v>
      </c>
      <c r="P1056" t="s">
        <v>772</v>
      </c>
      <c r="Q1056" t="s">
        <v>3153</v>
      </c>
      <c r="R1056">
        <v>0</v>
      </c>
      <c r="S1056">
        <v>0</v>
      </c>
      <c r="T1056">
        <v>30</v>
      </c>
      <c r="U1056">
        <v>21</v>
      </c>
      <c r="V1056">
        <v>0</v>
      </c>
      <c r="W1056">
        <v>0</v>
      </c>
      <c r="X1056">
        <v>0</v>
      </c>
      <c r="Y1056">
        <v>0</v>
      </c>
      <c r="Z1056">
        <v>0</v>
      </c>
      <c r="AA1056">
        <v>0</v>
      </c>
      <c r="AB1056">
        <v>0</v>
      </c>
      <c r="AC1056">
        <v>0</v>
      </c>
      <c r="AD1056">
        <v>0</v>
      </c>
      <c r="AE1056">
        <v>0</v>
      </c>
      <c r="AF1056">
        <v>0</v>
      </c>
      <c r="AG1056">
        <v>0</v>
      </c>
      <c r="AH1056">
        <v>0</v>
      </c>
      <c r="AI1056">
        <v>0</v>
      </c>
      <c r="AY1056" t="str">
        <f t="shared" si="195"/>
        <v/>
      </c>
      <c r="AZ1056" t="str">
        <f>IF(COUNTIF(AY:AY,AY1056)=1,AY1056,IF(AND(COUNTIF(AY:AY,AY1056)&gt;1,COUNTIF(AZ$2:AZ1055,AY1056)&gt;=1),"",AY1056))</f>
        <v/>
      </c>
      <c r="BA1056" t="str">
        <f>IF(AZ1056="","",COUNTIFS(AZ$3:AZ$1439,"&lt;"&amp;AZ1056,AZ$3:AZ$1439,"&lt;&gt;0")+COUNTIF(AZ$3:AZ1056,AZ1056)-876)</f>
        <v/>
      </c>
      <c r="BT1056" s="76"/>
      <c r="CN1056">
        <v>1055</v>
      </c>
    </row>
    <row r="1057" spans="1:92" x14ac:dyDescent="0.3">
      <c r="A1057" s="118" t="s">
        <v>3149</v>
      </c>
      <c r="B1057" t="s">
        <v>3154</v>
      </c>
      <c r="C1057" t="s">
        <v>3155</v>
      </c>
      <c r="D1057" s="144" t="s">
        <v>1223</v>
      </c>
      <c r="E1057" t="s">
        <v>813</v>
      </c>
      <c r="F1057" t="s">
        <v>3152</v>
      </c>
      <c r="G1057" t="s">
        <v>815</v>
      </c>
      <c r="H1057" t="s">
        <v>816</v>
      </c>
      <c r="I1057" t="s">
        <v>817</v>
      </c>
      <c r="J1057" t="s">
        <v>1179</v>
      </c>
      <c r="K1057" t="s">
        <v>1179</v>
      </c>
      <c r="L1057" t="s">
        <v>1354</v>
      </c>
      <c r="M1057" t="s">
        <v>208</v>
      </c>
      <c r="N1057" t="s">
        <v>1255</v>
      </c>
      <c r="O1057" t="s">
        <v>824</v>
      </c>
      <c r="P1057" t="s">
        <v>772</v>
      </c>
      <c r="Q1057" t="s">
        <v>3156</v>
      </c>
      <c r="R1057">
        <v>0</v>
      </c>
      <c r="S1057">
        <v>0</v>
      </c>
      <c r="T1057">
        <v>30</v>
      </c>
      <c r="U1057">
        <v>21</v>
      </c>
      <c r="V1057">
        <v>0</v>
      </c>
      <c r="W1057">
        <v>0</v>
      </c>
      <c r="X1057">
        <v>0</v>
      </c>
      <c r="Y1057">
        <v>0</v>
      </c>
      <c r="Z1057">
        <v>0</v>
      </c>
      <c r="AA1057">
        <v>0</v>
      </c>
      <c r="AB1057">
        <v>0</v>
      </c>
      <c r="AC1057">
        <v>0</v>
      </c>
      <c r="AD1057">
        <v>0</v>
      </c>
      <c r="AE1057">
        <v>0</v>
      </c>
      <c r="AF1057">
        <v>0</v>
      </c>
      <c r="AG1057">
        <v>0</v>
      </c>
      <c r="AH1057">
        <v>0</v>
      </c>
      <c r="AI1057">
        <v>0</v>
      </c>
      <c r="AY1057" t="str">
        <f t="shared" si="195"/>
        <v/>
      </c>
      <c r="AZ1057" t="str">
        <f>IF(COUNTIF(AY:AY,AY1057)=1,AY1057,IF(AND(COUNTIF(AY:AY,AY1057)&gt;1,COUNTIF(AZ$2:AZ1056,AY1057)&gt;=1),"",AY1057))</f>
        <v/>
      </c>
      <c r="BA1057" t="str">
        <f>IF(AZ1057="","",COUNTIFS(AZ$3:AZ$1439,"&lt;"&amp;AZ1057,AZ$3:AZ$1439,"&lt;&gt;0")+COUNTIF(AZ$3:AZ1057,AZ1057)-876)</f>
        <v/>
      </c>
      <c r="BT1057" s="76"/>
      <c r="CN1057">
        <v>1056</v>
      </c>
    </row>
    <row r="1058" spans="1:92" x14ac:dyDescent="0.3">
      <c r="A1058" s="118" t="s">
        <v>1362</v>
      </c>
      <c r="B1058" t="s">
        <v>1363</v>
      </c>
      <c r="C1058" t="s">
        <v>1364</v>
      </c>
      <c r="D1058" s="144" t="s">
        <v>1047</v>
      </c>
      <c r="E1058" t="s">
        <v>813</v>
      </c>
      <c r="F1058" t="s">
        <v>458</v>
      </c>
      <c r="G1058" t="s">
        <v>1024</v>
      </c>
      <c r="H1058" t="s">
        <v>801</v>
      </c>
      <c r="I1058" t="s">
        <v>1013</v>
      </c>
      <c r="J1058" t="s">
        <v>1179</v>
      </c>
      <c r="K1058" t="s">
        <v>1179</v>
      </c>
      <c r="L1058" t="s">
        <v>1354</v>
      </c>
      <c r="M1058" t="s">
        <v>208</v>
      </c>
      <c r="N1058" t="s">
        <v>1365</v>
      </c>
      <c r="O1058" t="s">
        <v>824</v>
      </c>
      <c r="P1058" t="s">
        <v>772</v>
      </c>
      <c r="Q1058" t="s">
        <v>1366</v>
      </c>
      <c r="R1058">
        <v>0</v>
      </c>
      <c r="S1058">
        <v>0</v>
      </c>
      <c r="T1058">
        <v>0</v>
      </c>
      <c r="U1058">
        <v>0</v>
      </c>
      <c r="V1058">
        <v>0</v>
      </c>
      <c r="W1058">
        <v>0</v>
      </c>
      <c r="X1058">
        <v>0</v>
      </c>
      <c r="Y1058">
        <v>0</v>
      </c>
      <c r="Z1058">
        <v>0</v>
      </c>
      <c r="AA1058">
        <v>0</v>
      </c>
      <c r="AB1058">
        <v>0</v>
      </c>
      <c r="AC1058">
        <v>0</v>
      </c>
      <c r="AD1058">
        <v>0</v>
      </c>
      <c r="AE1058">
        <v>0</v>
      </c>
      <c r="AF1058">
        <v>0</v>
      </c>
      <c r="AG1058">
        <v>0</v>
      </c>
      <c r="AH1058">
        <v>0</v>
      </c>
      <c r="AI1058">
        <v>0</v>
      </c>
      <c r="AY1058" t="str">
        <f t="shared" si="195"/>
        <v>RILEXINE H.L.</v>
      </c>
      <c r="AZ1058" t="str">
        <f>IF(COUNTIF(AY:AY,AY1058)=1,AY1058,IF(AND(COUNTIF(AY:AY,AY1058)&gt;1,COUNTIF(AZ$2:AZ1057,AY1058)&gt;=1),"",AY1058))</f>
        <v>RILEXINE H.L.</v>
      </c>
      <c r="BA1058">
        <f>IF(AZ1058="","",COUNTIFS(AZ$3:AZ$1439,"&lt;"&amp;AZ1058,AZ$3:AZ$1439,"&lt;&gt;0")+COUNTIF(AZ$3:AZ1058,AZ1058)-876)</f>
        <v>422</v>
      </c>
      <c r="BT1058" s="76"/>
      <c r="CN1058">
        <v>1057</v>
      </c>
    </row>
    <row r="1059" spans="1:92" x14ac:dyDescent="0.3">
      <c r="A1059" s="118" t="s">
        <v>1371</v>
      </c>
      <c r="B1059" t="s">
        <v>1372</v>
      </c>
      <c r="C1059" t="s">
        <v>1373</v>
      </c>
      <c r="D1059" s="144" t="s">
        <v>1374</v>
      </c>
      <c r="E1059" t="s">
        <v>765</v>
      </c>
      <c r="F1059" t="s">
        <v>1375</v>
      </c>
      <c r="G1059" t="s">
        <v>766</v>
      </c>
      <c r="H1059" t="s">
        <v>816</v>
      </c>
      <c r="I1059" t="s">
        <v>766</v>
      </c>
      <c r="J1059" t="s">
        <v>1179</v>
      </c>
      <c r="K1059" t="s">
        <v>1179</v>
      </c>
      <c r="L1059" t="s">
        <v>1354</v>
      </c>
      <c r="M1059" t="s">
        <v>208</v>
      </c>
      <c r="N1059" t="s">
        <v>1376</v>
      </c>
      <c r="O1059" t="s">
        <v>771</v>
      </c>
      <c r="P1059" t="s">
        <v>772</v>
      </c>
      <c r="Q1059" t="s">
        <v>772</v>
      </c>
      <c r="R1059">
        <v>0</v>
      </c>
      <c r="S1059">
        <v>0</v>
      </c>
      <c r="T1059">
        <v>30</v>
      </c>
      <c r="U1059">
        <v>3</v>
      </c>
      <c r="V1059">
        <v>0</v>
      </c>
      <c r="W1059">
        <v>0</v>
      </c>
      <c r="X1059">
        <v>0</v>
      </c>
      <c r="Y1059">
        <v>0</v>
      </c>
      <c r="Z1059">
        <v>0</v>
      </c>
      <c r="AA1059">
        <v>0</v>
      </c>
      <c r="AB1059">
        <v>0</v>
      </c>
      <c r="AC1059">
        <v>0</v>
      </c>
      <c r="AD1059">
        <v>0</v>
      </c>
      <c r="AE1059">
        <v>0</v>
      </c>
      <c r="AF1059">
        <v>0</v>
      </c>
      <c r="AG1059">
        <v>0</v>
      </c>
      <c r="AH1059">
        <v>0</v>
      </c>
      <c r="AI1059">
        <v>0</v>
      </c>
      <c r="AY1059" t="str">
        <f t="shared" si="195"/>
        <v/>
      </c>
      <c r="AZ1059" t="str">
        <f>IF(COUNTIF(AY:AY,AY1059)=1,AY1059,IF(AND(COUNTIF(AY:AY,AY1059)&gt;1,COUNTIF(AZ$2:AZ1058,AY1059)&gt;=1),"",AY1059))</f>
        <v/>
      </c>
      <c r="BA1059" t="str">
        <f>IF(AZ1059="","",COUNTIFS(AZ$3:AZ$1439,"&lt;"&amp;AZ1059,AZ$3:AZ$1439,"&lt;&gt;0")+COUNTIF(AZ$3:AZ1059,AZ1059)-876)</f>
        <v/>
      </c>
      <c r="BT1059" s="76"/>
      <c r="CN1059">
        <v>1058</v>
      </c>
    </row>
    <row r="1060" spans="1:92" x14ac:dyDescent="0.3">
      <c r="A1060" s="118" t="s">
        <v>2247</v>
      </c>
      <c r="B1060" t="s">
        <v>2248</v>
      </c>
      <c r="C1060" t="s">
        <v>2249</v>
      </c>
      <c r="D1060" s="144" t="s">
        <v>1374</v>
      </c>
      <c r="E1060" t="s">
        <v>765</v>
      </c>
      <c r="F1060" t="s">
        <v>2250</v>
      </c>
      <c r="G1060" t="s">
        <v>766</v>
      </c>
      <c r="H1060" t="s">
        <v>816</v>
      </c>
      <c r="I1060" t="s">
        <v>766</v>
      </c>
      <c r="J1060" t="s">
        <v>1179</v>
      </c>
      <c r="K1060" t="s">
        <v>1179</v>
      </c>
      <c r="L1060" t="s">
        <v>1354</v>
      </c>
      <c r="M1060" t="s">
        <v>208</v>
      </c>
      <c r="N1060" t="s">
        <v>2251</v>
      </c>
      <c r="O1060" t="s">
        <v>771</v>
      </c>
      <c r="P1060" t="s">
        <v>772</v>
      </c>
      <c r="Q1060" t="s">
        <v>1571</v>
      </c>
      <c r="R1060">
        <v>0</v>
      </c>
      <c r="S1060">
        <v>0</v>
      </c>
      <c r="T1060">
        <v>30</v>
      </c>
      <c r="U1060">
        <v>3</v>
      </c>
      <c r="V1060">
        <v>0</v>
      </c>
      <c r="W1060">
        <v>0</v>
      </c>
      <c r="X1060">
        <v>0</v>
      </c>
      <c r="Y1060">
        <v>0</v>
      </c>
      <c r="Z1060">
        <v>0</v>
      </c>
      <c r="AA1060">
        <v>0</v>
      </c>
      <c r="AB1060">
        <v>0</v>
      </c>
      <c r="AC1060">
        <v>0</v>
      </c>
      <c r="AD1060">
        <v>0</v>
      </c>
      <c r="AE1060">
        <v>0</v>
      </c>
      <c r="AF1060">
        <v>0</v>
      </c>
      <c r="AG1060">
        <v>0</v>
      </c>
      <c r="AH1060">
        <v>0</v>
      </c>
      <c r="AI1060">
        <v>0</v>
      </c>
      <c r="AY1060" t="str">
        <f t="shared" si="195"/>
        <v/>
      </c>
      <c r="AZ1060" t="str">
        <f>IF(COUNTIF(AY:AY,AY1060)=1,AY1060,IF(AND(COUNTIF(AY:AY,AY1060)&gt;1,COUNTIF(AZ$2:AZ1059,AY1060)&gt;=1),"",AY1060))</f>
        <v/>
      </c>
      <c r="BA1060" t="str">
        <f>IF(AZ1060="","",COUNTIFS(AZ$3:AZ$1439,"&lt;"&amp;AZ1060,AZ$3:AZ$1439,"&lt;&gt;0")+COUNTIF(AZ$3:AZ1060,AZ1060)-876)</f>
        <v/>
      </c>
      <c r="BT1060" s="76"/>
      <c r="CN1060">
        <v>1059</v>
      </c>
    </row>
    <row r="1061" spans="1:92" x14ac:dyDescent="0.3">
      <c r="A1061" s="118" t="s">
        <v>1367</v>
      </c>
      <c r="B1061" t="s">
        <v>1368</v>
      </c>
      <c r="C1061" t="s">
        <v>1369</v>
      </c>
      <c r="D1061" s="144" t="s">
        <v>780</v>
      </c>
      <c r="E1061" t="s">
        <v>765</v>
      </c>
      <c r="F1061" t="s">
        <v>1370</v>
      </c>
      <c r="G1061" t="s">
        <v>766</v>
      </c>
      <c r="H1061" t="s">
        <v>816</v>
      </c>
      <c r="I1061" t="s">
        <v>766</v>
      </c>
      <c r="J1061" t="s">
        <v>1179</v>
      </c>
      <c r="K1061" t="s">
        <v>1179</v>
      </c>
      <c r="L1061" t="s">
        <v>1354</v>
      </c>
      <c r="M1061" t="s">
        <v>208</v>
      </c>
      <c r="N1061" t="s">
        <v>1155</v>
      </c>
      <c r="O1061" t="s">
        <v>771</v>
      </c>
      <c r="P1061" t="s">
        <v>772</v>
      </c>
      <c r="Q1061" t="s">
        <v>962</v>
      </c>
      <c r="R1061">
        <v>30</v>
      </c>
      <c r="S1061">
        <v>3</v>
      </c>
      <c r="T1061">
        <v>30</v>
      </c>
      <c r="U1061">
        <v>3</v>
      </c>
      <c r="V1061">
        <v>0</v>
      </c>
      <c r="W1061">
        <v>0</v>
      </c>
      <c r="X1061">
        <v>0</v>
      </c>
      <c r="Y1061">
        <v>0</v>
      </c>
      <c r="Z1061">
        <v>0</v>
      </c>
      <c r="AA1061">
        <v>0</v>
      </c>
      <c r="AB1061">
        <v>0</v>
      </c>
      <c r="AC1061">
        <v>0</v>
      </c>
      <c r="AD1061">
        <v>0</v>
      </c>
      <c r="AE1061">
        <v>0</v>
      </c>
      <c r="AF1061">
        <v>0</v>
      </c>
      <c r="AG1061">
        <v>0</v>
      </c>
      <c r="AH1061">
        <v>0</v>
      </c>
      <c r="AI1061">
        <v>0</v>
      </c>
      <c r="AY1061" t="str">
        <f t="shared" si="195"/>
        <v/>
      </c>
      <c r="AZ1061" t="str">
        <f>IF(COUNTIF(AY:AY,AY1061)=1,AY1061,IF(AND(COUNTIF(AY:AY,AY1061)&gt;1,COUNTIF(AZ$2:AZ1060,AY1061)&gt;=1),"",AY1061))</f>
        <v/>
      </c>
      <c r="BA1061" t="str">
        <f>IF(AZ1061="","",COUNTIFS(AZ$3:AZ$1439,"&lt;"&amp;AZ1061,AZ$3:AZ$1439,"&lt;&gt;0")+COUNTIF(AZ$3:AZ1061,AZ1061)-876)</f>
        <v/>
      </c>
      <c r="BT1061" s="76"/>
      <c r="CN1061">
        <v>1060</v>
      </c>
    </row>
    <row r="1062" spans="1:92" x14ac:dyDescent="0.3">
      <c r="A1062" s="118" t="s">
        <v>1352</v>
      </c>
      <c r="B1062" t="s">
        <v>1353</v>
      </c>
      <c r="C1062" t="s">
        <v>4391</v>
      </c>
      <c r="D1062" s="144" t="s">
        <v>934</v>
      </c>
      <c r="E1062" t="s">
        <v>813</v>
      </c>
      <c r="F1062" t="s">
        <v>459</v>
      </c>
      <c r="G1062" t="s">
        <v>1013</v>
      </c>
      <c r="H1062" t="s">
        <v>801</v>
      </c>
      <c r="I1062" t="s">
        <v>1013</v>
      </c>
      <c r="J1062" t="s">
        <v>1179</v>
      </c>
      <c r="K1062" t="s">
        <v>1179</v>
      </c>
      <c r="L1062" t="s">
        <v>1354</v>
      </c>
      <c r="M1062" t="s">
        <v>208</v>
      </c>
      <c r="N1062" t="s">
        <v>864</v>
      </c>
      <c r="O1062" t="s">
        <v>824</v>
      </c>
      <c r="P1062" t="s">
        <v>772</v>
      </c>
      <c r="Q1062" t="s">
        <v>1355</v>
      </c>
      <c r="R1062">
        <v>0</v>
      </c>
      <c r="S1062">
        <v>0</v>
      </c>
      <c r="T1062">
        <v>0</v>
      </c>
      <c r="U1062">
        <v>0</v>
      </c>
      <c r="V1062">
        <v>0</v>
      </c>
      <c r="W1062">
        <v>0</v>
      </c>
      <c r="X1062">
        <v>0</v>
      </c>
      <c r="Y1062">
        <v>0</v>
      </c>
      <c r="Z1062">
        <v>0</v>
      </c>
      <c r="AA1062">
        <v>0</v>
      </c>
      <c r="AB1062">
        <v>0</v>
      </c>
      <c r="AC1062">
        <v>0</v>
      </c>
      <c r="AD1062">
        <v>0</v>
      </c>
      <c r="AE1062">
        <v>0</v>
      </c>
      <c r="AF1062">
        <v>0</v>
      </c>
      <c r="AG1062">
        <v>0</v>
      </c>
      <c r="AH1062">
        <v>0</v>
      </c>
      <c r="AI1062">
        <v>0</v>
      </c>
      <c r="AY1062" t="str">
        <f t="shared" si="195"/>
        <v>RILEXINE TRAITEMENT</v>
      </c>
      <c r="AZ1062" t="str">
        <f>IF(COUNTIF(AY:AY,AY1062)=1,AY1062,IF(AND(COUNTIF(AY:AY,AY1062)&gt;1,COUNTIF(AZ$2:AZ1061,AY1062)&gt;=1),"",AY1062))</f>
        <v>RILEXINE TRAITEMENT</v>
      </c>
      <c r="BA1062">
        <f>IF(AZ1062="","",COUNTIFS(AZ$3:AZ$1439,"&lt;"&amp;AZ1062,AZ$3:AZ$1439,"&lt;&gt;0")+COUNTIF(AZ$3:AZ1062,AZ1062)-876)</f>
        <v>423</v>
      </c>
      <c r="BT1062" s="76"/>
      <c r="CN1062">
        <v>1061</v>
      </c>
    </row>
    <row r="1063" spans="1:92" x14ac:dyDescent="0.3">
      <c r="A1063" s="118" t="s">
        <v>1352</v>
      </c>
      <c r="B1063" t="s">
        <v>1356</v>
      </c>
      <c r="C1063" t="s">
        <v>4392</v>
      </c>
      <c r="D1063" s="144" t="s">
        <v>793</v>
      </c>
      <c r="E1063" t="s">
        <v>813</v>
      </c>
      <c r="F1063" t="s">
        <v>459</v>
      </c>
      <c r="G1063" t="s">
        <v>1013</v>
      </c>
      <c r="H1063" t="s">
        <v>801</v>
      </c>
      <c r="I1063" t="s">
        <v>1013</v>
      </c>
      <c r="J1063" t="s">
        <v>1179</v>
      </c>
      <c r="K1063" t="s">
        <v>1179</v>
      </c>
      <c r="L1063" t="s">
        <v>1354</v>
      </c>
      <c r="M1063" t="s">
        <v>208</v>
      </c>
      <c r="N1063" t="s">
        <v>864</v>
      </c>
      <c r="O1063" t="s">
        <v>824</v>
      </c>
      <c r="P1063" t="s">
        <v>772</v>
      </c>
      <c r="Q1063" t="s">
        <v>1015</v>
      </c>
      <c r="R1063">
        <v>0</v>
      </c>
      <c r="S1063">
        <v>0</v>
      </c>
      <c r="T1063">
        <v>0</v>
      </c>
      <c r="U1063">
        <v>0</v>
      </c>
      <c r="V1063">
        <v>0</v>
      </c>
      <c r="W1063">
        <v>0</v>
      </c>
      <c r="X1063">
        <v>0</v>
      </c>
      <c r="Y1063">
        <v>0</v>
      </c>
      <c r="Z1063">
        <v>0</v>
      </c>
      <c r="AA1063">
        <v>0</v>
      </c>
      <c r="AB1063">
        <v>0</v>
      </c>
      <c r="AC1063">
        <v>0</v>
      </c>
      <c r="AD1063">
        <v>0</v>
      </c>
      <c r="AE1063">
        <v>0</v>
      </c>
      <c r="AF1063">
        <v>0</v>
      </c>
      <c r="AG1063">
        <v>0</v>
      </c>
      <c r="AH1063">
        <v>0</v>
      </c>
      <c r="AI1063">
        <v>0</v>
      </c>
      <c r="AY1063" t="str">
        <f t="shared" si="195"/>
        <v>RILEXINE TRAITEMENT</v>
      </c>
      <c r="AZ1063" t="str">
        <f>IF(COUNTIF(AY:AY,AY1063)=1,AY1063,IF(AND(COUNTIF(AY:AY,AY1063)&gt;1,COUNTIF(AZ$2:AZ1062,AY1063)&gt;=1),"",AY1063))</f>
        <v/>
      </c>
      <c r="BA1063" t="str">
        <f>IF(AZ1063="","",COUNTIFS(AZ$3:AZ$1439,"&lt;"&amp;AZ1063,AZ$3:AZ$1439,"&lt;&gt;0")+COUNTIF(AZ$3:AZ1063,AZ1063)-876)</f>
        <v/>
      </c>
      <c r="BT1063" s="76"/>
      <c r="CN1063">
        <v>1062</v>
      </c>
    </row>
    <row r="1064" spans="1:92" x14ac:dyDescent="0.3">
      <c r="A1064" s="118" t="s">
        <v>1352</v>
      </c>
      <c r="B1064" t="s">
        <v>1357</v>
      </c>
      <c r="C1064" t="s">
        <v>4393</v>
      </c>
      <c r="D1064" s="144" t="s">
        <v>1358</v>
      </c>
      <c r="E1064" t="s">
        <v>813</v>
      </c>
      <c r="F1064" t="s">
        <v>459</v>
      </c>
      <c r="G1064" t="s">
        <v>1013</v>
      </c>
      <c r="H1064" t="s">
        <v>801</v>
      </c>
      <c r="I1064" t="s">
        <v>1013</v>
      </c>
      <c r="J1064" t="s">
        <v>1179</v>
      </c>
      <c r="K1064" t="s">
        <v>1179</v>
      </c>
      <c r="L1064" t="s">
        <v>1354</v>
      </c>
      <c r="M1064" t="s">
        <v>208</v>
      </c>
      <c r="N1064" t="s">
        <v>864</v>
      </c>
      <c r="O1064" t="s">
        <v>824</v>
      </c>
      <c r="P1064" t="s">
        <v>772</v>
      </c>
      <c r="Q1064" t="s">
        <v>1359</v>
      </c>
      <c r="R1064">
        <v>0</v>
      </c>
      <c r="S1064">
        <v>0</v>
      </c>
      <c r="T1064">
        <v>0</v>
      </c>
      <c r="U1064">
        <v>0</v>
      </c>
      <c r="V1064">
        <v>0</v>
      </c>
      <c r="W1064">
        <v>0</v>
      </c>
      <c r="X1064">
        <v>0</v>
      </c>
      <c r="Y1064">
        <v>0</v>
      </c>
      <c r="Z1064">
        <v>0</v>
      </c>
      <c r="AA1064">
        <v>0</v>
      </c>
      <c r="AB1064">
        <v>0</v>
      </c>
      <c r="AC1064">
        <v>0</v>
      </c>
      <c r="AD1064">
        <v>0</v>
      </c>
      <c r="AE1064">
        <v>0</v>
      </c>
      <c r="AF1064">
        <v>0</v>
      </c>
      <c r="AG1064">
        <v>0</v>
      </c>
      <c r="AH1064">
        <v>0</v>
      </c>
      <c r="AI1064">
        <v>0</v>
      </c>
      <c r="AY1064" t="str">
        <f t="shared" si="195"/>
        <v>RILEXINE TRAITEMENT</v>
      </c>
      <c r="AZ1064" t="str">
        <f>IF(COUNTIF(AY:AY,AY1064)=1,AY1064,IF(AND(COUNTIF(AY:AY,AY1064)&gt;1,COUNTIF(AZ$2:AZ1063,AY1064)&gt;=1),"",AY1064))</f>
        <v/>
      </c>
      <c r="BA1064" t="str">
        <f>IF(AZ1064="","",COUNTIFS(AZ$3:AZ$1439,"&lt;"&amp;AZ1064,AZ$3:AZ$1439,"&lt;&gt;0")+COUNTIF(AZ$3:AZ1064,AZ1064)-876)</f>
        <v/>
      </c>
      <c r="BT1064" s="76"/>
      <c r="CN1064">
        <v>1063</v>
      </c>
    </row>
    <row r="1065" spans="1:92" x14ac:dyDescent="0.3">
      <c r="A1065" s="118" t="s">
        <v>1352</v>
      </c>
      <c r="B1065" t="s">
        <v>1360</v>
      </c>
      <c r="C1065" t="s">
        <v>4394</v>
      </c>
      <c r="D1065" s="144" t="s">
        <v>1132</v>
      </c>
      <c r="E1065" t="s">
        <v>813</v>
      </c>
      <c r="F1065" t="s">
        <v>459</v>
      </c>
      <c r="G1065" t="s">
        <v>1013</v>
      </c>
      <c r="H1065" t="s">
        <v>801</v>
      </c>
      <c r="I1065" t="s">
        <v>1013</v>
      </c>
      <c r="J1065" t="s">
        <v>1179</v>
      </c>
      <c r="K1065" t="s">
        <v>1179</v>
      </c>
      <c r="L1065" t="s">
        <v>1354</v>
      </c>
      <c r="M1065" t="s">
        <v>208</v>
      </c>
      <c r="N1065" t="s">
        <v>864</v>
      </c>
      <c r="O1065" t="s">
        <v>824</v>
      </c>
      <c r="P1065" t="s">
        <v>772</v>
      </c>
      <c r="Q1065" t="s">
        <v>1361</v>
      </c>
      <c r="R1065">
        <v>0</v>
      </c>
      <c r="S1065">
        <v>0</v>
      </c>
      <c r="T1065">
        <v>0</v>
      </c>
      <c r="U1065">
        <v>0</v>
      </c>
      <c r="V1065">
        <v>0</v>
      </c>
      <c r="W1065">
        <v>0</v>
      </c>
      <c r="X1065">
        <v>0</v>
      </c>
      <c r="Y1065">
        <v>0</v>
      </c>
      <c r="Z1065">
        <v>0</v>
      </c>
      <c r="AA1065">
        <v>0</v>
      </c>
      <c r="AB1065">
        <v>0</v>
      </c>
      <c r="AC1065">
        <v>0</v>
      </c>
      <c r="AD1065">
        <v>0</v>
      </c>
      <c r="AE1065">
        <v>0</v>
      </c>
      <c r="AF1065">
        <v>0</v>
      </c>
      <c r="AG1065">
        <v>0</v>
      </c>
      <c r="AH1065">
        <v>0</v>
      </c>
      <c r="AI1065">
        <v>0</v>
      </c>
      <c r="AY1065" t="str">
        <f t="shared" si="195"/>
        <v>RILEXINE TRAITEMENT</v>
      </c>
      <c r="AZ1065" t="str">
        <f>IF(COUNTIF(AY:AY,AY1065)=1,AY1065,IF(AND(COUNTIF(AY:AY,AY1065)&gt;1,COUNTIF(AZ$2:AZ1064,AY1065)&gt;=1),"",AY1065))</f>
        <v/>
      </c>
      <c r="BA1065" t="str">
        <f>IF(AZ1065="","",COUNTIFS(AZ$3:AZ$1439,"&lt;"&amp;AZ1065,AZ$3:AZ$1439,"&lt;&gt;0")+COUNTIF(AZ$3:AZ1065,AZ1065)-876)</f>
        <v/>
      </c>
      <c r="BT1065" s="76"/>
      <c r="CN1065">
        <v>1064</v>
      </c>
    </row>
    <row r="1066" spans="1:92" x14ac:dyDescent="0.3">
      <c r="A1066" s="118" t="s">
        <v>2224</v>
      </c>
      <c r="B1066" t="s">
        <v>2225</v>
      </c>
      <c r="C1066" t="s">
        <v>1918</v>
      </c>
      <c r="D1066" s="144" t="s">
        <v>852</v>
      </c>
      <c r="E1066" t="s">
        <v>813</v>
      </c>
      <c r="F1066" t="s">
        <v>4451</v>
      </c>
      <c r="G1066" t="s">
        <v>815</v>
      </c>
      <c r="H1066" t="s">
        <v>816</v>
      </c>
      <c r="I1066" t="s">
        <v>817</v>
      </c>
      <c r="J1066" t="s">
        <v>768</v>
      </c>
      <c r="K1066" t="s">
        <v>768</v>
      </c>
      <c r="L1066" t="s">
        <v>2121</v>
      </c>
      <c r="M1066" t="s">
        <v>208</v>
      </c>
      <c r="N1066" t="s">
        <v>764</v>
      </c>
      <c r="O1066" t="s">
        <v>824</v>
      </c>
      <c r="P1066" t="s">
        <v>772</v>
      </c>
      <c r="Q1066" t="s">
        <v>772</v>
      </c>
      <c r="R1066">
        <v>0</v>
      </c>
      <c r="S1066">
        <v>0</v>
      </c>
      <c r="T1066">
        <v>10</v>
      </c>
      <c r="U1066">
        <v>5</v>
      </c>
      <c r="V1066">
        <v>0</v>
      </c>
      <c r="W1066">
        <v>0</v>
      </c>
      <c r="X1066">
        <v>0</v>
      </c>
      <c r="Y1066">
        <v>0</v>
      </c>
      <c r="Z1066">
        <v>0</v>
      </c>
      <c r="AA1066">
        <v>0</v>
      </c>
      <c r="AB1066">
        <v>0</v>
      </c>
      <c r="AC1066">
        <v>0</v>
      </c>
      <c r="AD1066">
        <v>0</v>
      </c>
      <c r="AE1066">
        <v>0</v>
      </c>
      <c r="AF1066">
        <v>0</v>
      </c>
      <c r="AG1066">
        <v>0</v>
      </c>
      <c r="AH1066">
        <v>0</v>
      </c>
      <c r="AI1066">
        <v>0</v>
      </c>
      <c r="AY1066" t="str">
        <f t="shared" si="195"/>
        <v/>
      </c>
      <c r="AZ1066" t="str">
        <f>IF(COUNTIF(AY:AY,AY1066)=1,AY1066,IF(AND(COUNTIF(AY:AY,AY1066)&gt;1,COUNTIF(AZ$2:AZ1065,AY1066)&gt;=1),"",AY1066))</f>
        <v/>
      </c>
      <c r="BA1066" t="str">
        <f>IF(AZ1066="","",COUNTIFS(AZ$3:AZ$1439,"&lt;"&amp;AZ1066,AZ$3:AZ$1439,"&lt;&gt;0")+COUNTIF(AZ$3:AZ1066,AZ1066)-876)</f>
        <v/>
      </c>
      <c r="BT1066" s="76"/>
      <c r="CN1066">
        <v>1065</v>
      </c>
    </row>
    <row r="1067" spans="1:92" x14ac:dyDescent="0.3">
      <c r="A1067" s="118" t="s">
        <v>2224</v>
      </c>
      <c r="B1067" t="s">
        <v>2226</v>
      </c>
      <c r="C1067" t="s">
        <v>2227</v>
      </c>
      <c r="D1067" s="144" t="s">
        <v>852</v>
      </c>
      <c r="E1067" t="s">
        <v>813</v>
      </c>
      <c r="F1067" t="s">
        <v>4451</v>
      </c>
      <c r="G1067" t="s">
        <v>815</v>
      </c>
      <c r="H1067" t="s">
        <v>816</v>
      </c>
      <c r="I1067" t="s">
        <v>817</v>
      </c>
      <c r="J1067" t="s">
        <v>768</v>
      </c>
      <c r="K1067" t="s">
        <v>768</v>
      </c>
      <c r="L1067" t="s">
        <v>2121</v>
      </c>
      <c r="M1067" t="s">
        <v>208</v>
      </c>
      <c r="N1067" t="s">
        <v>764</v>
      </c>
      <c r="O1067" t="s">
        <v>824</v>
      </c>
      <c r="P1067" t="s">
        <v>772</v>
      </c>
      <c r="Q1067" t="s">
        <v>772</v>
      </c>
      <c r="R1067">
        <v>0</v>
      </c>
      <c r="S1067">
        <v>0</v>
      </c>
      <c r="T1067">
        <v>10</v>
      </c>
      <c r="U1067">
        <v>5</v>
      </c>
      <c r="V1067">
        <v>0</v>
      </c>
      <c r="W1067">
        <v>0</v>
      </c>
      <c r="X1067">
        <v>0</v>
      </c>
      <c r="Y1067">
        <v>0</v>
      </c>
      <c r="Z1067">
        <v>0</v>
      </c>
      <c r="AA1067">
        <v>0</v>
      </c>
      <c r="AB1067">
        <v>0</v>
      </c>
      <c r="AC1067">
        <v>0</v>
      </c>
      <c r="AD1067">
        <v>0</v>
      </c>
      <c r="AE1067">
        <v>0</v>
      </c>
      <c r="AF1067">
        <v>0</v>
      </c>
      <c r="AG1067">
        <v>0</v>
      </c>
      <c r="AH1067">
        <v>0</v>
      </c>
      <c r="AI1067">
        <v>0</v>
      </c>
      <c r="AY1067" t="str">
        <f t="shared" si="195"/>
        <v/>
      </c>
      <c r="AZ1067" t="str">
        <f>IF(COUNTIF(AY:AY,AY1067)=1,AY1067,IF(AND(COUNTIF(AY:AY,AY1067)&gt;1,COUNTIF(AZ$2:AZ1066,AY1067)&gt;=1),"",AY1067))</f>
        <v/>
      </c>
      <c r="BA1067" t="str">
        <f>IF(AZ1067="","",COUNTIFS(AZ$3:AZ$1439,"&lt;"&amp;AZ1067,AZ$3:AZ$1439,"&lt;&gt;0")+COUNTIF(AZ$3:AZ1067,AZ1067)-876)</f>
        <v/>
      </c>
      <c r="BT1067" s="76"/>
      <c r="CN1067">
        <v>1066</v>
      </c>
    </row>
    <row r="1068" spans="1:92" x14ac:dyDescent="0.3">
      <c r="A1068" s="118" t="s">
        <v>2204</v>
      </c>
      <c r="B1068" t="s">
        <v>2205</v>
      </c>
      <c r="C1068" t="s">
        <v>2206</v>
      </c>
      <c r="D1068" s="144" t="s">
        <v>869</v>
      </c>
      <c r="E1068" t="s">
        <v>813</v>
      </c>
      <c r="F1068" t="s">
        <v>4450</v>
      </c>
      <c r="G1068" t="s">
        <v>815</v>
      </c>
      <c r="H1068" t="s">
        <v>816</v>
      </c>
      <c r="I1068" t="s">
        <v>817</v>
      </c>
      <c r="J1068" t="s">
        <v>768</v>
      </c>
      <c r="K1068" t="s">
        <v>768</v>
      </c>
      <c r="L1068" t="s">
        <v>2121</v>
      </c>
      <c r="M1068" t="s">
        <v>208</v>
      </c>
      <c r="N1068" t="s">
        <v>869</v>
      </c>
      <c r="O1068" t="s">
        <v>824</v>
      </c>
      <c r="P1068" t="s">
        <v>772</v>
      </c>
      <c r="Q1068" t="s">
        <v>1028</v>
      </c>
      <c r="R1068">
        <v>0</v>
      </c>
      <c r="S1068">
        <v>0</v>
      </c>
      <c r="T1068">
        <v>10</v>
      </c>
      <c r="U1068">
        <v>5</v>
      </c>
      <c r="V1068">
        <v>0</v>
      </c>
      <c r="W1068">
        <v>0</v>
      </c>
      <c r="X1068">
        <v>0</v>
      </c>
      <c r="Y1068">
        <v>0</v>
      </c>
      <c r="Z1068">
        <v>0</v>
      </c>
      <c r="AA1068">
        <v>0</v>
      </c>
      <c r="AB1068">
        <v>0</v>
      </c>
      <c r="AC1068">
        <v>0</v>
      </c>
      <c r="AD1068">
        <v>0</v>
      </c>
      <c r="AE1068">
        <v>0</v>
      </c>
      <c r="AF1068">
        <v>0</v>
      </c>
      <c r="AG1068">
        <v>0</v>
      </c>
      <c r="AH1068">
        <v>0</v>
      </c>
      <c r="AI1068">
        <v>0</v>
      </c>
      <c r="AY1068" t="str">
        <f t="shared" si="195"/>
        <v/>
      </c>
      <c r="AZ1068" t="str">
        <f>IF(COUNTIF(AY:AY,AY1068)=1,AY1068,IF(AND(COUNTIF(AY:AY,AY1068)&gt;1,COUNTIF(AZ$2:AZ1067,AY1068)&gt;=1),"",AY1068))</f>
        <v/>
      </c>
      <c r="BA1068" t="str">
        <f>IF(AZ1068="","",COUNTIFS(AZ$3:AZ$1439,"&lt;"&amp;AZ1068,AZ$3:AZ$1439,"&lt;&gt;0")+COUNTIF(AZ$3:AZ1068,AZ1068)-876)</f>
        <v/>
      </c>
      <c r="BT1068" s="76"/>
      <c r="CN1068">
        <v>1067</v>
      </c>
    </row>
    <row r="1069" spans="1:92" x14ac:dyDescent="0.3">
      <c r="A1069" s="118" t="s">
        <v>2204</v>
      </c>
      <c r="B1069" t="s">
        <v>2207</v>
      </c>
      <c r="C1069" t="s">
        <v>2208</v>
      </c>
      <c r="D1069" s="144" t="s">
        <v>869</v>
      </c>
      <c r="E1069" t="s">
        <v>813</v>
      </c>
      <c r="F1069" t="s">
        <v>4450</v>
      </c>
      <c r="G1069" t="s">
        <v>815</v>
      </c>
      <c r="H1069" t="s">
        <v>816</v>
      </c>
      <c r="I1069" t="s">
        <v>817</v>
      </c>
      <c r="J1069" t="s">
        <v>768</v>
      </c>
      <c r="K1069" t="s">
        <v>768</v>
      </c>
      <c r="L1069" t="s">
        <v>2121</v>
      </c>
      <c r="M1069" t="s">
        <v>208</v>
      </c>
      <c r="N1069" t="s">
        <v>869</v>
      </c>
      <c r="O1069" t="s">
        <v>824</v>
      </c>
      <c r="P1069" t="s">
        <v>772</v>
      </c>
      <c r="Q1069" t="s">
        <v>1028</v>
      </c>
      <c r="R1069">
        <v>0</v>
      </c>
      <c r="S1069">
        <v>0</v>
      </c>
      <c r="T1069">
        <v>10</v>
      </c>
      <c r="U1069">
        <v>5</v>
      </c>
      <c r="V1069">
        <v>0</v>
      </c>
      <c r="W1069">
        <v>0</v>
      </c>
      <c r="X1069">
        <v>0</v>
      </c>
      <c r="Y1069">
        <v>0</v>
      </c>
      <c r="Z1069">
        <v>0</v>
      </c>
      <c r="AA1069">
        <v>0</v>
      </c>
      <c r="AB1069">
        <v>0</v>
      </c>
      <c r="AC1069">
        <v>0</v>
      </c>
      <c r="AD1069">
        <v>0</v>
      </c>
      <c r="AE1069">
        <v>0</v>
      </c>
      <c r="AF1069">
        <v>0</v>
      </c>
      <c r="AG1069">
        <v>0</v>
      </c>
      <c r="AH1069">
        <v>0</v>
      </c>
      <c r="AI1069">
        <v>0</v>
      </c>
      <c r="AY1069" t="str">
        <f t="shared" si="195"/>
        <v/>
      </c>
      <c r="AZ1069" t="str">
        <f>IF(COUNTIF(AY:AY,AY1069)=1,AY1069,IF(AND(COUNTIF(AY:AY,AY1069)&gt;1,COUNTIF(AZ$2:AZ1068,AY1069)&gt;=1),"",AY1069))</f>
        <v/>
      </c>
      <c r="BA1069" t="str">
        <f>IF(AZ1069="","",COUNTIFS(AZ$3:AZ$1439,"&lt;"&amp;AZ1069,AZ$3:AZ$1439,"&lt;&gt;0")+COUNTIF(AZ$3:AZ1069,AZ1069)-876)</f>
        <v/>
      </c>
      <c r="BT1069" s="76"/>
      <c r="CN1069">
        <v>1068</v>
      </c>
    </row>
    <row r="1070" spans="1:92" x14ac:dyDescent="0.3">
      <c r="A1070" s="118" t="s">
        <v>2426</v>
      </c>
      <c r="B1070" t="s">
        <v>2427</v>
      </c>
      <c r="C1070" t="s">
        <v>1918</v>
      </c>
      <c r="D1070" s="144" t="s">
        <v>852</v>
      </c>
      <c r="E1070" t="s">
        <v>813</v>
      </c>
      <c r="F1070" t="s">
        <v>4461</v>
      </c>
      <c r="G1070" t="s">
        <v>815</v>
      </c>
      <c r="H1070" t="s">
        <v>860</v>
      </c>
      <c r="I1070" t="s">
        <v>817</v>
      </c>
      <c r="J1070" t="s">
        <v>768</v>
      </c>
      <c r="K1070" t="s">
        <v>768</v>
      </c>
      <c r="L1070" t="s">
        <v>2121</v>
      </c>
      <c r="M1070" t="s">
        <v>208</v>
      </c>
      <c r="N1070" t="s">
        <v>776</v>
      </c>
      <c r="O1070" t="s">
        <v>824</v>
      </c>
      <c r="P1070" t="s">
        <v>772</v>
      </c>
      <c r="Q1070" t="s">
        <v>1126</v>
      </c>
      <c r="R1070">
        <v>0</v>
      </c>
      <c r="S1070">
        <v>0</v>
      </c>
      <c r="T1070">
        <v>10</v>
      </c>
      <c r="U1070">
        <v>5</v>
      </c>
      <c r="V1070">
        <v>0</v>
      </c>
      <c r="W1070">
        <v>0</v>
      </c>
      <c r="X1070">
        <v>0</v>
      </c>
      <c r="Y1070">
        <v>0</v>
      </c>
      <c r="Z1070">
        <v>0</v>
      </c>
      <c r="AA1070">
        <v>0</v>
      </c>
      <c r="AB1070">
        <v>0</v>
      </c>
      <c r="AC1070">
        <v>0</v>
      </c>
      <c r="AD1070">
        <v>0</v>
      </c>
      <c r="AE1070">
        <v>0</v>
      </c>
      <c r="AF1070">
        <v>0</v>
      </c>
      <c r="AG1070">
        <v>0</v>
      </c>
      <c r="AH1070">
        <v>0</v>
      </c>
      <c r="AI1070">
        <v>0</v>
      </c>
      <c r="AY1070" t="str">
        <f t="shared" si="195"/>
        <v/>
      </c>
      <c r="AZ1070" t="str">
        <f>IF(COUNTIF(AY:AY,AY1070)=1,AY1070,IF(AND(COUNTIF(AY:AY,AY1070)&gt;1,COUNTIF(AZ$2:AZ1069,AY1070)&gt;=1),"",AY1070))</f>
        <v/>
      </c>
      <c r="BA1070" t="str">
        <f>IF(AZ1070="","",COUNTIFS(AZ$3:AZ$1439,"&lt;"&amp;AZ1070,AZ$3:AZ$1439,"&lt;&gt;0")+COUNTIF(AZ$3:AZ1070,AZ1070)-876)</f>
        <v/>
      </c>
      <c r="BT1070" s="76"/>
      <c r="CN1070">
        <v>1069</v>
      </c>
    </row>
    <row r="1071" spans="1:92" x14ac:dyDescent="0.3">
      <c r="A1071" s="118" t="s">
        <v>2426</v>
      </c>
      <c r="B1071" t="s">
        <v>2428</v>
      </c>
      <c r="C1071" t="s">
        <v>2227</v>
      </c>
      <c r="D1071" s="144" t="s">
        <v>852</v>
      </c>
      <c r="E1071" t="s">
        <v>813</v>
      </c>
      <c r="F1071" t="s">
        <v>4461</v>
      </c>
      <c r="G1071" t="s">
        <v>815</v>
      </c>
      <c r="H1071" t="s">
        <v>860</v>
      </c>
      <c r="I1071" t="s">
        <v>817</v>
      </c>
      <c r="J1071" t="s">
        <v>768</v>
      </c>
      <c r="K1071" t="s">
        <v>768</v>
      </c>
      <c r="L1071" t="s">
        <v>2121</v>
      </c>
      <c r="M1071" t="s">
        <v>208</v>
      </c>
      <c r="N1071" t="s">
        <v>776</v>
      </c>
      <c r="O1071" t="s">
        <v>824</v>
      </c>
      <c r="P1071" t="s">
        <v>772</v>
      </c>
      <c r="Q1071" t="s">
        <v>1126</v>
      </c>
      <c r="R1071">
        <v>0</v>
      </c>
      <c r="S1071">
        <v>0</v>
      </c>
      <c r="T1071">
        <v>10</v>
      </c>
      <c r="U1071">
        <v>5</v>
      </c>
      <c r="V1071">
        <v>0</v>
      </c>
      <c r="W1071">
        <v>0</v>
      </c>
      <c r="X1071">
        <v>0</v>
      </c>
      <c r="Y1071">
        <v>0</v>
      </c>
      <c r="Z1071">
        <v>0</v>
      </c>
      <c r="AA1071">
        <v>0</v>
      </c>
      <c r="AB1071">
        <v>0</v>
      </c>
      <c r="AC1071">
        <v>0</v>
      </c>
      <c r="AD1071">
        <v>0</v>
      </c>
      <c r="AE1071">
        <v>0</v>
      </c>
      <c r="AF1071">
        <v>0</v>
      </c>
      <c r="AG1071">
        <v>0</v>
      </c>
      <c r="AH1071">
        <v>0</v>
      </c>
      <c r="AI1071">
        <v>0</v>
      </c>
      <c r="AY1071" t="str">
        <f t="shared" si="195"/>
        <v/>
      </c>
      <c r="AZ1071" t="str">
        <f>IF(COUNTIF(AY:AY,AY1071)=1,AY1071,IF(AND(COUNTIF(AY:AY,AY1071)&gt;1,COUNTIF(AZ$2:AZ1070,AY1071)&gt;=1),"",AY1071))</f>
        <v/>
      </c>
      <c r="BA1071" t="str">
        <f>IF(AZ1071="","",COUNTIFS(AZ$3:AZ$1439,"&lt;"&amp;AZ1071,AZ$3:AZ$1439,"&lt;&gt;0")+COUNTIF(AZ$3:AZ1071,AZ1071)-876)</f>
        <v/>
      </c>
      <c r="BT1071" s="76"/>
      <c r="CN1071">
        <v>1070</v>
      </c>
    </row>
    <row r="1072" spans="1:92" x14ac:dyDescent="0.3">
      <c r="A1072" s="118" t="s">
        <v>3956</v>
      </c>
      <c r="B1072" t="s">
        <v>3957</v>
      </c>
      <c r="C1072" t="s">
        <v>3610</v>
      </c>
      <c r="D1072" s="144" t="s">
        <v>906</v>
      </c>
      <c r="E1072" t="s">
        <v>830</v>
      </c>
      <c r="F1072" t="s">
        <v>460</v>
      </c>
      <c r="G1072" t="s">
        <v>831</v>
      </c>
      <c r="H1072" t="s">
        <v>2715</v>
      </c>
      <c r="I1072" t="s">
        <v>817</v>
      </c>
      <c r="J1072" t="s">
        <v>768</v>
      </c>
      <c r="K1072" t="s">
        <v>768</v>
      </c>
      <c r="L1072" t="s">
        <v>2121</v>
      </c>
      <c r="M1072" t="s">
        <v>208</v>
      </c>
      <c r="N1072" t="s">
        <v>906</v>
      </c>
      <c r="O1072" t="s">
        <v>894</v>
      </c>
      <c r="P1072" t="s">
        <v>772</v>
      </c>
      <c r="Q1072" t="s">
        <v>776</v>
      </c>
      <c r="R1072">
        <v>10</v>
      </c>
      <c r="S1072">
        <v>5</v>
      </c>
      <c r="T1072">
        <v>0</v>
      </c>
      <c r="U1072">
        <v>0</v>
      </c>
      <c r="V1072">
        <v>0</v>
      </c>
      <c r="W1072">
        <v>0</v>
      </c>
      <c r="X1072">
        <v>0</v>
      </c>
      <c r="Y1072">
        <v>0</v>
      </c>
      <c r="Z1072">
        <v>0</v>
      </c>
      <c r="AA1072">
        <v>0</v>
      </c>
      <c r="AB1072">
        <v>0</v>
      </c>
      <c r="AC1072">
        <v>0</v>
      </c>
      <c r="AD1072">
        <v>10</v>
      </c>
      <c r="AE1072">
        <v>5</v>
      </c>
      <c r="AF1072">
        <v>10</v>
      </c>
      <c r="AG1072">
        <v>5</v>
      </c>
      <c r="AH1072">
        <v>0</v>
      </c>
      <c r="AI1072">
        <v>0</v>
      </c>
      <c r="AY1072" t="str">
        <f t="shared" si="195"/>
        <v>RONAXAN 500 MG/G</v>
      </c>
      <c r="AZ1072" t="str">
        <f>IF(COUNTIF(AY:AY,AY1072)=1,AY1072,IF(AND(COUNTIF(AY:AY,AY1072)&gt;1,COUNTIF(AZ$2:AZ1071,AY1072)&gt;=1),"",AY1072))</f>
        <v>RONAXAN 500 MG/G</v>
      </c>
      <c r="BA1072">
        <f>IF(AZ1072="","",COUNTIFS(AZ$3:AZ$1439,"&lt;"&amp;AZ1072,AZ$3:AZ$1439,"&lt;&gt;0")+COUNTIF(AZ$3:AZ1072,AZ1072)-876)</f>
        <v>424</v>
      </c>
      <c r="BT1072" s="76"/>
      <c r="CN1072">
        <v>1071</v>
      </c>
    </row>
    <row r="1073" spans="1:92" x14ac:dyDescent="0.3">
      <c r="A1073" s="118" t="s">
        <v>3956</v>
      </c>
      <c r="B1073" t="s">
        <v>3958</v>
      </c>
      <c r="C1073" t="s">
        <v>3740</v>
      </c>
      <c r="D1073" s="144" t="s">
        <v>829</v>
      </c>
      <c r="E1073" t="s">
        <v>830</v>
      </c>
      <c r="F1073" t="s">
        <v>460</v>
      </c>
      <c r="G1073" t="s">
        <v>831</v>
      </c>
      <c r="H1073" t="s">
        <v>2715</v>
      </c>
      <c r="I1073" t="s">
        <v>817</v>
      </c>
      <c r="J1073" t="s">
        <v>768</v>
      </c>
      <c r="K1073" t="s">
        <v>768</v>
      </c>
      <c r="L1073" t="s">
        <v>2121</v>
      </c>
      <c r="M1073" t="s">
        <v>208</v>
      </c>
      <c r="N1073" t="s">
        <v>906</v>
      </c>
      <c r="O1073" t="s">
        <v>894</v>
      </c>
      <c r="P1073" t="s">
        <v>772</v>
      </c>
      <c r="Q1073" t="s">
        <v>906</v>
      </c>
      <c r="R1073">
        <v>10</v>
      </c>
      <c r="S1073">
        <v>5</v>
      </c>
      <c r="T1073">
        <v>0</v>
      </c>
      <c r="U1073">
        <v>0</v>
      </c>
      <c r="V1073">
        <v>0</v>
      </c>
      <c r="W1073">
        <v>0</v>
      </c>
      <c r="X1073">
        <v>0</v>
      </c>
      <c r="Y1073">
        <v>0</v>
      </c>
      <c r="Z1073">
        <v>0</v>
      </c>
      <c r="AA1073">
        <v>0</v>
      </c>
      <c r="AB1073">
        <v>0</v>
      </c>
      <c r="AC1073">
        <v>0</v>
      </c>
      <c r="AD1073">
        <v>10</v>
      </c>
      <c r="AE1073">
        <v>5</v>
      </c>
      <c r="AF1073">
        <v>10</v>
      </c>
      <c r="AG1073">
        <v>5</v>
      </c>
      <c r="AH1073">
        <v>0</v>
      </c>
      <c r="AI1073">
        <v>0</v>
      </c>
      <c r="AY1073" t="str">
        <f t="shared" si="195"/>
        <v>RONAXAN 500 MG/G</v>
      </c>
      <c r="AZ1073" t="str">
        <f>IF(COUNTIF(AY:AY,AY1073)=1,AY1073,IF(AND(COUNTIF(AY:AY,AY1073)&gt;1,COUNTIF(AZ$2:AZ1072,AY1073)&gt;=1),"",AY1073))</f>
        <v/>
      </c>
      <c r="BA1073" t="str">
        <f>IF(AZ1073="","",COUNTIFS(AZ$3:AZ$1439,"&lt;"&amp;AZ1073,AZ$3:AZ$1439,"&lt;&gt;0")+COUNTIF(AZ$3:AZ1073,AZ1073)-876)</f>
        <v/>
      </c>
      <c r="BT1073" s="76"/>
      <c r="CN1073">
        <v>1072</v>
      </c>
    </row>
    <row r="1074" spans="1:92" x14ac:dyDescent="0.3">
      <c r="A1074" s="118" t="s">
        <v>3956</v>
      </c>
      <c r="B1074" t="s">
        <v>4550</v>
      </c>
      <c r="C1074" t="s">
        <v>3610</v>
      </c>
      <c r="D1074" s="144" t="s">
        <v>906</v>
      </c>
      <c r="E1074" t="s">
        <v>830</v>
      </c>
      <c r="F1074" t="s">
        <v>460</v>
      </c>
      <c r="G1074" t="s">
        <v>831</v>
      </c>
      <c r="H1074" t="s">
        <v>2715</v>
      </c>
      <c r="I1074" t="s">
        <v>817</v>
      </c>
      <c r="J1074" t="s">
        <v>768</v>
      </c>
      <c r="K1074" t="s">
        <v>768</v>
      </c>
      <c r="L1074" t="s">
        <v>2121</v>
      </c>
      <c r="M1074" t="s">
        <v>208</v>
      </c>
      <c r="N1074" t="s">
        <v>906</v>
      </c>
      <c r="O1074" t="s">
        <v>894</v>
      </c>
      <c r="P1074" t="s">
        <v>772</v>
      </c>
      <c r="Q1074" t="s">
        <v>776</v>
      </c>
      <c r="R1074">
        <v>10</v>
      </c>
      <c r="S1074">
        <v>5</v>
      </c>
      <c r="T1074">
        <v>0</v>
      </c>
      <c r="U1074">
        <v>0</v>
      </c>
      <c r="V1074">
        <v>0</v>
      </c>
      <c r="W1074">
        <v>0</v>
      </c>
      <c r="X1074">
        <v>0</v>
      </c>
      <c r="Y1074">
        <v>0</v>
      </c>
      <c r="Z1074">
        <v>0</v>
      </c>
      <c r="AA1074">
        <v>0</v>
      </c>
      <c r="AB1074">
        <v>0</v>
      </c>
      <c r="AC1074">
        <v>0</v>
      </c>
      <c r="AD1074">
        <v>10</v>
      </c>
      <c r="AE1074">
        <v>5</v>
      </c>
      <c r="AF1074">
        <v>10</v>
      </c>
      <c r="AG1074">
        <v>5</v>
      </c>
      <c r="AH1074">
        <v>0</v>
      </c>
      <c r="AI1074">
        <v>0</v>
      </c>
      <c r="AY1074" t="str">
        <f t="shared" si="195"/>
        <v>RONAXAN 500 MG/G</v>
      </c>
      <c r="AZ1074" t="str">
        <f>IF(COUNTIF(AY:AY,AY1074)=1,AY1074,IF(AND(COUNTIF(AY:AY,AY1074)&gt;1,COUNTIF(AZ$2:AZ1073,AY1074)&gt;=1),"",AY1074))</f>
        <v/>
      </c>
      <c r="BA1074" t="str">
        <f>IF(AZ1074="","",COUNTIFS(AZ$3:AZ$1439,"&lt;"&amp;AZ1074,AZ$3:AZ$1439,"&lt;&gt;0")+COUNTIF(AZ$3:AZ1074,AZ1074)-876)</f>
        <v/>
      </c>
      <c r="BT1074" s="76"/>
      <c r="CN1074">
        <v>1073</v>
      </c>
    </row>
    <row r="1075" spans="1:92" x14ac:dyDescent="0.3">
      <c r="A1075" s="118" t="s">
        <v>3956</v>
      </c>
      <c r="B1075" t="s">
        <v>4551</v>
      </c>
      <c r="C1075" t="s">
        <v>3740</v>
      </c>
      <c r="D1075" s="144" t="s">
        <v>829</v>
      </c>
      <c r="E1075" t="s">
        <v>830</v>
      </c>
      <c r="F1075" t="s">
        <v>460</v>
      </c>
      <c r="G1075" t="s">
        <v>831</v>
      </c>
      <c r="H1075" t="s">
        <v>2715</v>
      </c>
      <c r="I1075" t="s">
        <v>817</v>
      </c>
      <c r="J1075" t="s">
        <v>768</v>
      </c>
      <c r="K1075" t="s">
        <v>768</v>
      </c>
      <c r="L1075" t="s">
        <v>2121</v>
      </c>
      <c r="M1075" t="s">
        <v>208</v>
      </c>
      <c r="N1075" t="s">
        <v>906</v>
      </c>
      <c r="O1075" t="s">
        <v>894</v>
      </c>
      <c r="P1075" t="s">
        <v>772</v>
      </c>
      <c r="Q1075" t="s">
        <v>906</v>
      </c>
      <c r="R1075">
        <v>10</v>
      </c>
      <c r="S1075">
        <v>5</v>
      </c>
      <c r="T1075">
        <v>0</v>
      </c>
      <c r="U1075">
        <v>0</v>
      </c>
      <c r="V1075">
        <v>0</v>
      </c>
      <c r="W1075">
        <v>0</v>
      </c>
      <c r="X1075">
        <v>0</v>
      </c>
      <c r="Y1075">
        <v>0</v>
      </c>
      <c r="Z1075">
        <v>0</v>
      </c>
      <c r="AA1075">
        <v>0</v>
      </c>
      <c r="AB1075">
        <v>0</v>
      </c>
      <c r="AC1075">
        <v>0</v>
      </c>
      <c r="AD1075">
        <v>10</v>
      </c>
      <c r="AE1075">
        <v>5</v>
      </c>
      <c r="AF1075">
        <v>10</v>
      </c>
      <c r="AG1075">
        <v>5</v>
      </c>
      <c r="AH1075">
        <v>0</v>
      </c>
      <c r="AI1075">
        <v>0</v>
      </c>
      <c r="AY1075" t="str">
        <f t="shared" si="195"/>
        <v>RONAXAN 500 MG/G</v>
      </c>
      <c r="AZ1075" t="str">
        <f>IF(COUNTIF(AY:AY,AY1075)=1,AY1075,IF(AND(COUNTIF(AY:AY,AY1075)&gt;1,COUNTIF(AZ$2:AZ1074,AY1075)&gt;=1),"",AY1075))</f>
        <v/>
      </c>
      <c r="BA1075" t="str">
        <f>IF(AZ1075="","",COUNTIFS(AZ$3:AZ$1439,"&lt;"&amp;AZ1075,AZ$3:AZ$1439,"&lt;&gt;0")+COUNTIF(AZ$3:AZ1075,AZ1075)-876)</f>
        <v/>
      </c>
      <c r="BT1075" s="76"/>
      <c r="CN1075">
        <v>1074</v>
      </c>
    </row>
    <row r="1076" spans="1:92" x14ac:dyDescent="0.3">
      <c r="A1076" s="118" t="s">
        <v>2252</v>
      </c>
      <c r="B1076" t="s">
        <v>2253</v>
      </c>
      <c r="C1076" t="s">
        <v>836</v>
      </c>
      <c r="D1076" s="144" t="s">
        <v>764</v>
      </c>
      <c r="E1076" t="s">
        <v>830</v>
      </c>
      <c r="F1076" t="s">
        <v>461</v>
      </c>
      <c r="G1076" t="s">
        <v>831</v>
      </c>
      <c r="H1076" t="s">
        <v>801</v>
      </c>
      <c r="I1076" t="s">
        <v>817</v>
      </c>
      <c r="J1076" t="s">
        <v>768</v>
      </c>
      <c r="K1076" t="s">
        <v>768</v>
      </c>
      <c r="L1076" t="s">
        <v>2121</v>
      </c>
      <c r="M1076" t="s">
        <v>208</v>
      </c>
      <c r="N1076" t="s">
        <v>864</v>
      </c>
      <c r="O1076" t="s">
        <v>894</v>
      </c>
      <c r="P1076" t="s">
        <v>772</v>
      </c>
      <c r="Q1076" t="s">
        <v>869</v>
      </c>
      <c r="R1076">
        <v>10</v>
      </c>
      <c r="S1076">
        <v>5</v>
      </c>
      <c r="T1076">
        <v>0</v>
      </c>
      <c r="U1076">
        <v>0</v>
      </c>
      <c r="V1076">
        <v>0</v>
      </c>
      <c r="W1076">
        <v>0</v>
      </c>
      <c r="X1076">
        <v>0</v>
      </c>
      <c r="Y1076">
        <v>0</v>
      </c>
      <c r="Z1076">
        <v>0</v>
      </c>
      <c r="AA1076">
        <v>0</v>
      </c>
      <c r="AB1076">
        <v>0</v>
      </c>
      <c r="AC1076">
        <v>0</v>
      </c>
      <c r="AD1076">
        <v>0</v>
      </c>
      <c r="AE1076">
        <v>0</v>
      </c>
      <c r="AF1076">
        <v>0</v>
      </c>
      <c r="AG1076">
        <v>0</v>
      </c>
      <c r="AH1076">
        <v>0</v>
      </c>
      <c r="AI1076">
        <v>0</v>
      </c>
      <c r="AY1076" t="str">
        <f t="shared" si="195"/>
        <v>RONAXAN CONCENTRE 20 %</v>
      </c>
      <c r="AZ1076" t="str">
        <f>IF(COUNTIF(AY:AY,AY1076)=1,AY1076,IF(AND(COUNTIF(AY:AY,AY1076)&gt;1,COUNTIF(AZ$2:AZ1075,AY1076)&gt;=1),"",AY1076))</f>
        <v>RONAXAN CONCENTRE 20 %</v>
      </c>
      <c r="BA1076">
        <f>IF(AZ1076="","",COUNTIFS(AZ$3:AZ$1439,"&lt;"&amp;AZ1076,AZ$3:AZ$1439,"&lt;&gt;0")+COUNTIF(AZ$3:AZ1076,AZ1076)-876)</f>
        <v>425</v>
      </c>
      <c r="BT1076" s="76"/>
      <c r="CN1076">
        <v>1075</v>
      </c>
    </row>
    <row r="1077" spans="1:92" x14ac:dyDescent="0.3">
      <c r="A1077" s="118" t="s">
        <v>2252</v>
      </c>
      <c r="B1077" t="s">
        <v>2254</v>
      </c>
      <c r="C1077" t="s">
        <v>828</v>
      </c>
      <c r="D1077" s="144" t="s">
        <v>829</v>
      </c>
      <c r="E1077" t="s">
        <v>830</v>
      </c>
      <c r="F1077" t="s">
        <v>461</v>
      </c>
      <c r="G1077" t="s">
        <v>831</v>
      </c>
      <c r="H1077" t="s">
        <v>801</v>
      </c>
      <c r="I1077" t="s">
        <v>817</v>
      </c>
      <c r="J1077" t="s">
        <v>768</v>
      </c>
      <c r="K1077" t="s">
        <v>768</v>
      </c>
      <c r="L1077" t="s">
        <v>2121</v>
      </c>
      <c r="M1077" t="s">
        <v>208</v>
      </c>
      <c r="N1077" t="s">
        <v>864</v>
      </c>
      <c r="O1077" t="s">
        <v>894</v>
      </c>
      <c r="P1077" t="s">
        <v>772</v>
      </c>
      <c r="Q1077" t="s">
        <v>864</v>
      </c>
      <c r="R1077">
        <v>10</v>
      </c>
      <c r="S1077">
        <v>5</v>
      </c>
      <c r="T1077">
        <v>0</v>
      </c>
      <c r="U1077">
        <v>0</v>
      </c>
      <c r="V1077">
        <v>0</v>
      </c>
      <c r="W1077">
        <v>0</v>
      </c>
      <c r="X1077">
        <v>0</v>
      </c>
      <c r="Y1077">
        <v>0</v>
      </c>
      <c r="Z1077">
        <v>0</v>
      </c>
      <c r="AA1077">
        <v>0</v>
      </c>
      <c r="AB1077">
        <v>0</v>
      </c>
      <c r="AC1077">
        <v>0</v>
      </c>
      <c r="AD1077">
        <v>0</v>
      </c>
      <c r="AE1077">
        <v>0</v>
      </c>
      <c r="AF1077">
        <v>0</v>
      </c>
      <c r="AG1077">
        <v>0</v>
      </c>
      <c r="AH1077">
        <v>0</v>
      </c>
      <c r="AI1077">
        <v>0</v>
      </c>
      <c r="AY1077" t="str">
        <f t="shared" si="195"/>
        <v>RONAXAN CONCENTRE 20 %</v>
      </c>
      <c r="AZ1077" t="str">
        <f>IF(COUNTIF(AY:AY,AY1077)=1,AY1077,IF(AND(COUNTIF(AY:AY,AY1077)&gt;1,COUNTIF(AZ$2:AZ1076,AY1077)&gt;=1),"",AY1077))</f>
        <v/>
      </c>
      <c r="BA1077" t="str">
        <f>IF(AZ1077="","",COUNTIFS(AZ$3:AZ$1439,"&lt;"&amp;AZ1077,AZ$3:AZ$1439,"&lt;&gt;0")+COUNTIF(AZ$3:AZ1077,AZ1077)-876)</f>
        <v/>
      </c>
      <c r="BT1077" s="76"/>
      <c r="CN1077">
        <v>1076</v>
      </c>
    </row>
    <row r="1078" spans="1:92" x14ac:dyDescent="0.3">
      <c r="A1078" s="118" t="s">
        <v>2252</v>
      </c>
      <c r="B1078" t="s">
        <v>2255</v>
      </c>
      <c r="C1078" t="s">
        <v>1313</v>
      </c>
      <c r="D1078" s="144" t="s">
        <v>955</v>
      </c>
      <c r="E1078" t="s">
        <v>830</v>
      </c>
      <c r="F1078" t="s">
        <v>461</v>
      </c>
      <c r="G1078" t="s">
        <v>831</v>
      </c>
      <c r="H1078" t="s">
        <v>801</v>
      </c>
      <c r="I1078" t="s">
        <v>817</v>
      </c>
      <c r="J1078" t="s">
        <v>768</v>
      </c>
      <c r="K1078" t="s">
        <v>768</v>
      </c>
      <c r="L1078" t="s">
        <v>2121</v>
      </c>
      <c r="M1078" t="s">
        <v>208</v>
      </c>
      <c r="N1078" t="s">
        <v>864</v>
      </c>
      <c r="O1078" t="s">
        <v>894</v>
      </c>
      <c r="P1078" t="s">
        <v>772</v>
      </c>
      <c r="Q1078" t="s">
        <v>829</v>
      </c>
      <c r="R1078">
        <v>10</v>
      </c>
      <c r="S1078">
        <v>5</v>
      </c>
      <c r="T1078">
        <v>0</v>
      </c>
      <c r="U1078">
        <v>0</v>
      </c>
      <c r="V1078">
        <v>0</v>
      </c>
      <c r="W1078">
        <v>0</v>
      </c>
      <c r="X1078">
        <v>0</v>
      </c>
      <c r="Y1078">
        <v>0</v>
      </c>
      <c r="Z1078">
        <v>0</v>
      </c>
      <c r="AA1078">
        <v>0</v>
      </c>
      <c r="AB1078">
        <v>0</v>
      </c>
      <c r="AC1078">
        <v>0</v>
      </c>
      <c r="AD1078">
        <v>0</v>
      </c>
      <c r="AE1078">
        <v>0</v>
      </c>
      <c r="AF1078">
        <v>0</v>
      </c>
      <c r="AG1078">
        <v>0</v>
      </c>
      <c r="AH1078">
        <v>0</v>
      </c>
      <c r="AI1078">
        <v>0</v>
      </c>
      <c r="AY1078" t="str">
        <f t="shared" si="195"/>
        <v>RONAXAN CONCENTRE 20 %</v>
      </c>
      <c r="AZ1078" t="str">
        <f>IF(COUNTIF(AY:AY,AY1078)=1,AY1078,IF(AND(COUNTIF(AY:AY,AY1078)&gt;1,COUNTIF(AZ$2:AZ1077,AY1078)&gt;=1),"",AY1078))</f>
        <v/>
      </c>
      <c r="BA1078" t="str">
        <f>IF(AZ1078="","",COUNTIFS(AZ$3:AZ$1439,"&lt;"&amp;AZ1078,AZ$3:AZ$1439,"&lt;&gt;0")+COUNTIF(AZ$3:AZ1078,AZ1078)-876)</f>
        <v/>
      </c>
      <c r="BT1078" s="76"/>
      <c r="CN1078">
        <v>1077</v>
      </c>
    </row>
    <row r="1079" spans="1:92" x14ac:dyDescent="0.3">
      <c r="A1079" s="118" t="s">
        <v>2124</v>
      </c>
      <c r="B1079" t="s">
        <v>2125</v>
      </c>
      <c r="C1079" t="s">
        <v>1062</v>
      </c>
      <c r="D1079" s="144" t="s">
        <v>1063</v>
      </c>
      <c r="E1079" t="s">
        <v>830</v>
      </c>
      <c r="F1079" t="s">
        <v>462</v>
      </c>
      <c r="G1079" t="s">
        <v>1064</v>
      </c>
      <c r="H1079" t="s">
        <v>2126</v>
      </c>
      <c r="I1079" t="s">
        <v>1066</v>
      </c>
      <c r="J1079" t="s">
        <v>768</v>
      </c>
      <c r="K1079" t="s">
        <v>768</v>
      </c>
      <c r="L1079" t="s">
        <v>2121</v>
      </c>
      <c r="M1079" t="s">
        <v>208</v>
      </c>
      <c r="N1079" t="s">
        <v>869</v>
      </c>
      <c r="O1079" t="s">
        <v>894</v>
      </c>
      <c r="P1079" t="s">
        <v>772</v>
      </c>
      <c r="Q1079" t="s">
        <v>906</v>
      </c>
      <c r="R1079">
        <v>0</v>
      </c>
      <c r="S1079">
        <v>0</v>
      </c>
      <c r="T1079">
        <v>0</v>
      </c>
      <c r="U1079">
        <v>0</v>
      </c>
      <c r="V1079">
        <v>0</v>
      </c>
      <c r="W1079">
        <v>0</v>
      </c>
      <c r="X1079">
        <v>0</v>
      </c>
      <c r="Y1079">
        <v>0</v>
      </c>
      <c r="Z1079">
        <v>0</v>
      </c>
      <c r="AA1079">
        <v>0</v>
      </c>
      <c r="AB1079">
        <v>0</v>
      </c>
      <c r="AC1079">
        <v>0</v>
      </c>
      <c r="AD1079">
        <v>0</v>
      </c>
      <c r="AE1079">
        <v>0</v>
      </c>
      <c r="AF1079">
        <v>10</v>
      </c>
      <c r="AG1079">
        <v>5</v>
      </c>
      <c r="AH1079">
        <v>0</v>
      </c>
      <c r="AI1079">
        <v>0</v>
      </c>
      <c r="AY1079" t="str">
        <f t="shared" si="195"/>
        <v>RONAXAN DOXYCYCLINE 20 POULET</v>
      </c>
      <c r="AZ1079" t="str">
        <f>IF(COUNTIF(AY:AY,AY1079)=1,AY1079,IF(AND(COUNTIF(AY:AY,AY1079)&gt;1,COUNTIF(AZ$2:AZ1078,AY1079)&gt;=1),"",AY1079))</f>
        <v>RONAXAN DOXYCYCLINE 20 POULET</v>
      </c>
      <c r="BA1079">
        <f>IF(AZ1079="","",COUNTIFS(AZ$3:AZ$1439,"&lt;"&amp;AZ1079,AZ$3:AZ$1439,"&lt;&gt;0")+COUNTIF(AZ$3:AZ1079,AZ1079)-876)</f>
        <v>426</v>
      </c>
      <c r="BT1079" s="76"/>
      <c r="CN1079">
        <v>1078</v>
      </c>
    </row>
    <row r="1080" spans="1:92" x14ac:dyDescent="0.3">
      <c r="A1080" s="118" t="s">
        <v>2118</v>
      </c>
      <c r="B1080" t="s">
        <v>2119</v>
      </c>
      <c r="C1080" t="s">
        <v>836</v>
      </c>
      <c r="D1080" s="144" t="s">
        <v>764</v>
      </c>
      <c r="E1080" t="s">
        <v>830</v>
      </c>
      <c r="F1080" t="s">
        <v>463</v>
      </c>
      <c r="G1080" t="s">
        <v>831</v>
      </c>
      <c r="H1080" t="s">
        <v>2120</v>
      </c>
      <c r="I1080" t="s">
        <v>817</v>
      </c>
      <c r="J1080" t="s">
        <v>768</v>
      </c>
      <c r="K1080" t="s">
        <v>768</v>
      </c>
      <c r="L1080" t="s">
        <v>2121</v>
      </c>
      <c r="M1080" t="s">
        <v>208</v>
      </c>
      <c r="N1080" t="s">
        <v>780</v>
      </c>
      <c r="O1080" t="s">
        <v>894</v>
      </c>
      <c r="P1080" t="s">
        <v>772</v>
      </c>
      <c r="Q1080" t="s">
        <v>885</v>
      </c>
      <c r="R1080">
        <v>10</v>
      </c>
      <c r="S1080">
        <v>5</v>
      </c>
      <c r="T1080">
        <v>0</v>
      </c>
      <c r="U1080">
        <v>0</v>
      </c>
      <c r="V1080">
        <v>10</v>
      </c>
      <c r="W1080">
        <v>5</v>
      </c>
      <c r="X1080">
        <v>0</v>
      </c>
      <c r="Y1080">
        <v>0</v>
      </c>
      <c r="Z1080">
        <v>0</v>
      </c>
      <c r="AA1080">
        <v>0</v>
      </c>
      <c r="AB1080">
        <v>0</v>
      </c>
      <c r="AC1080">
        <v>0</v>
      </c>
      <c r="AD1080">
        <v>10</v>
      </c>
      <c r="AE1080">
        <v>5</v>
      </c>
      <c r="AF1080">
        <v>10</v>
      </c>
      <c r="AG1080">
        <v>5</v>
      </c>
      <c r="AH1080">
        <v>0</v>
      </c>
      <c r="AI1080">
        <v>0</v>
      </c>
      <c r="AY1080" t="str">
        <f t="shared" si="195"/>
        <v>RONAXAN P.S. 5 %</v>
      </c>
      <c r="AZ1080" t="str">
        <f>IF(COUNTIF(AY:AY,AY1080)=1,AY1080,IF(AND(COUNTIF(AY:AY,AY1080)&gt;1,COUNTIF(AZ$2:AZ1079,AY1080)&gt;=1),"",AY1080))</f>
        <v>RONAXAN P.S. 5 %</v>
      </c>
      <c r="BA1080">
        <f>IF(AZ1080="","",COUNTIFS(AZ$3:AZ$1439,"&lt;"&amp;AZ1080,AZ$3:AZ$1439,"&lt;&gt;0")+COUNTIF(AZ$3:AZ1080,AZ1080)-876)</f>
        <v>427</v>
      </c>
      <c r="BT1080" s="76"/>
      <c r="CN1080">
        <v>1079</v>
      </c>
    </row>
    <row r="1081" spans="1:92" x14ac:dyDescent="0.3">
      <c r="A1081" s="118" t="s">
        <v>2118</v>
      </c>
      <c r="B1081" t="s">
        <v>2122</v>
      </c>
      <c r="C1081" t="s">
        <v>828</v>
      </c>
      <c r="D1081" s="144" t="s">
        <v>829</v>
      </c>
      <c r="E1081" t="s">
        <v>830</v>
      </c>
      <c r="F1081" t="s">
        <v>463</v>
      </c>
      <c r="G1081" t="s">
        <v>831</v>
      </c>
      <c r="H1081" t="s">
        <v>2120</v>
      </c>
      <c r="I1081" t="s">
        <v>817</v>
      </c>
      <c r="J1081" t="s">
        <v>768</v>
      </c>
      <c r="K1081" t="s">
        <v>768</v>
      </c>
      <c r="L1081" t="s">
        <v>2121</v>
      </c>
      <c r="M1081" t="s">
        <v>208</v>
      </c>
      <c r="N1081" t="s">
        <v>780</v>
      </c>
      <c r="O1081" t="s">
        <v>894</v>
      </c>
      <c r="P1081" t="s">
        <v>772</v>
      </c>
      <c r="Q1081" t="s">
        <v>780</v>
      </c>
      <c r="R1081">
        <v>10</v>
      </c>
      <c r="S1081">
        <v>5</v>
      </c>
      <c r="T1081">
        <v>0</v>
      </c>
      <c r="U1081">
        <v>0</v>
      </c>
      <c r="V1081">
        <v>10</v>
      </c>
      <c r="W1081">
        <v>5</v>
      </c>
      <c r="X1081">
        <v>0</v>
      </c>
      <c r="Y1081">
        <v>0</v>
      </c>
      <c r="Z1081">
        <v>0</v>
      </c>
      <c r="AA1081">
        <v>0</v>
      </c>
      <c r="AB1081">
        <v>0</v>
      </c>
      <c r="AC1081">
        <v>0</v>
      </c>
      <c r="AD1081">
        <v>10</v>
      </c>
      <c r="AE1081">
        <v>5</v>
      </c>
      <c r="AF1081">
        <v>10</v>
      </c>
      <c r="AG1081">
        <v>5</v>
      </c>
      <c r="AH1081">
        <v>0</v>
      </c>
      <c r="AI1081">
        <v>0</v>
      </c>
      <c r="AY1081" t="str">
        <f t="shared" si="195"/>
        <v>RONAXAN P.S. 5 %</v>
      </c>
      <c r="AZ1081" t="str">
        <f>IF(COUNTIF(AY:AY,AY1081)=1,AY1081,IF(AND(COUNTIF(AY:AY,AY1081)&gt;1,COUNTIF(AZ$2:AZ1080,AY1081)&gt;=1),"",AY1081))</f>
        <v/>
      </c>
      <c r="BA1081" t="str">
        <f>IF(AZ1081="","",COUNTIFS(AZ$3:AZ$1439,"&lt;"&amp;AZ1081,AZ$3:AZ$1439,"&lt;&gt;0")+COUNTIF(AZ$3:AZ1081,AZ1081)-876)</f>
        <v/>
      </c>
      <c r="BT1081" s="76"/>
      <c r="CN1081">
        <v>1080</v>
      </c>
    </row>
    <row r="1082" spans="1:92" x14ac:dyDescent="0.3">
      <c r="A1082" s="118" t="s">
        <v>2118</v>
      </c>
      <c r="B1082" t="s">
        <v>2123</v>
      </c>
      <c r="C1082" t="s">
        <v>1313</v>
      </c>
      <c r="D1082" s="144" t="s">
        <v>955</v>
      </c>
      <c r="E1082" t="s">
        <v>830</v>
      </c>
      <c r="F1082" t="s">
        <v>463</v>
      </c>
      <c r="G1082" t="s">
        <v>831</v>
      </c>
      <c r="H1082" t="s">
        <v>2120</v>
      </c>
      <c r="I1082" t="s">
        <v>817</v>
      </c>
      <c r="J1082" t="s">
        <v>768</v>
      </c>
      <c r="K1082" t="s">
        <v>768</v>
      </c>
      <c r="L1082" t="s">
        <v>2121</v>
      </c>
      <c r="M1082" t="s">
        <v>208</v>
      </c>
      <c r="N1082" t="s">
        <v>780</v>
      </c>
      <c r="O1082" t="s">
        <v>894</v>
      </c>
      <c r="P1082" t="s">
        <v>772</v>
      </c>
      <c r="Q1082" t="s">
        <v>776</v>
      </c>
      <c r="R1082">
        <v>10</v>
      </c>
      <c r="S1082">
        <v>5</v>
      </c>
      <c r="T1082">
        <v>0</v>
      </c>
      <c r="U1082">
        <v>0</v>
      </c>
      <c r="V1082">
        <v>10</v>
      </c>
      <c r="W1082">
        <v>5</v>
      </c>
      <c r="X1082">
        <v>0</v>
      </c>
      <c r="Y1082">
        <v>0</v>
      </c>
      <c r="Z1082">
        <v>0</v>
      </c>
      <c r="AA1082">
        <v>0</v>
      </c>
      <c r="AB1082">
        <v>0</v>
      </c>
      <c r="AC1082">
        <v>0</v>
      </c>
      <c r="AD1082">
        <v>10</v>
      </c>
      <c r="AE1082">
        <v>5</v>
      </c>
      <c r="AF1082">
        <v>10</v>
      </c>
      <c r="AG1082">
        <v>5</v>
      </c>
      <c r="AH1082">
        <v>0</v>
      </c>
      <c r="AI1082">
        <v>0</v>
      </c>
      <c r="AY1082" t="str">
        <f t="shared" si="195"/>
        <v>RONAXAN P.S. 5 %</v>
      </c>
      <c r="AZ1082" t="str">
        <f>IF(COUNTIF(AY:AY,AY1082)=1,AY1082,IF(AND(COUNTIF(AY:AY,AY1082)&gt;1,COUNTIF(AZ$2:AZ1081,AY1082)&gt;=1),"",AY1082))</f>
        <v/>
      </c>
      <c r="BA1082" t="str">
        <f>IF(AZ1082="","",COUNTIFS(AZ$3:AZ$1439,"&lt;"&amp;AZ1082,AZ$3:AZ$1439,"&lt;&gt;0")+COUNTIF(AZ$3:AZ1082,AZ1082)-876)</f>
        <v/>
      </c>
      <c r="BT1082" s="76"/>
      <c r="CN1082">
        <v>1081</v>
      </c>
    </row>
    <row r="1083" spans="1:92" x14ac:dyDescent="0.3">
      <c r="A1083" s="118" t="s">
        <v>1890</v>
      </c>
      <c r="B1083" t="s">
        <v>1891</v>
      </c>
      <c r="C1083" t="s">
        <v>1062</v>
      </c>
      <c r="D1083" s="144" t="s">
        <v>1063</v>
      </c>
      <c r="E1083" t="s">
        <v>830</v>
      </c>
      <c r="F1083" t="s">
        <v>464</v>
      </c>
      <c r="G1083" t="s">
        <v>1064</v>
      </c>
      <c r="H1083" t="s">
        <v>1558</v>
      </c>
      <c r="I1083" t="s">
        <v>1066</v>
      </c>
      <c r="J1083" t="s">
        <v>1067</v>
      </c>
      <c r="K1083" t="s">
        <v>768</v>
      </c>
      <c r="L1083" t="s">
        <v>769</v>
      </c>
      <c r="M1083" t="s">
        <v>208</v>
      </c>
      <c r="N1083" t="s">
        <v>1047</v>
      </c>
      <c r="O1083" t="s">
        <v>894</v>
      </c>
      <c r="P1083" t="s">
        <v>772</v>
      </c>
      <c r="Q1083" t="s">
        <v>1079</v>
      </c>
      <c r="R1083">
        <v>20</v>
      </c>
      <c r="S1083">
        <v>5</v>
      </c>
      <c r="T1083">
        <v>0</v>
      </c>
      <c r="U1083">
        <v>0</v>
      </c>
      <c r="V1083">
        <v>0</v>
      </c>
      <c r="W1083">
        <v>0</v>
      </c>
      <c r="X1083">
        <v>0</v>
      </c>
      <c r="Y1083">
        <v>0</v>
      </c>
      <c r="Z1083">
        <v>0</v>
      </c>
      <c r="AA1083">
        <v>0</v>
      </c>
      <c r="AB1083">
        <v>40</v>
      </c>
      <c r="AC1083">
        <v>10</v>
      </c>
      <c r="AD1083">
        <v>50</v>
      </c>
      <c r="AE1083">
        <v>10</v>
      </c>
      <c r="AF1083">
        <v>0</v>
      </c>
      <c r="AG1083">
        <v>0</v>
      </c>
      <c r="AH1083">
        <v>0</v>
      </c>
      <c r="AI1083">
        <v>0</v>
      </c>
      <c r="AJ1083" t="s">
        <v>862</v>
      </c>
      <c r="AK1083" t="s">
        <v>1003</v>
      </c>
      <c r="AL1083" t="s">
        <v>208</v>
      </c>
      <c r="AM1083" t="s">
        <v>1047</v>
      </c>
      <c r="AN1083" t="s">
        <v>894</v>
      </c>
      <c r="AO1083" t="s">
        <v>772</v>
      </c>
      <c r="AP1083" t="s">
        <v>1079</v>
      </c>
      <c r="AY1083" t="str">
        <f t="shared" si="195"/>
        <v>SANTAMIX OTC SDM 60</v>
      </c>
      <c r="AZ1083" t="str">
        <f>IF(COUNTIF(AY:AY,AY1083)=1,AY1083,IF(AND(COUNTIF(AY:AY,AY1083)&gt;1,COUNTIF(AZ$2:AZ1082,AY1083)&gt;=1),"",AY1083))</f>
        <v>SANTAMIX OTC SDM 60</v>
      </c>
      <c r="BA1083">
        <f>IF(AZ1083="","",COUNTIFS(AZ$3:AZ$1439,"&lt;"&amp;AZ1083,AZ$3:AZ$1439,"&lt;&gt;0")+COUNTIF(AZ$3:AZ1083,AZ1083)-876)</f>
        <v>428</v>
      </c>
      <c r="BT1083" s="76"/>
      <c r="CN1083">
        <v>1082</v>
      </c>
    </row>
    <row r="1084" spans="1:92" x14ac:dyDescent="0.3">
      <c r="A1084" s="118" t="s">
        <v>3106</v>
      </c>
      <c r="B1084" t="s">
        <v>3107</v>
      </c>
      <c r="C1084" t="s">
        <v>1293</v>
      </c>
      <c r="D1084" s="144" t="s">
        <v>924</v>
      </c>
      <c r="E1084" t="s">
        <v>830</v>
      </c>
      <c r="F1084" t="s">
        <v>684</v>
      </c>
      <c r="G1084" t="s">
        <v>1064</v>
      </c>
      <c r="H1084" t="s">
        <v>1959</v>
      </c>
      <c r="I1084" t="s">
        <v>1066</v>
      </c>
      <c r="J1084" t="s">
        <v>802</v>
      </c>
      <c r="K1084" t="s">
        <v>802</v>
      </c>
      <c r="L1084" t="s">
        <v>2470</v>
      </c>
      <c r="M1084" t="s">
        <v>208</v>
      </c>
      <c r="N1084" t="s">
        <v>932</v>
      </c>
      <c r="O1084" t="s">
        <v>894</v>
      </c>
      <c r="P1084" t="s">
        <v>772</v>
      </c>
      <c r="Q1084" t="s">
        <v>939</v>
      </c>
      <c r="R1084">
        <v>0</v>
      </c>
      <c r="S1084">
        <v>0</v>
      </c>
      <c r="T1084">
        <v>0</v>
      </c>
      <c r="U1084">
        <v>0</v>
      </c>
      <c r="V1084">
        <v>0</v>
      </c>
      <c r="W1084">
        <v>0</v>
      </c>
      <c r="X1084">
        <v>0</v>
      </c>
      <c r="Y1084">
        <v>0</v>
      </c>
      <c r="Z1084">
        <v>12.5</v>
      </c>
      <c r="AA1084">
        <v>7</v>
      </c>
      <c r="AB1084">
        <v>0</v>
      </c>
      <c r="AC1084">
        <v>0</v>
      </c>
      <c r="AD1084">
        <v>16</v>
      </c>
      <c r="AE1084">
        <v>21</v>
      </c>
      <c r="AF1084">
        <v>12.5</v>
      </c>
      <c r="AG1084">
        <v>7</v>
      </c>
      <c r="AH1084">
        <v>0</v>
      </c>
      <c r="AI1084">
        <v>0</v>
      </c>
      <c r="AY1084" t="str">
        <f t="shared" si="195"/>
        <v>SANTAMIX TILMICOSINE 40 PORCINS - LAPINS</v>
      </c>
      <c r="AZ1084" t="str">
        <f>IF(COUNTIF(AY:AY,AY1084)=1,AY1084,IF(AND(COUNTIF(AY:AY,AY1084)&gt;1,COUNTIF(AZ$2:AZ1083,AY1084)&gt;=1),"",AY1084))</f>
        <v>SANTAMIX TILMICOSINE 40 PORCINS - LAPINS</v>
      </c>
      <c r="BA1084">
        <f>IF(AZ1084="","",COUNTIFS(AZ$3:AZ$1439,"&lt;"&amp;AZ1084,AZ$3:AZ$1439,"&lt;&gt;0")+COUNTIF(AZ$3:AZ1084,AZ1084)-876)</f>
        <v>429</v>
      </c>
      <c r="BT1084" s="76"/>
      <c r="CN1084">
        <v>1083</v>
      </c>
    </row>
    <row r="1085" spans="1:92" x14ac:dyDescent="0.3">
      <c r="A1085" s="118" t="s">
        <v>1892</v>
      </c>
      <c r="B1085" t="s">
        <v>1893</v>
      </c>
      <c r="C1085" t="s">
        <v>1090</v>
      </c>
      <c r="D1085" s="144" t="s">
        <v>1063</v>
      </c>
      <c r="E1085" t="s">
        <v>830</v>
      </c>
      <c r="F1085" t="s">
        <v>685</v>
      </c>
      <c r="G1085" t="s">
        <v>1064</v>
      </c>
      <c r="H1085" t="s">
        <v>1091</v>
      </c>
      <c r="I1085" t="s">
        <v>1066</v>
      </c>
      <c r="J1085" t="s">
        <v>802</v>
      </c>
      <c r="K1085" t="s">
        <v>802</v>
      </c>
      <c r="L1085" t="s">
        <v>1092</v>
      </c>
      <c r="M1085" t="s">
        <v>208</v>
      </c>
      <c r="N1085" t="s">
        <v>1536</v>
      </c>
      <c r="O1085" t="s">
        <v>834</v>
      </c>
      <c r="P1085" t="s">
        <v>1537</v>
      </c>
      <c r="Q1085" t="s">
        <v>906</v>
      </c>
      <c r="R1085">
        <v>0</v>
      </c>
      <c r="S1085">
        <v>0</v>
      </c>
      <c r="T1085">
        <v>0</v>
      </c>
      <c r="U1085">
        <v>0</v>
      </c>
      <c r="V1085">
        <v>0</v>
      </c>
      <c r="W1085">
        <v>0</v>
      </c>
      <c r="X1085">
        <v>0</v>
      </c>
      <c r="Y1085">
        <v>0</v>
      </c>
      <c r="Z1085">
        <v>0</v>
      </c>
      <c r="AA1085">
        <v>0</v>
      </c>
      <c r="AB1085">
        <v>0</v>
      </c>
      <c r="AC1085">
        <v>0</v>
      </c>
      <c r="AD1085">
        <v>5</v>
      </c>
      <c r="AE1085">
        <v>21</v>
      </c>
      <c r="AF1085">
        <v>100</v>
      </c>
      <c r="AG1085">
        <v>5</v>
      </c>
      <c r="AH1085">
        <v>0</v>
      </c>
      <c r="AI1085">
        <v>0</v>
      </c>
      <c r="AY1085" t="str">
        <f t="shared" si="195"/>
        <v>SANTAMIX TYLO 20</v>
      </c>
      <c r="AZ1085" t="str">
        <f>IF(COUNTIF(AY:AY,AY1085)=1,AY1085,IF(AND(COUNTIF(AY:AY,AY1085)&gt;1,COUNTIF(AZ$2:AZ1084,AY1085)&gt;=1),"",AY1085))</f>
        <v>SANTAMIX TYLO 20</v>
      </c>
      <c r="BA1085">
        <f>IF(AZ1085="","",COUNTIFS(AZ$3:AZ$1439,"&lt;"&amp;AZ1085,AZ$3:AZ$1439,"&lt;&gt;0")+COUNTIF(AZ$3:AZ1085,AZ1085)-876)</f>
        <v>430</v>
      </c>
      <c r="BT1085" s="76"/>
      <c r="CN1085">
        <v>1084</v>
      </c>
    </row>
    <row r="1086" spans="1:92" x14ac:dyDescent="0.3">
      <c r="A1086" s="118" t="s">
        <v>3291</v>
      </c>
      <c r="B1086" t="s">
        <v>3292</v>
      </c>
      <c r="C1086" t="s">
        <v>3293</v>
      </c>
      <c r="D1086" s="144" t="s">
        <v>764</v>
      </c>
      <c r="E1086" t="s">
        <v>765</v>
      </c>
      <c r="F1086" t="s">
        <v>119</v>
      </c>
      <c r="G1086" t="s">
        <v>766</v>
      </c>
      <c r="H1086" t="s">
        <v>1326</v>
      </c>
      <c r="I1086" t="s">
        <v>766</v>
      </c>
      <c r="J1086" t="s">
        <v>1752</v>
      </c>
      <c r="K1086" t="s">
        <v>1752</v>
      </c>
      <c r="L1086" t="s">
        <v>2511</v>
      </c>
      <c r="M1086" t="s">
        <v>208</v>
      </c>
      <c r="N1086" t="s">
        <v>1163</v>
      </c>
      <c r="O1086" t="s">
        <v>771</v>
      </c>
      <c r="P1086" t="s">
        <v>772</v>
      </c>
      <c r="Q1086" t="s">
        <v>797</v>
      </c>
      <c r="R1086">
        <v>20</v>
      </c>
      <c r="S1086">
        <v>2</v>
      </c>
      <c r="T1086">
        <v>0</v>
      </c>
      <c r="U1086">
        <v>0</v>
      </c>
      <c r="V1086">
        <v>0</v>
      </c>
      <c r="W1086">
        <v>0</v>
      </c>
      <c r="X1086">
        <v>0</v>
      </c>
      <c r="Y1086">
        <v>0</v>
      </c>
      <c r="Z1086">
        <v>0</v>
      </c>
      <c r="AA1086">
        <v>0</v>
      </c>
      <c r="AB1086">
        <v>0</v>
      </c>
      <c r="AC1086">
        <v>0</v>
      </c>
      <c r="AD1086">
        <v>15</v>
      </c>
      <c r="AE1086">
        <v>2</v>
      </c>
      <c r="AF1086">
        <v>0</v>
      </c>
      <c r="AG1086">
        <v>0</v>
      </c>
      <c r="AH1086">
        <v>0</v>
      </c>
      <c r="AI1086">
        <v>0</v>
      </c>
      <c r="AY1086" t="str">
        <f t="shared" si="195"/>
        <v>SELECTAN</v>
      </c>
      <c r="AZ1086" t="str">
        <f>IF(COUNTIF(AY:AY,AY1086)=1,AY1086,IF(AND(COUNTIF(AY:AY,AY1086)&gt;1,COUNTIF(AZ$2:AZ1085,AY1086)&gt;=1),"",AY1086))</f>
        <v>SELECTAN</v>
      </c>
      <c r="BA1086">
        <f>IF(AZ1086="","",COUNTIFS(AZ$3:AZ$1439,"&lt;"&amp;AZ1086,AZ$3:AZ$1439,"&lt;&gt;0")+COUNTIF(AZ$3:AZ1086,AZ1086)-876)</f>
        <v>431</v>
      </c>
      <c r="BT1086" s="76"/>
      <c r="CN1086">
        <v>1085</v>
      </c>
    </row>
    <row r="1087" spans="1:92" x14ac:dyDescent="0.3">
      <c r="A1087" s="118" t="s">
        <v>3291</v>
      </c>
      <c r="B1087" t="s">
        <v>3294</v>
      </c>
      <c r="C1087" t="s">
        <v>2973</v>
      </c>
      <c r="D1087" s="144" t="s">
        <v>776</v>
      </c>
      <c r="E1087" t="s">
        <v>765</v>
      </c>
      <c r="F1087" t="s">
        <v>119</v>
      </c>
      <c r="G1087" t="s">
        <v>766</v>
      </c>
      <c r="H1087" t="s">
        <v>1326</v>
      </c>
      <c r="I1087" t="s">
        <v>766</v>
      </c>
      <c r="J1087" t="s">
        <v>1752</v>
      </c>
      <c r="K1087" t="s">
        <v>1752</v>
      </c>
      <c r="L1087" t="s">
        <v>2511</v>
      </c>
      <c r="M1087" t="s">
        <v>208</v>
      </c>
      <c r="N1087" t="s">
        <v>1163</v>
      </c>
      <c r="O1087" t="s">
        <v>771</v>
      </c>
      <c r="P1087" t="s">
        <v>772</v>
      </c>
      <c r="Q1087" t="s">
        <v>1255</v>
      </c>
      <c r="R1087">
        <v>20</v>
      </c>
      <c r="S1087">
        <v>2</v>
      </c>
      <c r="T1087">
        <v>0</v>
      </c>
      <c r="U1087">
        <v>0</v>
      </c>
      <c r="V1087">
        <v>0</v>
      </c>
      <c r="W1087">
        <v>0</v>
      </c>
      <c r="X1087">
        <v>0</v>
      </c>
      <c r="Y1087">
        <v>0</v>
      </c>
      <c r="Z1087">
        <v>0</v>
      </c>
      <c r="AA1087">
        <v>0</v>
      </c>
      <c r="AB1087">
        <v>0</v>
      </c>
      <c r="AC1087">
        <v>0</v>
      </c>
      <c r="AD1087">
        <v>15</v>
      </c>
      <c r="AE1087">
        <v>2</v>
      </c>
      <c r="AF1087">
        <v>0</v>
      </c>
      <c r="AG1087">
        <v>0</v>
      </c>
      <c r="AH1087">
        <v>0</v>
      </c>
      <c r="AI1087">
        <v>0</v>
      </c>
      <c r="AY1087" t="str">
        <f t="shared" si="195"/>
        <v>SELECTAN</v>
      </c>
      <c r="AZ1087" t="str">
        <f>IF(COUNTIF(AY:AY,AY1087)=1,AY1087,IF(AND(COUNTIF(AY:AY,AY1087)&gt;1,COUNTIF(AZ$2:AZ1086,AY1087)&gt;=1),"",AY1087))</f>
        <v/>
      </c>
      <c r="BA1087" t="str">
        <f>IF(AZ1087="","",COUNTIFS(AZ$3:AZ$1439,"&lt;"&amp;AZ1087,AZ$3:AZ$1439,"&lt;&gt;0")+COUNTIF(AZ$3:AZ1087,AZ1087)-876)</f>
        <v/>
      </c>
      <c r="BT1087" s="76"/>
      <c r="CN1087">
        <v>1086</v>
      </c>
    </row>
    <row r="1088" spans="1:92" x14ac:dyDescent="0.3">
      <c r="A1088" s="118" t="s">
        <v>3291</v>
      </c>
      <c r="B1088" t="s">
        <v>3295</v>
      </c>
      <c r="C1088" t="s">
        <v>2969</v>
      </c>
      <c r="D1088" s="144" t="s">
        <v>780</v>
      </c>
      <c r="E1088" t="s">
        <v>765</v>
      </c>
      <c r="F1088" t="s">
        <v>119</v>
      </c>
      <c r="G1088" t="s">
        <v>766</v>
      </c>
      <c r="H1088" t="s">
        <v>1326</v>
      </c>
      <c r="I1088" t="s">
        <v>766</v>
      </c>
      <c r="J1088" t="s">
        <v>1752</v>
      </c>
      <c r="K1088" t="s">
        <v>1752</v>
      </c>
      <c r="L1088" t="s">
        <v>2511</v>
      </c>
      <c r="M1088" t="s">
        <v>208</v>
      </c>
      <c r="N1088" t="s">
        <v>1163</v>
      </c>
      <c r="O1088" t="s">
        <v>771</v>
      </c>
      <c r="P1088" t="s">
        <v>772</v>
      </c>
      <c r="Q1088" t="s">
        <v>972</v>
      </c>
      <c r="R1088">
        <v>20</v>
      </c>
      <c r="S1088">
        <v>2</v>
      </c>
      <c r="T1088">
        <v>0</v>
      </c>
      <c r="U1088">
        <v>0</v>
      </c>
      <c r="V1088">
        <v>0</v>
      </c>
      <c r="W1088">
        <v>0</v>
      </c>
      <c r="X1088">
        <v>0</v>
      </c>
      <c r="Y1088">
        <v>0</v>
      </c>
      <c r="Z1088">
        <v>0</v>
      </c>
      <c r="AA1088">
        <v>0</v>
      </c>
      <c r="AB1088">
        <v>0</v>
      </c>
      <c r="AC1088">
        <v>0</v>
      </c>
      <c r="AD1088">
        <v>15</v>
      </c>
      <c r="AE1088">
        <v>2</v>
      </c>
      <c r="AF1088">
        <v>0</v>
      </c>
      <c r="AG1088">
        <v>0</v>
      </c>
      <c r="AH1088">
        <v>0</v>
      </c>
      <c r="AI1088">
        <v>0</v>
      </c>
      <c r="AY1088" t="str">
        <f t="shared" si="195"/>
        <v>SELECTAN</v>
      </c>
      <c r="AZ1088" t="str">
        <f>IF(COUNTIF(AY:AY,AY1088)=1,AY1088,IF(AND(COUNTIF(AY:AY,AY1088)&gt;1,COUNTIF(AZ$2:AZ1087,AY1088)&gt;=1),"",AY1088))</f>
        <v/>
      </c>
      <c r="BA1088" t="str">
        <f>IF(AZ1088="","",COUNTIFS(AZ$3:AZ$1439,"&lt;"&amp;AZ1088,AZ$3:AZ$1439,"&lt;&gt;0")+COUNTIF(AZ$3:AZ1088,AZ1088)-876)</f>
        <v/>
      </c>
      <c r="BT1088" s="76"/>
      <c r="CN1088">
        <v>1087</v>
      </c>
    </row>
    <row r="1089" spans="1:92" x14ac:dyDescent="0.3">
      <c r="A1089" s="118" t="s">
        <v>3291</v>
      </c>
      <c r="B1089" t="s">
        <v>3296</v>
      </c>
      <c r="C1089" t="s">
        <v>2971</v>
      </c>
      <c r="D1089" s="144" t="s">
        <v>764</v>
      </c>
      <c r="E1089" t="s">
        <v>765</v>
      </c>
      <c r="F1089" t="s">
        <v>119</v>
      </c>
      <c r="G1089" t="s">
        <v>766</v>
      </c>
      <c r="H1089" t="s">
        <v>1326</v>
      </c>
      <c r="I1089" t="s">
        <v>766</v>
      </c>
      <c r="J1089" t="s">
        <v>1752</v>
      </c>
      <c r="K1089" t="s">
        <v>1752</v>
      </c>
      <c r="L1089" t="s">
        <v>2511</v>
      </c>
      <c r="M1089" t="s">
        <v>208</v>
      </c>
      <c r="N1089" t="s">
        <v>1163</v>
      </c>
      <c r="O1089" t="s">
        <v>771</v>
      </c>
      <c r="P1089" t="s">
        <v>772</v>
      </c>
      <c r="Q1089" t="s">
        <v>797</v>
      </c>
      <c r="R1089">
        <v>20</v>
      </c>
      <c r="S1089">
        <v>2</v>
      </c>
      <c r="T1089">
        <v>0</v>
      </c>
      <c r="U1089">
        <v>0</v>
      </c>
      <c r="V1089">
        <v>0</v>
      </c>
      <c r="W1089">
        <v>0</v>
      </c>
      <c r="X1089">
        <v>0</v>
      </c>
      <c r="Y1089">
        <v>0</v>
      </c>
      <c r="Z1089">
        <v>0</v>
      </c>
      <c r="AA1089">
        <v>0</v>
      </c>
      <c r="AB1089">
        <v>0</v>
      </c>
      <c r="AC1089">
        <v>0</v>
      </c>
      <c r="AD1089">
        <v>15</v>
      </c>
      <c r="AE1089">
        <v>2</v>
      </c>
      <c r="AF1089">
        <v>0</v>
      </c>
      <c r="AG1089">
        <v>0</v>
      </c>
      <c r="AH1089">
        <v>0</v>
      </c>
      <c r="AI1089">
        <v>0</v>
      </c>
      <c r="AY1089" t="str">
        <f t="shared" si="195"/>
        <v>SELECTAN</v>
      </c>
      <c r="AZ1089" t="str">
        <f>IF(COUNTIF(AY:AY,AY1089)=1,AY1089,IF(AND(COUNTIF(AY:AY,AY1089)&gt;1,COUNTIF(AZ$2:AZ1088,AY1089)&gt;=1),"",AY1089))</f>
        <v/>
      </c>
      <c r="BA1089" t="str">
        <f>IF(AZ1089="","",COUNTIFS(AZ$3:AZ$1439,"&lt;"&amp;AZ1089,AZ$3:AZ$1439,"&lt;&gt;0")+COUNTIF(AZ$3:AZ1089,AZ1089)-876)</f>
        <v/>
      </c>
      <c r="BT1089" s="76"/>
      <c r="CN1089">
        <v>1088</v>
      </c>
    </row>
    <row r="1090" spans="1:92" x14ac:dyDescent="0.3">
      <c r="A1090" s="118" t="s">
        <v>3673</v>
      </c>
      <c r="B1090" t="s">
        <v>3674</v>
      </c>
      <c r="C1090" t="s">
        <v>2330</v>
      </c>
      <c r="D1090" s="144" t="s">
        <v>955</v>
      </c>
      <c r="E1090" t="s">
        <v>765</v>
      </c>
      <c r="F1090" t="s">
        <v>465</v>
      </c>
      <c r="G1090" t="s">
        <v>956</v>
      </c>
      <c r="H1090" t="s">
        <v>1213</v>
      </c>
      <c r="I1090" t="s">
        <v>817</v>
      </c>
      <c r="J1090" t="s">
        <v>1752</v>
      </c>
      <c r="K1090" t="s">
        <v>1752</v>
      </c>
      <c r="L1090" t="s">
        <v>2511</v>
      </c>
      <c r="M1090" t="s">
        <v>208</v>
      </c>
      <c r="N1090" t="s">
        <v>1250</v>
      </c>
      <c r="O1090" t="s">
        <v>771</v>
      </c>
      <c r="P1090" t="s">
        <v>772</v>
      </c>
      <c r="Q1090" t="s">
        <v>3675</v>
      </c>
      <c r="R1090">
        <v>10</v>
      </c>
      <c r="S1090">
        <v>5</v>
      </c>
      <c r="T1090">
        <v>0</v>
      </c>
      <c r="U1090">
        <v>0</v>
      </c>
      <c r="V1090">
        <v>0</v>
      </c>
      <c r="W1090">
        <v>0</v>
      </c>
      <c r="X1090">
        <v>0</v>
      </c>
      <c r="Y1090">
        <v>0</v>
      </c>
      <c r="Z1090">
        <v>0</v>
      </c>
      <c r="AA1090">
        <v>0</v>
      </c>
      <c r="AB1090">
        <v>0</v>
      </c>
      <c r="AC1090">
        <v>0</v>
      </c>
      <c r="AD1090">
        <v>10</v>
      </c>
      <c r="AE1090">
        <v>5</v>
      </c>
      <c r="AF1090">
        <v>10</v>
      </c>
      <c r="AG1090">
        <v>5</v>
      </c>
      <c r="AH1090">
        <v>10</v>
      </c>
      <c r="AI1090">
        <v>5</v>
      </c>
      <c r="AY1090" t="str">
        <f t="shared" si="195"/>
        <v>SELECTAN ORAL 23 MG/ML SOLUTION A DILUER POUR ADMINISTRATION DANS L'EAU DE BOISSON</v>
      </c>
      <c r="AZ1090" t="str">
        <f>IF(COUNTIF(AY:AY,AY1090)=1,AY1090,IF(AND(COUNTIF(AY:AY,AY1090)&gt;1,COUNTIF(AZ$2:AZ1089,AY1090)&gt;=1),"",AY1090))</f>
        <v>SELECTAN ORAL 23 MG/ML SOLUTION A DILUER POUR ADMINISTRATION DANS L'EAU DE BOISSON</v>
      </c>
      <c r="BA1090">
        <f>IF(AZ1090="","",COUNTIFS(AZ$3:AZ$1439,"&lt;"&amp;AZ1090,AZ$3:AZ$1439,"&lt;&gt;0")+COUNTIF(AZ$3:AZ1090,AZ1090)-876)</f>
        <v>432</v>
      </c>
      <c r="BT1090" s="76"/>
      <c r="CN1090">
        <v>1089</v>
      </c>
    </row>
    <row r="1091" spans="1:92" x14ac:dyDescent="0.3">
      <c r="A1091" s="118" t="s">
        <v>1486</v>
      </c>
      <c r="B1091" t="s">
        <v>1487</v>
      </c>
      <c r="C1091" t="s">
        <v>1488</v>
      </c>
      <c r="D1091" s="144" t="s">
        <v>869</v>
      </c>
      <c r="E1091" t="s">
        <v>813</v>
      </c>
      <c r="F1091" t="s">
        <v>1489</v>
      </c>
      <c r="G1091" t="s">
        <v>815</v>
      </c>
      <c r="H1091" t="s">
        <v>816</v>
      </c>
      <c r="I1091" t="s">
        <v>817</v>
      </c>
      <c r="J1091" t="s">
        <v>928</v>
      </c>
      <c r="K1091" t="s">
        <v>862</v>
      </c>
      <c r="L1091" t="s">
        <v>1409</v>
      </c>
      <c r="M1091" t="s">
        <v>208</v>
      </c>
      <c r="N1091" t="s">
        <v>780</v>
      </c>
      <c r="O1091" t="s">
        <v>824</v>
      </c>
      <c r="P1091" t="s">
        <v>772</v>
      </c>
      <c r="Q1091" t="s">
        <v>772</v>
      </c>
      <c r="R1091">
        <v>0</v>
      </c>
      <c r="S1091">
        <v>0</v>
      </c>
      <c r="T1091">
        <v>25</v>
      </c>
      <c r="U1091">
        <v>5</v>
      </c>
      <c r="V1091">
        <v>0</v>
      </c>
      <c r="W1091">
        <v>0</v>
      </c>
      <c r="X1091">
        <v>0</v>
      </c>
      <c r="Y1091">
        <v>0</v>
      </c>
      <c r="Z1091">
        <v>0</v>
      </c>
      <c r="AA1091">
        <v>0</v>
      </c>
      <c r="AB1091">
        <v>0</v>
      </c>
      <c r="AC1091">
        <v>0</v>
      </c>
      <c r="AD1091">
        <v>0</v>
      </c>
      <c r="AE1091">
        <v>0</v>
      </c>
      <c r="AF1091">
        <v>0</v>
      </c>
      <c r="AG1091">
        <v>0</v>
      </c>
      <c r="AH1091">
        <v>0</v>
      </c>
      <c r="AI1091">
        <v>0</v>
      </c>
      <c r="AJ1091" t="s">
        <v>930</v>
      </c>
      <c r="AK1091" t="s">
        <v>931</v>
      </c>
      <c r="AL1091" t="s">
        <v>208</v>
      </c>
      <c r="AM1091" t="s">
        <v>852</v>
      </c>
      <c r="AN1091" t="s">
        <v>824</v>
      </c>
      <c r="AO1091" t="s">
        <v>772</v>
      </c>
      <c r="AP1091" t="s">
        <v>1490</v>
      </c>
      <c r="AY1091" t="str">
        <f t="shared" ref="AY1091:AY1154" si="196">IF(INDEX(CK$3:CL$174,MATCH(H1091,CK$3:CK$174,0),2)="x",F1091,"")</f>
        <v/>
      </c>
      <c r="AZ1091" t="str">
        <f>IF(COUNTIF(AY:AY,AY1091)=1,AY1091,IF(AND(COUNTIF(AY:AY,AY1091)&gt;1,COUNTIF(AZ$2:AZ1090,AY1091)&gt;=1),"",AY1091))</f>
        <v/>
      </c>
      <c r="BA1091" t="str">
        <f>IF(AZ1091="","",COUNTIFS(AZ$3:AZ$1439,"&lt;"&amp;AZ1091,AZ$3:AZ$1439,"&lt;&gt;0")+COUNTIF(AZ$3:AZ1091,AZ1091)-876)</f>
        <v/>
      </c>
      <c r="BT1091" s="76"/>
      <c r="CN1091">
        <v>1090</v>
      </c>
    </row>
    <row r="1092" spans="1:92" x14ac:dyDescent="0.3">
      <c r="A1092" s="118" t="s">
        <v>1491</v>
      </c>
      <c r="B1092" t="s">
        <v>1492</v>
      </c>
      <c r="C1092" t="s">
        <v>1493</v>
      </c>
      <c r="D1092" s="144" t="s">
        <v>1494</v>
      </c>
      <c r="E1092" t="s">
        <v>813</v>
      </c>
      <c r="F1092" t="s">
        <v>1495</v>
      </c>
      <c r="G1092" t="s">
        <v>815</v>
      </c>
      <c r="H1092" t="s">
        <v>860</v>
      </c>
      <c r="I1092" t="s">
        <v>817</v>
      </c>
      <c r="J1092" t="s">
        <v>928</v>
      </c>
      <c r="K1092" t="s">
        <v>862</v>
      </c>
      <c r="L1092" t="s">
        <v>1409</v>
      </c>
      <c r="M1092" t="s">
        <v>208</v>
      </c>
      <c r="N1092" t="s">
        <v>776</v>
      </c>
      <c r="O1092" t="s">
        <v>824</v>
      </c>
      <c r="P1092" t="s">
        <v>772</v>
      </c>
      <c r="Q1092" t="s">
        <v>934</v>
      </c>
      <c r="R1092">
        <v>0</v>
      </c>
      <c r="S1092">
        <v>0</v>
      </c>
      <c r="T1092">
        <v>25</v>
      </c>
      <c r="U1092">
        <v>5</v>
      </c>
      <c r="V1092">
        <v>0</v>
      </c>
      <c r="W1092">
        <v>0</v>
      </c>
      <c r="X1092">
        <v>0</v>
      </c>
      <c r="Y1092">
        <v>0</v>
      </c>
      <c r="Z1092">
        <v>0</v>
      </c>
      <c r="AA1092">
        <v>0</v>
      </c>
      <c r="AB1092">
        <v>0</v>
      </c>
      <c r="AC1092">
        <v>0</v>
      </c>
      <c r="AD1092">
        <v>0</v>
      </c>
      <c r="AE1092">
        <v>0</v>
      </c>
      <c r="AF1092">
        <v>0</v>
      </c>
      <c r="AG1092">
        <v>0</v>
      </c>
      <c r="AH1092">
        <v>0</v>
      </c>
      <c r="AI1092">
        <v>0</v>
      </c>
      <c r="AJ1092" t="s">
        <v>930</v>
      </c>
      <c r="AK1092" t="s">
        <v>931</v>
      </c>
      <c r="AL1092" t="s">
        <v>208</v>
      </c>
      <c r="AM1092" t="s">
        <v>780</v>
      </c>
      <c r="AN1092" t="s">
        <v>824</v>
      </c>
      <c r="AO1092" t="s">
        <v>772</v>
      </c>
      <c r="AP1092" t="s">
        <v>1355</v>
      </c>
      <c r="AY1092" t="str">
        <f t="shared" si="196"/>
        <v/>
      </c>
      <c r="AZ1092" t="str">
        <f>IF(COUNTIF(AY:AY,AY1092)=1,AY1092,IF(AND(COUNTIF(AY:AY,AY1092)&gt;1,COUNTIF(AZ$2:AZ1091,AY1092)&gt;=1),"",AY1092))</f>
        <v/>
      </c>
      <c r="BA1092" t="str">
        <f>IF(AZ1092="","",COUNTIFS(AZ$3:AZ$1439,"&lt;"&amp;AZ1092,AZ$3:AZ$1439,"&lt;&gt;0")+COUNTIF(AZ$3:AZ1092,AZ1092)-876)</f>
        <v/>
      </c>
      <c r="BT1092" s="76"/>
      <c r="CN1092">
        <v>1091</v>
      </c>
    </row>
    <row r="1093" spans="1:92" x14ac:dyDescent="0.3">
      <c r="A1093" s="118" t="s">
        <v>1481</v>
      </c>
      <c r="B1093" t="s">
        <v>1482</v>
      </c>
      <c r="C1093" t="s">
        <v>1483</v>
      </c>
      <c r="D1093" s="144" t="s">
        <v>764</v>
      </c>
      <c r="E1093" t="s">
        <v>765</v>
      </c>
      <c r="F1093" t="s">
        <v>466</v>
      </c>
      <c r="G1093" t="s">
        <v>766</v>
      </c>
      <c r="H1093" t="s">
        <v>1484</v>
      </c>
      <c r="I1093" t="s">
        <v>766</v>
      </c>
      <c r="J1093" t="s">
        <v>928</v>
      </c>
      <c r="K1093" t="s">
        <v>862</v>
      </c>
      <c r="L1093" t="s">
        <v>1409</v>
      </c>
      <c r="M1093" t="s">
        <v>208</v>
      </c>
      <c r="N1093" t="s">
        <v>864</v>
      </c>
      <c r="O1093" t="s">
        <v>771</v>
      </c>
      <c r="P1093" t="s">
        <v>772</v>
      </c>
      <c r="Q1093" t="s">
        <v>869</v>
      </c>
      <c r="R1093">
        <v>13.4</v>
      </c>
      <c r="S1093">
        <v>3</v>
      </c>
      <c r="T1093">
        <v>0</v>
      </c>
      <c r="U1093">
        <v>0</v>
      </c>
      <c r="V1093">
        <v>0</v>
      </c>
      <c r="W1093">
        <v>0</v>
      </c>
      <c r="X1093">
        <v>0</v>
      </c>
      <c r="Y1093">
        <v>0</v>
      </c>
      <c r="Z1093">
        <v>0</v>
      </c>
      <c r="AA1093">
        <v>0</v>
      </c>
      <c r="AB1093">
        <v>13.4</v>
      </c>
      <c r="AC1093">
        <v>3</v>
      </c>
      <c r="AD1093">
        <v>13.4</v>
      </c>
      <c r="AE1093">
        <v>3</v>
      </c>
      <c r="AF1093">
        <v>0</v>
      </c>
      <c r="AG1093">
        <v>0</v>
      </c>
      <c r="AH1093">
        <v>0</v>
      </c>
      <c r="AI1093">
        <v>0</v>
      </c>
      <c r="AJ1093" t="s">
        <v>930</v>
      </c>
      <c r="AK1093" t="s">
        <v>931</v>
      </c>
      <c r="AL1093" t="s">
        <v>208</v>
      </c>
      <c r="AM1093" t="s">
        <v>932</v>
      </c>
      <c r="AN1093" t="s">
        <v>771</v>
      </c>
      <c r="AO1093" t="s">
        <v>772</v>
      </c>
      <c r="AP1093" t="s">
        <v>934</v>
      </c>
      <c r="AY1093" t="str">
        <f t="shared" si="196"/>
        <v>SEPTOTRYL INJECTABLE</v>
      </c>
      <c r="AZ1093" t="str">
        <f>IF(COUNTIF(AY:AY,AY1093)=1,AY1093,IF(AND(COUNTIF(AY:AY,AY1093)&gt;1,COUNTIF(AZ$2:AZ1092,AY1093)&gt;=1),"",AY1093))</f>
        <v>SEPTOTRYL INJECTABLE</v>
      </c>
      <c r="BA1093">
        <f>IF(AZ1093="","",COUNTIFS(AZ$3:AZ$1439,"&lt;"&amp;AZ1093,AZ$3:AZ$1439,"&lt;&gt;0")+COUNTIF(AZ$3:AZ1093,AZ1093)-876)</f>
        <v>433</v>
      </c>
      <c r="BT1093" s="76"/>
      <c r="CN1093">
        <v>1092</v>
      </c>
    </row>
    <row r="1094" spans="1:92" x14ac:dyDescent="0.3">
      <c r="A1094" s="118" t="s">
        <v>1481</v>
      </c>
      <c r="B1094" t="s">
        <v>1485</v>
      </c>
      <c r="C1094" t="s">
        <v>1474</v>
      </c>
      <c r="D1094" s="144" t="s">
        <v>776</v>
      </c>
      <c r="E1094" t="s">
        <v>765</v>
      </c>
      <c r="F1094" t="s">
        <v>466</v>
      </c>
      <c r="G1094" t="s">
        <v>766</v>
      </c>
      <c r="H1094" t="s">
        <v>1484</v>
      </c>
      <c r="I1094" t="s">
        <v>766</v>
      </c>
      <c r="J1094" t="s">
        <v>928</v>
      </c>
      <c r="K1094" t="s">
        <v>862</v>
      </c>
      <c r="L1094" t="s">
        <v>1409</v>
      </c>
      <c r="M1094" t="s">
        <v>208</v>
      </c>
      <c r="N1094" t="s">
        <v>864</v>
      </c>
      <c r="O1094" t="s">
        <v>771</v>
      </c>
      <c r="P1094" t="s">
        <v>772</v>
      </c>
      <c r="Q1094" t="s">
        <v>780</v>
      </c>
      <c r="R1094">
        <v>13.4</v>
      </c>
      <c r="S1094">
        <v>3</v>
      </c>
      <c r="T1094">
        <v>0</v>
      </c>
      <c r="U1094">
        <v>0</v>
      </c>
      <c r="V1094">
        <v>0</v>
      </c>
      <c r="W1094">
        <v>0</v>
      </c>
      <c r="X1094">
        <v>0</v>
      </c>
      <c r="Y1094">
        <v>0</v>
      </c>
      <c r="Z1094">
        <v>0</v>
      </c>
      <c r="AA1094">
        <v>0</v>
      </c>
      <c r="AB1094">
        <v>13.4</v>
      </c>
      <c r="AC1094">
        <v>3</v>
      </c>
      <c r="AD1094">
        <v>13.4</v>
      </c>
      <c r="AE1094">
        <v>3</v>
      </c>
      <c r="AF1094">
        <v>0</v>
      </c>
      <c r="AG1094">
        <v>0</v>
      </c>
      <c r="AH1094">
        <v>0</v>
      </c>
      <c r="AI1094">
        <v>0</v>
      </c>
      <c r="AJ1094" t="s">
        <v>930</v>
      </c>
      <c r="AK1094" t="s">
        <v>931</v>
      </c>
      <c r="AL1094" t="s">
        <v>208</v>
      </c>
      <c r="AM1094" t="s">
        <v>932</v>
      </c>
      <c r="AN1094" t="s">
        <v>771</v>
      </c>
      <c r="AO1094" t="s">
        <v>772</v>
      </c>
      <c r="AP1094" t="s">
        <v>852</v>
      </c>
      <c r="AY1094" t="str">
        <f t="shared" si="196"/>
        <v>SEPTOTRYL INJECTABLE</v>
      </c>
      <c r="AZ1094" t="str">
        <f>IF(COUNTIF(AY:AY,AY1094)=1,AY1094,IF(AND(COUNTIF(AY:AY,AY1094)&gt;1,COUNTIF(AZ$2:AZ1093,AY1094)&gt;=1),"",AY1094))</f>
        <v/>
      </c>
      <c r="BA1094" t="str">
        <f>IF(AZ1094="","",COUNTIFS(AZ$3:AZ$1439,"&lt;"&amp;AZ1094,AZ$3:AZ$1439,"&lt;&gt;0")+COUNTIF(AZ$3:AZ1094,AZ1094)-876)</f>
        <v/>
      </c>
      <c r="BT1094" s="76"/>
      <c r="CN1094">
        <v>1093</v>
      </c>
    </row>
    <row r="1095" spans="1:92" x14ac:dyDescent="0.3">
      <c r="A1095" s="118" t="s">
        <v>1496</v>
      </c>
      <c r="B1095" t="s">
        <v>1497</v>
      </c>
      <c r="C1095" t="s">
        <v>1498</v>
      </c>
      <c r="D1095" s="144" t="s">
        <v>1499</v>
      </c>
      <c r="E1095" t="s">
        <v>813</v>
      </c>
      <c r="F1095" t="s">
        <v>686</v>
      </c>
      <c r="G1095" t="s">
        <v>815</v>
      </c>
      <c r="H1095" t="s">
        <v>1500</v>
      </c>
      <c r="I1095" t="s">
        <v>817</v>
      </c>
      <c r="J1095" t="s">
        <v>1038</v>
      </c>
      <c r="K1095" t="s">
        <v>862</v>
      </c>
      <c r="L1095" t="s">
        <v>1409</v>
      </c>
      <c r="M1095" t="s">
        <v>208</v>
      </c>
      <c r="N1095" t="s">
        <v>829</v>
      </c>
      <c r="O1095" t="s">
        <v>824</v>
      </c>
      <c r="P1095" t="s">
        <v>772</v>
      </c>
      <c r="Q1095" t="s">
        <v>1499</v>
      </c>
      <c r="R1095">
        <v>50</v>
      </c>
      <c r="S1095">
        <v>3</v>
      </c>
      <c r="T1095">
        <v>50</v>
      </c>
      <c r="U1095">
        <v>3</v>
      </c>
      <c r="V1095">
        <v>50</v>
      </c>
      <c r="W1095">
        <v>3</v>
      </c>
      <c r="X1095">
        <v>0</v>
      </c>
      <c r="Y1095">
        <v>0</v>
      </c>
      <c r="Z1095">
        <v>0</v>
      </c>
      <c r="AA1095">
        <v>0</v>
      </c>
      <c r="AB1095">
        <v>50</v>
      </c>
      <c r="AC1095">
        <v>3</v>
      </c>
      <c r="AD1095">
        <v>0</v>
      </c>
      <c r="AE1095">
        <v>0</v>
      </c>
      <c r="AF1095">
        <v>0</v>
      </c>
      <c r="AG1095">
        <v>0</v>
      </c>
      <c r="AH1095">
        <v>0</v>
      </c>
      <c r="AI1095">
        <v>0</v>
      </c>
      <c r="AJ1095" t="s">
        <v>914</v>
      </c>
      <c r="AK1095" t="s">
        <v>995</v>
      </c>
      <c r="AL1095" t="s">
        <v>996</v>
      </c>
      <c r="AM1095" t="s">
        <v>1501</v>
      </c>
      <c r="AN1095" t="s">
        <v>820</v>
      </c>
      <c r="AO1095" t="s">
        <v>4371</v>
      </c>
      <c r="AP1095" t="s">
        <v>1506</v>
      </c>
      <c r="AY1095" t="str">
        <f t="shared" si="196"/>
        <v>SEPTOTRYL-COLISTINE</v>
      </c>
      <c r="AZ1095" t="str">
        <f>IF(COUNTIF(AY:AY,AY1095)=1,AY1095,IF(AND(COUNTIF(AY:AY,AY1095)&gt;1,COUNTIF(AZ$2:AZ1094,AY1095)&gt;=1),"",AY1095))</f>
        <v>SEPTOTRYL-COLISTINE</v>
      </c>
      <c r="BA1095">
        <f>IF(AZ1095="","",COUNTIFS(AZ$3:AZ$1439,"&lt;"&amp;AZ1095,AZ$3:AZ$1439,"&lt;&gt;0")+COUNTIF(AZ$3:AZ1095,AZ1095)-876)</f>
        <v>434</v>
      </c>
      <c r="BT1095" s="76"/>
      <c r="CN1095">
        <v>1094</v>
      </c>
    </row>
    <row r="1096" spans="1:92" x14ac:dyDescent="0.3">
      <c r="A1096" s="118" t="s">
        <v>1496</v>
      </c>
      <c r="B1096" t="s">
        <v>1502</v>
      </c>
      <c r="C1096" t="s">
        <v>1503</v>
      </c>
      <c r="D1096" s="144" t="s">
        <v>786</v>
      </c>
      <c r="E1096" t="s">
        <v>813</v>
      </c>
      <c r="F1096" t="s">
        <v>686</v>
      </c>
      <c r="G1096" t="s">
        <v>815</v>
      </c>
      <c r="H1096" t="s">
        <v>1500</v>
      </c>
      <c r="I1096" t="s">
        <v>817</v>
      </c>
      <c r="J1096" t="s">
        <v>1038</v>
      </c>
      <c r="K1096" t="s">
        <v>862</v>
      </c>
      <c r="L1096" t="s">
        <v>1409</v>
      </c>
      <c r="M1096" t="s">
        <v>208</v>
      </c>
      <c r="N1096" t="s">
        <v>829</v>
      </c>
      <c r="O1096" t="s">
        <v>824</v>
      </c>
      <c r="P1096" t="s">
        <v>772</v>
      </c>
      <c r="Q1096" t="s">
        <v>786</v>
      </c>
      <c r="R1096">
        <v>50</v>
      </c>
      <c r="S1096">
        <v>3</v>
      </c>
      <c r="T1096">
        <v>50</v>
      </c>
      <c r="U1096">
        <v>3</v>
      </c>
      <c r="V1096">
        <v>50</v>
      </c>
      <c r="W1096">
        <v>3</v>
      </c>
      <c r="X1096">
        <v>0</v>
      </c>
      <c r="Y1096">
        <v>0</v>
      </c>
      <c r="Z1096">
        <v>0</v>
      </c>
      <c r="AA1096">
        <v>0</v>
      </c>
      <c r="AB1096">
        <v>50</v>
      </c>
      <c r="AC1096">
        <v>3</v>
      </c>
      <c r="AD1096">
        <v>0</v>
      </c>
      <c r="AE1096">
        <v>0</v>
      </c>
      <c r="AF1096">
        <v>0</v>
      </c>
      <c r="AG1096">
        <v>0</v>
      </c>
      <c r="AH1096">
        <v>0</v>
      </c>
      <c r="AI1096">
        <v>0</v>
      </c>
      <c r="AJ1096" t="s">
        <v>914</v>
      </c>
      <c r="AK1096" t="s">
        <v>995</v>
      </c>
      <c r="AL1096" t="s">
        <v>996</v>
      </c>
      <c r="AM1096" t="s">
        <v>1501</v>
      </c>
      <c r="AN1096" t="s">
        <v>820</v>
      </c>
      <c r="AO1096" t="s">
        <v>4371</v>
      </c>
      <c r="AP1096" t="s">
        <v>2524</v>
      </c>
      <c r="AY1096" t="str">
        <f t="shared" si="196"/>
        <v>SEPTOTRYL-COLISTINE</v>
      </c>
      <c r="AZ1096" t="str">
        <f>IF(COUNTIF(AY:AY,AY1096)=1,AY1096,IF(AND(COUNTIF(AY:AY,AY1096)&gt;1,COUNTIF(AZ$2:AZ1095,AY1096)&gt;=1),"",AY1096))</f>
        <v/>
      </c>
      <c r="BA1096" t="str">
        <f>IF(AZ1096="","",COUNTIFS(AZ$3:AZ$1439,"&lt;"&amp;AZ1096,AZ$3:AZ$1439,"&lt;&gt;0")+COUNTIF(AZ$3:AZ1096,AZ1096)-876)</f>
        <v/>
      </c>
      <c r="BT1096" s="76"/>
      <c r="CN1096">
        <v>1095</v>
      </c>
    </row>
    <row r="1097" spans="1:92" x14ac:dyDescent="0.3">
      <c r="A1097" s="118" t="s">
        <v>1496</v>
      </c>
      <c r="B1097" t="s">
        <v>1504</v>
      </c>
      <c r="C1097" t="s">
        <v>1505</v>
      </c>
      <c r="D1097" s="144" t="s">
        <v>1506</v>
      </c>
      <c r="E1097" t="s">
        <v>813</v>
      </c>
      <c r="F1097" t="s">
        <v>686</v>
      </c>
      <c r="G1097" t="s">
        <v>815</v>
      </c>
      <c r="H1097" t="s">
        <v>1500</v>
      </c>
      <c r="I1097" t="s">
        <v>817</v>
      </c>
      <c r="J1097" t="s">
        <v>1038</v>
      </c>
      <c r="K1097" t="s">
        <v>862</v>
      </c>
      <c r="L1097" t="s">
        <v>1409</v>
      </c>
      <c r="M1097" t="s">
        <v>208</v>
      </c>
      <c r="N1097" t="s">
        <v>829</v>
      </c>
      <c r="O1097" t="s">
        <v>824</v>
      </c>
      <c r="P1097" t="s">
        <v>772</v>
      </c>
      <c r="Q1097" t="s">
        <v>1506</v>
      </c>
      <c r="R1097">
        <v>50</v>
      </c>
      <c r="S1097">
        <v>3</v>
      </c>
      <c r="T1097">
        <v>50</v>
      </c>
      <c r="U1097">
        <v>3</v>
      </c>
      <c r="V1097">
        <v>50</v>
      </c>
      <c r="W1097">
        <v>3</v>
      </c>
      <c r="X1097">
        <v>0</v>
      </c>
      <c r="Y1097">
        <v>0</v>
      </c>
      <c r="Z1097">
        <v>0</v>
      </c>
      <c r="AA1097">
        <v>0</v>
      </c>
      <c r="AB1097">
        <v>50</v>
      </c>
      <c r="AC1097">
        <v>3</v>
      </c>
      <c r="AD1097">
        <v>0</v>
      </c>
      <c r="AE1097">
        <v>0</v>
      </c>
      <c r="AF1097">
        <v>0</v>
      </c>
      <c r="AG1097">
        <v>0</v>
      </c>
      <c r="AH1097">
        <v>0</v>
      </c>
      <c r="AI1097">
        <v>0</v>
      </c>
      <c r="AJ1097" t="s">
        <v>914</v>
      </c>
      <c r="AK1097" t="s">
        <v>995</v>
      </c>
      <c r="AL1097" t="s">
        <v>996</v>
      </c>
      <c r="AM1097" t="s">
        <v>1501</v>
      </c>
      <c r="AN1097" t="s">
        <v>820</v>
      </c>
      <c r="AO1097" t="s">
        <v>4371</v>
      </c>
      <c r="AP1097" t="s">
        <v>2358</v>
      </c>
      <c r="AY1097" t="str">
        <f t="shared" si="196"/>
        <v>SEPTOTRYL-COLISTINE</v>
      </c>
      <c r="AZ1097" t="str">
        <f>IF(COUNTIF(AY:AY,AY1097)=1,AY1097,IF(AND(COUNTIF(AY:AY,AY1097)&gt;1,COUNTIF(AZ$2:AZ1096,AY1097)&gt;=1),"",AY1097))</f>
        <v/>
      </c>
      <c r="BA1097" t="str">
        <f>IF(AZ1097="","",COUNTIFS(AZ$3:AZ$1439,"&lt;"&amp;AZ1097,AZ$3:AZ$1439,"&lt;&gt;0")+COUNTIF(AZ$3:AZ1097,AZ1097)-876)</f>
        <v/>
      </c>
      <c r="BT1097" s="76"/>
      <c r="CN1097">
        <v>1096</v>
      </c>
    </row>
    <row r="1098" spans="1:92" x14ac:dyDescent="0.3">
      <c r="A1098" s="118" t="s">
        <v>3428</v>
      </c>
      <c r="B1098" t="s">
        <v>3429</v>
      </c>
      <c r="C1098" t="s">
        <v>3430</v>
      </c>
      <c r="D1098" s="144" t="s">
        <v>764</v>
      </c>
      <c r="E1098" t="s">
        <v>765</v>
      </c>
      <c r="F1098" t="s">
        <v>687</v>
      </c>
      <c r="G1098" t="s">
        <v>766</v>
      </c>
      <c r="H1098" t="s">
        <v>801</v>
      </c>
      <c r="I1098" t="s">
        <v>766</v>
      </c>
      <c r="J1098" t="s">
        <v>1752</v>
      </c>
      <c r="K1098" t="s">
        <v>1752</v>
      </c>
      <c r="L1098" t="s">
        <v>2511</v>
      </c>
      <c r="M1098" t="s">
        <v>208</v>
      </c>
      <c r="N1098" t="s">
        <v>1163</v>
      </c>
      <c r="O1098" t="s">
        <v>771</v>
      </c>
      <c r="P1098" t="s">
        <v>772</v>
      </c>
      <c r="Q1098" t="s">
        <v>797</v>
      </c>
      <c r="R1098">
        <v>40</v>
      </c>
      <c r="S1098">
        <v>1</v>
      </c>
      <c r="T1098">
        <v>0</v>
      </c>
      <c r="U1098">
        <v>0</v>
      </c>
      <c r="V1098">
        <v>0</v>
      </c>
      <c r="W1098">
        <v>0</v>
      </c>
      <c r="X1098">
        <v>0</v>
      </c>
      <c r="Y1098">
        <v>0</v>
      </c>
      <c r="Z1098">
        <v>0</v>
      </c>
      <c r="AA1098">
        <v>0</v>
      </c>
      <c r="AB1098">
        <v>0</v>
      </c>
      <c r="AC1098">
        <v>0</v>
      </c>
      <c r="AD1098">
        <v>0</v>
      </c>
      <c r="AE1098">
        <v>0</v>
      </c>
      <c r="AF1098">
        <v>0</v>
      </c>
      <c r="AG1098">
        <v>0</v>
      </c>
      <c r="AH1098">
        <v>0</v>
      </c>
      <c r="AI1098">
        <v>0</v>
      </c>
      <c r="AY1098" t="str">
        <f t="shared" si="196"/>
        <v>SHOTAFLOR 300 MG/ML SOLUTION INJECTABLE POUR BOVINS</v>
      </c>
      <c r="AZ1098" t="str">
        <f>IF(COUNTIF(AY:AY,AY1098)=1,AY1098,IF(AND(COUNTIF(AY:AY,AY1098)&gt;1,COUNTIF(AZ$2:AZ1097,AY1098)&gt;=1),"",AY1098))</f>
        <v>SHOTAFLOR 300 MG/ML SOLUTION INJECTABLE POUR BOVINS</v>
      </c>
      <c r="BA1098">
        <f>IF(AZ1098="","",COUNTIFS(AZ$3:AZ$1439,"&lt;"&amp;AZ1098,AZ$3:AZ$1439,"&lt;&gt;0")+COUNTIF(AZ$3:AZ1098,AZ1098)-876)</f>
        <v>435</v>
      </c>
      <c r="BT1098" s="76"/>
      <c r="CN1098">
        <v>1097</v>
      </c>
    </row>
    <row r="1099" spans="1:92" x14ac:dyDescent="0.3">
      <c r="A1099" s="118" t="s">
        <v>3428</v>
      </c>
      <c r="B1099" t="s">
        <v>3431</v>
      </c>
      <c r="C1099" t="s">
        <v>3432</v>
      </c>
      <c r="D1099" s="144" t="s">
        <v>776</v>
      </c>
      <c r="E1099" t="s">
        <v>765</v>
      </c>
      <c r="F1099" t="s">
        <v>687</v>
      </c>
      <c r="G1099" t="s">
        <v>766</v>
      </c>
      <c r="H1099" t="s">
        <v>801</v>
      </c>
      <c r="I1099" t="s">
        <v>766</v>
      </c>
      <c r="J1099" t="s">
        <v>1752</v>
      </c>
      <c r="K1099" t="s">
        <v>1752</v>
      </c>
      <c r="L1099" t="s">
        <v>2511</v>
      </c>
      <c r="M1099" t="s">
        <v>208</v>
      </c>
      <c r="N1099" t="s">
        <v>1163</v>
      </c>
      <c r="O1099" t="s">
        <v>771</v>
      </c>
      <c r="P1099" t="s">
        <v>772</v>
      </c>
      <c r="Q1099" t="s">
        <v>1255</v>
      </c>
      <c r="R1099">
        <v>40</v>
      </c>
      <c r="S1099">
        <v>1</v>
      </c>
      <c r="T1099">
        <v>0</v>
      </c>
      <c r="U1099">
        <v>0</v>
      </c>
      <c r="V1099">
        <v>0</v>
      </c>
      <c r="W1099">
        <v>0</v>
      </c>
      <c r="X1099">
        <v>0</v>
      </c>
      <c r="Y1099">
        <v>0</v>
      </c>
      <c r="Z1099">
        <v>0</v>
      </c>
      <c r="AA1099">
        <v>0</v>
      </c>
      <c r="AB1099">
        <v>0</v>
      </c>
      <c r="AC1099">
        <v>0</v>
      </c>
      <c r="AD1099">
        <v>0</v>
      </c>
      <c r="AE1099">
        <v>0</v>
      </c>
      <c r="AF1099">
        <v>0</v>
      </c>
      <c r="AG1099">
        <v>0</v>
      </c>
      <c r="AH1099">
        <v>0</v>
      </c>
      <c r="AI1099">
        <v>0</v>
      </c>
      <c r="AY1099" t="str">
        <f t="shared" si="196"/>
        <v>SHOTAFLOR 300 MG/ML SOLUTION INJECTABLE POUR BOVINS</v>
      </c>
      <c r="AZ1099" t="str">
        <f>IF(COUNTIF(AY:AY,AY1099)=1,AY1099,IF(AND(COUNTIF(AY:AY,AY1099)&gt;1,COUNTIF(AZ$2:AZ1098,AY1099)&gt;=1),"",AY1099))</f>
        <v/>
      </c>
      <c r="BA1099" t="str">
        <f>IF(AZ1099="","",COUNTIFS(AZ$3:AZ$1439,"&lt;"&amp;AZ1099,AZ$3:AZ$1439,"&lt;&gt;0")+COUNTIF(AZ$3:AZ1099,AZ1099)-876)</f>
        <v/>
      </c>
      <c r="BT1099" s="76"/>
      <c r="CN1099">
        <v>1098</v>
      </c>
    </row>
    <row r="1100" spans="1:92" x14ac:dyDescent="0.3">
      <c r="A1100" s="118" t="s">
        <v>3433</v>
      </c>
      <c r="B1100" t="s">
        <v>3434</v>
      </c>
      <c r="C1100" t="s">
        <v>3432</v>
      </c>
      <c r="D1100" s="144" t="s">
        <v>776</v>
      </c>
      <c r="E1100" t="s">
        <v>765</v>
      </c>
      <c r="F1100" t="s">
        <v>688</v>
      </c>
      <c r="G1100" t="s">
        <v>766</v>
      </c>
      <c r="H1100" t="s">
        <v>1213</v>
      </c>
      <c r="I1100" t="s">
        <v>766</v>
      </c>
      <c r="J1100" t="s">
        <v>1752</v>
      </c>
      <c r="K1100" t="s">
        <v>1752</v>
      </c>
      <c r="L1100" t="s">
        <v>2511</v>
      </c>
      <c r="M1100" t="s">
        <v>208</v>
      </c>
      <c r="N1100" t="s">
        <v>1163</v>
      </c>
      <c r="O1100" t="s">
        <v>771</v>
      </c>
      <c r="P1100" t="s">
        <v>772</v>
      </c>
      <c r="Q1100" t="s">
        <v>1255</v>
      </c>
      <c r="R1100">
        <v>0</v>
      </c>
      <c r="S1100">
        <v>0</v>
      </c>
      <c r="T1100">
        <v>0</v>
      </c>
      <c r="U1100">
        <v>0</v>
      </c>
      <c r="V1100">
        <v>0</v>
      </c>
      <c r="W1100">
        <v>0</v>
      </c>
      <c r="X1100">
        <v>0</v>
      </c>
      <c r="Y1100">
        <v>0</v>
      </c>
      <c r="Z1100">
        <v>0</v>
      </c>
      <c r="AA1100">
        <v>0</v>
      </c>
      <c r="AB1100">
        <v>0</v>
      </c>
      <c r="AC1100">
        <v>0</v>
      </c>
      <c r="AD1100">
        <v>15</v>
      </c>
      <c r="AE1100">
        <v>2</v>
      </c>
      <c r="AF1100">
        <v>0</v>
      </c>
      <c r="AG1100">
        <v>0</v>
      </c>
      <c r="AH1100">
        <v>0</v>
      </c>
      <c r="AI1100">
        <v>0</v>
      </c>
      <c r="AY1100" t="str">
        <f t="shared" si="196"/>
        <v>SHOTAFLOR 300 MG/ML SOLUTION INJECTABLE POUR PORCS</v>
      </c>
      <c r="AZ1100" t="str">
        <f>IF(COUNTIF(AY:AY,AY1100)=1,AY1100,IF(AND(COUNTIF(AY:AY,AY1100)&gt;1,COUNTIF(AZ$2:AZ1099,AY1100)&gt;=1),"",AY1100))</f>
        <v>SHOTAFLOR 300 MG/ML SOLUTION INJECTABLE POUR PORCS</v>
      </c>
      <c r="BA1100">
        <f>IF(AZ1100="","",COUNTIFS(AZ$3:AZ$1439,"&lt;"&amp;AZ1100,AZ$3:AZ$1439,"&lt;&gt;0")+COUNTIF(AZ$3:AZ1100,AZ1100)-876)</f>
        <v>436</v>
      </c>
      <c r="BT1100" s="76"/>
      <c r="CN1100">
        <v>1099</v>
      </c>
    </row>
    <row r="1101" spans="1:92" x14ac:dyDescent="0.3">
      <c r="A1101" s="118" t="s">
        <v>3433</v>
      </c>
      <c r="B1101" t="s">
        <v>3435</v>
      </c>
      <c r="C1101" t="s">
        <v>3430</v>
      </c>
      <c r="D1101" s="144" t="s">
        <v>764</v>
      </c>
      <c r="E1101" t="s">
        <v>765</v>
      </c>
      <c r="F1101" t="s">
        <v>688</v>
      </c>
      <c r="G1101" t="s">
        <v>766</v>
      </c>
      <c r="H1101" t="s">
        <v>1213</v>
      </c>
      <c r="I1101" t="s">
        <v>766</v>
      </c>
      <c r="J1101" t="s">
        <v>1752</v>
      </c>
      <c r="K1101" t="s">
        <v>1752</v>
      </c>
      <c r="L1101" t="s">
        <v>2511</v>
      </c>
      <c r="M1101" t="s">
        <v>208</v>
      </c>
      <c r="N1101" t="s">
        <v>1163</v>
      </c>
      <c r="O1101" t="s">
        <v>771</v>
      </c>
      <c r="P1101" t="s">
        <v>772</v>
      </c>
      <c r="Q1101" t="s">
        <v>797</v>
      </c>
      <c r="R1101">
        <v>0</v>
      </c>
      <c r="S1101">
        <v>0</v>
      </c>
      <c r="T1101">
        <v>0</v>
      </c>
      <c r="U1101">
        <v>0</v>
      </c>
      <c r="V1101">
        <v>0</v>
      </c>
      <c r="W1101">
        <v>0</v>
      </c>
      <c r="X1101">
        <v>0</v>
      </c>
      <c r="Y1101">
        <v>0</v>
      </c>
      <c r="Z1101">
        <v>0</v>
      </c>
      <c r="AA1101">
        <v>0</v>
      </c>
      <c r="AB1101">
        <v>0</v>
      </c>
      <c r="AC1101">
        <v>0</v>
      </c>
      <c r="AD1101">
        <v>15</v>
      </c>
      <c r="AE1101">
        <v>2</v>
      </c>
      <c r="AF1101">
        <v>0</v>
      </c>
      <c r="AG1101">
        <v>0</v>
      </c>
      <c r="AH1101">
        <v>0</v>
      </c>
      <c r="AI1101">
        <v>0</v>
      </c>
      <c r="AY1101" t="str">
        <f t="shared" si="196"/>
        <v>SHOTAFLOR 300 MG/ML SOLUTION INJECTABLE POUR PORCS</v>
      </c>
      <c r="AZ1101" t="str">
        <f>IF(COUNTIF(AY:AY,AY1101)=1,AY1101,IF(AND(COUNTIF(AY:AY,AY1101)&gt;1,COUNTIF(AZ$2:AZ1100,AY1101)&gt;=1),"",AY1101))</f>
        <v/>
      </c>
      <c r="BA1101" t="str">
        <f>IF(AZ1101="","",COUNTIFS(AZ$3:AZ$1439,"&lt;"&amp;AZ1101,AZ$3:AZ$1439,"&lt;&gt;0")+COUNTIF(AZ$3:AZ1101,AZ1101)-876)</f>
        <v/>
      </c>
      <c r="BT1101" s="76"/>
      <c r="CN1101">
        <v>1100</v>
      </c>
    </row>
    <row r="1102" spans="1:92" x14ac:dyDescent="0.3">
      <c r="A1102" s="118" t="s">
        <v>1339</v>
      </c>
      <c r="B1102" t="s">
        <v>1340</v>
      </c>
      <c r="C1102" t="s">
        <v>1341</v>
      </c>
      <c r="D1102" s="144" t="s">
        <v>780</v>
      </c>
      <c r="E1102" t="s">
        <v>765</v>
      </c>
      <c r="F1102" t="s">
        <v>46</v>
      </c>
      <c r="G1102" t="s">
        <v>766</v>
      </c>
      <c r="H1102" t="s">
        <v>1342</v>
      </c>
      <c r="I1102" t="s">
        <v>766</v>
      </c>
      <c r="J1102" t="s">
        <v>782</v>
      </c>
      <c r="K1102" t="s">
        <v>783</v>
      </c>
      <c r="L1102" t="s">
        <v>945</v>
      </c>
      <c r="M1102" t="s">
        <v>208</v>
      </c>
      <c r="N1102" t="s">
        <v>1317</v>
      </c>
      <c r="O1102" t="s">
        <v>771</v>
      </c>
      <c r="P1102" t="s">
        <v>772</v>
      </c>
      <c r="Q1102" t="s">
        <v>1343</v>
      </c>
      <c r="R1102">
        <v>16.399999999999999</v>
      </c>
      <c r="S1102">
        <v>1</v>
      </c>
      <c r="T1102">
        <v>13.1</v>
      </c>
      <c r="U1102">
        <v>1</v>
      </c>
      <c r="V1102">
        <v>0</v>
      </c>
      <c r="W1102">
        <v>0</v>
      </c>
      <c r="X1102">
        <v>0</v>
      </c>
      <c r="Y1102">
        <v>0</v>
      </c>
      <c r="Z1102">
        <v>0</v>
      </c>
      <c r="AA1102">
        <v>0</v>
      </c>
      <c r="AB1102">
        <v>0</v>
      </c>
      <c r="AC1102">
        <v>0</v>
      </c>
      <c r="AD1102">
        <v>16.399999999999999</v>
      </c>
      <c r="AE1102">
        <v>1</v>
      </c>
      <c r="AF1102">
        <v>0</v>
      </c>
      <c r="AG1102">
        <v>0</v>
      </c>
      <c r="AH1102">
        <v>16.399999999999999</v>
      </c>
      <c r="AI1102">
        <v>1</v>
      </c>
      <c r="AJ1102" t="s">
        <v>787</v>
      </c>
      <c r="AK1102" t="s">
        <v>788</v>
      </c>
      <c r="AL1102" t="s">
        <v>208</v>
      </c>
      <c r="AM1102" t="s">
        <v>1344</v>
      </c>
      <c r="AN1102" t="s">
        <v>771</v>
      </c>
      <c r="AO1102" t="s">
        <v>772</v>
      </c>
      <c r="AP1102" t="s">
        <v>1345</v>
      </c>
      <c r="AY1102" t="str">
        <f t="shared" si="196"/>
        <v>SHOTAPEN</v>
      </c>
      <c r="AZ1102" t="str">
        <f>IF(COUNTIF(AY:AY,AY1102)=1,AY1102,IF(AND(COUNTIF(AY:AY,AY1102)&gt;1,COUNTIF(AZ$2:AZ1101,AY1102)&gt;=1),"",AY1102))</f>
        <v>SHOTAPEN</v>
      </c>
      <c r="BA1102">
        <f>IF(AZ1102="","",COUNTIFS(AZ$3:AZ$1439,"&lt;"&amp;AZ1102,AZ$3:AZ$1439,"&lt;&gt;0")+COUNTIF(AZ$3:AZ1102,AZ1102)-876)</f>
        <v>437</v>
      </c>
      <c r="BT1102" s="76"/>
      <c r="CN1102">
        <v>1101</v>
      </c>
    </row>
    <row r="1103" spans="1:92" x14ac:dyDescent="0.3">
      <c r="A1103" s="118" t="s">
        <v>1339</v>
      </c>
      <c r="B1103" t="s">
        <v>1346</v>
      </c>
      <c r="C1103" t="s">
        <v>1347</v>
      </c>
      <c r="D1103" s="144" t="s">
        <v>764</v>
      </c>
      <c r="E1103" t="s">
        <v>765</v>
      </c>
      <c r="F1103" t="s">
        <v>46</v>
      </c>
      <c r="G1103" t="s">
        <v>766</v>
      </c>
      <c r="H1103" t="s">
        <v>1342</v>
      </c>
      <c r="I1103" t="s">
        <v>766</v>
      </c>
      <c r="J1103" t="s">
        <v>782</v>
      </c>
      <c r="K1103" t="s">
        <v>783</v>
      </c>
      <c r="L1103" t="s">
        <v>945</v>
      </c>
      <c r="M1103" t="s">
        <v>208</v>
      </c>
      <c r="N1103" t="s">
        <v>1317</v>
      </c>
      <c r="O1103" t="s">
        <v>771</v>
      </c>
      <c r="P1103" t="s">
        <v>772</v>
      </c>
      <c r="Q1103" t="s">
        <v>1318</v>
      </c>
      <c r="R1103">
        <v>16.399999999999999</v>
      </c>
      <c r="S1103">
        <v>1</v>
      </c>
      <c r="T1103">
        <v>13.1</v>
      </c>
      <c r="U1103">
        <v>1</v>
      </c>
      <c r="V1103">
        <v>0</v>
      </c>
      <c r="W1103">
        <v>0</v>
      </c>
      <c r="X1103">
        <v>0</v>
      </c>
      <c r="Y1103">
        <v>0</v>
      </c>
      <c r="Z1103">
        <v>0</v>
      </c>
      <c r="AA1103">
        <v>0</v>
      </c>
      <c r="AB1103">
        <v>0</v>
      </c>
      <c r="AC1103">
        <v>0</v>
      </c>
      <c r="AD1103">
        <v>16.399999999999999</v>
      </c>
      <c r="AE1103">
        <v>1</v>
      </c>
      <c r="AF1103">
        <v>0</v>
      </c>
      <c r="AG1103">
        <v>0</v>
      </c>
      <c r="AH1103">
        <v>16.399999999999999</v>
      </c>
      <c r="AI1103">
        <v>1</v>
      </c>
      <c r="AJ1103" t="s">
        <v>787</v>
      </c>
      <c r="AK1103" t="s">
        <v>788</v>
      </c>
      <c r="AL1103" t="s">
        <v>208</v>
      </c>
      <c r="AM1103" t="s">
        <v>1344</v>
      </c>
      <c r="AN1103" t="s">
        <v>771</v>
      </c>
      <c r="AO1103" t="s">
        <v>772</v>
      </c>
      <c r="AP1103" t="s">
        <v>1348</v>
      </c>
      <c r="AY1103" t="str">
        <f t="shared" si="196"/>
        <v>SHOTAPEN</v>
      </c>
      <c r="AZ1103" t="str">
        <f>IF(COUNTIF(AY:AY,AY1103)=1,AY1103,IF(AND(COUNTIF(AY:AY,AY1103)&gt;1,COUNTIF(AZ$2:AZ1102,AY1103)&gt;=1),"",AY1103))</f>
        <v/>
      </c>
      <c r="BA1103" t="str">
        <f>IF(AZ1103="","",COUNTIFS(AZ$3:AZ$1439,"&lt;"&amp;AZ1103,AZ$3:AZ$1439,"&lt;&gt;0")+COUNTIF(AZ$3:AZ1103,AZ1103)-876)</f>
        <v/>
      </c>
      <c r="BT1103" s="76"/>
      <c r="CN1103">
        <v>1102</v>
      </c>
    </row>
    <row r="1104" spans="1:92" x14ac:dyDescent="0.3">
      <c r="A1104" s="118" t="s">
        <v>1339</v>
      </c>
      <c r="B1104" t="s">
        <v>1349</v>
      </c>
      <c r="C1104" t="s">
        <v>1350</v>
      </c>
      <c r="D1104" s="144" t="s">
        <v>776</v>
      </c>
      <c r="E1104" t="s">
        <v>765</v>
      </c>
      <c r="F1104" t="s">
        <v>46</v>
      </c>
      <c r="G1104" t="s">
        <v>766</v>
      </c>
      <c r="H1104" t="s">
        <v>1342</v>
      </c>
      <c r="I1104" t="s">
        <v>766</v>
      </c>
      <c r="J1104" t="s">
        <v>782</v>
      </c>
      <c r="K1104" t="s">
        <v>783</v>
      </c>
      <c r="L1104" t="s">
        <v>945</v>
      </c>
      <c r="M1104" t="s">
        <v>208</v>
      </c>
      <c r="N1104" t="s">
        <v>1317</v>
      </c>
      <c r="O1104" t="s">
        <v>771</v>
      </c>
      <c r="P1104" t="s">
        <v>772</v>
      </c>
      <c r="Q1104" t="s">
        <v>1320</v>
      </c>
      <c r="R1104">
        <v>16.399999999999999</v>
      </c>
      <c r="S1104">
        <v>1</v>
      </c>
      <c r="T1104">
        <v>13.1</v>
      </c>
      <c r="U1104">
        <v>1</v>
      </c>
      <c r="V1104">
        <v>0</v>
      </c>
      <c r="W1104">
        <v>0</v>
      </c>
      <c r="X1104">
        <v>0</v>
      </c>
      <c r="Y1104">
        <v>0</v>
      </c>
      <c r="Z1104">
        <v>0</v>
      </c>
      <c r="AA1104">
        <v>0</v>
      </c>
      <c r="AB1104">
        <v>0</v>
      </c>
      <c r="AC1104">
        <v>0</v>
      </c>
      <c r="AD1104">
        <v>16.399999999999999</v>
      </c>
      <c r="AE1104">
        <v>1</v>
      </c>
      <c r="AF1104">
        <v>0</v>
      </c>
      <c r="AG1104">
        <v>0</v>
      </c>
      <c r="AH1104">
        <v>16.399999999999999</v>
      </c>
      <c r="AI1104">
        <v>1</v>
      </c>
      <c r="AJ1104" t="s">
        <v>787</v>
      </c>
      <c r="AK1104" t="s">
        <v>788</v>
      </c>
      <c r="AL1104" t="s">
        <v>208</v>
      </c>
      <c r="AM1104" t="s">
        <v>1344</v>
      </c>
      <c r="AN1104" t="s">
        <v>771</v>
      </c>
      <c r="AO1104" t="s">
        <v>772</v>
      </c>
      <c r="AP1104" t="s">
        <v>1351</v>
      </c>
      <c r="AY1104" t="str">
        <f t="shared" si="196"/>
        <v>SHOTAPEN</v>
      </c>
      <c r="AZ1104" t="str">
        <f>IF(COUNTIF(AY:AY,AY1104)=1,AY1104,IF(AND(COUNTIF(AY:AY,AY1104)&gt;1,COUNTIF(AZ$2:AZ1103,AY1104)&gt;=1),"",AY1104))</f>
        <v/>
      </c>
      <c r="BA1104" t="str">
        <f>IF(AZ1104="","",COUNTIFS(AZ$3:AZ$1439,"&lt;"&amp;AZ1104,AZ$3:AZ$1439,"&lt;&gt;0")+COUNTIF(AZ$3:AZ1104,AZ1104)-876)</f>
        <v/>
      </c>
      <c r="BT1104" s="76"/>
      <c r="CN1104">
        <v>1103</v>
      </c>
    </row>
    <row r="1105" spans="1:92" x14ac:dyDescent="0.3">
      <c r="A1105" s="118" t="s">
        <v>1795</v>
      </c>
      <c r="B1105" t="s">
        <v>1796</v>
      </c>
      <c r="C1105" t="s">
        <v>943</v>
      </c>
      <c r="D1105" s="144" t="s">
        <v>764</v>
      </c>
      <c r="E1105" t="s">
        <v>765</v>
      </c>
      <c r="F1105" t="s">
        <v>120</v>
      </c>
      <c r="G1105" t="s">
        <v>766</v>
      </c>
      <c r="H1105" t="s">
        <v>1797</v>
      </c>
      <c r="I1105" t="s">
        <v>766</v>
      </c>
      <c r="J1105" t="s">
        <v>991</v>
      </c>
      <c r="K1105" t="s">
        <v>787</v>
      </c>
      <c r="L1105" t="s">
        <v>992</v>
      </c>
      <c r="M1105" t="s">
        <v>208</v>
      </c>
      <c r="N1105" t="s">
        <v>764</v>
      </c>
      <c r="O1105" t="s">
        <v>771</v>
      </c>
      <c r="P1105" t="s">
        <v>772</v>
      </c>
      <c r="Q1105" t="s">
        <v>852</v>
      </c>
      <c r="R1105">
        <v>20</v>
      </c>
      <c r="S1105">
        <v>3</v>
      </c>
      <c r="T1105">
        <v>20</v>
      </c>
      <c r="U1105">
        <v>3</v>
      </c>
      <c r="V1105">
        <v>20</v>
      </c>
      <c r="W1105">
        <v>3</v>
      </c>
      <c r="X1105">
        <v>0</v>
      </c>
      <c r="Y1105">
        <v>0</v>
      </c>
      <c r="Z1105">
        <v>0</v>
      </c>
      <c r="AA1105">
        <v>0</v>
      </c>
      <c r="AB1105">
        <v>20</v>
      </c>
      <c r="AC1105">
        <v>3</v>
      </c>
      <c r="AD1105">
        <v>20</v>
      </c>
      <c r="AE1105">
        <v>3</v>
      </c>
      <c r="AF1105">
        <v>40</v>
      </c>
      <c r="AG1105">
        <v>3</v>
      </c>
      <c r="AH1105">
        <v>0</v>
      </c>
      <c r="AI1105">
        <v>0</v>
      </c>
      <c r="AJ1105" t="s">
        <v>914</v>
      </c>
      <c r="AK1105" t="s">
        <v>995</v>
      </c>
      <c r="AL1105" t="s">
        <v>996</v>
      </c>
      <c r="AM1105" t="s">
        <v>997</v>
      </c>
      <c r="AN1105" t="s">
        <v>805</v>
      </c>
      <c r="AO1105" t="s">
        <v>4371</v>
      </c>
      <c r="AP1105" t="s">
        <v>1128</v>
      </c>
      <c r="AY1105" t="str">
        <f t="shared" si="196"/>
        <v>SODIBIO</v>
      </c>
      <c r="AZ1105" t="str">
        <f>IF(COUNTIF(AY:AY,AY1105)=1,AY1105,IF(AND(COUNTIF(AY:AY,AY1105)&gt;1,COUNTIF(AZ$2:AZ1104,AY1105)&gt;=1),"",AY1105))</f>
        <v>SODIBIO</v>
      </c>
      <c r="BA1105">
        <f>IF(AZ1105="","",COUNTIFS(AZ$3:AZ$1439,"&lt;"&amp;AZ1105,AZ$3:AZ$1439,"&lt;&gt;0")+COUNTIF(AZ$3:AZ1105,AZ1105)-876)</f>
        <v>438</v>
      </c>
      <c r="BT1105" s="76"/>
      <c r="CN1105">
        <v>1104</v>
      </c>
    </row>
    <row r="1106" spans="1:92" x14ac:dyDescent="0.3">
      <c r="A1106" s="118" t="s">
        <v>1795</v>
      </c>
      <c r="B1106" t="s">
        <v>1798</v>
      </c>
      <c r="C1106" t="s">
        <v>949</v>
      </c>
      <c r="D1106" s="144" t="s">
        <v>776</v>
      </c>
      <c r="E1106" t="s">
        <v>765</v>
      </c>
      <c r="F1106" t="s">
        <v>120</v>
      </c>
      <c r="G1106" t="s">
        <v>766</v>
      </c>
      <c r="H1106" t="s">
        <v>1797</v>
      </c>
      <c r="I1106" t="s">
        <v>766</v>
      </c>
      <c r="J1106" t="s">
        <v>991</v>
      </c>
      <c r="K1106" t="s">
        <v>787</v>
      </c>
      <c r="L1106" t="s">
        <v>992</v>
      </c>
      <c r="M1106" t="s">
        <v>208</v>
      </c>
      <c r="N1106" t="s">
        <v>764</v>
      </c>
      <c r="O1106" t="s">
        <v>771</v>
      </c>
      <c r="P1106" t="s">
        <v>772</v>
      </c>
      <c r="Q1106" t="s">
        <v>855</v>
      </c>
      <c r="R1106">
        <v>20</v>
      </c>
      <c r="S1106">
        <v>3</v>
      </c>
      <c r="T1106">
        <v>20</v>
      </c>
      <c r="U1106">
        <v>3</v>
      </c>
      <c r="V1106">
        <v>20</v>
      </c>
      <c r="W1106">
        <v>3</v>
      </c>
      <c r="X1106">
        <v>0</v>
      </c>
      <c r="Y1106">
        <v>0</v>
      </c>
      <c r="Z1106">
        <v>0</v>
      </c>
      <c r="AA1106">
        <v>0</v>
      </c>
      <c r="AB1106">
        <v>20</v>
      </c>
      <c r="AC1106">
        <v>3</v>
      </c>
      <c r="AD1106">
        <v>20</v>
      </c>
      <c r="AE1106">
        <v>3</v>
      </c>
      <c r="AF1106">
        <v>40</v>
      </c>
      <c r="AG1106">
        <v>3</v>
      </c>
      <c r="AH1106">
        <v>0</v>
      </c>
      <c r="AI1106">
        <v>0</v>
      </c>
      <c r="AJ1106" t="s">
        <v>914</v>
      </c>
      <c r="AK1106" t="s">
        <v>995</v>
      </c>
      <c r="AL1106" t="s">
        <v>996</v>
      </c>
      <c r="AM1106" t="s">
        <v>997</v>
      </c>
      <c r="AN1106" t="s">
        <v>805</v>
      </c>
      <c r="AO1106" t="s">
        <v>4371</v>
      </c>
      <c r="AP1106" t="s">
        <v>4372</v>
      </c>
      <c r="AY1106" t="str">
        <f t="shared" si="196"/>
        <v>SODIBIO</v>
      </c>
      <c r="AZ1106" t="str">
        <f>IF(COUNTIF(AY:AY,AY1106)=1,AY1106,IF(AND(COUNTIF(AY:AY,AY1106)&gt;1,COUNTIF(AZ$2:AZ1105,AY1106)&gt;=1),"",AY1106))</f>
        <v/>
      </c>
      <c r="BA1106" t="str">
        <f>IF(AZ1106="","",COUNTIFS(AZ$3:AZ$1439,"&lt;"&amp;AZ1106,AZ$3:AZ$1439,"&lt;&gt;0")+COUNTIF(AZ$3:AZ1106,AZ1106)-876)</f>
        <v/>
      </c>
      <c r="BT1106" s="76"/>
      <c r="CN1106">
        <v>1105</v>
      </c>
    </row>
    <row r="1107" spans="1:92" x14ac:dyDescent="0.3">
      <c r="A1107" s="118" t="s">
        <v>1792</v>
      </c>
      <c r="B1107" t="s">
        <v>1793</v>
      </c>
      <c r="C1107" t="s">
        <v>1794</v>
      </c>
      <c r="D1107" s="144" t="s">
        <v>906</v>
      </c>
      <c r="E1107" t="s">
        <v>765</v>
      </c>
      <c r="F1107" t="s">
        <v>467</v>
      </c>
      <c r="G1107" t="s">
        <v>766</v>
      </c>
      <c r="H1107" t="s">
        <v>1697</v>
      </c>
      <c r="I1107" t="s">
        <v>766</v>
      </c>
      <c r="J1107" t="s">
        <v>914</v>
      </c>
      <c r="K1107" t="s">
        <v>914</v>
      </c>
      <c r="L1107" t="s">
        <v>995</v>
      </c>
      <c r="M1107" t="s">
        <v>996</v>
      </c>
      <c r="N1107" t="s">
        <v>1103</v>
      </c>
      <c r="O1107" t="s">
        <v>805</v>
      </c>
      <c r="P1107" t="s">
        <v>4371</v>
      </c>
      <c r="Q1107" t="s">
        <v>885</v>
      </c>
      <c r="R1107">
        <v>2.5</v>
      </c>
      <c r="S1107">
        <v>3</v>
      </c>
      <c r="T1107">
        <v>0</v>
      </c>
      <c r="U1107">
        <v>0</v>
      </c>
      <c r="V1107">
        <v>0</v>
      </c>
      <c r="W1107">
        <v>0</v>
      </c>
      <c r="X1107">
        <v>0</v>
      </c>
      <c r="Y1107">
        <v>0</v>
      </c>
      <c r="Z1107">
        <v>2.5</v>
      </c>
      <c r="AA1107">
        <v>3</v>
      </c>
      <c r="AB1107">
        <v>2.5</v>
      </c>
      <c r="AC1107">
        <v>3</v>
      </c>
      <c r="AD1107">
        <v>2.5</v>
      </c>
      <c r="AE1107">
        <v>3</v>
      </c>
      <c r="AF1107">
        <v>2.5</v>
      </c>
      <c r="AG1107">
        <v>3</v>
      </c>
      <c r="AH1107">
        <v>0</v>
      </c>
      <c r="AI1107">
        <v>0</v>
      </c>
      <c r="AY1107" t="str">
        <f t="shared" si="196"/>
        <v>SODICOLY INJECTABLE</v>
      </c>
      <c r="AZ1107" t="str">
        <f>IF(COUNTIF(AY:AY,AY1107)=1,AY1107,IF(AND(COUNTIF(AY:AY,AY1107)&gt;1,COUNTIF(AZ$2:AZ1106,AY1107)&gt;=1),"",AY1107))</f>
        <v>SODICOLY INJECTABLE</v>
      </c>
      <c r="BA1107">
        <f>IF(AZ1107="","",COUNTIFS(AZ$3:AZ$1439,"&lt;"&amp;AZ1107,AZ$3:AZ$1439,"&lt;&gt;0")+COUNTIF(AZ$3:AZ1107,AZ1107)-876)</f>
        <v>439</v>
      </c>
      <c r="BT1107" s="76"/>
      <c r="CN1107">
        <v>1106</v>
      </c>
    </row>
    <row r="1108" spans="1:92" x14ac:dyDescent="0.3">
      <c r="A1108" s="118" t="s">
        <v>3888</v>
      </c>
      <c r="B1108" t="s">
        <v>3889</v>
      </c>
      <c r="C1108" t="s">
        <v>3890</v>
      </c>
      <c r="D1108" s="144" t="s">
        <v>2712</v>
      </c>
      <c r="E1108" t="s">
        <v>813</v>
      </c>
      <c r="F1108" t="s">
        <v>3891</v>
      </c>
      <c r="G1108" t="s">
        <v>815</v>
      </c>
      <c r="H1108" t="s">
        <v>860</v>
      </c>
      <c r="I1108" t="s">
        <v>817</v>
      </c>
      <c r="J1108" t="s">
        <v>2366</v>
      </c>
      <c r="K1108" t="s">
        <v>2366</v>
      </c>
      <c r="L1108" t="s">
        <v>2690</v>
      </c>
      <c r="M1108" t="s">
        <v>208</v>
      </c>
      <c r="N1108" t="s">
        <v>869</v>
      </c>
      <c r="O1108" t="s">
        <v>824</v>
      </c>
      <c r="P1108" t="s">
        <v>772</v>
      </c>
      <c r="Q1108" t="s">
        <v>3892</v>
      </c>
      <c r="R1108">
        <v>0</v>
      </c>
      <c r="S1108">
        <v>0</v>
      </c>
      <c r="T1108">
        <v>2</v>
      </c>
      <c r="U1108">
        <v>21</v>
      </c>
      <c r="V1108">
        <v>0</v>
      </c>
      <c r="W1108">
        <v>0</v>
      </c>
      <c r="X1108">
        <v>0</v>
      </c>
      <c r="Y1108">
        <v>0</v>
      </c>
      <c r="Z1108">
        <v>0</v>
      </c>
      <c r="AA1108">
        <v>0</v>
      </c>
      <c r="AB1108">
        <v>0</v>
      </c>
      <c r="AC1108">
        <v>0</v>
      </c>
      <c r="AD1108">
        <v>0</v>
      </c>
      <c r="AE1108">
        <v>0</v>
      </c>
      <c r="AF1108">
        <v>0</v>
      </c>
      <c r="AG1108">
        <v>0</v>
      </c>
      <c r="AH1108">
        <v>0</v>
      </c>
      <c r="AI1108">
        <v>0</v>
      </c>
      <c r="AY1108" t="str">
        <f t="shared" si="196"/>
        <v/>
      </c>
      <c r="AZ1108" t="str">
        <f>IF(COUNTIF(AY:AY,AY1108)=1,AY1108,IF(AND(COUNTIF(AY:AY,AY1108)&gt;1,COUNTIF(AZ$2:AZ1107,AY1108)&gt;=1),"",AY1108))</f>
        <v/>
      </c>
      <c r="BA1108" t="str">
        <f>IF(AZ1108="","",COUNTIFS(AZ$3:AZ$1439,"&lt;"&amp;AZ1108,AZ$3:AZ$1439,"&lt;&gt;0")+COUNTIF(AZ$3:AZ1108,AZ1108)-876)</f>
        <v/>
      </c>
      <c r="BT1108" s="76"/>
      <c r="CN1108">
        <v>1107</v>
      </c>
    </row>
    <row r="1109" spans="1:92" x14ac:dyDescent="0.3">
      <c r="A1109" s="118" t="s">
        <v>3888</v>
      </c>
      <c r="B1109" t="s">
        <v>3893</v>
      </c>
      <c r="C1109" t="s">
        <v>3894</v>
      </c>
      <c r="D1109" s="144" t="s">
        <v>2198</v>
      </c>
      <c r="E1109" t="s">
        <v>813</v>
      </c>
      <c r="F1109" t="s">
        <v>3891</v>
      </c>
      <c r="G1109" t="s">
        <v>815</v>
      </c>
      <c r="H1109" t="s">
        <v>860</v>
      </c>
      <c r="I1109" t="s">
        <v>817</v>
      </c>
      <c r="J1109" t="s">
        <v>2366</v>
      </c>
      <c r="K1109" t="s">
        <v>2366</v>
      </c>
      <c r="L1109" t="s">
        <v>2690</v>
      </c>
      <c r="M1109" t="s">
        <v>208</v>
      </c>
      <c r="N1109" t="s">
        <v>869</v>
      </c>
      <c r="O1109" t="s">
        <v>824</v>
      </c>
      <c r="P1109" t="s">
        <v>772</v>
      </c>
      <c r="Q1109" t="s">
        <v>3895</v>
      </c>
      <c r="R1109">
        <v>0</v>
      </c>
      <c r="S1109">
        <v>0</v>
      </c>
      <c r="T1109">
        <v>2</v>
      </c>
      <c r="U1109">
        <v>21</v>
      </c>
      <c r="V1109">
        <v>0</v>
      </c>
      <c r="W1109">
        <v>0</v>
      </c>
      <c r="X1109">
        <v>0</v>
      </c>
      <c r="Y1109">
        <v>0</v>
      </c>
      <c r="Z1109">
        <v>0</v>
      </c>
      <c r="AA1109">
        <v>0</v>
      </c>
      <c r="AB1109">
        <v>0</v>
      </c>
      <c r="AC1109">
        <v>0</v>
      </c>
      <c r="AD1109">
        <v>0</v>
      </c>
      <c r="AE1109">
        <v>0</v>
      </c>
      <c r="AF1109">
        <v>0</v>
      </c>
      <c r="AG1109">
        <v>0</v>
      </c>
      <c r="AH1109">
        <v>0</v>
      </c>
      <c r="AI1109">
        <v>0</v>
      </c>
      <c r="AY1109" t="str">
        <f t="shared" si="196"/>
        <v/>
      </c>
      <c r="AZ1109" t="str">
        <f>IF(COUNTIF(AY:AY,AY1109)=1,AY1109,IF(AND(COUNTIF(AY:AY,AY1109)&gt;1,COUNTIF(AZ$2:AZ1108,AY1109)&gt;=1),"",AY1109))</f>
        <v/>
      </c>
      <c r="BA1109" t="str">
        <f>IF(AZ1109="","",COUNTIFS(AZ$3:AZ$1439,"&lt;"&amp;AZ1109,AZ$3:AZ$1439,"&lt;&gt;0")+COUNTIF(AZ$3:AZ1109,AZ1109)-876)</f>
        <v/>
      </c>
      <c r="BT1109" s="76"/>
      <c r="CN1109">
        <v>1108</v>
      </c>
    </row>
    <row r="1110" spans="1:92" x14ac:dyDescent="0.3">
      <c r="A1110" s="118" t="s">
        <v>3881</v>
      </c>
      <c r="B1110" t="s">
        <v>3882</v>
      </c>
      <c r="C1110" t="s">
        <v>3883</v>
      </c>
      <c r="D1110" s="144" t="s">
        <v>2712</v>
      </c>
      <c r="E1110" t="s">
        <v>813</v>
      </c>
      <c r="F1110" t="s">
        <v>3884</v>
      </c>
      <c r="G1110" t="s">
        <v>815</v>
      </c>
      <c r="H1110" t="s">
        <v>816</v>
      </c>
      <c r="I1110" t="s">
        <v>817</v>
      </c>
      <c r="J1110" t="s">
        <v>2366</v>
      </c>
      <c r="K1110" t="s">
        <v>2366</v>
      </c>
      <c r="L1110" t="s">
        <v>2690</v>
      </c>
      <c r="M1110" t="s">
        <v>208</v>
      </c>
      <c r="N1110" t="s">
        <v>885</v>
      </c>
      <c r="O1110" t="s">
        <v>824</v>
      </c>
      <c r="P1110" t="s">
        <v>772</v>
      </c>
      <c r="Q1110" t="s">
        <v>3290</v>
      </c>
      <c r="R1110">
        <v>0</v>
      </c>
      <c r="S1110">
        <v>0</v>
      </c>
      <c r="T1110">
        <v>2</v>
      </c>
      <c r="U1110">
        <v>21</v>
      </c>
      <c r="V1110">
        <v>0</v>
      </c>
      <c r="W1110">
        <v>0</v>
      </c>
      <c r="X1110">
        <v>0</v>
      </c>
      <c r="Y1110">
        <v>0</v>
      </c>
      <c r="Z1110">
        <v>0</v>
      </c>
      <c r="AA1110">
        <v>0</v>
      </c>
      <c r="AB1110">
        <v>0</v>
      </c>
      <c r="AC1110">
        <v>0</v>
      </c>
      <c r="AD1110">
        <v>0</v>
      </c>
      <c r="AE1110">
        <v>0</v>
      </c>
      <c r="AF1110">
        <v>0</v>
      </c>
      <c r="AG1110">
        <v>0</v>
      </c>
      <c r="AH1110">
        <v>0</v>
      </c>
      <c r="AI1110">
        <v>0</v>
      </c>
      <c r="AY1110" t="str">
        <f t="shared" si="196"/>
        <v/>
      </c>
      <c r="AZ1110" t="str">
        <f>IF(COUNTIF(AY:AY,AY1110)=1,AY1110,IF(AND(COUNTIF(AY:AY,AY1110)&gt;1,COUNTIF(AZ$2:AZ1109,AY1110)&gt;=1),"",AY1110))</f>
        <v/>
      </c>
      <c r="BA1110" t="str">
        <f>IF(AZ1110="","",COUNTIFS(AZ$3:AZ$1439,"&lt;"&amp;AZ1110,AZ$3:AZ$1439,"&lt;&gt;0")+COUNTIF(AZ$3:AZ1110,AZ1110)-876)</f>
        <v/>
      </c>
      <c r="BT1110" s="76"/>
      <c r="CN1110">
        <v>1109</v>
      </c>
    </row>
    <row r="1111" spans="1:92" x14ac:dyDescent="0.3">
      <c r="A1111" s="118" t="s">
        <v>3881</v>
      </c>
      <c r="B1111" t="s">
        <v>3885</v>
      </c>
      <c r="C1111" t="s">
        <v>3886</v>
      </c>
      <c r="D1111" s="144" t="s">
        <v>2198</v>
      </c>
      <c r="E1111" t="s">
        <v>813</v>
      </c>
      <c r="F1111" t="s">
        <v>3884</v>
      </c>
      <c r="G1111" t="s">
        <v>815</v>
      </c>
      <c r="H1111" t="s">
        <v>816</v>
      </c>
      <c r="I1111" t="s">
        <v>817</v>
      </c>
      <c r="J1111" t="s">
        <v>2366</v>
      </c>
      <c r="K1111" t="s">
        <v>2366</v>
      </c>
      <c r="L1111" t="s">
        <v>2690</v>
      </c>
      <c r="M1111" t="s">
        <v>208</v>
      </c>
      <c r="N1111" t="s">
        <v>885</v>
      </c>
      <c r="O1111" t="s">
        <v>824</v>
      </c>
      <c r="P1111" t="s">
        <v>772</v>
      </c>
      <c r="Q1111" t="s">
        <v>3887</v>
      </c>
      <c r="R1111">
        <v>0</v>
      </c>
      <c r="S1111">
        <v>0</v>
      </c>
      <c r="T1111">
        <v>2</v>
      </c>
      <c r="U1111">
        <v>21</v>
      </c>
      <c r="V1111">
        <v>0</v>
      </c>
      <c r="W1111">
        <v>0</v>
      </c>
      <c r="X1111">
        <v>0</v>
      </c>
      <c r="Y1111">
        <v>0</v>
      </c>
      <c r="Z1111">
        <v>0</v>
      </c>
      <c r="AA1111">
        <v>0</v>
      </c>
      <c r="AB1111">
        <v>0</v>
      </c>
      <c r="AC1111">
        <v>0</v>
      </c>
      <c r="AD1111">
        <v>0</v>
      </c>
      <c r="AE1111">
        <v>0</v>
      </c>
      <c r="AF1111">
        <v>0</v>
      </c>
      <c r="AG1111">
        <v>0</v>
      </c>
      <c r="AH1111">
        <v>0</v>
      </c>
      <c r="AI1111">
        <v>0</v>
      </c>
      <c r="AY1111" t="str">
        <f t="shared" si="196"/>
        <v/>
      </c>
      <c r="AZ1111" t="str">
        <f>IF(COUNTIF(AY:AY,AY1111)=1,AY1111,IF(AND(COUNTIF(AY:AY,AY1111)&gt;1,COUNTIF(AZ$2:AZ1110,AY1111)&gt;=1),"",AY1111))</f>
        <v/>
      </c>
      <c r="BA1111" t="str">
        <f>IF(AZ1111="","",COUNTIFS(AZ$3:AZ$1439,"&lt;"&amp;AZ1111,AZ$3:AZ$1439,"&lt;&gt;0")+COUNTIF(AZ$3:AZ1111,AZ1111)-876)</f>
        <v/>
      </c>
      <c r="BT1111" s="76"/>
      <c r="CN1111">
        <v>1110</v>
      </c>
    </row>
    <row r="1112" spans="1:92" x14ac:dyDescent="0.3">
      <c r="A1112" s="118" t="s">
        <v>3896</v>
      </c>
      <c r="B1112" t="s">
        <v>3897</v>
      </c>
      <c r="C1112" t="s">
        <v>3890</v>
      </c>
      <c r="D1112" s="144" t="s">
        <v>2712</v>
      </c>
      <c r="E1112" t="s">
        <v>813</v>
      </c>
      <c r="F1112" t="s">
        <v>3898</v>
      </c>
      <c r="G1112" t="s">
        <v>815</v>
      </c>
      <c r="H1112" t="s">
        <v>860</v>
      </c>
      <c r="I1112" t="s">
        <v>817</v>
      </c>
      <c r="J1112" t="s">
        <v>2366</v>
      </c>
      <c r="K1112" t="s">
        <v>2366</v>
      </c>
      <c r="L1112" t="s">
        <v>2690</v>
      </c>
      <c r="M1112" t="s">
        <v>208</v>
      </c>
      <c r="N1112" t="s">
        <v>940</v>
      </c>
      <c r="O1112" t="s">
        <v>824</v>
      </c>
      <c r="P1112" t="s">
        <v>772</v>
      </c>
      <c r="Q1112" t="s">
        <v>3899</v>
      </c>
      <c r="R1112">
        <v>0</v>
      </c>
      <c r="S1112">
        <v>0</v>
      </c>
      <c r="T1112">
        <v>2</v>
      </c>
      <c r="U1112">
        <v>21</v>
      </c>
      <c r="V1112">
        <v>0</v>
      </c>
      <c r="W1112">
        <v>0</v>
      </c>
      <c r="X1112">
        <v>0</v>
      </c>
      <c r="Y1112">
        <v>0</v>
      </c>
      <c r="Z1112">
        <v>0</v>
      </c>
      <c r="AA1112">
        <v>0</v>
      </c>
      <c r="AB1112">
        <v>0</v>
      </c>
      <c r="AC1112">
        <v>0</v>
      </c>
      <c r="AD1112">
        <v>0</v>
      </c>
      <c r="AE1112">
        <v>0</v>
      </c>
      <c r="AF1112">
        <v>0</v>
      </c>
      <c r="AG1112">
        <v>0</v>
      </c>
      <c r="AH1112">
        <v>0</v>
      </c>
      <c r="AI1112">
        <v>0</v>
      </c>
      <c r="AY1112" t="str">
        <f t="shared" si="196"/>
        <v/>
      </c>
      <c r="AZ1112" t="str">
        <f>IF(COUNTIF(AY:AY,AY1112)=1,AY1112,IF(AND(COUNTIF(AY:AY,AY1112)&gt;1,COUNTIF(AZ$2:AZ1111,AY1112)&gt;=1),"",AY1112))</f>
        <v/>
      </c>
      <c r="BA1112" t="str">
        <f>IF(AZ1112="","",COUNTIFS(AZ$3:AZ$1439,"&lt;"&amp;AZ1112,AZ$3:AZ$1439,"&lt;&gt;0")+COUNTIF(AZ$3:AZ1112,AZ1112)-876)</f>
        <v/>
      </c>
      <c r="BT1112" s="76"/>
      <c r="CN1112">
        <v>1111</v>
      </c>
    </row>
    <row r="1113" spans="1:92" x14ac:dyDescent="0.3">
      <c r="A1113" s="118" t="s">
        <v>3896</v>
      </c>
      <c r="B1113" t="s">
        <v>3900</v>
      </c>
      <c r="C1113" t="s">
        <v>3901</v>
      </c>
      <c r="D1113" s="144" t="s">
        <v>1650</v>
      </c>
      <c r="E1113" t="s">
        <v>813</v>
      </c>
      <c r="F1113" t="s">
        <v>3898</v>
      </c>
      <c r="G1113" t="s">
        <v>815</v>
      </c>
      <c r="H1113" t="s">
        <v>860</v>
      </c>
      <c r="I1113" t="s">
        <v>817</v>
      </c>
      <c r="J1113" t="s">
        <v>2366</v>
      </c>
      <c r="K1113" t="s">
        <v>2366</v>
      </c>
      <c r="L1113" t="s">
        <v>2690</v>
      </c>
      <c r="M1113" t="s">
        <v>208</v>
      </c>
      <c r="N1113" t="s">
        <v>940</v>
      </c>
      <c r="O1113" t="s">
        <v>824</v>
      </c>
      <c r="P1113" t="s">
        <v>772</v>
      </c>
      <c r="Q1113" t="s">
        <v>1159</v>
      </c>
      <c r="R1113">
        <v>0</v>
      </c>
      <c r="S1113">
        <v>0</v>
      </c>
      <c r="T1113">
        <v>2</v>
      </c>
      <c r="U1113">
        <v>21</v>
      </c>
      <c r="V1113">
        <v>0</v>
      </c>
      <c r="W1113">
        <v>0</v>
      </c>
      <c r="X1113">
        <v>0</v>
      </c>
      <c r="Y1113">
        <v>0</v>
      </c>
      <c r="Z1113">
        <v>0</v>
      </c>
      <c r="AA1113">
        <v>0</v>
      </c>
      <c r="AB1113">
        <v>0</v>
      </c>
      <c r="AC1113">
        <v>0</v>
      </c>
      <c r="AD1113">
        <v>0</v>
      </c>
      <c r="AE1113">
        <v>0</v>
      </c>
      <c r="AF1113">
        <v>0</v>
      </c>
      <c r="AG1113">
        <v>0</v>
      </c>
      <c r="AH1113">
        <v>0</v>
      </c>
      <c r="AI1113">
        <v>0</v>
      </c>
      <c r="AY1113" t="str">
        <f t="shared" si="196"/>
        <v/>
      </c>
      <c r="AZ1113" t="str">
        <f>IF(COUNTIF(AY:AY,AY1113)=1,AY1113,IF(AND(COUNTIF(AY:AY,AY1113)&gt;1,COUNTIF(AZ$2:AZ1112,AY1113)&gt;=1),"",AY1113))</f>
        <v/>
      </c>
      <c r="BA1113" t="str">
        <f>IF(AZ1113="","",COUNTIFS(AZ$3:AZ$1439,"&lt;"&amp;AZ1113,AZ$3:AZ$1439,"&lt;&gt;0")+COUNTIF(AZ$3:AZ1113,AZ1113)-876)</f>
        <v/>
      </c>
      <c r="BT1113" s="76"/>
      <c r="CN1113">
        <v>1112</v>
      </c>
    </row>
    <row r="1114" spans="1:92" x14ac:dyDescent="0.3">
      <c r="A1114" s="118" t="s">
        <v>2694</v>
      </c>
      <c r="B1114" t="s">
        <v>2695</v>
      </c>
      <c r="C1114" t="s">
        <v>1002</v>
      </c>
      <c r="D1114" s="144" t="s">
        <v>829</v>
      </c>
      <c r="E1114" t="s">
        <v>765</v>
      </c>
      <c r="F1114" t="s">
        <v>468</v>
      </c>
      <c r="G1114" t="s">
        <v>956</v>
      </c>
      <c r="H1114" t="s">
        <v>1070</v>
      </c>
      <c r="I1114" t="s">
        <v>817</v>
      </c>
      <c r="J1114" t="s">
        <v>914</v>
      </c>
      <c r="K1114" t="s">
        <v>914</v>
      </c>
      <c r="L1114" t="s">
        <v>995</v>
      </c>
      <c r="M1114" t="s">
        <v>996</v>
      </c>
      <c r="N1114" t="s">
        <v>1501</v>
      </c>
      <c r="O1114" t="s">
        <v>805</v>
      </c>
      <c r="P1114" t="s">
        <v>4371</v>
      </c>
      <c r="Q1114" t="s">
        <v>764</v>
      </c>
      <c r="R1114">
        <v>5</v>
      </c>
      <c r="S1114">
        <v>5</v>
      </c>
      <c r="T1114">
        <v>0</v>
      </c>
      <c r="U1114">
        <v>0</v>
      </c>
      <c r="V1114">
        <v>0</v>
      </c>
      <c r="W1114">
        <v>0</v>
      </c>
      <c r="X1114">
        <v>0</v>
      </c>
      <c r="Y1114">
        <v>0</v>
      </c>
      <c r="Z1114">
        <v>0</v>
      </c>
      <c r="AA1114">
        <v>0</v>
      </c>
      <c r="AB1114">
        <v>5</v>
      </c>
      <c r="AC1114">
        <v>5</v>
      </c>
      <c r="AD1114">
        <v>5</v>
      </c>
      <c r="AE1114">
        <v>5</v>
      </c>
      <c r="AF1114">
        <v>3.75</v>
      </c>
      <c r="AG1114">
        <v>5</v>
      </c>
      <c r="AH1114">
        <v>0</v>
      </c>
      <c r="AI1114">
        <v>0</v>
      </c>
      <c r="AY1114" t="str">
        <f t="shared" si="196"/>
        <v>SOGECOLI 2 MILLIONS UI/ML SOLUTION BUVABLE</v>
      </c>
      <c r="AZ1114" t="str">
        <f>IF(COUNTIF(AY:AY,AY1114)=1,AY1114,IF(AND(COUNTIF(AY:AY,AY1114)&gt;1,COUNTIF(AZ$2:AZ1113,AY1114)&gt;=1),"",AY1114))</f>
        <v>SOGECOLI 2 MILLIONS UI/ML SOLUTION BUVABLE</v>
      </c>
      <c r="BA1114">
        <f>IF(AZ1114="","",COUNTIFS(AZ$3:AZ$1439,"&lt;"&amp;AZ1114,AZ$3:AZ$1439,"&lt;&gt;0")+COUNTIF(AZ$3:AZ1114,AZ1114)-876)</f>
        <v>440</v>
      </c>
      <c r="BT1114" s="76"/>
      <c r="CN1114">
        <v>1113</v>
      </c>
    </row>
    <row r="1115" spans="1:92" x14ac:dyDescent="0.3">
      <c r="A1115" s="118" t="s">
        <v>2694</v>
      </c>
      <c r="B1115" t="s">
        <v>2696</v>
      </c>
      <c r="C1115" t="s">
        <v>954</v>
      </c>
      <c r="D1115" s="144" t="s">
        <v>955</v>
      </c>
      <c r="E1115" t="s">
        <v>765</v>
      </c>
      <c r="F1115" t="s">
        <v>468</v>
      </c>
      <c r="G1115" t="s">
        <v>956</v>
      </c>
      <c r="H1115" t="s">
        <v>1070</v>
      </c>
      <c r="I1115" t="s">
        <v>817</v>
      </c>
      <c r="J1115" t="s">
        <v>914</v>
      </c>
      <c r="K1115" t="s">
        <v>914</v>
      </c>
      <c r="L1115" t="s">
        <v>995</v>
      </c>
      <c r="M1115" t="s">
        <v>996</v>
      </c>
      <c r="N1115" t="s">
        <v>1501</v>
      </c>
      <c r="O1115" t="s">
        <v>805</v>
      </c>
      <c r="P1115" t="s">
        <v>4371</v>
      </c>
      <c r="Q1115" t="s">
        <v>906</v>
      </c>
      <c r="R1115">
        <v>5</v>
      </c>
      <c r="S1115">
        <v>5</v>
      </c>
      <c r="T1115">
        <v>0</v>
      </c>
      <c r="U1115">
        <v>0</v>
      </c>
      <c r="V1115">
        <v>0</v>
      </c>
      <c r="W1115">
        <v>0</v>
      </c>
      <c r="X1115">
        <v>0</v>
      </c>
      <c r="Y1115">
        <v>0</v>
      </c>
      <c r="Z1115">
        <v>0</v>
      </c>
      <c r="AA1115">
        <v>0</v>
      </c>
      <c r="AB1115">
        <v>5</v>
      </c>
      <c r="AC1115">
        <v>5</v>
      </c>
      <c r="AD1115">
        <v>5</v>
      </c>
      <c r="AE1115">
        <v>5</v>
      </c>
      <c r="AF1115">
        <v>3.75</v>
      </c>
      <c r="AG1115">
        <v>5</v>
      </c>
      <c r="AH1115">
        <v>0</v>
      </c>
      <c r="AI1115">
        <v>0</v>
      </c>
      <c r="AY1115" t="str">
        <f t="shared" si="196"/>
        <v>SOGECOLI 2 MILLIONS UI/ML SOLUTION BUVABLE</v>
      </c>
      <c r="AZ1115" t="str">
        <f>IF(COUNTIF(AY:AY,AY1115)=1,AY1115,IF(AND(COUNTIF(AY:AY,AY1115)&gt;1,COUNTIF(AZ$2:AZ1114,AY1115)&gt;=1),"",AY1115))</f>
        <v/>
      </c>
      <c r="BA1115" t="str">
        <f>IF(AZ1115="","",COUNTIFS(AZ$3:AZ$1439,"&lt;"&amp;AZ1115,AZ$3:AZ$1439,"&lt;&gt;0")+COUNTIF(AZ$3:AZ1115,AZ1115)-876)</f>
        <v/>
      </c>
      <c r="BT1115" s="76"/>
      <c r="CN1115">
        <v>1114</v>
      </c>
    </row>
    <row r="1116" spans="1:92" x14ac:dyDescent="0.3">
      <c r="A1116" s="118" t="s">
        <v>1106</v>
      </c>
      <c r="B1116" t="s">
        <v>1107</v>
      </c>
      <c r="C1116" t="s">
        <v>1108</v>
      </c>
      <c r="D1116" s="144" t="s">
        <v>924</v>
      </c>
      <c r="E1116" t="s">
        <v>830</v>
      </c>
      <c r="F1116" t="s">
        <v>689</v>
      </c>
      <c r="G1116" t="s">
        <v>1064</v>
      </c>
      <c r="H1116" t="s">
        <v>169</v>
      </c>
      <c r="I1116" t="s">
        <v>1066</v>
      </c>
      <c r="J1116" t="s">
        <v>1067</v>
      </c>
      <c r="K1116" t="s">
        <v>768</v>
      </c>
      <c r="L1116" t="s">
        <v>1051</v>
      </c>
      <c r="M1116" t="s">
        <v>208</v>
      </c>
      <c r="N1116" t="s">
        <v>1109</v>
      </c>
      <c r="O1116" t="s">
        <v>894</v>
      </c>
      <c r="P1116" t="s">
        <v>772</v>
      </c>
      <c r="Q1116" t="s">
        <v>1110</v>
      </c>
      <c r="R1116">
        <v>25</v>
      </c>
      <c r="S1116">
        <v>10</v>
      </c>
      <c r="T1116">
        <v>0</v>
      </c>
      <c r="U1116">
        <v>0</v>
      </c>
      <c r="V1116">
        <v>0</v>
      </c>
      <c r="W1116">
        <v>0</v>
      </c>
      <c r="X1116">
        <v>0</v>
      </c>
      <c r="Y1116">
        <v>0</v>
      </c>
      <c r="Z1116">
        <v>0</v>
      </c>
      <c r="AA1116">
        <v>0</v>
      </c>
      <c r="AB1116">
        <v>0</v>
      </c>
      <c r="AC1116">
        <v>0</v>
      </c>
      <c r="AD1116">
        <v>0</v>
      </c>
      <c r="AE1116">
        <v>0</v>
      </c>
      <c r="AF1116">
        <v>0</v>
      </c>
      <c r="AG1116">
        <v>0</v>
      </c>
      <c r="AH1116">
        <v>0</v>
      </c>
      <c r="AI1116">
        <v>0</v>
      </c>
      <c r="AJ1116" t="s">
        <v>862</v>
      </c>
      <c r="AK1116" t="s">
        <v>895</v>
      </c>
      <c r="AL1116" t="s">
        <v>208</v>
      </c>
      <c r="AM1116" t="s">
        <v>1111</v>
      </c>
      <c r="AN1116" t="s">
        <v>894</v>
      </c>
      <c r="AO1116" t="s">
        <v>772</v>
      </c>
      <c r="AP1116" t="s">
        <v>1112</v>
      </c>
      <c r="AY1116" t="str">
        <f t="shared" si="196"/>
        <v>SOGESTART</v>
      </c>
      <c r="AZ1116" t="str">
        <f>IF(COUNTIF(AY:AY,AY1116)=1,AY1116,IF(AND(COUNTIF(AY:AY,AY1116)&gt;1,COUNTIF(AZ$2:AZ1115,AY1116)&gt;=1),"",AY1116))</f>
        <v>SOGESTART</v>
      </c>
      <c r="BA1116">
        <f>IF(AZ1116="","",COUNTIFS(AZ$3:AZ$1439,"&lt;"&amp;AZ1116,AZ$3:AZ$1439,"&lt;&gt;0")+COUNTIF(AZ$3:AZ1116,AZ1116)-876)</f>
        <v>441</v>
      </c>
      <c r="BT1116" s="76"/>
      <c r="CN1116">
        <v>1115</v>
      </c>
    </row>
    <row r="1117" spans="1:92" x14ac:dyDescent="0.3">
      <c r="A1117" s="118" t="s">
        <v>3279</v>
      </c>
      <c r="B1117" t="s">
        <v>3280</v>
      </c>
      <c r="C1117" t="s">
        <v>3281</v>
      </c>
      <c r="D1117" s="144" t="s">
        <v>764</v>
      </c>
      <c r="E1117" t="s">
        <v>830</v>
      </c>
      <c r="F1117" t="s">
        <v>469</v>
      </c>
      <c r="G1117" t="s">
        <v>831</v>
      </c>
      <c r="H1117" t="s">
        <v>832</v>
      </c>
      <c r="I1117" t="s">
        <v>817</v>
      </c>
      <c r="J1117" t="s">
        <v>802</v>
      </c>
      <c r="K1117" t="s">
        <v>802</v>
      </c>
      <c r="L1117" t="s">
        <v>1092</v>
      </c>
      <c r="M1117" t="s">
        <v>208</v>
      </c>
      <c r="N1117" t="s">
        <v>829</v>
      </c>
      <c r="O1117" t="s">
        <v>894</v>
      </c>
      <c r="P1117" t="s">
        <v>772</v>
      </c>
      <c r="Q1117" t="s">
        <v>764</v>
      </c>
      <c r="R1117">
        <v>40</v>
      </c>
      <c r="S1117">
        <v>14</v>
      </c>
      <c r="T1117">
        <v>0</v>
      </c>
      <c r="U1117">
        <v>0</v>
      </c>
      <c r="V1117">
        <v>0</v>
      </c>
      <c r="W1117">
        <v>0</v>
      </c>
      <c r="X1117">
        <v>0</v>
      </c>
      <c r="Y1117">
        <v>0</v>
      </c>
      <c r="Z1117">
        <v>0</v>
      </c>
      <c r="AA1117">
        <v>0</v>
      </c>
      <c r="AB1117">
        <v>0</v>
      </c>
      <c r="AC1117">
        <v>0</v>
      </c>
      <c r="AD1117">
        <v>25</v>
      </c>
      <c r="AE1117">
        <v>10</v>
      </c>
      <c r="AF1117">
        <v>100</v>
      </c>
      <c r="AG1117">
        <v>5</v>
      </c>
      <c r="AH1117">
        <v>0</v>
      </c>
      <c r="AI1117">
        <v>0</v>
      </c>
      <c r="AY1117" t="str">
        <f t="shared" si="196"/>
        <v>SOGETYL 100 MUI POUDRE POUR SOLUTION BUVABLE POUR VEAUX PORCINS ET VOLAILLES</v>
      </c>
      <c r="AZ1117" t="str">
        <f>IF(COUNTIF(AY:AY,AY1117)=1,AY1117,IF(AND(COUNTIF(AY:AY,AY1117)&gt;1,COUNTIF(AZ$2:AZ1116,AY1117)&gt;=1),"",AY1117))</f>
        <v>SOGETYL 100 MUI POUDRE POUR SOLUTION BUVABLE POUR VEAUX PORCINS ET VOLAILLES</v>
      </c>
      <c r="BA1117">
        <f>IF(AZ1117="","",COUNTIFS(AZ$3:AZ$1439,"&lt;"&amp;AZ1117,AZ$3:AZ$1439,"&lt;&gt;0")+COUNTIF(AZ$3:AZ1117,AZ1117)-876)</f>
        <v>442</v>
      </c>
      <c r="BT1117" s="76"/>
      <c r="CN1117">
        <v>1116</v>
      </c>
    </row>
    <row r="1118" spans="1:92" x14ac:dyDescent="0.3">
      <c r="A1118" s="118" t="s">
        <v>4070</v>
      </c>
      <c r="B1118" t="s">
        <v>4071</v>
      </c>
      <c r="C1118" t="s">
        <v>3740</v>
      </c>
      <c r="D1118" s="144" t="s">
        <v>829</v>
      </c>
      <c r="E1118" t="s">
        <v>830</v>
      </c>
      <c r="F1118" t="s">
        <v>4569</v>
      </c>
      <c r="G1118" t="s">
        <v>831</v>
      </c>
      <c r="H1118" t="s">
        <v>4072</v>
      </c>
      <c r="I1118" t="s">
        <v>817</v>
      </c>
      <c r="J1118" t="s">
        <v>787</v>
      </c>
      <c r="K1118" t="s">
        <v>787</v>
      </c>
      <c r="L1118" t="s">
        <v>1055</v>
      </c>
      <c r="M1118" t="s">
        <v>208</v>
      </c>
      <c r="N1118" t="s">
        <v>3611</v>
      </c>
      <c r="O1118" t="s">
        <v>894</v>
      </c>
      <c r="P1118" t="s">
        <v>772</v>
      </c>
      <c r="Q1118" t="s">
        <v>3611</v>
      </c>
      <c r="R1118">
        <v>0</v>
      </c>
      <c r="S1118">
        <v>0</v>
      </c>
      <c r="T1118">
        <v>0</v>
      </c>
      <c r="U1118">
        <v>0</v>
      </c>
      <c r="V1118">
        <v>0</v>
      </c>
      <c r="W1118">
        <v>0</v>
      </c>
      <c r="X1118">
        <v>0</v>
      </c>
      <c r="Y1118">
        <v>0</v>
      </c>
      <c r="Z1118">
        <v>0</v>
      </c>
      <c r="AA1118">
        <v>0</v>
      </c>
      <c r="AB1118">
        <v>0</v>
      </c>
      <c r="AC1118">
        <v>0</v>
      </c>
      <c r="AD1118">
        <v>0</v>
      </c>
      <c r="AE1118">
        <v>0</v>
      </c>
      <c r="AF1118">
        <v>17.399999999999999</v>
      </c>
      <c r="AG1118">
        <v>5</v>
      </c>
      <c r="AH1118">
        <v>0</v>
      </c>
      <c r="AI1118">
        <v>0</v>
      </c>
      <c r="AY1118" t="str">
        <f t="shared" si="196"/>
        <v>SOLAMOCTA 697 MG/G POUDRE POUR ADMINISTRATION DANS L'EAU DE BOISSON DES POULES CANARDS ET DINDES</v>
      </c>
      <c r="AZ1118" t="str">
        <f>IF(COUNTIF(AY:AY,AY1118)=1,AY1118,IF(AND(COUNTIF(AY:AY,AY1118)&gt;1,COUNTIF(AZ$2:AZ1117,AY1118)&gt;=1),"",AY1118))</f>
        <v>SOLAMOCTA 697 MG/G POUDRE POUR ADMINISTRATION DANS L'EAU DE BOISSON DES POULES CANARDS ET DINDES</v>
      </c>
      <c r="BA1118">
        <f>IF(AZ1118="","",COUNTIFS(AZ$3:AZ$1439,"&lt;"&amp;AZ1118,AZ$3:AZ$1439,"&lt;&gt;0")+COUNTIF(AZ$3:AZ1118,AZ1118)-876)</f>
        <v>443</v>
      </c>
      <c r="BT1118" s="76"/>
      <c r="CN1118">
        <v>1117</v>
      </c>
    </row>
    <row r="1119" spans="1:92" x14ac:dyDescent="0.3">
      <c r="A1119" s="118" t="s">
        <v>3316</v>
      </c>
      <c r="B1119" t="s">
        <v>3317</v>
      </c>
      <c r="C1119" t="s">
        <v>1241</v>
      </c>
      <c r="D1119" s="144" t="s">
        <v>829</v>
      </c>
      <c r="E1119" t="s">
        <v>765</v>
      </c>
      <c r="F1119" t="s">
        <v>470</v>
      </c>
      <c r="G1119" t="s">
        <v>956</v>
      </c>
      <c r="H1119" t="s">
        <v>1264</v>
      </c>
      <c r="I1119" t="s">
        <v>817</v>
      </c>
      <c r="J1119" t="s">
        <v>768</v>
      </c>
      <c r="K1119" t="s">
        <v>768</v>
      </c>
      <c r="L1119" t="s">
        <v>2121</v>
      </c>
      <c r="M1119" t="s">
        <v>208</v>
      </c>
      <c r="N1119" t="s">
        <v>764</v>
      </c>
      <c r="O1119" t="s">
        <v>771</v>
      </c>
      <c r="P1119" t="s">
        <v>772</v>
      </c>
      <c r="Q1119" t="s">
        <v>764</v>
      </c>
      <c r="R1119">
        <v>0</v>
      </c>
      <c r="S1119">
        <v>0</v>
      </c>
      <c r="T1119">
        <v>0</v>
      </c>
      <c r="U1119">
        <v>0</v>
      </c>
      <c r="V1119">
        <v>0</v>
      </c>
      <c r="W1119">
        <v>0</v>
      </c>
      <c r="X1119">
        <v>0</v>
      </c>
      <c r="Y1119">
        <v>0</v>
      </c>
      <c r="Z1119">
        <v>0</v>
      </c>
      <c r="AA1119">
        <v>0</v>
      </c>
      <c r="AB1119">
        <v>0</v>
      </c>
      <c r="AC1119">
        <v>0</v>
      </c>
      <c r="AD1119">
        <v>10</v>
      </c>
      <c r="AE1119">
        <v>5</v>
      </c>
      <c r="AF1119">
        <v>20</v>
      </c>
      <c r="AG1119">
        <v>5</v>
      </c>
      <c r="AH1119">
        <v>0</v>
      </c>
      <c r="AI1119">
        <v>0</v>
      </c>
      <c r="AY1119" t="str">
        <f t="shared" si="196"/>
        <v>SOLDOXIN 100 MG/ML SOLUTION BUVABLE POUR POULES POULETS ET PORCINS</v>
      </c>
      <c r="AZ1119" t="str">
        <f>IF(COUNTIF(AY:AY,AY1119)=1,AY1119,IF(AND(COUNTIF(AY:AY,AY1119)&gt;1,COUNTIF(AZ$2:AZ1118,AY1119)&gt;=1),"",AY1119))</f>
        <v>SOLDOXIN 100 MG/ML SOLUTION BUVABLE POUR POULES POULETS ET PORCINS</v>
      </c>
      <c r="BA1119">
        <f>IF(AZ1119="","",COUNTIFS(AZ$3:AZ$1439,"&lt;"&amp;AZ1119,AZ$3:AZ$1439,"&lt;&gt;0")+COUNTIF(AZ$3:AZ1119,AZ1119)-876)</f>
        <v>444</v>
      </c>
      <c r="BT1119" s="76"/>
      <c r="CN1119">
        <v>1118</v>
      </c>
    </row>
    <row r="1120" spans="1:92" x14ac:dyDescent="0.3">
      <c r="A1120" s="118" t="s">
        <v>3316</v>
      </c>
      <c r="B1120" t="s">
        <v>3318</v>
      </c>
      <c r="C1120" t="s">
        <v>1243</v>
      </c>
      <c r="D1120" s="144" t="s">
        <v>955</v>
      </c>
      <c r="E1120" t="s">
        <v>765</v>
      </c>
      <c r="F1120" t="s">
        <v>470</v>
      </c>
      <c r="G1120" t="s">
        <v>956</v>
      </c>
      <c r="H1120" t="s">
        <v>1264</v>
      </c>
      <c r="I1120" t="s">
        <v>817</v>
      </c>
      <c r="J1120" t="s">
        <v>768</v>
      </c>
      <c r="K1120" t="s">
        <v>768</v>
      </c>
      <c r="L1120" t="s">
        <v>2121</v>
      </c>
      <c r="M1120" t="s">
        <v>208</v>
      </c>
      <c r="N1120" t="s">
        <v>764</v>
      </c>
      <c r="O1120" t="s">
        <v>771</v>
      </c>
      <c r="P1120" t="s">
        <v>772</v>
      </c>
      <c r="Q1120" t="s">
        <v>906</v>
      </c>
      <c r="R1120">
        <v>0</v>
      </c>
      <c r="S1120">
        <v>0</v>
      </c>
      <c r="T1120">
        <v>0</v>
      </c>
      <c r="U1120">
        <v>0</v>
      </c>
      <c r="V1120">
        <v>0</v>
      </c>
      <c r="W1120">
        <v>0</v>
      </c>
      <c r="X1120">
        <v>0</v>
      </c>
      <c r="Y1120">
        <v>0</v>
      </c>
      <c r="Z1120">
        <v>0</v>
      </c>
      <c r="AA1120">
        <v>0</v>
      </c>
      <c r="AB1120">
        <v>0</v>
      </c>
      <c r="AC1120">
        <v>0</v>
      </c>
      <c r="AD1120">
        <v>10</v>
      </c>
      <c r="AE1120">
        <v>5</v>
      </c>
      <c r="AF1120">
        <v>20</v>
      </c>
      <c r="AG1120">
        <v>5</v>
      </c>
      <c r="AH1120">
        <v>0</v>
      </c>
      <c r="AI1120">
        <v>0</v>
      </c>
      <c r="AY1120" t="str">
        <f t="shared" si="196"/>
        <v>SOLDOXIN 100 MG/ML SOLUTION BUVABLE POUR POULES POULETS ET PORCINS</v>
      </c>
      <c r="AZ1120" t="str">
        <f>IF(COUNTIF(AY:AY,AY1120)=1,AY1120,IF(AND(COUNTIF(AY:AY,AY1120)&gt;1,COUNTIF(AZ$2:AZ1119,AY1120)&gt;=1),"",AY1120))</f>
        <v/>
      </c>
      <c r="BA1120" t="str">
        <f>IF(AZ1120="","",COUNTIFS(AZ$3:AZ$1439,"&lt;"&amp;AZ1120,AZ$3:AZ$1439,"&lt;&gt;0")+COUNTIF(AZ$3:AZ1120,AZ1120)-876)</f>
        <v/>
      </c>
      <c r="BT1120" s="76"/>
      <c r="CN1120">
        <v>1119</v>
      </c>
    </row>
    <row r="1121" spans="1:92" x14ac:dyDescent="0.3">
      <c r="A1121" s="118" t="s">
        <v>2640</v>
      </c>
      <c r="B1121" t="s">
        <v>2641</v>
      </c>
      <c r="C1121" t="s">
        <v>2642</v>
      </c>
      <c r="D1121" s="144" t="s">
        <v>885</v>
      </c>
      <c r="E1121" t="s">
        <v>765</v>
      </c>
      <c r="F1121" t="s">
        <v>2643</v>
      </c>
      <c r="G1121" t="s">
        <v>878</v>
      </c>
      <c r="H1121" t="s">
        <v>816</v>
      </c>
      <c r="I1121" t="s">
        <v>879</v>
      </c>
      <c r="J1121" t="s">
        <v>783</v>
      </c>
      <c r="K1121" t="s">
        <v>783</v>
      </c>
      <c r="L1121" t="s">
        <v>2037</v>
      </c>
      <c r="M1121" t="s">
        <v>208</v>
      </c>
      <c r="N1121" t="s">
        <v>1212</v>
      </c>
      <c r="O1121" t="s">
        <v>805</v>
      </c>
      <c r="P1121" t="s">
        <v>4440</v>
      </c>
      <c r="Q1121" t="s">
        <v>888</v>
      </c>
      <c r="R1121">
        <v>0</v>
      </c>
      <c r="S1121">
        <v>0</v>
      </c>
      <c r="T1121">
        <v>0</v>
      </c>
      <c r="U1121">
        <v>0</v>
      </c>
      <c r="V1121">
        <v>0</v>
      </c>
      <c r="W1121">
        <v>0</v>
      </c>
      <c r="X1121">
        <v>0</v>
      </c>
      <c r="Y1121">
        <v>0</v>
      </c>
      <c r="Z1121">
        <v>0</v>
      </c>
      <c r="AA1121">
        <v>0</v>
      </c>
      <c r="AB1121">
        <v>0</v>
      </c>
      <c r="AC1121">
        <v>0</v>
      </c>
      <c r="AD1121">
        <v>0</v>
      </c>
      <c r="AE1121">
        <v>0</v>
      </c>
      <c r="AF1121">
        <v>0</v>
      </c>
      <c r="AG1121">
        <v>0</v>
      </c>
      <c r="AH1121">
        <v>0</v>
      </c>
      <c r="AI1121">
        <v>0</v>
      </c>
      <c r="AY1121" t="str">
        <f t="shared" si="196"/>
        <v/>
      </c>
      <c r="AZ1121" t="str">
        <f>IF(COUNTIF(AY:AY,AY1121)=1,AY1121,IF(AND(COUNTIF(AY:AY,AY1121)&gt;1,COUNTIF(AZ$2:AZ1120,AY1121)&gt;=1),"",AY1121))</f>
        <v/>
      </c>
      <c r="BA1121" t="str">
        <f>IF(AZ1121="","",COUNTIFS(AZ$3:AZ$1439,"&lt;"&amp;AZ1121,AZ$3:AZ$1439,"&lt;&gt;0")+COUNTIF(AZ$3:AZ1121,AZ1121)-876)</f>
        <v/>
      </c>
      <c r="BT1121" s="76"/>
      <c r="CN1121">
        <v>1120</v>
      </c>
    </row>
    <row r="1122" spans="1:92" x14ac:dyDescent="0.3">
      <c r="A1122" s="118" t="s">
        <v>2640</v>
      </c>
      <c r="B1122" t="s">
        <v>2644</v>
      </c>
      <c r="C1122" t="s">
        <v>2642</v>
      </c>
      <c r="D1122" s="144" t="s">
        <v>885</v>
      </c>
      <c r="E1122" t="s">
        <v>765</v>
      </c>
      <c r="F1122" t="s">
        <v>2643</v>
      </c>
      <c r="G1122" t="s">
        <v>878</v>
      </c>
      <c r="H1122" t="s">
        <v>816</v>
      </c>
      <c r="I1122" t="s">
        <v>879</v>
      </c>
      <c r="J1122" t="s">
        <v>783</v>
      </c>
      <c r="K1122" t="s">
        <v>783</v>
      </c>
      <c r="L1122" t="s">
        <v>2037</v>
      </c>
      <c r="M1122" t="s">
        <v>208</v>
      </c>
      <c r="N1122" t="s">
        <v>1212</v>
      </c>
      <c r="O1122" t="s">
        <v>805</v>
      </c>
      <c r="P1122" t="s">
        <v>4440</v>
      </c>
      <c r="Q1122" t="s">
        <v>888</v>
      </c>
      <c r="R1122">
        <v>0</v>
      </c>
      <c r="S1122">
        <v>0</v>
      </c>
      <c r="T1122">
        <v>0</v>
      </c>
      <c r="U1122">
        <v>0</v>
      </c>
      <c r="V1122">
        <v>0</v>
      </c>
      <c r="W1122">
        <v>0</v>
      </c>
      <c r="X1122">
        <v>0</v>
      </c>
      <c r="Y1122">
        <v>0</v>
      </c>
      <c r="Z1122">
        <v>0</v>
      </c>
      <c r="AA1122">
        <v>0</v>
      </c>
      <c r="AB1122">
        <v>0</v>
      </c>
      <c r="AC1122">
        <v>0</v>
      </c>
      <c r="AD1122">
        <v>0</v>
      </c>
      <c r="AE1122">
        <v>0</v>
      </c>
      <c r="AF1122">
        <v>0</v>
      </c>
      <c r="AG1122">
        <v>0</v>
      </c>
      <c r="AH1122">
        <v>0</v>
      </c>
      <c r="AI1122">
        <v>0</v>
      </c>
      <c r="AY1122" t="str">
        <f t="shared" si="196"/>
        <v/>
      </c>
      <c r="AZ1122" t="str">
        <f>IF(COUNTIF(AY:AY,AY1122)=1,AY1122,IF(AND(COUNTIF(AY:AY,AY1122)&gt;1,COUNTIF(AZ$2:AZ1121,AY1122)&gt;=1),"",AY1122))</f>
        <v/>
      </c>
      <c r="BA1122" t="str">
        <f>IF(AZ1122="","",COUNTIFS(AZ$3:AZ$1439,"&lt;"&amp;AZ1122,AZ$3:AZ$1439,"&lt;&gt;0")+COUNTIF(AZ$3:AZ1122,AZ1122)-876)</f>
        <v/>
      </c>
      <c r="BT1122" s="76"/>
      <c r="CN1122">
        <v>1121</v>
      </c>
    </row>
    <row r="1123" spans="1:92" x14ac:dyDescent="0.3">
      <c r="A1123" s="118" t="s">
        <v>1334</v>
      </c>
      <c r="B1123" t="s">
        <v>1335</v>
      </c>
      <c r="C1123" t="s">
        <v>807</v>
      </c>
      <c r="D1123" s="144" t="s">
        <v>764</v>
      </c>
      <c r="E1123" t="s">
        <v>765</v>
      </c>
      <c r="F1123" t="s">
        <v>690</v>
      </c>
      <c r="G1123" t="s">
        <v>766</v>
      </c>
      <c r="H1123" t="s">
        <v>801</v>
      </c>
      <c r="I1123" t="s">
        <v>766</v>
      </c>
      <c r="J1123" t="s">
        <v>914</v>
      </c>
      <c r="K1123" t="s">
        <v>914</v>
      </c>
      <c r="L1123" t="s">
        <v>995</v>
      </c>
      <c r="M1123" t="s">
        <v>996</v>
      </c>
      <c r="N1123" t="s">
        <v>1016</v>
      </c>
      <c r="O1123" t="s">
        <v>805</v>
      </c>
      <c r="P1123" t="s">
        <v>4371</v>
      </c>
      <c r="Q1123" t="s">
        <v>1126</v>
      </c>
      <c r="R1123">
        <v>2.5</v>
      </c>
      <c r="S1123">
        <v>3</v>
      </c>
      <c r="T1123">
        <v>0</v>
      </c>
      <c r="U1123">
        <v>0</v>
      </c>
      <c r="V1123">
        <v>0</v>
      </c>
      <c r="W1123">
        <v>0</v>
      </c>
      <c r="X1123">
        <v>0</v>
      </c>
      <c r="Y1123">
        <v>0</v>
      </c>
      <c r="Z1123">
        <v>0</v>
      </c>
      <c r="AA1123">
        <v>0</v>
      </c>
      <c r="AB1123">
        <v>0</v>
      </c>
      <c r="AC1123">
        <v>0</v>
      </c>
      <c r="AD1123">
        <v>2.5</v>
      </c>
      <c r="AE1123">
        <v>3</v>
      </c>
      <c r="AF1123">
        <v>0</v>
      </c>
      <c r="AG1123">
        <v>0</v>
      </c>
      <c r="AH1123">
        <v>0</v>
      </c>
      <c r="AI1123">
        <v>0</v>
      </c>
      <c r="AY1123" t="str">
        <f t="shared" si="196"/>
        <v>SOLUCOL</v>
      </c>
      <c r="AZ1123" t="str">
        <f>IF(COUNTIF(AY:AY,AY1123)=1,AY1123,IF(AND(COUNTIF(AY:AY,AY1123)&gt;1,COUNTIF(AZ$2:AZ1122,AY1123)&gt;=1),"",AY1123))</f>
        <v>SOLUCOL</v>
      </c>
      <c r="BA1123">
        <f>IF(AZ1123="","",COUNTIFS(AZ$3:AZ$1439,"&lt;"&amp;AZ1123,AZ$3:AZ$1439,"&lt;&gt;0")+COUNTIF(AZ$3:AZ1123,AZ1123)-876)</f>
        <v>445</v>
      </c>
      <c r="BT1123" s="76"/>
      <c r="CN1123">
        <v>1122</v>
      </c>
    </row>
    <row r="1124" spans="1:92" x14ac:dyDescent="0.3">
      <c r="A1124" s="118" t="s">
        <v>3878</v>
      </c>
      <c r="B1124" t="s">
        <v>3879</v>
      </c>
      <c r="C1124" t="s">
        <v>1835</v>
      </c>
      <c r="D1124" s="144" t="s">
        <v>829</v>
      </c>
      <c r="E1124" t="s">
        <v>830</v>
      </c>
      <c r="F1124" t="s">
        <v>691</v>
      </c>
      <c r="G1124" t="s">
        <v>956</v>
      </c>
      <c r="H1124" t="s">
        <v>3880</v>
      </c>
      <c r="I1124" t="s">
        <v>817</v>
      </c>
      <c r="J1124" t="s">
        <v>768</v>
      </c>
      <c r="K1124" t="s">
        <v>768</v>
      </c>
      <c r="L1124" t="s">
        <v>2121</v>
      </c>
      <c r="M1124" t="s">
        <v>208</v>
      </c>
      <c r="N1124" t="s">
        <v>3557</v>
      </c>
      <c r="O1124" t="s">
        <v>894</v>
      </c>
      <c r="P1124" t="s">
        <v>772</v>
      </c>
      <c r="Q1124" t="s">
        <v>3557</v>
      </c>
      <c r="R1124">
        <v>0</v>
      </c>
      <c r="S1124">
        <v>0</v>
      </c>
      <c r="T1124">
        <v>0</v>
      </c>
      <c r="U1124">
        <v>0</v>
      </c>
      <c r="V1124">
        <v>0</v>
      </c>
      <c r="W1124">
        <v>0</v>
      </c>
      <c r="X1124">
        <v>0</v>
      </c>
      <c r="Y1124">
        <v>0</v>
      </c>
      <c r="Z1124">
        <v>0</v>
      </c>
      <c r="AA1124">
        <v>0</v>
      </c>
      <c r="AB1124">
        <v>0</v>
      </c>
      <c r="AC1124">
        <v>0</v>
      </c>
      <c r="AD1124">
        <v>0</v>
      </c>
      <c r="AE1124">
        <v>0</v>
      </c>
      <c r="AF1124">
        <v>25</v>
      </c>
      <c r="AG1124">
        <v>5</v>
      </c>
      <c r="AH1124">
        <v>25</v>
      </c>
      <c r="AI1124">
        <v>5</v>
      </c>
      <c r="AY1124" t="str">
        <f t="shared" si="196"/>
        <v>SOLUDOX 433 MG/G POUDRE POUR ADMINISTRATION DANS L'EAU DE BOISSON POUR DINDES</v>
      </c>
      <c r="AZ1124" t="str">
        <f>IF(COUNTIF(AY:AY,AY1124)=1,AY1124,IF(AND(COUNTIF(AY:AY,AY1124)&gt;1,COUNTIF(AZ$2:AZ1123,AY1124)&gt;=1),"",AY1124))</f>
        <v>SOLUDOX 433 MG/G POUDRE POUR ADMINISTRATION DANS L'EAU DE BOISSON POUR DINDES</v>
      </c>
      <c r="BA1124">
        <f>IF(AZ1124="","",COUNTIFS(AZ$3:AZ$1439,"&lt;"&amp;AZ1124,AZ$3:AZ$1439,"&lt;&gt;0")+COUNTIF(AZ$3:AZ1124,AZ1124)-876)</f>
        <v>446</v>
      </c>
      <c r="BT1124" s="76"/>
      <c r="CN1124">
        <v>1123</v>
      </c>
    </row>
    <row r="1125" spans="1:92" x14ac:dyDescent="0.3">
      <c r="A1125" s="118" t="s">
        <v>3554</v>
      </c>
      <c r="B1125" t="s">
        <v>3555</v>
      </c>
      <c r="C1125" t="s">
        <v>3556</v>
      </c>
      <c r="D1125" s="144" t="s">
        <v>829</v>
      </c>
      <c r="E1125" t="s">
        <v>830</v>
      </c>
      <c r="F1125" t="s">
        <v>471</v>
      </c>
      <c r="G1125" t="s">
        <v>831</v>
      </c>
      <c r="H1125" t="s">
        <v>1264</v>
      </c>
      <c r="I1125" t="s">
        <v>817</v>
      </c>
      <c r="J1125" t="s">
        <v>768</v>
      </c>
      <c r="K1125" t="s">
        <v>768</v>
      </c>
      <c r="L1125" t="s">
        <v>2121</v>
      </c>
      <c r="M1125" t="s">
        <v>208</v>
      </c>
      <c r="N1125" t="s">
        <v>3557</v>
      </c>
      <c r="O1125" t="s">
        <v>894</v>
      </c>
      <c r="P1125" t="s">
        <v>772</v>
      </c>
      <c r="Q1125" t="s">
        <v>3557</v>
      </c>
      <c r="R1125">
        <v>0</v>
      </c>
      <c r="S1125">
        <v>0</v>
      </c>
      <c r="T1125">
        <v>0</v>
      </c>
      <c r="U1125">
        <v>0</v>
      </c>
      <c r="V1125">
        <v>0</v>
      </c>
      <c r="W1125">
        <v>0</v>
      </c>
      <c r="X1125">
        <v>0</v>
      </c>
      <c r="Y1125">
        <v>0</v>
      </c>
      <c r="Z1125">
        <v>0</v>
      </c>
      <c r="AA1125">
        <v>0</v>
      </c>
      <c r="AB1125">
        <v>0</v>
      </c>
      <c r="AC1125">
        <v>0</v>
      </c>
      <c r="AD1125">
        <v>10.83</v>
      </c>
      <c r="AE1125">
        <v>4</v>
      </c>
      <c r="AF1125">
        <v>8.66</v>
      </c>
      <c r="AG1125">
        <v>4</v>
      </c>
      <c r="AH1125">
        <v>8.66</v>
      </c>
      <c r="AI1125">
        <v>4</v>
      </c>
      <c r="AY1125" t="str">
        <f t="shared" si="196"/>
        <v>SOLUDOX 433 MG/G POUDRE POUR ADMINISTRATION DANS L'EAU DE BOISSON POUR PORCS ET POULETS</v>
      </c>
      <c r="AZ1125" t="str">
        <f>IF(COUNTIF(AY:AY,AY1125)=1,AY1125,IF(AND(COUNTIF(AY:AY,AY1125)&gt;1,COUNTIF(AZ$2:AZ1124,AY1125)&gt;=1),"",AY1125))</f>
        <v>SOLUDOX 433 MG/G POUDRE POUR ADMINISTRATION DANS L'EAU DE BOISSON POUR PORCS ET POULETS</v>
      </c>
      <c r="BA1125">
        <f>IF(AZ1125="","",COUNTIFS(AZ$3:AZ$1439,"&lt;"&amp;AZ1125,AZ$3:AZ$1439,"&lt;&gt;0")+COUNTIF(AZ$3:AZ1125,AZ1125)-876)</f>
        <v>447</v>
      </c>
      <c r="BT1125" s="76"/>
      <c r="CN1125">
        <v>1124</v>
      </c>
    </row>
    <row r="1126" spans="1:92" x14ac:dyDescent="0.3">
      <c r="A1126" s="118" t="s">
        <v>1113</v>
      </c>
      <c r="B1126" t="s">
        <v>1114</v>
      </c>
      <c r="C1126" t="s">
        <v>1115</v>
      </c>
      <c r="D1126" s="144" t="s">
        <v>934</v>
      </c>
      <c r="E1126" t="s">
        <v>813</v>
      </c>
      <c r="F1126" t="s">
        <v>692</v>
      </c>
      <c r="G1126" t="s">
        <v>1024</v>
      </c>
      <c r="H1126" t="s">
        <v>801</v>
      </c>
      <c r="I1126" t="s">
        <v>1013</v>
      </c>
      <c r="J1126" t="s">
        <v>1116</v>
      </c>
      <c r="K1126" t="s">
        <v>802</v>
      </c>
      <c r="L1126" t="s">
        <v>803</v>
      </c>
      <c r="M1126" t="s">
        <v>208</v>
      </c>
      <c r="N1126" t="s">
        <v>1117</v>
      </c>
      <c r="O1126" t="s">
        <v>820</v>
      </c>
      <c r="P1126" t="s">
        <v>4363</v>
      </c>
      <c r="Q1126" t="s">
        <v>4377</v>
      </c>
      <c r="R1126">
        <v>0</v>
      </c>
      <c r="S1126">
        <v>0</v>
      </c>
      <c r="T1126">
        <v>0</v>
      </c>
      <c r="U1126">
        <v>0</v>
      </c>
      <c r="V1126">
        <v>0</v>
      </c>
      <c r="W1126">
        <v>0</v>
      </c>
      <c r="X1126">
        <v>0</v>
      </c>
      <c r="Y1126">
        <v>0</v>
      </c>
      <c r="Z1126">
        <v>0</v>
      </c>
      <c r="AA1126">
        <v>0</v>
      </c>
      <c r="AB1126">
        <v>0</v>
      </c>
      <c r="AC1126">
        <v>0</v>
      </c>
      <c r="AD1126">
        <v>0</v>
      </c>
      <c r="AE1126">
        <v>0</v>
      </c>
      <c r="AF1126">
        <v>0</v>
      </c>
      <c r="AG1126">
        <v>0</v>
      </c>
      <c r="AH1126">
        <v>0</v>
      </c>
      <c r="AI1126">
        <v>0</v>
      </c>
      <c r="AJ1126" t="s">
        <v>783</v>
      </c>
      <c r="AK1126" t="s">
        <v>784</v>
      </c>
      <c r="AL1126" t="s">
        <v>208</v>
      </c>
      <c r="AM1126" t="s">
        <v>819</v>
      </c>
      <c r="AN1126" t="s">
        <v>820</v>
      </c>
      <c r="AO1126" t="s">
        <v>4370</v>
      </c>
      <c r="AP1126" t="s">
        <v>4378</v>
      </c>
      <c r="AY1126" t="str">
        <f t="shared" si="196"/>
        <v>SPECIORLAC</v>
      </c>
      <c r="AZ1126" t="str">
        <f>IF(COUNTIF(AY:AY,AY1126)=1,AY1126,IF(AND(COUNTIF(AY:AY,AY1126)&gt;1,COUNTIF(AZ$2:AZ1125,AY1126)&gt;=1),"",AY1126))</f>
        <v>SPECIORLAC</v>
      </c>
      <c r="BA1126">
        <f>IF(AZ1126="","",COUNTIFS(AZ$3:AZ$1439,"&lt;"&amp;AZ1126,AZ$3:AZ$1439,"&lt;&gt;0")+COUNTIF(AZ$3:AZ1126,AZ1126)-876)</f>
        <v>448</v>
      </c>
      <c r="BT1126" s="76"/>
      <c r="CN1126">
        <v>1125</v>
      </c>
    </row>
    <row r="1127" spans="1:92" x14ac:dyDescent="0.3">
      <c r="A1127" s="118" t="s">
        <v>1827</v>
      </c>
      <c r="B1127" t="s">
        <v>1828</v>
      </c>
      <c r="C1127" t="s">
        <v>792</v>
      </c>
      <c r="D1127" s="144" t="s">
        <v>764</v>
      </c>
      <c r="E1127" t="s">
        <v>765</v>
      </c>
      <c r="F1127" t="s">
        <v>472</v>
      </c>
      <c r="G1127" t="s">
        <v>766</v>
      </c>
      <c r="H1127" t="s">
        <v>1829</v>
      </c>
      <c r="I1127" t="s">
        <v>766</v>
      </c>
      <c r="J1127" t="s">
        <v>783</v>
      </c>
      <c r="K1127" t="s">
        <v>783</v>
      </c>
      <c r="L1127" t="s">
        <v>1266</v>
      </c>
      <c r="M1127" t="s">
        <v>208</v>
      </c>
      <c r="N1127" t="s">
        <v>764</v>
      </c>
      <c r="O1127" t="s">
        <v>771</v>
      </c>
      <c r="P1127" t="s">
        <v>772</v>
      </c>
      <c r="Q1127" t="s">
        <v>852</v>
      </c>
      <c r="R1127">
        <v>40</v>
      </c>
      <c r="S1127">
        <v>3</v>
      </c>
      <c r="T1127">
        <v>0</v>
      </c>
      <c r="U1127">
        <v>0</v>
      </c>
      <c r="V1127">
        <v>40</v>
      </c>
      <c r="W1127">
        <v>3</v>
      </c>
      <c r="X1127">
        <v>0</v>
      </c>
      <c r="Y1127">
        <v>0</v>
      </c>
      <c r="Z1127">
        <v>0</v>
      </c>
      <c r="AA1127">
        <v>0</v>
      </c>
      <c r="AB1127">
        <v>40</v>
      </c>
      <c r="AC1127">
        <v>3</v>
      </c>
      <c r="AD1127">
        <v>40</v>
      </c>
      <c r="AE1127">
        <v>3</v>
      </c>
      <c r="AF1127">
        <v>40</v>
      </c>
      <c r="AG1127">
        <v>3</v>
      </c>
      <c r="AH1127">
        <v>0</v>
      </c>
      <c r="AI1127">
        <v>0</v>
      </c>
      <c r="AY1127" t="str">
        <f t="shared" si="196"/>
        <v>SPECTAM SOLUTION INJECTABLE</v>
      </c>
      <c r="AZ1127" t="str">
        <f>IF(COUNTIF(AY:AY,AY1127)=1,AY1127,IF(AND(COUNTIF(AY:AY,AY1127)&gt;1,COUNTIF(AZ$2:AZ1126,AY1127)&gt;=1),"",AY1127))</f>
        <v>SPECTAM SOLUTION INJECTABLE</v>
      </c>
      <c r="BA1127">
        <f>IF(AZ1127="","",COUNTIFS(AZ$3:AZ$1439,"&lt;"&amp;AZ1127,AZ$3:AZ$1439,"&lt;&gt;0")+COUNTIF(AZ$3:AZ1127,AZ1127)-876)</f>
        <v>449</v>
      </c>
      <c r="BT1127" s="76"/>
      <c r="CN1127">
        <v>1126</v>
      </c>
    </row>
    <row r="1128" spans="1:92" x14ac:dyDescent="0.3">
      <c r="A1128" s="118" t="s">
        <v>1827</v>
      </c>
      <c r="B1128" t="s">
        <v>1830</v>
      </c>
      <c r="C1128" t="s">
        <v>796</v>
      </c>
      <c r="D1128" s="144" t="s">
        <v>776</v>
      </c>
      <c r="E1128" t="s">
        <v>765</v>
      </c>
      <c r="F1128" t="s">
        <v>472</v>
      </c>
      <c r="G1128" t="s">
        <v>766</v>
      </c>
      <c r="H1128" t="s">
        <v>1829</v>
      </c>
      <c r="I1128" t="s">
        <v>766</v>
      </c>
      <c r="J1128" t="s">
        <v>783</v>
      </c>
      <c r="K1128" t="s">
        <v>783</v>
      </c>
      <c r="L1128" t="s">
        <v>1266</v>
      </c>
      <c r="M1128" t="s">
        <v>208</v>
      </c>
      <c r="N1128" t="s">
        <v>764</v>
      </c>
      <c r="O1128" t="s">
        <v>771</v>
      </c>
      <c r="P1128" t="s">
        <v>772</v>
      </c>
      <c r="Q1128" t="s">
        <v>855</v>
      </c>
      <c r="R1128">
        <v>40</v>
      </c>
      <c r="S1128">
        <v>3</v>
      </c>
      <c r="T1128">
        <v>0</v>
      </c>
      <c r="U1128">
        <v>0</v>
      </c>
      <c r="V1128">
        <v>40</v>
      </c>
      <c r="W1128">
        <v>3</v>
      </c>
      <c r="X1128">
        <v>0</v>
      </c>
      <c r="Y1128">
        <v>0</v>
      </c>
      <c r="Z1128">
        <v>0</v>
      </c>
      <c r="AA1128">
        <v>0</v>
      </c>
      <c r="AB1128">
        <v>40</v>
      </c>
      <c r="AC1128">
        <v>3</v>
      </c>
      <c r="AD1128">
        <v>40</v>
      </c>
      <c r="AE1128">
        <v>3</v>
      </c>
      <c r="AF1128">
        <v>40</v>
      </c>
      <c r="AG1128">
        <v>3</v>
      </c>
      <c r="AH1128">
        <v>0</v>
      </c>
      <c r="AI1128">
        <v>0</v>
      </c>
      <c r="AY1128" t="str">
        <f t="shared" si="196"/>
        <v>SPECTAM SOLUTION INJECTABLE</v>
      </c>
      <c r="AZ1128" t="str">
        <f>IF(COUNTIF(AY:AY,AY1128)=1,AY1128,IF(AND(COUNTIF(AY:AY,AY1128)&gt;1,COUNTIF(AZ$2:AZ1127,AY1128)&gt;=1),"",AY1128))</f>
        <v/>
      </c>
      <c r="BA1128" t="str">
        <f>IF(AZ1128="","",COUNTIFS(AZ$3:AZ$1439,"&lt;"&amp;AZ1128,AZ$3:AZ$1439,"&lt;&gt;0")+COUNTIF(AZ$3:AZ1128,AZ1128)-876)</f>
        <v/>
      </c>
      <c r="BT1128" s="76"/>
      <c r="CN1128">
        <v>1127</v>
      </c>
    </row>
    <row r="1129" spans="1:92" x14ac:dyDescent="0.3">
      <c r="A1129" s="118" t="s">
        <v>3604</v>
      </c>
      <c r="B1129" t="s">
        <v>3605</v>
      </c>
      <c r="C1129" t="s">
        <v>943</v>
      </c>
      <c r="D1129" s="144" t="s">
        <v>764</v>
      </c>
      <c r="E1129" t="s">
        <v>765</v>
      </c>
      <c r="F1129" t="s">
        <v>473</v>
      </c>
      <c r="G1129" t="s">
        <v>956</v>
      </c>
      <c r="H1129" t="s">
        <v>2661</v>
      </c>
      <c r="I1129" t="s">
        <v>817</v>
      </c>
      <c r="J1129" t="s">
        <v>2366</v>
      </c>
      <c r="K1129" t="s">
        <v>2366</v>
      </c>
      <c r="L1129" t="s">
        <v>2367</v>
      </c>
      <c r="M1129" t="s">
        <v>208</v>
      </c>
      <c r="N1129" t="s">
        <v>764</v>
      </c>
      <c r="O1129" t="s">
        <v>771</v>
      </c>
      <c r="P1129" t="s">
        <v>772</v>
      </c>
      <c r="Q1129" t="s">
        <v>852</v>
      </c>
      <c r="R1129">
        <v>0</v>
      </c>
      <c r="S1129">
        <v>0</v>
      </c>
      <c r="T1129">
        <v>0</v>
      </c>
      <c r="U1129">
        <v>0</v>
      </c>
      <c r="V1129">
        <v>0</v>
      </c>
      <c r="W1129">
        <v>0</v>
      </c>
      <c r="X1129">
        <v>0</v>
      </c>
      <c r="Y1129">
        <v>0</v>
      </c>
      <c r="Z1129">
        <v>0</v>
      </c>
      <c r="AA1129">
        <v>0</v>
      </c>
      <c r="AB1129">
        <v>0</v>
      </c>
      <c r="AC1129">
        <v>0</v>
      </c>
      <c r="AD1129">
        <v>0</v>
      </c>
      <c r="AE1129">
        <v>0</v>
      </c>
      <c r="AF1129">
        <v>10</v>
      </c>
      <c r="AG1129">
        <v>5</v>
      </c>
      <c r="AH1129">
        <v>0</v>
      </c>
      <c r="AI1129">
        <v>0</v>
      </c>
      <c r="AY1129" t="str">
        <f t="shared" si="196"/>
        <v>SPECTRON 100 MG/ML SOLUTION POUR UTILISATION DANS L'EAU DE BOISSON POUR POULES ET DINDES</v>
      </c>
      <c r="AZ1129" t="str">
        <f>IF(COUNTIF(AY:AY,AY1129)=1,AY1129,IF(AND(COUNTIF(AY:AY,AY1129)&gt;1,COUNTIF(AZ$2:AZ1128,AY1129)&gt;=1),"",AY1129))</f>
        <v>SPECTRON 100 MG/ML SOLUTION POUR UTILISATION DANS L'EAU DE BOISSON POUR POULES ET DINDES</v>
      </c>
      <c r="BA1129">
        <f>IF(AZ1129="","",COUNTIFS(AZ$3:AZ$1439,"&lt;"&amp;AZ1129,AZ$3:AZ$1439,"&lt;&gt;0")+COUNTIF(AZ$3:AZ1129,AZ1129)-876)</f>
        <v>450</v>
      </c>
      <c r="BT1129" s="76"/>
      <c r="CN1129">
        <v>1128</v>
      </c>
    </row>
    <row r="1130" spans="1:92" x14ac:dyDescent="0.3">
      <c r="A1130" s="118" t="s">
        <v>3604</v>
      </c>
      <c r="B1130" t="s">
        <v>3606</v>
      </c>
      <c r="C1130" t="s">
        <v>3120</v>
      </c>
      <c r="D1130" s="144" t="s">
        <v>829</v>
      </c>
      <c r="E1130" t="s">
        <v>765</v>
      </c>
      <c r="F1130" t="s">
        <v>473</v>
      </c>
      <c r="G1130" t="s">
        <v>956</v>
      </c>
      <c r="H1130" t="s">
        <v>2661</v>
      </c>
      <c r="I1130" t="s">
        <v>817</v>
      </c>
      <c r="J1130" t="s">
        <v>2366</v>
      </c>
      <c r="K1130" t="s">
        <v>2366</v>
      </c>
      <c r="L1130" t="s">
        <v>2367</v>
      </c>
      <c r="M1130" t="s">
        <v>208</v>
      </c>
      <c r="N1130" t="s">
        <v>764</v>
      </c>
      <c r="O1130" t="s">
        <v>771</v>
      </c>
      <c r="P1130" t="s">
        <v>772</v>
      </c>
      <c r="Q1130" t="s">
        <v>764</v>
      </c>
      <c r="R1130">
        <v>0</v>
      </c>
      <c r="S1130">
        <v>0</v>
      </c>
      <c r="T1130">
        <v>0</v>
      </c>
      <c r="U1130">
        <v>0</v>
      </c>
      <c r="V1130">
        <v>0</v>
      </c>
      <c r="W1130">
        <v>0</v>
      </c>
      <c r="X1130">
        <v>0</v>
      </c>
      <c r="Y1130">
        <v>0</v>
      </c>
      <c r="Z1130">
        <v>0</v>
      </c>
      <c r="AA1130">
        <v>0</v>
      </c>
      <c r="AB1130">
        <v>0</v>
      </c>
      <c r="AC1130">
        <v>0</v>
      </c>
      <c r="AD1130">
        <v>0</v>
      </c>
      <c r="AE1130">
        <v>0</v>
      </c>
      <c r="AF1130">
        <v>10</v>
      </c>
      <c r="AG1130">
        <v>5</v>
      </c>
      <c r="AH1130">
        <v>0</v>
      </c>
      <c r="AI1130">
        <v>0</v>
      </c>
      <c r="AY1130" t="str">
        <f t="shared" si="196"/>
        <v>SPECTRON 100 MG/ML SOLUTION POUR UTILISATION DANS L'EAU DE BOISSON POUR POULES ET DINDES</v>
      </c>
      <c r="AZ1130" t="str">
        <f>IF(COUNTIF(AY:AY,AY1130)=1,AY1130,IF(AND(COUNTIF(AY:AY,AY1130)&gt;1,COUNTIF(AZ$2:AZ1129,AY1130)&gt;=1),"",AY1130))</f>
        <v/>
      </c>
      <c r="BA1130" t="str">
        <f>IF(AZ1130="","",COUNTIFS(AZ$3:AZ$1439,"&lt;"&amp;AZ1130,AZ$3:AZ$1439,"&lt;&gt;0")+COUNTIF(AZ$3:AZ1130,AZ1130)-876)</f>
        <v/>
      </c>
      <c r="BT1130" s="76"/>
      <c r="CN1130">
        <v>1129</v>
      </c>
    </row>
    <row r="1131" spans="1:92" x14ac:dyDescent="0.3">
      <c r="A1131" s="118" t="s">
        <v>3604</v>
      </c>
      <c r="B1131" t="s">
        <v>3607</v>
      </c>
      <c r="C1131" t="s">
        <v>3095</v>
      </c>
      <c r="D1131" s="144" t="s">
        <v>955</v>
      </c>
      <c r="E1131" t="s">
        <v>765</v>
      </c>
      <c r="F1131" t="s">
        <v>473</v>
      </c>
      <c r="G1131" t="s">
        <v>956</v>
      </c>
      <c r="H1131" t="s">
        <v>2661</v>
      </c>
      <c r="I1131" t="s">
        <v>817</v>
      </c>
      <c r="J1131" t="s">
        <v>2366</v>
      </c>
      <c r="K1131" t="s">
        <v>2366</v>
      </c>
      <c r="L1131" t="s">
        <v>2367</v>
      </c>
      <c r="M1131" t="s">
        <v>208</v>
      </c>
      <c r="N1131" t="s">
        <v>764</v>
      </c>
      <c r="O1131" t="s">
        <v>771</v>
      </c>
      <c r="P1131" t="s">
        <v>772</v>
      </c>
      <c r="Q1131" t="s">
        <v>906</v>
      </c>
      <c r="R1131">
        <v>0</v>
      </c>
      <c r="S1131">
        <v>0</v>
      </c>
      <c r="T1131">
        <v>0</v>
      </c>
      <c r="U1131">
        <v>0</v>
      </c>
      <c r="V1131">
        <v>0</v>
      </c>
      <c r="W1131">
        <v>0</v>
      </c>
      <c r="X1131">
        <v>0</v>
      </c>
      <c r="Y1131">
        <v>0</v>
      </c>
      <c r="Z1131">
        <v>0</v>
      </c>
      <c r="AA1131">
        <v>0</v>
      </c>
      <c r="AB1131">
        <v>0</v>
      </c>
      <c r="AC1131">
        <v>0</v>
      </c>
      <c r="AD1131">
        <v>0</v>
      </c>
      <c r="AE1131">
        <v>0</v>
      </c>
      <c r="AF1131">
        <v>10</v>
      </c>
      <c r="AG1131">
        <v>5</v>
      </c>
      <c r="AH1131">
        <v>0</v>
      </c>
      <c r="AI1131">
        <v>0</v>
      </c>
      <c r="AY1131" t="str">
        <f t="shared" si="196"/>
        <v>SPECTRON 100 MG/ML SOLUTION POUR UTILISATION DANS L'EAU DE BOISSON POUR POULES ET DINDES</v>
      </c>
      <c r="AZ1131" t="str">
        <f>IF(COUNTIF(AY:AY,AY1131)=1,AY1131,IF(AND(COUNTIF(AY:AY,AY1131)&gt;1,COUNTIF(AZ$2:AZ1130,AY1131)&gt;=1),"",AY1131))</f>
        <v/>
      </c>
      <c r="BA1131" t="str">
        <f>IF(AZ1131="","",COUNTIFS(AZ$3:AZ$1439,"&lt;"&amp;AZ1131,AZ$3:AZ$1439,"&lt;&gt;0")+COUNTIF(AZ$3:AZ1131,AZ1131)-876)</f>
        <v/>
      </c>
      <c r="BT1131" s="76"/>
      <c r="CN1131">
        <v>1130</v>
      </c>
    </row>
    <row r="1132" spans="1:92" x14ac:dyDescent="0.3">
      <c r="A1132" s="118" t="s">
        <v>1655</v>
      </c>
      <c r="B1132" t="s">
        <v>1656</v>
      </c>
      <c r="C1132" t="s">
        <v>4413</v>
      </c>
      <c r="D1132" s="144" t="s">
        <v>1358</v>
      </c>
      <c r="E1132" t="s">
        <v>813</v>
      </c>
      <c r="F1132" t="s">
        <v>1657</v>
      </c>
      <c r="G1132" t="s">
        <v>815</v>
      </c>
      <c r="H1132" t="s">
        <v>816</v>
      </c>
      <c r="I1132" t="s">
        <v>817</v>
      </c>
      <c r="J1132" t="s">
        <v>818</v>
      </c>
      <c r="K1132" t="s">
        <v>802</v>
      </c>
      <c r="L1132" t="s">
        <v>803</v>
      </c>
      <c r="M1132" t="s">
        <v>208</v>
      </c>
      <c r="N1132" t="s">
        <v>1658</v>
      </c>
      <c r="O1132" t="s">
        <v>820</v>
      </c>
      <c r="P1132" t="s">
        <v>4363</v>
      </c>
      <c r="Q1132" t="s">
        <v>4377</v>
      </c>
      <c r="R1132">
        <v>0</v>
      </c>
      <c r="S1132">
        <v>0</v>
      </c>
      <c r="T1132">
        <v>28.13</v>
      </c>
      <c r="U1132">
        <v>5</v>
      </c>
      <c r="V1132">
        <v>0</v>
      </c>
      <c r="W1132">
        <v>0</v>
      </c>
      <c r="X1132">
        <v>0</v>
      </c>
      <c r="Y1132">
        <v>0</v>
      </c>
      <c r="Z1132">
        <v>0</v>
      </c>
      <c r="AA1132">
        <v>0</v>
      </c>
      <c r="AB1132">
        <v>0</v>
      </c>
      <c r="AC1132">
        <v>0</v>
      </c>
      <c r="AD1132">
        <v>0</v>
      </c>
      <c r="AE1132">
        <v>0</v>
      </c>
      <c r="AF1132">
        <v>0</v>
      </c>
      <c r="AG1132">
        <v>0</v>
      </c>
      <c r="AH1132">
        <v>0</v>
      </c>
      <c r="AI1132">
        <v>0</v>
      </c>
      <c r="AJ1132" t="s">
        <v>821</v>
      </c>
      <c r="AK1132" t="s">
        <v>1149</v>
      </c>
      <c r="AL1132" t="s">
        <v>208</v>
      </c>
      <c r="AM1132" t="s">
        <v>869</v>
      </c>
      <c r="AN1132" t="s">
        <v>824</v>
      </c>
      <c r="AO1132" t="s">
        <v>772</v>
      </c>
      <c r="AP1132" t="s">
        <v>1659</v>
      </c>
      <c r="AY1132" t="str">
        <f t="shared" si="196"/>
        <v/>
      </c>
      <c r="AZ1132" t="str">
        <f>IF(COUNTIF(AY:AY,AY1132)=1,AY1132,IF(AND(COUNTIF(AY:AY,AY1132)&gt;1,COUNTIF(AZ$2:AZ1131,AY1132)&gt;=1),"",AY1132))</f>
        <v/>
      </c>
      <c r="BA1132" t="str">
        <f>IF(AZ1132="","",COUNTIFS(AZ$3:AZ$1439,"&lt;"&amp;AZ1132,AZ$3:AZ$1439,"&lt;&gt;0")+COUNTIF(AZ$3:AZ1132,AZ1132)-876)</f>
        <v/>
      </c>
      <c r="BT1132" s="76"/>
      <c r="CN1132">
        <v>1131</v>
      </c>
    </row>
    <row r="1133" spans="1:92" x14ac:dyDescent="0.3">
      <c r="A1133" s="118" t="s">
        <v>1660</v>
      </c>
      <c r="B1133" t="s">
        <v>1661</v>
      </c>
      <c r="C1133" t="s">
        <v>1662</v>
      </c>
      <c r="D1133" s="144" t="s">
        <v>793</v>
      </c>
      <c r="E1133" t="s">
        <v>813</v>
      </c>
      <c r="F1133" t="s">
        <v>1663</v>
      </c>
      <c r="G1133" t="s">
        <v>815</v>
      </c>
      <c r="H1133" t="s">
        <v>860</v>
      </c>
      <c r="I1133" t="s">
        <v>817</v>
      </c>
      <c r="J1133" t="s">
        <v>818</v>
      </c>
      <c r="K1133" t="s">
        <v>802</v>
      </c>
      <c r="L1133" t="s">
        <v>803</v>
      </c>
      <c r="M1133" t="s">
        <v>208</v>
      </c>
      <c r="N1133" t="s">
        <v>1664</v>
      </c>
      <c r="O1133" t="s">
        <v>820</v>
      </c>
      <c r="P1133" t="s">
        <v>4363</v>
      </c>
      <c r="Q1133" t="s">
        <v>4414</v>
      </c>
      <c r="R1133">
        <v>0</v>
      </c>
      <c r="S1133">
        <v>0</v>
      </c>
      <c r="T1133">
        <v>28.13</v>
      </c>
      <c r="U1133">
        <v>5</v>
      </c>
      <c r="V1133">
        <v>0</v>
      </c>
      <c r="W1133">
        <v>0</v>
      </c>
      <c r="X1133">
        <v>0</v>
      </c>
      <c r="Y1133">
        <v>0</v>
      </c>
      <c r="Z1133">
        <v>0</v>
      </c>
      <c r="AA1133">
        <v>0</v>
      </c>
      <c r="AB1133">
        <v>0</v>
      </c>
      <c r="AC1133">
        <v>0</v>
      </c>
      <c r="AD1133">
        <v>0</v>
      </c>
      <c r="AE1133">
        <v>0</v>
      </c>
      <c r="AF1133">
        <v>0</v>
      </c>
      <c r="AG1133">
        <v>0</v>
      </c>
      <c r="AH1133">
        <v>0</v>
      </c>
      <c r="AI1133">
        <v>0</v>
      </c>
      <c r="AJ1133" t="s">
        <v>821</v>
      </c>
      <c r="AK1133" t="s">
        <v>1149</v>
      </c>
      <c r="AL1133" t="s">
        <v>208</v>
      </c>
      <c r="AM1133" t="s">
        <v>1125</v>
      </c>
      <c r="AN1133" t="s">
        <v>820</v>
      </c>
      <c r="AO1133" t="s">
        <v>772</v>
      </c>
      <c r="AP1133" t="s">
        <v>1118</v>
      </c>
      <c r="AY1133" t="str">
        <f t="shared" si="196"/>
        <v/>
      </c>
      <c r="AZ1133" t="str">
        <f>IF(COUNTIF(AY:AY,AY1133)=1,AY1133,IF(AND(COUNTIF(AY:AY,AY1133)&gt;1,COUNTIF(AZ$2:AZ1132,AY1133)&gt;=1),"",AY1133))</f>
        <v/>
      </c>
      <c r="BA1133" t="str">
        <f>IF(AZ1133="","",COUNTIFS(AZ$3:AZ$1439,"&lt;"&amp;AZ1133,AZ$3:AZ$1439,"&lt;&gt;0")+COUNTIF(AZ$3:AZ1133,AZ1133)-876)</f>
        <v/>
      </c>
      <c r="BT1133" s="76"/>
      <c r="CN1133">
        <v>1132</v>
      </c>
    </row>
    <row r="1134" spans="1:92" x14ac:dyDescent="0.3">
      <c r="A1134" s="118" t="s">
        <v>1660</v>
      </c>
      <c r="B1134" t="s">
        <v>1665</v>
      </c>
      <c r="C1134" t="s">
        <v>1666</v>
      </c>
      <c r="D1134" s="144" t="s">
        <v>1506</v>
      </c>
      <c r="E1134" t="s">
        <v>813</v>
      </c>
      <c r="F1134" t="s">
        <v>1663</v>
      </c>
      <c r="G1134" t="s">
        <v>815</v>
      </c>
      <c r="H1134" t="s">
        <v>860</v>
      </c>
      <c r="I1134" t="s">
        <v>817</v>
      </c>
      <c r="J1134" t="s">
        <v>818</v>
      </c>
      <c r="K1134" t="s">
        <v>802</v>
      </c>
      <c r="L1134" t="s">
        <v>803</v>
      </c>
      <c r="M1134" t="s">
        <v>208</v>
      </c>
      <c r="N1134" t="s">
        <v>1664</v>
      </c>
      <c r="O1134" t="s">
        <v>820</v>
      </c>
      <c r="P1134" t="s">
        <v>4363</v>
      </c>
      <c r="Q1134" t="s">
        <v>4415</v>
      </c>
      <c r="R1134">
        <v>0</v>
      </c>
      <c r="S1134">
        <v>0</v>
      </c>
      <c r="T1134">
        <v>28.13</v>
      </c>
      <c r="U1134">
        <v>5</v>
      </c>
      <c r="V1134">
        <v>0</v>
      </c>
      <c r="W1134">
        <v>0</v>
      </c>
      <c r="X1134">
        <v>0</v>
      </c>
      <c r="Y1134">
        <v>0</v>
      </c>
      <c r="Z1134">
        <v>0</v>
      </c>
      <c r="AA1134">
        <v>0</v>
      </c>
      <c r="AB1134">
        <v>0</v>
      </c>
      <c r="AC1134">
        <v>0</v>
      </c>
      <c r="AD1134">
        <v>0</v>
      </c>
      <c r="AE1134">
        <v>0</v>
      </c>
      <c r="AF1134">
        <v>0</v>
      </c>
      <c r="AG1134">
        <v>0</v>
      </c>
      <c r="AH1134">
        <v>0</v>
      </c>
      <c r="AI1134">
        <v>0</v>
      </c>
      <c r="AJ1134" t="s">
        <v>821</v>
      </c>
      <c r="AK1134" t="s">
        <v>1149</v>
      </c>
      <c r="AL1134" t="s">
        <v>208</v>
      </c>
      <c r="AM1134" t="s">
        <v>1125</v>
      </c>
      <c r="AN1134" t="s">
        <v>820</v>
      </c>
      <c r="AO1134" t="s">
        <v>772</v>
      </c>
      <c r="AP1134" t="s">
        <v>793</v>
      </c>
      <c r="AY1134" t="str">
        <f t="shared" si="196"/>
        <v/>
      </c>
      <c r="AZ1134" t="str">
        <f>IF(COUNTIF(AY:AY,AY1134)=1,AY1134,IF(AND(COUNTIF(AY:AY,AY1134)&gt;1,COUNTIF(AZ$2:AZ1133,AY1134)&gt;=1),"",AY1134))</f>
        <v/>
      </c>
      <c r="BA1134" t="str">
        <f>IF(AZ1134="","",COUNTIFS(AZ$3:AZ$1439,"&lt;"&amp;AZ1134,AZ$3:AZ$1439,"&lt;&gt;0")+COUNTIF(AZ$3:AZ1134,AZ1134)-876)</f>
        <v/>
      </c>
      <c r="BT1134" s="76"/>
      <c r="CN1134">
        <v>1133</v>
      </c>
    </row>
    <row r="1135" spans="1:92" x14ac:dyDescent="0.3">
      <c r="A1135" s="118" t="s">
        <v>1660</v>
      </c>
      <c r="B1135" t="s">
        <v>1667</v>
      </c>
      <c r="C1135" t="s">
        <v>1668</v>
      </c>
      <c r="D1135" s="144" t="s">
        <v>1669</v>
      </c>
      <c r="E1135" t="s">
        <v>813</v>
      </c>
      <c r="F1135" t="s">
        <v>1663</v>
      </c>
      <c r="G1135" t="s">
        <v>815</v>
      </c>
      <c r="H1135" t="s">
        <v>860</v>
      </c>
      <c r="I1135" t="s">
        <v>817</v>
      </c>
      <c r="J1135" t="s">
        <v>818</v>
      </c>
      <c r="K1135" t="s">
        <v>802</v>
      </c>
      <c r="L1135" t="s">
        <v>803</v>
      </c>
      <c r="M1135" t="s">
        <v>208</v>
      </c>
      <c r="N1135" t="s">
        <v>1664</v>
      </c>
      <c r="O1135" t="s">
        <v>820</v>
      </c>
      <c r="P1135" t="s">
        <v>4363</v>
      </c>
      <c r="Q1135" t="s">
        <v>4416</v>
      </c>
      <c r="R1135">
        <v>0</v>
      </c>
      <c r="S1135">
        <v>0</v>
      </c>
      <c r="T1135">
        <v>28.13</v>
      </c>
      <c r="U1135">
        <v>5</v>
      </c>
      <c r="V1135">
        <v>0</v>
      </c>
      <c r="W1135">
        <v>0</v>
      </c>
      <c r="X1135">
        <v>0</v>
      </c>
      <c r="Y1135">
        <v>0</v>
      </c>
      <c r="Z1135">
        <v>0</v>
      </c>
      <c r="AA1135">
        <v>0</v>
      </c>
      <c r="AB1135">
        <v>0</v>
      </c>
      <c r="AC1135">
        <v>0</v>
      </c>
      <c r="AD1135">
        <v>0</v>
      </c>
      <c r="AE1135">
        <v>0</v>
      </c>
      <c r="AF1135">
        <v>0</v>
      </c>
      <c r="AG1135">
        <v>0</v>
      </c>
      <c r="AH1135">
        <v>0</v>
      </c>
      <c r="AI1135">
        <v>0</v>
      </c>
      <c r="AJ1135" t="s">
        <v>821</v>
      </c>
      <c r="AK1135" t="s">
        <v>1149</v>
      </c>
      <c r="AL1135" t="s">
        <v>208</v>
      </c>
      <c r="AM1135" t="s">
        <v>1125</v>
      </c>
      <c r="AN1135" t="s">
        <v>820</v>
      </c>
      <c r="AO1135" t="s">
        <v>772</v>
      </c>
      <c r="AP1135" t="s">
        <v>1670</v>
      </c>
      <c r="AY1135" t="str">
        <f t="shared" si="196"/>
        <v/>
      </c>
      <c r="AZ1135" t="str">
        <f>IF(COUNTIF(AY:AY,AY1135)=1,AY1135,IF(AND(COUNTIF(AY:AY,AY1135)&gt;1,COUNTIF(AZ$2:AZ1134,AY1135)&gt;=1),"",AY1135))</f>
        <v/>
      </c>
      <c r="BA1135" t="str">
        <f>IF(AZ1135="","",COUNTIFS(AZ$3:AZ$1439,"&lt;"&amp;AZ1135,AZ$3:AZ$1439,"&lt;&gt;0")+COUNTIF(AZ$3:AZ1135,AZ1135)-876)</f>
        <v/>
      </c>
      <c r="BT1135" s="76"/>
      <c r="CN1135">
        <v>1134</v>
      </c>
    </row>
    <row r="1136" spans="1:92" x14ac:dyDescent="0.3">
      <c r="A1136" s="118" t="s">
        <v>2967</v>
      </c>
      <c r="B1136" t="s">
        <v>2968</v>
      </c>
      <c r="C1136" t="s">
        <v>2969</v>
      </c>
      <c r="D1136" s="144" t="s">
        <v>780</v>
      </c>
      <c r="E1136" t="s">
        <v>765</v>
      </c>
      <c r="F1136" t="s">
        <v>47</v>
      </c>
      <c r="G1136" t="s">
        <v>766</v>
      </c>
      <c r="H1136" t="s">
        <v>801</v>
      </c>
      <c r="I1136" t="s">
        <v>766</v>
      </c>
      <c r="J1136" t="s">
        <v>802</v>
      </c>
      <c r="K1136" t="s">
        <v>802</v>
      </c>
      <c r="L1136" t="s">
        <v>803</v>
      </c>
      <c r="M1136" t="s">
        <v>208</v>
      </c>
      <c r="N1136" t="s">
        <v>804</v>
      </c>
      <c r="O1136" t="s">
        <v>805</v>
      </c>
      <c r="P1136" t="s">
        <v>4363</v>
      </c>
      <c r="Q1136" t="s">
        <v>4202</v>
      </c>
      <c r="R1136">
        <v>31</v>
      </c>
      <c r="S1136">
        <v>2</v>
      </c>
      <c r="T1136">
        <v>0</v>
      </c>
      <c r="U1136">
        <v>0</v>
      </c>
      <c r="V1136">
        <v>0</v>
      </c>
      <c r="W1136">
        <v>0</v>
      </c>
      <c r="X1136">
        <v>0</v>
      </c>
      <c r="Y1136">
        <v>0</v>
      </c>
      <c r="Z1136">
        <v>0</v>
      </c>
      <c r="AA1136">
        <v>0</v>
      </c>
      <c r="AB1136">
        <v>0</v>
      </c>
      <c r="AC1136">
        <v>0</v>
      </c>
      <c r="AD1136">
        <v>31</v>
      </c>
      <c r="AE1136">
        <v>2</v>
      </c>
      <c r="AF1136">
        <v>0</v>
      </c>
      <c r="AG1136">
        <v>0</v>
      </c>
      <c r="AH1136">
        <v>0</v>
      </c>
      <c r="AI1136">
        <v>0</v>
      </c>
      <c r="AY1136" t="str">
        <f t="shared" si="196"/>
        <v>SPIROVET</v>
      </c>
      <c r="AZ1136" t="str">
        <f>IF(COUNTIF(AY:AY,AY1136)=1,AY1136,IF(AND(COUNTIF(AY:AY,AY1136)&gt;1,COUNTIF(AZ$2:AZ1135,AY1136)&gt;=1),"",AY1136))</f>
        <v>SPIROVET</v>
      </c>
      <c r="BA1136">
        <f>IF(AZ1136="","",COUNTIFS(AZ$3:AZ$1439,"&lt;"&amp;AZ1136,AZ$3:AZ$1439,"&lt;&gt;0")+COUNTIF(AZ$3:AZ1136,AZ1136)-876)</f>
        <v>451</v>
      </c>
      <c r="BT1136" s="76"/>
      <c r="CN1136">
        <v>1135</v>
      </c>
    </row>
    <row r="1137" spans="1:92" x14ac:dyDescent="0.3">
      <c r="A1137" s="118" t="s">
        <v>2967</v>
      </c>
      <c r="B1137" t="s">
        <v>2970</v>
      </c>
      <c r="C1137" t="s">
        <v>2971</v>
      </c>
      <c r="D1137" s="144" t="s">
        <v>764</v>
      </c>
      <c r="E1137" t="s">
        <v>765</v>
      </c>
      <c r="F1137" t="s">
        <v>47</v>
      </c>
      <c r="G1137" t="s">
        <v>766</v>
      </c>
      <c r="H1137" t="s">
        <v>801</v>
      </c>
      <c r="I1137" t="s">
        <v>766</v>
      </c>
      <c r="J1137" t="s">
        <v>802</v>
      </c>
      <c r="K1137" t="s">
        <v>802</v>
      </c>
      <c r="L1137" t="s">
        <v>803</v>
      </c>
      <c r="M1137" t="s">
        <v>208</v>
      </c>
      <c r="N1137" t="s">
        <v>804</v>
      </c>
      <c r="O1137" t="s">
        <v>805</v>
      </c>
      <c r="P1137" t="s">
        <v>4363</v>
      </c>
      <c r="Q1137" t="s">
        <v>1757</v>
      </c>
      <c r="R1137">
        <v>31</v>
      </c>
      <c r="S1137">
        <v>2</v>
      </c>
      <c r="T1137">
        <v>0</v>
      </c>
      <c r="U1137">
        <v>0</v>
      </c>
      <c r="V1137">
        <v>0</v>
      </c>
      <c r="W1137">
        <v>0</v>
      </c>
      <c r="X1137">
        <v>0</v>
      </c>
      <c r="Y1137">
        <v>0</v>
      </c>
      <c r="Z1137">
        <v>0</v>
      </c>
      <c r="AA1137">
        <v>0</v>
      </c>
      <c r="AB1137">
        <v>0</v>
      </c>
      <c r="AC1137">
        <v>0</v>
      </c>
      <c r="AD1137">
        <v>31</v>
      </c>
      <c r="AE1137">
        <v>2</v>
      </c>
      <c r="AF1137">
        <v>0</v>
      </c>
      <c r="AG1137">
        <v>0</v>
      </c>
      <c r="AH1137">
        <v>0</v>
      </c>
      <c r="AI1137">
        <v>0</v>
      </c>
      <c r="AY1137" t="str">
        <f t="shared" si="196"/>
        <v>SPIROVET</v>
      </c>
      <c r="AZ1137" t="str">
        <f>IF(COUNTIF(AY:AY,AY1137)=1,AY1137,IF(AND(COUNTIF(AY:AY,AY1137)&gt;1,COUNTIF(AZ$2:AZ1136,AY1137)&gt;=1),"",AY1137))</f>
        <v/>
      </c>
      <c r="BA1137" t="str">
        <f>IF(AZ1137="","",COUNTIFS(AZ$3:AZ$1439,"&lt;"&amp;AZ1137,AZ$3:AZ$1439,"&lt;&gt;0")+COUNTIF(AZ$3:AZ1137,AZ1137)-876)</f>
        <v/>
      </c>
      <c r="BT1137" s="76"/>
      <c r="CN1137">
        <v>1136</v>
      </c>
    </row>
    <row r="1138" spans="1:92" x14ac:dyDescent="0.3">
      <c r="A1138" s="118" t="s">
        <v>2967</v>
      </c>
      <c r="B1138" t="s">
        <v>2972</v>
      </c>
      <c r="C1138" t="s">
        <v>2973</v>
      </c>
      <c r="D1138" s="144" t="s">
        <v>776</v>
      </c>
      <c r="E1138" t="s">
        <v>765</v>
      </c>
      <c r="F1138" t="s">
        <v>47</v>
      </c>
      <c r="G1138" t="s">
        <v>766</v>
      </c>
      <c r="H1138" t="s">
        <v>801</v>
      </c>
      <c r="I1138" t="s">
        <v>766</v>
      </c>
      <c r="J1138" t="s">
        <v>802</v>
      </c>
      <c r="K1138" t="s">
        <v>802</v>
      </c>
      <c r="L1138" t="s">
        <v>803</v>
      </c>
      <c r="M1138" t="s">
        <v>208</v>
      </c>
      <c r="N1138" t="s">
        <v>804</v>
      </c>
      <c r="O1138" t="s">
        <v>805</v>
      </c>
      <c r="P1138" t="s">
        <v>4363</v>
      </c>
      <c r="Q1138" t="s">
        <v>1759</v>
      </c>
      <c r="R1138">
        <v>31</v>
      </c>
      <c r="S1138">
        <v>2</v>
      </c>
      <c r="T1138">
        <v>0</v>
      </c>
      <c r="U1138">
        <v>0</v>
      </c>
      <c r="V1138">
        <v>0</v>
      </c>
      <c r="W1138">
        <v>0</v>
      </c>
      <c r="X1138">
        <v>0</v>
      </c>
      <c r="Y1138">
        <v>0</v>
      </c>
      <c r="Z1138">
        <v>0</v>
      </c>
      <c r="AA1138">
        <v>0</v>
      </c>
      <c r="AB1138">
        <v>0</v>
      </c>
      <c r="AC1138">
        <v>0</v>
      </c>
      <c r="AD1138">
        <v>31</v>
      </c>
      <c r="AE1138">
        <v>2</v>
      </c>
      <c r="AF1138">
        <v>0</v>
      </c>
      <c r="AG1138">
        <v>0</v>
      </c>
      <c r="AH1138">
        <v>0</v>
      </c>
      <c r="AI1138">
        <v>0</v>
      </c>
      <c r="AY1138" t="str">
        <f t="shared" si="196"/>
        <v>SPIROVET</v>
      </c>
      <c r="AZ1138" t="str">
        <f>IF(COUNTIF(AY:AY,AY1138)=1,AY1138,IF(AND(COUNTIF(AY:AY,AY1138)&gt;1,COUNTIF(AZ$2:AZ1137,AY1138)&gt;=1),"",AY1138))</f>
        <v/>
      </c>
      <c r="BA1138" t="str">
        <f>IF(AZ1138="","",COUNTIFS(AZ$3:AZ$1439,"&lt;"&amp;AZ1138,AZ$3:AZ$1439,"&lt;&gt;0")+COUNTIF(AZ$3:AZ1138,AZ1138)-876)</f>
        <v/>
      </c>
      <c r="BT1138" s="76"/>
      <c r="CN1138">
        <v>1137</v>
      </c>
    </row>
    <row r="1139" spans="1:92" x14ac:dyDescent="0.3">
      <c r="A1139" s="118" t="s">
        <v>4221</v>
      </c>
      <c r="B1139" t="s">
        <v>4222</v>
      </c>
      <c r="C1139" t="s">
        <v>2611</v>
      </c>
      <c r="D1139" t="s">
        <v>852</v>
      </c>
      <c r="E1139" t="s">
        <v>813</v>
      </c>
      <c r="F1139" t="s">
        <v>4223</v>
      </c>
      <c r="G1139" t="s">
        <v>815</v>
      </c>
      <c r="H1139" t="s">
        <v>860</v>
      </c>
      <c r="I1139" t="s">
        <v>817</v>
      </c>
      <c r="J1139" t="s">
        <v>818</v>
      </c>
      <c r="K1139" t="s">
        <v>802</v>
      </c>
      <c r="L1139" t="s">
        <v>803</v>
      </c>
      <c r="M1139" t="s">
        <v>208</v>
      </c>
      <c r="N1139" t="s">
        <v>833</v>
      </c>
      <c r="O1139" t="s">
        <v>820</v>
      </c>
      <c r="P1139" t="s">
        <v>4363</v>
      </c>
      <c r="Q1139" t="s">
        <v>4380</v>
      </c>
      <c r="R1139">
        <v>0</v>
      </c>
      <c r="S1139">
        <v>0</v>
      </c>
      <c r="T1139">
        <v>23.25</v>
      </c>
      <c r="U1139">
        <v>10</v>
      </c>
      <c r="V1139">
        <v>0</v>
      </c>
      <c r="W1139">
        <v>0</v>
      </c>
      <c r="X1139">
        <v>0</v>
      </c>
      <c r="Y1139">
        <v>0</v>
      </c>
      <c r="Z1139">
        <v>0</v>
      </c>
      <c r="AA1139">
        <v>0</v>
      </c>
      <c r="AB1139">
        <v>0</v>
      </c>
      <c r="AC1139">
        <v>0</v>
      </c>
      <c r="AD1139">
        <v>0</v>
      </c>
      <c r="AE1139">
        <v>0</v>
      </c>
      <c r="AF1139">
        <v>0</v>
      </c>
      <c r="AG1139">
        <v>0</v>
      </c>
      <c r="AH1139">
        <v>0</v>
      </c>
      <c r="AI1139">
        <v>0</v>
      </c>
      <c r="AJ1139" t="s">
        <v>821</v>
      </c>
      <c r="AK1139" t="s">
        <v>822</v>
      </c>
      <c r="AL1139" t="s">
        <v>208</v>
      </c>
      <c r="AM1139" t="s">
        <v>776</v>
      </c>
      <c r="AN1139" t="s">
        <v>824</v>
      </c>
      <c r="AO1139" t="s">
        <v>772</v>
      </c>
      <c r="AP1139" t="s">
        <v>1126</v>
      </c>
      <c r="AY1139" t="str">
        <f t="shared" si="196"/>
        <v/>
      </c>
      <c r="AZ1139" t="str">
        <f>IF(COUNTIF(AY:AY,AY1139)=1,AY1139,IF(AND(COUNTIF(AY:AY,AY1139)&gt;1,COUNTIF(AZ$2:AZ1138,AY1139)&gt;=1),"",AY1139))</f>
        <v/>
      </c>
      <c r="BA1139" t="str">
        <f>IF(AZ1139="","",COUNTIFS(AZ$3:AZ$1439,"&lt;"&amp;AZ1139,AZ$3:AZ$1439,"&lt;&gt;0")+COUNTIF(AZ$3:AZ1139,AZ1139)-876)</f>
        <v/>
      </c>
      <c r="BT1139" s="76"/>
      <c r="CN1139">
        <v>1138</v>
      </c>
    </row>
    <row r="1140" spans="1:92" x14ac:dyDescent="0.3">
      <c r="A1140" s="118" t="s">
        <v>4224</v>
      </c>
      <c r="B1140" t="s">
        <v>4225</v>
      </c>
      <c r="C1140" t="s">
        <v>2611</v>
      </c>
      <c r="D1140" t="s">
        <v>852</v>
      </c>
      <c r="E1140" t="s">
        <v>813</v>
      </c>
      <c r="F1140" t="s">
        <v>4226</v>
      </c>
      <c r="G1140" t="s">
        <v>815</v>
      </c>
      <c r="H1140" t="s">
        <v>860</v>
      </c>
      <c r="I1140" t="s">
        <v>817</v>
      </c>
      <c r="J1140" t="s">
        <v>818</v>
      </c>
      <c r="K1140" t="s">
        <v>802</v>
      </c>
      <c r="L1140" t="s">
        <v>803</v>
      </c>
      <c r="M1140" t="s">
        <v>208</v>
      </c>
      <c r="N1140" t="s">
        <v>4227</v>
      </c>
      <c r="O1140" t="s">
        <v>820</v>
      </c>
      <c r="P1140" t="s">
        <v>4363</v>
      </c>
      <c r="Q1140" t="s">
        <v>4202</v>
      </c>
      <c r="R1140">
        <v>0</v>
      </c>
      <c r="S1140">
        <v>0</v>
      </c>
      <c r="T1140">
        <v>23.25</v>
      </c>
      <c r="U1140">
        <v>10</v>
      </c>
      <c r="V1140">
        <v>0</v>
      </c>
      <c r="W1140">
        <v>0</v>
      </c>
      <c r="X1140">
        <v>0</v>
      </c>
      <c r="Y1140">
        <v>0</v>
      </c>
      <c r="Z1140">
        <v>0</v>
      </c>
      <c r="AA1140">
        <v>0</v>
      </c>
      <c r="AB1140">
        <v>0</v>
      </c>
      <c r="AC1140">
        <v>0</v>
      </c>
      <c r="AD1140">
        <v>0</v>
      </c>
      <c r="AE1140">
        <v>0</v>
      </c>
      <c r="AF1140">
        <v>0</v>
      </c>
      <c r="AG1140">
        <v>0</v>
      </c>
      <c r="AH1140">
        <v>0</v>
      </c>
      <c r="AI1140">
        <v>0</v>
      </c>
      <c r="AJ1140" t="s">
        <v>821</v>
      </c>
      <c r="AK1140" t="s">
        <v>822</v>
      </c>
      <c r="AL1140" t="s">
        <v>208</v>
      </c>
      <c r="AM1140" t="s">
        <v>906</v>
      </c>
      <c r="AN1140" t="s">
        <v>824</v>
      </c>
      <c r="AO1140" t="s">
        <v>772</v>
      </c>
      <c r="AP1140" t="s">
        <v>885</v>
      </c>
      <c r="AY1140" t="str">
        <f t="shared" si="196"/>
        <v/>
      </c>
      <c r="AZ1140" t="str">
        <f>IF(COUNTIF(AY:AY,AY1140)=1,AY1140,IF(AND(COUNTIF(AY:AY,AY1140)&gt;1,COUNTIF(AZ$2:AZ1139,AY1140)&gt;=1),"",AY1140))</f>
        <v/>
      </c>
      <c r="BA1140" t="str">
        <f>IF(AZ1140="","",COUNTIFS(AZ$3:AZ$1439,"&lt;"&amp;AZ1140,AZ$3:AZ$1439,"&lt;&gt;0")+COUNTIF(AZ$3:AZ1140,AZ1140)-876)</f>
        <v/>
      </c>
      <c r="BT1140" s="76"/>
      <c r="CN1140">
        <v>1139</v>
      </c>
    </row>
    <row r="1141" spans="1:92" x14ac:dyDescent="0.3">
      <c r="A1141" s="118" t="s">
        <v>4218</v>
      </c>
      <c r="B1141" t="s">
        <v>4219</v>
      </c>
      <c r="C1141" t="s">
        <v>2611</v>
      </c>
      <c r="D1141" t="s">
        <v>852</v>
      </c>
      <c r="E1141" t="s">
        <v>813</v>
      </c>
      <c r="F1141" t="s">
        <v>4220</v>
      </c>
      <c r="G1141" t="s">
        <v>815</v>
      </c>
      <c r="H1141" t="s">
        <v>860</v>
      </c>
      <c r="I1141" t="s">
        <v>817</v>
      </c>
      <c r="J1141" t="s">
        <v>818</v>
      </c>
      <c r="K1141" t="s">
        <v>802</v>
      </c>
      <c r="L1141" t="s">
        <v>803</v>
      </c>
      <c r="M1141" t="s">
        <v>208</v>
      </c>
      <c r="N1141" t="s">
        <v>1124</v>
      </c>
      <c r="O1141" t="s">
        <v>820</v>
      </c>
      <c r="P1141" t="s">
        <v>4363</v>
      </c>
      <c r="Q1141" t="s">
        <v>4382</v>
      </c>
      <c r="R1141">
        <v>0</v>
      </c>
      <c r="S1141">
        <v>0</v>
      </c>
      <c r="T1141">
        <v>23.25</v>
      </c>
      <c r="U1141">
        <v>10</v>
      </c>
      <c r="V1141">
        <v>0</v>
      </c>
      <c r="W1141">
        <v>0</v>
      </c>
      <c r="X1141">
        <v>0</v>
      </c>
      <c r="Y1141">
        <v>0</v>
      </c>
      <c r="Z1141">
        <v>0</v>
      </c>
      <c r="AA1141">
        <v>0</v>
      </c>
      <c r="AB1141">
        <v>0</v>
      </c>
      <c r="AC1141">
        <v>0</v>
      </c>
      <c r="AD1141">
        <v>0</v>
      </c>
      <c r="AE1141">
        <v>0</v>
      </c>
      <c r="AF1141">
        <v>0</v>
      </c>
      <c r="AG1141">
        <v>0</v>
      </c>
      <c r="AH1141">
        <v>0</v>
      </c>
      <c r="AI1141">
        <v>0</v>
      </c>
      <c r="AJ1141" t="s">
        <v>821</v>
      </c>
      <c r="AK1141" t="s">
        <v>822</v>
      </c>
      <c r="AL1141" t="s">
        <v>208</v>
      </c>
      <c r="AM1141" t="s">
        <v>1125</v>
      </c>
      <c r="AN1141" t="s">
        <v>824</v>
      </c>
      <c r="AO1141" t="s">
        <v>772</v>
      </c>
      <c r="AP1141" t="s">
        <v>1128</v>
      </c>
      <c r="AY1141" t="str">
        <f t="shared" si="196"/>
        <v/>
      </c>
      <c r="AZ1141" t="str">
        <f>IF(COUNTIF(AY:AY,AY1141)=1,AY1141,IF(AND(COUNTIF(AY:AY,AY1141)&gt;1,COUNTIF(AZ$2:AZ1140,AY1141)&gt;=1),"",AY1141))</f>
        <v/>
      </c>
      <c r="BA1141" t="str">
        <f>IF(AZ1141="","",COUNTIFS(AZ$3:AZ$1439,"&lt;"&amp;AZ1141,AZ$3:AZ$1439,"&lt;&gt;0")+COUNTIF(AZ$3:AZ1141,AZ1141)-876)</f>
        <v/>
      </c>
      <c r="BT1141" s="76"/>
      <c r="CN1141">
        <v>1140</v>
      </c>
    </row>
    <row r="1142" spans="1:92" x14ac:dyDescent="0.3">
      <c r="A1142" s="118" t="s">
        <v>3235</v>
      </c>
      <c r="B1142" t="s">
        <v>3236</v>
      </c>
      <c r="C1142" t="s">
        <v>3237</v>
      </c>
      <c r="D1142" s="144" t="s">
        <v>829</v>
      </c>
      <c r="E1142" t="s">
        <v>830</v>
      </c>
      <c r="F1142" t="s">
        <v>693</v>
      </c>
      <c r="G1142" t="s">
        <v>831</v>
      </c>
      <c r="H1142" t="s">
        <v>1213</v>
      </c>
      <c r="I1142" t="s">
        <v>817</v>
      </c>
      <c r="J1142" t="s">
        <v>2081</v>
      </c>
      <c r="K1142" t="s">
        <v>2081</v>
      </c>
      <c r="L1142" t="s">
        <v>2082</v>
      </c>
      <c r="M1142" t="s">
        <v>208</v>
      </c>
      <c r="N1142" t="s">
        <v>3238</v>
      </c>
      <c r="O1142" t="s">
        <v>894</v>
      </c>
      <c r="P1142" t="s">
        <v>772</v>
      </c>
      <c r="Q1142" t="s">
        <v>3238</v>
      </c>
      <c r="R1142">
        <v>0</v>
      </c>
      <c r="S1142">
        <v>0</v>
      </c>
      <c r="T1142">
        <v>0</v>
      </c>
      <c r="U1142">
        <v>0</v>
      </c>
      <c r="V1142">
        <v>0</v>
      </c>
      <c r="W1142">
        <v>0</v>
      </c>
      <c r="X1142">
        <v>0</v>
      </c>
      <c r="Y1142">
        <v>0</v>
      </c>
      <c r="Z1142">
        <v>0</v>
      </c>
      <c r="AA1142">
        <v>0</v>
      </c>
      <c r="AB1142">
        <v>0</v>
      </c>
      <c r="AC1142">
        <v>0</v>
      </c>
      <c r="AD1142">
        <v>7.3</v>
      </c>
      <c r="AE1142">
        <v>5</v>
      </c>
      <c r="AF1142">
        <v>0</v>
      </c>
      <c r="AG1142">
        <v>0</v>
      </c>
      <c r="AH1142">
        <v>0</v>
      </c>
      <c r="AI1142">
        <v>0</v>
      </c>
      <c r="AY1142" t="str">
        <f t="shared" si="196"/>
        <v>STALIMOX 364.2 MG/G GRANULES POUR SOLUTION ORALE POUR PORCS</v>
      </c>
      <c r="AZ1142" t="str">
        <f>IF(COUNTIF(AY:AY,AY1142)=1,AY1142,IF(AND(COUNTIF(AY:AY,AY1142)&gt;1,COUNTIF(AZ$2:AZ1141,AY1142)&gt;=1),"",AY1142))</f>
        <v>STALIMOX 364.2 MG/G GRANULES POUR SOLUTION ORALE POUR PORCS</v>
      </c>
      <c r="BA1142">
        <f>IF(AZ1142="","",COUNTIFS(AZ$3:AZ$1439,"&lt;"&amp;AZ1142,AZ$3:AZ$1439,"&lt;&gt;0")+COUNTIF(AZ$3:AZ1142,AZ1142)-876)</f>
        <v>452</v>
      </c>
      <c r="BT1142" s="76"/>
      <c r="CN1142">
        <v>1141</v>
      </c>
    </row>
    <row r="1143" spans="1:92" x14ac:dyDescent="0.3">
      <c r="A1143" s="118" t="s">
        <v>1120</v>
      </c>
      <c r="B1143" t="s">
        <v>1121</v>
      </c>
      <c r="C1143" t="s">
        <v>4379</v>
      </c>
      <c r="D1143" s="144" t="s">
        <v>869</v>
      </c>
      <c r="E1143" t="s">
        <v>813</v>
      </c>
      <c r="F1143" t="s">
        <v>1123</v>
      </c>
      <c r="G1143" t="s">
        <v>815</v>
      </c>
      <c r="H1143" t="s">
        <v>860</v>
      </c>
      <c r="I1143" t="s">
        <v>817</v>
      </c>
      <c r="J1143" t="s">
        <v>818</v>
      </c>
      <c r="K1143" t="s">
        <v>802</v>
      </c>
      <c r="L1143" t="s">
        <v>803</v>
      </c>
      <c r="M1143" t="s">
        <v>208</v>
      </c>
      <c r="N1143" t="s">
        <v>1124</v>
      </c>
      <c r="O1143" t="s">
        <v>820</v>
      </c>
      <c r="P1143" t="s">
        <v>4363</v>
      </c>
      <c r="Q1143" t="s">
        <v>4380</v>
      </c>
      <c r="R1143">
        <v>0</v>
      </c>
      <c r="S1143">
        <v>0</v>
      </c>
      <c r="T1143">
        <v>23.25</v>
      </c>
      <c r="U1143">
        <v>10</v>
      </c>
      <c r="V1143">
        <v>0</v>
      </c>
      <c r="W1143">
        <v>0</v>
      </c>
      <c r="X1143">
        <v>0</v>
      </c>
      <c r="Y1143">
        <v>0</v>
      </c>
      <c r="Z1143">
        <v>0</v>
      </c>
      <c r="AA1143">
        <v>0</v>
      </c>
      <c r="AB1143">
        <v>0</v>
      </c>
      <c r="AC1143">
        <v>0</v>
      </c>
      <c r="AD1143">
        <v>0</v>
      </c>
      <c r="AE1143">
        <v>0</v>
      </c>
      <c r="AF1143">
        <v>0</v>
      </c>
      <c r="AG1143">
        <v>0</v>
      </c>
      <c r="AH1143">
        <v>0</v>
      </c>
      <c r="AI1143">
        <v>0</v>
      </c>
      <c r="AJ1143" t="s">
        <v>821</v>
      </c>
      <c r="AK1143" t="s">
        <v>822</v>
      </c>
      <c r="AL1143" t="s">
        <v>208</v>
      </c>
      <c r="AM1143" t="s">
        <v>1125</v>
      </c>
      <c r="AN1143" t="s">
        <v>824</v>
      </c>
      <c r="AO1143" t="s">
        <v>772</v>
      </c>
      <c r="AP1143" t="s">
        <v>1126</v>
      </c>
      <c r="AY1143" t="str">
        <f t="shared" si="196"/>
        <v/>
      </c>
      <c r="AZ1143" t="str">
        <f>IF(COUNTIF(AY:AY,AY1143)=1,AY1143,IF(AND(COUNTIF(AY:AY,AY1143)&gt;1,COUNTIF(AZ$2:AZ1142,AY1143)&gt;=1),"",AY1143))</f>
        <v/>
      </c>
      <c r="BA1143" t="str">
        <f>IF(AZ1143="","",COUNTIFS(AZ$3:AZ$1439,"&lt;"&amp;AZ1143,AZ$3:AZ$1439,"&lt;&gt;0")+COUNTIF(AZ$3:AZ1143,AZ1143)-876)</f>
        <v/>
      </c>
      <c r="BT1143" s="76"/>
      <c r="CN1143">
        <v>1142</v>
      </c>
    </row>
    <row r="1144" spans="1:92" x14ac:dyDescent="0.3">
      <c r="A1144" s="118" t="s">
        <v>1120</v>
      </c>
      <c r="B1144" t="s">
        <v>1127</v>
      </c>
      <c r="C1144" t="s">
        <v>4381</v>
      </c>
      <c r="D1144" s="144" t="s">
        <v>852</v>
      </c>
      <c r="E1144" t="s">
        <v>813</v>
      </c>
      <c r="F1144" t="s">
        <v>1123</v>
      </c>
      <c r="G1144" t="s">
        <v>815</v>
      </c>
      <c r="H1144" t="s">
        <v>860</v>
      </c>
      <c r="I1144" t="s">
        <v>817</v>
      </c>
      <c r="J1144" t="s">
        <v>818</v>
      </c>
      <c r="K1144" t="s">
        <v>802</v>
      </c>
      <c r="L1144" t="s">
        <v>803</v>
      </c>
      <c r="M1144" t="s">
        <v>208</v>
      </c>
      <c r="N1144" t="s">
        <v>1124</v>
      </c>
      <c r="O1144" t="s">
        <v>820</v>
      </c>
      <c r="P1144" t="s">
        <v>4363</v>
      </c>
      <c r="Q1144" t="s">
        <v>4382</v>
      </c>
      <c r="R1144">
        <v>0</v>
      </c>
      <c r="S1144">
        <v>0</v>
      </c>
      <c r="T1144">
        <v>23.25</v>
      </c>
      <c r="U1144">
        <v>10</v>
      </c>
      <c r="V1144">
        <v>0</v>
      </c>
      <c r="W1144">
        <v>0</v>
      </c>
      <c r="X1144">
        <v>0</v>
      </c>
      <c r="Y1144">
        <v>0</v>
      </c>
      <c r="Z1144">
        <v>0</v>
      </c>
      <c r="AA1144">
        <v>0</v>
      </c>
      <c r="AB1144">
        <v>0</v>
      </c>
      <c r="AC1144">
        <v>0</v>
      </c>
      <c r="AD1144">
        <v>0</v>
      </c>
      <c r="AE1144">
        <v>0</v>
      </c>
      <c r="AF1144">
        <v>0</v>
      </c>
      <c r="AG1144">
        <v>0</v>
      </c>
      <c r="AH1144">
        <v>0</v>
      </c>
      <c r="AI1144">
        <v>0</v>
      </c>
      <c r="AJ1144" t="s">
        <v>821</v>
      </c>
      <c r="AK1144" t="s">
        <v>822</v>
      </c>
      <c r="AL1144" t="s">
        <v>208</v>
      </c>
      <c r="AM1144" t="s">
        <v>1125</v>
      </c>
      <c r="AN1144" t="s">
        <v>824</v>
      </c>
      <c r="AO1144" t="s">
        <v>772</v>
      </c>
      <c r="AP1144" t="s">
        <v>1128</v>
      </c>
      <c r="AY1144" t="str">
        <f t="shared" si="196"/>
        <v/>
      </c>
      <c r="AZ1144" t="str">
        <f>IF(COUNTIF(AY:AY,AY1144)=1,AY1144,IF(AND(COUNTIF(AY:AY,AY1144)&gt;1,COUNTIF(AZ$2:AZ1143,AY1144)&gt;=1),"",AY1144))</f>
        <v/>
      </c>
      <c r="BA1144" t="str">
        <f>IF(AZ1144="","",COUNTIFS(AZ$3:AZ$1439,"&lt;"&amp;AZ1144,AZ$3:AZ$1439,"&lt;&gt;0")+COUNTIF(AZ$3:AZ1144,AZ1144)-876)</f>
        <v/>
      </c>
      <c r="BT1144" s="76"/>
      <c r="CN1144">
        <v>1143</v>
      </c>
    </row>
    <row r="1145" spans="1:92" x14ac:dyDescent="0.3">
      <c r="A1145" s="118" t="s">
        <v>810</v>
      </c>
      <c r="B1145" t="s">
        <v>811</v>
      </c>
      <c r="C1145" t="s">
        <v>812</v>
      </c>
      <c r="D1145" s="144" t="s">
        <v>797</v>
      </c>
      <c r="E1145" t="s">
        <v>813</v>
      </c>
      <c r="F1145" t="s">
        <v>814</v>
      </c>
      <c r="G1145" t="s">
        <v>815</v>
      </c>
      <c r="H1145" t="s">
        <v>816</v>
      </c>
      <c r="I1145" t="s">
        <v>817</v>
      </c>
      <c r="J1145" t="s">
        <v>818</v>
      </c>
      <c r="K1145" t="s">
        <v>802</v>
      </c>
      <c r="L1145" t="s">
        <v>803</v>
      </c>
      <c r="M1145" t="s">
        <v>208</v>
      </c>
      <c r="N1145" t="s">
        <v>819</v>
      </c>
      <c r="O1145" t="s">
        <v>820</v>
      </c>
      <c r="P1145" t="s">
        <v>4363</v>
      </c>
      <c r="Q1145" t="s">
        <v>4364</v>
      </c>
      <c r="R1145">
        <v>0</v>
      </c>
      <c r="S1145">
        <v>0</v>
      </c>
      <c r="T1145">
        <v>31</v>
      </c>
      <c r="U1145">
        <v>10</v>
      </c>
      <c r="V1145">
        <v>0</v>
      </c>
      <c r="W1145">
        <v>0</v>
      </c>
      <c r="X1145">
        <v>0</v>
      </c>
      <c r="Y1145">
        <v>0</v>
      </c>
      <c r="Z1145">
        <v>0</v>
      </c>
      <c r="AA1145">
        <v>0</v>
      </c>
      <c r="AB1145">
        <v>0</v>
      </c>
      <c r="AC1145">
        <v>0</v>
      </c>
      <c r="AD1145">
        <v>0</v>
      </c>
      <c r="AE1145">
        <v>0</v>
      </c>
      <c r="AF1145">
        <v>0</v>
      </c>
      <c r="AG1145">
        <v>0</v>
      </c>
      <c r="AH1145">
        <v>0</v>
      </c>
      <c r="AI1145">
        <v>0</v>
      </c>
      <c r="AJ1145" t="s">
        <v>821</v>
      </c>
      <c r="AK1145" t="s">
        <v>822</v>
      </c>
      <c r="AL1145" t="s">
        <v>208</v>
      </c>
      <c r="AM1145" t="s">
        <v>823</v>
      </c>
      <c r="AN1145" t="s">
        <v>824</v>
      </c>
      <c r="AO1145" t="s">
        <v>772</v>
      </c>
      <c r="AP1145" t="s">
        <v>825</v>
      </c>
      <c r="AY1145" t="str">
        <f t="shared" si="196"/>
        <v/>
      </c>
      <c r="AZ1145" t="str">
        <f>IF(COUNTIF(AY:AY,AY1145)=1,AY1145,IF(AND(COUNTIF(AY:AY,AY1145)&gt;1,COUNTIF(AZ$2:AZ1144,AY1145)&gt;=1),"",AY1145))</f>
        <v/>
      </c>
      <c r="BA1145" t="str">
        <f>IF(AZ1145="","",COUNTIFS(AZ$3:AZ$1439,"&lt;"&amp;AZ1145,AZ$3:AZ$1439,"&lt;&gt;0")+COUNTIF(AZ$3:AZ1145,AZ1145)-876)</f>
        <v/>
      </c>
      <c r="BT1145" s="76"/>
      <c r="CN1145">
        <v>1144</v>
      </c>
    </row>
    <row r="1146" spans="1:92" x14ac:dyDescent="0.3">
      <c r="A1146" s="118" t="s">
        <v>2853</v>
      </c>
      <c r="B1146" t="s">
        <v>2854</v>
      </c>
      <c r="C1146" t="s">
        <v>2855</v>
      </c>
      <c r="D1146" s="144" t="s">
        <v>1163</v>
      </c>
      <c r="E1146" t="s">
        <v>765</v>
      </c>
      <c r="F1146" t="s">
        <v>547</v>
      </c>
      <c r="G1146" t="s">
        <v>766</v>
      </c>
      <c r="H1146" t="s">
        <v>2856</v>
      </c>
      <c r="I1146" t="s">
        <v>766</v>
      </c>
      <c r="J1146" t="s">
        <v>787</v>
      </c>
      <c r="K1146" t="s">
        <v>787</v>
      </c>
      <c r="L1146" t="s">
        <v>2522</v>
      </c>
      <c r="M1146" t="s">
        <v>208</v>
      </c>
      <c r="N1146" t="s">
        <v>2523</v>
      </c>
      <c r="O1146" t="s">
        <v>771</v>
      </c>
      <c r="P1146" t="s">
        <v>2524</v>
      </c>
      <c r="Q1146" t="s">
        <v>1047</v>
      </c>
      <c r="R1146">
        <v>6.1</v>
      </c>
      <c r="S1146">
        <v>3</v>
      </c>
      <c r="T1146">
        <v>0</v>
      </c>
      <c r="U1146">
        <v>0</v>
      </c>
      <c r="V1146">
        <v>6.1</v>
      </c>
      <c r="W1146">
        <v>3</v>
      </c>
      <c r="X1146">
        <v>0</v>
      </c>
      <c r="Y1146">
        <v>0</v>
      </c>
      <c r="Z1146">
        <v>0</v>
      </c>
      <c r="AA1146">
        <v>0</v>
      </c>
      <c r="AB1146">
        <v>0</v>
      </c>
      <c r="AC1146">
        <v>0</v>
      </c>
      <c r="AD1146">
        <v>0</v>
      </c>
      <c r="AE1146">
        <v>0</v>
      </c>
      <c r="AF1146">
        <v>0</v>
      </c>
      <c r="AG1146">
        <v>0</v>
      </c>
      <c r="AH1146">
        <v>0</v>
      </c>
      <c r="AI1146">
        <v>0</v>
      </c>
      <c r="AY1146" t="str">
        <f t="shared" si="196"/>
        <v>STOP M</v>
      </c>
      <c r="AZ1146" t="str">
        <f>IF(COUNTIF(AY:AY,AY1146)=1,AY1146,IF(AND(COUNTIF(AY:AY,AY1146)&gt;1,COUNTIF(AZ$2:AZ1145,AY1146)&gt;=1),"",AY1146))</f>
        <v>STOP M</v>
      </c>
      <c r="BA1146">
        <f>IF(AZ1146="","",COUNTIFS(AZ$3:AZ$1439,"&lt;"&amp;AZ1146,AZ$3:AZ$1439,"&lt;&gt;0")+COUNTIF(AZ$3:AZ1146,AZ1146)-876)</f>
        <v>453</v>
      </c>
      <c r="BT1146" s="76"/>
      <c r="CN1146">
        <v>1145</v>
      </c>
    </row>
    <row r="1147" spans="1:92" x14ac:dyDescent="0.3">
      <c r="A1147" s="118" t="s">
        <v>3777</v>
      </c>
      <c r="B1147" t="s">
        <v>3778</v>
      </c>
      <c r="C1147" t="s">
        <v>3779</v>
      </c>
      <c r="D1147" s="144" t="s">
        <v>906</v>
      </c>
      <c r="E1147" t="s">
        <v>830</v>
      </c>
      <c r="F1147" t="s">
        <v>474</v>
      </c>
      <c r="G1147" t="s">
        <v>831</v>
      </c>
      <c r="H1147" t="s">
        <v>1213</v>
      </c>
      <c r="I1147" t="s">
        <v>817</v>
      </c>
      <c r="J1147" t="s">
        <v>2070</v>
      </c>
      <c r="K1147" t="s">
        <v>787</v>
      </c>
      <c r="L1147" t="s">
        <v>1055</v>
      </c>
      <c r="M1147" t="s">
        <v>208</v>
      </c>
      <c r="N1147" t="s">
        <v>906</v>
      </c>
      <c r="O1147" t="s">
        <v>894</v>
      </c>
      <c r="P1147" t="s">
        <v>772</v>
      </c>
      <c r="Q1147" t="s">
        <v>776</v>
      </c>
      <c r="R1147">
        <v>0</v>
      </c>
      <c r="S1147">
        <v>0</v>
      </c>
      <c r="T1147">
        <v>0</v>
      </c>
      <c r="U1147">
        <v>0</v>
      </c>
      <c r="V1147">
        <v>0</v>
      </c>
      <c r="W1147">
        <v>0</v>
      </c>
      <c r="X1147">
        <v>0</v>
      </c>
      <c r="Y1147">
        <v>0</v>
      </c>
      <c r="Z1147">
        <v>0</v>
      </c>
      <c r="AA1147">
        <v>0</v>
      </c>
      <c r="AB1147">
        <v>0</v>
      </c>
      <c r="AC1147">
        <v>0</v>
      </c>
      <c r="AD1147">
        <v>20</v>
      </c>
      <c r="AE1147">
        <v>5</v>
      </c>
      <c r="AF1147">
        <v>0</v>
      </c>
      <c r="AG1147">
        <v>0</v>
      </c>
      <c r="AH1147">
        <v>0</v>
      </c>
      <c r="AI1147">
        <v>0</v>
      </c>
      <c r="AJ1147" t="s">
        <v>2071</v>
      </c>
      <c r="AK1147" t="s">
        <v>2072</v>
      </c>
      <c r="AL1147" t="s">
        <v>208</v>
      </c>
      <c r="AM1147" t="s">
        <v>1125</v>
      </c>
      <c r="AN1147" t="s">
        <v>894</v>
      </c>
      <c r="AO1147" t="s">
        <v>2073</v>
      </c>
      <c r="AP1147" t="s">
        <v>2073</v>
      </c>
      <c r="AY1147" t="str">
        <f t="shared" si="196"/>
        <v>STRENZEN 500/125 MG/G POUDRE POUR EAU DE BOISSON POUR PORCS</v>
      </c>
      <c r="AZ1147" t="str">
        <f>IF(COUNTIF(AY:AY,AY1147)=1,AY1147,IF(AND(COUNTIF(AY:AY,AY1147)&gt;1,COUNTIF(AZ$2:AZ1146,AY1147)&gt;=1),"",AY1147))</f>
        <v>STRENZEN 500/125 MG/G POUDRE POUR EAU DE BOISSON POUR PORCS</v>
      </c>
      <c r="BA1147">
        <f>IF(AZ1147="","",COUNTIFS(AZ$3:AZ$1439,"&lt;"&amp;AZ1147,AZ$3:AZ$1439,"&lt;&gt;0")+COUNTIF(AZ$3:AZ1147,AZ1147)-876)</f>
        <v>454</v>
      </c>
      <c r="BT1147" s="76"/>
      <c r="CN1147">
        <v>1146</v>
      </c>
    </row>
    <row r="1148" spans="1:92" x14ac:dyDescent="0.3">
      <c r="A1148" s="118" t="s">
        <v>799</v>
      </c>
      <c r="B1148" t="s">
        <v>800</v>
      </c>
      <c r="C1148" t="s">
        <v>4362</v>
      </c>
      <c r="D1148" s="144" t="s">
        <v>780</v>
      </c>
      <c r="E1148" t="s">
        <v>765</v>
      </c>
      <c r="F1148" t="s">
        <v>475</v>
      </c>
      <c r="G1148" t="s">
        <v>766</v>
      </c>
      <c r="H1148" t="s">
        <v>801</v>
      </c>
      <c r="I1148" t="s">
        <v>766</v>
      </c>
      <c r="J1148" t="s">
        <v>802</v>
      </c>
      <c r="K1148" t="s">
        <v>802</v>
      </c>
      <c r="L1148" t="s">
        <v>803</v>
      </c>
      <c r="M1148" t="s">
        <v>208</v>
      </c>
      <c r="N1148" t="s">
        <v>804</v>
      </c>
      <c r="O1148" t="s">
        <v>805</v>
      </c>
      <c r="P1148" t="s">
        <v>4363</v>
      </c>
      <c r="Q1148" t="s">
        <v>4202</v>
      </c>
      <c r="R1148">
        <v>31</v>
      </c>
      <c r="S1148">
        <v>2</v>
      </c>
      <c r="T1148">
        <v>0</v>
      </c>
      <c r="U1148">
        <v>0</v>
      </c>
      <c r="V1148">
        <v>0</v>
      </c>
      <c r="W1148">
        <v>0</v>
      </c>
      <c r="X1148">
        <v>0</v>
      </c>
      <c r="Y1148">
        <v>0</v>
      </c>
      <c r="Z1148">
        <v>0</v>
      </c>
      <c r="AA1148">
        <v>0</v>
      </c>
      <c r="AB1148">
        <v>0</v>
      </c>
      <c r="AC1148">
        <v>0</v>
      </c>
      <c r="AD1148">
        <v>31</v>
      </c>
      <c r="AE1148">
        <v>2</v>
      </c>
      <c r="AF1148">
        <v>0</v>
      </c>
      <c r="AG1148">
        <v>0</v>
      </c>
      <c r="AH1148">
        <v>0</v>
      </c>
      <c r="AI1148">
        <v>0</v>
      </c>
      <c r="AY1148" t="str">
        <f t="shared" si="196"/>
        <v>SUANOVIL 20</v>
      </c>
      <c r="AZ1148" t="str">
        <f>IF(COUNTIF(AY:AY,AY1148)=1,AY1148,IF(AND(COUNTIF(AY:AY,AY1148)&gt;1,COUNTIF(AZ$2:AZ1147,AY1148)&gt;=1),"",AY1148))</f>
        <v>SUANOVIL 20</v>
      </c>
      <c r="BA1148">
        <f>IF(AZ1148="","",COUNTIFS(AZ$3:AZ$1439,"&lt;"&amp;AZ1148,AZ$3:AZ$1439,"&lt;&gt;0")+COUNTIF(AZ$3:AZ1148,AZ1148)-876)</f>
        <v>455</v>
      </c>
      <c r="BT1148" s="76"/>
      <c r="CN1148">
        <v>1147</v>
      </c>
    </row>
    <row r="1149" spans="1:92" x14ac:dyDescent="0.3">
      <c r="A1149" s="118" t="s">
        <v>799</v>
      </c>
      <c r="B1149" t="s">
        <v>806</v>
      </c>
      <c r="C1149" t="s">
        <v>763</v>
      </c>
      <c r="D1149" s="144" t="s">
        <v>764</v>
      </c>
      <c r="E1149" t="s">
        <v>765</v>
      </c>
      <c r="F1149" t="s">
        <v>475</v>
      </c>
      <c r="G1149" t="s">
        <v>766</v>
      </c>
      <c r="H1149" t="s">
        <v>801</v>
      </c>
      <c r="I1149" t="s">
        <v>766</v>
      </c>
      <c r="J1149" t="s">
        <v>802</v>
      </c>
      <c r="K1149" t="s">
        <v>802</v>
      </c>
      <c r="L1149" t="s">
        <v>803</v>
      </c>
      <c r="M1149" t="s">
        <v>208</v>
      </c>
      <c r="N1149" t="s">
        <v>804</v>
      </c>
      <c r="O1149" t="s">
        <v>805</v>
      </c>
      <c r="P1149" t="s">
        <v>4363</v>
      </c>
      <c r="Q1149" t="s">
        <v>1757</v>
      </c>
      <c r="R1149">
        <v>31</v>
      </c>
      <c r="S1149">
        <v>2</v>
      </c>
      <c r="T1149">
        <v>0</v>
      </c>
      <c r="U1149">
        <v>0</v>
      </c>
      <c r="V1149">
        <v>0</v>
      </c>
      <c r="W1149">
        <v>0</v>
      </c>
      <c r="X1149">
        <v>0</v>
      </c>
      <c r="Y1149">
        <v>0</v>
      </c>
      <c r="Z1149">
        <v>0</v>
      </c>
      <c r="AA1149">
        <v>0</v>
      </c>
      <c r="AB1149">
        <v>0</v>
      </c>
      <c r="AC1149">
        <v>0</v>
      </c>
      <c r="AD1149">
        <v>31</v>
      </c>
      <c r="AE1149">
        <v>2</v>
      </c>
      <c r="AF1149">
        <v>0</v>
      </c>
      <c r="AG1149">
        <v>0</v>
      </c>
      <c r="AH1149">
        <v>0</v>
      </c>
      <c r="AI1149">
        <v>0</v>
      </c>
      <c r="AY1149" t="str">
        <f t="shared" si="196"/>
        <v>SUANOVIL 20</v>
      </c>
      <c r="AZ1149" t="str">
        <f>IF(COUNTIF(AY:AY,AY1149)=1,AY1149,IF(AND(COUNTIF(AY:AY,AY1149)&gt;1,COUNTIF(AZ$2:AZ1148,AY1149)&gt;=1),"",AY1149))</f>
        <v/>
      </c>
      <c r="BA1149" t="str">
        <f>IF(AZ1149="","",COUNTIFS(AZ$3:AZ$1439,"&lt;"&amp;AZ1149,AZ$3:AZ$1439,"&lt;&gt;0")+COUNTIF(AZ$3:AZ1149,AZ1149)-876)</f>
        <v/>
      </c>
      <c r="BT1149" s="76"/>
      <c r="CN1149">
        <v>1148</v>
      </c>
    </row>
    <row r="1150" spans="1:92" x14ac:dyDescent="0.3">
      <c r="A1150" s="118" t="s">
        <v>799</v>
      </c>
      <c r="B1150" t="s">
        <v>808</v>
      </c>
      <c r="C1150" t="s">
        <v>775</v>
      </c>
      <c r="D1150" s="144" t="s">
        <v>776</v>
      </c>
      <c r="E1150" t="s">
        <v>765</v>
      </c>
      <c r="F1150" t="s">
        <v>475</v>
      </c>
      <c r="G1150" t="s">
        <v>766</v>
      </c>
      <c r="H1150" t="s">
        <v>801</v>
      </c>
      <c r="I1150" t="s">
        <v>766</v>
      </c>
      <c r="J1150" t="s">
        <v>802</v>
      </c>
      <c r="K1150" t="s">
        <v>802</v>
      </c>
      <c r="L1150" t="s">
        <v>803</v>
      </c>
      <c r="M1150" t="s">
        <v>208</v>
      </c>
      <c r="N1150" t="s">
        <v>804</v>
      </c>
      <c r="O1150" t="s">
        <v>805</v>
      </c>
      <c r="P1150" t="s">
        <v>4363</v>
      </c>
      <c r="Q1150" t="s">
        <v>1759</v>
      </c>
      <c r="R1150">
        <v>31</v>
      </c>
      <c r="S1150">
        <v>2</v>
      </c>
      <c r="T1150">
        <v>0</v>
      </c>
      <c r="U1150">
        <v>0</v>
      </c>
      <c r="V1150">
        <v>0</v>
      </c>
      <c r="W1150">
        <v>0</v>
      </c>
      <c r="X1150">
        <v>0</v>
      </c>
      <c r="Y1150">
        <v>0</v>
      </c>
      <c r="Z1150">
        <v>0</v>
      </c>
      <c r="AA1150">
        <v>0</v>
      </c>
      <c r="AB1150">
        <v>0</v>
      </c>
      <c r="AC1150">
        <v>0</v>
      </c>
      <c r="AD1150">
        <v>31</v>
      </c>
      <c r="AE1150">
        <v>2</v>
      </c>
      <c r="AF1150">
        <v>0</v>
      </c>
      <c r="AG1150">
        <v>0</v>
      </c>
      <c r="AH1150">
        <v>0</v>
      </c>
      <c r="AI1150">
        <v>0</v>
      </c>
      <c r="AY1150" t="str">
        <f t="shared" si="196"/>
        <v>SUANOVIL 20</v>
      </c>
      <c r="AZ1150" t="str">
        <f>IF(COUNTIF(AY:AY,AY1150)=1,AY1150,IF(AND(COUNTIF(AY:AY,AY1150)&gt;1,COUNTIF(AZ$2:AZ1149,AY1150)&gt;=1),"",AY1150))</f>
        <v/>
      </c>
      <c r="BA1150" t="str">
        <f>IF(AZ1150="","",COUNTIFS(AZ$3:AZ$1439,"&lt;"&amp;AZ1150,AZ$3:AZ$1439,"&lt;&gt;0")+COUNTIF(AZ$3:AZ1150,AZ1150)-876)</f>
        <v/>
      </c>
      <c r="BT1150" s="76"/>
      <c r="CN1150">
        <v>1149</v>
      </c>
    </row>
    <row r="1151" spans="1:92" x14ac:dyDescent="0.3">
      <c r="A1151" s="118" t="s">
        <v>826</v>
      </c>
      <c r="B1151" t="s">
        <v>827</v>
      </c>
      <c r="C1151" t="s">
        <v>828</v>
      </c>
      <c r="D1151" s="144" t="s">
        <v>829</v>
      </c>
      <c r="E1151" t="s">
        <v>830</v>
      </c>
      <c r="F1151" t="s">
        <v>476</v>
      </c>
      <c r="G1151" t="s">
        <v>831</v>
      </c>
      <c r="H1151" t="s">
        <v>832</v>
      </c>
      <c r="I1151" t="s">
        <v>817</v>
      </c>
      <c r="J1151" t="s">
        <v>802</v>
      </c>
      <c r="K1151" t="s">
        <v>802</v>
      </c>
      <c r="L1151" t="s">
        <v>803</v>
      </c>
      <c r="M1151" t="s">
        <v>208</v>
      </c>
      <c r="N1151" t="s">
        <v>833</v>
      </c>
      <c r="O1151" t="s">
        <v>834</v>
      </c>
      <c r="P1151" t="s">
        <v>4363</v>
      </c>
      <c r="Q1151" t="s">
        <v>4365</v>
      </c>
      <c r="R1151">
        <v>46.5</v>
      </c>
      <c r="S1151">
        <v>5</v>
      </c>
      <c r="T1151">
        <v>0</v>
      </c>
      <c r="U1151">
        <v>0</v>
      </c>
      <c r="V1151">
        <v>0</v>
      </c>
      <c r="W1151">
        <v>0</v>
      </c>
      <c r="X1151">
        <v>0</v>
      </c>
      <c r="Y1151">
        <v>0</v>
      </c>
      <c r="Z1151">
        <v>0</v>
      </c>
      <c r="AA1151">
        <v>0</v>
      </c>
      <c r="AB1151">
        <v>0</v>
      </c>
      <c r="AC1151">
        <v>0</v>
      </c>
      <c r="AD1151">
        <v>31</v>
      </c>
      <c r="AE1151">
        <v>5</v>
      </c>
      <c r="AF1151">
        <v>46.5</v>
      </c>
      <c r="AG1151">
        <v>5</v>
      </c>
      <c r="AH1151">
        <v>0</v>
      </c>
      <c r="AI1151">
        <v>0</v>
      </c>
      <c r="AY1151" t="str">
        <f t="shared" si="196"/>
        <v>SUANOVIL 50</v>
      </c>
      <c r="AZ1151" t="str">
        <f>IF(COUNTIF(AY:AY,AY1151)=1,AY1151,IF(AND(COUNTIF(AY:AY,AY1151)&gt;1,COUNTIF(AZ$2:AZ1150,AY1151)&gt;=1),"",AY1151))</f>
        <v>SUANOVIL 50</v>
      </c>
      <c r="BA1151">
        <f>IF(AZ1151="","",COUNTIFS(AZ$3:AZ$1439,"&lt;"&amp;AZ1151,AZ$3:AZ$1439,"&lt;&gt;0")+COUNTIF(AZ$3:AZ1151,AZ1151)-876)</f>
        <v>456</v>
      </c>
      <c r="BT1151" s="76"/>
      <c r="CN1151">
        <v>1150</v>
      </c>
    </row>
    <row r="1152" spans="1:92" x14ac:dyDescent="0.3">
      <c r="A1152" s="118" t="s">
        <v>826</v>
      </c>
      <c r="B1152" t="s">
        <v>835</v>
      </c>
      <c r="C1152" t="s">
        <v>836</v>
      </c>
      <c r="D1152" s="144" t="s">
        <v>764</v>
      </c>
      <c r="E1152" t="s">
        <v>830</v>
      </c>
      <c r="F1152" t="s">
        <v>476</v>
      </c>
      <c r="G1152" t="s">
        <v>831</v>
      </c>
      <c r="H1152" t="s">
        <v>832</v>
      </c>
      <c r="I1152" t="s">
        <v>817</v>
      </c>
      <c r="J1152" t="s">
        <v>802</v>
      </c>
      <c r="K1152" t="s">
        <v>802</v>
      </c>
      <c r="L1152" t="s">
        <v>803</v>
      </c>
      <c r="M1152" t="s">
        <v>208</v>
      </c>
      <c r="N1152" t="s">
        <v>833</v>
      </c>
      <c r="O1152" t="s">
        <v>834</v>
      </c>
      <c r="P1152" t="s">
        <v>4363</v>
      </c>
      <c r="Q1152" t="s">
        <v>1759</v>
      </c>
      <c r="R1152">
        <v>46.5</v>
      </c>
      <c r="S1152">
        <v>5</v>
      </c>
      <c r="T1152">
        <v>0</v>
      </c>
      <c r="U1152">
        <v>0</v>
      </c>
      <c r="V1152">
        <v>0</v>
      </c>
      <c r="W1152">
        <v>0</v>
      </c>
      <c r="X1152">
        <v>0</v>
      </c>
      <c r="Y1152">
        <v>0</v>
      </c>
      <c r="Z1152">
        <v>0</v>
      </c>
      <c r="AA1152">
        <v>0</v>
      </c>
      <c r="AB1152">
        <v>0</v>
      </c>
      <c r="AC1152">
        <v>0</v>
      </c>
      <c r="AD1152">
        <v>31</v>
      </c>
      <c r="AE1152">
        <v>5</v>
      </c>
      <c r="AF1152">
        <v>46.5</v>
      </c>
      <c r="AG1152">
        <v>5</v>
      </c>
      <c r="AH1152">
        <v>0</v>
      </c>
      <c r="AI1152">
        <v>0</v>
      </c>
      <c r="AY1152" t="str">
        <f t="shared" si="196"/>
        <v>SUANOVIL 50</v>
      </c>
      <c r="AZ1152" t="str">
        <f>IF(COUNTIF(AY:AY,AY1152)=1,AY1152,IF(AND(COUNTIF(AY:AY,AY1152)&gt;1,COUNTIF(AZ$2:AZ1151,AY1152)&gt;=1),"",AY1152))</f>
        <v/>
      </c>
      <c r="BA1152" t="str">
        <f>IF(AZ1152="","",COUNTIFS(AZ$3:AZ$1439,"&lt;"&amp;AZ1152,AZ$3:AZ$1439,"&lt;&gt;0")+COUNTIF(AZ$3:AZ1152,AZ1152)-876)</f>
        <v/>
      </c>
      <c r="BT1152" s="76"/>
      <c r="CN1152">
        <v>1151</v>
      </c>
    </row>
    <row r="1153" spans="1:92" x14ac:dyDescent="0.3">
      <c r="A1153" s="118" t="s">
        <v>1286</v>
      </c>
      <c r="B1153" t="s">
        <v>1287</v>
      </c>
      <c r="C1153" t="s">
        <v>4386</v>
      </c>
      <c r="D1153" s="144" t="s">
        <v>829</v>
      </c>
      <c r="E1153" t="s">
        <v>830</v>
      </c>
      <c r="F1153" t="s">
        <v>477</v>
      </c>
      <c r="G1153" t="s">
        <v>831</v>
      </c>
      <c r="H1153" t="s">
        <v>1288</v>
      </c>
      <c r="I1153" t="s">
        <v>817</v>
      </c>
      <c r="J1153" t="s">
        <v>862</v>
      </c>
      <c r="K1153" t="s">
        <v>862</v>
      </c>
      <c r="L1153" t="s">
        <v>895</v>
      </c>
      <c r="M1153" t="s">
        <v>208</v>
      </c>
      <c r="N1153" t="s">
        <v>1289</v>
      </c>
      <c r="O1153" t="s">
        <v>894</v>
      </c>
      <c r="P1153" t="s">
        <v>772</v>
      </c>
      <c r="Q1153" t="s">
        <v>1289</v>
      </c>
      <c r="R1153">
        <v>100</v>
      </c>
      <c r="S1153">
        <v>5</v>
      </c>
      <c r="T1153">
        <v>0</v>
      </c>
      <c r="U1153">
        <v>0</v>
      </c>
      <c r="V1153">
        <v>0</v>
      </c>
      <c r="W1153">
        <v>0</v>
      </c>
      <c r="X1153">
        <v>0</v>
      </c>
      <c r="Y1153">
        <v>0</v>
      </c>
      <c r="Z1153">
        <v>100</v>
      </c>
      <c r="AA1153">
        <v>5</v>
      </c>
      <c r="AB1153">
        <v>100</v>
      </c>
      <c r="AC1153">
        <v>5</v>
      </c>
      <c r="AD1153">
        <v>100</v>
      </c>
      <c r="AE1153">
        <v>5</v>
      </c>
      <c r="AF1153">
        <v>100</v>
      </c>
      <c r="AG1153">
        <v>5</v>
      </c>
      <c r="AH1153">
        <v>0</v>
      </c>
      <c r="AI1153">
        <v>0</v>
      </c>
      <c r="AY1153" t="str">
        <f t="shared" si="196"/>
        <v>SULFADI 500</v>
      </c>
      <c r="AZ1153" t="str">
        <f>IF(COUNTIF(AY:AY,AY1153)=1,AY1153,IF(AND(COUNTIF(AY:AY,AY1153)&gt;1,COUNTIF(AZ$2:AZ1152,AY1153)&gt;=1),"",AY1153))</f>
        <v>SULFADI 500</v>
      </c>
      <c r="BA1153">
        <f>IF(AZ1153="","",COUNTIFS(AZ$3:AZ$1439,"&lt;"&amp;AZ1153,AZ$3:AZ$1439,"&lt;&gt;0")+COUNTIF(AZ$3:AZ1153,AZ1153)-876)</f>
        <v>457</v>
      </c>
      <c r="BT1153" s="76"/>
      <c r="CN1153">
        <v>1152</v>
      </c>
    </row>
    <row r="1154" spans="1:92" x14ac:dyDescent="0.3">
      <c r="A1154" s="118" t="s">
        <v>1286</v>
      </c>
      <c r="B1154" t="s">
        <v>1290</v>
      </c>
      <c r="C1154" t="s">
        <v>4387</v>
      </c>
      <c r="D1154" s="144" t="s">
        <v>955</v>
      </c>
      <c r="E1154" t="s">
        <v>830</v>
      </c>
      <c r="F1154" t="s">
        <v>477</v>
      </c>
      <c r="G1154" t="s">
        <v>831</v>
      </c>
      <c r="H1154" t="s">
        <v>1288</v>
      </c>
      <c r="I1154" t="s">
        <v>817</v>
      </c>
      <c r="J1154" t="s">
        <v>862</v>
      </c>
      <c r="K1154" t="s">
        <v>862</v>
      </c>
      <c r="L1154" t="s">
        <v>895</v>
      </c>
      <c r="M1154" t="s">
        <v>208</v>
      </c>
      <c r="N1154" t="s">
        <v>1289</v>
      </c>
      <c r="O1154" t="s">
        <v>894</v>
      </c>
      <c r="P1154" t="s">
        <v>772</v>
      </c>
      <c r="Q1154" t="s">
        <v>1291</v>
      </c>
      <c r="R1154">
        <v>100</v>
      </c>
      <c r="S1154">
        <v>5</v>
      </c>
      <c r="T1154">
        <v>0</v>
      </c>
      <c r="U1154">
        <v>0</v>
      </c>
      <c r="V1154">
        <v>0</v>
      </c>
      <c r="W1154">
        <v>0</v>
      </c>
      <c r="X1154">
        <v>0</v>
      </c>
      <c r="Y1154">
        <v>0</v>
      </c>
      <c r="Z1154">
        <v>100</v>
      </c>
      <c r="AA1154">
        <v>5</v>
      </c>
      <c r="AB1154">
        <v>100</v>
      </c>
      <c r="AC1154">
        <v>5</v>
      </c>
      <c r="AD1154">
        <v>100</v>
      </c>
      <c r="AE1154">
        <v>5</v>
      </c>
      <c r="AF1154">
        <v>100</v>
      </c>
      <c r="AG1154">
        <v>5</v>
      </c>
      <c r="AH1154">
        <v>0</v>
      </c>
      <c r="AI1154">
        <v>0</v>
      </c>
      <c r="AY1154" t="str">
        <f t="shared" si="196"/>
        <v>SULFADI 500</v>
      </c>
      <c r="AZ1154" t="str">
        <f>IF(COUNTIF(AY:AY,AY1154)=1,AY1154,IF(AND(COUNTIF(AY:AY,AY1154)&gt;1,COUNTIF(AZ$2:AZ1153,AY1154)&gt;=1),"",AY1154))</f>
        <v/>
      </c>
      <c r="BA1154" t="str">
        <f>IF(AZ1154="","",COUNTIFS(AZ$3:AZ$1439,"&lt;"&amp;AZ1154,AZ$3:AZ$1439,"&lt;&gt;0")+COUNTIF(AZ$3:AZ1154,AZ1154)-876)</f>
        <v/>
      </c>
      <c r="BT1154" s="76"/>
      <c r="CN1154">
        <v>1153</v>
      </c>
    </row>
    <row r="1155" spans="1:92" x14ac:dyDescent="0.3">
      <c r="A1155" s="118" t="s">
        <v>1286</v>
      </c>
      <c r="B1155" t="s">
        <v>1292</v>
      </c>
      <c r="C1155" t="s">
        <v>1293</v>
      </c>
      <c r="D1155" s="144" t="s">
        <v>924</v>
      </c>
      <c r="E1155" t="s">
        <v>830</v>
      </c>
      <c r="F1155" t="s">
        <v>477</v>
      </c>
      <c r="G1155" t="s">
        <v>831</v>
      </c>
      <c r="H1155" t="s">
        <v>1288</v>
      </c>
      <c r="I1155" t="s">
        <v>817</v>
      </c>
      <c r="J1155" t="s">
        <v>862</v>
      </c>
      <c r="K1155" t="s">
        <v>862</v>
      </c>
      <c r="L1155" t="s">
        <v>895</v>
      </c>
      <c r="M1155" t="s">
        <v>208</v>
      </c>
      <c r="N1155" t="s">
        <v>1289</v>
      </c>
      <c r="O1155" t="s">
        <v>894</v>
      </c>
      <c r="P1155" t="s">
        <v>772</v>
      </c>
      <c r="Q1155" t="s">
        <v>1294</v>
      </c>
      <c r="R1155">
        <v>100</v>
      </c>
      <c r="S1155">
        <v>5</v>
      </c>
      <c r="T1155">
        <v>0</v>
      </c>
      <c r="U1155">
        <v>0</v>
      </c>
      <c r="V1155">
        <v>0</v>
      </c>
      <c r="W1155">
        <v>0</v>
      </c>
      <c r="X1155">
        <v>0</v>
      </c>
      <c r="Y1155">
        <v>0</v>
      </c>
      <c r="Z1155">
        <v>100</v>
      </c>
      <c r="AA1155">
        <v>5</v>
      </c>
      <c r="AB1155">
        <v>100</v>
      </c>
      <c r="AC1155">
        <v>5</v>
      </c>
      <c r="AD1155">
        <v>100</v>
      </c>
      <c r="AE1155">
        <v>5</v>
      </c>
      <c r="AF1155">
        <v>100</v>
      </c>
      <c r="AG1155">
        <v>5</v>
      </c>
      <c r="AH1155">
        <v>0</v>
      </c>
      <c r="AI1155">
        <v>0</v>
      </c>
      <c r="AY1155" t="str">
        <f t="shared" ref="AY1155:AY1218" si="197">IF(INDEX(CK$3:CL$174,MATCH(H1155,CK$3:CK$174,0),2)="x",F1155,"")</f>
        <v>SULFADI 500</v>
      </c>
      <c r="AZ1155" t="str">
        <f>IF(COUNTIF(AY:AY,AY1155)=1,AY1155,IF(AND(COUNTIF(AY:AY,AY1155)&gt;1,COUNTIF(AZ$2:AZ1154,AY1155)&gt;=1),"",AY1155))</f>
        <v/>
      </c>
      <c r="BA1155" t="str">
        <f>IF(AZ1155="","",COUNTIFS(AZ$3:AZ$1439,"&lt;"&amp;AZ1155,AZ$3:AZ$1439,"&lt;&gt;0")+COUNTIF(AZ$3:AZ1155,AZ1155)-876)</f>
        <v/>
      </c>
      <c r="BT1155" s="76"/>
      <c r="CN1155">
        <v>1154</v>
      </c>
    </row>
    <row r="1156" spans="1:92" x14ac:dyDescent="0.3">
      <c r="A1156" s="118" t="s">
        <v>1671</v>
      </c>
      <c r="B1156" t="s">
        <v>1672</v>
      </c>
      <c r="C1156" t="s">
        <v>1673</v>
      </c>
      <c r="D1156" s="144" t="s">
        <v>906</v>
      </c>
      <c r="E1156" t="s">
        <v>765</v>
      </c>
      <c r="F1156" t="s">
        <v>694</v>
      </c>
      <c r="G1156" t="s">
        <v>766</v>
      </c>
      <c r="H1156" t="s">
        <v>1674</v>
      </c>
      <c r="I1156" t="s">
        <v>1524</v>
      </c>
      <c r="J1156" t="s">
        <v>862</v>
      </c>
      <c r="K1156" t="s">
        <v>862</v>
      </c>
      <c r="L1156" t="s">
        <v>895</v>
      </c>
      <c r="M1156" t="s">
        <v>208</v>
      </c>
      <c r="N1156" t="s">
        <v>1675</v>
      </c>
      <c r="O1156" t="s">
        <v>771</v>
      </c>
      <c r="P1156" t="s">
        <v>772</v>
      </c>
      <c r="Q1156" t="s">
        <v>1676</v>
      </c>
      <c r="R1156">
        <v>90</v>
      </c>
      <c r="S1156">
        <v>5</v>
      </c>
      <c r="T1156">
        <v>90</v>
      </c>
      <c r="U1156">
        <v>5</v>
      </c>
      <c r="V1156">
        <v>0</v>
      </c>
      <c r="W1156">
        <v>0</v>
      </c>
      <c r="X1156">
        <v>0</v>
      </c>
      <c r="Y1156">
        <v>0</v>
      </c>
      <c r="Z1156">
        <v>0</v>
      </c>
      <c r="AA1156">
        <v>0</v>
      </c>
      <c r="AB1156">
        <v>90</v>
      </c>
      <c r="AC1156">
        <v>5</v>
      </c>
      <c r="AD1156">
        <v>90</v>
      </c>
      <c r="AE1156">
        <v>5</v>
      </c>
      <c r="AF1156">
        <v>180</v>
      </c>
      <c r="AG1156">
        <v>5</v>
      </c>
      <c r="AH1156">
        <v>0</v>
      </c>
      <c r="AI1156">
        <v>0</v>
      </c>
      <c r="AY1156" t="str">
        <f t="shared" si="197"/>
        <v>SULFADIMERAZINE CSI</v>
      </c>
      <c r="AZ1156" t="str">
        <f>IF(COUNTIF(AY:AY,AY1156)=1,AY1156,IF(AND(COUNTIF(AY:AY,AY1156)&gt;1,COUNTIF(AZ$2:AZ1155,AY1156)&gt;=1),"",AY1156))</f>
        <v>SULFADIMERAZINE CSI</v>
      </c>
      <c r="BA1156">
        <f>IF(AZ1156="","",COUNTIFS(AZ$3:AZ$1439,"&lt;"&amp;AZ1156,AZ$3:AZ$1439,"&lt;&gt;0")+COUNTIF(AZ$3:AZ1156,AZ1156)-876)</f>
        <v>458</v>
      </c>
      <c r="BT1156" s="76"/>
      <c r="CN1156">
        <v>1155</v>
      </c>
    </row>
    <row r="1157" spans="1:92" x14ac:dyDescent="0.3">
      <c r="A1157" s="118" t="s">
        <v>1671</v>
      </c>
      <c r="B1157" t="s">
        <v>1677</v>
      </c>
      <c r="C1157" t="s">
        <v>1678</v>
      </c>
      <c r="D1157" s="144" t="s">
        <v>955</v>
      </c>
      <c r="E1157" t="s">
        <v>765</v>
      </c>
      <c r="F1157" t="s">
        <v>694</v>
      </c>
      <c r="G1157" t="s">
        <v>766</v>
      </c>
      <c r="H1157" t="s">
        <v>1674</v>
      </c>
      <c r="I1157" t="s">
        <v>1524</v>
      </c>
      <c r="J1157" t="s">
        <v>862</v>
      </c>
      <c r="K1157" t="s">
        <v>862</v>
      </c>
      <c r="L1157" t="s">
        <v>895</v>
      </c>
      <c r="M1157" t="s">
        <v>208</v>
      </c>
      <c r="N1157" t="s">
        <v>1675</v>
      </c>
      <c r="O1157" t="s">
        <v>771</v>
      </c>
      <c r="P1157" t="s">
        <v>772</v>
      </c>
      <c r="Q1157" t="s">
        <v>1679</v>
      </c>
      <c r="R1157">
        <v>90</v>
      </c>
      <c r="S1157">
        <v>5</v>
      </c>
      <c r="T1157">
        <v>90</v>
      </c>
      <c r="U1157">
        <v>5</v>
      </c>
      <c r="V1157">
        <v>0</v>
      </c>
      <c r="W1157">
        <v>0</v>
      </c>
      <c r="X1157">
        <v>0</v>
      </c>
      <c r="Y1157">
        <v>0</v>
      </c>
      <c r="Z1157">
        <v>0</v>
      </c>
      <c r="AA1157">
        <v>0</v>
      </c>
      <c r="AB1157">
        <v>90</v>
      </c>
      <c r="AC1157">
        <v>5</v>
      </c>
      <c r="AD1157">
        <v>90</v>
      </c>
      <c r="AE1157">
        <v>5</v>
      </c>
      <c r="AF1157">
        <v>180</v>
      </c>
      <c r="AG1157">
        <v>5</v>
      </c>
      <c r="AH1157">
        <v>0</v>
      </c>
      <c r="AI1157">
        <v>0</v>
      </c>
      <c r="AY1157" t="str">
        <f t="shared" si="197"/>
        <v>SULFADIMERAZINE CSI</v>
      </c>
      <c r="AZ1157" t="str">
        <f>IF(COUNTIF(AY:AY,AY1157)=1,AY1157,IF(AND(COUNTIF(AY:AY,AY1157)&gt;1,COUNTIF(AZ$2:AZ1156,AY1157)&gt;=1),"",AY1157))</f>
        <v/>
      </c>
      <c r="BA1157" t="str">
        <f>IF(AZ1157="","",COUNTIFS(AZ$3:AZ$1439,"&lt;"&amp;AZ1157,AZ$3:AZ$1439,"&lt;&gt;0")+COUNTIF(AZ$3:AZ1157,AZ1157)-876)</f>
        <v/>
      </c>
      <c r="BT1157" s="76"/>
      <c r="CN1157">
        <v>1156</v>
      </c>
    </row>
    <row r="1158" spans="1:92" x14ac:dyDescent="0.3">
      <c r="A1158" s="118" t="s">
        <v>1522</v>
      </c>
      <c r="B1158" t="s">
        <v>1523</v>
      </c>
      <c r="C1158" t="s">
        <v>1241</v>
      </c>
      <c r="D1158" s="144" t="s">
        <v>829</v>
      </c>
      <c r="E1158" t="s">
        <v>765</v>
      </c>
      <c r="F1158" t="s">
        <v>478</v>
      </c>
      <c r="G1158" t="s">
        <v>956</v>
      </c>
      <c r="H1158" t="s">
        <v>1288</v>
      </c>
      <c r="I1158" t="s">
        <v>1524</v>
      </c>
      <c r="J1158" t="s">
        <v>862</v>
      </c>
      <c r="K1158" t="s">
        <v>862</v>
      </c>
      <c r="L1158" t="s">
        <v>895</v>
      </c>
      <c r="M1158" t="s">
        <v>208</v>
      </c>
      <c r="N1158" t="s">
        <v>1525</v>
      </c>
      <c r="O1158" t="s">
        <v>771</v>
      </c>
      <c r="P1158" t="s">
        <v>772</v>
      </c>
      <c r="Q1158" t="s">
        <v>1525</v>
      </c>
      <c r="R1158">
        <v>90</v>
      </c>
      <c r="S1158">
        <v>3</v>
      </c>
      <c r="T1158">
        <v>0</v>
      </c>
      <c r="U1158">
        <v>0</v>
      </c>
      <c r="V1158">
        <v>0</v>
      </c>
      <c r="W1158">
        <v>0</v>
      </c>
      <c r="X1158">
        <v>0</v>
      </c>
      <c r="Y1158">
        <v>0</v>
      </c>
      <c r="Z1158">
        <v>180</v>
      </c>
      <c r="AA1158">
        <v>3</v>
      </c>
      <c r="AB1158">
        <v>90</v>
      </c>
      <c r="AC1158">
        <v>3</v>
      </c>
      <c r="AD1158">
        <v>90</v>
      </c>
      <c r="AE1158">
        <v>3</v>
      </c>
      <c r="AF1158">
        <v>180</v>
      </c>
      <c r="AG1158">
        <v>3</v>
      </c>
      <c r="AH1158">
        <v>0</v>
      </c>
      <c r="AI1158">
        <v>0</v>
      </c>
      <c r="AY1158" t="str">
        <f t="shared" si="197"/>
        <v>SULFADIMERAZINE QALIAN</v>
      </c>
      <c r="AZ1158" t="str">
        <f>IF(COUNTIF(AY:AY,AY1158)=1,AY1158,IF(AND(COUNTIF(AY:AY,AY1158)&gt;1,COUNTIF(AZ$2:AZ1157,AY1158)&gt;=1),"",AY1158))</f>
        <v>SULFADIMERAZINE QALIAN</v>
      </c>
      <c r="BA1158">
        <f>IF(AZ1158="","",COUNTIFS(AZ$3:AZ$1439,"&lt;"&amp;AZ1158,AZ$3:AZ$1439,"&lt;&gt;0")+COUNTIF(AZ$3:AZ1158,AZ1158)-876)</f>
        <v>459</v>
      </c>
      <c r="BT1158" s="76"/>
      <c r="CN1158">
        <v>1157</v>
      </c>
    </row>
    <row r="1159" spans="1:92" x14ac:dyDescent="0.3">
      <c r="A1159" s="118" t="s">
        <v>1522</v>
      </c>
      <c r="B1159" t="s">
        <v>1526</v>
      </c>
      <c r="C1159" t="s">
        <v>1243</v>
      </c>
      <c r="D1159" s="144" t="s">
        <v>955</v>
      </c>
      <c r="E1159" t="s">
        <v>765</v>
      </c>
      <c r="F1159" t="s">
        <v>478</v>
      </c>
      <c r="G1159" t="s">
        <v>956</v>
      </c>
      <c r="H1159" t="s">
        <v>1288</v>
      </c>
      <c r="I1159" t="s">
        <v>1524</v>
      </c>
      <c r="J1159" t="s">
        <v>862</v>
      </c>
      <c r="K1159" t="s">
        <v>862</v>
      </c>
      <c r="L1159" t="s">
        <v>895</v>
      </c>
      <c r="M1159" t="s">
        <v>208</v>
      </c>
      <c r="N1159" t="s">
        <v>1525</v>
      </c>
      <c r="O1159" t="s">
        <v>771</v>
      </c>
      <c r="P1159" t="s">
        <v>772</v>
      </c>
      <c r="Q1159" t="s">
        <v>1527</v>
      </c>
      <c r="R1159">
        <v>90</v>
      </c>
      <c r="S1159">
        <v>3</v>
      </c>
      <c r="T1159">
        <v>0</v>
      </c>
      <c r="U1159">
        <v>0</v>
      </c>
      <c r="V1159">
        <v>0</v>
      </c>
      <c r="W1159">
        <v>0</v>
      </c>
      <c r="X1159">
        <v>0</v>
      </c>
      <c r="Y1159">
        <v>0</v>
      </c>
      <c r="Z1159">
        <v>180</v>
      </c>
      <c r="AA1159">
        <v>3</v>
      </c>
      <c r="AB1159">
        <v>90</v>
      </c>
      <c r="AC1159">
        <v>3</v>
      </c>
      <c r="AD1159">
        <v>90</v>
      </c>
      <c r="AE1159">
        <v>3</v>
      </c>
      <c r="AF1159">
        <v>180</v>
      </c>
      <c r="AG1159">
        <v>3</v>
      </c>
      <c r="AH1159">
        <v>0</v>
      </c>
      <c r="AI1159">
        <v>0</v>
      </c>
      <c r="AY1159" t="str">
        <f t="shared" si="197"/>
        <v>SULFADIMERAZINE QALIAN</v>
      </c>
      <c r="AZ1159" t="str">
        <f>IF(COUNTIF(AY:AY,AY1159)=1,AY1159,IF(AND(COUNTIF(AY:AY,AY1159)&gt;1,COUNTIF(AZ$2:AZ1158,AY1159)&gt;=1),"",AY1159))</f>
        <v/>
      </c>
      <c r="BA1159" t="str">
        <f>IF(AZ1159="","",COUNTIFS(AZ$3:AZ$1439,"&lt;"&amp;AZ1159,AZ$3:AZ$1439,"&lt;&gt;0")+COUNTIF(AZ$3:AZ1159,AZ1159)-876)</f>
        <v/>
      </c>
      <c r="BT1159" s="76"/>
      <c r="CN1159">
        <v>1158</v>
      </c>
    </row>
    <row r="1160" spans="1:92" x14ac:dyDescent="0.3">
      <c r="A1160" s="118" t="s">
        <v>1522</v>
      </c>
      <c r="B1160" t="s">
        <v>1528</v>
      </c>
      <c r="C1160" t="s">
        <v>1167</v>
      </c>
      <c r="D1160" s="144" t="s">
        <v>906</v>
      </c>
      <c r="E1160" t="s">
        <v>765</v>
      </c>
      <c r="F1160" t="s">
        <v>478</v>
      </c>
      <c r="G1160" t="s">
        <v>956</v>
      </c>
      <c r="H1160" t="s">
        <v>1288</v>
      </c>
      <c r="I1160" t="s">
        <v>1524</v>
      </c>
      <c r="J1160" t="s">
        <v>862</v>
      </c>
      <c r="K1160" t="s">
        <v>862</v>
      </c>
      <c r="L1160" t="s">
        <v>895</v>
      </c>
      <c r="M1160" t="s">
        <v>208</v>
      </c>
      <c r="N1160" t="s">
        <v>1525</v>
      </c>
      <c r="O1160" t="s">
        <v>771</v>
      </c>
      <c r="P1160" t="s">
        <v>772</v>
      </c>
      <c r="Q1160" t="s">
        <v>1376</v>
      </c>
      <c r="R1160">
        <v>90</v>
      </c>
      <c r="S1160">
        <v>3</v>
      </c>
      <c r="T1160">
        <v>0</v>
      </c>
      <c r="U1160">
        <v>0</v>
      </c>
      <c r="V1160">
        <v>0</v>
      </c>
      <c r="W1160">
        <v>0</v>
      </c>
      <c r="X1160">
        <v>0</v>
      </c>
      <c r="Y1160">
        <v>0</v>
      </c>
      <c r="Z1160">
        <v>180</v>
      </c>
      <c r="AA1160">
        <v>3</v>
      </c>
      <c r="AB1160">
        <v>90</v>
      </c>
      <c r="AC1160">
        <v>3</v>
      </c>
      <c r="AD1160">
        <v>90</v>
      </c>
      <c r="AE1160">
        <v>3</v>
      </c>
      <c r="AF1160">
        <v>180</v>
      </c>
      <c r="AG1160">
        <v>3</v>
      </c>
      <c r="AH1160">
        <v>0</v>
      </c>
      <c r="AI1160">
        <v>0</v>
      </c>
      <c r="AY1160" t="str">
        <f t="shared" si="197"/>
        <v>SULFADIMERAZINE QALIAN</v>
      </c>
      <c r="AZ1160" t="str">
        <f>IF(COUNTIF(AY:AY,AY1160)=1,AY1160,IF(AND(COUNTIF(AY:AY,AY1160)&gt;1,COUNTIF(AZ$2:AZ1159,AY1160)&gt;=1),"",AY1160))</f>
        <v/>
      </c>
      <c r="BA1160" t="str">
        <f>IF(AZ1160="","",COUNTIFS(AZ$3:AZ$1439,"&lt;"&amp;AZ1160,AZ$3:AZ$1439,"&lt;&gt;0")+COUNTIF(AZ$3:AZ1160,AZ1160)-876)</f>
        <v/>
      </c>
      <c r="BT1160" s="76"/>
      <c r="CN1160">
        <v>1159</v>
      </c>
    </row>
    <row r="1161" spans="1:92" x14ac:dyDescent="0.3">
      <c r="A1161" s="118" t="s">
        <v>2564</v>
      </c>
      <c r="B1161" t="s">
        <v>2565</v>
      </c>
      <c r="C1161" t="s">
        <v>1062</v>
      </c>
      <c r="D1161" s="144" t="s">
        <v>1063</v>
      </c>
      <c r="E1161" t="s">
        <v>830</v>
      </c>
      <c r="F1161" t="s">
        <v>479</v>
      </c>
      <c r="G1161" t="s">
        <v>1064</v>
      </c>
      <c r="H1161" t="s">
        <v>2566</v>
      </c>
      <c r="I1161" t="s">
        <v>1066</v>
      </c>
      <c r="J1161" t="s">
        <v>862</v>
      </c>
      <c r="K1161" t="s">
        <v>862</v>
      </c>
      <c r="L1161" t="s">
        <v>1003</v>
      </c>
      <c r="M1161" t="s">
        <v>208</v>
      </c>
      <c r="N1161" t="s">
        <v>764</v>
      </c>
      <c r="O1161" t="s">
        <v>894</v>
      </c>
      <c r="P1161" t="s">
        <v>772</v>
      </c>
      <c r="Q1161" t="s">
        <v>966</v>
      </c>
      <c r="R1161">
        <v>0</v>
      </c>
      <c r="S1161">
        <v>0</v>
      </c>
      <c r="T1161">
        <v>0</v>
      </c>
      <c r="U1161">
        <v>0</v>
      </c>
      <c r="V1161">
        <v>0</v>
      </c>
      <c r="W1161">
        <v>0</v>
      </c>
      <c r="X1161">
        <v>0</v>
      </c>
      <c r="Y1161">
        <v>0</v>
      </c>
      <c r="Z1161">
        <v>50</v>
      </c>
      <c r="AA1161">
        <v>10</v>
      </c>
      <c r="AB1161">
        <v>40</v>
      </c>
      <c r="AC1161">
        <v>10</v>
      </c>
      <c r="AD1161">
        <v>50</v>
      </c>
      <c r="AE1161">
        <v>10</v>
      </c>
      <c r="AF1161">
        <v>50</v>
      </c>
      <c r="AG1161">
        <v>10</v>
      </c>
      <c r="AH1161">
        <v>50</v>
      </c>
      <c r="AI1161">
        <v>10</v>
      </c>
      <c r="AY1161" t="str">
        <f t="shared" si="197"/>
        <v>SULFADIMETHOXINE 100-CR LAPIN-VOLAILLE-PORC ET AGNEAU-CHEVREAU SEVRES FRANVET</v>
      </c>
      <c r="AZ1161" t="str">
        <f>IF(COUNTIF(AY:AY,AY1161)=1,AY1161,IF(AND(COUNTIF(AY:AY,AY1161)&gt;1,COUNTIF(AZ$2:AZ1160,AY1161)&gt;=1),"",AY1161))</f>
        <v>SULFADIMETHOXINE 100-CR LAPIN-VOLAILLE-PORC ET AGNEAU-CHEVREAU SEVRES FRANVET</v>
      </c>
      <c r="BA1161">
        <f>IF(AZ1161="","",COUNTIFS(AZ$3:AZ$1439,"&lt;"&amp;AZ1161,AZ$3:AZ$1439,"&lt;&gt;0")+COUNTIF(AZ$3:AZ1161,AZ1161)-876)</f>
        <v>460</v>
      </c>
      <c r="BT1161" s="76"/>
      <c r="CN1161">
        <v>1160</v>
      </c>
    </row>
    <row r="1162" spans="1:92" x14ac:dyDescent="0.3">
      <c r="A1162" s="118" t="s">
        <v>2634</v>
      </c>
      <c r="B1162" t="s">
        <v>2635</v>
      </c>
      <c r="C1162" t="s">
        <v>1062</v>
      </c>
      <c r="D1162" s="144" t="s">
        <v>1063</v>
      </c>
      <c r="E1162" t="s">
        <v>830</v>
      </c>
      <c r="F1162" t="s">
        <v>480</v>
      </c>
      <c r="G1162" t="s">
        <v>1064</v>
      </c>
      <c r="H1162" t="s">
        <v>1099</v>
      </c>
      <c r="I1162" t="s">
        <v>1066</v>
      </c>
      <c r="J1162" t="s">
        <v>928</v>
      </c>
      <c r="K1162" t="s">
        <v>862</v>
      </c>
      <c r="L1162" t="s">
        <v>1003</v>
      </c>
      <c r="M1162" t="s">
        <v>208</v>
      </c>
      <c r="N1162" t="s">
        <v>950</v>
      </c>
      <c r="O1162" t="s">
        <v>894</v>
      </c>
      <c r="P1162" t="s">
        <v>772</v>
      </c>
      <c r="Q1162" t="s">
        <v>1071</v>
      </c>
      <c r="R1162">
        <v>37.5</v>
      </c>
      <c r="S1162">
        <v>5</v>
      </c>
      <c r="T1162">
        <v>0</v>
      </c>
      <c r="U1162">
        <v>0</v>
      </c>
      <c r="V1162">
        <v>0</v>
      </c>
      <c r="W1162">
        <v>0</v>
      </c>
      <c r="X1162">
        <v>0</v>
      </c>
      <c r="Y1162">
        <v>0</v>
      </c>
      <c r="Z1162">
        <v>0</v>
      </c>
      <c r="AA1162">
        <v>0</v>
      </c>
      <c r="AB1162">
        <v>37.5</v>
      </c>
      <c r="AC1162">
        <v>5</v>
      </c>
      <c r="AD1162">
        <v>37.5</v>
      </c>
      <c r="AE1162">
        <v>5</v>
      </c>
      <c r="AF1162">
        <v>0</v>
      </c>
      <c r="AG1162">
        <v>0</v>
      </c>
      <c r="AH1162">
        <v>0</v>
      </c>
      <c r="AI1162">
        <v>0</v>
      </c>
      <c r="AJ1162" t="s">
        <v>930</v>
      </c>
      <c r="AK1162" t="s">
        <v>931</v>
      </c>
      <c r="AL1162" t="s">
        <v>208</v>
      </c>
      <c r="AM1162" t="s">
        <v>1072</v>
      </c>
      <c r="AN1162" t="s">
        <v>894</v>
      </c>
      <c r="AO1162" t="s">
        <v>772</v>
      </c>
      <c r="AP1162" t="s">
        <v>1073</v>
      </c>
      <c r="AY1162" t="str">
        <f t="shared" si="197"/>
        <v>SULFADIMETHOXINE-TRIMETHOPRIME 62,5-12,5 PORC ET VEAU-AGNEAU-CHEVREAU SEVRES SANTAMIX</v>
      </c>
      <c r="AZ1162" t="str">
        <f>IF(COUNTIF(AY:AY,AY1162)=1,AY1162,IF(AND(COUNTIF(AY:AY,AY1162)&gt;1,COUNTIF(AZ$2:AZ1161,AY1162)&gt;=1),"",AY1162))</f>
        <v>SULFADIMETHOXINE-TRIMETHOPRIME 62,5-12,5 PORC ET VEAU-AGNEAU-CHEVREAU SEVRES SANTAMIX</v>
      </c>
      <c r="BA1162">
        <f>IF(AZ1162="","",COUNTIFS(AZ$3:AZ$1439,"&lt;"&amp;AZ1162,AZ$3:AZ$1439,"&lt;&gt;0")+COUNTIF(AZ$3:AZ1162,AZ1162)-876)</f>
        <v>461</v>
      </c>
      <c r="BT1162" s="76"/>
      <c r="CN1162">
        <v>1161</v>
      </c>
    </row>
    <row r="1163" spans="1:92" x14ac:dyDescent="0.3">
      <c r="A1163" s="118" t="s">
        <v>1336</v>
      </c>
      <c r="B1163" t="s">
        <v>1337</v>
      </c>
      <c r="C1163" t="s">
        <v>943</v>
      </c>
      <c r="D1163" s="144" t="s">
        <v>764</v>
      </c>
      <c r="E1163" t="s">
        <v>765</v>
      </c>
      <c r="F1163" t="s">
        <v>121</v>
      </c>
      <c r="G1163" t="s">
        <v>766</v>
      </c>
      <c r="H1163" t="s">
        <v>4390</v>
      </c>
      <c r="I1163" t="s">
        <v>766</v>
      </c>
      <c r="J1163" t="s">
        <v>862</v>
      </c>
      <c r="K1163" t="s">
        <v>862</v>
      </c>
      <c r="L1163" t="s">
        <v>1003</v>
      </c>
      <c r="M1163" t="s">
        <v>208</v>
      </c>
      <c r="N1163" t="s">
        <v>864</v>
      </c>
      <c r="O1163" t="s">
        <v>771</v>
      </c>
      <c r="P1163" t="s">
        <v>772</v>
      </c>
      <c r="Q1163" t="s">
        <v>869</v>
      </c>
      <c r="R1163">
        <v>40</v>
      </c>
      <c r="S1163">
        <v>3</v>
      </c>
      <c r="T1163">
        <v>40</v>
      </c>
      <c r="U1163">
        <v>3</v>
      </c>
      <c r="V1163">
        <v>40</v>
      </c>
      <c r="W1163">
        <v>3</v>
      </c>
      <c r="X1163">
        <v>0</v>
      </c>
      <c r="Y1163">
        <v>0</v>
      </c>
      <c r="Z1163">
        <v>0</v>
      </c>
      <c r="AA1163">
        <v>0</v>
      </c>
      <c r="AB1163">
        <v>40</v>
      </c>
      <c r="AC1163">
        <v>3</v>
      </c>
      <c r="AD1163">
        <v>40</v>
      </c>
      <c r="AE1163">
        <v>3</v>
      </c>
      <c r="AF1163">
        <v>40</v>
      </c>
      <c r="AG1163">
        <v>3</v>
      </c>
      <c r="AH1163">
        <v>0</v>
      </c>
      <c r="AI1163">
        <v>0</v>
      </c>
      <c r="AY1163" t="str">
        <f t="shared" si="197"/>
        <v>SULFALON</v>
      </c>
      <c r="AZ1163" t="str">
        <f>IF(COUNTIF(AY:AY,AY1163)=1,AY1163,IF(AND(COUNTIF(AY:AY,AY1163)&gt;1,COUNTIF(AZ$2:AZ1162,AY1163)&gt;=1),"",AY1163))</f>
        <v>SULFALON</v>
      </c>
      <c r="BA1163">
        <f>IF(AZ1163="","",COUNTIFS(AZ$3:AZ$1439,"&lt;"&amp;AZ1163,AZ$3:AZ$1439,"&lt;&gt;0")+COUNTIF(AZ$3:AZ1163,AZ1163)-876)</f>
        <v>462</v>
      </c>
      <c r="BT1163" s="76"/>
      <c r="CN1163">
        <v>1162</v>
      </c>
    </row>
    <row r="1164" spans="1:92" x14ac:dyDescent="0.3">
      <c r="A1164" s="118" t="s">
        <v>1336</v>
      </c>
      <c r="B1164" t="s">
        <v>1338</v>
      </c>
      <c r="C1164" t="s">
        <v>1167</v>
      </c>
      <c r="D1164" s="144" t="s">
        <v>906</v>
      </c>
      <c r="E1164" t="s">
        <v>765</v>
      </c>
      <c r="F1164" t="s">
        <v>121</v>
      </c>
      <c r="G1164" t="s">
        <v>766</v>
      </c>
      <c r="H1164" t="s">
        <v>4390</v>
      </c>
      <c r="I1164" t="s">
        <v>766</v>
      </c>
      <c r="J1164" t="s">
        <v>862</v>
      </c>
      <c r="K1164" t="s">
        <v>862</v>
      </c>
      <c r="L1164" t="s">
        <v>1003</v>
      </c>
      <c r="M1164" t="s">
        <v>208</v>
      </c>
      <c r="N1164" t="s">
        <v>864</v>
      </c>
      <c r="O1164" t="s">
        <v>771</v>
      </c>
      <c r="P1164" t="s">
        <v>772</v>
      </c>
      <c r="Q1164" t="s">
        <v>764</v>
      </c>
      <c r="R1164">
        <v>40</v>
      </c>
      <c r="S1164">
        <v>3</v>
      </c>
      <c r="T1164">
        <v>40</v>
      </c>
      <c r="U1164">
        <v>3</v>
      </c>
      <c r="V1164">
        <v>40</v>
      </c>
      <c r="W1164">
        <v>3</v>
      </c>
      <c r="X1164">
        <v>0</v>
      </c>
      <c r="Y1164">
        <v>0</v>
      </c>
      <c r="Z1164">
        <v>0</v>
      </c>
      <c r="AA1164">
        <v>0</v>
      </c>
      <c r="AB1164">
        <v>40</v>
      </c>
      <c r="AC1164">
        <v>3</v>
      </c>
      <c r="AD1164">
        <v>40</v>
      </c>
      <c r="AE1164">
        <v>3</v>
      </c>
      <c r="AF1164">
        <v>40</v>
      </c>
      <c r="AG1164">
        <v>3</v>
      </c>
      <c r="AH1164">
        <v>0</v>
      </c>
      <c r="AI1164">
        <v>0</v>
      </c>
      <c r="AY1164" t="str">
        <f t="shared" si="197"/>
        <v>SULFALON</v>
      </c>
      <c r="AZ1164" t="str">
        <f>IF(COUNTIF(AY:AY,AY1164)=1,AY1164,IF(AND(COUNTIF(AY:AY,AY1164)&gt;1,COUNTIF(AZ$2:AZ1163,AY1164)&gt;=1),"",AY1164))</f>
        <v/>
      </c>
      <c r="BA1164" t="str">
        <f>IF(AZ1164="","",COUNTIFS(AZ$3:AZ$1439,"&lt;"&amp;AZ1164,AZ$3:AZ$1439,"&lt;&gt;0")+COUNTIF(AZ$3:AZ1164,AZ1164)-876)</f>
        <v/>
      </c>
      <c r="BT1164" s="76"/>
      <c r="CN1164">
        <v>1163</v>
      </c>
    </row>
    <row r="1165" spans="1:92" x14ac:dyDescent="0.3">
      <c r="A1165" s="118" t="s">
        <v>889</v>
      </c>
      <c r="B1165" t="s">
        <v>890</v>
      </c>
      <c r="C1165" t="s">
        <v>891</v>
      </c>
      <c r="D1165" s="144" t="s">
        <v>829</v>
      </c>
      <c r="E1165" t="s">
        <v>830</v>
      </c>
      <c r="F1165" t="s">
        <v>122</v>
      </c>
      <c r="G1165" t="s">
        <v>831</v>
      </c>
      <c r="H1165" t="s">
        <v>892</v>
      </c>
      <c r="I1165" t="s">
        <v>817</v>
      </c>
      <c r="J1165" t="s">
        <v>893</v>
      </c>
      <c r="K1165" t="s">
        <v>862</v>
      </c>
      <c r="L1165" t="s">
        <v>863</v>
      </c>
      <c r="M1165" t="s">
        <v>208</v>
      </c>
      <c r="N1165" t="s">
        <v>764</v>
      </c>
      <c r="O1165" t="s">
        <v>894</v>
      </c>
      <c r="P1165" t="s">
        <v>772</v>
      </c>
      <c r="Q1165" t="s">
        <v>764</v>
      </c>
      <c r="R1165">
        <v>20</v>
      </c>
      <c r="S1165">
        <v>4</v>
      </c>
      <c r="T1165">
        <v>0</v>
      </c>
      <c r="U1165">
        <v>0</v>
      </c>
      <c r="V1165">
        <v>20</v>
      </c>
      <c r="W1165">
        <v>4</v>
      </c>
      <c r="X1165">
        <v>0</v>
      </c>
      <c r="Y1165">
        <v>0</v>
      </c>
      <c r="Z1165">
        <v>0</v>
      </c>
      <c r="AA1165">
        <v>0</v>
      </c>
      <c r="AB1165">
        <v>20</v>
      </c>
      <c r="AC1165">
        <v>4</v>
      </c>
      <c r="AD1165">
        <v>20</v>
      </c>
      <c r="AE1165">
        <v>4</v>
      </c>
      <c r="AF1165">
        <v>0</v>
      </c>
      <c r="AG1165">
        <v>0</v>
      </c>
      <c r="AH1165">
        <v>0</v>
      </c>
      <c r="AI1165">
        <v>0</v>
      </c>
      <c r="AJ1165" t="s">
        <v>862</v>
      </c>
      <c r="AK1165" t="s">
        <v>895</v>
      </c>
      <c r="AL1165" t="s">
        <v>208</v>
      </c>
      <c r="AM1165" t="s">
        <v>896</v>
      </c>
      <c r="AN1165" t="s">
        <v>894</v>
      </c>
      <c r="AO1165" t="s">
        <v>772</v>
      </c>
      <c r="AP1165" t="s">
        <v>896</v>
      </c>
      <c r="AY1165" t="str">
        <f t="shared" si="197"/>
        <v>SULFALUTYL</v>
      </c>
      <c r="AZ1165" t="str">
        <f>IF(COUNTIF(AY:AY,AY1165)=1,AY1165,IF(AND(COUNTIF(AY:AY,AY1165)&gt;1,COUNTIF(AZ$2:AZ1164,AY1165)&gt;=1),"",AY1165))</f>
        <v>SULFALUTYL</v>
      </c>
      <c r="BA1165">
        <f>IF(AZ1165="","",COUNTIFS(AZ$3:AZ$1439,"&lt;"&amp;AZ1165,AZ$3:AZ$1439,"&lt;&gt;0")+COUNTIF(AZ$3:AZ1165,AZ1165)-876)</f>
        <v>463</v>
      </c>
      <c r="BT1165" s="76"/>
      <c r="CN1165">
        <v>1164</v>
      </c>
    </row>
    <row r="1166" spans="1:92" x14ac:dyDescent="0.3">
      <c r="A1166" s="118" t="s">
        <v>889</v>
      </c>
      <c r="B1166" t="s">
        <v>897</v>
      </c>
      <c r="C1166" t="s">
        <v>898</v>
      </c>
      <c r="D1166" s="144" t="s">
        <v>864</v>
      </c>
      <c r="E1166" t="s">
        <v>830</v>
      </c>
      <c r="F1166" t="s">
        <v>122</v>
      </c>
      <c r="G1166" t="s">
        <v>831</v>
      </c>
      <c r="H1166" t="s">
        <v>892</v>
      </c>
      <c r="I1166" t="s">
        <v>817</v>
      </c>
      <c r="J1166" t="s">
        <v>893</v>
      </c>
      <c r="K1166" t="s">
        <v>862</v>
      </c>
      <c r="L1166" t="s">
        <v>863</v>
      </c>
      <c r="M1166" t="s">
        <v>208</v>
      </c>
      <c r="N1166" t="s">
        <v>764</v>
      </c>
      <c r="O1166" t="s">
        <v>894</v>
      </c>
      <c r="P1166" t="s">
        <v>772</v>
      </c>
      <c r="Q1166" t="s">
        <v>869</v>
      </c>
      <c r="R1166">
        <v>20</v>
      </c>
      <c r="S1166">
        <v>4</v>
      </c>
      <c r="T1166">
        <v>0</v>
      </c>
      <c r="U1166">
        <v>0</v>
      </c>
      <c r="V1166">
        <v>20</v>
      </c>
      <c r="W1166">
        <v>4</v>
      </c>
      <c r="X1166">
        <v>0</v>
      </c>
      <c r="Y1166">
        <v>0</v>
      </c>
      <c r="Z1166">
        <v>0</v>
      </c>
      <c r="AA1166">
        <v>0</v>
      </c>
      <c r="AB1166">
        <v>20</v>
      </c>
      <c r="AC1166">
        <v>4</v>
      </c>
      <c r="AD1166">
        <v>20</v>
      </c>
      <c r="AE1166">
        <v>4</v>
      </c>
      <c r="AF1166">
        <v>0</v>
      </c>
      <c r="AG1166">
        <v>0</v>
      </c>
      <c r="AH1166">
        <v>0</v>
      </c>
      <c r="AI1166">
        <v>0</v>
      </c>
      <c r="AJ1166" t="s">
        <v>862</v>
      </c>
      <c r="AK1166" t="s">
        <v>895</v>
      </c>
      <c r="AL1166" t="s">
        <v>208</v>
      </c>
      <c r="AM1166" t="s">
        <v>896</v>
      </c>
      <c r="AN1166" t="s">
        <v>894</v>
      </c>
      <c r="AO1166" t="s">
        <v>772</v>
      </c>
      <c r="AP1166" t="s">
        <v>899</v>
      </c>
      <c r="AY1166" t="str">
        <f t="shared" si="197"/>
        <v>SULFALUTYL</v>
      </c>
      <c r="AZ1166" t="str">
        <f>IF(COUNTIF(AY:AY,AY1166)=1,AY1166,IF(AND(COUNTIF(AY:AY,AY1166)&gt;1,COUNTIF(AZ$2:AZ1165,AY1166)&gt;=1),"",AY1166))</f>
        <v/>
      </c>
      <c r="BA1166" t="str">
        <f>IF(AZ1166="","",COUNTIFS(AZ$3:AZ$1439,"&lt;"&amp;AZ1166,AZ$3:AZ$1439,"&lt;&gt;0")+COUNTIF(AZ$3:AZ1166,AZ1166)-876)</f>
        <v/>
      </c>
      <c r="BT1166" s="76"/>
      <c r="CN1166">
        <v>1165</v>
      </c>
    </row>
    <row r="1167" spans="1:92" x14ac:dyDescent="0.3">
      <c r="A1167" s="118" t="s">
        <v>889</v>
      </c>
      <c r="B1167" t="s">
        <v>900</v>
      </c>
      <c r="C1167" t="s">
        <v>901</v>
      </c>
      <c r="D1167" s="144" t="s">
        <v>902</v>
      </c>
      <c r="E1167" t="s">
        <v>830</v>
      </c>
      <c r="F1167" t="s">
        <v>122</v>
      </c>
      <c r="G1167" t="s">
        <v>831</v>
      </c>
      <c r="H1167" t="s">
        <v>892</v>
      </c>
      <c r="I1167" t="s">
        <v>817</v>
      </c>
      <c r="J1167" t="s">
        <v>893</v>
      </c>
      <c r="K1167" t="s">
        <v>862</v>
      </c>
      <c r="L1167" t="s">
        <v>863</v>
      </c>
      <c r="M1167" t="s">
        <v>208</v>
      </c>
      <c r="N1167" t="s">
        <v>764</v>
      </c>
      <c r="O1167" t="s">
        <v>894</v>
      </c>
      <c r="P1167" t="s">
        <v>772</v>
      </c>
      <c r="Q1167" t="s">
        <v>864</v>
      </c>
      <c r="R1167">
        <v>20</v>
      </c>
      <c r="S1167">
        <v>4</v>
      </c>
      <c r="T1167">
        <v>0</v>
      </c>
      <c r="U1167">
        <v>0</v>
      </c>
      <c r="V1167">
        <v>20</v>
      </c>
      <c r="W1167">
        <v>4</v>
      </c>
      <c r="X1167">
        <v>0</v>
      </c>
      <c r="Y1167">
        <v>0</v>
      </c>
      <c r="Z1167">
        <v>0</v>
      </c>
      <c r="AA1167">
        <v>0</v>
      </c>
      <c r="AB1167">
        <v>20</v>
      </c>
      <c r="AC1167">
        <v>4</v>
      </c>
      <c r="AD1167">
        <v>20</v>
      </c>
      <c r="AE1167">
        <v>4</v>
      </c>
      <c r="AF1167">
        <v>0</v>
      </c>
      <c r="AG1167">
        <v>0</v>
      </c>
      <c r="AH1167">
        <v>0</v>
      </c>
      <c r="AI1167">
        <v>0</v>
      </c>
      <c r="AJ1167" t="s">
        <v>862</v>
      </c>
      <c r="AK1167" t="s">
        <v>895</v>
      </c>
      <c r="AL1167" t="s">
        <v>208</v>
      </c>
      <c r="AM1167" t="s">
        <v>896</v>
      </c>
      <c r="AN1167" t="s">
        <v>894</v>
      </c>
      <c r="AO1167" t="s">
        <v>772</v>
      </c>
      <c r="AP1167" t="s">
        <v>903</v>
      </c>
      <c r="AY1167" t="str">
        <f t="shared" si="197"/>
        <v>SULFALUTYL</v>
      </c>
      <c r="AZ1167" t="str">
        <f>IF(COUNTIF(AY:AY,AY1167)=1,AY1167,IF(AND(COUNTIF(AY:AY,AY1167)&gt;1,COUNTIF(AZ$2:AZ1166,AY1167)&gt;=1),"",AY1167))</f>
        <v/>
      </c>
      <c r="BA1167" t="str">
        <f>IF(AZ1167="","",COUNTIFS(AZ$3:AZ$1439,"&lt;"&amp;AZ1167,AZ$3:AZ$1439,"&lt;&gt;0")+COUNTIF(AZ$3:AZ1167,AZ1167)-876)</f>
        <v/>
      </c>
      <c r="BT1167" s="76"/>
      <c r="CN1167">
        <v>1166</v>
      </c>
    </row>
    <row r="1168" spans="1:92" x14ac:dyDescent="0.3">
      <c r="A1168" s="118" t="s">
        <v>889</v>
      </c>
      <c r="B1168" t="s">
        <v>904</v>
      </c>
      <c r="C1168" t="s">
        <v>905</v>
      </c>
      <c r="D1168" s="144" t="s">
        <v>906</v>
      </c>
      <c r="E1168" t="s">
        <v>830</v>
      </c>
      <c r="F1168" t="s">
        <v>122</v>
      </c>
      <c r="G1168" t="s">
        <v>831</v>
      </c>
      <c r="H1168" t="s">
        <v>892</v>
      </c>
      <c r="I1168" t="s">
        <v>817</v>
      </c>
      <c r="J1168" t="s">
        <v>893</v>
      </c>
      <c r="K1168" t="s">
        <v>862</v>
      </c>
      <c r="L1168" t="s">
        <v>863</v>
      </c>
      <c r="M1168" t="s">
        <v>208</v>
      </c>
      <c r="N1168" t="s">
        <v>764</v>
      </c>
      <c r="O1168" t="s">
        <v>894</v>
      </c>
      <c r="P1168" t="s">
        <v>772</v>
      </c>
      <c r="Q1168" t="s">
        <v>780</v>
      </c>
      <c r="R1168">
        <v>20</v>
      </c>
      <c r="S1168">
        <v>4</v>
      </c>
      <c r="T1168">
        <v>0</v>
      </c>
      <c r="U1168">
        <v>0</v>
      </c>
      <c r="V1168">
        <v>20</v>
      </c>
      <c r="W1168">
        <v>4</v>
      </c>
      <c r="X1168">
        <v>0</v>
      </c>
      <c r="Y1168">
        <v>0</v>
      </c>
      <c r="Z1168">
        <v>0</v>
      </c>
      <c r="AA1168">
        <v>0</v>
      </c>
      <c r="AB1168">
        <v>20</v>
      </c>
      <c r="AC1168">
        <v>4</v>
      </c>
      <c r="AD1168">
        <v>20</v>
      </c>
      <c r="AE1168">
        <v>4</v>
      </c>
      <c r="AF1168">
        <v>0</v>
      </c>
      <c r="AG1168">
        <v>0</v>
      </c>
      <c r="AH1168">
        <v>0</v>
      </c>
      <c r="AI1168">
        <v>0</v>
      </c>
      <c r="AJ1168" t="s">
        <v>862</v>
      </c>
      <c r="AK1168" t="s">
        <v>895</v>
      </c>
      <c r="AL1168" t="s">
        <v>208</v>
      </c>
      <c r="AM1168" t="s">
        <v>896</v>
      </c>
      <c r="AN1168" t="s">
        <v>894</v>
      </c>
      <c r="AO1168" t="s">
        <v>772</v>
      </c>
      <c r="AP1168" t="s">
        <v>907</v>
      </c>
      <c r="AY1168" t="str">
        <f t="shared" si="197"/>
        <v>SULFALUTYL</v>
      </c>
      <c r="AZ1168" t="str">
        <f>IF(COUNTIF(AY:AY,AY1168)=1,AY1168,IF(AND(COUNTIF(AY:AY,AY1168)&gt;1,COUNTIF(AZ$2:AZ1167,AY1168)&gt;=1),"",AY1168))</f>
        <v/>
      </c>
      <c r="BA1168" t="str">
        <f>IF(AZ1168="","",COUNTIFS(AZ$3:AZ$1439,"&lt;"&amp;AZ1168,AZ$3:AZ$1439,"&lt;&gt;0")+COUNTIF(AZ$3:AZ1168,AZ1168)-876)</f>
        <v/>
      </c>
      <c r="BT1168" s="76"/>
      <c r="CN1168">
        <v>1167</v>
      </c>
    </row>
    <row r="1169" spans="1:92" x14ac:dyDescent="0.3">
      <c r="A1169" s="118" t="s">
        <v>1507</v>
      </c>
      <c r="B1169" t="s">
        <v>1508</v>
      </c>
      <c r="C1169" t="s">
        <v>1509</v>
      </c>
      <c r="D1169" s="144" t="s">
        <v>906</v>
      </c>
      <c r="E1169" t="s">
        <v>765</v>
      </c>
      <c r="F1169" t="s">
        <v>695</v>
      </c>
      <c r="G1169" t="s">
        <v>766</v>
      </c>
      <c r="H1169" t="s">
        <v>1465</v>
      </c>
      <c r="I1169" t="s">
        <v>766</v>
      </c>
      <c r="J1169" t="s">
        <v>862</v>
      </c>
      <c r="K1169" t="s">
        <v>862</v>
      </c>
      <c r="L1169" t="s">
        <v>1409</v>
      </c>
      <c r="M1169" t="s">
        <v>208</v>
      </c>
      <c r="N1169" t="s">
        <v>776</v>
      </c>
      <c r="O1169" t="s">
        <v>771</v>
      </c>
      <c r="P1169" t="s">
        <v>772</v>
      </c>
      <c r="Q1169" t="s">
        <v>1125</v>
      </c>
      <c r="R1169">
        <v>39.299999999999997</v>
      </c>
      <c r="S1169">
        <v>7</v>
      </c>
      <c r="T1169">
        <v>39.299999999999997</v>
      </c>
      <c r="U1169">
        <v>7</v>
      </c>
      <c r="V1169">
        <v>39.299999999999997</v>
      </c>
      <c r="W1169">
        <v>7</v>
      </c>
      <c r="X1169">
        <v>0</v>
      </c>
      <c r="Y1169">
        <v>0</v>
      </c>
      <c r="Z1169">
        <v>0</v>
      </c>
      <c r="AA1169">
        <v>0</v>
      </c>
      <c r="AB1169">
        <v>39.299999999999997</v>
      </c>
      <c r="AC1169">
        <v>7</v>
      </c>
      <c r="AD1169">
        <v>39.299999999999997</v>
      </c>
      <c r="AE1169">
        <v>7</v>
      </c>
      <c r="AF1169">
        <v>0</v>
      </c>
      <c r="AG1169">
        <v>0</v>
      </c>
      <c r="AH1169">
        <v>0</v>
      </c>
      <c r="AI1169">
        <v>0</v>
      </c>
      <c r="AY1169" t="str">
        <f t="shared" si="197"/>
        <v>SULFAMETHOX</v>
      </c>
      <c r="AZ1169" t="str">
        <f>IF(COUNTIF(AY:AY,AY1169)=1,AY1169,IF(AND(COUNTIF(AY:AY,AY1169)&gt;1,COUNTIF(AZ$2:AZ1168,AY1169)&gt;=1),"",AY1169))</f>
        <v>SULFAMETHOX</v>
      </c>
      <c r="BA1169">
        <f>IF(AZ1169="","",COUNTIFS(AZ$3:AZ$1439,"&lt;"&amp;AZ1169,AZ$3:AZ$1439,"&lt;&gt;0")+COUNTIF(AZ$3:AZ1169,AZ1169)-876)</f>
        <v>464</v>
      </c>
      <c r="BT1169" s="76"/>
      <c r="CN1169">
        <v>1168</v>
      </c>
    </row>
    <row r="1170" spans="1:92" x14ac:dyDescent="0.3">
      <c r="A1170" s="118" t="s">
        <v>1515</v>
      </c>
      <c r="B1170" t="s">
        <v>1516</v>
      </c>
      <c r="C1170" t="s">
        <v>1517</v>
      </c>
      <c r="D1170" s="144" t="s">
        <v>764</v>
      </c>
      <c r="E1170" t="s">
        <v>830</v>
      </c>
      <c r="F1170" t="s">
        <v>1518</v>
      </c>
      <c r="G1170" t="s">
        <v>985</v>
      </c>
      <c r="H1170" t="s">
        <v>816</v>
      </c>
      <c r="I1170" t="s">
        <v>879</v>
      </c>
      <c r="J1170" t="s">
        <v>862</v>
      </c>
      <c r="K1170" t="s">
        <v>862</v>
      </c>
      <c r="L1170" t="s">
        <v>1519</v>
      </c>
      <c r="M1170" t="s">
        <v>208</v>
      </c>
      <c r="N1170" t="s">
        <v>764</v>
      </c>
      <c r="O1170" t="s">
        <v>894</v>
      </c>
      <c r="P1170" t="s">
        <v>772</v>
      </c>
      <c r="Q1170" t="s">
        <v>852</v>
      </c>
      <c r="R1170">
        <v>0</v>
      </c>
      <c r="S1170">
        <v>0</v>
      </c>
      <c r="T1170">
        <v>0</v>
      </c>
      <c r="U1170">
        <v>0</v>
      </c>
      <c r="V1170">
        <v>0</v>
      </c>
      <c r="W1170">
        <v>0</v>
      </c>
      <c r="X1170">
        <v>0</v>
      </c>
      <c r="Y1170">
        <v>0</v>
      </c>
      <c r="Z1170">
        <v>0</v>
      </c>
      <c r="AA1170">
        <v>0</v>
      </c>
      <c r="AB1170">
        <v>0</v>
      </c>
      <c r="AC1170">
        <v>0</v>
      </c>
      <c r="AD1170">
        <v>0</v>
      </c>
      <c r="AE1170">
        <v>0</v>
      </c>
      <c r="AF1170">
        <v>0</v>
      </c>
      <c r="AG1170">
        <v>0</v>
      </c>
      <c r="AH1170">
        <v>0</v>
      </c>
      <c r="AI1170">
        <v>0</v>
      </c>
      <c r="AY1170" t="str">
        <f t="shared" si="197"/>
        <v/>
      </c>
      <c r="AZ1170" t="str">
        <f>IF(COUNTIF(AY:AY,AY1170)=1,AY1170,IF(AND(COUNTIF(AY:AY,AY1170)&gt;1,COUNTIF(AZ$2:AZ1169,AY1170)&gt;=1),"",AY1170))</f>
        <v/>
      </c>
      <c r="BA1170" t="str">
        <f>IF(AZ1170="","",COUNTIFS(AZ$3:AZ$1439,"&lt;"&amp;AZ1170,AZ$3:AZ$1439,"&lt;&gt;0")+COUNTIF(AZ$3:AZ1170,AZ1170)-876)</f>
        <v/>
      </c>
      <c r="BT1170" s="76"/>
      <c r="CN1170">
        <v>1169</v>
      </c>
    </row>
    <row r="1171" spans="1:92" x14ac:dyDescent="0.3">
      <c r="A1171" s="118" t="s">
        <v>1515</v>
      </c>
      <c r="B1171" t="s">
        <v>1520</v>
      </c>
      <c r="C1171" t="s">
        <v>1521</v>
      </c>
      <c r="D1171" s="144" t="s">
        <v>797</v>
      </c>
      <c r="E1171" t="s">
        <v>830</v>
      </c>
      <c r="F1171" t="s">
        <v>1518</v>
      </c>
      <c r="G1171" t="s">
        <v>985</v>
      </c>
      <c r="H1171" t="s">
        <v>816</v>
      </c>
      <c r="I1171" t="s">
        <v>879</v>
      </c>
      <c r="J1171" t="s">
        <v>862</v>
      </c>
      <c r="K1171" t="s">
        <v>862</v>
      </c>
      <c r="L1171" t="s">
        <v>1519</v>
      </c>
      <c r="M1171" t="s">
        <v>208</v>
      </c>
      <c r="N1171" t="s">
        <v>764</v>
      </c>
      <c r="O1171" t="s">
        <v>894</v>
      </c>
      <c r="P1171" t="s">
        <v>772</v>
      </c>
      <c r="Q1171" t="s">
        <v>1304</v>
      </c>
      <c r="R1171">
        <v>0</v>
      </c>
      <c r="S1171">
        <v>0</v>
      </c>
      <c r="T1171">
        <v>0</v>
      </c>
      <c r="U1171">
        <v>0</v>
      </c>
      <c r="V1171">
        <v>0</v>
      </c>
      <c r="W1171">
        <v>0</v>
      </c>
      <c r="X1171">
        <v>0</v>
      </c>
      <c r="Y1171">
        <v>0</v>
      </c>
      <c r="Z1171">
        <v>0</v>
      </c>
      <c r="AA1171">
        <v>0</v>
      </c>
      <c r="AB1171">
        <v>0</v>
      </c>
      <c r="AC1171">
        <v>0</v>
      </c>
      <c r="AD1171">
        <v>0</v>
      </c>
      <c r="AE1171">
        <v>0</v>
      </c>
      <c r="AF1171">
        <v>0</v>
      </c>
      <c r="AG1171">
        <v>0</v>
      </c>
      <c r="AH1171">
        <v>0</v>
      </c>
      <c r="AI1171">
        <v>0</v>
      </c>
      <c r="AY1171" t="str">
        <f t="shared" si="197"/>
        <v/>
      </c>
      <c r="AZ1171" t="str">
        <f>IF(COUNTIF(AY:AY,AY1171)=1,AY1171,IF(AND(COUNTIF(AY:AY,AY1171)&gt;1,COUNTIF(AZ$2:AZ1170,AY1171)&gt;=1),"",AY1171))</f>
        <v/>
      </c>
      <c r="BA1171" t="str">
        <f>IF(AZ1171="","",COUNTIFS(AZ$3:AZ$1439,"&lt;"&amp;AZ1171,AZ$3:AZ$1439,"&lt;&gt;0")+COUNTIF(AZ$3:AZ1171,AZ1171)-876)</f>
        <v/>
      </c>
      <c r="BT1171" s="76"/>
      <c r="CN1171">
        <v>1170</v>
      </c>
    </row>
    <row r="1172" spans="1:92" x14ac:dyDescent="0.3">
      <c r="A1172" s="118" t="s">
        <v>1940</v>
      </c>
      <c r="B1172" t="s">
        <v>1941</v>
      </c>
      <c r="C1172" t="s">
        <v>1493</v>
      </c>
      <c r="D1172" s="144" t="s">
        <v>1494</v>
      </c>
      <c r="E1172" t="s">
        <v>813</v>
      </c>
      <c r="F1172" t="s">
        <v>1942</v>
      </c>
      <c r="G1172" t="s">
        <v>815</v>
      </c>
      <c r="H1172" t="s">
        <v>816</v>
      </c>
      <c r="I1172" t="s">
        <v>817</v>
      </c>
      <c r="J1172" t="s">
        <v>928</v>
      </c>
      <c r="K1172" t="s">
        <v>862</v>
      </c>
      <c r="L1172" t="s">
        <v>1943</v>
      </c>
      <c r="M1172" t="s">
        <v>208</v>
      </c>
      <c r="N1172" t="s">
        <v>764</v>
      </c>
      <c r="O1172" t="s">
        <v>824</v>
      </c>
      <c r="P1172" t="s">
        <v>772</v>
      </c>
      <c r="Q1172" t="s">
        <v>1944</v>
      </c>
      <c r="R1172">
        <v>0</v>
      </c>
      <c r="S1172">
        <v>0</v>
      </c>
      <c r="T1172">
        <v>25</v>
      </c>
      <c r="U1172">
        <v>20</v>
      </c>
      <c r="V1172">
        <v>0</v>
      </c>
      <c r="W1172">
        <v>0</v>
      </c>
      <c r="X1172">
        <v>0</v>
      </c>
      <c r="Y1172">
        <v>0</v>
      </c>
      <c r="Z1172">
        <v>0</v>
      </c>
      <c r="AA1172">
        <v>0</v>
      </c>
      <c r="AB1172">
        <v>0</v>
      </c>
      <c r="AC1172">
        <v>0</v>
      </c>
      <c r="AD1172">
        <v>0</v>
      </c>
      <c r="AE1172">
        <v>0</v>
      </c>
      <c r="AF1172">
        <v>0</v>
      </c>
      <c r="AG1172">
        <v>0</v>
      </c>
      <c r="AH1172">
        <v>0</v>
      </c>
      <c r="AI1172">
        <v>0</v>
      </c>
      <c r="AJ1172" t="s">
        <v>930</v>
      </c>
      <c r="AK1172" t="s">
        <v>931</v>
      </c>
      <c r="AL1172" t="s">
        <v>208</v>
      </c>
      <c r="AM1172" t="s">
        <v>869</v>
      </c>
      <c r="AN1172" t="s">
        <v>824</v>
      </c>
      <c r="AO1172" t="s">
        <v>772</v>
      </c>
      <c r="AP1172" t="s">
        <v>1945</v>
      </c>
      <c r="AY1172" t="str">
        <f t="shared" si="197"/>
        <v/>
      </c>
      <c r="AZ1172" t="str">
        <f>IF(COUNTIF(AY:AY,AY1172)=1,AY1172,IF(AND(COUNTIF(AY:AY,AY1172)&gt;1,COUNTIF(AZ$2:AZ1171,AY1172)&gt;=1),"",AY1172))</f>
        <v/>
      </c>
      <c r="BA1172" t="str">
        <f>IF(AZ1172="","",COUNTIFS(AZ$3:AZ$1439,"&lt;"&amp;AZ1172,AZ$3:AZ$1439,"&lt;&gt;0")+COUNTIF(AZ$3:AZ1172,AZ1172)-876)</f>
        <v/>
      </c>
      <c r="BT1172" s="76"/>
      <c r="CN1172">
        <v>1171</v>
      </c>
    </row>
    <row r="1173" spans="1:92" x14ac:dyDescent="0.3">
      <c r="A1173" s="118" t="s">
        <v>1940</v>
      </c>
      <c r="B1173" t="s">
        <v>1946</v>
      </c>
      <c r="C1173" t="s">
        <v>1947</v>
      </c>
      <c r="D1173" s="144" t="s">
        <v>1948</v>
      </c>
      <c r="E1173" t="s">
        <v>813</v>
      </c>
      <c r="F1173" t="s">
        <v>1942</v>
      </c>
      <c r="G1173" t="s">
        <v>815</v>
      </c>
      <c r="H1173" t="s">
        <v>816</v>
      </c>
      <c r="I1173" t="s">
        <v>817</v>
      </c>
      <c r="J1173" t="s">
        <v>928</v>
      </c>
      <c r="K1173" t="s">
        <v>862</v>
      </c>
      <c r="L1173" t="s">
        <v>1943</v>
      </c>
      <c r="M1173" t="s">
        <v>208</v>
      </c>
      <c r="N1173" t="s">
        <v>764</v>
      </c>
      <c r="O1173" t="s">
        <v>824</v>
      </c>
      <c r="P1173" t="s">
        <v>772</v>
      </c>
      <c r="Q1173" t="s">
        <v>1494</v>
      </c>
      <c r="R1173">
        <v>0</v>
      </c>
      <c r="S1173">
        <v>0</v>
      </c>
      <c r="T1173">
        <v>25</v>
      </c>
      <c r="U1173">
        <v>20</v>
      </c>
      <c r="V1173">
        <v>0</v>
      </c>
      <c r="W1173">
        <v>0</v>
      </c>
      <c r="X1173">
        <v>0</v>
      </c>
      <c r="Y1173">
        <v>0</v>
      </c>
      <c r="Z1173">
        <v>0</v>
      </c>
      <c r="AA1173">
        <v>0</v>
      </c>
      <c r="AB1173">
        <v>0</v>
      </c>
      <c r="AC1173">
        <v>0</v>
      </c>
      <c r="AD1173">
        <v>0</v>
      </c>
      <c r="AE1173">
        <v>0</v>
      </c>
      <c r="AF1173">
        <v>0</v>
      </c>
      <c r="AG1173">
        <v>0</v>
      </c>
      <c r="AH1173">
        <v>0</v>
      </c>
      <c r="AI1173">
        <v>0</v>
      </c>
      <c r="AJ1173" t="s">
        <v>930</v>
      </c>
      <c r="AK1173" t="s">
        <v>931</v>
      </c>
      <c r="AL1173" t="s">
        <v>208</v>
      </c>
      <c r="AM1173" t="s">
        <v>869</v>
      </c>
      <c r="AN1173" t="s">
        <v>824</v>
      </c>
      <c r="AO1173" t="s">
        <v>772</v>
      </c>
      <c r="AP1173" t="s">
        <v>1949</v>
      </c>
      <c r="AY1173" t="str">
        <f t="shared" si="197"/>
        <v/>
      </c>
      <c r="AZ1173" t="str">
        <f>IF(COUNTIF(AY:AY,AY1173)=1,AY1173,IF(AND(COUNTIF(AY:AY,AY1173)&gt;1,COUNTIF(AZ$2:AZ1172,AY1173)&gt;=1),"",AY1173))</f>
        <v/>
      </c>
      <c r="BA1173" t="str">
        <f>IF(AZ1173="","",COUNTIFS(AZ$3:AZ$1439,"&lt;"&amp;AZ1173,AZ$3:AZ$1439,"&lt;&gt;0")+COUNTIF(AZ$3:AZ1173,AZ1173)-876)</f>
        <v/>
      </c>
      <c r="BT1173" s="76"/>
      <c r="CN1173">
        <v>1172</v>
      </c>
    </row>
    <row r="1174" spans="1:92" x14ac:dyDescent="0.3">
      <c r="A1174" s="118" t="s">
        <v>2234</v>
      </c>
      <c r="B1174" t="s">
        <v>2235</v>
      </c>
      <c r="C1174" t="s">
        <v>1488</v>
      </c>
      <c r="D1174" s="144" t="s">
        <v>869</v>
      </c>
      <c r="E1174" t="s">
        <v>813</v>
      </c>
      <c r="F1174" t="s">
        <v>2236</v>
      </c>
      <c r="G1174" t="s">
        <v>815</v>
      </c>
      <c r="H1174" t="s">
        <v>860</v>
      </c>
      <c r="I1174" t="s">
        <v>817</v>
      </c>
      <c r="J1174" t="s">
        <v>928</v>
      </c>
      <c r="K1174" t="s">
        <v>862</v>
      </c>
      <c r="L1174" t="s">
        <v>1943</v>
      </c>
      <c r="M1174" t="s">
        <v>208</v>
      </c>
      <c r="N1174" t="s">
        <v>939</v>
      </c>
      <c r="O1174" t="s">
        <v>824</v>
      </c>
      <c r="P1174" t="s">
        <v>772</v>
      </c>
      <c r="Q1174" t="s">
        <v>1791</v>
      </c>
      <c r="R1174">
        <v>0</v>
      </c>
      <c r="S1174">
        <v>0</v>
      </c>
      <c r="T1174">
        <v>25</v>
      </c>
      <c r="U1174">
        <v>20</v>
      </c>
      <c r="V1174">
        <v>0</v>
      </c>
      <c r="W1174">
        <v>0</v>
      </c>
      <c r="X1174">
        <v>0</v>
      </c>
      <c r="Y1174">
        <v>0</v>
      </c>
      <c r="Z1174">
        <v>0</v>
      </c>
      <c r="AA1174">
        <v>0</v>
      </c>
      <c r="AB1174">
        <v>0</v>
      </c>
      <c r="AC1174">
        <v>0</v>
      </c>
      <c r="AD1174">
        <v>0</v>
      </c>
      <c r="AE1174">
        <v>0</v>
      </c>
      <c r="AF1174">
        <v>0</v>
      </c>
      <c r="AG1174">
        <v>0</v>
      </c>
      <c r="AH1174">
        <v>0</v>
      </c>
      <c r="AI1174">
        <v>0</v>
      </c>
      <c r="AJ1174" t="s">
        <v>930</v>
      </c>
      <c r="AK1174" t="s">
        <v>931</v>
      </c>
      <c r="AL1174" t="s">
        <v>208</v>
      </c>
      <c r="AM1174" t="s">
        <v>940</v>
      </c>
      <c r="AN1174" t="s">
        <v>824</v>
      </c>
      <c r="AO1174" t="s">
        <v>772</v>
      </c>
      <c r="AP1174" t="s">
        <v>1944</v>
      </c>
      <c r="AY1174" t="str">
        <f t="shared" si="197"/>
        <v/>
      </c>
      <c r="AZ1174" t="str">
        <f>IF(COUNTIF(AY:AY,AY1174)=1,AY1174,IF(AND(COUNTIF(AY:AY,AY1174)&gt;1,COUNTIF(AZ$2:AZ1173,AY1174)&gt;=1),"",AY1174))</f>
        <v/>
      </c>
      <c r="BA1174" t="str">
        <f>IF(AZ1174="","",COUNTIFS(AZ$3:AZ$1439,"&lt;"&amp;AZ1174,AZ$3:AZ$1439,"&lt;&gt;0")+COUNTIF(AZ$3:AZ1174,AZ1174)-876)</f>
        <v/>
      </c>
      <c r="BT1174" s="76"/>
      <c r="CN1174">
        <v>1173</v>
      </c>
    </row>
    <row r="1175" spans="1:92" x14ac:dyDescent="0.3">
      <c r="A1175" s="118" t="s">
        <v>2234</v>
      </c>
      <c r="B1175" t="s">
        <v>2237</v>
      </c>
      <c r="C1175" t="s">
        <v>2238</v>
      </c>
      <c r="D1175" s="144" t="s">
        <v>764</v>
      </c>
      <c r="E1175" t="s">
        <v>813</v>
      </c>
      <c r="F1175" t="s">
        <v>2236</v>
      </c>
      <c r="G1175" t="s">
        <v>815</v>
      </c>
      <c r="H1175" t="s">
        <v>860</v>
      </c>
      <c r="I1175" t="s">
        <v>817</v>
      </c>
      <c r="J1175" t="s">
        <v>928</v>
      </c>
      <c r="K1175" t="s">
        <v>862</v>
      </c>
      <c r="L1175" t="s">
        <v>1943</v>
      </c>
      <c r="M1175" t="s">
        <v>208</v>
      </c>
      <c r="N1175" t="s">
        <v>939</v>
      </c>
      <c r="O1175" t="s">
        <v>824</v>
      </c>
      <c r="P1175" t="s">
        <v>772</v>
      </c>
      <c r="Q1175" t="s">
        <v>932</v>
      </c>
      <c r="R1175">
        <v>0</v>
      </c>
      <c r="S1175">
        <v>0</v>
      </c>
      <c r="T1175">
        <v>25</v>
      </c>
      <c r="U1175">
        <v>20</v>
      </c>
      <c r="V1175">
        <v>0</v>
      </c>
      <c r="W1175">
        <v>0</v>
      </c>
      <c r="X1175">
        <v>0</v>
      </c>
      <c r="Y1175">
        <v>0</v>
      </c>
      <c r="Z1175">
        <v>0</v>
      </c>
      <c r="AA1175">
        <v>0</v>
      </c>
      <c r="AB1175">
        <v>0</v>
      </c>
      <c r="AC1175">
        <v>0</v>
      </c>
      <c r="AD1175">
        <v>0</v>
      </c>
      <c r="AE1175">
        <v>0</v>
      </c>
      <c r="AF1175">
        <v>0</v>
      </c>
      <c r="AG1175">
        <v>0</v>
      </c>
      <c r="AH1175">
        <v>0</v>
      </c>
      <c r="AI1175">
        <v>0</v>
      </c>
      <c r="AJ1175" t="s">
        <v>930</v>
      </c>
      <c r="AK1175" t="s">
        <v>931</v>
      </c>
      <c r="AL1175" t="s">
        <v>208</v>
      </c>
      <c r="AM1175" t="s">
        <v>940</v>
      </c>
      <c r="AN1175" t="s">
        <v>824</v>
      </c>
      <c r="AO1175" t="s">
        <v>772</v>
      </c>
      <c r="AP1175" t="s">
        <v>1791</v>
      </c>
      <c r="AY1175" t="str">
        <f t="shared" si="197"/>
        <v/>
      </c>
      <c r="AZ1175" t="str">
        <f>IF(COUNTIF(AY:AY,AY1175)=1,AY1175,IF(AND(COUNTIF(AY:AY,AY1175)&gt;1,COUNTIF(AZ$2:AZ1174,AY1175)&gt;=1),"",AY1175))</f>
        <v/>
      </c>
      <c r="BA1175" t="str">
        <f>IF(AZ1175="","",COUNTIFS(AZ$3:AZ$1439,"&lt;"&amp;AZ1175,AZ$3:AZ$1439,"&lt;&gt;0")+COUNTIF(AZ$3:AZ1175,AZ1175)-876)</f>
        <v/>
      </c>
      <c r="BT1175" s="76"/>
      <c r="CN1175">
        <v>1174</v>
      </c>
    </row>
    <row r="1176" spans="1:92" x14ac:dyDescent="0.3">
      <c r="A1176" s="118" t="s">
        <v>2827</v>
      </c>
      <c r="B1176" t="s">
        <v>2828</v>
      </c>
      <c r="C1176" t="s">
        <v>1062</v>
      </c>
      <c r="D1176" s="144" t="s">
        <v>1063</v>
      </c>
      <c r="E1176" t="s">
        <v>830</v>
      </c>
      <c r="F1176" t="s">
        <v>481</v>
      </c>
      <c r="G1176" t="s">
        <v>1064</v>
      </c>
      <c r="H1176" t="s">
        <v>1213</v>
      </c>
      <c r="I1176" t="s">
        <v>1066</v>
      </c>
      <c r="J1176" t="s">
        <v>928</v>
      </c>
      <c r="K1176" t="s">
        <v>862</v>
      </c>
      <c r="L1176" t="s">
        <v>938</v>
      </c>
      <c r="M1176" t="s">
        <v>208</v>
      </c>
      <c r="N1176" t="s">
        <v>896</v>
      </c>
      <c r="O1176" t="s">
        <v>894</v>
      </c>
      <c r="P1176" t="s">
        <v>772</v>
      </c>
      <c r="Q1176" t="s">
        <v>1298</v>
      </c>
      <c r="R1176">
        <v>0</v>
      </c>
      <c r="S1176">
        <v>0</v>
      </c>
      <c r="T1176">
        <v>0</v>
      </c>
      <c r="U1176">
        <v>0</v>
      </c>
      <c r="V1176">
        <v>0</v>
      </c>
      <c r="W1176">
        <v>0</v>
      </c>
      <c r="X1176">
        <v>0</v>
      </c>
      <c r="Y1176">
        <v>0</v>
      </c>
      <c r="Z1176">
        <v>25</v>
      </c>
      <c r="AA1176">
        <v>10</v>
      </c>
      <c r="AB1176">
        <v>0</v>
      </c>
      <c r="AC1176">
        <v>0</v>
      </c>
      <c r="AD1176">
        <v>23</v>
      </c>
      <c r="AE1176">
        <v>8</v>
      </c>
      <c r="AF1176">
        <v>46</v>
      </c>
      <c r="AG1176">
        <v>5</v>
      </c>
      <c r="AH1176">
        <v>0</v>
      </c>
      <c r="AI1176">
        <v>0</v>
      </c>
      <c r="AJ1176" t="s">
        <v>930</v>
      </c>
      <c r="AK1176" t="s">
        <v>931</v>
      </c>
      <c r="AL1176" t="s">
        <v>208</v>
      </c>
      <c r="AM1176" t="s">
        <v>869</v>
      </c>
      <c r="AN1176" t="s">
        <v>894</v>
      </c>
      <c r="AO1176" t="s">
        <v>772</v>
      </c>
      <c r="AP1176" t="s">
        <v>906</v>
      </c>
      <c r="AY1176" t="str">
        <f t="shared" si="197"/>
        <v>SULTRIVAL TRIMETHOPRIME/SULFADIAZINE 20/92 PORC</v>
      </c>
      <c r="AZ1176" t="str">
        <f>IF(COUNTIF(AY:AY,AY1176)=1,AY1176,IF(AND(COUNTIF(AY:AY,AY1176)&gt;1,COUNTIF(AZ$2:AZ1175,AY1176)&gt;=1),"",AY1176))</f>
        <v>SULTRIVAL TRIMETHOPRIME/SULFADIAZINE 20/92 PORC</v>
      </c>
      <c r="BA1176">
        <f>IF(AZ1176="","",COUNTIFS(AZ$3:AZ$1439,"&lt;"&amp;AZ1176,AZ$3:AZ$1439,"&lt;&gt;0")+COUNTIF(AZ$3:AZ1176,AZ1176)-876)</f>
        <v>465</v>
      </c>
      <c r="BT1176" s="76"/>
      <c r="CN1176">
        <v>1175</v>
      </c>
    </row>
    <row r="1177" spans="1:92" x14ac:dyDescent="0.3">
      <c r="A1177" s="118" t="s">
        <v>1626</v>
      </c>
      <c r="B1177" t="s">
        <v>1627</v>
      </c>
      <c r="C1177" t="s">
        <v>1313</v>
      </c>
      <c r="D1177" s="144" t="s">
        <v>955</v>
      </c>
      <c r="E1177" t="s">
        <v>830</v>
      </c>
      <c r="F1177" t="s">
        <v>482</v>
      </c>
      <c r="G1177" t="s">
        <v>831</v>
      </c>
      <c r="H1177" t="s">
        <v>1577</v>
      </c>
      <c r="I1177" t="s">
        <v>817</v>
      </c>
      <c r="J1177" t="s">
        <v>862</v>
      </c>
      <c r="K1177" t="s">
        <v>862</v>
      </c>
      <c r="L1177" t="s">
        <v>1003</v>
      </c>
      <c r="M1177" t="s">
        <v>208</v>
      </c>
      <c r="N1177" t="s">
        <v>1628</v>
      </c>
      <c r="O1177" t="s">
        <v>894</v>
      </c>
      <c r="P1177" t="s">
        <v>772</v>
      </c>
      <c r="Q1177" t="s">
        <v>1629</v>
      </c>
      <c r="R1177">
        <v>46.7</v>
      </c>
      <c r="S1177">
        <v>5</v>
      </c>
      <c r="T1177">
        <v>0</v>
      </c>
      <c r="U1177">
        <v>0</v>
      </c>
      <c r="V1177">
        <v>0</v>
      </c>
      <c r="W1177">
        <v>0</v>
      </c>
      <c r="X1177">
        <v>0</v>
      </c>
      <c r="Y1177">
        <v>0</v>
      </c>
      <c r="Z1177">
        <v>46.7</v>
      </c>
      <c r="AA1177">
        <v>5</v>
      </c>
      <c r="AB1177">
        <v>46.7</v>
      </c>
      <c r="AC1177">
        <v>5</v>
      </c>
      <c r="AD1177">
        <v>46.7</v>
      </c>
      <c r="AE1177">
        <v>5</v>
      </c>
      <c r="AF1177">
        <v>93.4</v>
      </c>
      <c r="AG1177">
        <v>5</v>
      </c>
      <c r="AH1177">
        <v>0</v>
      </c>
      <c r="AI1177">
        <v>0</v>
      </c>
      <c r="AY1177" t="str">
        <f t="shared" si="197"/>
        <v>SUNIX AC POUDRE</v>
      </c>
      <c r="AZ1177" t="str">
        <f>IF(COUNTIF(AY:AY,AY1177)=1,AY1177,IF(AND(COUNTIF(AY:AY,AY1177)&gt;1,COUNTIF(AZ$2:AZ1176,AY1177)&gt;=1),"",AY1177))</f>
        <v>SUNIX AC POUDRE</v>
      </c>
      <c r="BA1177">
        <f>IF(AZ1177="","",COUNTIFS(AZ$3:AZ$1439,"&lt;"&amp;AZ1177,AZ$3:AZ$1439,"&lt;&gt;0")+COUNTIF(AZ$3:AZ1177,AZ1177)-876)</f>
        <v>466</v>
      </c>
      <c r="BT1177" s="76"/>
      <c r="CN1177">
        <v>1176</v>
      </c>
    </row>
    <row r="1178" spans="1:92" x14ac:dyDescent="0.3">
      <c r="A1178" s="118" t="s">
        <v>1626</v>
      </c>
      <c r="B1178" t="s">
        <v>1630</v>
      </c>
      <c r="C1178" t="s">
        <v>1588</v>
      </c>
      <c r="D1178" s="144" t="s">
        <v>829</v>
      </c>
      <c r="E1178" t="s">
        <v>830</v>
      </c>
      <c r="F1178" t="s">
        <v>482</v>
      </c>
      <c r="G1178" t="s">
        <v>831</v>
      </c>
      <c r="H1178" t="s">
        <v>1577</v>
      </c>
      <c r="I1178" t="s">
        <v>817</v>
      </c>
      <c r="J1178" t="s">
        <v>862</v>
      </c>
      <c r="K1178" t="s">
        <v>862</v>
      </c>
      <c r="L1178" t="s">
        <v>1003</v>
      </c>
      <c r="M1178" t="s">
        <v>208</v>
      </c>
      <c r="N1178" t="s">
        <v>1628</v>
      </c>
      <c r="O1178" t="s">
        <v>894</v>
      </c>
      <c r="P1178" t="s">
        <v>772</v>
      </c>
      <c r="Q1178" t="s">
        <v>1628</v>
      </c>
      <c r="R1178">
        <v>46.7</v>
      </c>
      <c r="S1178">
        <v>5</v>
      </c>
      <c r="T1178">
        <v>0</v>
      </c>
      <c r="U1178">
        <v>0</v>
      </c>
      <c r="V1178">
        <v>0</v>
      </c>
      <c r="W1178">
        <v>0</v>
      </c>
      <c r="X1178">
        <v>0</v>
      </c>
      <c r="Y1178">
        <v>0</v>
      </c>
      <c r="Z1178">
        <v>46.7</v>
      </c>
      <c r="AA1178">
        <v>5</v>
      </c>
      <c r="AB1178">
        <v>46.7</v>
      </c>
      <c r="AC1178">
        <v>5</v>
      </c>
      <c r="AD1178">
        <v>46.7</v>
      </c>
      <c r="AE1178">
        <v>5</v>
      </c>
      <c r="AF1178">
        <v>93.4</v>
      </c>
      <c r="AG1178">
        <v>5</v>
      </c>
      <c r="AH1178">
        <v>0</v>
      </c>
      <c r="AI1178">
        <v>0</v>
      </c>
      <c r="AY1178" t="str">
        <f t="shared" si="197"/>
        <v>SUNIX AC POUDRE</v>
      </c>
      <c r="AZ1178" t="str">
        <f>IF(COUNTIF(AY:AY,AY1178)=1,AY1178,IF(AND(COUNTIF(AY:AY,AY1178)&gt;1,COUNTIF(AZ$2:AZ1177,AY1178)&gt;=1),"",AY1178))</f>
        <v/>
      </c>
      <c r="BA1178" t="str">
        <f>IF(AZ1178="","",COUNTIFS(AZ$3:AZ$1439,"&lt;"&amp;AZ1178,AZ$3:AZ$1439,"&lt;&gt;0")+COUNTIF(AZ$3:AZ1178,AZ1178)-876)</f>
        <v/>
      </c>
      <c r="BT1178" s="76"/>
      <c r="CN1178">
        <v>1177</v>
      </c>
    </row>
    <row r="1179" spans="1:92" x14ac:dyDescent="0.3">
      <c r="A1179" s="118" t="s">
        <v>1626</v>
      </c>
      <c r="B1179" t="s">
        <v>1631</v>
      </c>
      <c r="C1179" t="s">
        <v>1632</v>
      </c>
      <c r="D1179" s="144" t="s">
        <v>966</v>
      </c>
      <c r="E1179" t="s">
        <v>830</v>
      </c>
      <c r="F1179" t="s">
        <v>482</v>
      </c>
      <c r="G1179" t="s">
        <v>831</v>
      </c>
      <c r="H1179" t="s">
        <v>1577</v>
      </c>
      <c r="I1179" t="s">
        <v>817</v>
      </c>
      <c r="J1179" t="s">
        <v>862</v>
      </c>
      <c r="K1179" t="s">
        <v>862</v>
      </c>
      <c r="L1179" t="s">
        <v>1003</v>
      </c>
      <c r="M1179" t="s">
        <v>208</v>
      </c>
      <c r="N1179" t="s">
        <v>1628</v>
      </c>
      <c r="O1179" t="s">
        <v>894</v>
      </c>
      <c r="P1179" t="s">
        <v>772</v>
      </c>
      <c r="Q1179" t="s">
        <v>1633</v>
      </c>
      <c r="R1179">
        <v>46.7</v>
      </c>
      <c r="S1179">
        <v>5</v>
      </c>
      <c r="T1179">
        <v>0</v>
      </c>
      <c r="U1179">
        <v>0</v>
      </c>
      <c r="V1179">
        <v>0</v>
      </c>
      <c r="W1179">
        <v>0</v>
      </c>
      <c r="X1179">
        <v>0</v>
      </c>
      <c r="Y1179">
        <v>0</v>
      </c>
      <c r="Z1179">
        <v>46.7</v>
      </c>
      <c r="AA1179">
        <v>5</v>
      </c>
      <c r="AB1179">
        <v>46.7</v>
      </c>
      <c r="AC1179">
        <v>5</v>
      </c>
      <c r="AD1179">
        <v>46.7</v>
      </c>
      <c r="AE1179">
        <v>5</v>
      </c>
      <c r="AF1179">
        <v>93.4</v>
      </c>
      <c r="AG1179">
        <v>5</v>
      </c>
      <c r="AH1179">
        <v>0</v>
      </c>
      <c r="AI1179">
        <v>0</v>
      </c>
      <c r="AY1179" t="str">
        <f t="shared" si="197"/>
        <v>SUNIX AC POUDRE</v>
      </c>
      <c r="AZ1179" t="str">
        <f>IF(COUNTIF(AY:AY,AY1179)=1,AY1179,IF(AND(COUNTIF(AY:AY,AY1179)&gt;1,COUNTIF(AZ$2:AZ1178,AY1179)&gt;=1),"",AY1179))</f>
        <v/>
      </c>
      <c r="BA1179" t="str">
        <f>IF(AZ1179="","",COUNTIFS(AZ$3:AZ$1439,"&lt;"&amp;AZ1179,AZ$3:AZ$1439,"&lt;&gt;0")+COUNTIF(AZ$3:AZ1179,AZ1179)-876)</f>
        <v/>
      </c>
      <c r="BT1179" s="76"/>
      <c r="CN1179">
        <v>1178</v>
      </c>
    </row>
    <row r="1180" spans="1:92" x14ac:dyDescent="0.3">
      <c r="A1180" s="118" t="s">
        <v>1990</v>
      </c>
      <c r="B1180" t="s">
        <v>1991</v>
      </c>
      <c r="C1180" t="s">
        <v>1002</v>
      </c>
      <c r="D1180" s="144" t="s">
        <v>829</v>
      </c>
      <c r="E1180" t="s">
        <v>765</v>
      </c>
      <c r="F1180" t="s">
        <v>483</v>
      </c>
      <c r="G1180" t="s">
        <v>956</v>
      </c>
      <c r="H1180" t="s">
        <v>957</v>
      </c>
      <c r="I1180" t="s">
        <v>817</v>
      </c>
      <c r="J1180" t="s">
        <v>862</v>
      </c>
      <c r="K1180" t="s">
        <v>862</v>
      </c>
      <c r="L1180" t="s">
        <v>1003</v>
      </c>
      <c r="M1180" t="s">
        <v>208</v>
      </c>
      <c r="N1180" t="s">
        <v>1992</v>
      </c>
      <c r="O1180" t="s">
        <v>771</v>
      </c>
      <c r="P1180" t="s">
        <v>772</v>
      </c>
      <c r="Q1180" t="s">
        <v>1992</v>
      </c>
      <c r="R1180">
        <v>0</v>
      </c>
      <c r="S1180">
        <v>0</v>
      </c>
      <c r="T1180">
        <v>0</v>
      </c>
      <c r="U1180">
        <v>0</v>
      </c>
      <c r="V1180">
        <v>0</v>
      </c>
      <c r="W1180">
        <v>0</v>
      </c>
      <c r="X1180">
        <v>0</v>
      </c>
      <c r="Y1180">
        <v>0</v>
      </c>
      <c r="Z1180">
        <v>46.6</v>
      </c>
      <c r="AA1180">
        <v>5</v>
      </c>
      <c r="AB1180">
        <v>46.6</v>
      </c>
      <c r="AC1180">
        <v>5</v>
      </c>
      <c r="AD1180">
        <v>0</v>
      </c>
      <c r="AE1180">
        <v>0</v>
      </c>
      <c r="AF1180">
        <v>93.2</v>
      </c>
      <c r="AG1180">
        <v>5</v>
      </c>
      <c r="AH1180">
        <v>0</v>
      </c>
      <c r="AI1180">
        <v>0</v>
      </c>
      <c r="AY1180" t="str">
        <f t="shared" si="197"/>
        <v>SUNIX LIQUIDE</v>
      </c>
      <c r="AZ1180" t="str">
        <f>IF(COUNTIF(AY:AY,AY1180)=1,AY1180,IF(AND(COUNTIF(AY:AY,AY1180)&gt;1,COUNTIF(AZ$2:AZ1179,AY1180)&gt;=1),"",AY1180))</f>
        <v>SUNIX LIQUIDE</v>
      </c>
      <c r="BA1180">
        <f>IF(AZ1180="","",COUNTIFS(AZ$3:AZ$1439,"&lt;"&amp;AZ1180,AZ$3:AZ$1439,"&lt;&gt;0")+COUNTIF(AZ$3:AZ1180,AZ1180)-876)</f>
        <v>467</v>
      </c>
      <c r="BT1180" s="76"/>
      <c r="CN1180">
        <v>1179</v>
      </c>
    </row>
    <row r="1181" spans="1:92" x14ac:dyDescent="0.3">
      <c r="A1181" s="118" t="s">
        <v>1990</v>
      </c>
      <c r="B1181" t="s">
        <v>1993</v>
      </c>
      <c r="C1181" t="s">
        <v>954</v>
      </c>
      <c r="D1181" s="144" t="s">
        <v>955</v>
      </c>
      <c r="E1181" t="s">
        <v>765</v>
      </c>
      <c r="F1181" t="s">
        <v>483</v>
      </c>
      <c r="G1181" t="s">
        <v>956</v>
      </c>
      <c r="H1181" t="s">
        <v>957</v>
      </c>
      <c r="I1181" t="s">
        <v>817</v>
      </c>
      <c r="J1181" t="s">
        <v>862</v>
      </c>
      <c r="K1181" t="s">
        <v>862</v>
      </c>
      <c r="L1181" t="s">
        <v>1003</v>
      </c>
      <c r="M1181" t="s">
        <v>208</v>
      </c>
      <c r="N1181" t="s">
        <v>1992</v>
      </c>
      <c r="O1181" t="s">
        <v>771</v>
      </c>
      <c r="P1181" t="s">
        <v>772</v>
      </c>
      <c r="Q1181" t="s">
        <v>1994</v>
      </c>
      <c r="R1181">
        <v>0</v>
      </c>
      <c r="S1181">
        <v>0</v>
      </c>
      <c r="T1181">
        <v>0</v>
      </c>
      <c r="U1181">
        <v>0</v>
      </c>
      <c r="V1181">
        <v>0</v>
      </c>
      <c r="W1181">
        <v>0</v>
      </c>
      <c r="X1181">
        <v>0</v>
      </c>
      <c r="Y1181">
        <v>0</v>
      </c>
      <c r="Z1181">
        <v>46.6</v>
      </c>
      <c r="AA1181">
        <v>5</v>
      </c>
      <c r="AB1181">
        <v>46.6</v>
      </c>
      <c r="AC1181">
        <v>5</v>
      </c>
      <c r="AD1181">
        <v>0</v>
      </c>
      <c r="AE1181">
        <v>0</v>
      </c>
      <c r="AF1181">
        <v>93.2</v>
      </c>
      <c r="AG1181">
        <v>5</v>
      </c>
      <c r="AH1181">
        <v>0</v>
      </c>
      <c r="AI1181">
        <v>0</v>
      </c>
      <c r="AY1181" t="str">
        <f t="shared" si="197"/>
        <v>SUNIX LIQUIDE</v>
      </c>
      <c r="AZ1181" t="str">
        <f>IF(COUNTIF(AY:AY,AY1181)=1,AY1181,IF(AND(COUNTIF(AY:AY,AY1181)&gt;1,COUNTIF(AZ$2:AZ1180,AY1181)&gt;=1),"",AY1181))</f>
        <v/>
      </c>
      <c r="BA1181" t="str">
        <f>IF(AZ1181="","",COUNTIFS(AZ$3:AZ$1439,"&lt;"&amp;AZ1181,AZ$3:AZ$1439,"&lt;&gt;0")+COUNTIF(AZ$3:AZ1181,AZ1181)-876)</f>
        <v/>
      </c>
      <c r="BT1181" s="76"/>
      <c r="CN1181">
        <v>1180</v>
      </c>
    </row>
    <row r="1182" spans="1:92" x14ac:dyDescent="0.3">
      <c r="A1182" s="118" t="s">
        <v>1052</v>
      </c>
      <c r="B1182" t="s">
        <v>1053</v>
      </c>
      <c r="C1182" t="s">
        <v>1054</v>
      </c>
      <c r="D1182" s="144" t="s">
        <v>829</v>
      </c>
      <c r="E1182" t="s">
        <v>830</v>
      </c>
      <c r="F1182" t="s">
        <v>696</v>
      </c>
      <c r="G1182" t="s">
        <v>831</v>
      </c>
      <c r="H1182" t="s">
        <v>832</v>
      </c>
      <c r="I1182" t="s">
        <v>817</v>
      </c>
      <c r="J1182" t="s">
        <v>787</v>
      </c>
      <c r="K1182" t="s">
        <v>787</v>
      </c>
      <c r="L1182" t="s">
        <v>1055</v>
      </c>
      <c r="M1182" t="s">
        <v>208</v>
      </c>
      <c r="N1182" t="s">
        <v>764</v>
      </c>
      <c r="O1182" t="s">
        <v>894</v>
      </c>
      <c r="P1182" t="s">
        <v>772</v>
      </c>
      <c r="Q1182" t="s">
        <v>764</v>
      </c>
      <c r="R1182">
        <v>10</v>
      </c>
      <c r="S1182">
        <v>5</v>
      </c>
      <c r="T1182">
        <v>0</v>
      </c>
      <c r="U1182">
        <v>0</v>
      </c>
      <c r="V1182">
        <v>0</v>
      </c>
      <c r="W1182">
        <v>0</v>
      </c>
      <c r="X1182">
        <v>0</v>
      </c>
      <c r="Y1182">
        <v>0</v>
      </c>
      <c r="Z1182">
        <v>0</v>
      </c>
      <c r="AA1182">
        <v>0</v>
      </c>
      <c r="AB1182">
        <v>0</v>
      </c>
      <c r="AC1182">
        <v>0</v>
      </c>
      <c r="AD1182">
        <v>10</v>
      </c>
      <c r="AE1182">
        <v>5</v>
      </c>
      <c r="AF1182">
        <v>10</v>
      </c>
      <c r="AG1182">
        <v>5</v>
      </c>
      <c r="AH1182">
        <v>0</v>
      </c>
      <c r="AI1182">
        <v>0</v>
      </c>
      <c r="AY1182" t="str">
        <f t="shared" si="197"/>
        <v>SURAMOX 10 POUDRE ORALE</v>
      </c>
      <c r="AZ1182" t="str">
        <f>IF(COUNTIF(AY:AY,AY1182)=1,AY1182,IF(AND(COUNTIF(AY:AY,AY1182)&gt;1,COUNTIF(AZ$2:AZ1181,AY1182)&gt;=1),"",AY1182))</f>
        <v>SURAMOX 10 POUDRE ORALE</v>
      </c>
      <c r="BA1182">
        <f>IF(AZ1182="","",COUNTIFS(AZ$3:AZ$1439,"&lt;"&amp;AZ1182,AZ$3:AZ$1439,"&lt;&gt;0")+COUNTIF(AZ$3:AZ1182,AZ1182)-876)</f>
        <v>468</v>
      </c>
      <c r="BT1182" s="76"/>
      <c r="CN1182">
        <v>1181</v>
      </c>
    </row>
    <row r="1183" spans="1:92" x14ac:dyDescent="0.3">
      <c r="A1183" s="118" t="s">
        <v>1052</v>
      </c>
      <c r="B1183" t="s">
        <v>1056</v>
      </c>
      <c r="C1183" t="s">
        <v>1057</v>
      </c>
      <c r="D1183" s="144" t="s">
        <v>829</v>
      </c>
      <c r="E1183" t="s">
        <v>830</v>
      </c>
      <c r="F1183" t="s">
        <v>696</v>
      </c>
      <c r="G1183" t="s">
        <v>831</v>
      </c>
      <c r="H1183" t="s">
        <v>832</v>
      </c>
      <c r="I1183" t="s">
        <v>817</v>
      </c>
      <c r="J1183" t="s">
        <v>787</v>
      </c>
      <c r="K1183" t="s">
        <v>787</v>
      </c>
      <c r="L1183" t="s">
        <v>1055</v>
      </c>
      <c r="M1183" t="s">
        <v>208</v>
      </c>
      <c r="N1183" t="s">
        <v>764</v>
      </c>
      <c r="O1183" t="s">
        <v>894</v>
      </c>
      <c r="P1183" t="s">
        <v>772</v>
      </c>
      <c r="Q1183" t="s">
        <v>764</v>
      </c>
      <c r="R1183">
        <v>10</v>
      </c>
      <c r="S1183">
        <v>5</v>
      </c>
      <c r="T1183">
        <v>0</v>
      </c>
      <c r="U1183">
        <v>0</v>
      </c>
      <c r="V1183">
        <v>0</v>
      </c>
      <c r="W1183">
        <v>0</v>
      </c>
      <c r="X1183">
        <v>0</v>
      </c>
      <c r="Y1183">
        <v>0</v>
      </c>
      <c r="Z1183">
        <v>0</v>
      </c>
      <c r="AA1183">
        <v>0</v>
      </c>
      <c r="AB1183">
        <v>0</v>
      </c>
      <c r="AC1183">
        <v>0</v>
      </c>
      <c r="AD1183">
        <v>10</v>
      </c>
      <c r="AE1183">
        <v>5</v>
      </c>
      <c r="AF1183">
        <v>10</v>
      </c>
      <c r="AG1183">
        <v>5</v>
      </c>
      <c r="AH1183">
        <v>0</v>
      </c>
      <c r="AI1183">
        <v>0</v>
      </c>
      <c r="AY1183" t="str">
        <f t="shared" si="197"/>
        <v>SURAMOX 10 POUDRE ORALE</v>
      </c>
      <c r="AZ1183" t="str">
        <f>IF(COUNTIF(AY:AY,AY1183)=1,AY1183,IF(AND(COUNTIF(AY:AY,AY1183)&gt;1,COUNTIF(AZ$2:AZ1182,AY1183)&gt;=1),"",AY1183))</f>
        <v/>
      </c>
      <c r="BA1183" t="str">
        <f>IF(AZ1183="","",COUNTIFS(AZ$3:AZ$1439,"&lt;"&amp;AZ1183,AZ$3:AZ$1439,"&lt;&gt;0")+COUNTIF(AZ$3:AZ1183,AZ1183)-876)</f>
        <v/>
      </c>
      <c r="BT1183" s="76"/>
      <c r="CN1183">
        <v>1182</v>
      </c>
    </row>
    <row r="1184" spans="1:92" x14ac:dyDescent="0.3">
      <c r="A1184" s="118" t="s">
        <v>1052</v>
      </c>
      <c r="B1184" t="s">
        <v>1058</v>
      </c>
      <c r="C1184" t="s">
        <v>1059</v>
      </c>
      <c r="D1184" s="144" t="s">
        <v>955</v>
      </c>
      <c r="E1184" t="s">
        <v>830</v>
      </c>
      <c r="F1184" t="s">
        <v>696</v>
      </c>
      <c r="G1184" t="s">
        <v>831</v>
      </c>
      <c r="H1184" t="s">
        <v>832</v>
      </c>
      <c r="I1184" t="s">
        <v>817</v>
      </c>
      <c r="J1184" t="s">
        <v>787</v>
      </c>
      <c r="K1184" t="s">
        <v>787</v>
      </c>
      <c r="L1184" t="s">
        <v>1055</v>
      </c>
      <c r="M1184" t="s">
        <v>208</v>
      </c>
      <c r="N1184" t="s">
        <v>764</v>
      </c>
      <c r="O1184" t="s">
        <v>894</v>
      </c>
      <c r="P1184" t="s">
        <v>772</v>
      </c>
      <c r="Q1184" t="s">
        <v>906</v>
      </c>
      <c r="R1184">
        <v>10</v>
      </c>
      <c r="S1184">
        <v>5</v>
      </c>
      <c r="T1184">
        <v>0</v>
      </c>
      <c r="U1184">
        <v>0</v>
      </c>
      <c r="V1184">
        <v>0</v>
      </c>
      <c r="W1184">
        <v>0</v>
      </c>
      <c r="X1184">
        <v>0</v>
      </c>
      <c r="Y1184">
        <v>0</v>
      </c>
      <c r="Z1184">
        <v>0</v>
      </c>
      <c r="AA1184">
        <v>0</v>
      </c>
      <c r="AB1184">
        <v>0</v>
      </c>
      <c r="AC1184">
        <v>0</v>
      </c>
      <c r="AD1184">
        <v>10</v>
      </c>
      <c r="AE1184">
        <v>5</v>
      </c>
      <c r="AF1184">
        <v>10</v>
      </c>
      <c r="AG1184">
        <v>5</v>
      </c>
      <c r="AH1184">
        <v>0</v>
      </c>
      <c r="AI1184">
        <v>0</v>
      </c>
      <c r="AY1184" t="str">
        <f t="shared" si="197"/>
        <v>SURAMOX 10 POUDRE ORALE</v>
      </c>
      <c r="AZ1184" t="str">
        <f>IF(COUNTIF(AY:AY,AY1184)=1,AY1184,IF(AND(COUNTIF(AY:AY,AY1184)&gt;1,COUNTIF(AZ$2:AZ1183,AY1184)&gt;=1),"",AY1184))</f>
        <v/>
      </c>
      <c r="BA1184" t="str">
        <f>IF(AZ1184="","",COUNTIFS(AZ$3:AZ$1439,"&lt;"&amp;AZ1184,AZ$3:AZ$1439,"&lt;&gt;0")+COUNTIF(AZ$3:AZ1184,AZ1184)-876)</f>
        <v/>
      </c>
      <c r="BT1184" s="76"/>
      <c r="CN1184">
        <v>1183</v>
      </c>
    </row>
    <row r="1185" spans="1:92" x14ac:dyDescent="0.3">
      <c r="A1185" s="118" t="s">
        <v>1972</v>
      </c>
      <c r="B1185" t="s">
        <v>1973</v>
      </c>
      <c r="C1185" t="s">
        <v>1369</v>
      </c>
      <c r="D1185" s="144" t="s">
        <v>780</v>
      </c>
      <c r="E1185" t="s">
        <v>765</v>
      </c>
      <c r="F1185" t="s">
        <v>484</v>
      </c>
      <c r="G1185" t="s">
        <v>766</v>
      </c>
      <c r="H1185" t="s">
        <v>1969</v>
      </c>
      <c r="I1185" t="s">
        <v>766</v>
      </c>
      <c r="J1185" t="s">
        <v>787</v>
      </c>
      <c r="K1185" t="s">
        <v>787</v>
      </c>
      <c r="L1185" t="s">
        <v>1055</v>
      </c>
      <c r="M1185" t="s">
        <v>208</v>
      </c>
      <c r="N1185" t="s">
        <v>764</v>
      </c>
      <c r="O1185" t="s">
        <v>771</v>
      </c>
      <c r="P1185" t="s">
        <v>772</v>
      </c>
      <c r="Q1185" t="s">
        <v>885</v>
      </c>
      <c r="R1185">
        <v>10</v>
      </c>
      <c r="S1185">
        <v>5</v>
      </c>
      <c r="T1185">
        <v>10</v>
      </c>
      <c r="U1185">
        <v>5</v>
      </c>
      <c r="V1185">
        <v>0</v>
      </c>
      <c r="W1185">
        <v>0</v>
      </c>
      <c r="X1185">
        <v>0</v>
      </c>
      <c r="Y1185">
        <v>0</v>
      </c>
      <c r="Z1185">
        <v>0</v>
      </c>
      <c r="AA1185">
        <v>0</v>
      </c>
      <c r="AB1185">
        <v>0</v>
      </c>
      <c r="AC1185">
        <v>0</v>
      </c>
      <c r="AD1185">
        <v>10</v>
      </c>
      <c r="AE1185">
        <v>5</v>
      </c>
      <c r="AF1185">
        <v>0</v>
      </c>
      <c r="AG1185">
        <v>0</v>
      </c>
      <c r="AH1185">
        <v>0</v>
      </c>
      <c r="AI1185">
        <v>0</v>
      </c>
      <c r="AY1185" t="str">
        <f t="shared" si="197"/>
        <v>SURAMOX 10 SUSPENSION INJECTABLE</v>
      </c>
      <c r="AZ1185" t="str">
        <f>IF(COUNTIF(AY:AY,AY1185)=1,AY1185,IF(AND(COUNTIF(AY:AY,AY1185)&gt;1,COUNTIF(AZ$2:AZ1184,AY1185)&gt;=1),"",AY1185))</f>
        <v>SURAMOX 10 SUSPENSION INJECTABLE</v>
      </c>
      <c r="BA1185">
        <f>IF(AZ1185="","",COUNTIFS(AZ$3:AZ$1439,"&lt;"&amp;AZ1185,AZ$3:AZ$1439,"&lt;&gt;0")+COUNTIF(AZ$3:AZ1185,AZ1185)-876)</f>
        <v>469</v>
      </c>
      <c r="BT1185" s="76"/>
      <c r="CN1185">
        <v>1184</v>
      </c>
    </row>
    <row r="1186" spans="1:92" x14ac:dyDescent="0.3">
      <c r="A1186" s="118" t="s">
        <v>1972</v>
      </c>
      <c r="B1186" t="s">
        <v>1974</v>
      </c>
      <c r="C1186" t="s">
        <v>1483</v>
      </c>
      <c r="D1186" s="144" t="s">
        <v>764</v>
      </c>
      <c r="E1186" t="s">
        <v>765</v>
      </c>
      <c r="F1186" t="s">
        <v>484</v>
      </c>
      <c r="G1186" t="s">
        <v>766</v>
      </c>
      <c r="H1186" t="s">
        <v>1969</v>
      </c>
      <c r="I1186" t="s">
        <v>766</v>
      </c>
      <c r="J1186" t="s">
        <v>787</v>
      </c>
      <c r="K1186" t="s">
        <v>787</v>
      </c>
      <c r="L1186" t="s">
        <v>1055</v>
      </c>
      <c r="M1186" t="s">
        <v>208</v>
      </c>
      <c r="N1186" t="s">
        <v>764</v>
      </c>
      <c r="O1186" t="s">
        <v>771</v>
      </c>
      <c r="P1186" t="s">
        <v>772</v>
      </c>
      <c r="Q1186" t="s">
        <v>852</v>
      </c>
      <c r="R1186">
        <v>10</v>
      </c>
      <c r="S1186">
        <v>5</v>
      </c>
      <c r="T1186">
        <v>10</v>
      </c>
      <c r="U1186">
        <v>5</v>
      </c>
      <c r="V1186">
        <v>0</v>
      </c>
      <c r="W1186">
        <v>0</v>
      </c>
      <c r="X1186">
        <v>0</v>
      </c>
      <c r="Y1186">
        <v>0</v>
      </c>
      <c r="Z1186">
        <v>0</v>
      </c>
      <c r="AA1186">
        <v>0</v>
      </c>
      <c r="AB1186">
        <v>0</v>
      </c>
      <c r="AC1186">
        <v>0</v>
      </c>
      <c r="AD1186">
        <v>10</v>
      </c>
      <c r="AE1186">
        <v>5</v>
      </c>
      <c r="AF1186">
        <v>0</v>
      </c>
      <c r="AG1186">
        <v>0</v>
      </c>
      <c r="AH1186">
        <v>0</v>
      </c>
      <c r="AI1186">
        <v>0</v>
      </c>
      <c r="AY1186" t="str">
        <f t="shared" si="197"/>
        <v>SURAMOX 10 SUSPENSION INJECTABLE</v>
      </c>
      <c r="AZ1186" t="str">
        <f>IF(COUNTIF(AY:AY,AY1186)=1,AY1186,IF(AND(COUNTIF(AY:AY,AY1186)&gt;1,COUNTIF(AZ$2:AZ1185,AY1186)&gt;=1),"",AY1186))</f>
        <v/>
      </c>
      <c r="BA1186" t="str">
        <f>IF(AZ1186="","",COUNTIFS(AZ$3:AZ$1439,"&lt;"&amp;AZ1186,AZ$3:AZ$1439,"&lt;&gt;0")+COUNTIF(AZ$3:AZ1186,AZ1186)-876)</f>
        <v/>
      </c>
      <c r="BT1186" s="76"/>
      <c r="CN1186">
        <v>1185</v>
      </c>
    </row>
    <row r="1187" spans="1:92" x14ac:dyDescent="0.3">
      <c r="A1187" s="118" t="s">
        <v>3048</v>
      </c>
      <c r="B1187" t="s">
        <v>3049</v>
      </c>
      <c r="C1187" t="s">
        <v>1228</v>
      </c>
      <c r="D1187" s="144" t="s">
        <v>1125</v>
      </c>
      <c r="E1187" t="s">
        <v>765</v>
      </c>
      <c r="F1187" t="s">
        <v>485</v>
      </c>
      <c r="G1187" t="s">
        <v>766</v>
      </c>
      <c r="H1187" t="s">
        <v>1326</v>
      </c>
      <c r="I1187" t="s">
        <v>766</v>
      </c>
      <c r="J1187" t="s">
        <v>787</v>
      </c>
      <c r="K1187" t="s">
        <v>787</v>
      </c>
      <c r="L1187" t="s">
        <v>1055</v>
      </c>
      <c r="M1187" t="s">
        <v>208</v>
      </c>
      <c r="N1187" t="s">
        <v>1155</v>
      </c>
      <c r="O1187" t="s">
        <v>771</v>
      </c>
      <c r="P1187" t="s">
        <v>772</v>
      </c>
      <c r="Q1187" t="s">
        <v>1259</v>
      </c>
      <c r="R1187">
        <v>15</v>
      </c>
      <c r="S1187">
        <v>2</v>
      </c>
      <c r="T1187">
        <v>15</v>
      </c>
      <c r="U1187">
        <v>2</v>
      </c>
      <c r="V1187">
        <v>0</v>
      </c>
      <c r="W1187">
        <v>0</v>
      </c>
      <c r="X1187">
        <v>0</v>
      </c>
      <c r="Y1187">
        <v>0</v>
      </c>
      <c r="Z1187">
        <v>0</v>
      </c>
      <c r="AA1187">
        <v>0</v>
      </c>
      <c r="AB1187">
        <v>0</v>
      </c>
      <c r="AC1187">
        <v>0</v>
      </c>
      <c r="AD1187">
        <v>15</v>
      </c>
      <c r="AE1187">
        <v>2</v>
      </c>
      <c r="AF1187">
        <v>0</v>
      </c>
      <c r="AG1187">
        <v>0</v>
      </c>
      <c r="AH1187">
        <v>0</v>
      </c>
      <c r="AI1187">
        <v>0</v>
      </c>
      <c r="AY1187" t="str">
        <f t="shared" si="197"/>
        <v>SURAMOX 15 % LA</v>
      </c>
      <c r="AZ1187" t="str">
        <f>IF(COUNTIF(AY:AY,AY1187)=1,AY1187,IF(AND(COUNTIF(AY:AY,AY1187)&gt;1,COUNTIF(AZ$2:AZ1186,AY1187)&gt;=1),"",AY1187))</f>
        <v>SURAMOX 15 % LA</v>
      </c>
      <c r="BA1187">
        <f>IF(AZ1187="","",COUNTIFS(AZ$3:AZ$1439,"&lt;"&amp;AZ1187,AZ$3:AZ$1439,"&lt;&gt;0")+COUNTIF(AZ$3:AZ1187,AZ1187)-876)</f>
        <v>470</v>
      </c>
      <c r="BT1187" s="76"/>
      <c r="CN1187">
        <v>1186</v>
      </c>
    </row>
    <row r="1188" spans="1:92" x14ac:dyDescent="0.3">
      <c r="A1188" s="118" t="s">
        <v>3048</v>
      </c>
      <c r="B1188" t="s">
        <v>3050</v>
      </c>
      <c r="C1188" t="s">
        <v>775</v>
      </c>
      <c r="D1188" s="144" t="s">
        <v>776</v>
      </c>
      <c r="E1188" t="s">
        <v>765</v>
      </c>
      <c r="F1188" t="s">
        <v>485</v>
      </c>
      <c r="G1188" t="s">
        <v>766</v>
      </c>
      <c r="H1188" t="s">
        <v>1326</v>
      </c>
      <c r="I1188" t="s">
        <v>766</v>
      </c>
      <c r="J1188" t="s">
        <v>787</v>
      </c>
      <c r="K1188" t="s">
        <v>787</v>
      </c>
      <c r="L1188" t="s">
        <v>1055</v>
      </c>
      <c r="M1188" t="s">
        <v>208</v>
      </c>
      <c r="N1188" t="s">
        <v>1155</v>
      </c>
      <c r="O1188" t="s">
        <v>771</v>
      </c>
      <c r="P1188" t="s">
        <v>772</v>
      </c>
      <c r="Q1188" t="s">
        <v>1773</v>
      </c>
      <c r="R1188">
        <v>15</v>
      </c>
      <c r="S1188">
        <v>2</v>
      </c>
      <c r="T1188">
        <v>15</v>
      </c>
      <c r="U1188">
        <v>2</v>
      </c>
      <c r="V1188">
        <v>0</v>
      </c>
      <c r="W1188">
        <v>0</v>
      </c>
      <c r="X1188">
        <v>0</v>
      </c>
      <c r="Y1188">
        <v>0</v>
      </c>
      <c r="Z1188">
        <v>0</v>
      </c>
      <c r="AA1188">
        <v>0</v>
      </c>
      <c r="AB1188">
        <v>0</v>
      </c>
      <c r="AC1188">
        <v>0</v>
      </c>
      <c r="AD1188">
        <v>15</v>
      </c>
      <c r="AE1188">
        <v>2</v>
      </c>
      <c r="AF1188">
        <v>0</v>
      </c>
      <c r="AG1188">
        <v>0</v>
      </c>
      <c r="AH1188">
        <v>0</v>
      </c>
      <c r="AI1188">
        <v>0</v>
      </c>
      <c r="AY1188" t="str">
        <f t="shared" si="197"/>
        <v>SURAMOX 15 % LA</v>
      </c>
      <c r="AZ1188" t="str">
        <f>IF(COUNTIF(AY:AY,AY1188)=1,AY1188,IF(AND(COUNTIF(AY:AY,AY1188)&gt;1,COUNTIF(AZ$2:AZ1187,AY1188)&gt;=1),"",AY1188))</f>
        <v/>
      </c>
      <c r="BA1188" t="str">
        <f>IF(AZ1188="","",COUNTIFS(AZ$3:AZ$1439,"&lt;"&amp;AZ1188,AZ$3:AZ$1439,"&lt;&gt;0")+COUNTIF(AZ$3:AZ1188,AZ1188)-876)</f>
        <v/>
      </c>
      <c r="BT1188" s="76"/>
      <c r="CN1188">
        <v>1187</v>
      </c>
    </row>
    <row r="1189" spans="1:92" x14ac:dyDescent="0.3">
      <c r="A1189" s="118" t="s">
        <v>2752</v>
      </c>
      <c r="B1189" t="s">
        <v>2753</v>
      </c>
      <c r="C1189" t="s">
        <v>2750</v>
      </c>
      <c r="D1189" s="144" t="s">
        <v>852</v>
      </c>
      <c r="E1189" t="s">
        <v>813</v>
      </c>
      <c r="F1189" t="s">
        <v>2754</v>
      </c>
      <c r="G1189" t="s">
        <v>815</v>
      </c>
      <c r="H1189" t="s">
        <v>816</v>
      </c>
      <c r="I1189" t="s">
        <v>817</v>
      </c>
      <c r="J1189" t="s">
        <v>787</v>
      </c>
      <c r="K1189" t="s">
        <v>787</v>
      </c>
      <c r="L1189" t="s">
        <v>1055</v>
      </c>
      <c r="M1189" t="s">
        <v>208</v>
      </c>
      <c r="N1189" t="s">
        <v>864</v>
      </c>
      <c r="O1189" t="s">
        <v>824</v>
      </c>
      <c r="P1189" t="s">
        <v>772</v>
      </c>
      <c r="Q1189" t="s">
        <v>1033</v>
      </c>
      <c r="R1189">
        <v>0</v>
      </c>
      <c r="S1189">
        <v>0</v>
      </c>
      <c r="T1189">
        <v>20</v>
      </c>
      <c r="U1189">
        <v>5</v>
      </c>
      <c r="V1189">
        <v>0</v>
      </c>
      <c r="W1189">
        <v>0</v>
      </c>
      <c r="X1189">
        <v>0</v>
      </c>
      <c r="Y1189">
        <v>0</v>
      </c>
      <c r="Z1189">
        <v>0</v>
      </c>
      <c r="AA1189">
        <v>0</v>
      </c>
      <c r="AB1189">
        <v>0</v>
      </c>
      <c r="AC1189">
        <v>0</v>
      </c>
      <c r="AD1189">
        <v>0</v>
      </c>
      <c r="AE1189">
        <v>0</v>
      </c>
      <c r="AF1189">
        <v>0</v>
      </c>
      <c r="AG1189">
        <v>0</v>
      </c>
      <c r="AH1189">
        <v>0</v>
      </c>
      <c r="AI1189">
        <v>0</v>
      </c>
      <c r="AY1189" t="str">
        <f t="shared" si="197"/>
        <v/>
      </c>
      <c r="AZ1189" t="str">
        <f>IF(COUNTIF(AY:AY,AY1189)=1,AY1189,IF(AND(COUNTIF(AY:AY,AY1189)&gt;1,COUNTIF(AZ$2:AZ1188,AY1189)&gt;=1),"",AY1189))</f>
        <v/>
      </c>
      <c r="BA1189" t="str">
        <f>IF(AZ1189="","",COUNTIFS(AZ$3:AZ$1439,"&lt;"&amp;AZ1189,AZ$3:AZ$1439,"&lt;&gt;0")+COUNTIF(AZ$3:AZ1189,AZ1189)-876)</f>
        <v/>
      </c>
      <c r="BT1189" s="76"/>
      <c r="CN1189">
        <v>1188</v>
      </c>
    </row>
    <row r="1190" spans="1:92" x14ac:dyDescent="0.3">
      <c r="A1190" s="118" t="s">
        <v>2748</v>
      </c>
      <c r="B1190" t="s">
        <v>2749</v>
      </c>
      <c r="C1190" t="s">
        <v>2750</v>
      </c>
      <c r="D1190" s="144" t="s">
        <v>852</v>
      </c>
      <c r="E1190" t="s">
        <v>813</v>
      </c>
      <c r="F1190" t="s">
        <v>2751</v>
      </c>
      <c r="G1190" t="s">
        <v>815</v>
      </c>
      <c r="H1190" t="s">
        <v>816</v>
      </c>
      <c r="I1190" t="s">
        <v>817</v>
      </c>
      <c r="J1190" t="s">
        <v>787</v>
      </c>
      <c r="K1190" t="s">
        <v>787</v>
      </c>
      <c r="L1190" t="s">
        <v>1055</v>
      </c>
      <c r="M1190" t="s">
        <v>208</v>
      </c>
      <c r="N1190" t="s">
        <v>932</v>
      </c>
      <c r="O1190" t="s">
        <v>824</v>
      </c>
      <c r="P1190" t="s">
        <v>772</v>
      </c>
      <c r="Q1190" t="s">
        <v>1028</v>
      </c>
      <c r="R1190">
        <v>0</v>
      </c>
      <c r="S1190">
        <v>0</v>
      </c>
      <c r="T1190">
        <v>20</v>
      </c>
      <c r="U1190">
        <v>5</v>
      </c>
      <c r="V1190">
        <v>0</v>
      </c>
      <c r="W1190">
        <v>0</v>
      </c>
      <c r="X1190">
        <v>0</v>
      </c>
      <c r="Y1190">
        <v>0</v>
      </c>
      <c r="Z1190">
        <v>0</v>
      </c>
      <c r="AA1190">
        <v>0</v>
      </c>
      <c r="AB1190">
        <v>0</v>
      </c>
      <c r="AC1190">
        <v>0</v>
      </c>
      <c r="AD1190">
        <v>0</v>
      </c>
      <c r="AE1190">
        <v>0</v>
      </c>
      <c r="AF1190">
        <v>0</v>
      </c>
      <c r="AG1190">
        <v>0</v>
      </c>
      <c r="AH1190">
        <v>0</v>
      </c>
      <c r="AI1190">
        <v>0</v>
      </c>
      <c r="AY1190" t="str">
        <f t="shared" si="197"/>
        <v/>
      </c>
      <c r="AZ1190" t="str">
        <f>IF(COUNTIF(AY:AY,AY1190)=1,AY1190,IF(AND(COUNTIF(AY:AY,AY1190)&gt;1,COUNTIF(AZ$2:AZ1189,AY1190)&gt;=1),"",AY1190))</f>
        <v/>
      </c>
      <c r="BA1190" t="str">
        <f>IF(AZ1190="","",COUNTIFS(AZ$3:AZ$1439,"&lt;"&amp;AZ1190,AZ$3:AZ$1439,"&lt;&gt;0")+COUNTIF(AZ$3:AZ1190,AZ1190)-876)</f>
        <v/>
      </c>
      <c r="BT1190" s="76"/>
      <c r="CN1190">
        <v>1189</v>
      </c>
    </row>
    <row r="1191" spans="1:92" x14ac:dyDescent="0.3">
      <c r="A1191" s="118" t="s">
        <v>2804</v>
      </c>
      <c r="B1191" t="s">
        <v>2805</v>
      </c>
      <c r="C1191" t="s">
        <v>2806</v>
      </c>
      <c r="D1191" s="144" t="s">
        <v>864</v>
      </c>
      <c r="E1191" t="s">
        <v>830</v>
      </c>
      <c r="F1191" t="s">
        <v>486</v>
      </c>
      <c r="G1191" t="s">
        <v>831</v>
      </c>
      <c r="H1191" t="s">
        <v>1213</v>
      </c>
      <c r="I1191" t="s">
        <v>817</v>
      </c>
      <c r="J1191" t="s">
        <v>787</v>
      </c>
      <c r="K1191" t="s">
        <v>787</v>
      </c>
      <c r="L1191" t="s">
        <v>1055</v>
      </c>
      <c r="M1191" t="s">
        <v>208</v>
      </c>
      <c r="N1191" t="s">
        <v>906</v>
      </c>
      <c r="O1191" t="s">
        <v>894</v>
      </c>
      <c r="P1191" t="s">
        <v>772</v>
      </c>
      <c r="Q1191" t="s">
        <v>764</v>
      </c>
      <c r="R1191">
        <v>0</v>
      </c>
      <c r="S1191">
        <v>0</v>
      </c>
      <c r="T1191">
        <v>0</v>
      </c>
      <c r="U1191">
        <v>0</v>
      </c>
      <c r="V1191">
        <v>0</v>
      </c>
      <c r="W1191">
        <v>0</v>
      </c>
      <c r="X1191">
        <v>0</v>
      </c>
      <c r="Y1191">
        <v>0</v>
      </c>
      <c r="Z1191">
        <v>0</v>
      </c>
      <c r="AA1191">
        <v>0</v>
      </c>
      <c r="AB1191">
        <v>0</v>
      </c>
      <c r="AC1191">
        <v>0</v>
      </c>
      <c r="AD1191">
        <v>20</v>
      </c>
      <c r="AE1191">
        <v>5</v>
      </c>
      <c r="AF1191">
        <v>0</v>
      </c>
      <c r="AG1191">
        <v>0</v>
      </c>
      <c r="AH1191">
        <v>0</v>
      </c>
      <c r="AI1191">
        <v>0</v>
      </c>
      <c r="AY1191" t="str">
        <f t="shared" si="197"/>
        <v>SURAMOX 50 POUDRE ORALE PORC</v>
      </c>
      <c r="AZ1191" t="str">
        <f>IF(COUNTIF(AY:AY,AY1191)=1,AY1191,IF(AND(COUNTIF(AY:AY,AY1191)&gt;1,COUNTIF(AZ$2:AZ1190,AY1191)&gt;=1),"",AY1191))</f>
        <v>SURAMOX 50 POUDRE ORALE PORC</v>
      </c>
      <c r="BA1191">
        <f>IF(AZ1191="","",COUNTIFS(AZ$3:AZ$1439,"&lt;"&amp;AZ1191,AZ$3:AZ$1439,"&lt;&gt;0")+COUNTIF(AZ$3:AZ1191,AZ1191)-876)</f>
        <v>471</v>
      </c>
      <c r="BT1191" s="76"/>
      <c r="CN1191">
        <v>1190</v>
      </c>
    </row>
    <row r="1192" spans="1:92" x14ac:dyDescent="0.3">
      <c r="A1192" s="118" t="s">
        <v>2804</v>
      </c>
      <c r="B1192" t="s">
        <v>2807</v>
      </c>
      <c r="C1192" t="s">
        <v>2808</v>
      </c>
      <c r="D1192" s="144" t="s">
        <v>906</v>
      </c>
      <c r="E1192" t="s">
        <v>830</v>
      </c>
      <c r="F1192" t="s">
        <v>486</v>
      </c>
      <c r="G1192" t="s">
        <v>831</v>
      </c>
      <c r="H1192" t="s">
        <v>1213</v>
      </c>
      <c r="I1192" t="s">
        <v>817</v>
      </c>
      <c r="J1192" t="s">
        <v>787</v>
      </c>
      <c r="K1192" t="s">
        <v>787</v>
      </c>
      <c r="L1192" t="s">
        <v>1055</v>
      </c>
      <c r="M1192" t="s">
        <v>208</v>
      </c>
      <c r="N1192" t="s">
        <v>906</v>
      </c>
      <c r="O1192" t="s">
        <v>894</v>
      </c>
      <c r="P1192" t="s">
        <v>772</v>
      </c>
      <c r="Q1192" t="s">
        <v>776</v>
      </c>
      <c r="R1192">
        <v>0</v>
      </c>
      <c r="S1192">
        <v>0</v>
      </c>
      <c r="T1192">
        <v>0</v>
      </c>
      <c r="U1192">
        <v>0</v>
      </c>
      <c r="V1192">
        <v>0</v>
      </c>
      <c r="W1192">
        <v>0</v>
      </c>
      <c r="X1192">
        <v>0</v>
      </c>
      <c r="Y1192">
        <v>0</v>
      </c>
      <c r="Z1192">
        <v>0</v>
      </c>
      <c r="AA1192">
        <v>0</v>
      </c>
      <c r="AB1192">
        <v>0</v>
      </c>
      <c r="AC1192">
        <v>0</v>
      </c>
      <c r="AD1192">
        <v>20</v>
      </c>
      <c r="AE1192">
        <v>5</v>
      </c>
      <c r="AF1192">
        <v>0</v>
      </c>
      <c r="AG1192">
        <v>0</v>
      </c>
      <c r="AH1192">
        <v>0</v>
      </c>
      <c r="AI1192">
        <v>0</v>
      </c>
      <c r="AY1192" t="str">
        <f t="shared" si="197"/>
        <v>SURAMOX 50 POUDRE ORALE PORC</v>
      </c>
      <c r="AZ1192" t="str">
        <f>IF(COUNTIF(AY:AY,AY1192)=1,AY1192,IF(AND(COUNTIF(AY:AY,AY1192)&gt;1,COUNTIF(AZ$2:AZ1191,AY1192)&gt;=1),"",AY1192))</f>
        <v/>
      </c>
      <c r="BA1192" t="str">
        <f>IF(AZ1192="","",COUNTIFS(AZ$3:AZ$1439,"&lt;"&amp;AZ1192,AZ$3:AZ$1439,"&lt;&gt;0")+COUNTIF(AZ$3:AZ1192,AZ1192)-876)</f>
        <v/>
      </c>
      <c r="BT1192" s="76"/>
      <c r="CN1192">
        <v>1191</v>
      </c>
    </row>
    <row r="1193" spans="1:92" x14ac:dyDescent="0.3">
      <c r="A1193" s="118" t="s">
        <v>2804</v>
      </c>
      <c r="B1193" t="s">
        <v>2809</v>
      </c>
      <c r="C1193" t="s">
        <v>2926</v>
      </c>
      <c r="D1193" s="144" t="s">
        <v>906</v>
      </c>
      <c r="E1193" t="s">
        <v>830</v>
      </c>
      <c r="F1193" t="s">
        <v>486</v>
      </c>
      <c r="G1193" t="s">
        <v>831</v>
      </c>
      <c r="H1193" t="s">
        <v>1213</v>
      </c>
      <c r="I1193" t="s">
        <v>817</v>
      </c>
      <c r="J1193" t="s">
        <v>787</v>
      </c>
      <c r="K1193" t="s">
        <v>787</v>
      </c>
      <c r="L1193" t="s">
        <v>1055</v>
      </c>
      <c r="M1193" t="s">
        <v>208</v>
      </c>
      <c r="N1193" t="s">
        <v>906</v>
      </c>
      <c r="O1193" t="s">
        <v>894</v>
      </c>
      <c r="P1193" t="s">
        <v>772</v>
      </c>
      <c r="Q1193" t="s">
        <v>776</v>
      </c>
      <c r="R1193">
        <v>0</v>
      </c>
      <c r="S1193">
        <v>0</v>
      </c>
      <c r="T1193">
        <v>0</v>
      </c>
      <c r="U1193">
        <v>0</v>
      </c>
      <c r="V1193">
        <v>0</v>
      </c>
      <c r="W1193">
        <v>0</v>
      </c>
      <c r="X1193">
        <v>0</v>
      </c>
      <c r="Y1193">
        <v>0</v>
      </c>
      <c r="Z1193">
        <v>0</v>
      </c>
      <c r="AA1193">
        <v>0</v>
      </c>
      <c r="AB1193">
        <v>0</v>
      </c>
      <c r="AC1193">
        <v>0</v>
      </c>
      <c r="AD1193">
        <v>20</v>
      </c>
      <c r="AE1193">
        <v>5</v>
      </c>
      <c r="AF1193">
        <v>0</v>
      </c>
      <c r="AG1193">
        <v>0</v>
      </c>
      <c r="AH1193">
        <v>0</v>
      </c>
      <c r="AI1193">
        <v>0</v>
      </c>
      <c r="AY1193" t="str">
        <f t="shared" si="197"/>
        <v>SURAMOX 50 POUDRE ORALE PORC</v>
      </c>
      <c r="AZ1193" t="str">
        <f>IF(COUNTIF(AY:AY,AY1193)=1,AY1193,IF(AND(COUNTIF(AY:AY,AY1193)&gt;1,COUNTIF(AZ$2:AZ1192,AY1193)&gt;=1),"",AY1193))</f>
        <v/>
      </c>
      <c r="BA1193" t="str">
        <f>IF(AZ1193="","",COUNTIFS(AZ$3:AZ$1439,"&lt;"&amp;AZ1193,AZ$3:AZ$1439,"&lt;&gt;0")+COUNTIF(AZ$3:AZ1193,AZ1193)-876)</f>
        <v/>
      </c>
      <c r="BT1193" s="76"/>
      <c r="CN1193">
        <v>1192</v>
      </c>
    </row>
    <row r="1194" spans="1:92" x14ac:dyDescent="0.3">
      <c r="A1194" s="118" t="s">
        <v>2917</v>
      </c>
      <c r="B1194" t="s">
        <v>2918</v>
      </c>
      <c r="C1194" t="s">
        <v>2919</v>
      </c>
      <c r="D1194" s="144" t="s">
        <v>864</v>
      </c>
      <c r="E1194" t="s">
        <v>830</v>
      </c>
      <c r="F1194" t="s">
        <v>487</v>
      </c>
      <c r="G1194" t="s">
        <v>831</v>
      </c>
      <c r="H1194" t="s">
        <v>2683</v>
      </c>
      <c r="I1194" t="s">
        <v>817</v>
      </c>
      <c r="J1194" t="s">
        <v>787</v>
      </c>
      <c r="K1194" t="s">
        <v>787</v>
      </c>
      <c r="L1194" t="s">
        <v>1055</v>
      </c>
      <c r="M1194" t="s">
        <v>208</v>
      </c>
      <c r="N1194" t="s">
        <v>906</v>
      </c>
      <c r="O1194" t="s">
        <v>894</v>
      </c>
      <c r="P1194" t="s">
        <v>772</v>
      </c>
      <c r="Q1194" t="s">
        <v>764</v>
      </c>
      <c r="R1194">
        <v>0</v>
      </c>
      <c r="S1194">
        <v>0</v>
      </c>
      <c r="T1194">
        <v>0</v>
      </c>
      <c r="U1194">
        <v>0</v>
      </c>
      <c r="V1194">
        <v>0</v>
      </c>
      <c r="W1194">
        <v>0</v>
      </c>
      <c r="X1194">
        <v>0</v>
      </c>
      <c r="Y1194">
        <v>0</v>
      </c>
      <c r="Z1194">
        <v>0</v>
      </c>
      <c r="AA1194">
        <v>0</v>
      </c>
      <c r="AB1194">
        <v>0</v>
      </c>
      <c r="AC1194">
        <v>0</v>
      </c>
      <c r="AD1194">
        <v>0</v>
      </c>
      <c r="AE1194">
        <v>0</v>
      </c>
      <c r="AF1194">
        <v>20</v>
      </c>
      <c r="AG1194">
        <v>5</v>
      </c>
      <c r="AH1194">
        <v>0</v>
      </c>
      <c r="AI1194">
        <v>0</v>
      </c>
      <c r="AY1194" t="str">
        <f t="shared" si="197"/>
        <v>SURAMOX 50 POUDRE ORALE VOLAILLE</v>
      </c>
      <c r="AZ1194" t="str">
        <f>IF(COUNTIF(AY:AY,AY1194)=1,AY1194,IF(AND(COUNTIF(AY:AY,AY1194)&gt;1,COUNTIF(AZ$2:AZ1193,AY1194)&gt;=1),"",AY1194))</f>
        <v>SURAMOX 50 POUDRE ORALE VOLAILLE</v>
      </c>
      <c r="BA1194">
        <f>IF(AZ1194="","",COUNTIFS(AZ$3:AZ$1439,"&lt;"&amp;AZ1194,AZ$3:AZ$1439,"&lt;&gt;0")+COUNTIF(AZ$3:AZ1194,AZ1194)-876)</f>
        <v>472</v>
      </c>
      <c r="BT1194" s="76"/>
      <c r="CN1194">
        <v>1193</v>
      </c>
    </row>
    <row r="1195" spans="1:92" x14ac:dyDescent="0.3">
      <c r="A1195" s="118" t="s">
        <v>2917</v>
      </c>
      <c r="B1195" t="s">
        <v>2920</v>
      </c>
      <c r="C1195" t="s">
        <v>2921</v>
      </c>
      <c r="D1195" s="144" t="s">
        <v>906</v>
      </c>
      <c r="E1195" t="s">
        <v>830</v>
      </c>
      <c r="F1195" t="s">
        <v>487</v>
      </c>
      <c r="G1195" t="s">
        <v>831</v>
      </c>
      <c r="H1195" t="s">
        <v>2683</v>
      </c>
      <c r="I1195" t="s">
        <v>817</v>
      </c>
      <c r="J1195" t="s">
        <v>787</v>
      </c>
      <c r="K1195" t="s">
        <v>787</v>
      </c>
      <c r="L1195" t="s">
        <v>1055</v>
      </c>
      <c r="M1195" t="s">
        <v>208</v>
      </c>
      <c r="N1195" t="s">
        <v>906</v>
      </c>
      <c r="O1195" t="s">
        <v>894</v>
      </c>
      <c r="P1195" t="s">
        <v>772</v>
      </c>
      <c r="Q1195" t="s">
        <v>776</v>
      </c>
      <c r="R1195">
        <v>0</v>
      </c>
      <c r="S1195">
        <v>0</v>
      </c>
      <c r="T1195">
        <v>0</v>
      </c>
      <c r="U1195">
        <v>0</v>
      </c>
      <c r="V1195">
        <v>0</v>
      </c>
      <c r="W1195">
        <v>0</v>
      </c>
      <c r="X1195">
        <v>0</v>
      </c>
      <c r="Y1195">
        <v>0</v>
      </c>
      <c r="Z1195">
        <v>0</v>
      </c>
      <c r="AA1195">
        <v>0</v>
      </c>
      <c r="AB1195">
        <v>0</v>
      </c>
      <c r="AC1195">
        <v>0</v>
      </c>
      <c r="AD1195">
        <v>0</v>
      </c>
      <c r="AE1195">
        <v>0</v>
      </c>
      <c r="AF1195">
        <v>20</v>
      </c>
      <c r="AG1195">
        <v>5</v>
      </c>
      <c r="AH1195">
        <v>0</v>
      </c>
      <c r="AI1195">
        <v>0</v>
      </c>
      <c r="AY1195" t="str">
        <f t="shared" si="197"/>
        <v>SURAMOX 50 POUDRE ORALE VOLAILLE</v>
      </c>
      <c r="AZ1195" t="str">
        <f>IF(COUNTIF(AY:AY,AY1195)=1,AY1195,IF(AND(COUNTIF(AY:AY,AY1195)&gt;1,COUNTIF(AZ$2:AZ1194,AY1195)&gt;=1),"",AY1195))</f>
        <v/>
      </c>
      <c r="BA1195" t="str">
        <f>IF(AZ1195="","",COUNTIFS(AZ$3:AZ$1439,"&lt;"&amp;AZ1195,AZ$3:AZ$1439,"&lt;&gt;0")+COUNTIF(AZ$3:AZ1195,AZ1195)-876)</f>
        <v/>
      </c>
      <c r="BT1195" s="76"/>
      <c r="CN1195">
        <v>1194</v>
      </c>
    </row>
    <row r="1196" spans="1:92" x14ac:dyDescent="0.3">
      <c r="A1196" s="118" t="s">
        <v>2917</v>
      </c>
      <c r="B1196" t="s">
        <v>2922</v>
      </c>
      <c r="C1196" t="s">
        <v>4506</v>
      </c>
      <c r="D1196" s="144" t="s">
        <v>829</v>
      </c>
      <c r="E1196" t="s">
        <v>830</v>
      </c>
      <c r="F1196" t="s">
        <v>487</v>
      </c>
      <c r="G1196" t="s">
        <v>831</v>
      </c>
      <c r="H1196" t="s">
        <v>2683</v>
      </c>
      <c r="I1196" t="s">
        <v>817</v>
      </c>
      <c r="J1196" t="s">
        <v>787</v>
      </c>
      <c r="K1196" t="s">
        <v>787</v>
      </c>
      <c r="L1196" t="s">
        <v>1055</v>
      </c>
      <c r="M1196" t="s">
        <v>208</v>
      </c>
      <c r="N1196" t="s">
        <v>906</v>
      </c>
      <c r="O1196" t="s">
        <v>894</v>
      </c>
      <c r="P1196" t="s">
        <v>772</v>
      </c>
      <c r="Q1196" t="s">
        <v>906</v>
      </c>
      <c r="R1196">
        <v>0</v>
      </c>
      <c r="S1196">
        <v>0</v>
      </c>
      <c r="T1196">
        <v>0</v>
      </c>
      <c r="U1196">
        <v>0</v>
      </c>
      <c r="V1196">
        <v>0</v>
      </c>
      <c r="W1196">
        <v>0</v>
      </c>
      <c r="X1196">
        <v>0</v>
      </c>
      <c r="Y1196">
        <v>0</v>
      </c>
      <c r="Z1196">
        <v>0</v>
      </c>
      <c r="AA1196">
        <v>0</v>
      </c>
      <c r="AB1196">
        <v>0</v>
      </c>
      <c r="AC1196">
        <v>0</v>
      </c>
      <c r="AD1196">
        <v>0</v>
      </c>
      <c r="AE1196">
        <v>0</v>
      </c>
      <c r="AF1196">
        <v>20</v>
      </c>
      <c r="AG1196">
        <v>5</v>
      </c>
      <c r="AH1196">
        <v>0</v>
      </c>
      <c r="AI1196">
        <v>0</v>
      </c>
      <c r="AY1196" t="str">
        <f t="shared" si="197"/>
        <v>SURAMOX 50 POUDRE ORALE VOLAILLE</v>
      </c>
      <c r="AZ1196" t="str">
        <f>IF(COUNTIF(AY:AY,AY1196)=1,AY1196,IF(AND(COUNTIF(AY:AY,AY1196)&gt;1,COUNTIF(AZ$2:AZ1195,AY1196)&gt;=1),"",AY1196))</f>
        <v/>
      </c>
      <c r="BA1196" t="str">
        <f>IF(AZ1196="","",COUNTIFS(AZ$3:AZ$1439,"&lt;"&amp;AZ1196,AZ$3:AZ$1439,"&lt;&gt;0")+COUNTIF(AZ$3:AZ1196,AZ1196)-876)</f>
        <v/>
      </c>
      <c r="BT1196" s="76"/>
      <c r="CN1196">
        <v>1195</v>
      </c>
    </row>
    <row r="1197" spans="1:92" x14ac:dyDescent="0.3">
      <c r="A1197" s="118" t="s">
        <v>2917</v>
      </c>
      <c r="B1197" t="s">
        <v>2923</v>
      </c>
      <c r="C1197" t="s">
        <v>2924</v>
      </c>
      <c r="D1197" s="144" t="s">
        <v>829</v>
      </c>
      <c r="E1197" t="s">
        <v>830</v>
      </c>
      <c r="F1197" t="s">
        <v>487</v>
      </c>
      <c r="G1197" t="s">
        <v>831</v>
      </c>
      <c r="H1197" t="s">
        <v>2683</v>
      </c>
      <c r="I1197" t="s">
        <v>817</v>
      </c>
      <c r="J1197" t="s">
        <v>787</v>
      </c>
      <c r="K1197" t="s">
        <v>787</v>
      </c>
      <c r="L1197" t="s">
        <v>1055</v>
      </c>
      <c r="M1197" t="s">
        <v>208</v>
      </c>
      <c r="N1197" t="s">
        <v>906</v>
      </c>
      <c r="O1197" t="s">
        <v>894</v>
      </c>
      <c r="P1197" t="s">
        <v>772</v>
      </c>
      <c r="Q1197" t="s">
        <v>906</v>
      </c>
      <c r="R1197">
        <v>0</v>
      </c>
      <c r="S1197">
        <v>0</v>
      </c>
      <c r="T1197">
        <v>0</v>
      </c>
      <c r="U1197">
        <v>0</v>
      </c>
      <c r="V1197">
        <v>0</v>
      </c>
      <c r="W1197">
        <v>0</v>
      </c>
      <c r="X1197">
        <v>0</v>
      </c>
      <c r="Y1197">
        <v>0</v>
      </c>
      <c r="Z1197">
        <v>0</v>
      </c>
      <c r="AA1197">
        <v>0</v>
      </c>
      <c r="AB1197">
        <v>0</v>
      </c>
      <c r="AC1197">
        <v>0</v>
      </c>
      <c r="AD1197">
        <v>0</v>
      </c>
      <c r="AE1197">
        <v>0</v>
      </c>
      <c r="AF1197">
        <v>20</v>
      </c>
      <c r="AG1197">
        <v>5</v>
      </c>
      <c r="AH1197">
        <v>0</v>
      </c>
      <c r="AI1197">
        <v>0</v>
      </c>
      <c r="AY1197" t="str">
        <f t="shared" si="197"/>
        <v>SURAMOX 50 POUDRE ORALE VOLAILLE</v>
      </c>
      <c r="AZ1197" t="str">
        <f>IF(COUNTIF(AY:AY,AY1197)=1,AY1197,IF(AND(COUNTIF(AY:AY,AY1197)&gt;1,COUNTIF(AZ$2:AZ1196,AY1197)&gt;=1),"",AY1197))</f>
        <v/>
      </c>
      <c r="BA1197" t="str">
        <f>IF(AZ1197="","",COUNTIFS(AZ$3:AZ$1439,"&lt;"&amp;AZ1197,AZ$3:AZ$1439,"&lt;&gt;0")+COUNTIF(AZ$3:AZ1197,AZ1197)-876)</f>
        <v/>
      </c>
      <c r="BT1197" s="76"/>
      <c r="CN1197">
        <v>1196</v>
      </c>
    </row>
    <row r="1198" spans="1:92" x14ac:dyDescent="0.3">
      <c r="A1198" s="118" t="s">
        <v>2917</v>
      </c>
      <c r="B1198" t="s">
        <v>2925</v>
      </c>
      <c r="C1198" t="s">
        <v>2926</v>
      </c>
      <c r="D1198" s="144" t="s">
        <v>906</v>
      </c>
      <c r="E1198" t="s">
        <v>830</v>
      </c>
      <c r="F1198" t="s">
        <v>487</v>
      </c>
      <c r="G1198" t="s">
        <v>831</v>
      </c>
      <c r="H1198" t="s">
        <v>2683</v>
      </c>
      <c r="I1198" t="s">
        <v>817</v>
      </c>
      <c r="J1198" t="s">
        <v>787</v>
      </c>
      <c r="K1198" t="s">
        <v>787</v>
      </c>
      <c r="L1198" t="s">
        <v>1055</v>
      </c>
      <c r="M1198" t="s">
        <v>208</v>
      </c>
      <c r="N1198" t="s">
        <v>906</v>
      </c>
      <c r="O1198" t="s">
        <v>894</v>
      </c>
      <c r="P1198" t="s">
        <v>772</v>
      </c>
      <c r="Q1198" t="s">
        <v>776</v>
      </c>
      <c r="R1198">
        <v>0</v>
      </c>
      <c r="S1198">
        <v>0</v>
      </c>
      <c r="T1198">
        <v>0</v>
      </c>
      <c r="U1198">
        <v>0</v>
      </c>
      <c r="V1198">
        <v>0</v>
      </c>
      <c r="W1198">
        <v>0</v>
      </c>
      <c r="X1198">
        <v>0</v>
      </c>
      <c r="Y1198">
        <v>0</v>
      </c>
      <c r="Z1198">
        <v>0</v>
      </c>
      <c r="AA1198">
        <v>0</v>
      </c>
      <c r="AB1198">
        <v>0</v>
      </c>
      <c r="AC1198">
        <v>0</v>
      </c>
      <c r="AD1198">
        <v>0</v>
      </c>
      <c r="AE1198">
        <v>0</v>
      </c>
      <c r="AF1198">
        <v>20</v>
      </c>
      <c r="AG1198">
        <v>5</v>
      </c>
      <c r="AH1198">
        <v>0</v>
      </c>
      <c r="AI1198">
        <v>0</v>
      </c>
      <c r="AY1198" t="str">
        <f t="shared" si="197"/>
        <v>SURAMOX 50 POUDRE ORALE VOLAILLE</v>
      </c>
      <c r="AZ1198" t="str">
        <f>IF(COUNTIF(AY:AY,AY1198)=1,AY1198,IF(AND(COUNTIF(AY:AY,AY1198)&gt;1,COUNTIF(AZ$2:AZ1197,AY1198)&gt;=1),"",AY1198))</f>
        <v/>
      </c>
      <c r="BA1198" t="str">
        <f>IF(AZ1198="","",COUNTIFS(AZ$3:AZ$1439,"&lt;"&amp;AZ1198,AZ$3:AZ$1439,"&lt;&gt;0")+COUNTIF(AZ$3:AZ1198,AZ1198)-876)</f>
        <v/>
      </c>
      <c r="BT1198" s="76"/>
      <c r="CN1198">
        <v>1197</v>
      </c>
    </row>
    <row r="1199" spans="1:92" x14ac:dyDescent="0.3">
      <c r="A1199" s="118" t="s">
        <v>2531</v>
      </c>
      <c r="B1199" t="s">
        <v>2532</v>
      </c>
      <c r="C1199" t="s">
        <v>1062</v>
      </c>
      <c r="D1199" s="144" t="s">
        <v>1063</v>
      </c>
      <c r="E1199" t="s">
        <v>830</v>
      </c>
      <c r="F1199" t="s">
        <v>488</v>
      </c>
      <c r="G1199" t="s">
        <v>1064</v>
      </c>
      <c r="H1199" t="s">
        <v>170</v>
      </c>
      <c r="I1199" t="s">
        <v>1066</v>
      </c>
      <c r="J1199" t="s">
        <v>787</v>
      </c>
      <c r="K1199" t="s">
        <v>787</v>
      </c>
      <c r="L1199" t="s">
        <v>1055</v>
      </c>
      <c r="M1199" t="s">
        <v>208</v>
      </c>
      <c r="N1199" t="s">
        <v>780</v>
      </c>
      <c r="O1199" t="s">
        <v>894</v>
      </c>
      <c r="P1199" t="s">
        <v>772</v>
      </c>
      <c r="Q1199" t="s">
        <v>1244</v>
      </c>
      <c r="R1199">
        <v>0</v>
      </c>
      <c r="S1199">
        <v>0</v>
      </c>
      <c r="T1199">
        <v>0</v>
      </c>
      <c r="U1199">
        <v>0</v>
      </c>
      <c r="V1199">
        <v>0</v>
      </c>
      <c r="W1199">
        <v>0</v>
      </c>
      <c r="X1199">
        <v>0</v>
      </c>
      <c r="Y1199">
        <v>0</v>
      </c>
      <c r="Z1199">
        <v>0</v>
      </c>
      <c r="AA1199">
        <v>0</v>
      </c>
      <c r="AB1199">
        <v>0</v>
      </c>
      <c r="AC1199">
        <v>0</v>
      </c>
      <c r="AD1199">
        <v>15</v>
      </c>
      <c r="AE1199">
        <v>15</v>
      </c>
      <c r="AF1199">
        <v>0</v>
      </c>
      <c r="AG1199">
        <v>0</v>
      </c>
      <c r="AH1199">
        <v>0</v>
      </c>
      <c r="AI1199">
        <v>0</v>
      </c>
      <c r="AY1199" t="str">
        <f t="shared" si="197"/>
        <v>SURAMOX 50 PREMELANGE MEDICAMENTEUX</v>
      </c>
      <c r="AZ1199" t="str">
        <f>IF(COUNTIF(AY:AY,AY1199)=1,AY1199,IF(AND(COUNTIF(AY:AY,AY1199)&gt;1,COUNTIF(AZ$2:AZ1198,AY1199)&gt;=1),"",AY1199))</f>
        <v>SURAMOX 50 PREMELANGE MEDICAMENTEUX</v>
      </c>
      <c r="BA1199">
        <f>IF(AZ1199="","",COUNTIFS(AZ$3:AZ$1439,"&lt;"&amp;AZ1199,AZ$3:AZ$1439,"&lt;&gt;0")+COUNTIF(AZ$3:AZ1199,AZ1199)-876)</f>
        <v>473</v>
      </c>
      <c r="BT1199" s="76"/>
      <c r="CN1199">
        <v>1198</v>
      </c>
    </row>
    <row r="1200" spans="1:92" x14ac:dyDescent="0.3">
      <c r="A1200" s="118" t="s">
        <v>2310</v>
      </c>
      <c r="B1200" t="s">
        <v>2311</v>
      </c>
      <c r="C1200" t="s">
        <v>2312</v>
      </c>
      <c r="D1200" s="144" t="s">
        <v>972</v>
      </c>
      <c r="E1200" t="s">
        <v>765</v>
      </c>
      <c r="F1200" t="s">
        <v>2313</v>
      </c>
      <c r="G1200" t="s">
        <v>964</v>
      </c>
      <c r="H1200" t="s">
        <v>816</v>
      </c>
      <c r="I1200" t="s">
        <v>879</v>
      </c>
      <c r="J1200" t="s">
        <v>914</v>
      </c>
      <c r="K1200" t="s">
        <v>914</v>
      </c>
      <c r="L1200" t="s">
        <v>915</v>
      </c>
      <c r="M1200" t="s">
        <v>208</v>
      </c>
      <c r="N1200" t="s">
        <v>2314</v>
      </c>
      <c r="O1200" t="s">
        <v>805</v>
      </c>
      <c r="P1200" t="s">
        <v>917</v>
      </c>
      <c r="Q1200" t="s">
        <v>918</v>
      </c>
      <c r="R1200">
        <v>0</v>
      </c>
      <c r="S1200">
        <v>0</v>
      </c>
      <c r="T1200">
        <v>0</v>
      </c>
      <c r="U1200">
        <v>0</v>
      </c>
      <c r="V1200">
        <v>0</v>
      </c>
      <c r="W1200">
        <v>0</v>
      </c>
      <c r="X1200">
        <v>0</v>
      </c>
      <c r="Y1200">
        <v>0</v>
      </c>
      <c r="Z1200">
        <v>0</v>
      </c>
      <c r="AA1200">
        <v>0</v>
      </c>
      <c r="AB1200">
        <v>0</v>
      </c>
      <c r="AC1200">
        <v>0</v>
      </c>
      <c r="AD1200">
        <v>0</v>
      </c>
      <c r="AE1200">
        <v>0</v>
      </c>
      <c r="AF1200">
        <v>0</v>
      </c>
      <c r="AG1200">
        <v>0</v>
      </c>
      <c r="AH1200">
        <v>0</v>
      </c>
      <c r="AI1200">
        <v>0</v>
      </c>
      <c r="AY1200" t="str">
        <f t="shared" si="197"/>
        <v/>
      </c>
      <c r="AZ1200" t="str">
        <f>IF(COUNTIF(AY:AY,AY1200)=1,AY1200,IF(AND(COUNTIF(AY:AY,AY1200)&gt;1,COUNTIF(AZ$2:AZ1199,AY1200)&gt;=1),"",AY1200))</f>
        <v/>
      </c>
      <c r="BA1200" t="str">
        <f>IF(AZ1200="","",COUNTIFS(AZ$3:AZ$1439,"&lt;"&amp;AZ1200,AZ$3:AZ$1439,"&lt;&gt;0")+COUNTIF(AZ$3:AZ1200,AZ1200)-876)</f>
        <v/>
      </c>
      <c r="BT1200" s="76"/>
      <c r="CN1200">
        <v>1199</v>
      </c>
    </row>
    <row r="1201" spans="1:92" x14ac:dyDescent="0.3">
      <c r="A1201" s="118" t="s">
        <v>2310</v>
      </c>
      <c r="B1201" t="s">
        <v>2315</v>
      </c>
      <c r="C1201" t="s">
        <v>2316</v>
      </c>
      <c r="D1201" s="144" t="s">
        <v>797</v>
      </c>
      <c r="E1201" t="s">
        <v>765</v>
      </c>
      <c r="F1201" t="s">
        <v>2313</v>
      </c>
      <c r="G1201" t="s">
        <v>964</v>
      </c>
      <c r="H1201" t="s">
        <v>816</v>
      </c>
      <c r="I1201" t="s">
        <v>879</v>
      </c>
      <c r="J1201" t="s">
        <v>914</v>
      </c>
      <c r="K1201" t="s">
        <v>914</v>
      </c>
      <c r="L1201" t="s">
        <v>915</v>
      </c>
      <c r="M1201" t="s">
        <v>208</v>
      </c>
      <c r="N1201" t="s">
        <v>2314</v>
      </c>
      <c r="O1201" t="s">
        <v>805</v>
      </c>
      <c r="P1201" t="s">
        <v>917</v>
      </c>
      <c r="Q1201" t="s">
        <v>888</v>
      </c>
      <c r="R1201">
        <v>0</v>
      </c>
      <c r="S1201">
        <v>0</v>
      </c>
      <c r="T1201">
        <v>0</v>
      </c>
      <c r="U1201">
        <v>0</v>
      </c>
      <c r="V1201">
        <v>0</v>
      </c>
      <c r="W1201">
        <v>0</v>
      </c>
      <c r="X1201">
        <v>0</v>
      </c>
      <c r="Y1201">
        <v>0</v>
      </c>
      <c r="Z1201">
        <v>0</v>
      </c>
      <c r="AA1201">
        <v>0</v>
      </c>
      <c r="AB1201">
        <v>0</v>
      </c>
      <c r="AC1201">
        <v>0</v>
      </c>
      <c r="AD1201">
        <v>0</v>
      </c>
      <c r="AE1201">
        <v>0</v>
      </c>
      <c r="AF1201">
        <v>0</v>
      </c>
      <c r="AG1201">
        <v>0</v>
      </c>
      <c r="AH1201">
        <v>0</v>
      </c>
      <c r="AI1201">
        <v>0</v>
      </c>
      <c r="AY1201" t="str">
        <f t="shared" si="197"/>
        <v/>
      </c>
      <c r="AZ1201" t="str">
        <f>IF(COUNTIF(AY:AY,AY1201)=1,AY1201,IF(AND(COUNTIF(AY:AY,AY1201)&gt;1,COUNTIF(AZ$2:AZ1200,AY1201)&gt;=1),"",AY1201))</f>
        <v/>
      </c>
      <c r="BA1201" t="str">
        <f>IF(AZ1201="","",COUNTIFS(AZ$3:AZ$1439,"&lt;"&amp;AZ1201,AZ$3:AZ$1439,"&lt;&gt;0")+COUNTIF(AZ$3:AZ1201,AZ1201)-876)</f>
        <v/>
      </c>
      <c r="BT1201" s="76"/>
      <c r="CN1201">
        <v>1200</v>
      </c>
    </row>
    <row r="1202" spans="1:92" x14ac:dyDescent="0.3">
      <c r="A1202" s="118" t="s">
        <v>2066</v>
      </c>
      <c r="B1202" t="s">
        <v>2067</v>
      </c>
      <c r="C1202" t="s">
        <v>2068</v>
      </c>
      <c r="D1202" s="144" t="s">
        <v>776</v>
      </c>
      <c r="E1202" t="s">
        <v>813</v>
      </c>
      <c r="F1202" t="s">
        <v>2069</v>
      </c>
      <c r="G1202" t="s">
        <v>815</v>
      </c>
      <c r="H1202" t="s">
        <v>860</v>
      </c>
      <c r="I1202" t="s">
        <v>817</v>
      </c>
      <c r="J1202" t="s">
        <v>2070</v>
      </c>
      <c r="K1202" t="s">
        <v>787</v>
      </c>
      <c r="L1202" t="s">
        <v>1055</v>
      </c>
      <c r="M1202" t="s">
        <v>208</v>
      </c>
      <c r="N1202" t="s">
        <v>864</v>
      </c>
      <c r="O1202" t="s">
        <v>824</v>
      </c>
      <c r="P1202" t="s">
        <v>772</v>
      </c>
      <c r="Q1202" t="s">
        <v>780</v>
      </c>
      <c r="R1202">
        <v>0</v>
      </c>
      <c r="S1202">
        <v>0</v>
      </c>
      <c r="T1202">
        <v>20</v>
      </c>
      <c r="U1202">
        <v>7</v>
      </c>
      <c r="V1202">
        <v>0</v>
      </c>
      <c r="W1202">
        <v>0</v>
      </c>
      <c r="X1202">
        <v>0</v>
      </c>
      <c r="Y1202">
        <v>0</v>
      </c>
      <c r="Z1202">
        <v>0</v>
      </c>
      <c r="AA1202">
        <v>0</v>
      </c>
      <c r="AB1202">
        <v>0</v>
      </c>
      <c r="AC1202">
        <v>0</v>
      </c>
      <c r="AD1202">
        <v>0</v>
      </c>
      <c r="AE1202">
        <v>0</v>
      </c>
      <c r="AF1202">
        <v>0</v>
      </c>
      <c r="AG1202">
        <v>0</v>
      </c>
      <c r="AH1202">
        <v>0</v>
      </c>
      <c r="AI1202">
        <v>0</v>
      </c>
      <c r="AJ1202" t="s">
        <v>2071</v>
      </c>
      <c r="AK1202" t="s">
        <v>2072</v>
      </c>
      <c r="AL1202" t="s">
        <v>208</v>
      </c>
      <c r="AM1202" t="s">
        <v>780</v>
      </c>
      <c r="AN1202" t="s">
        <v>824</v>
      </c>
      <c r="AO1202" t="s">
        <v>2073</v>
      </c>
      <c r="AP1202" t="s">
        <v>2073</v>
      </c>
      <c r="AY1202" t="str">
        <f t="shared" si="197"/>
        <v/>
      </c>
      <c r="AZ1202" t="str">
        <f>IF(COUNTIF(AY:AY,AY1202)=1,AY1202,IF(AND(COUNTIF(AY:AY,AY1202)&gt;1,COUNTIF(AZ$2:AZ1201,AY1202)&gt;=1),"",AY1202))</f>
        <v/>
      </c>
      <c r="BA1202" t="str">
        <f>IF(AZ1202="","",COUNTIFS(AZ$3:AZ$1439,"&lt;"&amp;AZ1202,AZ$3:AZ$1439,"&lt;&gt;0")+COUNTIF(AZ$3:AZ1202,AZ1202)-876)</f>
        <v/>
      </c>
      <c r="BT1202" s="76"/>
      <c r="CN1202">
        <v>1201</v>
      </c>
    </row>
    <row r="1203" spans="1:92" x14ac:dyDescent="0.3">
      <c r="A1203" s="118" t="s">
        <v>2066</v>
      </c>
      <c r="B1203" t="s">
        <v>2074</v>
      </c>
      <c r="C1203" t="s">
        <v>1647</v>
      </c>
      <c r="D1203" s="144" t="s">
        <v>852</v>
      </c>
      <c r="E1203" t="s">
        <v>813</v>
      </c>
      <c r="F1203" t="s">
        <v>2069</v>
      </c>
      <c r="G1203" t="s">
        <v>815</v>
      </c>
      <c r="H1203" t="s">
        <v>860</v>
      </c>
      <c r="I1203" t="s">
        <v>817</v>
      </c>
      <c r="J1203" t="s">
        <v>2070</v>
      </c>
      <c r="K1203" t="s">
        <v>787</v>
      </c>
      <c r="L1203" t="s">
        <v>1055</v>
      </c>
      <c r="M1203" t="s">
        <v>208</v>
      </c>
      <c r="N1203" t="s">
        <v>864</v>
      </c>
      <c r="O1203" t="s">
        <v>824</v>
      </c>
      <c r="P1203" t="s">
        <v>772</v>
      </c>
      <c r="Q1203" t="s">
        <v>1033</v>
      </c>
      <c r="R1203">
        <v>0</v>
      </c>
      <c r="S1203">
        <v>0</v>
      </c>
      <c r="T1203">
        <v>20</v>
      </c>
      <c r="U1203">
        <v>7</v>
      </c>
      <c r="V1203">
        <v>0</v>
      </c>
      <c r="W1203">
        <v>0</v>
      </c>
      <c r="X1203">
        <v>0</v>
      </c>
      <c r="Y1203">
        <v>0</v>
      </c>
      <c r="Z1203">
        <v>0</v>
      </c>
      <c r="AA1203">
        <v>0</v>
      </c>
      <c r="AB1203">
        <v>0</v>
      </c>
      <c r="AC1203">
        <v>0</v>
      </c>
      <c r="AD1203">
        <v>0</v>
      </c>
      <c r="AE1203">
        <v>0</v>
      </c>
      <c r="AF1203">
        <v>0</v>
      </c>
      <c r="AG1203">
        <v>0</v>
      </c>
      <c r="AH1203">
        <v>0</v>
      </c>
      <c r="AI1203">
        <v>0</v>
      </c>
      <c r="AJ1203" t="s">
        <v>2071</v>
      </c>
      <c r="AK1203" t="s">
        <v>2072</v>
      </c>
      <c r="AL1203" t="s">
        <v>208</v>
      </c>
      <c r="AM1203" t="s">
        <v>780</v>
      </c>
      <c r="AN1203" t="s">
        <v>824</v>
      </c>
      <c r="AO1203" t="s">
        <v>2073</v>
      </c>
      <c r="AP1203" t="s">
        <v>2073</v>
      </c>
      <c r="AY1203" t="str">
        <f t="shared" si="197"/>
        <v/>
      </c>
      <c r="AZ1203" t="str">
        <f>IF(COUNTIF(AY:AY,AY1203)=1,AY1203,IF(AND(COUNTIF(AY:AY,AY1203)&gt;1,COUNTIF(AZ$2:AZ1202,AY1203)&gt;=1),"",AY1203))</f>
        <v/>
      </c>
      <c r="BA1203" t="str">
        <f>IF(AZ1203="","",COUNTIFS(AZ$3:AZ$1439,"&lt;"&amp;AZ1203,AZ$3:AZ$1439,"&lt;&gt;0")+COUNTIF(AZ$3:AZ1203,AZ1203)-876)</f>
        <v/>
      </c>
      <c r="BT1203" s="76"/>
      <c r="CN1203">
        <v>1202</v>
      </c>
    </row>
    <row r="1204" spans="1:92" x14ac:dyDescent="0.3">
      <c r="A1204" s="118" t="s">
        <v>2075</v>
      </c>
      <c r="B1204" t="s">
        <v>2076</v>
      </c>
      <c r="C1204" t="s">
        <v>2068</v>
      </c>
      <c r="D1204" s="144" t="s">
        <v>776</v>
      </c>
      <c r="E1204" t="s">
        <v>813</v>
      </c>
      <c r="F1204" t="s">
        <v>2077</v>
      </c>
      <c r="G1204" t="s">
        <v>815</v>
      </c>
      <c r="H1204" t="s">
        <v>816</v>
      </c>
      <c r="I1204" t="s">
        <v>817</v>
      </c>
      <c r="J1204" t="s">
        <v>2070</v>
      </c>
      <c r="K1204" t="s">
        <v>787</v>
      </c>
      <c r="L1204" t="s">
        <v>1055</v>
      </c>
      <c r="M1204" t="s">
        <v>208</v>
      </c>
      <c r="N1204" t="s">
        <v>932</v>
      </c>
      <c r="O1204" t="s">
        <v>824</v>
      </c>
      <c r="P1204" t="s">
        <v>772</v>
      </c>
      <c r="Q1204" t="s">
        <v>852</v>
      </c>
      <c r="R1204">
        <v>0</v>
      </c>
      <c r="S1204">
        <v>0</v>
      </c>
      <c r="T1204">
        <v>20</v>
      </c>
      <c r="U1204">
        <v>7</v>
      </c>
      <c r="V1204">
        <v>0</v>
      </c>
      <c r="W1204">
        <v>0</v>
      </c>
      <c r="X1204">
        <v>0</v>
      </c>
      <c r="Y1204">
        <v>0</v>
      </c>
      <c r="Z1204">
        <v>0</v>
      </c>
      <c r="AA1204">
        <v>0</v>
      </c>
      <c r="AB1204">
        <v>0</v>
      </c>
      <c r="AC1204">
        <v>0</v>
      </c>
      <c r="AD1204">
        <v>0</v>
      </c>
      <c r="AE1204">
        <v>0</v>
      </c>
      <c r="AF1204">
        <v>0</v>
      </c>
      <c r="AG1204">
        <v>0</v>
      </c>
      <c r="AH1204">
        <v>0</v>
      </c>
      <c r="AI1204">
        <v>0</v>
      </c>
      <c r="AJ1204" t="s">
        <v>2071</v>
      </c>
      <c r="AK1204" t="s">
        <v>2072</v>
      </c>
      <c r="AL1204" t="s">
        <v>208</v>
      </c>
      <c r="AM1204" t="s">
        <v>852</v>
      </c>
      <c r="AN1204" t="s">
        <v>824</v>
      </c>
      <c r="AO1204" t="s">
        <v>2073</v>
      </c>
      <c r="AP1204" t="s">
        <v>2073</v>
      </c>
      <c r="AY1204" t="str">
        <f t="shared" si="197"/>
        <v/>
      </c>
      <c r="AZ1204" t="str">
        <f>IF(COUNTIF(AY:AY,AY1204)=1,AY1204,IF(AND(COUNTIF(AY:AY,AY1204)&gt;1,COUNTIF(AZ$2:AZ1203,AY1204)&gt;=1),"",AY1204))</f>
        <v/>
      </c>
      <c r="BA1204" t="str">
        <f>IF(AZ1204="","",COUNTIFS(AZ$3:AZ$1439,"&lt;"&amp;AZ1204,AZ$3:AZ$1439,"&lt;&gt;0")+COUNTIF(AZ$3:AZ1204,AZ1204)-876)</f>
        <v/>
      </c>
      <c r="BT1204" s="76"/>
      <c r="CN1204">
        <v>1203</v>
      </c>
    </row>
    <row r="1205" spans="1:92" x14ac:dyDescent="0.3">
      <c r="A1205" s="118" t="s">
        <v>2075</v>
      </c>
      <c r="B1205" t="s">
        <v>2078</v>
      </c>
      <c r="C1205" t="s">
        <v>1647</v>
      </c>
      <c r="D1205" s="144" t="s">
        <v>852</v>
      </c>
      <c r="E1205" t="s">
        <v>813</v>
      </c>
      <c r="F1205" t="s">
        <v>2077</v>
      </c>
      <c r="G1205" t="s">
        <v>815</v>
      </c>
      <c r="H1205" t="s">
        <v>816</v>
      </c>
      <c r="I1205" t="s">
        <v>817</v>
      </c>
      <c r="J1205" t="s">
        <v>2070</v>
      </c>
      <c r="K1205" t="s">
        <v>787</v>
      </c>
      <c r="L1205" t="s">
        <v>1055</v>
      </c>
      <c r="M1205" t="s">
        <v>208</v>
      </c>
      <c r="N1205" t="s">
        <v>932</v>
      </c>
      <c r="O1205" t="s">
        <v>824</v>
      </c>
      <c r="P1205" t="s">
        <v>772</v>
      </c>
      <c r="Q1205" t="s">
        <v>1028</v>
      </c>
      <c r="R1205">
        <v>0</v>
      </c>
      <c r="S1205">
        <v>0</v>
      </c>
      <c r="T1205">
        <v>20</v>
      </c>
      <c r="U1205">
        <v>7</v>
      </c>
      <c r="V1205">
        <v>0</v>
      </c>
      <c r="W1205">
        <v>0</v>
      </c>
      <c r="X1205">
        <v>0</v>
      </c>
      <c r="Y1205">
        <v>0</v>
      </c>
      <c r="Z1205">
        <v>0</v>
      </c>
      <c r="AA1205">
        <v>0</v>
      </c>
      <c r="AB1205">
        <v>0</v>
      </c>
      <c r="AC1205">
        <v>0</v>
      </c>
      <c r="AD1205">
        <v>0</v>
      </c>
      <c r="AE1205">
        <v>0</v>
      </c>
      <c r="AF1205">
        <v>0</v>
      </c>
      <c r="AG1205">
        <v>0</v>
      </c>
      <c r="AH1205">
        <v>0</v>
      </c>
      <c r="AI1205">
        <v>0</v>
      </c>
      <c r="AJ1205" t="s">
        <v>2071</v>
      </c>
      <c r="AK1205" t="s">
        <v>2072</v>
      </c>
      <c r="AL1205" t="s">
        <v>208</v>
      </c>
      <c r="AM1205" t="s">
        <v>852</v>
      </c>
      <c r="AN1205" t="s">
        <v>824</v>
      </c>
      <c r="AO1205" t="s">
        <v>2073</v>
      </c>
      <c r="AP1205" t="s">
        <v>2073</v>
      </c>
      <c r="AY1205" t="str">
        <f t="shared" si="197"/>
        <v/>
      </c>
      <c r="AZ1205" t="str">
        <f>IF(COUNTIF(AY:AY,AY1205)=1,AY1205,IF(AND(COUNTIF(AY:AY,AY1205)&gt;1,COUNTIF(AZ$2:AZ1204,AY1205)&gt;=1),"",AY1205))</f>
        <v/>
      </c>
      <c r="BA1205" t="str">
        <f>IF(AZ1205="","",COUNTIFS(AZ$3:AZ$1439,"&lt;"&amp;AZ1205,AZ$3:AZ$1439,"&lt;&gt;0")+COUNTIF(AZ$3:AZ1205,AZ1205)-876)</f>
        <v/>
      </c>
      <c r="BT1205" s="76"/>
      <c r="CN1205">
        <v>1204</v>
      </c>
    </row>
    <row r="1206" spans="1:92" x14ac:dyDescent="0.3">
      <c r="A1206" s="118" t="s">
        <v>2213</v>
      </c>
      <c r="B1206" t="s">
        <v>2214</v>
      </c>
      <c r="C1206" t="s">
        <v>2215</v>
      </c>
      <c r="D1206" s="144" t="s">
        <v>864</v>
      </c>
      <c r="E1206" t="s">
        <v>813</v>
      </c>
      <c r="F1206" t="s">
        <v>2216</v>
      </c>
      <c r="G1206" t="s">
        <v>815</v>
      </c>
      <c r="H1206" t="s">
        <v>860</v>
      </c>
      <c r="I1206" t="s">
        <v>817</v>
      </c>
      <c r="J1206" t="s">
        <v>2070</v>
      </c>
      <c r="K1206" t="s">
        <v>787</v>
      </c>
      <c r="L1206" t="s">
        <v>1055</v>
      </c>
      <c r="M1206" t="s">
        <v>208</v>
      </c>
      <c r="N1206" t="s">
        <v>939</v>
      </c>
      <c r="O1206" t="s">
        <v>824</v>
      </c>
      <c r="P1206" t="s">
        <v>772</v>
      </c>
      <c r="Q1206" t="s">
        <v>940</v>
      </c>
      <c r="R1206">
        <v>0</v>
      </c>
      <c r="S1206">
        <v>0</v>
      </c>
      <c r="T1206">
        <v>20</v>
      </c>
      <c r="U1206">
        <v>7</v>
      </c>
      <c r="V1206">
        <v>0</v>
      </c>
      <c r="W1206">
        <v>0</v>
      </c>
      <c r="X1206">
        <v>0</v>
      </c>
      <c r="Y1206">
        <v>0</v>
      </c>
      <c r="Z1206">
        <v>0</v>
      </c>
      <c r="AA1206">
        <v>0</v>
      </c>
      <c r="AB1206">
        <v>0</v>
      </c>
      <c r="AC1206">
        <v>0</v>
      </c>
      <c r="AD1206">
        <v>0</v>
      </c>
      <c r="AE1206">
        <v>0</v>
      </c>
      <c r="AF1206">
        <v>0</v>
      </c>
      <c r="AG1206">
        <v>0</v>
      </c>
      <c r="AH1206">
        <v>0</v>
      </c>
      <c r="AI1206">
        <v>0</v>
      </c>
      <c r="AJ1206" t="s">
        <v>2071</v>
      </c>
      <c r="AK1206" t="s">
        <v>2072</v>
      </c>
      <c r="AL1206" t="s">
        <v>208</v>
      </c>
      <c r="AM1206" t="s">
        <v>764</v>
      </c>
      <c r="AN1206" t="s">
        <v>824</v>
      </c>
      <c r="AO1206" t="s">
        <v>2073</v>
      </c>
      <c r="AP1206" t="s">
        <v>2073</v>
      </c>
      <c r="AY1206" t="str">
        <f t="shared" si="197"/>
        <v/>
      </c>
      <c r="AZ1206" t="str">
        <f>IF(COUNTIF(AY:AY,AY1206)=1,AY1206,IF(AND(COUNTIF(AY:AY,AY1206)&gt;1,COUNTIF(AZ$2:AZ1205,AY1206)&gt;=1),"",AY1206))</f>
        <v/>
      </c>
      <c r="BA1206" t="str">
        <f>IF(AZ1206="","",COUNTIFS(AZ$3:AZ$1439,"&lt;"&amp;AZ1206,AZ$3:AZ$1439,"&lt;&gt;0")+COUNTIF(AZ$3:AZ1206,AZ1206)-876)</f>
        <v/>
      </c>
      <c r="BT1206" s="76"/>
      <c r="CN1206">
        <v>1205</v>
      </c>
    </row>
    <row r="1207" spans="1:92" x14ac:dyDescent="0.3">
      <c r="A1207" s="118" t="s">
        <v>2213</v>
      </c>
      <c r="B1207" t="s">
        <v>2217</v>
      </c>
      <c r="C1207" t="s">
        <v>2218</v>
      </c>
      <c r="D1207" s="144" t="s">
        <v>852</v>
      </c>
      <c r="E1207" t="s">
        <v>813</v>
      </c>
      <c r="F1207" t="s">
        <v>2216</v>
      </c>
      <c r="G1207" t="s">
        <v>815</v>
      </c>
      <c r="H1207" t="s">
        <v>860</v>
      </c>
      <c r="I1207" t="s">
        <v>817</v>
      </c>
      <c r="J1207" t="s">
        <v>2070</v>
      </c>
      <c r="K1207" t="s">
        <v>787</v>
      </c>
      <c r="L1207" t="s">
        <v>1055</v>
      </c>
      <c r="M1207" t="s">
        <v>208</v>
      </c>
      <c r="N1207" t="s">
        <v>939</v>
      </c>
      <c r="O1207" t="s">
        <v>824</v>
      </c>
      <c r="P1207" t="s">
        <v>772</v>
      </c>
      <c r="Q1207" t="s">
        <v>934</v>
      </c>
      <c r="R1207">
        <v>0</v>
      </c>
      <c r="S1207">
        <v>0</v>
      </c>
      <c r="T1207">
        <v>20</v>
      </c>
      <c r="U1207">
        <v>7</v>
      </c>
      <c r="V1207">
        <v>0</v>
      </c>
      <c r="W1207">
        <v>0</v>
      </c>
      <c r="X1207">
        <v>0</v>
      </c>
      <c r="Y1207">
        <v>0</v>
      </c>
      <c r="Z1207">
        <v>0</v>
      </c>
      <c r="AA1207">
        <v>0</v>
      </c>
      <c r="AB1207">
        <v>0</v>
      </c>
      <c r="AC1207">
        <v>0</v>
      </c>
      <c r="AD1207">
        <v>0</v>
      </c>
      <c r="AE1207">
        <v>0</v>
      </c>
      <c r="AF1207">
        <v>0</v>
      </c>
      <c r="AG1207">
        <v>0</v>
      </c>
      <c r="AH1207">
        <v>0</v>
      </c>
      <c r="AI1207">
        <v>0</v>
      </c>
      <c r="AJ1207" t="s">
        <v>2071</v>
      </c>
      <c r="AK1207" t="s">
        <v>2072</v>
      </c>
      <c r="AL1207" t="s">
        <v>208</v>
      </c>
      <c r="AM1207" t="s">
        <v>764</v>
      </c>
      <c r="AN1207" t="s">
        <v>824</v>
      </c>
      <c r="AO1207" t="s">
        <v>2073</v>
      </c>
      <c r="AP1207" t="s">
        <v>2073</v>
      </c>
      <c r="AY1207" t="str">
        <f t="shared" si="197"/>
        <v/>
      </c>
      <c r="AZ1207" t="str">
        <f>IF(COUNTIF(AY:AY,AY1207)=1,AY1207,IF(AND(COUNTIF(AY:AY,AY1207)&gt;1,COUNTIF(AZ$2:AZ1206,AY1207)&gt;=1),"",AY1207))</f>
        <v/>
      </c>
      <c r="BA1207" t="str">
        <f>IF(AZ1207="","",COUNTIFS(AZ$3:AZ$1439,"&lt;"&amp;AZ1207,AZ$3:AZ$1439,"&lt;&gt;0")+COUNTIF(AZ$3:AZ1207,AZ1207)-876)</f>
        <v/>
      </c>
      <c r="BT1207" s="76"/>
      <c r="CN1207">
        <v>1206</v>
      </c>
    </row>
    <row r="1208" spans="1:92" x14ac:dyDescent="0.3">
      <c r="A1208" s="118" t="s">
        <v>2094</v>
      </c>
      <c r="B1208" t="s">
        <v>2095</v>
      </c>
      <c r="C1208" t="s">
        <v>2096</v>
      </c>
      <c r="D1208" s="144" t="s">
        <v>869</v>
      </c>
      <c r="E1208" t="s">
        <v>813</v>
      </c>
      <c r="F1208" t="s">
        <v>489</v>
      </c>
      <c r="G1208" t="s">
        <v>815</v>
      </c>
      <c r="H1208" t="s">
        <v>169</v>
      </c>
      <c r="I1208" t="s">
        <v>817</v>
      </c>
      <c r="J1208" t="s">
        <v>2070</v>
      </c>
      <c r="K1208" t="s">
        <v>787</v>
      </c>
      <c r="L1208" t="s">
        <v>1055</v>
      </c>
      <c r="M1208" t="s">
        <v>208</v>
      </c>
      <c r="N1208" t="s">
        <v>939</v>
      </c>
      <c r="O1208" t="s">
        <v>824</v>
      </c>
      <c r="P1208" t="s">
        <v>772</v>
      </c>
      <c r="Q1208" t="s">
        <v>1791</v>
      </c>
      <c r="R1208">
        <v>20</v>
      </c>
      <c r="S1208">
        <v>3</v>
      </c>
      <c r="T1208">
        <v>0</v>
      </c>
      <c r="U1208">
        <v>0</v>
      </c>
      <c r="V1208">
        <v>0</v>
      </c>
      <c r="W1208">
        <v>0</v>
      </c>
      <c r="X1208">
        <v>0</v>
      </c>
      <c r="Y1208">
        <v>0</v>
      </c>
      <c r="Z1208">
        <v>0</v>
      </c>
      <c r="AA1208">
        <v>0</v>
      </c>
      <c r="AB1208">
        <v>0</v>
      </c>
      <c r="AC1208">
        <v>0</v>
      </c>
      <c r="AD1208">
        <v>0</v>
      </c>
      <c r="AE1208">
        <v>0</v>
      </c>
      <c r="AF1208">
        <v>0</v>
      </c>
      <c r="AG1208">
        <v>0</v>
      </c>
      <c r="AH1208">
        <v>0</v>
      </c>
      <c r="AI1208">
        <v>0</v>
      </c>
      <c r="AJ1208" t="s">
        <v>2071</v>
      </c>
      <c r="AK1208" t="s">
        <v>2072</v>
      </c>
      <c r="AL1208" t="s">
        <v>208</v>
      </c>
      <c r="AM1208" t="s">
        <v>764</v>
      </c>
      <c r="AN1208" t="s">
        <v>824</v>
      </c>
      <c r="AO1208" t="s">
        <v>2073</v>
      </c>
      <c r="AP1208" t="s">
        <v>2073</v>
      </c>
      <c r="AY1208" t="str">
        <f t="shared" si="197"/>
        <v>SYNULOX 500 MG OGIVETTES</v>
      </c>
      <c r="AZ1208" t="str">
        <f>IF(COUNTIF(AY:AY,AY1208)=1,AY1208,IF(AND(COUNTIF(AY:AY,AY1208)&gt;1,COUNTIF(AZ$2:AZ1207,AY1208)&gt;=1),"",AY1208))</f>
        <v>SYNULOX 500 MG OGIVETTES</v>
      </c>
      <c r="BA1208">
        <f>IF(AZ1208="","",COUNTIFS(AZ$3:AZ$1439,"&lt;"&amp;AZ1208,AZ$3:AZ$1439,"&lt;&gt;0")+COUNTIF(AZ$3:AZ1208,AZ1208)-876)</f>
        <v>474</v>
      </c>
      <c r="BT1208" s="76"/>
      <c r="CN1208">
        <v>1207</v>
      </c>
    </row>
    <row r="1209" spans="1:92" x14ac:dyDescent="0.3">
      <c r="A1209" s="118" t="s">
        <v>2094</v>
      </c>
      <c r="B1209" t="s">
        <v>2097</v>
      </c>
      <c r="C1209" t="s">
        <v>2098</v>
      </c>
      <c r="D1209" s="144" t="s">
        <v>906</v>
      </c>
      <c r="E1209" t="s">
        <v>813</v>
      </c>
      <c r="F1209" t="s">
        <v>489</v>
      </c>
      <c r="G1209" t="s">
        <v>815</v>
      </c>
      <c r="H1209" t="s">
        <v>169</v>
      </c>
      <c r="I1209" t="s">
        <v>817</v>
      </c>
      <c r="J1209" t="s">
        <v>2070</v>
      </c>
      <c r="K1209" t="s">
        <v>787</v>
      </c>
      <c r="L1209" t="s">
        <v>1055</v>
      </c>
      <c r="M1209" t="s">
        <v>208</v>
      </c>
      <c r="N1209" t="s">
        <v>939</v>
      </c>
      <c r="O1209" t="s">
        <v>824</v>
      </c>
      <c r="P1209" t="s">
        <v>772</v>
      </c>
      <c r="Q1209" t="s">
        <v>864</v>
      </c>
      <c r="R1209">
        <v>20</v>
      </c>
      <c r="S1209">
        <v>3</v>
      </c>
      <c r="T1209">
        <v>0</v>
      </c>
      <c r="U1209">
        <v>0</v>
      </c>
      <c r="V1209">
        <v>0</v>
      </c>
      <c r="W1209">
        <v>0</v>
      </c>
      <c r="X1209">
        <v>0</v>
      </c>
      <c r="Y1209">
        <v>0</v>
      </c>
      <c r="Z1209">
        <v>0</v>
      </c>
      <c r="AA1209">
        <v>0</v>
      </c>
      <c r="AB1209">
        <v>0</v>
      </c>
      <c r="AC1209">
        <v>0</v>
      </c>
      <c r="AD1209">
        <v>0</v>
      </c>
      <c r="AE1209">
        <v>0</v>
      </c>
      <c r="AF1209">
        <v>0</v>
      </c>
      <c r="AG1209">
        <v>0</v>
      </c>
      <c r="AH1209">
        <v>0</v>
      </c>
      <c r="AI1209">
        <v>0</v>
      </c>
      <c r="AJ1209" t="s">
        <v>2071</v>
      </c>
      <c r="AK1209" t="s">
        <v>2072</v>
      </c>
      <c r="AL1209" t="s">
        <v>208</v>
      </c>
      <c r="AM1209" t="s">
        <v>764</v>
      </c>
      <c r="AN1209" t="s">
        <v>824</v>
      </c>
      <c r="AO1209" t="s">
        <v>2073</v>
      </c>
      <c r="AP1209" t="s">
        <v>2073</v>
      </c>
      <c r="AY1209" t="str">
        <f t="shared" si="197"/>
        <v>SYNULOX 500 MG OGIVETTES</v>
      </c>
      <c r="AZ1209" t="str">
        <f>IF(COUNTIF(AY:AY,AY1209)=1,AY1209,IF(AND(COUNTIF(AY:AY,AY1209)&gt;1,COUNTIF(AZ$2:AZ1208,AY1209)&gt;=1),"",AY1209))</f>
        <v/>
      </c>
      <c r="BA1209" t="str">
        <f>IF(AZ1209="","",COUNTIFS(AZ$3:AZ$1439,"&lt;"&amp;AZ1209,AZ$3:AZ$1439,"&lt;&gt;0")+COUNTIF(AZ$3:AZ1209,AZ1209)-876)</f>
        <v/>
      </c>
      <c r="BT1209" s="76"/>
      <c r="CN1209">
        <v>1208</v>
      </c>
    </row>
    <row r="1210" spans="1:92" x14ac:dyDescent="0.3">
      <c r="A1210" s="118" t="s">
        <v>2127</v>
      </c>
      <c r="B1210" t="s">
        <v>2128</v>
      </c>
      <c r="C1210" t="s">
        <v>4448</v>
      </c>
      <c r="D1210" s="144" t="s">
        <v>972</v>
      </c>
      <c r="E1210" t="s">
        <v>765</v>
      </c>
      <c r="F1210" t="s">
        <v>2129</v>
      </c>
      <c r="G1210" t="s">
        <v>831</v>
      </c>
      <c r="H1210" t="s">
        <v>816</v>
      </c>
      <c r="I1210" t="s">
        <v>817</v>
      </c>
      <c r="J1210" t="s">
        <v>2070</v>
      </c>
      <c r="K1210" t="s">
        <v>787</v>
      </c>
      <c r="L1210" t="s">
        <v>1055</v>
      </c>
      <c r="M1210" t="s">
        <v>208</v>
      </c>
      <c r="N1210" t="s">
        <v>2130</v>
      </c>
      <c r="O1210" t="s">
        <v>771</v>
      </c>
      <c r="P1210" t="s">
        <v>772</v>
      </c>
      <c r="Q1210" t="s">
        <v>2131</v>
      </c>
      <c r="R1210">
        <v>0</v>
      </c>
      <c r="S1210">
        <v>0</v>
      </c>
      <c r="T1210">
        <v>20</v>
      </c>
      <c r="U1210">
        <v>7</v>
      </c>
      <c r="V1210">
        <v>0</v>
      </c>
      <c r="W1210">
        <v>0</v>
      </c>
      <c r="X1210">
        <v>0</v>
      </c>
      <c r="Y1210">
        <v>0</v>
      </c>
      <c r="Z1210">
        <v>0</v>
      </c>
      <c r="AA1210">
        <v>0</v>
      </c>
      <c r="AB1210">
        <v>0</v>
      </c>
      <c r="AC1210">
        <v>0</v>
      </c>
      <c r="AD1210">
        <v>0</v>
      </c>
      <c r="AE1210">
        <v>0</v>
      </c>
      <c r="AF1210">
        <v>0</v>
      </c>
      <c r="AG1210">
        <v>0</v>
      </c>
      <c r="AH1210">
        <v>0</v>
      </c>
      <c r="AI1210">
        <v>0</v>
      </c>
      <c r="AJ1210" t="s">
        <v>2071</v>
      </c>
      <c r="AK1210" t="s">
        <v>2072</v>
      </c>
      <c r="AL1210" t="s">
        <v>208</v>
      </c>
      <c r="AM1210" t="s">
        <v>2132</v>
      </c>
      <c r="AN1210" t="s">
        <v>771</v>
      </c>
      <c r="AO1210" t="s">
        <v>2073</v>
      </c>
      <c r="AP1210" t="s">
        <v>2073</v>
      </c>
      <c r="AY1210" t="str">
        <f t="shared" si="197"/>
        <v/>
      </c>
      <c r="AZ1210" t="str">
        <f>IF(COUNTIF(AY:AY,AY1210)=1,AY1210,IF(AND(COUNTIF(AY:AY,AY1210)&gt;1,COUNTIF(AZ$2:AZ1209,AY1210)&gt;=1),"",AY1210))</f>
        <v/>
      </c>
      <c r="BA1210" t="str">
        <f>IF(AZ1210="","",COUNTIFS(AZ$3:AZ$1439,"&lt;"&amp;AZ1210,AZ$3:AZ$1439,"&lt;&gt;0")+COUNTIF(AZ$3:AZ1210,AZ1210)-876)</f>
        <v/>
      </c>
      <c r="BT1210" s="76"/>
      <c r="CN1210">
        <v>1209</v>
      </c>
    </row>
    <row r="1211" spans="1:92" x14ac:dyDescent="0.3">
      <c r="A1211" s="118" t="s">
        <v>2343</v>
      </c>
      <c r="B1211" t="s">
        <v>2344</v>
      </c>
      <c r="C1211" t="s">
        <v>2345</v>
      </c>
      <c r="D1211" s="144" t="s">
        <v>793</v>
      </c>
      <c r="E1211" t="s">
        <v>813</v>
      </c>
      <c r="F1211" t="s">
        <v>490</v>
      </c>
      <c r="G1211" t="s">
        <v>1013</v>
      </c>
      <c r="H1211" t="s">
        <v>801</v>
      </c>
      <c r="I1211" t="s">
        <v>1013</v>
      </c>
      <c r="J1211" t="s">
        <v>2070</v>
      </c>
      <c r="K1211" t="s">
        <v>787</v>
      </c>
      <c r="L1211" t="s">
        <v>1055</v>
      </c>
      <c r="M1211" t="s">
        <v>208</v>
      </c>
      <c r="N1211" t="s">
        <v>864</v>
      </c>
      <c r="O1211" t="s">
        <v>824</v>
      </c>
      <c r="P1211" t="s">
        <v>772</v>
      </c>
      <c r="Q1211" t="s">
        <v>1015</v>
      </c>
      <c r="R1211">
        <v>0</v>
      </c>
      <c r="S1211">
        <v>0</v>
      </c>
      <c r="T1211">
        <v>0</v>
      </c>
      <c r="U1211">
        <v>0</v>
      </c>
      <c r="V1211">
        <v>0</v>
      </c>
      <c r="W1211">
        <v>0</v>
      </c>
      <c r="X1211">
        <v>0</v>
      </c>
      <c r="Y1211">
        <v>0</v>
      </c>
      <c r="Z1211">
        <v>0</v>
      </c>
      <c r="AA1211">
        <v>0</v>
      </c>
      <c r="AB1211">
        <v>0</v>
      </c>
      <c r="AC1211">
        <v>0</v>
      </c>
      <c r="AD1211">
        <v>0</v>
      </c>
      <c r="AE1211">
        <v>0</v>
      </c>
      <c r="AF1211">
        <v>0</v>
      </c>
      <c r="AG1211">
        <v>0</v>
      </c>
      <c r="AH1211">
        <v>0</v>
      </c>
      <c r="AI1211">
        <v>0</v>
      </c>
      <c r="AJ1211" t="s">
        <v>2071</v>
      </c>
      <c r="AK1211" t="s">
        <v>2072</v>
      </c>
      <c r="AL1211" t="s">
        <v>208</v>
      </c>
      <c r="AM1211" t="s">
        <v>780</v>
      </c>
      <c r="AN1211" t="s">
        <v>824</v>
      </c>
      <c r="AO1211" t="s">
        <v>2073</v>
      </c>
      <c r="AP1211" t="s">
        <v>2073</v>
      </c>
      <c r="AY1211" t="str">
        <f t="shared" si="197"/>
        <v>SYNULOX INTRAMAMMAIRE</v>
      </c>
      <c r="AZ1211" t="str">
        <f>IF(COUNTIF(AY:AY,AY1211)=1,AY1211,IF(AND(COUNTIF(AY:AY,AY1211)&gt;1,COUNTIF(AZ$2:AZ1210,AY1211)&gt;=1),"",AY1211))</f>
        <v>SYNULOX INTRAMAMMAIRE</v>
      </c>
      <c r="BA1211">
        <f>IF(AZ1211="","",COUNTIFS(AZ$3:AZ$1439,"&lt;"&amp;AZ1211,AZ$3:AZ$1439,"&lt;&gt;0")+COUNTIF(AZ$3:AZ1211,AZ1211)-876)</f>
        <v>475</v>
      </c>
      <c r="BT1211" s="76"/>
      <c r="CN1211">
        <v>1210</v>
      </c>
    </row>
    <row r="1212" spans="1:92" x14ac:dyDescent="0.3">
      <c r="A1212" s="118" t="s">
        <v>2343</v>
      </c>
      <c r="B1212" t="s">
        <v>2346</v>
      </c>
      <c r="C1212" t="s">
        <v>2347</v>
      </c>
      <c r="D1212" s="144" t="s">
        <v>1132</v>
      </c>
      <c r="E1212" t="s">
        <v>813</v>
      </c>
      <c r="F1212" t="s">
        <v>490</v>
      </c>
      <c r="G1212" t="s">
        <v>1013</v>
      </c>
      <c r="H1212" t="s">
        <v>801</v>
      </c>
      <c r="I1212" t="s">
        <v>1013</v>
      </c>
      <c r="J1212" t="s">
        <v>2070</v>
      </c>
      <c r="K1212" t="s">
        <v>787</v>
      </c>
      <c r="L1212" t="s">
        <v>1055</v>
      </c>
      <c r="M1212" t="s">
        <v>208</v>
      </c>
      <c r="N1212" t="s">
        <v>864</v>
      </c>
      <c r="O1212" t="s">
        <v>824</v>
      </c>
      <c r="P1212" t="s">
        <v>772</v>
      </c>
      <c r="Q1212" t="s">
        <v>1361</v>
      </c>
      <c r="R1212">
        <v>0</v>
      </c>
      <c r="S1212">
        <v>0</v>
      </c>
      <c r="T1212">
        <v>0</v>
      </c>
      <c r="U1212">
        <v>0</v>
      </c>
      <c r="V1212">
        <v>0</v>
      </c>
      <c r="W1212">
        <v>0</v>
      </c>
      <c r="X1212">
        <v>0</v>
      </c>
      <c r="Y1212">
        <v>0</v>
      </c>
      <c r="Z1212">
        <v>0</v>
      </c>
      <c r="AA1212">
        <v>0</v>
      </c>
      <c r="AB1212">
        <v>0</v>
      </c>
      <c r="AC1212">
        <v>0</v>
      </c>
      <c r="AD1212">
        <v>0</v>
      </c>
      <c r="AE1212">
        <v>0</v>
      </c>
      <c r="AF1212">
        <v>0</v>
      </c>
      <c r="AG1212">
        <v>0</v>
      </c>
      <c r="AH1212">
        <v>0</v>
      </c>
      <c r="AI1212">
        <v>0</v>
      </c>
      <c r="AJ1212" t="s">
        <v>2071</v>
      </c>
      <c r="AK1212" t="s">
        <v>2072</v>
      </c>
      <c r="AL1212" t="s">
        <v>208</v>
      </c>
      <c r="AM1212" t="s">
        <v>780</v>
      </c>
      <c r="AN1212" t="s">
        <v>824</v>
      </c>
      <c r="AO1212" t="s">
        <v>2073</v>
      </c>
      <c r="AP1212" t="s">
        <v>2073</v>
      </c>
      <c r="AY1212" t="str">
        <f t="shared" si="197"/>
        <v>SYNULOX INTRAMAMMAIRE</v>
      </c>
      <c r="AZ1212" t="str">
        <f>IF(COUNTIF(AY:AY,AY1212)=1,AY1212,IF(AND(COUNTIF(AY:AY,AY1212)&gt;1,COUNTIF(AZ$2:AZ1211,AY1212)&gt;=1),"",AY1212))</f>
        <v/>
      </c>
      <c r="BA1212" t="str">
        <f>IF(AZ1212="","",COUNTIFS(AZ$3:AZ$1439,"&lt;"&amp;AZ1212,AZ$3:AZ$1439,"&lt;&gt;0")+COUNTIF(AZ$3:AZ1212,AZ1212)-876)</f>
        <v/>
      </c>
      <c r="BT1212" s="76"/>
      <c r="CN1212">
        <v>1211</v>
      </c>
    </row>
    <row r="1213" spans="1:92" x14ac:dyDescent="0.3">
      <c r="A1213" s="118" t="s">
        <v>2591</v>
      </c>
      <c r="B1213" t="s">
        <v>2592</v>
      </c>
      <c r="C1213" t="s">
        <v>1977</v>
      </c>
      <c r="D1213" s="144" t="s">
        <v>1978</v>
      </c>
      <c r="E1213" t="s">
        <v>765</v>
      </c>
      <c r="F1213" t="s">
        <v>491</v>
      </c>
      <c r="G1213" t="s">
        <v>766</v>
      </c>
      <c r="H1213" t="s">
        <v>801</v>
      </c>
      <c r="I1213" t="s">
        <v>766</v>
      </c>
      <c r="J1213" t="s">
        <v>2070</v>
      </c>
      <c r="K1213" t="s">
        <v>787</v>
      </c>
      <c r="L1213" t="s">
        <v>1055</v>
      </c>
      <c r="M1213" t="s">
        <v>208</v>
      </c>
      <c r="N1213" t="s">
        <v>2580</v>
      </c>
      <c r="O1213" t="s">
        <v>771</v>
      </c>
      <c r="P1213" t="s">
        <v>772</v>
      </c>
      <c r="Q1213" t="s">
        <v>2593</v>
      </c>
      <c r="R1213">
        <v>7</v>
      </c>
      <c r="S1213">
        <v>5</v>
      </c>
      <c r="T1213">
        <v>7</v>
      </c>
      <c r="U1213">
        <v>5</v>
      </c>
      <c r="V1213">
        <v>0</v>
      </c>
      <c r="W1213">
        <v>0</v>
      </c>
      <c r="X1213">
        <v>0</v>
      </c>
      <c r="Y1213">
        <v>0</v>
      </c>
      <c r="Z1213">
        <v>0</v>
      </c>
      <c r="AA1213">
        <v>0</v>
      </c>
      <c r="AB1213">
        <v>0</v>
      </c>
      <c r="AC1213">
        <v>0</v>
      </c>
      <c r="AD1213">
        <v>0</v>
      </c>
      <c r="AE1213">
        <v>0</v>
      </c>
      <c r="AF1213">
        <v>0</v>
      </c>
      <c r="AG1213">
        <v>0</v>
      </c>
      <c r="AH1213">
        <v>0</v>
      </c>
      <c r="AI1213">
        <v>0</v>
      </c>
      <c r="AJ1213" t="s">
        <v>2071</v>
      </c>
      <c r="AK1213" t="s">
        <v>2072</v>
      </c>
      <c r="AL1213" t="s">
        <v>208</v>
      </c>
      <c r="AM1213" t="s">
        <v>1822</v>
      </c>
      <c r="AN1213" t="s">
        <v>771</v>
      </c>
      <c r="AO1213" t="s">
        <v>2073</v>
      </c>
      <c r="AP1213" t="s">
        <v>2073</v>
      </c>
      <c r="AY1213" t="str">
        <f t="shared" si="197"/>
        <v>SYNULOX SUSPENSION</v>
      </c>
      <c r="AZ1213" t="str">
        <f>IF(COUNTIF(AY:AY,AY1213)=1,AY1213,IF(AND(COUNTIF(AY:AY,AY1213)&gt;1,COUNTIF(AZ$2:AZ1212,AY1213)&gt;=1),"",AY1213))</f>
        <v>SYNULOX SUSPENSION</v>
      </c>
      <c r="BA1213">
        <f>IF(AZ1213="","",COUNTIFS(AZ$3:AZ$1439,"&lt;"&amp;AZ1213,AZ$3:AZ$1439,"&lt;&gt;0")+COUNTIF(AZ$3:AZ1213,AZ1213)-876)</f>
        <v>476</v>
      </c>
      <c r="BT1213" s="76"/>
      <c r="CN1213">
        <v>1212</v>
      </c>
    </row>
    <row r="1214" spans="1:92" x14ac:dyDescent="0.3">
      <c r="A1214" s="118" t="s">
        <v>4207</v>
      </c>
      <c r="B1214" t="s">
        <v>4208</v>
      </c>
      <c r="C1214" t="s">
        <v>3095</v>
      </c>
      <c r="D1214" t="s">
        <v>955</v>
      </c>
      <c r="E1214" t="s">
        <v>765</v>
      </c>
      <c r="F1214" t="s">
        <v>492</v>
      </c>
      <c r="G1214" t="s">
        <v>956</v>
      </c>
      <c r="H1214" t="s">
        <v>1264</v>
      </c>
      <c r="I1214" t="s">
        <v>817</v>
      </c>
      <c r="J1214" t="s">
        <v>928</v>
      </c>
      <c r="K1214" t="s">
        <v>862</v>
      </c>
      <c r="L1214" t="s">
        <v>1943</v>
      </c>
      <c r="M1214" t="s">
        <v>208</v>
      </c>
      <c r="N1214" t="s">
        <v>764</v>
      </c>
      <c r="O1214" t="s">
        <v>771</v>
      </c>
      <c r="P1214" t="s">
        <v>772</v>
      </c>
      <c r="Q1214" t="s">
        <v>906</v>
      </c>
      <c r="R1214">
        <v>0</v>
      </c>
      <c r="S1214">
        <v>0</v>
      </c>
      <c r="T1214">
        <v>0</v>
      </c>
      <c r="U1214">
        <v>0</v>
      </c>
      <c r="V1214">
        <v>0</v>
      </c>
      <c r="W1214">
        <v>0</v>
      </c>
      <c r="X1214">
        <v>0</v>
      </c>
      <c r="Y1214">
        <v>0</v>
      </c>
      <c r="Z1214">
        <v>0</v>
      </c>
      <c r="AA1214">
        <v>0</v>
      </c>
      <c r="AB1214">
        <v>0</v>
      </c>
      <c r="AC1214">
        <v>0</v>
      </c>
      <c r="AD1214">
        <v>25</v>
      </c>
      <c r="AE1214">
        <v>7</v>
      </c>
      <c r="AF1214">
        <v>37.5</v>
      </c>
      <c r="AG1214">
        <v>3</v>
      </c>
      <c r="AH1214">
        <v>0</v>
      </c>
      <c r="AI1214">
        <v>0</v>
      </c>
      <c r="AJ1214" t="s">
        <v>930</v>
      </c>
      <c r="AK1214" t="s">
        <v>931</v>
      </c>
      <c r="AL1214" t="s">
        <v>208</v>
      </c>
      <c r="AM1214" t="s">
        <v>869</v>
      </c>
      <c r="AN1214" t="s">
        <v>771</v>
      </c>
      <c r="AO1214" t="s">
        <v>772</v>
      </c>
      <c r="AP1214" t="s">
        <v>764</v>
      </c>
      <c r="AY1214" t="str">
        <f t="shared" si="197"/>
        <v>T.S.-SOL 20/100 MG/ML SOLUTION POUR ADMINISTRATION DANS L'EAU DE BOISSON POUR PORCS ET POULETS</v>
      </c>
      <c r="AZ1214" t="str">
        <f>IF(COUNTIF(AY:AY,AY1214)=1,AY1214,IF(AND(COUNTIF(AY:AY,AY1214)&gt;1,COUNTIF(AZ$2:AZ1213,AY1214)&gt;=1),"",AY1214))</f>
        <v>T.S.-SOL 20/100 MG/ML SOLUTION POUR ADMINISTRATION DANS L'EAU DE BOISSON POUR PORCS ET POULETS</v>
      </c>
      <c r="BA1214">
        <f>IF(AZ1214="","",COUNTIFS(AZ$3:AZ$1439,"&lt;"&amp;AZ1214,AZ$3:AZ$1439,"&lt;&gt;0")+COUNTIF(AZ$3:AZ1214,AZ1214)-876)</f>
        <v>477</v>
      </c>
      <c r="BT1214" s="76"/>
      <c r="CN1214">
        <v>1213</v>
      </c>
    </row>
    <row r="1215" spans="1:92" x14ac:dyDescent="0.3">
      <c r="A1215" s="118" t="s">
        <v>4049</v>
      </c>
      <c r="B1215" t="s">
        <v>4050</v>
      </c>
      <c r="C1215" t="s">
        <v>4051</v>
      </c>
      <c r="D1215" s="144" t="s">
        <v>772</v>
      </c>
      <c r="E1215" t="s">
        <v>813</v>
      </c>
      <c r="F1215" t="s">
        <v>493</v>
      </c>
      <c r="G1215" t="s">
        <v>985</v>
      </c>
      <c r="H1215" t="s">
        <v>4052</v>
      </c>
      <c r="I1215" t="s">
        <v>879</v>
      </c>
      <c r="J1215" t="s">
        <v>1752</v>
      </c>
      <c r="K1215" t="s">
        <v>1752</v>
      </c>
      <c r="L1215" t="s">
        <v>2277</v>
      </c>
      <c r="M1215" t="s">
        <v>208</v>
      </c>
      <c r="N1215" t="s">
        <v>4053</v>
      </c>
      <c r="O1215" t="s">
        <v>824</v>
      </c>
      <c r="P1215" t="s">
        <v>772</v>
      </c>
      <c r="Q1215" t="s">
        <v>4054</v>
      </c>
      <c r="R1215">
        <v>0</v>
      </c>
      <c r="S1215">
        <v>0</v>
      </c>
      <c r="T1215">
        <v>0</v>
      </c>
      <c r="U1215">
        <v>0</v>
      </c>
      <c r="V1215">
        <v>0</v>
      </c>
      <c r="W1215">
        <v>0</v>
      </c>
      <c r="X1215">
        <v>0</v>
      </c>
      <c r="Y1215">
        <v>0</v>
      </c>
      <c r="Z1215">
        <v>0</v>
      </c>
      <c r="AA1215">
        <v>0</v>
      </c>
      <c r="AB1215">
        <v>0</v>
      </c>
      <c r="AC1215">
        <v>0</v>
      </c>
      <c r="AD1215">
        <v>0</v>
      </c>
      <c r="AE1215">
        <v>0</v>
      </c>
      <c r="AF1215">
        <v>0</v>
      </c>
      <c r="AG1215">
        <v>0</v>
      </c>
      <c r="AH1215">
        <v>0</v>
      </c>
      <c r="AI1215">
        <v>0</v>
      </c>
      <c r="AY1215" t="str">
        <f t="shared" si="197"/>
        <v>TAF SPRAY 28,5 MG/G SOLUTION POUR PULVERISATION CUTANEE</v>
      </c>
      <c r="AZ1215" t="str">
        <f>IF(COUNTIF(AY:AY,AY1215)=1,AY1215,IF(AND(COUNTIF(AY:AY,AY1215)&gt;1,COUNTIF(AZ$2:AZ1214,AY1215)&gt;=1),"",AY1215))</f>
        <v>TAF SPRAY 28,5 MG/G SOLUTION POUR PULVERISATION CUTANEE</v>
      </c>
      <c r="BA1215">
        <f>IF(AZ1215="","",COUNTIFS(AZ$3:AZ$1439,"&lt;"&amp;AZ1215,AZ$3:AZ$1439,"&lt;&gt;0")+COUNTIF(AZ$3:AZ1215,AZ1215)-876)</f>
        <v>478</v>
      </c>
      <c r="BT1215" s="76"/>
      <c r="CN1215">
        <v>1214</v>
      </c>
    </row>
    <row r="1216" spans="1:92" x14ac:dyDescent="0.3">
      <c r="A1216" s="118" t="s">
        <v>1785</v>
      </c>
      <c r="B1216" t="s">
        <v>1786</v>
      </c>
      <c r="C1216" t="s">
        <v>1787</v>
      </c>
      <c r="D1216" s="144" t="s">
        <v>1047</v>
      </c>
      <c r="E1216" t="s">
        <v>813</v>
      </c>
      <c r="F1216" t="s">
        <v>125</v>
      </c>
      <c r="G1216" t="s">
        <v>1024</v>
      </c>
      <c r="H1216" t="s">
        <v>801</v>
      </c>
      <c r="I1216" t="s">
        <v>1013</v>
      </c>
      <c r="J1216" t="s">
        <v>787</v>
      </c>
      <c r="K1216" t="s">
        <v>787</v>
      </c>
      <c r="L1216" t="s">
        <v>1014</v>
      </c>
      <c r="M1216" t="s">
        <v>208</v>
      </c>
      <c r="N1216" t="s">
        <v>906</v>
      </c>
      <c r="O1216" t="s">
        <v>824</v>
      </c>
      <c r="P1216" t="s">
        <v>772</v>
      </c>
      <c r="Q1216" t="s">
        <v>797</v>
      </c>
      <c r="R1216">
        <v>0</v>
      </c>
      <c r="S1216">
        <v>0</v>
      </c>
      <c r="T1216">
        <v>0</v>
      </c>
      <c r="U1216">
        <v>0</v>
      </c>
      <c r="V1216">
        <v>0</v>
      </c>
      <c r="W1216">
        <v>0</v>
      </c>
      <c r="X1216">
        <v>0</v>
      </c>
      <c r="Y1216">
        <v>0</v>
      </c>
      <c r="Z1216">
        <v>0</v>
      </c>
      <c r="AA1216">
        <v>0</v>
      </c>
      <c r="AB1216">
        <v>0</v>
      </c>
      <c r="AC1216">
        <v>0</v>
      </c>
      <c r="AD1216">
        <v>0</v>
      </c>
      <c r="AE1216">
        <v>0</v>
      </c>
      <c r="AF1216">
        <v>0</v>
      </c>
      <c r="AG1216">
        <v>0</v>
      </c>
      <c r="AH1216">
        <v>0</v>
      </c>
      <c r="AI1216">
        <v>0</v>
      </c>
      <c r="AY1216" t="str">
        <f t="shared" si="197"/>
        <v>TARIGERMEL</v>
      </c>
      <c r="AZ1216" t="str">
        <f>IF(COUNTIF(AY:AY,AY1216)=1,AY1216,IF(AND(COUNTIF(AY:AY,AY1216)&gt;1,COUNTIF(AZ$2:AZ1215,AY1216)&gt;=1),"",AY1216))</f>
        <v>TARIGERMEL</v>
      </c>
      <c r="BA1216">
        <f>IF(AZ1216="","",COUNTIFS(AZ$3:AZ$1439,"&lt;"&amp;AZ1216,AZ$3:AZ$1439,"&lt;&gt;0")+COUNTIF(AZ$3:AZ1216,AZ1216)-876)</f>
        <v>479</v>
      </c>
      <c r="BT1216" s="76"/>
      <c r="CN1216">
        <v>1215</v>
      </c>
    </row>
    <row r="1217" spans="1:92" x14ac:dyDescent="0.3">
      <c r="A1217" s="118" t="s">
        <v>2479</v>
      </c>
      <c r="B1217" t="s">
        <v>2480</v>
      </c>
      <c r="C1217" t="s">
        <v>2481</v>
      </c>
      <c r="D1217" s="144" t="s">
        <v>764</v>
      </c>
      <c r="E1217" t="s">
        <v>765</v>
      </c>
      <c r="F1217" t="s">
        <v>494</v>
      </c>
      <c r="G1217" t="s">
        <v>766</v>
      </c>
      <c r="H1217" t="s">
        <v>1484</v>
      </c>
      <c r="I1217" t="s">
        <v>766</v>
      </c>
      <c r="J1217" t="s">
        <v>768</v>
      </c>
      <c r="K1217" t="s">
        <v>768</v>
      </c>
      <c r="L1217" t="s">
        <v>769</v>
      </c>
      <c r="M1217" t="s">
        <v>208</v>
      </c>
      <c r="N1217" t="s">
        <v>864</v>
      </c>
      <c r="O1217" t="s">
        <v>771</v>
      </c>
      <c r="P1217" t="s">
        <v>772</v>
      </c>
      <c r="Q1217" t="s">
        <v>869</v>
      </c>
      <c r="R1217">
        <v>20</v>
      </c>
      <c r="S1217">
        <v>1</v>
      </c>
      <c r="T1217">
        <v>0</v>
      </c>
      <c r="U1217">
        <v>0</v>
      </c>
      <c r="V1217">
        <v>0</v>
      </c>
      <c r="W1217">
        <v>0</v>
      </c>
      <c r="X1217">
        <v>0</v>
      </c>
      <c r="Y1217">
        <v>0</v>
      </c>
      <c r="Z1217">
        <v>0</v>
      </c>
      <c r="AA1217">
        <v>0</v>
      </c>
      <c r="AB1217">
        <v>20</v>
      </c>
      <c r="AC1217">
        <v>1</v>
      </c>
      <c r="AD1217">
        <v>20</v>
      </c>
      <c r="AE1217">
        <v>1</v>
      </c>
      <c r="AF1217">
        <v>0</v>
      </c>
      <c r="AG1217">
        <v>0</v>
      </c>
      <c r="AH1217">
        <v>0</v>
      </c>
      <c r="AI1217">
        <v>0</v>
      </c>
      <c r="AY1217" t="str">
        <f t="shared" si="197"/>
        <v>TENALINE L.A.</v>
      </c>
      <c r="AZ1217" t="str">
        <f>IF(COUNTIF(AY:AY,AY1217)=1,AY1217,IF(AND(COUNTIF(AY:AY,AY1217)&gt;1,COUNTIF(AZ$2:AZ1216,AY1217)&gt;=1),"",AY1217))</f>
        <v>TENALINE L.A.</v>
      </c>
      <c r="BA1217">
        <f>IF(AZ1217="","",COUNTIFS(AZ$3:AZ$1439,"&lt;"&amp;AZ1217,AZ$3:AZ$1439,"&lt;&gt;0")+COUNTIF(AZ$3:AZ1217,AZ1217)-876)</f>
        <v>480</v>
      </c>
      <c r="BT1217" s="76"/>
      <c r="CN1217">
        <v>1216</v>
      </c>
    </row>
    <row r="1218" spans="1:92" x14ac:dyDescent="0.3">
      <c r="A1218" s="118" t="s">
        <v>2479</v>
      </c>
      <c r="B1218" t="s">
        <v>2482</v>
      </c>
      <c r="C1218" t="s">
        <v>2483</v>
      </c>
      <c r="D1218" s="144" t="s">
        <v>776</v>
      </c>
      <c r="E1218" t="s">
        <v>765</v>
      </c>
      <c r="F1218" t="s">
        <v>494</v>
      </c>
      <c r="G1218" t="s">
        <v>766</v>
      </c>
      <c r="H1218" t="s">
        <v>1484</v>
      </c>
      <c r="I1218" t="s">
        <v>766</v>
      </c>
      <c r="J1218" t="s">
        <v>768</v>
      </c>
      <c r="K1218" t="s">
        <v>768</v>
      </c>
      <c r="L1218" t="s">
        <v>769</v>
      </c>
      <c r="M1218" t="s">
        <v>208</v>
      </c>
      <c r="N1218" t="s">
        <v>864</v>
      </c>
      <c r="O1218" t="s">
        <v>771</v>
      </c>
      <c r="P1218" t="s">
        <v>772</v>
      </c>
      <c r="Q1218" t="s">
        <v>780</v>
      </c>
      <c r="R1218">
        <v>20</v>
      </c>
      <c r="S1218">
        <v>1</v>
      </c>
      <c r="T1218">
        <v>0</v>
      </c>
      <c r="U1218">
        <v>0</v>
      </c>
      <c r="V1218">
        <v>0</v>
      </c>
      <c r="W1218">
        <v>0</v>
      </c>
      <c r="X1218">
        <v>0</v>
      </c>
      <c r="Y1218">
        <v>0</v>
      </c>
      <c r="Z1218">
        <v>0</v>
      </c>
      <c r="AA1218">
        <v>0</v>
      </c>
      <c r="AB1218">
        <v>20</v>
      </c>
      <c r="AC1218">
        <v>1</v>
      </c>
      <c r="AD1218">
        <v>20</v>
      </c>
      <c r="AE1218">
        <v>1</v>
      </c>
      <c r="AF1218">
        <v>0</v>
      </c>
      <c r="AG1218">
        <v>0</v>
      </c>
      <c r="AH1218">
        <v>0</v>
      </c>
      <c r="AI1218">
        <v>0</v>
      </c>
      <c r="AY1218" t="str">
        <f t="shared" si="197"/>
        <v>TENALINE L.A.</v>
      </c>
      <c r="AZ1218" t="str">
        <f>IF(COUNTIF(AY:AY,AY1218)=1,AY1218,IF(AND(COUNTIF(AY:AY,AY1218)&gt;1,COUNTIF(AZ$2:AZ1217,AY1218)&gt;=1),"",AY1218))</f>
        <v/>
      </c>
      <c r="BA1218" t="str">
        <f>IF(AZ1218="","",COUNTIFS(AZ$3:AZ$1439,"&lt;"&amp;AZ1218,AZ$3:AZ$1439,"&lt;&gt;0")+COUNTIF(AZ$3:AZ1218,AZ1218)-876)</f>
        <v/>
      </c>
      <c r="BT1218" s="76"/>
      <c r="CN1218">
        <v>1217</v>
      </c>
    </row>
    <row r="1219" spans="1:92" x14ac:dyDescent="0.3">
      <c r="A1219" s="118" t="s">
        <v>2479</v>
      </c>
      <c r="B1219" t="s">
        <v>2484</v>
      </c>
      <c r="C1219" t="s">
        <v>2485</v>
      </c>
      <c r="D1219" s="144" t="s">
        <v>906</v>
      </c>
      <c r="E1219" t="s">
        <v>765</v>
      </c>
      <c r="F1219" t="s">
        <v>494</v>
      </c>
      <c r="G1219" t="s">
        <v>766</v>
      </c>
      <c r="H1219" t="s">
        <v>1484</v>
      </c>
      <c r="I1219" t="s">
        <v>766</v>
      </c>
      <c r="J1219" t="s">
        <v>768</v>
      </c>
      <c r="K1219" t="s">
        <v>768</v>
      </c>
      <c r="L1219" t="s">
        <v>769</v>
      </c>
      <c r="M1219" t="s">
        <v>208</v>
      </c>
      <c r="N1219" t="s">
        <v>864</v>
      </c>
      <c r="O1219" t="s">
        <v>771</v>
      </c>
      <c r="P1219" t="s">
        <v>772</v>
      </c>
      <c r="Q1219" t="s">
        <v>764</v>
      </c>
      <c r="R1219">
        <v>20</v>
      </c>
      <c r="S1219">
        <v>1</v>
      </c>
      <c r="T1219">
        <v>0</v>
      </c>
      <c r="U1219">
        <v>0</v>
      </c>
      <c r="V1219">
        <v>0</v>
      </c>
      <c r="W1219">
        <v>0</v>
      </c>
      <c r="X1219">
        <v>0</v>
      </c>
      <c r="Y1219">
        <v>0</v>
      </c>
      <c r="Z1219">
        <v>0</v>
      </c>
      <c r="AA1219">
        <v>0</v>
      </c>
      <c r="AB1219">
        <v>20</v>
      </c>
      <c r="AC1219">
        <v>1</v>
      </c>
      <c r="AD1219">
        <v>20</v>
      </c>
      <c r="AE1219">
        <v>1</v>
      </c>
      <c r="AF1219">
        <v>0</v>
      </c>
      <c r="AG1219">
        <v>0</v>
      </c>
      <c r="AH1219">
        <v>0</v>
      </c>
      <c r="AI1219">
        <v>0</v>
      </c>
      <c r="AY1219" t="str">
        <f t="shared" ref="AY1219:AY1282" si="198">IF(INDEX(CK$3:CL$174,MATCH(H1219,CK$3:CK$174,0),2)="x",F1219,"")</f>
        <v>TENALINE L.A.</v>
      </c>
      <c r="AZ1219" t="str">
        <f>IF(COUNTIF(AY:AY,AY1219)=1,AY1219,IF(AND(COUNTIF(AY:AY,AY1219)&gt;1,COUNTIF(AZ$2:AZ1218,AY1219)&gt;=1),"",AY1219))</f>
        <v/>
      </c>
      <c r="BA1219" t="str">
        <f>IF(AZ1219="","",COUNTIFS(AZ$3:AZ$1439,"&lt;"&amp;AZ1219,AZ$3:AZ$1439,"&lt;&gt;0")+COUNTIF(AZ$3:AZ1219,AZ1219)-876)</f>
        <v/>
      </c>
      <c r="BT1219" s="76"/>
      <c r="CN1219">
        <v>1218</v>
      </c>
    </row>
    <row r="1220" spans="1:92" x14ac:dyDescent="0.3">
      <c r="A1220" s="118" t="s">
        <v>3212</v>
      </c>
      <c r="B1220" t="s">
        <v>3213</v>
      </c>
      <c r="C1220" t="s">
        <v>943</v>
      </c>
      <c r="D1220" s="144" t="s">
        <v>764</v>
      </c>
      <c r="E1220" t="s">
        <v>765</v>
      </c>
      <c r="F1220" t="s">
        <v>697</v>
      </c>
      <c r="G1220" t="s">
        <v>956</v>
      </c>
      <c r="H1220" t="s">
        <v>3214</v>
      </c>
      <c r="I1220" t="s">
        <v>817</v>
      </c>
      <c r="J1220" t="s">
        <v>2366</v>
      </c>
      <c r="K1220" t="s">
        <v>2366</v>
      </c>
      <c r="L1220" t="s">
        <v>2367</v>
      </c>
      <c r="M1220" t="s">
        <v>208</v>
      </c>
      <c r="N1220" t="s">
        <v>764</v>
      </c>
      <c r="O1220" t="s">
        <v>771</v>
      </c>
      <c r="P1220" t="s">
        <v>772</v>
      </c>
      <c r="Q1220" t="s">
        <v>852</v>
      </c>
      <c r="R1220">
        <v>0</v>
      </c>
      <c r="S1220">
        <v>0</v>
      </c>
      <c r="T1220">
        <v>0</v>
      </c>
      <c r="U1220">
        <v>0</v>
      </c>
      <c r="V1220">
        <v>0</v>
      </c>
      <c r="W1220">
        <v>0</v>
      </c>
      <c r="X1220">
        <v>0</v>
      </c>
      <c r="Y1220">
        <v>0</v>
      </c>
      <c r="Z1220">
        <v>0</v>
      </c>
      <c r="AA1220">
        <v>0</v>
      </c>
      <c r="AB1220">
        <v>0</v>
      </c>
      <c r="AC1220">
        <v>0</v>
      </c>
      <c r="AD1220">
        <v>0</v>
      </c>
      <c r="AE1220">
        <v>0</v>
      </c>
      <c r="AF1220">
        <v>10</v>
      </c>
      <c r="AG1220">
        <v>5</v>
      </c>
      <c r="AH1220">
        <v>0</v>
      </c>
      <c r="AI1220">
        <v>0</v>
      </c>
      <c r="AY1220" t="str">
        <f t="shared" si="198"/>
        <v>TENOTRYL 10 % SOLUTION BUVABLE</v>
      </c>
      <c r="AZ1220" t="str">
        <f>IF(COUNTIF(AY:AY,AY1220)=1,AY1220,IF(AND(COUNTIF(AY:AY,AY1220)&gt;1,COUNTIF(AZ$2:AZ1219,AY1220)&gt;=1),"",AY1220))</f>
        <v>TENOTRYL 10 % SOLUTION BUVABLE</v>
      </c>
      <c r="BA1220">
        <f>IF(AZ1220="","",COUNTIFS(AZ$3:AZ$1439,"&lt;"&amp;AZ1220,AZ$3:AZ$1439,"&lt;&gt;0")+COUNTIF(AZ$3:AZ1220,AZ1220)-876)</f>
        <v>481</v>
      </c>
      <c r="BT1220" s="76"/>
      <c r="CN1220">
        <v>1219</v>
      </c>
    </row>
    <row r="1221" spans="1:92" x14ac:dyDescent="0.3">
      <c r="A1221" s="118" t="s">
        <v>3212</v>
      </c>
      <c r="B1221" t="s">
        <v>3215</v>
      </c>
      <c r="C1221" t="s">
        <v>1241</v>
      </c>
      <c r="D1221" s="144" t="s">
        <v>829</v>
      </c>
      <c r="E1221" t="s">
        <v>765</v>
      </c>
      <c r="F1221" t="s">
        <v>697</v>
      </c>
      <c r="G1221" t="s">
        <v>956</v>
      </c>
      <c r="H1221" t="s">
        <v>3214</v>
      </c>
      <c r="I1221" t="s">
        <v>817</v>
      </c>
      <c r="J1221" t="s">
        <v>2366</v>
      </c>
      <c r="K1221" t="s">
        <v>2366</v>
      </c>
      <c r="L1221" t="s">
        <v>2367</v>
      </c>
      <c r="M1221" t="s">
        <v>208</v>
      </c>
      <c r="N1221" t="s">
        <v>764</v>
      </c>
      <c r="O1221" t="s">
        <v>771</v>
      </c>
      <c r="P1221" t="s">
        <v>772</v>
      </c>
      <c r="Q1221" t="s">
        <v>764</v>
      </c>
      <c r="R1221">
        <v>0</v>
      </c>
      <c r="S1221">
        <v>0</v>
      </c>
      <c r="T1221">
        <v>0</v>
      </c>
      <c r="U1221">
        <v>0</v>
      </c>
      <c r="V1221">
        <v>0</v>
      </c>
      <c r="W1221">
        <v>0</v>
      </c>
      <c r="X1221">
        <v>0</v>
      </c>
      <c r="Y1221">
        <v>0</v>
      </c>
      <c r="Z1221">
        <v>0</v>
      </c>
      <c r="AA1221">
        <v>0</v>
      </c>
      <c r="AB1221">
        <v>0</v>
      </c>
      <c r="AC1221">
        <v>0</v>
      </c>
      <c r="AD1221">
        <v>0</v>
      </c>
      <c r="AE1221">
        <v>0</v>
      </c>
      <c r="AF1221">
        <v>10</v>
      </c>
      <c r="AG1221">
        <v>5</v>
      </c>
      <c r="AH1221">
        <v>0</v>
      </c>
      <c r="AI1221">
        <v>0</v>
      </c>
      <c r="AY1221" t="str">
        <f t="shared" si="198"/>
        <v>TENOTRYL 10 % SOLUTION BUVABLE</v>
      </c>
      <c r="AZ1221" t="str">
        <f>IF(COUNTIF(AY:AY,AY1221)=1,AY1221,IF(AND(COUNTIF(AY:AY,AY1221)&gt;1,COUNTIF(AZ$2:AZ1220,AY1221)&gt;=1),"",AY1221))</f>
        <v/>
      </c>
      <c r="BA1221" t="str">
        <f>IF(AZ1221="","",COUNTIFS(AZ$3:AZ$1439,"&lt;"&amp;AZ1221,AZ$3:AZ$1439,"&lt;&gt;0")+COUNTIF(AZ$3:AZ1221,AZ1221)-876)</f>
        <v/>
      </c>
      <c r="BT1221" s="76"/>
      <c r="CN1221">
        <v>1220</v>
      </c>
    </row>
    <row r="1222" spans="1:92" x14ac:dyDescent="0.3">
      <c r="A1222" s="118" t="s">
        <v>3508</v>
      </c>
      <c r="B1222" t="s">
        <v>3509</v>
      </c>
      <c r="C1222" t="s">
        <v>3510</v>
      </c>
      <c r="D1222" s="144" t="s">
        <v>764</v>
      </c>
      <c r="E1222" t="s">
        <v>813</v>
      </c>
      <c r="F1222" t="s">
        <v>3511</v>
      </c>
      <c r="G1222" t="s">
        <v>815</v>
      </c>
      <c r="H1222" t="s">
        <v>871</v>
      </c>
      <c r="I1222" t="s">
        <v>817</v>
      </c>
      <c r="J1222" t="s">
        <v>2366</v>
      </c>
      <c r="K1222" t="s">
        <v>2366</v>
      </c>
      <c r="L1222" t="s">
        <v>2367</v>
      </c>
      <c r="M1222" t="s">
        <v>208</v>
      </c>
      <c r="N1222" t="s">
        <v>972</v>
      </c>
      <c r="O1222" t="s">
        <v>824</v>
      </c>
      <c r="P1222" t="s">
        <v>772</v>
      </c>
      <c r="Q1222" t="s">
        <v>1118</v>
      </c>
      <c r="R1222">
        <v>0</v>
      </c>
      <c r="S1222">
        <v>0</v>
      </c>
      <c r="T1222">
        <v>5</v>
      </c>
      <c r="U1222">
        <v>5</v>
      </c>
      <c r="V1222">
        <v>0</v>
      </c>
      <c r="W1222">
        <v>0</v>
      </c>
      <c r="X1222">
        <v>0</v>
      </c>
      <c r="Y1222">
        <v>0</v>
      </c>
      <c r="Z1222">
        <v>0</v>
      </c>
      <c r="AA1222">
        <v>0</v>
      </c>
      <c r="AB1222">
        <v>0</v>
      </c>
      <c r="AC1222">
        <v>0</v>
      </c>
      <c r="AD1222">
        <v>0</v>
      </c>
      <c r="AE1222">
        <v>0</v>
      </c>
      <c r="AF1222">
        <v>0</v>
      </c>
      <c r="AG1222">
        <v>0</v>
      </c>
      <c r="AH1222">
        <v>0</v>
      </c>
      <c r="AI1222">
        <v>0</v>
      </c>
      <c r="AY1222" t="str">
        <f t="shared" si="198"/>
        <v/>
      </c>
      <c r="AZ1222" t="str">
        <f>IF(COUNTIF(AY:AY,AY1222)=1,AY1222,IF(AND(COUNTIF(AY:AY,AY1222)&gt;1,COUNTIF(AZ$2:AZ1221,AY1222)&gt;=1),"",AY1222))</f>
        <v/>
      </c>
      <c r="BA1222" t="str">
        <f>IF(AZ1222="","",COUNTIFS(AZ$3:AZ$1439,"&lt;"&amp;AZ1222,AZ$3:AZ$1439,"&lt;&gt;0")+COUNTIF(AZ$3:AZ1222,AZ1222)-876)</f>
        <v/>
      </c>
      <c r="BT1222" s="76"/>
      <c r="CN1222">
        <v>1221</v>
      </c>
    </row>
    <row r="1223" spans="1:92" x14ac:dyDescent="0.3">
      <c r="A1223" s="118" t="s">
        <v>3515</v>
      </c>
      <c r="B1223" t="s">
        <v>3516</v>
      </c>
      <c r="C1223" t="s">
        <v>3517</v>
      </c>
      <c r="D1223" s="144" t="s">
        <v>764</v>
      </c>
      <c r="E1223" t="s">
        <v>813</v>
      </c>
      <c r="F1223" t="s">
        <v>3518</v>
      </c>
      <c r="G1223" t="s">
        <v>815</v>
      </c>
      <c r="H1223" t="s">
        <v>860</v>
      </c>
      <c r="I1223" t="s">
        <v>817</v>
      </c>
      <c r="J1223" t="s">
        <v>2366</v>
      </c>
      <c r="K1223" t="s">
        <v>2366</v>
      </c>
      <c r="L1223" t="s">
        <v>2367</v>
      </c>
      <c r="M1223" t="s">
        <v>208</v>
      </c>
      <c r="N1223" t="s">
        <v>1155</v>
      </c>
      <c r="O1223" t="s">
        <v>824</v>
      </c>
      <c r="P1223" t="s">
        <v>772</v>
      </c>
      <c r="Q1223" t="s">
        <v>972</v>
      </c>
      <c r="R1223">
        <v>0</v>
      </c>
      <c r="S1223">
        <v>0</v>
      </c>
      <c r="T1223">
        <v>5</v>
      </c>
      <c r="U1223">
        <v>21</v>
      </c>
      <c r="V1223">
        <v>0</v>
      </c>
      <c r="W1223">
        <v>0</v>
      </c>
      <c r="X1223">
        <v>0</v>
      </c>
      <c r="Y1223">
        <v>0</v>
      </c>
      <c r="Z1223">
        <v>0</v>
      </c>
      <c r="AA1223">
        <v>0</v>
      </c>
      <c r="AB1223">
        <v>0</v>
      </c>
      <c r="AC1223">
        <v>0</v>
      </c>
      <c r="AD1223">
        <v>0</v>
      </c>
      <c r="AE1223">
        <v>0</v>
      </c>
      <c r="AF1223">
        <v>0</v>
      </c>
      <c r="AG1223">
        <v>0</v>
      </c>
      <c r="AH1223">
        <v>0</v>
      </c>
      <c r="AI1223">
        <v>0</v>
      </c>
      <c r="AY1223" t="str">
        <f t="shared" si="198"/>
        <v/>
      </c>
      <c r="AZ1223" t="str">
        <f>IF(COUNTIF(AY:AY,AY1223)=1,AY1223,IF(AND(COUNTIF(AY:AY,AY1223)&gt;1,COUNTIF(AZ$2:AZ1222,AY1223)&gt;=1),"",AY1223))</f>
        <v/>
      </c>
      <c r="BA1223" t="str">
        <f>IF(AZ1223="","",COUNTIFS(AZ$3:AZ$1439,"&lt;"&amp;AZ1223,AZ$3:AZ$1439,"&lt;&gt;0")+COUNTIF(AZ$3:AZ1223,AZ1223)-876)</f>
        <v/>
      </c>
      <c r="BT1223" s="76"/>
      <c r="CN1223">
        <v>1222</v>
      </c>
    </row>
    <row r="1224" spans="1:92" x14ac:dyDescent="0.3">
      <c r="A1224" s="118" t="s">
        <v>3512</v>
      </c>
      <c r="B1224" t="s">
        <v>3513</v>
      </c>
      <c r="C1224" t="s">
        <v>2238</v>
      </c>
      <c r="D1224" s="144" t="s">
        <v>764</v>
      </c>
      <c r="E1224" t="s">
        <v>813</v>
      </c>
      <c r="F1224" t="s">
        <v>3514</v>
      </c>
      <c r="G1224" t="s">
        <v>815</v>
      </c>
      <c r="H1224" t="s">
        <v>860</v>
      </c>
      <c r="I1224" t="s">
        <v>817</v>
      </c>
      <c r="J1224" t="s">
        <v>2366</v>
      </c>
      <c r="K1224" t="s">
        <v>2366</v>
      </c>
      <c r="L1224" t="s">
        <v>2367</v>
      </c>
      <c r="M1224" t="s">
        <v>208</v>
      </c>
      <c r="N1224" t="s">
        <v>780</v>
      </c>
      <c r="O1224" t="s">
        <v>824</v>
      </c>
      <c r="P1224" t="s">
        <v>772</v>
      </c>
      <c r="Q1224" t="s">
        <v>885</v>
      </c>
      <c r="R1224">
        <v>0</v>
      </c>
      <c r="S1224">
        <v>0</v>
      </c>
      <c r="T1224">
        <v>5</v>
      </c>
      <c r="U1224">
        <v>21</v>
      </c>
      <c r="V1224">
        <v>0</v>
      </c>
      <c r="W1224">
        <v>0</v>
      </c>
      <c r="X1224">
        <v>0</v>
      </c>
      <c r="Y1224">
        <v>0</v>
      </c>
      <c r="Z1224">
        <v>0</v>
      </c>
      <c r="AA1224">
        <v>0</v>
      </c>
      <c r="AB1224">
        <v>0</v>
      </c>
      <c r="AC1224">
        <v>0</v>
      </c>
      <c r="AD1224">
        <v>0</v>
      </c>
      <c r="AE1224">
        <v>0</v>
      </c>
      <c r="AF1224">
        <v>0</v>
      </c>
      <c r="AG1224">
        <v>0</v>
      </c>
      <c r="AH1224">
        <v>0</v>
      </c>
      <c r="AI1224">
        <v>0</v>
      </c>
      <c r="AY1224" t="str">
        <f t="shared" si="198"/>
        <v/>
      </c>
      <c r="AZ1224" t="str">
        <f>IF(COUNTIF(AY:AY,AY1224)=1,AY1224,IF(AND(COUNTIF(AY:AY,AY1224)&gt;1,COUNTIF(AZ$2:AZ1223,AY1224)&gt;=1),"",AY1224))</f>
        <v/>
      </c>
      <c r="BA1224" t="str">
        <f>IF(AZ1224="","",COUNTIFS(AZ$3:AZ$1439,"&lt;"&amp;AZ1224,AZ$3:AZ$1439,"&lt;&gt;0")+COUNTIF(AZ$3:AZ1224,AZ1224)-876)</f>
        <v/>
      </c>
      <c r="BT1224" s="76"/>
      <c r="CN1224">
        <v>1223</v>
      </c>
    </row>
    <row r="1225" spans="1:92" x14ac:dyDescent="0.3">
      <c r="A1225" s="118" t="s">
        <v>2219</v>
      </c>
      <c r="B1225" t="s">
        <v>2220</v>
      </c>
      <c r="C1225" t="s">
        <v>1483</v>
      </c>
      <c r="D1225" s="144" t="s">
        <v>764</v>
      </c>
      <c r="E1225" t="s">
        <v>765</v>
      </c>
      <c r="F1225" t="s">
        <v>495</v>
      </c>
      <c r="G1225" t="s">
        <v>766</v>
      </c>
      <c r="H1225" t="s">
        <v>1484</v>
      </c>
      <c r="I1225" t="s">
        <v>766</v>
      </c>
      <c r="J1225" t="s">
        <v>768</v>
      </c>
      <c r="K1225" t="s">
        <v>768</v>
      </c>
      <c r="L1225" t="s">
        <v>769</v>
      </c>
      <c r="M1225" t="s">
        <v>208</v>
      </c>
      <c r="N1225" t="s">
        <v>864</v>
      </c>
      <c r="O1225" t="s">
        <v>771</v>
      </c>
      <c r="P1225" t="s">
        <v>772</v>
      </c>
      <c r="Q1225" t="s">
        <v>869</v>
      </c>
      <c r="R1225">
        <v>20</v>
      </c>
      <c r="S1225">
        <v>1</v>
      </c>
      <c r="T1225">
        <v>0</v>
      </c>
      <c r="U1225">
        <v>0</v>
      </c>
      <c r="V1225">
        <v>0</v>
      </c>
      <c r="W1225">
        <v>0</v>
      </c>
      <c r="X1225">
        <v>0</v>
      </c>
      <c r="Y1225">
        <v>0</v>
      </c>
      <c r="Z1225">
        <v>20</v>
      </c>
      <c r="AA1225">
        <v>1</v>
      </c>
      <c r="AB1225">
        <v>20</v>
      </c>
      <c r="AC1225">
        <v>1</v>
      </c>
      <c r="AD1225">
        <v>20</v>
      </c>
      <c r="AE1225">
        <v>1</v>
      </c>
      <c r="AF1225">
        <v>0</v>
      </c>
      <c r="AG1225">
        <v>0</v>
      </c>
      <c r="AH1225">
        <v>0</v>
      </c>
      <c r="AI1225">
        <v>0</v>
      </c>
      <c r="AY1225" t="str">
        <f t="shared" si="198"/>
        <v>TERRALON 20 % LA</v>
      </c>
      <c r="AZ1225" t="str">
        <f>IF(COUNTIF(AY:AY,AY1225)=1,AY1225,IF(AND(COUNTIF(AY:AY,AY1225)&gt;1,COUNTIF(AZ$2:AZ1224,AY1225)&gt;=1),"",AY1225))</f>
        <v>TERRALON 20 % LA</v>
      </c>
      <c r="BA1225">
        <f>IF(AZ1225="","",COUNTIFS(AZ$3:AZ$1439,"&lt;"&amp;AZ1225,AZ$3:AZ$1439,"&lt;&gt;0")+COUNTIF(AZ$3:AZ1225,AZ1225)-876)</f>
        <v>482</v>
      </c>
      <c r="BT1225" s="76"/>
      <c r="CN1225">
        <v>1224</v>
      </c>
    </row>
    <row r="1226" spans="1:92" x14ac:dyDescent="0.3">
      <c r="A1226" s="118" t="s">
        <v>2219</v>
      </c>
      <c r="B1226" t="s">
        <v>2221</v>
      </c>
      <c r="C1226" t="s">
        <v>1474</v>
      </c>
      <c r="D1226" s="144" t="s">
        <v>776</v>
      </c>
      <c r="E1226" t="s">
        <v>765</v>
      </c>
      <c r="F1226" t="s">
        <v>495</v>
      </c>
      <c r="G1226" t="s">
        <v>766</v>
      </c>
      <c r="H1226" t="s">
        <v>1484</v>
      </c>
      <c r="I1226" t="s">
        <v>766</v>
      </c>
      <c r="J1226" t="s">
        <v>768</v>
      </c>
      <c r="K1226" t="s">
        <v>768</v>
      </c>
      <c r="L1226" t="s">
        <v>769</v>
      </c>
      <c r="M1226" t="s">
        <v>208</v>
      </c>
      <c r="N1226" t="s">
        <v>864</v>
      </c>
      <c r="O1226" t="s">
        <v>771</v>
      </c>
      <c r="P1226" t="s">
        <v>772</v>
      </c>
      <c r="Q1226" t="s">
        <v>780</v>
      </c>
      <c r="R1226">
        <v>20</v>
      </c>
      <c r="S1226">
        <v>1</v>
      </c>
      <c r="T1226">
        <v>0</v>
      </c>
      <c r="U1226">
        <v>0</v>
      </c>
      <c r="V1226">
        <v>0</v>
      </c>
      <c r="W1226">
        <v>0</v>
      </c>
      <c r="X1226">
        <v>0</v>
      </c>
      <c r="Y1226">
        <v>0</v>
      </c>
      <c r="Z1226">
        <v>20</v>
      </c>
      <c r="AA1226">
        <v>1</v>
      </c>
      <c r="AB1226">
        <v>20</v>
      </c>
      <c r="AC1226">
        <v>1</v>
      </c>
      <c r="AD1226">
        <v>20</v>
      </c>
      <c r="AE1226">
        <v>1</v>
      </c>
      <c r="AF1226">
        <v>0</v>
      </c>
      <c r="AG1226">
        <v>0</v>
      </c>
      <c r="AH1226">
        <v>0</v>
      </c>
      <c r="AI1226">
        <v>0</v>
      </c>
      <c r="AY1226" t="str">
        <f t="shared" si="198"/>
        <v>TERRALON 20 % LA</v>
      </c>
      <c r="AZ1226" t="str">
        <f>IF(COUNTIF(AY:AY,AY1226)=1,AY1226,IF(AND(COUNTIF(AY:AY,AY1226)&gt;1,COUNTIF(AZ$2:AZ1225,AY1226)&gt;=1),"",AY1226))</f>
        <v/>
      </c>
      <c r="BA1226" t="str">
        <f>IF(AZ1226="","",COUNTIFS(AZ$3:AZ$1439,"&lt;"&amp;AZ1226,AZ$3:AZ$1439,"&lt;&gt;0")+COUNTIF(AZ$3:AZ1226,AZ1226)-876)</f>
        <v/>
      </c>
      <c r="BT1226" s="76"/>
      <c r="CN1226">
        <v>1225</v>
      </c>
    </row>
    <row r="1227" spans="1:92" x14ac:dyDescent="0.3">
      <c r="A1227" s="118" t="s">
        <v>2219</v>
      </c>
      <c r="B1227" t="s">
        <v>2222</v>
      </c>
      <c r="C1227" t="s">
        <v>2223</v>
      </c>
      <c r="D1227" s="144" t="s">
        <v>906</v>
      </c>
      <c r="E1227" t="s">
        <v>765</v>
      </c>
      <c r="F1227" t="s">
        <v>495</v>
      </c>
      <c r="G1227" t="s">
        <v>766</v>
      </c>
      <c r="H1227" t="s">
        <v>1484</v>
      </c>
      <c r="I1227" t="s">
        <v>766</v>
      </c>
      <c r="J1227" t="s">
        <v>768</v>
      </c>
      <c r="K1227" t="s">
        <v>768</v>
      </c>
      <c r="L1227" t="s">
        <v>769</v>
      </c>
      <c r="M1227" t="s">
        <v>208</v>
      </c>
      <c r="N1227" t="s">
        <v>864</v>
      </c>
      <c r="O1227" t="s">
        <v>771</v>
      </c>
      <c r="P1227" t="s">
        <v>772</v>
      </c>
      <c r="Q1227" t="s">
        <v>764</v>
      </c>
      <c r="R1227">
        <v>20</v>
      </c>
      <c r="S1227">
        <v>1</v>
      </c>
      <c r="T1227">
        <v>0</v>
      </c>
      <c r="U1227">
        <v>0</v>
      </c>
      <c r="V1227">
        <v>0</v>
      </c>
      <c r="W1227">
        <v>0</v>
      </c>
      <c r="X1227">
        <v>0</v>
      </c>
      <c r="Y1227">
        <v>0</v>
      </c>
      <c r="Z1227">
        <v>20</v>
      </c>
      <c r="AA1227">
        <v>1</v>
      </c>
      <c r="AB1227">
        <v>20</v>
      </c>
      <c r="AC1227">
        <v>1</v>
      </c>
      <c r="AD1227">
        <v>20</v>
      </c>
      <c r="AE1227">
        <v>1</v>
      </c>
      <c r="AF1227">
        <v>0</v>
      </c>
      <c r="AG1227">
        <v>0</v>
      </c>
      <c r="AH1227">
        <v>0</v>
      </c>
      <c r="AI1227">
        <v>0</v>
      </c>
      <c r="AY1227" t="str">
        <f t="shared" si="198"/>
        <v>TERRALON 20 % LA</v>
      </c>
      <c r="AZ1227" t="str">
        <f>IF(COUNTIF(AY:AY,AY1227)=1,AY1227,IF(AND(COUNTIF(AY:AY,AY1227)&gt;1,COUNTIF(AZ$2:AZ1226,AY1227)&gt;=1),"",AY1227))</f>
        <v/>
      </c>
      <c r="BA1227" t="str">
        <f>IF(AZ1227="","",COUNTIFS(AZ$3:AZ$1439,"&lt;"&amp;AZ1227,AZ$3:AZ$1439,"&lt;&gt;0")+COUNTIF(AZ$3:AZ1227,AZ1227)-876)</f>
        <v/>
      </c>
      <c r="BT1227" s="76"/>
      <c r="CN1227">
        <v>1226</v>
      </c>
    </row>
    <row r="1228" spans="1:92" x14ac:dyDescent="0.3">
      <c r="A1228" s="118" t="s">
        <v>1923</v>
      </c>
      <c r="B1228" t="s">
        <v>1924</v>
      </c>
      <c r="C1228" t="s">
        <v>1925</v>
      </c>
      <c r="D1228" s="144" t="s">
        <v>764</v>
      </c>
      <c r="E1228" t="s">
        <v>765</v>
      </c>
      <c r="F1228" t="s">
        <v>496</v>
      </c>
      <c r="G1228" t="s">
        <v>766</v>
      </c>
      <c r="H1228" t="s">
        <v>1926</v>
      </c>
      <c r="I1228" t="s">
        <v>766</v>
      </c>
      <c r="J1228" t="s">
        <v>768</v>
      </c>
      <c r="K1228" t="s">
        <v>768</v>
      </c>
      <c r="L1228" t="s">
        <v>769</v>
      </c>
      <c r="M1228" t="s">
        <v>208</v>
      </c>
      <c r="N1228" t="s">
        <v>864</v>
      </c>
      <c r="O1228" t="s">
        <v>771</v>
      </c>
      <c r="P1228" t="s">
        <v>772</v>
      </c>
      <c r="Q1228" t="s">
        <v>869</v>
      </c>
      <c r="R1228">
        <v>20</v>
      </c>
      <c r="S1228">
        <v>1</v>
      </c>
      <c r="T1228">
        <v>0</v>
      </c>
      <c r="U1228">
        <v>0</v>
      </c>
      <c r="V1228">
        <v>0</v>
      </c>
      <c r="W1228">
        <v>0</v>
      </c>
      <c r="X1228">
        <v>0</v>
      </c>
      <c r="Y1228">
        <v>0</v>
      </c>
      <c r="Z1228">
        <v>0</v>
      </c>
      <c r="AA1228">
        <v>0</v>
      </c>
      <c r="AB1228">
        <v>20</v>
      </c>
      <c r="AC1228">
        <v>1</v>
      </c>
      <c r="AD1228">
        <v>20</v>
      </c>
      <c r="AE1228">
        <v>1</v>
      </c>
      <c r="AF1228">
        <v>0</v>
      </c>
      <c r="AG1228">
        <v>0</v>
      </c>
      <c r="AH1228">
        <v>0</v>
      </c>
      <c r="AI1228">
        <v>0</v>
      </c>
      <c r="AY1228" t="str">
        <f t="shared" si="198"/>
        <v>TERRAMYCINE LONGUE ACTION</v>
      </c>
      <c r="AZ1228" t="str">
        <f>IF(COUNTIF(AY:AY,AY1228)=1,AY1228,IF(AND(COUNTIF(AY:AY,AY1228)&gt;1,COUNTIF(AZ$2:AZ1227,AY1228)&gt;=1),"",AY1228))</f>
        <v>TERRAMYCINE LONGUE ACTION</v>
      </c>
      <c r="BA1228">
        <f>IF(AZ1228="","",COUNTIFS(AZ$3:AZ$1439,"&lt;"&amp;AZ1228,AZ$3:AZ$1439,"&lt;&gt;0")+COUNTIF(AZ$3:AZ1228,AZ1228)-876)</f>
        <v>483</v>
      </c>
      <c r="BT1228" s="76"/>
      <c r="CN1228">
        <v>1227</v>
      </c>
    </row>
    <row r="1229" spans="1:92" x14ac:dyDescent="0.3">
      <c r="A1229" s="118" t="s">
        <v>1923</v>
      </c>
      <c r="B1229" t="s">
        <v>1927</v>
      </c>
      <c r="C1229" t="s">
        <v>1928</v>
      </c>
      <c r="D1229" s="144" t="s">
        <v>776</v>
      </c>
      <c r="E1229" t="s">
        <v>765</v>
      </c>
      <c r="F1229" t="s">
        <v>496</v>
      </c>
      <c r="G1229" t="s">
        <v>766</v>
      </c>
      <c r="H1229" t="s">
        <v>1926</v>
      </c>
      <c r="I1229" t="s">
        <v>766</v>
      </c>
      <c r="J1229" t="s">
        <v>768</v>
      </c>
      <c r="K1229" t="s">
        <v>768</v>
      </c>
      <c r="L1229" t="s">
        <v>769</v>
      </c>
      <c r="M1229" t="s">
        <v>208</v>
      </c>
      <c r="N1229" t="s">
        <v>864</v>
      </c>
      <c r="O1229" t="s">
        <v>771</v>
      </c>
      <c r="P1229" t="s">
        <v>772</v>
      </c>
      <c r="Q1229" t="s">
        <v>780</v>
      </c>
      <c r="R1229">
        <v>20</v>
      </c>
      <c r="S1229">
        <v>1</v>
      </c>
      <c r="T1229">
        <v>0</v>
      </c>
      <c r="U1229">
        <v>0</v>
      </c>
      <c r="V1229">
        <v>0</v>
      </c>
      <c r="W1229">
        <v>0</v>
      </c>
      <c r="X1229">
        <v>0</v>
      </c>
      <c r="Y1229">
        <v>0</v>
      </c>
      <c r="Z1229">
        <v>0</v>
      </c>
      <c r="AA1229">
        <v>0</v>
      </c>
      <c r="AB1229">
        <v>20</v>
      </c>
      <c r="AC1229">
        <v>1</v>
      </c>
      <c r="AD1229">
        <v>20</v>
      </c>
      <c r="AE1229">
        <v>1</v>
      </c>
      <c r="AF1229">
        <v>0</v>
      </c>
      <c r="AG1229">
        <v>0</v>
      </c>
      <c r="AH1229">
        <v>0</v>
      </c>
      <c r="AI1229">
        <v>0</v>
      </c>
      <c r="AY1229" t="str">
        <f t="shared" si="198"/>
        <v>TERRAMYCINE LONGUE ACTION</v>
      </c>
      <c r="AZ1229" t="str">
        <f>IF(COUNTIF(AY:AY,AY1229)=1,AY1229,IF(AND(COUNTIF(AY:AY,AY1229)&gt;1,COUNTIF(AZ$2:AZ1228,AY1229)&gt;=1),"",AY1229))</f>
        <v/>
      </c>
      <c r="BA1229" t="str">
        <f>IF(AZ1229="","",COUNTIFS(AZ$3:AZ$1439,"&lt;"&amp;AZ1229,AZ$3:AZ$1439,"&lt;&gt;0")+COUNTIF(AZ$3:AZ1229,AZ1229)-876)</f>
        <v/>
      </c>
      <c r="BT1229" s="76"/>
      <c r="CN1229">
        <v>1228</v>
      </c>
    </row>
    <row r="1230" spans="1:92" x14ac:dyDescent="0.3">
      <c r="A1230" s="118" t="s">
        <v>1923</v>
      </c>
      <c r="B1230" t="s">
        <v>1929</v>
      </c>
      <c r="C1230" t="s">
        <v>1930</v>
      </c>
      <c r="D1230" s="144" t="s">
        <v>906</v>
      </c>
      <c r="E1230" t="s">
        <v>765</v>
      </c>
      <c r="F1230" t="s">
        <v>496</v>
      </c>
      <c r="G1230" t="s">
        <v>766</v>
      </c>
      <c r="H1230" t="s">
        <v>1926</v>
      </c>
      <c r="I1230" t="s">
        <v>766</v>
      </c>
      <c r="J1230" t="s">
        <v>768</v>
      </c>
      <c r="K1230" t="s">
        <v>768</v>
      </c>
      <c r="L1230" t="s">
        <v>769</v>
      </c>
      <c r="M1230" t="s">
        <v>208</v>
      </c>
      <c r="N1230" t="s">
        <v>864</v>
      </c>
      <c r="O1230" t="s">
        <v>771</v>
      </c>
      <c r="P1230" t="s">
        <v>772</v>
      </c>
      <c r="Q1230" t="s">
        <v>764</v>
      </c>
      <c r="R1230">
        <v>20</v>
      </c>
      <c r="S1230">
        <v>1</v>
      </c>
      <c r="T1230">
        <v>0</v>
      </c>
      <c r="U1230">
        <v>0</v>
      </c>
      <c r="V1230">
        <v>0</v>
      </c>
      <c r="W1230">
        <v>0</v>
      </c>
      <c r="X1230">
        <v>0</v>
      </c>
      <c r="Y1230">
        <v>0</v>
      </c>
      <c r="Z1230">
        <v>0</v>
      </c>
      <c r="AA1230">
        <v>0</v>
      </c>
      <c r="AB1230">
        <v>20</v>
      </c>
      <c r="AC1230">
        <v>1</v>
      </c>
      <c r="AD1230">
        <v>20</v>
      </c>
      <c r="AE1230">
        <v>1</v>
      </c>
      <c r="AF1230">
        <v>0</v>
      </c>
      <c r="AG1230">
        <v>0</v>
      </c>
      <c r="AH1230">
        <v>0</v>
      </c>
      <c r="AI1230">
        <v>0</v>
      </c>
      <c r="AY1230" t="str">
        <f t="shared" si="198"/>
        <v>TERRAMYCINE LONGUE ACTION</v>
      </c>
      <c r="AZ1230" t="str">
        <f>IF(COUNTIF(AY:AY,AY1230)=1,AY1230,IF(AND(COUNTIF(AY:AY,AY1230)&gt;1,COUNTIF(AZ$2:AZ1229,AY1230)&gt;=1),"",AY1230))</f>
        <v/>
      </c>
      <c r="BA1230" t="str">
        <f>IF(AZ1230="","",COUNTIFS(AZ$3:AZ$1439,"&lt;"&amp;AZ1230,AZ$3:AZ$1439,"&lt;&gt;0")+COUNTIF(AZ$3:AZ1230,AZ1230)-876)</f>
        <v/>
      </c>
      <c r="BT1230" s="76"/>
      <c r="CN1230">
        <v>1229</v>
      </c>
    </row>
    <row r="1231" spans="1:92" x14ac:dyDescent="0.3">
      <c r="A1231" s="118" t="s">
        <v>1923</v>
      </c>
      <c r="B1231" t="s">
        <v>1931</v>
      </c>
      <c r="C1231" t="s">
        <v>1932</v>
      </c>
      <c r="D1231" s="144" t="s">
        <v>764</v>
      </c>
      <c r="E1231" t="s">
        <v>765</v>
      </c>
      <c r="F1231" t="s">
        <v>496</v>
      </c>
      <c r="G1231" t="s">
        <v>766</v>
      </c>
      <c r="H1231" t="s">
        <v>1926</v>
      </c>
      <c r="I1231" t="s">
        <v>766</v>
      </c>
      <c r="J1231" t="s">
        <v>768</v>
      </c>
      <c r="K1231" t="s">
        <v>768</v>
      </c>
      <c r="L1231" t="s">
        <v>769</v>
      </c>
      <c r="M1231" t="s">
        <v>208</v>
      </c>
      <c r="N1231" t="s">
        <v>864</v>
      </c>
      <c r="O1231" t="s">
        <v>771</v>
      </c>
      <c r="P1231" t="s">
        <v>772</v>
      </c>
      <c r="Q1231" t="s">
        <v>869</v>
      </c>
      <c r="R1231">
        <v>20</v>
      </c>
      <c r="S1231">
        <v>1</v>
      </c>
      <c r="T1231">
        <v>0</v>
      </c>
      <c r="U1231">
        <v>0</v>
      </c>
      <c r="V1231">
        <v>0</v>
      </c>
      <c r="W1231">
        <v>0</v>
      </c>
      <c r="X1231">
        <v>0</v>
      </c>
      <c r="Y1231">
        <v>0</v>
      </c>
      <c r="Z1231">
        <v>0</v>
      </c>
      <c r="AA1231">
        <v>0</v>
      </c>
      <c r="AB1231">
        <v>20</v>
      </c>
      <c r="AC1231">
        <v>1</v>
      </c>
      <c r="AD1231">
        <v>20</v>
      </c>
      <c r="AE1231">
        <v>1</v>
      </c>
      <c r="AF1231">
        <v>0</v>
      </c>
      <c r="AG1231">
        <v>0</v>
      </c>
      <c r="AH1231">
        <v>0</v>
      </c>
      <c r="AI1231">
        <v>0</v>
      </c>
      <c r="AY1231" t="str">
        <f t="shared" si="198"/>
        <v>TERRAMYCINE LONGUE ACTION</v>
      </c>
      <c r="AZ1231" t="str">
        <f>IF(COUNTIF(AY:AY,AY1231)=1,AY1231,IF(AND(COUNTIF(AY:AY,AY1231)&gt;1,COUNTIF(AZ$2:AZ1230,AY1231)&gt;=1),"",AY1231))</f>
        <v/>
      </c>
      <c r="BA1231" t="str">
        <f>IF(AZ1231="","",COUNTIFS(AZ$3:AZ$1439,"&lt;"&amp;AZ1231,AZ$3:AZ$1439,"&lt;&gt;0")+COUNTIF(AZ$3:AZ1231,AZ1231)-876)</f>
        <v/>
      </c>
      <c r="BT1231" s="76"/>
      <c r="CN1231">
        <v>1230</v>
      </c>
    </row>
    <row r="1232" spans="1:92" x14ac:dyDescent="0.3">
      <c r="A1232" s="118" t="s">
        <v>1923</v>
      </c>
      <c r="B1232" t="s">
        <v>1933</v>
      </c>
      <c r="C1232" t="s">
        <v>949</v>
      </c>
      <c r="D1232" s="144" t="s">
        <v>776</v>
      </c>
      <c r="E1232" t="s">
        <v>765</v>
      </c>
      <c r="F1232" t="s">
        <v>496</v>
      </c>
      <c r="G1232" t="s">
        <v>766</v>
      </c>
      <c r="H1232" t="s">
        <v>1926</v>
      </c>
      <c r="I1232" t="s">
        <v>766</v>
      </c>
      <c r="J1232" t="s">
        <v>768</v>
      </c>
      <c r="K1232" t="s">
        <v>768</v>
      </c>
      <c r="L1232" t="s">
        <v>769</v>
      </c>
      <c r="M1232" t="s">
        <v>208</v>
      </c>
      <c r="N1232" t="s">
        <v>864</v>
      </c>
      <c r="O1232" t="s">
        <v>771</v>
      </c>
      <c r="P1232" t="s">
        <v>772</v>
      </c>
      <c r="Q1232" t="s">
        <v>780</v>
      </c>
      <c r="R1232">
        <v>20</v>
      </c>
      <c r="S1232">
        <v>1</v>
      </c>
      <c r="T1232">
        <v>0</v>
      </c>
      <c r="U1232">
        <v>0</v>
      </c>
      <c r="V1232">
        <v>0</v>
      </c>
      <c r="W1232">
        <v>0</v>
      </c>
      <c r="X1232">
        <v>0</v>
      </c>
      <c r="Y1232">
        <v>0</v>
      </c>
      <c r="Z1232">
        <v>0</v>
      </c>
      <c r="AA1232">
        <v>0</v>
      </c>
      <c r="AB1232">
        <v>20</v>
      </c>
      <c r="AC1232">
        <v>1</v>
      </c>
      <c r="AD1232">
        <v>20</v>
      </c>
      <c r="AE1232">
        <v>1</v>
      </c>
      <c r="AF1232">
        <v>0</v>
      </c>
      <c r="AG1232">
        <v>0</v>
      </c>
      <c r="AH1232">
        <v>0</v>
      </c>
      <c r="AI1232">
        <v>0</v>
      </c>
      <c r="AY1232" t="str">
        <f t="shared" si="198"/>
        <v>TERRAMYCINE LONGUE ACTION</v>
      </c>
      <c r="AZ1232" t="str">
        <f>IF(COUNTIF(AY:AY,AY1232)=1,AY1232,IF(AND(COUNTIF(AY:AY,AY1232)&gt;1,COUNTIF(AZ$2:AZ1231,AY1232)&gt;=1),"",AY1232))</f>
        <v/>
      </c>
      <c r="BA1232" t="str">
        <f>IF(AZ1232="","",COUNTIFS(AZ$3:AZ$1439,"&lt;"&amp;AZ1232,AZ$3:AZ$1439,"&lt;&gt;0")+COUNTIF(AZ$3:AZ1232,AZ1232)-876)</f>
        <v/>
      </c>
      <c r="BT1232" s="76"/>
      <c r="CN1232">
        <v>1231</v>
      </c>
    </row>
    <row r="1233" spans="1:92" x14ac:dyDescent="0.3">
      <c r="A1233" s="118" t="s">
        <v>1923</v>
      </c>
      <c r="B1233" t="s">
        <v>1934</v>
      </c>
      <c r="C1233" t="s">
        <v>1167</v>
      </c>
      <c r="D1233" s="144" t="s">
        <v>906</v>
      </c>
      <c r="E1233" t="s">
        <v>765</v>
      </c>
      <c r="F1233" t="s">
        <v>496</v>
      </c>
      <c r="G1233" t="s">
        <v>766</v>
      </c>
      <c r="H1233" t="s">
        <v>1926</v>
      </c>
      <c r="I1233" t="s">
        <v>766</v>
      </c>
      <c r="J1233" t="s">
        <v>768</v>
      </c>
      <c r="K1233" t="s">
        <v>768</v>
      </c>
      <c r="L1233" t="s">
        <v>769</v>
      </c>
      <c r="M1233" t="s">
        <v>208</v>
      </c>
      <c r="N1233" t="s">
        <v>864</v>
      </c>
      <c r="O1233" t="s">
        <v>771</v>
      </c>
      <c r="P1233" t="s">
        <v>772</v>
      </c>
      <c r="Q1233" t="s">
        <v>764</v>
      </c>
      <c r="R1233">
        <v>20</v>
      </c>
      <c r="S1233">
        <v>1</v>
      </c>
      <c r="T1233">
        <v>0</v>
      </c>
      <c r="U1233">
        <v>0</v>
      </c>
      <c r="V1233">
        <v>0</v>
      </c>
      <c r="W1233">
        <v>0</v>
      </c>
      <c r="X1233">
        <v>0</v>
      </c>
      <c r="Y1233">
        <v>0</v>
      </c>
      <c r="Z1233">
        <v>0</v>
      </c>
      <c r="AA1233">
        <v>0</v>
      </c>
      <c r="AB1233">
        <v>20</v>
      </c>
      <c r="AC1233">
        <v>1</v>
      </c>
      <c r="AD1233">
        <v>20</v>
      </c>
      <c r="AE1233">
        <v>1</v>
      </c>
      <c r="AF1233">
        <v>0</v>
      </c>
      <c r="AG1233">
        <v>0</v>
      </c>
      <c r="AH1233">
        <v>0</v>
      </c>
      <c r="AI1233">
        <v>0</v>
      </c>
      <c r="AY1233" t="str">
        <f t="shared" si="198"/>
        <v>TERRAMYCINE LONGUE ACTION</v>
      </c>
      <c r="AZ1233" t="str">
        <f>IF(COUNTIF(AY:AY,AY1233)=1,AY1233,IF(AND(COUNTIF(AY:AY,AY1233)&gt;1,COUNTIF(AZ$2:AZ1232,AY1233)&gt;=1),"",AY1233))</f>
        <v/>
      </c>
      <c r="BA1233" t="str">
        <f>IF(AZ1233="","",COUNTIFS(AZ$3:AZ$1439,"&lt;"&amp;AZ1233,AZ$3:AZ$1439,"&lt;&gt;0")+COUNTIF(AZ$3:AZ1233,AZ1233)-876)</f>
        <v/>
      </c>
      <c r="BT1233" s="76"/>
      <c r="CN1233">
        <v>1232</v>
      </c>
    </row>
    <row r="1234" spans="1:92" x14ac:dyDescent="0.3">
      <c r="A1234" s="118" t="s">
        <v>761</v>
      </c>
      <c r="B1234" t="s">
        <v>762</v>
      </c>
      <c r="C1234" t="s">
        <v>763</v>
      </c>
      <c r="D1234" s="144" t="s">
        <v>764</v>
      </c>
      <c r="E1234" t="s">
        <v>765</v>
      </c>
      <c r="F1234" t="s">
        <v>497</v>
      </c>
      <c r="G1234" t="s">
        <v>766</v>
      </c>
      <c r="H1234" t="s">
        <v>767</v>
      </c>
      <c r="I1234" t="s">
        <v>766</v>
      </c>
      <c r="J1234" t="s">
        <v>768</v>
      </c>
      <c r="K1234" t="s">
        <v>768</v>
      </c>
      <c r="L1234" t="s">
        <v>769</v>
      </c>
      <c r="M1234" t="s">
        <v>208</v>
      </c>
      <c r="N1234" t="s">
        <v>770</v>
      </c>
      <c r="O1234" t="s">
        <v>771</v>
      </c>
      <c r="P1234" t="s">
        <v>772</v>
      </c>
      <c r="Q1234" t="s">
        <v>773</v>
      </c>
      <c r="R1234">
        <v>10</v>
      </c>
      <c r="S1234">
        <v>5</v>
      </c>
      <c r="T1234">
        <v>10</v>
      </c>
      <c r="U1234">
        <v>5</v>
      </c>
      <c r="V1234">
        <v>10</v>
      </c>
      <c r="W1234">
        <v>5</v>
      </c>
      <c r="X1234">
        <v>0</v>
      </c>
      <c r="Y1234">
        <v>0</v>
      </c>
      <c r="Z1234">
        <v>0</v>
      </c>
      <c r="AA1234">
        <v>0</v>
      </c>
      <c r="AB1234">
        <v>10</v>
      </c>
      <c r="AC1234">
        <v>5</v>
      </c>
      <c r="AD1234">
        <v>10</v>
      </c>
      <c r="AE1234">
        <v>5</v>
      </c>
      <c r="AF1234">
        <v>0</v>
      </c>
      <c r="AG1234">
        <v>0</v>
      </c>
      <c r="AH1234">
        <v>0</v>
      </c>
      <c r="AI1234">
        <v>0</v>
      </c>
      <c r="AY1234" t="str">
        <f t="shared" si="198"/>
        <v>TERRAMYCINE SOLUTION INJECTABLE</v>
      </c>
      <c r="AZ1234" t="str">
        <f>IF(COUNTIF(AY:AY,AY1234)=1,AY1234,IF(AND(COUNTIF(AY:AY,AY1234)&gt;1,COUNTIF(AZ$2:AZ1233,AY1234)&gt;=1),"",AY1234))</f>
        <v>TERRAMYCINE SOLUTION INJECTABLE</v>
      </c>
      <c r="BA1234">
        <f>IF(AZ1234="","",COUNTIFS(AZ$3:AZ$1439,"&lt;"&amp;AZ1234,AZ$3:AZ$1439,"&lt;&gt;0")+COUNTIF(AZ$3:AZ1234,AZ1234)-876)</f>
        <v>484</v>
      </c>
      <c r="BT1234" s="76"/>
      <c r="CN1234">
        <v>1233</v>
      </c>
    </row>
    <row r="1235" spans="1:92" x14ac:dyDescent="0.3">
      <c r="A1235" s="118" t="s">
        <v>761</v>
      </c>
      <c r="B1235" t="s">
        <v>774</v>
      </c>
      <c r="C1235" t="s">
        <v>775</v>
      </c>
      <c r="D1235" s="144" t="s">
        <v>776</v>
      </c>
      <c r="E1235" t="s">
        <v>765</v>
      </c>
      <c r="F1235" t="s">
        <v>497</v>
      </c>
      <c r="G1235" t="s">
        <v>766</v>
      </c>
      <c r="H1235" t="s">
        <v>767</v>
      </c>
      <c r="I1235" t="s">
        <v>766</v>
      </c>
      <c r="J1235" t="s">
        <v>768</v>
      </c>
      <c r="K1235" t="s">
        <v>768</v>
      </c>
      <c r="L1235" t="s">
        <v>769</v>
      </c>
      <c r="M1235" t="s">
        <v>208</v>
      </c>
      <c r="N1235" t="s">
        <v>770</v>
      </c>
      <c r="O1235" t="s">
        <v>771</v>
      </c>
      <c r="P1235" t="s">
        <v>772</v>
      </c>
      <c r="Q1235" t="s">
        <v>777</v>
      </c>
      <c r="R1235">
        <v>10</v>
      </c>
      <c r="S1235">
        <v>5</v>
      </c>
      <c r="T1235">
        <v>10</v>
      </c>
      <c r="U1235">
        <v>5</v>
      </c>
      <c r="V1235">
        <v>10</v>
      </c>
      <c r="W1235">
        <v>5</v>
      </c>
      <c r="X1235">
        <v>0</v>
      </c>
      <c r="Y1235">
        <v>0</v>
      </c>
      <c r="Z1235">
        <v>0</v>
      </c>
      <c r="AA1235">
        <v>0</v>
      </c>
      <c r="AB1235">
        <v>10</v>
      </c>
      <c r="AC1235">
        <v>5</v>
      </c>
      <c r="AD1235">
        <v>10</v>
      </c>
      <c r="AE1235">
        <v>5</v>
      </c>
      <c r="AF1235">
        <v>0</v>
      </c>
      <c r="AG1235">
        <v>0</v>
      </c>
      <c r="AH1235">
        <v>0</v>
      </c>
      <c r="AI1235">
        <v>0</v>
      </c>
      <c r="AY1235" t="str">
        <f t="shared" si="198"/>
        <v>TERRAMYCINE SOLUTION INJECTABLE</v>
      </c>
      <c r="AZ1235" t="str">
        <f>IF(COUNTIF(AY:AY,AY1235)=1,AY1235,IF(AND(COUNTIF(AY:AY,AY1235)&gt;1,COUNTIF(AZ$2:AZ1234,AY1235)&gt;=1),"",AY1235))</f>
        <v/>
      </c>
      <c r="BA1235" t="str">
        <f>IF(AZ1235="","",COUNTIFS(AZ$3:AZ$1439,"&lt;"&amp;AZ1235,AZ$3:AZ$1439,"&lt;&gt;0")+COUNTIF(AZ$3:AZ1235,AZ1235)-876)</f>
        <v/>
      </c>
      <c r="BT1235" s="76"/>
      <c r="CN1235">
        <v>1234</v>
      </c>
    </row>
    <row r="1236" spans="1:92" x14ac:dyDescent="0.3">
      <c r="A1236" s="118" t="s">
        <v>1586</v>
      </c>
      <c r="B1236" t="s">
        <v>1587</v>
      </c>
      <c r="C1236" t="s">
        <v>1588</v>
      </c>
      <c r="D1236" s="144" t="s">
        <v>829</v>
      </c>
      <c r="E1236" t="s">
        <v>830</v>
      </c>
      <c r="F1236" t="s">
        <v>498</v>
      </c>
      <c r="G1236" t="s">
        <v>831</v>
      </c>
      <c r="H1236" t="s">
        <v>1589</v>
      </c>
      <c r="I1236" t="s">
        <v>817</v>
      </c>
      <c r="J1236" t="s">
        <v>768</v>
      </c>
      <c r="K1236" t="s">
        <v>768</v>
      </c>
      <c r="L1236" t="s">
        <v>1051</v>
      </c>
      <c r="M1236" t="s">
        <v>208</v>
      </c>
      <c r="N1236" t="s">
        <v>906</v>
      </c>
      <c r="O1236" t="s">
        <v>894</v>
      </c>
      <c r="P1236" t="s">
        <v>772</v>
      </c>
      <c r="Q1236" t="s">
        <v>906</v>
      </c>
      <c r="R1236">
        <v>30</v>
      </c>
      <c r="S1236">
        <v>5</v>
      </c>
      <c r="T1236">
        <v>0</v>
      </c>
      <c r="U1236">
        <v>0</v>
      </c>
      <c r="V1236">
        <v>30</v>
      </c>
      <c r="W1236">
        <v>5</v>
      </c>
      <c r="X1236">
        <v>0</v>
      </c>
      <c r="Y1236">
        <v>0</v>
      </c>
      <c r="Z1236">
        <v>30</v>
      </c>
      <c r="AA1236">
        <v>5</v>
      </c>
      <c r="AB1236">
        <v>30</v>
      </c>
      <c r="AC1236">
        <v>5</v>
      </c>
      <c r="AD1236">
        <v>30</v>
      </c>
      <c r="AE1236">
        <v>5</v>
      </c>
      <c r="AF1236">
        <v>30</v>
      </c>
      <c r="AG1236">
        <v>5</v>
      </c>
      <c r="AH1236">
        <v>0</v>
      </c>
      <c r="AI1236">
        <v>0</v>
      </c>
      <c r="AY1236" t="str">
        <f t="shared" si="198"/>
        <v>TETRACYCLINE 50 COOPHAVET</v>
      </c>
      <c r="AZ1236" t="str">
        <f>IF(COUNTIF(AY:AY,AY1236)=1,AY1236,IF(AND(COUNTIF(AY:AY,AY1236)&gt;1,COUNTIF(AZ$2:AZ1235,AY1236)&gt;=1),"",AY1236))</f>
        <v>TETRACYCLINE 50 COOPHAVET</v>
      </c>
      <c r="BA1236">
        <f>IF(AZ1236="","",COUNTIFS(AZ$3:AZ$1439,"&lt;"&amp;AZ1236,AZ$3:AZ$1439,"&lt;&gt;0")+COUNTIF(AZ$3:AZ1236,AZ1236)-876)</f>
        <v>485</v>
      </c>
      <c r="BT1236" s="76"/>
      <c r="CN1236">
        <v>1235</v>
      </c>
    </row>
    <row r="1237" spans="1:92" x14ac:dyDescent="0.3">
      <c r="A1237" s="118" t="s">
        <v>1586</v>
      </c>
      <c r="B1237" t="s">
        <v>1590</v>
      </c>
      <c r="C1237" t="s">
        <v>1313</v>
      </c>
      <c r="D1237" s="144" t="s">
        <v>955</v>
      </c>
      <c r="E1237" t="s">
        <v>830</v>
      </c>
      <c r="F1237" t="s">
        <v>498</v>
      </c>
      <c r="G1237" t="s">
        <v>831</v>
      </c>
      <c r="H1237" t="s">
        <v>1589</v>
      </c>
      <c r="I1237" t="s">
        <v>817</v>
      </c>
      <c r="J1237" t="s">
        <v>768</v>
      </c>
      <c r="K1237" t="s">
        <v>768</v>
      </c>
      <c r="L1237" t="s">
        <v>1051</v>
      </c>
      <c r="M1237" t="s">
        <v>208</v>
      </c>
      <c r="N1237" t="s">
        <v>906</v>
      </c>
      <c r="O1237" t="s">
        <v>894</v>
      </c>
      <c r="P1237" t="s">
        <v>772</v>
      </c>
      <c r="Q1237" t="s">
        <v>966</v>
      </c>
      <c r="R1237">
        <v>30</v>
      </c>
      <c r="S1237">
        <v>5</v>
      </c>
      <c r="T1237">
        <v>0</v>
      </c>
      <c r="U1237">
        <v>0</v>
      </c>
      <c r="V1237">
        <v>30</v>
      </c>
      <c r="W1237">
        <v>5</v>
      </c>
      <c r="X1237">
        <v>0</v>
      </c>
      <c r="Y1237">
        <v>0</v>
      </c>
      <c r="Z1237">
        <v>30</v>
      </c>
      <c r="AA1237">
        <v>5</v>
      </c>
      <c r="AB1237">
        <v>30</v>
      </c>
      <c r="AC1237">
        <v>5</v>
      </c>
      <c r="AD1237">
        <v>30</v>
      </c>
      <c r="AE1237">
        <v>5</v>
      </c>
      <c r="AF1237">
        <v>30</v>
      </c>
      <c r="AG1237">
        <v>5</v>
      </c>
      <c r="AH1237">
        <v>0</v>
      </c>
      <c r="AI1237">
        <v>0</v>
      </c>
      <c r="AY1237" t="str">
        <f t="shared" si="198"/>
        <v>TETRACYCLINE 50 COOPHAVET</v>
      </c>
      <c r="AZ1237" t="str">
        <f>IF(COUNTIF(AY:AY,AY1237)=1,AY1237,IF(AND(COUNTIF(AY:AY,AY1237)&gt;1,COUNTIF(AZ$2:AZ1236,AY1237)&gt;=1),"",AY1237))</f>
        <v/>
      </c>
      <c r="BA1237" t="str">
        <f>IF(AZ1237="","",COUNTIFS(AZ$3:AZ$1439,"&lt;"&amp;AZ1237,AZ$3:AZ$1439,"&lt;&gt;0")+COUNTIF(AZ$3:AZ1237,AZ1237)-876)</f>
        <v/>
      </c>
      <c r="BT1237" s="76"/>
      <c r="CN1237">
        <v>1236</v>
      </c>
    </row>
    <row r="1238" spans="1:92" x14ac:dyDescent="0.3">
      <c r="A1238" s="118" t="s">
        <v>1586</v>
      </c>
      <c r="B1238" t="s">
        <v>1591</v>
      </c>
      <c r="C1238" t="s">
        <v>828</v>
      </c>
      <c r="D1238" s="144" t="s">
        <v>829</v>
      </c>
      <c r="E1238" t="s">
        <v>830</v>
      </c>
      <c r="F1238" t="s">
        <v>498</v>
      </c>
      <c r="G1238" t="s">
        <v>831</v>
      </c>
      <c r="H1238" t="s">
        <v>1589</v>
      </c>
      <c r="I1238" t="s">
        <v>817</v>
      </c>
      <c r="J1238" t="s">
        <v>768</v>
      </c>
      <c r="K1238" t="s">
        <v>768</v>
      </c>
      <c r="L1238" t="s">
        <v>1051</v>
      </c>
      <c r="M1238" t="s">
        <v>208</v>
      </c>
      <c r="N1238" t="s">
        <v>906</v>
      </c>
      <c r="O1238" t="s">
        <v>894</v>
      </c>
      <c r="P1238" t="s">
        <v>772</v>
      </c>
      <c r="Q1238" t="s">
        <v>906</v>
      </c>
      <c r="R1238">
        <v>30</v>
      </c>
      <c r="S1238">
        <v>5</v>
      </c>
      <c r="T1238">
        <v>0</v>
      </c>
      <c r="U1238">
        <v>0</v>
      </c>
      <c r="V1238">
        <v>30</v>
      </c>
      <c r="W1238">
        <v>5</v>
      </c>
      <c r="X1238">
        <v>0</v>
      </c>
      <c r="Y1238">
        <v>0</v>
      </c>
      <c r="Z1238">
        <v>30</v>
      </c>
      <c r="AA1238">
        <v>5</v>
      </c>
      <c r="AB1238">
        <v>30</v>
      </c>
      <c r="AC1238">
        <v>5</v>
      </c>
      <c r="AD1238">
        <v>30</v>
      </c>
      <c r="AE1238">
        <v>5</v>
      </c>
      <c r="AF1238">
        <v>30</v>
      </c>
      <c r="AG1238">
        <v>5</v>
      </c>
      <c r="AH1238">
        <v>0</v>
      </c>
      <c r="AI1238">
        <v>0</v>
      </c>
      <c r="AY1238" t="str">
        <f t="shared" si="198"/>
        <v>TETRACYCLINE 50 COOPHAVET</v>
      </c>
      <c r="AZ1238" t="str">
        <f>IF(COUNTIF(AY:AY,AY1238)=1,AY1238,IF(AND(COUNTIF(AY:AY,AY1238)&gt;1,COUNTIF(AZ$2:AZ1237,AY1238)&gt;=1),"",AY1238))</f>
        <v/>
      </c>
      <c r="BA1238" t="str">
        <f>IF(AZ1238="","",COUNTIFS(AZ$3:AZ$1439,"&lt;"&amp;AZ1238,AZ$3:AZ$1439,"&lt;&gt;0")+COUNTIF(AZ$3:AZ1238,AZ1238)-876)</f>
        <v/>
      </c>
      <c r="BT1238" s="76"/>
      <c r="CN1238">
        <v>1237</v>
      </c>
    </row>
    <row r="1239" spans="1:92" x14ac:dyDescent="0.3">
      <c r="A1239" s="118" t="s">
        <v>3239</v>
      </c>
      <c r="B1239" t="s">
        <v>3240</v>
      </c>
      <c r="C1239" t="s">
        <v>891</v>
      </c>
      <c r="D1239" s="144" t="s">
        <v>829</v>
      </c>
      <c r="E1239" t="s">
        <v>830</v>
      </c>
      <c r="F1239" t="s">
        <v>126</v>
      </c>
      <c r="G1239" t="s">
        <v>831</v>
      </c>
      <c r="H1239" t="s">
        <v>1577</v>
      </c>
      <c r="I1239" t="s">
        <v>817</v>
      </c>
      <c r="J1239" t="s">
        <v>768</v>
      </c>
      <c r="K1239" t="s">
        <v>768</v>
      </c>
      <c r="L1239" t="s">
        <v>769</v>
      </c>
      <c r="M1239" t="s">
        <v>208</v>
      </c>
      <c r="N1239" t="s">
        <v>906</v>
      </c>
      <c r="O1239" t="s">
        <v>894</v>
      </c>
      <c r="P1239" t="s">
        <v>772</v>
      </c>
      <c r="Q1239" t="s">
        <v>906</v>
      </c>
      <c r="R1239">
        <v>20</v>
      </c>
      <c r="S1239">
        <v>5</v>
      </c>
      <c r="T1239">
        <v>0</v>
      </c>
      <c r="U1239">
        <v>0</v>
      </c>
      <c r="V1239">
        <v>0</v>
      </c>
      <c r="W1239">
        <v>0</v>
      </c>
      <c r="X1239">
        <v>0</v>
      </c>
      <c r="Y1239">
        <v>0</v>
      </c>
      <c r="Z1239">
        <v>20</v>
      </c>
      <c r="AA1239">
        <v>5</v>
      </c>
      <c r="AB1239">
        <v>20</v>
      </c>
      <c r="AC1239">
        <v>5</v>
      </c>
      <c r="AD1239">
        <v>20</v>
      </c>
      <c r="AE1239">
        <v>5</v>
      </c>
      <c r="AF1239">
        <v>20</v>
      </c>
      <c r="AG1239">
        <v>5</v>
      </c>
      <c r="AH1239">
        <v>0</v>
      </c>
      <c r="AI1239">
        <v>0</v>
      </c>
      <c r="AY1239" t="str">
        <f t="shared" si="198"/>
        <v>TETRASOLUB</v>
      </c>
      <c r="AZ1239" t="str">
        <f>IF(COUNTIF(AY:AY,AY1239)=1,AY1239,IF(AND(COUNTIF(AY:AY,AY1239)&gt;1,COUNTIF(AZ$2:AZ1238,AY1239)&gt;=1),"",AY1239))</f>
        <v>TETRASOLUB</v>
      </c>
      <c r="BA1239">
        <f>IF(AZ1239="","",COUNTIFS(AZ$3:AZ$1439,"&lt;"&amp;AZ1239,AZ$3:AZ$1439,"&lt;&gt;0")+COUNTIF(AZ$3:AZ1239,AZ1239)-876)</f>
        <v>486</v>
      </c>
      <c r="BT1239" s="76"/>
      <c r="CN1239">
        <v>1238</v>
      </c>
    </row>
    <row r="1240" spans="1:92" x14ac:dyDescent="0.3">
      <c r="A1240" s="118" t="s">
        <v>3239</v>
      </c>
      <c r="B1240" t="s">
        <v>3241</v>
      </c>
      <c r="C1240" t="s">
        <v>1313</v>
      </c>
      <c r="D1240" s="144" t="s">
        <v>955</v>
      </c>
      <c r="E1240" t="s">
        <v>830</v>
      </c>
      <c r="F1240" t="s">
        <v>126</v>
      </c>
      <c r="G1240" t="s">
        <v>831</v>
      </c>
      <c r="H1240" t="s">
        <v>1577</v>
      </c>
      <c r="I1240" t="s">
        <v>817</v>
      </c>
      <c r="J1240" t="s">
        <v>768</v>
      </c>
      <c r="K1240" t="s">
        <v>768</v>
      </c>
      <c r="L1240" t="s">
        <v>769</v>
      </c>
      <c r="M1240" t="s">
        <v>208</v>
      </c>
      <c r="N1240" t="s">
        <v>906</v>
      </c>
      <c r="O1240" t="s">
        <v>894</v>
      </c>
      <c r="P1240" t="s">
        <v>772</v>
      </c>
      <c r="Q1240" t="s">
        <v>966</v>
      </c>
      <c r="R1240">
        <v>20</v>
      </c>
      <c r="S1240">
        <v>5</v>
      </c>
      <c r="T1240">
        <v>0</v>
      </c>
      <c r="U1240">
        <v>0</v>
      </c>
      <c r="V1240">
        <v>0</v>
      </c>
      <c r="W1240">
        <v>0</v>
      </c>
      <c r="X1240">
        <v>0</v>
      </c>
      <c r="Y1240">
        <v>0</v>
      </c>
      <c r="Z1240">
        <v>20</v>
      </c>
      <c r="AA1240">
        <v>5</v>
      </c>
      <c r="AB1240">
        <v>20</v>
      </c>
      <c r="AC1240">
        <v>5</v>
      </c>
      <c r="AD1240">
        <v>20</v>
      </c>
      <c r="AE1240">
        <v>5</v>
      </c>
      <c r="AF1240">
        <v>20</v>
      </c>
      <c r="AG1240">
        <v>5</v>
      </c>
      <c r="AH1240">
        <v>0</v>
      </c>
      <c r="AI1240">
        <v>0</v>
      </c>
      <c r="AY1240" t="str">
        <f t="shared" si="198"/>
        <v>TETRASOLUB</v>
      </c>
      <c r="AZ1240" t="str">
        <f>IF(COUNTIF(AY:AY,AY1240)=1,AY1240,IF(AND(COUNTIF(AY:AY,AY1240)&gt;1,COUNTIF(AZ$2:AZ1239,AY1240)&gt;=1),"",AY1240))</f>
        <v/>
      </c>
      <c r="BA1240" t="str">
        <f>IF(AZ1240="","",COUNTIFS(AZ$3:AZ$1439,"&lt;"&amp;AZ1240,AZ$3:AZ$1439,"&lt;&gt;0")+COUNTIF(AZ$3:AZ1240,AZ1240)-876)</f>
        <v/>
      </c>
      <c r="BT1240" s="76"/>
      <c r="CN1240">
        <v>1239</v>
      </c>
    </row>
    <row r="1241" spans="1:92" x14ac:dyDescent="0.3">
      <c r="A1241" s="118" t="s">
        <v>3239</v>
      </c>
      <c r="B1241" t="s">
        <v>3242</v>
      </c>
      <c r="C1241" t="s">
        <v>1293</v>
      </c>
      <c r="D1241" s="144" t="s">
        <v>924</v>
      </c>
      <c r="E1241" t="s">
        <v>830</v>
      </c>
      <c r="F1241" t="s">
        <v>126</v>
      </c>
      <c r="G1241" t="s">
        <v>831</v>
      </c>
      <c r="H1241" t="s">
        <v>1577</v>
      </c>
      <c r="I1241" t="s">
        <v>817</v>
      </c>
      <c r="J1241" t="s">
        <v>768</v>
      </c>
      <c r="K1241" t="s">
        <v>768</v>
      </c>
      <c r="L1241" t="s">
        <v>769</v>
      </c>
      <c r="M1241" t="s">
        <v>208</v>
      </c>
      <c r="N1241" t="s">
        <v>906</v>
      </c>
      <c r="O1241" t="s">
        <v>894</v>
      </c>
      <c r="P1241" t="s">
        <v>772</v>
      </c>
      <c r="Q1241" t="s">
        <v>955</v>
      </c>
      <c r="R1241">
        <v>20</v>
      </c>
      <c r="S1241">
        <v>5</v>
      </c>
      <c r="T1241">
        <v>0</v>
      </c>
      <c r="U1241">
        <v>0</v>
      </c>
      <c r="V1241">
        <v>0</v>
      </c>
      <c r="W1241">
        <v>0</v>
      </c>
      <c r="X1241">
        <v>0</v>
      </c>
      <c r="Y1241">
        <v>0</v>
      </c>
      <c r="Z1241">
        <v>20</v>
      </c>
      <c r="AA1241">
        <v>5</v>
      </c>
      <c r="AB1241">
        <v>20</v>
      </c>
      <c r="AC1241">
        <v>5</v>
      </c>
      <c r="AD1241">
        <v>20</v>
      </c>
      <c r="AE1241">
        <v>5</v>
      </c>
      <c r="AF1241">
        <v>20</v>
      </c>
      <c r="AG1241">
        <v>5</v>
      </c>
      <c r="AH1241">
        <v>0</v>
      </c>
      <c r="AI1241">
        <v>0</v>
      </c>
      <c r="AY1241" t="str">
        <f t="shared" si="198"/>
        <v>TETRASOLUB</v>
      </c>
      <c r="AZ1241" t="str">
        <f>IF(COUNTIF(AY:AY,AY1241)=1,AY1241,IF(AND(COUNTIF(AY:AY,AY1241)&gt;1,COUNTIF(AZ$2:AZ1240,AY1241)&gt;=1),"",AY1241))</f>
        <v/>
      </c>
      <c r="BA1241" t="str">
        <f>IF(AZ1241="","",COUNTIFS(AZ$3:AZ$1439,"&lt;"&amp;AZ1241,AZ$3:AZ$1439,"&lt;&gt;0")+COUNTIF(AZ$3:AZ1241,AZ1241)-876)</f>
        <v/>
      </c>
      <c r="BT1241" s="76"/>
      <c r="CN1241">
        <v>1240</v>
      </c>
    </row>
    <row r="1242" spans="1:92" x14ac:dyDescent="0.3">
      <c r="A1242" s="118" t="s">
        <v>2004</v>
      </c>
      <c r="B1242" t="s">
        <v>2005</v>
      </c>
      <c r="C1242" t="s">
        <v>2006</v>
      </c>
      <c r="D1242" s="144" t="s">
        <v>780</v>
      </c>
      <c r="E1242" t="s">
        <v>830</v>
      </c>
      <c r="F1242" t="s">
        <v>127</v>
      </c>
      <c r="G1242" t="s">
        <v>831</v>
      </c>
      <c r="H1242" t="s">
        <v>1577</v>
      </c>
      <c r="I1242" t="s">
        <v>817</v>
      </c>
      <c r="J1242" t="s">
        <v>768</v>
      </c>
      <c r="K1242" t="s">
        <v>768</v>
      </c>
      <c r="L1242" t="s">
        <v>769</v>
      </c>
      <c r="M1242" t="s">
        <v>208</v>
      </c>
      <c r="N1242" t="s">
        <v>906</v>
      </c>
      <c r="O1242" t="s">
        <v>894</v>
      </c>
      <c r="P1242" t="s">
        <v>772</v>
      </c>
      <c r="Q1242" t="s">
        <v>855</v>
      </c>
      <c r="R1242">
        <v>20</v>
      </c>
      <c r="S1242">
        <v>5</v>
      </c>
      <c r="T1242">
        <v>0</v>
      </c>
      <c r="U1242">
        <v>0</v>
      </c>
      <c r="V1242">
        <v>0</v>
      </c>
      <c r="W1242">
        <v>0</v>
      </c>
      <c r="X1242">
        <v>0</v>
      </c>
      <c r="Y1242">
        <v>0</v>
      </c>
      <c r="Z1242">
        <v>20</v>
      </c>
      <c r="AA1242">
        <v>5</v>
      </c>
      <c r="AB1242">
        <v>20</v>
      </c>
      <c r="AC1242">
        <v>5</v>
      </c>
      <c r="AD1242">
        <v>20</v>
      </c>
      <c r="AE1242">
        <v>5</v>
      </c>
      <c r="AF1242">
        <v>20</v>
      </c>
      <c r="AG1242">
        <v>5</v>
      </c>
      <c r="AH1242">
        <v>20</v>
      </c>
      <c r="AI1242">
        <v>5</v>
      </c>
      <c r="AY1242" t="str">
        <f t="shared" si="198"/>
        <v>TETRATIME</v>
      </c>
      <c r="AZ1242" t="str">
        <f>IF(COUNTIF(AY:AY,AY1242)=1,AY1242,IF(AND(COUNTIF(AY:AY,AY1242)&gt;1,COUNTIF(AZ$2:AZ1241,AY1242)&gt;=1),"",AY1242))</f>
        <v>TETRATIME</v>
      </c>
      <c r="BA1242">
        <f>IF(AZ1242="","",COUNTIFS(AZ$3:AZ$1439,"&lt;"&amp;AZ1242,AZ$3:AZ$1439,"&lt;&gt;0")+COUNTIF(AZ$3:AZ1242,AZ1242)-876)</f>
        <v>487</v>
      </c>
      <c r="BT1242" s="76"/>
      <c r="CN1242">
        <v>1241</v>
      </c>
    </row>
    <row r="1243" spans="1:92" x14ac:dyDescent="0.3">
      <c r="A1243" s="118" t="s">
        <v>2004</v>
      </c>
      <c r="B1243" t="s">
        <v>2007</v>
      </c>
      <c r="C1243" t="s">
        <v>2008</v>
      </c>
      <c r="D1243" s="144" t="s">
        <v>829</v>
      </c>
      <c r="E1243" t="s">
        <v>830</v>
      </c>
      <c r="F1243" t="s">
        <v>127</v>
      </c>
      <c r="G1243" t="s">
        <v>831</v>
      </c>
      <c r="H1243" t="s">
        <v>1577</v>
      </c>
      <c r="I1243" t="s">
        <v>817</v>
      </c>
      <c r="J1243" t="s">
        <v>768</v>
      </c>
      <c r="K1243" t="s">
        <v>768</v>
      </c>
      <c r="L1243" t="s">
        <v>769</v>
      </c>
      <c r="M1243" t="s">
        <v>208</v>
      </c>
      <c r="N1243" t="s">
        <v>906</v>
      </c>
      <c r="O1243" t="s">
        <v>894</v>
      </c>
      <c r="P1243" t="s">
        <v>772</v>
      </c>
      <c r="Q1243" t="s">
        <v>906</v>
      </c>
      <c r="R1243">
        <v>20</v>
      </c>
      <c r="S1243">
        <v>5</v>
      </c>
      <c r="T1243">
        <v>0</v>
      </c>
      <c r="U1243">
        <v>0</v>
      </c>
      <c r="V1243">
        <v>0</v>
      </c>
      <c r="W1243">
        <v>0</v>
      </c>
      <c r="X1243">
        <v>0</v>
      </c>
      <c r="Y1243">
        <v>0</v>
      </c>
      <c r="Z1243">
        <v>20</v>
      </c>
      <c r="AA1243">
        <v>5</v>
      </c>
      <c r="AB1243">
        <v>20</v>
      </c>
      <c r="AC1243">
        <v>5</v>
      </c>
      <c r="AD1243">
        <v>20</v>
      </c>
      <c r="AE1243">
        <v>5</v>
      </c>
      <c r="AF1243">
        <v>20</v>
      </c>
      <c r="AG1243">
        <v>5</v>
      </c>
      <c r="AH1243">
        <v>20</v>
      </c>
      <c r="AI1243">
        <v>5</v>
      </c>
      <c r="AY1243" t="str">
        <f t="shared" si="198"/>
        <v>TETRATIME</v>
      </c>
      <c r="AZ1243" t="str">
        <f>IF(COUNTIF(AY:AY,AY1243)=1,AY1243,IF(AND(COUNTIF(AY:AY,AY1243)&gt;1,COUNTIF(AZ$2:AZ1242,AY1243)&gt;=1),"",AY1243))</f>
        <v/>
      </c>
      <c r="BA1243" t="str">
        <f>IF(AZ1243="","",COUNTIFS(AZ$3:AZ$1439,"&lt;"&amp;AZ1243,AZ$3:AZ$1439,"&lt;&gt;0")+COUNTIF(AZ$3:AZ1243,AZ1243)-876)</f>
        <v/>
      </c>
      <c r="BT1243" s="76"/>
      <c r="CN1243">
        <v>1242</v>
      </c>
    </row>
    <row r="1244" spans="1:92" x14ac:dyDescent="0.3">
      <c r="A1244" s="118" t="s">
        <v>2004</v>
      </c>
      <c r="B1244" t="s">
        <v>2009</v>
      </c>
      <c r="C1244" t="s">
        <v>2010</v>
      </c>
      <c r="D1244" s="144" t="s">
        <v>955</v>
      </c>
      <c r="E1244" t="s">
        <v>830</v>
      </c>
      <c r="F1244" t="s">
        <v>127</v>
      </c>
      <c r="G1244" t="s">
        <v>831</v>
      </c>
      <c r="H1244" t="s">
        <v>1577</v>
      </c>
      <c r="I1244" t="s">
        <v>817</v>
      </c>
      <c r="J1244" t="s">
        <v>768</v>
      </c>
      <c r="K1244" t="s">
        <v>768</v>
      </c>
      <c r="L1244" t="s">
        <v>769</v>
      </c>
      <c r="M1244" t="s">
        <v>208</v>
      </c>
      <c r="N1244" t="s">
        <v>906</v>
      </c>
      <c r="O1244" t="s">
        <v>894</v>
      </c>
      <c r="P1244" t="s">
        <v>772</v>
      </c>
      <c r="Q1244" t="s">
        <v>966</v>
      </c>
      <c r="R1244">
        <v>20</v>
      </c>
      <c r="S1244">
        <v>5</v>
      </c>
      <c r="T1244">
        <v>0</v>
      </c>
      <c r="U1244">
        <v>0</v>
      </c>
      <c r="V1244">
        <v>0</v>
      </c>
      <c r="W1244">
        <v>0</v>
      </c>
      <c r="X1244">
        <v>0</v>
      </c>
      <c r="Y1244">
        <v>0</v>
      </c>
      <c r="Z1244">
        <v>20</v>
      </c>
      <c r="AA1244">
        <v>5</v>
      </c>
      <c r="AB1244">
        <v>20</v>
      </c>
      <c r="AC1244">
        <v>5</v>
      </c>
      <c r="AD1244">
        <v>20</v>
      </c>
      <c r="AE1244">
        <v>5</v>
      </c>
      <c r="AF1244">
        <v>20</v>
      </c>
      <c r="AG1244">
        <v>5</v>
      </c>
      <c r="AH1244">
        <v>20</v>
      </c>
      <c r="AI1244">
        <v>5</v>
      </c>
      <c r="AY1244" t="str">
        <f t="shared" si="198"/>
        <v>TETRATIME</v>
      </c>
      <c r="AZ1244" t="str">
        <f>IF(COUNTIF(AY:AY,AY1244)=1,AY1244,IF(AND(COUNTIF(AY:AY,AY1244)&gt;1,COUNTIF(AZ$2:AZ1243,AY1244)&gt;=1),"",AY1244))</f>
        <v/>
      </c>
      <c r="BA1244" t="str">
        <f>IF(AZ1244="","",COUNTIFS(AZ$3:AZ$1439,"&lt;"&amp;AZ1244,AZ$3:AZ$1439,"&lt;&gt;0")+COUNTIF(AZ$3:AZ1244,AZ1244)-876)</f>
        <v/>
      </c>
      <c r="BT1244" s="76"/>
      <c r="CN1244">
        <v>1243</v>
      </c>
    </row>
    <row r="1245" spans="1:92" x14ac:dyDescent="0.3">
      <c r="A1245" s="118" t="s">
        <v>3138</v>
      </c>
      <c r="B1245" t="s">
        <v>3139</v>
      </c>
      <c r="C1245" t="s">
        <v>4518</v>
      </c>
      <c r="D1245" s="144" t="s">
        <v>829</v>
      </c>
      <c r="E1245" t="s">
        <v>830</v>
      </c>
      <c r="F1245" t="s">
        <v>499</v>
      </c>
      <c r="G1245" t="s">
        <v>831</v>
      </c>
      <c r="H1245" t="s">
        <v>832</v>
      </c>
      <c r="I1245" t="s">
        <v>817</v>
      </c>
      <c r="J1245" t="s">
        <v>768</v>
      </c>
      <c r="K1245" t="s">
        <v>768</v>
      </c>
      <c r="L1245" t="s">
        <v>769</v>
      </c>
      <c r="M1245" t="s">
        <v>208</v>
      </c>
      <c r="N1245" t="s">
        <v>906</v>
      </c>
      <c r="O1245" t="s">
        <v>894</v>
      </c>
      <c r="P1245" t="s">
        <v>772</v>
      </c>
      <c r="Q1245" t="s">
        <v>906</v>
      </c>
      <c r="R1245">
        <v>20</v>
      </c>
      <c r="S1245">
        <v>5</v>
      </c>
      <c r="T1245">
        <v>0</v>
      </c>
      <c r="U1245">
        <v>0</v>
      </c>
      <c r="V1245">
        <v>0</v>
      </c>
      <c r="W1245">
        <v>0</v>
      </c>
      <c r="X1245">
        <v>0</v>
      </c>
      <c r="Y1245">
        <v>0</v>
      </c>
      <c r="Z1245">
        <v>0</v>
      </c>
      <c r="AA1245">
        <v>0</v>
      </c>
      <c r="AB1245">
        <v>0</v>
      </c>
      <c r="AC1245">
        <v>0</v>
      </c>
      <c r="AD1245">
        <v>20</v>
      </c>
      <c r="AE1245">
        <v>5</v>
      </c>
      <c r="AF1245">
        <v>20</v>
      </c>
      <c r="AG1245">
        <v>5</v>
      </c>
      <c r="AH1245">
        <v>0</v>
      </c>
      <c r="AI1245">
        <v>0</v>
      </c>
      <c r="AY1245" t="str">
        <f t="shared" si="198"/>
        <v>TETRAVAL 50 % POUDRE POUR SOLUTION BUVABLE POUR VEAUX PORCINS ET VOLAILLES</v>
      </c>
      <c r="AZ1245" t="str">
        <f>IF(COUNTIF(AY:AY,AY1245)=1,AY1245,IF(AND(COUNTIF(AY:AY,AY1245)&gt;1,COUNTIF(AZ$2:AZ1244,AY1245)&gt;=1),"",AY1245))</f>
        <v>TETRAVAL 50 % POUDRE POUR SOLUTION BUVABLE POUR VEAUX PORCINS ET VOLAILLES</v>
      </c>
      <c r="BA1245">
        <f>IF(AZ1245="","",COUNTIFS(AZ$3:AZ$1439,"&lt;"&amp;AZ1245,AZ$3:AZ$1439,"&lt;&gt;0")+COUNTIF(AZ$3:AZ1245,AZ1245)-876)</f>
        <v>488</v>
      </c>
      <c r="BT1245" s="76"/>
      <c r="CN1245">
        <v>1244</v>
      </c>
    </row>
    <row r="1246" spans="1:92" x14ac:dyDescent="0.3">
      <c r="A1246" s="118" t="s">
        <v>3138</v>
      </c>
      <c r="B1246" t="s">
        <v>3140</v>
      </c>
      <c r="C1246" t="s">
        <v>4519</v>
      </c>
      <c r="D1246" s="144" t="s">
        <v>955</v>
      </c>
      <c r="E1246" t="s">
        <v>830</v>
      </c>
      <c r="F1246" t="s">
        <v>499</v>
      </c>
      <c r="G1246" t="s">
        <v>831</v>
      </c>
      <c r="H1246" t="s">
        <v>832</v>
      </c>
      <c r="I1246" t="s">
        <v>817</v>
      </c>
      <c r="J1246" t="s">
        <v>768</v>
      </c>
      <c r="K1246" t="s">
        <v>768</v>
      </c>
      <c r="L1246" t="s">
        <v>769</v>
      </c>
      <c r="M1246" t="s">
        <v>208</v>
      </c>
      <c r="N1246" t="s">
        <v>906</v>
      </c>
      <c r="O1246" t="s">
        <v>894</v>
      </c>
      <c r="P1246" t="s">
        <v>772</v>
      </c>
      <c r="Q1246" t="s">
        <v>966</v>
      </c>
      <c r="R1246">
        <v>20</v>
      </c>
      <c r="S1246">
        <v>5</v>
      </c>
      <c r="T1246">
        <v>0</v>
      </c>
      <c r="U1246">
        <v>0</v>
      </c>
      <c r="V1246">
        <v>0</v>
      </c>
      <c r="W1246">
        <v>0</v>
      </c>
      <c r="X1246">
        <v>0</v>
      </c>
      <c r="Y1246">
        <v>0</v>
      </c>
      <c r="Z1246">
        <v>0</v>
      </c>
      <c r="AA1246">
        <v>0</v>
      </c>
      <c r="AB1246">
        <v>0</v>
      </c>
      <c r="AC1246">
        <v>0</v>
      </c>
      <c r="AD1246">
        <v>20</v>
      </c>
      <c r="AE1246">
        <v>5</v>
      </c>
      <c r="AF1246">
        <v>20</v>
      </c>
      <c r="AG1246">
        <v>5</v>
      </c>
      <c r="AH1246">
        <v>0</v>
      </c>
      <c r="AI1246">
        <v>0</v>
      </c>
      <c r="AY1246" t="str">
        <f t="shared" si="198"/>
        <v>TETRAVAL 50 % POUDRE POUR SOLUTION BUVABLE POUR VEAUX PORCINS ET VOLAILLES</v>
      </c>
      <c r="AZ1246" t="str">
        <f>IF(COUNTIF(AY:AY,AY1246)=1,AY1246,IF(AND(COUNTIF(AY:AY,AY1246)&gt;1,COUNTIF(AZ$2:AZ1245,AY1246)&gt;=1),"",AY1246))</f>
        <v/>
      </c>
      <c r="BA1246" t="str">
        <f>IF(AZ1246="","",COUNTIFS(AZ$3:AZ$1439,"&lt;"&amp;AZ1246,AZ$3:AZ$1439,"&lt;&gt;0")+COUNTIF(AZ$3:AZ1246,AZ1246)-876)</f>
        <v/>
      </c>
      <c r="BT1246" s="76"/>
      <c r="CN1246">
        <v>1245</v>
      </c>
    </row>
    <row r="1247" spans="1:92" x14ac:dyDescent="0.3">
      <c r="A1247" s="118" t="s">
        <v>4203</v>
      </c>
      <c r="B1247" t="s">
        <v>4204</v>
      </c>
      <c r="C1247" t="s">
        <v>891</v>
      </c>
      <c r="D1247" t="s">
        <v>829</v>
      </c>
      <c r="E1247" t="s">
        <v>830</v>
      </c>
      <c r="F1247" t="s">
        <v>128</v>
      </c>
      <c r="G1247" t="s">
        <v>956</v>
      </c>
      <c r="H1247" t="s">
        <v>1577</v>
      </c>
      <c r="I1247" t="s">
        <v>817</v>
      </c>
      <c r="J1247" t="s">
        <v>768</v>
      </c>
      <c r="K1247" t="s">
        <v>768</v>
      </c>
      <c r="L1247" t="s">
        <v>769</v>
      </c>
      <c r="M1247" t="s">
        <v>208</v>
      </c>
      <c r="N1247" t="s">
        <v>906</v>
      </c>
      <c r="O1247" t="s">
        <v>894</v>
      </c>
      <c r="P1247" t="s">
        <v>772</v>
      </c>
      <c r="Q1247" t="s">
        <v>906</v>
      </c>
      <c r="R1247">
        <v>20</v>
      </c>
      <c r="S1247">
        <v>5</v>
      </c>
      <c r="T1247">
        <v>0</v>
      </c>
      <c r="U1247">
        <v>0</v>
      </c>
      <c r="V1247">
        <v>0</v>
      </c>
      <c r="W1247">
        <v>0</v>
      </c>
      <c r="X1247">
        <v>90</v>
      </c>
      <c r="Y1247">
        <v>10</v>
      </c>
      <c r="Z1247">
        <v>20</v>
      </c>
      <c r="AA1247">
        <v>5</v>
      </c>
      <c r="AB1247">
        <v>20</v>
      </c>
      <c r="AC1247">
        <v>5</v>
      </c>
      <c r="AD1247">
        <v>20</v>
      </c>
      <c r="AE1247">
        <v>5</v>
      </c>
      <c r="AF1247">
        <v>20</v>
      </c>
      <c r="AG1247">
        <v>5</v>
      </c>
      <c r="AH1247">
        <v>0</v>
      </c>
      <c r="AI1247">
        <v>0</v>
      </c>
      <c r="AY1247" t="str">
        <f t="shared" si="198"/>
        <v>TETRAVETO</v>
      </c>
      <c r="AZ1247" t="str">
        <f>IF(COUNTIF(AY:AY,AY1247)=1,AY1247,IF(AND(COUNTIF(AY:AY,AY1247)&gt;1,COUNTIF(AZ$2:AZ1246,AY1247)&gt;=1),"",AY1247))</f>
        <v>TETRAVETO</v>
      </c>
      <c r="BA1247">
        <f>IF(AZ1247="","",COUNTIFS(AZ$3:AZ$1439,"&lt;"&amp;AZ1247,AZ$3:AZ$1439,"&lt;&gt;0")+COUNTIF(AZ$3:AZ1247,AZ1247)-876)</f>
        <v>489</v>
      </c>
      <c r="BT1247" s="76"/>
      <c r="CN1247">
        <v>1246</v>
      </c>
    </row>
    <row r="1248" spans="1:92" x14ac:dyDescent="0.3">
      <c r="A1248" s="118" t="s">
        <v>4203</v>
      </c>
      <c r="B1248" t="s">
        <v>4205</v>
      </c>
      <c r="C1248" t="s">
        <v>1313</v>
      </c>
      <c r="D1248" t="s">
        <v>955</v>
      </c>
      <c r="E1248" t="s">
        <v>830</v>
      </c>
      <c r="F1248" t="s">
        <v>128</v>
      </c>
      <c r="G1248" t="s">
        <v>956</v>
      </c>
      <c r="H1248" t="s">
        <v>1577</v>
      </c>
      <c r="I1248" t="s">
        <v>817</v>
      </c>
      <c r="J1248" t="s">
        <v>768</v>
      </c>
      <c r="K1248" t="s">
        <v>768</v>
      </c>
      <c r="L1248" t="s">
        <v>769</v>
      </c>
      <c r="M1248" t="s">
        <v>208</v>
      </c>
      <c r="N1248" t="s">
        <v>906</v>
      </c>
      <c r="O1248" t="s">
        <v>894</v>
      </c>
      <c r="P1248" t="s">
        <v>772</v>
      </c>
      <c r="Q1248" t="s">
        <v>966</v>
      </c>
      <c r="R1248">
        <v>20</v>
      </c>
      <c r="S1248">
        <v>5</v>
      </c>
      <c r="T1248">
        <v>0</v>
      </c>
      <c r="U1248">
        <v>0</v>
      </c>
      <c r="V1248">
        <v>0</v>
      </c>
      <c r="W1248">
        <v>0</v>
      </c>
      <c r="X1248">
        <v>90</v>
      </c>
      <c r="Y1248">
        <v>10</v>
      </c>
      <c r="Z1248">
        <v>20</v>
      </c>
      <c r="AA1248">
        <v>5</v>
      </c>
      <c r="AB1248">
        <v>20</v>
      </c>
      <c r="AC1248">
        <v>5</v>
      </c>
      <c r="AD1248">
        <v>20</v>
      </c>
      <c r="AE1248">
        <v>5</v>
      </c>
      <c r="AF1248">
        <v>20</v>
      </c>
      <c r="AG1248">
        <v>5</v>
      </c>
      <c r="AH1248">
        <v>0</v>
      </c>
      <c r="AI1248">
        <v>0</v>
      </c>
      <c r="AY1248" t="str">
        <f t="shared" si="198"/>
        <v>TETRAVETO</v>
      </c>
      <c r="AZ1248" t="str">
        <f>IF(COUNTIF(AY:AY,AY1248)=1,AY1248,IF(AND(COUNTIF(AY:AY,AY1248)&gt;1,COUNTIF(AZ$2:AZ1247,AY1248)&gt;=1),"",AY1248))</f>
        <v/>
      </c>
      <c r="BA1248" t="str">
        <f>IF(AZ1248="","",COUNTIFS(AZ$3:AZ$1439,"&lt;"&amp;AZ1248,AZ$3:AZ$1439,"&lt;&gt;0")+COUNTIF(AZ$3:AZ1248,AZ1248)-876)</f>
        <v/>
      </c>
      <c r="BT1248" s="76"/>
      <c r="CN1248">
        <v>1247</v>
      </c>
    </row>
    <row r="1249" spans="1:92" x14ac:dyDescent="0.3">
      <c r="A1249" s="118" t="s">
        <v>4203</v>
      </c>
      <c r="B1249" t="s">
        <v>4206</v>
      </c>
      <c r="C1249" t="s">
        <v>1293</v>
      </c>
      <c r="D1249" t="s">
        <v>924</v>
      </c>
      <c r="E1249" t="s">
        <v>830</v>
      </c>
      <c r="F1249" t="s">
        <v>128</v>
      </c>
      <c r="G1249" t="s">
        <v>956</v>
      </c>
      <c r="H1249" t="s">
        <v>1577</v>
      </c>
      <c r="I1249" t="s">
        <v>817</v>
      </c>
      <c r="J1249" t="s">
        <v>768</v>
      </c>
      <c r="K1249" t="s">
        <v>768</v>
      </c>
      <c r="L1249" t="s">
        <v>769</v>
      </c>
      <c r="M1249" t="s">
        <v>208</v>
      </c>
      <c r="N1249" t="s">
        <v>906</v>
      </c>
      <c r="O1249" t="s">
        <v>894</v>
      </c>
      <c r="P1249" t="s">
        <v>772</v>
      </c>
      <c r="Q1249" t="s">
        <v>955</v>
      </c>
      <c r="R1249">
        <v>20</v>
      </c>
      <c r="S1249">
        <v>5</v>
      </c>
      <c r="T1249">
        <v>0</v>
      </c>
      <c r="U1249">
        <v>0</v>
      </c>
      <c r="V1249">
        <v>0</v>
      </c>
      <c r="W1249">
        <v>0</v>
      </c>
      <c r="X1249">
        <v>90</v>
      </c>
      <c r="Y1249">
        <v>10</v>
      </c>
      <c r="Z1249">
        <v>20</v>
      </c>
      <c r="AA1249">
        <v>5</v>
      </c>
      <c r="AB1249">
        <v>20</v>
      </c>
      <c r="AC1249">
        <v>5</v>
      </c>
      <c r="AD1249">
        <v>20</v>
      </c>
      <c r="AE1249">
        <v>5</v>
      </c>
      <c r="AF1249">
        <v>20</v>
      </c>
      <c r="AG1249">
        <v>5</v>
      </c>
      <c r="AH1249">
        <v>0</v>
      </c>
      <c r="AI1249">
        <v>0</v>
      </c>
      <c r="AY1249" t="str">
        <f t="shared" si="198"/>
        <v>TETRAVETO</v>
      </c>
      <c r="AZ1249" t="str">
        <f>IF(COUNTIF(AY:AY,AY1249)=1,AY1249,IF(AND(COUNTIF(AY:AY,AY1249)&gt;1,COUNTIF(AZ$2:AZ1248,AY1249)&gt;=1),"",AY1249))</f>
        <v/>
      </c>
      <c r="BA1249" t="str">
        <f>IF(AZ1249="","",COUNTIFS(AZ$3:AZ$1439,"&lt;"&amp;AZ1249,AZ$3:AZ$1439,"&lt;&gt;0")+COUNTIF(AZ$3:AZ1249,AZ1249)-876)</f>
        <v/>
      </c>
      <c r="BT1249" s="76"/>
      <c r="CN1249">
        <v>1248</v>
      </c>
    </row>
    <row r="1250" spans="1:92" x14ac:dyDescent="0.3">
      <c r="A1250" s="118" t="s">
        <v>4140</v>
      </c>
      <c r="B1250" t="s">
        <v>4141</v>
      </c>
      <c r="C1250" t="s">
        <v>1483</v>
      </c>
      <c r="D1250" s="144" t="s">
        <v>764</v>
      </c>
      <c r="E1250" t="s">
        <v>765</v>
      </c>
      <c r="F1250" t="s">
        <v>500</v>
      </c>
      <c r="G1250" t="s">
        <v>766</v>
      </c>
      <c r="H1250" t="s">
        <v>1484</v>
      </c>
      <c r="I1250" t="s">
        <v>766</v>
      </c>
      <c r="J1250" t="s">
        <v>768</v>
      </c>
      <c r="K1250" t="s">
        <v>768</v>
      </c>
      <c r="L1250" t="s">
        <v>769</v>
      </c>
      <c r="M1250" t="s">
        <v>208</v>
      </c>
      <c r="N1250" t="s">
        <v>864</v>
      </c>
      <c r="O1250" t="s">
        <v>771</v>
      </c>
      <c r="P1250" t="s">
        <v>772</v>
      </c>
      <c r="Q1250" t="s">
        <v>869</v>
      </c>
      <c r="R1250">
        <v>20</v>
      </c>
      <c r="S1250">
        <v>1</v>
      </c>
      <c r="T1250">
        <v>0</v>
      </c>
      <c r="U1250">
        <v>0</v>
      </c>
      <c r="V1250">
        <v>0</v>
      </c>
      <c r="W1250">
        <v>0</v>
      </c>
      <c r="X1250">
        <v>0</v>
      </c>
      <c r="Y1250">
        <v>0</v>
      </c>
      <c r="Z1250">
        <v>0</v>
      </c>
      <c r="AA1250">
        <v>0</v>
      </c>
      <c r="AB1250">
        <v>20</v>
      </c>
      <c r="AC1250">
        <v>1</v>
      </c>
      <c r="AD1250">
        <v>20</v>
      </c>
      <c r="AE1250">
        <v>1</v>
      </c>
      <c r="AF1250">
        <v>0</v>
      </c>
      <c r="AG1250">
        <v>0</v>
      </c>
      <c r="AH1250">
        <v>0</v>
      </c>
      <c r="AI1250">
        <v>0</v>
      </c>
      <c r="AY1250" t="str">
        <f t="shared" si="198"/>
        <v>TETROXY VET 200 MG/ML SOLUTION INJECTABLE POUR BOVINS OVINS ET PORCINS</v>
      </c>
      <c r="AZ1250" t="str">
        <f>IF(COUNTIF(AY:AY,AY1250)=1,AY1250,IF(AND(COUNTIF(AY:AY,AY1250)&gt;1,COUNTIF(AZ$2:AZ1249,AY1250)&gt;=1),"",AY1250))</f>
        <v>TETROXY VET 200 MG/ML SOLUTION INJECTABLE POUR BOVINS OVINS ET PORCINS</v>
      </c>
      <c r="BA1250">
        <f>IF(AZ1250="","",COUNTIFS(AZ$3:AZ$1439,"&lt;"&amp;AZ1250,AZ$3:AZ$1439,"&lt;&gt;0")+COUNTIF(AZ$3:AZ1250,AZ1250)-876)</f>
        <v>490</v>
      </c>
      <c r="BT1250" s="76"/>
      <c r="CN1250">
        <v>1249</v>
      </c>
    </row>
    <row r="1251" spans="1:92" x14ac:dyDescent="0.3">
      <c r="A1251" s="118" t="s">
        <v>908</v>
      </c>
      <c r="B1251" t="s">
        <v>909</v>
      </c>
      <c r="C1251" t="s">
        <v>910</v>
      </c>
      <c r="D1251" s="144" t="s">
        <v>772</v>
      </c>
      <c r="E1251" t="s">
        <v>813</v>
      </c>
      <c r="F1251" t="s">
        <v>911</v>
      </c>
      <c r="G1251" t="s">
        <v>878</v>
      </c>
      <c r="H1251" t="s">
        <v>816</v>
      </c>
      <c r="I1251" t="s">
        <v>879</v>
      </c>
      <c r="J1251" t="s">
        <v>912</v>
      </c>
      <c r="K1251" t="s">
        <v>783</v>
      </c>
      <c r="L1251" t="s">
        <v>784</v>
      </c>
      <c r="M1251" t="s">
        <v>208</v>
      </c>
      <c r="N1251" t="s">
        <v>913</v>
      </c>
      <c r="O1251" t="s">
        <v>820</v>
      </c>
      <c r="P1251" t="s">
        <v>4370</v>
      </c>
      <c r="Q1251" t="s">
        <v>888</v>
      </c>
      <c r="R1251">
        <v>0</v>
      </c>
      <c r="S1251">
        <v>0</v>
      </c>
      <c r="T1251">
        <v>0</v>
      </c>
      <c r="U1251">
        <v>0</v>
      </c>
      <c r="V1251">
        <v>0</v>
      </c>
      <c r="W1251">
        <v>0</v>
      </c>
      <c r="X1251">
        <v>0</v>
      </c>
      <c r="Y1251">
        <v>0</v>
      </c>
      <c r="Z1251">
        <v>0</v>
      </c>
      <c r="AA1251">
        <v>0</v>
      </c>
      <c r="AB1251">
        <v>0</v>
      </c>
      <c r="AC1251">
        <v>0</v>
      </c>
      <c r="AD1251">
        <v>0</v>
      </c>
      <c r="AE1251">
        <v>0</v>
      </c>
      <c r="AF1251">
        <v>0</v>
      </c>
      <c r="AG1251">
        <v>0</v>
      </c>
      <c r="AH1251">
        <v>0</v>
      </c>
      <c r="AI1251">
        <v>0</v>
      </c>
      <c r="AJ1251" t="s">
        <v>914</v>
      </c>
      <c r="AK1251" t="s">
        <v>915</v>
      </c>
      <c r="AL1251" t="s">
        <v>208</v>
      </c>
      <c r="AM1251" t="s">
        <v>916</v>
      </c>
      <c r="AN1251" t="s">
        <v>820</v>
      </c>
      <c r="AO1251" t="s">
        <v>917</v>
      </c>
      <c r="AP1251" t="s">
        <v>918</v>
      </c>
      <c r="AY1251" t="str">
        <f t="shared" si="198"/>
        <v/>
      </c>
      <c r="AZ1251" t="str">
        <f>IF(COUNTIF(AY:AY,AY1251)=1,AY1251,IF(AND(COUNTIF(AY:AY,AY1251)&gt;1,COUNTIF(AZ$2:AZ1250,AY1251)&gt;=1),"",AY1251))</f>
        <v/>
      </c>
      <c r="BA1251" t="str">
        <f>IF(AZ1251="","",COUNTIFS(AZ$3:AZ$1439,"&lt;"&amp;AZ1251,AZ$3:AZ$1439,"&lt;&gt;0")+COUNTIF(AZ$3:AZ1251,AZ1251)-876)</f>
        <v/>
      </c>
      <c r="BT1251" s="76"/>
      <c r="CN1251">
        <v>1250</v>
      </c>
    </row>
    <row r="1252" spans="1:92" x14ac:dyDescent="0.3">
      <c r="A1252" s="118" t="s">
        <v>919</v>
      </c>
      <c r="B1252" t="s">
        <v>920</v>
      </c>
      <c r="C1252" t="s">
        <v>921</v>
      </c>
      <c r="D1252" s="144" t="s">
        <v>885</v>
      </c>
      <c r="E1252" t="s">
        <v>830</v>
      </c>
      <c r="F1252" t="s">
        <v>922</v>
      </c>
      <c r="G1252" t="s">
        <v>878</v>
      </c>
      <c r="H1252" t="s">
        <v>816</v>
      </c>
      <c r="I1252" t="s">
        <v>879</v>
      </c>
      <c r="J1252" t="s">
        <v>912</v>
      </c>
      <c r="K1252" t="s">
        <v>783</v>
      </c>
      <c r="L1252" t="s">
        <v>784</v>
      </c>
      <c r="M1252" t="s">
        <v>208</v>
      </c>
      <c r="N1252" t="s">
        <v>923</v>
      </c>
      <c r="O1252" t="s">
        <v>834</v>
      </c>
      <c r="P1252" t="s">
        <v>4370</v>
      </c>
      <c r="Q1252" t="s">
        <v>888</v>
      </c>
      <c r="R1252">
        <v>0</v>
      </c>
      <c r="S1252">
        <v>0</v>
      </c>
      <c r="T1252">
        <v>0</v>
      </c>
      <c r="U1252">
        <v>0</v>
      </c>
      <c r="V1252">
        <v>0</v>
      </c>
      <c r="W1252">
        <v>0</v>
      </c>
      <c r="X1252">
        <v>0</v>
      </c>
      <c r="Y1252">
        <v>0</v>
      </c>
      <c r="Z1252">
        <v>0</v>
      </c>
      <c r="AA1252">
        <v>0</v>
      </c>
      <c r="AB1252">
        <v>0</v>
      </c>
      <c r="AC1252">
        <v>0</v>
      </c>
      <c r="AD1252">
        <v>0</v>
      </c>
      <c r="AE1252">
        <v>0</v>
      </c>
      <c r="AF1252">
        <v>0</v>
      </c>
      <c r="AG1252">
        <v>0</v>
      </c>
      <c r="AH1252">
        <v>0</v>
      </c>
      <c r="AI1252">
        <v>0</v>
      </c>
      <c r="AJ1252" t="s">
        <v>914</v>
      </c>
      <c r="AK1252" t="s">
        <v>915</v>
      </c>
      <c r="AL1252" t="s">
        <v>208</v>
      </c>
      <c r="AM1252" t="s">
        <v>924</v>
      </c>
      <c r="AN1252" t="s">
        <v>834</v>
      </c>
      <c r="AO1252" t="s">
        <v>917</v>
      </c>
      <c r="AP1252" t="s">
        <v>918</v>
      </c>
      <c r="AY1252" t="str">
        <f t="shared" si="198"/>
        <v/>
      </c>
      <c r="AZ1252" t="str">
        <f>IF(COUNTIF(AY:AY,AY1252)=1,AY1252,IF(AND(COUNTIF(AY:AY,AY1252)&gt;1,COUNTIF(AZ$2:AZ1251,AY1252)&gt;=1),"",AY1252))</f>
        <v/>
      </c>
      <c r="BA1252" t="str">
        <f>IF(AZ1252="","",COUNTIFS(AZ$3:AZ$1439,"&lt;"&amp;AZ1252,AZ$3:AZ$1439,"&lt;&gt;0")+COUNTIF(AZ$3:AZ1252,AZ1252)-876)</f>
        <v/>
      </c>
      <c r="BT1252" s="76"/>
      <c r="CN1252">
        <v>1251</v>
      </c>
    </row>
    <row r="1253" spans="1:92" x14ac:dyDescent="0.3">
      <c r="A1253" s="118" t="s">
        <v>2609</v>
      </c>
      <c r="B1253" t="s">
        <v>2610</v>
      </c>
      <c r="C1253" t="s">
        <v>2611</v>
      </c>
      <c r="D1253" s="144" t="s">
        <v>852</v>
      </c>
      <c r="E1253" t="s">
        <v>813</v>
      </c>
      <c r="F1253" t="s">
        <v>2612</v>
      </c>
      <c r="G1253" t="s">
        <v>815</v>
      </c>
      <c r="H1253" t="s">
        <v>860</v>
      </c>
      <c r="I1253" t="s">
        <v>817</v>
      </c>
      <c r="J1253" t="s">
        <v>1179</v>
      </c>
      <c r="K1253" t="s">
        <v>1179</v>
      </c>
      <c r="L1253" t="s">
        <v>1354</v>
      </c>
      <c r="M1253" t="s">
        <v>208</v>
      </c>
      <c r="N1253" t="s">
        <v>1163</v>
      </c>
      <c r="O1253" t="s">
        <v>824</v>
      </c>
      <c r="P1253" t="s">
        <v>772</v>
      </c>
      <c r="Q1253" t="s">
        <v>1304</v>
      </c>
      <c r="R1253">
        <v>0</v>
      </c>
      <c r="S1253">
        <v>0</v>
      </c>
      <c r="T1253">
        <v>30</v>
      </c>
      <c r="U1253">
        <v>21</v>
      </c>
      <c r="V1253">
        <v>0</v>
      </c>
      <c r="W1253">
        <v>0</v>
      </c>
      <c r="X1253">
        <v>0</v>
      </c>
      <c r="Y1253">
        <v>0</v>
      </c>
      <c r="Z1253">
        <v>0</v>
      </c>
      <c r="AA1253">
        <v>0</v>
      </c>
      <c r="AB1253">
        <v>0</v>
      </c>
      <c r="AC1253">
        <v>0</v>
      </c>
      <c r="AD1253">
        <v>0</v>
      </c>
      <c r="AE1253">
        <v>0</v>
      </c>
      <c r="AF1253">
        <v>0</v>
      </c>
      <c r="AG1253">
        <v>0</v>
      </c>
      <c r="AH1253">
        <v>0</v>
      </c>
      <c r="AI1253">
        <v>0</v>
      </c>
      <c r="AY1253" t="str">
        <f t="shared" si="198"/>
        <v/>
      </c>
      <c r="AZ1253" t="str">
        <f>IF(COUNTIF(AY:AY,AY1253)=1,AY1253,IF(AND(COUNTIF(AY:AY,AY1253)&gt;1,COUNTIF(AZ$2:AZ1252,AY1253)&gt;=1),"",AY1253))</f>
        <v/>
      </c>
      <c r="BA1253" t="str">
        <f>IF(AZ1253="","",COUNTIFS(AZ$3:AZ$1439,"&lt;"&amp;AZ1253,AZ$3:AZ$1439,"&lt;&gt;0")+COUNTIF(AZ$3:AZ1253,AZ1253)-876)</f>
        <v/>
      </c>
      <c r="BT1253" s="76"/>
      <c r="CN1253">
        <v>1252</v>
      </c>
    </row>
    <row r="1254" spans="1:92" x14ac:dyDescent="0.3">
      <c r="A1254" s="118" t="s">
        <v>2609</v>
      </c>
      <c r="B1254" t="s">
        <v>2613</v>
      </c>
      <c r="C1254" t="s">
        <v>2614</v>
      </c>
      <c r="D1254" s="144" t="s">
        <v>864</v>
      </c>
      <c r="E1254" t="s">
        <v>813</v>
      </c>
      <c r="F1254" t="s">
        <v>2612</v>
      </c>
      <c r="G1254" t="s">
        <v>815</v>
      </c>
      <c r="H1254" t="s">
        <v>860</v>
      </c>
      <c r="I1254" t="s">
        <v>817</v>
      </c>
      <c r="J1254" t="s">
        <v>1179</v>
      </c>
      <c r="K1254" t="s">
        <v>1179</v>
      </c>
      <c r="L1254" t="s">
        <v>1354</v>
      </c>
      <c r="M1254" t="s">
        <v>208</v>
      </c>
      <c r="N1254" t="s">
        <v>1163</v>
      </c>
      <c r="O1254" t="s">
        <v>824</v>
      </c>
      <c r="P1254" t="s">
        <v>772</v>
      </c>
      <c r="Q1254" t="s">
        <v>1047</v>
      </c>
      <c r="R1254">
        <v>0</v>
      </c>
      <c r="S1254">
        <v>0</v>
      </c>
      <c r="T1254">
        <v>30</v>
      </c>
      <c r="U1254">
        <v>21</v>
      </c>
      <c r="V1254">
        <v>0</v>
      </c>
      <c r="W1254">
        <v>0</v>
      </c>
      <c r="X1254">
        <v>0</v>
      </c>
      <c r="Y1254">
        <v>0</v>
      </c>
      <c r="Z1254">
        <v>0</v>
      </c>
      <c r="AA1254">
        <v>0</v>
      </c>
      <c r="AB1254">
        <v>0</v>
      </c>
      <c r="AC1254">
        <v>0</v>
      </c>
      <c r="AD1254">
        <v>0</v>
      </c>
      <c r="AE1254">
        <v>0</v>
      </c>
      <c r="AF1254">
        <v>0</v>
      </c>
      <c r="AG1254">
        <v>0</v>
      </c>
      <c r="AH1254">
        <v>0</v>
      </c>
      <c r="AI1254">
        <v>0</v>
      </c>
      <c r="AY1254" t="str">
        <f t="shared" si="198"/>
        <v/>
      </c>
      <c r="AZ1254" t="str">
        <f>IF(COUNTIF(AY:AY,AY1254)=1,AY1254,IF(AND(COUNTIF(AY:AY,AY1254)&gt;1,COUNTIF(AZ$2:AZ1253,AY1254)&gt;=1),"",AY1254))</f>
        <v/>
      </c>
      <c r="BA1254" t="str">
        <f>IF(AZ1254="","",COUNTIFS(AZ$3:AZ$1439,"&lt;"&amp;AZ1254,AZ$3:AZ$1439,"&lt;&gt;0")+COUNTIF(AZ$3:AZ1254,AZ1254)-876)</f>
        <v/>
      </c>
      <c r="BT1254" s="76"/>
      <c r="CN1254">
        <v>1253</v>
      </c>
    </row>
    <row r="1255" spans="1:92" x14ac:dyDescent="0.3">
      <c r="A1255" s="118" t="s">
        <v>2594</v>
      </c>
      <c r="B1255" t="s">
        <v>2595</v>
      </c>
      <c r="C1255" t="s">
        <v>2527</v>
      </c>
      <c r="D1255" s="144" t="s">
        <v>793</v>
      </c>
      <c r="E1255" t="s">
        <v>813</v>
      </c>
      <c r="F1255" t="s">
        <v>2596</v>
      </c>
      <c r="G1255" t="s">
        <v>815</v>
      </c>
      <c r="H1255" t="s">
        <v>871</v>
      </c>
      <c r="I1255" t="s">
        <v>817</v>
      </c>
      <c r="J1255" t="s">
        <v>1179</v>
      </c>
      <c r="K1255" t="s">
        <v>1179</v>
      </c>
      <c r="L1255" t="s">
        <v>1354</v>
      </c>
      <c r="M1255" t="s">
        <v>208</v>
      </c>
      <c r="N1255" t="s">
        <v>1047</v>
      </c>
      <c r="O1255" t="s">
        <v>824</v>
      </c>
      <c r="P1255" t="s">
        <v>772</v>
      </c>
      <c r="Q1255" t="s">
        <v>2597</v>
      </c>
      <c r="R1255">
        <v>0</v>
      </c>
      <c r="S1255">
        <v>0</v>
      </c>
      <c r="T1255">
        <v>30</v>
      </c>
      <c r="U1255">
        <v>5</v>
      </c>
      <c r="V1255">
        <v>0</v>
      </c>
      <c r="W1255">
        <v>0</v>
      </c>
      <c r="X1255">
        <v>0</v>
      </c>
      <c r="Y1255">
        <v>0</v>
      </c>
      <c r="Z1255">
        <v>0</v>
      </c>
      <c r="AA1255">
        <v>0</v>
      </c>
      <c r="AB1255">
        <v>0</v>
      </c>
      <c r="AC1255">
        <v>0</v>
      </c>
      <c r="AD1255">
        <v>0</v>
      </c>
      <c r="AE1255">
        <v>0</v>
      </c>
      <c r="AF1255">
        <v>0</v>
      </c>
      <c r="AG1255">
        <v>0</v>
      </c>
      <c r="AH1255">
        <v>0</v>
      </c>
      <c r="AI1255">
        <v>0</v>
      </c>
      <c r="AY1255" t="str">
        <f t="shared" si="198"/>
        <v/>
      </c>
      <c r="AZ1255" t="str">
        <f>IF(COUNTIF(AY:AY,AY1255)=1,AY1255,IF(AND(COUNTIF(AY:AY,AY1255)&gt;1,COUNTIF(AZ$2:AZ1254,AY1255)&gt;=1),"",AY1255))</f>
        <v/>
      </c>
      <c r="BA1255" t="str">
        <f>IF(AZ1255="","",COUNTIFS(AZ$3:AZ$1439,"&lt;"&amp;AZ1255,AZ$3:AZ$1439,"&lt;&gt;0")+COUNTIF(AZ$3:AZ1255,AZ1255)-876)</f>
        <v/>
      </c>
      <c r="BT1255" s="76"/>
      <c r="CN1255">
        <v>1254</v>
      </c>
    </row>
    <row r="1256" spans="1:92" x14ac:dyDescent="0.3">
      <c r="A1256" s="118" t="s">
        <v>2594</v>
      </c>
      <c r="B1256" t="s">
        <v>2598</v>
      </c>
      <c r="C1256" t="s">
        <v>2530</v>
      </c>
      <c r="D1256" s="144" t="s">
        <v>785</v>
      </c>
      <c r="E1256" t="s">
        <v>813</v>
      </c>
      <c r="F1256" t="s">
        <v>2596</v>
      </c>
      <c r="G1256" t="s">
        <v>815</v>
      </c>
      <c r="H1256" t="s">
        <v>871</v>
      </c>
      <c r="I1256" t="s">
        <v>817</v>
      </c>
      <c r="J1256" t="s">
        <v>1179</v>
      </c>
      <c r="K1256" t="s">
        <v>1179</v>
      </c>
      <c r="L1256" t="s">
        <v>1354</v>
      </c>
      <c r="M1256" t="s">
        <v>208</v>
      </c>
      <c r="N1256" t="s">
        <v>1047</v>
      </c>
      <c r="O1256" t="s">
        <v>824</v>
      </c>
      <c r="P1256" t="s">
        <v>772</v>
      </c>
      <c r="Q1256" t="s">
        <v>1020</v>
      </c>
      <c r="R1256">
        <v>0</v>
      </c>
      <c r="S1256">
        <v>0</v>
      </c>
      <c r="T1256">
        <v>30</v>
      </c>
      <c r="U1256">
        <v>5</v>
      </c>
      <c r="V1256">
        <v>0</v>
      </c>
      <c r="W1256">
        <v>0</v>
      </c>
      <c r="X1256">
        <v>0</v>
      </c>
      <c r="Y1256">
        <v>0</v>
      </c>
      <c r="Z1256">
        <v>0</v>
      </c>
      <c r="AA1256">
        <v>0</v>
      </c>
      <c r="AB1256">
        <v>0</v>
      </c>
      <c r="AC1256">
        <v>0</v>
      </c>
      <c r="AD1256">
        <v>0</v>
      </c>
      <c r="AE1256">
        <v>0</v>
      </c>
      <c r="AF1256">
        <v>0</v>
      </c>
      <c r="AG1256">
        <v>0</v>
      </c>
      <c r="AH1256">
        <v>0</v>
      </c>
      <c r="AI1256">
        <v>0</v>
      </c>
      <c r="AY1256" t="str">
        <f t="shared" si="198"/>
        <v/>
      </c>
      <c r="AZ1256" t="str">
        <f>IF(COUNTIF(AY:AY,AY1256)=1,AY1256,IF(AND(COUNTIF(AY:AY,AY1256)&gt;1,COUNTIF(AZ$2:AZ1255,AY1256)&gt;=1),"",AY1256))</f>
        <v/>
      </c>
      <c r="BA1256" t="str">
        <f>IF(AZ1256="","",COUNTIFS(AZ$3:AZ$1439,"&lt;"&amp;AZ1256,AZ$3:AZ$1439,"&lt;&gt;0")+COUNTIF(AZ$3:AZ1256,AZ1256)-876)</f>
        <v/>
      </c>
      <c r="BT1256" s="76"/>
      <c r="CN1256">
        <v>1255</v>
      </c>
    </row>
    <row r="1257" spans="1:92" x14ac:dyDescent="0.3">
      <c r="A1257" s="118" t="s">
        <v>3561</v>
      </c>
      <c r="B1257" t="s">
        <v>3562</v>
      </c>
      <c r="C1257" t="s">
        <v>2954</v>
      </c>
      <c r="D1257" s="144" t="s">
        <v>864</v>
      </c>
      <c r="E1257" t="s">
        <v>813</v>
      </c>
      <c r="F1257" t="s">
        <v>3563</v>
      </c>
      <c r="G1257" t="s">
        <v>815</v>
      </c>
      <c r="H1257" t="s">
        <v>871</v>
      </c>
      <c r="I1257" t="s">
        <v>817</v>
      </c>
      <c r="J1257" t="s">
        <v>1179</v>
      </c>
      <c r="K1257" t="s">
        <v>1179</v>
      </c>
      <c r="L1257" t="s">
        <v>1354</v>
      </c>
      <c r="M1257" t="s">
        <v>208</v>
      </c>
      <c r="N1257" t="s">
        <v>1255</v>
      </c>
      <c r="O1257" t="s">
        <v>824</v>
      </c>
      <c r="P1257" t="s">
        <v>772</v>
      </c>
      <c r="Q1257" t="s">
        <v>972</v>
      </c>
      <c r="R1257">
        <v>0</v>
      </c>
      <c r="S1257">
        <v>0</v>
      </c>
      <c r="T1257">
        <v>30</v>
      </c>
      <c r="U1257">
        <v>21</v>
      </c>
      <c r="V1257">
        <v>0</v>
      </c>
      <c r="W1257">
        <v>0</v>
      </c>
      <c r="X1257">
        <v>0</v>
      </c>
      <c r="Y1257">
        <v>0</v>
      </c>
      <c r="Z1257">
        <v>0</v>
      </c>
      <c r="AA1257">
        <v>0</v>
      </c>
      <c r="AB1257">
        <v>0</v>
      </c>
      <c r="AC1257">
        <v>0</v>
      </c>
      <c r="AD1257">
        <v>0</v>
      </c>
      <c r="AE1257">
        <v>0</v>
      </c>
      <c r="AF1257">
        <v>0</v>
      </c>
      <c r="AG1257">
        <v>0</v>
      </c>
      <c r="AH1257">
        <v>0</v>
      </c>
      <c r="AI1257">
        <v>0</v>
      </c>
      <c r="AY1257" t="str">
        <f t="shared" si="198"/>
        <v/>
      </c>
      <c r="AZ1257" t="str">
        <f>IF(COUNTIF(AY:AY,AY1257)=1,AY1257,IF(AND(COUNTIF(AY:AY,AY1257)&gt;1,COUNTIF(AZ$2:AZ1256,AY1257)&gt;=1),"",AY1257))</f>
        <v/>
      </c>
      <c r="BA1257" t="str">
        <f>IF(AZ1257="","",COUNTIFS(AZ$3:AZ$1439,"&lt;"&amp;AZ1257,AZ$3:AZ$1439,"&lt;&gt;0")+COUNTIF(AZ$3:AZ1257,AZ1257)-876)</f>
        <v/>
      </c>
      <c r="BT1257" s="76"/>
      <c r="CN1257">
        <v>1256</v>
      </c>
    </row>
    <row r="1258" spans="1:92" x14ac:dyDescent="0.3">
      <c r="A1258" s="118" t="s">
        <v>3114</v>
      </c>
      <c r="B1258" t="s">
        <v>3115</v>
      </c>
      <c r="C1258" t="s">
        <v>2611</v>
      </c>
      <c r="D1258" s="144" t="s">
        <v>852</v>
      </c>
      <c r="E1258" t="s">
        <v>813</v>
      </c>
      <c r="F1258" t="s">
        <v>3116</v>
      </c>
      <c r="G1258" t="s">
        <v>815</v>
      </c>
      <c r="H1258" t="s">
        <v>860</v>
      </c>
      <c r="I1258" t="s">
        <v>817</v>
      </c>
      <c r="J1258" t="s">
        <v>1179</v>
      </c>
      <c r="K1258" t="s">
        <v>1179</v>
      </c>
      <c r="L1258" t="s">
        <v>1354</v>
      </c>
      <c r="M1258" t="s">
        <v>208</v>
      </c>
      <c r="N1258" t="s">
        <v>1426</v>
      </c>
      <c r="O1258" t="s">
        <v>824</v>
      </c>
      <c r="P1258" t="s">
        <v>772</v>
      </c>
      <c r="Q1258" t="s">
        <v>962</v>
      </c>
      <c r="R1258">
        <v>0</v>
      </c>
      <c r="S1258">
        <v>0</v>
      </c>
      <c r="T1258">
        <v>30</v>
      </c>
      <c r="U1258">
        <v>21</v>
      </c>
      <c r="V1258">
        <v>0</v>
      </c>
      <c r="W1258">
        <v>0</v>
      </c>
      <c r="X1258">
        <v>0</v>
      </c>
      <c r="Y1258">
        <v>0</v>
      </c>
      <c r="Z1258">
        <v>0</v>
      </c>
      <c r="AA1258">
        <v>0</v>
      </c>
      <c r="AB1258">
        <v>0</v>
      </c>
      <c r="AC1258">
        <v>0</v>
      </c>
      <c r="AD1258">
        <v>0</v>
      </c>
      <c r="AE1258">
        <v>0</v>
      </c>
      <c r="AF1258">
        <v>0</v>
      </c>
      <c r="AG1258">
        <v>0</v>
      </c>
      <c r="AH1258">
        <v>0</v>
      </c>
      <c r="AI1258">
        <v>0</v>
      </c>
      <c r="AY1258" t="str">
        <f t="shared" si="198"/>
        <v/>
      </c>
      <c r="AZ1258" t="str">
        <f>IF(COUNTIF(AY:AY,AY1258)=1,AY1258,IF(AND(COUNTIF(AY:AY,AY1258)&gt;1,COUNTIF(AZ$2:AZ1257,AY1258)&gt;=1),"",AY1258))</f>
        <v/>
      </c>
      <c r="BA1258" t="str">
        <f>IF(AZ1258="","",COUNTIFS(AZ$3:AZ$1439,"&lt;"&amp;AZ1258,AZ$3:AZ$1439,"&lt;&gt;0")+COUNTIF(AZ$3:AZ1258,AZ1258)-876)</f>
        <v/>
      </c>
      <c r="BT1258" s="76"/>
      <c r="CN1258">
        <v>1257</v>
      </c>
    </row>
    <row r="1259" spans="1:92" x14ac:dyDescent="0.3">
      <c r="A1259" s="118" t="s">
        <v>3114</v>
      </c>
      <c r="B1259" t="s">
        <v>3117</v>
      </c>
      <c r="C1259" t="s">
        <v>2614</v>
      </c>
      <c r="D1259" s="144" t="s">
        <v>864</v>
      </c>
      <c r="E1259" t="s">
        <v>813</v>
      </c>
      <c r="F1259" t="s">
        <v>3116</v>
      </c>
      <c r="G1259" t="s">
        <v>815</v>
      </c>
      <c r="H1259" t="s">
        <v>860</v>
      </c>
      <c r="I1259" t="s">
        <v>817</v>
      </c>
      <c r="J1259" t="s">
        <v>1179</v>
      </c>
      <c r="K1259" t="s">
        <v>1179</v>
      </c>
      <c r="L1259" t="s">
        <v>1354</v>
      </c>
      <c r="M1259" t="s">
        <v>208</v>
      </c>
      <c r="N1259" t="s">
        <v>1426</v>
      </c>
      <c r="O1259" t="s">
        <v>824</v>
      </c>
      <c r="P1259" t="s">
        <v>772</v>
      </c>
      <c r="Q1259" t="s">
        <v>1155</v>
      </c>
      <c r="R1259">
        <v>0</v>
      </c>
      <c r="S1259">
        <v>0</v>
      </c>
      <c r="T1259">
        <v>30</v>
      </c>
      <c r="U1259">
        <v>21</v>
      </c>
      <c r="V1259">
        <v>0</v>
      </c>
      <c r="W1259">
        <v>0</v>
      </c>
      <c r="X1259">
        <v>0</v>
      </c>
      <c r="Y1259">
        <v>0</v>
      </c>
      <c r="Z1259">
        <v>0</v>
      </c>
      <c r="AA1259">
        <v>0</v>
      </c>
      <c r="AB1259">
        <v>0</v>
      </c>
      <c r="AC1259">
        <v>0</v>
      </c>
      <c r="AD1259">
        <v>0</v>
      </c>
      <c r="AE1259">
        <v>0</v>
      </c>
      <c r="AF1259">
        <v>0</v>
      </c>
      <c r="AG1259">
        <v>0</v>
      </c>
      <c r="AH1259">
        <v>0</v>
      </c>
      <c r="AI1259">
        <v>0</v>
      </c>
      <c r="AY1259" t="str">
        <f t="shared" si="198"/>
        <v/>
      </c>
      <c r="AZ1259" t="str">
        <f>IF(COUNTIF(AY:AY,AY1259)=1,AY1259,IF(AND(COUNTIF(AY:AY,AY1259)&gt;1,COUNTIF(AZ$2:AZ1258,AY1259)&gt;=1),"",AY1259))</f>
        <v/>
      </c>
      <c r="BA1259" t="str">
        <f>IF(AZ1259="","",COUNTIFS(AZ$3:AZ$1439,"&lt;"&amp;AZ1259,AZ$3:AZ$1439,"&lt;&gt;0")+COUNTIF(AZ$3:AZ1259,AZ1259)-876)</f>
        <v/>
      </c>
      <c r="BT1259" s="76"/>
      <c r="CN1259">
        <v>1258</v>
      </c>
    </row>
    <row r="1260" spans="1:92" x14ac:dyDescent="0.3">
      <c r="A1260" s="118" t="s">
        <v>4261</v>
      </c>
      <c r="B1260" t="s">
        <v>4594</v>
      </c>
      <c r="C1260" t="s">
        <v>1243</v>
      </c>
      <c r="D1260" t="s">
        <v>955</v>
      </c>
      <c r="E1260" t="s">
        <v>765</v>
      </c>
      <c r="F1260" t="s">
        <v>501</v>
      </c>
      <c r="G1260" t="s">
        <v>956</v>
      </c>
      <c r="H1260" t="s">
        <v>2653</v>
      </c>
      <c r="I1260" t="s">
        <v>817</v>
      </c>
      <c r="J1260" t="s">
        <v>2081</v>
      </c>
      <c r="K1260" t="s">
        <v>2081</v>
      </c>
      <c r="L1260" t="s">
        <v>2082</v>
      </c>
      <c r="M1260" t="s">
        <v>208</v>
      </c>
      <c r="N1260" t="s">
        <v>3135</v>
      </c>
      <c r="O1260" t="s">
        <v>771</v>
      </c>
      <c r="P1260" t="s">
        <v>772</v>
      </c>
      <c r="Q1260" t="s">
        <v>3137</v>
      </c>
      <c r="R1260">
        <v>0</v>
      </c>
      <c r="S1260">
        <v>0</v>
      </c>
      <c r="T1260">
        <v>0</v>
      </c>
      <c r="U1260">
        <v>0</v>
      </c>
      <c r="V1260">
        <v>0</v>
      </c>
      <c r="W1260">
        <v>0</v>
      </c>
      <c r="X1260">
        <v>0</v>
      </c>
      <c r="Y1260">
        <v>0</v>
      </c>
      <c r="Z1260">
        <v>0</v>
      </c>
      <c r="AA1260">
        <v>0</v>
      </c>
      <c r="AB1260">
        <v>0</v>
      </c>
      <c r="AC1260">
        <v>0</v>
      </c>
      <c r="AD1260">
        <v>16.2</v>
      </c>
      <c r="AE1260">
        <v>5</v>
      </c>
      <c r="AF1260">
        <v>32.4</v>
      </c>
      <c r="AG1260">
        <v>5</v>
      </c>
      <c r="AH1260">
        <v>32.4</v>
      </c>
      <c r="AI1260">
        <v>5</v>
      </c>
      <c r="AY1260" t="str">
        <f t="shared" si="198"/>
        <v>TIALIN 101,2 MG/ML SOLUTION POUR ADMINISTRATION DANS L'EAU DE BOISSON DES PORCINS, DES POULETS ET DES DINDES</v>
      </c>
      <c r="AZ1260" t="str">
        <f>IF(COUNTIF(AY:AY,AY1260)=1,AY1260,IF(AND(COUNTIF(AY:AY,AY1260)&gt;1,COUNTIF(AZ$2:AZ1259,AY1260)&gt;=1),"",AY1260))</f>
        <v>TIALIN 101,2 MG/ML SOLUTION POUR ADMINISTRATION DANS L'EAU DE BOISSON DES PORCINS, DES POULETS ET DES DINDES</v>
      </c>
      <c r="BA1260">
        <f>IF(AZ1260="","",COUNTIFS(AZ$3:AZ$1439,"&lt;"&amp;AZ1260,AZ$3:AZ$1439,"&lt;&gt;0")+COUNTIF(AZ$3:AZ1260,AZ1260)-876)</f>
        <v>491</v>
      </c>
      <c r="BT1260" s="76"/>
      <c r="CN1260">
        <v>1259</v>
      </c>
    </row>
    <row r="1261" spans="1:92" x14ac:dyDescent="0.3">
      <c r="A1261" s="118" t="s">
        <v>4261</v>
      </c>
      <c r="B1261" t="s">
        <v>4595</v>
      </c>
      <c r="C1261" t="s">
        <v>1241</v>
      </c>
      <c r="D1261" t="s">
        <v>829</v>
      </c>
      <c r="E1261" t="s">
        <v>765</v>
      </c>
      <c r="F1261" t="s">
        <v>501</v>
      </c>
      <c r="G1261" t="s">
        <v>956</v>
      </c>
      <c r="H1261" t="s">
        <v>2653</v>
      </c>
      <c r="I1261" t="s">
        <v>817</v>
      </c>
      <c r="J1261" t="s">
        <v>2081</v>
      </c>
      <c r="K1261" t="s">
        <v>2081</v>
      </c>
      <c r="L1261" t="s">
        <v>2082</v>
      </c>
      <c r="M1261" t="s">
        <v>208</v>
      </c>
      <c r="N1261" t="s">
        <v>3135</v>
      </c>
      <c r="O1261" t="s">
        <v>771</v>
      </c>
      <c r="P1261" t="s">
        <v>772</v>
      </c>
      <c r="Q1261" t="s">
        <v>3135</v>
      </c>
      <c r="R1261">
        <v>0</v>
      </c>
      <c r="S1261">
        <v>0</v>
      </c>
      <c r="T1261">
        <v>0</v>
      </c>
      <c r="U1261">
        <v>0</v>
      </c>
      <c r="V1261">
        <v>0</v>
      </c>
      <c r="W1261">
        <v>0</v>
      </c>
      <c r="X1261">
        <v>0</v>
      </c>
      <c r="Y1261">
        <v>0</v>
      </c>
      <c r="Z1261">
        <v>0</v>
      </c>
      <c r="AA1261">
        <v>0</v>
      </c>
      <c r="AB1261">
        <v>0</v>
      </c>
      <c r="AC1261">
        <v>0</v>
      </c>
      <c r="AD1261">
        <v>16.2</v>
      </c>
      <c r="AE1261">
        <v>5</v>
      </c>
      <c r="AF1261">
        <v>32.4</v>
      </c>
      <c r="AG1261">
        <v>5</v>
      </c>
      <c r="AH1261">
        <v>32.4</v>
      </c>
      <c r="AI1261">
        <v>5</v>
      </c>
      <c r="AY1261" t="str">
        <f t="shared" si="198"/>
        <v>TIALIN 101,2 MG/ML SOLUTION POUR ADMINISTRATION DANS L'EAU DE BOISSON DES PORCINS, DES POULETS ET DES DINDES</v>
      </c>
      <c r="AZ1261" t="str">
        <f>IF(COUNTIF(AY:AY,AY1261)=1,AY1261,IF(AND(COUNTIF(AY:AY,AY1261)&gt;1,COUNTIF(AZ$2:AZ1260,AY1261)&gt;=1),"",AY1261))</f>
        <v/>
      </c>
      <c r="BA1261" t="str">
        <f>IF(AZ1261="","",COUNTIFS(AZ$3:AZ$1439,"&lt;"&amp;AZ1261,AZ$3:AZ$1439,"&lt;&gt;0")+COUNTIF(AZ$3:AZ1261,AZ1261)-876)</f>
        <v/>
      </c>
      <c r="BT1261" s="76"/>
      <c r="CN1261">
        <v>1260</v>
      </c>
    </row>
    <row r="1262" spans="1:92" x14ac:dyDescent="0.3">
      <c r="A1262" s="118" t="s">
        <v>4262</v>
      </c>
      <c r="B1262" t="s">
        <v>4263</v>
      </c>
      <c r="C1262" t="s">
        <v>1243</v>
      </c>
      <c r="D1262" t="s">
        <v>955</v>
      </c>
      <c r="E1262" t="s">
        <v>765</v>
      </c>
      <c r="F1262" t="s">
        <v>502</v>
      </c>
      <c r="G1262" t="s">
        <v>956</v>
      </c>
      <c r="H1262" t="s">
        <v>2653</v>
      </c>
      <c r="I1262" t="s">
        <v>817</v>
      </c>
      <c r="J1262" t="s">
        <v>2081</v>
      </c>
      <c r="K1262" t="s">
        <v>2081</v>
      </c>
      <c r="L1262" t="s">
        <v>2082</v>
      </c>
      <c r="M1262" t="s">
        <v>208</v>
      </c>
      <c r="N1262" t="s">
        <v>4264</v>
      </c>
      <c r="O1262" t="s">
        <v>771</v>
      </c>
      <c r="P1262" t="s">
        <v>772</v>
      </c>
      <c r="Q1262" t="s">
        <v>3230</v>
      </c>
      <c r="R1262">
        <v>0</v>
      </c>
      <c r="S1262">
        <v>0</v>
      </c>
      <c r="T1262">
        <v>0</v>
      </c>
      <c r="U1262">
        <v>0</v>
      </c>
      <c r="V1262">
        <v>0</v>
      </c>
      <c r="W1262">
        <v>0</v>
      </c>
      <c r="X1262">
        <v>0</v>
      </c>
      <c r="Y1262">
        <v>0</v>
      </c>
      <c r="Z1262">
        <v>0</v>
      </c>
      <c r="AA1262">
        <v>0</v>
      </c>
      <c r="AB1262">
        <v>0</v>
      </c>
      <c r="AC1262">
        <v>0</v>
      </c>
      <c r="AD1262">
        <v>16.2</v>
      </c>
      <c r="AE1262">
        <v>5</v>
      </c>
      <c r="AF1262">
        <v>32.4</v>
      </c>
      <c r="AG1262">
        <v>5</v>
      </c>
      <c r="AH1262">
        <v>0</v>
      </c>
      <c r="AI1262">
        <v>0</v>
      </c>
      <c r="AY1262" t="str">
        <f t="shared" si="198"/>
        <v>TIALIN 202,4 MG/ML SOLUTION POUR ADMINISTRATION DANS L'EAU DE BOISSON DES PORCINS, DES POULETS ET DES DINDES</v>
      </c>
      <c r="AZ1262" t="str">
        <f>IF(COUNTIF(AY:AY,AY1262)=1,AY1262,IF(AND(COUNTIF(AY:AY,AY1262)&gt;1,COUNTIF(AZ$2:AZ1261,AY1262)&gt;=1),"",AY1262))</f>
        <v>TIALIN 202,4 MG/ML SOLUTION POUR ADMINISTRATION DANS L'EAU DE BOISSON DES PORCINS, DES POULETS ET DES DINDES</v>
      </c>
      <c r="BA1262">
        <f>IF(AZ1262="","",COUNTIFS(AZ$3:AZ$1439,"&lt;"&amp;AZ1262,AZ$3:AZ$1439,"&lt;&gt;0")+COUNTIF(AZ$3:AZ1262,AZ1262)-876)</f>
        <v>492</v>
      </c>
      <c r="BT1262" s="76"/>
      <c r="CN1262">
        <v>1261</v>
      </c>
    </row>
    <row r="1263" spans="1:92" x14ac:dyDescent="0.3">
      <c r="A1263" s="118" t="s">
        <v>3062</v>
      </c>
      <c r="B1263" t="s">
        <v>3063</v>
      </c>
      <c r="C1263" t="s">
        <v>1062</v>
      </c>
      <c r="D1263" s="144" t="s">
        <v>1063</v>
      </c>
      <c r="E1263" t="s">
        <v>830</v>
      </c>
      <c r="F1263" t="s">
        <v>503</v>
      </c>
      <c r="G1263" t="s">
        <v>1064</v>
      </c>
      <c r="H1263" t="s">
        <v>2653</v>
      </c>
      <c r="I1263" t="s">
        <v>1066</v>
      </c>
      <c r="J1263" t="s">
        <v>2081</v>
      </c>
      <c r="K1263" t="s">
        <v>2081</v>
      </c>
      <c r="L1263" t="s">
        <v>2082</v>
      </c>
      <c r="M1263" t="s">
        <v>208</v>
      </c>
      <c r="N1263" t="s">
        <v>2654</v>
      </c>
      <c r="O1263" t="s">
        <v>894</v>
      </c>
      <c r="P1263" t="s">
        <v>772</v>
      </c>
      <c r="Q1263" t="s">
        <v>2655</v>
      </c>
      <c r="R1263">
        <v>0</v>
      </c>
      <c r="S1263">
        <v>0</v>
      </c>
      <c r="T1263">
        <v>0</v>
      </c>
      <c r="U1263">
        <v>0</v>
      </c>
      <c r="V1263">
        <v>0</v>
      </c>
      <c r="W1263">
        <v>0</v>
      </c>
      <c r="X1263">
        <v>0</v>
      </c>
      <c r="Y1263">
        <v>0</v>
      </c>
      <c r="Z1263">
        <v>0</v>
      </c>
      <c r="AA1263">
        <v>0</v>
      </c>
      <c r="AB1263">
        <v>0</v>
      </c>
      <c r="AC1263">
        <v>0</v>
      </c>
      <c r="AD1263">
        <v>8</v>
      </c>
      <c r="AE1263">
        <v>10</v>
      </c>
      <c r="AF1263">
        <v>32</v>
      </c>
      <c r="AG1263">
        <v>10</v>
      </c>
      <c r="AH1263">
        <v>0</v>
      </c>
      <c r="AI1263">
        <v>0</v>
      </c>
      <c r="AY1263" t="str">
        <f t="shared" si="198"/>
        <v>TIAMULINE 16,2 PNEUMONIE VOLAILLE PORC FRANVET</v>
      </c>
      <c r="AZ1263" t="str">
        <f>IF(COUNTIF(AY:AY,AY1263)=1,AY1263,IF(AND(COUNTIF(AY:AY,AY1263)&gt;1,COUNTIF(AZ$2:AZ1262,AY1263)&gt;=1),"",AY1263))</f>
        <v>TIAMULINE 16,2 PNEUMONIE VOLAILLE PORC FRANVET</v>
      </c>
      <c r="BA1263">
        <f>IF(AZ1263="","",COUNTIFS(AZ$3:AZ$1439,"&lt;"&amp;AZ1263,AZ$3:AZ$1439,"&lt;&gt;0")+COUNTIF(AZ$3:AZ1263,AZ1263)-876)</f>
        <v>493</v>
      </c>
      <c r="BT1263" s="76"/>
      <c r="CN1263">
        <v>1262</v>
      </c>
    </row>
    <row r="1264" spans="1:92" x14ac:dyDescent="0.3">
      <c r="A1264" s="118" t="s">
        <v>3059</v>
      </c>
      <c r="B1264" t="s">
        <v>3060</v>
      </c>
      <c r="C1264" t="s">
        <v>3061</v>
      </c>
      <c r="D1264" s="144" t="s">
        <v>1063</v>
      </c>
      <c r="E1264" t="s">
        <v>830</v>
      </c>
      <c r="F1264" t="s">
        <v>504</v>
      </c>
      <c r="G1264" t="s">
        <v>1064</v>
      </c>
      <c r="H1264" t="s">
        <v>1959</v>
      </c>
      <c r="I1264" t="s">
        <v>1066</v>
      </c>
      <c r="J1264" t="s">
        <v>2081</v>
      </c>
      <c r="K1264" t="s">
        <v>2081</v>
      </c>
      <c r="L1264" t="s">
        <v>2082</v>
      </c>
      <c r="M1264" t="s">
        <v>208</v>
      </c>
      <c r="N1264" t="s">
        <v>1374</v>
      </c>
      <c r="O1264" t="s">
        <v>894</v>
      </c>
      <c r="P1264" t="s">
        <v>772</v>
      </c>
      <c r="Q1264" t="s">
        <v>2233</v>
      </c>
      <c r="R1264">
        <v>0</v>
      </c>
      <c r="S1264">
        <v>0</v>
      </c>
      <c r="T1264">
        <v>0</v>
      </c>
      <c r="U1264">
        <v>0</v>
      </c>
      <c r="V1264">
        <v>0</v>
      </c>
      <c r="W1264">
        <v>0</v>
      </c>
      <c r="X1264">
        <v>0</v>
      </c>
      <c r="Y1264">
        <v>0</v>
      </c>
      <c r="Z1264">
        <v>2.5</v>
      </c>
      <c r="AA1264">
        <v>31</v>
      </c>
      <c r="AB1264">
        <v>0</v>
      </c>
      <c r="AC1264">
        <v>0</v>
      </c>
      <c r="AD1264">
        <v>8</v>
      </c>
      <c r="AE1264">
        <v>10</v>
      </c>
      <c r="AF1264">
        <v>0</v>
      </c>
      <c r="AG1264">
        <v>0</v>
      </c>
      <c r="AH1264">
        <v>0</v>
      </c>
      <c r="AI1264">
        <v>0</v>
      </c>
      <c r="AY1264" t="str">
        <f t="shared" si="198"/>
        <v>TIAMULINE 6,5 ENTERITE PORC ENTEROCOLITE LAPIN FRANVET</v>
      </c>
      <c r="AZ1264" t="str">
        <f>IF(COUNTIF(AY:AY,AY1264)=1,AY1264,IF(AND(COUNTIF(AY:AY,AY1264)&gt;1,COUNTIF(AZ$2:AZ1263,AY1264)&gt;=1),"",AY1264))</f>
        <v>TIAMULINE 6,5 ENTERITE PORC ENTEROCOLITE LAPIN FRANVET</v>
      </c>
      <c r="BA1264">
        <f>IF(AZ1264="","",COUNTIFS(AZ$3:AZ$1439,"&lt;"&amp;AZ1264,AZ$3:AZ$1439,"&lt;&gt;0")+COUNTIF(AZ$3:AZ1264,AZ1264)-876)</f>
        <v>494</v>
      </c>
      <c r="BT1264" s="76"/>
      <c r="CN1264">
        <v>1263</v>
      </c>
    </row>
    <row r="1265" spans="1:92" x14ac:dyDescent="0.3">
      <c r="A1265" s="118" t="s">
        <v>2651</v>
      </c>
      <c r="B1265" t="s">
        <v>2652</v>
      </c>
      <c r="C1265" t="s">
        <v>1062</v>
      </c>
      <c r="D1265" s="144" t="s">
        <v>1063</v>
      </c>
      <c r="E1265" t="s">
        <v>830</v>
      </c>
      <c r="F1265" t="s">
        <v>505</v>
      </c>
      <c r="G1265" t="s">
        <v>1064</v>
      </c>
      <c r="H1265" t="s">
        <v>2653</v>
      </c>
      <c r="I1265" t="s">
        <v>1066</v>
      </c>
      <c r="J1265" t="s">
        <v>2081</v>
      </c>
      <c r="K1265" t="s">
        <v>2081</v>
      </c>
      <c r="L1265" t="s">
        <v>2082</v>
      </c>
      <c r="M1265" t="s">
        <v>208</v>
      </c>
      <c r="N1265" t="s">
        <v>2654</v>
      </c>
      <c r="O1265" t="s">
        <v>894</v>
      </c>
      <c r="P1265" t="s">
        <v>772</v>
      </c>
      <c r="Q1265" t="s">
        <v>2655</v>
      </c>
      <c r="R1265">
        <v>0</v>
      </c>
      <c r="S1265">
        <v>0</v>
      </c>
      <c r="T1265">
        <v>0</v>
      </c>
      <c r="U1265">
        <v>0</v>
      </c>
      <c r="V1265">
        <v>0</v>
      </c>
      <c r="W1265">
        <v>0</v>
      </c>
      <c r="X1265">
        <v>0</v>
      </c>
      <c r="Y1265">
        <v>0</v>
      </c>
      <c r="Z1265">
        <v>2.5</v>
      </c>
      <c r="AA1265">
        <v>31</v>
      </c>
      <c r="AB1265">
        <v>0</v>
      </c>
      <c r="AC1265">
        <v>0</v>
      </c>
      <c r="AD1265">
        <v>8</v>
      </c>
      <c r="AE1265">
        <v>10</v>
      </c>
      <c r="AF1265">
        <v>32</v>
      </c>
      <c r="AG1265">
        <v>10</v>
      </c>
      <c r="AH1265">
        <v>0</v>
      </c>
      <c r="AI1265">
        <v>0</v>
      </c>
      <c r="AY1265" t="str">
        <f t="shared" si="198"/>
        <v>TIAMUVAL PREMELANGE MEDICAMENTEUX TIAMULINE 16,2 PNEUMONIE VOLAILLE-PORC</v>
      </c>
      <c r="AZ1265" t="str">
        <f>IF(COUNTIF(AY:AY,AY1265)=1,AY1265,IF(AND(COUNTIF(AY:AY,AY1265)&gt;1,COUNTIF(AZ$2:AZ1264,AY1265)&gt;=1),"",AY1265))</f>
        <v>TIAMUVAL PREMELANGE MEDICAMENTEUX TIAMULINE 16,2 PNEUMONIE VOLAILLE-PORC</v>
      </c>
      <c r="BA1265">
        <f>IF(AZ1265="","",COUNTIFS(AZ$3:AZ$1439,"&lt;"&amp;AZ1265,AZ$3:AZ$1439,"&lt;&gt;0")+COUNTIF(AZ$3:AZ1265,AZ1265)-876)</f>
        <v>495</v>
      </c>
      <c r="BT1265" s="76"/>
      <c r="CN1265">
        <v>1264</v>
      </c>
    </row>
    <row r="1266" spans="1:92" x14ac:dyDescent="0.3">
      <c r="A1266" s="118" t="s">
        <v>2231</v>
      </c>
      <c r="B1266" t="s">
        <v>2232</v>
      </c>
      <c r="C1266" t="s">
        <v>1062</v>
      </c>
      <c r="D1266" s="144" t="s">
        <v>1063</v>
      </c>
      <c r="E1266" t="s">
        <v>830</v>
      </c>
      <c r="F1266" t="s">
        <v>506</v>
      </c>
      <c r="G1266" t="s">
        <v>1064</v>
      </c>
      <c r="H1266" t="s">
        <v>1959</v>
      </c>
      <c r="I1266" t="s">
        <v>1066</v>
      </c>
      <c r="J1266" t="s">
        <v>2081</v>
      </c>
      <c r="K1266" t="s">
        <v>2081</v>
      </c>
      <c r="L1266" t="s">
        <v>2082</v>
      </c>
      <c r="M1266" t="s">
        <v>208</v>
      </c>
      <c r="N1266" t="s">
        <v>1374</v>
      </c>
      <c r="O1266" t="s">
        <v>894</v>
      </c>
      <c r="P1266" t="s">
        <v>772</v>
      </c>
      <c r="Q1266" t="s">
        <v>2233</v>
      </c>
      <c r="R1266">
        <v>0</v>
      </c>
      <c r="S1266">
        <v>0</v>
      </c>
      <c r="T1266">
        <v>0</v>
      </c>
      <c r="U1266">
        <v>0</v>
      </c>
      <c r="V1266">
        <v>0</v>
      </c>
      <c r="W1266">
        <v>0</v>
      </c>
      <c r="X1266">
        <v>0</v>
      </c>
      <c r="Y1266">
        <v>0</v>
      </c>
      <c r="Z1266">
        <v>2.5</v>
      </c>
      <c r="AA1266">
        <v>31</v>
      </c>
      <c r="AB1266">
        <v>0</v>
      </c>
      <c r="AC1266">
        <v>0</v>
      </c>
      <c r="AD1266">
        <v>8</v>
      </c>
      <c r="AE1266">
        <v>10</v>
      </c>
      <c r="AF1266">
        <v>0</v>
      </c>
      <c r="AG1266">
        <v>0</v>
      </c>
      <c r="AH1266">
        <v>0</v>
      </c>
      <c r="AI1266">
        <v>0</v>
      </c>
      <c r="AY1266" t="str">
        <f t="shared" si="198"/>
        <v>TIAMUVAL PREMELANGE MEDICAMENTEUX TIAMULINE 6,5 ENTERITE PORC ENTEROCOLITE LAPIN</v>
      </c>
      <c r="AZ1266" t="str">
        <f>IF(COUNTIF(AY:AY,AY1266)=1,AY1266,IF(AND(COUNTIF(AY:AY,AY1266)&gt;1,COUNTIF(AZ$2:AZ1265,AY1266)&gt;=1),"",AY1266))</f>
        <v>TIAMUVAL PREMELANGE MEDICAMENTEUX TIAMULINE 6,5 ENTERITE PORC ENTEROCOLITE LAPIN</v>
      </c>
      <c r="BA1266">
        <f>IF(AZ1266="","",COUNTIFS(AZ$3:AZ$1439,"&lt;"&amp;AZ1266,AZ$3:AZ$1439,"&lt;&gt;0")+COUNTIF(AZ$3:AZ1266,AZ1266)-876)</f>
        <v>496</v>
      </c>
      <c r="BT1266" s="76"/>
      <c r="CN1266">
        <v>1265</v>
      </c>
    </row>
    <row r="1267" spans="1:92" x14ac:dyDescent="0.3">
      <c r="A1267" s="118" t="s">
        <v>3133</v>
      </c>
      <c r="B1267" t="s">
        <v>3134</v>
      </c>
      <c r="C1267" t="s">
        <v>1241</v>
      </c>
      <c r="D1267" s="144" t="s">
        <v>829</v>
      </c>
      <c r="E1267" t="s">
        <v>765</v>
      </c>
      <c r="F1267" t="s">
        <v>507</v>
      </c>
      <c r="G1267" t="s">
        <v>956</v>
      </c>
      <c r="H1267" t="s">
        <v>2653</v>
      </c>
      <c r="I1267" t="s">
        <v>817</v>
      </c>
      <c r="J1267" t="s">
        <v>2081</v>
      </c>
      <c r="K1267" t="s">
        <v>2081</v>
      </c>
      <c r="L1267" t="s">
        <v>2082</v>
      </c>
      <c r="M1267" t="s">
        <v>208</v>
      </c>
      <c r="N1267" t="s">
        <v>3135</v>
      </c>
      <c r="O1267" t="s">
        <v>771</v>
      </c>
      <c r="P1267" t="s">
        <v>772</v>
      </c>
      <c r="Q1267" t="s">
        <v>3135</v>
      </c>
      <c r="R1267">
        <v>0</v>
      </c>
      <c r="S1267">
        <v>0</v>
      </c>
      <c r="T1267">
        <v>0</v>
      </c>
      <c r="U1267">
        <v>0</v>
      </c>
      <c r="V1267">
        <v>0</v>
      </c>
      <c r="W1267">
        <v>0</v>
      </c>
      <c r="X1267">
        <v>0</v>
      </c>
      <c r="Y1267">
        <v>0</v>
      </c>
      <c r="Z1267">
        <v>16</v>
      </c>
      <c r="AA1267">
        <v>10</v>
      </c>
      <c r="AB1267">
        <v>0</v>
      </c>
      <c r="AC1267">
        <v>0</v>
      </c>
      <c r="AD1267">
        <v>8.1</v>
      </c>
      <c r="AE1267">
        <v>5</v>
      </c>
      <c r="AF1267">
        <v>32.4</v>
      </c>
      <c r="AG1267">
        <v>5</v>
      </c>
      <c r="AH1267">
        <v>0</v>
      </c>
      <c r="AI1267">
        <v>0</v>
      </c>
      <c r="AY1267" t="str">
        <f t="shared" si="198"/>
        <v>TIAMVET SOLUTION</v>
      </c>
      <c r="AZ1267" t="str">
        <f>IF(COUNTIF(AY:AY,AY1267)=1,AY1267,IF(AND(COUNTIF(AY:AY,AY1267)&gt;1,COUNTIF(AZ$2:AZ1266,AY1267)&gt;=1),"",AY1267))</f>
        <v>TIAMVET SOLUTION</v>
      </c>
      <c r="BA1267">
        <f>IF(AZ1267="","",COUNTIFS(AZ$3:AZ$1439,"&lt;"&amp;AZ1267,AZ$3:AZ$1439,"&lt;&gt;0")+COUNTIF(AZ$3:AZ1267,AZ1267)-876)</f>
        <v>497</v>
      </c>
      <c r="BT1267" s="76"/>
      <c r="CN1267">
        <v>1266</v>
      </c>
    </row>
    <row r="1268" spans="1:92" x14ac:dyDescent="0.3">
      <c r="A1268" s="118" t="s">
        <v>3133</v>
      </c>
      <c r="B1268" t="s">
        <v>3136</v>
      </c>
      <c r="C1268" t="s">
        <v>1243</v>
      </c>
      <c r="D1268" s="144" t="s">
        <v>955</v>
      </c>
      <c r="E1268" t="s">
        <v>765</v>
      </c>
      <c r="F1268" t="s">
        <v>507</v>
      </c>
      <c r="G1268" t="s">
        <v>956</v>
      </c>
      <c r="H1268" t="s">
        <v>2653</v>
      </c>
      <c r="I1268" t="s">
        <v>817</v>
      </c>
      <c r="J1268" t="s">
        <v>2081</v>
      </c>
      <c r="K1268" t="s">
        <v>2081</v>
      </c>
      <c r="L1268" t="s">
        <v>2082</v>
      </c>
      <c r="M1268" t="s">
        <v>208</v>
      </c>
      <c r="N1268" t="s">
        <v>3135</v>
      </c>
      <c r="O1268" t="s">
        <v>771</v>
      </c>
      <c r="P1268" t="s">
        <v>772</v>
      </c>
      <c r="Q1268" t="s">
        <v>3137</v>
      </c>
      <c r="R1268">
        <v>0</v>
      </c>
      <c r="S1268">
        <v>0</v>
      </c>
      <c r="T1268">
        <v>0</v>
      </c>
      <c r="U1268">
        <v>0</v>
      </c>
      <c r="V1268">
        <v>0</v>
      </c>
      <c r="W1268">
        <v>0</v>
      </c>
      <c r="X1268">
        <v>0</v>
      </c>
      <c r="Y1268">
        <v>0</v>
      </c>
      <c r="Z1268">
        <v>16</v>
      </c>
      <c r="AA1268">
        <v>10</v>
      </c>
      <c r="AB1268">
        <v>0</v>
      </c>
      <c r="AC1268">
        <v>0</v>
      </c>
      <c r="AD1268">
        <v>8.1</v>
      </c>
      <c r="AE1268">
        <v>5</v>
      </c>
      <c r="AF1268">
        <v>32.4</v>
      </c>
      <c r="AG1268">
        <v>5</v>
      </c>
      <c r="AH1268">
        <v>0</v>
      </c>
      <c r="AI1268">
        <v>0</v>
      </c>
      <c r="AY1268" t="str">
        <f t="shared" si="198"/>
        <v>TIAMVET SOLUTION</v>
      </c>
      <c r="AZ1268" t="str">
        <f>IF(COUNTIF(AY:AY,AY1268)=1,AY1268,IF(AND(COUNTIF(AY:AY,AY1268)&gt;1,COUNTIF(AZ$2:AZ1267,AY1268)&gt;=1),"",AY1268))</f>
        <v/>
      </c>
      <c r="BA1268" t="str">
        <f>IF(AZ1268="","",COUNTIFS(AZ$3:AZ$1439,"&lt;"&amp;AZ1268,AZ$3:AZ$1439,"&lt;&gt;0")+COUNTIF(AZ$3:AZ1268,AZ1268)-876)</f>
        <v/>
      </c>
      <c r="BT1268" s="76"/>
      <c r="CN1268">
        <v>1267</v>
      </c>
    </row>
    <row r="1269" spans="1:92" x14ac:dyDescent="0.3">
      <c r="A1269" s="118" t="s">
        <v>4238</v>
      </c>
      <c r="B1269" t="s">
        <v>4239</v>
      </c>
      <c r="C1269" t="s">
        <v>3325</v>
      </c>
      <c r="D1269" t="s">
        <v>1499</v>
      </c>
      <c r="E1269" t="s">
        <v>765</v>
      </c>
      <c r="F1269" t="s">
        <v>508</v>
      </c>
      <c r="G1269" t="s">
        <v>956</v>
      </c>
      <c r="H1269" t="s">
        <v>4240</v>
      </c>
      <c r="I1269" t="s">
        <v>817</v>
      </c>
      <c r="J1269" t="s">
        <v>802</v>
      </c>
      <c r="K1269" t="s">
        <v>802</v>
      </c>
      <c r="L1269" t="s">
        <v>2470</v>
      </c>
      <c r="M1269" t="s">
        <v>208</v>
      </c>
      <c r="N1269" t="s">
        <v>776</v>
      </c>
      <c r="O1269" t="s">
        <v>771</v>
      </c>
      <c r="P1269" t="s">
        <v>772</v>
      </c>
      <c r="Q1269" t="s">
        <v>1214</v>
      </c>
      <c r="R1269">
        <v>25</v>
      </c>
      <c r="S1269">
        <v>5</v>
      </c>
      <c r="T1269">
        <v>0</v>
      </c>
      <c r="U1269">
        <v>0</v>
      </c>
      <c r="V1269">
        <v>0</v>
      </c>
      <c r="W1269">
        <v>0</v>
      </c>
      <c r="X1269">
        <v>0</v>
      </c>
      <c r="Y1269">
        <v>0</v>
      </c>
      <c r="Z1269">
        <v>0</v>
      </c>
      <c r="AA1269">
        <v>0</v>
      </c>
      <c r="AB1269">
        <v>20</v>
      </c>
      <c r="AC1269">
        <v>5</v>
      </c>
      <c r="AD1269">
        <v>20</v>
      </c>
      <c r="AE1269">
        <v>5</v>
      </c>
      <c r="AF1269">
        <v>27</v>
      </c>
      <c r="AG1269">
        <v>3</v>
      </c>
      <c r="AH1269">
        <v>0</v>
      </c>
      <c r="AI1269">
        <v>0</v>
      </c>
      <c r="AY1269" t="str">
        <f t="shared" si="198"/>
        <v>TILDOSIN 250 MG/ML SOLUTION POUR ADMINISTRATION DANS L'EAU DE BOISSON OU LAIT DE REMPLACEMENT POUR BOVINS, PORCINS, POULETS ET DINDES</v>
      </c>
      <c r="AZ1269" t="str">
        <f>IF(COUNTIF(AY:AY,AY1269)=1,AY1269,IF(AND(COUNTIF(AY:AY,AY1269)&gt;1,COUNTIF(AZ$2:AZ1268,AY1269)&gt;=1),"",AY1269))</f>
        <v>TILDOSIN 250 MG/ML SOLUTION POUR ADMINISTRATION DANS L'EAU DE BOISSON OU LAIT DE REMPLACEMENT POUR BOVINS, PORCINS, POULETS ET DINDES</v>
      </c>
      <c r="BA1269">
        <f>IF(AZ1269="","",COUNTIFS(AZ$3:AZ$1439,"&lt;"&amp;AZ1269,AZ$3:AZ$1439,"&lt;&gt;0")+COUNTIF(AZ$3:AZ1269,AZ1269)-876)</f>
        <v>498</v>
      </c>
      <c r="BT1269" s="76"/>
      <c r="CN1269">
        <v>1268</v>
      </c>
    </row>
    <row r="1270" spans="1:92" x14ac:dyDescent="0.3">
      <c r="A1270" s="118" t="s">
        <v>4238</v>
      </c>
      <c r="B1270" t="s">
        <v>4241</v>
      </c>
      <c r="C1270" t="s">
        <v>4242</v>
      </c>
      <c r="D1270" t="s">
        <v>4243</v>
      </c>
      <c r="E1270" t="s">
        <v>765</v>
      </c>
      <c r="F1270" t="s">
        <v>508</v>
      </c>
      <c r="G1270" t="s">
        <v>956</v>
      </c>
      <c r="H1270" t="s">
        <v>4240</v>
      </c>
      <c r="I1270" t="s">
        <v>817</v>
      </c>
      <c r="J1270" t="s">
        <v>802</v>
      </c>
      <c r="K1270" t="s">
        <v>802</v>
      </c>
      <c r="L1270" t="s">
        <v>2470</v>
      </c>
      <c r="M1270" t="s">
        <v>208</v>
      </c>
      <c r="N1270" t="s">
        <v>776</v>
      </c>
      <c r="O1270" t="s">
        <v>771</v>
      </c>
      <c r="P1270" t="s">
        <v>772</v>
      </c>
      <c r="Q1270" t="s">
        <v>4244</v>
      </c>
      <c r="R1270">
        <v>25</v>
      </c>
      <c r="S1270">
        <v>5</v>
      </c>
      <c r="T1270">
        <v>0</v>
      </c>
      <c r="U1270">
        <v>0</v>
      </c>
      <c r="V1270">
        <v>0</v>
      </c>
      <c r="W1270">
        <v>0</v>
      </c>
      <c r="X1270">
        <v>0</v>
      </c>
      <c r="Y1270">
        <v>0</v>
      </c>
      <c r="Z1270">
        <v>0</v>
      </c>
      <c r="AA1270">
        <v>0</v>
      </c>
      <c r="AB1270">
        <v>20</v>
      </c>
      <c r="AC1270">
        <v>5</v>
      </c>
      <c r="AD1270">
        <v>20</v>
      </c>
      <c r="AE1270">
        <v>5</v>
      </c>
      <c r="AF1270">
        <v>27</v>
      </c>
      <c r="AG1270">
        <v>3</v>
      </c>
      <c r="AH1270">
        <v>0</v>
      </c>
      <c r="AI1270">
        <v>0</v>
      </c>
      <c r="AY1270" t="str">
        <f t="shared" si="198"/>
        <v>TILDOSIN 250 MG/ML SOLUTION POUR ADMINISTRATION DANS L'EAU DE BOISSON OU LAIT DE REMPLACEMENT POUR BOVINS, PORCINS, POULETS ET DINDES</v>
      </c>
      <c r="AZ1270" t="str">
        <f>IF(COUNTIF(AY:AY,AY1270)=1,AY1270,IF(AND(COUNTIF(AY:AY,AY1270)&gt;1,COUNTIF(AZ$2:AZ1269,AY1270)&gt;=1),"",AY1270))</f>
        <v/>
      </c>
      <c r="BA1270" t="str">
        <f>IF(AZ1270="","",COUNTIFS(AZ$3:AZ$1439,"&lt;"&amp;AZ1270,AZ$3:AZ$1439,"&lt;&gt;0")+COUNTIF(AZ$3:AZ1270,AZ1270)-876)</f>
        <v/>
      </c>
      <c r="BT1270" s="76"/>
      <c r="CN1270">
        <v>1269</v>
      </c>
    </row>
    <row r="1271" spans="1:92" x14ac:dyDescent="0.3">
      <c r="A1271" s="118" t="s">
        <v>4285</v>
      </c>
      <c r="B1271" t="s">
        <v>4286</v>
      </c>
      <c r="C1271" t="s">
        <v>4287</v>
      </c>
      <c r="D1271" t="s">
        <v>829</v>
      </c>
      <c r="E1271" t="s">
        <v>765</v>
      </c>
      <c r="F1271" t="s">
        <v>4612</v>
      </c>
      <c r="G1271" t="s">
        <v>956</v>
      </c>
      <c r="H1271" t="s">
        <v>2803</v>
      </c>
      <c r="I1271" t="s">
        <v>817</v>
      </c>
      <c r="J1271" t="s">
        <v>802</v>
      </c>
      <c r="K1271" t="s">
        <v>802</v>
      </c>
      <c r="L1271" t="s">
        <v>2470</v>
      </c>
      <c r="M1271" t="s">
        <v>208</v>
      </c>
      <c r="N1271" t="s">
        <v>776</v>
      </c>
      <c r="O1271" t="s">
        <v>771</v>
      </c>
      <c r="P1271" t="s">
        <v>772</v>
      </c>
      <c r="Q1271" t="s">
        <v>776</v>
      </c>
      <c r="R1271">
        <v>25</v>
      </c>
      <c r="S1271">
        <v>5</v>
      </c>
      <c r="T1271">
        <v>0</v>
      </c>
      <c r="U1271">
        <v>0</v>
      </c>
      <c r="V1271">
        <v>0</v>
      </c>
      <c r="W1271">
        <v>0</v>
      </c>
      <c r="X1271">
        <v>0</v>
      </c>
      <c r="Y1271">
        <v>0</v>
      </c>
      <c r="Z1271">
        <v>20</v>
      </c>
      <c r="AA1271">
        <v>5</v>
      </c>
      <c r="AB1271">
        <v>20</v>
      </c>
      <c r="AC1271">
        <v>5</v>
      </c>
      <c r="AD1271">
        <v>20</v>
      </c>
      <c r="AE1271">
        <v>5</v>
      </c>
      <c r="AF1271">
        <v>27</v>
      </c>
      <c r="AG1271">
        <v>3</v>
      </c>
      <c r="AH1271">
        <v>27</v>
      </c>
      <c r="AI1271">
        <v>3</v>
      </c>
      <c r="AY1271" t="str">
        <f t="shared" si="198"/>
        <v>TILMOPRO 250 MG/ML SOLUTION BUVABLE POUR UTILISATION DANS L'EAU DE BOISSON / LAIT</v>
      </c>
      <c r="AZ1271" t="str">
        <f>IF(COUNTIF(AY:AY,AY1271)=1,AY1271,IF(AND(COUNTIF(AY:AY,AY1271)&gt;1,COUNTIF(AZ$2:AZ1270,AY1271)&gt;=1),"",AY1271))</f>
        <v>TILMOPRO 250 MG/ML SOLUTION BUVABLE POUR UTILISATION DANS L'EAU DE BOISSON / LAIT</v>
      </c>
      <c r="BA1271">
        <f>IF(AZ1271="","",COUNTIFS(AZ$3:AZ$1439,"&lt;"&amp;AZ1271,AZ$3:AZ$1439,"&lt;&gt;0")+COUNTIF(AZ$3:AZ1271,AZ1271)-876)</f>
        <v>499</v>
      </c>
      <c r="BT1271" s="76"/>
      <c r="CN1271">
        <v>1270</v>
      </c>
    </row>
    <row r="1272" spans="1:92" x14ac:dyDescent="0.3">
      <c r="A1272" s="118" t="s">
        <v>3323</v>
      </c>
      <c r="B1272" t="s">
        <v>3324</v>
      </c>
      <c r="C1272" t="s">
        <v>3325</v>
      </c>
      <c r="D1272" s="144" t="s">
        <v>1499</v>
      </c>
      <c r="E1272" t="s">
        <v>765</v>
      </c>
      <c r="F1272" t="s">
        <v>509</v>
      </c>
      <c r="G1272" t="s">
        <v>956</v>
      </c>
      <c r="H1272" t="s">
        <v>2803</v>
      </c>
      <c r="I1272" t="s">
        <v>817</v>
      </c>
      <c r="J1272" t="s">
        <v>802</v>
      </c>
      <c r="K1272" t="s">
        <v>802</v>
      </c>
      <c r="L1272" t="s">
        <v>2470</v>
      </c>
      <c r="M1272" t="s">
        <v>208</v>
      </c>
      <c r="N1272" t="s">
        <v>776</v>
      </c>
      <c r="O1272" t="s">
        <v>771</v>
      </c>
      <c r="P1272" t="s">
        <v>772</v>
      </c>
      <c r="Q1272" t="s">
        <v>1214</v>
      </c>
      <c r="R1272">
        <v>25</v>
      </c>
      <c r="S1272">
        <v>5</v>
      </c>
      <c r="T1272">
        <v>0</v>
      </c>
      <c r="U1272">
        <v>0</v>
      </c>
      <c r="V1272">
        <v>0</v>
      </c>
      <c r="W1272">
        <v>0</v>
      </c>
      <c r="X1272">
        <v>0</v>
      </c>
      <c r="Y1272">
        <v>0</v>
      </c>
      <c r="Z1272">
        <v>0</v>
      </c>
      <c r="AA1272">
        <v>0</v>
      </c>
      <c r="AB1272">
        <v>0</v>
      </c>
      <c r="AC1272">
        <v>0</v>
      </c>
      <c r="AD1272">
        <v>20</v>
      </c>
      <c r="AE1272">
        <v>5</v>
      </c>
      <c r="AF1272">
        <v>27</v>
      </c>
      <c r="AG1272">
        <v>3</v>
      </c>
      <c r="AH1272">
        <v>0</v>
      </c>
      <c r="AI1272">
        <v>0</v>
      </c>
      <c r="AY1272" t="str">
        <f t="shared" si="198"/>
        <v>TILMOVET 250 MG/ML SOLUTION BUVABLE</v>
      </c>
      <c r="AZ1272" t="str">
        <f>IF(COUNTIF(AY:AY,AY1272)=1,AY1272,IF(AND(COUNTIF(AY:AY,AY1272)&gt;1,COUNTIF(AZ$2:AZ1271,AY1272)&gt;=1),"",AY1272))</f>
        <v>TILMOVET 250 MG/ML SOLUTION BUVABLE</v>
      </c>
      <c r="BA1272">
        <f>IF(AZ1272="","",COUNTIFS(AZ$3:AZ$1439,"&lt;"&amp;AZ1272,AZ$3:AZ$1439,"&lt;&gt;0")+COUNTIF(AZ$3:AZ1272,AZ1272)-876)</f>
        <v>500</v>
      </c>
      <c r="BT1272" s="76"/>
      <c r="CN1272">
        <v>1271</v>
      </c>
    </row>
    <row r="1273" spans="1:92" x14ac:dyDescent="0.3">
      <c r="A1273" s="118" t="s">
        <v>3323</v>
      </c>
      <c r="B1273" t="s">
        <v>3326</v>
      </c>
      <c r="C1273" t="s">
        <v>3327</v>
      </c>
      <c r="D1273" s="144" t="s">
        <v>1214</v>
      </c>
      <c r="E1273" t="s">
        <v>765</v>
      </c>
      <c r="F1273" t="s">
        <v>509</v>
      </c>
      <c r="G1273" t="s">
        <v>956</v>
      </c>
      <c r="H1273" t="s">
        <v>2803</v>
      </c>
      <c r="I1273" t="s">
        <v>817</v>
      </c>
      <c r="J1273" t="s">
        <v>802</v>
      </c>
      <c r="K1273" t="s">
        <v>802</v>
      </c>
      <c r="L1273" t="s">
        <v>2470</v>
      </c>
      <c r="M1273" t="s">
        <v>208</v>
      </c>
      <c r="N1273" t="s">
        <v>776</v>
      </c>
      <c r="O1273" t="s">
        <v>771</v>
      </c>
      <c r="P1273" t="s">
        <v>772</v>
      </c>
      <c r="Q1273" t="s">
        <v>1047</v>
      </c>
      <c r="R1273">
        <v>25</v>
      </c>
      <c r="S1273">
        <v>5</v>
      </c>
      <c r="T1273">
        <v>0</v>
      </c>
      <c r="U1273">
        <v>0</v>
      </c>
      <c r="V1273">
        <v>0</v>
      </c>
      <c r="W1273">
        <v>0</v>
      </c>
      <c r="X1273">
        <v>0</v>
      </c>
      <c r="Y1273">
        <v>0</v>
      </c>
      <c r="Z1273">
        <v>0</v>
      </c>
      <c r="AA1273">
        <v>0</v>
      </c>
      <c r="AB1273">
        <v>0</v>
      </c>
      <c r="AC1273">
        <v>0</v>
      </c>
      <c r="AD1273">
        <v>20</v>
      </c>
      <c r="AE1273">
        <v>5</v>
      </c>
      <c r="AF1273">
        <v>27</v>
      </c>
      <c r="AG1273">
        <v>3</v>
      </c>
      <c r="AH1273">
        <v>0</v>
      </c>
      <c r="AI1273">
        <v>0</v>
      </c>
      <c r="AY1273" t="str">
        <f t="shared" si="198"/>
        <v>TILMOVET 250 MG/ML SOLUTION BUVABLE</v>
      </c>
      <c r="AZ1273" t="str">
        <f>IF(COUNTIF(AY:AY,AY1273)=1,AY1273,IF(AND(COUNTIF(AY:AY,AY1273)&gt;1,COUNTIF(AZ$2:AZ1272,AY1273)&gt;=1),"",AY1273))</f>
        <v/>
      </c>
      <c r="BA1273" t="str">
        <f>IF(AZ1273="","",COUNTIFS(AZ$3:AZ$1439,"&lt;"&amp;AZ1273,AZ$3:AZ$1439,"&lt;&gt;0")+COUNTIF(AZ$3:AZ1273,AZ1273)-876)</f>
        <v/>
      </c>
      <c r="BT1273" s="76"/>
      <c r="CN1273">
        <v>1272</v>
      </c>
    </row>
    <row r="1274" spans="1:92" x14ac:dyDescent="0.3">
      <c r="A1274" s="118" t="s">
        <v>4281</v>
      </c>
      <c r="B1274" t="s">
        <v>4282</v>
      </c>
      <c r="C1274" t="s">
        <v>4283</v>
      </c>
      <c r="D1274" t="s">
        <v>855</v>
      </c>
      <c r="E1274" t="s">
        <v>765</v>
      </c>
      <c r="F1274" t="s">
        <v>510</v>
      </c>
      <c r="G1274" t="s">
        <v>766</v>
      </c>
      <c r="H1274" t="s">
        <v>2469</v>
      </c>
      <c r="I1274" t="s">
        <v>766</v>
      </c>
      <c r="J1274" t="s">
        <v>802</v>
      </c>
      <c r="K1274" t="s">
        <v>802</v>
      </c>
      <c r="L1274" t="s">
        <v>2470</v>
      </c>
      <c r="M1274" t="s">
        <v>208</v>
      </c>
      <c r="N1274" t="s">
        <v>1163</v>
      </c>
      <c r="O1274" t="s">
        <v>771</v>
      </c>
      <c r="P1274" t="s">
        <v>772</v>
      </c>
      <c r="Q1274" t="s">
        <v>962</v>
      </c>
      <c r="R1274">
        <v>10</v>
      </c>
      <c r="S1274">
        <v>1</v>
      </c>
      <c r="T1274">
        <v>0</v>
      </c>
      <c r="U1274">
        <v>0</v>
      </c>
      <c r="V1274">
        <v>0</v>
      </c>
      <c r="W1274">
        <v>0</v>
      </c>
      <c r="X1274">
        <v>0</v>
      </c>
      <c r="Y1274">
        <v>0</v>
      </c>
      <c r="Z1274">
        <v>0</v>
      </c>
      <c r="AA1274">
        <v>0</v>
      </c>
      <c r="AB1274">
        <v>10</v>
      </c>
      <c r="AC1274">
        <v>1</v>
      </c>
      <c r="AD1274">
        <v>0</v>
      </c>
      <c r="AE1274">
        <v>0</v>
      </c>
      <c r="AF1274">
        <v>0</v>
      </c>
      <c r="AG1274">
        <v>0</v>
      </c>
      <c r="AH1274">
        <v>0</v>
      </c>
      <c r="AI1274">
        <v>0</v>
      </c>
      <c r="AY1274" t="str">
        <f t="shared" si="198"/>
        <v>TILMOVET 300 MG/ML SOLUTION INJECTABLE POUR BOVINS ET OVINS</v>
      </c>
      <c r="AZ1274" t="str">
        <f>IF(COUNTIF(AY:AY,AY1274)=1,AY1274,IF(AND(COUNTIF(AY:AY,AY1274)&gt;1,COUNTIF(AZ$2:AZ1273,AY1274)&gt;=1),"",AY1274))</f>
        <v>TILMOVET 300 MG/ML SOLUTION INJECTABLE POUR BOVINS ET OVINS</v>
      </c>
      <c r="BA1274">
        <f>IF(AZ1274="","",COUNTIFS(AZ$3:AZ$1439,"&lt;"&amp;AZ1274,AZ$3:AZ$1439,"&lt;&gt;0")+COUNTIF(AZ$3:AZ1274,AZ1274)-876)</f>
        <v>501</v>
      </c>
      <c r="BT1274" s="76"/>
      <c r="CN1274">
        <v>1273</v>
      </c>
    </row>
    <row r="1275" spans="1:92" x14ac:dyDescent="0.3">
      <c r="A1275" s="118" t="s">
        <v>4281</v>
      </c>
      <c r="B1275" t="s">
        <v>4284</v>
      </c>
      <c r="C1275" t="s">
        <v>792</v>
      </c>
      <c r="D1275" t="s">
        <v>764</v>
      </c>
      <c r="E1275" t="s">
        <v>765</v>
      </c>
      <c r="F1275" t="s">
        <v>510</v>
      </c>
      <c r="G1275" t="s">
        <v>766</v>
      </c>
      <c r="H1275" t="s">
        <v>2469</v>
      </c>
      <c r="I1275" t="s">
        <v>766</v>
      </c>
      <c r="J1275" t="s">
        <v>802</v>
      </c>
      <c r="K1275" t="s">
        <v>802</v>
      </c>
      <c r="L1275" t="s">
        <v>2470</v>
      </c>
      <c r="M1275" t="s">
        <v>208</v>
      </c>
      <c r="N1275" t="s">
        <v>1163</v>
      </c>
      <c r="O1275" t="s">
        <v>771</v>
      </c>
      <c r="P1275" t="s">
        <v>772</v>
      </c>
      <c r="Q1275" t="s">
        <v>797</v>
      </c>
      <c r="R1275">
        <v>10</v>
      </c>
      <c r="S1275">
        <v>1</v>
      </c>
      <c r="T1275">
        <v>0</v>
      </c>
      <c r="U1275">
        <v>0</v>
      </c>
      <c r="V1275">
        <v>0</v>
      </c>
      <c r="W1275">
        <v>0</v>
      </c>
      <c r="X1275">
        <v>0</v>
      </c>
      <c r="Y1275">
        <v>0</v>
      </c>
      <c r="Z1275">
        <v>0</v>
      </c>
      <c r="AA1275">
        <v>0</v>
      </c>
      <c r="AB1275">
        <v>10</v>
      </c>
      <c r="AC1275">
        <v>1</v>
      </c>
      <c r="AD1275">
        <v>0</v>
      </c>
      <c r="AE1275">
        <v>0</v>
      </c>
      <c r="AF1275">
        <v>0</v>
      </c>
      <c r="AG1275">
        <v>0</v>
      </c>
      <c r="AH1275">
        <v>0</v>
      </c>
      <c r="AI1275">
        <v>0</v>
      </c>
      <c r="AY1275" t="str">
        <f t="shared" si="198"/>
        <v>TILMOVET 300 MG/ML SOLUTION INJECTABLE POUR BOVINS ET OVINS</v>
      </c>
      <c r="AZ1275" t="str">
        <f>IF(COUNTIF(AY:AY,AY1275)=1,AY1275,IF(AND(COUNTIF(AY:AY,AY1275)&gt;1,COUNTIF(AZ$2:AZ1274,AY1275)&gt;=1),"",AY1275))</f>
        <v/>
      </c>
      <c r="BA1275" t="str">
        <f>IF(AZ1275="","",COUNTIFS(AZ$3:AZ$1439,"&lt;"&amp;AZ1275,AZ$3:AZ$1439,"&lt;&gt;0")+COUNTIF(AZ$3:AZ1275,AZ1275)-876)</f>
        <v/>
      </c>
      <c r="BT1275" s="76"/>
      <c r="CN1275">
        <v>1274</v>
      </c>
    </row>
    <row r="1276" spans="1:92" x14ac:dyDescent="0.3">
      <c r="A1276" s="118" t="s">
        <v>3393</v>
      </c>
      <c r="B1276" t="s">
        <v>3394</v>
      </c>
      <c r="C1276" t="s">
        <v>3395</v>
      </c>
      <c r="D1276" s="144" t="s">
        <v>1536</v>
      </c>
      <c r="E1276" t="s">
        <v>830</v>
      </c>
      <c r="F1276" t="s">
        <v>511</v>
      </c>
      <c r="G1276" t="s">
        <v>1064</v>
      </c>
      <c r="H1276" t="s">
        <v>3396</v>
      </c>
      <c r="I1276" t="s">
        <v>1066</v>
      </c>
      <c r="J1276" t="s">
        <v>802</v>
      </c>
      <c r="K1276" t="s">
        <v>802</v>
      </c>
      <c r="L1276" t="s">
        <v>2470</v>
      </c>
      <c r="M1276" t="s">
        <v>208</v>
      </c>
      <c r="N1276" t="s">
        <v>932</v>
      </c>
      <c r="O1276" t="s">
        <v>894</v>
      </c>
      <c r="P1276" t="s">
        <v>772</v>
      </c>
      <c r="Q1276" t="s">
        <v>2444</v>
      </c>
      <c r="R1276">
        <v>0</v>
      </c>
      <c r="S1276">
        <v>0</v>
      </c>
      <c r="T1276">
        <v>0</v>
      </c>
      <c r="U1276">
        <v>0</v>
      </c>
      <c r="V1276">
        <v>0</v>
      </c>
      <c r="W1276">
        <v>0</v>
      </c>
      <c r="X1276">
        <v>0</v>
      </c>
      <c r="Y1276">
        <v>0</v>
      </c>
      <c r="Z1276">
        <v>12.5</v>
      </c>
      <c r="AA1276">
        <v>7</v>
      </c>
      <c r="AB1276">
        <v>0</v>
      </c>
      <c r="AC1276">
        <v>0</v>
      </c>
      <c r="AD1276">
        <v>16</v>
      </c>
      <c r="AE1276">
        <v>15</v>
      </c>
      <c r="AF1276">
        <v>0</v>
      </c>
      <c r="AG1276">
        <v>0</v>
      </c>
      <c r="AH1276">
        <v>0</v>
      </c>
      <c r="AI1276">
        <v>0</v>
      </c>
      <c r="AY1276" t="str">
        <f t="shared" si="198"/>
        <v>TILMOVET 40 G/KG PREMELANGE MEDICAMENTEUX POUR PORCS ET LAPINS</v>
      </c>
      <c r="AZ1276" t="str">
        <f>IF(COUNTIF(AY:AY,AY1276)=1,AY1276,IF(AND(COUNTIF(AY:AY,AY1276)&gt;1,COUNTIF(AZ$2:AZ1275,AY1276)&gt;=1),"",AY1276))</f>
        <v>TILMOVET 40 G/KG PREMELANGE MEDICAMENTEUX POUR PORCS ET LAPINS</v>
      </c>
      <c r="BA1276">
        <f>IF(AZ1276="","",COUNTIFS(AZ$3:AZ$1439,"&lt;"&amp;AZ1276,AZ$3:AZ$1439,"&lt;&gt;0")+COUNTIF(AZ$3:AZ1276,AZ1276)-876)</f>
        <v>502</v>
      </c>
      <c r="BT1276" s="76"/>
      <c r="CN1276">
        <v>1275</v>
      </c>
    </row>
    <row r="1277" spans="1:92" x14ac:dyDescent="0.3">
      <c r="A1277" s="118" t="s">
        <v>2085</v>
      </c>
      <c r="B1277" t="s">
        <v>2086</v>
      </c>
      <c r="C1277" t="s">
        <v>2087</v>
      </c>
      <c r="D1277" s="144" t="s">
        <v>1445</v>
      </c>
      <c r="E1277" t="s">
        <v>830</v>
      </c>
      <c r="F1277" t="s">
        <v>512</v>
      </c>
      <c r="G1277" t="s">
        <v>831</v>
      </c>
      <c r="H1277" t="s">
        <v>169</v>
      </c>
      <c r="I1277" t="s">
        <v>817</v>
      </c>
      <c r="J1277" t="s">
        <v>783</v>
      </c>
      <c r="K1277" t="s">
        <v>783</v>
      </c>
      <c r="L1277" t="s">
        <v>2037</v>
      </c>
      <c r="M1277" t="s">
        <v>208</v>
      </c>
      <c r="N1277" t="s">
        <v>2088</v>
      </c>
      <c r="O1277" t="s">
        <v>894</v>
      </c>
      <c r="P1277" t="s">
        <v>772</v>
      </c>
      <c r="Q1277" t="s">
        <v>797</v>
      </c>
      <c r="R1277">
        <v>10</v>
      </c>
      <c r="S1277">
        <v>2</v>
      </c>
      <c r="T1277">
        <v>0</v>
      </c>
      <c r="U1277">
        <v>0</v>
      </c>
      <c r="V1277">
        <v>0</v>
      </c>
      <c r="W1277">
        <v>0</v>
      </c>
      <c r="X1277">
        <v>0</v>
      </c>
      <c r="Y1277">
        <v>0</v>
      </c>
      <c r="Z1277">
        <v>10</v>
      </c>
      <c r="AA1277">
        <v>2</v>
      </c>
      <c r="AB1277">
        <v>0</v>
      </c>
      <c r="AC1277">
        <v>0</v>
      </c>
      <c r="AD1277">
        <v>0</v>
      </c>
      <c r="AE1277">
        <v>0</v>
      </c>
      <c r="AF1277">
        <v>0</v>
      </c>
      <c r="AG1277">
        <v>0</v>
      </c>
      <c r="AH1277">
        <v>0</v>
      </c>
      <c r="AI1277">
        <v>0</v>
      </c>
      <c r="AY1277" t="str">
        <f t="shared" si="198"/>
        <v>TRANSGRAM ORAL</v>
      </c>
      <c r="AZ1277" t="str">
        <f>IF(COUNTIF(AY:AY,AY1277)=1,AY1277,IF(AND(COUNTIF(AY:AY,AY1277)&gt;1,COUNTIF(AZ$2:AZ1276,AY1277)&gt;=1),"",AY1277))</f>
        <v>TRANSGRAM ORAL</v>
      </c>
      <c r="BA1277">
        <f>IF(AZ1277="","",COUNTIFS(AZ$3:AZ$1439,"&lt;"&amp;AZ1277,AZ$3:AZ$1439,"&lt;&gt;0")+COUNTIF(AZ$3:AZ1277,AZ1277)-876)</f>
        <v>503</v>
      </c>
      <c r="BT1277" s="76"/>
      <c r="CN1277">
        <v>1276</v>
      </c>
    </row>
    <row r="1278" spans="1:92" x14ac:dyDescent="0.3">
      <c r="A1278" s="118" t="s">
        <v>935</v>
      </c>
      <c r="B1278" t="s">
        <v>936</v>
      </c>
      <c r="C1278" t="s">
        <v>937</v>
      </c>
      <c r="D1278" s="144" t="s">
        <v>780</v>
      </c>
      <c r="E1278" t="s">
        <v>765</v>
      </c>
      <c r="F1278" t="s">
        <v>513</v>
      </c>
      <c r="G1278" t="s">
        <v>766</v>
      </c>
      <c r="H1278" t="s">
        <v>767</v>
      </c>
      <c r="I1278" t="s">
        <v>766</v>
      </c>
      <c r="J1278" t="s">
        <v>928</v>
      </c>
      <c r="K1278" t="s">
        <v>862</v>
      </c>
      <c r="L1278" t="s">
        <v>938</v>
      </c>
      <c r="M1278" t="s">
        <v>208</v>
      </c>
      <c r="N1278" t="s">
        <v>939</v>
      </c>
      <c r="O1278" t="s">
        <v>771</v>
      </c>
      <c r="P1278" t="s">
        <v>772</v>
      </c>
      <c r="Q1278" t="s">
        <v>869</v>
      </c>
      <c r="R1278">
        <v>13.4</v>
      </c>
      <c r="S1278">
        <v>5</v>
      </c>
      <c r="T1278">
        <v>13.4</v>
      </c>
      <c r="U1278">
        <v>5</v>
      </c>
      <c r="V1278">
        <v>13.4</v>
      </c>
      <c r="W1278">
        <v>5</v>
      </c>
      <c r="X1278">
        <v>0</v>
      </c>
      <c r="Y1278">
        <v>0</v>
      </c>
      <c r="Z1278">
        <v>0</v>
      </c>
      <c r="AA1278">
        <v>0</v>
      </c>
      <c r="AB1278">
        <v>13.4</v>
      </c>
      <c r="AC1278">
        <v>5</v>
      </c>
      <c r="AD1278">
        <v>13.4</v>
      </c>
      <c r="AE1278">
        <v>5</v>
      </c>
      <c r="AF1278">
        <v>0</v>
      </c>
      <c r="AG1278">
        <v>0</v>
      </c>
      <c r="AH1278">
        <v>0</v>
      </c>
      <c r="AI1278">
        <v>0</v>
      </c>
      <c r="AJ1278" t="s">
        <v>930</v>
      </c>
      <c r="AK1278" t="s">
        <v>931</v>
      </c>
      <c r="AL1278" t="s">
        <v>208</v>
      </c>
      <c r="AM1278" t="s">
        <v>940</v>
      </c>
      <c r="AN1278" t="s">
        <v>771</v>
      </c>
      <c r="AO1278" t="s">
        <v>772</v>
      </c>
      <c r="AP1278" t="s">
        <v>934</v>
      </c>
      <c r="AY1278" t="str">
        <f t="shared" si="198"/>
        <v>TRIBRISSEN INJECTABLE</v>
      </c>
      <c r="AZ1278" t="str">
        <f>IF(COUNTIF(AY:AY,AY1278)=1,AY1278,IF(AND(COUNTIF(AY:AY,AY1278)&gt;1,COUNTIF(AZ$2:AZ1277,AY1278)&gt;=1),"",AY1278))</f>
        <v>TRIBRISSEN INJECTABLE</v>
      </c>
      <c r="BA1278">
        <f>IF(AZ1278="","",COUNTIFS(AZ$3:AZ$1439,"&lt;"&amp;AZ1278,AZ$3:AZ$1439,"&lt;&gt;0")+COUNTIF(AZ$3:AZ1278,AZ1278)-876)</f>
        <v>504</v>
      </c>
      <c r="BT1278" s="76"/>
      <c r="CN1278">
        <v>1277</v>
      </c>
    </row>
    <row r="1279" spans="1:92" x14ac:dyDescent="0.3">
      <c r="A1279" s="118" t="s">
        <v>2370</v>
      </c>
      <c r="B1279" t="s">
        <v>2371</v>
      </c>
      <c r="C1279" t="s">
        <v>2372</v>
      </c>
      <c r="D1279" s="144" t="s">
        <v>1536</v>
      </c>
      <c r="E1279" t="s">
        <v>830</v>
      </c>
      <c r="F1279" t="s">
        <v>514</v>
      </c>
      <c r="G1279" t="s">
        <v>1064</v>
      </c>
      <c r="H1279" t="s">
        <v>2373</v>
      </c>
      <c r="I1279" t="s">
        <v>1066</v>
      </c>
      <c r="J1279" t="s">
        <v>928</v>
      </c>
      <c r="K1279" t="s">
        <v>862</v>
      </c>
      <c r="L1279" t="s">
        <v>938</v>
      </c>
      <c r="M1279" t="s">
        <v>208</v>
      </c>
      <c r="N1279" t="s">
        <v>2374</v>
      </c>
      <c r="O1279" t="s">
        <v>894</v>
      </c>
      <c r="P1279" t="s">
        <v>772</v>
      </c>
      <c r="Q1279" t="s">
        <v>2375</v>
      </c>
      <c r="R1279">
        <v>0</v>
      </c>
      <c r="S1279">
        <v>0</v>
      </c>
      <c r="T1279">
        <v>0</v>
      </c>
      <c r="U1279">
        <v>0</v>
      </c>
      <c r="V1279">
        <v>0</v>
      </c>
      <c r="W1279">
        <v>0</v>
      </c>
      <c r="X1279">
        <v>25</v>
      </c>
      <c r="Y1279">
        <v>5</v>
      </c>
      <c r="Z1279">
        <v>0</v>
      </c>
      <c r="AA1279">
        <v>0</v>
      </c>
      <c r="AB1279">
        <v>0</v>
      </c>
      <c r="AC1279">
        <v>0</v>
      </c>
      <c r="AD1279">
        <v>0</v>
      </c>
      <c r="AE1279">
        <v>0</v>
      </c>
      <c r="AF1279">
        <v>0</v>
      </c>
      <c r="AG1279">
        <v>0</v>
      </c>
      <c r="AH1279">
        <v>0</v>
      </c>
      <c r="AI1279">
        <v>0</v>
      </c>
      <c r="AJ1279" t="s">
        <v>930</v>
      </c>
      <c r="AK1279" t="s">
        <v>931</v>
      </c>
      <c r="AL1279" t="s">
        <v>208</v>
      </c>
      <c r="AM1279" t="s">
        <v>2376</v>
      </c>
      <c r="AN1279" t="s">
        <v>894</v>
      </c>
      <c r="AO1279" t="s">
        <v>772</v>
      </c>
      <c r="AP1279" t="s">
        <v>2377</v>
      </c>
      <c r="AY1279" t="str">
        <f t="shared" si="198"/>
        <v>TRIBRISSEN POISSONS</v>
      </c>
      <c r="AZ1279" t="str">
        <f>IF(COUNTIF(AY:AY,AY1279)=1,AY1279,IF(AND(COUNTIF(AY:AY,AY1279)&gt;1,COUNTIF(AZ$2:AZ1278,AY1279)&gt;=1),"",AY1279))</f>
        <v>TRIBRISSEN POISSONS</v>
      </c>
      <c r="BA1279">
        <f>IF(AZ1279="","",COUNTIFS(AZ$3:AZ$1439,"&lt;"&amp;AZ1279,AZ$3:AZ$1439,"&lt;&gt;0")+COUNTIF(AZ$3:AZ1279,AZ1279)-876)</f>
        <v>505</v>
      </c>
      <c r="BT1279" s="76"/>
      <c r="CN1279">
        <v>1278</v>
      </c>
    </row>
    <row r="1280" spans="1:92" x14ac:dyDescent="0.3">
      <c r="A1280" s="118" t="s">
        <v>1574</v>
      </c>
      <c r="B1280" t="s">
        <v>1575</v>
      </c>
      <c r="C1280" t="s">
        <v>1576</v>
      </c>
      <c r="D1280" s="144" t="s">
        <v>829</v>
      </c>
      <c r="E1280" t="s">
        <v>830</v>
      </c>
      <c r="F1280" t="s">
        <v>515</v>
      </c>
      <c r="G1280" t="s">
        <v>831</v>
      </c>
      <c r="H1280" t="s">
        <v>1577</v>
      </c>
      <c r="I1280" t="s">
        <v>817</v>
      </c>
      <c r="J1280" t="s">
        <v>928</v>
      </c>
      <c r="K1280" t="s">
        <v>862</v>
      </c>
      <c r="L1280" t="s">
        <v>1003</v>
      </c>
      <c r="M1280" t="s">
        <v>208</v>
      </c>
      <c r="N1280" t="s">
        <v>1004</v>
      </c>
      <c r="O1280" t="s">
        <v>894</v>
      </c>
      <c r="P1280" t="s">
        <v>772</v>
      </c>
      <c r="Q1280" t="s">
        <v>1004</v>
      </c>
      <c r="R1280">
        <v>37.36</v>
      </c>
      <c r="S1280">
        <v>5</v>
      </c>
      <c r="T1280">
        <v>0</v>
      </c>
      <c r="U1280">
        <v>0</v>
      </c>
      <c r="V1280">
        <v>0</v>
      </c>
      <c r="W1280">
        <v>0</v>
      </c>
      <c r="X1280">
        <v>0</v>
      </c>
      <c r="Y1280">
        <v>0</v>
      </c>
      <c r="Z1280">
        <v>37.36</v>
      </c>
      <c r="AA1280">
        <v>5</v>
      </c>
      <c r="AB1280">
        <v>37.36</v>
      </c>
      <c r="AC1280">
        <v>5</v>
      </c>
      <c r="AD1280">
        <v>37.36</v>
      </c>
      <c r="AE1280">
        <v>5</v>
      </c>
      <c r="AF1280">
        <v>37.36</v>
      </c>
      <c r="AG1280">
        <v>5</v>
      </c>
      <c r="AH1280">
        <v>0</v>
      </c>
      <c r="AI1280">
        <v>0</v>
      </c>
      <c r="AJ1280" t="s">
        <v>930</v>
      </c>
      <c r="AK1280" t="s">
        <v>931</v>
      </c>
      <c r="AL1280" t="s">
        <v>208</v>
      </c>
      <c r="AM1280" t="s">
        <v>932</v>
      </c>
      <c r="AN1280" t="s">
        <v>894</v>
      </c>
      <c r="AO1280" t="s">
        <v>772</v>
      </c>
      <c r="AP1280" t="s">
        <v>932</v>
      </c>
      <c r="AY1280" t="str">
        <f t="shared" si="198"/>
        <v>TRIMEDOXYNE ORALE</v>
      </c>
      <c r="AZ1280" t="str">
        <f>IF(COUNTIF(AY:AY,AY1280)=1,AY1280,IF(AND(COUNTIF(AY:AY,AY1280)&gt;1,COUNTIF(AZ$2:AZ1279,AY1280)&gt;=1),"",AY1280))</f>
        <v>TRIMEDOXYNE ORALE</v>
      </c>
      <c r="BA1280">
        <f>IF(AZ1280="","",COUNTIFS(AZ$3:AZ$1439,"&lt;"&amp;AZ1280,AZ$3:AZ$1439,"&lt;&gt;0")+COUNTIF(AZ$3:AZ1280,AZ1280)-876)</f>
        <v>506</v>
      </c>
      <c r="BT1280" s="76"/>
      <c r="CN1280">
        <v>1279</v>
      </c>
    </row>
    <row r="1281" spans="1:92" x14ac:dyDescent="0.3">
      <c r="A1281" s="118" t="s">
        <v>1574</v>
      </c>
      <c r="B1281" t="s">
        <v>1578</v>
      </c>
      <c r="C1281" t="s">
        <v>1579</v>
      </c>
      <c r="D1281" s="144" t="s">
        <v>955</v>
      </c>
      <c r="E1281" t="s">
        <v>830</v>
      </c>
      <c r="F1281" t="s">
        <v>515</v>
      </c>
      <c r="G1281" t="s">
        <v>831</v>
      </c>
      <c r="H1281" t="s">
        <v>1577</v>
      </c>
      <c r="I1281" t="s">
        <v>817</v>
      </c>
      <c r="J1281" t="s">
        <v>928</v>
      </c>
      <c r="K1281" t="s">
        <v>862</v>
      </c>
      <c r="L1281" t="s">
        <v>1003</v>
      </c>
      <c r="M1281" t="s">
        <v>208</v>
      </c>
      <c r="N1281" t="s">
        <v>1004</v>
      </c>
      <c r="O1281" t="s">
        <v>894</v>
      </c>
      <c r="P1281" t="s">
        <v>772</v>
      </c>
      <c r="Q1281" t="s">
        <v>1006</v>
      </c>
      <c r="R1281">
        <v>37.36</v>
      </c>
      <c r="S1281">
        <v>5</v>
      </c>
      <c r="T1281">
        <v>0</v>
      </c>
      <c r="U1281">
        <v>0</v>
      </c>
      <c r="V1281">
        <v>0</v>
      </c>
      <c r="W1281">
        <v>0</v>
      </c>
      <c r="X1281">
        <v>0</v>
      </c>
      <c r="Y1281">
        <v>0</v>
      </c>
      <c r="Z1281">
        <v>37.36</v>
      </c>
      <c r="AA1281">
        <v>5</v>
      </c>
      <c r="AB1281">
        <v>37.36</v>
      </c>
      <c r="AC1281">
        <v>5</v>
      </c>
      <c r="AD1281">
        <v>37.36</v>
      </c>
      <c r="AE1281">
        <v>5</v>
      </c>
      <c r="AF1281">
        <v>37.36</v>
      </c>
      <c r="AG1281">
        <v>5</v>
      </c>
      <c r="AH1281">
        <v>0</v>
      </c>
      <c r="AI1281">
        <v>0</v>
      </c>
      <c r="AJ1281" t="s">
        <v>930</v>
      </c>
      <c r="AK1281" t="s">
        <v>931</v>
      </c>
      <c r="AL1281" t="s">
        <v>208</v>
      </c>
      <c r="AM1281" t="s">
        <v>932</v>
      </c>
      <c r="AN1281" t="s">
        <v>894</v>
      </c>
      <c r="AO1281" t="s">
        <v>772</v>
      </c>
      <c r="AP1281" t="s">
        <v>864</v>
      </c>
      <c r="AY1281" t="str">
        <f t="shared" si="198"/>
        <v>TRIMEDOXYNE ORALE</v>
      </c>
      <c r="AZ1281" t="str">
        <f>IF(COUNTIF(AY:AY,AY1281)=1,AY1281,IF(AND(COUNTIF(AY:AY,AY1281)&gt;1,COUNTIF(AZ$2:AZ1280,AY1281)&gt;=1),"",AY1281))</f>
        <v/>
      </c>
      <c r="BA1281" t="str">
        <f>IF(AZ1281="","",COUNTIFS(AZ$3:AZ$1439,"&lt;"&amp;AZ1281,AZ$3:AZ$1439,"&lt;&gt;0")+COUNTIF(AZ$3:AZ1281,AZ1281)-876)</f>
        <v/>
      </c>
      <c r="BT1281" s="76"/>
      <c r="CN1281">
        <v>1280</v>
      </c>
    </row>
    <row r="1282" spans="1:92" x14ac:dyDescent="0.3">
      <c r="A1282" s="118" t="s">
        <v>1574</v>
      </c>
      <c r="B1282" t="s">
        <v>1580</v>
      </c>
      <c r="C1282" t="s">
        <v>1581</v>
      </c>
      <c r="D1282" s="144" t="s">
        <v>829</v>
      </c>
      <c r="E1282" t="s">
        <v>830</v>
      </c>
      <c r="F1282" t="s">
        <v>515</v>
      </c>
      <c r="G1282" t="s">
        <v>831</v>
      </c>
      <c r="H1282" t="s">
        <v>1577</v>
      </c>
      <c r="I1282" t="s">
        <v>817</v>
      </c>
      <c r="J1282" t="s">
        <v>928</v>
      </c>
      <c r="K1282" t="s">
        <v>862</v>
      </c>
      <c r="L1282" t="s">
        <v>1003</v>
      </c>
      <c r="M1282" t="s">
        <v>208</v>
      </c>
      <c r="N1282" t="s">
        <v>1004</v>
      </c>
      <c r="O1282" t="s">
        <v>894</v>
      </c>
      <c r="P1282" t="s">
        <v>772</v>
      </c>
      <c r="Q1282" t="s">
        <v>1004</v>
      </c>
      <c r="R1282">
        <v>37.36</v>
      </c>
      <c r="S1282">
        <v>5</v>
      </c>
      <c r="T1282">
        <v>0</v>
      </c>
      <c r="U1282">
        <v>0</v>
      </c>
      <c r="V1282">
        <v>0</v>
      </c>
      <c r="W1282">
        <v>0</v>
      </c>
      <c r="X1282">
        <v>0</v>
      </c>
      <c r="Y1282">
        <v>0</v>
      </c>
      <c r="Z1282">
        <v>37.36</v>
      </c>
      <c r="AA1282">
        <v>5</v>
      </c>
      <c r="AB1282">
        <v>37.36</v>
      </c>
      <c r="AC1282">
        <v>5</v>
      </c>
      <c r="AD1282">
        <v>37.36</v>
      </c>
      <c r="AE1282">
        <v>5</v>
      </c>
      <c r="AF1282">
        <v>37.36</v>
      </c>
      <c r="AG1282">
        <v>5</v>
      </c>
      <c r="AH1282">
        <v>0</v>
      </c>
      <c r="AI1282">
        <v>0</v>
      </c>
      <c r="AJ1282" t="s">
        <v>930</v>
      </c>
      <c r="AK1282" t="s">
        <v>931</v>
      </c>
      <c r="AL1282" t="s">
        <v>208</v>
      </c>
      <c r="AM1282" t="s">
        <v>932</v>
      </c>
      <c r="AN1282" t="s">
        <v>894</v>
      </c>
      <c r="AO1282" t="s">
        <v>772</v>
      </c>
      <c r="AP1282" t="s">
        <v>932</v>
      </c>
      <c r="AY1282" t="str">
        <f t="shared" si="198"/>
        <v>TRIMEDOXYNE ORALE</v>
      </c>
      <c r="AZ1282" t="str">
        <f>IF(COUNTIF(AY:AY,AY1282)=1,AY1282,IF(AND(COUNTIF(AY:AY,AY1282)&gt;1,COUNTIF(AZ$2:AZ1281,AY1282)&gt;=1),"",AY1282))</f>
        <v/>
      </c>
      <c r="BA1282" t="str">
        <f>IF(AZ1282="","",COUNTIFS(AZ$3:AZ$1439,"&lt;"&amp;AZ1282,AZ$3:AZ$1439,"&lt;&gt;0")+COUNTIF(AZ$3:AZ1282,AZ1282)-876)</f>
        <v/>
      </c>
      <c r="BT1282" s="76"/>
      <c r="CN1282">
        <v>1281</v>
      </c>
    </row>
    <row r="1283" spans="1:92" x14ac:dyDescent="0.3">
      <c r="A1283" s="118" t="s">
        <v>2179</v>
      </c>
      <c r="B1283" t="s">
        <v>2180</v>
      </c>
      <c r="C1283" t="s">
        <v>1062</v>
      </c>
      <c r="D1283" s="144" t="s">
        <v>1063</v>
      </c>
      <c r="E1283" t="s">
        <v>830</v>
      </c>
      <c r="F1283" t="s">
        <v>516</v>
      </c>
      <c r="G1283" t="s">
        <v>1064</v>
      </c>
      <c r="H1283" t="s">
        <v>1577</v>
      </c>
      <c r="I1283" t="s">
        <v>1066</v>
      </c>
      <c r="J1283" t="s">
        <v>928</v>
      </c>
      <c r="K1283" t="s">
        <v>862</v>
      </c>
      <c r="L1283" t="s">
        <v>1003</v>
      </c>
      <c r="M1283" t="s">
        <v>208</v>
      </c>
      <c r="N1283" t="s">
        <v>1888</v>
      </c>
      <c r="O1283" t="s">
        <v>894</v>
      </c>
      <c r="P1283" t="s">
        <v>772</v>
      </c>
      <c r="Q1283" t="s">
        <v>1889</v>
      </c>
      <c r="R1283">
        <v>28.04</v>
      </c>
      <c r="S1283">
        <v>10</v>
      </c>
      <c r="T1283">
        <v>0</v>
      </c>
      <c r="U1283">
        <v>0</v>
      </c>
      <c r="V1283">
        <v>0</v>
      </c>
      <c r="W1283">
        <v>0</v>
      </c>
      <c r="X1283">
        <v>0</v>
      </c>
      <c r="Y1283">
        <v>0</v>
      </c>
      <c r="Z1283">
        <v>46.73</v>
      </c>
      <c r="AA1283">
        <v>10</v>
      </c>
      <c r="AB1283">
        <v>28.04</v>
      </c>
      <c r="AC1283">
        <v>10</v>
      </c>
      <c r="AD1283">
        <v>37.36</v>
      </c>
      <c r="AE1283">
        <v>10</v>
      </c>
      <c r="AF1283">
        <v>46.73</v>
      </c>
      <c r="AG1283">
        <v>10</v>
      </c>
      <c r="AH1283">
        <v>0</v>
      </c>
      <c r="AI1283">
        <v>0</v>
      </c>
      <c r="AJ1283" t="s">
        <v>930</v>
      </c>
      <c r="AK1283" t="s">
        <v>931</v>
      </c>
      <c r="AL1283" t="s">
        <v>208</v>
      </c>
      <c r="AM1283" t="s">
        <v>869</v>
      </c>
      <c r="AN1283" t="s">
        <v>894</v>
      </c>
      <c r="AO1283" t="s">
        <v>772</v>
      </c>
      <c r="AP1283" t="s">
        <v>906</v>
      </c>
      <c r="AY1283" t="str">
        <f t="shared" ref="AY1283:AY1346" si="199">IF(INDEX(CK$3:CL$174,MATCH(H1283,CK$3:CK$174,0),2)="x",F1283,"")</f>
        <v>TRIMETHOSULFA V</v>
      </c>
      <c r="AZ1283" t="str">
        <f>IF(COUNTIF(AY:AY,AY1283)=1,AY1283,IF(AND(COUNTIF(AY:AY,AY1283)&gt;1,COUNTIF(AZ$2:AZ1282,AY1283)&gt;=1),"",AY1283))</f>
        <v>TRIMETHOSULFA V</v>
      </c>
      <c r="BA1283">
        <f>IF(AZ1283="","",COUNTIFS(AZ$3:AZ$1439,"&lt;"&amp;AZ1283,AZ$3:AZ$1439,"&lt;&gt;0")+COUNTIF(AZ$3:AZ1283,AZ1283)-876)</f>
        <v>507</v>
      </c>
      <c r="BT1283" s="76"/>
      <c r="CN1283">
        <v>1282</v>
      </c>
    </row>
    <row r="1284" spans="1:92" x14ac:dyDescent="0.3">
      <c r="A1284" s="118" t="s">
        <v>1000</v>
      </c>
      <c r="B1284" t="s">
        <v>1001</v>
      </c>
      <c r="C1284" t="s">
        <v>1002</v>
      </c>
      <c r="D1284" s="144" t="s">
        <v>829</v>
      </c>
      <c r="E1284" t="s">
        <v>765</v>
      </c>
      <c r="F1284" t="s">
        <v>129</v>
      </c>
      <c r="G1284" t="s">
        <v>956</v>
      </c>
      <c r="H1284" t="s">
        <v>957</v>
      </c>
      <c r="I1284" t="s">
        <v>817</v>
      </c>
      <c r="J1284" t="s">
        <v>928</v>
      </c>
      <c r="K1284" t="s">
        <v>862</v>
      </c>
      <c r="L1284" t="s">
        <v>1003</v>
      </c>
      <c r="M1284" t="s">
        <v>208</v>
      </c>
      <c r="N1284" t="s">
        <v>1004</v>
      </c>
      <c r="O1284" t="s">
        <v>771</v>
      </c>
      <c r="P1284" t="s">
        <v>772</v>
      </c>
      <c r="Q1284" t="s">
        <v>1004</v>
      </c>
      <c r="R1284">
        <v>0</v>
      </c>
      <c r="S1284">
        <v>0</v>
      </c>
      <c r="T1284">
        <v>0</v>
      </c>
      <c r="U1284">
        <v>0</v>
      </c>
      <c r="V1284">
        <v>0</v>
      </c>
      <c r="W1284">
        <v>0</v>
      </c>
      <c r="X1284">
        <v>0</v>
      </c>
      <c r="Y1284">
        <v>0</v>
      </c>
      <c r="Z1284">
        <v>37.36</v>
      </c>
      <c r="AA1284">
        <v>5</v>
      </c>
      <c r="AB1284">
        <v>0</v>
      </c>
      <c r="AC1284">
        <v>0</v>
      </c>
      <c r="AD1284">
        <v>25</v>
      </c>
      <c r="AE1284">
        <v>7</v>
      </c>
      <c r="AF1284">
        <v>37.36</v>
      </c>
      <c r="AG1284">
        <v>5</v>
      </c>
      <c r="AH1284">
        <v>0</v>
      </c>
      <c r="AI1284">
        <v>0</v>
      </c>
      <c r="AJ1284" t="s">
        <v>930</v>
      </c>
      <c r="AK1284" t="s">
        <v>931</v>
      </c>
      <c r="AL1284" t="s">
        <v>208</v>
      </c>
      <c r="AM1284" t="s">
        <v>932</v>
      </c>
      <c r="AN1284" t="s">
        <v>771</v>
      </c>
      <c r="AO1284" t="s">
        <v>772</v>
      </c>
      <c r="AP1284" t="s">
        <v>932</v>
      </c>
      <c r="AY1284" t="str">
        <f t="shared" si="199"/>
        <v>TRIMETHOX</v>
      </c>
      <c r="AZ1284" t="str">
        <f>IF(COUNTIF(AY:AY,AY1284)=1,AY1284,IF(AND(COUNTIF(AY:AY,AY1284)&gt;1,COUNTIF(AZ$2:AZ1283,AY1284)&gt;=1),"",AY1284))</f>
        <v>TRIMETHOX</v>
      </c>
      <c r="BA1284">
        <f>IF(AZ1284="","",COUNTIFS(AZ$3:AZ$1439,"&lt;"&amp;AZ1284,AZ$3:AZ$1439,"&lt;&gt;0")+COUNTIF(AZ$3:AZ1284,AZ1284)-876)</f>
        <v>508</v>
      </c>
      <c r="BT1284" s="76"/>
      <c r="CN1284">
        <v>1283</v>
      </c>
    </row>
    <row r="1285" spans="1:92" x14ac:dyDescent="0.3">
      <c r="A1285" s="118" t="s">
        <v>1000</v>
      </c>
      <c r="B1285" t="s">
        <v>1005</v>
      </c>
      <c r="C1285" t="s">
        <v>954</v>
      </c>
      <c r="D1285" s="144" t="s">
        <v>955</v>
      </c>
      <c r="E1285" t="s">
        <v>765</v>
      </c>
      <c r="F1285" t="s">
        <v>129</v>
      </c>
      <c r="G1285" t="s">
        <v>956</v>
      </c>
      <c r="H1285" t="s">
        <v>957</v>
      </c>
      <c r="I1285" t="s">
        <v>817</v>
      </c>
      <c r="J1285" t="s">
        <v>928</v>
      </c>
      <c r="K1285" t="s">
        <v>862</v>
      </c>
      <c r="L1285" t="s">
        <v>1003</v>
      </c>
      <c r="M1285" t="s">
        <v>208</v>
      </c>
      <c r="N1285" t="s">
        <v>1004</v>
      </c>
      <c r="O1285" t="s">
        <v>771</v>
      </c>
      <c r="P1285" t="s">
        <v>772</v>
      </c>
      <c r="Q1285" t="s">
        <v>1006</v>
      </c>
      <c r="R1285">
        <v>0</v>
      </c>
      <c r="S1285">
        <v>0</v>
      </c>
      <c r="T1285">
        <v>0</v>
      </c>
      <c r="U1285">
        <v>0</v>
      </c>
      <c r="V1285">
        <v>0</v>
      </c>
      <c r="W1285">
        <v>0</v>
      </c>
      <c r="X1285">
        <v>0</v>
      </c>
      <c r="Y1285">
        <v>0</v>
      </c>
      <c r="Z1285">
        <v>37.36</v>
      </c>
      <c r="AA1285">
        <v>5</v>
      </c>
      <c r="AB1285">
        <v>0</v>
      </c>
      <c r="AC1285">
        <v>0</v>
      </c>
      <c r="AD1285">
        <v>25</v>
      </c>
      <c r="AE1285">
        <v>7</v>
      </c>
      <c r="AF1285">
        <v>37.36</v>
      </c>
      <c r="AG1285">
        <v>5</v>
      </c>
      <c r="AH1285">
        <v>0</v>
      </c>
      <c r="AI1285">
        <v>0</v>
      </c>
      <c r="AJ1285" t="s">
        <v>930</v>
      </c>
      <c r="AK1285" t="s">
        <v>931</v>
      </c>
      <c r="AL1285" t="s">
        <v>208</v>
      </c>
      <c r="AM1285" t="s">
        <v>932</v>
      </c>
      <c r="AN1285" t="s">
        <v>771</v>
      </c>
      <c r="AO1285" t="s">
        <v>772</v>
      </c>
      <c r="AP1285" t="s">
        <v>864</v>
      </c>
      <c r="AY1285" t="str">
        <f t="shared" si="199"/>
        <v>TRIMETHOX</v>
      </c>
      <c r="AZ1285" t="str">
        <f>IF(COUNTIF(AY:AY,AY1285)=1,AY1285,IF(AND(COUNTIF(AY:AY,AY1285)&gt;1,COUNTIF(AZ$2:AZ1284,AY1285)&gt;=1),"",AY1285))</f>
        <v/>
      </c>
      <c r="BA1285" t="str">
        <f>IF(AZ1285="","",COUNTIFS(AZ$3:AZ$1439,"&lt;"&amp;AZ1285,AZ$3:AZ$1439,"&lt;&gt;0")+COUNTIF(AZ$3:AZ1285,AZ1285)-876)</f>
        <v/>
      </c>
      <c r="BT1285" s="76"/>
      <c r="CN1285">
        <v>1284</v>
      </c>
    </row>
    <row r="1286" spans="1:92" x14ac:dyDescent="0.3">
      <c r="A1286" s="118" t="s">
        <v>1754</v>
      </c>
      <c r="B1286" t="s">
        <v>1755</v>
      </c>
      <c r="C1286" t="s">
        <v>792</v>
      </c>
      <c r="D1286" s="144" t="s">
        <v>764</v>
      </c>
      <c r="E1286" t="s">
        <v>765</v>
      </c>
      <c r="F1286" t="s">
        <v>517</v>
      </c>
      <c r="G1286" t="s">
        <v>766</v>
      </c>
      <c r="H1286" t="s">
        <v>851</v>
      </c>
      <c r="I1286" t="s">
        <v>766</v>
      </c>
      <c r="J1286" t="s">
        <v>928</v>
      </c>
      <c r="K1286" t="s">
        <v>862</v>
      </c>
      <c r="L1286" t="s">
        <v>1003</v>
      </c>
      <c r="M1286" t="s">
        <v>208</v>
      </c>
      <c r="N1286" t="s">
        <v>1756</v>
      </c>
      <c r="O1286" t="s">
        <v>771</v>
      </c>
      <c r="P1286" t="s">
        <v>772</v>
      </c>
      <c r="Q1286" t="s">
        <v>1757</v>
      </c>
      <c r="R1286">
        <v>18.600000000000001</v>
      </c>
      <c r="S1286">
        <v>3</v>
      </c>
      <c r="T1286">
        <v>0</v>
      </c>
      <c r="U1286">
        <v>0</v>
      </c>
      <c r="V1286">
        <v>0</v>
      </c>
      <c r="W1286">
        <v>0</v>
      </c>
      <c r="X1286">
        <v>0</v>
      </c>
      <c r="Y1286">
        <v>0</v>
      </c>
      <c r="Z1286">
        <v>0</v>
      </c>
      <c r="AA1286">
        <v>0</v>
      </c>
      <c r="AB1286">
        <v>18.600000000000001</v>
      </c>
      <c r="AC1286">
        <v>3</v>
      </c>
      <c r="AD1286">
        <v>18.600000000000001</v>
      </c>
      <c r="AE1286">
        <v>3</v>
      </c>
      <c r="AF1286">
        <v>0</v>
      </c>
      <c r="AG1286">
        <v>0</v>
      </c>
      <c r="AH1286">
        <v>0</v>
      </c>
      <c r="AI1286">
        <v>0</v>
      </c>
      <c r="AJ1286" t="s">
        <v>930</v>
      </c>
      <c r="AK1286" t="s">
        <v>931</v>
      </c>
      <c r="AL1286" t="s">
        <v>208</v>
      </c>
      <c r="AM1286" t="s">
        <v>932</v>
      </c>
      <c r="AN1286" t="s">
        <v>771</v>
      </c>
      <c r="AO1286" t="s">
        <v>772</v>
      </c>
      <c r="AP1286" t="s">
        <v>934</v>
      </c>
      <c r="AY1286" t="str">
        <f t="shared" si="199"/>
        <v>TRISULMIX INJECTABLE</v>
      </c>
      <c r="AZ1286" t="str">
        <f>IF(COUNTIF(AY:AY,AY1286)=1,AY1286,IF(AND(COUNTIF(AY:AY,AY1286)&gt;1,COUNTIF(AZ$2:AZ1285,AY1286)&gt;=1),"",AY1286))</f>
        <v>TRISULMIX INJECTABLE</v>
      </c>
      <c r="BA1286">
        <f>IF(AZ1286="","",COUNTIFS(AZ$3:AZ$1439,"&lt;"&amp;AZ1286,AZ$3:AZ$1439,"&lt;&gt;0")+COUNTIF(AZ$3:AZ1286,AZ1286)-876)</f>
        <v>509</v>
      </c>
      <c r="BT1286" s="76"/>
      <c r="CN1286">
        <v>1285</v>
      </c>
    </row>
    <row r="1287" spans="1:92" x14ac:dyDescent="0.3">
      <c r="A1287" s="118" t="s">
        <v>1754</v>
      </c>
      <c r="B1287" t="s">
        <v>1758</v>
      </c>
      <c r="C1287" t="s">
        <v>796</v>
      </c>
      <c r="D1287" s="144" t="s">
        <v>776</v>
      </c>
      <c r="E1287" t="s">
        <v>765</v>
      </c>
      <c r="F1287" t="s">
        <v>517</v>
      </c>
      <c r="G1287" t="s">
        <v>766</v>
      </c>
      <c r="H1287" t="s">
        <v>851</v>
      </c>
      <c r="I1287" t="s">
        <v>766</v>
      </c>
      <c r="J1287" t="s">
        <v>928</v>
      </c>
      <c r="K1287" t="s">
        <v>862</v>
      </c>
      <c r="L1287" t="s">
        <v>1003</v>
      </c>
      <c r="M1287" t="s">
        <v>208</v>
      </c>
      <c r="N1287" t="s">
        <v>1756</v>
      </c>
      <c r="O1287" t="s">
        <v>771</v>
      </c>
      <c r="P1287" t="s">
        <v>772</v>
      </c>
      <c r="Q1287" t="s">
        <v>1759</v>
      </c>
      <c r="R1287">
        <v>18.600000000000001</v>
      </c>
      <c r="S1287">
        <v>3</v>
      </c>
      <c r="T1287">
        <v>0</v>
      </c>
      <c r="U1287">
        <v>0</v>
      </c>
      <c r="V1287">
        <v>0</v>
      </c>
      <c r="W1287">
        <v>0</v>
      </c>
      <c r="X1287">
        <v>0</v>
      </c>
      <c r="Y1287">
        <v>0</v>
      </c>
      <c r="Z1287">
        <v>0</v>
      </c>
      <c r="AA1287">
        <v>0</v>
      </c>
      <c r="AB1287">
        <v>18.600000000000001</v>
      </c>
      <c r="AC1287">
        <v>3</v>
      </c>
      <c r="AD1287">
        <v>18.600000000000001</v>
      </c>
      <c r="AE1287">
        <v>3</v>
      </c>
      <c r="AF1287">
        <v>0</v>
      </c>
      <c r="AG1287">
        <v>0</v>
      </c>
      <c r="AH1287">
        <v>0</v>
      </c>
      <c r="AI1287">
        <v>0</v>
      </c>
      <c r="AJ1287" t="s">
        <v>930</v>
      </c>
      <c r="AK1287" t="s">
        <v>931</v>
      </c>
      <c r="AL1287" t="s">
        <v>208</v>
      </c>
      <c r="AM1287" t="s">
        <v>932</v>
      </c>
      <c r="AN1287" t="s">
        <v>771</v>
      </c>
      <c r="AO1287" t="s">
        <v>772</v>
      </c>
      <c r="AP1287" t="s">
        <v>852</v>
      </c>
      <c r="AY1287" t="str">
        <f t="shared" si="199"/>
        <v>TRISULMIX INJECTABLE</v>
      </c>
      <c r="AZ1287" t="str">
        <f>IF(COUNTIF(AY:AY,AY1287)=1,AY1287,IF(AND(COUNTIF(AY:AY,AY1287)&gt;1,COUNTIF(AZ$2:AZ1286,AY1287)&gt;=1),"",AY1287))</f>
        <v/>
      </c>
      <c r="BA1287" t="str">
        <f>IF(AZ1287="","",COUNTIFS(AZ$3:AZ$1439,"&lt;"&amp;AZ1287,AZ$3:AZ$1439,"&lt;&gt;0")+COUNTIF(AZ$3:AZ1287,AZ1287)-876)</f>
        <v/>
      </c>
      <c r="BT1287" s="76"/>
      <c r="CN1287">
        <v>1286</v>
      </c>
    </row>
    <row r="1288" spans="1:92" x14ac:dyDescent="0.3">
      <c r="A1288" s="118" t="s">
        <v>1754</v>
      </c>
      <c r="B1288" t="s">
        <v>4421</v>
      </c>
      <c r="C1288" t="s">
        <v>792</v>
      </c>
      <c r="D1288" s="144" t="s">
        <v>764</v>
      </c>
      <c r="E1288" t="s">
        <v>765</v>
      </c>
      <c r="F1288" t="s">
        <v>517</v>
      </c>
      <c r="G1288" t="s">
        <v>766</v>
      </c>
      <c r="H1288" t="s">
        <v>851</v>
      </c>
      <c r="I1288" t="s">
        <v>766</v>
      </c>
      <c r="J1288" t="s">
        <v>928</v>
      </c>
      <c r="K1288" t="s">
        <v>862</v>
      </c>
      <c r="L1288" t="s">
        <v>1003</v>
      </c>
      <c r="M1288" t="s">
        <v>208</v>
      </c>
      <c r="N1288" t="s">
        <v>1756</v>
      </c>
      <c r="O1288" t="s">
        <v>771</v>
      </c>
      <c r="P1288" t="s">
        <v>772</v>
      </c>
      <c r="Q1288" t="s">
        <v>1757</v>
      </c>
      <c r="R1288">
        <v>18.600000000000001</v>
      </c>
      <c r="S1288">
        <v>3</v>
      </c>
      <c r="T1288">
        <v>0</v>
      </c>
      <c r="U1288">
        <v>0</v>
      </c>
      <c r="V1288">
        <v>0</v>
      </c>
      <c r="W1288">
        <v>0</v>
      </c>
      <c r="X1288">
        <v>0</v>
      </c>
      <c r="Y1288">
        <v>0</v>
      </c>
      <c r="Z1288">
        <v>0</v>
      </c>
      <c r="AA1288">
        <v>0</v>
      </c>
      <c r="AB1288">
        <v>18.600000000000001</v>
      </c>
      <c r="AC1288">
        <v>3</v>
      </c>
      <c r="AD1288">
        <v>18.600000000000001</v>
      </c>
      <c r="AE1288">
        <v>3</v>
      </c>
      <c r="AF1288">
        <v>0</v>
      </c>
      <c r="AG1288">
        <v>0</v>
      </c>
      <c r="AH1288">
        <v>0</v>
      </c>
      <c r="AI1288">
        <v>0</v>
      </c>
      <c r="AJ1288" t="s">
        <v>930</v>
      </c>
      <c r="AK1288" t="s">
        <v>931</v>
      </c>
      <c r="AL1288" t="s">
        <v>208</v>
      </c>
      <c r="AM1288" t="s">
        <v>932</v>
      </c>
      <c r="AN1288" t="s">
        <v>771</v>
      </c>
      <c r="AO1288" t="s">
        <v>772</v>
      </c>
      <c r="AP1288" t="s">
        <v>934</v>
      </c>
      <c r="AY1288" t="str">
        <f t="shared" si="199"/>
        <v>TRISULMIX INJECTABLE</v>
      </c>
      <c r="AZ1288" t="str">
        <f>IF(COUNTIF(AY:AY,AY1288)=1,AY1288,IF(AND(COUNTIF(AY:AY,AY1288)&gt;1,COUNTIF(AZ$2:AZ1287,AY1288)&gt;=1),"",AY1288))</f>
        <v/>
      </c>
      <c r="BA1288" t="str">
        <f>IF(AZ1288="","",COUNTIFS(AZ$3:AZ$1439,"&lt;"&amp;AZ1288,AZ$3:AZ$1439,"&lt;&gt;0")+COUNTIF(AZ$3:AZ1288,AZ1288)-876)</f>
        <v/>
      </c>
      <c r="BT1288" s="76"/>
      <c r="CN1288">
        <v>1287</v>
      </c>
    </row>
    <row r="1289" spans="1:92" x14ac:dyDescent="0.3">
      <c r="A1289" s="118" t="s">
        <v>1995</v>
      </c>
      <c r="B1289" t="s">
        <v>1996</v>
      </c>
      <c r="C1289" t="s">
        <v>943</v>
      </c>
      <c r="D1289" s="144" t="s">
        <v>764</v>
      </c>
      <c r="E1289" t="s">
        <v>765</v>
      </c>
      <c r="F1289" t="s">
        <v>518</v>
      </c>
      <c r="G1289" t="s">
        <v>956</v>
      </c>
      <c r="H1289" t="s">
        <v>957</v>
      </c>
      <c r="I1289" t="s">
        <v>817</v>
      </c>
      <c r="J1289" t="s">
        <v>928</v>
      </c>
      <c r="K1289" t="s">
        <v>862</v>
      </c>
      <c r="L1289" t="s">
        <v>1003</v>
      </c>
      <c r="M1289" t="s">
        <v>208</v>
      </c>
      <c r="N1289" t="s">
        <v>1997</v>
      </c>
      <c r="O1289" t="s">
        <v>771</v>
      </c>
      <c r="P1289" t="s">
        <v>772</v>
      </c>
      <c r="Q1289" t="s">
        <v>1998</v>
      </c>
      <c r="R1289">
        <v>0</v>
      </c>
      <c r="S1289">
        <v>0</v>
      </c>
      <c r="T1289">
        <v>0</v>
      </c>
      <c r="U1289">
        <v>0</v>
      </c>
      <c r="V1289">
        <v>0</v>
      </c>
      <c r="W1289">
        <v>0</v>
      </c>
      <c r="X1289">
        <v>0</v>
      </c>
      <c r="Y1289">
        <v>0</v>
      </c>
      <c r="Z1289">
        <v>37.36</v>
      </c>
      <c r="AA1289">
        <v>5</v>
      </c>
      <c r="AB1289">
        <v>0</v>
      </c>
      <c r="AC1289">
        <v>0</v>
      </c>
      <c r="AD1289">
        <v>0</v>
      </c>
      <c r="AE1289">
        <v>0</v>
      </c>
      <c r="AF1289">
        <v>37.36</v>
      </c>
      <c r="AG1289">
        <v>5</v>
      </c>
      <c r="AH1289">
        <v>0</v>
      </c>
      <c r="AI1289">
        <v>0</v>
      </c>
      <c r="AJ1289" t="s">
        <v>930</v>
      </c>
      <c r="AK1289" t="s">
        <v>931</v>
      </c>
      <c r="AL1289" t="s">
        <v>208</v>
      </c>
      <c r="AM1289" t="s">
        <v>932</v>
      </c>
      <c r="AN1289" t="s">
        <v>771</v>
      </c>
      <c r="AO1289" t="s">
        <v>772</v>
      </c>
      <c r="AP1289" t="s">
        <v>934</v>
      </c>
      <c r="AY1289" t="str">
        <f t="shared" si="199"/>
        <v>TRISULMIX LIQUIDE</v>
      </c>
      <c r="AZ1289" t="str">
        <f>IF(COUNTIF(AY:AY,AY1289)=1,AY1289,IF(AND(COUNTIF(AY:AY,AY1289)&gt;1,COUNTIF(AZ$2:AZ1288,AY1289)&gt;=1),"",AY1289))</f>
        <v>TRISULMIX LIQUIDE</v>
      </c>
      <c r="BA1289">
        <f>IF(AZ1289="","",COUNTIFS(AZ$3:AZ$1439,"&lt;"&amp;AZ1289,AZ$3:AZ$1439,"&lt;&gt;0")+COUNTIF(AZ$3:AZ1289,AZ1289)-876)</f>
        <v>510</v>
      </c>
      <c r="BT1289" s="76"/>
      <c r="CN1289">
        <v>1288</v>
      </c>
    </row>
    <row r="1290" spans="1:92" x14ac:dyDescent="0.3">
      <c r="A1290" s="118" t="s">
        <v>1995</v>
      </c>
      <c r="B1290" t="s">
        <v>1999</v>
      </c>
      <c r="C1290" t="s">
        <v>1241</v>
      </c>
      <c r="D1290" s="144" t="s">
        <v>829</v>
      </c>
      <c r="E1290" t="s">
        <v>765</v>
      </c>
      <c r="F1290" t="s">
        <v>518</v>
      </c>
      <c r="G1290" t="s">
        <v>956</v>
      </c>
      <c r="H1290" t="s">
        <v>957</v>
      </c>
      <c r="I1290" t="s">
        <v>817</v>
      </c>
      <c r="J1290" t="s">
        <v>928</v>
      </c>
      <c r="K1290" t="s">
        <v>862</v>
      </c>
      <c r="L1290" t="s">
        <v>1003</v>
      </c>
      <c r="M1290" t="s">
        <v>208</v>
      </c>
      <c r="N1290" t="s">
        <v>1997</v>
      </c>
      <c r="O1290" t="s">
        <v>771</v>
      </c>
      <c r="P1290" t="s">
        <v>772</v>
      </c>
      <c r="Q1290" t="s">
        <v>1997</v>
      </c>
      <c r="R1290">
        <v>0</v>
      </c>
      <c r="S1290">
        <v>0</v>
      </c>
      <c r="T1290">
        <v>0</v>
      </c>
      <c r="U1290">
        <v>0</v>
      </c>
      <c r="V1290">
        <v>0</v>
      </c>
      <c r="W1290">
        <v>0</v>
      </c>
      <c r="X1290">
        <v>0</v>
      </c>
      <c r="Y1290">
        <v>0</v>
      </c>
      <c r="Z1290">
        <v>37.36</v>
      </c>
      <c r="AA1290">
        <v>5</v>
      </c>
      <c r="AB1290">
        <v>0</v>
      </c>
      <c r="AC1290">
        <v>0</v>
      </c>
      <c r="AD1290">
        <v>0</v>
      </c>
      <c r="AE1290">
        <v>0</v>
      </c>
      <c r="AF1290">
        <v>37.36</v>
      </c>
      <c r="AG1290">
        <v>5</v>
      </c>
      <c r="AH1290">
        <v>0</v>
      </c>
      <c r="AI1290">
        <v>0</v>
      </c>
      <c r="AJ1290" t="s">
        <v>930</v>
      </c>
      <c r="AK1290" t="s">
        <v>931</v>
      </c>
      <c r="AL1290" t="s">
        <v>208</v>
      </c>
      <c r="AM1290" t="s">
        <v>932</v>
      </c>
      <c r="AN1290" t="s">
        <v>771</v>
      </c>
      <c r="AO1290" t="s">
        <v>772</v>
      </c>
      <c r="AP1290" t="s">
        <v>932</v>
      </c>
      <c r="AY1290" t="str">
        <f t="shared" si="199"/>
        <v>TRISULMIX LIQUIDE</v>
      </c>
      <c r="AZ1290" t="str">
        <f>IF(COUNTIF(AY:AY,AY1290)=1,AY1290,IF(AND(COUNTIF(AY:AY,AY1290)&gt;1,COUNTIF(AZ$2:AZ1289,AY1290)&gt;=1),"",AY1290))</f>
        <v/>
      </c>
      <c r="BA1290" t="str">
        <f>IF(AZ1290="","",COUNTIFS(AZ$3:AZ$1439,"&lt;"&amp;AZ1290,AZ$3:AZ$1439,"&lt;&gt;0")+COUNTIF(AZ$3:AZ1290,AZ1290)-876)</f>
        <v/>
      </c>
      <c r="BT1290" s="76"/>
      <c r="CN1290">
        <v>1289</v>
      </c>
    </row>
    <row r="1291" spans="1:92" x14ac:dyDescent="0.3">
      <c r="A1291" s="118" t="s">
        <v>1995</v>
      </c>
      <c r="B1291" t="s">
        <v>2000</v>
      </c>
      <c r="C1291" t="s">
        <v>1243</v>
      </c>
      <c r="D1291" s="144" t="s">
        <v>955</v>
      </c>
      <c r="E1291" t="s">
        <v>765</v>
      </c>
      <c r="F1291" t="s">
        <v>518</v>
      </c>
      <c r="G1291" t="s">
        <v>956</v>
      </c>
      <c r="H1291" t="s">
        <v>957</v>
      </c>
      <c r="I1291" t="s">
        <v>817</v>
      </c>
      <c r="J1291" t="s">
        <v>928</v>
      </c>
      <c r="K1291" t="s">
        <v>862</v>
      </c>
      <c r="L1291" t="s">
        <v>1003</v>
      </c>
      <c r="M1291" t="s">
        <v>208</v>
      </c>
      <c r="N1291" t="s">
        <v>1997</v>
      </c>
      <c r="O1291" t="s">
        <v>771</v>
      </c>
      <c r="P1291" t="s">
        <v>772</v>
      </c>
      <c r="Q1291" t="s">
        <v>2001</v>
      </c>
      <c r="R1291">
        <v>0</v>
      </c>
      <c r="S1291">
        <v>0</v>
      </c>
      <c r="T1291">
        <v>0</v>
      </c>
      <c r="U1291">
        <v>0</v>
      </c>
      <c r="V1291">
        <v>0</v>
      </c>
      <c r="W1291">
        <v>0</v>
      </c>
      <c r="X1291">
        <v>0</v>
      </c>
      <c r="Y1291">
        <v>0</v>
      </c>
      <c r="Z1291">
        <v>37.36</v>
      </c>
      <c r="AA1291">
        <v>5</v>
      </c>
      <c r="AB1291">
        <v>0</v>
      </c>
      <c r="AC1291">
        <v>0</v>
      </c>
      <c r="AD1291">
        <v>0</v>
      </c>
      <c r="AE1291">
        <v>0</v>
      </c>
      <c r="AF1291">
        <v>37.36</v>
      </c>
      <c r="AG1291">
        <v>5</v>
      </c>
      <c r="AH1291">
        <v>0</v>
      </c>
      <c r="AI1291">
        <v>0</v>
      </c>
      <c r="AJ1291" t="s">
        <v>930</v>
      </c>
      <c r="AK1291" t="s">
        <v>931</v>
      </c>
      <c r="AL1291" t="s">
        <v>208</v>
      </c>
      <c r="AM1291" t="s">
        <v>932</v>
      </c>
      <c r="AN1291" t="s">
        <v>771</v>
      </c>
      <c r="AO1291" t="s">
        <v>772</v>
      </c>
      <c r="AP1291" t="s">
        <v>864</v>
      </c>
      <c r="AY1291" t="str">
        <f t="shared" si="199"/>
        <v>TRISULMIX LIQUIDE</v>
      </c>
      <c r="AZ1291" t="str">
        <f>IF(COUNTIF(AY:AY,AY1291)=1,AY1291,IF(AND(COUNTIF(AY:AY,AY1291)&gt;1,COUNTIF(AZ$2:AZ1290,AY1291)&gt;=1),"",AY1291))</f>
        <v/>
      </c>
      <c r="BA1291" t="str">
        <f>IF(AZ1291="","",COUNTIFS(AZ$3:AZ$1439,"&lt;"&amp;AZ1291,AZ$3:AZ$1439,"&lt;&gt;0")+COUNTIF(AZ$3:AZ1291,AZ1291)-876)</f>
        <v/>
      </c>
      <c r="BT1291" s="76"/>
      <c r="CN1291">
        <v>1290</v>
      </c>
    </row>
    <row r="1292" spans="1:92" x14ac:dyDescent="0.3">
      <c r="A1292" s="118" t="s">
        <v>1995</v>
      </c>
      <c r="B1292" t="s">
        <v>2002</v>
      </c>
      <c r="C1292" t="s">
        <v>3175</v>
      </c>
      <c r="D1292" s="144" t="s">
        <v>924</v>
      </c>
      <c r="E1292" t="s">
        <v>765</v>
      </c>
      <c r="F1292" t="s">
        <v>518</v>
      </c>
      <c r="G1292" t="s">
        <v>956</v>
      </c>
      <c r="H1292" t="s">
        <v>957</v>
      </c>
      <c r="I1292" t="s">
        <v>817</v>
      </c>
      <c r="J1292" t="s">
        <v>928</v>
      </c>
      <c r="K1292" t="s">
        <v>862</v>
      </c>
      <c r="L1292" t="s">
        <v>1003</v>
      </c>
      <c r="M1292" t="s">
        <v>208</v>
      </c>
      <c r="N1292" t="s">
        <v>1997</v>
      </c>
      <c r="O1292" t="s">
        <v>771</v>
      </c>
      <c r="P1292" t="s">
        <v>772</v>
      </c>
      <c r="Q1292" t="s">
        <v>2003</v>
      </c>
      <c r="R1292">
        <v>0</v>
      </c>
      <c r="S1292">
        <v>0</v>
      </c>
      <c r="T1292">
        <v>0</v>
      </c>
      <c r="U1292">
        <v>0</v>
      </c>
      <c r="V1292">
        <v>0</v>
      </c>
      <c r="W1292">
        <v>0</v>
      </c>
      <c r="X1292">
        <v>0</v>
      </c>
      <c r="Y1292">
        <v>0</v>
      </c>
      <c r="Z1292">
        <v>37.36</v>
      </c>
      <c r="AA1292">
        <v>5</v>
      </c>
      <c r="AB1292">
        <v>0</v>
      </c>
      <c r="AC1292">
        <v>0</v>
      </c>
      <c r="AD1292">
        <v>0</v>
      </c>
      <c r="AE1292">
        <v>0</v>
      </c>
      <c r="AF1292">
        <v>37.36</v>
      </c>
      <c r="AG1292">
        <v>5</v>
      </c>
      <c r="AH1292">
        <v>0</v>
      </c>
      <c r="AI1292">
        <v>0</v>
      </c>
      <c r="AJ1292" t="s">
        <v>930</v>
      </c>
      <c r="AK1292" t="s">
        <v>931</v>
      </c>
      <c r="AL1292" t="s">
        <v>208</v>
      </c>
      <c r="AM1292" t="s">
        <v>932</v>
      </c>
      <c r="AN1292" t="s">
        <v>771</v>
      </c>
      <c r="AO1292" t="s">
        <v>772</v>
      </c>
      <c r="AP1292" t="s">
        <v>939</v>
      </c>
      <c r="AY1292" t="str">
        <f t="shared" si="199"/>
        <v>TRISULMIX LIQUIDE</v>
      </c>
      <c r="AZ1292" t="str">
        <f>IF(COUNTIF(AY:AY,AY1292)=1,AY1292,IF(AND(COUNTIF(AY:AY,AY1292)&gt;1,COUNTIF(AZ$2:AZ1291,AY1292)&gt;=1),"",AY1292))</f>
        <v/>
      </c>
      <c r="BA1292" t="str">
        <f>IF(AZ1292="","",COUNTIFS(AZ$3:AZ$1439,"&lt;"&amp;AZ1292,AZ$3:AZ$1439,"&lt;&gt;0")+COUNTIF(AZ$3:AZ1292,AZ1292)-876)</f>
        <v/>
      </c>
      <c r="BT1292" s="76"/>
      <c r="CN1292">
        <v>1291</v>
      </c>
    </row>
    <row r="1293" spans="1:92" x14ac:dyDescent="0.3">
      <c r="A1293" s="118" t="s">
        <v>1634</v>
      </c>
      <c r="B1293" t="s">
        <v>1635</v>
      </c>
      <c r="C1293" t="s">
        <v>1313</v>
      </c>
      <c r="D1293" s="144" t="s">
        <v>955</v>
      </c>
      <c r="E1293" t="s">
        <v>830</v>
      </c>
      <c r="F1293" t="s">
        <v>519</v>
      </c>
      <c r="G1293" t="s">
        <v>831</v>
      </c>
      <c r="H1293" t="s">
        <v>1577</v>
      </c>
      <c r="I1293" t="s">
        <v>817</v>
      </c>
      <c r="J1293" t="s">
        <v>928</v>
      </c>
      <c r="K1293" t="s">
        <v>862</v>
      </c>
      <c r="L1293" t="s">
        <v>1003</v>
      </c>
      <c r="M1293" t="s">
        <v>208</v>
      </c>
      <c r="N1293" t="s">
        <v>1636</v>
      </c>
      <c r="O1293" t="s">
        <v>894</v>
      </c>
      <c r="P1293" t="s">
        <v>772</v>
      </c>
      <c r="Q1293" t="s">
        <v>1637</v>
      </c>
      <c r="R1293">
        <v>37.36</v>
      </c>
      <c r="S1293">
        <v>5</v>
      </c>
      <c r="T1293">
        <v>0</v>
      </c>
      <c r="U1293">
        <v>0</v>
      </c>
      <c r="V1293">
        <v>37.36</v>
      </c>
      <c r="W1293">
        <v>5</v>
      </c>
      <c r="X1293">
        <v>0</v>
      </c>
      <c r="Y1293">
        <v>0</v>
      </c>
      <c r="Z1293">
        <v>37.36</v>
      </c>
      <c r="AA1293">
        <v>5</v>
      </c>
      <c r="AB1293">
        <v>37.36</v>
      </c>
      <c r="AC1293">
        <v>5</v>
      </c>
      <c r="AD1293">
        <v>37.36</v>
      </c>
      <c r="AE1293">
        <v>5</v>
      </c>
      <c r="AF1293">
        <v>37.36</v>
      </c>
      <c r="AG1293">
        <v>5</v>
      </c>
      <c r="AH1293">
        <v>0</v>
      </c>
      <c r="AI1293">
        <v>0</v>
      </c>
      <c r="AJ1293" t="s">
        <v>930</v>
      </c>
      <c r="AK1293" t="s">
        <v>931</v>
      </c>
      <c r="AL1293" t="s">
        <v>208</v>
      </c>
      <c r="AM1293" t="s">
        <v>932</v>
      </c>
      <c r="AN1293" t="s">
        <v>894</v>
      </c>
      <c r="AO1293" t="s">
        <v>772</v>
      </c>
      <c r="AP1293" t="s">
        <v>864</v>
      </c>
      <c r="AY1293" t="str">
        <f t="shared" si="199"/>
        <v>TRISULMIX POUDRE</v>
      </c>
      <c r="AZ1293" t="str">
        <f>IF(COUNTIF(AY:AY,AY1293)=1,AY1293,IF(AND(COUNTIF(AY:AY,AY1293)&gt;1,COUNTIF(AZ$2:AZ1292,AY1293)&gt;=1),"",AY1293))</f>
        <v>TRISULMIX POUDRE</v>
      </c>
      <c r="BA1293">
        <f>IF(AZ1293="","",COUNTIFS(AZ$3:AZ$1439,"&lt;"&amp;AZ1293,AZ$3:AZ$1439,"&lt;&gt;0")+COUNTIF(AZ$3:AZ1293,AZ1293)-876)</f>
        <v>511</v>
      </c>
      <c r="BT1293" s="76"/>
      <c r="CN1293">
        <v>1292</v>
      </c>
    </row>
    <row r="1294" spans="1:92" x14ac:dyDescent="0.3">
      <c r="A1294" s="118" t="s">
        <v>1634</v>
      </c>
      <c r="B1294" t="s">
        <v>1638</v>
      </c>
      <c r="C1294" t="s">
        <v>1588</v>
      </c>
      <c r="D1294" s="144" t="s">
        <v>829</v>
      </c>
      <c r="E1294" t="s">
        <v>830</v>
      </c>
      <c r="F1294" t="s">
        <v>519</v>
      </c>
      <c r="G1294" t="s">
        <v>831</v>
      </c>
      <c r="H1294" t="s">
        <v>1577</v>
      </c>
      <c r="I1294" t="s">
        <v>817</v>
      </c>
      <c r="J1294" t="s">
        <v>928</v>
      </c>
      <c r="K1294" t="s">
        <v>862</v>
      </c>
      <c r="L1294" t="s">
        <v>1003</v>
      </c>
      <c r="M1294" t="s">
        <v>208</v>
      </c>
      <c r="N1294" t="s">
        <v>1636</v>
      </c>
      <c r="O1294" t="s">
        <v>894</v>
      </c>
      <c r="P1294" t="s">
        <v>772</v>
      </c>
      <c r="Q1294" t="s">
        <v>1636</v>
      </c>
      <c r="R1294">
        <v>37.36</v>
      </c>
      <c r="S1294">
        <v>5</v>
      </c>
      <c r="T1294">
        <v>0</v>
      </c>
      <c r="U1294">
        <v>0</v>
      </c>
      <c r="V1294">
        <v>37.36</v>
      </c>
      <c r="W1294">
        <v>5</v>
      </c>
      <c r="X1294">
        <v>0</v>
      </c>
      <c r="Y1294">
        <v>0</v>
      </c>
      <c r="Z1294">
        <v>37.36</v>
      </c>
      <c r="AA1294">
        <v>5</v>
      </c>
      <c r="AB1294">
        <v>37.36</v>
      </c>
      <c r="AC1294">
        <v>5</v>
      </c>
      <c r="AD1294">
        <v>37.36</v>
      </c>
      <c r="AE1294">
        <v>5</v>
      </c>
      <c r="AF1294">
        <v>37.36</v>
      </c>
      <c r="AG1294">
        <v>5</v>
      </c>
      <c r="AH1294">
        <v>0</v>
      </c>
      <c r="AI1294">
        <v>0</v>
      </c>
      <c r="AJ1294" t="s">
        <v>930</v>
      </c>
      <c r="AK1294" t="s">
        <v>931</v>
      </c>
      <c r="AL1294" t="s">
        <v>208</v>
      </c>
      <c r="AM1294" t="s">
        <v>932</v>
      </c>
      <c r="AN1294" t="s">
        <v>894</v>
      </c>
      <c r="AO1294" t="s">
        <v>772</v>
      </c>
      <c r="AP1294" t="s">
        <v>932</v>
      </c>
      <c r="AY1294" t="str">
        <f t="shared" si="199"/>
        <v>TRISULMIX POUDRE</v>
      </c>
      <c r="AZ1294" t="str">
        <f>IF(COUNTIF(AY:AY,AY1294)=1,AY1294,IF(AND(COUNTIF(AY:AY,AY1294)&gt;1,COUNTIF(AZ$2:AZ1293,AY1294)&gt;=1),"",AY1294))</f>
        <v/>
      </c>
      <c r="BA1294" t="str">
        <f>IF(AZ1294="","",COUNTIFS(AZ$3:AZ$1439,"&lt;"&amp;AZ1294,AZ$3:AZ$1439,"&lt;&gt;0")+COUNTIF(AZ$3:AZ1294,AZ1294)-876)</f>
        <v/>
      </c>
      <c r="BT1294" s="76"/>
      <c r="CN1294">
        <v>1293</v>
      </c>
    </row>
    <row r="1295" spans="1:92" x14ac:dyDescent="0.3">
      <c r="A1295" s="118" t="s">
        <v>1634</v>
      </c>
      <c r="B1295" t="s">
        <v>1639</v>
      </c>
      <c r="C1295" t="s">
        <v>828</v>
      </c>
      <c r="D1295" s="144" t="s">
        <v>829</v>
      </c>
      <c r="E1295" t="s">
        <v>830</v>
      </c>
      <c r="F1295" t="s">
        <v>519</v>
      </c>
      <c r="G1295" t="s">
        <v>831</v>
      </c>
      <c r="H1295" t="s">
        <v>1577</v>
      </c>
      <c r="I1295" t="s">
        <v>817</v>
      </c>
      <c r="J1295" t="s">
        <v>928</v>
      </c>
      <c r="K1295" t="s">
        <v>862</v>
      </c>
      <c r="L1295" t="s">
        <v>1003</v>
      </c>
      <c r="M1295" t="s">
        <v>208</v>
      </c>
      <c r="N1295" t="s">
        <v>1636</v>
      </c>
      <c r="O1295" t="s">
        <v>894</v>
      </c>
      <c r="P1295" t="s">
        <v>772</v>
      </c>
      <c r="Q1295" t="s">
        <v>1636</v>
      </c>
      <c r="R1295">
        <v>37.36</v>
      </c>
      <c r="S1295">
        <v>5</v>
      </c>
      <c r="T1295">
        <v>0</v>
      </c>
      <c r="U1295">
        <v>0</v>
      </c>
      <c r="V1295">
        <v>37.36</v>
      </c>
      <c r="W1295">
        <v>5</v>
      </c>
      <c r="X1295">
        <v>0</v>
      </c>
      <c r="Y1295">
        <v>0</v>
      </c>
      <c r="Z1295">
        <v>37.36</v>
      </c>
      <c r="AA1295">
        <v>5</v>
      </c>
      <c r="AB1295">
        <v>37.36</v>
      </c>
      <c r="AC1295">
        <v>5</v>
      </c>
      <c r="AD1295">
        <v>37.36</v>
      </c>
      <c r="AE1295">
        <v>5</v>
      </c>
      <c r="AF1295">
        <v>37.36</v>
      </c>
      <c r="AG1295">
        <v>5</v>
      </c>
      <c r="AH1295">
        <v>0</v>
      </c>
      <c r="AI1295">
        <v>0</v>
      </c>
      <c r="AJ1295" t="s">
        <v>930</v>
      </c>
      <c r="AK1295" t="s">
        <v>931</v>
      </c>
      <c r="AL1295" t="s">
        <v>208</v>
      </c>
      <c r="AM1295" t="s">
        <v>932</v>
      </c>
      <c r="AN1295" t="s">
        <v>894</v>
      </c>
      <c r="AO1295" t="s">
        <v>772</v>
      </c>
      <c r="AP1295" t="s">
        <v>932</v>
      </c>
      <c r="AY1295" t="str">
        <f t="shared" si="199"/>
        <v>TRISULMIX POUDRE</v>
      </c>
      <c r="AZ1295" t="str">
        <f>IF(COUNTIF(AY:AY,AY1295)=1,AY1295,IF(AND(COUNTIF(AY:AY,AY1295)&gt;1,COUNTIF(AZ$2:AZ1294,AY1295)&gt;=1),"",AY1295))</f>
        <v/>
      </c>
      <c r="BA1295" t="str">
        <f>IF(AZ1295="","",COUNTIFS(AZ$3:AZ$1439,"&lt;"&amp;AZ1295,AZ$3:AZ$1439,"&lt;&gt;0")+COUNTIF(AZ$3:AZ1295,AZ1295)-876)</f>
        <v/>
      </c>
      <c r="BT1295" s="76"/>
      <c r="CN1295">
        <v>1294</v>
      </c>
    </row>
    <row r="1296" spans="1:92" x14ac:dyDescent="0.3">
      <c r="A1296" s="118" t="s">
        <v>3632</v>
      </c>
      <c r="B1296" t="s">
        <v>3633</v>
      </c>
      <c r="C1296" t="s">
        <v>3634</v>
      </c>
      <c r="D1296" s="144" t="s">
        <v>764</v>
      </c>
      <c r="E1296" t="s">
        <v>765</v>
      </c>
      <c r="F1296" t="s">
        <v>698</v>
      </c>
      <c r="G1296" t="s">
        <v>766</v>
      </c>
      <c r="H1296" t="s">
        <v>1326</v>
      </c>
      <c r="I1296" t="s">
        <v>766</v>
      </c>
      <c r="J1296" t="s">
        <v>2165</v>
      </c>
      <c r="K1296" t="s">
        <v>2165</v>
      </c>
      <c r="L1296" t="s">
        <v>2432</v>
      </c>
      <c r="M1296" t="s">
        <v>208</v>
      </c>
      <c r="N1296" t="s">
        <v>780</v>
      </c>
      <c r="O1296" t="s">
        <v>771</v>
      </c>
      <c r="P1296" t="s">
        <v>772</v>
      </c>
      <c r="Q1296" t="s">
        <v>885</v>
      </c>
      <c r="R1296">
        <v>1</v>
      </c>
      <c r="S1296">
        <v>5</v>
      </c>
      <c r="T1296">
        <v>0</v>
      </c>
      <c r="U1296">
        <v>0</v>
      </c>
      <c r="V1296">
        <v>0</v>
      </c>
      <c r="W1296">
        <v>0</v>
      </c>
      <c r="X1296">
        <v>0</v>
      </c>
      <c r="Y1296">
        <v>0</v>
      </c>
      <c r="Z1296">
        <v>0</v>
      </c>
      <c r="AA1296">
        <v>0</v>
      </c>
      <c r="AB1296">
        <v>0</v>
      </c>
      <c r="AC1296">
        <v>0</v>
      </c>
      <c r="AD1296">
        <v>3</v>
      </c>
      <c r="AE1296">
        <v>3</v>
      </c>
      <c r="AF1296">
        <v>0</v>
      </c>
      <c r="AG1296">
        <v>0</v>
      </c>
      <c r="AH1296">
        <v>0</v>
      </c>
      <c r="AI1296">
        <v>0</v>
      </c>
      <c r="AY1296" t="str">
        <f t="shared" si="199"/>
        <v>TRULEVA FLOW 50 MG/ML SUSPENSION INJECTABLE POUR PORCINS ET BOVINS</v>
      </c>
      <c r="AZ1296" t="str">
        <f>IF(COUNTIF(AY:AY,AY1296)=1,AY1296,IF(AND(COUNTIF(AY:AY,AY1296)&gt;1,COUNTIF(AZ$2:AZ1295,AY1296)&gt;=1),"",AY1296))</f>
        <v>TRULEVA FLOW 50 MG/ML SUSPENSION INJECTABLE POUR PORCINS ET BOVINS</v>
      </c>
      <c r="BA1296">
        <f>IF(AZ1296="","",COUNTIFS(AZ$3:AZ$1439,"&lt;"&amp;AZ1296,AZ$3:AZ$1439,"&lt;&gt;0")+COUNTIF(AZ$3:AZ1296,AZ1296)-876)</f>
        <v>512</v>
      </c>
      <c r="BT1296" s="76"/>
      <c r="CN1296">
        <v>1295</v>
      </c>
    </row>
    <row r="1297" spans="1:92" x14ac:dyDescent="0.3">
      <c r="A1297" s="118" t="s">
        <v>4633</v>
      </c>
      <c r="B1297" t="s">
        <v>4634</v>
      </c>
      <c r="C1297" t="s">
        <v>4635</v>
      </c>
      <c r="D1297" t="s">
        <v>2161</v>
      </c>
      <c r="E1297" t="s">
        <v>765</v>
      </c>
      <c r="F1297" t="s">
        <v>520</v>
      </c>
      <c r="G1297" t="s">
        <v>766</v>
      </c>
      <c r="H1297" t="s">
        <v>1979</v>
      </c>
      <c r="I1297" t="s">
        <v>766</v>
      </c>
      <c r="J1297" t="s">
        <v>787</v>
      </c>
      <c r="K1297" t="s">
        <v>787</v>
      </c>
      <c r="L1297" t="s">
        <v>1055</v>
      </c>
      <c r="M1297" t="s">
        <v>208</v>
      </c>
      <c r="N1297" t="s">
        <v>1155</v>
      </c>
      <c r="O1297" t="s">
        <v>771</v>
      </c>
      <c r="P1297" t="s">
        <v>772</v>
      </c>
      <c r="Q1297" t="s">
        <v>1442</v>
      </c>
      <c r="R1297">
        <v>15</v>
      </c>
      <c r="S1297">
        <v>2</v>
      </c>
      <c r="T1297">
        <v>15</v>
      </c>
      <c r="U1297">
        <v>2</v>
      </c>
      <c r="V1297">
        <v>0</v>
      </c>
      <c r="W1297">
        <v>0</v>
      </c>
      <c r="X1297">
        <v>0</v>
      </c>
      <c r="Y1297">
        <v>0</v>
      </c>
      <c r="Z1297">
        <v>0</v>
      </c>
      <c r="AA1297">
        <v>0</v>
      </c>
      <c r="AB1297">
        <v>15</v>
      </c>
      <c r="AC1297">
        <v>2</v>
      </c>
      <c r="AD1297">
        <v>15</v>
      </c>
      <c r="AE1297">
        <v>2</v>
      </c>
      <c r="AF1297">
        <v>0</v>
      </c>
      <c r="AG1297">
        <v>0</v>
      </c>
      <c r="AH1297">
        <v>0</v>
      </c>
      <c r="AI1297">
        <v>0</v>
      </c>
      <c r="AY1297" t="str">
        <f t="shared" si="199"/>
        <v>TRYMOX LA 150 MG/ML SUSPENSION INJECTABLE POUR BOVINS OVINS PORCINS CHIENS ET CHATS</v>
      </c>
      <c r="AZ1297" t="str">
        <f>IF(COUNTIF(AY:AY,AY1297)=1,AY1297,IF(AND(COUNTIF(AY:AY,AY1297)&gt;1,COUNTIF(AZ$2:AZ1296,AY1297)&gt;=1),"",AY1297))</f>
        <v>TRYMOX LA 150 MG/ML SUSPENSION INJECTABLE POUR BOVINS OVINS PORCINS CHIENS ET CHATS</v>
      </c>
      <c r="BA1297">
        <f>IF(AZ1297="","",COUNTIFS(AZ$3:AZ$1439,"&lt;"&amp;AZ1297,AZ$3:AZ$1439,"&lt;&gt;0")+COUNTIF(AZ$3:AZ1297,AZ1297)-876)</f>
        <v>513</v>
      </c>
      <c r="BT1297" s="76"/>
      <c r="CN1297">
        <v>1296</v>
      </c>
    </row>
    <row r="1298" spans="1:92" x14ac:dyDescent="0.3">
      <c r="A1298" s="118" t="s">
        <v>4633</v>
      </c>
      <c r="B1298" t="s">
        <v>4636</v>
      </c>
      <c r="C1298" t="s">
        <v>4637</v>
      </c>
      <c r="D1298" t="s">
        <v>1079</v>
      </c>
      <c r="E1298" t="s">
        <v>765</v>
      </c>
      <c r="F1298" t="s">
        <v>520</v>
      </c>
      <c r="G1298" t="s">
        <v>766</v>
      </c>
      <c r="H1298" t="s">
        <v>1979</v>
      </c>
      <c r="I1298" t="s">
        <v>766</v>
      </c>
      <c r="J1298" t="s">
        <v>787</v>
      </c>
      <c r="K1298" t="s">
        <v>787</v>
      </c>
      <c r="L1298" t="s">
        <v>1055</v>
      </c>
      <c r="M1298" t="s">
        <v>208</v>
      </c>
      <c r="N1298" t="s">
        <v>1155</v>
      </c>
      <c r="O1298" t="s">
        <v>771</v>
      </c>
      <c r="P1298" t="s">
        <v>772</v>
      </c>
      <c r="Q1298" t="s">
        <v>3271</v>
      </c>
      <c r="R1298">
        <v>15</v>
      </c>
      <c r="S1298">
        <v>2</v>
      </c>
      <c r="T1298">
        <v>15</v>
      </c>
      <c r="U1298">
        <v>2</v>
      </c>
      <c r="V1298">
        <v>0</v>
      </c>
      <c r="W1298">
        <v>0</v>
      </c>
      <c r="X1298">
        <v>0</v>
      </c>
      <c r="Y1298">
        <v>0</v>
      </c>
      <c r="Z1298">
        <v>0</v>
      </c>
      <c r="AA1298">
        <v>0</v>
      </c>
      <c r="AB1298">
        <v>15</v>
      </c>
      <c r="AC1298">
        <v>2</v>
      </c>
      <c r="AD1298">
        <v>15</v>
      </c>
      <c r="AE1298">
        <v>2</v>
      </c>
      <c r="AF1298">
        <v>0</v>
      </c>
      <c r="AG1298">
        <v>0</v>
      </c>
      <c r="AH1298">
        <v>0</v>
      </c>
      <c r="AI1298">
        <v>0</v>
      </c>
      <c r="AY1298" t="str">
        <f t="shared" si="199"/>
        <v>TRYMOX LA 150 MG/ML SUSPENSION INJECTABLE POUR BOVINS OVINS PORCINS CHIENS ET CHATS</v>
      </c>
      <c r="AZ1298" t="str">
        <f>IF(COUNTIF(AY:AY,AY1298)=1,AY1298,IF(AND(COUNTIF(AY:AY,AY1298)&gt;1,COUNTIF(AZ$2:AZ1297,AY1298)&gt;=1),"",AY1298))</f>
        <v/>
      </c>
      <c r="BA1298" t="str">
        <f>IF(AZ1298="","",COUNTIFS(AZ$3:AZ$1439,"&lt;"&amp;AZ1298,AZ$3:AZ$1439,"&lt;&gt;0")+COUNTIF(AZ$3:AZ1298,AZ1298)-876)</f>
        <v/>
      </c>
      <c r="BT1298" s="76"/>
      <c r="CN1298">
        <v>1297</v>
      </c>
    </row>
    <row r="1299" spans="1:92" x14ac:dyDescent="0.3">
      <c r="A1299" s="118" t="s">
        <v>4633</v>
      </c>
      <c r="B1299" t="s">
        <v>4638</v>
      </c>
      <c r="C1299" t="s">
        <v>792</v>
      </c>
      <c r="D1299" t="s">
        <v>764</v>
      </c>
      <c r="E1299" t="s">
        <v>765</v>
      </c>
      <c r="F1299" t="s">
        <v>520</v>
      </c>
      <c r="G1299" t="s">
        <v>766</v>
      </c>
      <c r="H1299" t="s">
        <v>1979</v>
      </c>
      <c r="I1299" t="s">
        <v>766</v>
      </c>
      <c r="J1299" t="s">
        <v>787</v>
      </c>
      <c r="K1299" t="s">
        <v>787</v>
      </c>
      <c r="L1299" t="s">
        <v>1055</v>
      </c>
      <c r="M1299" t="s">
        <v>208</v>
      </c>
      <c r="N1299" t="s">
        <v>1155</v>
      </c>
      <c r="O1299" t="s">
        <v>771</v>
      </c>
      <c r="P1299" t="s">
        <v>772</v>
      </c>
      <c r="Q1299" t="s">
        <v>972</v>
      </c>
      <c r="R1299">
        <v>15</v>
      </c>
      <c r="S1299">
        <v>2</v>
      </c>
      <c r="T1299">
        <v>15</v>
      </c>
      <c r="U1299">
        <v>2</v>
      </c>
      <c r="V1299">
        <v>0</v>
      </c>
      <c r="W1299">
        <v>0</v>
      </c>
      <c r="X1299">
        <v>0</v>
      </c>
      <c r="Y1299">
        <v>0</v>
      </c>
      <c r="Z1299">
        <v>0</v>
      </c>
      <c r="AA1299">
        <v>0</v>
      </c>
      <c r="AB1299">
        <v>15</v>
      </c>
      <c r="AC1299">
        <v>2</v>
      </c>
      <c r="AD1299">
        <v>15</v>
      </c>
      <c r="AE1299">
        <v>2</v>
      </c>
      <c r="AF1299">
        <v>0</v>
      </c>
      <c r="AG1299">
        <v>0</v>
      </c>
      <c r="AH1299">
        <v>0</v>
      </c>
      <c r="AI1299">
        <v>0</v>
      </c>
      <c r="AY1299" t="str">
        <f t="shared" si="199"/>
        <v>TRYMOX LA 150 MG/ML SUSPENSION INJECTABLE POUR BOVINS OVINS PORCINS CHIENS ET CHATS</v>
      </c>
      <c r="AZ1299" t="str">
        <f>IF(COUNTIF(AY:AY,AY1299)=1,AY1299,IF(AND(COUNTIF(AY:AY,AY1299)&gt;1,COUNTIF(AZ$2:AZ1298,AY1299)&gt;=1),"",AY1299))</f>
        <v/>
      </c>
      <c r="BA1299" t="str">
        <f>IF(AZ1299="","",COUNTIFS(AZ$3:AZ$1439,"&lt;"&amp;AZ1299,AZ$3:AZ$1439,"&lt;&gt;0")+COUNTIF(AZ$3:AZ1299,AZ1299)-876)</f>
        <v/>
      </c>
      <c r="BT1299" s="76"/>
      <c r="CN1299">
        <v>1298</v>
      </c>
    </row>
    <row r="1300" spans="1:92" x14ac:dyDescent="0.3">
      <c r="A1300" s="118" t="s">
        <v>4633</v>
      </c>
      <c r="B1300" t="s">
        <v>4639</v>
      </c>
      <c r="C1300" t="s">
        <v>796</v>
      </c>
      <c r="D1300" t="s">
        <v>776</v>
      </c>
      <c r="E1300" t="s">
        <v>765</v>
      </c>
      <c r="F1300" t="s">
        <v>520</v>
      </c>
      <c r="G1300" t="s">
        <v>766</v>
      </c>
      <c r="H1300" t="s">
        <v>1979</v>
      </c>
      <c r="I1300" t="s">
        <v>766</v>
      </c>
      <c r="J1300" t="s">
        <v>787</v>
      </c>
      <c r="K1300" t="s">
        <v>787</v>
      </c>
      <c r="L1300" t="s">
        <v>1055</v>
      </c>
      <c r="M1300" t="s">
        <v>208</v>
      </c>
      <c r="N1300" t="s">
        <v>1155</v>
      </c>
      <c r="O1300" t="s">
        <v>771</v>
      </c>
      <c r="P1300" t="s">
        <v>772</v>
      </c>
      <c r="Q1300" t="s">
        <v>1773</v>
      </c>
      <c r="R1300">
        <v>15</v>
      </c>
      <c r="S1300">
        <v>2</v>
      </c>
      <c r="T1300">
        <v>15</v>
      </c>
      <c r="U1300">
        <v>2</v>
      </c>
      <c r="V1300">
        <v>0</v>
      </c>
      <c r="W1300">
        <v>0</v>
      </c>
      <c r="X1300">
        <v>0</v>
      </c>
      <c r="Y1300">
        <v>0</v>
      </c>
      <c r="Z1300">
        <v>0</v>
      </c>
      <c r="AA1300">
        <v>0</v>
      </c>
      <c r="AB1300">
        <v>15</v>
      </c>
      <c r="AC1300">
        <v>2</v>
      </c>
      <c r="AD1300">
        <v>15</v>
      </c>
      <c r="AE1300">
        <v>2</v>
      </c>
      <c r="AF1300">
        <v>0</v>
      </c>
      <c r="AG1300">
        <v>0</v>
      </c>
      <c r="AH1300">
        <v>0</v>
      </c>
      <c r="AI1300">
        <v>0</v>
      </c>
      <c r="AY1300" t="str">
        <f t="shared" si="199"/>
        <v>TRYMOX LA 150 MG/ML SUSPENSION INJECTABLE POUR BOVINS OVINS PORCINS CHIENS ET CHATS</v>
      </c>
      <c r="AZ1300" t="str">
        <f>IF(COUNTIF(AY:AY,AY1300)=1,AY1300,IF(AND(COUNTIF(AY:AY,AY1300)&gt;1,COUNTIF(AZ$2:AZ1299,AY1300)&gt;=1),"",AY1300))</f>
        <v/>
      </c>
      <c r="BA1300" t="str">
        <f>IF(AZ1300="","",COUNTIFS(AZ$3:AZ$1439,"&lt;"&amp;AZ1300,AZ$3:AZ$1439,"&lt;&gt;0")+COUNTIF(AZ$3:AZ1300,AZ1300)-876)</f>
        <v/>
      </c>
      <c r="BT1300" s="76"/>
      <c r="CN1300">
        <v>1299</v>
      </c>
    </row>
    <row r="1301" spans="1:92" x14ac:dyDescent="0.3">
      <c r="A1301" s="118" t="s">
        <v>3847</v>
      </c>
      <c r="B1301" t="s">
        <v>3848</v>
      </c>
      <c r="C1301" t="s">
        <v>3849</v>
      </c>
      <c r="D1301" s="144" t="s">
        <v>3850</v>
      </c>
      <c r="E1301" t="s">
        <v>813</v>
      </c>
      <c r="F1301" t="s">
        <v>3851</v>
      </c>
      <c r="G1301" t="s">
        <v>815</v>
      </c>
      <c r="H1301" t="s">
        <v>860</v>
      </c>
      <c r="I1301" t="s">
        <v>817</v>
      </c>
      <c r="J1301" t="s">
        <v>1179</v>
      </c>
      <c r="K1301" t="s">
        <v>1179</v>
      </c>
      <c r="L1301" t="s">
        <v>1354</v>
      </c>
      <c r="M1301" t="s">
        <v>208</v>
      </c>
      <c r="N1301" t="s">
        <v>829</v>
      </c>
      <c r="O1301" t="s">
        <v>824</v>
      </c>
      <c r="P1301" t="s">
        <v>772</v>
      </c>
      <c r="Q1301" t="s">
        <v>3850</v>
      </c>
      <c r="R1301">
        <v>0</v>
      </c>
      <c r="S1301">
        <v>0</v>
      </c>
      <c r="T1301">
        <v>30</v>
      </c>
      <c r="U1301">
        <v>21</v>
      </c>
      <c r="V1301">
        <v>0</v>
      </c>
      <c r="W1301">
        <v>0</v>
      </c>
      <c r="X1301">
        <v>0</v>
      </c>
      <c r="Y1301">
        <v>0</v>
      </c>
      <c r="Z1301">
        <v>0</v>
      </c>
      <c r="AA1301">
        <v>0</v>
      </c>
      <c r="AB1301">
        <v>0</v>
      </c>
      <c r="AC1301">
        <v>0</v>
      </c>
      <c r="AD1301">
        <v>0</v>
      </c>
      <c r="AE1301">
        <v>0</v>
      </c>
      <c r="AF1301">
        <v>0</v>
      </c>
      <c r="AG1301">
        <v>0</v>
      </c>
      <c r="AH1301">
        <v>0</v>
      </c>
      <c r="AI1301">
        <v>0</v>
      </c>
      <c r="AY1301" t="str">
        <f t="shared" si="199"/>
        <v/>
      </c>
      <c r="AZ1301" t="str">
        <f>IF(COUNTIF(AY:AY,AY1301)=1,AY1301,IF(AND(COUNTIF(AY:AY,AY1301)&gt;1,COUNTIF(AZ$2:AZ1300,AY1301)&gt;=1),"",AY1301))</f>
        <v/>
      </c>
      <c r="BA1301" t="str">
        <f>IF(AZ1301="","",COUNTIFS(AZ$3:AZ$1439,"&lt;"&amp;AZ1301,AZ$3:AZ$1439,"&lt;&gt;0")+COUNTIF(AZ$3:AZ1301,AZ1301)-876)</f>
        <v/>
      </c>
      <c r="BT1301" s="76"/>
      <c r="CN1301">
        <v>1300</v>
      </c>
    </row>
    <row r="1302" spans="1:92" x14ac:dyDescent="0.3">
      <c r="A1302" s="118" t="s">
        <v>4666</v>
      </c>
      <c r="B1302" t="s">
        <v>4667</v>
      </c>
      <c r="C1302" t="s">
        <v>4668</v>
      </c>
      <c r="D1302" t="s">
        <v>764</v>
      </c>
      <c r="E1302" t="s">
        <v>765</v>
      </c>
      <c r="F1302" t="s">
        <v>4669</v>
      </c>
      <c r="G1302" t="s">
        <v>956</v>
      </c>
      <c r="H1302" t="s">
        <v>816</v>
      </c>
      <c r="I1302" t="s">
        <v>817</v>
      </c>
      <c r="J1302" t="s">
        <v>1179</v>
      </c>
      <c r="K1302" t="s">
        <v>1179</v>
      </c>
      <c r="L1302" t="s">
        <v>1354</v>
      </c>
      <c r="M1302" t="s">
        <v>208</v>
      </c>
      <c r="N1302" t="s">
        <v>780</v>
      </c>
      <c r="O1302" t="s">
        <v>771</v>
      </c>
      <c r="P1302" t="s">
        <v>772</v>
      </c>
      <c r="Q1302" t="s">
        <v>885</v>
      </c>
      <c r="R1302">
        <v>0</v>
      </c>
      <c r="S1302">
        <v>0</v>
      </c>
      <c r="T1302">
        <v>30</v>
      </c>
      <c r="U1302">
        <v>5</v>
      </c>
      <c r="V1302">
        <v>0</v>
      </c>
      <c r="W1302">
        <v>0</v>
      </c>
      <c r="X1302">
        <v>0</v>
      </c>
      <c r="Y1302">
        <v>0</v>
      </c>
      <c r="Z1302">
        <v>0</v>
      </c>
      <c r="AA1302">
        <v>0</v>
      </c>
      <c r="AB1302">
        <v>0</v>
      </c>
      <c r="AC1302">
        <v>0</v>
      </c>
      <c r="AD1302">
        <v>0</v>
      </c>
      <c r="AE1302">
        <v>0</v>
      </c>
      <c r="AF1302">
        <v>0</v>
      </c>
      <c r="AG1302">
        <v>0</v>
      </c>
      <c r="AH1302">
        <v>0</v>
      </c>
      <c r="AI1302">
        <v>0</v>
      </c>
      <c r="AY1302" t="str">
        <f t="shared" si="199"/>
        <v/>
      </c>
      <c r="AZ1302" t="str">
        <f>IF(COUNTIF(AY:AY,AY1302)=1,AY1302,IF(AND(COUNTIF(AY:AY,AY1302)&gt;1,COUNTIF(AZ$2:AZ1301,AY1302)&gt;=1),"",AY1302))</f>
        <v/>
      </c>
      <c r="BA1302" t="str">
        <f>IF(AZ1302="","",COUNTIFS(AZ$3:AZ$1439,"&lt;"&amp;AZ1302,AZ$3:AZ$1439,"&lt;&gt;0")+COUNTIF(AZ$3:AZ1302,AZ1302)-876)</f>
        <v/>
      </c>
      <c r="BT1302" s="76"/>
      <c r="CN1302">
        <v>1301</v>
      </c>
    </row>
    <row r="1303" spans="1:92" x14ac:dyDescent="0.3">
      <c r="A1303" s="118" t="s">
        <v>3841</v>
      </c>
      <c r="B1303" t="s">
        <v>3842</v>
      </c>
      <c r="C1303" t="s">
        <v>3843</v>
      </c>
      <c r="D1303" s="144" t="s">
        <v>3844</v>
      </c>
      <c r="E1303" t="s">
        <v>813</v>
      </c>
      <c r="F1303" t="s">
        <v>3845</v>
      </c>
      <c r="G1303" t="s">
        <v>815</v>
      </c>
      <c r="H1303" t="s">
        <v>860</v>
      </c>
      <c r="I1303" t="s">
        <v>817</v>
      </c>
      <c r="J1303" t="s">
        <v>1179</v>
      </c>
      <c r="K1303" t="s">
        <v>1179</v>
      </c>
      <c r="L1303" t="s">
        <v>1354</v>
      </c>
      <c r="M1303" t="s">
        <v>208</v>
      </c>
      <c r="N1303" t="s">
        <v>906</v>
      </c>
      <c r="O1303" t="s">
        <v>824</v>
      </c>
      <c r="P1303" t="s">
        <v>772</v>
      </c>
      <c r="Q1303" t="s">
        <v>3846</v>
      </c>
      <c r="R1303">
        <v>0</v>
      </c>
      <c r="S1303">
        <v>0</v>
      </c>
      <c r="T1303">
        <v>30</v>
      </c>
      <c r="U1303">
        <v>21</v>
      </c>
      <c r="V1303">
        <v>0</v>
      </c>
      <c r="W1303">
        <v>0</v>
      </c>
      <c r="X1303">
        <v>0</v>
      </c>
      <c r="Y1303">
        <v>0</v>
      </c>
      <c r="Z1303">
        <v>0</v>
      </c>
      <c r="AA1303">
        <v>0</v>
      </c>
      <c r="AB1303">
        <v>0</v>
      </c>
      <c r="AC1303">
        <v>0</v>
      </c>
      <c r="AD1303">
        <v>0</v>
      </c>
      <c r="AE1303">
        <v>0</v>
      </c>
      <c r="AF1303">
        <v>0</v>
      </c>
      <c r="AG1303">
        <v>0</v>
      </c>
      <c r="AH1303">
        <v>0</v>
      </c>
      <c r="AI1303">
        <v>0</v>
      </c>
      <c r="AY1303" t="str">
        <f t="shared" si="199"/>
        <v/>
      </c>
      <c r="AZ1303" t="str">
        <f>IF(COUNTIF(AY:AY,AY1303)=1,AY1303,IF(AND(COUNTIF(AY:AY,AY1303)&gt;1,COUNTIF(AZ$2:AZ1302,AY1303)&gt;=1),"",AY1303))</f>
        <v/>
      </c>
      <c r="BA1303" t="str">
        <f>IF(AZ1303="","",COUNTIFS(AZ$3:AZ$1439,"&lt;"&amp;AZ1303,AZ$3:AZ$1439,"&lt;&gt;0")+COUNTIF(AZ$3:AZ1303,AZ1303)-876)</f>
        <v/>
      </c>
      <c r="BT1303" s="76"/>
      <c r="CN1303">
        <v>1302</v>
      </c>
    </row>
    <row r="1304" spans="1:92" x14ac:dyDescent="0.3">
      <c r="A1304" s="118" t="s">
        <v>4777</v>
      </c>
      <c r="B1304" t="s">
        <v>4778</v>
      </c>
      <c r="C1304" t="s">
        <v>1238</v>
      </c>
      <c r="D1304" t="s">
        <v>780</v>
      </c>
      <c r="E1304" t="s">
        <v>765</v>
      </c>
      <c r="F1304" t="s">
        <v>4779</v>
      </c>
      <c r="G1304" t="s">
        <v>766</v>
      </c>
      <c r="H1304" t="s">
        <v>1484</v>
      </c>
      <c r="I1304" t="s">
        <v>766</v>
      </c>
      <c r="J1304" t="s">
        <v>802</v>
      </c>
      <c r="K1304" t="s">
        <v>802</v>
      </c>
      <c r="L1304" t="s">
        <v>3008</v>
      </c>
      <c r="M1304" t="s">
        <v>208</v>
      </c>
      <c r="N1304" t="s">
        <v>764</v>
      </c>
      <c r="O1304" t="s">
        <v>771</v>
      </c>
      <c r="P1304" t="s">
        <v>772</v>
      </c>
      <c r="Q1304" t="s">
        <v>885</v>
      </c>
      <c r="R1304">
        <v>2.5</v>
      </c>
      <c r="S1304">
        <v>1</v>
      </c>
      <c r="T1304">
        <v>0</v>
      </c>
      <c r="U1304">
        <v>0</v>
      </c>
      <c r="V1304">
        <v>0</v>
      </c>
      <c r="W1304">
        <v>0</v>
      </c>
      <c r="X1304">
        <v>0</v>
      </c>
      <c r="Y1304">
        <v>0</v>
      </c>
      <c r="Z1304">
        <v>0</v>
      </c>
      <c r="AA1304">
        <v>0</v>
      </c>
      <c r="AB1304">
        <v>2.5</v>
      </c>
      <c r="AC1304">
        <v>1</v>
      </c>
      <c r="AD1304">
        <v>2.5</v>
      </c>
      <c r="AE1304">
        <v>1</v>
      </c>
      <c r="AF1304">
        <v>0</v>
      </c>
      <c r="AG1304">
        <v>0</v>
      </c>
      <c r="AH1304">
        <v>0</v>
      </c>
      <c r="AI1304">
        <v>0</v>
      </c>
      <c r="AY1304" t="str">
        <f t="shared" si="199"/>
        <v>TULAPRO 100 MG/ML SOLUTION INJECTABLE POUR BOVINS, PORCINS ET OVINS</v>
      </c>
      <c r="AZ1304" t="str">
        <f>IF(COUNTIF(AY:AY,AY1304)=1,AY1304,IF(AND(COUNTIF(AY:AY,AY1304)&gt;1,COUNTIF(AZ$2:AZ1303,AY1304)&gt;=1),"",AY1304))</f>
        <v>TULAPRO 100 MG/ML SOLUTION INJECTABLE POUR BOVINS, PORCINS ET OVINS</v>
      </c>
      <c r="BA1304">
        <f>IF(AZ1304="","",COUNTIFS(AZ$3:AZ$1439,"&lt;"&amp;AZ1304,AZ$3:AZ$1439,"&lt;&gt;0")+COUNTIF(AZ$3:AZ1304,AZ1304)-876)</f>
        <v>514</v>
      </c>
      <c r="BT1304" s="76"/>
      <c r="CN1304">
        <v>1303</v>
      </c>
    </row>
    <row r="1305" spans="1:92" x14ac:dyDescent="0.3">
      <c r="A1305" s="118" t="s">
        <v>4777</v>
      </c>
      <c r="B1305" t="s">
        <v>4780</v>
      </c>
      <c r="C1305" t="s">
        <v>792</v>
      </c>
      <c r="D1305" t="s">
        <v>764</v>
      </c>
      <c r="E1305" t="s">
        <v>765</v>
      </c>
      <c r="F1305" t="s">
        <v>4779</v>
      </c>
      <c r="G1305" t="s">
        <v>766</v>
      </c>
      <c r="H1305" t="s">
        <v>1484</v>
      </c>
      <c r="I1305" t="s">
        <v>766</v>
      </c>
      <c r="J1305" t="s">
        <v>802</v>
      </c>
      <c r="K1305" t="s">
        <v>802</v>
      </c>
      <c r="L1305" t="s">
        <v>3008</v>
      </c>
      <c r="M1305" t="s">
        <v>208</v>
      </c>
      <c r="N1305" t="s">
        <v>764</v>
      </c>
      <c r="O1305" t="s">
        <v>771</v>
      </c>
      <c r="P1305" t="s">
        <v>772</v>
      </c>
      <c r="Q1305" t="s">
        <v>852</v>
      </c>
      <c r="R1305">
        <v>2.5</v>
      </c>
      <c r="S1305">
        <v>1</v>
      </c>
      <c r="T1305">
        <v>0</v>
      </c>
      <c r="U1305">
        <v>0</v>
      </c>
      <c r="V1305">
        <v>0</v>
      </c>
      <c r="W1305">
        <v>0</v>
      </c>
      <c r="X1305">
        <v>0</v>
      </c>
      <c r="Y1305">
        <v>0</v>
      </c>
      <c r="Z1305">
        <v>0</v>
      </c>
      <c r="AA1305">
        <v>0</v>
      </c>
      <c r="AB1305">
        <v>2.5</v>
      </c>
      <c r="AC1305">
        <v>1</v>
      </c>
      <c r="AD1305">
        <v>2.5</v>
      </c>
      <c r="AE1305">
        <v>1</v>
      </c>
      <c r="AF1305">
        <v>0</v>
      </c>
      <c r="AG1305">
        <v>0</v>
      </c>
      <c r="AH1305">
        <v>0</v>
      </c>
      <c r="AI1305">
        <v>0</v>
      </c>
      <c r="AY1305" t="str">
        <f t="shared" si="199"/>
        <v>TULAPRO 100 MG/ML SOLUTION INJECTABLE POUR BOVINS, PORCINS ET OVINS</v>
      </c>
      <c r="AZ1305" t="str">
        <f>IF(COUNTIF(AY:AY,AY1305)=1,AY1305,IF(AND(COUNTIF(AY:AY,AY1305)&gt;1,COUNTIF(AZ$2:AZ1304,AY1305)&gt;=1),"",AY1305))</f>
        <v/>
      </c>
      <c r="BA1305" t="str">
        <f>IF(AZ1305="","",COUNTIFS(AZ$3:AZ$1439,"&lt;"&amp;AZ1305,AZ$3:AZ$1439,"&lt;&gt;0")+COUNTIF(AZ$3:AZ1305,AZ1305)-876)</f>
        <v/>
      </c>
      <c r="BT1305" s="76"/>
      <c r="CN1305">
        <v>1304</v>
      </c>
    </row>
    <row r="1306" spans="1:92" x14ac:dyDescent="0.3">
      <c r="A1306" s="118" t="s">
        <v>4777</v>
      </c>
      <c r="B1306" t="s">
        <v>4781</v>
      </c>
      <c r="C1306" t="s">
        <v>796</v>
      </c>
      <c r="D1306" t="s">
        <v>776</v>
      </c>
      <c r="E1306" t="s">
        <v>765</v>
      </c>
      <c r="F1306" t="s">
        <v>4779</v>
      </c>
      <c r="G1306" t="s">
        <v>766</v>
      </c>
      <c r="H1306" t="s">
        <v>1484</v>
      </c>
      <c r="I1306" t="s">
        <v>766</v>
      </c>
      <c r="J1306" t="s">
        <v>802</v>
      </c>
      <c r="K1306" t="s">
        <v>802</v>
      </c>
      <c r="L1306" t="s">
        <v>3008</v>
      </c>
      <c r="M1306" t="s">
        <v>208</v>
      </c>
      <c r="N1306" t="s">
        <v>764</v>
      </c>
      <c r="O1306" t="s">
        <v>771</v>
      </c>
      <c r="P1306" t="s">
        <v>772</v>
      </c>
      <c r="Q1306" t="s">
        <v>855</v>
      </c>
      <c r="R1306">
        <v>2.5</v>
      </c>
      <c r="S1306">
        <v>1</v>
      </c>
      <c r="T1306">
        <v>0</v>
      </c>
      <c r="U1306">
        <v>0</v>
      </c>
      <c r="V1306">
        <v>0</v>
      </c>
      <c r="W1306">
        <v>0</v>
      </c>
      <c r="X1306">
        <v>0</v>
      </c>
      <c r="Y1306">
        <v>0</v>
      </c>
      <c r="Z1306">
        <v>0</v>
      </c>
      <c r="AA1306">
        <v>0</v>
      </c>
      <c r="AB1306">
        <v>2.5</v>
      </c>
      <c r="AC1306">
        <v>1</v>
      </c>
      <c r="AD1306">
        <v>2.5</v>
      </c>
      <c r="AE1306">
        <v>1</v>
      </c>
      <c r="AF1306">
        <v>0</v>
      </c>
      <c r="AG1306">
        <v>0</v>
      </c>
      <c r="AH1306">
        <v>0</v>
      </c>
      <c r="AI1306">
        <v>0</v>
      </c>
      <c r="AY1306" t="str">
        <f t="shared" si="199"/>
        <v>TULAPRO 100 MG/ML SOLUTION INJECTABLE POUR BOVINS, PORCINS ET OVINS</v>
      </c>
      <c r="AZ1306" t="str">
        <f>IF(COUNTIF(AY:AY,AY1306)=1,AY1306,IF(AND(COUNTIF(AY:AY,AY1306)&gt;1,COUNTIF(AZ$2:AZ1305,AY1306)&gt;=1),"",AY1306))</f>
        <v/>
      </c>
      <c r="BA1306" t="str">
        <f>IF(AZ1306="","",COUNTIFS(AZ$3:AZ$1439,"&lt;"&amp;AZ1306,AZ$3:AZ$1439,"&lt;&gt;0")+COUNTIF(AZ$3:AZ1306,AZ1306)-876)</f>
        <v/>
      </c>
      <c r="BT1306" s="76"/>
      <c r="CN1306">
        <v>1305</v>
      </c>
    </row>
    <row r="1307" spans="1:92" x14ac:dyDescent="0.3">
      <c r="A1307" s="118" t="s">
        <v>4782</v>
      </c>
      <c r="B1307" t="s">
        <v>4783</v>
      </c>
      <c r="C1307" t="s">
        <v>792</v>
      </c>
      <c r="D1307" t="s">
        <v>764</v>
      </c>
      <c r="E1307" t="s">
        <v>765</v>
      </c>
      <c r="F1307" t="s">
        <v>4784</v>
      </c>
      <c r="G1307" t="s">
        <v>766</v>
      </c>
      <c r="H1307" t="s">
        <v>1213</v>
      </c>
      <c r="I1307" t="s">
        <v>766</v>
      </c>
      <c r="J1307" t="s">
        <v>802</v>
      </c>
      <c r="K1307" t="s">
        <v>802</v>
      </c>
      <c r="L1307" t="s">
        <v>3008</v>
      </c>
      <c r="M1307" t="s">
        <v>208</v>
      </c>
      <c r="N1307" t="s">
        <v>855</v>
      </c>
      <c r="O1307" t="s">
        <v>771</v>
      </c>
      <c r="P1307" t="s">
        <v>772</v>
      </c>
      <c r="Q1307" t="s">
        <v>1126</v>
      </c>
      <c r="R1307">
        <v>0</v>
      </c>
      <c r="S1307">
        <v>0</v>
      </c>
      <c r="T1307">
        <v>0</v>
      </c>
      <c r="U1307">
        <v>0</v>
      </c>
      <c r="V1307">
        <v>0</v>
      </c>
      <c r="W1307">
        <v>0</v>
      </c>
      <c r="X1307">
        <v>0</v>
      </c>
      <c r="Y1307">
        <v>0</v>
      </c>
      <c r="Z1307">
        <v>0</v>
      </c>
      <c r="AA1307">
        <v>0</v>
      </c>
      <c r="AB1307">
        <v>0</v>
      </c>
      <c r="AC1307">
        <v>0</v>
      </c>
      <c r="AD1307">
        <v>2.5</v>
      </c>
      <c r="AE1307">
        <v>1</v>
      </c>
      <c r="AF1307">
        <v>0</v>
      </c>
      <c r="AG1307">
        <v>0</v>
      </c>
      <c r="AH1307">
        <v>0</v>
      </c>
      <c r="AI1307">
        <v>0</v>
      </c>
      <c r="AY1307" t="str">
        <f t="shared" si="199"/>
        <v>TULAPRO 25 MG/ML SOLUTION INJECTABLE POUR PORCINS</v>
      </c>
      <c r="AZ1307" t="str">
        <f>IF(COUNTIF(AY:AY,AY1307)=1,AY1307,IF(AND(COUNTIF(AY:AY,AY1307)&gt;1,COUNTIF(AZ$2:AZ1306,AY1307)&gt;=1),"",AY1307))</f>
        <v>TULAPRO 25 MG/ML SOLUTION INJECTABLE POUR PORCINS</v>
      </c>
      <c r="BA1307">
        <f>IF(AZ1307="","",COUNTIFS(AZ$3:AZ$1439,"&lt;"&amp;AZ1307,AZ$3:AZ$1439,"&lt;&gt;0")+COUNTIF(AZ$3:AZ1307,AZ1307)-876)</f>
        <v>515</v>
      </c>
      <c r="BT1307" s="76"/>
      <c r="CN1307">
        <v>1306</v>
      </c>
    </row>
    <row r="1308" spans="1:92" x14ac:dyDescent="0.3">
      <c r="A1308" s="118" t="s">
        <v>4703</v>
      </c>
      <c r="B1308" t="s">
        <v>4704</v>
      </c>
      <c r="C1308" t="s">
        <v>1238</v>
      </c>
      <c r="D1308" t="s">
        <v>780</v>
      </c>
      <c r="E1308" t="s">
        <v>765</v>
      </c>
      <c r="F1308" t="s">
        <v>4705</v>
      </c>
      <c r="G1308" t="s">
        <v>766</v>
      </c>
      <c r="H1308" t="s">
        <v>1484</v>
      </c>
      <c r="I1308" t="s">
        <v>766</v>
      </c>
      <c r="J1308" t="s">
        <v>802</v>
      </c>
      <c r="K1308" t="s">
        <v>802</v>
      </c>
      <c r="L1308" t="s">
        <v>3008</v>
      </c>
      <c r="M1308" t="s">
        <v>208</v>
      </c>
      <c r="N1308" t="s">
        <v>764</v>
      </c>
      <c r="O1308" t="s">
        <v>771</v>
      </c>
      <c r="P1308" t="s">
        <v>772</v>
      </c>
      <c r="Q1308" t="s">
        <v>885</v>
      </c>
      <c r="R1308">
        <v>2.5</v>
      </c>
      <c r="S1308">
        <v>1</v>
      </c>
      <c r="T1308">
        <v>0</v>
      </c>
      <c r="U1308">
        <v>0</v>
      </c>
      <c r="V1308">
        <v>0</v>
      </c>
      <c r="W1308">
        <v>0</v>
      </c>
      <c r="X1308">
        <v>0</v>
      </c>
      <c r="Y1308">
        <v>0</v>
      </c>
      <c r="Z1308">
        <v>0</v>
      </c>
      <c r="AA1308">
        <v>0</v>
      </c>
      <c r="AB1308">
        <v>2.5</v>
      </c>
      <c r="AC1308">
        <v>1</v>
      </c>
      <c r="AD1308">
        <v>2.5</v>
      </c>
      <c r="AE1308">
        <v>1</v>
      </c>
      <c r="AF1308">
        <v>0</v>
      </c>
      <c r="AG1308">
        <v>0</v>
      </c>
      <c r="AH1308">
        <v>0</v>
      </c>
      <c r="AI1308">
        <v>0</v>
      </c>
      <c r="AY1308" t="str">
        <f t="shared" si="199"/>
        <v>TULAVEN 100 MG/ML SOLUTION INJECTABLE POUR BOVINS PORCINS ET OVINS</v>
      </c>
      <c r="AZ1308" t="str">
        <f>IF(COUNTIF(AY:AY,AY1308)=1,AY1308,IF(AND(COUNTIF(AY:AY,AY1308)&gt;1,COUNTIF(AZ$2:AZ1307,AY1308)&gt;=1),"",AY1308))</f>
        <v>TULAVEN 100 MG/ML SOLUTION INJECTABLE POUR BOVINS PORCINS ET OVINS</v>
      </c>
      <c r="BA1308">
        <f>IF(AZ1308="","",COUNTIFS(AZ$3:AZ$1439,"&lt;"&amp;AZ1308,AZ$3:AZ$1439,"&lt;&gt;0")+COUNTIF(AZ$3:AZ1308,AZ1308)-876)</f>
        <v>516</v>
      </c>
      <c r="BT1308" s="76"/>
      <c r="CN1308">
        <v>1307</v>
      </c>
    </row>
    <row r="1309" spans="1:92" x14ac:dyDescent="0.3">
      <c r="A1309" s="118" t="s">
        <v>4703</v>
      </c>
      <c r="B1309" t="s">
        <v>4706</v>
      </c>
      <c r="C1309" t="s">
        <v>792</v>
      </c>
      <c r="D1309" t="s">
        <v>764</v>
      </c>
      <c r="E1309" t="s">
        <v>765</v>
      </c>
      <c r="F1309" t="s">
        <v>4705</v>
      </c>
      <c r="G1309" t="s">
        <v>766</v>
      </c>
      <c r="H1309" t="s">
        <v>1484</v>
      </c>
      <c r="I1309" t="s">
        <v>766</v>
      </c>
      <c r="J1309" t="s">
        <v>802</v>
      </c>
      <c r="K1309" t="s">
        <v>802</v>
      </c>
      <c r="L1309" t="s">
        <v>3008</v>
      </c>
      <c r="M1309" t="s">
        <v>208</v>
      </c>
      <c r="N1309" t="s">
        <v>764</v>
      </c>
      <c r="O1309" t="s">
        <v>771</v>
      </c>
      <c r="P1309" t="s">
        <v>772</v>
      </c>
      <c r="Q1309" t="s">
        <v>852</v>
      </c>
      <c r="R1309">
        <v>2.5</v>
      </c>
      <c r="S1309">
        <v>1</v>
      </c>
      <c r="T1309">
        <v>0</v>
      </c>
      <c r="U1309">
        <v>0</v>
      </c>
      <c r="V1309">
        <v>0</v>
      </c>
      <c r="W1309">
        <v>0</v>
      </c>
      <c r="X1309">
        <v>0</v>
      </c>
      <c r="Y1309">
        <v>0</v>
      </c>
      <c r="Z1309">
        <v>0</v>
      </c>
      <c r="AA1309">
        <v>0</v>
      </c>
      <c r="AB1309">
        <v>2.5</v>
      </c>
      <c r="AC1309">
        <v>1</v>
      </c>
      <c r="AD1309">
        <v>2.5</v>
      </c>
      <c r="AE1309">
        <v>1</v>
      </c>
      <c r="AF1309">
        <v>0</v>
      </c>
      <c r="AG1309">
        <v>0</v>
      </c>
      <c r="AH1309">
        <v>0</v>
      </c>
      <c r="AI1309">
        <v>0</v>
      </c>
      <c r="AY1309" t="str">
        <f t="shared" si="199"/>
        <v>TULAVEN 100 MG/ML SOLUTION INJECTABLE POUR BOVINS PORCINS ET OVINS</v>
      </c>
      <c r="AZ1309" t="str">
        <f>IF(COUNTIF(AY:AY,AY1309)=1,AY1309,IF(AND(COUNTIF(AY:AY,AY1309)&gt;1,COUNTIF(AZ$2:AZ1308,AY1309)&gt;=1),"",AY1309))</f>
        <v/>
      </c>
      <c r="BA1309" t="str">
        <f>IF(AZ1309="","",COUNTIFS(AZ$3:AZ$1439,"&lt;"&amp;AZ1309,AZ$3:AZ$1439,"&lt;&gt;0")+COUNTIF(AZ$3:AZ1309,AZ1309)-876)</f>
        <v/>
      </c>
      <c r="BT1309" s="76"/>
      <c r="CN1309">
        <v>1308</v>
      </c>
    </row>
    <row r="1310" spans="1:92" x14ac:dyDescent="0.3">
      <c r="A1310" s="119" t="s">
        <v>4703</v>
      </c>
      <c r="B1310" s="111" t="s">
        <v>4707</v>
      </c>
      <c r="C1310" s="111" t="s">
        <v>796</v>
      </c>
      <c r="D1310" s="111" t="s">
        <v>776</v>
      </c>
      <c r="E1310" s="111" t="s">
        <v>765</v>
      </c>
      <c r="F1310" s="111" t="s">
        <v>4705</v>
      </c>
      <c r="G1310" s="111" t="s">
        <v>766</v>
      </c>
      <c r="H1310" s="111" t="s">
        <v>1484</v>
      </c>
      <c r="I1310" s="111" t="s">
        <v>766</v>
      </c>
      <c r="J1310" s="111" t="s">
        <v>802</v>
      </c>
      <c r="K1310" s="111" t="s">
        <v>802</v>
      </c>
      <c r="L1310" s="111" t="s">
        <v>3008</v>
      </c>
      <c r="M1310" s="111" t="s">
        <v>208</v>
      </c>
      <c r="N1310" s="111" t="s">
        <v>764</v>
      </c>
      <c r="O1310" s="111" t="s">
        <v>771</v>
      </c>
      <c r="P1310" s="111" t="s">
        <v>772</v>
      </c>
      <c r="Q1310" s="111" t="s">
        <v>855</v>
      </c>
      <c r="R1310" s="111">
        <v>2.5</v>
      </c>
      <c r="S1310" s="111">
        <v>1</v>
      </c>
      <c r="T1310" s="111">
        <v>0</v>
      </c>
      <c r="U1310" s="111">
        <v>0</v>
      </c>
      <c r="V1310" s="111">
        <v>0</v>
      </c>
      <c r="W1310" s="111">
        <v>0</v>
      </c>
      <c r="X1310" s="111">
        <v>0</v>
      </c>
      <c r="Y1310" s="111">
        <v>0</v>
      </c>
      <c r="Z1310" s="111">
        <v>0</v>
      </c>
      <c r="AA1310" s="111">
        <v>0</v>
      </c>
      <c r="AB1310" s="111">
        <v>2.5</v>
      </c>
      <c r="AC1310" s="111">
        <v>1</v>
      </c>
      <c r="AD1310" s="111">
        <v>2.5</v>
      </c>
      <c r="AE1310" s="111">
        <v>1</v>
      </c>
      <c r="AF1310" s="111">
        <v>0</v>
      </c>
      <c r="AG1310" s="111">
        <v>0</v>
      </c>
      <c r="AH1310" s="111">
        <v>0</v>
      </c>
      <c r="AI1310" s="111">
        <v>0</v>
      </c>
      <c r="AJ1310" s="111"/>
      <c r="AK1310" s="111"/>
      <c r="AL1310" s="111"/>
      <c r="AM1310" s="111"/>
      <c r="AN1310" s="111"/>
      <c r="AO1310" s="111"/>
      <c r="AP1310" s="111"/>
      <c r="AQ1310" s="111"/>
      <c r="AR1310" s="111"/>
      <c r="AS1310" s="111"/>
      <c r="AT1310" s="111"/>
      <c r="AU1310" s="111"/>
      <c r="AV1310" s="111"/>
      <c r="AW1310" s="111"/>
      <c r="AY1310" t="str">
        <f t="shared" si="199"/>
        <v>TULAVEN 100 MG/ML SOLUTION INJECTABLE POUR BOVINS PORCINS ET OVINS</v>
      </c>
      <c r="AZ1310" t="str">
        <f>IF(COUNTIF(AY:AY,AY1310)=1,AY1310,IF(AND(COUNTIF(AY:AY,AY1310)&gt;1,COUNTIF(AZ$2:AZ1309,AY1310)&gt;=1),"",AY1310))</f>
        <v/>
      </c>
      <c r="BA1310" t="str">
        <f>IF(AZ1310="","",COUNTIFS(AZ$3:AZ$1439,"&lt;"&amp;AZ1310,AZ$3:AZ$1439,"&lt;&gt;0")+COUNTIF(AZ$3:AZ1310,AZ1310)-876)</f>
        <v/>
      </c>
      <c r="BM1310" s="111"/>
      <c r="BN1310" s="111"/>
      <c r="BO1310" s="111"/>
      <c r="BP1310" s="111"/>
      <c r="BQ1310" s="111"/>
      <c r="BR1310" s="111"/>
      <c r="BS1310" s="111"/>
      <c r="BT1310" s="115"/>
      <c r="CN1310">
        <v>1309</v>
      </c>
    </row>
    <row r="1311" spans="1:92" x14ac:dyDescent="0.3">
      <c r="A1311" t="s">
        <v>4703</v>
      </c>
      <c r="B1311" t="s">
        <v>4708</v>
      </c>
      <c r="C1311" t="s">
        <v>4709</v>
      </c>
      <c r="D1311" t="s">
        <v>906</v>
      </c>
      <c r="E1311" t="s">
        <v>765</v>
      </c>
      <c r="F1311" t="s">
        <v>4705</v>
      </c>
      <c r="G1311" t="s">
        <v>766</v>
      </c>
      <c r="H1311" t="s">
        <v>1484</v>
      </c>
      <c r="I1311" t="s">
        <v>766</v>
      </c>
      <c r="J1311" t="s">
        <v>802</v>
      </c>
      <c r="K1311" t="s">
        <v>802</v>
      </c>
      <c r="L1311" t="s">
        <v>3008</v>
      </c>
      <c r="M1311" t="s">
        <v>208</v>
      </c>
      <c r="N1311" t="s">
        <v>764</v>
      </c>
      <c r="O1311" t="s">
        <v>771</v>
      </c>
      <c r="P1311" t="s">
        <v>772</v>
      </c>
      <c r="Q1311" t="s">
        <v>780</v>
      </c>
      <c r="R1311">
        <v>2.5</v>
      </c>
      <c r="S1311">
        <v>1</v>
      </c>
      <c r="T1311">
        <v>0</v>
      </c>
      <c r="U1311">
        <v>0</v>
      </c>
      <c r="V1311">
        <v>0</v>
      </c>
      <c r="W1311">
        <v>0</v>
      </c>
      <c r="X1311">
        <v>0</v>
      </c>
      <c r="Y1311">
        <v>0</v>
      </c>
      <c r="Z1311">
        <v>0</v>
      </c>
      <c r="AA1311">
        <v>0</v>
      </c>
      <c r="AB1311">
        <v>2.5</v>
      </c>
      <c r="AC1311">
        <v>1</v>
      </c>
      <c r="AD1311">
        <v>2.5</v>
      </c>
      <c r="AE1311">
        <v>1</v>
      </c>
      <c r="AF1311">
        <v>0</v>
      </c>
      <c r="AG1311">
        <v>0</v>
      </c>
      <c r="AH1311">
        <v>0</v>
      </c>
      <c r="AI1311">
        <v>0</v>
      </c>
      <c r="AY1311" t="str">
        <f t="shared" si="199"/>
        <v>TULAVEN 100 MG/ML SOLUTION INJECTABLE POUR BOVINS PORCINS ET OVINS</v>
      </c>
      <c r="AZ1311" t="str">
        <f>IF(COUNTIF(AY:AY,AY1311)=1,AY1311,IF(AND(COUNTIF(AY:AY,AY1311)&gt;1,COUNTIF(AZ$2:AZ1310,AY1311)&gt;=1),"",AY1311))</f>
        <v/>
      </c>
      <c r="BA1311" t="str">
        <f>IF(AZ1311="","",COUNTIFS(AZ$3:AZ$1439,"&lt;"&amp;AZ1311,AZ$3:AZ$1439,"&lt;&gt;0")+COUNTIF(AZ$3:AZ1311,AZ1311)-876)</f>
        <v/>
      </c>
      <c r="CN1311">
        <v>1310</v>
      </c>
    </row>
    <row r="1312" spans="1:92" x14ac:dyDescent="0.3">
      <c r="A1312" t="s">
        <v>4699</v>
      </c>
      <c r="B1312" t="s">
        <v>4700</v>
      </c>
      <c r="C1312" t="s">
        <v>792</v>
      </c>
      <c r="D1312" t="s">
        <v>764</v>
      </c>
      <c r="E1312" t="s">
        <v>765</v>
      </c>
      <c r="F1312" t="s">
        <v>4701</v>
      </c>
      <c r="G1312" t="s">
        <v>766</v>
      </c>
      <c r="H1312" t="s">
        <v>1213</v>
      </c>
      <c r="I1312" t="s">
        <v>766</v>
      </c>
      <c r="J1312" t="s">
        <v>802</v>
      </c>
      <c r="K1312" t="s">
        <v>802</v>
      </c>
      <c r="L1312" t="s">
        <v>3008</v>
      </c>
      <c r="M1312" t="s">
        <v>208</v>
      </c>
      <c r="N1312" t="s">
        <v>855</v>
      </c>
      <c r="O1312" t="s">
        <v>771</v>
      </c>
      <c r="P1312" t="s">
        <v>772</v>
      </c>
      <c r="Q1312" t="s">
        <v>1126</v>
      </c>
      <c r="R1312">
        <v>0</v>
      </c>
      <c r="S1312">
        <v>0</v>
      </c>
      <c r="T1312">
        <v>0</v>
      </c>
      <c r="U1312">
        <v>0</v>
      </c>
      <c r="V1312">
        <v>0</v>
      </c>
      <c r="W1312">
        <v>0</v>
      </c>
      <c r="X1312">
        <v>0</v>
      </c>
      <c r="Y1312">
        <v>0</v>
      </c>
      <c r="Z1312">
        <v>0</v>
      </c>
      <c r="AA1312">
        <v>0</v>
      </c>
      <c r="AB1312">
        <v>0</v>
      </c>
      <c r="AC1312">
        <v>0</v>
      </c>
      <c r="AD1312">
        <v>2.5</v>
      </c>
      <c r="AE1312">
        <v>1</v>
      </c>
      <c r="AF1312">
        <v>0</v>
      </c>
      <c r="AG1312">
        <v>0</v>
      </c>
      <c r="AH1312">
        <v>0</v>
      </c>
      <c r="AI1312">
        <v>0</v>
      </c>
      <c r="AY1312" t="str">
        <f t="shared" si="199"/>
        <v>TULAVEN 25 MG/ML SOLUTION INJECTABLE POUR PORCINS</v>
      </c>
      <c r="AZ1312" t="str">
        <f>IF(COUNTIF(AY:AY,AY1312)=1,AY1312,IF(AND(COUNTIF(AY:AY,AY1312)&gt;1,COUNTIF(AZ$2:AZ1311,AY1312)&gt;=1),"",AY1312))</f>
        <v>TULAVEN 25 MG/ML SOLUTION INJECTABLE POUR PORCINS</v>
      </c>
      <c r="BA1312">
        <f>IF(AZ1312="","",COUNTIFS(AZ$3:AZ$1439,"&lt;"&amp;AZ1312,AZ$3:AZ$1439,"&lt;&gt;0")+COUNTIF(AZ$3:AZ1312,AZ1312)-876)</f>
        <v>517</v>
      </c>
      <c r="CN1312">
        <v>1311</v>
      </c>
    </row>
    <row r="1313" spans="1:92" x14ac:dyDescent="0.3">
      <c r="A1313" t="s">
        <v>4699</v>
      </c>
      <c r="B1313" t="s">
        <v>4702</v>
      </c>
      <c r="C1313" t="s">
        <v>796</v>
      </c>
      <c r="D1313" t="s">
        <v>776</v>
      </c>
      <c r="E1313" t="s">
        <v>765</v>
      </c>
      <c r="F1313" t="s">
        <v>4701</v>
      </c>
      <c r="G1313" t="s">
        <v>766</v>
      </c>
      <c r="H1313" t="s">
        <v>1213</v>
      </c>
      <c r="I1313" t="s">
        <v>766</v>
      </c>
      <c r="J1313" t="s">
        <v>802</v>
      </c>
      <c r="K1313" t="s">
        <v>802</v>
      </c>
      <c r="L1313" t="s">
        <v>3008</v>
      </c>
      <c r="M1313" t="s">
        <v>208</v>
      </c>
      <c r="N1313" t="s">
        <v>855</v>
      </c>
      <c r="O1313" t="s">
        <v>771</v>
      </c>
      <c r="P1313" t="s">
        <v>772</v>
      </c>
      <c r="Q1313" t="s">
        <v>1625</v>
      </c>
      <c r="R1313">
        <v>0</v>
      </c>
      <c r="S1313">
        <v>0</v>
      </c>
      <c r="T1313">
        <v>0</v>
      </c>
      <c r="U1313">
        <v>0</v>
      </c>
      <c r="V1313">
        <v>0</v>
      </c>
      <c r="W1313">
        <v>0</v>
      </c>
      <c r="X1313">
        <v>0</v>
      </c>
      <c r="Y1313">
        <v>0</v>
      </c>
      <c r="Z1313">
        <v>0</v>
      </c>
      <c r="AA1313">
        <v>0</v>
      </c>
      <c r="AB1313">
        <v>0</v>
      </c>
      <c r="AC1313">
        <v>0</v>
      </c>
      <c r="AD1313">
        <v>2.5</v>
      </c>
      <c r="AE1313">
        <v>1</v>
      </c>
      <c r="AF1313">
        <v>0</v>
      </c>
      <c r="AG1313">
        <v>0</v>
      </c>
      <c r="AH1313">
        <v>0</v>
      </c>
      <c r="AI1313">
        <v>0</v>
      </c>
      <c r="AY1313" t="str">
        <f t="shared" si="199"/>
        <v>TULAVEN 25 MG/ML SOLUTION INJECTABLE POUR PORCINS</v>
      </c>
      <c r="AZ1313" t="str">
        <f>IF(COUNTIF(AY:AY,AY1313)=1,AY1313,IF(AND(COUNTIF(AY:AY,AY1313)&gt;1,COUNTIF(AZ$2:AZ1312,AY1313)&gt;=1),"",AY1313))</f>
        <v/>
      </c>
      <c r="BA1313" t="str">
        <f>IF(AZ1313="","",COUNTIFS(AZ$3:AZ$1439,"&lt;"&amp;AZ1313,AZ$3:AZ$1439,"&lt;&gt;0")+COUNTIF(AZ$3:AZ1313,AZ1313)-876)</f>
        <v/>
      </c>
      <c r="CN1313">
        <v>1312</v>
      </c>
    </row>
    <row r="1314" spans="1:92" x14ac:dyDescent="0.3">
      <c r="A1314" t="s">
        <v>4710</v>
      </c>
      <c r="B1314" t="s">
        <v>4711</v>
      </c>
      <c r="C1314" t="s">
        <v>4283</v>
      </c>
      <c r="D1314" t="s">
        <v>855</v>
      </c>
      <c r="E1314" t="s">
        <v>765</v>
      </c>
      <c r="F1314" t="s">
        <v>4712</v>
      </c>
      <c r="G1314" t="s">
        <v>766</v>
      </c>
      <c r="H1314" t="s">
        <v>1484</v>
      </c>
      <c r="I1314" t="s">
        <v>766</v>
      </c>
      <c r="J1314" t="s">
        <v>802</v>
      </c>
      <c r="K1314" t="s">
        <v>802</v>
      </c>
      <c r="L1314" t="s">
        <v>3008</v>
      </c>
      <c r="M1314" t="s">
        <v>208</v>
      </c>
      <c r="N1314" t="s">
        <v>764</v>
      </c>
      <c r="O1314" t="s">
        <v>771</v>
      </c>
      <c r="P1314" t="s">
        <v>772</v>
      </c>
      <c r="Q1314" t="s">
        <v>1126</v>
      </c>
      <c r="R1314">
        <v>2.5</v>
      </c>
      <c r="S1314">
        <v>1</v>
      </c>
      <c r="T1314">
        <v>0</v>
      </c>
      <c r="U1314">
        <v>0</v>
      </c>
      <c r="V1314">
        <v>0</v>
      </c>
      <c r="W1314">
        <v>0</v>
      </c>
      <c r="X1314">
        <v>0</v>
      </c>
      <c r="Y1314">
        <v>0</v>
      </c>
      <c r="Z1314">
        <v>0</v>
      </c>
      <c r="AA1314">
        <v>0</v>
      </c>
      <c r="AB1314">
        <v>2.5</v>
      </c>
      <c r="AC1314">
        <v>1</v>
      </c>
      <c r="AD1314">
        <v>2.5</v>
      </c>
      <c r="AE1314">
        <v>1</v>
      </c>
      <c r="AF1314">
        <v>0</v>
      </c>
      <c r="AG1314">
        <v>0</v>
      </c>
      <c r="AH1314">
        <v>0</v>
      </c>
      <c r="AI1314">
        <v>0</v>
      </c>
      <c r="AY1314" t="str">
        <f t="shared" si="199"/>
        <v>TULINOVET 100 MG/ML SOLUTION INJECTABLE POUR BOVINS PORCINS ET OVINS</v>
      </c>
      <c r="AZ1314" t="str">
        <f>IF(COUNTIF(AY:AY,AY1314)=1,AY1314,IF(AND(COUNTIF(AY:AY,AY1314)&gt;1,COUNTIF(AZ$2:AZ1313,AY1314)&gt;=1),"",AY1314))</f>
        <v>TULINOVET 100 MG/ML SOLUTION INJECTABLE POUR BOVINS PORCINS ET OVINS</v>
      </c>
      <c r="BA1314">
        <f>IF(AZ1314="","",COUNTIFS(AZ$3:AZ$1439,"&lt;"&amp;AZ1314,AZ$3:AZ$1439,"&lt;&gt;0")+COUNTIF(AZ$3:AZ1314,AZ1314)-876)</f>
        <v>518</v>
      </c>
      <c r="CN1314">
        <v>1313</v>
      </c>
    </row>
    <row r="1315" spans="1:92" x14ac:dyDescent="0.3">
      <c r="A1315" t="s">
        <v>4710</v>
      </c>
      <c r="B1315" t="s">
        <v>4713</v>
      </c>
      <c r="C1315" t="s">
        <v>1238</v>
      </c>
      <c r="D1315" t="s">
        <v>780</v>
      </c>
      <c r="E1315" t="s">
        <v>765</v>
      </c>
      <c r="F1315" t="s">
        <v>4712</v>
      </c>
      <c r="G1315" t="s">
        <v>766</v>
      </c>
      <c r="H1315" t="s">
        <v>1484</v>
      </c>
      <c r="I1315" t="s">
        <v>766</v>
      </c>
      <c r="J1315" t="s">
        <v>802</v>
      </c>
      <c r="K1315" t="s">
        <v>802</v>
      </c>
      <c r="L1315" t="s">
        <v>3008</v>
      </c>
      <c r="M1315" t="s">
        <v>208</v>
      </c>
      <c r="N1315" t="s">
        <v>764</v>
      </c>
      <c r="O1315" t="s">
        <v>771</v>
      </c>
      <c r="P1315" t="s">
        <v>772</v>
      </c>
      <c r="Q1315" t="s">
        <v>885</v>
      </c>
      <c r="R1315">
        <v>2.5</v>
      </c>
      <c r="S1315">
        <v>1</v>
      </c>
      <c r="T1315">
        <v>0</v>
      </c>
      <c r="U1315">
        <v>0</v>
      </c>
      <c r="V1315">
        <v>0</v>
      </c>
      <c r="W1315">
        <v>0</v>
      </c>
      <c r="X1315">
        <v>0</v>
      </c>
      <c r="Y1315">
        <v>0</v>
      </c>
      <c r="Z1315">
        <v>0</v>
      </c>
      <c r="AA1315">
        <v>0</v>
      </c>
      <c r="AB1315">
        <v>2.5</v>
      </c>
      <c r="AC1315">
        <v>1</v>
      </c>
      <c r="AD1315">
        <v>2.5</v>
      </c>
      <c r="AE1315">
        <v>1</v>
      </c>
      <c r="AF1315">
        <v>0</v>
      </c>
      <c r="AG1315">
        <v>0</v>
      </c>
      <c r="AH1315">
        <v>0</v>
      </c>
      <c r="AI1315">
        <v>0</v>
      </c>
      <c r="AY1315" t="str">
        <f t="shared" si="199"/>
        <v>TULINOVET 100 MG/ML SOLUTION INJECTABLE POUR BOVINS PORCINS ET OVINS</v>
      </c>
      <c r="AZ1315" t="str">
        <f>IF(COUNTIF(AY:AY,AY1315)=1,AY1315,IF(AND(COUNTIF(AY:AY,AY1315)&gt;1,COUNTIF(AZ$2:AZ1314,AY1315)&gt;=1),"",AY1315))</f>
        <v/>
      </c>
      <c r="BA1315" t="str">
        <f>IF(AZ1315="","",COUNTIFS(AZ$3:AZ$1439,"&lt;"&amp;AZ1315,AZ$3:AZ$1439,"&lt;&gt;0")+COUNTIF(AZ$3:AZ1315,AZ1315)-876)</f>
        <v/>
      </c>
      <c r="CN1315">
        <v>1314</v>
      </c>
    </row>
    <row r="1316" spans="1:92" x14ac:dyDescent="0.3">
      <c r="A1316" t="s">
        <v>4710</v>
      </c>
      <c r="B1316" t="s">
        <v>4714</v>
      </c>
      <c r="C1316" t="s">
        <v>792</v>
      </c>
      <c r="D1316" t="s">
        <v>764</v>
      </c>
      <c r="E1316" t="s">
        <v>765</v>
      </c>
      <c r="F1316" t="s">
        <v>4712</v>
      </c>
      <c r="G1316" t="s">
        <v>766</v>
      </c>
      <c r="H1316" t="s">
        <v>1484</v>
      </c>
      <c r="I1316" t="s">
        <v>766</v>
      </c>
      <c r="J1316" t="s">
        <v>802</v>
      </c>
      <c r="K1316" t="s">
        <v>802</v>
      </c>
      <c r="L1316" t="s">
        <v>3008</v>
      </c>
      <c r="M1316" t="s">
        <v>208</v>
      </c>
      <c r="N1316" t="s">
        <v>764</v>
      </c>
      <c r="O1316" t="s">
        <v>771</v>
      </c>
      <c r="P1316" t="s">
        <v>772</v>
      </c>
      <c r="Q1316" t="s">
        <v>852</v>
      </c>
      <c r="R1316">
        <v>2.5</v>
      </c>
      <c r="S1316">
        <v>1</v>
      </c>
      <c r="T1316">
        <v>0</v>
      </c>
      <c r="U1316">
        <v>0</v>
      </c>
      <c r="V1316">
        <v>0</v>
      </c>
      <c r="W1316">
        <v>0</v>
      </c>
      <c r="X1316">
        <v>0</v>
      </c>
      <c r="Y1316">
        <v>0</v>
      </c>
      <c r="Z1316">
        <v>0</v>
      </c>
      <c r="AA1316">
        <v>0</v>
      </c>
      <c r="AB1316">
        <v>2.5</v>
      </c>
      <c r="AC1316">
        <v>1</v>
      </c>
      <c r="AD1316">
        <v>2.5</v>
      </c>
      <c r="AE1316">
        <v>1</v>
      </c>
      <c r="AF1316">
        <v>0</v>
      </c>
      <c r="AG1316">
        <v>0</v>
      </c>
      <c r="AH1316">
        <v>0</v>
      </c>
      <c r="AI1316">
        <v>0</v>
      </c>
      <c r="AY1316" t="str">
        <f t="shared" si="199"/>
        <v>TULINOVET 100 MG/ML SOLUTION INJECTABLE POUR BOVINS PORCINS ET OVINS</v>
      </c>
      <c r="AZ1316" t="str">
        <f>IF(COUNTIF(AY:AY,AY1316)=1,AY1316,IF(AND(COUNTIF(AY:AY,AY1316)&gt;1,COUNTIF(AZ$2:AZ1315,AY1316)&gt;=1),"",AY1316))</f>
        <v/>
      </c>
      <c r="BA1316" t="str">
        <f>IF(AZ1316="","",COUNTIFS(AZ$3:AZ$1439,"&lt;"&amp;AZ1316,AZ$3:AZ$1439,"&lt;&gt;0")+COUNTIF(AZ$3:AZ1316,AZ1316)-876)</f>
        <v/>
      </c>
      <c r="CN1316">
        <v>1315</v>
      </c>
    </row>
    <row r="1317" spans="1:92" x14ac:dyDescent="0.3">
      <c r="A1317" t="s">
        <v>4710</v>
      </c>
      <c r="B1317" t="s">
        <v>4715</v>
      </c>
      <c r="C1317" t="s">
        <v>796</v>
      </c>
      <c r="D1317" t="s">
        <v>776</v>
      </c>
      <c r="E1317" t="s">
        <v>765</v>
      </c>
      <c r="F1317" t="s">
        <v>4712</v>
      </c>
      <c r="G1317" t="s">
        <v>766</v>
      </c>
      <c r="H1317" t="s">
        <v>1484</v>
      </c>
      <c r="I1317" t="s">
        <v>766</v>
      </c>
      <c r="J1317" t="s">
        <v>802</v>
      </c>
      <c r="K1317" t="s">
        <v>802</v>
      </c>
      <c r="L1317" t="s">
        <v>3008</v>
      </c>
      <c r="M1317" t="s">
        <v>208</v>
      </c>
      <c r="N1317" t="s">
        <v>764</v>
      </c>
      <c r="O1317" t="s">
        <v>771</v>
      </c>
      <c r="P1317" t="s">
        <v>772</v>
      </c>
      <c r="Q1317" t="s">
        <v>855</v>
      </c>
      <c r="R1317">
        <v>2.5</v>
      </c>
      <c r="S1317">
        <v>1</v>
      </c>
      <c r="T1317">
        <v>0</v>
      </c>
      <c r="U1317">
        <v>0</v>
      </c>
      <c r="V1317">
        <v>0</v>
      </c>
      <c r="W1317">
        <v>0</v>
      </c>
      <c r="X1317">
        <v>0</v>
      </c>
      <c r="Y1317">
        <v>0</v>
      </c>
      <c r="Z1317">
        <v>0</v>
      </c>
      <c r="AA1317">
        <v>0</v>
      </c>
      <c r="AB1317">
        <v>2.5</v>
      </c>
      <c r="AC1317">
        <v>1</v>
      </c>
      <c r="AD1317">
        <v>2.5</v>
      </c>
      <c r="AE1317">
        <v>1</v>
      </c>
      <c r="AF1317">
        <v>0</v>
      </c>
      <c r="AG1317">
        <v>0</v>
      </c>
      <c r="AH1317">
        <v>0</v>
      </c>
      <c r="AI1317">
        <v>0</v>
      </c>
      <c r="AY1317" t="str">
        <f t="shared" si="199"/>
        <v>TULINOVET 100 MG/ML SOLUTION INJECTABLE POUR BOVINS PORCINS ET OVINS</v>
      </c>
      <c r="AZ1317" t="str">
        <f>IF(COUNTIF(AY:AY,AY1317)=1,AY1317,IF(AND(COUNTIF(AY:AY,AY1317)&gt;1,COUNTIF(AZ$2:AZ1316,AY1317)&gt;=1),"",AY1317))</f>
        <v/>
      </c>
      <c r="BA1317" t="str">
        <f>IF(AZ1317="","",COUNTIFS(AZ$3:AZ$1439,"&lt;"&amp;AZ1317,AZ$3:AZ$1439,"&lt;&gt;0")+COUNTIF(AZ$3:AZ1317,AZ1317)-876)</f>
        <v/>
      </c>
      <c r="CN1317">
        <v>1316</v>
      </c>
    </row>
    <row r="1318" spans="1:92" x14ac:dyDescent="0.3">
      <c r="A1318" t="s">
        <v>4679</v>
      </c>
      <c r="B1318" t="s">
        <v>4680</v>
      </c>
      <c r="C1318" t="s">
        <v>792</v>
      </c>
      <c r="D1318" t="s">
        <v>764</v>
      </c>
      <c r="E1318" t="s">
        <v>765</v>
      </c>
      <c r="F1318" t="s">
        <v>4681</v>
      </c>
      <c r="G1318" t="s">
        <v>766</v>
      </c>
      <c r="H1318" t="s">
        <v>1484</v>
      </c>
      <c r="I1318" t="s">
        <v>766</v>
      </c>
      <c r="J1318" t="s">
        <v>802</v>
      </c>
      <c r="K1318" t="s">
        <v>802</v>
      </c>
      <c r="L1318" t="s">
        <v>3008</v>
      </c>
      <c r="M1318" t="s">
        <v>208</v>
      </c>
      <c r="N1318" t="s">
        <v>764</v>
      </c>
      <c r="O1318" t="s">
        <v>771</v>
      </c>
      <c r="P1318" t="s">
        <v>772</v>
      </c>
      <c r="Q1318" t="s">
        <v>852</v>
      </c>
      <c r="R1318">
        <v>2.5</v>
      </c>
      <c r="S1318">
        <v>1</v>
      </c>
      <c r="T1318">
        <v>0</v>
      </c>
      <c r="U1318">
        <v>0</v>
      </c>
      <c r="V1318">
        <v>0</v>
      </c>
      <c r="W1318">
        <v>0</v>
      </c>
      <c r="X1318">
        <v>0</v>
      </c>
      <c r="Y1318">
        <v>0</v>
      </c>
      <c r="Z1318">
        <v>0</v>
      </c>
      <c r="AA1318">
        <v>0</v>
      </c>
      <c r="AB1318">
        <v>2.5</v>
      </c>
      <c r="AC1318">
        <v>1</v>
      </c>
      <c r="AD1318">
        <v>2.5</v>
      </c>
      <c r="AE1318">
        <v>1</v>
      </c>
      <c r="AF1318">
        <v>0</v>
      </c>
      <c r="AG1318">
        <v>0</v>
      </c>
      <c r="AH1318">
        <v>0</v>
      </c>
      <c r="AI1318">
        <v>0</v>
      </c>
      <c r="AY1318" t="str">
        <f t="shared" si="199"/>
        <v>TULISSIN 100 MG/ML SOLUTION INJECTABLE POUR BOVINS PORCINS ET OVINS</v>
      </c>
      <c r="AZ1318" t="str">
        <f>IF(COUNTIF(AY:AY,AY1318)=1,AY1318,IF(AND(COUNTIF(AY:AY,AY1318)&gt;1,COUNTIF(AZ$2:AZ1317,AY1318)&gt;=1),"",AY1318))</f>
        <v>TULISSIN 100 MG/ML SOLUTION INJECTABLE POUR BOVINS PORCINS ET OVINS</v>
      </c>
      <c r="BA1318">
        <f>IF(AZ1318="","",COUNTIFS(AZ$3:AZ$1439,"&lt;"&amp;AZ1318,AZ$3:AZ$1439,"&lt;&gt;0")+COUNTIF(AZ$3:AZ1318,AZ1318)-876)</f>
        <v>519</v>
      </c>
      <c r="CN1318">
        <v>1317</v>
      </c>
    </row>
    <row r="1319" spans="1:92" x14ac:dyDescent="0.3">
      <c r="A1319" t="s">
        <v>4679</v>
      </c>
      <c r="B1319" t="s">
        <v>4682</v>
      </c>
      <c r="C1319" t="s">
        <v>1238</v>
      </c>
      <c r="D1319" t="s">
        <v>780</v>
      </c>
      <c r="E1319" t="s">
        <v>765</v>
      </c>
      <c r="F1319" t="s">
        <v>4681</v>
      </c>
      <c r="G1319" t="s">
        <v>766</v>
      </c>
      <c r="H1319" t="s">
        <v>1484</v>
      </c>
      <c r="I1319" t="s">
        <v>766</v>
      </c>
      <c r="J1319" t="s">
        <v>802</v>
      </c>
      <c r="K1319" t="s">
        <v>802</v>
      </c>
      <c r="L1319" t="s">
        <v>3008</v>
      </c>
      <c r="M1319" t="s">
        <v>208</v>
      </c>
      <c r="N1319" t="s">
        <v>764</v>
      </c>
      <c r="O1319" t="s">
        <v>771</v>
      </c>
      <c r="P1319" t="s">
        <v>772</v>
      </c>
      <c r="Q1319" t="s">
        <v>885</v>
      </c>
      <c r="R1319">
        <v>2.5</v>
      </c>
      <c r="S1319">
        <v>1</v>
      </c>
      <c r="T1319">
        <v>0</v>
      </c>
      <c r="U1319">
        <v>0</v>
      </c>
      <c r="V1319">
        <v>0</v>
      </c>
      <c r="W1319">
        <v>0</v>
      </c>
      <c r="X1319">
        <v>0</v>
      </c>
      <c r="Y1319">
        <v>0</v>
      </c>
      <c r="Z1319">
        <v>0</v>
      </c>
      <c r="AA1319">
        <v>0</v>
      </c>
      <c r="AB1319">
        <v>2.5</v>
      </c>
      <c r="AC1319">
        <v>1</v>
      </c>
      <c r="AD1319">
        <v>2.5</v>
      </c>
      <c r="AE1319">
        <v>1</v>
      </c>
      <c r="AF1319">
        <v>0</v>
      </c>
      <c r="AG1319">
        <v>0</v>
      </c>
      <c r="AH1319">
        <v>0</v>
      </c>
      <c r="AI1319">
        <v>0</v>
      </c>
      <c r="AY1319" t="str">
        <f t="shared" si="199"/>
        <v>TULISSIN 100 MG/ML SOLUTION INJECTABLE POUR BOVINS PORCINS ET OVINS</v>
      </c>
      <c r="AZ1319" t="str">
        <f>IF(COUNTIF(AY:AY,AY1319)=1,AY1319,IF(AND(COUNTIF(AY:AY,AY1319)&gt;1,COUNTIF(AZ$2:AZ1318,AY1319)&gt;=1),"",AY1319))</f>
        <v/>
      </c>
      <c r="BA1319" t="str">
        <f>IF(AZ1319="","",COUNTIFS(AZ$3:AZ$1439,"&lt;"&amp;AZ1319,AZ$3:AZ$1439,"&lt;&gt;0")+COUNTIF(AZ$3:AZ1319,AZ1319)-876)</f>
        <v/>
      </c>
      <c r="CN1319">
        <v>1318</v>
      </c>
    </row>
    <row r="1320" spans="1:92" x14ac:dyDescent="0.3">
      <c r="A1320" t="s">
        <v>4679</v>
      </c>
      <c r="B1320" t="s">
        <v>4683</v>
      </c>
      <c r="C1320" t="s">
        <v>4684</v>
      </c>
      <c r="D1320" t="s">
        <v>776</v>
      </c>
      <c r="E1320" t="s">
        <v>765</v>
      </c>
      <c r="F1320" t="s">
        <v>4681</v>
      </c>
      <c r="G1320" t="s">
        <v>766</v>
      </c>
      <c r="H1320" t="s">
        <v>1484</v>
      </c>
      <c r="I1320" t="s">
        <v>766</v>
      </c>
      <c r="J1320" t="s">
        <v>802</v>
      </c>
      <c r="K1320" t="s">
        <v>802</v>
      </c>
      <c r="L1320" t="s">
        <v>3008</v>
      </c>
      <c r="M1320" t="s">
        <v>208</v>
      </c>
      <c r="N1320" t="s">
        <v>764</v>
      </c>
      <c r="O1320" t="s">
        <v>771</v>
      </c>
      <c r="P1320" t="s">
        <v>772</v>
      </c>
      <c r="Q1320" t="s">
        <v>855</v>
      </c>
      <c r="R1320">
        <v>2.5</v>
      </c>
      <c r="S1320">
        <v>1</v>
      </c>
      <c r="T1320">
        <v>0</v>
      </c>
      <c r="U1320">
        <v>0</v>
      </c>
      <c r="V1320">
        <v>0</v>
      </c>
      <c r="W1320">
        <v>0</v>
      </c>
      <c r="X1320">
        <v>0</v>
      </c>
      <c r="Y1320">
        <v>0</v>
      </c>
      <c r="Z1320">
        <v>0</v>
      </c>
      <c r="AA1320">
        <v>0</v>
      </c>
      <c r="AB1320">
        <v>2.5</v>
      </c>
      <c r="AC1320">
        <v>1</v>
      </c>
      <c r="AD1320">
        <v>2.5</v>
      </c>
      <c r="AE1320">
        <v>1</v>
      </c>
      <c r="AF1320">
        <v>0</v>
      </c>
      <c r="AG1320">
        <v>0</v>
      </c>
      <c r="AH1320">
        <v>0</v>
      </c>
      <c r="AI1320">
        <v>0</v>
      </c>
      <c r="AY1320" t="str">
        <f t="shared" si="199"/>
        <v>TULISSIN 100 MG/ML SOLUTION INJECTABLE POUR BOVINS PORCINS ET OVINS</v>
      </c>
      <c r="AZ1320" t="str">
        <f>IF(COUNTIF(AY:AY,AY1320)=1,AY1320,IF(AND(COUNTIF(AY:AY,AY1320)&gt;1,COUNTIF(AZ$2:AZ1319,AY1320)&gt;=1),"",AY1320))</f>
        <v/>
      </c>
      <c r="BA1320" t="str">
        <f>IF(AZ1320="","",COUNTIFS(AZ$3:AZ$1439,"&lt;"&amp;AZ1320,AZ$3:AZ$1439,"&lt;&gt;0")+COUNTIF(AZ$3:AZ1320,AZ1320)-876)</f>
        <v/>
      </c>
      <c r="CN1320">
        <v>1319</v>
      </c>
    </row>
    <row r="1321" spans="1:92" x14ac:dyDescent="0.3">
      <c r="A1321" t="s">
        <v>4673</v>
      </c>
      <c r="B1321" t="s">
        <v>4674</v>
      </c>
      <c r="C1321" t="s">
        <v>1238</v>
      </c>
      <c r="D1321" t="s">
        <v>780</v>
      </c>
      <c r="E1321" t="s">
        <v>765</v>
      </c>
      <c r="F1321" t="s">
        <v>4675</v>
      </c>
      <c r="G1321" t="s">
        <v>766</v>
      </c>
      <c r="H1321" t="s">
        <v>1213</v>
      </c>
      <c r="I1321" t="s">
        <v>766</v>
      </c>
      <c r="J1321" t="s">
        <v>802</v>
      </c>
      <c r="K1321" t="s">
        <v>802</v>
      </c>
      <c r="L1321" t="s">
        <v>3008</v>
      </c>
      <c r="M1321" t="s">
        <v>208</v>
      </c>
      <c r="N1321" t="s">
        <v>855</v>
      </c>
      <c r="O1321" t="s">
        <v>771</v>
      </c>
      <c r="P1321" t="s">
        <v>772</v>
      </c>
      <c r="Q1321" t="s">
        <v>1128</v>
      </c>
      <c r="R1321">
        <v>0</v>
      </c>
      <c r="S1321">
        <v>0</v>
      </c>
      <c r="T1321">
        <v>0</v>
      </c>
      <c r="U1321">
        <v>0</v>
      </c>
      <c r="V1321">
        <v>0</v>
      </c>
      <c r="W1321">
        <v>0</v>
      </c>
      <c r="X1321">
        <v>0</v>
      </c>
      <c r="Y1321">
        <v>0</v>
      </c>
      <c r="Z1321">
        <v>0</v>
      </c>
      <c r="AA1321">
        <v>0</v>
      </c>
      <c r="AB1321">
        <v>0</v>
      </c>
      <c r="AC1321">
        <v>0</v>
      </c>
      <c r="AD1321">
        <v>2.5</v>
      </c>
      <c r="AE1321">
        <v>1</v>
      </c>
      <c r="AF1321">
        <v>0</v>
      </c>
      <c r="AG1321">
        <v>0</v>
      </c>
      <c r="AH1321">
        <v>0</v>
      </c>
      <c r="AI1321">
        <v>0</v>
      </c>
      <c r="AY1321" t="str">
        <f t="shared" si="199"/>
        <v>TULISSIN 25 MG/ML SOLUTION INJECTABLE POUR PORCINS</v>
      </c>
      <c r="AZ1321" t="str">
        <f>IF(COUNTIF(AY:AY,AY1321)=1,AY1321,IF(AND(COUNTIF(AY:AY,AY1321)&gt;1,COUNTIF(AZ$2:AZ1320,AY1321)&gt;=1),"",AY1321))</f>
        <v>TULISSIN 25 MG/ML SOLUTION INJECTABLE POUR PORCINS</v>
      </c>
      <c r="BA1321">
        <f>IF(AZ1321="","",COUNTIFS(AZ$3:AZ$1439,"&lt;"&amp;AZ1321,AZ$3:AZ$1439,"&lt;&gt;0")+COUNTIF(AZ$3:AZ1321,AZ1321)-876)</f>
        <v>520</v>
      </c>
      <c r="CN1321">
        <v>1320</v>
      </c>
    </row>
    <row r="1322" spans="1:92" x14ac:dyDescent="0.3">
      <c r="A1322" t="s">
        <v>4673</v>
      </c>
      <c r="B1322" t="s">
        <v>4676</v>
      </c>
      <c r="C1322" t="s">
        <v>792</v>
      </c>
      <c r="D1322" t="s">
        <v>764</v>
      </c>
      <c r="E1322" t="s">
        <v>765</v>
      </c>
      <c r="F1322" t="s">
        <v>4675</v>
      </c>
      <c r="G1322" t="s">
        <v>766</v>
      </c>
      <c r="H1322" t="s">
        <v>1213</v>
      </c>
      <c r="I1322" t="s">
        <v>766</v>
      </c>
      <c r="J1322" t="s">
        <v>802</v>
      </c>
      <c r="K1322" t="s">
        <v>802</v>
      </c>
      <c r="L1322" t="s">
        <v>3008</v>
      </c>
      <c r="M1322" t="s">
        <v>208</v>
      </c>
      <c r="N1322" t="s">
        <v>855</v>
      </c>
      <c r="O1322" t="s">
        <v>771</v>
      </c>
      <c r="P1322" t="s">
        <v>772</v>
      </c>
      <c r="Q1322" t="s">
        <v>1126</v>
      </c>
      <c r="R1322">
        <v>0</v>
      </c>
      <c r="S1322">
        <v>0</v>
      </c>
      <c r="T1322">
        <v>0</v>
      </c>
      <c r="U1322">
        <v>0</v>
      </c>
      <c r="V1322">
        <v>0</v>
      </c>
      <c r="W1322">
        <v>0</v>
      </c>
      <c r="X1322">
        <v>0</v>
      </c>
      <c r="Y1322">
        <v>0</v>
      </c>
      <c r="Z1322">
        <v>0</v>
      </c>
      <c r="AA1322">
        <v>0</v>
      </c>
      <c r="AB1322">
        <v>0</v>
      </c>
      <c r="AC1322">
        <v>0</v>
      </c>
      <c r="AD1322">
        <v>2.5</v>
      </c>
      <c r="AE1322">
        <v>1</v>
      </c>
      <c r="AF1322">
        <v>0</v>
      </c>
      <c r="AG1322">
        <v>0</v>
      </c>
      <c r="AH1322">
        <v>0</v>
      </c>
      <c r="AI1322">
        <v>0</v>
      </c>
      <c r="AY1322" t="str">
        <f t="shared" si="199"/>
        <v>TULISSIN 25 MG/ML SOLUTION INJECTABLE POUR PORCINS</v>
      </c>
      <c r="AZ1322" t="str">
        <f>IF(COUNTIF(AY:AY,AY1322)=1,AY1322,IF(AND(COUNTIF(AY:AY,AY1322)&gt;1,COUNTIF(AZ$2:AZ1321,AY1322)&gt;=1),"",AY1322))</f>
        <v/>
      </c>
      <c r="BA1322" t="str">
        <f>IF(AZ1322="","",COUNTIFS(AZ$3:AZ$1439,"&lt;"&amp;AZ1322,AZ$3:AZ$1439,"&lt;&gt;0")+COUNTIF(AZ$3:AZ1322,AZ1322)-876)</f>
        <v/>
      </c>
      <c r="CN1322">
        <v>1321</v>
      </c>
    </row>
    <row r="1323" spans="1:92" x14ac:dyDescent="0.3">
      <c r="A1323" t="s">
        <v>4673</v>
      </c>
      <c r="B1323" t="s">
        <v>4677</v>
      </c>
      <c r="C1323" t="s">
        <v>4678</v>
      </c>
      <c r="D1323" t="s">
        <v>776</v>
      </c>
      <c r="E1323" t="s">
        <v>765</v>
      </c>
      <c r="F1323" t="s">
        <v>4675</v>
      </c>
      <c r="G1323" t="s">
        <v>766</v>
      </c>
      <c r="H1323" t="s">
        <v>1213</v>
      </c>
      <c r="I1323" t="s">
        <v>766</v>
      </c>
      <c r="J1323" t="s">
        <v>802</v>
      </c>
      <c r="K1323" t="s">
        <v>802</v>
      </c>
      <c r="L1323" t="s">
        <v>3008</v>
      </c>
      <c r="M1323" t="s">
        <v>208</v>
      </c>
      <c r="N1323" t="s">
        <v>855</v>
      </c>
      <c r="O1323" t="s">
        <v>771</v>
      </c>
      <c r="P1323" t="s">
        <v>772</v>
      </c>
      <c r="Q1323" t="s">
        <v>1625</v>
      </c>
      <c r="R1323">
        <v>0</v>
      </c>
      <c r="S1323">
        <v>0</v>
      </c>
      <c r="T1323">
        <v>0</v>
      </c>
      <c r="U1323">
        <v>0</v>
      </c>
      <c r="V1323">
        <v>0</v>
      </c>
      <c r="W1323">
        <v>0</v>
      </c>
      <c r="X1323">
        <v>0</v>
      </c>
      <c r="Y1323">
        <v>0</v>
      </c>
      <c r="Z1323">
        <v>0</v>
      </c>
      <c r="AA1323">
        <v>0</v>
      </c>
      <c r="AB1323">
        <v>0</v>
      </c>
      <c r="AC1323">
        <v>0</v>
      </c>
      <c r="AD1323">
        <v>2.5</v>
      </c>
      <c r="AE1323">
        <v>1</v>
      </c>
      <c r="AF1323">
        <v>0</v>
      </c>
      <c r="AG1323">
        <v>0</v>
      </c>
      <c r="AH1323">
        <v>0</v>
      </c>
      <c r="AI1323">
        <v>0</v>
      </c>
      <c r="AY1323" t="str">
        <f t="shared" si="199"/>
        <v>TULISSIN 25 MG/ML SOLUTION INJECTABLE POUR PORCINS</v>
      </c>
      <c r="AZ1323" t="str">
        <f>IF(COUNTIF(AY:AY,AY1323)=1,AY1323,IF(AND(COUNTIF(AY:AY,AY1323)&gt;1,COUNTIF(AZ$2:AZ1322,AY1323)&gt;=1),"",AY1323))</f>
        <v/>
      </c>
      <c r="BA1323" t="str">
        <f>IF(AZ1323="","",COUNTIFS(AZ$3:AZ$1439,"&lt;"&amp;AZ1323,AZ$3:AZ$1439,"&lt;&gt;0")+COUNTIF(AZ$3:AZ1323,AZ1323)-876)</f>
        <v/>
      </c>
      <c r="CN1323">
        <v>1322</v>
      </c>
    </row>
    <row r="1324" spans="1:92" x14ac:dyDescent="0.3">
      <c r="A1324" t="s">
        <v>4609</v>
      </c>
      <c r="B1324" t="s">
        <v>4610</v>
      </c>
      <c r="C1324" t="s">
        <v>1238</v>
      </c>
      <c r="D1324" t="s">
        <v>780</v>
      </c>
      <c r="E1324" t="s">
        <v>765</v>
      </c>
      <c r="F1324" t="s">
        <v>521</v>
      </c>
      <c r="G1324" t="s">
        <v>766</v>
      </c>
      <c r="H1324" t="s">
        <v>1484</v>
      </c>
      <c r="I1324" t="s">
        <v>766</v>
      </c>
      <c r="J1324" t="s">
        <v>802</v>
      </c>
      <c r="K1324" t="s">
        <v>802</v>
      </c>
      <c r="L1324" t="s">
        <v>3008</v>
      </c>
      <c r="M1324" t="s">
        <v>208</v>
      </c>
      <c r="N1324" t="s">
        <v>764</v>
      </c>
      <c r="O1324" t="s">
        <v>771</v>
      </c>
      <c r="P1324" t="s">
        <v>772</v>
      </c>
      <c r="Q1324" t="s">
        <v>885</v>
      </c>
      <c r="R1324">
        <v>2.5</v>
      </c>
      <c r="S1324">
        <v>1</v>
      </c>
      <c r="T1324">
        <v>0</v>
      </c>
      <c r="U1324">
        <v>0</v>
      </c>
      <c r="V1324">
        <v>0</v>
      </c>
      <c r="W1324">
        <v>0</v>
      </c>
      <c r="X1324">
        <v>0</v>
      </c>
      <c r="Y1324">
        <v>0</v>
      </c>
      <c r="Z1324">
        <v>0</v>
      </c>
      <c r="AA1324">
        <v>0</v>
      </c>
      <c r="AB1324">
        <v>2.5</v>
      </c>
      <c r="AC1324">
        <v>1</v>
      </c>
      <c r="AD1324">
        <v>2.5</v>
      </c>
      <c r="AE1324">
        <v>1</v>
      </c>
      <c r="AF1324">
        <v>0</v>
      </c>
      <c r="AG1324">
        <v>0</v>
      </c>
      <c r="AH1324">
        <v>0</v>
      </c>
      <c r="AI1324">
        <v>0</v>
      </c>
      <c r="AY1324" t="str">
        <f t="shared" si="199"/>
        <v>TULOXXIN 100 MG/ML SOLUTION INJECTABLE POUR BOVINS PORCINS ET OVINS</v>
      </c>
      <c r="AZ1324" t="str">
        <f>IF(COUNTIF(AY:AY,AY1324)=1,AY1324,IF(AND(COUNTIF(AY:AY,AY1324)&gt;1,COUNTIF(AZ$2:AZ1323,AY1324)&gt;=1),"",AY1324))</f>
        <v>TULOXXIN 100 MG/ML SOLUTION INJECTABLE POUR BOVINS PORCINS ET OVINS</v>
      </c>
      <c r="BA1324">
        <f>IF(AZ1324="","",COUNTIFS(AZ$3:AZ$1439,"&lt;"&amp;AZ1324,AZ$3:AZ$1439,"&lt;&gt;0")+COUNTIF(AZ$3:AZ1324,AZ1324)-876)</f>
        <v>521</v>
      </c>
      <c r="CN1324">
        <v>1323</v>
      </c>
    </row>
    <row r="1325" spans="1:92" x14ac:dyDescent="0.3">
      <c r="A1325" t="s">
        <v>4609</v>
      </c>
      <c r="B1325" t="s">
        <v>4611</v>
      </c>
      <c r="C1325" t="s">
        <v>792</v>
      </c>
      <c r="D1325" t="s">
        <v>764</v>
      </c>
      <c r="E1325" t="s">
        <v>765</v>
      </c>
      <c r="F1325" t="s">
        <v>521</v>
      </c>
      <c r="G1325" t="s">
        <v>766</v>
      </c>
      <c r="H1325" t="s">
        <v>1484</v>
      </c>
      <c r="I1325" t="s">
        <v>766</v>
      </c>
      <c r="J1325" t="s">
        <v>802</v>
      </c>
      <c r="K1325" t="s">
        <v>802</v>
      </c>
      <c r="L1325" t="s">
        <v>3008</v>
      </c>
      <c r="M1325" t="s">
        <v>208</v>
      </c>
      <c r="N1325" t="s">
        <v>764</v>
      </c>
      <c r="O1325" t="s">
        <v>771</v>
      </c>
      <c r="P1325" t="s">
        <v>772</v>
      </c>
      <c r="Q1325" t="s">
        <v>852</v>
      </c>
      <c r="R1325">
        <v>2.5</v>
      </c>
      <c r="S1325">
        <v>1</v>
      </c>
      <c r="T1325">
        <v>0</v>
      </c>
      <c r="U1325">
        <v>0</v>
      </c>
      <c r="V1325">
        <v>0</v>
      </c>
      <c r="W1325">
        <v>0</v>
      </c>
      <c r="X1325">
        <v>0</v>
      </c>
      <c r="Y1325">
        <v>0</v>
      </c>
      <c r="Z1325">
        <v>0</v>
      </c>
      <c r="AA1325">
        <v>0</v>
      </c>
      <c r="AB1325">
        <v>2.5</v>
      </c>
      <c r="AC1325">
        <v>1</v>
      </c>
      <c r="AD1325">
        <v>2.5</v>
      </c>
      <c r="AE1325">
        <v>1</v>
      </c>
      <c r="AF1325">
        <v>0</v>
      </c>
      <c r="AG1325">
        <v>0</v>
      </c>
      <c r="AH1325">
        <v>0</v>
      </c>
      <c r="AI1325">
        <v>0</v>
      </c>
      <c r="AY1325" t="str">
        <f t="shared" si="199"/>
        <v>TULOXXIN 100 MG/ML SOLUTION INJECTABLE POUR BOVINS PORCINS ET OVINS</v>
      </c>
      <c r="AZ1325" t="str">
        <f>IF(COUNTIF(AY:AY,AY1325)=1,AY1325,IF(AND(COUNTIF(AY:AY,AY1325)&gt;1,COUNTIF(AZ$2:AZ1324,AY1325)&gt;=1),"",AY1325))</f>
        <v/>
      </c>
      <c r="BA1325" t="str">
        <f>IF(AZ1325="","",COUNTIFS(AZ$3:AZ$1439,"&lt;"&amp;AZ1325,AZ$3:AZ$1439,"&lt;&gt;0")+COUNTIF(AZ$3:AZ1325,AZ1325)-876)</f>
        <v/>
      </c>
      <c r="CN1325">
        <v>1324</v>
      </c>
    </row>
    <row r="1326" spans="1:92" x14ac:dyDescent="0.3">
      <c r="A1326" t="s">
        <v>4771</v>
      </c>
      <c r="B1326" t="s">
        <v>4772</v>
      </c>
      <c r="C1326" t="s">
        <v>4759</v>
      </c>
      <c r="D1326" t="s">
        <v>764</v>
      </c>
      <c r="E1326" t="s">
        <v>813</v>
      </c>
      <c r="F1326" t="s">
        <v>4773</v>
      </c>
      <c r="G1326" t="s">
        <v>815</v>
      </c>
      <c r="H1326" t="s">
        <v>816</v>
      </c>
      <c r="I1326" t="s">
        <v>817</v>
      </c>
      <c r="J1326" t="s">
        <v>2070</v>
      </c>
      <c r="K1326" t="s">
        <v>787</v>
      </c>
      <c r="L1326" t="s">
        <v>1055</v>
      </c>
      <c r="M1326" t="s">
        <v>208</v>
      </c>
      <c r="N1326" t="s">
        <v>864</v>
      </c>
      <c r="O1326" t="s">
        <v>824</v>
      </c>
      <c r="P1326" t="s">
        <v>772</v>
      </c>
      <c r="Q1326" t="s">
        <v>869</v>
      </c>
      <c r="R1326">
        <v>0</v>
      </c>
      <c r="S1326">
        <v>0</v>
      </c>
      <c r="T1326">
        <v>20</v>
      </c>
      <c r="U1326">
        <v>7</v>
      </c>
      <c r="V1326">
        <v>0</v>
      </c>
      <c r="W1326">
        <v>0</v>
      </c>
      <c r="X1326">
        <v>0</v>
      </c>
      <c r="Y1326">
        <v>0</v>
      </c>
      <c r="Z1326">
        <v>0</v>
      </c>
      <c r="AA1326">
        <v>0</v>
      </c>
      <c r="AB1326">
        <v>0</v>
      </c>
      <c r="AC1326">
        <v>0</v>
      </c>
      <c r="AD1326">
        <v>0</v>
      </c>
      <c r="AE1326">
        <v>0</v>
      </c>
      <c r="AF1326">
        <v>0</v>
      </c>
      <c r="AG1326">
        <v>0</v>
      </c>
      <c r="AH1326">
        <v>0</v>
      </c>
      <c r="AI1326">
        <v>0</v>
      </c>
      <c r="AJ1326" t="s">
        <v>2071</v>
      </c>
      <c r="AK1326" t="s">
        <v>2072</v>
      </c>
      <c r="AL1326" t="s">
        <v>208</v>
      </c>
      <c r="AM1326" t="s">
        <v>780</v>
      </c>
      <c r="AN1326" t="s">
        <v>824</v>
      </c>
      <c r="AO1326" t="s">
        <v>2073</v>
      </c>
      <c r="AP1326" t="s">
        <v>2073</v>
      </c>
      <c r="AY1326" t="str">
        <f t="shared" si="199"/>
        <v/>
      </c>
      <c r="AZ1326" t="str">
        <f>IF(COUNTIF(AY:AY,AY1326)=1,AY1326,IF(AND(COUNTIF(AY:AY,AY1326)&gt;1,COUNTIF(AZ$2:AZ1325,AY1326)&gt;=1),"",AY1326))</f>
        <v/>
      </c>
      <c r="BA1326" t="str">
        <f>IF(AZ1326="","",COUNTIFS(AZ$3:AZ$1439,"&lt;"&amp;AZ1326,AZ$3:AZ$1439,"&lt;&gt;0")+COUNTIF(AZ$3:AZ1326,AZ1326)-876)</f>
        <v/>
      </c>
      <c r="CN1326">
        <v>1325</v>
      </c>
    </row>
    <row r="1327" spans="1:92" x14ac:dyDescent="0.3">
      <c r="A1327" t="s">
        <v>4768</v>
      </c>
      <c r="B1327" t="s">
        <v>4769</v>
      </c>
      <c r="C1327" t="s">
        <v>4759</v>
      </c>
      <c r="D1327" t="s">
        <v>764</v>
      </c>
      <c r="E1327" t="s">
        <v>813</v>
      </c>
      <c r="F1327" t="s">
        <v>4770</v>
      </c>
      <c r="G1327" t="s">
        <v>815</v>
      </c>
      <c r="H1327" t="s">
        <v>816</v>
      </c>
      <c r="I1327" t="s">
        <v>817</v>
      </c>
      <c r="J1327" t="s">
        <v>2070</v>
      </c>
      <c r="K1327" t="s">
        <v>787</v>
      </c>
      <c r="L1327" t="s">
        <v>1055</v>
      </c>
      <c r="M1327" t="s">
        <v>208</v>
      </c>
      <c r="N1327" t="s">
        <v>932</v>
      </c>
      <c r="O1327" t="s">
        <v>824</v>
      </c>
      <c r="P1327" t="s">
        <v>772</v>
      </c>
      <c r="Q1327" t="s">
        <v>934</v>
      </c>
      <c r="R1327">
        <v>0</v>
      </c>
      <c r="S1327">
        <v>0</v>
      </c>
      <c r="T1327">
        <v>20</v>
      </c>
      <c r="U1327">
        <v>7</v>
      </c>
      <c r="V1327">
        <v>0</v>
      </c>
      <c r="W1327">
        <v>0</v>
      </c>
      <c r="X1327">
        <v>0</v>
      </c>
      <c r="Y1327">
        <v>0</v>
      </c>
      <c r="Z1327">
        <v>0</v>
      </c>
      <c r="AA1327">
        <v>0</v>
      </c>
      <c r="AB1327">
        <v>0</v>
      </c>
      <c r="AC1327">
        <v>0</v>
      </c>
      <c r="AD1327">
        <v>0</v>
      </c>
      <c r="AE1327">
        <v>0</v>
      </c>
      <c r="AF1327">
        <v>0</v>
      </c>
      <c r="AG1327">
        <v>0</v>
      </c>
      <c r="AH1327">
        <v>0</v>
      </c>
      <c r="AI1327">
        <v>0</v>
      </c>
      <c r="AJ1327" t="s">
        <v>2071</v>
      </c>
      <c r="AK1327" t="s">
        <v>2072</v>
      </c>
      <c r="AL1327" t="s">
        <v>208</v>
      </c>
      <c r="AM1327" t="s">
        <v>852</v>
      </c>
      <c r="AN1327" t="s">
        <v>824</v>
      </c>
      <c r="AO1327" t="s">
        <v>2073</v>
      </c>
      <c r="AP1327" t="s">
        <v>2073</v>
      </c>
      <c r="AY1327" t="str">
        <f t="shared" si="199"/>
        <v/>
      </c>
      <c r="AZ1327" t="str">
        <f>IF(COUNTIF(AY:AY,AY1327)=1,AY1327,IF(AND(COUNTIF(AY:AY,AY1327)&gt;1,COUNTIF(AZ$2:AZ1326,AY1327)&gt;=1),"",AY1327))</f>
        <v/>
      </c>
      <c r="BA1327" t="str">
        <f>IF(AZ1327="","",COUNTIFS(AZ$3:AZ$1439,"&lt;"&amp;AZ1327,AZ$3:AZ$1439,"&lt;&gt;0")+COUNTIF(AZ$3:AZ1327,AZ1327)-876)</f>
        <v/>
      </c>
      <c r="CN1327">
        <v>1326</v>
      </c>
    </row>
    <row r="1328" spans="1:92" x14ac:dyDescent="0.3">
      <c r="A1328" t="s">
        <v>4774</v>
      </c>
      <c r="B1328" t="s">
        <v>4775</v>
      </c>
      <c r="C1328" t="s">
        <v>4766</v>
      </c>
      <c r="D1328" t="s">
        <v>1047</v>
      </c>
      <c r="E1328" t="s">
        <v>813</v>
      </c>
      <c r="F1328" t="s">
        <v>4776</v>
      </c>
      <c r="G1328" t="s">
        <v>815</v>
      </c>
      <c r="H1328" t="s">
        <v>860</v>
      </c>
      <c r="I1328" t="s">
        <v>817</v>
      </c>
      <c r="J1328" t="s">
        <v>2070</v>
      </c>
      <c r="K1328" t="s">
        <v>787</v>
      </c>
      <c r="L1328" t="s">
        <v>1055</v>
      </c>
      <c r="M1328" t="s">
        <v>208</v>
      </c>
      <c r="N1328" t="s">
        <v>939</v>
      </c>
      <c r="O1328" t="s">
        <v>824</v>
      </c>
      <c r="P1328" t="s">
        <v>772</v>
      </c>
      <c r="Q1328" t="s">
        <v>1132</v>
      </c>
      <c r="R1328">
        <v>0</v>
      </c>
      <c r="S1328">
        <v>0</v>
      </c>
      <c r="T1328">
        <v>20</v>
      </c>
      <c r="U1328">
        <v>7</v>
      </c>
      <c r="V1328">
        <v>0</v>
      </c>
      <c r="W1328">
        <v>0</v>
      </c>
      <c r="X1328">
        <v>0</v>
      </c>
      <c r="Y1328">
        <v>0</v>
      </c>
      <c r="Z1328">
        <v>0</v>
      </c>
      <c r="AA1328">
        <v>0</v>
      </c>
      <c r="AB1328">
        <v>0</v>
      </c>
      <c r="AC1328">
        <v>0</v>
      </c>
      <c r="AD1328">
        <v>0</v>
      </c>
      <c r="AE1328">
        <v>0</v>
      </c>
      <c r="AF1328">
        <v>0</v>
      </c>
      <c r="AG1328">
        <v>0</v>
      </c>
      <c r="AH1328">
        <v>0</v>
      </c>
      <c r="AI1328">
        <v>0</v>
      </c>
      <c r="AJ1328" t="s">
        <v>2071</v>
      </c>
      <c r="AK1328" t="s">
        <v>2072</v>
      </c>
      <c r="AL1328" t="s">
        <v>208</v>
      </c>
      <c r="AM1328" t="s">
        <v>764</v>
      </c>
      <c r="AN1328" t="s">
        <v>824</v>
      </c>
      <c r="AO1328" t="s">
        <v>2073</v>
      </c>
      <c r="AP1328" t="s">
        <v>2073</v>
      </c>
      <c r="AY1328" t="str">
        <f t="shared" si="199"/>
        <v/>
      </c>
      <c r="AZ1328" t="str">
        <f>IF(COUNTIF(AY:AY,AY1328)=1,AY1328,IF(AND(COUNTIF(AY:AY,AY1328)&gt;1,COUNTIF(AZ$2:AZ1327,AY1328)&gt;=1),"",AY1328))</f>
        <v/>
      </c>
      <c r="BA1328" t="str">
        <f>IF(AZ1328="","",COUNTIFS(AZ$3:AZ$1439,"&lt;"&amp;AZ1328,AZ$3:AZ$1439,"&lt;&gt;0")+COUNTIF(AZ$3:AZ1328,AZ1328)-876)</f>
        <v/>
      </c>
      <c r="CN1328">
        <v>1327</v>
      </c>
    </row>
    <row r="1329" spans="1:92" x14ac:dyDescent="0.3">
      <c r="A1329" t="s">
        <v>2156</v>
      </c>
      <c r="B1329" t="s">
        <v>2157</v>
      </c>
      <c r="C1329" t="s">
        <v>1062</v>
      </c>
      <c r="D1329" s="144" t="s">
        <v>1063</v>
      </c>
      <c r="E1329" t="s">
        <v>830</v>
      </c>
      <c r="F1329" t="s">
        <v>522</v>
      </c>
      <c r="G1329" t="s">
        <v>1064</v>
      </c>
      <c r="H1329" t="s">
        <v>1091</v>
      </c>
      <c r="I1329" t="s">
        <v>1066</v>
      </c>
      <c r="J1329" t="s">
        <v>802</v>
      </c>
      <c r="K1329" t="s">
        <v>802</v>
      </c>
      <c r="L1329" t="s">
        <v>1092</v>
      </c>
      <c r="M1329" t="s">
        <v>208</v>
      </c>
      <c r="N1329" t="s">
        <v>819</v>
      </c>
      <c r="O1329" t="s">
        <v>834</v>
      </c>
      <c r="P1329" t="s">
        <v>1537</v>
      </c>
      <c r="Q1329" t="s">
        <v>966</v>
      </c>
      <c r="R1329">
        <v>0</v>
      </c>
      <c r="S1329">
        <v>0</v>
      </c>
      <c r="T1329">
        <v>0</v>
      </c>
      <c r="U1329">
        <v>0</v>
      </c>
      <c r="V1329">
        <v>0</v>
      </c>
      <c r="W1329">
        <v>0</v>
      </c>
      <c r="X1329">
        <v>0</v>
      </c>
      <c r="Y1329">
        <v>0</v>
      </c>
      <c r="Z1329">
        <v>0</v>
      </c>
      <c r="AA1329">
        <v>0</v>
      </c>
      <c r="AB1329">
        <v>0</v>
      </c>
      <c r="AC1329">
        <v>0</v>
      </c>
      <c r="AD1329">
        <v>5</v>
      </c>
      <c r="AE1329">
        <v>21</v>
      </c>
      <c r="AF1329">
        <v>100</v>
      </c>
      <c r="AG1329">
        <v>5</v>
      </c>
      <c r="AH1329">
        <v>0</v>
      </c>
      <c r="AI1329">
        <v>0</v>
      </c>
      <c r="AY1329" t="str">
        <f t="shared" si="199"/>
        <v>TYLAN 100 PREMIX</v>
      </c>
      <c r="AZ1329" t="str">
        <f>IF(COUNTIF(AY:AY,AY1329)=1,AY1329,IF(AND(COUNTIF(AY:AY,AY1329)&gt;1,COUNTIF(AZ$2:AZ1328,AY1329)&gt;=1),"",AY1329))</f>
        <v>TYLAN 100 PREMIX</v>
      </c>
      <c r="BA1329">
        <f>IF(AZ1329="","",COUNTIFS(AZ$3:AZ$1439,"&lt;"&amp;AZ1329,AZ$3:AZ$1439,"&lt;&gt;0")+COUNTIF(AZ$3:AZ1329,AZ1329)-876)</f>
        <v>522</v>
      </c>
      <c r="CN1329">
        <v>1328</v>
      </c>
    </row>
    <row r="1330" spans="1:92" x14ac:dyDescent="0.3">
      <c r="A1330" t="s">
        <v>1533</v>
      </c>
      <c r="B1330" t="s">
        <v>1534</v>
      </c>
      <c r="C1330" t="s">
        <v>1535</v>
      </c>
      <c r="D1330" s="144" t="s">
        <v>1063</v>
      </c>
      <c r="E1330" t="s">
        <v>830</v>
      </c>
      <c r="F1330" t="s">
        <v>699</v>
      </c>
      <c r="G1330" t="s">
        <v>1064</v>
      </c>
      <c r="H1330" t="s">
        <v>1091</v>
      </c>
      <c r="I1330" t="s">
        <v>1066</v>
      </c>
      <c r="J1330" t="s">
        <v>802</v>
      </c>
      <c r="K1330" t="s">
        <v>802</v>
      </c>
      <c r="L1330" t="s">
        <v>1092</v>
      </c>
      <c r="M1330" t="s">
        <v>208</v>
      </c>
      <c r="N1330" t="s">
        <v>1536</v>
      </c>
      <c r="O1330" t="s">
        <v>834</v>
      </c>
      <c r="P1330" t="s">
        <v>1537</v>
      </c>
      <c r="Q1330" t="s">
        <v>906</v>
      </c>
      <c r="R1330">
        <v>0</v>
      </c>
      <c r="S1330">
        <v>0</v>
      </c>
      <c r="T1330">
        <v>0</v>
      </c>
      <c r="U1330">
        <v>0</v>
      </c>
      <c r="V1330">
        <v>0</v>
      </c>
      <c r="W1330">
        <v>0</v>
      </c>
      <c r="X1330">
        <v>0</v>
      </c>
      <c r="Y1330">
        <v>0</v>
      </c>
      <c r="Z1330">
        <v>0</v>
      </c>
      <c r="AA1330">
        <v>0</v>
      </c>
      <c r="AB1330">
        <v>0</v>
      </c>
      <c r="AC1330">
        <v>0</v>
      </c>
      <c r="AD1330">
        <v>5</v>
      </c>
      <c r="AE1330">
        <v>21</v>
      </c>
      <c r="AF1330">
        <v>100</v>
      </c>
      <c r="AG1330">
        <v>5</v>
      </c>
      <c r="AH1330">
        <v>0</v>
      </c>
      <c r="AI1330">
        <v>0</v>
      </c>
      <c r="AY1330" t="str">
        <f t="shared" si="199"/>
        <v>TYLAN 20 PREMIX</v>
      </c>
      <c r="AZ1330" t="str">
        <f>IF(COUNTIF(AY:AY,AY1330)=1,AY1330,IF(AND(COUNTIF(AY:AY,AY1330)&gt;1,COUNTIF(AZ$2:AZ1329,AY1330)&gt;=1),"",AY1330))</f>
        <v>TYLAN 20 PREMIX</v>
      </c>
      <c r="BA1330">
        <f>IF(AZ1330="","",COUNTIFS(AZ$3:AZ$1439,"&lt;"&amp;AZ1330,AZ$3:AZ$1439,"&lt;&gt;0")+COUNTIF(AZ$3:AZ1330,AZ1330)-876)</f>
        <v>523</v>
      </c>
      <c r="CN1330">
        <v>1329</v>
      </c>
    </row>
    <row r="1331" spans="1:92" x14ac:dyDescent="0.3">
      <c r="A1331" t="s">
        <v>1538</v>
      </c>
      <c r="B1331" t="s">
        <v>1539</v>
      </c>
      <c r="C1331" t="s">
        <v>796</v>
      </c>
      <c r="D1331" s="144" t="s">
        <v>776</v>
      </c>
      <c r="E1331" t="s">
        <v>765</v>
      </c>
      <c r="F1331" t="s">
        <v>4401</v>
      </c>
      <c r="G1331" t="s">
        <v>766</v>
      </c>
      <c r="H1331" t="s">
        <v>851</v>
      </c>
      <c r="I1331" t="s">
        <v>766</v>
      </c>
      <c r="J1331" t="s">
        <v>802</v>
      </c>
      <c r="K1331" t="s">
        <v>802</v>
      </c>
      <c r="L1331" t="s">
        <v>1092</v>
      </c>
      <c r="M1331" t="s">
        <v>208</v>
      </c>
      <c r="N1331" t="s">
        <v>864</v>
      </c>
      <c r="O1331" t="s">
        <v>771</v>
      </c>
      <c r="P1331" t="s">
        <v>772</v>
      </c>
      <c r="Q1331" t="s">
        <v>780</v>
      </c>
      <c r="R1331">
        <v>10</v>
      </c>
      <c r="S1331">
        <v>3</v>
      </c>
      <c r="T1331">
        <v>0</v>
      </c>
      <c r="U1331">
        <v>0</v>
      </c>
      <c r="V1331">
        <v>0</v>
      </c>
      <c r="W1331">
        <v>0</v>
      </c>
      <c r="X1331">
        <v>0</v>
      </c>
      <c r="Y1331">
        <v>0</v>
      </c>
      <c r="Z1331">
        <v>0</v>
      </c>
      <c r="AA1331">
        <v>0</v>
      </c>
      <c r="AB1331">
        <v>10</v>
      </c>
      <c r="AC1331">
        <v>3</v>
      </c>
      <c r="AD1331">
        <v>10</v>
      </c>
      <c r="AE1331">
        <v>3</v>
      </c>
      <c r="AF1331">
        <v>10</v>
      </c>
      <c r="AG1331">
        <v>3</v>
      </c>
      <c r="AH1331">
        <v>0</v>
      </c>
      <c r="AI1331">
        <v>0</v>
      </c>
      <c r="AY1331" t="str">
        <f t="shared" si="199"/>
        <v>TYLAN 200 000 UI/ML SOLUTION INJECTABLE</v>
      </c>
      <c r="AZ1331" t="str">
        <f>IF(COUNTIF(AY:AY,AY1331)=1,AY1331,IF(AND(COUNTIF(AY:AY,AY1331)&gt;1,COUNTIF(AZ$2:AZ1330,AY1331)&gt;=1),"",AY1331))</f>
        <v>TYLAN 200 000 UI/ML SOLUTION INJECTABLE</v>
      </c>
      <c r="BA1331">
        <f>IF(AZ1331="","",COUNTIFS(AZ$3:AZ$1439,"&lt;"&amp;AZ1331,AZ$3:AZ$1439,"&lt;&gt;0")+COUNTIF(AZ$3:AZ1331,AZ1331)-876)</f>
        <v>524</v>
      </c>
      <c r="CN1331">
        <v>1330</v>
      </c>
    </row>
    <row r="1332" spans="1:92" x14ac:dyDescent="0.3">
      <c r="A1332" t="s">
        <v>1538</v>
      </c>
      <c r="B1332" t="s">
        <v>1540</v>
      </c>
      <c r="C1332" t="s">
        <v>792</v>
      </c>
      <c r="D1332" s="144" t="s">
        <v>764</v>
      </c>
      <c r="E1332" t="s">
        <v>765</v>
      </c>
      <c r="F1332" t="s">
        <v>4401</v>
      </c>
      <c r="G1332" t="s">
        <v>766</v>
      </c>
      <c r="H1332" t="s">
        <v>851</v>
      </c>
      <c r="I1332" t="s">
        <v>766</v>
      </c>
      <c r="J1332" t="s">
        <v>802</v>
      </c>
      <c r="K1332" t="s">
        <v>802</v>
      </c>
      <c r="L1332" t="s">
        <v>1092</v>
      </c>
      <c r="M1332" t="s">
        <v>208</v>
      </c>
      <c r="N1332" t="s">
        <v>864</v>
      </c>
      <c r="O1332" t="s">
        <v>771</v>
      </c>
      <c r="P1332" t="s">
        <v>772</v>
      </c>
      <c r="Q1332" t="s">
        <v>869</v>
      </c>
      <c r="R1332">
        <v>10</v>
      </c>
      <c r="S1332">
        <v>3</v>
      </c>
      <c r="T1332">
        <v>0</v>
      </c>
      <c r="U1332">
        <v>0</v>
      </c>
      <c r="V1332">
        <v>0</v>
      </c>
      <c r="W1332">
        <v>0</v>
      </c>
      <c r="X1332">
        <v>0</v>
      </c>
      <c r="Y1332">
        <v>0</v>
      </c>
      <c r="Z1332">
        <v>0</v>
      </c>
      <c r="AA1332">
        <v>0</v>
      </c>
      <c r="AB1332">
        <v>10</v>
      </c>
      <c r="AC1332">
        <v>3</v>
      </c>
      <c r="AD1332">
        <v>10</v>
      </c>
      <c r="AE1332">
        <v>3</v>
      </c>
      <c r="AF1332">
        <v>10</v>
      </c>
      <c r="AG1332">
        <v>3</v>
      </c>
      <c r="AH1332">
        <v>0</v>
      </c>
      <c r="AI1332">
        <v>0</v>
      </c>
      <c r="AY1332" t="str">
        <f t="shared" si="199"/>
        <v>TYLAN 200 000 UI/ML SOLUTION INJECTABLE</v>
      </c>
      <c r="AZ1332" t="str">
        <f>IF(COUNTIF(AY:AY,AY1332)=1,AY1332,IF(AND(COUNTIF(AY:AY,AY1332)&gt;1,COUNTIF(AZ$2:AZ1331,AY1332)&gt;=1),"",AY1332))</f>
        <v/>
      </c>
      <c r="BA1332" t="str">
        <f>IF(AZ1332="","",COUNTIFS(AZ$3:AZ$1439,"&lt;"&amp;AZ1332,AZ$3:AZ$1439,"&lt;&gt;0")+COUNTIF(AZ$3:AZ1332,AZ1332)-876)</f>
        <v/>
      </c>
      <c r="CN1332">
        <v>1331</v>
      </c>
    </row>
    <row r="1333" spans="1:92" x14ac:dyDescent="0.3">
      <c r="A1333" t="s">
        <v>3273</v>
      </c>
      <c r="B1333" t="s">
        <v>3274</v>
      </c>
      <c r="C1333" t="s">
        <v>3275</v>
      </c>
      <c r="D1333" s="144" t="s">
        <v>764</v>
      </c>
      <c r="E1333" t="s">
        <v>830</v>
      </c>
      <c r="F1333" t="s">
        <v>523</v>
      </c>
      <c r="G1333" t="s">
        <v>831</v>
      </c>
      <c r="H1333" t="s">
        <v>832</v>
      </c>
      <c r="I1333" t="s">
        <v>817</v>
      </c>
      <c r="J1333" t="s">
        <v>802</v>
      </c>
      <c r="K1333" t="s">
        <v>802</v>
      </c>
      <c r="L1333" t="s">
        <v>1092</v>
      </c>
      <c r="M1333" t="s">
        <v>208</v>
      </c>
      <c r="N1333" t="s">
        <v>829</v>
      </c>
      <c r="O1333" t="s">
        <v>894</v>
      </c>
      <c r="P1333" t="s">
        <v>772</v>
      </c>
      <c r="Q1333" t="s">
        <v>764</v>
      </c>
      <c r="R1333">
        <v>40</v>
      </c>
      <c r="S1333">
        <v>14</v>
      </c>
      <c r="T1333">
        <v>0</v>
      </c>
      <c r="U1333">
        <v>0</v>
      </c>
      <c r="V1333">
        <v>0</v>
      </c>
      <c r="W1333">
        <v>0</v>
      </c>
      <c r="X1333">
        <v>0</v>
      </c>
      <c r="Y1333">
        <v>0</v>
      </c>
      <c r="Z1333">
        <v>0</v>
      </c>
      <c r="AA1333">
        <v>0</v>
      </c>
      <c r="AB1333">
        <v>0</v>
      </c>
      <c r="AC1333">
        <v>0</v>
      </c>
      <c r="AD1333">
        <v>25</v>
      </c>
      <c r="AE1333">
        <v>10</v>
      </c>
      <c r="AF1333">
        <v>100</v>
      </c>
      <c r="AG1333">
        <v>5</v>
      </c>
      <c r="AH1333">
        <v>0</v>
      </c>
      <c r="AI1333">
        <v>0</v>
      </c>
      <c r="AY1333" t="str">
        <f t="shared" si="199"/>
        <v>TYLAN SOLUBLE 100 %</v>
      </c>
      <c r="AZ1333" t="str">
        <f>IF(COUNTIF(AY:AY,AY1333)=1,AY1333,IF(AND(COUNTIF(AY:AY,AY1333)&gt;1,COUNTIF(AZ$2:AZ1332,AY1333)&gt;=1),"",AY1333))</f>
        <v>TYLAN SOLUBLE 100 %</v>
      </c>
      <c r="BA1333">
        <f>IF(AZ1333="","",COUNTIFS(AZ$3:AZ$1439,"&lt;"&amp;AZ1333,AZ$3:AZ$1439,"&lt;&gt;0")+COUNTIF(AZ$3:AZ1333,AZ1333)-876)</f>
        <v>525</v>
      </c>
      <c r="CN1333">
        <v>1332</v>
      </c>
    </row>
    <row r="1334" spans="1:92" x14ac:dyDescent="0.3">
      <c r="A1334" t="s">
        <v>3273</v>
      </c>
      <c r="B1334" t="s">
        <v>3276</v>
      </c>
      <c r="C1334" t="s">
        <v>4520</v>
      </c>
      <c r="D1334" s="144" t="s">
        <v>829</v>
      </c>
      <c r="E1334" t="s">
        <v>830</v>
      </c>
      <c r="F1334" t="s">
        <v>523</v>
      </c>
      <c r="G1334" t="s">
        <v>831</v>
      </c>
      <c r="H1334" t="s">
        <v>832</v>
      </c>
      <c r="I1334" t="s">
        <v>817</v>
      </c>
      <c r="J1334" t="s">
        <v>802</v>
      </c>
      <c r="K1334" t="s">
        <v>802</v>
      </c>
      <c r="L1334" t="s">
        <v>1092</v>
      </c>
      <c r="M1334" t="s">
        <v>208</v>
      </c>
      <c r="N1334" t="s">
        <v>829</v>
      </c>
      <c r="O1334" t="s">
        <v>894</v>
      </c>
      <c r="P1334" t="s">
        <v>772</v>
      </c>
      <c r="Q1334" t="s">
        <v>829</v>
      </c>
      <c r="R1334">
        <v>40</v>
      </c>
      <c r="S1334">
        <v>14</v>
      </c>
      <c r="T1334">
        <v>0</v>
      </c>
      <c r="U1334">
        <v>0</v>
      </c>
      <c r="V1334">
        <v>0</v>
      </c>
      <c r="W1334">
        <v>0</v>
      </c>
      <c r="X1334">
        <v>0</v>
      </c>
      <c r="Y1334">
        <v>0</v>
      </c>
      <c r="Z1334">
        <v>0</v>
      </c>
      <c r="AA1334">
        <v>0</v>
      </c>
      <c r="AB1334">
        <v>0</v>
      </c>
      <c r="AC1334">
        <v>0</v>
      </c>
      <c r="AD1334">
        <v>25</v>
      </c>
      <c r="AE1334">
        <v>10</v>
      </c>
      <c r="AF1334">
        <v>100</v>
      </c>
      <c r="AG1334">
        <v>5</v>
      </c>
      <c r="AH1334">
        <v>0</v>
      </c>
      <c r="AI1334">
        <v>0</v>
      </c>
      <c r="AY1334" t="str">
        <f t="shared" si="199"/>
        <v>TYLAN SOLUBLE 100 %</v>
      </c>
      <c r="AZ1334" t="str">
        <f>IF(COUNTIF(AY:AY,AY1334)=1,AY1334,IF(AND(COUNTIF(AY:AY,AY1334)&gt;1,COUNTIF(AZ$2:AZ1333,AY1334)&gt;=1),"",AY1334))</f>
        <v/>
      </c>
      <c r="BA1334" t="str">
        <f>IF(AZ1334="","",COUNTIFS(AZ$3:AZ$1439,"&lt;"&amp;AZ1334,AZ$3:AZ$1439,"&lt;&gt;0")+COUNTIF(AZ$3:AZ1334,AZ1334)-876)</f>
        <v/>
      </c>
      <c r="CN1334">
        <v>1333</v>
      </c>
    </row>
    <row r="1335" spans="1:92" x14ac:dyDescent="0.3">
      <c r="A1335" t="s">
        <v>3273</v>
      </c>
      <c r="B1335" t="s">
        <v>3278</v>
      </c>
      <c r="C1335" t="s">
        <v>3245</v>
      </c>
      <c r="D1335" s="144" t="s">
        <v>764</v>
      </c>
      <c r="E1335" t="s">
        <v>830</v>
      </c>
      <c r="F1335" t="s">
        <v>523</v>
      </c>
      <c r="G1335" t="s">
        <v>831</v>
      </c>
      <c r="H1335" t="s">
        <v>832</v>
      </c>
      <c r="I1335" t="s">
        <v>817</v>
      </c>
      <c r="J1335" t="s">
        <v>802</v>
      </c>
      <c r="K1335" t="s">
        <v>802</v>
      </c>
      <c r="L1335" t="s">
        <v>1092</v>
      </c>
      <c r="M1335" t="s">
        <v>208</v>
      </c>
      <c r="N1335" t="s">
        <v>829</v>
      </c>
      <c r="O1335" t="s">
        <v>894</v>
      </c>
      <c r="P1335" t="s">
        <v>772</v>
      </c>
      <c r="Q1335" t="s">
        <v>764</v>
      </c>
      <c r="R1335">
        <v>40</v>
      </c>
      <c r="S1335">
        <v>14</v>
      </c>
      <c r="T1335">
        <v>0</v>
      </c>
      <c r="U1335">
        <v>0</v>
      </c>
      <c r="V1335">
        <v>0</v>
      </c>
      <c r="W1335">
        <v>0</v>
      </c>
      <c r="X1335">
        <v>0</v>
      </c>
      <c r="Y1335">
        <v>0</v>
      </c>
      <c r="Z1335">
        <v>0</v>
      </c>
      <c r="AA1335">
        <v>0</v>
      </c>
      <c r="AB1335">
        <v>0</v>
      </c>
      <c r="AC1335">
        <v>0</v>
      </c>
      <c r="AD1335">
        <v>25</v>
      </c>
      <c r="AE1335">
        <v>10</v>
      </c>
      <c r="AF1335">
        <v>100</v>
      </c>
      <c r="AG1335">
        <v>5</v>
      </c>
      <c r="AH1335">
        <v>0</v>
      </c>
      <c r="AI1335">
        <v>0</v>
      </c>
      <c r="AY1335" t="str">
        <f t="shared" si="199"/>
        <v>TYLAN SOLUBLE 100 %</v>
      </c>
      <c r="AZ1335" t="str">
        <f>IF(COUNTIF(AY:AY,AY1335)=1,AY1335,IF(AND(COUNTIF(AY:AY,AY1335)&gt;1,COUNTIF(AZ$2:AZ1334,AY1335)&gt;=1),"",AY1335))</f>
        <v/>
      </c>
      <c r="BA1335" t="str">
        <f>IF(AZ1335="","",COUNTIFS(AZ$3:AZ$1439,"&lt;"&amp;AZ1335,AZ$3:AZ$1439,"&lt;&gt;0")+COUNTIF(AZ$3:AZ1335,AZ1335)-876)</f>
        <v/>
      </c>
      <c r="CN1335">
        <v>1334</v>
      </c>
    </row>
    <row r="1336" spans="1:92" x14ac:dyDescent="0.3">
      <c r="A1336" t="s">
        <v>3273</v>
      </c>
      <c r="B1336" t="s">
        <v>4521</v>
      </c>
      <c r="C1336" t="s">
        <v>3277</v>
      </c>
      <c r="D1336" s="144" t="s">
        <v>829</v>
      </c>
      <c r="E1336" t="s">
        <v>830</v>
      </c>
      <c r="F1336" t="s">
        <v>523</v>
      </c>
      <c r="G1336" t="s">
        <v>831</v>
      </c>
      <c r="H1336" t="s">
        <v>832</v>
      </c>
      <c r="I1336" t="s">
        <v>817</v>
      </c>
      <c r="J1336" t="s">
        <v>802</v>
      </c>
      <c r="K1336" t="s">
        <v>802</v>
      </c>
      <c r="L1336" t="s">
        <v>1092</v>
      </c>
      <c r="M1336" t="s">
        <v>208</v>
      </c>
      <c r="N1336" t="s">
        <v>829</v>
      </c>
      <c r="O1336" t="s">
        <v>894</v>
      </c>
      <c r="P1336" t="s">
        <v>772</v>
      </c>
      <c r="Q1336" t="s">
        <v>829</v>
      </c>
      <c r="R1336">
        <v>40</v>
      </c>
      <c r="S1336">
        <v>14</v>
      </c>
      <c r="T1336">
        <v>0</v>
      </c>
      <c r="U1336">
        <v>0</v>
      </c>
      <c r="V1336">
        <v>0</v>
      </c>
      <c r="W1336">
        <v>0</v>
      </c>
      <c r="X1336">
        <v>0</v>
      </c>
      <c r="Y1336">
        <v>0</v>
      </c>
      <c r="Z1336">
        <v>0</v>
      </c>
      <c r="AA1336">
        <v>0</v>
      </c>
      <c r="AB1336">
        <v>0</v>
      </c>
      <c r="AC1336">
        <v>0</v>
      </c>
      <c r="AD1336">
        <v>25</v>
      </c>
      <c r="AE1336">
        <v>10</v>
      </c>
      <c r="AF1336">
        <v>100</v>
      </c>
      <c r="AG1336">
        <v>5</v>
      </c>
      <c r="AH1336">
        <v>0</v>
      </c>
      <c r="AI1336">
        <v>0</v>
      </c>
      <c r="AY1336" t="str">
        <f t="shared" si="199"/>
        <v>TYLAN SOLUBLE 100 %</v>
      </c>
      <c r="AZ1336" t="str">
        <f>IF(COUNTIF(AY:AY,AY1336)=1,AY1336,IF(AND(COUNTIF(AY:AY,AY1336)&gt;1,COUNTIF(AZ$2:AZ1335,AY1336)&gt;=1),"",AY1336))</f>
        <v/>
      </c>
      <c r="BA1336" t="str">
        <f>IF(AZ1336="","",COUNTIFS(AZ$3:AZ$1439,"&lt;"&amp;AZ1336,AZ$3:AZ$1439,"&lt;&gt;0")+COUNTIF(AZ$3:AZ1336,AZ1336)-876)</f>
        <v/>
      </c>
      <c r="CN1336">
        <v>1335</v>
      </c>
    </row>
    <row r="1337" spans="1:92" x14ac:dyDescent="0.3">
      <c r="A1337" t="s">
        <v>3273</v>
      </c>
      <c r="B1337" t="s">
        <v>4522</v>
      </c>
      <c r="C1337" t="s">
        <v>3245</v>
      </c>
      <c r="D1337" s="144" t="s">
        <v>764</v>
      </c>
      <c r="E1337" t="s">
        <v>830</v>
      </c>
      <c r="F1337" t="s">
        <v>523</v>
      </c>
      <c r="G1337" t="s">
        <v>831</v>
      </c>
      <c r="H1337" t="s">
        <v>832</v>
      </c>
      <c r="I1337" t="s">
        <v>817</v>
      </c>
      <c r="J1337" t="s">
        <v>802</v>
      </c>
      <c r="K1337" t="s">
        <v>802</v>
      </c>
      <c r="L1337" t="s">
        <v>1092</v>
      </c>
      <c r="M1337" t="s">
        <v>208</v>
      </c>
      <c r="N1337" t="s">
        <v>829</v>
      </c>
      <c r="O1337" t="s">
        <v>894</v>
      </c>
      <c r="P1337" t="s">
        <v>772</v>
      </c>
      <c r="Q1337" t="s">
        <v>764</v>
      </c>
      <c r="R1337">
        <v>40</v>
      </c>
      <c r="S1337">
        <v>14</v>
      </c>
      <c r="T1337">
        <v>0</v>
      </c>
      <c r="U1337">
        <v>0</v>
      </c>
      <c r="V1337">
        <v>0</v>
      </c>
      <c r="W1337">
        <v>0</v>
      </c>
      <c r="X1337">
        <v>0</v>
      </c>
      <c r="Y1337">
        <v>0</v>
      </c>
      <c r="Z1337">
        <v>0</v>
      </c>
      <c r="AA1337">
        <v>0</v>
      </c>
      <c r="AB1337">
        <v>0</v>
      </c>
      <c r="AC1337">
        <v>0</v>
      </c>
      <c r="AD1337">
        <v>25</v>
      </c>
      <c r="AE1337">
        <v>10</v>
      </c>
      <c r="AF1337">
        <v>100</v>
      </c>
      <c r="AG1337">
        <v>5</v>
      </c>
      <c r="AH1337">
        <v>0</v>
      </c>
      <c r="AI1337">
        <v>0</v>
      </c>
      <c r="AY1337" t="str">
        <f t="shared" si="199"/>
        <v>TYLAN SOLUBLE 100 %</v>
      </c>
      <c r="AZ1337" t="str">
        <f>IF(COUNTIF(AY:AY,AY1337)=1,AY1337,IF(AND(COUNTIF(AY:AY,AY1337)&gt;1,COUNTIF(AZ$2:AZ1336,AY1337)&gt;=1),"",AY1337))</f>
        <v/>
      </c>
      <c r="BA1337" t="str">
        <f>IF(AZ1337="","",COUNTIFS(AZ$3:AZ$1439,"&lt;"&amp;AZ1337,AZ$3:AZ$1439,"&lt;&gt;0")+COUNTIF(AZ$3:AZ1337,AZ1337)-876)</f>
        <v/>
      </c>
      <c r="CN1337">
        <v>1336</v>
      </c>
    </row>
    <row r="1338" spans="1:92" x14ac:dyDescent="0.3">
      <c r="A1338" t="s">
        <v>3794</v>
      </c>
      <c r="B1338" t="s">
        <v>3795</v>
      </c>
      <c r="C1338" t="s">
        <v>3281</v>
      </c>
      <c r="D1338" s="144" t="s">
        <v>764</v>
      </c>
      <c r="E1338" t="s">
        <v>830</v>
      </c>
      <c r="F1338" t="s">
        <v>130</v>
      </c>
      <c r="G1338" t="s">
        <v>831</v>
      </c>
      <c r="H1338" t="s">
        <v>832</v>
      </c>
      <c r="I1338" t="s">
        <v>817</v>
      </c>
      <c r="J1338" t="s">
        <v>802</v>
      </c>
      <c r="K1338" t="s">
        <v>802</v>
      </c>
      <c r="L1338" t="s">
        <v>1092</v>
      </c>
      <c r="M1338" t="s">
        <v>208</v>
      </c>
      <c r="N1338" t="s">
        <v>829</v>
      </c>
      <c r="O1338" t="s">
        <v>894</v>
      </c>
      <c r="P1338" t="s">
        <v>772</v>
      </c>
      <c r="Q1338" t="s">
        <v>764</v>
      </c>
      <c r="R1338">
        <v>40</v>
      </c>
      <c r="S1338">
        <v>14</v>
      </c>
      <c r="T1338">
        <v>0</v>
      </c>
      <c r="U1338">
        <v>0</v>
      </c>
      <c r="V1338">
        <v>0</v>
      </c>
      <c r="W1338">
        <v>0</v>
      </c>
      <c r="X1338">
        <v>0</v>
      </c>
      <c r="Y1338">
        <v>0</v>
      </c>
      <c r="Z1338">
        <v>0</v>
      </c>
      <c r="AA1338">
        <v>0</v>
      </c>
      <c r="AB1338">
        <v>0</v>
      </c>
      <c r="AC1338">
        <v>0</v>
      </c>
      <c r="AD1338">
        <v>25</v>
      </c>
      <c r="AE1338">
        <v>10</v>
      </c>
      <c r="AF1338">
        <v>100</v>
      </c>
      <c r="AG1338">
        <v>5</v>
      </c>
      <c r="AH1338">
        <v>0</v>
      </c>
      <c r="AI1338">
        <v>0</v>
      </c>
      <c r="AY1338" t="str">
        <f t="shared" si="199"/>
        <v>TYLMASIN</v>
      </c>
      <c r="AZ1338" t="str">
        <f>IF(COUNTIF(AY:AY,AY1338)=1,AY1338,IF(AND(COUNTIF(AY:AY,AY1338)&gt;1,COUNTIF(AZ$2:AZ1337,AY1338)&gt;=1),"",AY1338))</f>
        <v>TYLMASIN</v>
      </c>
      <c r="BA1338">
        <f>IF(AZ1338="","",COUNTIFS(AZ$3:AZ$1439,"&lt;"&amp;AZ1338,AZ$3:AZ$1439,"&lt;&gt;0")+COUNTIF(AZ$3:AZ1338,AZ1338)-876)</f>
        <v>526</v>
      </c>
      <c r="CN1338">
        <v>1337</v>
      </c>
    </row>
    <row r="1339" spans="1:92" x14ac:dyDescent="0.3">
      <c r="A1339" t="s">
        <v>4097</v>
      </c>
      <c r="B1339" t="s">
        <v>4098</v>
      </c>
      <c r="C1339" t="s">
        <v>3275</v>
      </c>
      <c r="D1339" s="144" t="s">
        <v>764</v>
      </c>
      <c r="E1339" t="s">
        <v>830</v>
      </c>
      <c r="F1339" t="s">
        <v>524</v>
      </c>
      <c r="G1339" t="s">
        <v>831</v>
      </c>
      <c r="H1339" t="s">
        <v>2803</v>
      </c>
      <c r="I1339" t="s">
        <v>817</v>
      </c>
      <c r="J1339" t="s">
        <v>802</v>
      </c>
      <c r="K1339" t="s">
        <v>802</v>
      </c>
      <c r="L1339" t="s">
        <v>1092</v>
      </c>
      <c r="M1339" t="s">
        <v>208</v>
      </c>
      <c r="N1339" t="s">
        <v>829</v>
      </c>
      <c r="O1339" t="s">
        <v>894</v>
      </c>
      <c r="P1339" t="s">
        <v>772</v>
      </c>
      <c r="Q1339" t="s">
        <v>764</v>
      </c>
      <c r="R1339">
        <v>40</v>
      </c>
      <c r="S1339">
        <v>14</v>
      </c>
      <c r="T1339">
        <v>0</v>
      </c>
      <c r="U1339">
        <v>0</v>
      </c>
      <c r="V1339">
        <v>0</v>
      </c>
      <c r="W1339">
        <v>0</v>
      </c>
      <c r="X1339">
        <v>0</v>
      </c>
      <c r="Y1339">
        <v>0</v>
      </c>
      <c r="Z1339">
        <v>0</v>
      </c>
      <c r="AA1339">
        <v>0</v>
      </c>
      <c r="AB1339">
        <v>0</v>
      </c>
      <c r="AC1339">
        <v>0</v>
      </c>
      <c r="AD1339">
        <v>20</v>
      </c>
      <c r="AE1339">
        <v>10</v>
      </c>
      <c r="AF1339">
        <v>100</v>
      </c>
      <c r="AG1339">
        <v>5</v>
      </c>
      <c r="AH1339">
        <v>100</v>
      </c>
      <c r="AI1339">
        <v>5</v>
      </c>
      <c r="AY1339" t="str">
        <f t="shared" si="199"/>
        <v>TYLOGRAN 100 %</v>
      </c>
      <c r="AZ1339" t="str">
        <f>IF(COUNTIF(AY:AY,AY1339)=1,AY1339,IF(AND(COUNTIF(AY:AY,AY1339)&gt;1,COUNTIF(AZ$2:AZ1338,AY1339)&gt;=1),"",AY1339))</f>
        <v>TYLOGRAN 100 %</v>
      </c>
      <c r="BA1339">
        <f>IF(AZ1339="","",COUNTIFS(AZ$3:AZ$1439,"&lt;"&amp;AZ1339,AZ$3:AZ$1439,"&lt;&gt;0")+COUNTIF(AZ$3:AZ1339,AZ1339)-876)</f>
        <v>527</v>
      </c>
      <c r="CN1339">
        <v>1338</v>
      </c>
    </row>
    <row r="1340" spans="1:92" x14ac:dyDescent="0.3">
      <c r="A1340" t="s">
        <v>4097</v>
      </c>
      <c r="B1340" t="s">
        <v>4099</v>
      </c>
      <c r="C1340" t="s">
        <v>891</v>
      </c>
      <c r="D1340" s="144" t="s">
        <v>829</v>
      </c>
      <c r="E1340" t="s">
        <v>830</v>
      </c>
      <c r="F1340" t="s">
        <v>524</v>
      </c>
      <c r="G1340" t="s">
        <v>831</v>
      </c>
      <c r="H1340" t="s">
        <v>2803</v>
      </c>
      <c r="I1340" t="s">
        <v>817</v>
      </c>
      <c r="J1340" t="s">
        <v>802</v>
      </c>
      <c r="K1340" t="s">
        <v>802</v>
      </c>
      <c r="L1340" t="s">
        <v>1092</v>
      </c>
      <c r="M1340" t="s">
        <v>208</v>
      </c>
      <c r="N1340" t="s">
        <v>829</v>
      </c>
      <c r="O1340" t="s">
        <v>894</v>
      </c>
      <c r="P1340" t="s">
        <v>772</v>
      </c>
      <c r="Q1340" t="s">
        <v>829</v>
      </c>
      <c r="R1340">
        <v>40</v>
      </c>
      <c r="S1340">
        <v>14</v>
      </c>
      <c r="T1340">
        <v>0</v>
      </c>
      <c r="U1340">
        <v>0</v>
      </c>
      <c r="V1340">
        <v>0</v>
      </c>
      <c r="W1340">
        <v>0</v>
      </c>
      <c r="X1340">
        <v>0</v>
      </c>
      <c r="Y1340">
        <v>0</v>
      </c>
      <c r="Z1340">
        <v>0</v>
      </c>
      <c r="AA1340">
        <v>0</v>
      </c>
      <c r="AB1340">
        <v>0</v>
      </c>
      <c r="AC1340">
        <v>0</v>
      </c>
      <c r="AD1340">
        <v>20</v>
      </c>
      <c r="AE1340">
        <v>10</v>
      </c>
      <c r="AF1340">
        <v>100</v>
      </c>
      <c r="AG1340">
        <v>5</v>
      </c>
      <c r="AH1340">
        <v>100</v>
      </c>
      <c r="AI1340">
        <v>5</v>
      </c>
      <c r="AY1340" t="str">
        <f t="shared" si="199"/>
        <v>TYLOGRAN 100 %</v>
      </c>
      <c r="AZ1340" t="str">
        <f>IF(COUNTIF(AY:AY,AY1340)=1,AY1340,IF(AND(COUNTIF(AY:AY,AY1340)&gt;1,COUNTIF(AZ$2:AZ1339,AY1340)&gt;=1),"",AY1340))</f>
        <v/>
      </c>
      <c r="BA1340" t="str">
        <f>IF(AZ1340="","",COUNTIFS(AZ$3:AZ$1439,"&lt;"&amp;AZ1340,AZ$3:AZ$1439,"&lt;&gt;0")+COUNTIF(AZ$3:AZ1340,AZ1340)-876)</f>
        <v/>
      </c>
      <c r="CN1340">
        <v>1339</v>
      </c>
    </row>
    <row r="1341" spans="1:92" x14ac:dyDescent="0.3">
      <c r="A1341" t="s">
        <v>3243</v>
      </c>
      <c r="B1341" t="s">
        <v>3244</v>
      </c>
      <c r="C1341" t="s">
        <v>3245</v>
      </c>
      <c r="D1341" s="144" t="s">
        <v>764</v>
      </c>
      <c r="E1341" t="s">
        <v>830</v>
      </c>
      <c r="F1341" t="s">
        <v>131</v>
      </c>
      <c r="G1341" t="s">
        <v>831</v>
      </c>
      <c r="H1341" t="s">
        <v>832</v>
      </c>
      <c r="I1341" t="s">
        <v>817</v>
      </c>
      <c r="J1341" t="s">
        <v>802</v>
      </c>
      <c r="K1341" t="s">
        <v>802</v>
      </c>
      <c r="L1341" t="s">
        <v>1092</v>
      </c>
      <c r="M1341" t="s">
        <v>208</v>
      </c>
      <c r="N1341" t="s">
        <v>829</v>
      </c>
      <c r="O1341" t="s">
        <v>894</v>
      </c>
      <c r="P1341" t="s">
        <v>772</v>
      </c>
      <c r="Q1341" t="s">
        <v>764</v>
      </c>
      <c r="R1341">
        <v>40</v>
      </c>
      <c r="S1341">
        <v>14</v>
      </c>
      <c r="T1341">
        <v>0</v>
      </c>
      <c r="U1341">
        <v>0</v>
      </c>
      <c r="V1341">
        <v>0</v>
      </c>
      <c r="W1341">
        <v>0</v>
      </c>
      <c r="X1341">
        <v>0</v>
      </c>
      <c r="Y1341">
        <v>0</v>
      </c>
      <c r="Z1341">
        <v>0</v>
      </c>
      <c r="AA1341">
        <v>0</v>
      </c>
      <c r="AB1341">
        <v>0</v>
      </c>
      <c r="AC1341">
        <v>0</v>
      </c>
      <c r="AD1341">
        <v>25</v>
      </c>
      <c r="AE1341">
        <v>10</v>
      </c>
      <c r="AF1341">
        <v>100</v>
      </c>
      <c r="AG1341">
        <v>5</v>
      </c>
      <c r="AH1341">
        <v>0</v>
      </c>
      <c r="AI1341">
        <v>0</v>
      </c>
      <c r="AY1341" t="str">
        <f t="shared" si="199"/>
        <v>TYLOLIDE</v>
      </c>
      <c r="AZ1341" t="str">
        <f>IF(COUNTIF(AY:AY,AY1341)=1,AY1341,IF(AND(COUNTIF(AY:AY,AY1341)&gt;1,COUNTIF(AZ$2:AZ1340,AY1341)&gt;=1),"",AY1341))</f>
        <v>TYLOLIDE</v>
      </c>
      <c r="BA1341">
        <f>IF(AZ1341="","",COUNTIFS(AZ$3:AZ$1439,"&lt;"&amp;AZ1341,AZ$3:AZ$1439,"&lt;&gt;0")+COUNTIF(AZ$3:AZ1341,AZ1341)-876)</f>
        <v>528</v>
      </c>
      <c r="CN1341">
        <v>1340</v>
      </c>
    </row>
    <row r="1342" spans="1:92" x14ac:dyDescent="0.3">
      <c r="A1342" t="s">
        <v>3051</v>
      </c>
      <c r="B1342" t="s">
        <v>3052</v>
      </c>
      <c r="C1342" t="s">
        <v>3053</v>
      </c>
      <c r="D1342" s="144" t="s">
        <v>764</v>
      </c>
      <c r="E1342" t="s">
        <v>830</v>
      </c>
      <c r="F1342" t="s">
        <v>132</v>
      </c>
      <c r="G1342" t="s">
        <v>831</v>
      </c>
      <c r="H1342" t="s">
        <v>3054</v>
      </c>
      <c r="I1342" t="s">
        <v>817</v>
      </c>
      <c r="J1342" t="s">
        <v>802</v>
      </c>
      <c r="K1342" t="s">
        <v>802</v>
      </c>
      <c r="L1342" t="s">
        <v>1092</v>
      </c>
      <c r="M1342" t="s">
        <v>208</v>
      </c>
      <c r="N1342" t="s">
        <v>829</v>
      </c>
      <c r="O1342" t="s">
        <v>894</v>
      </c>
      <c r="P1342" t="s">
        <v>772</v>
      </c>
      <c r="Q1342" t="s">
        <v>764</v>
      </c>
      <c r="R1342">
        <v>40</v>
      </c>
      <c r="S1342">
        <v>14</v>
      </c>
      <c r="T1342">
        <v>0</v>
      </c>
      <c r="U1342">
        <v>0</v>
      </c>
      <c r="V1342">
        <v>0</v>
      </c>
      <c r="W1342">
        <v>0</v>
      </c>
      <c r="X1342">
        <v>0</v>
      </c>
      <c r="Y1342">
        <v>0</v>
      </c>
      <c r="Z1342">
        <v>0</v>
      </c>
      <c r="AA1342">
        <v>0</v>
      </c>
      <c r="AB1342">
        <v>0</v>
      </c>
      <c r="AC1342">
        <v>0</v>
      </c>
      <c r="AD1342">
        <v>25</v>
      </c>
      <c r="AE1342">
        <v>10</v>
      </c>
      <c r="AF1342">
        <v>100</v>
      </c>
      <c r="AG1342">
        <v>5</v>
      </c>
      <c r="AH1342">
        <v>0</v>
      </c>
      <c r="AI1342">
        <v>0</v>
      </c>
      <c r="AY1342" t="str">
        <f t="shared" si="199"/>
        <v>TYLORAL</v>
      </c>
      <c r="AZ1342" t="str">
        <f>IF(COUNTIF(AY:AY,AY1342)=1,AY1342,IF(AND(COUNTIF(AY:AY,AY1342)&gt;1,COUNTIF(AZ$2:AZ1341,AY1342)&gt;=1),"",AY1342))</f>
        <v>TYLORAL</v>
      </c>
      <c r="BA1342">
        <f>IF(AZ1342="","",COUNTIFS(AZ$3:AZ$1439,"&lt;"&amp;AZ1342,AZ$3:AZ$1439,"&lt;&gt;0")+COUNTIF(AZ$3:AZ1342,AZ1342)-876)</f>
        <v>529</v>
      </c>
      <c r="CN1342">
        <v>1341</v>
      </c>
    </row>
    <row r="1343" spans="1:92" x14ac:dyDescent="0.3">
      <c r="A1343" t="s">
        <v>3051</v>
      </c>
      <c r="B1343" t="s">
        <v>3055</v>
      </c>
      <c r="C1343" t="s">
        <v>3056</v>
      </c>
      <c r="D1343" s="144" t="s">
        <v>764</v>
      </c>
      <c r="E1343" t="s">
        <v>830</v>
      </c>
      <c r="F1343" t="s">
        <v>132</v>
      </c>
      <c r="G1343" t="s">
        <v>831</v>
      </c>
      <c r="H1343" t="s">
        <v>3054</v>
      </c>
      <c r="I1343" t="s">
        <v>817</v>
      </c>
      <c r="J1343" t="s">
        <v>802</v>
      </c>
      <c r="K1343" t="s">
        <v>802</v>
      </c>
      <c r="L1343" t="s">
        <v>1092</v>
      </c>
      <c r="M1343" t="s">
        <v>208</v>
      </c>
      <c r="N1343" t="s">
        <v>829</v>
      </c>
      <c r="O1343" t="s">
        <v>894</v>
      </c>
      <c r="P1343" t="s">
        <v>772</v>
      </c>
      <c r="Q1343" t="s">
        <v>764</v>
      </c>
      <c r="R1343">
        <v>40</v>
      </c>
      <c r="S1343">
        <v>14</v>
      </c>
      <c r="T1343">
        <v>0</v>
      </c>
      <c r="U1343">
        <v>0</v>
      </c>
      <c r="V1343">
        <v>0</v>
      </c>
      <c r="W1343">
        <v>0</v>
      </c>
      <c r="X1343">
        <v>0</v>
      </c>
      <c r="Y1343">
        <v>0</v>
      </c>
      <c r="Z1343">
        <v>0</v>
      </c>
      <c r="AA1343">
        <v>0</v>
      </c>
      <c r="AB1343">
        <v>0</v>
      </c>
      <c r="AC1343">
        <v>0</v>
      </c>
      <c r="AD1343">
        <v>25</v>
      </c>
      <c r="AE1343">
        <v>10</v>
      </c>
      <c r="AF1343">
        <v>100</v>
      </c>
      <c r="AG1343">
        <v>5</v>
      </c>
      <c r="AH1343">
        <v>0</v>
      </c>
      <c r="AI1343">
        <v>0</v>
      </c>
      <c r="AY1343" t="str">
        <f t="shared" si="199"/>
        <v>TYLORAL</v>
      </c>
      <c r="AZ1343" t="str">
        <f>IF(COUNTIF(AY:AY,AY1343)=1,AY1343,IF(AND(COUNTIF(AY:AY,AY1343)&gt;1,COUNTIF(AZ$2:AZ1342,AY1343)&gt;=1),"",AY1343))</f>
        <v/>
      </c>
      <c r="BA1343" t="str">
        <f>IF(AZ1343="","",COUNTIFS(AZ$3:AZ$1439,"&lt;"&amp;AZ1343,AZ$3:AZ$1439,"&lt;&gt;0")+COUNTIF(AZ$3:AZ1343,AZ1343)-876)</f>
        <v/>
      </c>
      <c r="CN1343">
        <v>1342</v>
      </c>
    </row>
    <row r="1344" spans="1:92" x14ac:dyDescent="0.3">
      <c r="A1344" t="s">
        <v>3051</v>
      </c>
      <c r="B1344" t="s">
        <v>3057</v>
      </c>
      <c r="C1344" t="s">
        <v>3058</v>
      </c>
      <c r="D1344" s="144" t="s">
        <v>829</v>
      </c>
      <c r="E1344" t="s">
        <v>830</v>
      </c>
      <c r="F1344" t="s">
        <v>132</v>
      </c>
      <c r="G1344" t="s">
        <v>831</v>
      </c>
      <c r="H1344" t="s">
        <v>3054</v>
      </c>
      <c r="I1344" t="s">
        <v>817</v>
      </c>
      <c r="J1344" t="s">
        <v>802</v>
      </c>
      <c r="K1344" t="s">
        <v>802</v>
      </c>
      <c r="L1344" t="s">
        <v>1092</v>
      </c>
      <c r="M1344" t="s">
        <v>208</v>
      </c>
      <c r="N1344" t="s">
        <v>829</v>
      </c>
      <c r="O1344" t="s">
        <v>894</v>
      </c>
      <c r="P1344" t="s">
        <v>772</v>
      </c>
      <c r="Q1344" t="s">
        <v>829</v>
      </c>
      <c r="R1344">
        <v>40</v>
      </c>
      <c r="S1344">
        <v>14</v>
      </c>
      <c r="T1344">
        <v>0</v>
      </c>
      <c r="U1344">
        <v>0</v>
      </c>
      <c r="V1344">
        <v>0</v>
      </c>
      <c r="W1344">
        <v>0</v>
      </c>
      <c r="X1344">
        <v>0</v>
      </c>
      <c r="Y1344">
        <v>0</v>
      </c>
      <c r="Z1344">
        <v>0</v>
      </c>
      <c r="AA1344">
        <v>0</v>
      </c>
      <c r="AB1344">
        <v>0</v>
      </c>
      <c r="AC1344">
        <v>0</v>
      </c>
      <c r="AD1344">
        <v>25</v>
      </c>
      <c r="AE1344">
        <v>10</v>
      </c>
      <c r="AF1344">
        <v>100</v>
      </c>
      <c r="AG1344">
        <v>5</v>
      </c>
      <c r="AH1344">
        <v>0</v>
      </c>
      <c r="AI1344">
        <v>0</v>
      </c>
      <c r="AY1344" t="str">
        <f t="shared" si="199"/>
        <v>TYLORAL</v>
      </c>
      <c r="AZ1344" t="str">
        <f>IF(COUNTIF(AY:AY,AY1344)=1,AY1344,IF(AND(COUNTIF(AY:AY,AY1344)&gt;1,COUNTIF(AZ$2:AZ1343,AY1344)&gt;=1),"",AY1344))</f>
        <v/>
      </c>
      <c r="BA1344" t="str">
        <f>IF(AZ1344="","",COUNTIFS(AZ$3:AZ$1439,"&lt;"&amp;AZ1344,AZ$3:AZ$1439,"&lt;&gt;0")+COUNTIF(AZ$3:AZ1344,AZ1344)-876)</f>
        <v/>
      </c>
      <c r="CN1344">
        <v>1343</v>
      </c>
    </row>
    <row r="1345" spans="1:92" x14ac:dyDescent="0.3">
      <c r="A1345" t="s">
        <v>3051</v>
      </c>
      <c r="B1345" t="s">
        <v>4516</v>
      </c>
      <c r="C1345" t="s">
        <v>3277</v>
      </c>
      <c r="D1345" s="144" t="s">
        <v>829</v>
      </c>
      <c r="E1345" t="s">
        <v>830</v>
      </c>
      <c r="F1345" t="s">
        <v>132</v>
      </c>
      <c r="G1345" t="s">
        <v>831</v>
      </c>
      <c r="H1345" t="s">
        <v>3054</v>
      </c>
      <c r="I1345" t="s">
        <v>817</v>
      </c>
      <c r="J1345" t="s">
        <v>802</v>
      </c>
      <c r="K1345" t="s">
        <v>802</v>
      </c>
      <c r="L1345" t="s">
        <v>1092</v>
      </c>
      <c r="M1345" t="s">
        <v>208</v>
      </c>
      <c r="N1345" t="s">
        <v>829</v>
      </c>
      <c r="O1345" t="s">
        <v>894</v>
      </c>
      <c r="P1345" t="s">
        <v>772</v>
      </c>
      <c r="Q1345" t="s">
        <v>829</v>
      </c>
      <c r="R1345">
        <v>40</v>
      </c>
      <c r="S1345">
        <v>14</v>
      </c>
      <c r="T1345">
        <v>0</v>
      </c>
      <c r="U1345">
        <v>0</v>
      </c>
      <c r="V1345">
        <v>0</v>
      </c>
      <c r="W1345">
        <v>0</v>
      </c>
      <c r="X1345">
        <v>0</v>
      </c>
      <c r="Y1345">
        <v>0</v>
      </c>
      <c r="Z1345">
        <v>0</v>
      </c>
      <c r="AA1345">
        <v>0</v>
      </c>
      <c r="AB1345">
        <v>0</v>
      </c>
      <c r="AC1345">
        <v>0</v>
      </c>
      <c r="AD1345">
        <v>25</v>
      </c>
      <c r="AE1345">
        <v>10</v>
      </c>
      <c r="AF1345">
        <v>100</v>
      </c>
      <c r="AG1345">
        <v>5</v>
      </c>
      <c r="AH1345">
        <v>0</v>
      </c>
      <c r="AI1345">
        <v>0</v>
      </c>
      <c r="AY1345" t="str">
        <f t="shared" si="199"/>
        <v>TYLORAL</v>
      </c>
      <c r="AZ1345" t="str">
        <f>IF(COUNTIF(AY:AY,AY1345)=1,AY1345,IF(AND(COUNTIF(AY:AY,AY1345)&gt;1,COUNTIF(AZ$2:AZ1344,AY1345)&gt;=1),"",AY1345))</f>
        <v/>
      </c>
      <c r="BA1345" t="str">
        <f>IF(AZ1345="","",COUNTIFS(AZ$3:AZ$1439,"&lt;"&amp;AZ1345,AZ$3:AZ$1439,"&lt;&gt;0")+COUNTIF(AZ$3:AZ1345,AZ1345)-876)</f>
        <v/>
      </c>
      <c r="CN1345">
        <v>1344</v>
      </c>
    </row>
    <row r="1346" spans="1:92" x14ac:dyDescent="0.3">
      <c r="A1346" t="s">
        <v>3614</v>
      </c>
      <c r="B1346" t="s">
        <v>3615</v>
      </c>
      <c r="C1346" t="s">
        <v>1293</v>
      </c>
      <c r="D1346" s="144" t="s">
        <v>924</v>
      </c>
      <c r="E1346" t="s">
        <v>830</v>
      </c>
      <c r="F1346" t="s">
        <v>525</v>
      </c>
      <c r="G1346" t="s">
        <v>831</v>
      </c>
      <c r="H1346" t="s">
        <v>1213</v>
      </c>
      <c r="I1346" t="s">
        <v>817</v>
      </c>
      <c r="J1346" t="s">
        <v>802</v>
      </c>
      <c r="K1346" t="s">
        <v>802</v>
      </c>
      <c r="L1346" t="s">
        <v>1092</v>
      </c>
      <c r="M1346" t="s">
        <v>208</v>
      </c>
      <c r="N1346" t="s">
        <v>1730</v>
      </c>
      <c r="O1346" t="s">
        <v>834</v>
      </c>
      <c r="P1346" t="s">
        <v>1537</v>
      </c>
      <c r="Q1346" t="s">
        <v>958</v>
      </c>
      <c r="R1346">
        <v>0</v>
      </c>
      <c r="S1346">
        <v>0</v>
      </c>
      <c r="T1346">
        <v>0</v>
      </c>
      <c r="U1346">
        <v>0</v>
      </c>
      <c r="V1346">
        <v>0</v>
      </c>
      <c r="W1346">
        <v>0</v>
      </c>
      <c r="X1346">
        <v>0</v>
      </c>
      <c r="Y1346">
        <v>0</v>
      </c>
      <c r="Z1346">
        <v>0</v>
      </c>
      <c r="AA1346">
        <v>0</v>
      </c>
      <c r="AB1346">
        <v>0</v>
      </c>
      <c r="AC1346">
        <v>0</v>
      </c>
      <c r="AD1346">
        <v>18.399999999999999</v>
      </c>
      <c r="AE1346">
        <v>5</v>
      </c>
      <c r="AF1346">
        <v>0</v>
      </c>
      <c r="AG1346">
        <v>0</v>
      </c>
      <c r="AH1346">
        <v>0</v>
      </c>
      <c r="AI1346">
        <v>0</v>
      </c>
      <c r="AY1346" t="str">
        <f t="shared" si="199"/>
        <v>TYLOSOL 9,2</v>
      </c>
      <c r="AZ1346" t="str">
        <f>IF(COUNTIF(AY:AY,AY1346)=1,AY1346,IF(AND(COUNTIF(AY:AY,AY1346)&gt;1,COUNTIF(AZ$2:AZ1345,AY1346)&gt;=1),"",AY1346))</f>
        <v>TYLOSOL 9,2</v>
      </c>
      <c r="BA1346">
        <f>IF(AZ1346="","",COUNTIFS(AZ$3:AZ$1439,"&lt;"&amp;AZ1346,AZ$3:AZ$1439,"&lt;&gt;0")+COUNTIF(AZ$3:AZ1346,AZ1346)-876)</f>
        <v>530</v>
      </c>
      <c r="CN1346">
        <v>1345</v>
      </c>
    </row>
    <row r="1347" spans="1:92" x14ac:dyDescent="0.3">
      <c r="A1347" t="s">
        <v>3614</v>
      </c>
      <c r="B1347" t="s">
        <v>3616</v>
      </c>
      <c r="C1347" t="s">
        <v>1313</v>
      </c>
      <c r="D1347" s="144" t="s">
        <v>955</v>
      </c>
      <c r="E1347" t="s">
        <v>830</v>
      </c>
      <c r="F1347" t="s">
        <v>525</v>
      </c>
      <c r="G1347" t="s">
        <v>831</v>
      </c>
      <c r="H1347" t="s">
        <v>1213</v>
      </c>
      <c r="I1347" t="s">
        <v>817</v>
      </c>
      <c r="J1347" t="s">
        <v>802</v>
      </c>
      <c r="K1347" t="s">
        <v>802</v>
      </c>
      <c r="L1347" t="s">
        <v>1092</v>
      </c>
      <c r="M1347" t="s">
        <v>208</v>
      </c>
      <c r="N1347" t="s">
        <v>1730</v>
      </c>
      <c r="O1347" t="s">
        <v>834</v>
      </c>
      <c r="P1347" t="s">
        <v>1537</v>
      </c>
      <c r="Q1347" t="s">
        <v>1731</v>
      </c>
      <c r="R1347">
        <v>0</v>
      </c>
      <c r="S1347">
        <v>0</v>
      </c>
      <c r="T1347">
        <v>0</v>
      </c>
      <c r="U1347">
        <v>0</v>
      </c>
      <c r="V1347">
        <v>0</v>
      </c>
      <c r="W1347">
        <v>0</v>
      </c>
      <c r="X1347">
        <v>0</v>
      </c>
      <c r="Y1347">
        <v>0</v>
      </c>
      <c r="Z1347">
        <v>0</v>
      </c>
      <c r="AA1347">
        <v>0</v>
      </c>
      <c r="AB1347">
        <v>0</v>
      </c>
      <c r="AC1347">
        <v>0</v>
      </c>
      <c r="AD1347">
        <v>18.399999999999999</v>
      </c>
      <c r="AE1347">
        <v>5</v>
      </c>
      <c r="AF1347">
        <v>0</v>
      </c>
      <c r="AG1347">
        <v>0</v>
      </c>
      <c r="AH1347">
        <v>0</v>
      </c>
      <c r="AI1347">
        <v>0</v>
      </c>
      <c r="AY1347" t="str">
        <f t="shared" ref="AY1347:AY1410" si="200">IF(INDEX(CK$3:CL$174,MATCH(H1347,CK$3:CK$174,0),2)="x",F1347,"")</f>
        <v>TYLOSOL 9,2</v>
      </c>
      <c r="AZ1347" t="str">
        <f>IF(COUNTIF(AY:AY,AY1347)=1,AY1347,IF(AND(COUNTIF(AY:AY,AY1347)&gt;1,COUNTIF(AZ$2:AZ1346,AY1347)&gt;=1),"",AY1347))</f>
        <v/>
      </c>
      <c r="BA1347" t="str">
        <f>IF(AZ1347="","",COUNTIFS(AZ$3:AZ$1439,"&lt;"&amp;AZ1347,AZ$3:AZ$1439,"&lt;&gt;0")+COUNTIF(AZ$3:AZ1347,AZ1347)-876)</f>
        <v/>
      </c>
      <c r="CN1347">
        <v>1346</v>
      </c>
    </row>
    <row r="1348" spans="1:92" x14ac:dyDescent="0.3">
      <c r="A1348" t="s">
        <v>4142</v>
      </c>
      <c r="B1348" t="s">
        <v>4143</v>
      </c>
      <c r="C1348" t="s">
        <v>792</v>
      </c>
      <c r="D1348" s="144" t="s">
        <v>764</v>
      </c>
      <c r="E1348" t="s">
        <v>765</v>
      </c>
      <c r="F1348" t="s">
        <v>526</v>
      </c>
      <c r="G1348" t="s">
        <v>766</v>
      </c>
      <c r="H1348" t="s">
        <v>1326</v>
      </c>
      <c r="I1348" t="s">
        <v>766</v>
      </c>
      <c r="J1348" t="s">
        <v>802</v>
      </c>
      <c r="K1348" t="s">
        <v>802</v>
      </c>
      <c r="L1348" t="s">
        <v>1092</v>
      </c>
      <c r="M1348" t="s">
        <v>208</v>
      </c>
      <c r="N1348" t="s">
        <v>1103</v>
      </c>
      <c r="O1348" t="s">
        <v>805</v>
      </c>
      <c r="P1348" t="s">
        <v>1537</v>
      </c>
      <c r="Q1348" t="s">
        <v>869</v>
      </c>
      <c r="R1348">
        <v>10</v>
      </c>
      <c r="S1348">
        <v>3</v>
      </c>
      <c r="T1348">
        <v>0</v>
      </c>
      <c r="U1348">
        <v>0</v>
      </c>
      <c r="V1348">
        <v>0</v>
      </c>
      <c r="W1348">
        <v>0</v>
      </c>
      <c r="X1348">
        <v>0</v>
      </c>
      <c r="Y1348">
        <v>0</v>
      </c>
      <c r="Z1348">
        <v>0</v>
      </c>
      <c r="AA1348">
        <v>0</v>
      </c>
      <c r="AB1348">
        <v>0</v>
      </c>
      <c r="AC1348">
        <v>0</v>
      </c>
      <c r="AD1348">
        <v>10</v>
      </c>
      <c r="AE1348">
        <v>3</v>
      </c>
      <c r="AF1348">
        <v>0</v>
      </c>
      <c r="AG1348">
        <v>0</v>
      </c>
      <c r="AH1348">
        <v>0</v>
      </c>
      <c r="AI1348">
        <v>0</v>
      </c>
      <c r="AY1348" t="str">
        <f t="shared" si="200"/>
        <v>TYLUCYL 200 MG/ML SOLUTION INJECTABLE POUR BOVINS ET PORCINS</v>
      </c>
      <c r="AZ1348" t="str">
        <f>IF(COUNTIF(AY:AY,AY1348)=1,AY1348,IF(AND(COUNTIF(AY:AY,AY1348)&gt;1,COUNTIF(AZ$2:AZ1347,AY1348)&gt;=1),"",AY1348))</f>
        <v>TYLUCYL 200 MG/ML SOLUTION INJECTABLE POUR BOVINS ET PORCINS</v>
      </c>
      <c r="BA1348">
        <f>IF(AZ1348="","",COUNTIFS(AZ$3:AZ$1439,"&lt;"&amp;AZ1348,AZ$3:AZ$1439,"&lt;&gt;0")+COUNTIF(AZ$3:AZ1348,AZ1348)-876)</f>
        <v>531</v>
      </c>
      <c r="CN1348">
        <v>1347</v>
      </c>
    </row>
    <row r="1349" spans="1:92" x14ac:dyDescent="0.3">
      <c r="A1349" t="s">
        <v>4142</v>
      </c>
      <c r="B1349" t="s">
        <v>4144</v>
      </c>
      <c r="C1349" t="s">
        <v>796</v>
      </c>
      <c r="D1349" s="144" t="s">
        <v>776</v>
      </c>
      <c r="E1349" t="s">
        <v>765</v>
      </c>
      <c r="F1349" t="s">
        <v>526</v>
      </c>
      <c r="G1349" t="s">
        <v>766</v>
      </c>
      <c r="H1349" t="s">
        <v>1326</v>
      </c>
      <c r="I1349" t="s">
        <v>766</v>
      </c>
      <c r="J1349" t="s">
        <v>802</v>
      </c>
      <c r="K1349" t="s">
        <v>802</v>
      </c>
      <c r="L1349" t="s">
        <v>1092</v>
      </c>
      <c r="M1349" t="s">
        <v>208</v>
      </c>
      <c r="N1349" t="s">
        <v>1103</v>
      </c>
      <c r="O1349" t="s">
        <v>805</v>
      </c>
      <c r="P1349" t="s">
        <v>1537</v>
      </c>
      <c r="Q1349" t="s">
        <v>780</v>
      </c>
      <c r="R1349">
        <v>10</v>
      </c>
      <c r="S1349">
        <v>3</v>
      </c>
      <c r="T1349">
        <v>0</v>
      </c>
      <c r="U1349">
        <v>0</v>
      </c>
      <c r="V1349">
        <v>0</v>
      </c>
      <c r="W1349">
        <v>0</v>
      </c>
      <c r="X1349">
        <v>0</v>
      </c>
      <c r="Y1349">
        <v>0</v>
      </c>
      <c r="Z1349">
        <v>0</v>
      </c>
      <c r="AA1349">
        <v>0</v>
      </c>
      <c r="AB1349">
        <v>0</v>
      </c>
      <c r="AC1349">
        <v>0</v>
      </c>
      <c r="AD1349">
        <v>10</v>
      </c>
      <c r="AE1349">
        <v>3</v>
      </c>
      <c r="AF1349">
        <v>0</v>
      </c>
      <c r="AG1349">
        <v>0</v>
      </c>
      <c r="AH1349">
        <v>0</v>
      </c>
      <c r="AI1349">
        <v>0</v>
      </c>
      <c r="AY1349" t="str">
        <f t="shared" si="200"/>
        <v>TYLUCYL 200 MG/ML SOLUTION INJECTABLE POUR BOVINS ET PORCINS</v>
      </c>
      <c r="AZ1349" t="str">
        <f>IF(COUNTIF(AY:AY,AY1349)=1,AY1349,IF(AND(COUNTIF(AY:AY,AY1349)&gt;1,COUNTIF(AZ$2:AZ1348,AY1349)&gt;=1),"",AY1349))</f>
        <v/>
      </c>
      <c r="BA1349" t="str">
        <f>IF(AZ1349="","",COUNTIFS(AZ$3:AZ$1439,"&lt;"&amp;AZ1349,AZ$3:AZ$1439,"&lt;&gt;0")+COUNTIF(AZ$3:AZ1349,AZ1349)-876)</f>
        <v/>
      </c>
      <c r="CN1349">
        <v>1348</v>
      </c>
    </row>
    <row r="1350" spans="1:92" x14ac:dyDescent="0.3">
      <c r="A1350" t="s">
        <v>3679</v>
      </c>
      <c r="B1350" t="s">
        <v>3680</v>
      </c>
      <c r="C1350" t="s">
        <v>3678</v>
      </c>
      <c r="D1350" s="144" t="s">
        <v>764</v>
      </c>
      <c r="E1350" t="s">
        <v>765</v>
      </c>
      <c r="F1350" t="s">
        <v>700</v>
      </c>
      <c r="G1350" t="s">
        <v>766</v>
      </c>
      <c r="H1350" t="s">
        <v>2689</v>
      </c>
      <c r="I1350" t="s">
        <v>766</v>
      </c>
      <c r="J1350" t="s">
        <v>2366</v>
      </c>
      <c r="K1350" t="s">
        <v>2366</v>
      </c>
      <c r="L1350" t="s">
        <v>2690</v>
      </c>
      <c r="M1350" t="s">
        <v>208</v>
      </c>
      <c r="N1350" t="s">
        <v>764</v>
      </c>
      <c r="O1350" t="s">
        <v>771</v>
      </c>
      <c r="P1350" t="s">
        <v>772</v>
      </c>
      <c r="Q1350" t="s">
        <v>852</v>
      </c>
      <c r="R1350">
        <v>2</v>
      </c>
      <c r="S1350">
        <v>5</v>
      </c>
      <c r="T1350">
        <v>0</v>
      </c>
      <c r="U1350">
        <v>0</v>
      </c>
      <c r="V1350">
        <v>0</v>
      </c>
      <c r="W1350">
        <v>0</v>
      </c>
      <c r="X1350">
        <v>0</v>
      </c>
      <c r="Y1350">
        <v>0</v>
      </c>
      <c r="Z1350">
        <v>0</v>
      </c>
      <c r="AA1350">
        <v>0</v>
      </c>
      <c r="AB1350">
        <v>0</v>
      </c>
      <c r="AC1350">
        <v>0</v>
      </c>
      <c r="AD1350">
        <v>2</v>
      </c>
      <c r="AE1350">
        <v>3</v>
      </c>
      <c r="AF1350">
        <v>0</v>
      </c>
      <c r="AG1350">
        <v>0</v>
      </c>
      <c r="AH1350">
        <v>0</v>
      </c>
      <c r="AI1350">
        <v>0</v>
      </c>
      <c r="AY1350" t="str">
        <f t="shared" si="200"/>
        <v>UBIFLOX 100 MG/ML SOLUTION INJECTABLE POUR BOVINS ET PORCINS (TRUIES)</v>
      </c>
      <c r="AZ1350" t="str">
        <f>IF(COUNTIF(AY:AY,AY1350)=1,AY1350,IF(AND(COUNTIF(AY:AY,AY1350)&gt;1,COUNTIF(AZ$2:AZ1349,AY1350)&gt;=1),"",AY1350))</f>
        <v>UBIFLOX 100 MG/ML SOLUTION INJECTABLE POUR BOVINS ET PORCINS (TRUIES)</v>
      </c>
      <c r="BA1350">
        <f>IF(AZ1350="","",COUNTIFS(AZ$3:AZ$1439,"&lt;"&amp;AZ1350,AZ$3:AZ$1439,"&lt;&gt;0")+COUNTIF(AZ$3:AZ1350,AZ1350)-876)</f>
        <v>532</v>
      </c>
      <c r="CN1350">
        <v>1349</v>
      </c>
    </row>
    <row r="1351" spans="1:92" x14ac:dyDescent="0.3">
      <c r="A1351" t="s">
        <v>3679</v>
      </c>
      <c r="B1351" t="s">
        <v>3681</v>
      </c>
      <c r="C1351" t="s">
        <v>3682</v>
      </c>
      <c r="D1351" s="144" t="s">
        <v>776</v>
      </c>
      <c r="E1351" t="s">
        <v>765</v>
      </c>
      <c r="F1351" t="s">
        <v>700</v>
      </c>
      <c r="G1351" t="s">
        <v>766</v>
      </c>
      <c r="H1351" t="s">
        <v>2689</v>
      </c>
      <c r="I1351" t="s">
        <v>766</v>
      </c>
      <c r="J1351" t="s">
        <v>2366</v>
      </c>
      <c r="K1351" t="s">
        <v>2366</v>
      </c>
      <c r="L1351" t="s">
        <v>2690</v>
      </c>
      <c r="M1351" t="s">
        <v>208</v>
      </c>
      <c r="N1351" t="s">
        <v>764</v>
      </c>
      <c r="O1351" t="s">
        <v>771</v>
      </c>
      <c r="P1351" t="s">
        <v>772</v>
      </c>
      <c r="Q1351" t="s">
        <v>855</v>
      </c>
      <c r="R1351">
        <v>2</v>
      </c>
      <c r="S1351">
        <v>5</v>
      </c>
      <c r="T1351">
        <v>0</v>
      </c>
      <c r="U1351">
        <v>0</v>
      </c>
      <c r="V1351">
        <v>0</v>
      </c>
      <c r="W1351">
        <v>0</v>
      </c>
      <c r="X1351">
        <v>0</v>
      </c>
      <c r="Y1351">
        <v>0</v>
      </c>
      <c r="Z1351">
        <v>0</v>
      </c>
      <c r="AA1351">
        <v>0</v>
      </c>
      <c r="AB1351">
        <v>0</v>
      </c>
      <c r="AC1351">
        <v>0</v>
      </c>
      <c r="AD1351">
        <v>2</v>
      </c>
      <c r="AE1351">
        <v>3</v>
      </c>
      <c r="AF1351">
        <v>0</v>
      </c>
      <c r="AG1351">
        <v>0</v>
      </c>
      <c r="AH1351">
        <v>0</v>
      </c>
      <c r="AI1351">
        <v>0</v>
      </c>
      <c r="AY1351" t="str">
        <f t="shared" si="200"/>
        <v>UBIFLOX 100 MG/ML SOLUTION INJECTABLE POUR BOVINS ET PORCINS (TRUIES)</v>
      </c>
      <c r="AZ1351" t="str">
        <f>IF(COUNTIF(AY:AY,AY1351)=1,AY1351,IF(AND(COUNTIF(AY:AY,AY1351)&gt;1,COUNTIF(AZ$2:AZ1350,AY1351)&gt;=1),"",AY1351))</f>
        <v/>
      </c>
      <c r="BA1351" t="str">
        <f>IF(AZ1351="","",COUNTIFS(AZ$3:AZ$1439,"&lt;"&amp;AZ1351,AZ$3:AZ$1439,"&lt;&gt;0")+COUNTIF(AZ$3:AZ1351,AZ1351)-876)</f>
        <v/>
      </c>
      <c r="CN1351">
        <v>1350</v>
      </c>
    </row>
    <row r="1352" spans="1:92" x14ac:dyDescent="0.3">
      <c r="A1352" t="s">
        <v>3679</v>
      </c>
      <c r="B1352" t="s">
        <v>3683</v>
      </c>
      <c r="C1352" t="s">
        <v>3684</v>
      </c>
      <c r="D1352" s="144" t="s">
        <v>780</v>
      </c>
      <c r="E1352" t="s">
        <v>765</v>
      </c>
      <c r="F1352" t="s">
        <v>700</v>
      </c>
      <c r="G1352" t="s">
        <v>766</v>
      </c>
      <c r="H1352" t="s">
        <v>2689</v>
      </c>
      <c r="I1352" t="s">
        <v>766</v>
      </c>
      <c r="J1352" t="s">
        <v>2366</v>
      </c>
      <c r="K1352" t="s">
        <v>2366</v>
      </c>
      <c r="L1352" t="s">
        <v>2690</v>
      </c>
      <c r="M1352" t="s">
        <v>208</v>
      </c>
      <c r="N1352" t="s">
        <v>764</v>
      </c>
      <c r="O1352" t="s">
        <v>771</v>
      </c>
      <c r="P1352" t="s">
        <v>772</v>
      </c>
      <c r="Q1352" t="s">
        <v>885</v>
      </c>
      <c r="R1352">
        <v>2</v>
      </c>
      <c r="S1352">
        <v>5</v>
      </c>
      <c r="T1352">
        <v>0</v>
      </c>
      <c r="U1352">
        <v>0</v>
      </c>
      <c r="V1352">
        <v>0</v>
      </c>
      <c r="W1352">
        <v>0</v>
      </c>
      <c r="X1352">
        <v>0</v>
      </c>
      <c r="Y1352">
        <v>0</v>
      </c>
      <c r="Z1352">
        <v>0</v>
      </c>
      <c r="AA1352">
        <v>0</v>
      </c>
      <c r="AB1352">
        <v>0</v>
      </c>
      <c r="AC1352">
        <v>0</v>
      </c>
      <c r="AD1352">
        <v>2</v>
      </c>
      <c r="AE1352">
        <v>3</v>
      </c>
      <c r="AF1352">
        <v>0</v>
      </c>
      <c r="AG1352">
        <v>0</v>
      </c>
      <c r="AH1352">
        <v>0</v>
      </c>
      <c r="AI1352">
        <v>0</v>
      </c>
      <c r="AY1352" t="str">
        <f t="shared" si="200"/>
        <v>UBIFLOX 100 MG/ML SOLUTION INJECTABLE POUR BOVINS ET PORCINS (TRUIES)</v>
      </c>
      <c r="AZ1352" t="str">
        <f>IF(COUNTIF(AY:AY,AY1352)=1,AY1352,IF(AND(COUNTIF(AY:AY,AY1352)&gt;1,COUNTIF(AZ$2:AZ1351,AY1352)&gt;=1),"",AY1352))</f>
        <v/>
      </c>
      <c r="BA1352" t="str">
        <f>IF(AZ1352="","",COUNTIFS(AZ$3:AZ$1439,"&lt;"&amp;AZ1352,AZ$3:AZ$1439,"&lt;&gt;0")+COUNTIF(AZ$3:AZ1352,AZ1352)-876)</f>
        <v/>
      </c>
      <c r="CN1352">
        <v>1351</v>
      </c>
    </row>
    <row r="1353" spans="1:92" x14ac:dyDescent="0.3">
      <c r="A1353" t="s">
        <v>3908</v>
      </c>
      <c r="B1353" t="s">
        <v>3909</v>
      </c>
      <c r="C1353" t="s">
        <v>3906</v>
      </c>
      <c r="D1353" s="144" t="s">
        <v>764</v>
      </c>
      <c r="E1353" t="s">
        <v>813</v>
      </c>
      <c r="F1353" t="s">
        <v>3910</v>
      </c>
      <c r="G1353" t="s">
        <v>815</v>
      </c>
      <c r="H1353" t="s">
        <v>860</v>
      </c>
      <c r="I1353" t="s">
        <v>817</v>
      </c>
      <c r="J1353" t="s">
        <v>2366</v>
      </c>
      <c r="K1353" t="s">
        <v>2366</v>
      </c>
      <c r="L1353" t="s">
        <v>2690</v>
      </c>
      <c r="M1353" t="s">
        <v>208</v>
      </c>
      <c r="N1353" t="s">
        <v>869</v>
      </c>
      <c r="O1353" t="s">
        <v>824</v>
      </c>
      <c r="P1353" t="s">
        <v>772</v>
      </c>
      <c r="Q1353" t="s">
        <v>1033</v>
      </c>
      <c r="R1353">
        <v>0</v>
      </c>
      <c r="S1353">
        <v>0</v>
      </c>
      <c r="T1353">
        <v>2</v>
      </c>
      <c r="U1353">
        <v>21</v>
      </c>
      <c r="V1353">
        <v>0</v>
      </c>
      <c r="W1353">
        <v>0</v>
      </c>
      <c r="X1353">
        <v>0</v>
      </c>
      <c r="Y1353">
        <v>0</v>
      </c>
      <c r="Z1353">
        <v>0</v>
      </c>
      <c r="AA1353">
        <v>0</v>
      </c>
      <c r="AB1353">
        <v>0</v>
      </c>
      <c r="AC1353">
        <v>0</v>
      </c>
      <c r="AD1353">
        <v>0</v>
      </c>
      <c r="AE1353">
        <v>0</v>
      </c>
      <c r="AF1353">
        <v>0</v>
      </c>
      <c r="AG1353">
        <v>0</v>
      </c>
      <c r="AH1353">
        <v>0</v>
      </c>
      <c r="AI1353">
        <v>0</v>
      </c>
      <c r="AY1353" t="str">
        <f t="shared" si="200"/>
        <v/>
      </c>
      <c r="AZ1353" t="str">
        <f>IF(COUNTIF(AY:AY,AY1353)=1,AY1353,IF(AND(COUNTIF(AY:AY,AY1353)&gt;1,COUNTIF(AZ$2:AZ1352,AY1353)&gt;=1),"",AY1353))</f>
        <v/>
      </c>
      <c r="BA1353" t="str">
        <f>IF(AZ1353="","",COUNTIFS(AZ$3:AZ$1439,"&lt;"&amp;AZ1353,AZ$3:AZ$1439,"&lt;&gt;0")+COUNTIF(AZ$3:AZ1353,AZ1353)-876)</f>
        <v/>
      </c>
      <c r="CN1353">
        <v>1352</v>
      </c>
    </row>
    <row r="1354" spans="1:92" x14ac:dyDescent="0.3">
      <c r="A1354" t="s">
        <v>3676</v>
      </c>
      <c r="B1354" t="s">
        <v>3677</v>
      </c>
      <c r="C1354" t="s">
        <v>3678</v>
      </c>
      <c r="D1354" s="144" t="s">
        <v>764</v>
      </c>
      <c r="E1354" t="s">
        <v>765</v>
      </c>
      <c r="F1354" t="s">
        <v>701</v>
      </c>
      <c r="G1354" t="s">
        <v>766</v>
      </c>
      <c r="H1354" t="s">
        <v>1326</v>
      </c>
      <c r="I1354" t="s">
        <v>766</v>
      </c>
      <c r="J1354" t="s">
        <v>2366</v>
      </c>
      <c r="K1354" t="s">
        <v>2366</v>
      </c>
      <c r="L1354" t="s">
        <v>2690</v>
      </c>
      <c r="M1354" t="s">
        <v>208</v>
      </c>
      <c r="N1354" t="s">
        <v>869</v>
      </c>
      <c r="O1354" t="s">
        <v>771</v>
      </c>
      <c r="P1354" t="s">
        <v>772</v>
      </c>
      <c r="Q1354" t="s">
        <v>1033</v>
      </c>
      <c r="R1354">
        <v>2</v>
      </c>
      <c r="S1354">
        <v>5</v>
      </c>
      <c r="T1354">
        <v>0</v>
      </c>
      <c r="U1354">
        <v>0</v>
      </c>
      <c r="V1354">
        <v>0</v>
      </c>
      <c r="W1354">
        <v>0</v>
      </c>
      <c r="X1354">
        <v>0</v>
      </c>
      <c r="Y1354">
        <v>0</v>
      </c>
      <c r="Z1354">
        <v>0</v>
      </c>
      <c r="AA1354">
        <v>0</v>
      </c>
      <c r="AB1354">
        <v>0</v>
      </c>
      <c r="AC1354">
        <v>0</v>
      </c>
      <c r="AD1354">
        <v>2</v>
      </c>
      <c r="AE1354">
        <v>5</v>
      </c>
      <c r="AF1354">
        <v>0</v>
      </c>
      <c r="AG1354">
        <v>0</v>
      </c>
      <c r="AH1354">
        <v>0</v>
      </c>
      <c r="AI1354">
        <v>0</v>
      </c>
      <c r="AY1354" t="str">
        <f t="shared" si="200"/>
        <v>UBIFLOX 20 MG/ML SOLUTION INJECTABLE POUR BOVINS ET PORCINS</v>
      </c>
      <c r="AZ1354" t="str">
        <f>IF(COUNTIF(AY:AY,AY1354)=1,AY1354,IF(AND(COUNTIF(AY:AY,AY1354)&gt;1,COUNTIF(AZ$2:AZ1353,AY1354)&gt;=1),"",AY1354))</f>
        <v>UBIFLOX 20 MG/ML SOLUTION INJECTABLE POUR BOVINS ET PORCINS</v>
      </c>
      <c r="BA1354">
        <f>IF(AZ1354="","",COUNTIFS(AZ$3:AZ$1439,"&lt;"&amp;AZ1354,AZ$3:AZ$1439,"&lt;&gt;0")+COUNTIF(AZ$3:AZ1354,AZ1354)-876)</f>
        <v>533</v>
      </c>
      <c r="CN1354">
        <v>1353</v>
      </c>
    </row>
    <row r="1355" spans="1:92" x14ac:dyDescent="0.3">
      <c r="A1355" t="s">
        <v>3904</v>
      </c>
      <c r="B1355" t="s">
        <v>3905</v>
      </c>
      <c r="C1355" t="s">
        <v>3906</v>
      </c>
      <c r="D1355" s="144" t="s">
        <v>764</v>
      </c>
      <c r="E1355" t="s">
        <v>813</v>
      </c>
      <c r="F1355" t="s">
        <v>3907</v>
      </c>
      <c r="G1355" t="s">
        <v>815</v>
      </c>
      <c r="H1355" t="s">
        <v>816</v>
      </c>
      <c r="I1355" t="s">
        <v>817</v>
      </c>
      <c r="J1355" t="s">
        <v>2366</v>
      </c>
      <c r="K1355" t="s">
        <v>2366</v>
      </c>
      <c r="L1355" t="s">
        <v>2690</v>
      </c>
      <c r="M1355" t="s">
        <v>208</v>
      </c>
      <c r="N1355" t="s">
        <v>885</v>
      </c>
      <c r="O1355" t="s">
        <v>824</v>
      </c>
      <c r="P1355" t="s">
        <v>772</v>
      </c>
      <c r="Q1355" t="s">
        <v>825</v>
      </c>
      <c r="R1355">
        <v>0</v>
      </c>
      <c r="S1355">
        <v>0</v>
      </c>
      <c r="T1355">
        <v>2</v>
      </c>
      <c r="U1355">
        <v>21</v>
      </c>
      <c r="V1355">
        <v>0</v>
      </c>
      <c r="W1355">
        <v>0</v>
      </c>
      <c r="X1355">
        <v>0</v>
      </c>
      <c r="Y1355">
        <v>0</v>
      </c>
      <c r="Z1355">
        <v>0</v>
      </c>
      <c r="AA1355">
        <v>0</v>
      </c>
      <c r="AB1355">
        <v>0</v>
      </c>
      <c r="AC1355">
        <v>0</v>
      </c>
      <c r="AD1355">
        <v>0</v>
      </c>
      <c r="AE1355">
        <v>0</v>
      </c>
      <c r="AF1355">
        <v>0</v>
      </c>
      <c r="AG1355">
        <v>0</v>
      </c>
      <c r="AH1355">
        <v>0</v>
      </c>
      <c r="AI1355">
        <v>0</v>
      </c>
      <c r="AY1355" t="str">
        <f t="shared" si="200"/>
        <v/>
      </c>
      <c r="AZ1355" t="str">
        <f>IF(COUNTIF(AY:AY,AY1355)=1,AY1355,IF(AND(COUNTIF(AY:AY,AY1355)&gt;1,COUNTIF(AZ$2:AZ1354,AY1355)&gt;=1),"",AY1355))</f>
        <v/>
      </c>
      <c r="BA1355" t="str">
        <f>IF(AZ1355="","",COUNTIFS(AZ$3:AZ$1439,"&lt;"&amp;AZ1355,AZ$3:AZ$1439,"&lt;&gt;0")+COUNTIF(AZ$3:AZ1355,AZ1355)-876)</f>
        <v/>
      </c>
      <c r="CN1355">
        <v>1354</v>
      </c>
    </row>
    <row r="1356" spans="1:92" x14ac:dyDescent="0.3">
      <c r="A1356" t="s">
        <v>3911</v>
      </c>
      <c r="B1356" t="s">
        <v>3912</v>
      </c>
      <c r="C1356" t="s">
        <v>3913</v>
      </c>
      <c r="D1356" s="144" t="s">
        <v>1183</v>
      </c>
      <c r="E1356" t="s">
        <v>813</v>
      </c>
      <c r="F1356" t="s">
        <v>3914</v>
      </c>
      <c r="G1356" t="s">
        <v>815</v>
      </c>
      <c r="H1356" t="s">
        <v>860</v>
      </c>
      <c r="I1356" t="s">
        <v>817</v>
      </c>
      <c r="J1356" t="s">
        <v>2366</v>
      </c>
      <c r="K1356" t="s">
        <v>2366</v>
      </c>
      <c r="L1356" t="s">
        <v>2690</v>
      </c>
      <c r="M1356" t="s">
        <v>208</v>
      </c>
      <c r="N1356" t="s">
        <v>940</v>
      </c>
      <c r="O1356" t="s">
        <v>824</v>
      </c>
      <c r="P1356" t="s">
        <v>772</v>
      </c>
      <c r="Q1356" t="s">
        <v>2739</v>
      </c>
      <c r="R1356">
        <v>0</v>
      </c>
      <c r="S1356">
        <v>0</v>
      </c>
      <c r="T1356">
        <v>2</v>
      </c>
      <c r="U1356">
        <v>21</v>
      </c>
      <c r="V1356">
        <v>0</v>
      </c>
      <c r="W1356">
        <v>0</v>
      </c>
      <c r="X1356">
        <v>0</v>
      </c>
      <c r="Y1356">
        <v>0</v>
      </c>
      <c r="Z1356">
        <v>0</v>
      </c>
      <c r="AA1356">
        <v>0</v>
      </c>
      <c r="AB1356">
        <v>0</v>
      </c>
      <c r="AC1356">
        <v>0</v>
      </c>
      <c r="AD1356">
        <v>0</v>
      </c>
      <c r="AE1356">
        <v>0</v>
      </c>
      <c r="AF1356">
        <v>0</v>
      </c>
      <c r="AG1356">
        <v>0</v>
      </c>
      <c r="AH1356">
        <v>0</v>
      </c>
      <c r="AI1356">
        <v>0</v>
      </c>
      <c r="AY1356" t="str">
        <f t="shared" si="200"/>
        <v/>
      </c>
      <c r="AZ1356" t="str">
        <f>IF(COUNTIF(AY:AY,AY1356)=1,AY1356,IF(AND(COUNTIF(AY:AY,AY1356)&gt;1,COUNTIF(AZ$2:AZ1355,AY1356)&gt;=1),"",AY1356))</f>
        <v/>
      </c>
      <c r="BA1356" t="str">
        <f>IF(AZ1356="","",COUNTIFS(AZ$3:AZ$1439,"&lt;"&amp;AZ1356,AZ$3:AZ$1439,"&lt;&gt;0")+COUNTIF(AZ$3:AZ1356,AZ1356)-876)</f>
        <v/>
      </c>
      <c r="CN1356">
        <v>1355</v>
      </c>
    </row>
    <row r="1357" spans="1:92" x14ac:dyDescent="0.3">
      <c r="A1357" t="s">
        <v>3453</v>
      </c>
      <c r="B1357" t="s">
        <v>3454</v>
      </c>
      <c r="C1357" t="s">
        <v>3455</v>
      </c>
      <c r="D1357" s="144" t="s">
        <v>852</v>
      </c>
      <c r="E1357" t="s">
        <v>813</v>
      </c>
      <c r="F1357" t="s">
        <v>527</v>
      </c>
      <c r="G1357" t="s">
        <v>1013</v>
      </c>
      <c r="H1357" t="s">
        <v>1387</v>
      </c>
      <c r="I1357" t="s">
        <v>1013</v>
      </c>
      <c r="J1357" t="s">
        <v>3456</v>
      </c>
      <c r="K1357" t="s">
        <v>1179</v>
      </c>
      <c r="L1357" t="s">
        <v>1354</v>
      </c>
      <c r="M1357" t="s">
        <v>208</v>
      </c>
      <c r="N1357" t="s">
        <v>864</v>
      </c>
      <c r="O1357" t="s">
        <v>824</v>
      </c>
      <c r="P1357" t="s">
        <v>772</v>
      </c>
      <c r="Q1357" t="s">
        <v>1033</v>
      </c>
      <c r="R1357">
        <v>0</v>
      </c>
      <c r="S1357">
        <v>0</v>
      </c>
      <c r="T1357">
        <v>0</v>
      </c>
      <c r="U1357">
        <v>0</v>
      </c>
      <c r="V1357">
        <v>0</v>
      </c>
      <c r="W1357">
        <v>0</v>
      </c>
      <c r="X1357">
        <v>0</v>
      </c>
      <c r="Y1357">
        <v>0</v>
      </c>
      <c r="Z1357">
        <v>0</v>
      </c>
      <c r="AA1357">
        <v>0</v>
      </c>
      <c r="AB1357">
        <v>0</v>
      </c>
      <c r="AC1357">
        <v>0</v>
      </c>
      <c r="AD1357">
        <v>0</v>
      </c>
      <c r="AE1357">
        <v>0</v>
      </c>
      <c r="AF1357">
        <v>0</v>
      </c>
      <c r="AG1357">
        <v>0</v>
      </c>
      <c r="AH1357">
        <v>0</v>
      </c>
      <c r="AI1357">
        <v>0</v>
      </c>
      <c r="AJ1357" t="s">
        <v>783</v>
      </c>
      <c r="AK1357" t="s">
        <v>3457</v>
      </c>
      <c r="AL1357" t="s">
        <v>208</v>
      </c>
      <c r="AM1357" t="s">
        <v>819</v>
      </c>
      <c r="AN1357" t="s">
        <v>820</v>
      </c>
      <c r="AO1357" t="s">
        <v>4526</v>
      </c>
      <c r="AP1357" t="s">
        <v>3458</v>
      </c>
      <c r="AY1357" t="str">
        <f t="shared" si="200"/>
        <v>UBROLEXIN SUSPENSION INTRAMAMMAIRE POUR VACHES LAITIERES EN LACTATION</v>
      </c>
      <c r="AZ1357" t="str">
        <f>IF(COUNTIF(AY:AY,AY1357)=1,AY1357,IF(AND(COUNTIF(AY:AY,AY1357)&gt;1,COUNTIF(AZ$2:AZ1356,AY1357)&gt;=1),"",AY1357))</f>
        <v>UBROLEXIN SUSPENSION INTRAMAMMAIRE POUR VACHES LAITIERES EN LACTATION</v>
      </c>
      <c r="BA1357">
        <f>IF(AZ1357="","",COUNTIFS(AZ$3:AZ$1439,"&lt;"&amp;AZ1357,AZ$3:AZ$1439,"&lt;&gt;0")+COUNTIF(AZ$3:AZ1357,AZ1357)-876)</f>
        <v>534</v>
      </c>
      <c r="CN1357">
        <v>1356</v>
      </c>
    </row>
    <row r="1358" spans="1:92" x14ac:dyDescent="0.3">
      <c r="A1358" t="s">
        <v>3453</v>
      </c>
      <c r="B1358" t="s">
        <v>3459</v>
      </c>
      <c r="C1358" t="s">
        <v>3460</v>
      </c>
      <c r="D1358" s="144" t="s">
        <v>869</v>
      </c>
      <c r="E1358" t="s">
        <v>813</v>
      </c>
      <c r="F1358" t="s">
        <v>527</v>
      </c>
      <c r="G1358" t="s">
        <v>1013</v>
      </c>
      <c r="H1358" t="s">
        <v>1387</v>
      </c>
      <c r="I1358" t="s">
        <v>1013</v>
      </c>
      <c r="J1358" t="s">
        <v>3456</v>
      </c>
      <c r="K1358" t="s">
        <v>1179</v>
      </c>
      <c r="L1358" t="s">
        <v>1354</v>
      </c>
      <c r="M1358" t="s">
        <v>208</v>
      </c>
      <c r="N1358" t="s">
        <v>864</v>
      </c>
      <c r="O1358" t="s">
        <v>824</v>
      </c>
      <c r="P1358" t="s">
        <v>772</v>
      </c>
      <c r="Q1358" t="s">
        <v>934</v>
      </c>
      <c r="R1358">
        <v>0</v>
      </c>
      <c r="S1358">
        <v>0</v>
      </c>
      <c r="T1358">
        <v>0</v>
      </c>
      <c r="U1358">
        <v>0</v>
      </c>
      <c r="V1358">
        <v>0</v>
      </c>
      <c r="W1358">
        <v>0</v>
      </c>
      <c r="X1358">
        <v>0</v>
      </c>
      <c r="Y1358">
        <v>0</v>
      </c>
      <c r="Z1358">
        <v>0</v>
      </c>
      <c r="AA1358">
        <v>0</v>
      </c>
      <c r="AB1358">
        <v>0</v>
      </c>
      <c r="AC1358">
        <v>0</v>
      </c>
      <c r="AD1358">
        <v>0</v>
      </c>
      <c r="AE1358">
        <v>0</v>
      </c>
      <c r="AF1358">
        <v>0</v>
      </c>
      <c r="AG1358">
        <v>0</v>
      </c>
      <c r="AH1358">
        <v>0</v>
      </c>
      <c r="AI1358">
        <v>0</v>
      </c>
      <c r="AJ1358" t="s">
        <v>783</v>
      </c>
      <c r="AK1358" t="s">
        <v>3457</v>
      </c>
      <c r="AL1358" t="s">
        <v>208</v>
      </c>
      <c r="AM1358" t="s">
        <v>819</v>
      </c>
      <c r="AN1358" t="s">
        <v>820</v>
      </c>
      <c r="AO1358" t="s">
        <v>4526</v>
      </c>
      <c r="AP1358" t="s">
        <v>4527</v>
      </c>
      <c r="AY1358" t="str">
        <f t="shared" si="200"/>
        <v>UBROLEXIN SUSPENSION INTRAMAMMAIRE POUR VACHES LAITIERES EN LACTATION</v>
      </c>
      <c r="AZ1358" t="str">
        <f>IF(COUNTIF(AY:AY,AY1358)=1,AY1358,IF(AND(COUNTIF(AY:AY,AY1358)&gt;1,COUNTIF(AZ$2:AZ1357,AY1358)&gt;=1),"",AY1358))</f>
        <v/>
      </c>
      <c r="BA1358" t="str">
        <f>IF(AZ1358="","",COUNTIFS(AZ$3:AZ$1439,"&lt;"&amp;AZ1358,AZ$3:AZ$1439,"&lt;&gt;0")+COUNTIF(AZ$3:AZ1358,AZ1358)-876)</f>
        <v/>
      </c>
      <c r="CN1358">
        <v>1357</v>
      </c>
    </row>
    <row r="1359" spans="1:92" x14ac:dyDescent="0.3">
      <c r="A1359" t="s">
        <v>4027</v>
      </c>
      <c r="B1359" t="s">
        <v>4028</v>
      </c>
      <c r="C1359" t="s">
        <v>4029</v>
      </c>
      <c r="D1359" s="144" t="s">
        <v>869</v>
      </c>
      <c r="E1359" t="s">
        <v>813</v>
      </c>
      <c r="F1359" t="s">
        <v>528</v>
      </c>
      <c r="G1359" t="s">
        <v>1013</v>
      </c>
      <c r="H1359" t="s">
        <v>1387</v>
      </c>
      <c r="I1359" t="s">
        <v>1013</v>
      </c>
      <c r="J1359" t="s">
        <v>787</v>
      </c>
      <c r="K1359" t="s">
        <v>787</v>
      </c>
      <c r="L1359" t="s">
        <v>788</v>
      </c>
      <c r="M1359" t="s">
        <v>208</v>
      </c>
      <c r="N1359" t="s">
        <v>4030</v>
      </c>
      <c r="O1359" t="s">
        <v>824</v>
      </c>
      <c r="P1359" t="s">
        <v>772</v>
      </c>
      <c r="Q1359" t="s">
        <v>4031</v>
      </c>
      <c r="R1359">
        <v>0</v>
      </c>
      <c r="S1359">
        <v>0</v>
      </c>
      <c r="T1359">
        <v>0</v>
      </c>
      <c r="U1359">
        <v>0</v>
      </c>
      <c r="V1359">
        <v>0</v>
      </c>
      <c r="W1359">
        <v>0</v>
      </c>
      <c r="X1359">
        <v>0</v>
      </c>
      <c r="Y1359">
        <v>0</v>
      </c>
      <c r="Z1359">
        <v>0</v>
      </c>
      <c r="AA1359">
        <v>0</v>
      </c>
      <c r="AB1359">
        <v>0</v>
      </c>
      <c r="AC1359">
        <v>0</v>
      </c>
      <c r="AD1359">
        <v>0</v>
      </c>
      <c r="AE1359">
        <v>0</v>
      </c>
      <c r="AF1359">
        <v>0</v>
      </c>
      <c r="AG1359">
        <v>0</v>
      </c>
      <c r="AH1359">
        <v>0</v>
      </c>
      <c r="AI1359">
        <v>0</v>
      </c>
      <c r="AY1359" t="str">
        <f t="shared" si="200"/>
        <v>UBROPEN SUSPENSION INTRAMAMMAIRE POUR VACHES EN LACTATION</v>
      </c>
      <c r="AZ1359" t="str">
        <f>IF(COUNTIF(AY:AY,AY1359)=1,AY1359,IF(AND(COUNTIF(AY:AY,AY1359)&gt;1,COUNTIF(AZ$2:AZ1358,AY1359)&gt;=1),"",AY1359))</f>
        <v>UBROPEN SUSPENSION INTRAMAMMAIRE POUR VACHES EN LACTATION</v>
      </c>
      <c r="BA1359">
        <f>IF(AZ1359="","",COUNTIFS(AZ$3:AZ$1439,"&lt;"&amp;AZ1359,AZ$3:AZ$1439,"&lt;&gt;0")+COUNTIF(AZ$3:AZ1359,AZ1359)-876)</f>
        <v>535</v>
      </c>
      <c r="CN1359">
        <v>1358</v>
      </c>
    </row>
    <row r="1360" spans="1:92" x14ac:dyDescent="0.3">
      <c r="A1360" t="s">
        <v>3719</v>
      </c>
      <c r="B1360" t="s">
        <v>3720</v>
      </c>
      <c r="C1360" t="s">
        <v>3721</v>
      </c>
      <c r="D1360" s="144" t="s">
        <v>869</v>
      </c>
      <c r="E1360" t="s">
        <v>813</v>
      </c>
      <c r="F1360" t="s">
        <v>529</v>
      </c>
      <c r="G1360" t="s">
        <v>1024</v>
      </c>
      <c r="H1360" t="s">
        <v>1387</v>
      </c>
      <c r="I1360" t="s">
        <v>1013</v>
      </c>
      <c r="J1360" t="s">
        <v>1026</v>
      </c>
      <c r="K1360" t="s">
        <v>787</v>
      </c>
      <c r="L1360" t="s">
        <v>788</v>
      </c>
      <c r="M1360" t="s">
        <v>208</v>
      </c>
      <c r="N1360" t="s">
        <v>3722</v>
      </c>
      <c r="O1360" t="s">
        <v>824</v>
      </c>
      <c r="P1360" t="s">
        <v>772</v>
      </c>
      <c r="Q1360" t="s">
        <v>3723</v>
      </c>
      <c r="R1360">
        <v>0</v>
      </c>
      <c r="S1360">
        <v>0</v>
      </c>
      <c r="T1360">
        <v>0</v>
      </c>
      <c r="U1360">
        <v>0</v>
      </c>
      <c r="V1360">
        <v>0</v>
      </c>
      <c r="W1360">
        <v>0</v>
      </c>
      <c r="X1360">
        <v>0</v>
      </c>
      <c r="Y1360">
        <v>0</v>
      </c>
      <c r="Z1360">
        <v>0</v>
      </c>
      <c r="AA1360">
        <v>0</v>
      </c>
      <c r="AB1360">
        <v>0</v>
      </c>
      <c r="AC1360">
        <v>0</v>
      </c>
      <c r="AD1360">
        <v>0</v>
      </c>
      <c r="AE1360">
        <v>0</v>
      </c>
      <c r="AF1360">
        <v>0</v>
      </c>
      <c r="AG1360">
        <v>0</v>
      </c>
      <c r="AH1360">
        <v>0</v>
      </c>
      <c r="AI1360">
        <v>0</v>
      </c>
      <c r="AJ1360" t="s">
        <v>787</v>
      </c>
      <c r="AK1360" t="s">
        <v>2522</v>
      </c>
      <c r="AL1360" t="s">
        <v>208</v>
      </c>
      <c r="AM1360" t="s">
        <v>764</v>
      </c>
      <c r="AN1360" t="s">
        <v>824</v>
      </c>
      <c r="AO1360" t="s">
        <v>2524</v>
      </c>
      <c r="AP1360" t="s">
        <v>2288</v>
      </c>
      <c r="AQ1360" t="s">
        <v>783</v>
      </c>
      <c r="AR1360" t="s">
        <v>865</v>
      </c>
      <c r="AS1360" t="s">
        <v>208</v>
      </c>
      <c r="AT1360" t="s">
        <v>3724</v>
      </c>
      <c r="AU1360" t="s">
        <v>824</v>
      </c>
      <c r="AV1360" t="s">
        <v>772</v>
      </c>
      <c r="AW1360" t="s">
        <v>3725</v>
      </c>
      <c r="AY1360" t="str">
        <f t="shared" si="200"/>
        <v>UBROSTAR SUSPENSION INTRAMAMMAIRE HORS LACTATION POUR BOVINS</v>
      </c>
      <c r="AZ1360" t="str">
        <f>IF(COUNTIF(AY:AY,AY1360)=1,AY1360,IF(AND(COUNTIF(AY:AY,AY1360)&gt;1,COUNTIF(AZ$2:AZ1359,AY1360)&gt;=1),"",AY1360))</f>
        <v>UBROSTAR SUSPENSION INTRAMAMMAIRE HORS LACTATION POUR BOVINS</v>
      </c>
      <c r="BA1360">
        <f>IF(AZ1360="","",COUNTIFS(AZ$3:AZ$1439,"&lt;"&amp;AZ1360,AZ$3:AZ$1439,"&lt;&gt;0")+COUNTIF(AZ$3:AZ1360,AZ1360)-876)</f>
        <v>536</v>
      </c>
      <c r="CN1360">
        <v>1359</v>
      </c>
    </row>
    <row r="1361" spans="1:92" x14ac:dyDescent="0.3">
      <c r="A1361" t="s">
        <v>3719</v>
      </c>
      <c r="B1361" t="s">
        <v>3726</v>
      </c>
      <c r="C1361" t="s">
        <v>3727</v>
      </c>
      <c r="D1361" s="144" t="s">
        <v>1047</v>
      </c>
      <c r="E1361" t="s">
        <v>813</v>
      </c>
      <c r="F1361" t="s">
        <v>529</v>
      </c>
      <c r="G1361" t="s">
        <v>1024</v>
      </c>
      <c r="H1361" t="s">
        <v>1387</v>
      </c>
      <c r="I1361" t="s">
        <v>1013</v>
      </c>
      <c r="J1361" t="s">
        <v>1026</v>
      </c>
      <c r="K1361" t="s">
        <v>787</v>
      </c>
      <c r="L1361" t="s">
        <v>788</v>
      </c>
      <c r="M1361" t="s">
        <v>208</v>
      </c>
      <c r="N1361" t="s">
        <v>3722</v>
      </c>
      <c r="O1361" t="s">
        <v>824</v>
      </c>
      <c r="P1361" t="s">
        <v>772</v>
      </c>
      <c r="Q1361" t="s">
        <v>3728</v>
      </c>
      <c r="R1361">
        <v>0</v>
      </c>
      <c r="S1361">
        <v>0</v>
      </c>
      <c r="T1361">
        <v>0</v>
      </c>
      <c r="U1361">
        <v>0</v>
      </c>
      <c r="V1361">
        <v>0</v>
      </c>
      <c r="W1361">
        <v>0</v>
      </c>
      <c r="X1361">
        <v>0</v>
      </c>
      <c r="Y1361">
        <v>0</v>
      </c>
      <c r="Z1361">
        <v>0</v>
      </c>
      <c r="AA1361">
        <v>0</v>
      </c>
      <c r="AB1361">
        <v>0</v>
      </c>
      <c r="AC1361">
        <v>0</v>
      </c>
      <c r="AD1361">
        <v>0</v>
      </c>
      <c r="AE1361">
        <v>0</v>
      </c>
      <c r="AF1361">
        <v>0</v>
      </c>
      <c r="AG1361">
        <v>0</v>
      </c>
      <c r="AH1361">
        <v>0</v>
      </c>
      <c r="AI1361">
        <v>0</v>
      </c>
      <c r="AJ1361" t="s">
        <v>787</v>
      </c>
      <c r="AK1361" t="s">
        <v>2522</v>
      </c>
      <c r="AL1361" t="s">
        <v>208</v>
      </c>
      <c r="AM1361" t="s">
        <v>764</v>
      </c>
      <c r="AN1361" t="s">
        <v>824</v>
      </c>
      <c r="AO1361" t="s">
        <v>2524</v>
      </c>
      <c r="AP1361" t="s">
        <v>3033</v>
      </c>
      <c r="AQ1361" t="s">
        <v>783</v>
      </c>
      <c r="AR1361" t="s">
        <v>865</v>
      </c>
      <c r="AS1361" t="s">
        <v>208</v>
      </c>
      <c r="AT1361" t="s">
        <v>3724</v>
      </c>
      <c r="AU1361" t="s">
        <v>824</v>
      </c>
      <c r="AV1361" t="s">
        <v>772</v>
      </c>
      <c r="AW1361" t="s">
        <v>3729</v>
      </c>
      <c r="AY1361" t="str">
        <f t="shared" si="200"/>
        <v>UBROSTAR SUSPENSION INTRAMAMMAIRE HORS LACTATION POUR BOVINS</v>
      </c>
      <c r="AZ1361" t="str">
        <f>IF(COUNTIF(AY:AY,AY1361)=1,AY1361,IF(AND(COUNTIF(AY:AY,AY1361)&gt;1,COUNTIF(AZ$2:AZ1360,AY1361)&gt;=1),"",AY1361))</f>
        <v/>
      </c>
      <c r="BA1361" t="str">
        <f>IF(AZ1361="","",COUNTIFS(AZ$3:AZ$1439,"&lt;"&amp;AZ1361,AZ$3:AZ$1439,"&lt;&gt;0")+COUNTIF(AZ$3:AZ1361,AZ1361)-876)</f>
        <v/>
      </c>
      <c r="CN1361">
        <v>1360</v>
      </c>
    </row>
    <row r="1362" spans="1:92" x14ac:dyDescent="0.3">
      <c r="A1362" t="s">
        <v>1686</v>
      </c>
      <c r="B1362" t="s">
        <v>1687</v>
      </c>
      <c r="C1362" t="s">
        <v>1085</v>
      </c>
      <c r="D1362" s="144" t="s">
        <v>1063</v>
      </c>
      <c r="E1362" t="s">
        <v>830</v>
      </c>
      <c r="F1362" t="s">
        <v>702</v>
      </c>
      <c r="G1362" t="s">
        <v>1064</v>
      </c>
      <c r="H1362" t="s">
        <v>1688</v>
      </c>
      <c r="I1362" t="s">
        <v>1066</v>
      </c>
      <c r="J1362" t="s">
        <v>914</v>
      </c>
      <c r="K1362" t="s">
        <v>914</v>
      </c>
      <c r="L1362" t="s">
        <v>995</v>
      </c>
      <c r="M1362" t="s">
        <v>996</v>
      </c>
      <c r="N1362" t="s">
        <v>1103</v>
      </c>
      <c r="O1362" t="s">
        <v>834</v>
      </c>
      <c r="P1362" t="s">
        <v>4371</v>
      </c>
      <c r="Q1362" t="s">
        <v>776</v>
      </c>
      <c r="R1362">
        <v>5</v>
      </c>
      <c r="S1362">
        <v>7</v>
      </c>
      <c r="T1362">
        <v>0</v>
      </c>
      <c r="U1362">
        <v>0</v>
      </c>
      <c r="V1362">
        <v>0</v>
      </c>
      <c r="W1362">
        <v>0</v>
      </c>
      <c r="X1362">
        <v>0</v>
      </c>
      <c r="Y1362">
        <v>0</v>
      </c>
      <c r="Z1362">
        <v>5</v>
      </c>
      <c r="AA1362">
        <v>7</v>
      </c>
      <c r="AB1362">
        <v>5</v>
      </c>
      <c r="AC1362">
        <v>7</v>
      </c>
      <c r="AD1362">
        <v>5</v>
      </c>
      <c r="AE1362">
        <v>7</v>
      </c>
      <c r="AF1362">
        <v>5</v>
      </c>
      <c r="AG1362">
        <v>7</v>
      </c>
      <c r="AH1362">
        <v>0</v>
      </c>
      <c r="AI1362">
        <v>0</v>
      </c>
      <c r="AY1362" t="str">
        <f t="shared" si="200"/>
        <v>UCAMIX V COLISTINE 200 LAPIN-VOLAILLE-PORC ET VEAU-AGNEAU-CHEVREAU SEVRES</v>
      </c>
      <c r="AZ1362" t="str">
        <f>IF(COUNTIF(AY:AY,AY1362)=1,AY1362,IF(AND(COUNTIF(AY:AY,AY1362)&gt;1,COUNTIF(AZ$2:AZ1361,AY1362)&gt;=1),"",AY1362))</f>
        <v>UCAMIX V COLISTINE 200 LAPIN-VOLAILLE-PORC ET VEAU-AGNEAU-CHEVREAU SEVRES</v>
      </c>
      <c r="BA1362">
        <f>IF(AZ1362="","",COUNTIFS(AZ$3:AZ$1439,"&lt;"&amp;AZ1362,AZ$3:AZ$1439,"&lt;&gt;0")+COUNTIF(AZ$3:AZ1362,AZ1362)-876)</f>
        <v>537</v>
      </c>
      <c r="CN1362">
        <v>1361</v>
      </c>
    </row>
    <row r="1363" spans="1:92" x14ac:dyDescent="0.3">
      <c r="A1363" t="s">
        <v>2547</v>
      </c>
      <c r="B1363" t="s">
        <v>2548</v>
      </c>
      <c r="C1363" t="s">
        <v>1085</v>
      </c>
      <c r="D1363" s="144" t="s">
        <v>1063</v>
      </c>
      <c r="E1363" t="s">
        <v>830</v>
      </c>
      <c r="F1363" t="s">
        <v>703</v>
      </c>
      <c r="G1363" t="s">
        <v>1064</v>
      </c>
      <c r="H1363" t="s">
        <v>1213</v>
      </c>
      <c r="I1363" t="s">
        <v>1066</v>
      </c>
      <c r="J1363" t="s">
        <v>914</v>
      </c>
      <c r="K1363" t="s">
        <v>914</v>
      </c>
      <c r="L1363" t="s">
        <v>995</v>
      </c>
      <c r="M1363" t="s">
        <v>996</v>
      </c>
      <c r="N1363" t="s">
        <v>2246</v>
      </c>
      <c r="O1363" t="s">
        <v>834</v>
      </c>
      <c r="P1363" t="s">
        <v>4371</v>
      </c>
      <c r="Q1363" t="s">
        <v>906</v>
      </c>
      <c r="R1363">
        <v>0</v>
      </c>
      <c r="S1363">
        <v>0</v>
      </c>
      <c r="T1363">
        <v>0</v>
      </c>
      <c r="U1363">
        <v>0</v>
      </c>
      <c r="V1363">
        <v>0</v>
      </c>
      <c r="W1363">
        <v>0</v>
      </c>
      <c r="X1363">
        <v>0</v>
      </c>
      <c r="Y1363">
        <v>0</v>
      </c>
      <c r="Z1363">
        <v>0</v>
      </c>
      <c r="AA1363">
        <v>0</v>
      </c>
      <c r="AB1363">
        <v>0</v>
      </c>
      <c r="AC1363">
        <v>0</v>
      </c>
      <c r="AD1363">
        <v>5</v>
      </c>
      <c r="AE1363">
        <v>7</v>
      </c>
      <c r="AF1363">
        <v>0</v>
      </c>
      <c r="AG1363">
        <v>0</v>
      </c>
      <c r="AH1363">
        <v>0</v>
      </c>
      <c r="AI1363">
        <v>0</v>
      </c>
      <c r="AY1363" t="str">
        <f t="shared" si="200"/>
        <v>UCAMIX V COLISTINE 400 PORC</v>
      </c>
      <c r="AZ1363" t="str">
        <f>IF(COUNTIF(AY:AY,AY1363)=1,AY1363,IF(AND(COUNTIF(AY:AY,AY1363)&gt;1,COUNTIF(AZ$2:AZ1362,AY1363)&gt;=1),"",AY1363))</f>
        <v>UCAMIX V COLISTINE 400 PORC</v>
      </c>
      <c r="BA1363">
        <f>IF(AZ1363="","",COUNTIFS(AZ$3:AZ$1439,"&lt;"&amp;AZ1363,AZ$3:AZ$1439,"&lt;&gt;0")+COUNTIF(AZ$3:AZ1363,AZ1363)-876)</f>
        <v>538</v>
      </c>
      <c r="CN1363">
        <v>1362</v>
      </c>
    </row>
    <row r="1364" spans="1:92" x14ac:dyDescent="0.3">
      <c r="A1364" t="s">
        <v>1689</v>
      </c>
      <c r="B1364" t="s">
        <v>1690</v>
      </c>
      <c r="C1364" t="s">
        <v>1085</v>
      </c>
      <c r="D1364" s="144" t="s">
        <v>1063</v>
      </c>
      <c r="E1364" t="s">
        <v>830</v>
      </c>
      <c r="F1364" t="s">
        <v>704</v>
      </c>
      <c r="G1364" t="s">
        <v>1064</v>
      </c>
      <c r="H1364" t="s">
        <v>1213</v>
      </c>
      <c r="I1364" t="s">
        <v>1066</v>
      </c>
      <c r="J1364" t="s">
        <v>768</v>
      </c>
      <c r="K1364" t="s">
        <v>768</v>
      </c>
      <c r="L1364" t="s">
        <v>769</v>
      </c>
      <c r="M1364" t="s">
        <v>208</v>
      </c>
      <c r="N1364" t="s">
        <v>764</v>
      </c>
      <c r="O1364" t="s">
        <v>894</v>
      </c>
      <c r="P1364" t="s">
        <v>772</v>
      </c>
      <c r="Q1364" t="s">
        <v>966</v>
      </c>
      <c r="R1364">
        <v>0</v>
      </c>
      <c r="S1364">
        <v>0</v>
      </c>
      <c r="T1364">
        <v>0</v>
      </c>
      <c r="U1364">
        <v>0</v>
      </c>
      <c r="V1364">
        <v>0</v>
      </c>
      <c r="W1364">
        <v>0</v>
      </c>
      <c r="X1364">
        <v>0</v>
      </c>
      <c r="Y1364">
        <v>0</v>
      </c>
      <c r="Z1364">
        <v>0</v>
      </c>
      <c r="AA1364">
        <v>0</v>
      </c>
      <c r="AB1364">
        <v>0</v>
      </c>
      <c r="AC1364">
        <v>0</v>
      </c>
      <c r="AD1364">
        <v>50</v>
      </c>
      <c r="AE1364">
        <v>10</v>
      </c>
      <c r="AF1364">
        <v>0</v>
      </c>
      <c r="AG1364">
        <v>0</v>
      </c>
      <c r="AH1364">
        <v>0</v>
      </c>
      <c r="AI1364">
        <v>0</v>
      </c>
      <c r="AY1364" t="str">
        <f t="shared" si="200"/>
        <v>UCAMIX V OXYTETRACYCLINE 100 PORC</v>
      </c>
      <c r="AZ1364" t="str">
        <f>IF(COUNTIF(AY:AY,AY1364)=1,AY1364,IF(AND(COUNTIF(AY:AY,AY1364)&gt;1,COUNTIF(AZ$2:AZ1363,AY1364)&gt;=1),"",AY1364))</f>
        <v>UCAMIX V OXYTETRACYCLINE 100 PORC</v>
      </c>
      <c r="BA1364">
        <f>IF(AZ1364="","",COUNTIFS(AZ$3:AZ$1439,"&lt;"&amp;AZ1364,AZ$3:AZ$1439,"&lt;&gt;0")+COUNTIF(AZ$3:AZ1364,AZ1364)-876)</f>
        <v>539</v>
      </c>
      <c r="CN1364">
        <v>1363</v>
      </c>
    </row>
    <row r="1365" spans="1:92" x14ac:dyDescent="0.3">
      <c r="A1365" t="s">
        <v>2549</v>
      </c>
      <c r="B1365" t="s">
        <v>2550</v>
      </c>
      <c r="C1365" t="s">
        <v>1085</v>
      </c>
      <c r="D1365" s="144" t="s">
        <v>1063</v>
      </c>
      <c r="E1365" t="s">
        <v>830</v>
      </c>
      <c r="F1365" t="s">
        <v>705</v>
      </c>
      <c r="G1365" t="s">
        <v>1064</v>
      </c>
      <c r="H1365" t="s">
        <v>1688</v>
      </c>
      <c r="I1365" t="s">
        <v>1066</v>
      </c>
      <c r="J1365" t="s">
        <v>768</v>
      </c>
      <c r="K1365" t="s">
        <v>768</v>
      </c>
      <c r="L1365" t="s">
        <v>769</v>
      </c>
      <c r="M1365" t="s">
        <v>208</v>
      </c>
      <c r="N1365" t="s">
        <v>932</v>
      </c>
      <c r="O1365" t="s">
        <v>894</v>
      </c>
      <c r="P1365" t="s">
        <v>772</v>
      </c>
      <c r="Q1365" t="s">
        <v>829</v>
      </c>
      <c r="R1365">
        <v>40</v>
      </c>
      <c r="S1365">
        <v>10</v>
      </c>
      <c r="T1365">
        <v>0</v>
      </c>
      <c r="U1365">
        <v>0</v>
      </c>
      <c r="V1365">
        <v>0</v>
      </c>
      <c r="W1365">
        <v>0</v>
      </c>
      <c r="X1365">
        <v>0</v>
      </c>
      <c r="Y1365">
        <v>0</v>
      </c>
      <c r="Z1365">
        <v>40</v>
      </c>
      <c r="AA1365">
        <v>10</v>
      </c>
      <c r="AB1365">
        <v>40</v>
      </c>
      <c r="AC1365">
        <v>10</v>
      </c>
      <c r="AD1365">
        <v>50</v>
      </c>
      <c r="AE1365">
        <v>10</v>
      </c>
      <c r="AF1365">
        <v>40</v>
      </c>
      <c r="AG1365">
        <v>10</v>
      </c>
      <c r="AH1365">
        <v>0</v>
      </c>
      <c r="AI1365">
        <v>0</v>
      </c>
      <c r="AY1365" t="str">
        <f t="shared" si="200"/>
        <v>UCAMIX V OXYTETRACYCLINE 40 LAPIN-VOLAILLE-PORC ET VEAU-AGNEAU-CHEVREAU SEVRES</v>
      </c>
      <c r="AZ1365" t="str">
        <f>IF(COUNTIF(AY:AY,AY1365)=1,AY1365,IF(AND(COUNTIF(AY:AY,AY1365)&gt;1,COUNTIF(AZ$2:AZ1364,AY1365)&gt;=1),"",AY1365))</f>
        <v>UCAMIX V OXYTETRACYCLINE 40 LAPIN-VOLAILLE-PORC ET VEAU-AGNEAU-CHEVREAU SEVRES</v>
      </c>
      <c r="BA1365">
        <f>IF(AZ1365="","",COUNTIFS(AZ$3:AZ$1439,"&lt;"&amp;AZ1365,AZ$3:AZ$1439,"&lt;&gt;0")+COUNTIF(AZ$3:AZ1365,AZ1365)-876)</f>
        <v>540</v>
      </c>
      <c r="CN1365">
        <v>1364</v>
      </c>
    </row>
    <row r="1366" spans="1:92" x14ac:dyDescent="0.3">
      <c r="A1366" t="s">
        <v>3807</v>
      </c>
      <c r="B1366" t="s">
        <v>3808</v>
      </c>
      <c r="C1366" t="s">
        <v>3075</v>
      </c>
      <c r="D1366" s="144" t="s">
        <v>869</v>
      </c>
      <c r="E1366" t="s">
        <v>813</v>
      </c>
      <c r="F1366" t="s">
        <v>3809</v>
      </c>
      <c r="G1366" t="s">
        <v>815</v>
      </c>
      <c r="H1366" t="s">
        <v>816</v>
      </c>
      <c r="I1366" t="s">
        <v>817</v>
      </c>
      <c r="J1366" t="s">
        <v>2070</v>
      </c>
      <c r="K1366" t="s">
        <v>787</v>
      </c>
      <c r="L1366" t="s">
        <v>1055</v>
      </c>
      <c r="M1366" t="s">
        <v>208</v>
      </c>
      <c r="N1366" t="s">
        <v>864</v>
      </c>
      <c r="O1366" t="s">
        <v>824</v>
      </c>
      <c r="P1366" t="s">
        <v>772</v>
      </c>
      <c r="Q1366" t="s">
        <v>934</v>
      </c>
      <c r="R1366">
        <v>0</v>
      </c>
      <c r="S1366">
        <v>0</v>
      </c>
      <c r="T1366">
        <v>20</v>
      </c>
      <c r="U1366">
        <v>7</v>
      </c>
      <c r="V1366">
        <v>0</v>
      </c>
      <c r="W1366">
        <v>0</v>
      </c>
      <c r="X1366">
        <v>0</v>
      </c>
      <c r="Y1366">
        <v>0</v>
      </c>
      <c r="Z1366">
        <v>0</v>
      </c>
      <c r="AA1366">
        <v>0</v>
      </c>
      <c r="AB1366">
        <v>0</v>
      </c>
      <c r="AC1366">
        <v>0</v>
      </c>
      <c r="AD1366">
        <v>0</v>
      </c>
      <c r="AE1366">
        <v>0</v>
      </c>
      <c r="AF1366">
        <v>0</v>
      </c>
      <c r="AG1366">
        <v>0</v>
      </c>
      <c r="AH1366">
        <v>0</v>
      </c>
      <c r="AI1366">
        <v>0</v>
      </c>
      <c r="AJ1366" t="s">
        <v>2071</v>
      </c>
      <c r="AK1366" t="s">
        <v>2072</v>
      </c>
      <c r="AL1366" t="s">
        <v>208</v>
      </c>
      <c r="AM1366" t="s">
        <v>780</v>
      </c>
      <c r="AN1366" t="s">
        <v>824</v>
      </c>
      <c r="AO1366" t="s">
        <v>2073</v>
      </c>
      <c r="AP1366" t="s">
        <v>2073</v>
      </c>
      <c r="AY1366" t="str">
        <f t="shared" si="200"/>
        <v/>
      </c>
      <c r="AZ1366" t="str">
        <f>IF(COUNTIF(AY:AY,AY1366)=1,AY1366,IF(AND(COUNTIF(AY:AY,AY1366)&gt;1,COUNTIF(AZ$2:AZ1365,AY1366)&gt;=1),"",AY1366))</f>
        <v/>
      </c>
      <c r="BA1366" t="str">
        <f>IF(AZ1366="","",COUNTIFS(AZ$3:AZ$1439,"&lt;"&amp;AZ1366,AZ$3:AZ$1439,"&lt;&gt;0")+COUNTIF(AZ$3:AZ1366,AZ1366)-876)</f>
        <v/>
      </c>
      <c r="CN1366">
        <v>1365</v>
      </c>
    </row>
    <row r="1367" spans="1:92" x14ac:dyDescent="0.3">
      <c r="A1367" t="s">
        <v>3807</v>
      </c>
      <c r="B1367" t="s">
        <v>3810</v>
      </c>
      <c r="C1367" t="s">
        <v>3811</v>
      </c>
      <c r="D1367" s="144" t="s">
        <v>780</v>
      </c>
      <c r="E1367" t="s">
        <v>813</v>
      </c>
      <c r="F1367" t="s">
        <v>3809</v>
      </c>
      <c r="G1367" t="s">
        <v>815</v>
      </c>
      <c r="H1367" t="s">
        <v>816</v>
      </c>
      <c r="I1367" t="s">
        <v>817</v>
      </c>
      <c r="J1367" t="s">
        <v>2070</v>
      </c>
      <c r="K1367" t="s">
        <v>787</v>
      </c>
      <c r="L1367" t="s">
        <v>1055</v>
      </c>
      <c r="M1367" t="s">
        <v>208</v>
      </c>
      <c r="N1367" t="s">
        <v>864</v>
      </c>
      <c r="O1367" t="s">
        <v>824</v>
      </c>
      <c r="P1367" t="s">
        <v>772</v>
      </c>
      <c r="Q1367" t="s">
        <v>852</v>
      </c>
      <c r="R1367">
        <v>0</v>
      </c>
      <c r="S1367">
        <v>0</v>
      </c>
      <c r="T1367">
        <v>20</v>
      </c>
      <c r="U1367">
        <v>7</v>
      </c>
      <c r="V1367">
        <v>0</v>
      </c>
      <c r="W1367">
        <v>0</v>
      </c>
      <c r="X1367">
        <v>0</v>
      </c>
      <c r="Y1367">
        <v>0</v>
      </c>
      <c r="Z1367">
        <v>0</v>
      </c>
      <c r="AA1367">
        <v>0</v>
      </c>
      <c r="AB1367">
        <v>0</v>
      </c>
      <c r="AC1367">
        <v>0</v>
      </c>
      <c r="AD1367">
        <v>0</v>
      </c>
      <c r="AE1367">
        <v>0</v>
      </c>
      <c r="AF1367">
        <v>0</v>
      </c>
      <c r="AG1367">
        <v>0</v>
      </c>
      <c r="AH1367">
        <v>0</v>
      </c>
      <c r="AI1367">
        <v>0</v>
      </c>
      <c r="AJ1367" t="s">
        <v>2071</v>
      </c>
      <c r="AK1367" t="s">
        <v>2072</v>
      </c>
      <c r="AL1367" t="s">
        <v>208</v>
      </c>
      <c r="AM1367" t="s">
        <v>780</v>
      </c>
      <c r="AN1367" t="s">
        <v>824</v>
      </c>
      <c r="AO1367" t="s">
        <v>2073</v>
      </c>
      <c r="AP1367" t="s">
        <v>2073</v>
      </c>
      <c r="AY1367" t="str">
        <f t="shared" si="200"/>
        <v/>
      </c>
      <c r="AZ1367" t="str">
        <f>IF(COUNTIF(AY:AY,AY1367)=1,AY1367,IF(AND(COUNTIF(AY:AY,AY1367)&gt;1,COUNTIF(AZ$2:AZ1366,AY1367)&gt;=1),"",AY1367))</f>
        <v/>
      </c>
      <c r="BA1367" t="str">
        <f>IF(AZ1367="","",COUNTIFS(AZ$3:AZ$1439,"&lt;"&amp;AZ1367,AZ$3:AZ$1439,"&lt;&gt;0")+COUNTIF(AZ$3:AZ1367,AZ1367)-876)</f>
        <v/>
      </c>
      <c r="CN1367">
        <v>1366</v>
      </c>
    </row>
    <row r="1368" spans="1:92" x14ac:dyDescent="0.3">
      <c r="A1368" t="s">
        <v>3803</v>
      </c>
      <c r="B1368" t="s">
        <v>3804</v>
      </c>
      <c r="C1368" t="s">
        <v>2206</v>
      </c>
      <c r="D1368" s="144" t="s">
        <v>869</v>
      </c>
      <c r="E1368" t="s">
        <v>813</v>
      </c>
      <c r="F1368" t="s">
        <v>3805</v>
      </c>
      <c r="G1368" t="s">
        <v>815</v>
      </c>
      <c r="H1368" t="s">
        <v>816</v>
      </c>
      <c r="I1368" t="s">
        <v>817</v>
      </c>
      <c r="J1368" t="s">
        <v>2070</v>
      </c>
      <c r="K1368" t="s">
        <v>787</v>
      </c>
      <c r="L1368" t="s">
        <v>1055</v>
      </c>
      <c r="M1368" t="s">
        <v>208</v>
      </c>
      <c r="N1368" t="s">
        <v>932</v>
      </c>
      <c r="O1368" t="s">
        <v>824</v>
      </c>
      <c r="P1368" t="s">
        <v>772</v>
      </c>
      <c r="Q1368" t="s">
        <v>1355</v>
      </c>
      <c r="R1368">
        <v>0</v>
      </c>
      <c r="S1368">
        <v>0</v>
      </c>
      <c r="T1368">
        <v>20</v>
      </c>
      <c r="U1368">
        <v>7</v>
      </c>
      <c r="V1368">
        <v>0</v>
      </c>
      <c r="W1368">
        <v>0</v>
      </c>
      <c r="X1368">
        <v>0</v>
      </c>
      <c r="Y1368">
        <v>0</v>
      </c>
      <c r="Z1368">
        <v>0</v>
      </c>
      <c r="AA1368">
        <v>0</v>
      </c>
      <c r="AB1368">
        <v>0</v>
      </c>
      <c r="AC1368">
        <v>0</v>
      </c>
      <c r="AD1368">
        <v>0</v>
      </c>
      <c r="AE1368">
        <v>0</v>
      </c>
      <c r="AF1368">
        <v>0</v>
      </c>
      <c r="AG1368">
        <v>0</v>
      </c>
      <c r="AH1368">
        <v>0</v>
      </c>
      <c r="AI1368">
        <v>0</v>
      </c>
      <c r="AJ1368" t="s">
        <v>2071</v>
      </c>
      <c r="AK1368" t="s">
        <v>2072</v>
      </c>
      <c r="AL1368" t="s">
        <v>208</v>
      </c>
      <c r="AM1368" t="s">
        <v>852</v>
      </c>
      <c r="AN1368" t="s">
        <v>824</v>
      </c>
      <c r="AO1368" t="s">
        <v>2073</v>
      </c>
      <c r="AP1368" t="s">
        <v>2073</v>
      </c>
      <c r="AY1368" t="str">
        <f t="shared" si="200"/>
        <v/>
      </c>
      <c r="AZ1368" t="str">
        <f>IF(COUNTIF(AY:AY,AY1368)=1,AY1368,IF(AND(COUNTIF(AY:AY,AY1368)&gt;1,COUNTIF(AZ$2:AZ1367,AY1368)&gt;=1),"",AY1368))</f>
        <v/>
      </c>
      <c r="BA1368" t="str">
        <f>IF(AZ1368="","",COUNTIFS(AZ$3:AZ$1439,"&lt;"&amp;AZ1368,AZ$3:AZ$1439,"&lt;&gt;0")+COUNTIF(AZ$3:AZ1368,AZ1368)-876)</f>
        <v/>
      </c>
      <c r="CN1368">
        <v>1367</v>
      </c>
    </row>
    <row r="1369" spans="1:92" x14ac:dyDescent="0.3">
      <c r="A1369" t="s">
        <v>3803</v>
      </c>
      <c r="B1369" t="s">
        <v>3806</v>
      </c>
      <c r="C1369" t="s">
        <v>1915</v>
      </c>
      <c r="D1369" s="144" t="s">
        <v>764</v>
      </c>
      <c r="E1369" t="s">
        <v>813</v>
      </c>
      <c r="F1369" t="s">
        <v>3805</v>
      </c>
      <c r="G1369" t="s">
        <v>815</v>
      </c>
      <c r="H1369" t="s">
        <v>816</v>
      </c>
      <c r="I1369" t="s">
        <v>817</v>
      </c>
      <c r="J1369" t="s">
        <v>2070</v>
      </c>
      <c r="K1369" t="s">
        <v>787</v>
      </c>
      <c r="L1369" t="s">
        <v>1055</v>
      </c>
      <c r="M1369" t="s">
        <v>208</v>
      </c>
      <c r="N1369" t="s">
        <v>932</v>
      </c>
      <c r="O1369" t="s">
        <v>824</v>
      </c>
      <c r="P1369" t="s">
        <v>772</v>
      </c>
      <c r="Q1369" t="s">
        <v>934</v>
      </c>
      <c r="R1369">
        <v>0</v>
      </c>
      <c r="S1369">
        <v>0</v>
      </c>
      <c r="T1369">
        <v>20</v>
      </c>
      <c r="U1369">
        <v>7</v>
      </c>
      <c r="V1369">
        <v>0</v>
      </c>
      <c r="W1369">
        <v>0</v>
      </c>
      <c r="X1369">
        <v>0</v>
      </c>
      <c r="Y1369">
        <v>0</v>
      </c>
      <c r="Z1369">
        <v>0</v>
      </c>
      <c r="AA1369">
        <v>0</v>
      </c>
      <c r="AB1369">
        <v>0</v>
      </c>
      <c r="AC1369">
        <v>0</v>
      </c>
      <c r="AD1369">
        <v>0</v>
      </c>
      <c r="AE1369">
        <v>0</v>
      </c>
      <c r="AF1369">
        <v>0</v>
      </c>
      <c r="AG1369">
        <v>0</v>
      </c>
      <c r="AH1369">
        <v>0</v>
      </c>
      <c r="AI1369">
        <v>0</v>
      </c>
      <c r="AJ1369" t="s">
        <v>2071</v>
      </c>
      <c r="AK1369" t="s">
        <v>2072</v>
      </c>
      <c r="AL1369" t="s">
        <v>208</v>
      </c>
      <c r="AM1369" t="s">
        <v>852</v>
      </c>
      <c r="AN1369" t="s">
        <v>824</v>
      </c>
      <c r="AO1369" t="s">
        <v>2073</v>
      </c>
      <c r="AP1369" t="s">
        <v>2073</v>
      </c>
      <c r="AY1369" t="str">
        <f t="shared" si="200"/>
        <v/>
      </c>
      <c r="AZ1369" t="str">
        <f>IF(COUNTIF(AY:AY,AY1369)=1,AY1369,IF(AND(COUNTIF(AY:AY,AY1369)&gt;1,COUNTIF(AZ$2:AZ1368,AY1369)&gt;=1),"",AY1369))</f>
        <v/>
      </c>
      <c r="BA1369" t="str">
        <f>IF(AZ1369="","",COUNTIFS(AZ$3:AZ$1439,"&lt;"&amp;AZ1369,AZ$3:AZ$1439,"&lt;&gt;0")+COUNTIF(AZ$3:AZ1369,AZ1369)-876)</f>
        <v/>
      </c>
      <c r="CN1369">
        <v>1368</v>
      </c>
    </row>
    <row r="1370" spans="1:92" x14ac:dyDescent="0.3">
      <c r="A1370" t="s">
        <v>3812</v>
      </c>
      <c r="B1370" t="s">
        <v>3813</v>
      </c>
      <c r="C1370" t="s">
        <v>3075</v>
      </c>
      <c r="D1370" s="144" t="s">
        <v>869</v>
      </c>
      <c r="E1370" t="s">
        <v>813</v>
      </c>
      <c r="F1370" t="s">
        <v>3814</v>
      </c>
      <c r="G1370" t="s">
        <v>815</v>
      </c>
      <c r="H1370" t="s">
        <v>860</v>
      </c>
      <c r="I1370" t="s">
        <v>817</v>
      </c>
      <c r="J1370" t="s">
        <v>2070</v>
      </c>
      <c r="K1370" t="s">
        <v>787</v>
      </c>
      <c r="L1370" t="s">
        <v>1055</v>
      </c>
      <c r="M1370" t="s">
        <v>208</v>
      </c>
      <c r="N1370" t="s">
        <v>939</v>
      </c>
      <c r="O1370" t="s">
        <v>824</v>
      </c>
      <c r="P1370" t="s">
        <v>772</v>
      </c>
      <c r="Q1370" t="s">
        <v>1791</v>
      </c>
      <c r="R1370">
        <v>0</v>
      </c>
      <c r="S1370">
        <v>0</v>
      </c>
      <c r="T1370">
        <v>20</v>
      </c>
      <c r="U1370">
        <v>7</v>
      </c>
      <c r="V1370">
        <v>0</v>
      </c>
      <c r="W1370">
        <v>0</v>
      </c>
      <c r="X1370">
        <v>0</v>
      </c>
      <c r="Y1370">
        <v>0</v>
      </c>
      <c r="Z1370">
        <v>0</v>
      </c>
      <c r="AA1370">
        <v>0</v>
      </c>
      <c r="AB1370">
        <v>0</v>
      </c>
      <c r="AC1370">
        <v>0</v>
      </c>
      <c r="AD1370">
        <v>0</v>
      </c>
      <c r="AE1370">
        <v>0</v>
      </c>
      <c r="AF1370">
        <v>0</v>
      </c>
      <c r="AG1370">
        <v>0</v>
      </c>
      <c r="AH1370">
        <v>0</v>
      </c>
      <c r="AI1370">
        <v>0</v>
      </c>
      <c r="AJ1370" t="s">
        <v>2071</v>
      </c>
      <c r="AK1370" t="s">
        <v>2072</v>
      </c>
      <c r="AL1370" t="s">
        <v>208</v>
      </c>
      <c r="AM1370" t="s">
        <v>764</v>
      </c>
      <c r="AN1370" t="s">
        <v>824</v>
      </c>
      <c r="AO1370" t="s">
        <v>2073</v>
      </c>
      <c r="AP1370" t="s">
        <v>2073</v>
      </c>
      <c r="AY1370" t="str">
        <f t="shared" si="200"/>
        <v/>
      </c>
      <c r="AZ1370" t="str">
        <f>IF(COUNTIF(AY:AY,AY1370)=1,AY1370,IF(AND(COUNTIF(AY:AY,AY1370)&gt;1,COUNTIF(AZ$2:AZ1369,AY1370)&gt;=1),"",AY1370))</f>
        <v/>
      </c>
      <c r="BA1370" t="str">
        <f>IF(AZ1370="","",COUNTIFS(AZ$3:AZ$1439,"&lt;"&amp;AZ1370,AZ$3:AZ$1439,"&lt;&gt;0")+COUNTIF(AZ$3:AZ1370,AZ1370)-876)</f>
        <v/>
      </c>
      <c r="CN1370">
        <v>1369</v>
      </c>
    </row>
    <row r="1371" spans="1:92" x14ac:dyDescent="0.3">
      <c r="A1371" t="s">
        <v>3812</v>
      </c>
      <c r="B1371" t="s">
        <v>3815</v>
      </c>
      <c r="C1371" t="s">
        <v>3811</v>
      </c>
      <c r="D1371" s="144" t="s">
        <v>780</v>
      </c>
      <c r="E1371" t="s">
        <v>813</v>
      </c>
      <c r="F1371" t="s">
        <v>3814</v>
      </c>
      <c r="G1371" t="s">
        <v>815</v>
      </c>
      <c r="H1371" t="s">
        <v>860</v>
      </c>
      <c r="I1371" t="s">
        <v>817</v>
      </c>
      <c r="J1371" t="s">
        <v>2070</v>
      </c>
      <c r="K1371" t="s">
        <v>787</v>
      </c>
      <c r="L1371" t="s">
        <v>1055</v>
      </c>
      <c r="M1371" t="s">
        <v>208</v>
      </c>
      <c r="N1371" t="s">
        <v>939</v>
      </c>
      <c r="O1371" t="s">
        <v>824</v>
      </c>
      <c r="P1371" t="s">
        <v>772</v>
      </c>
      <c r="Q1371" t="s">
        <v>869</v>
      </c>
      <c r="R1371">
        <v>0</v>
      </c>
      <c r="S1371">
        <v>0</v>
      </c>
      <c r="T1371">
        <v>20</v>
      </c>
      <c r="U1371">
        <v>7</v>
      </c>
      <c r="V1371">
        <v>0</v>
      </c>
      <c r="W1371">
        <v>0</v>
      </c>
      <c r="X1371">
        <v>0</v>
      </c>
      <c r="Y1371">
        <v>0</v>
      </c>
      <c r="Z1371">
        <v>0</v>
      </c>
      <c r="AA1371">
        <v>0</v>
      </c>
      <c r="AB1371">
        <v>0</v>
      </c>
      <c r="AC1371">
        <v>0</v>
      </c>
      <c r="AD1371">
        <v>0</v>
      </c>
      <c r="AE1371">
        <v>0</v>
      </c>
      <c r="AF1371">
        <v>0</v>
      </c>
      <c r="AG1371">
        <v>0</v>
      </c>
      <c r="AH1371">
        <v>0</v>
      </c>
      <c r="AI1371">
        <v>0</v>
      </c>
      <c r="AJ1371" t="s">
        <v>2071</v>
      </c>
      <c r="AK1371" t="s">
        <v>2072</v>
      </c>
      <c r="AL1371" t="s">
        <v>208</v>
      </c>
      <c r="AM1371" t="s">
        <v>764</v>
      </c>
      <c r="AN1371" t="s">
        <v>824</v>
      </c>
      <c r="AO1371" t="s">
        <v>2073</v>
      </c>
      <c r="AP1371" t="s">
        <v>2073</v>
      </c>
      <c r="AY1371" t="str">
        <f t="shared" si="200"/>
        <v/>
      </c>
      <c r="AZ1371" t="str">
        <f>IF(COUNTIF(AY:AY,AY1371)=1,AY1371,IF(AND(COUNTIF(AY:AY,AY1371)&gt;1,COUNTIF(AZ$2:AZ1370,AY1371)&gt;=1),"",AY1371))</f>
        <v/>
      </c>
      <c r="BA1371" t="str">
        <f>IF(AZ1371="","",COUNTIFS(AZ$3:AZ$1439,"&lt;"&amp;AZ1371,AZ$3:AZ$1439,"&lt;&gt;0")+COUNTIF(AZ$3:AZ1371,AZ1371)-876)</f>
        <v/>
      </c>
      <c r="CN1371">
        <v>1370</v>
      </c>
    </row>
    <row r="1372" spans="1:92" x14ac:dyDescent="0.3">
      <c r="A1372" t="s">
        <v>3580</v>
      </c>
      <c r="B1372" t="s">
        <v>3581</v>
      </c>
      <c r="C1372" t="s">
        <v>3570</v>
      </c>
      <c r="D1372" s="144" t="s">
        <v>3102</v>
      </c>
      <c r="E1372" t="s">
        <v>813</v>
      </c>
      <c r="F1372" t="s">
        <v>3582</v>
      </c>
      <c r="G1372" t="s">
        <v>815</v>
      </c>
      <c r="H1372" t="s">
        <v>860</v>
      </c>
      <c r="I1372" t="s">
        <v>817</v>
      </c>
      <c r="J1372" t="s">
        <v>2366</v>
      </c>
      <c r="K1372" t="s">
        <v>2366</v>
      </c>
      <c r="L1372" t="s">
        <v>3572</v>
      </c>
      <c r="M1372" t="s">
        <v>208</v>
      </c>
      <c r="N1372" t="s">
        <v>785</v>
      </c>
      <c r="O1372" t="s">
        <v>824</v>
      </c>
      <c r="P1372" t="s">
        <v>772</v>
      </c>
      <c r="Q1372" t="s">
        <v>1160</v>
      </c>
      <c r="R1372">
        <v>0</v>
      </c>
      <c r="S1372">
        <v>0</v>
      </c>
      <c r="T1372">
        <v>4.5</v>
      </c>
      <c r="U1372">
        <v>21</v>
      </c>
      <c r="V1372">
        <v>0</v>
      </c>
      <c r="W1372">
        <v>0</v>
      </c>
      <c r="X1372">
        <v>0</v>
      </c>
      <c r="Y1372">
        <v>0</v>
      </c>
      <c r="Z1372">
        <v>0</v>
      </c>
      <c r="AA1372">
        <v>0</v>
      </c>
      <c r="AB1372">
        <v>0</v>
      </c>
      <c r="AC1372">
        <v>0</v>
      </c>
      <c r="AD1372">
        <v>0</v>
      </c>
      <c r="AE1372">
        <v>0</v>
      </c>
      <c r="AF1372">
        <v>0</v>
      </c>
      <c r="AG1372">
        <v>0</v>
      </c>
      <c r="AH1372">
        <v>0</v>
      </c>
      <c r="AI1372">
        <v>0</v>
      </c>
      <c r="AY1372" t="str">
        <f t="shared" si="200"/>
        <v/>
      </c>
      <c r="AZ1372" t="str">
        <f>IF(COUNTIF(AY:AY,AY1372)=1,AY1372,IF(AND(COUNTIF(AY:AY,AY1372)&gt;1,COUNTIF(AZ$2:AZ1371,AY1372)&gt;=1),"",AY1372))</f>
        <v/>
      </c>
      <c r="BA1372" t="str">
        <f>IF(AZ1372="","",COUNTIFS(AZ$3:AZ$1439,"&lt;"&amp;AZ1372,AZ$3:AZ$1439,"&lt;&gt;0")+COUNTIF(AZ$3:AZ1372,AZ1372)-876)</f>
        <v/>
      </c>
      <c r="CN1372">
        <v>1371</v>
      </c>
    </row>
    <row r="1373" spans="1:92" x14ac:dyDescent="0.3">
      <c r="A1373" t="s">
        <v>3580</v>
      </c>
      <c r="B1373" t="s">
        <v>3583</v>
      </c>
      <c r="C1373" t="s">
        <v>3574</v>
      </c>
      <c r="D1373" s="144" t="s">
        <v>1650</v>
      </c>
      <c r="E1373" t="s">
        <v>813</v>
      </c>
      <c r="F1373" t="s">
        <v>3582</v>
      </c>
      <c r="G1373" t="s">
        <v>815</v>
      </c>
      <c r="H1373" t="s">
        <v>860</v>
      </c>
      <c r="I1373" t="s">
        <v>817</v>
      </c>
      <c r="J1373" t="s">
        <v>2366</v>
      </c>
      <c r="K1373" t="s">
        <v>2366</v>
      </c>
      <c r="L1373" t="s">
        <v>3572</v>
      </c>
      <c r="M1373" t="s">
        <v>208</v>
      </c>
      <c r="N1373" t="s">
        <v>785</v>
      </c>
      <c r="O1373" t="s">
        <v>824</v>
      </c>
      <c r="P1373" t="s">
        <v>772</v>
      </c>
      <c r="Q1373" t="s">
        <v>3165</v>
      </c>
      <c r="R1373">
        <v>0</v>
      </c>
      <c r="S1373">
        <v>0</v>
      </c>
      <c r="T1373">
        <v>4.5</v>
      </c>
      <c r="U1373">
        <v>21</v>
      </c>
      <c r="V1373">
        <v>0</v>
      </c>
      <c r="W1373">
        <v>0</v>
      </c>
      <c r="X1373">
        <v>0</v>
      </c>
      <c r="Y1373">
        <v>0</v>
      </c>
      <c r="Z1373">
        <v>0</v>
      </c>
      <c r="AA1373">
        <v>0</v>
      </c>
      <c r="AB1373">
        <v>0</v>
      </c>
      <c r="AC1373">
        <v>0</v>
      </c>
      <c r="AD1373">
        <v>0</v>
      </c>
      <c r="AE1373">
        <v>0</v>
      </c>
      <c r="AF1373">
        <v>0</v>
      </c>
      <c r="AG1373">
        <v>0</v>
      </c>
      <c r="AH1373">
        <v>0</v>
      </c>
      <c r="AI1373">
        <v>0</v>
      </c>
      <c r="AY1373" t="str">
        <f t="shared" si="200"/>
        <v/>
      </c>
      <c r="AZ1373" t="str">
        <f>IF(COUNTIF(AY:AY,AY1373)=1,AY1373,IF(AND(COUNTIF(AY:AY,AY1373)&gt;1,COUNTIF(AZ$2:AZ1372,AY1373)&gt;=1),"",AY1373))</f>
        <v/>
      </c>
      <c r="BA1373" t="str">
        <f>IF(AZ1373="","",COUNTIFS(AZ$3:AZ$1439,"&lt;"&amp;AZ1373,AZ$3:AZ$1439,"&lt;&gt;0")+COUNTIF(AZ$3:AZ1373,AZ1373)-876)</f>
        <v/>
      </c>
      <c r="CN1373">
        <v>1372</v>
      </c>
    </row>
    <row r="1374" spans="1:92" x14ac:dyDescent="0.3">
      <c r="A1374" t="s">
        <v>3568</v>
      </c>
      <c r="B1374" t="s">
        <v>3569</v>
      </c>
      <c r="C1374" t="s">
        <v>3570</v>
      </c>
      <c r="D1374" s="144" t="s">
        <v>3102</v>
      </c>
      <c r="E1374" t="s">
        <v>813</v>
      </c>
      <c r="F1374" t="s">
        <v>3571</v>
      </c>
      <c r="G1374" t="s">
        <v>815</v>
      </c>
      <c r="H1374" t="s">
        <v>816</v>
      </c>
      <c r="I1374" t="s">
        <v>817</v>
      </c>
      <c r="J1374" t="s">
        <v>2366</v>
      </c>
      <c r="K1374" t="s">
        <v>2366</v>
      </c>
      <c r="L1374" t="s">
        <v>3572</v>
      </c>
      <c r="M1374" t="s">
        <v>208</v>
      </c>
      <c r="N1374" t="s">
        <v>972</v>
      </c>
      <c r="O1374" t="s">
        <v>824</v>
      </c>
      <c r="P1374" t="s">
        <v>772</v>
      </c>
      <c r="Q1374" t="s">
        <v>1200</v>
      </c>
      <c r="R1374">
        <v>0</v>
      </c>
      <c r="S1374">
        <v>0</v>
      </c>
      <c r="T1374">
        <v>4.5</v>
      </c>
      <c r="U1374">
        <v>21</v>
      </c>
      <c r="V1374">
        <v>0</v>
      </c>
      <c r="W1374">
        <v>0</v>
      </c>
      <c r="X1374">
        <v>0</v>
      </c>
      <c r="Y1374">
        <v>0</v>
      </c>
      <c r="Z1374">
        <v>0</v>
      </c>
      <c r="AA1374">
        <v>0</v>
      </c>
      <c r="AB1374">
        <v>0</v>
      </c>
      <c r="AC1374">
        <v>0</v>
      </c>
      <c r="AD1374">
        <v>0</v>
      </c>
      <c r="AE1374">
        <v>0</v>
      </c>
      <c r="AF1374">
        <v>0</v>
      </c>
      <c r="AG1374">
        <v>0</v>
      </c>
      <c r="AH1374">
        <v>0</v>
      </c>
      <c r="AI1374">
        <v>0</v>
      </c>
      <c r="AY1374" t="str">
        <f t="shared" si="200"/>
        <v/>
      </c>
      <c r="AZ1374" t="str">
        <f>IF(COUNTIF(AY:AY,AY1374)=1,AY1374,IF(AND(COUNTIF(AY:AY,AY1374)&gt;1,COUNTIF(AZ$2:AZ1373,AY1374)&gt;=1),"",AY1374))</f>
        <v/>
      </c>
      <c r="BA1374" t="str">
        <f>IF(AZ1374="","",COUNTIFS(AZ$3:AZ$1439,"&lt;"&amp;AZ1374,AZ$3:AZ$1439,"&lt;&gt;0")+COUNTIF(AZ$3:AZ1374,AZ1374)-876)</f>
        <v/>
      </c>
      <c r="CN1374">
        <v>1373</v>
      </c>
    </row>
    <row r="1375" spans="1:92" x14ac:dyDescent="0.3">
      <c r="A1375" t="s">
        <v>3568</v>
      </c>
      <c r="B1375" t="s">
        <v>3573</v>
      </c>
      <c r="C1375" t="s">
        <v>3574</v>
      </c>
      <c r="D1375" s="144" t="s">
        <v>1650</v>
      </c>
      <c r="E1375" t="s">
        <v>813</v>
      </c>
      <c r="F1375" t="s">
        <v>3571</v>
      </c>
      <c r="G1375" t="s">
        <v>815</v>
      </c>
      <c r="H1375" t="s">
        <v>816</v>
      </c>
      <c r="I1375" t="s">
        <v>817</v>
      </c>
      <c r="J1375" t="s">
        <v>2366</v>
      </c>
      <c r="K1375" t="s">
        <v>2366</v>
      </c>
      <c r="L1375" t="s">
        <v>3572</v>
      </c>
      <c r="M1375" t="s">
        <v>208</v>
      </c>
      <c r="N1375" t="s">
        <v>972</v>
      </c>
      <c r="O1375" t="s">
        <v>824</v>
      </c>
      <c r="P1375" t="s">
        <v>772</v>
      </c>
      <c r="Q1375" t="s">
        <v>3153</v>
      </c>
      <c r="R1375">
        <v>0</v>
      </c>
      <c r="S1375">
        <v>0</v>
      </c>
      <c r="T1375">
        <v>4.5</v>
      </c>
      <c r="U1375">
        <v>21</v>
      </c>
      <c r="V1375">
        <v>0</v>
      </c>
      <c r="W1375">
        <v>0</v>
      </c>
      <c r="X1375">
        <v>0</v>
      </c>
      <c r="Y1375">
        <v>0</v>
      </c>
      <c r="Z1375">
        <v>0</v>
      </c>
      <c r="AA1375">
        <v>0</v>
      </c>
      <c r="AB1375">
        <v>0</v>
      </c>
      <c r="AC1375">
        <v>0</v>
      </c>
      <c r="AD1375">
        <v>0</v>
      </c>
      <c r="AE1375">
        <v>0</v>
      </c>
      <c r="AF1375">
        <v>0</v>
      </c>
      <c r="AG1375">
        <v>0</v>
      </c>
      <c r="AH1375">
        <v>0</v>
      </c>
      <c r="AI1375">
        <v>0</v>
      </c>
      <c r="AY1375" t="str">
        <f t="shared" si="200"/>
        <v/>
      </c>
      <c r="AZ1375" t="str">
        <f>IF(COUNTIF(AY:AY,AY1375)=1,AY1375,IF(AND(COUNTIF(AY:AY,AY1375)&gt;1,COUNTIF(AZ$2:AZ1374,AY1375)&gt;=1),"",AY1375))</f>
        <v/>
      </c>
      <c r="BA1375" t="str">
        <f>IF(AZ1375="","",COUNTIFS(AZ$3:AZ$1439,"&lt;"&amp;AZ1375,AZ$3:AZ$1439,"&lt;&gt;0")+COUNTIF(AZ$3:AZ1375,AZ1375)-876)</f>
        <v/>
      </c>
      <c r="CN1375">
        <v>1374</v>
      </c>
    </row>
    <row r="1376" spans="1:92" x14ac:dyDescent="0.3">
      <c r="A1376" t="s">
        <v>3584</v>
      </c>
      <c r="B1376" t="s">
        <v>3585</v>
      </c>
      <c r="C1376" t="s">
        <v>4533</v>
      </c>
      <c r="D1376" s="144" t="s">
        <v>972</v>
      </c>
      <c r="E1376" t="s">
        <v>765</v>
      </c>
      <c r="F1376" t="s">
        <v>3586</v>
      </c>
      <c r="G1376" t="s">
        <v>1309</v>
      </c>
      <c r="H1376" t="s">
        <v>871</v>
      </c>
      <c r="I1376" t="s">
        <v>817</v>
      </c>
      <c r="J1376" t="s">
        <v>2366</v>
      </c>
      <c r="K1376" t="s">
        <v>2366</v>
      </c>
      <c r="L1376" t="s">
        <v>3572</v>
      </c>
      <c r="M1376" t="s">
        <v>208</v>
      </c>
      <c r="N1376" t="s">
        <v>855</v>
      </c>
      <c r="O1376" t="s">
        <v>771</v>
      </c>
      <c r="P1376" t="s">
        <v>772</v>
      </c>
      <c r="Q1376" t="s">
        <v>3587</v>
      </c>
      <c r="R1376">
        <v>0</v>
      </c>
      <c r="S1376">
        <v>0</v>
      </c>
      <c r="T1376">
        <v>7.5</v>
      </c>
      <c r="U1376">
        <v>7</v>
      </c>
      <c r="V1376">
        <v>0</v>
      </c>
      <c r="W1376">
        <v>0</v>
      </c>
      <c r="X1376">
        <v>0</v>
      </c>
      <c r="Y1376">
        <v>0</v>
      </c>
      <c r="Z1376">
        <v>0</v>
      </c>
      <c r="AA1376">
        <v>0</v>
      </c>
      <c r="AB1376">
        <v>0</v>
      </c>
      <c r="AC1376">
        <v>0</v>
      </c>
      <c r="AD1376">
        <v>0</v>
      </c>
      <c r="AE1376">
        <v>0</v>
      </c>
      <c r="AF1376">
        <v>0</v>
      </c>
      <c r="AG1376">
        <v>0</v>
      </c>
      <c r="AH1376">
        <v>0</v>
      </c>
      <c r="AI1376">
        <v>0</v>
      </c>
      <c r="AY1376" t="str">
        <f t="shared" si="200"/>
        <v/>
      </c>
      <c r="AZ1376" t="str">
        <f>IF(COUNTIF(AY:AY,AY1376)=1,AY1376,IF(AND(COUNTIF(AY:AY,AY1376)&gt;1,COUNTIF(AZ$2:AZ1375,AY1376)&gt;=1),"",AY1376))</f>
        <v/>
      </c>
      <c r="BA1376" t="str">
        <f>IF(AZ1376="","",COUNTIFS(AZ$3:AZ$1439,"&lt;"&amp;AZ1376,AZ$3:AZ$1439,"&lt;&gt;0")+COUNTIF(AZ$3:AZ1376,AZ1376)-876)</f>
        <v/>
      </c>
      <c r="CN1376">
        <v>1375</v>
      </c>
    </row>
    <row r="1377" spans="1:92" x14ac:dyDescent="0.3">
      <c r="A1377" t="s">
        <v>3575</v>
      </c>
      <c r="B1377" t="s">
        <v>3576</v>
      </c>
      <c r="C1377" t="s">
        <v>3570</v>
      </c>
      <c r="D1377" s="144" t="s">
        <v>3102</v>
      </c>
      <c r="E1377" t="s">
        <v>813</v>
      </c>
      <c r="F1377" t="s">
        <v>3577</v>
      </c>
      <c r="G1377" t="s">
        <v>815</v>
      </c>
      <c r="H1377" t="s">
        <v>860</v>
      </c>
      <c r="I1377" t="s">
        <v>817</v>
      </c>
      <c r="J1377" t="s">
        <v>2366</v>
      </c>
      <c r="K1377" t="s">
        <v>2366</v>
      </c>
      <c r="L1377" t="s">
        <v>3572</v>
      </c>
      <c r="M1377" t="s">
        <v>208</v>
      </c>
      <c r="N1377" t="s">
        <v>1047</v>
      </c>
      <c r="O1377" t="s">
        <v>824</v>
      </c>
      <c r="P1377" t="s">
        <v>772</v>
      </c>
      <c r="Q1377" t="s">
        <v>3578</v>
      </c>
      <c r="R1377">
        <v>0</v>
      </c>
      <c r="S1377">
        <v>0</v>
      </c>
      <c r="T1377">
        <v>4.5</v>
      </c>
      <c r="U1377">
        <v>21</v>
      </c>
      <c r="V1377">
        <v>0</v>
      </c>
      <c r="W1377">
        <v>0</v>
      </c>
      <c r="X1377">
        <v>0</v>
      </c>
      <c r="Y1377">
        <v>0</v>
      </c>
      <c r="Z1377">
        <v>0</v>
      </c>
      <c r="AA1377">
        <v>0</v>
      </c>
      <c r="AB1377">
        <v>0</v>
      </c>
      <c r="AC1377">
        <v>0</v>
      </c>
      <c r="AD1377">
        <v>0</v>
      </c>
      <c r="AE1377">
        <v>0</v>
      </c>
      <c r="AF1377">
        <v>0</v>
      </c>
      <c r="AG1377">
        <v>0</v>
      </c>
      <c r="AH1377">
        <v>0</v>
      </c>
      <c r="AI1377">
        <v>0</v>
      </c>
      <c r="AY1377" t="str">
        <f t="shared" si="200"/>
        <v/>
      </c>
      <c r="AZ1377" t="str">
        <f>IF(COUNTIF(AY:AY,AY1377)=1,AY1377,IF(AND(COUNTIF(AY:AY,AY1377)&gt;1,COUNTIF(AZ$2:AZ1376,AY1377)&gt;=1),"",AY1377))</f>
        <v/>
      </c>
      <c r="BA1377" t="str">
        <f>IF(AZ1377="","",COUNTIFS(AZ$3:AZ$1439,"&lt;"&amp;AZ1377,AZ$3:AZ$1439,"&lt;&gt;0")+COUNTIF(AZ$3:AZ1377,AZ1377)-876)</f>
        <v/>
      </c>
      <c r="CN1377">
        <v>1376</v>
      </c>
    </row>
    <row r="1378" spans="1:92" x14ac:dyDescent="0.3">
      <c r="A1378" t="s">
        <v>3575</v>
      </c>
      <c r="B1378" t="s">
        <v>3579</v>
      </c>
      <c r="C1378" t="s">
        <v>3574</v>
      </c>
      <c r="D1378" s="144" t="s">
        <v>1650</v>
      </c>
      <c r="E1378" t="s">
        <v>813</v>
      </c>
      <c r="F1378" t="s">
        <v>3577</v>
      </c>
      <c r="G1378" t="s">
        <v>815</v>
      </c>
      <c r="H1378" t="s">
        <v>860</v>
      </c>
      <c r="I1378" t="s">
        <v>817</v>
      </c>
      <c r="J1378" t="s">
        <v>2366</v>
      </c>
      <c r="K1378" t="s">
        <v>2366</v>
      </c>
      <c r="L1378" t="s">
        <v>3572</v>
      </c>
      <c r="M1378" t="s">
        <v>208</v>
      </c>
      <c r="N1378" t="s">
        <v>1047</v>
      </c>
      <c r="O1378" t="s">
        <v>824</v>
      </c>
      <c r="P1378" t="s">
        <v>772</v>
      </c>
      <c r="Q1378" t="s">
        <v>2585</v>
      </c>
      <c r="R1378">
        <v>0</v>
      </c>
      <c r="S1378">
        <v>0</v>
      </c>
      <c r="T1378">
        <v>4.5</v>
      </c>
      <c r="U1378">
        <v>21</v>
      </c>
      <c r="V1378">
        <v>0</v>
      </c>
      <c r="W1378">
        <v>0</v>
      </c>
      <c r="X1378">
        <v>0</v>
      </c>
      <c r="Y1378">
        <v>0</v>
      </c>
      <c r="Z1378">
        <v>0</v>
      </c>
      <c r="AA1378">
        <v>0</v>
      </c>
      <c r="AB1378">
        <v>0</v>
      </c>
      <c r="AC1378">
        <v>0</v>
      </c>
      <c r="AD1378">
        <v>0</v>
      </c>
      <c r="AE1378">
        <v>0</v>
      </c>
      <c r="AF1378">
        <v>0</v>
      </c>
      <c r="AG1378">
        <v>0</v>
      </c>
      <c r="AH1378">
        <v>0</v>
      </c>
      <c r="AI1378">
        <v>0</v>
      </c>
      <c r="AY1378" t="str">
        <f t="shared" si="200"/>
        <v/>
      </c>
      <c r="AZ1378" t="str">
        <f>IF(COUNTIF(AY:AY,AY1378)=1,AY1378,IF(AND(COUNTIF(AY:AY,AY1378)&gt;1,COUNTIF(AZ$2:AZ1377,AY1378)&gt;=1),"",AY1378))</f>
        <v/>
      </c>
      <c r="BA1378" t="str">
        <f>IF(AZ1378="","",COUNTIFS(AZ$3:AZ$1439,"&lt;"&amp;AZ1378,AZ$3:AZ$1439,"&lt;&gt;0")+COUNTIF(AZ$3:AZ1378,AZ1378)-876)</f>
        <v/>
      </c>
      <c r="CN1378">
        <v>1377</v>
      </c>
    </row>
    <row r="1379" spans="1:92" x14ac:dyDescent="0.3">
      <c r="A1379" t="s">
        <v>3519</v>
      </c>
      <c r="B1379" t="s">
        <v>208</v>
      </c>
      <c r="C1379" t="s">
        <v>1241</v>
      </c>
      <c r="D1379" s="144" t="s">
        <v>829</v>
      </c>
      <c r="E1379" t="s">
        <v>765</v>
      </c>
      <c r="F1379" t="s">
        <v>530</v>
      </c>
      <c r="G1379" t="s">
        <v>956</v>
      </c>
      <c r="H1379" t="s">
        <v>1213</v>
      </c>
      <c r="I1379" t="s">
        <v>817</v>
      </c>
      <c r="J1379" t="s">
        <v>2081</v>
      </c>
      <c r="K1379" t="s">
        <v>2081</v>
      </c>
      <c r="L1379" t="s">
        <v>2082</v>
      </c>
      <c r="M1379" t="s">
        <v>208</v>
      </c>
      <c r="N1379" t="s">
        <v>3135</v>
      </c>
      <c r="O1379" t="s">
        <v>771</v>
      </c>
      <c r="P1379" t="s">
        <v>772</v>
      </c>
      <c r="Q1379" t="s">
        <v>3135</v>
      </c>
      <c r="R1379">
        <v>0</v>
      </c>
      <c r="S1379">
        <v>0</v>
      </c>
      <c r="T1379">
        <v>0</v>
      </c>
      <c r="U1379">
        <v>0</v>
      </c>
      <c r="V1379">
        <v>0</v>
      </c>
      <c r="W1379">
        <v>0</v>
      </c>
      <c r="X1379">
        <v>0</v>
      </c>
      <c r="Y1379">
        <v>0</v>
      </c>
      <c r="Z1379">
        <v>0</v>
      </c>
      <c r="AA1379">
        <v>0</v>
      </c>
      <c r="AB1379">
        <v>0</v>
      </c>
      <c r="AC1379">
        <v>0</v>
      </c>
      <c r="AD1379">
        <v>16.2</v>
      </c>
      <c r="AE1379">
        <v>5</v>
      </c>
      <c r="AF1379">
        <v>0</v>
      </c>
      <c r="AG1379">
        <v>0</v>
      </c>
      <c r="AH1379">
        <v>0</v>
      </c>
      <c r="AI1379">
        <v>0</v>
      </c>
      <c r="AY1379" t="str">
        <f t="shared" si="200"/>
        <v>VETMULIN 101,2 MG/ML SOLUTION A DILUER DANS L'EAU DE BOISSON POUR PORCS</v>
      </c>
      <c r="AZ1379" t="str">
        <f>IF(COUNTIF(AY:AY,AY1379)=1,AY1379,IF(AND(COUNTIF(AY:AY,AY1379)&gt;1,COUNTIF(AZ$2:AZ1378,AY1379)&gt;=1),"",AY1379))</f>
        <v>VETMULIN 101,2 MG/ML SOLUTION A DILUER DANS L'EAU DE BOISSON POUR PORCS</v>
      </c>
      <c r="BA1379">
        <f>IF(AZ1379="","",COUNTIFS(AZ$3:AZ$1439,"&lt;"&amp;AZ1379,AZ$3:AZ$1439,"&lt;&gt;0")+COUNTIF(AZ$3:AZ1379,AZ1379)-876)</f>
        <v>541</v>
      </c>
      <c r="CN1379">
        <v>1378</v>
      </c>
    </row>
    <row r="1380" spans="1:92" x14ac:dyDescent="0.3">
      <c r="A1380" t="s">
        <v>3519</v>
      </c>
      <c r="B1380" t="s">
        <v>3520</v>
      </c>
      <c r="C1380" t="s">
        <v>1243</v>
      </c>
      <c r="D1380" s="144" t="s">
        <v>955</v>
      </c>
      <c r="E1380" t="s">
        <v>765</v>
      </c>
      <c r="F1380" t="s">
        <v>530</v>
      </c>
      <c r="G1380" t="s">
        <v>956</v>
      </c>
      <c r="H1380" t="s">
        <v>1213</v>
      </c>
      <c r="I1380" t="s">
        <v>817</v>
      </c>
      <c r="J1380" t="s">
        <v>2081</v>
      </c>
      <c r="K1380" t="s">
        <v>2081</v>
      </c>
      <c r="L1380" t="s">
        <v>2082</v>
      </c>
      <c r="M1380" t="s">
        <v>208</v>
      </c>
      <c r="N1380" t="s">
        <v>3135</v>
      </c>
      <c r="O1380" t="s">
        <v>771</v>
      </c>
      <c r="P1380" t="s">
        <v>772</v>
      </c>
      <c r="Q1380" t="s">
        <v>3137</v>
      </c>
      <c r="R1380">
        <v>0</v>
      </c>
      <c r="S1380">
        <v>0</v>
      </c>
      <c r="T1380">
        <v>0</v>
      </c>
      <c r="U1380">
        <v>0</v>
      </c>
      <c r="V1380">
        <v>0</v>
      </c>
      <c r="W1380">
        <v>0</v>
      </c>
      <c r="X1380">
        <v>0</v>
      </c>
      <c r="Y1380">
        <v>0</v>
      </c>
      <c r="Z1380">
        <v>0</v>
      </c>
      <c r="AA1380">
        <v>0</v>
      </c>
      <c r="AB1380">
        <v>0</v>
      </c>
      <c r="AC1380">
        <v>0</v>
      </c>
      <c r="AD1380">
        <v>16.2</v>
      </c>
      <c r="AE1380">
        <v>5</v>
      </c>
      <c r="AF1380">
        <v>0</v>
      </c>
      <c r="AG1380">
        <v>0</v>
      </c>
      <c r="AH1380">
        <v>0</v>
      </c>
      <c r="AI1380">
        <v>0</v>
      </c>
      <c r="AY1380" t="str">
        <f t="shared" si="200"/>
        <v>VETMULIN 101,2 MG/ML SOLUTION A DILUER DANS L'EAU DE BOISSON POUR PORCS</v>
      </c>
      <c r="AZ1380" t="str">
        <f>IF(COUNTIF(AY:AY,AY1380)=1,AY1380,IF(AND(COUNTIF(AY:AY,AY1380)&gt;1,COUNTIF(AZ$2:AZ1379,AY1380)&gt;=1),"",AY1380))</f>
        <v/>
      </c>
      <c r="BA1380" t="str">
        <f>IF(AZ1380="","",COUNTIFS(AZ$3:AZ$1439,"&lt;"&amp;AZ1380,AZ$3:AZ$1439,"&lt;&gt;0")+COUNTIF(AZ$3:AZ1380,AZ1380)-876)</f>
        <v/>
      </c>
      <c r="CN1380">
        <v>1379</v>
      </c>
    </row>
    <row r="1381" spans="1:92" x14ac:dyDescent="0.3">
      <c r="A1381" t="s">
        <v>4268</v>
      </c>
      <c r="B1381" t="s">
        <v>4269</v>
      </c>
      <c r="C1381" t="s">
        <v>1241</v>
      </c>
      <c r="D1381" t="s">
        <v>829</v>
      </c>
      <c r="E1381" t="s">
        <v>765</v>
      </c>
      <c r="F1381" t="s">
        <v>531</v>
      </c>
      <c r="G1381" t="s">
        <v>956</v>
      </c>
      <c r="H1381" t="s">
        <v>4270</v>
      </c>
      <c r="I1381" t="s">
        <v>817</v>
      </c>
      <c r="J1381" t="s">
        <v>2081</v>
      </c>
      <c r="K1381" t="s">
        <v>2081</v>
      </c>
      <c r="L1381" t="s">
        <v>2082</v>
      </c>
      <c r="M1381" t="s">
        <v>208</v>
      </c>
      <c r="N1381" t="s">
        <v>3135</v>
      </c>
      <c r="O1381" t="s">
        <v>771</v>
      </c>
      <c r="P1381" t="s">
        <v>772</v>
      </c>
      <c r="Q1381" t="s">
        <v>3135</v>
      </c>
      <c r="R1381">
        <v>0</v>
      </c>
      <c r="S1381">
        <v>0</v>
      </c>
      <c r="T1381">
        <v>0</v>
      </c>
      <c r="U1381">
        <v>0</v>
      </c>
      <c r="V1381">
        <v>0</v>
      </c>
      <c r="W1381">
        <v>0</v>
      </c>
      <c r="X1381">
        <v>0</v>
      </c>
      <c r="Y1381">
        <v>0</v>
      </c>
      <c r="Z1381">
        <v>0</v>
      </c>
      <c r="AA1381">
        <v>0</v>
      </c>
      <c r="AB1381">
        <v>0</v>
      </c>
      <c r="AC1381">
        <v>0</v>
      </c>
      <c r="AD1381">
        <v>16.2</v>
      </c>
      <c r="AE1381">
        <v>5</v>
      </c>
      <c r="AF1381">
        <v>20.2</v>
      </c>
      <c r="AG1381">
        <v>5</v>
      </c>
      <c r="AH1381">
        <v>0</v>
      </c>
      <c r="AI1381">
        <v>0</v>
      </c>
      <c r="AY1381" t="str">
        <f t="shared" si="200"/>
        <v>VETMULIN 101,2 MG/ML SOLUTION POUR ADMINISTRATION DANS L'EAU DE BOISSON POUR PORCINS ET POULES PONDEUSES</v>
      </c>
      <c r="AZ1381" t="str">
        <f>IF(COUNTIF(AY:AY,AY1381)=1,AY1381,IF(AND(COUNTIF(AY:AY,AY1381)&gt;1,COUNTIF(AZ$2:AZ1380,AY1381)&gt;=1),"",AY1381))</f>
        <v>VETMULIN 101,2 MG/ML SOLUTION POUR ADMINISTRATION DANS L'EAU DE BOISSON POUR PORCINS ET POULES PONDEUSES</v>
      </c>
      <c r="BA1381">
        <f>IF(AZ1381="","",COUNTIFS(AZ$3:AZ$1439,"&lt;"&amp;AZ1381,AZ$3:AZ$1439,"&lt;&gt;0")+COUNTIF(AZ$3:AZ1381,AZ1381)-876)</f>
        <v>542</v>
      </c>
      <c r="CN1381">
        <v>1380</v>
      </c>
    </row>
    <row r="1382" spans="1:92" x14ac:dyDescent="0.3">
      <c r="A1382" t="s">
        <v>4012</v>
      </c>
      <c r="B1382" t="s">
        <v>4013</v>
      </c>
      <c r="C1382" t="s">
        <v>1241</v>
      </c>
      <c r="D1382" s="144" t="s">
        <v>829</v>
      </c>
      <c r="E1382" t="s">
        <v>765</v>
      </c>
      <c r="F1382" t="s">
        <v>4014</v>
      </c>
      <c r="G1382" t="s">
        <v>956</v>
      </c>
      <c r="H1382" t="s">
        <v>1173</v>
      </c>
      <c r="I1382" t="s">
        <v>817</v>
      </c>
      <c r="J1382" t="s">
        <v>2081</v>
      </c>
      <c r="K1382" t="s">
        <v>2081</v>
      </c>
      <c r="L1382" t="s">
        <v>2082</v>
      </c>
      <c r="M1382" t="s">
        <v>208</v>
      </c>
      <c r="N1382" t="s">
        <v>3135</v>
      </c>
      <c r="O1382" t="s">
        <v>771</v>
      </c>
      <c r="P1382" t="s">
        <v>772</v>
      </c>
      <c r="Q1382" t="s">
        <v>3135</v>
      </c>
      <c r="R1382">
        <v>0</v>
      </c>
      <c r="S1382">
        <v>0</v>
      </c>
      <c r="T1382">
        <v>0</v>
      </c>
      <c r="U1382">
        <v>0</v>
      </c>
      <c r="V1382">
        <v>0</v>
      </c>
      <c r="W1382">
        <v>0</v>
      </c>
      <c r="X1382">
        <v>0</v>
      </c>
      <c r="Y1382">
        <v>0</v>
      </c>
      <c r="Z1382">
        <v>16</v>
      </c>
      <c r="AA1382">
        <v>10</v>
      </c>
      <c r="AB1382">
        <v>0</v>
      </c>
      <c r="AC1382">
        <v>0</v>
      </c>
      <c r="AD1382">
        <v>0</v>
      </c>
      <c r="AE1382">
        <v>0</v>
      </c>
      <c r="AF1382">
        <v>0</v>
      </c>
      <c r="AG1382">
        <v>0</v>
      </c>
      <c r="AH1382">
        <v>0</v>
      </c>
      <c r="AI1382">
        <v>0</v>
      </c>
      <c r="AY1382" t="str">
        <f t="shared" si="200"/>
        <v>VETMULIN 101,2 MG/ML SOLUTION POUR LAPINS</v>
      </c>
      <c r="AZ1382" t="str">
        <f>IF(COUNTIF(AY:AY,AY1382)=1,AY1382,IF(AND(COUNTIF(AY:AY,AY1382)&gt;1,COUNTIF(AZ$2:AZ1381,AY1382)&gt;=1),"",AY1382))</f>
        <v>VETMULIN 101,2 MG/ML SOLUTION POUR LAPINS</v>
      </c>
      <c r="BA1382">
        <f>IF(AZ1382="","",COUNTIFS(AZ$3:AZ$1439,"&lt;"&amp;AZ1382,AZ$3:AZ$1439,"&lt;&gt;0")+COUNTIF(AZ$3:AZ1382,AZ1382)-876)</f>
        <v>543</v>
      </c>
      <c r="CN1382">
        <v>1381</v>
      </c>
    </row>
    <row r="1383" spans="1:92" x14ac:dyDescent="0.3">
      <c r="A1383" t="s">
        <v>3397</v>
      </c>
      <c r="B1383" t="s">
        <v>3398</v>
      </c>
      <c r="C1383" t="s">
        <v>1313</v>
      </c>
      <c r="D1383" s="144" t="s">
        <v>955</v>
      </c>
      <c r="E1383" t="s">
        <v>830</v>
      </c>
      <c r="F1383" t="s">
        <v>532</v>
      </c>
      <c r="G1383" t="s">
        <v>1064</v>
      </c>
      <c r="H1383" t="s">
        <v>3399</v>
      </c>
      <c r="I1383" t="s">
        <v>1066</v>
      </c>
      <c r="J1383" t="s">
        <v>2081</v>
      </c>
      <c r="K1383" t="s">
        <v>2081</v>
      </c>
      <c r="L1383" t="s">
        <v>2082</v>
      </c>
      <c r="M1383" t="s">
        <v>208</v>
      </c>
      <c r="N1383" t="s">
        <v>2654</v>
      </c>
      <c r="O1383" t="s">
        <v>894</v>
      </c>
      <c r="P1383" t="s">
        <v>772</v>
      </c>
      <c r="Q1383" t="s">
        <v>3400</v>
      </c>
      <c r="R1383">
        <v>0</v>
      </c>
      <c r="S1383">
        <v>0</v>
      </c>
      <c r="T1383">
        <v>0</v>
      </c>
      <c r="U1383">
        <v>0</v>
      </c>
      <c r="V1383">
        <v>0</v>
      </c>
      <c r="W1383">
        <v>0</v>
      </c>
      <c r="X1383">
        <v>0</v>
      </c>
      <c r="Y1383">
        <v>0</v>
      </c>
      <c r="Z1383">
        <v>2.4300000000000002</v>
      </c>
      <c r="AA1383">
        <v>28</v>
      </c>
      <c r="AB1383">
        <v>0</v>
      </c>
      <c r="AC1383">
        <v>0</v>
      </c>
      <c r="AD1383">
        <v>7.1</v>
      </c>
      <c r="AE1383">
        <v>10</v>
      </c>
      <c r="AF1383">
        <v>32.4</v>
      </c>
      <c r="AG1383">
        <v>5</v>
      </c>
      <c r="AH1383">
        <v>0</v>
      </c>
      <c r="AI1383">
        <v>0</v>
      </c>
      <c r="AY1383" t="str">
        <f t="shared" si="200"/>
        <v>VETMULIN 16,2 MG/G PREMELANGE MEDICAMENTEUX POUR PORCS, POULETS, DINDES ET LAPINS</v>
      </c>
      <c r="AZ1383" t="str">
        <f>IF(COUNTIF(AY:AY,AY1383)=1,AY1383,IF(AND(COUNTIF(AY:AY,AY1383)&gt;1,COUNTIF(AZ$2:AZ1382,AY1383)&gt;=1),"",AY1383))</f>
        <v>VETMULIN 16,2 MG/G PREMELANGE MEDICAMENTEUX POUR PORCS, POULETS, DINDES ET LAPINS</v>
      </c>
      <c r="BA1383">
        <f>IF(AZ1383="","",COUNTIFS(AZ$3:AZ$1439,"&lt;"&amp;AZ1383,AZ$3:AZ$1439,"&lt;&gt;0")+COUNTIF(AZ$3:AZ1383,AZ1383)-876)</f>
        <v>544</v>
      </c>
      <c r="CN1383">
        <v>1382</v>
      </c>
    </row>
    <row r="1384" spans="1:92" x14ac:dyDescent="0.3">
      <c r="A1384" t="s">
        <v>3397</v>
      </c>
      <c r="B1384" t="s">
        <v>3401</v>
      </c>
      <c r="C1384" t="s">
        <v>2263</v>
      </c>
      <c r="D1384" s="144" t="s">
        <v>1536</v>
      </c>
      <c r="E1384" t="s">
        <v>830</v>
      </c>
      <c r="F1384" t="s">
        <v>532</v>
      </c>
      <c r="G1384" t="s">
        <v>1064</v>
      </c>
      <c r="H1384" t="s">
        <v>3399</v>
      </c>
      <c r="I1384" t="s">
        <v>1066</v>
      </c>
      <c r="J1384" t="s">
        <v>2081</v>
      </c>
      <c r="K1384" t="s">
        <v>2081</v>
      </c>
      <c r="L1384" t="s">
        <v>2082</v>
      </c>
      <c r="M1384" t="s">
        <v>208</v>
      </c>
      <c r="N1384" t="s">
        <v>2654</v>
      </c>
      <c r="O1384" t="s">
        <v>894</v>
      </c>
      <c r="P1384" t="s">
        <v>772</v>
      </c>
      <c r="Q1384" t="s">
        <v>3402</v>
      </c>
      <c r="R1384">
        <v>0</v>
      </c>
      <c r="S1384">
        <v>0</v>
      </c>
      <c r="T1384">
        <v>0</v>
      </c>
      <c r="U1384">
        <v>0</v>
      </c>
      <c r="V1384">
        <v>0</v>
      </c>
      <c r="W1384">
        <v>0</v>
      </c>
      <c r="X1384">
        <v>0</v>
      </c>
      <c r="Y1384">
        <v>0</v>
      </c>
      <c r="Z1384">
        <v>2.4300000000000002</v>
      </c>
      <c r="AA1384">
        <v>28</v>
      </c>
      <c r="AB1384">
        <v>0</v>
      </c>
      <c r="AC1384">
        <v>0</v>
      </c>
      <c r="AD1384">
        <v>7.1</v>
      </c>
      <c r="AE1384">
        <v>10</v>
      </c>
      <c r="AF1384">
        <v>32.4</v>
      </c>
      <c r="AG1384">
        <v>5</v>
      </c>
      <c r="AH1384">
        <v>0</v>
      </c>
      <c r="AI1384">
        <v>0</v>
      </c>
      <c r="AY1384" t="str">
        <f t="shared" si="200"/>
        <v>VETMULIN 16,2 MG/G PREMELANGE MEDICAMENTEUX POUR PORCS, POULETS, DINDES ET LAPINS</v>
      </c>
      <c r="AZ1384" t="str">
        <f>IF(COUNTIF(AY:AY,AY1384)=1,AY1384,IF(AND(COUNTIF(AY:AY,AY1384)&gt;1,COUNTIF(AZ$2:AZ1383,AY1384)&gt;=1),"",AY1384))</f>
        <v/>
      </c>
      <c r="BA1384" t="str">
        <f>IF(AZ1384="","",COUNTIFS(AZ$3:AZ$1439,"&lt;"&amp;AZ1384,AZ$3:AZ$1439,"&lt;&gt;0")+COUNTIF(AZ$3:AZ1384,AZ1384)-876)</f>
        <v/>
      </c>
      <c r="CN1384">
        <v>1383</v>
      </c>
    </row>
    <row r="1385" spans="1:92" x14ac:dyDescent="0.3">
      <c r="A1385" t="s">
        <v>3476</v>
      </c>
      <c r="B1385" t="s">
        <v>3477</v>
      </c>
      <c r="C1385" t="s">
        <v>1483</v>
      </c>
      <c r="D1385" s="144" t="s">
        <v>764</v>
      </c>
      <c r="E1385" t="s">
        <v>765</v>
      </c>
      <c r="F1385" t="s">
        <v>533</v>
      </c>
      <c r="G1385" t="s">
        <v>766</v>
      </c>
      <c r="H1385" t="s">
        <v>1213</v>
      </c>
      <c r="I1385" t="s">
        <v>766</v>
      </c>
      <c r="J1385" t="s">
        <v>2081</v>
      </c>
      <c r="K1385" t="s">
        <v>2081</v>
      </c>
      <c r="L1385" t="s">
        <v>2082</v>
      </c>
      <c r="M1385" t="s">
        <v>208</v>
      </c>
      <c r="N1385" t="s">
        <v>3478</v>
      </c>
      <c r="O1385" t="s">
        <v>771</v>
      </c>
      <c r="P1385" t="s">
        <v>772</v>
      </c>
      <c r="Q1385" t="s">
        <v>2654</v>
      </c>
      <c r="R1385">
        <v>0</v>
      </c>
      <c r="S1385">
        <v>0</v>
      </c>
      <c r="T1385">
        <v>0</v>
      </c>
      <c r="U1385">
        <v>0</v>
      </c>
      <c r="V1385">
        <v>0</v>
      </c>
      <c r="W1385">
        <v>0</v>
      </c>
      <c r="X1385">
        <v>0</v>
      </c>
      <c r="Y1385">
        <v>0</v>
      </c>
      <c r="Z1385">
        <v>12.1</v>
      </c>
      <c r="AA1385">
        <v>3</v>
      </c>
      <c r="AB1385">
        <v>0</v>
      </c>
      <c r="AC1385">
        <v>0</v>
      </c>
      <c r="AD1385">
        <v>12.1</v>
      </c>
      <c r="AE1385">
        <v>3</v>
      </c>
      <c r="AF1385">
        <v>0</v>
      </c>
      <c r="AG1385">
        <v>0</v>
      </c>
      <c r="AH1385">
        <v>0</v>
      </c>
      <c r="AI1385">
        <v>0</v>
      </c>
      <c r="AY1385" t="str">
        <f t="shared" si="200"/>
        <v>VETMULIN 162 MG/ML SOLUTION INJECTABLE POUR PORCS</v>
      </c>
      <c r="AZ1385" t="str">
        <f>IF(COUNTIF(AY:AY,AY1385)=1,AY1385,IF(AND(COUNTIF(AY:AY,AY1385)&gt;1,COUNTIF(AZ$2:AZ1384,AY1385)&gt;=1),"",AY1385))</f>
        <v>VETMULIN 162 MG/ML SOLUTION INJECTABLE POUR PORCS</v>
      </c>
      <c r="BA1385">
        <f>IF(AZ1385="","",COUNTIFS(AZ$3:AZ$1439,"&lt;"&amp;AZ1385,AZ$3:AZ$1439,"&lt;&gt;0")+COUNTIF(AZ$3:AZ1385,AZ1385)-876)</f>
        <v>545</v>
      </c>
      <c r="CN1385">
        <v>1384</v>
      </c>
    </row>
    <row r="1386" spans="1:92" x14ac:dyDescent="0.3">
      <c r="A1386" t="s">
        <v>3321</v>
      </c>
      <c r="B1386" t="s">
        <v>3322</v>
      </c>
      <c r="C1386" t="s">
        <v>1835</v>
      </c>
      <c r="D1386" s="144" t="s">
        <v>829</v>
      </c>
      <c r="E1386" t="s">
        <v>830</v>
      </c>
      <c r="F1386" t="s">
        <v>534</v>
      </c>
      <c r="G1386" t="s">
        <v>831</v>
      </c>
      <c r="H1386" t="s">
        <v>2653</v>
      </c>
      <c r="I1386" t="s">
        <v>817</v>
      </c>
      <c r="J1386" t="s">
        <v>2081</v>
      </c>
      <c r="K1386" t="s">
        <v>2081</v>
      </c>
      <c r="L1386" t="s">
        <v>2082</v>
      </c>
      <c r="M1386" t="s">
        <v>208</v>
      </c>
      <c r="N1386" t="s">
        <v>3238</v>
      </c>
      <c r="O1386" t="s">
        <v>894</v>
      </c>
      <c r="P1386" t="s">
        <v>772</v>
      </c>
      <c r="Q1386" t="s">
        <v>3238</v>
      </c>
      <c r="R1386">
        <v>0</v>
      </c>
      <c r="S1386">
        <v>0</v>
      </c>
      <c r="T1386">
        <v>0</v>
      </c>
      <c r="U1386">
        <v>0</v>
      </c>
      <c r="V1386">
        <v>0</v>
      </c>
      <c r="W1386">
        <v>0</v>
      </c>
      <c r="X1386">
        <v>0</v>
      </c>
      <c r="Y1386">
        <v>0</v>
      </c>
      <c r="Z1386">
        <v>0</v>
      </c>
      <c r="AA1386">
        <v>0</v>
      </c>
      <c r="AB1386">
        <v>0</v>
      </c>
      <c r="AC1386">
        <v>0</v>
      </c>
      <c r="AD1386">
        <v>16.2</v>
      </c>
      <c r="AE1386">
        <v>5</v>
      </c>
      <c r="AF1386">
        <v>32.4</v>
      </c>
      <c r="AG1386">
        <v>5</v>
      </c>
      <c r="AH1386">
        <v>0</v>
      </c>
      <c r="AI1386">
        <v>0</v>
      </c>
      <c r="AY1386" t="str">
        <f t="shared" si="200"/>
        <v>VETMULIN 364 MG/G GRANULES POUR SOLUTION BUVABLE POUR PORCS POULETS ET DINDONS</v>
      </c>
      <c r="AZ1386" t="str">
        <f>IF(COUNTIF(AY:AY,AY1386)=1,AY1386,IF(AND(COUNTIF(AY:AY,AY1386)&gt;1,COUNTIF(AZ$2:AZ1385,AY1386)&gt;=1),"",AY1386))</f>
        <v>VETMULIN 364 MG/G GRANULES POUR SOLUTION BUVABLE POUR PORCS POULETS ET DINDONS</v>
      </c>
      <c r="BA1386">
        <f>IF(AZ1386="","",COUNTIFS(AZ$3:AZ$1439,"&lt;"&amp;AZ1386,AZ$3:AZ$1439,"&lt;&gt;0")+COUNTIF(AZ$3:AZ1386,AZ1386)-876)</f>
        <v>546</v>
      </c>
      <c r="CN1386">
        <v>1385</v>
      </c>
    </row>
    <row r="1387" spans="1:92" x14ac:dyDescent="0.3">
      <c r="A1387" t="s">
        <v>4058</v>
      </c>
      <c r="B1387" t="s">
        <v>4059</v>
      </c>
      <c r="C1387" t="s">
        <v>2263</v>
      </c>
      <c r="D1387" s="144" t="s">
        <v>1536</v>
      </c>
      <c r="E1387" t="s">
        <v>830</v>
      </c>
      <c r="F1387" t="s">
        <v>535</v>
      </c>
      <c r="G1387" t="s">
        <v>1064</v>
      </c>
      <c r="H1387" t="s">
        <v>3399</v>
      </c>
      <c r="I1387" t="s">
        <v>1066</v>
      </c>
      <c r="J1387" t="s">
        <v>2081</v>
      </c>
      <c r="K1387" t="s">
        <v>2081</v>
      </c>
      <c r="L1387" t="s">
        <v>2082</v>
      </c>
      <c r="M1387" t="s">
        <v>208</v>
      </c>
      <c r="N1387" t="s">
        <v>3400</v>
      </c>
      <c r="O1387" t="s">
        <v>894</v>
      </c>
      <c r="P1387" t="s">
        <v>772</v>
      </c>
      <c r="Q1387" t="s">
        <v>4060</v>
      </c>
      <c r="R1387">
        <v>0</v>
      </c>
      <c r="S1387">
        <v>0</v>
      </c>
      <c r="T1387">
        <v>0</v>
      </c>
      <c r="U1387">
        <v>0</v>
      </c>
      <c r="V1387">
        <v>0</v>
      </c>
      <c r="W1387">
        <v>0</v>
      </c>
      <c r="X1387">
        <v>0</v>
      </c>
      <c r="Y1387">
        <v>0</v>
      </c>
      <c r="Z1387">
        <v>2.4300000000000002</v>
      </c>
      <c r="AA1387">
        <v>28</v>
      </c>
      <c r="AB1387">
        <v>0</v>
      </c>
      <c r="AC1387">
        <v>0</v>
      </c>
      <c r="AD1387">
        <v>8.1</v>
      </c>
      <c r="AE1387">
        <v>10</v>
      </c>
      <c r="AF1387">
        <v>32.4</v>
      </c>
      <c r="AG1387">
        <v>5</v>
      </c>
      <c r="AH1387">
        <v>0</v>
      </c>
      <c r="AI1387">
        <v>0</v>
      </c>
      <c r="AY1387" t="str">
        <f t="shared" si="200"/>
        <v>VETMULIN 81 MG/G PREMELANGE MEDICAMENTEUX POUR PORCS, POULETS, DINDES ET LAPINS</v>
      </c>
      <c r="AZ1387" t="str">
        <f>IF(COUNTIF(AY:AY,AY1387)=1,AY1387,IF(AND(COUNTIF(AY:AY,AY1387)&gt;1,COUNTIF(AZ$2:AZ1386,AY1387)&gt;=1),"",AY1387))</f>
        <v>VETMULIN 81 MG/G PREMELANGE MEDICAMENTEUX POUR PORCS, POULETS, DINDES ET LAPINS</v>
      </c>
      <c r="BA1387">
        <f>IF(AZ1387="","",COUNTIFS(AZ$3:AZ$1439,"&lt;"&amp;AZ1387,AZ$3:AZ$1439,"&lt;&gt;0")+COUNTIF(AZ$3:AZ1387,AZ1387)-876)</f>
        <v>547</v>
      </c>
      <c r="CN1387">
        <v>1386</v>
      </c>
    </row>
    <row r="1388" spans="1:92" x14ac:dyDescent="0.3">
      <c r="A1388" t="s">
        <v>1510</v>
      </c>
      <c r="B1388" t="s">
        <v>1511</v>
      </c>
      <c r="C1388" t="s">
        <v>1512</v>
      </c>
      <c r="D1388" s="144" t="s">
        <v>1506</v>
      </c>
      <c r="E1388" t="s">
        <v>830</v>
      </c>
      <c r="F1388" t="s">
        <v>536</v>
      </c>
      <c r="G1388" t="s">
        <v>831</v>
      </c>
      <c r="H1388" t="s">
        <v>1513</v>
      </c>
      <c r="I1388" t="s">
        <v>817</v>
      </c>
      <c r="J1388" t="s">
        <v>862</v>
      </c>
      <c r="K1388" t="s">
        <v>862</v>
      </c>
      <c r="L1388" t="s">
        <v>863</v>
      </c>
      <c r="M1388" t="s">
        <v>208</v>
      </c>
      <c r="N1388" t="s">
        <v>1514</v>
      </c>
      <c r="O1388" t="s">
        <v>894</v>
      </c>
      <c r="P1388" t="s">
        <v>772</v>
      </c>
      <c r="Q1388" t="s">
        <v>869</v>
      </c>
      <c r="R1388">
        <v>100</v>
      </c>
      <c r="S1388">
        <v>4</v>
      </c>
      <c r="T1388">
        <v>0</v>
      </c>
      <c r="U1388">
        <v>0</v>
      </c>
      <c r="V1388">
        <v>100</v>
      </c>
      <c r="W1388">
        <v>4</v>
      </c>
      <c r="X1388">
        <v>0</v>
      </c>
      <c r="Y1388">
        <v>0</v>
      </c>
      <c r="Z1388">
        <v>0</v>
      </c>
      <c r="AA1388">
        <v>0</v>
      </c>
      <c r="AB1388">
        <v>0</v>
      </c>
      <c r="AC1388">
        <v>0</v>
      </c>
      <c r="AD1388">
        <v>0</v>
      </c>
      <c r="AE1388">
        <v>0</v>
      </c>
      <c r="AF1388">
        <v>0</v>
      </c>
      <c r="AG1388">
        <v>0</v>
      </c>
      <c r="AH1388">
        <v>0</v>
      </c>
      <c r="AI1388">
        <v>0</v>
      </c>
      <c r="AY1388" t="str">
        <f t="shared" si="200"/>
        <v>VETO-ANTI-DIAR</v>
      </c>
      <c r="AZ1388" t="str">
        <f>IF(COUNTIF(AY:AY,AY1388)=1,AY1388,IF(AND(COUNTIF(AY:AY,AY1388)&gt;1,COUNTIF(AZ$2:AZ1387,AY1388)&gt;=1),"",AY1388))</f>
        <v>VETO-ANTI-DIAR</v>
      </c>
      <c r="BA1388">
        <f>IF(AZ1388="","",COUNTIFS(AZ$3:AZ$1439,"&lt;"&amp;AZ1388,AZ$3:AZ$1439,"&lt;&gt;0")+COUNTIF(AZ$3:AZ1388,AZ1388)-876)</f>
        <v>548</v>
      </c>
      <c r="CN1388">
        <v>1387</v>
      </c>
    </row>
    <row r="1389" spans="1:92" x14ac:dyDescent="0.3">
      <c r="A1389" t="s">
        <v>4233</v>
      </c>
      <c r="B1389" t="s">
        <v>4234</v>
      </c>
      <c r="C1389" t="s">
        <v>828</v>
      </c>
      <c r="D1389" t="s">
        <v>829</v>
      </c>
      <c r="E1389" t="s">
        <v>830</v>
      </c>
      <c r="F1389" t="s">
        <v>537</v>
      </c>
      <c r="G1389" t="s">
        <v>831</v>
      </c>
      <c r="H1389" t="s">
        <v>4235</v>
      </c>
      <c r="I1389" t="s">
        <v>817</v>
      </c>
      <c r="J1389" t="s">
        <v>914</v>
      </c>
      <c r="K1389" t="s">
        <v>914</v>
      </c>
      <c r="L1389" t="s">
        <v>995</v>
      </c>
      <c r="M1389" t="s">
        <v>996</v>
      </c>
      <c r="N1389" t="s">
        <v>1805</v>
      </c>
      <c r="O1389" t="s">
        <v>834</v>
      </c>
      <c r="P1389" t="s">
        <v>4371</v>
      </c>
      <c r="Q1389" t="s">
        <v>780</v>
      </c>
      <c r="R1389">
        <v>5</v>
      </c>
      <c r="S1389">
        <v>3</v>
      </c>
      <c r="T1389">
        <v>0</v>
      </c>
      <c r="U1389">
        <v>0</v>
      </c>
      <c r="V1389">
        <v>0</v>
      </c>
      <c r="W1389">
        <v>0</v>
      </c>
      <c r="X1389">
        <v>0</v>
      </c>
      <c r="Y1389">
        <v>0</v>
      </c>
      <c r="Z1389">
        <v>5</v>
      </c>
      <c r="AA1389">
        <v>3</v>
      </c>
      <c r="AB1389">
        <v>0</v>
      </c>
      <c r="AC1389">
        <v>0</v>
      </c>
      <c r="AD1389">
        <v>5</v>
      </c>
      <c r="AE1389">
        <v>3</v>
      </c>
      <c r="AF1389">
        <v>3.75</v>
      </c>
      <c r="AG1389">
        <v>3</v>
      </c>
      <c r="AH1389">
        <v>0</v>
      </c>
      <c r="AI1389">
        <v>0</v>
      </c>
      <c r="AY1389" t="str">
        <f t="shared" si="200"/>
        <v>VETOCOLI POUDRE SOLUBLE</v>
      </c>
      <c r="AZ1389" t="str">
        <f>IF(COUNTIF(AY:AY,AY1389)=1,AY1389,IF(AND(COUNTIF(AY:AY,AY1389)&gt;1,COUNTIF(AZ$2:AZ1388,AY1389)&gt;=1),"",AY1389))</f>
        <v>VETOCOLI POUDRE SOLUBLE</v>
      </c>
      <c r="BA1389">
        <f>IF(AZ1389="","",COUNTIFS(AZ$3:AZ$1439,"&lt;"&amp;AZ1389,AZ$3:AZ$1439,"&lt;&gt;0")+COUNTIF(AZ$3:AZ1389,AZ1389)-876)</f>
        <v>549</v>
      </c>
      <c r="CN1389">
        <v>1388</v>
      </c>
    </row>
    <row r="1390" spans="1:92" x14ac:dyDescent="0.3">
      <c r="A1390" t="s">
        <v>4233</v>
      </c>
      <c r="B1390" t="s">
        <v>4236</v>
      </c>
      <c r="C1390" t="s">
        <v>1313</v>
      </c>
      <c r="D1390" t="s">
        <v>955</v>
      </c>
      <c r="E1390" t="s">
        <v>830</v>
      </c>
      <c r="F1390" t="s">
        <v>537</v>
      </c>
      <c r="G1390" t="s">
        <v>831</v>
      </c>
      <c r="H1390" t="s">
        <v>4235</v>
      </c>
      <c r="I1390" t="s">
        <v>817</v>
      </c>
      <c r="J1390" t="s">
        <v>914</v>
      </c>
      <c r="K1390" t="s">
        <v>914</v>
      </c>
      <c r="L1390" t="s">
        <v>995</v>
      </c>
      <c r="M1390" t="s">
        <v>996</v>
      </c>
      <c r="N1390" t="s">
        <v>1805</v>
      </c>
      <c r="O1390" t="s">
        <v>834</v>
      </c>
      <c r="P1390" t="s">
        <v>4371</v>
      </c>
      <c r="Q1390" t="s">
        <v>776</v>
      </c>
      <c r="R1390">
        <v>5</v>
      </c>
      <c r="S1390">
        <v>3</v>
      </c>
      <c r="T1390">
        <v>0</v>
      </c>
      <c r="U1390">
        <v>0</v>
      </c>
      <c r="V1390">
        <v>0</v>
      </c>
      <c r="W1390">
        <v>0</v>
      </c>
      <c r="X1390">
        <v>0</v>
      </c>
      <c r="Y1390">
        <v>0</v>
      </c>
      <c r="Z1390">
        <v>5</v>
      </c>
      <c r="AA1390">
        <v>3</v>
      </c>
      <c r="AB1390">
        <v>0</v>
      </c>
      <c r="AC1390">
        <v>0</v>
      </c>
      <c r="AD1390">
        <v>5</v>
      </c>
      <c r="AE1390">
        <v>3</v>
      </c>
      <c r="AF1390">
        <v>3.75</v>
      </c>
      <c r="AG1390">
        <v>3</v>
      </c>
      <c r="AH1390">
        <v>0</v>
      </c>
      <c r="AI1390">
        <v>0</v>
      </c>
      <c r="AY1390" t="str">
        <f t="shared" si="200"/>
        <v>VETOCOLI POUDRE SOLUBLE</v>
      </c>
      <c r="AZ1390" t="str">
        <f>IF(COUNTIF(AY:AY,AY1390)=1,AY1390,IF(AND(COUNTIF(AY:AY,AY1390)&gt;1,COUNTIF(AZ$2:AZ1389,AY1390)&gt;=1),"",AY1390))</f>
        <v/>
      </c>
      <c r="BA1390" t="str">
        <f>IF(AZ1390="","",COUNTIFS(AZ$3:AZ$1439,"&lt;"&amp;AZ1390,AZ$3:AZ$1439,"&lt;&gt;0")+COUNTIF(AZ$3:AZ1390,AZ1390)-876)</f>
        <v/>
      </c>
      <c r="CN1390">
        <v>1389</v>
      </c>
    </row>
    <row r="1391" spans="1:92" x14ac:dyDescent="0.3">
      <c r="A1391" t="s">
        <v>4233</v>
      </c>
      <c r="B1391" t="s">
        <v>4237</v>
      </c>
      <c r="C1391" t="s">
        <v>1293</v>
      </c>
      <c r="D1391" t="s">
        <v>924</v>
      </c>
      <c r="E1391" t="s">
        <v>830</v>
      </c>
      <c r="F1391" t="s">
        <v>537</v>
      </c>
      <c r="G1391" t="s">
        <v>831</v>
      </c>
      <c r="H1391" t="s">
        <v>4235</v>
      </c>
      <c r="I1391" t="s">
        <v>817</v>
      </c>
      <c r="J1391" t="s">
        <v>914</v>
      </c>
      <c r="K1391" t="s">
        <v>914</v>
      </c>
      <c r="L1391" t="s">
        <v>995</v>
      </c>
      <c r="M1391" t="s">
        <v>996</v>
      </c>
      <c r="N1391" t="s">
        <v>1805</v>
      </c>
      <c r="O1391" t="s">
        <v>834</v>
      </c>
      <c r="P1391" t="s">
        <v>4371</v>
      </c>
      <c r="Q1391" t="s">
        <v>906</v>
      </c>
      <c r="R1391">
        <v>5</v>
      </c>
      <c r="S1391">
        <v>3</v>
      </c>
      <c r="T1391">
        <v>0</v>
      </c>
      <c r="U1391">
        <v>0</v>
      </c>
      <c r="V1391">
        <v>0</v>
      </c>
      <c r="W1391">
        <v>0</v>
      </c>
      <c r="X1391">
        <v>0</v>
      </c>
      <c r="Y1391">
        <v>0</v>
      </c>
      <c r="Z1391">
        <v>5</v>
      </c>
      <c r="AA1391">
        <v>3</v>
      </c>
      <c r="AB1391">
        <v>0</v>
      </c>
      <c r="AC1391">
        <v>0</v>
      </c>
      <c r="AD1391">
        <v>5</v>
      </c>
      <c r="AE1391">
        <v>3</v>
      </c>
      <c r="AF1391">
        <v>3.75</v>
      </c>
      <c r="AG1391">
        <v>3</v>
      </c>
      <c r="AH1391">
        <v>0</v>
      </c>
      <c r="AI1391">
        <v>0</v>
      </c>
      <c r="AY1391" t="str">
        <f t="shared" si="200"/>
        <v>VETOCOLI POUDRE SOLUBLE</v>
      </c>
      <c r="AZ1391" t="str">
        <f>IF(COUNTIF(AY:AY,AY1391)=1,AY1391,IF(AND(COUNTIF(AY:AY,AY1391)&gt;1,COUNTIF(AZ$2:AZ1390,AY1391)&gt;=1),"",AY1391))</f>
        <v/>
      </c>
      <c r="BA1391" t="str">
        <f>IF(AZ1391="","",COUNTIFS(AZ$3:AZ$1439,"&lt;"&amp;AZ1391,AZ$3:AZ$1439,"&lt;&gt;0")+COUNTIF(AZ$3:AZ1391,AZ1391)-876)</f>
        <v/>
      </c>
      <c r="CN1391">
        <v>1390</v>
      </c>
    </row>
    <row r="1392" spans="1:92" x14ac:dyDescent="0.3">
      <c r="A1392" t="s">
        <v>2438</v>
      </c>
      <c r="B1392" t="s">
        <v>2439</v>
      </c>
      <c r="C1392" t="s">
        <v>792</v>
      </c>
      <c r="D1392" s="144" t="s">
        <v>764</v>
      </c>
      <c r="E1392" t="s">
        <v>765</v>
      </c>
      <c r="F1392" t="s">
        <v>133</v>
      </c>
      <c r="G1392" t="s">
        <v>766</v>
      </c>
      <c r="H1392" t="s">
        <v>1847</v>
      </c>
      <c r="I1392" t="s">
        <v>766</v>
      </c>
      <c r="J1392" t="s">
        <v>783</v>
      </c>
      <c r="K1392" t="s">
        <v>783</v>
      </c>
      <c r="L1392" t="s">
        <v>2037</v>
      </c>
      <c r="M1392" t="s">
        <v>208</v>
      </c>
      <c r="N1392" t="s">
        <v>916</v>
      </c>
      <c r="O1392" t="s">
        <v>805</v>
      </c>
      <c r="P1392" t="s">
        <v>4440</v>
      </c>
      <c r="Q1392" t="s">
        <v>4463</v>
      </c>
      <c r="R1392">
        <v>12.88</v>
      </c>
      <c r="S1392">
        <v>3</v>
      </c>
      <c r="T1392">
        <v>0</v>
      </c>
      <c r="U1392">
        <v>0</v>
      </c>
      <c r="V1392">
        <v>38.64</v>
      </c>
      <c r="W1392">
        <v>3</v>
      </c>
      <c r="X1392">
        <v>0</v>
      </c>
      <c r="Y1392">
        <v>0</v>
      </c>
      <c r="Z1392">
        <v>0</v>
      </c>
      <c r="AA1392">
        <v>0</v>
      </c>
      <c r="AB1392">
        <v>0</v>
      </c>
      <c r="AC1392">
        <v>0</v>
      </c>
      <c r="AD1392">
        <v>12.88</v>
      </c>
      <c r="AE1392">
        <v>3</v>
      </c>
      <c r="AF1392">
        <v>0</v>
      </c>
      <c r="AG1392">
        <v>0</v>
      </c>
      <c r="AH1392">
        <v>0</v>
      </c>
      <c r="AI1392">
        <v>0</v>
      </c>
      <c r="AY1392" t="str">
        <f t="shared" si="200"/>
        <v>VETRIGEN</v>
      </c>
      <c r="AZ1392" t="str">
        <f>IF(COUNTIF(AY:AY,AY1392)=1,AY1392,IF(AND(COUNTIF(AY:AY,AY1392)&gt;1,COUNTIF(AZ$2:AZ1391,AY1392)&gt;=1),"",AY1392))</f>
        <v>VETRIGEN</v>
      </c>
      <c r="BA1392">
        <f>IF(AZ1392="","",COUNTIFS(AZ$3:AZ$1439,"&lt;"&amp;AZ1392,AZ$3:AZ$1439,"&lt;&gt;0")+COUNTIF(AZ$3:AZ1392,AZ1392)-876)</f>
        <v>550</v>
      </c>
      <c r="CN1392">
        <v>1391</v>
      </c>
    </row>
    <row r="1393" spans="1:92" x14ac:dyDescent="0.3">
      <c r="A1393" t="s">
        <v>2438</v>
      </c>
      <c r="B1393" t="s">
        <v>2440</v>
      </c>
      <c r="C1393" t="s">
        <v>796</v>
      </c>
      <c r="D1393" s="144" t="s">
        <v>776</v>
      </c>
      <c r="E1393" t="s">
        <v>765</v>
      </c>
      <c r="F1393" t="s">
        <v>133</v>
      </c>
      <c r="G1393" t="s">
        <v>766</v>
      </c>
      <c r="H1393" t="s">
        <v>1847</v>
      </c>
      <c r="I1393" t="s">
        <v>766</v>
      </c>
      <c r="J1393" t="s">
        <v>783</v>
      </c>
      <c r="K1393" t="s">
        <v>783</v>
      </c>
      <c r="L1393" t="s">
        <v>2037</v>
      </c>
      <c r="M1393" t="s">
        <v>208</v>
      </c>
      <c r="N1393" t="s">
        <v>916</v>
      </c>
      <c r="O1393" t="s">
        <v>805</v>
      </c>
      <c r="P1393" t="s">
        <v>4440</v>
      </c>
      <c r="Q1393" t="s">
        <v>4464</v>
      </c>
      <c r="R1393">
        <v>12.88</v>
      </c>
      <c r="S1393">
        <v>3</v>
      </c>
      <c r="T1393">
        <v>0</v>
      </c>
      <c r="U1393">
        <v>0</v>
      </c>
      <c r="V1393">
        <v>38.64</v>
      </c>
      <c r="W1393">
        <v>3</v>
      </c>
      <c r="X1393">
        <v>0</v>
      </c>
      <c r="Y1393">
        <v>0</v>
      </c>
      <c r="Z1393">
        <v>0</v>
      </c>
      <c r="AA1393">
        <v>0</v>
      </c>
      <c r="AB1393">
        <v>0</v>
      </c>
      <c r="AC1393">
        <v>0</v>
      </c>
      <c r="AD1393">
        <v>12.88</v>
      </c>
      <c r="AE1393">
        <v>3</v>
      </c>
      <c r="AF1393">
        <v>0</v>
      </c>
      <c r="AG1393">
        <v>0</v>
      </c>
      <c r="AH1393">
        <v>0</v>
      </c>
      <c r="AI1393">
        <v>0</v>
      </c>
      <c r="AY1393" t="str">
        <f t="shared" si="200"/>
        <v>VETRIGEN</v>
      </c>
      <c r="AZ1393" t="str">
        <f>IF(COUNTIF(AY:AY,AY1393)=1,AY1393,IF(AND(COUNTIF(AY:AY,AY1393)&gt;1,COUNTIF(AZ$2:AZ1392,AY1393)&gt;=1),"",AY1393))</f>
        <v/>
      </c>
      <c r="BA1393" t="str">
        <f>IF(AZ1393="","",COUNTIFS(AZ$3:AZ$1439,"&lt;"&amp;AZ1393,AZ$3:AZ$1439,"&lt;&gt;0")+COUNTIF(AZ$3:AZ1393,AZ1393)-876)</f>
        <v/>
      </c>
      <c r="CN1393">
        <v>1392</v>
      </c>
    </row>
    <row r="1394" spans="1:92" x14ac:dyDescent="0.3">
      <c r="A1394" t="s">
        <v>2463</v>
      </c>
      <c r="B1394" t="s">
        <v>2464</v>
      </c>
      <c r="C1394" t="s">
        <v>2465</v>
      </c>
      <c r="D1394" s="144" t="s">
        <v>906</v>
      </c>
      <c r="E1394" t="s">
        <v>813</v>
      </c>
      <c r="F1394" t="s">
        <v>2466</v>
      </c>
      <c r="G1394" t="s">
        <v>815</v>
      </c>
      <c r="H1394" t="s">
        <v>860</v>
      </c>
      <c r="I1394" t="s">
        <v>817</v>
      </c>
      <c r="J1394" t="s">
        <v>787</v>
      </c>
      <c r="K1394" t="s">
        <v>787</v>
      </c>
      <c r="L1394" t="s">
        <v>1055</v>
      </c>
      <c r="M1394" t="s">
        <v>208</v>
      </c>
      <c r="N1394" t="s">
        <v>1155</v>
      </c>
      <c r="O1394" t="s">
        <v>824</v>
      </c>
      <c r="P1394" t="s">
        <v>772</v>
      </c>
      <c r="Q1394" t="s">
        <v>1255</v>
      </c>
      <c r="R1394">
        <v>0</v>
      </c>
      <c r="S1394">
        <v>0</v>
      </c>
      <c r="T1394">
        <v>20</v>
      </c>
      <c r="U1394">
        <v>5</v>
      </c>
      <c r="V1394">
        <v>0</v>
      </c>
      <c r="W1394">
        <v>0</v>
      </c>
      <c r="X1394">
        <v>0</v>
      </c>
      <c r="Y1394">
        <v>0</v>
      </c>
      <c r="Z1394">
        <v>0</v>
      </c>
      <c r="AA1394">
        <v>0</v>
      </c>
      <c r="AB1394">
        <v>0</v>
      </c>
      <c r="AC1394">
        <v>0</v>
      </c>
      <c r="AD1394">
        <v>0</v>
      </c>
      <c r="AE1394">
        <v>0</v>
      </c>
      <c r="AF1394">
        <v>0</v>
      </c>
      <c r="AG1394">
        <v>0</v>
      </c>
      <c r="AH1394">
        <v>0</v>
      </c>
      <c r="AI1394">
        <v>0</v>
      </c>
      <c r="AY1394" t="str">
        <f t="shared" si="200"/>
        <v/>
      </c>
      <c r="AZ1394" t="str">
        <f>IF(COUNTIF(AY:AY,AY1394)=1,AY1394,IF(AND(COUNTIF(AY:AY,AY1394)&gt;1,COUNTIF(AZ$2:AZ1393,AY1394)&gt;=1),"",AY1394))</f>
        <v/>
      </c>
      <c r="BA1394" t="str">
        <f>IF(AZ1394="","",COUNTIFS(AZ$3:AZ$1439,"&lt;"&amp;AZ1394,AZ$3:AZ$1439,"&lt;&gt;0")+COUNTIF(AZ$3:AZ1394,AZ1394)-876)</f>
        <v/>
      </c>
      <c r="CN1394">
        <v>1393</v>
      </c>
    </row>
    <row r="1395" spans="1:92" x14ac:dyDescent="0.3">
      <c r="A1395" t="s">
        <v>2829</v>
      </c>
      <c r="B1395" t="s">
        <v>2830</v>
      </c>
      <c r="C1395" t="s">
        <v>2831</v>
      </c>
      <c r="D1395" s="144" t="s">
        <v>1948</v>
      </c>
      <c r="E1395" t="s">
        <v>813</v>
      </c>
      <c r="F1395" t="s">
        <v>2832</v>
      </c>
      <c r="G1395" t="s">
        <v>815</v>
      </c>
      <c r="H1395" t="s">
        <v>860</v>
      </c>
      <c r="I1395" t="s">
        <v>817</v>
      </c>
      <c r="J1395" t="s">
        <v>787</v>
      </c>
      <c r="K1395" t="s">
        <v>787</v>
      </c>
      <c r="L1395" t="s">
        <v>1055</v>
      </c>
      <c r="M1395" t="s">
        <v>208</v>
      </c>
      <c r="N1395" t="s">
        <v>2833</v>
      </c>
      <c r="O1395" t="s">
        <v>824</v>
      </c>
      <c r="P1395" t="s">
        <v>772</v>
      </c>
      <c r="Q1395" t="s">
        <v>1183</v>
      </c>
      <c r="R1395">
        <v>0</v>
      </c>
      <c r="S1395">
        <v>0</v>
      </c>
      <c r="T1395">
        <v>20</v>
      </c>
      <c r="U1395">
        <v>5</v>
      </c>
      <c r="V1395">
        <v>0</v>
      </c>
      <c r="W1395">
        <v>0</v>
      </c>
      <c r="X1395">
        <v>0</v>
      </c>
      <c r="Y1395">
        <v>0</v>
      </c>
      <c r="Z1395">
        <v>0</v>
      </c>
      <c r="AA1395">
        <v>0</v>
      </c>
      <c r="AB1395">
        <v>0</v>
      </c>
      <c r="AC1395">
        <v>0</v>
      </c>
      <c r="AD1395">
        <v>0</v>
      </c>
      <c r="AE1395">
        <v>0</v>
      </c>
      <c r="AF1395">
        <v>0</v>
      </c>
      <c r="AG1395">
        <v>0</v>
      </c>
      <c r="AH1395">
        <v>0</v>
      </c>
      <c r="AI1395">
        <v>0</v>
      </c>
      <c r="AY1395" t="str">
        <f t="shared" si="200"/>
        <v/>
      </c>
      <c r="AZ1395" t="str">
        <f>IF(COUNTIF(AY:AY,AY1395)=1,AY1395,IF(AND(COUNTIF(AY:AY,AY1395)&gt;1,COUNTIF(AZ$2:AZ1394,AY1395)&gt;=1),"",AY1395))</f>
        <v/>
      </c>
      <c r="BA1395" t="str">
        <f>IF(AZ1395="","",COUNTIFS(AZ$3:AZ$1439,"&lt;"&amp;AZ1395,AZ$3:AZ$1439,"&lt;&gt;0")+COUNTIF(AZ$3:AZ1395,AZ1395)-876)</f>
        <v/>
      </c>
      <c r="CN1395">
        <v>1394</v>
      </c>
    </row>
    <row r="1396" spans="1:92" x14ac:dyDescent="0.3">
      <c r="A1396" t="s">
        <v>2536</v>
      </c>
      <c r="B1396" t="s">
        <v>2537</v>
      </c>
      <c r="C1396" t="s">
        <v>2481</v>
      </c>
      <c r="D1396" s="144" t="s">
        <v>764</v>
      </c>
      <c r="E1396" t="s">
        <v>765</v>
      </c>
      <c r="F1396" t="s">
        <v>538</v>
      </c>
      <c r="G1396" t="s">
        <v>766</v>
      </c>
      <c r="H1396" t="s">
        <v>1326</v>
      </c>
      <c r="I1396" t="s">
        <v>766</v>
      </c>
      <c r="J1396" t="s">
        <v>787</v>
      </c>
      <c r="K1396" t="s">
        <v>787</v>
      </c>
      <c r="L1396" t="s">
        <v>1055</v>
      </c>
      <c r="M1396" t="s">
        <v>208</v>
      </c>
      <c r="N1396" t="s">
        <v>1155</v>
      </c>
      <c r="O1396" t="s">
        <v>771</v>
      </c>
      <c r="P1396" t="s">
        <v>772</v>
      </c>
      <c r="Q1396" t="s">
        <v>972</v>
      </c>
      <c r="R1396">
        <v>15</v>
      </c>
      <c r="S1396">
        <v>2</v>
      </c>
      <c r="T1396">
        <v>0</v>
      </c>
      <c r="U1396">
        <v>0</v>
      </c>
      <c r="V1396">
        <v>0</v>
      </c>
      <c r="W1396">
        <v>0</v>
      </c>
      <c r="X1396">
        <v>0</v>
      </c>
      <c r="Y1396">
        <v>0</v>
      </c>
      <c r="Z1396">
        <v>0</v>
      </c>
      <c r="AA1396">
        <v>0</v>
      </c>
      <c r="AB1396">
        <v>15</v>
      </c>
      <c r="AC1396">
        <v>2</v>
      </c>
      <c r="AD1396">
        <v>15</v>
      </c>
      <c r="AE1396">
        <v>2</v>
      </c>
      <c r="AF1396">
        <v>0</v>
      </c>
      <c r="AG1396">
        <v>0</v>
      </c>
      <c r="AH1396">
        <v>0</v>
      </c>
      <c r="AI1396">
        <v>0</v>
      </c>
      <c r="AY1396" t="str">
        <f t="shared" si="200"/>
        <v>VETRIMOXIN 48 HEURES</v>
      </c>
      <c r="AZ1396" t="str">
        <f>IF(COUNTIF(AY:AY,AY1396)=1,AY1396,IF(AND(COUNTIF(AY:AY,AY1396)&gt;1,COUNTIF(AZ$2:AZ1395,AY1396)&gt;=1),"",AY1396))</f>
        <v>VETRIMOXIN 48 HEURES</v>
      </c>
      <c r="BA1396">
        <f>IF(AZ1396="","",COUNTIFS(AZ$3:AZ$1439,"&lt;"&amp;AZ1396,AZ$3:AZ$1439,"&lt;&gt;0")+COUNTIF(AZ$3:AZ1396,AZ1396)-876)</f>
        <v>551</v>
      </c>
      <c r="CN1396">
        <v>1395</v>
      </c>
    </row>
    <row r="1397" spans="1:92" x14ac:dyDescent="0.3">
      <c r="A1397" t="s">
        <v>2536</v>
      </c>
      <c r="B1397" t="s">
        <v>2538</v>
      </c>
      <c r="C1397" t="s">
        <v>2483</v>
      </c>
      <c r="D1397" s="144" t="s">
        <v>776</v>
      </c>
      <c r="E1397" t="s">
        <v>765</v>
      </c>
      <c r="F1397" t="s">
        <v>538</v>
      </c>
      <c r="G1397" t="s">
        <v>766</v>
      </c>
      <c r="H1397" t="s">
        <v>1326</v>
      </c>
      <c r="I1397" t="s">
        <v>766</v>
      </c>
      <c r="J1397" t="s">
        <v>787</v>
      </c>
      <c r="K1397" t="s">
        <v>787</v>
      </c>
      <c r="L1397" t="s">
        <v>1055</v>
      </c>
      <c r="M1397" t="s">
        <v>208</v>
      </c>
      <c r="N1397" t="s">
        <v>1155</v>
      </c>
      <c r="O1397" t="s">
        <v>771</v>
      </c>
      <c r="P1397" t="s">
        <v>772</v>
      </c>
      <c r="Q1397" t="s">
        <v>1773</v>
      </c>
      <c r="R1397">
        <v>15</v>
      </c>
      <c r="S1397">
        <v>2</v>
      </c>
      <c r="T1397">
        <v>0</v>
      </c>
      <c r="U1397">
        <v>0</v>
      </c>
      <c r="V1397">
        <v>0</v>
      </c>
      <c r="W1397">
        <v>0</v>
      </c>
      <c r="X1397">
        <v>0</v>
      </c>
      <c r="Y1397">
        <v>0</v>
      </c>
      <c r="Z1397">
        <v>0</v>
      </c>
      <c r="AA1397">
        <v>0</v>
      </c>
      <c r="AB1397">
        <v>15</v>
      </c>
      <c r="AC1397">
        <v>2</v>
      </c>
      <c r="AD1397">
        <v>15</v>
      </c>
      <c r="AE1397">
        <v>2</v>
      </c>
      <c r="AF1397">
        <v>0</v>
      </c>
      <c r="AG1397">
        <v>0</v>
      </c>
      <c r="AH1397">
        <v>0</v>
      </c>
      <c r="AI1397">
        <v>0</v>
      </c>
      <c r="AY1397" t="str">
        <f t="shared" si="200"/>
        <v>VETRIMOXIN 48 HEURES</v>
      </c>
      <c r="AZ1397" t="str">
        <f>IF(COUNTIF(AY:AY,AY1397)=1,AY1397,IF(AND(COUNTIF(AY:AY,AY1397)&gt;1,COUNTIF(AZ$2:AZ1396,AY1397)&gt;=1),"",AY1397))</f>
        <v/>
      </c>
      <c r="BA1397" t="str">
        <f>IF(AZ1397="","",COUNTIFS(AZ$3:AZ$1439,"&lt;"&amp;AZ1397,AZ$3:AZ$1439,"&lt;&gt;0")+COUNTIF(AZ$3:AZ1397,AZ1397)-876)</f>
        <v/>
      </c>
      <c r="CN1397">
        <v>1396</v>
      </c>
    </row>
    <row r="1398" spans="1:92" x14ac:dyDescent="0.3">
      <c r="A1398" t="s">
        <v>2536</v>
      </c>
      <c r="B1398" t="s">
        <v>2539</v>
      </c>
      <c r="C1398" t="s">
        <v>2485</v>
      </c>
      <c r="D1398" s="144" t="s">
        <v>906</v>
      </c>
      <c r="E1398" t="s">
        <v>765</v>
      </c>
      <c r="F1398" t="s">
        <v>538</v>
      </c>
      <c r="G1398" t="s">
        <v>766</v>
      </c>
      <c r="H1398" t="s">
        <v>1326</v>
      </c>
      <c r="I1398" t="s">
        <v>766</v>
      </c>
      <c r="J1398" t="s">
        <v>787</v>
      </c>
      <c r="K1398" t="s">
        <v>787</v>
      </c>
      <c r="L1398" t="s">
        <v>1055</v>
      </c>
      <c r="M1398" t="s">
        <v>208</v>
      </c>
      <c r="N1398" t="s">
        <v>1155</v>
      </c>
      <c r="O1398" t="s">
        <v>771</v>
      </c>
      <c r="P1398" t="s">
        <v>772</v>
      </c>
      <c r="Q1398" t="s">
        <v>1255</v>
      </c>
      <c r="R1398">
        <v>15</v>
      </c>
      <c r="S1398">
        <v>2</v>
      </c>
      <c r="T1398">
        <v>0</v>
      </c>
      <c r="U1398">
        <v>0</v>
      </c>
      <c r="V1398">
        <v>0</v>
      </c>
      <c r="W1398">
        <v>0</v>
      </c>
      <c r="X1398">
        <v>0</v>
      </c>
      <c r="Y1398">
        <v>0</v>
      </c>
      <c r="Z1398">
        <v>0</v>
      </c>
      <c r="AA1398">
        <v>0</v>
      </c>
      <c r="AB1398">
        <v>15</v>
      </c>
      <c r="AC1398">
        <v>2</v>
      </c>
      <c r="AD1398">
        <v>15</v>
      </c>
      <c r="AE1398">
        <v>2</v>
      </c>
      <c r="AF1398">
        <v>0</v>
      </c>
      <c r="AG1398">
        <v>0</v>
      </c>
      <c r="AH1398">
        <v>0</v>
      </c>
      <c r="AI1398">
        <v>0</v>
      </c>
      <c r="AY1398" t="str">
        <f t="shared" si="200"/>
        <v>VETRIMOXIN 48 HEURES</v>
      </c>
      <c r="AZ1398" t="str">
        <f>IF(COUNTIF(AY:AY,AY1398)=1,AY1398,IF(AND(COUNTIF(AY:AY,AY1398)&gt;1,COUNTIF(AZ$2:AZ1397,AY1398)&gt;=1),"",AY1398))</f>
        <v/>
      </c>
      <c r="BA1398" t="str">
        <f>IF(AZ1398="","",COUNTIFS(AZ$3:AZ$1439,"&lt;"&amp;AZ1398,AZ$3:AZ$1439,"&lt;&gt;0")+COUNTIF(AZ$3:AZ1398,AZ1398)-876)</f>
        <v/>
      </c>
      <c r="CN1398">
        <v>1397</v>
      </c>
    </row>
    <row r="1399" spans="1:92" x14ac:dyDescent="0.3">
      <c r="A1399" t="s">
        <v>2948</v>
      </c>
      <c r="B1399" t="s">
        <v>2949</v>
      </c>
      <c r="C1399" t="s">
        <v>1588</v>
      </c>
      <c r="D1399" s="144" t="s">
        <v>829</v>
      </c>
      <c r="E1399" t="s">
        <v>830</v>
      </c>
      <c r="F1399" t="s">
        <v>539</v>
      </c>
      <c r="G1399" t="s">
        <v>831</v>
      </c>
      <c r="H1399" t="s">
        <v>2683</v>
      </c>
      <c r="I1399" t="s">
        <v>817</v>
      </c>
      <c r="J1399" t="s">
        <v>787</v>
      </c>
      <c r="K1399" t="s">
        <v>787</v>
      </c>
      <c r="L1399" t="s">
        <v>1055</v>
      </c>
      <c r="M1399" t="s">
        <v>208</v>
      </c>
      <c r="N1399" t="s">
        <v>906</v>
      </c>
      <c r="O1399" t="s">
        <v>894</v>
      </c>
      <c r="P1399" t="s">
        <v>772</v>
      </c>
      <c r="Q1399" t="s">
        <v>906</v>
      </c>
      <c r="R1399">
        <v>0</v>
      </c>
      <c r="S1399">
        <v>0</v>
      </c>
      <c r="T1399">
        <v>0</v>
      </c>
      <c r="U1399">
        <v>0</v>
      </c>
      <c r="V1399">
        <v>0</v>
      </c>
      <c r="W1399">
        <v>0</v>
      </c>
      <c r="X1399">
        <v>0</v>
      </c>
      <c r="Y1399">
        <v>0</v>
      </c>
      <c r="Z1399">
        <v>0</v>
      </c>
      <c r="AA1399">
        <v>0</v>
      </c>
      <c r="AB1399">
        <v>0</v>
      </c>
      <c r="AC1399">
        <v>0</v>
      </c>
      <c r="AD1399">
        <v>0</v>
      </c>
      <c r="AE1399">
        <v>0</v>
      </c>
      <c r="AF1399">
        <v>20</v>
      </c>
      <c r="AG1399">
        <v>5</v>
      </c>
      <c r="AH1399">
        <v>0</v>
      </c>
      <c r="AI1399">
        <v>0</v>
      </c>
      <c r="AY1399" t="str">
        <f t="shared" si="200"/>
        <v>VETRIMOXIN 50</v>
      </c>
      <c r="AZ1399" t="str">
        <f>IF(COUNTIF(AY:AY,AY1399)=1,AY1399,IF(AND(COUNTIF(AY:AY,AY1399)&gt;1,COUNTIF(AZ$2:AZ1398,AY1399)&gt;=1),"",AY1399))</f>
        <v>VETRIMOXIN 50</v>
      </c>
      <c r="BA1399">
        <f>IF(AZ1399="","",COUNTIFS(AZ$3:AZ$1439,"&lt;"&amp;AZ1399,AZ$3:AZ$1439,"&lt;&gt;0")+COUNTIF(AZ$3:AZ1399,AZ1399)-876)</f>
        <v>552</v>
      </c>
      <c r="CN1399">
        <v>1398</v>
      </c>
    </row>
    <row r="1400" spans="1:92" x14ac:dyDescent="0.3">
      <c r="A1400" t="s">
        <v>2948</v>
      </c>
      <c r="B1400" t="s">
        <v>2950</v>
      </c>
      <c r="C1400" t="s">
        <v>2951</v>
      </c>
      <c r="D1400" s="144" t="s">
        <v>829</v>
      </c>
      <c r="E1400" t="s">
        <v>830</v>
      </c>
      <c r="F1400" t="s">
        <v>539</v>
      </c>
      <c r="G1400" t="s">
        <v>831</v>
      </c>
      <c r="H1400" t="s">
        <v>2683</v>
      </c>
      <c r="I1400" t="s">
        <v>817</v>
      </c>
      <c r="J1400" t="s">
        <v>787</v>
      </c>
      <c r="K1400" t="s">
        <v>787</v>
      </c>
      <c r="L1400" t="s">
        <v>1055</v>
      </c>
      <c r="M1400" t="s">
        <v>208</v>
      </c>
      <c r="N1400" t="s">
        <v>906</v>
      </c>
      <c r="O1400" t="s">
        <v>894</v>
      </c>
      <c r="P1400" t="s">
        <v>772</v>
      </c>
      <c r="Q1400" t="s">
        <v>906</v>
      </c>
      <c r="R1400">
        <v>0</v>
      </c>
      <c r="S1400">
        <v>0</v>
      </c>
      <c r="T1400">
        <v>0</v>
      </c>
      <c r="U1400">
        <v>0</v>
      </c>
      <c r="V1400">
        <v>0</v>
      </c>
      <c r="W1400">
        <v>0</v>
      </c>
      <c r="X1400">
        <v>0</v>
      </c>
      <c r="Y1400">
        <v>0</v>
      </c>
      <c r="Z1400">
        <v>0</v>
      </c>
      <c r="AA1400">
        <v>0</v>
      </c>
      <c r="AB1400">
        <v>0</v>
      </c>
      <c r="AC1400">
        <v>0</v>
      </c>
      <c r="AD1400">
        <v>0</v>
      </c>
      <c r="AE1400">
        <v>0</v>
      </c>
      <c r="AF1400">
        <v>20</v>
      </c>
      <c r="AG1400">
        <v>5</v>
      </c>
      <c r="AH1400">
        <v>0</v>
      </c>
      <c r="AI1400">
        <v>0</v>
      </c>
      <c r="AY1400" t="str">
        <f t="shared" si="200"/>
        <v>VETRIMOXIN 50</v>
      </c>
      <c r="AZ1400" t="str">
        <f>IF(COUNTIF(AY:AY,AY1400)=1,AY1400,IF(AND(COUNTIF(AY:AY,AY1400)&gt;1,COUNTIF(AZ$2:AZ1399,AY1400)&gt;=1),"",AY1400))</f>
        <v/>
      </c>
      <c r="BA1400" t="str">
        <f>IF(AZ1400="","",COUNTIFS(AZ$3:AZ$1439,"&lt;"&amp;AZ1400,AZ$3:AZ$1439,"&lt;&gt;0")+COUNTIF(AZ$3:AZ1400,AZ1400)-876)</f>
        <v/>
      </c>
      <c r="CN1400">
        <v>1399</v>
      </c>
    </row>
    <row r="1401" spans="1:92" x14ac:dyDescent="0.3">
      <c r="A1401" t="s">
        <v>2663</v>
      </c>
      <c r="B1401" t="s">
        <v>2664</v>
      </c>
      <c r="C1401" t="s">
        <v>1313</v>
      </c>
      <c r="D1401" s="144" t="s">
        <v>955</v>
      </c>
      <c r="E1401" t="s">
        <v>830</v>
      </c>
      <c r="F1401" t="s">
        <v>540</v>
      </c>
      <c r="G1401" t="s">
        <v>831</v>
      </c>
      <c r="H1401" t="s">
        <v>832</v>
      </c>
      <c r="I1401" t="s">
        <v>817</v>
      </c>
      <c r="J1401" t="s">
        <v>787</v>
      </c>
      <c r="K1401" t="s">
        <v>787</v>
      </c>
      <c r="L1401" t="s">
        <v>1055</v>
      </c>
      <c r="M1401" t="s">
        <v>208</v>
      </c>
      <c r="N1401" t="s">
        <v>764</v>
      </c>
      <c r="O1401" t="s">
        <v>894</v>
      </c>
      <c r="P1401" t="s">
        <v>772</v>
      </c>
      <c r="Q1401" t="s">
        <v>906</v>
      </c>
      <c r="R1401">
        <v>10</v>
      </c>
      <c r="S1401">
        <v>5</v>
      </c>
      <c r="T1401">
        <v>0</v>
      </c>
      <c r="U1401">
        <v>0</v>
      </c>
      <c r="V1401">
        <v>0</v>
      </c>
      <c r="W1401">
        <v>0</v>
      </c>
      <c r="X1401">
        <v>0</v>
      </c>
      <c r="Y1401">
        <v>0</v>
      </c>
      <c r="Z1401">
        <v>0</v>
      </c>
      <c r="AA1401">
        <v>0</v>
      </c>
      <c r="AB1401">
        <v>0</v>
      </c>
      <c r="AC1401">
        <v>0</v>
      </c>
      <c r="AD1401">
        <v>10</v>
      </c>
      <c r="AE1401">
        <v>5</v>
      </c>
      <c r="AF1401">
        <v>10</v>
      </c>
      <c r="AG1401">
        <v>5</v>
      </c>
      <c r="AH1401">
        <v>0</v>
      </c>
      <c r="AI1401">
        <v>0</v>
      </c>
      <c r="AY1401" t="str">
        <f t="shared" si="200"/>
        <v>VETRIMOXIN P.O.</v>
      </c>
      <c r="AZ1401" t="str">
        <f>IF(COUNTIF(AY:AY,AY1401)=1,AY1401,IF(AND(COUNTIF(AY:AY,AY1401)&gt;1,COUNTIF(AZ$2:AZ1400,AY1401)&gt;=1),"",AY1401))</f>
        <v>VETRIMOXIN P.O.</v>
      </c>
      <c r="BA1401">
        <f>IF(AZ1401="","",COUNTIFS(AZ$3:AZ$1439,"&lt;"&amp;AZ1401,AZ$3:AZ$1439,"&lt;&gt;0")+COUNTIF(AZ$3:AZ1401,AZ1401)-876)</f>
        <v>553</v>
      </c>
      <c r="CN1401">
        <v>1400</v>
      </c>
    </row>
    <row r="1402" spans="1:92" x14ac:dyDescent="0.3">
      <c r="A1402" t="s">
        <v>2663</v>
      </c>
      <c r="B1402" t="s">
        <v>2665</v>
      </c>
      <c r="C1402" t="s">
        <v>1835</v>
      </c>
      <c r="D1402" s="144" t="s">
        <v>829</v>
      </c>
      <c r="E1402" t="s">
        <v>830</v>
      </c>
      <c r="F1402" t="s">
        <v>540</v>
      </c>
      <c r="G1402" t="s">
        <v>831</v>
      </c>
      <c r="H1402" t="s">
        <v>832</v>
      </c>
      <c r="I1402" t="s">
        <v>817</v>
      </c>
      <c r="J1402" t="s">
        <v>787</v>
      </c>
      <c r="K1402" t="s">
        <v>787</v>
      </c>
      <c r="L1402" t="s">
        <v>1055</v>
      </c>
      <c r="M1402" t="s">
        <v>208</v>
      </c>
      <c r="N1402" t="s">
        <v>764</v>
      </c>
      <c r="O1402" t="s">
        <v>894</v>
      </c>
      <c r="P1402" t="s">
        <v>772</v>
      </c>
      <c r="Q1402" t="s">
        <v>764</v>
      </c>
      <c r="R1402">
        <v>10</v>
      </c>
      <c r="S1402">
        <v>5</v>
      </c>
      <c r="T1402">
        <v>0</v>
      </c>
      <c r="U1402">
        <v>0</v>
      </c>
      <c r="V1402">
        <v>0</v>
      </c>
      <c r="W1402">
        <v>0</v>
      </c>
      <c r="X1402">
        <v>0</v>
      </c>
      <c r="Y1402">
        <v>0</v>
      </c>
      <c r="Z1402">
        <v>0</v>
      </c>
      <c r="AA1402">
        <v>0</v>
      </c>
      <c r="AB1402">
        <v>0</v>
      </c>
      <c r="AC1402">
        <v>0</v>
      </c>
      <c r="AD1402">
        <v>10</v>
      </c>
      <c r="AE1402">
        <v>5</v>
      </c>
      <c r="AF1402">
        <v>10</v>
      </c>
      <c r="AG1402">
        <v>5</v>
      </c>
      <c r="AH1402">
        <v>0</v>
      </c>
      <c r="AI1402">
        <v>0</v>
      </c>
      <c r="AY1402" t="str">
        <f t="shared" si="200"/>
        <v>VETRIMOXIN P.O.</v>
      </c>
      <c r="AZ1402" t="str">
        <f>IF(COUNTIF(AY:AY,AY1402)=1,AY1402,IF(AND(COUNTIF(AY:AY,AY1402)&gt;1,COUNTIF(AZ$2:AZ1401,AY1402)&gt;=1),"",AY1402))</f>
        <v/>
      </c>
      <c r="BA1402" t="str">
        <f>IF(AZ1402="","",COUNTIFS(AZ$3:AZ$1439,"&lt;"&amp;AZ1402,AZ$3:AZ$1439,"&lt;&gt;0")+COUNTIF(AZ$3:AZ1402,AZ1402)-876)</f>
        <v/>
      </c>
      <c r="CN1402">
        <v>1401</v>
      </c>
    </row>
    <row r="1403" spans="1:92" x14ac:dyDescent="0.3">
      <c r="A1403" t="s">
        <v>3026</v>
      </c>
      <c r="B1403" t="s">
        <v>3027</v>
      </c>
      <c r="C1403" t="s">
        <v>3028</v>
      </c>
      <c r="D1403" s="144" t="s">
        <v>1047</v>
      </c>
      <c r="E1403" t="s">
        <v>813</v>
      </c>
      <c r="F1403" t="s">
        <v>134</v>
      </c>
      <c r="G1403" t="s">
        <v>1024</v>
      </c>
      <c r="H1403" t="s">
        <v>1387</v>
      </c>
      <c r="I1403" t="s">
        <v>1013</v>
      </c>
      <c r="J1403" t="s">
        <v>2165</v>
      </c>
      <c r="K1403" t="s">
        <v>2165</v>
      </c>
      <c r="L1403" t="s">
        <v>2588</v>
      </c>
      <c r="M1403" t="s">
        <v>208</v>
      </c>
      <c r="N1403" t="s">
        <v>1155</v>
      </c>
      <c r="O1403" t="s">
        <v>824</v>
      </c>
      <c r="P1403" t="s">
        <v>772</v>
      </c>
      <c r="Q1403" t="s">
        <v>2870</v>
      </c>
      <c r="R1403">
        <v>0</v>
      </c>
      <c r="S1403">
        <v>0</v>
      </c>
      <c r="T1403">
        <v>0</v>
      </c>
      <c r="U1403">
        <v>0</v>
      </c>
      <c r="V1403">
        <v>0</v>
      </c>
      <c r="W1403">
        <v>0</v>
      </c>
      <c r="X1403">
        <v>0</v>
      </c>
      <c r="Y1403">
        <v>0</v>
      </c>
      <c r="Z1403">
        <v>0</v>
      </c>
      <c r="AA1403">
        <v>0</v>
      </c>
      <c r="AB1403">
        <v>0</v>
      </c>
      <c r="AC1403">
        <v>0</v>
      </c>
      <c r="AD1403">
        <v>0</v>
      </c>
      <c r="AE1403">
        <v>0</v>
      </c>
      <c r="AF1403">
        <v>0</v>
      </c>
      <c r="AG1403">
        <v>0</v>
      </c>
      <c r="AH1403">
        <v>0</v>
      </c>
      <c r="AI1403">
        <v>0</v>
      </c>
      <c r="AY1403" t="str">
        <f t="shared" si="200"/>
        <v>VIRBACTAN</v>
      </c>
      <c r="AZ1403" t="str">
        <f>IF(COUNTIF(AY:AY,AY1403)=1,AY1403,IF(AND(COUNTIF(AY:AY,AY1403)&gt;1,COUNTIF(AZ$2:AZ1402,AY1403)&gt;=1),"",AY1403))</f>
        <v>VIRBACTAN</v>
      </c>
      <c r="BA1403">
        <f>IF(AZ1403="","",COUNTIFS(AZ$3:AZ$1439,"&lt;"&amp;AZ1403,AZ$3:AZ$1439,"&lt;&gt;0")+COUNTIF(AZ$3:AZ1403,AZ1403)-876)</f>
        <v>554</v>
      </c>
      <c r="CN1403">
        <v>1402</v>
      </c>
    </row>
    <row r="1404" spans="1:92" x14ac:dyDescent="0.3">
      <c r="A1404" t="s">
        <v>3026</v>
      </c>
      <c r="B1404" t="s">
        <v>3029</v>
      </c>
      <c r="C1404" t="s">
        <v>3030</v>
      </c>
      <c r="D1404" s="144" t="s">
        <v>785</v>
      </c>
      <c r="E1404" t="s">
        <v>813</v>
      </c>
      <c r="F1404" t="s">
        <v>134</v>
      </c>
      <c r="G1404" t="s">
        <v>1024</v>
      </c>
      <c r="H1404" t="s">
        <v>1387</v>
      </c>
      <c r="I1404" t="s">
        <v>1013</v>
      </c>
      <c r="J1404" t="s">
        <v>2165</v>
      </c>
      <c r="K1404" t="s">
        <v>2165</v>
      </c>
      <c r="L1404" t="s">
        <v>2588</v>
      </c>
      <c r="M1404" t="s">
        <v>208</v>
      </c>
      <c r="N1404" t="s">
        <v>1155</v>
      </c>
      <c r="O1404" t="s">
        <v>824</v>
      </c>
      <c r="P1404" t="s">
        <v>772</v>
      </c>
      <c r="Q1404" t="s">
        <v>1184</v>
      </c>
      <c r="R1404">
        <v>0</v>
      </c>
      <c r="S1404">
        <v>0</v>
      </c>
      <c r="T1404">
        <v>0</v>
      </c>
      <c r="U1404">
        <v>0</v>
      </c>
      <c r="V1404">
        <v>0</v>
      </c>
      <c r="W1404">
        <v>0</v>
      </c>
      <c r="X1404">
        <v>0</v>
      </c>
      <c r="Y1404">
        <v>0</v>
      </c>
      <c r="Z1404">
        <v>0</v>
      </c>
      <c r="AA1404">
        <v>0</v>
      </c>
      <c r="AB1404">
        <v>0</v>
      </c>
      <c r="AC1404">
        <v>0</v>
      </c>
      <c r="AD1404">
        <v>0</v>
      </c>
      <c r="AE1404">
        <v>0</v>
      </c>
      <c r="AF1404">
        <v>0</v>
      </c>
      <c r="AG1404">
        <v>0</v>
      </c>
      <c r="AH1404">
        <v>0</v>
      </c>
      <c r="AI1404">
        <v>0</v>
      </c>
      <c r="AY1404" t="str">
        <f t="shared" si="200"/>
        <v>VIRBACTAN</v>
      </c>
      <c r="AZ1404" t="str">
        <f>IF(COUNTIF(AY:AY,AY1404)=1,AY1404,IF(AND(COUNTIF(AY:AY,AY1404)&gt;1,COUNTIF(AZ$2:AZ1403,AY1404)&gt;=1),"",AY1404))</f>
        <v/>
      </c>
      <c r="BA1404" t="str">
        <f>IF(AZ1404="","",COUNTIFS(AZ$3:AZ$1439,"&lt;"&amp;AZ1404,AZ$3:AZ$1439,"&lt;&gt;0")+COUNTIF(AZ$3:AZ1404,AZ1404)-876)</f>
        <v/>
      </c>
      <c r="CN1404">
        <v>1403</v>
      </c>
    </row>
    <row r="1405" spans="1:92" x14ac:dyDescent="0.3">
      <c r="A1405" t="s">
        <v>3026</v>
      </c>
      <c r="B1405" t="s">
        <v>3031</v>
      </c>
      <c r="C1405" t="s">
        <v>3032</v>
      </c>
      <c r="D1405" s="144" t="s">
        <v>1132</v>
      </c>
      <c r="E1405" t="s">
        <v>813</v>
      </c>
      <c r="F1405" t="s">
        <v>134</v>
      </c>
      <c r="G1405" t="s">
        <v>1024</v>
      </c>
      <c r="H1405" t="s">
        <v>1387</v>
      </c>
      <c r="I1405" t="s">
        <v>1013</v>
      </c>
      <c r="J1405" t="s">
        <v>2165</v>
      </c>
      <c r="K1405" t="s">
        <v>2165</v>
      </c>
      <c r="L1405" t="s">
        <v>2588</v>
      </c>
      <c r="M1405" t="s">
        <v>208</v>
      </c>
      <c r="N1405" t="s">
        <v>1155</v>
      </c>
      <c r="O1405" t="s">
        <v>824</v>
      </c>
      <c r="P1405" t="s">
        <v>772</v>
      </c>
      <c r="Q1405" t="s">
        <v>3033</v>
      </c>
      <c r="R1405">
        <v>0</v>
      </c>
      <c r="S1405">
        <v>0</v>
      </c>
      <c r="T1405">
        <v>0</v>
      </c>
      <c r="U1405">
        <v>0</v>
      </c>
      <c r="V1405">
        <v>0</v>
      </c>
      <c r="W1405">
        <v>0</v>
      </c>
      <c r="X1405">
        <v>0</v>
      </c>
      <c r="Y1405">
        <v>0</v>
      </c>
      <c r="Z1405">
        <v>0</v>
      </c>
      <c r="AA1405">
        <v>0</v>
      </c>
      <c r="AB1405">
        <v>0</v>
      </c>
      <c r="AC1405">
        <v>0</v>
      </c>
      <c r="AD1405">
        <v>0</v>
      </c>
      <c r="AE1405">
        <v>0</v>
      </c>
      <c r="AF1405">
        <v>0</v>
      </c>
      <c r="AG1405">
        <v>0</v>
      </c>
      <c r="AH1405">
        <v>0</v>
      </c>
      <c r="AI1405">
        <v>0</v>
      </c>
      <c r="AY1405" t="str">
        <f t="shared" si="200"/>
        <v>VIRBACTAN</v>
      </c>
      <c r="AZ1405" t="str">
        <f>IF(COUNTIF(AY:AY,AY1405)=1,AY1405,IF(AND(COUNTIF(AY:AY,AY1405)&gt;1,COUNTIF(AZ$2:AZ1404,AY1405)&gt;=1),"",AY1405))</f>
        <v/>
      </c>
      <c r="BA1405" t="str">
        <f>IF(AZ1405="","",COUNTIFS(AZ$3:AZ$1439,"&lt;"&amp;AZ1405,AZ$3:AZ$1439,"&lt;&gt;0")+COUNTIF(AZ$3:AZ1405,AZ1405)-876)</f>
        <v/>
      </c>
      <c r="CN1405">
        <v>1404</v>
      </c>
    </row>
    <row r="1406" spans="1:92" x14ac:dyDescent="0.3">
      <c r="A1406" t="s">
        <v>1902</v>
      </c>
      <c r="B1406" t="s">
        <v>1903</v>
      </c>
      <c r="C1406" t="s">
        <v>1616</v>
      </c>
      <c r="D1406" s="144" t="s">
        <v>829</v>
      </c>
      <c r="E1406" t="s">
        <v>765</v>
      </c>
      <c r="F1406" t="s">
        <v>135</v>
      </c>
      <c r="G1406" t="s">
        <v>766</v>
      </c>
      <c r="H1406" t="s">
        <v>1904</v>
      </c>
      <c r="I1406" t="s">
        <v>766</v>
      </c>
      <c r="J1406" t="s">
        <v>914</v>
      </c>
      <c r="K1406" t="s">
        <v>914</v>
      </c>
      <c r="L1406" t="s">
        <v>995</v>
      </c>
      <c r="M1406" t="s">
        <v>996</v>
      </c>
      <c r="N1406" t="s">
        <v>1016</v>
      </c>
      <c r="O1406" t="s">
        <v>805</v>
      </c>
      <c r="P1406" t="s">
        <v>4371</v>
      </c>
      <c r="Q1406" t="s">
        <v>855</v>
      </c>
      <c r="R1406">
        <v>2.5</v>
      </c>
      <c r="S1406">
        <v>3</v>
      </c>
      <c r="T1406">
        <v>0</v>
      </c>
      <c r="U1406">
        <v>0</v>
      </c>
      <c r="V1406">
        <v>2.5</v>
      </c>
      <c r="W1406">
        <v>3</v>
      </c>
      <c r="X1406">
        <v>0</v>
      </c>
      <c r="Y1406">
        <v>0</v>
      </c>
      <c r="Z1406">
        <v>2.5</v>
      </c>
      <c r="AA1406">
        <v>3</v>
      </c>
      <c r="AB1406">
        <v>2.5</v>
      </c>
      <c r="AC1406">
        <v>3</v>
      </c>
      <c r="AD1406">
        <v>2.5</v>
      </c>
      <c r="AE1406">
        <v>3</v>
      </c>
      <c r="AF1406">
        <v>2.5</v>
      </c>
      <c r="AG1406">
        <v>3</v>
      </c>
      <c r="AH1406">
        <v>0</v>
      </c>
      <c r="AI1406">
        <v>0</v>
      </c>
      <c r="AY1406" t="str">
        <f t="shared" si="200"/>
        <v>VIRGOCILLINE</v>
      </c>
      <c r="AZ1406" t="str">
        <f>IF(COUNTIF(AY:AY,AY1406)=1,AY1406,IF(AND(COUNTIF(AY:AY,AY1406)&gt;1,COUNTIF(AZ$2:AZ1405,AY1406)&gt;=1),"",AY1406))</f>
        <v>VIRGOCILLINE</v>
      </c>
      <c r="BA1406">
        <f>IF(AZ1406="","",COUNTIFS(AZ$3:AZ$1439,"&lt;"&amp;AZ1406,AZ$3:AZ$1439,"&lt;&gt;0")+COUNTIF(AZ$3:AZ1406,AZ1406)-876)</f>
        <v>555</v>
      </c>
      <c r="CN1406">
        <v>1405</v>
      </c>
    </row>
    <row r="1407" spans="1:92" x14ac:dyDescent="0.3">
      <c r="A1407" t="s">
        <v>1902</v>
      </c>
      <c r="B1407" t="s">
        <v>1905</v>
      </c>
      <c r="C1407" t="s">
        <v>796</v>
      </c>
      <c r="D1407" s="144" t="s">
        <v>776</v>
      </c>
      <c r="E1407" t="s">
        <v>765</v>
      </c>
      <c r="F1407" t="s">
        <v>135</v>
      </c>
      <c r="G1407" t="s">
        <v>766</v>
      </c>
      <c r="H1407" t="s">
        <v>1904</v>
      </c>
      <c r="I1407" t="s">
        <v>766</v>
      </c>
      <c r="J1407" t="s">
        <v>914</v>
      </c>
      <c r="K1407" t="s">
        <v>914</v>
      </c>
      <c r="L1407" t="s">
        <v>995</v>
      </c>
      <c r="M1407" t="s">
        <v>996</v>
      </c>
      <c r="N1407" t="s">
        <v>1016</v>
      </c>
      <c r="O1407" t="s">
        <v>805</v>
      </c>
      <c r="P1407" t="s">
        <v>4371</v>
      </c>
      <c r="Q1407" t="s">
        <v>1625</v>
      </c>
      <c r="R1407">
        <v>2.5</v>
      </c>
      <c r="S1407">
        <v>3</v>
      </c>
      <c r="T1407">
        <v>0</v>
      </c>
      <c r="U1407">
        <v>0</v>
      </c>
      <c r="V1407">
        <v>2.5</v>
      </c>
      <c r="W1407">
        <v>3</v>
      </c>
      <c r="X1407">
        <v>0</v>
      </c>
      <c r="Y1407">
        <v>0</v>
      </c>
      <c r="Z1407">
        <v>2.5</v>
      </c>
      <c r="AA1407">
        <v>3</v>
      </c>
      <c r="AB1407">
        <v>2.5</v>
      </c>
      <c r="AC1407">
        <v>3</v>
      </c>
      <c r="AD1407">
        <v>2.5</v>
      </c>
      <c r="AE1407">
        <v>3</v>
      </c>
      <c r="AF1407">
        <v>2.5</v>
      </c>
      <c r="AG1407">
        <v>3</v>
      </c>
      <c r="AH1407">
        <v>0</v>
      </c>
      <c r="AI1407">
        <v>0</v>
      </c>
      <c r="AY1407" t="str">
        <f t="shared" si="200"/>
        <v>VIRGOCILLINE</v>
      </c>
      <c r="AZ1407" t="str">
        <f>IF(COUNTIF(AY:AY,AY1407)=1,AY1407,IF(AND(COUNTIF(AY:AY,AY1407)&gt;1,COUNTIF(AZ$2:AZ1406,AY1407)&gt;=1),"",AY1407))</f>
        <v/>
      </c>
      <c r="BA1407" t="str">
        <f>IF(AZ1407="","",COUNTIFS(AZ$3:AZ$1439,"&lt;"&amp;AZ1407,AZ$3:AZ$1439,"&lt;&gt;0")+COUNTIF(AZ$3:AZ1407,AZ1407)-876)</f>
        <v/>
      </c>
      <c r="CN1407">
        <v>1406</v>
      </c>
    </row>
    <row r="1408" spans="1:92" x14ac:dyDescent="0.3">
      <c r="A1408" t="s">
        <v>1902</v>
      </c>
      <c r="B1408" t="s">
        <v>1906</v>
      </c>
      <c r="C1408" t="s">
        <v>792</v>
      </c>
      <c r="D1408" s="144" t="s">
        <v>764</v>
      </c>
      <c r="E1408" t="s">
        <v>765</v>
      </c>
      <c r="F1408" t="s">
        <v>135</v>
      </c>
      <c r="G1408" t="s">
        <v>766</v>
      </c>
      <c r="H1408" t="s">
        <v>1904</v>
      </c>
      <c r="I1408" t="s">
        <v>766</v>
      </c>
      <c r="J1408" t="s">
        <v>914</v>
      </c>
      <c r="K1408" t="s">
        <v>914</v>
      </c>
      <c r="L1408" t="s">
        <v>995</v>
      </c>
      <c r="M1408" t="s">
        <v>996</v>
      </c>
      <c r="N1408" t="s">
        <v>1016</v>
      </c>
      <c r="O1408" t="s">
        <v>805</v>
      </c>
      <c r="P1408" t="s">
        <v>4371</v>
      </c>
      <c r="Q1408" t="s">
        <v>1126</v>
      </c>
      <c r="R1408">
        <v>2.5</v>
      </c>
      <c r="S1408">
        <v>3</v>
      </c>
      <c r="T1408">
        <v>0</v>
      </c>
      <c r="U1408">
        <v>0</v>
      </c>
      <c r="V1408">
        <v>2.5</v>
      </c>
      <c r="W1408">
        <v>3</v>
      </c>
      <c r="X1408">
        <v>0</v>
      </c>
      <c r="Y1408">
        <v>0</v>
      </c>
      <c r="Z1408">
        <v>2.5</v>
      </c>
      <c r="AA1408">
        <v>3</v>
      </c>
      <c r="AB1408">
        <v>2.5</v>
      </c>
      <c r="AC1408">
        <v>3</v>
      </c>
      <c r="AD1408">
        <v>2.5</v>
      </c>
      <c r="AE1408">
        <v>3</v>
      </c>
      <c r="AF1408">
        <v>2.5</v>
      </c>
      <c r="AG1408">
        <v>3</v>
      </c>
      <c r="AH1408">
        <v>0</v>
      </c>
      <c r="AI1408">
        <v>0</v>
      </c>
      <c r="AY1408" t="str">
        <f t="shared" si="200"/>
        <v>VIRGOCILLINE</v>
      </c>
      <c r="AZ1408" t="str">
        <f>IF(COUNTIF(AY:AY,AY1408)=1,AY1408,IF(AND(COUNTIF(AY:AY,AY1408)&gt;1,COUNTIF(AZ$2:AZ1407,AY1408)&gt;=1),"",AY1408))</f>
        <v/>
      </c>
      <c r="BA1408" t="str">
        <f>IF(AZ1408="","",COUNTIFS(AZ$3:AZ$1439,"&lt;"&amp;AZ1408,AZ$3:AZ$1439,"&lt;&gt;0")+COUNTIF(AZ$3:AZ1408,AZ1408)-876)</f>
        <v/>
      </c>
      <c r="CN1408">
        <v>1407</v>
      </c>
    </row>
    <row r="1409" spans="1:92" x14ac:dyDescent="0.3">
      <c r="A1409" t="s">
        <v>1152</v>
      </c>
      <c r="B1409" t="s">
        <v>1153</v>
      </c>
      <c r="C1409" t="s">
        <v>1154</v>
      </c>
      <c r="D1409" s="144" t="s">
        <v>1155</v>
      </c>
      <c r="E1409" t="s">
        <v>765</v>
      </c>
      <c r="F1409" t="s">
        <v>541</v>
      </c>
      <c r="G1409" t="s">
        <v>956</v>
      </c>
      <c r="H1409" t="s">
        <v>1156</v>
      </c>
      <c r="I1409" t="s">
        <v>817</v>
      </c>
      <c r="J1409" t="s">
        <v>893</v>
      </c>
      <c r="K1409" t="s">
        <v>862</v>
      </c>
      <c r="L1409" t="s">
        <v>895</v>
      </c>
      <c r="M1409" t="s">
        <v>208</v>
      </c>
      <c r="N1409" t="s">
        <v>899</v>
      </c>
      <c r="O1409" t="s">
        <v>771</v>
      </c>
      <c r="P1409" t="s">
        <v>772</v>
      </c>
      <c r="Q1409" t="s">
        <v>1157</v>
      </c>
      <c r="R1409">
        <v>0</v>
      </c>
      <c r="S1409">
        <v>0</v>
      </c>
      <c r="T1409">
        <v>0</v>
      </c>
      <c r="U1409">
        <v>0</v>
      </c>
      <c r="V1409">
        <v>0</v>
      </c>
      <c r="W1409">
        <v>0</v>
      </c>
      <c r="X1409">
        <v>0</v>
      </c>
      <c r="Y1409">
        <v>0</v>
      </c>
      <c r="Z1409">
        <v>0</v>
      </c>
      <c r="AA1409">
        <v>0</v>
      </c>
      <c r="AB1409">
        <v>0</v>
      </c>
      <c r="AC1409">
        <v>0</v>
      </c>
      <c r="AD1409">
        <v>0</v>
      </c>
      <c r="AE1409">
        <v>0</v>
      </c>
      <c r="AF1409">
        <v>27.6</v>
      </c>
      <c r="AG1409">
        <v>6</v>
      </c>
      <c r="AH1409">
        <v>0</v>
      </c>
      <c r="AI1409">
        <v>0</v>
      </c>
      <c r="AJ1409" t="s">
        <v>862</v>
      </c>
      <c r="AK1409" t="s">
        <v>1158</v>
      </c>
      <c r="AL1409" t="s">
        <v>208</v>
      </c>
      <c r="AM1409" t="s">
        <v>1159</v>
      </c>
      <c r="AN1409" t="s">
        <v>771</v>
      </c>
      <c r="AO1409" t="s">
        <v>772</v>
      </c>
      <c r="AP1409" t="s">
        <v>1160</v>
      </c>
      <c r="AY1409" t="str">
        <f t="shared" si="200"/>
        <v>VOLACRINE SULFA</v>
      </c>
      <c r="AZ1409" t="str">
        <f>IF(COUNTIF(AY:AY,AY1409)=1,AY1409,IF(AND(COUNTIF(AY:AY,AY1409)&gt;1,COUNTIF(AZ$2:AZ1408,AY1409)&gt;=1),"",AY1409))</f>
        <v>VOLACRINE SULFA</v>
      </c>
      <c r="BA1409">
        <f>IF(AZ1409="","",COUNTIFS(AZ$3:AZ$1439,"&lt;"&amp;AZ1409,AZ$3:AZ$1439,"&lt;&gt;0")+COUNTIF(AZ$3:AZ1409,AZ1409)-876)</f>
        <v>556</v>
      </c>
      <c r="CN1409">
        <v>1408</v>
      </c>
    </row>
    <row r="1410" spans="1:92" x14ac:dyDescent="0.3">
      <c r="A1410" t="s">
        <v>1152</v>
      </c>
      <c r="B1410" t="s">
        <v>1161</v>
      </c>
      <c r="C1410" t="s">
        <v>1162</v>
      </c>
      <c r="D1410" s="144" t="s">
        <v>1163</v>
      </c>
      <c r="E1410" t="s">
        <v>765</v>
      </c>
      <c r="F1410" t="s">
        <v>541</v>
      </c>
      <c r="G1410" t="s">
        <v>956</v>
      </c>
      <c r="H1410" t="s">
        <v>1156</v>
      </c>
      <c r="I1410" t="s">
        <v>817</v>
      </c>
      <c r="J1410" t="s">
        <v>893</v>
      </c>
      <c r="K1410" t="s">
        <v>862</v>
      </c>
      <c r="L1410" t="s">
        <v>895</v>
      </c>
      <c r="M1410" t="s">
        <v>208</v>
      </c>
      <c r="N1410" t="s">
        <v>899</v>
      </c>
      <c r="O1410" t="s">
        <v>771</v>
      </c>
      <c r="P1410" t="s">
        <v>772</v>
      </c>
      <c r="Q1410" t="s">
        <v>1164</v>
      </c>
      <c r="R1410">
        <v>0</v>
      </c>
      <c r="S1410">
        <v>0</v>
      </c>
      <c r="T1410">
        <v>0</v>
      </c>
      <c r="U1410">
        <v>0</v>
      </c>
      <c r="V1410">
        <v>0</v>
      </c>
      <c r="W1410">
        <v>0</v>
      </c>
      <c r="X1410">
        <v>0</v>
      </c>
      <c r="Y1410">
        <v>0</v>
      </c>
      <c r="Z1410">
        <v>0</v>
      </c>
      <c r="AA1410">
        <v>0</v>
      </c>
      <c r="AB1410">
        <v>0</v>
      </c>
      <c r="AC1410">
        <v>0</v>
      </c>
      <c r="AD1410">
        <v>0</v>
      </c>
      <c r="AE1410">
        <v>0</v>
      </c>
      <c r="AF1410">
        <v>27.6</v>
      </c>
      <c r="AG1410">
        <v>6</v>
      </c>
      <c r="AH1410">
        <v>0</v>
      </c>
      <c r="AI1410">
        <v>0</v>
      </c>
      <c r="AJ1410" t="s">
        <v>862</v>
      </c>
      <c r="AK1410" t="s">
        <v>1158</v>
      </c>
      <c r="AL1410" t="s">
        <v>208</v>
      </c>
      <c r="AM1410" t="s">
        <v>1159</v>
      </c>
      <c r="AN1410" t="s">
        <v>771</v>
      </c>
      <c r="AO1410" t="s">
        <v>772</v>
      </c>
      <c r="AP1410" t="s">
        <v>1165</v>
      </c>
      <c r="AY1410" t="str">
        <f t="shared" si="200"/>
        <v>VOLACRINE SULFA</v>
      </c>
      <c r="AZ1410" t="str">
        <f>IF(COUNTIF(AY:AY,AY1410)=1,AY1410,IF(AND(COUNTIF(AY:AY,AY1410)&gt;1,COUNTIF(AZ$2:AZ1409,AY1410)&gt;=1),"",AY1410))</f>
        <v/>
      </c>
      <c r="BA1410" t="str">
        <f>IF(AZ1410="","",COUNTIFS(AZ$3:AZ$1439,"&lt;"&amp;AZ1410,AZ$3:AZ$1439,"&lt;&gt;0")+COUNTIF(AZ$3:AZ1410,AZ1410)-876)</f>
        <v/>
      </c>
      <c r="CN1410">
        <v>1409</v>
      </c>
    </row>
    <row r="1411" spans="1:92" x14ac:dyDescent="0.3">
      <c r="A1411" t="s">
        <v>1152</v>
      </c>
      <c r="B1411" t="s">
        <v>1166</v>
      </c>
      <c r="C1411" t="s">
        <v>1167</v>
      </c>
      <c r="D1411" s="144" t="s">
        <v>906</v>
      </c>
      <c r="E1411" t="s">
        <v>765</v>
      </c>
      <c r="F1411" t="s">
        <v>541</v>
      </c>
      <c r="G1411" t="s">
        <v>956</v>
      </c>
      <c r="H1411" t="s">
        <v>1156</v>
      </c>
      <c r="I1411" t="s">
        <v>817</v>
      </c>
      <c r="J1411" t="s">
        <v>893</v>
      </c>
      <c r="K1411" t="s">
        <v>862</v>
      </c>
      <c r="L1411" t="s">
        <v>895</v>
      </c>
      <c r="M1411" t="s">
        <v>208</v>
      </c>
      <c r="N1411" t="s">
        <v>899</v>
      </c>
      <c r="O1411" t="s">
        <v>771</v>
      </c>
      <c r="P1411" t="s">
        <v>772</v>
      </c>
      <c r="Q1411" t="s">
        <v>1168</v>
      </c>
      <c r="R1411">
        <v>0</v>
      </c>
      <c r="S1411">
        <v>0</v>
      </c>
      <c r="T1411">
        <v>0</v>
      </c>
      <c r="U1411">
        <v>0</v>
      </c>
      <c r="V1411">
        <v>0</v>
      </c>
      <c r="W1411">
        <v>0</v>
      </c>
      <c r="X1411">
        <v>0</v>
      </c>
      <c r="Y1411">
        <v>0</v>
      </c>
      <c r="Z1411">
        <v>0</v>
      </c>
      <c r="AA1411">
        <v>0</v>
      </c>
      <c r="AB1411">
        <v>0</v>
      </c>
      <c r="AC1411">
        <v>0</v>
      </c>
      <c r="AD1411">
        <v>0</v>
      </c>
      <c r="AE1411">
        <v>0</v>
      </c>
      <c r="AF1411">
        <v>27.6</v>
      </c>
      <c r="AG1411">
        <v>6</v>
      </c>
      <c r="AH1411">
        <v>0</v>
      </c>
      <c r="AI1411">
        <v>0</v>
      </c>
      <c r="AJ1411" t="s">
        <v>862</v>
      </c>
      <c r="AK1411" t="s">
        <v>1158</v>
      </c>
      <c r="AL1411" t="s">
        <v>208</v>
      </c>
      <c r="AM1411" t="s">
        <v>1159</v>
      </c>
      <c r="AN1411" t="s">
        <v>771</v>
      </c>
      <c r="AO1411" t="s">
        <v>772</v>
      </c>
      <c r="AP1411" t="s">
        <v>1169</v>
      </c>
      <c r="AY1411" t="str">
        <f t="shared" ref="AY1411:AY1439" si="201">IF(INDEX(CK$3:CL$174,MATCH(H1411,CK$3:CK$174,0),2)="x",F1411,"")</f>
        <v>VOLACRINE SULFA</v>
      </c>
      <c r="AZ1411" t="str">
        <f>IF(COUNTIF(AY:AY,AY1411)=1,AY1411,IF(AND(COUNTIF(AY:AY,AY1411)&gt;1,COUNTIF(AZ$2:AZ1410,AY1411)&gt;=1),"",AY1411))</f>
        <v/>
      </c>
      <c r="BA1411" t="str">
        <f>IF(AZ1411="","",COUNTIFS(AZ$3:AZ$1439,"&lt;"&amp;AZ1411,AZ$3:AZ$1439,"&lt;&gt;0")+COUNTIF(AZ$3:AZ1411,AZ1411)-876)</f>
        <v/>
      </c>
      <c r="CN1411">
        <v>1410</v>
      </c>
    </row>
    <row r="1412" spans="1:92" x14ac:dyDescent="0.3">
      <c r="A1412" t="s">
        <v>3364</v>
      </c>
      <c r="B1412" t="s">
        <v>3365</v>
      </c>
      <c r="C1412" t="s">
        <v>2530</v>
      </c>
      <c r="D1412" s="144" t="s">
        <v>785</v>
      </c>
      <c r="E1412" t="s">
        <v>813</v>
      </c>
      <c r="F1412" t="s">
        <v>3366</v>
      </c>
      <c r="G1412" t="s">
        <v>815</v>
      </c>
      <c r="H1412" t="s">
        <v>871</v>
      </c>
      <c r="I1412" t="s">
        <v>817</v>
      </c>
      <c r="J1412" t="s">
        <v>2366</v>
      </c>
      <c r="K1412" t="s">
        <v>2366</v>
      </c>
      <c r="L1412" t="s">
        <v>2367</v>
      </c>
      <c r="M1412" t="s">
        <v>208</v>
      </c>
      <c r="N1412" t="s">
        <v>972</v>
      </c>
      <c r="O1412" t="s">
        <v>824</v>
      </c>
      <c r="P1412" t="s">
        <v>772</v>
      </c>
      <c r="Q1412" t="s">
        <v>1399</v>
      </c>
      <c r="R1412">
        <v>0</v>
      </c>
      <c r="S1412">
        <v>0</v>
      </c>
      <c r="T1412">
        <v>5</v>
      </c>
      <c r="U1412">
        <v>10</v>
      </c>
      <c r="V1412">
        <v>0</v>
      </c>
      <c r="W1412">
        <v>0</v>
      </c>
      <c r="X1412">
        <v>0</v>
      </c>
      <c r="Y1412">
        <v>0</v>
      </c>
      <c r="Z1412">
        <v>0</v>
      </c>
      <c r="AA1412">
        <v>0</v>
      </c>
      <c r="AB1412">
        <v>0</v>
      </c>
      <c r="AC1412">
        <v>0</v>
      </c>
      <c r="AD1412">
        <v>0</v>
      </c>
      <c r="AE1412">
        <v>0</v>
      </c>
      <c r="AF1412">
        <v>0</v>
      </c>
      <c r="AG1412">
        <v>0</v>
      </c>
      <c r="AH1412">
        <v>0</v>
      </c>
      <c r="AI1412">
        <v>0</v>
      </c>
      <c r="AY1412" t="str">
        <f t="shared" si="201"/>
        <v/>
      </c>
      <c r="AZ1412" t="str">
        <f>IF(COUNTIF(AY:AY,AY1412)=1,AY1412,IF(AND(COUNTIF(AY:AY,AY1412)&gt;1,COUNTIF(AZ$2:AZ1411,AY1412)&gt;=1),"",AY1412))</f>
        <v/>
      </c>
      <c r="BA1412" t="str">
        <f>IF(AZ1412="","",COUNTIFS(AZ$3:AZ$1439,"&lt;"&amp;AZ1412,AZ$3:AZ$1439,"&lt;&gt;0")+COUNTIF(AZ$3:AZ1412,AZ1412)-876)</f>
        <v/>
      </c>
      <c r="CN1412">
        <v>1411</v>
      </c>
    </row>
    <row r="1413" spans="1:92" x14ac:dyDescent="0.3">
      <c r="A1413" t="s">
        <v>3364</v>
      </c>
      <c r="B1413" t="s">
        <v>3367</v>
      </c>
      <c r="C1413" t="s">
        <v>2527</v>
      </c>
      <c r="D1413" s="144" t="s">
        <v>793</v>
      </c>
      <c r="E1413" t="s">
        <v>813</v>
      </c>
      <c r="F1413" t="s">
        <v>3366</v>
      </c>
      <c r="G1413" t="s">
        <v>815</v>
      </c>
      <c r="H1413" t="s">
        <v>871</v>
      </c>
      <c r="I1413" t="s">
        <v>817</v>
      </c>
      <c r="J1413" t="s">
        <v>2366</v>
      </c>
      <c r="K1413" t="s">
        <v>2366</v>
      </c>
      <c r="L1413" t="s">
        <v>2367</v>
      </c>
      <c r="M1413" t="s">
        <v>208</v>
      </c>
      <c r="N1413" t="s">
        <v>972</v>
      </c>
      <c r="O1413" t="s">
        <v>824</v>
      </c>
      <c r="P1413" t="s">
        <v>772</v>
      </c>
      <c r="Q1413" t="s">
        <v>3368</v>
      </c>
      <c r="R1413">
        <v>0</v>
      </c>
      <c r="S1413">
        <v>0</v>
      </c>
      <c r="T1413">
        <v>5</v>
      </c>
      <c r="U1413">
        <v>10</v>
      </c>
      <c r="V1413">
        <v>0</v>
      </c>
      <c r="W1413">
        <v>0</v>
      </c>
      <c r="X1413">
        <v>0</v>
      </c>
      <c r="Y1413">
        <v>0</v>
      </c>
      <c r="Z1413">
        <v>0</v>
      </c>
      <c r="AA1413">
        <v>0</v>
      </c>
      <c r="AB1413">
        <v>0</v>
      </c>
      <c r="AC1413">
        <v>0</v>
      </c>
      <c r="AD1413">
        <v>0</v>
      </c>
      <c r="AE1413">
        <v>0</v>
      </c>
      <c r="AF1413">
        <v>0</v>
      </c>
      <c r="AG1413">
        <v>0</v>
      </c>
      <c r="AH1413">
        <v>0</v>
      </c>
      <c r="AI1413">
        <v>0</v>
      </c>
      <c r="AY1413" t="str">
        <f t="shared" si="201"/>
        <v/>
      </c>
      <c r="AZ1413" t="str">
        <f>IF(COUNTIF(AY:AY,AY1413)=1,AY1413,IF(AND(COUNTIF(AY:AY,AY1413)&gt;1,COUNTIF(AZ$2:AZ1412,AY1413)&gt;=1),"",AY1413))</f>
        <v/>
      </c>
      <c r="BA1413" t="str">
        <f>IF(AZ1413="","",COUNTIFS(AZ$3:AZ$1439,"&lt;"&amp;AZ1413,AZ$3:AZ$1439,"&lt;&gt;0")+COUNTIF(AZ$3:AZ1413,AZ1413)-876)</f>
        <v/>
      </c>
      <c r="CN1413">
        <v>1412</v>
      </c>
    </row>
    <row r="1414" spans="1:92" x14ac:dyDescent="0.3">
      <c r="A1414" t="s">
        <v>3374</v>
      </c>
      <c r="B1414" t="s">
        <v>3375</v>
      </c>
      <c r="C1414" t="s">
        <v>3376</v>
      </c>
      <c r="D1414" s="144" t="s">
        <v>785</v>
      </c>
      <c r="E1414" t="s">
        <v>813</v>
      </c>
      <c r="F1414" t="s">
        <v>3377</v>
      </c>
      <c r="G1414" t="s">
        <v>815</v>
      </c>
      <c r="H1414" t="s">
        <v>860</v>
      </c>
      <c r="I1414" t="s">
        <v>817</v>
      </c>
      <c r="J1414" t="s">
        <v>2366</v>
      </c>
      <c r="K1414" t="s">
        <v>2366</v>
      </c>
      <c r="L1414" t="s">
        <v>2367</v>
      </c>
      <c r="M1414" t="s">
        <v>208</v>
      </c>
      <c r="N1414" t="s">
        <v>1155</v>
      </c>
      <c r="O1414" t="s">
        <v>824</v>
      </c>
      <c r="P1414" t="s">
        <v>772</v>
      </c>
      <c r="Q1414" t="s">
        <v>1184</v>
      </c>
      <c r="R1414">
        <v>0</v>
      </c>
      <c r="S1414">
        <v>0</v>
      </c>
      <c r="T1414">
        <v>5</v>
      </c>
      <c r="U1414">
        <v>21</v>
      </c>
      <c r="V1414">
        <v>0</v>
      </c>
      <c r="W1414">
        <v>0</v>
      </c>
      <c r="X1414">
        <v>0</v>
      </c>
      <c r="Y1414">
        <v>0</v>
      </c>
      <c r="Z1414">
        <v>0</v>
      </c>
      <c r="AA1414">
        <v>0</v>
      </c>
      <c r="AB1414">
        <v>0</v>
      </c>
      <c r="AC1414">
        <v>0</v>
      </c>
      <c r="AD1414">
        <v>0</v>
      </c>
      <c r="AE1414">
        <v>0</v>
      </c>
      <c r="AF1414">
        <v>0</v>
      </c>
      <c r="AG1414">
        <v>0</v>
      </c>
      <c r="AH1414">
        <v>0</v>
      </c>
      <c r="AI1414">
        <v>0</v>
      </c>
      <c r="AY1414" t="str">
        <f t="shared" si="201"/>
        <v/>
      </c>
      <c r="AZ1414" t="str">
        <f>IF(COUNTIF(AY:AY,AY1414)=1,AY1414,IF(AND(COUNTIF(AY:AY,AY1414)&gt;1,COUNTIF(AZ$2:AZ1413,AY1414)&gt;=1),"",AY1414))</f>
        <v/>
      </c>
      <c r="BA1414" t="str">
        <f>IF(AZ1414="","",COUNTIFS(AZ$3:AZ$1439,"&lt;"&amp;AZ1414,AZ$3:AZ$1439,"&lt;&gt;0")+COUNTIF(AZ$3:AZ1414,AZ1414)-876)</f>
        <v/>
      </c>
      <c r="CN1414">
        <v>1413</v>
      </c>
    </row>
    <row r="1415" spans="1:92" x14ac:dyDescent="0.3">
      <c r="A1415" t="s">
        <v>3374</v>
      </c>
      <c r="B1415" t="s">
        <v>3378</v>
      </c>
      <c r="C1415" t="s">
        <v>3379</v>
      </c>
      <c r="D1415" s="144" t="s">
        <v>793</v>
      </c>
      <c r="E1415" t="s">
        <v>813</v>
      </c>
      <c r="F1415" t="s">
        <v>3377</v>
      </c>
      <c r="G1415" t="s">
        <v>815</v>
      </c>
      <c r="H1415" t="s">
        <v>860</v>
      </c>
      <c r="I1415" t="s">
        <v>817</v>
      </c>
      <c r="J1415" t="s">
        <v>2366</v>
      </c>
      <c r="K1415" t="s">
        <v>2366</v>
      </c>
      <c r="L1415" t="s">
        <v>2367</v>
      </c>
      <c r="M1415" t="s">
        <v>208</v>
      </c>
      <c r="N1415" t="s">
        <v>1155</v>
      </c>
      <c r="O1415" t="s">
        <v>824</v>
      </c>
      <c r="P1415" t="s">
        <v>772</v>
      </c>
      <c r="Q1415" t="s">
        <v>1399</v>
      </c>
      <c r="R1415">
        <v>0</v>
      </c>
      <c r="S1415">
        <v>0</v>
      </c>
      <c r="T1415">
        <v>5</v>
      </c>
      <c r="U1415">
        <v>21</v>
      </c>
      <c r="V1415">
        <v>0</v>
      </c>
      <c r="W1415">
        <v>0</v>
      </c>
      <c r="X1415">
        <v>0</v>
      </c>
      <c r="Y1415">
        <v>0</v>
      </c>
      <c r="Z1415">
        <v>0</v>
      </c>
      <c r="AA1415">
        <v>0</v>
      </c>
      <c r="AB1415">
        <v>0</v>
      </c>
      <c r="AC1415">
        <v>0</v>
      </c>
      <c r="AD1415">
        <v>0</v>
      </c>
      <c r="AE1415">
        <v>0</v>
      </c>
      <c r="AF1415">
        <v>0</v>
      </c>
      <c r="AG1415">
        <v>0</v>
      </c>
      <c r="AH1415">
        <v>0</v>
      </c>
      <c r="AI1415">
        <v>0</v>
      </c>
      <c r="AY1415" t="str">
        <f t="shared" si="201"/>
        <v/>
      </c>
      <c r="AZ1415" t="str">
        <f>IF(COUNTIF(AY:AY,AY1415)=1,AY1415,IF(AND(COUNTIF(AY:AY,AY1415)&gt;1,COUNTIF(AZ$2:AZ1414,AY1415)&gt;=1),"",AY1415))</f>
        <v/>
      </c>
      <c r="BA1415" t="str">
        <f>IF(AZ1415="","",COUNTIFS(AZ$3:AZ$1439,"&lt;"&amp;AZ1415,AZ$3:AZ$1439,"&lt;&gt;0")+COUNTIF(AZ$3:AZ1415,AZ1415)-876)</f>
        <v/>
      </c>
      <c r="CN1415">
        <v>1414</v>
      </c>
    </row>
    <row r="1416" spans="1:92" x14ac:dyDescent="0.3">
      <c r="A1416" t="s">
        <v>3564</v>
      </c>
      <c r="B1416" t="s">
        <v>3565</v>
      </c>
      <c r="C1416" t="s">
        <v>3376</v>
      </c>
      <c r="D1416" s="144" t="s">
        <v>785</v>
      </c>
      <c r="E1416" t="s">
        <v>813</v>
      </c>
      <c r="F1416" t="s">
        <v>3566</v>
      </c>
      <c r="G1416" t="s">
        <v>815</v>
      </c>
      <c r="H1416" t="s">
        <v>860</v>
      </c>
      <c r="I1416" t="s">
        <v>817</v>
      </c>
      <c r="J1416" t="s">
        <v>2366</v>
      </c>
      <c r="K1416" t="s">
        <v>2366</v>
      </c>
      <c r="L1416" t="s">
        <v>2367</v>
      </c>
      <c r="M1416" t="s">
        <v>208</v>
      </c>
      <c r="N1416" t="s">
        <v>864</v>
      </c>
      <c r="O1416" t="s">
        <v>824</v>
      </c>
      <c r="P1416" t="s">
        <v>772</v>
      </c>
      <c r="Q1416" t="s">
        <v>1132</v>
      </c>
      <c r="R1416">
        <v>0</v>
      </c>
      <c r="S1416">
        <v>0</v>
      </c>
      <c r="T1416">
        <v>5</v>
      </c>
      <c r="U1416">
        <v>21</v>
      </c>
      <c r="V1416">
        <v>0</v>
      </c>
      <c r="W1416">
        <v>0</v>
      </c>
      <c r="X1416">
        <v>0</v>
      </c>
      <c r="Y1416">
        <v>0</v>
      </c>
      <c r="Z1416">
        <v>0</v>
      </c>
      <c r="AA1416">
        <v>0</v>
      </c>
      <c r="AB1416">
        <v>0</v>
      </c>
      <c r="AC1416">
        <v>0</v>
      </c>
      <c r="AD1416">
        <v>0</v>
      </c>
      <c r="AE1416">
        <v>0</v>
      </c>
      <c r="AF1416">
        <v>0</v>
      </c>
      <c r="AG1416">
        <v>0</v>
      </c>
      <c r="AH1416">
        <v>0</v>
      </c>
      <c r="AI1416">
        <v>0</v>
      </c>
      <c r="AY1416" t="str">
        <f t="shared" si="201"/>
        <v/>
      </c>
      <c r="AZ1416" t="str">
        <f>IF(COUNTIF(AY:AY,AY1416)=1,AY1416,IF(AND(COUNTIF(AY:AY,AY1416)&gt;1,COUNTIF(AZ$2:AZ1415,AY1416)&gt;=1),"",AY1416))</f>
        <v/>
      </c>
      <c r="BA1416" t="str">
        <f>IF(AZ1416="","",COUNTIFS(AZ$3:AZ$1439,"&lt;"&amp;AZ1416,AZ$3:AZ$1439,"&lt;&gt;0")+COUNTIF(AZ$3:AZ1416,AZ1416)-876)</f>
        <v/>
      </c>
      <c r="CN1416">
        <v>1415</v>
      </c>
    </row>
    <row r="1417" spans="1:92" x14ac:dyDescent="0.3">
      <c r="A1417" t="s">
        <v>3564</v>
      </c>
      <c r="B1417" t="s">
        <v>3567</v>
      </c>
      <c r="C1417" t="s">
        <v>3379</v>
      </c>
      <c r="D1417" s="144" t="s">
        <v>793</v>
      </c>
      <c r="E1417" t="s">
        <v>813</v>
      </c>
      <c r="F1417" t="s">
        <v>3566</v>
      </c>
      <c r="G1417" t="s">
        <v>815</v>
      </c>
      <c r="H1417" t="s">
        <v>860</v>
      </c>
      <c r="I1417" t="s">
        <v>817</v>
      </c>
      <c r="J1417" t="s">
        <v>2366</v>
      </c>
      <c r="K1417" t="s">
        <v>2366</v>
      </c>
      <c r="L1417" t="s">
        <v>2367</v>
      </c>
      <c r="M1417" t="s">
        <v>208</v>
      </c>
      <c r="N1417" t="s">
        <v>864</v>
      </c>
      <c r="O1417" t="s">
        <v>824</v>
      </c>
      <c r="P1417" t="s">
        <v>772</v>
      </c>
      <c r="Q1417" t="s">
        <v>1015</v>
      </c>
      <c r="R1417">
        <v>0</v>
      </c>
      <c r="S1417">
        <v>0</v>
      </c>
      <c r="T1417">
        <v>5</v>
      </c>
      <c r="U1417">
        <v>21</v>
      </c>
      <c r="V1417">
        <v>0</v>
      </c>
      <c r="W1417">
        <v>0</v>
      </c>
      <c r="X1417">
        <v>0</v>
      </c>
      <c r="Y1417">
        <v>0</v>
      </c>
      <c r="Z1417">
        <v>0</v>
      </c>
      <c r="AA1417">
        <v>0</v>
      </c>
      <c r="AB1417">
        <v>0</v>
      </c>
      <c r="AC1417">
        <v>0</v>
      </c>
      <c r="AD1417">
        <v>0</v>
      </c>
      <c r="AE1417">
        <v>0</v>
      </c>
      <c r="AF1417">
        <v>0</v>
      </c>
      <c r="AG1417">
        <v>0</v>
      </c>
      <c r="AH1417">
        <v>0</v>
      </c>
      <c r="AI1417">
        <v>0</v>
      </c>
      <c r="AY1417" t="str">
        <f t="shared" si="201"/>
        <v/>
      </c>
      <c r="AZ1417" t="str">
        <f>IF(COUNTIF(AY:AY,AY1417)=1,AY1417,IF(AND(COUNTIF(AY:AY,AY1417)&gt;1,COUNTIF(AZ$2:AZ1416,AY1417)&gt;=1),"",AY1417))</f>
        <v/>
      </c>
      <c r="BA1417" t="str">
        <f>IF(AZ1417="","",COUNTIFS(AZ$3:AZ$1439,"&lt;"&amp;AZ1417,AZ$3:AZ$1439,"&lt;&gt;0")+COUNTIF(AZ$3:AZ1417,AZ1417)-876)</f>
        <v/>
      </c>
      <c r="CN1417">
        <v>1416</v>
      </c>
    </row>
    <row r="1418" spans="1:92" x14ac:dyDescent="0.3">
      <c r="A1418" t="s">
        <v>3369</v>
      </c>
      <c r="B1418" t="s">
        <v>3370</v>
      </c>
      <c r="C1418" t="s">
        <v>3371</v>
      </c>
      <c r="D1418" s="144" t="s">
        <v>764</v>
      </c>
      <c r="E1418" t="s">
        <v>813</v>
      </c>
      <c r="F1418" t="s">
        <v>3372</v>
      </c>
      <c r="G1418" t="s">
        <v>815</v>
      </c>
      <c r="H1418" t="s">
        <v>860</v>
      </c>
      <c r="I1418" t="s">
        <v>817</v>
      </c>
      <c r="J1418" t="s">
        <v>2366</v>
      </c>
      <c r="K1418" t="s">
        <v>2366</v>
      </c>
      <c r="L1418" t="s">
        <v>2367</v>
      </c>
      <c r="M1418" t="s">
        <v>208</v>
      </c>
      <c r="N1418" t="s">
        <v>780</v>
      </c>
      <c r="O1418" t="s">
        <v>824</v>
      </c>
      <c r="P1418" t="s">
        <v>772</v>
      </c>
      <c r="Q1418" t="s">
        <v>885</v>
      </c>
      <c r="R1418">
        <v>0</v>
      </c>
      <c r="S1418">
        <v>0</v>
      </c>
      <c r="T1418">
        <v>5</v>
      </c>
      <c r="U1418">
        <v>21</v>
      </c>
      <c r="V1418">
        <v>0</v>
      </c>
      <c r="W1418">
        <v>0</v>
      </c>
      <c r="X1418">
        <v>0</v>
      </c>
      <c r="Y1418">
        <v>0</v>
      </c>
      <c r="Z1418">
        <v>0</v>
      </c>
      <c r="AA1418">
        <v>0</v>
      </c>
      <c r="AB1418">
        <v>0</v>
      </c>
      <c r="AC1418">
        <v>0</v>
      </c>
      <c r="AD1418">
        <v>0</v>
      </c>
      <c r="AE1418">
        <v>0</v>
      </c>
      <c r="AF1418">
        <v>0</v>
      </c>
      <c r="AG1418">
        <v>0</v>
      </c>
      <c r="AH1418">
        <v>0</v>
      </c>
      <c r="AI1418">
        <v>0</v>
      </c>
      <c r="AY1418" t="str">
        <f t="shared" si="201"/>
        <v/>
      </c>
      <c r="AZ1418" t="str">
        <f>IF(COUNTIF(AY:AY,AY1418)=1,AY1418,IF(AND(COUNTIF(AY:AY,AY1418)&gt;1,COUNTIF(AZ$2:AZ1417,AY1418)&gt;=1),"",AY1418))</f>
        <v/>
      </c>
      <c r="BA1418" t="str">
        <f>IF(AZ1418="","",COUNTIFS(AZ$3:AZ$1439,"&lt;"&amp;AZ1418,AZ$3:AZ$1439,"&lt;&gt;0")+COUNTIF(AZ$3:AZ1418,AZ1418)-876)</f>
        <v/>
      </c>
      <c r="CN1418">
        <v>1417</v>
      </c>
    </row>
    <row r="1419" spans="1:92" x14ac:dyDescent="0.3">
      <c r="A1419" t="s">
        <v>3369</v>
      </c>
      <c r="B1419" t="s">
        <v>3373</v>
      </c>
      <c r="C1419" t="s">
        <v>2611</v>
      </c>
      <c r="D1419" s="144" t="s">
        <v>852</v>
      </c>
      <c r="E1419" t="s">
        <v>813</v>
      </c>
      <c r="F1419" t="s">
        <v>3372</v>
      </c>
      <c r="G1419" t="s">
        <v>815</v>
      </c>
      <c r="H1419" t="s">
        <v>860</v>
      </c>
      <c r="I1419" t="s">
        <v>817</v>
      </c>
      <c r="J1419" t="s">
        <v>2366</v>
      </c>
      <c r="K1419" t="s">
        <v>2366</v>
      </c>
      <c r="L1419" t="s">
        <v>2367</v>
      </c>
      <c r="M1419" t="s">
        <v>208</v>
      </c>
      <c r="N1419" t="s">
        <v>780</v>
      </c>
      <c r="O1419" t="s">
        <v>824</v>
      </c>
      <c r="P1419" t="s">
        <v>772</v>
      </c>
      <c r="Q1419" t="s">
        <v>825</v>
      </c>
      <c r="R1419">
        <v>0</v>
      </c>
      <c r="S1419">
        <v>0</v>
      </c>
      <c r="T1419">
        <v>5</v>
      </c>
      <c r="U1419">
        <v>21</v>
      </c>
      <c r="V1419">
        <v>0</v>
      </c>
      <c r="W1419">
        <v>0</v>
      </c>
      <c r="X1419">
        <v>0</v>
      </c>
      <c r="Y1419">
        <v>0</v>
      </c>
      <c r="Z1419">
        <v>0</v>
      </c>
      <c r="AA1419">
        <v>0</v>
      </c>
      <c r="AB1419">
        <v>0</v>
      </c>
      <c r="AC1419">
        <v>0</v>
      </c>
      <c r="AD1419">
        <v>0</v>
      </c>
      <c r="AE1419">
        <v>0</v>
      </c>
      <c r="AF1419">
        <v>0</v>
      </c>
      <c r="AG1419">
        <v>0</v>
      </c>
      <c r="AH1419">
        <v>0</v>
      </c>
      <c r="AI1419">
        <v>0</v>
      </c>
      <c r="AY1419" t="str">
        <f t="shared" si="201"/>
        <v/>
      </c>
      <c r="AZ1419" t="str">
        <f>IF(COUNTIF(AY:AY,AY1419)=1,AY1419,IF(AND(COUNTIF(AY:AY,AY1419)&gt;1,COUNTIF(AZ$2:AZ1418,AY1419)&gt;=1),"",AY1419))</f>
        <v/>
      </c>
      <c r="BA1419" t="str">
        <f>IF(AZ1419="","",COUNTIFS(AZ$3:AZ$1439,"&lt;"&amp;AZ1419,AZ$3:AZ$1439,"&lt;&gt;0")+COUNTIF(AZ$3:AZ1419,AZ1419)-876)</f>
        <v/>
      </c>
      <c r="CN1419">
        <v>1418</v>
      </c>
    </row>
    <row r="1420" spans="1:92" x14ac:dyDescent="0.3">
      <c r="A1420" t="s">
        <v>3340</v>
      </c>
      <c r="B1420" t="s">
        <v>3341</v>
      </c>
      <c r="C1420" t="s">
        <v>2481</v>
      </c>
      <c r="D1420" s="144" t="s">
        <v>764</v>
      </c>
      <c r="E1420" t="s">
        <v>765</v>
      </c>
      <c r="F1420" t="s">
        <v>542</v>
      </c>
      <c r="G1420" t="s">
        <v>766</v>
      </c>
      <c r="H1420" t="s">
        <v>1484</v>
      </c>
      <c r="I1420" t="s">
        <v>766</v>
      </c>
      <c r="J1420" t="s">
        <v>802</v>
      </c>
      <c r="K1420" t="s">
        <v>802</v>
      </c>
      <c r="L1420" t="s">
        <v>3342</v>
      </c>
      <c r="M1420" t="s">
        <v>208</v>
      </c>
      <c r="N1420" t="s">
        <v>1155</v>
      </c>
      <c r="O1420" t="s">
        <v>771</v>
      </c>
      <c r="P1420" t="s">
        <v>772</v>
      </c>
      <c r="Q1420" t="s">
        <v>972</v>
      </c>
      <c r="R1420">
        <v>6</v>
      </c>
      <c r="S1420">
        <v>1</v>
      </c>
      <c r="T1420">
        <v>0</v>
      </c>
      <c r="U1420">
        <v>0</v>
      </c>
      <c r="V1420">
        <v>0</v>
      </c>
      <c r="W1420">
        <v>0</v>
      </c>
      <c r="X1420">
        <v>0</v>
      </c>
      <c r="Y1420">
        <v>0</v>
      </c>
      <c r="Z1420">
        <v>0</v>
      </c>
      <c r="AA1420">
        <v>0</v>
      </c>
      <c r="AB1420">
        <v>6</v>
      </c>
      <c r="AC1420">
        <v>1</v>
      </c>
      <c r="AD1420">
        <v>6</v>
      </c>
      <c r="AE1420">
        <v>1</v>
      </c>
      <c r="AF1420">
        <v>0</v>
      </c>
      <c r="AG1420">
        <v>0</v>
      </c>
      <c r="AH1420">
        <v>0</v>
      </c>
      <c r="AI1420">
        <v>0</v>
      </c>
      <c r="AY1420" t="str">
        <f t="shared" si="201"/>
        <v>ZACTRAN 150 MG/ML SOLUTION INJECTABLE POUR BOVINS OVINS ET PORCINS</v>
      </c>
      <c r="AZ1420" t="str">
        <f>IF(COUNTIF(AY:AY,AY1420)=1,AY1420,IF(AND(COUNTIF(AY:AY,AY1420)&gt;1,COUNTIF(AZ$2:AZ1419,AY1420)&gt;=1),"",AY1420))</f>
        <v>ZACTRAN 150 MG/ML SOLUTION INJECTABLE POUR BOVINS OVINS ET PORCINS</v>
      </c>
      <c r="BA1420">
        <f>IF(AZ1420="","",COUNTIFS(AZ$3:AZ$1439,"&lt;"&amp;AZ1420,AZ$3:AZ$1439,"&lt;&gt;0")+COUNTIF(AZ$3:AZ1420,AZ1420)-876)</f>
        <v>557</v>
      </c>
      <c r="CN1420">
        <v>1419</v>
      </c>
    </row>
    <row r="1421" spans="1:92" x14ac:dyDescent="0.3">
      <c r="A1421" t="s">
        <v>3340</v>
      </c>
      <c r="B1421" t="s">
        <v>3343</v>
      </c>
      <c r="C1421" t="s">
        <v>2483</v>
      </c>
      <c r="D1421" s="144" t="s">
        <v>776</v>
      </c>
      <c r="E1421" t="s">
        <v>765</v>
      </c>
      <c r="F1421" t="s">
        <v>542</v>
      </c>
      <c r="G1421" t="s">
        <v>766</v>
      </c>
      <c r="H1421" t="s">
        <v>1484</v>
      </c>
      <c r="I1421" t="s">
        <v>766</v>
      </c>
      <c r="J1421" t="s">
        <v>802</v>
      </c>
      <c r="K1421" t="s">
        <v>802</v>
      </c>
      <c r="L1421" t="s">
        <v>3342</v>
      </c>
      <c r="M1421" t="s">
        <v>208</v>
      </c>
      <c r="N1421" t="s">
        <v>1155</v>
      </c>
      <c r="O1421" t="s">
        <v>771</v>
      </c>
      <c r="P1421" t="s">
        <v>772</v>
      </c>
      <c r="Q1421" t="s">
        <v>1773</v>
      </c>
      <c r="R1421">
        <v>6</v>
      </c>
      <c r="S1421">
        <v>1</v>
      </c>
      <c r="T1421">
        <v>0</v>
      </c>
      <c r="U1421">
        <v>0</v>
      </c>
      <c r="V1421">
        <v>0</v>
      </c>
      <c r="W1421">
        <v>0</v>
      </c>
      <c r="X1421">
        <v>0</v>
      </c>
      <c r="Y1421">
        <v>0</v>
      </c>
      <c r="Z1421">
        <v>0</v>
      </c>
      <c r="AA1421">
        <v>0</v>
      </c>
      <c r="AB1421">
        <v>6</v>
      </c>
      <c r="AC1421">
        <v>1</v>
      </c>
      <c r="AD1421">
        <v>6</v>
      </c>
      <c r="AE1421">
        <v>1</v>
      </c>
      <c r="AF1421">
        <v>0</v>
      </c>
      <c r="AG1421">
        <v>0</v>
      </c>
      <c r="AH1421">
        <v>0</v>
      </c>
      <c r="AI1421">
        <v>0</v>
      </c>
      <c r="AY1421" t="str">
        <f t="shared" si="201"/>
        <v>ZACTRAN 150 MG/ML SOLUTION INJECTABLE POUR BOVINS OVINS ET PORCINS</v>
      </c>
      <c r="AZ1421" t="str">
        <f>IF(COUNTIF(AY:AY,AY1421)=1,AY1421,IF(AND(COUNTIF(AY:AY,AY1421)&gt;1,COUNTIF(AZ$2:AZ1420,AY1421)&gt;=1),"",AY1421))</f>
        <v/>
      </c>
      <c r="BA1421" t="str">
        <f>IF(AZ1421="","",COUNTIFS(AZ$3:AZ$1439,"&lt;"&amp;AZ1421,AZ$3:AZ$1439,"&lt;&gt;0")+COUNTIF(AZ$3:AZ1421,AZ1421)-876)</f>
        <v/>
      </c>
      <c r="CN1421">
        <v>1420</v>
      </c>
    </row>
    <row r="1422" spans="1:92" x14ac:dyDescent="0.3">
      <c r="A1422" t="s">
        <v>3340</v>
      </c>
      <c r="B1422" t="s">
        <v>3344</v>
      </c>
      <c r="C1422" t="s">
        <v>3345</v>
      </c>
      <c r="D1422" s="144" t="s">
        <v>780</v>
      </c>
      <c r="E1422" t="s">
        <v>765</v>
      </c>
      <c r="F1422" t="s">
        <v>542</v>
      </c>
      <c r="G1422" t="s">
        <v>766</v>
      </c>
      <c r="H1422" t="s">
        <v>1484</v>
      </c>
      <c r="I1422" t="s">
        <v>766</v>
      </c>
      <c r="J1422" t="s">
        <v>802</v>
      </c>
      <c r="K1422" t="s">
        <v>802</v>
      </c>
      <c r="L1422" t="s">
        <v>3342</v>
      </c>
      <c r="M1422" t="s">
        <v>208</v>
      </c>
      <c r="N1422" t="s">
        <v>1155</v>
      </c>
      <c r="O1422" t="s">
        <v>771</v>
      </c>
      <c r="P1422" t="s">
        <v>772</v>
      </c>
      <c r="Q1422" t="s">
        <v>962</v>
      </c>
      <c r="R1422">
        <v>6</v>
      </c>
      <c r="S1422">
        <v>1</v>
      </c>
      <c r="T1422">
        <v>0</v>
      </c>
      <c r="U1422">
        <v>0</v>
      </c>
      <c r="V1422">
        <v>0</v>
      </c>
      <c r="W1422">
        <v>0</v>
      </c>
      <c r="X1422">
        <v>0</v>
      </c>
      <c r="Y1422">
        <v>0</v>
      </c>
      <c r="Z1422">
        <v>0</v>
      </c>
      <c r="AA1422">
        <v>0</v>
      </c>
      <c r="AB1422">
        <v>6</v>
      </c>
      <c r="AC1422">
        <v>1</v>
      </c>
      <c r="AD1422">
        <v>6</v>
      </c>
      <c r="AE1422">
        <v>1</v>
      </c>
      <c r="AF1422">
        <v>0</v>
      </c>
      <c r="AG1422">
        <v>0</v>
      </c>
      <c r="AH1422">
        <v>0</v>
      </c>
      <c r="AI1422">
        <v>0</v>
      </c>
      <c r="AY1422" t="str">
        <f t="shared" si="201"/>
        <v>ZACTRAN 150 MG/ML SOLUTION INJECTABLE POUR BOVINS OVINS ET PORCINS</v>
      </c>
      <c r="AZ1422" t="str">
        <f>IF(COUNTIF(AY:AY,AY1422)=1,AY1422,IF(AND(COUNTIF(AY:AY,AY1422)&gt;1,COUNTIF(AZ$2:AZ1421,AY1422)&gt;=1),"",AY1422))</f>
        <v/>
      </c>
      <c r="BA1422" t="str">
        <f>IF(AZ1422="","",COUNTIFS(AZ$3:AZ$1439,"&lt;"&amp;AZ1422,AZ$3:AZ$1439,"&lt;&gt;0")+COUNTIF(AZ$3:AZ1422,AZ1422)-876)</f>
        <v/>
      </c>
      <c r="CN1422">
        <v>1421</v>
      </c>
    </row>
    <row r="1423" spans="1:92" x14ac:dyDescent="0.3">
      <c r="A1423" t="s">
        <v>3340</v>
      </c>
      <c r="B1423" t="s">
        <v>4523</v>
      </c>
      <c r="C1423" t="s">
        <v>2481</v>
      </c>
      <c r="D1423" s="144" t="s">
        <v>764</v>
      </c>
      <c r="E1423" t="s">
        <v>765</v>
      </c>
      <c r="F1423" t="s">
        <v>542</v>
      </c>
      <c r="G1423" t="s">
        <v>766</v>
      </c>
      <c r="H1423" t="s">
        <v>1484</v>
      </c>
      <c r="I1423" t="s">
        <v>766</v>
      </c>
      <c r="J1423" t="s">
        <v>802</v>
      </c>
      <c r="K1423" t="s">
        <v>802</v>
      </c>
      <c r="L1423" t="s">
        <v>3342</v>
      </c>
      <c r="M1423" t="s">
        <v>208</v>
      </c>
      <c r="N1423" t="s">
        <v>1155</v>
      </c>
      <c r="O1423" t="s">
        <v>771</v>
      </c>
      <c r="P1423" t="s">
        <v>772</v>
      </c>
      <c r="Q1423" t="s">
        <v>972</v>
      </c>
      <c r="R1423">
        <v>6</v>
      </c>
      <c r="S1423">
        <v>1</v>
      </c>
      <c r="T1423">
        <v>0</v>
      </c>
      <c r="U1423">
        <v>0</v>
      </c>
      <c r="V1423">
        <v>0</v>
      </c>
      <c r="W1423">
        <v>0</v>
      </c>
      <c r="X1423">
        <v>0</v>
      </c>
      <c r="Y1423">
        <v>0</v>
      </c>
      <c r="Z1423">
        <v>0</v>
      </c>
      <c r="AA1423">
        <v>0</v>
      </c>
      <c r="AB1423">
        <v>6</v>
      </c>
      <c r="AC1423">
        <v>1</v>
      </c>
      <c r="AD1423">
        <v>6</v>
      </c>
      <c r="AE1423">
        <v>1</v>
      </c>
      <c r="AF1423">
        <v>0</v>
      </c>
      <c r="AG1423">
        <v>0</v>
      </c>
      <c r="AH1423">
        <v>0</v>
      </c>
      <c r="AI1423">
        <v>0</v>
      </c>
      <c r="AY1423" t="str">
        <f t="shared" si="201"/>
        <v>ZACTRAN 150 MG/ML SOLUTION INJECTABLE POUR BOVINS OVINS ET PORCINS</v>
      </c>
      <c r="AZ1423" t="str">
        <f>IF(COUNTIF(AY:AY,AY1423)=1,AY1423,IF(AND(COUNTIF(AY:AY,AY1423)&gt;1,COUNTIF(AZ$2:AZ1422,AY1423)&gt;=1),"",AY1423))</f>
        <v/>
      </c>
      <c r="BA1423" t="str">
        <f>IF(AZ1423="","",COUNTIFS(AZ$3:AZ$1439,"&lt;"&amp;AZ1423,AZ$3:AZ$1439,"&lt;&gt;0")+COUNTIF(AZ$3:AZ1423,AZ1423)-876)</f>
        <v/>
      </c>
      <c r="CN1423">
        <v>1422</v>
      </c>
    </row>
    <row r="1424" spans="1:92" x14ac:dyDescent="0.3">
      <c r="A1424" t="s">
        <v>3340</v>
      </c>
      <c r="B1424" t="s">
        <v>4524</v>
      </c>
      <c r="C1424" t="s">
        <v>2483</v>
      </c>
      <c r="D1424" s="144" t="s">
        <v>776</v>
      </c>
      <c r="E1424" t="s">
        <v>765</v>
      </c>
      <c r="F1424" t="s">
        <v>542</v>
      </c>
      <c r="G1424" t="s">
        <v>766</v>
      </c>
      <c r="H1424" t="s">
        <v>1484</v>
      </c>
      <c r="I1424" t="s">
        <v>766</v>
      </c>
      <c r="J1424" t="s">
        <v>802</v>
      </c>
      <c r="K1424" t="s">
        <v>802</v>
      </c>
      <c r="L1424" t="s">
        <v>3342</v>
      </c>
      <c r="M1424" t="s">
        <v>208</v>
      </c>
      <c r="N1424" t="s">
        <v>1155</v>
      </c>
      <c r="O1424" t="s">
        <v>771</v>
      </c>
      <c r="P1424" t="s">
        <v>772</v>
      </c>
      <c r="Q1424" t="s">
        <v>1773</v>
      </c>
      <c r="R1424">
        <v>6</v>
      </c>
      <c r="S1424">
        <v>1</v>
      </c>
      <c r="T1424">
        <v>0</v>
      </c>
      <c r="U1424">
        <v>0</v>
      </c>
      <c r="V1424">
        <v>0</v>
      </c>
      <c r="W1424">
        <v>0</v>
      </c>
      <c r="X1424">
        <v>0</v>
      </c>
      <c r="Y1424">
        <v>0</v>
      </c>
      <c r="Z1424">
        <v>0</v>
      </c>
      <c r="AA1424">
        <v>0</v>
      </c>
      <c r="AB1424">
        <v>6</v>
      </c>
      <c r="AC1424">
        <v>1</v>
      </c>
      <c r="AD1424">
        <v>6</v>
      </c>
      <c r="AE1424">
        <v>1</v>
      </c>
      <c r="AF1424">
        <v>0</v>
      </c>
      <c r="AG1424">
        <v>0</v>
      </c>
      <c r="AH1424">
        <v>0</v>
      </c>
      <c r="AI1424">
        <v>0</v>
      </c>
      <c r="AY1424" t="str">
        <f t="shared" si="201"/>
        <v>ZACTRAN 150 MG/ML SOLUTION INJECTABLE POUR BOVINS OVINS ET PORCINS</v>
      </c>
      <c r="AZ1424" t="str">
        <f>IF(COUNTIF(AY:AY,AY1424)=1,AY1424,IF(AND(COUNTIF(AY:AY,AY1424)&gt;1,COUNTIF(AZ$2:AZ1423,AY1424)&gt;=1),"",AY1424))</f>
        <v/>
      </c>
      <c r="BA1424" t="str">
        <f>IF(AZ1424="","",COUNTIFS(AZ$3:AZ$1439,"&lt;"&amp;AZ1424,AZ$3:AZ$1439,"&lt;&gt;0")+COUNTIF(AZ$3:AZ1424,AZ1424)-876)</f>
        <v/>
      </c>
      <c r="CN1424">
        <v>1423</v>
      </c>
    </row>
    <row r="1425" spans="1:92" x14ac:dyDescent="0.3">
      <c r="A1425" t="s">
        <v>3340</v>
      </c>
      <c r="B1425" t="s">
        <v>4525</v>
      </c>
      <c r="C1425" t="s">
        <v>3345</v>
      </c>
      <c r="D1425" s="144" t="s">
        <v>780</v>
      </c>
      <c r="E1425" t="s">
        <v>765</v>
      </c>
      <c r="F1425" t="s">
        <v>542</v>
      </c>
      <c r="G1425" t="s">
        <v>766</v>
      </c>
      <c r="H1425" t="s">
        <v>1484</v>
      </c>
      <c r="I1425" t="s">
        <v>766</v>
      </c>
      <c r="J1425" t="s">
        <v>802</v>
      </c>
      <c r="K1425" t="s">
        <v>802</v>
      </c>
      <c r="L1425" t="s">
        <v>3342</v>
      </c>
      <c r="M1425" t="s">
        <v>208</v>
      </c>
      <c r="N1425" t="s">
        <v>1155</v>
      </c>
      <c r="O1425" t="s">
        <v>771</v>
      </c>
      <c r="P1425" t="s">
        <v>772</v>
      </c>
      <c r="Q1425" t="s">
        <v>962</v>
      </c>
      <c r="R1425">
        <v>6</v>
      </c>
      <c r="S1425">
        <v>1</v>
      </c>
      <c r="T1425">
        <v>0</v>
      </c>
      <c r="U1425">
        <v>0</v>
      </c>
      <c r="V1425">
        <v>0</v>
      </c>
      <c r="W1425">
        <v>0</v>
      </c>
      <c r="X1425">
        <v>0</v>
      </c>
      <c r="Y1425">
        <v>0</v>
      </c>
      <c r="Z1425">
        <v>0</v>
      </c>
      <c r="AA1425">
        <v>0</v>
      </c>
      <c r="AB1425">
        <v>6</v>
      </c>
      <c r="AC1425">
        <v>1</v>
      </c>
      <c r="AD1425">
        <v>6</v>
      </c>
      <c r="AE1425">
        <v>1</v>
      </c>
      <c r="AF1425">
        <v>0</v>
      </c>
      <c r="AG1425">
        <v>0</v>
      </c>
      <c r="AH1425">
        <v>0</v>
      </c>
      <c r="AI1425">
        <v>0</v>
      </c>
      <c r="AY1425" t="str">
        <f t="shared" si="201"/>
        <v>ZACTRAN 150 MG/ML SOLUTION INJECTABLE POUR BOVINS OVINS ET PORCINS</v>
      </c>
      <c r="AZ1425" t="str">
        <f>IF(COUNTIF(AY:AY,AY1425)=1,AY1425,IF(AND(COUNTIF(AY:AY,AY1425)&gt;1,COUNTIF(AZ$2:AZ1424,AY1425)&gt;=1),"",AY1425))</f>
        <v/>
      </c>
      <c r="BA1425" t="str">
        <f>IF(AZ1425="","",COUNTIFS(AZ$3:AZ$1439,"&lt;"&amp;AZ1425,AZ$3:AZ$1439,"&lt;&gt;0")+COUNTIF(AZ$3:AZ1425,AZ1425)-876)</f>
        <v/>
      </c>
      <c r="CN1425">
        <v>1424</v>
      </c>
    </row>
    <row r="1426" spans="1:92" x14ac:dyDescent="0.3">
      <c r="A1426" t="s">
        <v>4183</v>
      </c>
      <c r="B1426" t="s">
        <v>4184</v>
      </c>
      <c r="C1426" t="s">
        <v>943</v>
      </c>
      <c r="D1426" s="144" t="s">
        <v>764</v>
      </c>
      <c r="E1426" t="s">
        <v>765</v>
      </c>
      <c r="F1426" t="s">
        <v>543</v>
      </c>
      <c r="G1426" t="s">
        <v>766</v>
      </c>
      <c r="H1426" t="s">
        <v>801</v>
      </c>
      <c r="I1426" t="s">
        <v>766</v>
      </c>
      <c r="J1426" t="s">
        <v>1752</v>
      </c>
      <c r="K1426" t="s">
        <v>1752</v>
      </c>
      <c r="L1426" t="s">
        <v>2511</v>
      </c>
      <c r="M1426" t="s">
        <v>208</v>
      </c>
      <c r="N1426" t="s">
        <v>939</v>
      </c>
      <c r="O1426" t="s">
        <v>771</v>
      </c>
      <c r="P1426" t="s">
        <v>772</v>
      </c>
      <c r="Q1426" t="s">
        <v>932</v>
      </c>
      <c r="R1426">
        <v>40</v>
      </c>
      <c r="S1426">
        <v>1</v>
      </c>
      <c r="T1426">
        <v>0</v>
      </c>
      <c r="U1426">
        <v>0</v>
      </c>
      <c r="V1426">
        <v>0</v>
      </c>
      <c r="W1426">
        <v>0</v>
      </c>
      <c r="X1426">
        <v>0</v>
      </c>
      <c r="Y1426">
        <v>0</v>
      </c>
      <c r="Z1426">
        <v>0</v>
      </c>
      <c r="AA1426">
        <v>0</v>
      </c>
      <c r="AB1426">
        <v>0</v>
      </c>
      <c r="AC1426">
        <v>0</v>
      </c>
      <c r="AD1426">
        <v>0</v>
      </c>
      <c r="AE1426">
        <v>0</v>
      </c>
      <c r="AF1426">
        <v>0</v>
      </c>
      <c r="AG1426">
        <v>0</v>
      </c>
      <c r="AH1426">
        <v>0</v>
      </c>
      <c r="AI1426">
        <v>0</v>
      </c>
      <c r="AY1426" t="str">
        <f t="shared" si="201"/>
        <v>ZELERIS SOLUTION INJECTABLE POUR BOVINS</v>
      </c>
      <c r="AZ1426" t="str">
        <f>IF(COUNTIF(AY:AY,AY1426)=1,AY1426,IF(AND(COUNTIF(AY:AY,AY1426)&gt;1,COUNTIF(AZ$2:AZ1425,AY1426)&gt;=1),"",AY1426))</f>
        <v>ZELERIS SOLUTION INJECTABLE POUR BOVINS</v>
      </c>
      <c r="BA1426">
        <f>IF(AZ1426="","",COUNTIFS(AZ$3:AZ$1439,"&lt;"&amp;AZ1426,AZ$3:AZ$1439,"&lt;&gt;0")+COUNTIF(AZ$3:AZ1426,AZ1426)-876)</f>
        <v>558</v>
      </c>
      <c r="CN1426">
        <v>1425</v>
      </c>
    </row>
    <row r="1427" spans="1:92" x14ac:dyDescent="0.3">
      <c r="A1427" t="s">
        <v>4183</v>
      </c>
      <c r="B1427" t="s">
        <v>4185</v>
      </c>
      <c r="C1427" t="s">
        <v>949</v>
      </c>
      <c r="D1427" s="144" t="s">
        <v>776</v>
      </c>
      <c r="E1427" t="s">
        <v>765</v>
      </c>
      <c r="F1427" t="s">
        <v>543</v>
      </c>
      <c r="G1427" t="s">
        <v>766</v>
      </c>
      <c r="H1427" t="s">
        <v>801</v>
      </c>
      <c r="I1427" t="s">
        <v>766</v>
      </c>
      <c r="J1427" t="s">
        <v>1752</v>
      </c>
      <c r="K1427" t="s">
        <v>1752</v>
      </c>
      <c r="L1427" t="s">
        <v>2511</v>
      </c>
      <c r="M1427" t="s">
        <v>208</v>
      </c>
      <c r="N1427" t="s">
        <v>939</v>
      </c>
      <c r="O1427" t="s">
        <v>771</v>
      </c>
      <c r="P1427" t="s">
        <v>772</v>
      </c>
      <c r="Q1427" t="s">
        <v>764</v>
      </c>
      <c r="R1427">
        <v>40</v>
      </c>
      <c r="S1427">
        <v>1</v>
      </c>
      <c r="T1427">
        <v>0</v>
      </c>
      <c r="U1427">
        <v>0</v>
      </c>
      <c r="V1427">
        <v>0</v>
      </c>
      <c r="W1427">
        <v>0</v>
      </c>
      <c r="X1427">
        <v>0</v>
      </c>
      <c r="Y1427">
        <v>0</v>
      </c>
      <c r="Z1427">
        <v>0</v>
      </c>
      <c r="AA1427">
        <v>0</v>
      </c>
      <c r="AB1427">
        <v>0</v>
      </c>
      <c r="AC1427">
        <v>0</v>
      </c>
      <c r="AD1427">
        <v>0</v>
      </c>
      <c r="AE1427">
        <v>0</v>
      </c>
      <c r="AF1427">
        <v>0</v>
      </c>
      <c r="AG1427">
        <v>0</v>
      </c>
      <c r="AH1427">
        <v>0</v>
      </c>
      <c r="AI1427">
        <v>0</v>
      </c>
      <c r="AY1427" t="str">
        <f t="shared" si="201"/>
        <v>ZELERIS SOLUTION INJECTABLE POUR BOVINS</v>
      </c>
      <c r="AZ1427" t="str">
        <f>IF(COUNTIF(AY:AY,AY1427)=1,AY1427,IF(AND(COUNTIF(AY:AY,AY1427)&gt;1,COUNTIF(AZ$2:AZ1426,AY1427)&gt;=1),"",AY1427))</f>
        <v/>
      </c>
      <c r="BA1427" t="str">
        <f>IF(AZ1427="","",COUNTIFS(AZ$3:AZ$1439,"&lt;"&amp;AZ1427,AZ$3:AZ$1439,"&lt;&gt;0")+COUNTIF(AZ$3:AZ1427,AZ1427)-876)</f>
        <v/>
      </c>
      <c r="CN1427">
        <v>1426</v>
      </c>
    </row>
    <row r="1428" spans="1:92" x14ac:dyDescent="0.3">
      <c r="A1428" t="s">
        <v>4183</v>
      </c>
      <c r="B1428" t="s">
        <v>4186</v>
      </c>
      <c r="C1428" t="s">
        <v>1477</v>
      </c>
      <c r="D1428" s="144" t="s">
        <v>780</v>
      </c>
      <c r="E1428" t="s">
        <v>765</v>
      </c>
      <c r="F1428" t="s">
        <v>543</v>
      </c>
      <c r="G1428" t="s">
        <v>766</v>
      </c>
      <c r="H1428" t="s">
        <v>801</v>
      </c>
      <c r="I1428" t="s">
        <v>766</v>
      </c>
      <c r="J1428" t="s">
        <v>1752</v>
      </c>
      <c r="K1428" t="s">
        <v>1752</v>
      </c>
      <c r="L1428" t="s">
        <v>2511</v>
      </c>
      <c r="M1428" t="s">
        <v>208</v>
      </c>
      <c r="N1428" t="s">
        <v>939</v>
      </c>
      <c r="O1428" t="s">
        <v>771</v>
      </c>
      <c r="P1428" t="s">
        <v>772</v>
      </c>
      <c r="Q1428" t="s">
        <v>869</v>
      </c>
      <c r="R1428">
        <v>40</v>
      </c>
      <c r="S1428">
        <v>1</v>
      </c>
      <c r="T1428">
        <v>0</v>
      </c>
      <c r="U1428">
        <v>0</v>
      </c>
      <c r="V1428">
        <v>0</v>
      </c>
      <c r="W1428">
        <v>0</v>
      </c>
      <c r="X1428">
        <v>0</v>
      </c>
      <c r="Y1428">
        <v>0</v>
      </c>
      <c r="Z1428">
        <v>0</v>
      </c>
      <c r="AA1428">
        <v>0</v>
      </c>
      <c r="AB1428">
        <v>0</v>
      </c>
      <c r="AC1428">
        <v>0</v>
      </c>
      <c r="AD1428">
        <v>0</v>
      </c>
      <c r="AE1428">
        <v>0</v>
      </c>
      <c r="AF1428">
        <v>0</v>
      </c>
      <c r="AG1428">
        <v>0</v>
      </c>
      <c r="AH1428">
        <v>0</v>
      </c>
      <c r="AI1428">
        <v>0</v>
      </c>
      <c r="AY1428" t="str">
        <f t="shared" si="201"/>
        <v>ZELERIS SOLUTION INJECTABLE POUR BOVINS</v>
      </c>
      <c r="AZ1428" t="str">
        <f>IF(COUNTIF(AY:AY,AY1428)=1,AY1428,IF(AND(COUNTIF(AY:AY,AY1428)&gt;1,COUNTIF(AZ$2:AZ1427,AY1428)&gt;=1),"",AY1428))</f>
        <v/>
      </c>
      <c r="BA1428" t="str">
        <f>IF(AZ1428="","",COUNTIFS(AZ$3:AZ$1439,"&lt;"&amp;AZ1428,AZ$3:AZ$1439,"&lt;&gt;0")+COUNTIF(AZ$3:AZ1428,AZ1428)-876)</f>
        <v/>
      </c>
      <c r="CN1428">
        <v>1427</v>
      </c>
    </row>
    <row r="1429" spans="1:92" x14ac:dyDescent="0.3">
      <c r="A1429" t="s">
        <v>3751</v>
      </c>
      <c r="B1429" t="s">
        <v>3752</v>
      </c>
      <c r="C1429" t="s">
        <v>1915</v>
      </c>
      <c r="D1429" s="144" t="s">
        <v>764</v>
      </c>
      <c r="E1429" t="s">
        <v>813</v>
      </c>
      <c r="F1429" t="s">
        <v>3753</v>
      </c>
      <c r="G1429" t="s">
        <v>815</v>
      </c>
      <c r="H1429" t="s">
        <v>860</v>
      </c>
      <c r="I1429" t="s">
        <v>817</v>
      </c>
      <c r="J1429" t="s">
        <v>2366</v>
      </c>
      <c r="K1429" t="s">
        <v>2366</v>
      </c>
      <c r="L1429" t="s">
        <v>2367</v>
      </c>
      <c r="M1429" t="s">
        <v>208</v>
      </c>
      <c r="N1429" t="s">
        <v>1155</v>
      </c>
      <c r="O1429" t="s">
        <v>824</v>
      </c>
      <c r="P1429" t="s">
        <v>772</v>
      </c>
      <c r="Q1429" t="s">
        <v>972</v>
      </c>
      <c r="R1429">
        <v>0</v>
      </c>
      <c r="S1429">
        <v>0</v>
      </c>
      <c r="T1429">
        <v>5</v>
      </c>
      <c r="U1429">
        <v>10</v>
      </c>
      <c r="V1429">
        <v>0</v>
      </c>
      <c r="W1429">
        <v>0</v>
      </c>
      <c r="X1429">
        <v>0</v>
      </c>
      <c r="Y1429">
        <v>0</v>
      </c>
      <c r="Z1429">
        <v>0</v>
      </c>
      <c r="AA1429">
        <v>0</v>
      </c>
      <c r="AB1429">
        <v>0</v>
      </c>
      <c r="AC1429">
        <v>0</v>
      </c>
      <c r="AD1429">
        <v>0</v>
      </c>
      <c r="AE1429">
        <v>0</v>
      </c>
      <c r="AF1429">
        <v>0</v>
      </c>
      <c r="AG1429">
        <v>0</v>
      </c>
      <c r="AH1429">
        <v>0</v>
      </c>
      <c r="AI1429">
        <v>0</v>
      </c>
      <c r="AY1429" t="str">
        <f t="shared" si="201"/>
        <v/>
      </c>
      <c r="AZ1429" t="str">
        <f>IF(COUNTIF(AY:AY,AY1429)=1,AY1429,IF(AND(COUNTIF(AY:AY,AY1429)&gt;1,COUNTIF(AZ$2:AZ1428,AY1429)&gt;=1),"",AY1429))</f>
        <v/>
      </c>
      <c r="BA1429" t="str">
        <f>IF(AZ1429="","",COUNTIFS(AZ$3:AZ$1439,"&lt;"&amp;AZ1429,AZ$3:AZ$1439,"&lt;&gt;0")+COUNTIF(AZ$3:AZ1429,AZ1429)-876)</f>
        <v/>
      </c>
      <c r="CN1429">
        <v>1428</v>
      </c>
    </row>
    <row r="1430" spans="1:92" x14ac:dyDescent="0.3">
      <c r="A1430" t="s">
        <v>3748</v>
      </c>
      <c r="B1430" t="s">
        <v>3749</v>
      </c>
      <c r="C1430" t="s">
        <v>1915</v>
      </c>
      <c r="D1430" s="144" t="s">
        <v>764</v>
      </c>
      <c r="E1430" t="s">
        <v>813</v>
      </c>
      <c r="F1430" t="s">
        <v>3750</v>
      </c>
      <c r="G1430" t="s">
        <v>815</v>
      </c>
      <c r="H1430" t="s">
        <v>816</v>
      </c>
      <c r="I1430" t="s">
        <v>817</v>
      </c>
      <c r="J1430" t="s">
        <v>2366</v>
      </c>
      <c r="K1430" t="s">
        <v>2366</v>
      </c>
      <c r="L1430" t="s">
        <v>2367</v>
      </c>
      <c r="M1430" t="s">
        <v>208</v>
      </c>
      <c r="N1430" t="s">
        <v>780</v>
      </c>
      <c r="O1430" t="s">
        <v>824</v>
      </c>
      <c r="P1430" t="s">
        <v>772</v>
      </c>
      <c r="Q1430" t="s">
        <v>885</v>
      </c>
      <c r="R1430">
        <v>0</v>
      </c>
      <c r="S1430">
        <v>0</v>
      </c>
      <c r="T1430">
        <v>5</v>
      </c>
      <c r="U1430">
        <v>10</v>
      </c>
      <c r="V1430">
        <v>0</v>
      </c>
      <c r="W1430">
        <v>0</v>
      </c>
      <c r="X1430">
        <v>0</v>
      </c>
      <c r="Y1430">
        <v>0</v>
      </c>
      <c r="Z1430">
        <v>0</v>
      </c>
      <c r="AA1430">
        <v>0</v>
      </c>
      <c r="AB1430">
        <v>0</v>
      </c>
      <c r="AC1430">
        <v>0</v>
      </c>
      <c r="AD1430">
        <v>0</v>
      </c>
      <c r="AE1430">
        <v>0</v>
      </c>
      <c r="AF1430">
        <v>0</v>
      </c>
      <c r="AG1430">
        <v>0</v>
      </c>
      <c r="AH1430">
        <v>0</v>
      </c>
      <c r="AI1430">
        <v>0</v>
      </c>
      <c r="AY1430" t="str">
        <f t="shared" si="201"/>
        <v/>
      </c>
      <c r="AZ1430" t="str">
        <f>IF(COUNTIF(AY:AY,AY1430)=1,AY1430,IF(AND(COUNTIF(AY:AY,AY1430)&gt;1,COUNTIF(AZ$2:AZ1429,AY1430)&gt;=1),"",AY1430))</f>
        <v/>
      </c>
      <c r="BA1430" t="str">
        <f>IF(AZ1430="","",COUNTIFS(AZ$3:AZ$1439,"&lt;"&amp;AZ1430,AZ$3:AZ$1439,"&lt;&gt;0")+COUNTIF(AZ$3:AZ1430,AZ1430)-876)</f>
        <v/>
      </c>
      <c r="CN1430">
        <v>1429</v>
      </c>
    </row>
    <row r="1431" spans="1:92" x14ac:dyDescent="0.3">
      <c r="A1431" t="s">
        <v>3988</v>
      </c>
      <c r="B1431" t="s">
        <v>3989</v>
      </c>
      <c r="C1431" t="s">
        <v>3990</v>
      </c>
      <c r="D1431" s="144" t="s">
        <v>869</v>
      </c>
      <c r="E1431" t="s">
        <v>765</v>
      </c>
      <c r="F1431" t="s">
        <v>3991</v>
      </c>
      <c r="G1431" t="s">
        <v>956</v>
      </c>
      <c r="H1431" t="s">
        <v>816</v>
      </c>
      <c r="I1431" t="s">
        <v>817</v>
      </c>
      <c r="J1431" t="s">
        <v>1269</v>
      </c>
      <c r="K1431" t="s">
        <v>1269</v>
      </c>
      <c r="L1431" t="s">
        <v>2389</v>
      </c>
      <c r="M1431" t="s">
        <v>208</v>
      </c>
      <c r="N1431" t="s">
        <v>855</v>
      </c>
      <c r="O1431" t="s">
        <v>771</v>
      </c>
      <c r="P1431" t="s">
        <v>772</v>
      </c>
      <c r="Q1431" t="s">
        <v>825</v>
      </c>
      <c r="R1431">
        <v>0</v>
      </c>
      <c r="S1431">
        <v>0</v>
      </c>
      <c r="T1431">
        <v>22</v>
      </c>
      <c r="U1431">
        <v>28</v>
      </c>
      <c r="V1431">
        <v>0</v>
      </c>
      <c r="W1431">
        <v>0</v>
      </c>
      <c r="X1431">
        <v>0</v>
      </c>
      <c r="Y1431">
        <v>0</v>
      </c>
      <c r="Z1431">
        <v>0</v>
      </c>
      <c r="AA1431">
        <v>0</v>
      </c>
      <c r="AB1431">
        <v>0</v>
      </c>
      <c r="AC1431">
        <v>0</v>
      </c>
      <c r="AD1431">
        <v>0</v>
      </c>
      <c r="AE1431">
        <v>0</v>
      </c>
      <c r="AF1431">
        <v>0</v>
      </c>
      <c r="AG1431">
        <v>0</v>
      </c>
      <c r="AH1431">
        <v>0</v>
      </c>
      <c r="AI1431">
        <v>0</v>
      </c>
      <c r="AY1431" t="str">
        <f t="shared" si="201"/>
        <v/>
      </c>
      <c r="AZ1431" t="str">
        <f>IF(COUNTIF(AY:AY,AY1431)=1,AY1431,IF(AND(COUNTIF(AY:AY,AY1431)&gt;1,COUNTIF(AZ$2:AZ1430,AY1431)&gt;=1),"",AY1431))</f>
        <v/>
      </c>
      <c r="BA1431" t="str">
        <f>IF(AZ1431="","",COUNTIFS(AZ$3:AZ$1439,"&lt;"&amp;AZ1431,AZ$3:AZ$1439,"&lt;&gt;0")+COUNTIF(AZ$3:AZ1431,AZ1431)-876)</f>
        <v/>
      </c>
      <c r="CN1431">
        <v>1430</v>
      </c>
    </row>
    <row r="1432" spans="1:92" x14ac:dyDescent="0.3">
      <c r="A1432" t="s">
        <v>4001</v>
      </c>
      <c r="B1432" t="s">
        <v>4002</v>
      </c>
      <c r="C1432" t="s">
        <v>4003</v>
      </c>
      <c r="D1432" s="144" t="s">
        <v>785</v>
      </c>
      <c r="E1432" t="s">
        <v>813</v>
      </c>
      <c r="F1432" t="s">
        <v>4004</v>
      </c>
      <c r="G1432" t="s">
        <v>815</v>
      </c>
      <c r="H1432" t="s">
        <v>860</v>
      </c>
      <c r="I1432" t="s">
        <v>817</v>
      </c>
      <c r="J1432" t="s">
        <v>1269</v>
      </c>
      <c r="K1432" t="s">
        <v>1269</v>
      </c>
      <c r="L1432" t="s">
        <v>2389</v>
      </c>
      <c r="M1432" t="s">
        <v>208</v>
      </c>
      <c r="N1432" t="s">
        <v>4005</v>
      </c>
      <c r="O1432" t="s">
        <v>824</v>
      </c>
      <c r="P1432" t="s">
        <v>772</v>
      </c>
      <c r="Q1432" t="s">
        <v>4006</v>
      </c>
      <c r="R1432">
        <v>0</v>
      </c>
      <c r="S1432">
        <v>0</v>
      </c>
      <c r="T1432">
        <v>22</v>
      </c>
      <c r="U1432">
        <v>28</v>
      </c>
      <c r="V1432">
        <v>0</v>
      </c>
      <c r="W1432">
        <v>0</v>
      </c>
      <c r="X1432">
        <v>0</v>
      </c>
      <c r="Y1432">
        <v>0</v>
      </c>
      <c r="Z1432">
        <v>0</v>
      </c>
      <c r="AA1432">
        <v>0</v>
      </c>
      <c r="AB1432">
        <v>0</v>
      </c>
      <c r="AC1432">
        <v>0</v>
      </c>
      <c r="AD1432">
        <v>0</v>
      </c>
      <c r="AE1432">
        <v>0</v>
      </c>
      <c r="AF1432">
        <v>0</v>
      </c>
      <c r="AG1432">
        <v>0</v>
      </c>
      <c r="AH1432">
        <v>0</v>
      </c>
      <c r="AI1432">
        <v>0</v>
      </c>
      <c r="AY1432" t="str">
        <f t="shared" si="201"/>
        <v/>
      </c>
      <c r="AZ1432" t="str">
        <f>IF(COUNTIF(AY:AY,AY1432)=1,AY1432,IF(AND(COUNTIF(AY:AY,AY1432)&gt;1,COUNTIF(AZ$2:AZ1431,AY1432)&gt;=1),"",AY1432))</f>
        <v/>
      </c>
      <c r="BA1432" t="str">
        <f>IF(AZ1432="","",COUNTIFS(AZ$3:AZ$1439,"&lt;"&amp;AZ1432,AZ$3:AZ$1439,"&lt;&gt;0")+COUNTIF(AZ$3:AZ1432,AZ1432)-876)</f>
        <v/>
      </c>
      <c r="CN1432">
        <v>1431</v>
      </c>
    </row>
    <row r="1433" spans="1:92" x14ac:dyDescent="0.3">
      <c r="A1433" t="s">
        <v>4007</v>
      </c>
      <c r="B1433" t="s">
        <v>4008</v>
      </c>
      <c r="C1433" t="s">
        <v>3930</v>
      </c>
      <c r="D1433" s="144" t="s">
        <v>785</v>
      </c>
      <c r="E1433" t="s">
        <v>813</v>
      </c>
      <c r="F1433" t="s">
        <v>4009</v>
      </c>
      <c r="G1433" t="s">
        <v>815</v>
      </c>
      <c r="H1433" t="s">
        <v>860</v>
      </c>
      <c r="I1433" t="s">
        <v>817</v>
      </c>
      <c r="J1433" t="s">
        <v>1269</v>
      </c>
      <c r="K1433" t="s">
        <v>1269</v>
      </c>
      <c r="L1433" t="s">
        <v>2389</v>
      </c>
      <c r="M1433" t="s">
        <v>208</v>
      </c>
      <c r="N1433" t="s">
        <v>4010</v>
      </c>
      <c r="O1433" t="s">
        <v>824</v>
      </c>
      <c r="P1433" t="s">
        <v>772</v>
      </c>
      <c r="Q1433" t="s">
        <v>4011</v>
      </c>
      <c r="R1433">
        <v>0</v>
      </c>
      <c r="S1433">
        <v>0</v>
      </c>
      <c r="T1433">
        <v>22</v>
      </c>
      <c r="U1433">
        <v>28</v>
      </c>
      <c r="V1433">
        <v>0</v>
      </c>
      <c r="W1433">
        <v>0</v>
      </c>
      <c r="X1433">
        <v>0</v>
      </c>
      <c r="Y1433">
        <v>0</v>
      </c>
      <c r="Z1433">
        <v>0</v>
      </c>
      <c r="AA1433">
        <v>0</v>
      </c>
      <c r="AB1433">
        <v>0</v>
      </c>
      <c r="AC1433">
        <v>0</v>
      </c>
      <c r="AD1433">
        <v>0</v>
      </c>
      <c r="AE1433">
        <v>0</v>
      </c>
      <c r="AF1433">
        <v>0</v>
      </c>
      <c r="AG1433">
        <v>0</v>
      </c>
      <c r="AH1433">
        <v>0</v>
      </c>
      <c r="AI1433">
        <v>0</v>
      </c>
      <c r="AY1433" t="str">
        <f t="shared" si="201"/>
        <v/>
      </c>
      <c r="AZ1433" t="str">
        <f>IF(COUNTIF(AY:AY,AY1433)=1,AY1433,IF(AND(COUNTIF(AY:AY,AY1433)&gt;1,COUNTIF(AZ$2:AZ1432,AY1433)&gt;=1),"",AY1433))</f>
        <v/>
      </c>
      <c r="BA1433" t="str">
        <f>IF(AZ1433="","",COUNTIFS(AZ$3:AZ$1439,"&lt;"&amp;AZ1433,AZ$3:AZ$1439,"&lt;&gt;0")+COUNTIF(AZ$3:AZ1433,AZ1433)-876)</f>
        <v/>
      </c>
      <c r="CN1433">
        <v>1432</v>
      </c>
    </row>
    <row r="1434" spans="1:92" x14ac:dyDescent="0.3">
      <c r="A1434" t="s">
        <v>3665</v>
      </c>
      <c r="B1434" t="s">
        <v>3666</v>
      </c>
      <c r="C1434" t="s">
        <v>1483</v>
      </c>
      <c r="D1434" s="144" t="s">
        <v>764</v>
      </c>
      <c r="E1434" t="s">
        <v>765</v>
      </c>
      <c r="F1434" t="s">
        <v>544</v>
      </c>
      <c r="G1434" t="s">
        <v>766</v>
      </c>
      <c r="H1434" t="s">
        <v>801</v>
      </c>
      <c r="I1434" t="s">
        <v>766</v>
      </c>
      <c r="J1434" t="s">
        <v>802</v>
      </c>
      <c r="K1434" t="s">
        <v>802</v>
      </c>
      <c r="L1434" t="s">
        <v>3663</v>
      </c>
      <c r="M1434" t="s">
        <v>208</v>
      </c>
      <c r="N1434" t="s">
        <v>1442</v>
      </c>
      <c r="O1434" t="s">
        <v>771</v>
      </c>
      <c r="P1434" t="s">
        <v>772</v>
      </c>
      <c r="Q1434" t="s">
        <v>1184</v>
      </c>
      <c r="R1434">
        <v>4</v>
      </c>
      <c r="S1434">
        <v>1</v>
      </c>
      <c r="T1434">
        <v>0</v>
      </c>
      <c r="U1434">
        <v>0</v>
      </c>
      <c r="V1434">
        <v>0</v>
      </c>
      <c r="W1434">
        <v>0</v>
      </c>
      <c r="X1434">
        <v>0</v>
      </c>
      <c r="Y1434">
        <v>0</v>
      </c>
      <c r="Z1434">
        <v>4</v>
      </c>
      <c r="AA1434">
        <v>1</v>
      </c>
      <c r="AB1434">
        <v>4</v>
      </c>
      <c r="AC1434">
        <v>1</v>
      </c>
      <c r="AD1434">
        <v>4</v>
      </c>
      <c r="AE1434">
        <v>1</v>
      </c>
      <c r="AF1434">
        <v>0</v>
      </c>
      <c r="AG1434">
        <v>0</v>
      </c>
      <c r="AH1434">
        <v>0</v>
      </c>
      <c r="AI1434">
        <v>0</v>
      </c>
      <c r="AY1434" t="str">
        <f t="shared" si="201"/>
        <v>ZUPREVO 180 MG/ML SOLUTION INJECTABLE POUR BOVINS</v>
      </c>
      <c r="AZ1434" t="str">
        <f>IF(COUNTIF(AY:AY,AY1434)=1,AY1434,IF(AND(COUNTIF(AY:AY,AY1434)&gt;1,COUNTIF(AZ$2:AZ1433,AY1434)&gt;=1),"",AY1434))</f>
        <v>ZUPREVO 180 MG/ML SOLUTION INJECTABLE POUR BOVINS</v>
      </c>
      <c r="BA1434">
        <f>IF(AZ1434="","",COUNTIFS(AZ$3:AZ$1439,"&lt;"&amp;AZ1434,AZ$3:AZ$1439,"&lt;&gt;0")+COUNTIF(AZ$3:AZ1434,AZ1434)-876)</f>
        <v>559</v>
      </c>
      <c r="CN1434">
        <v>1433</v>
      </c>
    </row>
    <row r="1435" spans="1:92" x14ac:dyDescent="0.3">
      <c r="A1435" t="s">
        <v>3665</v>
      </c>
      <c r="B1435" t="s">
        <v>3667</v>
      </c>
      <c r="C1435" t="s">
        <v>3668</v>
      </c>
      <c r="D1435" s="144" t="s">
        <v>869</v>
      </c>
      <c r="E1435" t="s">
        <v>765</v>
      </c>
      <c r="F1435" t="s">
        <v>544</v>
      </c>
      <c r="G1435" t="s">
        <v>766</v>
      </c>
      <c r="H1435" t="s">
        <v>801</v>
      </c>
      <c r="I1435" t="s">
        <v>766</v>
      </c>
      <c r="J1435" t="s">
        <v>802</v>
      </c>
      <c r="K1435" t="s">
        <v>802</v>
      </c>
      <c r="L1435" t="s">
        <v>3663</v>
      </c>
      <c r="M1435" t="s">
        <v>208</v>
      </c>
      <c r="N1435" t="s">
        <v>1442</v>
      </c>
      <c r="O1435" t="s">
        <v>771</v>
      </c>
      <c r="P1435" t="s">
        <v>772</v>
      </c>
      <c r="Q1435" t="s">
        <v>3033</v>
      </c>
      <c r="R1435">
        <v>4</v>
      </c>
      <c r="S1435">
        <v>1</v>
      </c>
      <c r="T1435">
        <v>0</v>
      </c>
      <c r="U1435">
        <v>0</v>
      </c>
      <c r="V1435">
        <v>0</v>
      </c>
      <c r="W1435">
        <v>0</v>
      </c>
      <c r="X1435">
        <v>0</v>
      </c>
      <c r="Y1435">
        <v>0</v>
      </c>
      <c r="Z1435">
        <v>4</v>
      </c>
      <c r="AA1435">
        <v>1</v>
      </c>
      <c r="AB1435">
        <v>4</v>
      </c>
      <c r="AC1435">
        <v>1</v>
      </c>
      <c r="AD1435">
        <v>4</v>
      </c>
      <c r="AE1435">
        <v>1</v>
      </c>
      <c r="AF1435">
        <v>0</v>
      </c>
      <c r="AG1435">
        <v>0</v>
      </c>
      <c r="AH1435">
        <v>0</v>
      </c>
      <c r="AI1435">
        <v>0</v>
      </c>
      <c r="AY1435" t="str">
        <f t="shared" si="201"/>
        <v>ZUPREVO 180 MG/ML SOLUTION INJECTABLE POUR BOVINS</v>
      </c>
      <c r="AZ1435" t="str">
        <f>IF(COUNTIF(AY:AY,AY1435)=1,AY1435,IF(AND(COUNTIF(AY:AY,AY1435)&gt;1,COUNTIF(AZ$2:AZ1434,AY1435)&gt;=1),"",AY1435))</f>
        <v/>
      </c>
      <c r="BA1435" t="str">
        <f>IF(AZ1435="","",COUNTIFS(AZ$3:AZ$1439,"&lt;"&amp;AZ1435,AZ$3:AZ$1439,"&lt;&gt;0")+COUNTIF(AZ$3:AZ1435,AZ1435)-876)</f>
        <v/>
      </c>
      <c r="CN1435">
        <v>1434</v>
      </c>
    </row>
    <row r="1436" spans="1:92" x14ac:dyDescent="0.3">
      <c r="A1436" t="s">
        <v>3665</v>
      </c>
      <c r="B1436" t="s">
        <v>3669</v>
      </c>
      <c r="C1436" t="s">
        <v>1369</v>
      </c>
      <c r="D1436" s="144" t="s">
        <v>780</v>
      </c>
      <c r="E1436" t="s">
        <v>765</v>
      </c>
      <c r="F1436" t="s">
        <v>544</v>
      </c>
      <c r="G1436" t="s">
        <v>766</v>
      </c>
      <c r="H1436" t="s">
        <v>801</v>
      </c>
      <c r="I1436" t="s">
        <v>766</v>
      </c>
      <c r="J1436" t="s">
        <v>802</v>
      </c>
      <c r="K1436" t="s">
        <v>802</v>
      </c>
      <c r="L1436" t="s">
        <v>3663</v>
      </c>
      <c r="M1436" t="s">
        <v>208</v>
      </c>
      <c r="N1436" t="s">
        <v>1442</v>
      </c>
      <c r="O1436" t="s">
        <v>771</v>
      </c>
      <c r="P1436" t="s">
        <v>772</v>
      </c>
      <c r="Q1436" t="s">
        <v>2870</v>
      </c>
      <c r="R1436">
        <v>4</v>
      </c>
      <c r="S1436">
        <v>1</v>
      </c>
      <c r="T1436">
        <v>0</v>
      </c>
      <c r="U1436">
        <v>0</v>
      </c>
      <c r="V1436">
        <v>0</v>
      </c>
      <c r="W1436">
        <v>0</v>
      </c>
      <c r="X1436">
        <v>0</v>
      </c>
      <c r="Y1436">
        <v>0</v>
      </c>
      <c r="Z1436">
        <v>4</v>
      </c>
      <c r="AA1436">
        <v>1</v>
      </c>
      <c r="AB1436">
        <v>4</v>
      </c>
      <c r="AC1436">
        <v>1</v>
      </c>
      <c r="AD1436">
        <v>4</v>
      </c>
      <c r="AE1436">
        <v>1</v>
      </c>
      <c r="AF1436">
        <v>0</v>
      </c>
      <c r="AG1436">
        <v>0</v>
      </c>
      <c r="AH1436">
        <v>0</v>
      </c>
      <c r="AI1436">
        <v>0</v>
      </c>
      <c r="AY1436" t="str">
        <f t="shared" si="201"/>
        <v>ZUPREVO 180 MG/ML SOLUTION INJECTABLE POUR BOVINS</v>
      </c>
      <c r="AZ1436" t="str">
        <f>IF(COUNTIF(AY:AY,AY1436)=1,AY1436,IF(AND(COUNTIF(AY:AY,AY1436)&gt;1,COUNTIF(AZ$2:AZ1435,AY1436)&gt;=1),"",AY1436))</f>
        <v/>
      </c>
      <c r="BA1436" t="str">
        <f>IF(AZ1436="","",COUNTIFS(AZ$3:AZ$1439,"&lt;"&amp;AZ1436,AZ$3:AZ$1439,"&lt;&gt;0")+COUNTIF(AZ$3:AZ1436,AZ1436)-876)</f>
        <v/>
      </c>
      <c r="CN1436">
        <v>1435</v>
      </c>
    </row>
    <row r="1437" spans="1:92" x14ac:dyDescent="0.3">
      <c r="A1437" t="s">
        <v>3665</v>
      </c>
      <c r="B1437" t="s">
        <v>3670</v>
      </c>
      <c r="C1437" t="s">
        <v>1474</v>
      </c>
      <c r="D1437" s="144" t="s">
        <v>776</v>
      </c>
      <c r="E1437" t="s">
        <v>765</v>
      </c>
      <c r="F1437" t="s">
        <v>544</v>
      </c>
      <c r="G1437" t="s">
        <v>766</v>
      </c>
      <c r="H1437" t="s">
        <v>801</v>
      </c>
      <c r="I1437" t="s">
        <v>766</v>
      </c>
      <c r="J1437" t="s">
        <v>802</v>
      </c>
      <c r="K1437" t="s">
        <v>802</v>
      </c>
      <c r="L1437" t="s">
        <v>3663</v>
      </c>
      <c r="M1437" t="s">
        <v>208</v>
      </c>
      <c r="N1437" t="s">
        <v>1442</v>
      </c>
      <c r="O1437" t="s">
        <v>771</v>
      </c>
      <c r="P1437" t="s">
        <v>772</v>
      </c>
      <c r="Q1437" t="s">
        <v>3266</v>
      </c>
      <c r="R1437">
        <v>4</v>
      </c>
      <c r="S1437">
        <v>1</v>
      </c>
      <c r="T1437">
        <v>0</v>
      </c>
      <c r="U1437">
        <v>0</v>
      </c>
      <c r="V1437">
        <v>0</v>
      </c>
      <c r="W1437">
        <v>0</v>
      </c>
      <c r="X1437">
        <v>0</v>
      </c>
      <c r="Y1437">
        <v>0</v>
      </c>
      <c r="Z1437">
        <v>4</v>
      </c>
      <c r="AA1437">
        <v>1</v>
      </c>
      <c r="AB1437">
        <v>4</v>
      </c>
      <c r="AC1437">
        <v>1</v>
      </c>
      <c r="AD1437">
        <v>4</v>
      </c>
      <c r="AE1437">
        <v>1</v>
      </c>
      <c r="AF1437">
        <v>0</v>
      </c>
      <c r="AG1437">
        <v>0</v>
      </c>
      <c r="AH1437">
        <v>0</v>
      </c>
      <c r="AI1437">
        <v>0</v>
      </c>
      <c r="AY1437" t="str">
        <f t="shared" si="201"/>
        <v>ZUPREVO 180 MG/ML SOLUTION INJECTABLE POUR BOVINS</v>
      </c>
      <c r="AZ1437" t="str">
        <f>IF(COUNTIF(AY:AY,AY1437)=1,AY1437,IF(AND(COUNTIF(AY:AY,AY1437)&gt;1,COUNTIF(AZ$2:AZ1436,AY1437)&gt;=1),"",AY1437))</f>
        <v/>
      </c>
      <c r="BA1437" t="str">
        <f>IF(AZ1437="","",COUNTIFS(AZ$3:AZ$1439,"&lt;"&amp;AZ1437,AZ$3:AZ$1439,"&lt;&gt;0")+COUNTIF(AZ$3:AZ1437,AZ1437)-876)</f>
        <v/>
      </c>
      <c r="CN1437">
        <v>1436</v>
      </c>
    </row>
    <row r="1438" spans="1:92" x14ac:dyDescent="0.3">
      <c r="A1438" t="s">
        <v>3661</v>
      </c>
      <c r="B1438" t="s">
        <v>3662</v>
      </c>
      <c r="C1438" t="s">
        <v>1474</v>
      </c>
      <c r="D1438" s="144" t="s">
        <v>776</v>
      </c>
      <c r="E1438" t="s">
        <v>765</v>
      </c>
      <c r="F1438" t="s">
        <v>545</v>
      </c>
      <c r="G1438" t="s">
        <v>766</v>
      </c>
      <c r="H1438" t="s">
        <v>1213</v>
      </c>
      <c r="I1438" t="s">
        <v>766</v>
      </c>
      <c r="J1438" t="s">
        <v>802</v>
      </c>
      <c r="K1438" t="s">
        <v>802</v>
      </c>
      <c r="L1438" t="s">
        <v>3663</v>
      </c>
      <c r="M1438" t="s">
        <v>208</v>
      </c>
      <c r="N1438" t="s">
        <v>932</v>
      </c>
      <c r="O1438" t="s">
        <v>771</v>
      </c>
      <c r="P1438" t="s">
        <v>772</v>
      </c>
      <c r="Q1438" t="s">
        <v>852</v>
      </c>
      <c r="R1438">
        <v>0</v>
      </c>
      <c r="S1438">
        <v>0</v>
      </c>
      <c r="T1438">
        <v>0</v>
      </c>
      <c r="U1438">
        <v>0</v>
      </c>
      <c r="V1438">
        <v>0</v>
      </c>
      <c r="W1438">
        <v>0</v>
      </c>
      <c r="X1438">
        <v>0</v>
      </c>
      <c r="Y1438">
        <v>0</v>
      </c>
      <c r="Z1438">
        <v>4</v>
      </c>
      <c r="AA1438">
        <v>1</v>
      </c>
      <c r="AB1438">
        <v>0</v>
      </c>
      <c r="AC1438">
        <v>0</v>
      </c>
      <c r="AD1438">
        <v>4</v>
      </c>
      <c r="AE1438">
        <v>1</v>
      </c>
      <c r="AF1438">
        <v>0</v>
      </c>
      <c r="AG1438">
        <v>0</v>
      </c>
      <c r="AH1438">
        <v>0</v>
      </c>
      <c r="AI1438">
        <v>0</v>
      </c>
      <c r="AY1438" t="str">
        <f t="shared" si="201"/>
        <v>ZUPREVO 40 MG/ML SOLUTION INJECTABLE POUR PORCINS</v>
      </c>
      <c r="AZ1438" t="str">
        <f>IF(COUNTIF(AY:AY,AY1438)=1,AY1438,IF(AND(COUNTIF(AY:AY,AY1438)&gt;1,COUNTIF(AZ$2:AZ1437,AY1438)&gt;=1),"",AY1438))</f>
        <v>ZUPREVO 40 MG/ML SOLUTION INJECTABLE POUR PORCINS</v>
      </c>
      <c r="BA1438">
        <f>IF(AZ1438="","",COUNTIFS(AZ$3:AZ$1439,"&lt;"&amp;AZ1438,AZ$3:AZ$1439,"&lt;&gt;0")+COUNTIF(AZ$3:AZ1438,AZ1438)-876)</f>
        <v>560</v>
      </c>
      <c r="CN1438">
        <v>1437</v>
      </c>
    </row>
    <row r="1439" spans="1:92" x14ac:dyDescent="0.3">
      <c r="A1439" t="s">
        <v>3661</v>
      </c>
      <c r="B1439" t="s">
        <v>3664</v>
      </c>
      <c r="C1439" t="s">
        <v>1483</v>
      </c>
      <c r="D1439" s="144" t="s">
        <v>764</v>
      </c>
      <c r="E1439" t="s">
        <v>765</v>
      </c>
      <c r="F1439" t="s">
        <v>545</v>
      </c>
      <c r="G1439" t="s">
        <v>766</v>
      </c>
      <c r="H1439" t="s">
        <v>1213</v>
      </c>
      <c r="I1439" t="s">
        <v>766</v>
      </c>
      <c r="J1439" t="s">
        <v>802</v>
      </c>
      <c r="K1439" t="s">
        <v>802</v>
      </c>
      <c r="L1439" t="s">
        <v>3663</v>
      </c>
      <c r="M1439" t="s">
        <v>208</v>
      </c>
      <c r="N1439" t="s">
        <v>932</v>
      </c>
      <c r="O1439" t="s">
        <v>771</v>
      </c>
      <c r="P1439" t="s">
        <v>772</v>
      </c>
      <c r="Q1439" t="s">
        <v>934</v>
      </c>
      <c r="R1439">
        <v>0</v>
      </c>
      <c r="S1439">
        <v>0</v>
      </c>
      <c r="T1439">
        <v>0</v>
      </c>
      <c r="U1439">
        <v>0</v>
      </c>
      <c r="V1439">
        <v>0</v>
      </c>
      <c r="W1439">
        <v>0</v>
      </c>
      <c r="X1439">
        <v>0</v>
      </c>
      <c r="Y1439">
        <v>0</v>
      </c>
      <c r="Z1439">
        <v>4</v>
      </c>
      <c r="AA1439">
        <v>1</v>
      </c>
      <c r="AB1439">
        <v>0</v>
      </c>
      <c r="AC1439">
        <v>0</v>
      </c>
      <c r="AD1439">
        <v>4</v>
      </c>
      <c r="AE1439">
        <v>1</v>
      </c>
      <c r="AF1439">
        <v>0</v>
      </c>
      <c r="AG1439">
        <v>0</v>
      </c>
      <c r="AH1439">
        <v>0</v>
      </c>
      <c r="AI1439">
        <v>0</v>
      </c>
      <c r="AY1439" t="str">
        <f t="shared" si="201"/>
        <v>ZUPREVO 40 MG/ML SOLUTION INJECTABLE POUR PORCINS</v>
      </c>
      <c r="AZ1439" t="str">
        <f>IF(COUNTIF(AY:AY,AY1439)=1,AY1439,IF(AND(COUNTIF(AY:AY,AY1439)&gt;1,COUNTIF(AZ$2:AZ1438,AY1439)&gt;=1),"",AY1439))</f>
        <v/>
      </c>
      <c r="BA1439" t="str">
        <f>IF(AZ1439="","",COUNTIFS(AZ$3:AZ$1439,"&lt;"&amp;AZ1439,AZ$3:AZ$1439,"&lt;&gt;0")+COUNTIF(AZ$3:AZ1439,AZ1439)-876)</f>
        <v/>
      </c>
      <c r="CN1439">
        <v>1438</v>
      </c>
    </row>
    <row r="1440" spans="1:92" x14ac:dyDescent="0.3">
      <c r="CN1440">
        <v>1439</v>
      </c>
    </row>
    <row r="1441" spans="92:92" x14ac:dyDescent="0.3">
      <c r="CN1441">
        <v>1440</v>
      </c>
    </row>
    <row r="1442" spans="92:92" x14ac:dyDescent="0.3">
      <c r="CN1442">
        <v>1441</v>
      </c>
    </row>
    <row r="1443" spans="92:92" x14ac:dyDescent="0.3">
      <c r="CN1443">
        <v>1442</v>
      </c>
    </row>
    <row r="1444" spans="92:92" x14ac:dyDescent="0.3">
      <c r="CN1444">
        <v>1443</v>
      </c>
    </row>
    <row r="1445" spans="92:92" x14ac:dyDescent="0.3">
      <c r="CN1445">
        <v>1444</v>
      </c>
    </row>
    <row r="1446" spans="92:92" x14ac:dyDescent="0.3">
      <c r="CN1446">
        <v>1445</v>
      </c>
    </row>
    <row r="1447" spans="92:92" x14ac:dyDescent="0.3">
      <c r="CN1447">
        <v>1446</v>
      </c>
    </row>
    <row r="1448" spans="92:92" x14ac:dyDescent="0.3">
      <c r="CN1448">
        <v>1447</v>
      </c>
    </row>
    <row r="1449" spans="92:92" x14ac:dyDescent="0.3">
      <c r="CN1449">
        <v>1448</v>
      </c>
    </row>
    <row r="1450" spans="92:92" x14ac:dyDescent="0.3">
      <c r="CN1450">
        <v>1449</v>
      </c>
    </row>
    <row r="1451" spans="92:92" x14ac:dyDescent="0.3">
      <c r="CN1451">
        <v>1450</v>
      </c>
    </row>
    <row r="1452" spans="92:92" x14ac:dyDescent="0.3">
      <c r="CN1452">
        <v>1451</v>
      </c>
    </row>
    <row r="1453" spans="92:92" x14ac:dyDescent="0.3">
      <c r="CN1453">
        <v>1452</v>
      </c>
    </row>
    <row r="1454" spans="92:92" x14ac:dyDescent="0.3">
      <c r="CN1454">
        <v>1453</v>
      </c>
    </row>
    <row r="1455" spans="92:92" x14ac:dyDescent="0.3">
      <c r="CN1455">
        <v>1454</v>
      </c>
    </row>
    <row r="1456" spans="92:92" x14ac:dyDescent="0.3">
      <c r="CN1456">
        <v>1455</v>
      </c>
    </row>
    <row r="1457" spans="92:92" x14ac:dyDescent="0.3">
      <c r="CN1457">
        <v>1456</v>
      </c>
    </row>
    <row r="1458" spans="92:92" x14ac:dyDescent="0.3">
      <c r="CN1458">
        <v>1457</v>
      </c>
    </row>
    <row r="1459" spans="92:92" x14ac:dyDescent="0.3">
      <c r="CN1459">
        <v>1458</v>
      </c>
    </row>
    <row r="1460" spans="92:92" x14ac:dyDescent="0.3">
      <c r="CN1460">
        <v>1459</v>
      </c>
    </row>
    <row r="1461" spans="92:92" x14ac:dyDescent="0.3">
      <c r="CN1461">
        <v>1460</v>
      </c>
    </row>
    <row r="1462" spans="92:92" x14ac:dyDescent="0.3">
      <c r="CN1462">
        <v>1461</v>
      </c>
    </row>
    <row r="1463" spans="92:92" x14ac:dyDescent="0.3">
      <c r="CN1463">
        <v>1462</v>
      </c>
    </row>
    <row r="1464" spans="92:92" x14ac:dyDescent="0.3">
      <c r="CN1464">
        <v>1463</v>
      </c>
    </row>
    <row r="1465" spans="92:92" x14ac:dyDescent="0.3">
      <c r="CN1465">
        <v>1464</v>
      </c>
    </row>
    <row r="1466" spans="92:92" x14ac:dyDescent="0.3">
      <c r="CN1466">
        <v>1465</v>
      </c>
    </row>
    <row r="1467" spans="92:92" x14ac:dyDescent="0.3">
      <c r="CN1467">
        <v>1466</v>
      </c>
    </row>
    <row r="1468" spans="92:92" x14ac:dyDescent="0.3">
      <c r="CN1468">
        <v>1467</v>
      </c>
    </row>
    <row r="1469" spans="92:92" x14ac:dyDescent="0.3">
      <c r="CN1469">
        <v>1468</v>
      </c>
    </row>
    <row r="1470" spans="92:92" x14ac:dyDescent="0.3">
      <c r="CN1470">
        <v>1469</v>
      </c>
    </row>
    <row r="1471" spans="92:92" x14ac:dyDescent="0.3">
      <c r="CN1471">
        <v>1470</v>
      </c>
    </row>
    <row r="1472" spans="92:92" x14ac:dyDescent="0.3">
      <c r="CN1472">
        <v>1471</v>
      </c>
    </row>
    <row r="1473" spans="92:92" x14ac:dyDescent="0.3">
      <c r="CN1473">
        <v>1472</v>
      </c>
    </row>
    <row r="1474" spans="92:92" x14ac:dyDescent="0.3">
      <c r="CN1474">
        <v>1473</v>
      </c>
    </row>
    <row r="1475" spans="92:92" x14ac:dyDescent="0.3">
      <c r="CN1475">
        <v>1474</v>
      </c>
    </row>
    <row r="1476" spans="92:92" x14ac:dyDescent="0.3">
      <c r="CN1476">
        <v>1475</v>
      </c>
    </row>
    <row r="1477" spans="92:92" x14ac:dyDescent="0.3">
      <c r="CN1477">
        <v>1476</v>
      </c>
    </row>
    <row r="1478" spans="92:92" x14ac:dyDescent="0.3">
      <c r="CN1478">
        <v>1477</v>
      </c>
    </row>
    <row r="1479" spans="92:92" x14ac:dyDescent="0.3">
      <c r="CN1479">
        <v>1478</v>
      </c>
    </row>
    <row r="1480" spans="92:92" x14ac:dyDescent="0.3">
      <c r="CN1480">
        <v>1479</v>
      </c>
    </row>
    <row r="1481" spans="92:92" x14ac:dyDescent="0.3">
      <c r="CN1481">
        <v>1480</v>
      </c>
    </row>
    <row r="1482" spans="92:92" x14ac:dyDescent="0.3">
      <c r="CN1482">
        <v>1481</v>
      </c>
    </row>
    <row r="1483" spans="92:92" x14ac:dyDescent="0.3">
      <c r="CN1483">
        <v>1482</v>
      </c>
    </row>
    <row r="1484" spans="92:92" x14ac:dyDescent="0.3">
      <c r="CN1484">
        <v>1483</v>
      </c>
    </row>
    <row r="1485" spans="92:92" x14ac:dyDescent="0.3">
      <c r="CN1485">
        <v>1484</v>
      </c>
    </row>
    <row r="1486" spans="92:92" x14ac:dyDescent="0.3">
      <c r="CN1486">
        <v>1485</v>
      </c>
    </row>
    <row r="1487" spans="92:92" x14ac:dyDescent="0.3">
      <c r="CN1487">
        <v>1486</v>
      </c>
    </row>
    <row r="1488" spans="92:92" x14ac:dyDescent="0.3">
      <c r="CN1488">
        <v>1487</v>
      </c>
    </row>
    <row r="1489" spans="92:92" x14ac:dyDescent="0.3">
      <c r="CN1489">
        <v>1488</v>
      </c>
    </row>
    <row r="1490" spans="92:92" x14ac:dyDescent="0.3">
      <c r="CN1490">
        <v>1489</v>
      </c>
    </row>
    <row r="1491" spans="92:92" x14ac:dyDescent="0.3">
      <c r="CN1491">
        <v>1490</v>
      </c>
    </row>
    <row r="1492" spans="92:92" x14ac:dyDescent="0.3">
      <c r="CN1492">
        <v>1491</v>
      </c>
    </row>
    <row r="1493" spans="92:92" x14ac:dyDescent="0.3">
      <c r="CN1493">
        <v>1492</v>
      </c>
    </row>
    <row r="1494" spans="92:92" x14ac:dyDescent="0.3">
      <c r="CN1494">
        <v>1493</v>
      </c>
    </row>
    <row r="1495" spans="92:92" x14ac:dyDescent="0.3">
      <c r="CN1495">
        <v>1494</v>
      </c>
    </row>
    <row r="1496" spans="92:92" x14ac:dyDescent="0.3">
      <c r="CN1496">
        <v>1495</v>
      </c>
    </row>
    <row r="1497" spans="92:92" x14ac:dyDescent="0.3">
      <c r="CN1497">
        <v>1496</v>
      </c>
    </row>
    <row r="1498" spans="92:92" x14ac:dyDescent="0.3">
      <c r="CN1498">
        <v>1497</v>
      </c>
    </row>
    <row r="1499" spans="92:92" x14ac:dyDescent="0.3">
      <c r="CN1499">
        <v>1498</v>
      </c>
    </row>
    <row r="1500" spans="92:92" x14ac:dyDescent="0.3">
      <c r="CN1500">
        <v>1499</v>
      </c>
    </row>
    <row r="1501" spans="92:92" x14ac:dyDescent="0.3">
      <c r="CN1501">
        <v>1500</v>
      </c>
    </row>
    <row r="1502" spans="92:92" x14ac:dyDescent="0.3">
      <c r="CN1502">
        <v>1501</v>
      </c>
    </row>
    <row r="1503" spans="92:92" x14ac:dyDescent="0.3">
      <c r="CN1503">
        <v>1502</v>
      </c>
    </row>
    <row r="1504" spans="92:92" x14ac:dyDescent="0.3">
      <c r="CN1504">
        <v>1503</v>
      </c>
    </row>
    <row r="1505" spans="92:92" x14ac:dyDescent="0.3">
      <c r="CN1505">
        <v>1504</v>
      </c>
    </row>
    <row r="1506" spans="92:92" x14ac:dyDescent="0.3">
      <c r="CN1506">
        <v>1505</v>
      </c>
    </row>
    <row r="1507" spans="92:92" x14ac:dyDescent="0.3">
      <c r="CN1507">
        <v>1506</v>
      </c>
    </row>
    <row r="1508" spans="92:92" x14ac:dyDescent="0.3">
      <c r="CN1508">
        <v>1507</v>
      </c>
    </row>
    <row r="1509" spans="92:92" x14ac:dyDescent="0.3">
      <c r="CN1509">
        <v>1508</v>
      </c>
    </row>
    <row r="1510" spans="92:92" x14ac:dyDescent="0.3">
      <c r="CN1510">
        <v>1509</v>
      </c>
    </row>
    <row r="1511" spans="92:92" x14ac:dyDescent="0.3">
      <c r="CN1511">
        <v>1510</v>
      </c>
    </row>
    <row r="1512" spans="92:92" x14ac:dyDescent="0.3">
      <c r="CN1512">
        <v>1511</v>
      </c>
    </row>
    <row r="1513" spans="92:92" x14ac:dyDescent="0.3">
      <c r="CN1513">
        <v>1512</v>
      </c>
    </row>
    <row r="1514" spans="92:92" x14ac:dyDescent="0.3">
      <c r="CN1514">
        <v>1513</v>
      </c>
    </row>
    <row r="1515" spans="92:92" x14ac:dyDescent="0.3">
      <c r="CN1515">
        <v>1514</v>
      </c>
    </row>
    <row r="1516" spans="92:92" x14ac:dyDescent="0.3">
      <c r="CN1516">
        <v>1515</v>
      </c>
    </row>
    <row r="1517" spans="92:92" x14ac:dyDescent="0.3">
      <c r="CN1517">
        <v>1516</v>
      </c>
    </row>
    <row r="1518" spans="92:92" x14ac:dyDescent="0.3">
      <c r="CN1518">
        <v>1517</v>
      </c>
    </row>
    <row r="1519" spans="92:92" x14ac:dyDescent="0.3">
      <c r="CN1519">
        <v>1518</v>
      </c>
    </row>
    <row r="1520" spans="92:92" x14ac:dyDescent="0.3">
      <c r="CN1520">
        <v>1519</v>
      </c>
    </row>
    <row r="1521" spans="92:92" x14ac:dyDescent="0.3">
      <c r="CN1521">
        <v>1520</v>
      </c>
    </row>
    <row r="1522" spans="92:92" x14ac:dyDescent="0.3">
      <c r="CN1522">
        <v>1521</v>
      </c>
    </row>
    <row r="1523" spans="92:92" x14ac:dyDescent="0.3">
      <c r="CN1523">
        <v>1522</v>
      </c>
    </row>
    <row r="1524" spans="92:92" x14ac:dyDescent="0.3">
      <c r="CN1524">
        <v>1523</v>
      </c>
    </row>
    <row r="1525" spans="92:92" x14ac:dyDescent="0.3">
      <c r="CN1525">
        <v>1524</v>
      </c>
    </row>
    <row r="1526" spans="92:92" x14ac:dyDescent="0.3">
      <c r="CN1526">
        <v>1525</v>
      </c>
    </row>
    <row r="1527" spans="92:92" x14ac:dyDescent="0.3">
      <c r="CN1527">
        <v>1526</v>
      </c>
    </row>
    <row r="1528" spans="92:92" x14ac:dyDescent="0.3">
      <c r="CN1528">
        <v>1527</v>
      </c>
    </row>
    <row r="1529" spans="92:92" x14ac:dyDescent="0.3">
      <c r="CN1529">
        <v>1528</v>
      </c>
    </row>
    <row r="1530" spans="92:92" x14ac:dyDescent="0.3">
      <c r="CN1530">
        <v>1529</v>
      </c>
    </row>
    <row r="1531" spans="92:92" x14ac:dyDescent="0.3">
      <c r="CN1531">
        <v>1530</v>
      </c>
    </row>
    <row r="1532" spans="92:92" x14ac:dyDescent="0.3">
      <c r="CN1532">
        <v>1531</v>
      </c>
    </row>
    <row r="1533" spans="92:92" x14ac:dyDescent="0.3">
      <c r="CN1533">
        <v>1532</v>
      </c>
    </row>
    <row r="1534" spans="92:92" x14ac:dyDescent="0.3">
      <c r="CN1534">
        <v>1533</v>
      </c>
    </row>
    <row r="1535" spans="92:92" x14ac:dyDescent="0.3">
      <c r="CN1535">
        <v>1534</v>
      </c>
    </row>
    <row r="1536" spans="92:92" x14ac:dyDescent="0.3">
      <c r="CN1536">
        <v>1535</v>
      </c>
    </row>
    <row r="1537" spans="92:92" x14ac:dyDescent="0.3">
      <c r="CN1537">
        <v>1536</v>
      </c>
    </row>
    <row r="1538" spans="92:92" x14ac:dyDescent="0.3">
      <c r="CN1538">
        <v>1537</v>
      </c>
    </row>
    <row r="1539" spans="92:92" x14ac:dyDescent="0.3">
      <c r="CN1539">
        <v>1538</v>
      </c>
    </row>
    <row r="1540" spans="92:92" x14ac:dyDescent="0.3">
      <c r="CN1540">
        <v>1539</v>
      </c>
    </row>
    <row r="1541" spans="92:92" x14ac:dyDescent="0.3">
      <c r="CN1541">
        <v>1540</v>
      </c>
    </row>
    <row r="1542" spans="92:92" x14ac:dyDescent="0.3">
      <c r="CN1542">
        <v>1541</v>
      </c>
    </row>
    <row r="1543" spans="92:92" x14ac:dyDescent="0.3">
      <c r="CN1543">
        <v>1542</v>
      </c>
    </row>
    <row r="1544" spans="92:92" x14ac:dyDescent="0.3">
      <c r="CN1544">
        <v>1543</v>
      </c>
    </row>
    <row r="1545" spans="92:92" x14ac:dyDescent="0.3">
      <c r="CN1545">
        <v>1544</v>
      </c>
    </row>
    <row r="1546" spans="92:92" x14ac:dyDescent="0.3">
      <c r="CN1546">
        <v>1545</v>
      </c>
    </row>
    <row r="1547" spans="92:92" x14ac:dyDescent="0.3">
      <c r="CN1547">
        <v>1546</v>
      </c>
    </row>
    <row r="1548" spans="92:92" x14ac:dyDescent="0.3">
      <c r="CN1548">
        <v>1547</v>
      </c>
    </row>
    <row r="1549" spans="92:92" x14ac:dyDescent="0.3">
      <c r="CN1549">
        <v>1548</v>
      </c>
    </row>
    <row r="1550" spans="92:92" x14ac:dyDescent="0.3">
      <c r="CN1550">
        <v>1549</v>
      </c>
    </row>
    <row r="1551" spans="92:92" x14ac:dyDescent="0.3">
      <c r="CN1551">
        <v>1550</v>
      </c>
    </row>
    <row r="1552" spans="92:92" x14ac:dyDescent="0.3">
      <c r="CN1552">
        <v>1551</v>
      </c>
    </row>
    <row r="1553" spans="92:92" x14ac:dyDescent="0.3">
      <c r="CN1553">
        <v>1552</v>
      </c>
    </row>
    <row r="1554" spans="92:92" x14ac:dyDescent="0.3">
      <c r="CN1554">
        <v>1553</v>
      </c>
    </row>
    <row r="1555" spans="92:92" x14ac:dyDescent="0.3">
      <c r="CN1555">
        <v>1554</v>
      </c>
    </row>
    <row r="1556" spans="92:92" x14ac:dyDescent="0.3">
      <c r="CN1556">
        <v>1555</v>
      </c>
    </row>
    <row r="1557" spans="92:92" x14ac:dyDescent="0.3">
      <c r="CN1557">
        <v>1556</v>
      </c>
    </row>
    <row r="1558" spans="92:92" x14ac:dyDescent="0.3">
      <c r="CN1558">
        <v>1557</v>
      </c>
    </row>
    <row r="1559" spans="92:92" x14ac:dyDescent="0.3">
      <c r="CN1559">
        <v>1558</v>
      </c>
    </row>
    <row r="1560" spans="92:92" x14ac:dyDescent="0.3">
      <c r="CN1560">
        <v>1559</v>
      </c>
    </row>
    <row r="1561" spans="92:92" x14ac:dyDescent="0.3">
      <c r="CN1561">
        <v>1560</v>
      </c>
    </row>
    <row r="1562" spans="92:92" x14ac:dyDescent="0.3">
      <c r="CN1562">
        <v>1561</v>
      </c>
    </row>
    <row r="1563" spans="92:92" x14ac:dyDescent="0.3">
      <c r="CN1563">
        <v>1562</v>
      </c>
    </row>
    <row r="1564" spans="92:92" x14ac:dyDescent="0.3">
      <c r="CN1564">
        <v>1563</v>
      </c>
    </row>
    <row r="1565" spans="92:92" x14ac:dyDescent="0.3">
      <c r="CN1565">
        <v>1564</v>
      </c>
    </row>
    <row r="1566" spans="92:92" x14ac:dyDescent="0.3">
      <c r="CN1566">
        <v>1565</v>
      </c>
    </row>
    <row r="1567" spans="92:92" x14ac:dyDescent="0.3">
      <c r="CN1567">
        <v>1566</v>
      </c>
    </row>
    <row r="1568" spans="92:92" x14ac:dyDescent="0.3">
      <c r="CN1568">
        <v>1567</v>
      </c>
    </row>
    <row r="1569" spans="92:92" x14ac:dyDescent="0.3">
      <c r="CN1569">
        <v>1568</v>
      </c>
    </row>
    <row r="1570" spans="92:92" x14ac:dyDescent="0.3">
      <c r="CN1570">
        <v>1569</v>
      </c>
    </row>
    <row r="1571" spans="92:92" x14ac:dyDescent="0.3">
      <c r="CN1571">
        <v>1570</v>
      </c>
    </row>
    <row r="1572" spans="92:92" x14ac:dyDescent="0.3">
      <c r="CN1572">
        <v>1571</v>
      </c>
    </row>
    <row r="1573" spans="92:92" x14ac:dyDescent="0.3">
      <c r="CN1573">
        <v>1572</v>
      </c>
    </row>
    <row r="1574" spans="92:92" x14ac:dyDescent="0.3">
      <c r="CN1574">
        <v>1573</v>
      </c>
    </row>
    <row r="1575" spans="92:92" x14ac:dyDescent="0.3">
      <c r="CN1575">
        <v>1574</v>
      </c>
    </row>
    <row r="1576" spans="92:92" x14ac:dyDescent="0.3">
      <c r="CN1576">
        <v>1575</v>
      </c>
    </row>
    <row r="1577" spans="92:92" x14ac:dyDescent="0.3">
      <c r="CN1577">
        <v>1576</v>
      </c>
    </row>
    <row r="1578" spans="92:92" x14ac:dyDescent="0.3">
      <c r="CN1578">
        <v>1577</v>
      </c>
    </row>
    <row r="1579" spans="92:92" x14ac:dyDescent="0.3">
      <c r="CN1579">
        <v>1578</v>
      </c>
    </row>
    <row r="1580" spans="92:92" x14ac:dyDescent="0.3">
      <c r="CN1580">
        <v>1579</v>
      </c>
    </row>
    <row r="1581" spans="92:92" x14ac:dyDescent="0.3">
      <c r="CN1581">
        <v>1580</v>
      </c>
    </row>
    <row r="1582" spans="92:92" x14ac:dyDescent="0.3">
      <c r="CN1582">
        <v>1581</v>
      </c>
    </row>
    <row r="1583" spans="92:92" x14ac:dyDescent="0.3">
      <c r="CN1583">
        <v>1582</v>
      </c>
    </row>
    <row r="1584" spans="92:92" x14ac:dyDescent="0.3">
      <c r="CN1584">
        <v>1583</v>
      </c>
    </row>
    <row r="1585" spans="92:92" x14ac:dyDescent="0.3">
      <c r="CN1585">
        <v>1584</v>
      </c>
    </row>
    <row r="1586" spans="92:92" x14ac:dyDescent="0.3">
      <c r="CN1586">
        <v>1585</v>
      </c>
    </row>
    <row r="1587" spans="92:92" x14ac:dyDescent="0.3">
      <c r="CN1587">
        <v>1586</v>
      </c>
    </row>
    <row r="1588" spans="92:92" x14ac:dyDescent="0.3">
      <c r="CN1588">
        <v>1587</v>
      </c>
    </row>
    <row r="1589" spans="92:92" x14ac:dyDescent="0.3">
      <c r="CN1589">
        <v>1588</v>
      </c>
    </row>
    <row r="1590" spans="92:92" x14ac:dyDescent="0.3">
      <c r="CN1590">
        <v>1589</v>
      </c>
    </row>
    <row r="1591" spans="92:92" x14ac:dyDescent="0.3">
      <c r="CN1591">
        <v>1590</v>
      </c>
    </row>
    <row r="1592" spans="92:92" x14ac:dyDescent="0.3">
      <c r="CN1592">
        <v>1591</v>
      </c>
    </row>
    <row r="1593" spans="92:92" x14ac:dyDescent="0.3">
      <c r="CN1593">
        <v>1592</v>
      </c>
    </row>
    <row r="1594" spans="92:92" x14ac:dyDescent="0.3">
      <c r="CN1594">
        <v>1593</v>
      </c>
    </row>
    <row r="1595" spans="92:92" x14ac:dyDescent="0.3">
      <c r="CN1595">
        <v>1594</v>
      </c>
    </row>
    <row r="1596" spans="92:92" x14ac:dyDescent="0.3">
      <c r="CN1596">
        <v>1595</v>
      </c>
    </row>
    <row r="1597" spans="92:92" x14ac:dyDescent="0.3">
      <c r="CN1597">
        <v>1596</v>
      </c>
    </row>
    <row r="1598" spans="92:92" x14ac:dyDescent="0.3">
      <c r="CN1598">
        <v>1597</v>
      </c>
    </row>
    <row r="1599" spans="92:92" x14ac:dyDescent="0.3">
      <c r="CN1599">
        <v>1598</v>
      </c>
    </row>
    <row r="1600" spans="92:92" x14ac:dyDescent="0.3">
      <c r="CN1600">
        <v>1599</v>
      </c>
    </row>
    <row r="1601" spans="92:92" x14ac:dyDescent="0.3">
      <c r="CN1601">
        <v>1600</v>
      </c>
    </row>
    <row r="1602" spans="92:92" x14ac:dyDescent="0.3">
      <c r="CN1602">
        <v>1601</v>
      </c>
    </row>
    <row r="1603" spans="92:92" x14ac:dyDescent="0.3">
      <c r="CN1603">
        <v>1602</v>
      </c>
    </row>
    <row r="1604" spans="92:92" x14ac:dyDescent="0.3">
      <c r="CN1604">
        <v>1603</v>
      </c>
    </row>
    <row r="1605" spans="92:92" x14ac:dyDescent="0.3">
      <c r="CN1605">
        <v>1604</v>
      </c>
    </row>
    <row r="1606" spans="92:92" x14ac:dyDescent="0.3">
      <c r="CN1606">
        <v>1605</v>
      </c>
    </row>
    <row r="1607" spans="92:92" x14ac:dyDescent="0.3">
      <c r="CN1607">
        <v>1606</v>
      </c>
    </row>
    <row r="1608" spans="92:92" x14ac:dyDescent="0.3">
      <c r="CN1608">
        <v>1607</v>
      </c>
    </row>
    <row r="1609" spans="92:92" x14ac:dyDescent="0.3">
      <c r="CN1609">
        <v>1608</v>
      </c>
    </row>
    <row r="1610" spans="92:92" x14ac:dyDescent="0.3">
      <c r="CN1610">
        <v>1609</v>
      </c>
    </row>
    <row r="1611" spans="92:92" x14ac:dyDescent="0.3">
      <c r="CN1611">
        <v>1610</v>
      </c>
    </row>
    <row r="1612" spans="92:92" x14ac:dyDescent="0.3">
      <c r="CN1612">
        <v>1611</v>
      </c>
    </row>
    <row r="1613" spans="92:92" x14ac:dyDescent="0.3">
      <c r="CN1613">
        <v>1612</v>
      </c>
    </row>
    <row r="1614" spans="92:92" x14ac:dyDescent="0.3">
      <c r="CN1614">
        <v>1613</v>
      </c>
    </row>
    <row r="1615" spans="92:92" x14ac:dyDescent="0.3">
      <c r="CN1615">
        <v>1614</v>
      </c>
    </row>
    <row r="1616" spans="92:92" x14ac:dyDescent="0.3">
      <c r="CN1616">
        <v>1615</v>
      </c>
    </row>
    <row r="1617" spans="92:92" x14ac:dyDescent="0.3">
      <c r="CN1617">
        <v>1616</v>
      </c>
    </row>
    <row r="1618" spans="92:92" x14ac:dyDescent="0.3">
      <c r="CN1618">
        <v>1617</v>
      </c>
    </row>
    <row r="1619" spans="92:92" x14ac:dyDescent="0.3">
      <c r="CN1619">
        <v>1618</v>
      </c>
    </row>
    <row r="1620" spans="92:92" x14ac:dyDescent="0.3">
      <c r="CN1620">
        <v>1619</v>
      </c>
    </row>
    <row r="1621" spans="92:92" x14ac:dyDescent="0.3">
      <c r="CN1621">
        <v>1620</v>
      </c>
    </row>
    <row r="1622" spans="92:92" x14ac:dyDescent="0.3">
      <c r="CN1622">
        <v>1621</v>
      </c>
    </row>
    <row r="1623" spans="92:92" x14ac:dyDescent="0.3">
      <c r="CN1623">
        <v>1622</v>
      </c>
    </row>
    <row r="1624" spans="92:92" x14ac:dyDescent="0.3">
      <c r="CN1624">
        <v>1623</v>
      </c>
    </row>
    <row r="1625" spans="92:92" x14ac:dyDescent="0.3">
      <c r="CN1625">
        <v>1624</v>
      </c>
    </row>
    <row r="1626" spans="92:92" x14ac:dyDescent="0.3">
      <c r="CN1626">
        <v>1625</v>
      </c>
    </row>
    <row r="1627" spans="92:92" x14ac:dyDescent="0.3">
      <c r="CN1627">
        <v>1626</v>
      </c>
    </row>
    <row r="1628" spans="92:92" x14ac:dyDescent="0.3">
      <c r="CN1628">
        <v>1627</v>
      </c>
    </row>
    <row r="1629" spans="92:92" x14ac:dyDescent="0.3">
      <c r="CN1629">
        <v>1628</v>
      </c>
    </row>
    <row r="1630" spans="92:92" x14ac:dyDescent="0.3">
      <c r="CN1630">
        <v>1629</v>
      </c>
    </row>
    <row r="1631" spans="92:92" x14ac:dyDescent="0.3">
      <c r="CN1631">
        <v>1630</v>
      </c>
    </row>
    <row r="1632" spans="92:92" x14ac:dyDescent="0.3">
      <c r="CN1632">
        <v>1631</v>
      </c>
    </row>
    <row r="1633" spans="92:92" x14ac:dyDescent="0.3">
      <c r="CN1633">
        <v>1632</v>
      </c>
    </row>
    <row r="1634" spans="92:92" x14ac:dyDescent="0.3">
      <c r="CN1634">
        <v>1633</v>
      </c>
    </row>
    <row r="1635" spans="92:92" x14ac:dyDescent="0.3">
      <c r="CN1635">
        <v>1634</v>
      </c>
    </row>
    <row r="1636" spans="92:92" x14ac:dyDescent="0.3">
      <c r="CN1636">
        <v>1635</v>
      </c>
    </row>
    <row r="1637" spans="92:92" x14ac:dyDescent="0.3">
      <c r="CN1637">
        <v>1636</v>
      </c>
    </row>
    <row r="1638" spans="92:92" x14ac:dyDescent="0.3">
      <c r="CN1638">
        <v>1637</v>
      </c>
    </row>
    <row r="1639" spans="92:92" x14ac:dyDescent="0.3">
      <c r="CN1639">
        <v>1638</v>
      </c>
    </row>
    <row r="1640" spans="92:92" x14ac:dyDescent="0.3">
      <c r="CN1640">
        <v>1639</v>
      </c>
    </row>
    <row r="1641" spans="92:92" x14ac:dyDescent="0.3">
      <c r="CN1641">
        <v>1640</v>
      </c>
    </row>
    <row r="1642" spans="92:92" x14ac:dyDescent="0.3">
      <c r="CN1642">
        <v>1641</v>
      </c>
    </row>
    <row r="1643" spans="92:92" x14ac:dyDescent="0.3">
      <c r="CN1643">
        <v>1642</v>
      </c>
    </row>
    <row r="1644" spans="92:92" x14ac:dyDescent="0.3">
      <c r="CN1644">
        <v>1643</v>
      </c>
    </row>
    <row r="1645" spans="92:92" x14ac:dyDescent="0.3">
      <c r="CN1645">
        <v>1644</v>
      </c>
    </row>
    <row r="1646" spans="92:92" x14ac:dyDescent="0.3">
      <c r="CN1646">
        <v>1645</v>
      </c>
    </row>
    <row r="1647" spans="92:92" x14ac:dyDescent="0.3">
      <c r="CN1647">
        <v>1646</v>
      </c>
    </row>
    <row r="1648" spans="92:92" x14ac:dyDescent="0.3">
      <c r="CN1648">
        <v>1647</v>
      </c>
    </row>
    <row r="1649" spans="92:92" x14ac:dyDescent="0.3">
      <c r="CN1649">
        <v>1648</v>
      </c>
    </row>
    <row r="1650" spans="92:92" x14ac:dyDescent="0.3">
      <c r="CN1650">
        <v>1649</v>
      </c>
    </row>
    <row r="1651" spans="92:92" x14ac:dyDescent="0.3">
      <c r="CN1651">
        <v>1650</v>
      </c>
    </row>
    <row r="1652" spans="92:92" x14ac:dyDescent="0.3">
      <c r="CN1652">
        <v>1651</v>
      </c>
    </row>
    <row r="1653" spans="92:92" x14ac:dyDescent="0.3">
      <c r="CN1653">
        <v>1652</v>
      </c>
    </row>
    <row r="1654" spans="92:92" x14ac:dyDescent="0.3">
      <c r="CN1654">
        <v>1653</v>
      </c>
    </row>
    <row r="1655" spans="92:92" x14ac:dyDescent="0.3">
      <c r="CN1655">
        <v>1654</v>
      </c>
    </row>
    <row r="1656" spans="92:92" x14ac:dyDescent="0.3">
      <c r="CN1656">
        <v>1655</v>
      </c>
    </row>
    <row r="1657" spans="92:92" x14ac:dyDescent="0.3">
      <c r="CN1657">
        <v>1656</v>
      </c>
    </row>
    <row r="1658" spans="92:92" x14ac:dyDescent="0.3">
      <c r="CN1658">
        <v>1657</v>
      </c>
    </row>
    <row r="1659" spans="92:92" x14ac:dyDescent="0.3">
      <c r="CN1659">
        <v>1658</v>
      </c>
    </row>
    <row r="1660" spans="92:92" x14ac:dyDescent="0.3">
      <c r="CN1660">
        <v>1659</v>
      </c>
    </row>
    <row r="1661" spans="92:92" x14ac:dyDescent="0.3">
      <c r="CN1661">
        <v>1660</v>
      </c>
    </row>
    <row r="1662" spans="92:92" x14ac:dyDescent="0.3">
      <c r="CN1662">
        <v>1661</v>
      </c>
    </row>
    <row r="1663" spans="92:92" x14ac:dyDescent="0.3">
      <c r="CN1663">
        <v>1662</v>
      </c>
    </row>
    <row r="1664" spans="92:92" x14ac:dyDescent="0.3">
      <c r="CN1664">
        <v>1663</v>
      </c>
    </row>
    <row r="1665" spans="92:92" x14ac:dyDescent="0.3">
      <c r="CN1665">
        <v>1664</v>
      </c>
    </row>
    <row r="1666" spans="92:92" x14ac:dyDescent="0.3">
      <c r="CN1666">
        <v>1665</v>
      </c>
    </row>
    <row r="1667" spans="92:92" x14ac:dyDescent="0.3">
      <c r="CN1667">
        <v>1666</v>
      </c>
    </row>
    <row r="1668" spans="92:92" x14ac:dyDescent="0.3">
      <c r="CN1668">
        <v>1667</v>
      </c>
    </row>
    <row r="1669" spans="92:92" x14ac:dyDescent="0.3">
      <c r="CN1669">
        <v>1668</v>
      </c>
    </row>
    <row r="1670" spans="92:92" x14ac:dyDescent="0.3">
      <c r="CN1670">
        <v>1669</v>
      </c>
    </row>
    <row r="1671" spans="92:92" x14ac:dyDescent="0.3">
      <c r="CN1671">
        <v>1670</v>
      </c>
    </row>
    <row r="1672" spans="92:92" x14ac:dyDescent="0.3">
      <c r="CN1672">
        <v>1671</v>
      </c>
    </row>
    <row r="1673" spans="92:92" x14ac:dyDescent="0.3">
      <c r="CN1673">
        <v>1672</v>
      </c>
    </row>
    <row r="1674" spans="92:92" x14ac:dyDescent="0.3">
      <c r="CN1674">
        <v>1673</v>
      </c>
    </row>
    <row r="1675" spans="92:92" x14ac:dyDescent="0.3">
      <c r="CN1675">
        <v>1674</v>
      </c>
    </row>
    <row r="1676" spans="92:92" x14ac:dyDescent="0.3">
      <c r="CN1676">
        <v>1675</v>
      </c>
    </row>
    <row r="1677" spans="92:92" x14ac:dyDescent="0.3">
      <c r="CN1677">
        <v>1676</v>
      </c>
    </row>
    <row r="1678" spans="92:92" x14ac:dyDescent="0.3">
      <c r="CN1678">
        <v>1677</v>
      </c>
    </row>
    <row r="1679" spans="92:92" x14ac:dyDescent="0.3">
      <c r="CN1679">
        <v>1678</v>
      </c>
    </row>
    <row r="1680" spans="92:92" x14ac:dyDescent="0.3">
      <c r="CN1680">
        <v>1679</v>
      </c>
    </row>
    <row r="1681" spans="92:92" x14ac:dyDescent="0.3">
      <c r="CN1681">
        <v>1680</v>
      </c>
    </row>
    <row r="1682" spans="92:92" x14ac:dyDescent="0.3">
      <c r="CN1682">
        <v>1681</v>
      </c>
    </row>
    <row r="1683" spans="92:92" x14ac:dyDescent="0.3">
      <c r="CN1683">
        <v>1682</v>
      </c>
    </row>
    <row r="1684" spans="92:92" x14ac:dyDescent="0.3">
      <c r="CN1684">
        <v>1683</v>
      </c>
    </row>
    <row r="1685" spans="92:92" x14ac:dyDescent="0.3">
      <c r="CN1685">
        <v>1684</v>
      </c>
    </row>
    <row r="1686" spans="92:92" x14ac:dyDescent="0.3">
      <c r="CN1686">
        <v>1685</v>
      </c>
    </row>
    <row r="1687" spans="92:92" x14ac:dyDescent="0.3">
      <c r="CN1687">
        <v>1686</v>
      </c>
    </row>
    <row r="1688" spans="92:92" x14ac:dyDescent="0.3">
      <c r="CN1688">
        <v>1687</v>
      </c>
    </row>
    <row r="1689" spans="92:92" x14ac:dyDescent="0.3">
      <c r="CN1689">
        <v>1688</v>
      </c>
    </row>
    <row r="1690" spans="92:92" x14ac:dyDescent="0.3">
      <c r="CN1690">
        <v>1689</v>
      </c>
    </row>
    <row r="1691" spans="92:92" x14ac:dyDescent="0.3">
      <c r="CN1691">
        <v>1690</v>
      </c>
    </row>
    <row r="1692" spans="92:92" x14ac:dyDescent="0.3">
      <c r="CN1692">
        <v>1691</v>
      </c>
    </row>
    <row r="1693" spans="92:92" x14ac:dyDescent="0.3">
      <c r="CN1693">
        <v>1692</v>
      </c>
    </row>
    <row r="1694" spans="92:92" x14ac:dyDescent="0.3">
      <c r="CN1694">
        <v>1693</v>
      </c>
    </row>
    <row r="1695" spans="92:92" x14ac:dyDescent="0.3">
      <c r="CN1695">
        <v>1694</v>
      </c>
    </row>
    <row r="1696" spans="92:92" x14ac:dyDescent="0.3">
      <c r="CN1696">
        <v>1695</v>
      </c>
    </row>
    <row r="1697" spans="92:92" x14ac:dyDescent="0.3">
      <c r="CN1697">
        <v>1696</v>
      </c>
    </row>
    <row r="1698" spans="92:92" x14ac:dyDescent="0.3">
      <c r="CN1698">
        <v>1697</v>
      </c>
    </row>
    <row r="1699" spans="92:92" x14ac:dyDescent="0.3">
      <c r="CN1699">
        <v>1698</v>
      </c>
    </row>
    <row r="1700" spans="92:92" x14ac:dyDescent="0.3">
      <c r="CN1700">
        <v>1699</v>
      </c>
    </row>
    <row r="1701" spans="92:92" x14ac:dyDescent="0.3">
      <c r="CN1701">
        <v>1700</v>
      </c>
    </row>
    <row r="1702" spans="92:92" x14ac:dyDescent="0.3">
      <c r="CN1702">
        <v>1701</v>
      </c>
    </row>
    <row r="1703" spans="92:92" x14ac:dyDescent="0.3">
      <c r="CN1703">
        <v>1702</v>
      </c>
    </row>
    <row r="1704" spans="92:92" x14ac:dyDescent="0.3">
      <c r="CN1704">
        <v>1703</v>
      </c>
    </row>
    <row r="1705" spans="92:92" x14ac:dyDescent="0.3">
      <c r="CN1705">
        <v>1704</v>
      </c>
    </row>
    <row r="1706" spans="92:92" x14ac:dyDescent="0.3">
      <c r="CN1706">
        <v>1705</v>
      </c>
    </row>
    <row r="1707" spans="92:92" x14ac:dyDescent="0.3">
      <c r="CN1707">
        <v>1706</v>
      </c>
    </row>
    <row r="1708" spans="92:92" x14ac:dyDescent="0.3">
      <c r="CN1708">
        <v>1707</v>
      </c>
    </row>
    <row r="1709" spans="92:92" x14ac:dyDescent="0.3">
      <c r="CN1709">
        <v>1708</v>
      </c>
    </row>
    <row r="1710" spans="92:92" x14ac:dyDescent="0.3">
      <c r="CN1710">
        <v>1709</v>
      </c>
    </row>
    <row r="1711" spans="92:92" x14ac:dyDescent="0.3">
      <c r="CN1711">
        <v>1710</v>
      </c>
    </row>
    <row r="1712" spans="92:92" x14ac:dyDescent="0.3">
      <c r="CN1712">
        <v>1711</v>
      </c>
    </row>
    <row r="1713" spans="92:92" x14ac:dyDescent="0.3">
      <c r="CN1713">
        <v>1712</v>
      </c>
    </row>
    <row r="1714" spans="92:92" x14ac:dyDescent="0.3">
      <c r="CN1714">
        <v>1713</v>
      </c>
    </row>
    <row r="1715" spans="92:92" x14ac:dyDescent="0.3">
      <c r="CN1715">
        <v>1714</v>
      </c>
    </row>
    <row r="1716" spans="92:92" x14ac:dyDescent="0.3">
      <c r="CN1716">
        <v>1715</v>
      </c>
    </row>
    <row r="1717" spans="92:92" x14ac:dyDescent="0.3">
      <c r="CN1717">
        <v>1716</v>
      </c>
    </row>
    <row r="1718" spans="92:92" x14ac:dyDescent="0.3">
      <c r="CN1718">
        <v>1717</v>
      </c>
    </row>
    <row r="1719" spans="92:92" x14ac:dyDescent="0.3">
      <c r="CN1719">
        <v>1718</v>
      </c>
    </row>
    <row r="1720" spans="92:92" x14ac:dyDescent="0.3">
      <c r="CN1720">
        <v>1719</v>
      </c>
    </row>
    <row r="1721" spans="92:92" x14ac:dyDescent="0.3">
      <c r="CN1721">
        <v>1720</v>
      </c>
    </row>
    <row r="1722" spans="92:92" x14ac:dyDescent="0.3">
      <c r="CN1722">
        <v>1721</v>
      </c>
    </row>
    <row r="1723" spans="92:92" x14ac:dyDescent="0.3">
      <c r="CN1723">
        <v>1722</v>
      </c>
    </row>
    <row r="1724" spans="92:92" x14ac:dyDescent="0.3">
      <c r="CN1724">
        <v>1723</v>
      </c>
    </row>
    <row r="1725" spans="92:92" x14ac:dyDescent="0.3">
      <c r="CN1725">
        <v>1724</v>
      </c>
    </row>
    <row r="1726" spans="92:92" x14ac:dyDescent="0.3">
      <c r="CN1726">
        <v>1725</v>
      </c>
    </row>
    <row r="1727" spans="92:92" x14ac:dyDescent="0.3">
      <c r="CN1727">
        <v>1726</v>
      </c>
    </row>
    <row r="1728" spans="92:92" x14ac:dyDescent="0.3">
      <c r="CN1728">
        <v>1727</v>
      </c>
    </row>
    <row r="1729" spans="92:92" x14ac:dyDescent="0.3">
      <c r="CN1729">
        <v>1728</v>
      </c>
    </row>
    <row r="1730" spans="92:92" x14ac:dyDescent="0.3">
      <c r="CN1730">
        <v>1729</v>
      </c>
    </row>
    <row r="1731" spans="92:92" x14ac:dyDescent="0.3">
      <c r="CN1731">
        <v>1730</v>
      </c>
    </row>
    <row r="1732" spans="92:92" x14ac:dyDescent="0.3">
      <c r="CN1732">
        <v>1731</v>
      </c>
    </row>
    <row r="1733" spans="92:92" x14ac:dyDescent="0.3">
      <c r="CN1733">
        <v>1732</v>
      </c>
    </row>
    <row r="1734" spans="92:92" x14ac:dyDescent="0.3">
      <c r="CN1734">
        <v>1733</v>
      </c>
    </row>
    <row r="1735" spans="92:92" x14ac:dyDescent="0.3">
      <c r="CN1735">
        <v>1734</v>
      </c>
    </row>
    <row r="1736" spans="92:92" x14ac:dyDescent="0.3">
      <c r="CN1736">
        <v>1735</v>
      </c>
    </row>
    <row r="1737" spans="92:92" x14ac:dyDescent="0.3">
      <c r="CN1737">
        <v>1736</v>
      </c>
    </row>
    <row r="1738" spans="92:92" x14ac:dyDescent="0.3">
      <c r="CN1738">
        <v>1737</v>
      </c>
    </row>
    <row r="1739" spans="92:92" x14ac:dyDescent="0.3">
      <c r="CN1739">
        <v>1738</v>
      </c>
    </row>
    <row r="1740" spans="92:92" x14ac:dyDescent="0.3">
      <c r="CN1740">
        <v>1739</v>
      </c>
    </row>
    <row r="1741" spans="92:92" x14ac:dyDescent="0.3">
      <c r="CN1741">
        <v>1740</v>
      </c>
    </row>
    <row r="1742" spans="92:92" x14ac:dyDescent="0.3">
      <c r="CN1742">
        <v>1741</v>
      </c>
    </row>
    <row r="1743" spans="92:92" x14ac:dyDescent="0.3">
      <c r="CN1743">
        <v>1742</v>
      </c>
    </row>
    <row r="1744" spans="92:92" x14ac:dyDescent="0.3">
      <c r="CN1744">
        <v>1743</v>
      </c>
    </row>
    <row r="1745" spans="92:92" x14ac:dyDescent="0.3">
      <c r="CN1745">
        <v>1744</v>
      </c>
    </row>
    <row r="1746" spans="92:92" x14ac:dyDescent="0.3">
      <c r="CN1746">
        <v>1745</v>
      </c>
    </row>
    <row r="1747" spans="92:92" x14ac:dyDescent="0.3">
      <c r="CN1747">
        <v>1746</v>
      </c>
    </row>
    <row r="1748" spans="92:92" x14ac:dyDescent="0.3">
      <c r="CN1748">
        <v>1747</v>
      </c>
    </row>
    <row r="1749" spans="92:92" x14ac:dyDescent="0.3">
      <c r="CN1749">
        <v>1748</v>
      </c>
    </row>
    <row r="1750" spans="92:92" x14ac:dyDescent="0.3">
      <c r="CN1750">
        <v>1749</v>
      </c>
    </row>
    <row r="1751" spans="92:92" x14ac:dyDescent="0.3">
      <c r="CN1751">
        <v>1750</v>
      </c>
    </row>
    <row r="1752" spans="92:92" x14ac:dyDescent="0.3">
      <c r="CN1752">
        <v>1751</v>
      </c>
    </row>
    <row r="1753" spans="92:92" x14ac:dyDescent="0.3">
      <c r="CN1753">
        <v>1752</v>
      </c>
    </row>
    <row r="1754" spans="92:92" x14ac:dyDescent="0.3">
      <c r="CN1754">
        <v>1753</v>
      </c>
    </row>
    <row r="1755" spans="92:92" x14ac:dyDescent="0.3">
      <c r="CN1755">
        <v>1754</v>
      </c>
    </row>
    <row r="1756" spans="92:92" x14ac:dyDescent="0.3">
      <c r="CN1756">
        <v>1755</v>
      </c>
    </row>
    <row r="1757" spans="92:92" x14ac:dyDescent="0.3">
      <c r="CN1757">
        <v>1756</v>
      </c>
    </row>
    <row r="1758" spans="92:92" x14ac:dyDescent="0.3">
      <c r="CN1758">
        <v>1757</v>
      </c>
    </row>
    <row r="1759" spans="92:92" x14ac:dyDescent="0.3">
      <c r="CN1759">
        <v>1758</v>
      </c>
    </row>
    <row r="1760" spans="92:92" x14ac:dyDescent="0.3">
      <c r="CN1760">
        <v>1759</v>
      </c>
    </row>
    <row r="1761" spans="92:92" x14ac:dyDescent="0.3">
      <c r="CN1761">
        <v>1760</v>
      </c>
    </row>
    <row r="1762" spans="92:92" x14ac:dyDescent="0.3">
      <c r="CN1762">
        <v>1761</v>
      </c>
    </row>
    <row r="1763" spans="92:92" x14ac:dyDescent="0.3">
      <c r="CN1763">
        <v>1762</v>
      </c>
    </row>
    <row r="1764" spans="92:92" x14ac:dyDescent="0.3">
      <c r="CN1764">
        <v>1763</v>
      </c>
    </row>
    <row r="1765" spans="92:92" x14ac:dyDescent="0.3">
      <c r="CN1765">
        <v>1764</v>
      </c>
    </row>
    <row r="1766" spans="92:92" x14ac:dyDescent="0.3">
      <c r="CN1766">
        <v>1765</v>
      </c>
    </row>
    <row r="1767" spans="92:92" x14ac:dyDescent="0.3">
      <c r="CN1767">
        <v>1766</v>
      </c>
    </row>
    <row r="1768" spans="92:92" x14ac:dyDescent="0.3">
      <c r="CN1768">
        <v>1767</v>
      </c>
    </row>
    <row r="1769" spans="92:92" x14ac:dyDescent="0.3">
      <c r="CN1769">
        <v>1768</v>
      </c>
    </row>
    <row r="1770" spans="92:92" x14ac:dyDescent="0.3">
      <c r="CN1770">
        <v>1769</v>
      </c>
    </row>
    <row r="1771" spans="92:92" x14ac:dyDescent="0.3">
      <c r="CN1771">
        <v>1770</v>
      </c>
    </row>
    <row r="1772" spans="92:92" x14ac:dyDescent="0.3">
      <c r="CN1772">
        <v>1771</v>
      </c>
    </row>
    <row r="1773" spans="92:92" x14ac:dyDescent="0.3">
      <c r="CN1773">
        <v>1772</v>
      </c>
    </row>
    <row r="1774" spans="92:92" x14ac:dyDescent="0.3">
      <c r="CN1774">
        <v>1773</v>
      </c>
    </row>
    <row r="1775" spans="92:92" x14ac:dyDescent="0.3">
      <c r="CN1775">
        <v>1774</v>
      </c>
    </row>
    <row r="1776" spans="92:92" x14ac:dyDescent="0.3">
      <c r="CN1776">
        <v>1775</v>
      </c>
    </row>
    <row r="1777" spans="92:92" x14ac:dyDescent="0.3">
      <c r="CN1777">
        <v>1776</v>
      </c>
    </row>
    <row r="1778" spans="92:92" x14ac:dyDescent="0.3">
      <c r="CN1778">
        <v>1777</v>
      </c>
    </row>
    <row r="1779" spans="92:92" x14ac:dyDescent="0.3">
      <c r="CN1779">
        <v>1778</v>
      </c>
    </row>
    <row r="1780" spans="92:92" x14ac:dyDescent="0.3">
      <c r="CN1780">
        <v>1779</v>
      </c>
    </row>
    <row r="1781" spans="92:92" x14ac:dyDescent="0.3">
      <c r="CN1781">
        <v>1780</v>
      </c>
    </row>
    <row r="1782" spans="92:92" x14ac:dyDescent="0.3">
      <c r="CN1782">
        <v>1781</v>
      </c>
    </row>
    <row r="1783" spans="92:92" x14ac:dyDescent="0.3">
      <c r="CN1783">
        <v>1782</v>
      </c>
    </row>
    <row r="1784" spans="92:92" x14ac:dyDescent="0.3">
      <c r="CN1784">
        <v>1783</v>
      </c>
    </row>
    <row r="1785" spans="92:92" x14ac:dyDescent="0.3">
      <c r="CN1785">
        <v>1784</v>
      </c>
    </row>
    <row r="1786" spans="92:92" x14ac:dyDescent="0.3">
      <c r="CN1786">
        <v>1785</v>
      </c>
    </row>
    <row r="1787" spans="92:92" x14ac:dyDescent="0.3">
      <c r="CN1787">
        <v>1786</v>
      </c>
    </row>
    <row r="1788" spans="92:92" x14ac:dyDescent="0.3">
      <c r="CN1788">
        <v>1787</v>
      </c>
    </row>
    <row r="1789" spans="92:92" x14ac:dyDescent="0.3">
      <c r="CN1789">
        <v>1788</v>
      </c>
    </row>
    <row r="1790" spans="92:92" x14ac:dyDescent="0.3">
      <c r="CN1790">
        <v>1789</v>
      </c>
    </row>
    <row r="1791" spans="92:92" x14ac:dyDescent="0.3">
      <c r="CN1791">
        <v>1790</v>
      </c>
    </row>
    <row r="1792" spans="92:92" x14ac:dyDescent="0.3">
      <c r="CN1792">
        <v>1791</v>
      </c>
    </row>
    <row r="1793" spans="92:92" x14ac:dyDescent="0.3">
      <c r="CN1793">
        <v>1792</v>
      </c>
    </row>
    <row r="1794" spans="92:92" x14ac:dyDescent="0.3">
      <c r="CN1794">
        <v>1793</v>
      </c>
    </row>
    <row r="1795" spans="92:92" x14ac:dyDescent="0.3">
      <c r="CN1795">
        <v>1794</v>
      </c>
    </row>
    <row r="1796" spans="92:92" x14ac:dyDescent="0.3">
      <c r="CN1796">
        <v>1795</v>
      </c>
    </row>
    <row r="1797" spans="92:92" x14ac:dyDescent="0.3">
      <c r="CN1797">
        <v>1796</v>
      </c>
    </row>
    <row r="1798" spans="92:92" x14ac:dyDescent="0.3">
      <c r="CN1798">
        <v>1797</v>
      </c>
    </row>
    <row r="1799" spans="92:92" x14ac:dyDescent="0.3">
      <c r="CN1799">
        <v>1798</v>
      </c>
    </row>
    <row r="1800" spans="92:92" x14ac:dyDescent="0.3">
      <c r="CN1800">
        <v>1799</v>
      </c>
    </row>
    <row r="1801" spans="92:92" x14ac:dyDescent="0.3">
      <c r="CN1801">
        <v>1800</v>
      </c>
    </row>
    <row r="1802" spans="92:92" x14ac:dyDescent="0.3">
      <c r="CN1802">
        <v>1801</v>
      </c>
    </row>
    <row r="1803" spans="92:92" x14ac:dyDescent="0.3">
      <c r="CN1803">
        <v>1802</v>
      </c>
    </row>
    <row r="1804" spans="92:92" x14ac:dyDescent="0.3">
      <c r="CN1804">
        <v>1803</v>
      </c>
    </row>
    <row r="1805" spans="92:92" x14ac:dyDescent="0.3">
      <c r="CN1805">
        <v>1804</v>
      </c>
    </row>
    <row r="1806" spans="92:92" x14ac:dyDescent="0.3">
      <c r="CN1806">
        <v>1805</v>
      </c>
    </row>
    <row r="1807" spans="92:92" x14ac:dyDescent="0.3">
      <c r="CN1807">
        <v>1806</v>
      </c>
    </row>
    <row r="1808" spans="92:92" x14ac:dyDescent="0.3">
      <c r="CN1808">
        <v>1807</v>
      </c>
    </row>
    <row r="1809" spans="92:92" x14ac:dyDescent="0.3">
      <c r="CN1809">
        <v>1808</v>
      </c>
    </row>
    <row r="1810" spans="92:92" x14ac:dyDescent="0.3">
      <c r="CN1810">
        <v>1809</v>
      </c>
    </row>
    <row r="1811" spans="92:92" x14ac:dyDescent="0.3">
      <c r="CN1811">
        <v>1810</v>
      </c>
    </row>
    <row r="1812" spans="92:92" x14ac:dyDescent="0.3">
      <c r="CN1812">
        <v>1811</v>
      </c>
    </row>
    <row r="1813" spans="92:92" x14ac:dyDescent="0.3">
      <c r="CN1813">
        <v>1812</v>
      </c>
    </row>
    <row r="1814" spans="92:92" x14ac:dyDescent="0.3">
      <c r="CN1814">
        <v>1813</v>
      </c>
    </row>
    <row r="1815" spans="92:92" x14ac:dyDescent="0.3">
      <c r="CN1815">
        <v>1814</v>
      </c>
    </row>
    <row r="1816" spans="92:92" x14ac:dyDescent="0.3">
      <c r="CN1816">
        <v>1815</v>
      </c>
    </row>
    <row r="1817" spans="92:92" x14ac:dyDescent="0.3">
      <c r="CN1817">
        <v>1816</v>
      </c>
    </row>
    <row r="1818" spans="92:92" x14ac:dyDescent="0.3">
      <c r="CN1818">
        <v>1817</v>
      </c>
    </row>
    <row r="1819" spans="92:92" x14ac:dyDescent="0.3">
      <c r="CN1819">
        <v>1818</v>
      </c>
    </row>
    <row r="1820" spans="92:92" x14ac:dyDescent="0.3">
      <c r="CN1820">
        <v>1819</v>
      </c>
    </row>
    <row r="1821" spans="92:92" x14ac:dyDescent="0.3">
      <c r="CN1821">
        <v>1820</v>
      </c>
    </row>
    <row r="1822" spans="92:92" x14ac:dyDescent="0.3">
      <c r="CN1822">
        <v>1821</v>
      </c>
    </row>
    <row r="1823" spans="92:92" x14ac:dyDescent="0.3">
      <c r="CN1823">
        <v>1822</v>
      </c>
    </row>
    <row r="1824" spans="92:92" x14ac:dyDescent="0.3">
      <c r="CN1824">
        <v>1823</v>
      </c>
    </row>
    <row r="1825" spans="92:92" x14ac:dyDescent="0.3">
      <c r="CN1825">
        <v>1824</v>
      </c>
    </row>
    <row r="1826" spans="92:92" x14ac:dyDescent="0.3">
      <c r="CN1826">
        <v>1825</v>
      </c>
    </row>
    <row r="1827" spans="92:92" x14ac:dyDescent="0.3">
      <c r="CN1827">
        <v>1826</v>
      </c>
    </row>
    <row r="1828" spans="92:92" x14ac:dyDescent="0.3">
      <c r="CN1828">
        <v>1827</v>
      </c>
    </row>
    <row r="1829" spans="92:92" x14ac:dyDescent="0.3">
      <c r="CN1829">
        <v>1828</v>
      </c>
    </row>
    <row r="1830" spans="92:92" x14ac:dyDescent="0.3">
      <c r="CN1830">
        <v>1829</v>
      </c>
    </row>
    <row r="1831" spans="92:92" x14ac:dyDescent="0.3">
      <c r="CN1831">
        <v>1830</v>
      </c>
    </row>
    <row r="1832" spans="92:92" x14ac:dyDescent="0.3">
      <c r="CN1832">
        <v>1831</v>
      </c>
    </row>
    <row r="1833" spans="92:92" x14ac:dyDescent="0.3">
      <c r="CN1833">
        <v>1832</v>
      </c>
    </row>
    <row r="1834" spans="92:92" x14ac:dyDescent="0.3">
      <c r="CN1834">
        <v>1833</v>
      </c>
    </row>
    <row r="1835" spans="92:92" x14ac:dyDescent="0.3">
      <c r="CN1835">
        <v>1834</v>
      </c>
    </row>
    <row r="1836" spans="92:92" x14ac:dyDescent="0.3">
      <c r="CN1836">
        <v>1835</v>
      </c>
    </row>
    <row r="1837" spans="92:92" x14ac:dyDescent="0.3">
      <c r="CN1837">
        <v>1836</v>
      </c>
    </row>
    <row r="1838" spans="92:92" x14ac:dyDescent="0.3">
      <c r="CN1838">
        <v>1837</v>
      </c>
    </row>
    <row r="1839" spans="92:92" x14ac:dyDescent="0.3">
      <c r="CN1839">
        <v>1838</v>
      </c>
    </row>
    <row r="1840" spans="92:92" x14ac:dyDescent="0.3">
      <c r="CN1840">
        <v>1839</v>
      </c>
    </row>
    <row r="1841" spans="92:92" x14ac:dyDescent="0.3">
      <c r="CN1841">
        <v>1840</v>
      </c>
    </row>
    <row r="1842" spans="92:92" x14ac:dyDescent="0.3">
      <c r="CN1842">
        <v>1841</v>
      </c>
    </row>
    <row r="1843" spans="92:92" x14ac:dyDescent="0.3">
      <c r="CN1843">
        <v>1842</v>
      </c>
    </row>
    <row r="1844" spans="92:92" x14ac:dyDescent="0.3">
      <c r="CN1844">
        <v>1843</v>
      </c>
    </row>
    <row r="1845" spans="92:92" x14ac:dyDescent="0.3">
      <c r="CN1845">
        <v>1844</v>
      </c>
    </row>
    <row r="1846" spans="92:92" x14ac:dyDescent="0.3">
      <c r="CN1846">
        <v>1845</v>
      </c>
    </row>
    <row r="1847" spans="92:92" x14ac:dyDescent="0.3">
      <c r="CN1847">
        <v>1846</v>
      </c>
    </row>
    <row r="1848" spans="92:92" x14ac:dyDescent="0.3">
      <c r="CN1848">
        <v>1847</v>
      </c>
    </row>
    <row r="1849" spans="92:92" x14ac:dyDescent="0.3">
      <c r="CN1849">
        <v>1848</v>
      </c>
    </row>
    <row r="1850" spans="92:92" x14ac:dyDescent="0.3">
      <c r="CN1850">
        <v>1849</v>
      </c>
    </row>
    <row r="1851" spans="92:92" x14ac:dyDescent="0.3">
      <c r="CN1851">
        <v>1850</v>
      </c>
    </row>
    <row r="1852" spans="92:92" x14ac:dyDescent="0.3">
      <c r="CN1852">
        <v>1851</v>
      </c>
    </row>
    <row r="1853" spans="92:92" x14ac:dyDescent="0.3">
      <c r="CN1853">
        <v>1852</v>
      </c>
    </row>
    <row r="1854" spans="92:92" x14ac:dyDescent="0.3">
      <c r="CN1854">
        <v>1853</v>
      </c>
    </row>
    <row r="1855" spans="92:92" x14ac:dyDescent="0.3">
      <c r="CN1855">
        <v>1854</v>
      </c>
    </row>
    <row r="1856" spans="92:92" x14ac:dyDescent="0.3">
      <c r="CN1856">
        <v>1855</v>
      </c>
    </row>
    <row r="1857" spans="92:92" x14ac:dyDescent="0.3">
      <c r="CN1857">
        <v>1856</v>
      </c>
    </row>
    <row r="1858" spans="92:92" x14ac:dyDescent="0.3">
      <c r="CN1858">
        <v>1857</v>
      </c>
    </row>
    <row r="1859" spans="92:92" x14ac:dyDescent="0.3">
      <c r="CN1859">
        <v>1858</v>
      </c>
    </row>
    <row r="1860" spans="92:92" x14ac:dyDescent="0.3">
      <c r="CN1860">
        <v>1859</v>
      </c>
    </row>
    <row r="1861" spans="92:92" x14ac:dyDescent="0.3">
      <c r="CN1861">
        <v>1860</v>
      </c>
    </row>
    <row r="1862" spans="92:92" x14ac:dyDescent="0.3">
      <c r="CN1862">
        <v>1861</v>
      </c>
    </row>
    <row r="1863" spans="92:92" x14ac:dyDescent="0.3">
      <c r="CN1863">
        <v>1862</v>
      </c>
    </row>
    <row r="1864" spans="92:92" x14ac:dyDescent="0.3">
      <c r="CN1864">
        <v>1863</v>
      </c>
    </row>
    <row r="1865" spans="92:92" x14ac:dyDescent="0.3">
      <c r="CN1865">
        <v>1864</v>
      </c>
    </row>
    <row r="1866" spans="92:92" x14ac:dyDescent="0.3">
      <c r="CN1866">
        <v>1865</v>
      </c>
    </row>
    <row r="1867" spans="92:92" x14ac:dyDescent="0.3">
      <c r="CN1867">
        <v>1866</v>
      </c>
    </row>
    <row r="1868" spans="92:92" x14ac:dyDescent="0.3">
      <c r="CN1868">
        <v>1867</v>
      </c>
    </row>
    <row r="1869" spans="92:92" x14ac:dyDescent="0.3">
      <c r="CN1869">
        <v>1868</v>
      </c>
    </row>
    <row r="1870" spans="92:92" x14ac:dyDescent="0.3">
      <c r="CN1870">
        <v>1869</v>
      </c>
    </row>
    <row r="1871" spans="92:92" x14ac:dyDescent="0.3">
      <c r="CN1871">
        <v>1870</v>
      </c>
    </row>
    <row r="1872" spans="92:92" x14ac:dyDescent="0.3">
      <c r="CN1872">
        <v>1871</v>
      </c>
    </row>
    <row r="1873" spans="92:92" x14ac:dyDescent="0.3">
      <c r="CN1873">
        <v>1872</v>
      </c>
    </row>
    <row r="1874" spans="92:92" x14ac:dyDescent="0.3">
      <c r="CN1874">
        <v>1873</v>
      </c>
    </row>
    <row r="1875" spans="92:92" x14ac:dyDescent="0.3">
      <c r="CN1875">
        <v>1874</v>
      </c>
    </row>
    <row r="1876" spans="92:92" x14ac:dyDescent="0.3">
      <c r="CN1876">
        <v>1875</v>
      </c>
    </row>
    <row r="1877" spans="92:92" x14ac:dyDescent="0.3">
      <c r="CN1877">
        <v>1876</v>
      </c>
    </row>
    <row r="1878" spans="92:92" x14ac:dyDescent="0.3">
      <c r="CN1878">
        <v>1877</v>
      </c>
    </row>
    <row r="1879" spans="92:92" x14ac:dyDescent="0.3">
      <c r="CN1879">
        <v>1878</v>
      </c>
    </row>
    <row r="1880" spans="92:92" x14ac:dyDescent="0.3">
      <c r="CN1880">
        <v>1879</v>
      </c>
    </row>
    <row r="1881" spans="92:92" x14ac:dyDescent="0.3">
      <c r="CN1881">
        <v>1880</v>
      </c>
    </row>
    <row r="1882" spans="92:92" x14ac:dyDescent="0.3">
      <c r="CN1882">
        <v>1881</v>
      </c>
    </row>
    <row r="1883" spans="92:92" x14ac:dyDescent="0.3">
      <c r="CN1883">
        <v>1882</v>
      </c>
    </row>
    <row r="1884" spans="92:92" x14ac:dyDescent="0.3">
      <c r="CN1884">
        <v>1883</v>
      </c>
    </row>
    <row r="1885" spans="92:92" x14ac:dyDescent="0.3">
      <c r="CN1885">
        <v>1884</v>
      </c>
    </row>
    <row r="1886" spans="92:92" x14ac:dyDescent="0.3">
      <c r="CN1886">
        <v>1885</v>
      </c>
    </row>
    <row r="1887" spans="92:92" x14ac:dyDescent="0.3">
      <c r="CN1887">
        <v>1886</v>
      </c>
    </row>
    <row r="1888" spans="92:92" x14ac:dyDescent="0.3">
      <c r="CN1888">
        <v>1887</v>
      </c>
    </row>
    <row r="1889" spans="92:92" x14ac:dyDescent="0.3">
      <c r="CN1889">
        <v>1888</v>
      </c>
    </row>
    <row r="1890" spans="92:92" x14ac:dyDescent="0.3">
      <c r="CN1890">
        <v>1889</v>
      </c>
    </row>
    <row r="1891" spans="92:92" x14ac:dyDescent="0.3">
      <c r="CN1891">
        <v>1890</v>
      </c>
    </row>
    <row r="1892" spans="92:92" x14ac:dyDescent="0.3">
      <c r="CN1892">
        <v>1891</v>
      </c>
    </row>
    <row r="1893" spans="92:92" x14ac:dyDescent="0.3">
      <c r="CN1893">
        <v>1892</v>
      </c>
    </row>
    <row r="1894" spans="92:92" x14ac:dyDescent="0.3">
      <c r="CN1894">
        <v>1893</v>
      </c>
    </row>
    <row r="1895" spans="92:92" x14ac:dyDescent="0.3">
      <c r="CN1895">
        <v>1894</v>
      </c>
    </row>
    <row r="1896" spans="92:92" x14ac:dyDescent="0.3">
      <c r="CN1896">
        <v>1895</v>
      </c>
    </row>
    <row r="1897" spans="92:92" x14ac:dyDescent="0.3">
      <c r="CN1897">
        <v>1896</v>
      </c>
    </row>
    <row r="1898" spans="92:92" x14ac:dyDescent="0.3">
      <c r="CN1898">
        <v>1897</v>
      </c>
    </row>
    <row r="1899" spans="92:92" x14ac:dyDescent="0.3">
      <c r="CN1899">
        <v>1898</v>
      </c>
    </row>
    <row r="1900" spans="92:92" x14ac:dyDescent="0.3">
      <c r="CN1900">
        <v>1899</v>
      </c>
    </row>
    <row r="1901" spans="92:92" x14ac:dyDescent="0.3">
      <c r="CN1901">
        <v>1900</v>
      </c>
    </row>
    <row r="1902" spans="92:92" x14ac:dyDescent="0.3">
      <c r="CN1902">
        <v>1901</v>
      </c>
    </row>
    <row r="1903" spans="92:92" x14ac:dyDescent="0.3">
      <c r="CN1903">
        <v>1902</v>
      </c>
    </row>
    <row r="1904" spans="92:92" x14ac:dyDescent="0.3">
      <c r="CN1904">
        <v>1903</v>
      </c>
    </row>
    <row r="1905" spans="92:92" x14ac:dyDescent="0.3">
      <c r="CN1905">
        <v>1904</v>
      </c>
    </row>
    <row r="1906" spans="92:92" x14ac:dyDescent="0.3">
      <c r="CN1906">
        <v>1905</v>
      </c>
    </row>
    <row r="1907" spans="92:92" x14ac:dyDescent="0.3">
      <c r="CN1907">
        <v>1906</v>
      </c>
    </row>
    <row r="1908" spans="92:92" x14ac:dyDescent="0.3">
      <c r="CN1908">
        <v>1907</v>
      </c>
    </row>
    <row r="1909" spans="92:92" x14ac:dyDescent="0.3">
      <c r="CN1909">
        <v>1908</v>
      </c>
    </row>
    <row r="1910" spans="92:92" x14ac:dyDescent="0.3">
      <c r="CN1910">
        <v>1909</v>
      </c>
    </row>
    <row r="1911" spans="92:92" x14ac:dyDescent="0.3">
      <c r="CN1911">
        <v>1910</v>
      </c>
    </row>
    <row r="1912" spans="92:92" x14ac:dyDescent="0.3">
      <c r="CN1912">
        <v>1911</v>
      </c>
    </row>
    <row r="1913" spans="92:92" x14ac:dyDescent="0.3">
      <c r="CN1913">
        <v>1912</v>
      </c>
    </row>
    <row r="1914" spans="92:92" x14ac:dyDescent="0.3">
      <c r="CN1914">
        <v>1913</v>
      </c>
    </row>
    <row r="1915" spans="92:92" x14ac:dyDescent="0.3">
      <c r="CN1915">
        <v>1914</v>
      </c>
    </row>
    <row r="1916" spans="92:92" x14ac:dyDescent="0.3">
      <c r="CN1916">
        <v>1915</v>
      </c>
    </row>
    <row r="1917" spans="92:92" x14ac:dyDescent="0.3">
      <c r="CN1917">
        <v>1916</v>
      </c>
    </row>
    <row r="1918" spans="92:92" x14ac:dyDescent="0.3">
      <c r="CN1918">
        <v>1917</v>
      </c>
    </row>
    <row r="1919" spans="92:92" x14ac:dyDescent="0.3">
      <c r="CN1919">
        <v>1918</v>
      </c>
    </row>
    <row r="1920" spans="92:92" x14ac:dyDescent="0.3">
      <c r="CN1920">
        <v>1919</v>
      </c>
    </row>
    <row r="1921" spans="92:92" x14ac:dyDescent="0.3">
      <c r="CN1921">
        <v>1920</v>
      </c>
    </row>
    <row r="1922" spans="92:92" x14ac:dyDescent="0.3">
      <c r="CN1922">
        <v>1921</v>
      </c>
    </row>
    <row r="1923" spans="92:92" x14ac:dyDescent="0.3">
      <c r="CN1923">
        <v>1922</v>
      </c>
    </row>
    <row r="1924" spans="92:92" x14ac:dyDescent="0.3">
      <c r="CN1924">
        <v>1923</v>
      </c>
    </row>
    <row r="1925" spans="92:92" x14ac:dyDescent="0.3">
      <c r="CN1925">
        <v>1924</v>
      </c>
    </row>
    <row r="1926" spans="92:92" x14ac:dyDescent="0.3">
      <c r="CN1926">
        <v>1925</v>
      </c>
    </row>
    <row r="1927" spans="92:92" x14ac:dyDescent="0.3">
      <c r="CN1927">
        <v>1926</v>
      </c>
    </row>
    <row r="1928" spans="92:92" x14ac:dyDescent="0.3">
      <c r="CN1928">
        <v>1927</v>
      </c>
    </row>
    <row r="1929" spans="92:92" x14ac:dyDescent="0.3">
      <c r="CN1929">
        <v>1928</v>
      </c>
    </row>
    <row r="1930" spans="92:92" x14ac:dyDescent="0.3">
      <c r="CN1930">
        <v>1929</v>
      </c>
    </row>
    <row r="1931" spans="92:92" x14ac:dyDescent="0.3">
      <c r="CN1931">
        <v>1930</v>
      </c>
    </row>
    <row r="1932" spans="92:92" x14ac:dyDescent="0.3">
      <c r="CN1932">
        <v>1931</v>
      </c>
    </row>
    <row r="1933" spans="92:92" x14ac:dyDescent="0.3">
      <c r="CN1933">
        <v>1932</v>
      </c>
    </row>
    <row r="1934" spans="92:92" x14ac:dyDescent="0.3">
      <c r="CN1934">
        <v>1933</v>
      </c>
    </row>
    <row r="1935" spans="92:92" x14ac:dyDescent="0.3">
      <c r="CN1935">
        <v>1934</v>
      </c>
    </row>
    <row r="1936" spans="92:92" x14ac:dyDescent="0.3">
      <c r="CN1936">
        <v>1935</v>
      </c>
    </row>
    <row r="1937" spans="92:92" x14ac:dyDescent="0.3">
      <c r="CN1937">
        <v>1936</v>
      </c>
    </row>
    <row r="1938" spans="92:92" x14ac:dyDescent="0.3">
      <c r="CN1938">
        <v>1937</v>
      </c>
    </row>
    <row r="1939" spans="92:92" x14ac:dyDescent="0.3">
      <c r="CN1939">
        <v>1938</v>
      </c>
    </row>
    <row r="1940" spans="92:92" x14ac:dyDescent="0.3">
      <c r="CN1940">
        <v>1939</v>
      </c>
    </row>
    <row r="1941" spans="92:92" x14ac:dyDescent="0.3">
      <c r="CN1941">
        <v>1940</v>
      </c>
    </row>
    <row r="1942" spans="92:92" x14ac:dyDescent="0.3">
      <c r="CN1942">
        <v>1941</v>
      </c>
    </row>
    <row r="1943" spans="92:92" x14ac:dyDescent="0.3">
      <c r="CN1943">
        <v>1942</v>
      </c>
    </row>
    <row r="1944" spans="92:92" x14ac:dyDescent="0.3">
      <c r="CN1944">
        <v>1943</v>
      </c>
    </row>
    <row r="1945" spans="92:92" x14ac:dyDescent="0.3">
      <c r="CN1945">
        <v>1944</v>
      </c>
    </row>
    <row r="1946" spans="92:92" x14ac:dyDescent="0.3">
      <c r="CN1946">
        <v>1945</v>
      </c>
    </row>
    <row r="1947" spans="92:92" x14ac:dyDescent="0.3">
      <c r="CN1947">
        <v>1946</v>
      </c>
    </row>
    <row r="1948" spans="92:92" x14ac:dyDescent="0.3">
      <c r="CN1948">
        <v>1947</v>
      </c>
    </row>
    <row r="1949" spans="92:92" x14ac:dyDescent="0.3">
      <c r="CN1949">
        <v>1948</v>
      </c>
    </row>
    <row r="1950" spans="92:92" x14ac:dyDescent="0.3">
      <c r="CN1950">
        <v>1949</v>
      </c>
    </row>
    <row r="1951" spans="92:92" x14ac:dyDescent="0.3">
      <c r="CN1951">
        <v>1950</v>
      </c>
    </row>
    <row r="1952" spans="92:92" x14ac:dyDescent="0.3">
      <c r="CN1952">
        <v>1951</v>
      </c>
    </row>
    <row r="1953" spans="92:92" x14ac:dyDescent="0.3">
      <c r="CN1953">
        <v>1952</v>
      </c>
    </row>
    <row r="1954" spans="92:92" x14ac:dyDescent="0.3">
      <c r="CN1954">
        <v>1953</v>
      </c>
    </row>
    <row r="1955" spans="92:92" x14ac:dyDescent="0.3">
      <c r="CN1955">
        <v>1954</v>
      </c>
    </row>
    <row r="1956" spans="92:92" x14ac:dyDescent="0.3">
      <c r="CN1956">
        <v>1955</v>
      </c>
    </row>
    <row r="1957" spans="92:92" x14ac:dyDescent="0.3">
      <c r="CN1957">
        <v>1956</v>
      </c>
    </row>
    <row r="1958" spans="92:92" x14ac:dyDescent="0.3">
      <c r="CN1958">
        <v>1957</v>
      </c>
    </row>
    <row r="1959" spans="92:92" x14ac:dyDescent="0.3">
      <c r="CN1959">
        <v>1958</v>
      </c>
    </row>
    <row r="1960" spans="92:92" x14ac:dyDescent="0.3">
      <c r="CN1960">
        <v>1959</v>
      </c>
    </row>
    <row r="1961" spans="92:92" x14ac:dyDescent="0.3">
      <c r="CN1961">
        <v>1960</v>
      </c>
    </row>
    <row r="1962" spans="92:92" x14ac:dyDescent="0.3">
      <c r="CN1962">
        <v>1961</v>
      </c>
    </row>
    <row r="1963" spans="92:92" x14ac:dyDescent="0.3">
      <c r="CN1963">
        <v>1962</v>
      </c>
    </row>
    <row r="1964" spans="92:92" x14ac:dyDescent="0.3">
      <c r="CN1964">
        <v>1963</v>
      </c>
    </row>
    <row r="1965" spans="92:92" x14ac:dyDescent="0.3">
      <c r="CN1965">
        <v>1964</v>
      </c>
    </row>
    <row r="1966" spans="92:92" x14ac:dyDescent="0.3">
      <c r="CN1966">
        <v>1965</v>
      </c>
    </row>
    <row r="1967" spans="92:92" x14ac:dyDescent="0.3">
      <c r="CN1967">
        <v>1966</v>
      </c>
    </row>
    <row r="1968" spans="92:92" x14ac:dyDescent="0.3">
      <c r="CN1968">
        <v>1967</v>
      </c>
    </row>
    <row r="1969" spans="92:92" x14ac:dyDescent="0.3">
      <c r="CN1969">
        <v>1968</v>
      </c>
    </row>
    <row r="1970" spans="92:92" x14ac:dyDescent="0.3">
      <c r="CN1970">
        <v>1969</v>
      </c>
    </row>
    <row r="1971" spans="92:92" x14ac:dyDescent="0.3">
      <c r="CN1971">
        <v>1970</v>
      </c>
    </row>
    <row r="1972" spans="92:92" x14ac:dyDescent="0.3">
      <c r="CN1972">
        <v>1971</v>
      </c>
    </row>
    <row r="1973" spans="92:92" x14ac:dyDescent="0.3">
      <c r="CN1973">
        <v>1972</v>
      </c>
    </row>
    <row r="1974" spans="92:92" x14ac:dyDescent="0.3">
      <c r="CN1974">
        <v>1973</v>
      </c>
    </row>
    <row r="1975" spans="92:92" x14ac:dyDescent="0.3">
      <c r="CN1975">
        <v>1974</v>
      </c>
    </row>
    <row r="1976" spans="92:92" x14ac:dyDescent="0.3">
      <c r="CN1976">
        <v>1975</v>
      </c>
    </row>
    <row r="1977" spans="92:92" x14ac:dyDescent="0.3">
      <c r="CN1977">
        <v>1976</v>
      </c>
    </row>
    <row r="1978" spans="92:92" x14ac:dyDescent="0.3">
      <c r="CN1978">
        <v>1977</v>
      </c>
    </row>
    <row r="1979" spans="92:92" x14ac:dyDescent="0.3">
      <c r="CN1979">
        <v>1978</v>
      </c>
    </row>
    <row r="1980" spans="92:92" x14ac:dyDescent="0.3">
      <c r="CN1980">
        <v>1979</v>
      </c>
    </row>
    <row r="1981" spans="92:92" x14ac:dyDescent="0.3">
      <c r="CN1981">
        <v>1980</v>
      </c>
    </row>
    <row r="1982" spans="92:92" x14ac:dyDescent="0.3">
      <c r="CN1982">
        <v>1981</v>
      </c>
    </row>
    <row r="1983" spans="92:92" x14ac:dyDescent="0.3">
      <c r="CN1983">
        <v>1982</v>
      </c>
    </row>
    <row r="1984" spans="92:92" x14ac:dyDescent="0.3">
      <c r="CN1984">
        <v>1983</v>
      </c>
    </row>
    <row r="1985" spans="92:92" x14ac:dyDescent="0.3">
      <c r="CN1985">
        <v>1984</v>
      </c>
    </row>
    <row r="1986" spans="92:92" x14ac:dyDescent="0.3">
      <c r="CN1986">
        <v>1985</v>
      </c>
    </row>
    <row r="1987" spans="92:92" x14ac:dyDescent="0.3">
      <c r="CN1987">
        <v>1986</v>
      </c>
    </row>
    <row r="1988" spans="92:92" x14ac:dyDescent="0.3">
      <c r="CN1988">
        <v>1987</v>
      </c>
    </row>
    <row r="1989" spans="92:92" x14ac:dyDescent="0.3">
      <c r="CN1989">
        <v>1988</v>
      </c>
    </row>
    <row r="1990" spans="92:92" x14ac:dyDescent="0.3">
      <c r="CN1990">
        <v>1989</v>
      </c>
    </row>
    <row r="1991" spans="92:92" x14ac:dyDescent="0.3">
      <c r="CN1991">
        <v>1990</v>
      </c>
    </row>
    <row r="1992" spans="92:92" x14ac:dyDescent="0.3">
      <c r="CN1992">
        <v>1991</v>
      </c>
    </row>
    <row r="1993" spans="92:92" x14ac:dyDescent="0.3">
      <c r="CN1993">
        <v>1992</v>
      </c>
    </row>
    <row r="1994" spans="92:92" x14ac:dyDescent="0.3">
      <c r="CN1994">
        <v>1993</v>
      </c>
    </row>
    <row r="1995" spans="92:92" x14ac:dyDescent="0.3">
      <c r="CN1995">
        <v>1994</v>
      </c>
    </row>
    <row r="1996" spans="92:92" x14ac:dyDescent="0.3">
      <c r="CN1996">
        <v>1995</v>
      </c>
    </row>
    <row r="1997" spans="92:92" x14ac:dyDescent="0.3">
      <c r="CN1997">
        <v>1996</v>
      </c>
    </row>
    <row r="1998" spans="92:92" x14ac:dyDescent="0.3">
      <c r="CN1998">
        <v>1997</v>
      </c>
    </row>
    <row r="1999" spans="92:92" x14ac:dyDescent="0.3">
      <c r="CN1999">
        <v>1998</v>
      </c>
    </row>
    <row r="2000" spans="92:92" x14ac:dyDescent="0.3">
      <c r="CN2000">
        <v>1999</v>
      </c>
    </row>
    <row r="2001" spans="92:92" x14ac:dyDescent="0.3">
      <c r="CN2001">
        <v>2000</v>
      </c>
    </row>
    <row r="2002" spans="92:92" x14ac:dyDescent="0.3">
      <c r="CN2002">
        <v>2001</v>
      </c>
    </row>
    <row r="2003" spans="92:92" x14ac:dyDescent="0.3">
      <c r="CN2003">
        <v>2002</v>
      </c>
    </row>
    <row r="2004" spans="92:92" x14ac:dyDescent="0.3">
      <c r="CN2004">
        <v>2003</v>
      </c>
    </row>
    <row r="2005" spans="92:92" x14ac:dyDescent="0.3">
      <c r="CN2005">
        <v>2004</v>
      </c>
    </row>
    <row r="2006" spans="92:92" x14ac:dyDescent="0.3">
      <c r="CN2006">
        <v>2005</v>
      </c>
    </row>
    <row r="2007" spans="92:92" x14ac:dyDescent="0.3">
      <c r="CN2007">
        <v>2006</v>
      </c>
    </row>
    <row r="2008" spans="92:92" x14ac:dyDescent="0.3">
      <c r="CN2008">
        <v>2007</v>
      </c>
    </row>
    <row r="2009" spans="92:92" x14ac:dyDescent="0.3">
      <c r="CN2009">
        <v>2008</v>
      </c>
    </row>
    <row r="2010" spans="92:92" x14ac:dyDescent="0.3">
      <c r="CN2010">
        <v>2009</v>
      </c>
    </row>
    <row r="2011" spans="92:92" x14ac:dyDescent="0.3">
      <c r="CN2011">
        <v>2010</v>
      </c>
    </row>
    <row r="2012" spans="92:92" x14ac:dyDescent="0.3">
      <c r="CN2012">
        <v>2011</v>
      </c>
    </row>
    <row r="2013" spans="92:92" x14ac:dyDescent="0.3">
      <c r="CN2013">
        <v>2012</v>
      </c>
    </row>
    <row r="2014" spans="92:92" x14ac:dyDescent="0.3">
      <c r="CN2014">
        <v>2013</v>
      </c>
    </row>
    <row r="2015" spans="92:92" x14ac:dyDescent="0.3">
      <c r="CN2015">
        <v>2014</v>
      </c>
    </row>
    <row r="2016" spans="92:92" x14ac:dyDescent="0.3">
      <c r="CN2016">
        <v>2015</v>
      </c>
    </row>
    <row r="2017" spans="92:92" x14ac:dyDescent="0.3">
      <c r="CN2017">
        <v>2016</v>
      </c>
    </row>
    <row r="2018" spans="92:92" x14ac:dyDescent="0.3">
      <c r="CN2018">
        <v>2017</v>
      </c>
    </row>
    <row r="2019" spans="92:92" x14ac:dyDescent="0.3">
      <c r="CN2019">
        <v>2018</v>
      </c>
    </row>
    <row r="2020" spans="92:92" x14ac:dyDescent="0.3">
      <c r="CN2020">
        <v>2019</v>
      </c>
    </row>
    <row r="2021" spans="92:92" x14ac:dyDescent="0.3">
      <c r="CN2021">
        <v>2020</v>
      </c>
    </row>
    <row r="2022" spans="92:92" x14ac:dyDescent="0.3">
      <c r="CN2022">
        <v>2021</v>
      </c>
    </row>
    <row r="2023" spans="92:92" x14ac:dyDescent="0.3">
      <c r="CN2023">
        <v>2022</v>
      </c>
    </row>
    <row r="2024" spans="92:92" x14ac:dyDescent="0.3">
      <c r="CN2024">
        <v>2023</v>
      </c>
    </row>
    <row r="2025" spans="92:92" x14ac:dyDescent="0.3">
      <c r="CN2025">
        <v>2024</v>
      </c>
    </row>
    <row r="2026" spans="92:92" x14ac:dyDescent="0.3">
      <c r="CN2026">
        <v>2025</v>
      </c>
    </row>
    <row r="2027" spans="92:92" x14ac:dyDescent="0.3">
      <c r="CN2027">
        <v>2026</v>
      </c>
    </row>
    <row r="2028" spans="92:92" x14ac:dyDescent="0.3">
      <c r="CN2028">
        <v>2027</v>
      </c>
    </row>
    <row r="2029" spans="92:92" x14ac:dyDescent="0.3">
      <c r="CN2029">
        <v>2028</v>
      </c>
    </row>
    <row r="2030" spans="92:92" x14ac:dyDescent="0.3">
      <c r="CN2030">
        <v>2029</v>
      </c>
    </row>
    <row r="2031" spans="92:92" x14ac:dyDescent="0.3">
      <c r="CN2031">
        <v>2030</v>
      </c>
    </row>
    <row r="2032" spans="92:92" x14ac:dyDescent="0.3">
      <c r="CN2032">
        <v>2031</v>
      </c>
    </row>
    <row r="2033" spans="92:92" x14ac:dyDescent="0.3">
      <c r="CN2033">
        <v>2032</v>
      </c>
    </row>
    <row r="2034" spans="92:92" x14ac:dyDescent="0.3">
      <c r="CN2034">
        <v>2033</v>
      </c>
    </row>
    <row r="2035" spans="92:92" x14ac:dyDescent="0.3">
      <c r="CN2035">
        <v>2034</v>
      </c>
    </row>
    <row r="2036" spans="92:92" x14ac:dyDescent="0.3">
      <c r="CN2036">
        <v>2035</v>
      </c>
    </row>
    <row r="2037" spans="92:92" x14ac:dyDescent="0.3">
      <c r="CN2037">
        <v>2036</v>
      </c>
    </row>
    <row r="2038" spans="92:92" x14ac:dyDescent="0.3">
      <c r="CN2038">
        <v>2037</v>
      </c>
    </row>
    <row r="2039" spans="92:92" x14ac:dyDescent="0.3">
      <c r="CN2039">
        <v>2038</v>
      </c>
    </row>
    <row r="2040" spans="92:92" x14ac:dyDescent="0.3">
      <c r="CN2040">
        <v>2039</v>
      </c>
    </row>
    <row r="2041" spans="92:92" x14ac:dyDescent="0.3">
      <c r="CN2041">
        <v>2040</v>
      </c>
    </row>
    <row r="2042" spans="92:92" x14ac:dyDescent="0.3">
      <c r="CN2042">
        <v>2041</v>
      </c>
    </row>
    <row r="2043" spans="92:92" x14ac:dyDescent="0.3">
      <c r="CN2043">
        <v>2042</v>
      </c>
    </row>
    <row r="2044" spans="92:92" x14ac:dyDescent="0.3">
      <c r="CN2044">
        <v>2043</v>
      </c>
    </row>
    <row r="2045" spans="92:92" x14ac:dyDescent="0.3">
      <c r="CN2045">
        <v>2044</v>
      </c>
    </row>
    <row r="2046" spans="92:92" x14ac:dyDescent="0.3">
      <c r="CN2046">
        <v>2045</v>
      </c>
    </row>
    <row r="2047" spans="92:92" x14ac:dyDescent="0.3">
      <c r="CN2047">
        <v>2046</v>
      </c>
    </row>
    <row r="2048" spans="92:92" x14ac:dyDescent="0.3">
      <c r="CN2048">
        <v>2047</v>
      </c>
    </row>
    <row r="2049" spans="92:92" x14ac:dyDescent="0.3">
      <c r="CN2049">
        <v>2048</v>
      </c>
    </row>
    <row r="2050" spans="92:92" x14ac:dyDescent="0.3">
      <c r="CN2050">
        <v>2049</v>
      </c>
    </row>
    <row r="2051" spans="92:92" x14ac:dyDescent="0.3">
      <c r="CN2051">
        <v>2050</v>
      </c>
    </row>
    <row r="2052" spans="92:92" x14ac:dyDescent="0.3">
      <c r="CN2052">
        <v>2051</v>
      </c>
    </row>
    <row r="2053" spans="92:92" x14ac:dyDescent="0.3">
      <c r="CN2053">
        <v>2052</v>
      </c>
    </row>
    <row r="2054" spans="92:92" x14ac:dyDescent="0.3">
      <c r="CN2054">
        <v>2053</v>
      </c>
    </row>
    <row r="2055" spans="92:92" x14ac:dyDescent="0.3">
      <c r="CN2055">
        <v>2054</v>
      </c>
    </row>
    <row r="2056" spans="92:92" x14ac:dyDescent="0.3">
      <c r="CN2056">
        <v>2055</v>
      </c>
    </row>
    <row r="2057" spans="92:92" x14ac:dyDescent="0.3">
      <c r="CN2057">
        <v>2056</v>
      </c>
    </row>
    <row r="2058" spans="92:92" x14ac:dyDescent="0.3">
      <c r="CN2058">
        <v>2057</v>
      </c>
    </row>
    <row r="2059" spans="92:92" x14ac:dyDescent="0.3">
      <c r="CN2059">
        <v>2058</v>
      </c>
    </row>
    <row r="2060" spans="92:92" x14ac:dyDescent="0.3">
      <c r="CN2060">
        <v>2059</v>
      </c>
    </row>
    <row r="2061" spans="92:92" x14ac:dyDescent="0.3">
      <c r="CN2061">
        <v>2060</v>
      </c>
    </row>
    <row r="2062" spans="92:92" x14ac:dyDescent="0.3">
      <c r="CN2062">
        <v>2061</v>
      </c>
    </row>
    <row r="2063" spans="92:92" x14ac:dyDescent="0.3">
      <c r="CN2063">
        <v>2062</v>
      </c>
    </row>
    <row r="2064" spans="92:92" x14ac:dyDescent="0.3">
      <c r="CN2064">
        <v>2063</v>
      </c>
    </row>
    <row r="2065" spans="92:92" x14ac:dyDescent="0.3">
      <c r="CN2065">
        <v>2064</v>
      </c>
    </row>
    <row r="2066" spans="92:92" x14ac:dyDescent="0.3">
      <c r="CN2066">
        <v>2065</v>
      </c>
    </row>
    <row r="2067" spans="92:92" x14ac:dyDescent="0.3">
      <c r="CN2067">
        <v>2066</v>
      </c>
    </row>
    <row r="2068" spans="92:92" x14ac:dyDescent="0.3">
      <c r="CN2068">
        <v>2067</v>
      </c>
    </row>
    <row r="2069" spans="92:92" x14ac:dyDescent="0.3">
      <c r="CN2069">
        <v>2068</v>
      </c>
    </row>
    <row r="2070" spans="92:92" x14ac:dyDescent="0.3">
      <c r="CN2070">
        <v>2069</v>
      </c>
    </row>
    <row r="2071" spans="92:92" x14ac:dyDescent="0.3">
      <c r="CN2071">
        <v>2070</v>
      </c>
    </row>
    <row r="2072" spans="92:92" x14ac:dyDescent="0.3">
      <c r="CN2072">
        <v>2071</v>
      </c>
    </row>
    <row r="2073" spans="92:92" x14ac:dyDescent="0.3">
      <c r="CN2073">
        <v>2072</v>
      </c>
    </row>
    <row r="2074" spans="92:92" x14ac:dyDescent="0.3">
      <c r="CN2074">
        <v>2073</v>
      </c>
    </row>
    <row r="2075" spans="92:92" x14ac:dyDescent="0.3">
      <c r="CN2075">
        <v>2074</v>
      </c>
    </row>
    <row r="2076" spans="92:92" x14ac:dyDescent="0.3">
      <c r="CN2076">
        <v>2075</v>
      </c>
    </row>
    <row r="2077" spans="92:92" x14ac:dyDescent="0.3">
      <c r="CN2077">
        <v>2076</v>
      </c>
    </row>
    <row r="2078" spans="92:92" x14ac:dyDescent="0.3">
      <c r="CN2078">
        <v>2077</v>
      </c>
    </row>
    <row r="2079" spans="92:92" x14ac:dyDescent="0.3">
      <c r="CN2079">
        <v>2078</v>
      </c>
    </row>
    <row r="2080" spans="92:92" x14ac:dyDescent="0.3">
      <c r="CN2080">
        <v>2079</v>
      </c>
    </row>
    <row r="2081" spans="92:92" x14ac:dyDescent="0.3">
      <c r="CN2081">
        <v>2080</v>
      </c>
    </row>
    <row r="2082" spans="92:92" x14ac:dyDescent="0.3">
      <c r="CN2082">
        <v>2081</v>
      </c>
    </row>
    <row r="2083" spans="92:92" x14ac:dyDescent="0.3">
      <c r="CN2083">
        <v>2082</v>
      </c>
    </row>
    <row r="2084" spans="92:92" x14ac:dyDescent="0.3">
      <c r="CN2084">
        <v>2083</v>
      </c>
    </row>
    <row r="2085" spans="92:92" x14ac:dyDescent="0.3">
      <c r="CN2085">
        <v>2084</v>
      </c>
    </row>
    <row r="2086" spans="92:92" x14ac:dyDescent="0.3">
      <c r="CN2086">
        <v>2085</v>
      </c>
    </row>
    <row r="2087" spans="92:92" x14ac:dyDescent="0.3">
      <c r="CN2087">
        <v>2086</v>
      </c>
    </row>
    <row r="2088" spans="92:92" x14ac:dyDescent="0.3">
      <c r="CN2088">
        <v>2087</v>
      </c>
    </row>
    <row r="2089" spans="92:92" x14ac:dyDescent="0.3">
      <c r="CN2089">
        <v>2088</v>
      </c>
    </row>
    <row r="2090" spans="92:92" x14ac:dyDescent="0.3">
      <c r="CN2090">
        <v>2089</v>
      </c>
    </row>
    <row r="2091" spans="92:92" x14ac:dyDescent="0.3">
      <c r="CN2091">
        <v>2090</v>
      </c>
    </row>
    <row r="2092" spans="92:92" x14ac:dyDescent="0.3">
      <c r="CN2092">
        <v>2091</v>
      </c>
    </row>
    <row r="2093" spans="92:92" x14ac:dyDescent="0.3">
      <c r="CN2093">
        <v>2092</v>
      </c>
    </row>
    <row r="2094" spans="92:92" x14ac:dyDescent="0.3">
      <c r="CN2094">
        <v>2093</v>
      </c>
    </row>
    <row r="2095" spans="92:92" x14ac:dyDescent="0.3">
      <c r="CN2095">
        <v>2094</v>
      </c>
    </row>
    <row r="2096" spans="92:92" x14ac:dyDescent="0.3">
      <c r="CN2096">
        <v>2095</v>
      </c>
    </row>
    <row r="2097" spans="92:92" x14ac:dyDescent="0.3">
      <c r="CN2097">
        <v>2096</v>
      </c>
    </row>
    <row r="2098" spans="92:92" x14ac:dyDescent="0.3">
      <c r="CN2098">
        <v>2097</v>
      </c>
    </row>
    <row r="2099" spans="92:92" x14ac:dyDescent="0.3">
      <c r="CN2099">
        <v>2098</v>
      </c>
    </row>
    <row r="2100" spans="92:92" x14ac:dyDescent="0.3">
      <c r="CN2100">
        <v>2099</v>
      </c>
    </row>
    <row r="2101" spans="92:92" x14ac:dyDescent="0.3">
      <c r="CN2101">
        <v>2100</v>
      </c>
    </row>
    <row r="2102" spans="92:92" x14ac:dyDescent="0.3">
      <c r="CN2102">
        <v>2101</v>
      </c>
    </row>
    <row r="2103" spans="92:92" x14ac:dyDescent="0.3">
      <c r="CN2103">
        <v>2102</v>
      </c>
    </row>
    <row r="2104" spans="92:92" x14ac:dyDescent="0.3">
      <c r="CN2104">
        <v>2103</v>
      </c>
    </row>
    <row r="2105" spans="92:92" x14ac:dyDescent="0.3">
      <c r="CN2105">
        <v>2104</v>
      </c>
    </row>
    <row r="2106" spans="92:92" x14ac:dyDescent="0.3">
      <c r="CN2106">
        <v>2105</v>
      </c>
    </row>
    <row r="2107" spans="92:92" x14ac:dyDescent="0.3">
      <c r="CN2107">
        <v>2106</v>
      </c>
    </row>
    <row r="2108" spans="92:92" x14ac:dyDescent="0.3">
      <c r="CN2108">
        <v>2107</v>
      </c>
    </row>
    <row r="2109" spans="92:92" x14ac:dyDescent="0.3">
      <c r="CN2109">
        <v>2108</v>
      </c>
    </row>
    <row r="2110" spans="92:92" x14ac:dyDescent="0.3">
      <c r="CN2110">
        <v>2109</v>
      </c>
    </row>
    <row r="2111" spans="92:92" x14ac:dyDescent="0.3">
      <c r="CN2111">
        <v>2110</v>
      </c>
    </row>
    <row r="2112" spans="92:92" x14ac:dyDescent="0.3">
      <c r="CN2112">
        <v>2111</v>
      </c>
    </row>
    <row r="2113" spans="92:92" x14ac:dyDescent="0.3">
      <c r="CN2113">
        <v>2112</v>
      </c>
    </row>
    <row r="2114" spans="92:92" x14ac:dyDescent="0.3">
      <c r="CN2114">
        <v>2113</v>
      </c>
    </row>
    <row r="2115" spans="92:92" x14ac:dyDescent="0.3">
      <c r="CN2115">
        <v>2114</v>
      </c>
    </row>
    <row r="2116" spans="92:92" x14ac:dyDescent="0.3">
      <c r="CN2116">
        <v>2115</v>
      </c>
    </row>
    <row r="2117" spans="92:92" x14ac:dyDescent="0.3">
      <c r="CN2117">
        <v>2116</v>
      </c>
    </row>
    <row r="2118" spans="92:92" x14ac:dyDescent="0.3">
      <c r="CN2118">
        <v>2117</v>
      </c>
    </row>
    <row r="2119" spans="92:92" x14ac:dyDescent="0.3">
      <c r="CN2119">
        <v>2118</v>
      </c>
    </row>
    <row r="2120" spans="92:92" x14ac:dyDescent="0.3">
      <c r="CN2120">
        <v>2119</v>
      </c>
    </row>
    <row r="2121" spans="92:92" x14ac:dyDescent="0.3">
      <c r="CN2121">
        <v>2120</v>
      </c>
    </row>
    <row r="2122" spans="92:92" x14ac:dyDescent="0.3">
      <c r="CN2122">
        <v>2121</v>
      </c>
    </row>
    <row r="2123" spans="92:92" x14ac:dyDescent="0.3">
      <c r="CN2123">
        <v>2122</v>
      </c>
    </row>
    <row r="2124" spans="92:92" x14ac:dyDescent="0.3">
      <c r="CN2124">
        <v>2123</v>
      </c>
    </row>
    <row r="2125" spans="92:92" x14ac:dyDescent="0.3">
      <c r="CN2125">
        <v>2124</v>
      </c>
    </row>
    <row r="2126" spans="92:92" x14ac:dyDescent="0.3">
      <c r="CN2126">
        <v>2125</v>
      </c>
    </row>
    <row r="2127" spans="92:92" x14ac:dyDescent="0.3">
      <c r="CN2127">
        <v>2126</v>
      </c>
    </row>
    <row r="2128" spans="92:92" x14ac:dyDescent="0.3">
      <c r="CN2128">
        <v>2127</v>
      </c>
    </row>
    <row r="2129" spans="92:92" x14ac:dyDescent="0.3">
      <c r="CN2129">
        <v>2128</v>
      </c>
    </row>
    <row r="2130" spans="92:92" x14ac:dyDescent="0.3">
      <c r="CN2130">
        <v>2129</v>
      </c>
    </row>
    <row r="2131" spans="92:92" x14ac:dyDescent="0.3">
      <c r="CN2131">
        <v>2130</v>
      </c>
    </row>
    <row r="2132" spans="92:92" x14ac:dyDescent="0.3">
      <c r="CN2132">
        <v>2131</v>
      </c>
    </row>
    <row r="2133" spans="92:92" x14ac:dyDescent="0.3">
      <c r="CN2133">
        <v>2132</v>
      </c>
    </row>
    <row r="2134" spans="92:92" x14ac:dyDescent="0.3">
      <c r="CN2134">
        <v>2133</v>
      </c>
    </row>
    <row r="2135" spans="92:92" x14ac:dyDescent="0.3">
      <c r="CN2135">
        <v>2134</v>
      </c>
    </row>
    <row r="2136" spans="92:92" x14ac:dyDescent="0.3">
      <c r="CN2136">
        <v>2135</v>
      </c>
    </row>
    <row r="2137" spans="92:92" x14ac:dyDescent="0.3">
      <c r="CN2137">
        <v>2136</v>
      </c>
    </row>
    <row r="2138" spans="92:92" x14ac:dyDescent="0.3">
      <c r="CN2138">
        <v>2137</v>
      </c>
    </row>
    <row r="2139" spans="92:92" x14ac:dyDescent="0.3">
      <c r="CN2139">
        <v>2138</v>
      </c>
    </row>
    <row r="2140" spans="92:92" x14ac:dyDescent="0.3">
      <c r="CN2140">
        <v>2139</v>
      </c>
    </row>
    <row r="2141" spans="92:92" x14ac:dyDescent="0.3">
      <c r="CN2141">
        <v>2140</v>
      </c>
    </row>
    <row r="2142" spans="92:92" x14ac:dyDescent="0.3">
      <c r="CN2142">
        <v>2141</v>
      </c>
    </row>
    <row r="2143" spans="92:92" x14ac:dyDescent="0.3">
      <c r="CN2143">
        <v>2142</v>
      </c>
    </row>
    <row r="2144" spans="92:92" x14ac:dyDescent="0.3">
      <c r="CN2144">
        <v>2143</v>
      </c>
    </row>
    <row r="2145" spans="92:92" x14ac:dyDescent="0.3">
      <c r="CN2145">
        <v>2144</v>
      </c>
    </row>
    <row r="2146" spans="92:92" x14ac:dyDescent="0.3">
      <c r="CN2146">
        <v>2145</v>
      </c>
    </row>
    <row r="2147" spans="92:92" x14ac:dyDescent="0.3">
      <c r="CN2147">
        <v>2146</v>
      </c>
    </row>
    <row r="2148" spans="92:92" x14ac:dyDescent="0.3">
      <c r="CN2148">
        <v>2147</v>
      </c>
    </row>
    <row r="2149" spans="92:92" x14ac:dyDescent="0.3">
      <c r="CN2149">
        <v>2148</v>
      </c>
    </row>
    <row r="2150" spans="92:92" x14ac:dyDescent="0.3">
      <c r="CN2150">
        <v>2149</v>
      </c>
    </row>
    <row r="2151" spans="92:92" x14ac:dyDescent="0.3">
      <c r="CN2151">
        <v>2150</v>
      </c>
    </row>
    <row r="2152" spans="92:92" x14ac:dyDescent="0.3">
      <c r="CN2152">
        <v>2151</v>
      </c>
    </row>
    <row r="2153" spans="92:92" x14ac:dyDescent="0.3">
      <c r="CN2153">
        <v>2152</v>
      </c>
    </row>
    <row r="2154" spans="92:92" x14ac:dyDescent="0.3">
      <c r="CN2154">
        <v>2153</v>
      </c>
    </row>
    <row r="2155" spans="92:92" x14ac:dyDescent="0.3">
      <c r="CN2155">
        <v>2154</v>
      </c>
    </row>
    <row r="2156" spans="92:92" x14ac:dyDescent="0.3">
      <c r="CN2156">
        <v>2155</v>
      </c>
    </row>
    <row r="2157" spans="92:92" x14ac:dyDescent="0.3">
      <c r="CN2157">
        <v>2156</v>
      </c>
    </row>
    <row r="2158" spans="92:92" x14ac:dyDescent="0.3">
      <c r="CN2158">
        <v>2157</v>
      </c>
    </row>
    <row r="2159" spans="92:92" x14ac:dyDescent="0.3">
      <c r="CN2159">
        <v>2158</v>
      </c>
    </row>
    <row r="2160" spans="92:92" x14ac:dyDescent="0.3">
      <c r="CN2160">
        <v>2159</v>
      </c>
    </row>
    <row r="2161" spans="92:92" x14ac:dyDescent="0.3">
      <c r="CN2161">
        <v>2160</v>
      </c>
    </row>
    <row r="2162" spans="92:92" x14ac:dyDescent="0.3">
      <c r="CN2162">
        <v>2161</v>
      </c>
    </row>
    <row r="2163" spans="92:92" x14ac:dyDescent="0.3">
      <c r="CN2163">
        <v>2162</v>
      </c>
    </row>
    <row r="2164" spans="92:92" x14ac:dyDescent="0.3">
      <c r="CN2164">
        <v>2163</v>
      </c>
    </row>
    <row r="2165" spans="92:92" x14ac:dyDescent="0.3">
      <c r="CN2165">
        <v>2164</v>
      </c>
    </row>
    <row r="2166" spans="92:92" x14ac:dyDescent="0.3">
      <c r="CN2166">
        <v>2165</v>
      </c>
    </row>
    <row r="2167" spans="92:92" x14ac:dyDescent="0.3">
      <c r="CN2167">
        <v>2166</v>
      </c>
    </row>
    <row r="2168" spans="92:92" x14ac:dyDescent="0.3">
      <c r="CN2168">
        <v>2167</v>
      </c>
    </row>
    <row r="2169" spans="92:92" x14ac:dyDescent="0.3">
      <c r="CN2169">
        <v>2168</v>
      </c>
    </row>
    <row r="2170" spans="92:92" x14ac:dyDescent="0.3">
      <c r="CN2170">
        <v>2169</v>
      </c>
    </row>
    <row r="2171" spans="92:92" x14ac:dyDescent="0.3">
      <c r="CN2171">
        <v>2170</v>
      </c>
    </row>
    <row r="2172" spans="92:92" x14ac:dyDescent="0.3">
      <c r="CN2172">
        <v>2171</v>
      </c>
    </row>
    <row r="2173" spans="92:92" x14ac:dyDescent="0.3">
      <c r="CN2173">
        <v>2172</v>
      </c>
    </row>
    <row r="2174" spans="92:92" x14ac:dyDescent="0.3">
      <c r="CN2174">
        <v>2173</v>
      </c>
    </row>
    <row r="2175" spans="92:92" x14ac:dyDescent="0.3">
      <c r="CN2175">
        <v>2174</v>
      </c>
    </row>
    <row r="2176" spans="92:92" x14ac:dyDescent="0.3">
      <c r="CN2176">
        <v>2175</v>
      </c>
    </row>
    <row r="2177" spans="92:92" x14ac:dyDescent="0.3">
      <c r="CN2177">
        <v>2176</v>
      </c>
    </row>
    <row r="2178" spans="92:92" x14ac:dyDescent="0.3">
      <c r="CN2178">
        <v>2177</v>
      </c>
    </row>
    <row r="2179" spans="92:92" x14ac:dyDescent="0.3">
      <c r="CN2179">
        <v>2178</v>
      </c>
    </row>
    <row r="2180" spans="92:92" x14ac:dyDescent="0.3">
      <c r="CN2180">
        <v>2179</v>
      </c>
    </row>
    <row r="2181" spans="92:92" x14ac:dyDescent="0.3">
      <c r="CN2181">
        <v>2180</v>
      </c>
    </row>
    <row r="2182" spans="92:92" x14ac:dyDescent="0.3">
      <c r="CN2182">
        <v>2181</v>
      </c>
    </row>
    <row r="2183" spans="92:92" x14ac:dyDescent="0.3">
      <c r="CN2183">
        <v>2182</v>
      </c>
    </row>
    <row r="2184" spans="92:92" x14ac:dyDescent="0.3">
      <c r="CN2184">
        <v>2183</v>
      </c>
    </row>
    <row r="2185" spans="92:92" x14ac:dyDescent="0.3">
      <c r="CN2185">
        <v>2184</v>
      </c>
    </row>
    <row r="2186" spans="92:92" x14ac:dyDescent="0.3">
      <c r="CN2186">
        <v>2185</v>
      </c>
    </row>
    <row r="2187" spans="92:92" x14ac:dyDescent="0.3">
      <c r="CN2187">
        <v>2186</v>
      </c>
    </row>
    <row r="2188" spans="92:92" x14ac:dyDescent="0.3">
      <c r="CN2188">
        <v>2187</v>
      </c>
    </row>
    <row r="2189" spans="92:92" x14ac:dyDescent="0.3">
      <c r="CN2189">
        <v>2188</v>
      </c>
    </row>
    <row r="2190" spans="92:92" x14ac:dyDescent="0.3">
      <c r="CN2190">
        <v>2189</v>
      </c>
    </row>
    <row r="2191" spans="92:92" x14ac:dyDescent="0.3">
      <c r="CN2191">
        <v>2190</v>
      </c>
    </row>
    <row r="2192" spans="92:92" x14ac:dyDescent="0.3">
      <c r="CN2192">
        <v>2191</v>
      </c>
    </row>
    <row r="2193" spans="92:92" x14ac:dyDescent="0.3">
      <c r="CN2193">
        <v>2192</v>
      </c>
    </row>
    <row r="2194" spans="92:92" x14ac:dyDescent="0.3">
      <c r="CN2194">
        <v>2193</v>
      </c>
    </row>
    <row r="2195" spans="92:92" x14ac:dyDescent="0.3">
      <c r="CN2195">
        <v>2194</v>
      </c>
    </row>
    <row r="2196" spans="92:92" x14ac:dyDescent="0.3">
      <c r="CN2196">
        <v>2195</v>
      </c>
    </row>
    <row r="2197" spans="92:92" x14ac:dyDescent="0.3">
      <c r="CN2197">
        <v>2196</v>
      </c>
    </row>
    <row r="2198" spans="92:92" x14ac:dyDescent="0.3">
      <c r="CN2198">
        <v>2197</v>
      </c>
    </row>
    <row r="2199" spans="92:92" x14ac:dyDescent="0.3">
      <c r="CN2199">
        <v>2198</v>
      </c>
    </row>
    <row r="2200" spans="92:92" x14ac:dyDescent="0.3">
      <c r="CN2200">
        <v>2199</v>
      </c>
    </row>
    <row r="2201" spans="92:92" x14ac:dyDescent="0.3">
      <c r="CN2201">
        <v>2200</v>
      </c>
    </row>
    <row r="2202" spans="92:92" x14ac:dyDescent="0.3">
      <c r="CN2202">
        <v>2201</v>
      </c>
    </row>
    <row r="2203" spans="92:92" x14ac:dyDescent="0.3">
      <c r="CN2203">
        <v>2202</v>
      </c>
    </row>
    <row r="2204" spans="92:92" x14ac:dyDescent="0.3">
      <c r="CN2204">
        <v>2203</v>
      </c>
    </row>
    <row r="2205" spans="92:92" x14ac:dyDescent="0.3">
      <c r="CN2205">
        <v>2204</v>
      </c>
    </row>
    <row r="2206" spans="92:92" x14ac:dyDescent="0.3">
      <c r="CN2206">
        <v>2205</v>
      </c>
    </row>
    <row r="2207" spans="92:92" x14ac:dyDescent="0.3">
      <c r="CN2207">
        <v>2206</v>
      </c>
    </row>
    <row r="2208" spans="92:92" x14ac:dyDescent="0.3">
      <c r="CN2208">
        <v>2207</v>
      </c>
    </row>
    <row r="2209" spans="92:92" x14ac:dyDescent="0.3">
      <c r="CN2209">
        <v>2208</v>
      </c>
    </row>
    <row r="2210" spans="92:92" x14ac:dyDescent="0.3">
      <c r="CN2210">
        <v>2209</v>
      </c>
    </row>
    <row r="2211" spans="92:92" x14ac:dyDescent="0.3">
      <c r="CN2211">
        <v>2210</v>
      </c>
    </row>
    <row r="2212" spans="92:92" x14ac:dyDescent="0.3">
      <c r="CN2212">
        <v>2211</v>
      </c>
    </row>
    <row r="2213" spans="92:92" x14ac:dyDescent="0.3">
      <c r="CN2213">
        <v>2212</v>
      </c>
    </row>
    <row r="2214" spans="92:92" x14ac:dyDescent="0.3">
      <c r="CN2214">
        <v>2213</v>
      </c>
    </row>
    <row r="2215" spans="92:92" x14ac:dyDescent="0.3">
      <c r="CN2215">
        <v>2214</v>
      </c>
    </row>
    <row r="2216" spans="92:92" x14ac:dyDescent="0.3">
      <c r="CN2216">
        <v>2215</v>
      </c>
    </row>
    <row r="2217" spans="92:92" x14ac:dyDescent="0.3">
      <c r="CN2217">
        <v>2216</v>
      </c>
    </row>
    <row r="2218" spans="92:92" x14ac:dyDescent="0.3">
      <c r="CN2218">
        <v>2217</v>
      </c>
    </row>
    <row r="2219" spans="92:92" x14ac:dyDescent="0.3">
      <c r="CN2219">
        <v>2218</v>
      </c>
    </row>
    <row r="2220" spans="92:92" x14ac:dyDescent="0.3">
      <c r="CN2220">
        <v>2219</v>
      </c>
    </row>
    <row r="2221" spans="92:92" x14ac:dyDescent="0.3">
      <c r="CN2221">
        <v>2220</v>
      </c>
    </row>
    <row r="2222" spans="92:92" x14ac:dyDescent="0.3">
      <c r="CN2222">
        <v>2221</v>
      </c>
    </row>
    <row r="2223" spans="92:92" x14ac:dyDescent="0.3">
      <c r="CN2223">
        <v>2222</v>
      </c>
    </row>
    <row r="2224" spans="92:92" x14ac:dyDescent="0.3">
      <c r="CN2224">
        <v>2223</v>
      </c>
    </row>
    <row r="2225" spans="92:92" x14ac:dyDescent="0.3">
      <c r="CN2225">
        <v>2224</v>
      </c>
    </row>
    <row r="2226" spans="92:92" x14ac:dyDescent="0.3">
      <c r="CN2226">
        <v>2225</v>
      </c>
    </row>
    <row r="2227" spans="92:92" x14ac:dyDescent="0.3">
      <c r="CN2227">
        <v>2226</v>
      </c>
    </row>
    <row r="2228" spans="92:92" x14ac:dyDescent="0.3">
      <c r="CN2228">
        <v>2227</v>
      </c>
    </row>
    <row r="2229" spans="92:92" x14ac:dyDescent="0.3">
      <c r="CN2229">
        <v>2228</v>
      </c>
    </row>
    <row r="2230" spans="92:92" x14ac:dyDescent="0.3">
      <c r="CN2230">
        <v>2229</v>
      </c>
    </row>
    <row r="2231" spans="92:92" x14ac:dyDescent="0.3">
      <c r="CN2231">
        <v>2230</v>
      </c>
    </row>
    <row r="2232" spans="92:92" x14ac:dyDescent="0.3">
      <c r="CN2232">
        <v>2231</v>
      </c>
    </row>
    <row r="2233" spans="92:92" x14ac:dyDescent="0.3">
      <c r="CN2233">
        <v>2232</v>
      </c>
    </row>
    <row r="2234" spans="92:92" x14ac:dyDescent="0.3">
      <c r="CN2234">
        <v>2233</v>
      </c>
    </row>
    <row r="2235" spans="92:92" x14ac:dyDescent="0.3">
      <c r="CN2235">
        <v>2234</v>
      </c>
    </row>
    <row r="2236" spans="92:92" x14ac:dyDescent="0.3">
      <c r="CN2236">
        <v>2235</v>
      </c>
    </row>
    <row r="2237" spans="92:92" x14ac:dyDescent="0.3">
      <c r="CN2237">
        <v>2236</v>
      </c>
    </row>
    <row r="2238" spans="92:92" x14ac:dyDescent="0.3">
      <c r="CN2238">
        <v>2237</v>
      </c>
    </row>
    <row r="2239" spans="92:92" x14ac:dyDescent="0.3">
      <c r="CN2239">
        <v>2238</v>
      </c>
    </row>
    <row r="2240" spans="92:92" x14ac:dyDescent="0.3">
      <c r="CN2240">
        <v>2239</v>
      </c>
    </row>
    <row r="2241" spans="92:92" x14ac:dyDescent="0.3">
      <c r="CN2241">
        <v>2240</v>
      </c>
    </row>
    <row r="2242" spans="92:92" x14ac:dyDescent="0.3">
      <c r="CN2242">
        <v>2241</v>
      </c>
    </row>
    <row r="2243" spans="92:92" x14ac:dyDescent="0.3">
      <c r="CN2243">
        <v>2242</v>
      </c>
    </row>
    <row r="2244" spans="92:92" x14ac:dyDescent="0.3">
      <c r="CN2244">
        <v>2243</v>
      </c>
    </row>
    <row r="2245" spans="92:92" x14ac:dyDescent="0.3">
      <c r="CN2245">
        <v>2244</v>
      </c>
    </row>
    <row r="2246" spans="92:92" x14ac:dyDescent="0.3">
      <c r="CN2246">
        <v>2245</v>
      </c>
    </row>
    <row r="2247" spans="92:92" x14ac:dyDescent="0.3">
      <c r="CN2247">
        <v>2246</v>
      </c>
    </row>
    <row r="2248" spans="92:92" x14ac:dyDescent="0.3">
      <c r="CN2248">
        <v>2247</v>
      </c>
    </row>
    <row r="2249" spans="92:92" x14ac:dyDescent="0.3">
      <c r="CN2249">
        <v>2248</v>
      </c>
    </row>
    <row r="2250" spans="92:92" x14ac:dyDescent="0.3">
      <c r="CN2250">
        <v>2249</v>
      </c>
    </row>
    <row r="2251" spans="92:92" x14ac:dyDescent="0.3">
      <c r="CN2251">
        <v>2250</v>
      </c>
    </row>
    <row r="2252" spans="92:92" x14ac:dyDescent="0.3">
      <c r="CN2252">
        <v>2251</v>
      </c>
    </row>
    <row r="2253" spans="92:92" x14ac:dyDescent="0.3">
      <c r="CN2253">
        <v>2252</v>
      </c>
    </row>
    <row r="2254" spans="92:92" x14ac:dyDescent="0.3">
      <c r="CN2254">
        <v>2253</v>
      </c>
    </row>
    <row r="2255" spans="92:92" x14ac:dyDescent="0.3">
      <c r="CN2255">
        <v>2254</v>
      </c>
    </row>
    <row r="2256" spans="92:92" x14ac:dyDescent="0.3">
      <c r="CN2256">
        <v>2255</v>
      </c>
    </row>
    <row r="2257" spans="92:92" x14ac:dyDescent="0.3">
      <c r="CN2257">
        <v>2256</v>
      </c>
    </row>
    <row r="2258" spans="92:92" x14ac:dyDescent="0.3">
      <c r="CN2258">
        <v>2257</v>
      </c>
    </row>
    <row r="2259" spans="92:92" x14ac:dyDescent="0.3">
      <c r="CN2259">
        <v>2258</v>
      </c>
    </row>
    <row r="2260" spans="92:92" x14ac:dyDescent="0.3">
      <c r="CN2260">
        <v>2259</v>
      </c>
    </row>
    <row r="2261" spans="92:92" x14ac:dyDescent="0.3">
      <c r="CN2261">
        <v>2260</v>
      </c>
    </row>
    <row r="2262" spans="92:92" x14ac:dyDescent="0.3">
      <c r="CN2262">
        <v>2261</v>
      </c>
    </row>
    <row r="2263" spans="92:92" x14ac:dyDescent="0.3">
      <c r="CN2263">
        <v>2262</v>
      </c>
    </row>
    <row r="2264" spans="92:92" x14ac:dyDescent="0.3">
      <c r="CN2264">
        <v>2263</v>
      </c>
    </row>
    <row r="2265" spans="92:92" x14ac:dyDescent="0.3">
      <c r="CN2265">
        <v>2264</v>
      </c>
    </row>
    <row r="2266" spans="92:92" x14ac:dyDescent="0.3">
      <c r="CN2266">
        <v>2265</v>
      </c>
    </row>
    <row r="2267" spans="92:92" x14ac:dyDescent="0.3">
      <c r="CN2267">
        <v>2266</v>
      </c>
    </row>
    <row r="2268" spans="92:92" x14ac:dyDescent="0.3">
      <c r="CN2268">
        <v>2267</v>
      </c>
    </row>
    <row r="2269" spans="92:92" x14ac:dyDescent="0.3">
      <c r="CN2269">
        <v>2268</v>
      </c>
    </row>
    <row r="2270" spans="92:92" x14ac:dyDescent="0.3">
      <c r="CN2270">
        <v>2269</v>
      </c>
    </row>
    <row r="2271" spans="92:92" x14ac:dyDescent="0.3">
      <c r="CN2271">
        <v>2270</v>
      </c>
    </row>
    <row r="2272" spans="92:92" x14ac:dyDescent="0.3">
      <c r="CN2272">
        <v>2271</v>
      </c>
    </row>
    <row r="2273" spans="92:92" x14ac:dyDescent="0.3">
      <c r="CN2273">
        <v>2272</v>
      </c>
    </row>
    <row r="2274" spans="92:92" x14ac:dyDescent="0.3">
      <c r="CN2274">
        <v>2273</v>
      </c>
    </row>
    <row r="2275" spans="92:92" x14ac:dyDescent="0.3">
      <c r="CN2275">
        <v>2274</v>
      </c>
    </row>
    <row r="2276" spans="92:92" x14ac:dyDescent="0.3">
      <c r="CN2276">
        <v>2275</v>
      </c>
    </row>
    <row r="2277" spans="92:92" x14ac:dyDescent="0.3">
      <c r="CN2277">
        <v>2276</v>
      </c>
    </row>
    <row r="2278" spans="92:92" x14ac:dyDescent="0.3">
      <c r="CN2278">
        <v>2277</v>
      </c>
    </row>
    <row r="2279" spans="92:92" x14ac:dyDescent="0.3">
      <c r="CN2279">
        <v>2278</v>
      </c>
    </row>
    <row r="2280" spans="92:92" x14ac:dyDescent="0.3">
      <c r="CN2280">
        <v>2279</v>
      </c>
    </row>
    <row r="2281" spans="92:92" x14ac:dyDescent="0.3">
      <c r="CN2281">
        <v>2280</v>
      </c>
    </row>
    <row r="2282" spans="92:92" x14ac:dyDescent="0.3">
      <c r="CN2282">
        <v>2281</v>
      </c>
    </row>
    <row r="2283" spans="92:92" x14ac:dyDescent="0.3">
      <c r="CN2283">
        <v>2282</v>
      </c>
    </row>
    <row r="2284" spans="92:92" x14ac:dyDescent="0.3">
      <c r="CN2284">
        <v>2283</v>
      </c>
    </row>
    <row r="2285" spans="92:92" x14ac:dyDescent="0.3">
      <c r="CN2285">
        <v>2284</v>
      </c>
    </row>
    <row r="2286" spans="92:92" x14ac:dyDescent="0.3">
      <c r="CN2286">
        <v>2285</v>
      </c>
    </row>
    <row r="2287" spans="92:92" x14ac:dyDescent="0.3">
      <c r="CN2287">
        <v>2286</v>
      </c>
    </row>
    <row r="2288" spans="92:92" x14ac:dyDescent="0.3">
      <c r="CN2288">
        <v>2287</v>
      </c>
    </row>
    <row r="2289" spans="92:92" x14ac:dyDescent="0.3">
      <c r="CN2289">
        <v>2288</v>
      </c>
    </row>
    <row r="2290" spans="92:92" x14ac:dyDescent="0.3">
      <c r="CN2290">
        <v>2289</v>
      </c>
    </row>
    <row r="2291" spans="92:92" x14ac:dyDescent="0.3">
      <c r="CN2291">
        <v>2290</v>
      </c>
    </row>
    <row r="2292" spans="92:92" x14ac:dyDescent="0.3">
      <c r="CN2292">
        <v>2291</v>
      </c>
    </row>
    <row r="2293" spans="92:92" x14ac:dyDescent="0.3">
      <c r="CN2293">
        <v>2292</v>
      </c>
    </row>
    <row r="2294" spans="92:92" x14ac:dyDescent="0.3">
      <c r="CN2294">
        <v>2293</v>
      </c>
    </row>
    <row r="2295" spans="92:92" x14ac:dyDescent="0.3">
      <c r="CN2295">
        <v>2294</v>
      </c>
    </row>
    <row r="2296" spans="92:92" x14ac:dyDescent="0.3">
      <c r="CN2296">
        <v>2295</v>
      </c>
    </row>
    <row r="2297" spans="92:92" x14ac:dyDescent="0.3">
      <c r="CN2297">
        <v>2296</v>
      </c>
    </row>
    <row r="2298" spans="92:92" x14ac:dyDescent="0.3">
      <c r="CN2298">
        <v>2297</v>
      </c>
    </row>
    <row r="2299" spans="92:92" x14ac:dyDescent="0.3">
      <c r="CN2299">
        <v>2298</v>
      </c>
    </row>
    <row r="2300" spans="92:92" x14ac:dyDescent="0.3">
      <c r="CN2300">
        <v>2299</v>
      </c>
    </row>
    <row r="2301" spans="92:92" x14ac:dyDescent="0.3">
      <c r="CN2301">
        <v>2300</v>
      </c>
    </row>
    <row r="2302" spans="92:92" x14ac:dyDescent="0.3">
      <c r="CN2302">
        <v>2301</v>
      </c>
    </row>
    <row r="2303" spans="92:92" x14ac:dyDescent="0.3">
      <c r="CN2303">
        <v>2302</v>
      </c>
    </row>
    <row r="2304" spans="92:92" x14ac:dyDescent="0.3">
      <c r="CN2304">
        <v>2303</v>
      </c>
    </row>
    <row r="2305" spans="92:92" x14ac:dyDescent="0.3">
      <c r="CN2305">
        <v>2304</v>
      </c>
    </row>
    <row r="2306" spans="92:92" x14ac:dyDescent="0.3">
      <c r="CN2306">
        <v>2305</v>
      </c>
    </row>
    <row r="2307" spans="92:92" x14ac:dyDescent="0.3">
      <c r="CN2307">
        <v>2306</v>
      </c>
    </row>
    <row r="2308" spans="92:92" x14ac:dyDescent="0.3">
      <c r="CN2308">
        <v>2307</v>
      </c>
    </row>
    <row r="2309" spans="92:92" x14ac:dyDescent="0.3">
      <c r="CN2309">
        <v>2308</v>
      </c>
    </row>
    <row r="2310" spans="92:92" x14ac:dyDescent="0.3">
      <c r="CN2310">
        <v>2309</v>
      </c>
    </row>
    <row r="2311" spans="92:92" x14ac:dyDescent="0.3">
      <c r="CN2311">
        <v>2310</v>
      </c>
    </row>
    <row r="2312" spans="92:92" x14ac:dyDescent="0.3">
      <c r="CN2312">
        <v>2311</v>
      </c>
    </row>
    <row r="2313" spans="92:92" x14ac:dyDescent="0.3">
      <c r="CN2313">
        <v>2312</v>
      </c>
    </row>
    <row r="2314" spans="92:92" x14ac:dyDescent="0.3">
      <c r="CN2314">
        <v>2313</v>
      </c>
    </row>
    <row r="2315" spans="92:92" x14ac:dyDescent="0.3">
      <c r="CN2315">
        <v>2314</v>
      </c>
    </row>
    <row r="2316" spans="92:92" x14ac:dyDescent="0.3">
      <c r="CN2316">
        <v>2315</v>
      </c>
    </row>
    <row r="2317" spans="92:92" x14ac:dyDescent="0.3">
      <c r="CN2317">
        <v>2316</v>
      </c>
    </row>
    <row r="2318" spans="92:92" x14ac:dyDescent="0.3">
      <c r="CN2318">
        <v>2317</v>
      </c>
    </row>
    <row r="2319" spans="92:92" x14ac:dyDescent="0.3">
      <c r="CN2319">
        <v>2318</v>
      </c>
    </row>
    <row r="2320" spans="92:92" x14ac:dyDescent="0.3">
      <c r="CN2320">
        <v>2319</v>
      </c>
    </row>
    <row r="2321" spans="92:92" x14ac:dyDescent="0.3">
      <c r="CN2321">
        <v>2320</v>
      </c>
    </row>
    <row r="2322" spans="92:92" x14ac:dyDescent="0.3">
      <c r="CN2322">
        <v>2321</v>
      </c>
    </row>
    <row r="2323" spans="92:92" x14ac:dyDescent="0.3">
      <c r="CN2323">
        <v>2322</v>
      </c>
    </row>
    <row r="2324" spans="92:92" x14ac:dyDescent="0.3">
      <c r="CN2324">
        <v>2323</v>
      </c>
    </row>
    <row r="2325" spans="92:92" x14ac:dyDescent="0.3">
      <c r="CN2325">
        <v>2324</v>
      </c>
    </row>
    <row r="2326" spans="92:92" x14ac:dyDescent="0.3">
      <c r="CN2326">
        <v>2325</v>
      </c>
    </row>
    <row r="2327" spans="92:92" x14ac:dyDescent="0.3">
      <c r="CN2327">
        <v>2326</v>
      </c>
    </row>
    <row r="2328" spans="92:92" x14ac:dyDescent="0.3">
      <c r="CN2328">
        <v>2327</v>
      </c>
    </row>
    <row r="2329" spans="92:92" x14ac:dyDescent="0.3">
      <c r="CN2329">
        <v>2328</v>
      </c>
    </row>
    <row r="2330" spans="92:92" x14ac:dyDescent="0.3">
      <c r="CN2330">
        <v>2329</v>
      </c>
    </row>
    <row r="2331" spans="92:92" x14ac:dyDescent="0.3">
      <c r="CN2331">
        <v>2330</v>
      </c>
    </row>
    <row r="2332" spans="92:92" x14ac:dyDescent="0.3">
      <c r="CN2332">
        <v>2331</v>
      </c>
    </row>
    <row r="2333" spans="92:92" x14ac:dyDescent="0.3">
      <c r="CN2333">
        <v>2332</v>
      </c>
    </row>
    <row r="2334" spans="92:92" x14ac:dyDescent="0.3">
      <c r="CN2334">
        <v>2333</v>
      </c>
    </row>
    <row r="2335" spans="92:92" x14ac:dyDescent="0.3">
      <c r="CN2335">
        <v>2334</v>
      </c>
    </row>
    <row r="2336" spans="92:92" x14ac:dyDescent="0.3">
      <c r="CN2336">
        <v>2335</v>
      </c>
    </row>
    <row r="2337" spans="92:92" x14ac:dyDescent="0.3">
      <c r="CN2337">
        <v>2336</v>
      </c>
    </row>
    <row r="2338" spans="92:92" x14ac:dyDescent="0.3">
      <c r="CN2338">
        <v>2337</v>
      </c>
    </row>
    <row r="2339" spans="92:92" x14ac:dyDescent="0.3">
      <c r="CN2339">
        <v>2338</v>
      </c>
    </row>
    <row r="2340" spans="92:92" x14ac:dyDescent="0.3">
      <c r="CN2340">
        <v>2339</v>
      </c>
    </row>
    <row r="2341" spans="92:92" x14ac:dyDescent="0.3">
      <c r="CN2341">
        <v>2340</v>
      </c>
    </row>
    <row r="2342" spans="92:92" x14ac:dyDescent="0.3">
      <c r="CN2342">
        <v>2341</v>
      </c>
    </row>
    <row r="2343" spans="92:92" x14ac:dyDescent="0.3">
      <c r="CN2343">
        <v>2342</v>
      </c>
    </row>
    <row r="2344" spans="92:92" x14ac:dyDescent="0.3">
      <c r="CN2344">
        <v>2343</v>
      </c>
    </row>
    <row r="2345" spans="92:92" x14ac:dyDescent="0.3">
      <c r="CN2345">
        <v>2344</v>
      </c>
    </row>
    <row r="2346" spans="92:92" x14ac:dyDescent="0.3">
      <c r="CN2346">
        <v>2345</v>
      </c>
    </row>
    <row r="2347" spans="92:92" x14ac:dyDescent="0.3">
      <c r="CN2347">
        <v>2346</v>
      </c>
    </row>
    <row r="2348" spans="92:92" x14ac:dyDescent="0.3">
      <c r="CN2348">
        <v>2347</v>
      </c>
    </row>
    <row r="2349" spans="92:92" x14ac:dyDescent="0.3">
      <c r="CN2349">
        <v>2348</v>
      </c>
    </row>
    <row r="2350" spans="92:92" x14ac:dyDescent="0.3">
      <c r="CN2350">
        <v>2349</v>
      </c>
    </row>
    <row r="2351" spans="92:92" x14ac:dyDescent="0.3">
      <c r="CN2351">
        <v>2350</v>
      </c>
    </row>
    <row r="2352" spans="92:92" x14ac:dyDescent="0.3">
      <c r="CN2352">
        <v>2351</v>
      </c>
    </row>
    <row r="2353" spans="92:92" x14ac:dyDescent="0.3">
      <c r="CN2353">
        <v>2352</v>
      </c>
    </row>
    <row r="2354" spans="92:92" x14ac:dyDescent="0.3">
      <c r="CN2354">
        <v>2353</v>
      </c>
    </row>
    <row r="2355" spans="92:92" x14ac:dyDescent="0.3">
      <c r="CN2355">
        <v>2354</v>
      </c>
    </row>
    <row r="2356" spans="92:92" x14ac:dyDescent="0.3">
      <c r="CN2356">
        <v>2355</v>
      </c>
    </row>
    <row r="2357" spans="92:92" x14ac:dyDescent="0.3">
      <c r="CN2357">
        <v>2356</v>
      </c>
    </row>
    <row r="2358" spans="92:92" x14ac:dyDescent="0.3">
      <c r="CN2358">
        <v>2357</v>
      </c>
    </row>
    <row r="2359" spans="92:92" x14ac:dyDescent="0.3">
      <c r="CN2359">
        <v>2358</v>
      </c>
    </row>
    <row r="2360" spans="92:92" x14ac:dyDescent="0.3">
      <c r="CN2360">
        <v>2359</v>
      </c>
    </row>
    <row r="2361" spans="92:92" x14ac:dyDescent="0.3">
      <c r="CN2361">
        <v>2360</v>
      </c>
    </row>
    <row r="2362" spans="92:92" x14ac:dyDescent="0.3">
      <c r="CN2362">
        <v>2361</v>
      </c>
    </row>
    <row r="2363" spans="92:92" x14ac:dyDescent="0.3">
      <c r="CN2363">
        <v>2362</v>
      </c>
    </row>
    <row r="2364" spans="92:92" x14ac:dyDescent="0.3">
      <c r="CN2364">
        <v>2363</v>
      </c>
    </row>
    <row r="2365" spans="92:92" x14ac:dyDescent="0.3">
      <c r="CN2365">
        <v>2364</v>
      </c>
    </row>
    <row r="2366" spans="92:92" x14ac:dyDescent="0.3">
      <c r="CN2366">
        <v>2365</v>
      </c>
    </row>
    <row r="2367" spans="92:92" x14ac:dyDescent="0.3">
      <c r="CN2367">
        <v>2366</v>
      </c>
    </row>
    <row r="2368" spans="92:92" x14ac:dyDescent="0.3">
      <c r="CN2368">
        <v>2367</v>
      </c>
    </row>
    <row r="2369" spans="92:92" x14ac:dyDescent="0.3">
      <c r="CN2369">
        <v>2368</v>
      </c>
    </row>
    <row r="2370" spans="92:92" x14ac:dyDescent="0.3">
      <c r="CN2370">
        <v>2369</v>
      </c>
    </row>
    <row r="2371" spans="92:92" x14ac:dyDescent="0.3">
      <c r="CN2371">
        <v>2370</v>
      </c>
    </row>
    <row r="2372" spans="92:92" x14ac:dyDescent="0.3">
      <c r="CN2372">
        <v>2371</v>
      </c>
    </row>
    <row r="2373" spans="92:92" x14ac:dyDescent="0.3">
      <c r="CN2373">
        <v>2372</v>
      </c>
    </row>
    <row r="2374" spans="92:92" x14ac:dyDescent="0.3">
      <c r="CN2374">
        <v>2373</v>
      </c>
    </row>
    <row r="2375" spans="92:92" x14ac:dyDescent="0.3">
      <c r="CN2375">
        <v>2374</v>
      </c>
    </row>
    <row r="2376" spans="92:92" x14ac:dyDescent="0.3">
      <c r="CN2376">
        <v>2375</v>
      </c>
    </row>
    <row r="2377" spans="92:92" x14ac:dyDescent="0.3">
      <c r="CN2377">
        <v>2376</v>
      </c>
    </row>
    <row r="2378" spans="92:92" x14ac:dyDescent="0.3">
      <c r="CN2378">
        <v>2377</v>
      </c>
    </row>
    <row r="2379" spans="92:92" x14ac:dyDescent="0.3">
      <c r="CN2379">
        <v>2378</v>
      </c>
    </row>
    <row r="2380" spans="92:92" x14ac:dyDescent="0.3">
      <c r="CN2380">
        <v>2379</v>
      </c>
    </row>
    <row r="2381" spans="92:92" x14ac:dyDescent="0.3">
      <c r="CN2381">
        <v>2380</v>
      </c>
    </row>
    <row r="2382" spans="92:92" x14ac:dyDescent="0.3">
      <c r="CN2382">
        <v>2381</v>
      </c>
    </row>
    <row r="2383" spans="92:92" x14ac:dyDescent="0.3">
      <c r="CN2383">
        <v>2382</v>
      </c>
    </row>
    <row r="2384" spans="92:92" x14ac:dyDescent="0.3">
      <c r="CN2384">
        <v>2383</v>
      </c>
    </row>
    <row r="2385" spans="92:92" x14ac:dyDescent="0.3">
      <c r="CN2385">
        <v>2384</v>
      </c>
    </row>
    <row r="2386" spans="92:92" x14ac:dyDescent="0.3">
      <c r="CN2386">
        <v>2385</v>
      </c>
    </row>
    <row r="2387" spans="92:92" x14ac:dyDescent="0.3">
      <c r="CN2387">
        <v>2386</v>
      </c>
    </row>
    <row r="2388" spans="92:92" x14ac:dyDescent="0.3">
      <c r="CN2388">
        <v>2387</v>
      </c>
    </row>
    <row r="2389" spans="92:92" x14ac:dyDescent="0.3">
      <c r="CN2389">
        <v>2388</v>
      </c>
    </row>
    <row r="2390" spans="92:92" x14ac:dyDescent="0.3">
      <c r="CN2390">
        <v>2389</v>
      </c>
    </row>
    <row r="2391" spans="92:92" x14ac:dyDescent="0.3">
      <c r="CN2391">
        <v>2390</v>
      </c>
    </row>
    <row r="2392" spans="92:92" x14ac:dyDescent="0.3">
      <c r="CN2392">
        <v>2391</v>
      </c>
    </row>
    <row r="2393" spans="92:92" x14ac:dyDescent="0.3">
      <c r="CN2393">
        <v>2392</v>
      </c>
    </row>
    <row r="2394" spans="92:92" x14ac:dyDescent="0.3">
      <c r="CN2394">
        <v>2393</v>
      </c>
    </row>
    <row r="2395" spans="92:92" x14ac:dyDescent="0.3">
      <c r="CN2395">
        <v>2394</v>
      </c>
    </row>
    <row r="2396" spans="92:92" x14ac:dyDescent="0.3">
      <c r="CN2396">
        <v>2395</v>
      </c>
    </row>
    <row r="2397" spans="92:92" x14ac:dyDescent="0.3">
      <c r="CN2397">
        <v>2396</v>
      </c>
    </row>
    <row r="2398" spans="92:92" x14ac:dyDescent="0.3">
      <c r="CN2398">
        <v>2397</v>
      </c>
    </row>
    <row r="2399" spans="92:92" x14ac:dyDescent="0.3">
      <c r="CN2399">
        <v>2398</v>
      </c>
    </row>
    <row r="2400" spans="92:92" x14ac:dyDescent="0.3">
      <c r="CN2400">
        <v>2399</v>
      </c>
    </row>
    <row r="2401" spans="92:92" x14ac:dyDescent="0.3">
      <c r="CN2401">
        <v>2400</v>
      </c>
    </row>
    <row r="2402" spans="92:92" x14ac:dyDescent="0.3">
      <c r="CN2402">
        <v>2401</v>
      </c>
    </row>
    <row r="2403" spans="92:92" x14ac:dyDescent="0.3">
      <c r="CN2403">
        <v>2402</v>
      </c>
    </row>
    <row r="2404" spans="92:92" x14ac:dyDescent="0.3">
      <c r="CN2404">
        <v>2403</v>
      </c>
    </row>
    <row r="2405" spans="92:92" x14ac:dyDescent="0.3">
      <c r="CN2405">
        <v>2404</v>
      </c>
    </row>
    <row r="2406" spans="92:92" x14ac:dyDescent="0.3">
      <c r="CN2406">
        <v>2405</v>
      </c>
    </row>
    <row r="2407" spans="92:92" x14ac:dyDescent="0.3">
      <c r="CN2407">
        <v>2406</v>
      </c>
    </row>
    <row r="2408" spans="92:92" x14ac:dyDescent="0.3">
      <c r="CN2408">
        <v>2407</v>
      </c>
    </row>
    <row r="2409" spans="92:92" x14ac:dyDescent="0.3">
      <c r="CN2409">
        <v>2408</v>
      </c>
    </row>
    <row r="2410" spans="92:92" x14ac:dyDescent="0.3">
      <c r="CN2410">
        <v>2409</v>
      </c>
    </row>
    <row r="2411" spans="92:92" x14ac:dyDescent="0.3">
      <c r="CN2411">
        <v>2410</v>
      </c>
    </row>
    <row r="2412" spans="92:92" x14ac:dyDescent="0.3">
      <c r="CN2412">
        <v>2411</v>
      </c>
    </row>
    <row r="2413" spans="92:92" x14ac:dyDescent="0.3">
      <c r="CN2413">
        <v>2412</v>
      </c>
    </row>
    <row r="2414" spans="92:92" x14ac:dyDescent="0.3">
      <c r="CN2414">
        <v>2413</v>
      </c>
    </row>
    <row r="2415" spans="92:92" x14ac:dyDescent="0.3">
      <c r="CN2415">
        <v>2414</v>
      </c>
    </row>
    <row r="2416" spans="92:92" x14ac:dyDescent="0.3">
      <c r="CN2416">
        <v>2415</v>
      </c>
    </row>
    <row r="2417" spans="92:92" x14ac:dyDescent="0.3">
      <c r="CN2417">
        <v>2416</v>
      </c>
    </row>
    <row r="2418" spans="92:92" x14ac:dyDescent="0.3">
      <c r="CN2418">
        <v>2417</v>
      </c>
    </row>
    <row r="2419" spans="92:92" x14ac:dyDescent="0.3">
      <c r="CN2419">
        <v>2418</v>
      </c>
    </row>
    <row r="2420" spans="92:92" x14ac:dyDescent="0.3">
      <c r="CN2420">
        <v>2419</v>
      </c>
    </row>
    <row r="2421" spans="92:92" x14ac:dyDescent="0.3">
      <c r="CN2421">
        <v>2420</v>
      </c>
    </row>
    <row r="2422" spans="92:92" x14ac:dyDescent="0.3">
      <c r="CN2422">
        <v>2421</v>
      </c>
    </row>
    <row r="2423" spans="92:92" x14ac:dyDescent="0.3">
      <c r="CN2423">
        <v>2422</v>
      </c>
    </row>
    <row r="2424" spans="92:92" x14ac:dyDescent="0.3">
      <c r="CN2424">
        <v>2423</v>
      </c>
    </row>
    <row r="2425" spans="92:92" x14ac:dyDescent="0.3">
      <c r="CN2425">
        <v>2424</v>
      </c>
    </row>
    <row r="2426" spans="92:92" x14ac:dyDescent="0.3">
      <c r="CN2426">
        <v>2425</v>
      </c>
    </row>
    <row r="2427" spans="92:92" x14ac:dyDescent="0.3">
      <c r="CN2427">
        <v>2426</v>
      </c>
    </row>
    <row r="2428" spans="92:92" x14ac:dyDescent="0.3">
      <c r="CN2428">
        <v>2427</v>
      </c>
    </row>
    <row r="2429" spans="92:92" x14ac:dyDescent="0.3">
      <c r="CN2429">
        <v>2428</v>
      </c>
    </row>
    <row r="2430" spans="92:92" x14ac:dyDescent="0.3">
      <c r="CN2430">
        <v>2429</v>
      </c>
    </row>
    <row r="2431" spans="92:92" x14ac:dyDescent="0.3">
      <c r="CN2431">
        <v>2430</v>
      </c>
    </row>
    <row r="2432" spans="92:92" x14ac:dyDescent="0.3">
      <c r="CN2432">
        <v>2431</v>
      </c>
    </row>
    <row r="2433" spans="92:92" x14ac:dyDescent="0.3">
      <c r="CN2433">
        <v>2432</v>
      </c>
    </row>
    <row r="2434" spans="92:92" x14ac:dyDescent="0.3">
      <c r="CN2434">
        <v>2433</v>
      </c>
    </row>
    <row r="2435" spans="92:92" x14ac:dyDescent="0.3">
      <c r="CN2435">
        <v>2434</v>
      </c>
    </row>
    <row r="2436" spans="92:92" x14ac:dyDescent="0.3">
      <c r="CN2436">
        <v>2435</v>
      </c>
    </row>
    <row r="2437" spans="92:92" x14ac:dyDescent="0.3">
      <c r="CN2437">
        <v>2436</v>
      </c>
    </row>
    <row r="2438" spans="92:92" x14ac:dyDescent="0.3">
      <c r="CN2438">
        <v>2437</v>
      </c>
    </row>
    <row r="2439" spans="92:92" x14ac:dyDescent="0.3">
      <c r="CN2439">
        <v>2438</v>
      </c>
    </row>
    <row r="2440" spans="92:92" x14ac:dyDescent="0.3">
      <c r="CN2440">
        <v>2439</v>
      </c>
    </row>
    <row r="2441" spans="92:92" x14ac:dyDescent="0.3">
      <c r="CN2441">
        <v>2440</v>
      </c>
    </row>
    <row r="2442" spans="92:92" x14ac:dyDescent="0.3">
      <c r="CN2442">
        <v>2441</v>
      </c>
    </row>
    <row r="2443" spans="92:92" x14ac:dyDescent="0.3">
      <c r="CN2443">
        <v>2442</v>
      </c>
    </row>
    <row r="2444" spans="92:92" x14ac:dyDescent="0.3">
      <c r="CN2444">
        <v>2443</v>
      </c>
    </row>
    <row r="2445" spans="92:92" x14ac:dyDescent="0.3">
      <c r="CN2445">
        <v>2444</v>
      </c>
    </row>
    <row r="2446" spans="92:92" x14ac:dyDescent="0.3">
      <c r="CN2446">
        <v>2445</v>
      </c>
    </row>
    <row r="2447" spans="92:92" x14ac:dyDescent="0.3">
      <c r="CN2447">
        <v>2446</v>
      </c>
    </row>
    <row r="2448" spans="92:92" x14ac:dyDescent="0.3">
      <c r="CN2448">
        <v>2447</v>
      </c>
    </row>
    <row r="2449" spans="92:92" x14ac:dyDescent="0.3">
      <c r="CN2449">
        <v>2448</v>
      </c>
    </row>
    <row r="2450" spans="92:92" x14ac:dyDescent="0.3">
      <c r="CN2450">
        <v>2449</v>
      </c>
    </row>
    <row r="2451" spans="92:92" x14ac:dyDescent="0.3">
      <c r="CN2451">
        <v>2450</v>
      </c>
    </row>
    <row r="2452" spans="92:92" x14ac:dyDescent="0.3">
      <c r="CN2452">
        <v>2451</v>
      </c>
    </row>
    <row r="2453" spans="92:92" x14ac:dyDescent="0.3">
      <c r="CN2453">
        <v>2452</v>
      </c>
    </row>
    <row r="2454" spans="92:92" x14ac:dyDescent="0.3">
      <c r="CN2454">
        <v>2453</v>
      </c>
    </row>
    <row r="2455" spans="92:92" x14ac:dyDescent="0.3">
      <c r="CN2455">
        <v>2454</v>
      </c>
    </row>
    <row r="2456" spans="92:92" x14ac:dyDescent="0.3">
      <c r="CN2456">
        <v>2455</v>
      </c>
    </row>
    <row r="2457" spans="92:92" x14ac:dyDescent="0.3">
      <c r="CN2457">
        <v>2456</v>
      </c>
    </row>
    <row r="2458" spans="92:92" x14ac:dyDescent="0.3">
      <c r="CN2458">
        <v>2457</v>
      </c>
    </row>
    <row r="2459" spans="92:92" x14ac:dyDescent="0.3">
      <c r="CN2459">
        <v>2458</v>
      </c>
    </row>
    <row r="2460" spans="92:92" x14ac:dyDescent="0.3">
      <c r="CN2460">
        <v>2459</v>
      </c>
    </row>
    <row r="2461" spans="92:92" x14ac:dyDescent="0.3">
      <c r="CN2461">
        <v>2460</v>
      </c>
    </row>
    <row r="2462" spans="92:92" x14ac:dyDescent="0.3">
      <c r="CN2462">
        <v>2461</v>
      </c>
    </row>
    <row r="2463" spans="92:92" x14ac:dyDescent="0.3">
      <c r="CN2463">
        <v>2462</v>
      </c>
    </row>
    <row r="2464" spans="92:92" x14ac:dyDescent="0.3">
      <c r="CN2464">
        <v>2463</v>
      </c>
    </row>
    <row r="2465" spans="92:92" x14ac:dyDescent="0.3">
      <c r="CN2465">
        <v>2464</v>
      </c>
    </row>
    <row r="2466" spans="92:92" x14ac:dyDescent="0.3">
      <c r="CN2466">
        <v>2465</v>
      </c>
    </row>
    <row r="2467" spans="92:92" x14ac:dyDescent="0.3">
      <c r="CN2467">
        <v>2466</v>
      </c>
    </row>
    <row r="2468" spans="92:92" x14ac:dyDescent="0.3">
      <c r="CN2468">
        <v>2467</v>
      </c>
    </row>
    <row r="2469" spans="92:92" x14ac:dyDescent="0.3">
      <c r="CN2469">
        <v>2468</v>
      </c>
    </row>
    <row r="2470" spans="92:92" x14ac:dyDescent="0.3">
      <c r="CN2470">
        <v>2469</v>
      </c>
    </row>
    <row r="2471" spans="92:92" x14ac:dyDescent="0.3">
      <c r="CN2471">
        <v>2470</v>
      </c>
    </row>
    <row r="2472" spans="92:92" x14ac:dyDescent="0.3">
      <c r="CN2472">
        <v>2471</v>
      </c>
    </row>
    <row r="2473" spans="92:92" x14ac:dyDescent="0.3">
      <c r="CN2473">
        <v>2472</v>
      </c>
    </row>
    <row r="2474" spans="92:92" x14ac:dyDescent="0.3">
      <c r="CN2474">
        <v>2473</v>
      </c>
    </row>
    <row r="2475" spans="92:92" x14ac:dyDescent="0.3">
      <c r="CN2475">
        <v>2474</v>
      </c>
    </row>
    <row r="2476" spans="92:92" x14ac:dyDescent="0.3">
      <c r="CN2476">
        <v>2475</v>
      </c>
    </row>
    <row r="2477" spans="92:92" x14ac:dyDescent="0.3">
      <c r="CN2477">
        <v>2476</v>
      </c>
    </row>
    <row r="2478" spans="92:92" x14ac:dyDescent="0.3">
      <c r="CN2478">
        <v>2477</v>
      </c>
    </row>
    <row r="2479" spans="92:92" x14ac:dyDescent="0.3">
      <c r="CN2479">
        <v>2478</v>
      </c>
    </row>
    <row r="2480" spans="92:92" x14ac:dyDescent="0.3">
      <c r="CN2480">
        <v>2479</v>
      </c>
    </row>
    <row r="2481" spans="92:92" x14ac:dyDescent="0.3">
      <c r="CN2481">
        <v>2480</v>
      </c>
    </row>
    <row r="2482" spans="92:92" x14ac:dyDescent="0.3">
      <c r="CN2482">
        <v>2481</v>
      </c>
    </row>
    <row r="2483" spans="92:92" x14ac:dyDescent="0.3">
      <c r="CN2483">
        <v>2482</v>
      </c>
    </row>
    <row r="2484" spans="92:92" x14ac:dyDescent="0.3">
      <c r="CN2484">
        <v>2483</v>
      </c>
    </row>
    <row r="2485" spans="92:92" x14ac:dyDescent="0.3">
      <c r="CN2485">
        <v>2484</v>
      </c>
    </row>
    <row r="2486" spans="92:92" x14ac:dyDescent="0.3">
      <c r="CN2486">
        <v>2485</v>
      </c>
    </row>
    <row r="2487" spans="92:92" x14ac:dyDescent="0.3">
      <c r="CN2487">
        <v>2486</v>
      </c>
    </row>
    <row r="2488" spans="92:92" x14ac:dyDescent="0.3">
      <c r="CN2488">
        <v>2487</v>
      </c>
    </row>
    <row r="2489" spans="92:92" x14ac:dyDescent="0.3">
      <c r="CN2489">
        <v>2488</v>
      </c>
    </row>
    <row r="2490" spans="92:92" x14ac:dyDescent="0.3">
      <c r="CN2490">
        <v>2489</v>
      </c>
    </row>
    <row r="2491" spans="92:92" x14ac:dyDescent="0.3">
      <c r="CN2491">
        <v>2490</v>
      </c>
    </row>
    <row r="2492" spans="92:92" x14ac:dyDescent="0.3">
      <c r="CN2492">
        <v>2491</v>
      </c>
    </row>
    <row r="2493" spans="92:92" x14ac:dyDescent="0.3">
      <c r="CN2493">
        <v>2492</v>
      </c>
    </row>
    <row r="2494" spans="92:92" x14ac:dyDescent="0.3">
      <c r="CN2494">
        <v>2493</v>
      </c>
    </row>
    <row r="2495" spans="92:92" x14ac:dyDescent="0.3">
      <c r="CN2495">
        <v>2494</v>
      </c>
    </row>
    <row r="2496" spans="92:92" x14ac:dyDescent="0.3">
      <c r="CN2496">
        <v>2495</v>
      </c>
    </row>
    <row r="2497" spans="92:92" x14ac:dyDescent="0.3">
      <c r="CN2497">
        <v>2496</v>
      </c>
    </row>
    <row r="2498" spans="92:92" x14ac:dyDescent="0.3">
      <c r="CN2498">
        <v>2497</v>
      </c>
    </row>
    <row r="2499" spans="92:92" x14ac:dyDescent="0.3">
      <c r="CN2499">
        <v>2498</v>
      </c>
    </row>
    <row r="2500" spans="92:92" x14ac:dyDescent="0.3">
      <c r="CN2500">
        <v>2499</v>
      </c>
    </row>
    <row r="2501" spans="92:92" x14ac:dyDescent="0.3">
      <c r="CN2501">
        <v>2500</v>
      </c>
    </row>
    <row r="2502" spans="92:92" x14ac:dyDescent="0.3">
      <c r="CN2502">
        <v>2501</v>
      </c>
    </row>
    <row r="2503" spans="92:92" x14ac:dyDescent="0.3">
      <c r="CN2503">
        <v>2502</v>
      </c>
    </row>
    <row r="2504" spans="92:92" x14ac:dyDescent="0.3">
      <c r="CN2504">
        <v>2503</v>
      </c>
    </row>
    <row r="2505" spans="92:92" x14ac:dyDescent="0.3">
      <c r="CN2505">
        <v>2504</v>
      </c>
    </row>
    <row r="2506" spans="92:92" x14ac:dyDescent="0.3">
      <c r="CN2506">
        <v>2505</v>
      </c>
    </row>
    <row r="2507" spans="92:92" x14ac:dyDescent="0.3">
      <c r="CN2507">
        <v>2506</v>
      </c>
    </row>
    <row r="2508" spans="92:92" x14ac:dyDescent="0.3">
      <c r="CN2508">
        <v>2507</v>
      </c>
    </row>
    <row r="2509" spans="92:92" x14ac:dyDescent="0.3">
      <c r="CN2509">
        <v>2508</v>
      </c>
    </row>
    <row r="2510" spans="92:92" x14ac:dyDescent="0.3">
      <c r="CN2510">
        <v>2509</v>
      </c>
    </row>
    <row r="2511" spans="92:92" x14ac:dyDescent="0.3">
      <c r="CN2511">
        <v>2510</v>
      </c>
    </row>
    <row r="2512" spans="92:92" x14ac:dyDescent="0.3">
      <c r="CN2512">
        <v>2511</v>
      </c>
    </row>
    <row r="2513" spans="92:92" x14ac:dyDescent="0.3">
      <c r="CN2513">
        <v>2512</v>
      </c>
    </row>
    <row r="2514" spans="92:92" x14ac:dyDescent="0.3">
      <c r="CN2514">
        <v>2513</v>
      </c>
    </row>
    <row r="2515" spans="92:92" x14ac:dyDescent="0.3">
      <c r="CN2515">
        <v>2514</v>
      </c>
    </row>
    <row r="2516" spans="92:92" x14ac:dyDescent="0.3">
      <c r="CN2516">
        <v>2515</v>
      </c>
    </row>
    <row r="2517" spans="92:92" x14ac:dyDescent="0.3">
      <c r="CN2517">
        <v>2516</v>
      </c>
    </row>
    <row r="2518" spans="92:92" x14ac:dyDescent="0.3">
      <c r="CN2518">
        <v>2517</v>
      </c>
    </row>
    <row r="2519" spans="92:92" x14ac:dyDescent="0.3">
      <c r="CN2519">
        <v>2518</v>
      </c>
    </row>
    <row r="2520" spans="92:92" x14ac:dyDescent="0.3">
      <c r="CN2520">
        <v>2519</v>
      </c>
    </row>
    <row r="2521" spans="92:92" x14ac:dyDescent="0.3">
      <c r="CN2521">
        <v>2520</v>
      </c>
    </row>
    <row r="2522" spans="92:92" x14ac:dyDescent="0.3">
      <c r="CN2522">
        <v>2521</v>
      </c>
    </row>
    <row r="2523" spans="92:92" x14ac:dyDescent="0.3">
      <c r="CN2523">
        <v>2522</v>
      </c>
    </row>
    <row r="2524" spans="92:92" x14ac:dyDescent="0.3">
      <c r="CN2524">
        <v>2523</v>
      </c>
    </row>
    <row r="2525" spans="92:92" x14ac:dyDescent="0.3">
      <c r="CN2525">
        <v>2524</v>
      </c>
    </row>
    <row r="2526" spans="92:92" x14ac:dyDescent="0.3">
      <c r="CN2526">
        <v>2525</v>
      </c>
    </row>
    <row r="2527" spans="92:92" x14ac:dyDescent="0.3">
      <c r="CN2527">
        <v>2526</v>
      </c>
    </row>
    <row r="2528" spans="92:92" x14ac:dyDescent="0.3">
      <c r="CN2528">
        <v>2527</v>
      </c>
    </row>
    <row r="2529" spans="92:92" x14ac:dyDescent="0.3">
      <c r="CN2529">
        <v>2528</v>
      </c>
    </row>
    <row r="2530" spans="92:92" x14ac:dyDescent="0.3">
      <c r="CN2530">
        <v>2529</v>
      </c>
    </row>
    <row r="2531" spans="92:92" x14ac:dyDescent="0.3">
      <c r="CN2531">
        <v>2530</v>
      </c>
    </row>
    <row r="2532" spans="92:92" x14ac:dyDescent="0.3">
      <c r="CN2532">
        <v>2531</v>
      </c>
    </row>
    <row r="2533" spans="92:92" x14ac:dyDescent="0.3">
      <c r="CN2533">
        <v>2532</v>
      </c>
    </row>
    <row r="2534" spans="92:92" x14ac:dyDescent="0.3">
      <c r="CN2534">
        <v>2533</v>
      </c>
    </row>
    <row r="2535" spans="92:92" x14ac:dyDescent="0.3">
      <c r="CN2535">
        <v>2534</v>
      </c>
    </row>
    <row r="2536" spans="92:92" x14ac:dyDescent="0.3">
      <c r="CN2536">
        <v>2535</v>
      </c>
    </row>
    <row r="2537" spans="92:92" x14ac:dyDescent="0.3">
      <c r="CN2537">
        <v>2536</v>
      </c>
    </row>
    <row r="2538" spans="92:92" x14ac:dyDescent="0.3">
      <c r="CN2538">
        <v>2537</v>
      </c>
    </row>
    <row r="2539" spans="92:92" x14ac:dyDescent="0.3">
      <c r="CN2539">
        <v>2538</v>
      </c>
    </row>
    <row r="2540" spans="92:92" x14ac:dyDescent="0.3">
      <c r="CN2540">
        <v>2539</v>
      </c>
    </row>
    <row r="2541" spans="92:92" x14ac:dyDescent="0.3">
      <c r="CN2541">
        <v>2540</v>
      </c>
    </row>
    <row r="2542" spans="92:92" x14ac:dyDescent="0.3">
      <c r="CN2542">
        <v>2541</v>
      </c>
    </row>
    <row r="2543" spans="92:92" x14ac:dyDescent="0.3">
      <c r="CN2543">
        <v>2542</v>
      </c>
    </row>
    <row r="2544" spans="92:92" x14ac:dyDescent="0.3">
      <c r="CN2544">
        <v>2543</v>
      </c>
    </row>
    <row r="2545" spans="92:92" x14ac:dyDescent="0.3">
      <c r="CN2545">
        <v>2544</v>
      </c>
    </row>
    <row r="2546" spans="92:92" x14ac:dyDescent="0.3">
      <c r="CN2546">
        <v>2545</v>
      </c>
    </row>
    <row r="2547" spans="92:92" x14ac:dyDescent="0.3">
      <c r="CN2547">
        <v>2546</v>
      </c>
    </row>
    <row r="2548" spans="92:92" x14ac:dyDescent="0.3">
      <c r="CN2548">
        <v>2547</v>
      </c>
    </row>
    <row r="2549" spans="92:92" x14ac:dyDescent="0.3">
      <c r="CN2549">
        <v>2548</v>
      </c>
    </row>
    <row r="2550" spans="92:92" x14ac:dyDescent="0.3">
      <c r="CN2550">
        <v>2549</v>
      </c>
    </row>
    <row r="2551" spans="92:92" x14ac:dyDescent="0.3">
      <c r="CN2551">
        <v>2550</v>
      </c>
    </row>
    <row r="2552" spans="92:92" x14ac:dyDescent="0.3">
      <c r="CN2552">
        <v>2551</v>
      </c>
    </row>
    <row r="2553" spans="92:92" x14ac:dyDescent="0.3">
      <c r="CN2553">
        <v>2552</v>
      </c>
    </row>
    <row r="2554" spans="92:92" x14ac:dyDescent="0.3">
      <c r="CN2554">
        <v>2553</v>
      </c>
    </row>
    <row r="2555" spans="92:92" x14ac:dyDescent="0.3">
      <c r="CN2555">
        <v>2554</v>
      </c>
    </row>
    <row r="2556" spans="92:92" x14ac:dyDescent="0.3">
      <c r="CN2556">
        <v>2555</v>
      </c>
    </row>
    <row r="2557" spans="92:92" x14ac:dyDescent="0.3">
      <c r="CN2557">
        <v>2556</v>
      </c>
    </row>
    <row r="2558" spans="92:92" x14ac:dyDescent="0.3">
      <c r="CN2558">
        <v>2557</v>
      </c>
    </row>
    <row r="2559" spans="92:92" x14ac:dyDescent="0.3">
      <c r="CN2559">
        <v>2558</v>
      </c>
    </row>
    <row r="2560" spans="92:92" x14ac:dyDescent="0.3">
      <c r="CN2560">
        <v>2559</v>
      </c>
    </row>
    <row r="2561" spans="92:92" x14ac:dyDescent="0.3">
      <c r="CN2561">
        <v>2560</v>
      </c>
    </row>
    <row r="2562" spans="92:92" x14ac:dyDescent="0.3">
      <c r="CN2562">
        <v>2561</v>
      </c>
    </row>
    <row r="2563" spans="92:92" x14ac:dyDescent="0.3">
      <c r="CN2563">
        <v>2562</v>
      </c>
    </row>
    <row r="2564" spans="92:92" x14ac:dyDescent="0.3">
      <c r="CN2564">
        <v>2563</v>
      </c>
    </row>
    <row r="2565" spans="92:92" x14ac:dyDescent="0.3">
      <c r="CN2565">
        <v>2564</v>
      </c>
    </row>
    <row r="2566" spans="92:92" x14ac:dyDescent="0.3">
      <c r="CN2566">
        <v>2565</v>
      </c>
    </row>
    <row r="2567" spans="92:92" x14ac:dyDescent="0.3">
      <c r="CN2567">
        <v>2566</v>
      </c>
    </row>
    <row r="2568" spans="92:92" x14ac:dyDescent="0.3">
      <c r="CN2568">
        <v>2567</v>
      </c>
    </row>
    <row r="2569" spans="92:92" x14ac:dyDescent="0.3">
      <c r="CN2569">
        <v>2568</v>
      </c>
    </row>
    <row r="2570" spans="92:92" x14ac:dyDescent="0.3">
      <c r="CN2570">
        <v>2569</v>
      </c>
    </row>
    <row r="2571" spans="92:92" x14ac:dyDescent="0.3">
      <c r="CN2571">
        <v>2570</v>
      </c>
    </row>
    <row r="2572" spans="92:92" x14ac:dyDescent="0.3">
      <c r="CN2572">
        <v>2571</v>
      </c>
    </row>
    <row r="2573" spans="92:92" x14ac:dyDescent="0.3">
      <c r="CN2573">
        <v>2572</v>
      </c>
    </row>
    <row r="2574" spans="92:92" x14ac:dyDescent="0.3">
      <c r="CN2574">
        <v>2573</v>
      </c>
    </row>
    <row r="2575" spans="92:92" x14ac:dyDescent="0.3">
      <c r="CN2575">
        <v>2574</v>
      </c>
    </row>
    <row r="2576" spans="92:92" x14ac:dyDescent="0.3">
      <c r="CN2576">
        <v>2575</v>
      </c>
    </row>
    <row r="2577" spans="92:92" x14ac:dyDescent="0.3">
      <c r="CN2577">
        <v>2576</v>
      </c>
    </row>
    <row r="2578" spans="92:92" x14ac:dyDescent="0.3">
      <c r="CN2578">
        <v>2577</v>
      </c>
    </row>
    <row r="2579" spans="92:92" x14ac:dyDescent="0.3">
      <c r="CN2579">
        <v>2578</v>
      </c>
    </row>
    <row r="2580" spans="92:92" x14ac:dyDescent="0.3">
      <c r="CN2580">
        <v>2579</v>
      </c>
    </row>
    <row r="2581" spans="92:92" x14ac:dyDescent="0.3">
      <c r="CN2581">
        <v>2580</v>
      </c>
    </row>
    <row r="2582" spans="92:92" x14ac:dyDescent="0.3">
      <c r="CN2582">
        <v>2581</v>
      </c>
    </row>
    <row r="2583" spans="92:92" x14ac:dyDescent="0.3">
      <c r="CN2583">
        <v>2582</v>
      </c>
    </row>
    <row r="2584" spans="92:92" x14ac:dyDescent="0.3">
      <c r="CN2584">
        <v>2583</v>
      </c>
    </row>
    <row r="2585" spans="92:92" x14ac:dyDescent="0.3">
      <c r="CN2585">
        <v>2584</v>
      </c>
    </row>
    <row r="2586" spans="92:92" x14ac:dyDescent="0.3">
      <c r="CN2586">
        <v>2585</v>
      </c>
    </row>
    <row r="2587" spans="92:92" x14ac:dyDescent="0.3">
      <c r="CN2587">
        <v>2586</v>
      </c>
    </row>
    <row r="2588" spans="92:92" x14ac:dyDescent="0.3">
      <c r="CN2588">
        <v>2587</v>
      </c>
    </row>
    <row r="2589" spans="92:92" x14ac:dyDescent="0.3">
      <c r="CN2589">
        <v>2588</v>
      </c>
    </row>
    <row r="2590" spans="92:92" x14ac:dyDescent="0.3">
      <c r="CN2590">
        <v>2589</v>
      </c>
    </row>
    <row r="2591" spans="92:92" x14ac:dyDescent="0.3">
      <c r="CN2591">
        <v>2590</v>
      </c>
    </row>
    <row r="2592" spans="92:92" x14ac:dyDescent="0.3">
      <c r="CN2592">
        <v>2591</v>
      </c>
    </row>
    <row r="2593" spans="92:92" x14ac:dyDescent="0.3">
      <c r="CN2593">
        <v>2592</v>
      </c>
    </row>
    <row r="2594" spans="92:92" x14ac:dyDescent="0.3">
      <c r="CN2594">
        <v>2593</v>
      </c>
    </row>
    <row r="2595" spans="92:92" x14ac:dyDescent="0.3">
      <c r="CN2595">
        <v>2594</v>
      </c>
    </row>
    <row r="2596" spans="92:92" x14ac:dyDescent="0.3">
      <c r="CN2596">
        <v>2595</v>
      </c>
    </row>
    <row r="2597" spans="92:92" x14ac:dyDescent="0.3">
      <c r="CN2597">
        <v>2596</v>
      </c>
    </row>
    <row r="2598" spans="92:92" x14ac:dyDescent="0.3">
      <c r="CN2598">
        <v>2597</v>
      </c>
    </row>
    <row r="2599" spans="92:92" x14ac:dyDescent="0.3">
      <c r="CN2599">
        <v>2598</v>
      </c>
    </row>
    <row r="2600" spans="92:92" x14ac:dyDescent="0.3">
      <c r="CN2600">
        <v>2599</v>
      </c>
    </row>
    <row r="2601" spans="92:92" x14ac:dyDescent="0.3">
      <c r="CN2601">
        <v>2600</v>
      </c>
    </row>
    <row r="2602" spans="92:92" x14ac:dyDescent="0.3">
      <c r="CN2602">
        <v>2601</v>
      </c>
    </row>
    <row r="2603" spans="92:92" x14ac:dyDescent="0.3">
      <c r="CN2603">
        <v>2602</v>
      </c>
    </row>
    <row r="2604" spans="92:92" x14ac:dyDescent="0.3">
      <c r="CN2604">
        <v>2603</v>
      </c>
    </row>
    <row r="2605" spans="92:92" x14ac:dyDescent="0.3">
      <c r="CN2605">
        <v>2604</v>
      </c>
    </row>
    <row r="2606" spans="92:92" x14ac:dyDescent="0.3">
      <c r="CN2606">
        <v>2605</v>
      </c>
    </row>
    <row r="2607" spans="92:92" x14ac:dyDescent="0.3">
      <c r="CN2607">
        <v>2606</v>
      </c>
    </row>
    <row r="2608" spans="92:92" x14ac:dyDescent="0.3">
      <c r="CN2608">
        <v>2607</v>
      </c>
    </row>
    <row r="2609" spans="92:92" x14ac:dyDescent="0.3">
      <c r="CN2609">
        <v>2608</v>
      </c>
    </row>
    <row r="2610" spans="92:92" x14ac:dyDescent="0.3">
      <c r="CN2610">
        <v>2609</v>
      </c>
    </row>
    <row r="2611" spans="92:92" x14ac:dyDescent="0.3">
      <c r="CN2611">
        <v>2610</v>
      </c>
    </row>
    <row r="2612" spans="92:92" x14ac:dyDescent="0.3">
      <c r="CN2612">
        <v>2611</v>
      </c>
    </row>
    <row r="2613" spans="92:92" x14ac:dyDescent="0.3">
      <c r="CN2613">
        <v>2612</v>
      </c>
    </row>
    <row r="2614" spans="92:92" x14ac:dyDescent="0.3">
      <c r="CN2614">
        <v>2613</v>
      </c>
    </row>
    <row r="2615" spans="92:92" x14ac:dyDescent="0.3">
      <c r="CN2615">
        <v>2614</v>
      </c>
    </row>
    <row r="2616" spans="92:92" x14ac:dyDescent="0.3">
      <c r="CN2616">
        <v>2615</v>
      </c>
    </row>
    <row r="2617" spans="92:92" x14ac:dyDescent="0.3">
      <c r="CN2617">
        <v>2616</v>
      </c>
    </row>
    <row r="2618" spans="92:92" x14ac:dyDescent="0.3">
      <c r="CN2618">
        <v>2617</v>
      </c>
    </row>
    <row r="2619" spans="92:92" x14ac:dyDescent="0.3">
      <c r="CN2619">
        <v>2618</v>
      </c>
    </row>
    <row r="2620" spans="92:92" x14ac:dyDescent="0.3">
      <c r="CN2620">
        <v>2619</v>
      </c>
    </row>
    <row r="2621" spans="92:92" x14ac:dyDescent="0.3">
      <c r="CN2621">
        <v>2620</v>
      </c>
    </row>
    <row r="2622" spans="92:92" x14ac:dyDescent="0.3">
      <c r="CN2622">
        <v>2621</v>
      </c>
    </row>
    <row r="2623" spans="92:92" x14ac:dyDescent="0.3">
      <c r="CN2623">
        <v>2622</v>
      </c>
    </row>
    <row r="2624" spans="92:92" x14ac:dyDescent="0.3">
      <c r="CN2624">
        <v>2623</v>
      </c>
    </row>
    <row r="2625" spans="92:92" x14ac:dyDescent="0.3">
      <c r="CN2625">
        <v>2624</v>
      </c>
    </row>
    <row r="2626" spans="92:92" x14ac:dyDescent="0.3">
      <c r="CN2626">
        <v>2625</v>
      </c>
    </row>
    <row r="2627" spans="92:92" x14ac:dyDescent="0.3">
      <c r="CN2627">
        <v>2626</v>
      </c>
    </row>
    <row r="2628" spans="92:92" x14ac:dyDescent="0.3">
      <c r="CN2628">
        <v>2627</v>
      </c>
    </row>
    <row r="2629" spans="92:92" x14ac:dyDescent="0.3">
      <c r="CN2629">
        <v>2628</v>
      </c>
    </row>
    <row r="2630" spans="92:92" x14ac:dyDescent="0.3">
      <c r="CN2630">
        <v>2629</v>
      </c>
    </row>
    <row r="2631" spans="92:92" x14ac:dyDescent="0.3">
      <c r="CN2631">
        <v>2630</v>
      </c>
    </row>
    <row r="2632" spans="92:92" x14ac:dyDescent="0.3">
      <c r="CN2632">
        <v>2631</v>
      </c>
    </row>
    <row r="2633" spans="92:92" x14ac:dyDescent="0.3">
      <c r="CN2633">
        <v>2632</v>
      </c>
    </row>
    <row r="2634" spans="92:92" x14ac:dyDescent="0.3">
      <c r="CN2634">
        <v>2633</v>
      </c>
    </row>
    <row r="2635" spans="92:92" x14ac:dyDescent="0.3">
      <c r="CN2635">
        <v>2634</v>
      </c>
    </row>
    <row r="2636" spans="92:92" x14ac:dyDescent="0.3">
      <c r="CN2636">
        <v>2635</v>
      </c>
    </row>
    <row r="2637" spans="92:92" x14ac:dyDescent="0.3">
      <c r="CN2637">
        <v>2636</v>
      </c>
    </row>
    <row r="2638" spans="92:92" x14ac:dyDescent="0.3">
      <c r="CN2638">
        <v>2637</v>
      </c>
    </row>
    <row r="2639" spans="92:92" x14ac:dyDescent="0.3">
      <c r="CN2639">
        <v>2638</v>
      </c>
    </row>
    <row r="2640" spans="92:92" x14ac:dyDescent="0.3">
      <c r="CN2640">
        <v>2639</v>
      </c>
    </row>
    <row r="2641" spans="92:92" x14ac:dyDescent="0.3">
      <c r="CN2641">
        <v>2640</v>
      </c>
    </row>
    <row r="2642" spans="92:92" x14ac:dyDescent="0.3">
      <c r="CN2642">
        <v>2641</v>
      </c>
    </row>
    <row r="2643" spans="92:92" x14ac:dyDescent="0.3">
      <c r="CN2643">
        <v>2642</v>
      </c>
    </row>
    <row r="2644" spans="92:92" x14ac:dyDescent="0.3">
      <c r="CN2644">
        <v>2643</v>
      </c>
    </row>
    <row r="2645" spans="92:92" x14ac:dyDescent="0.3">
      <c r="CN2645">
        <v>2644</v>
      </c>
    </row>
    <row r="2646" spans="92:92" x14ac:dyDescent="0.3">
      <c r="CN2646">
        <v>2645</v>
      </c>
    </row>
    <row r="2647" spans="92:92" x14ac:dyDescent="0.3">
      <c r="CN2647">
        <v>2646</v>
      </c>
    </row>
    <row r="2648" spans="92:92" x14ac:dyDescent="0.3">
      <c r="CN2648">
        <v>2647</v>
      </c>
    </row>
    <row r="2649" spans="92:92" x14ac:dyDescent="0.3">
      <c r="CN2649">
        <v>2648</v>
      </c>
    </row>
    <row r="2650" spans="92:92" x14ac:dyDescent="0.3">
      <c r="CN2650">
        <v>2649</v>
      </c>
    </row>
    <row r="2651" spans="92:92" x14ac:dyDescent="0.3">
      <c r="CN2651">
        <v>2650</v>
      </c>
    </row>
    <row r="2652" spans="92:92" x14ac:dyDescent="0.3">
      <c r="CN2652">
        <v>2651</v>
      </c>
    </row>
    <row r="2653" spans="92:92" x14ac:dyDescent="0.3">
      <c r="CN2653">
        <v>2652</v>
      </c>
    </row>
    <row r="2654" spans="92:92" x14ac:dyDescent="0.3">
      <c r="CN2654">
        <v>2653</v>
      </c>
    </row>
    <row r="2655" spans="92:92" x14ac:dyDescent="0.3">
      <c r="CN2655">
        <v>2654</v>
      </c>
    </row>
    <row r="2656" spans="92:92" x14ac:dyDescent="0.3">
      <c r="CN2656">
        <v>2655</v>
      </c>
    </row>
    <row r="2657" spans="92:92" x14ac:dyDescent="0.3">
      <c r="CN2657">
        <v>2656</v>
      </c>
    </row>
    <row r="2658" spans="92:92" x14ac:dyDescent="0.3">
      <c r="CN2658">
        <v>2657</v>
      </c>
    </row>
    <row r="2659" spans="92:92" x14ac:dyDescent="0.3">
      <c r="CN2659">
        <v>2658</v>
      </c>
    </row>
    <row r="2660" spans="92:92" x14ac:dyDescent="0.3">
      <c r="CN2660">
        <v>2659</v>
      </c>
    </row>
    <row r="2661" spans="92:92" x14ac:dyDescent="0.3">
      <c r="CN2661">
        <v>2660</v>
      </c>
    </row>
    <row r="2662" spans="92:92" x14ac:dyDescent="0.3">
      <c r="CN2662">
        <v>2661</v>
      </c>
    </row>
    <row r="2663" spans="92:92" x14ac:dyDescent="0.3">
      <c r="CN2663">
        <v>2662</v>
      </c>
    </row>
    <row r="2664" spans="92:92" x14ac:dyDescent="0.3">
      <c r="CN2664">
        <v>2663</v>
      </c>
    </row>
    <row r="2665" spans="92:92" x14ac:dyDescent="0.3">
      <c r="CN2665">
        <v>2664</v>
      </c>
    </row>
    <row r="2666" spans="92:92" x14ac:dyDescent="0.3">
      <c r="CN2666">
        <v>2665</v>
      </c>
    </row>
    <row r="2667" spans="92:92" x14ac:dyDescent="0.3">
      <c r="CN2667">
        <v>2666</v>
      </c>
    </row>
    <row r="2668" spans="92:92" x14ac:dyDescent="0.3">
      <c r="CN2668">
        <v>2667</v>
      </c>
    </row>
    <row r="2669" spans="92:92" x14ac:dyDescent="0.3">
      <c r="CN2669">
        <v>2668</v>
      </c>
    </row>
    <row r="2670" spans="92:92" x14ac:dyDescent="0.3">
      <c r="CN2670">
        <v>2669</v>
      </c>
    </row>
    <row r="2671" spans="92:92" x14ac:dyDescent="0.3">
      <c r="CN2671">
        <v>2670</v>
      </c>
    </row>
    <row r="2672" spans="92:92" x14ac:dyDescent="0.3">
      <c r="CN2672">
        <v>2671</v>
      </c>
    </row>
    <row r="2673" spans="92:92" x14ac:dyDescent="0.3">
      <c r="CN2673">
        <v>2672</v>
      </c>
    </row>
    <row r="2674" spans="92:92" x14ac:dyDescent="0.3">
      <c r="CN2674">
        <v>2673</v>
      </c>
    </row>
    <row r="2675" spans="92:92" x14ac:dyDescent="0.3">
      <c r="CN2675">
        <v>2674</v>
      </c>
    </row>
    <row r="2676" spans="92:92" x14ac:dyDescent="0.3">
      <c r="CN2676">
        <v>2675</v>
      </c>
    </row>
    <row r="2677" spans="92:92" x14ac:dyDescent="0.3">
      <c r="CN2677">
        <v>2676</v>
      </c>
    </row>
    <row r="2678" spans="92:92" x14ac:dyDescent="0.3">
      <c r="CN2678">
        <v>2677</v>
      </c>
    </row>
    <row r="2679" spans="92:92" x14ac:dyDescent="0.3">
      <c r="CN2679">
        <v>2678</v>
      </c>
    </row>
    <row r="2680" spans="92:92" x14ac:dyDescent="0.3">
      <c r="CN2680">
        <v>2679</v>
      </c>
    </row>
    <row r="2681" spans="92:92" x14ac:dyDescent="0.3">
      <c r="CN2681">
        <v>2680</v>
      </c>
    </row>
    <row r="2682" spans="92:92" x14ac:dyDescent="0.3">
      <c r="CN2682">
        <v>2681</v>
      </c>
    </row>
    <row r="2683" spans="92:92" x14ac:dyDescent="0.3">
      <c r="CN2683">
        <v>2682</v>
      </c>
    </row>
    <row r="2684" spans="92:92" x14ac:dyDescent="0.3">
      <c r="CN2684">
        <v>2683</v>
      </c>
    </row>
    <row r="2685" spans="92:92" x14ac:dyDescent="0.3">
      <c r="CN2685">
        <v>2684</v>
      </c>
    </row>
    <row r="2686" spans="92:92" x14ac:dyDescent="0.3">
      <c r="CN2686">
        <v>2685</v>
      </c>
    </row>
    <row r="2687" spans="92:92" x14ac:dyDescent="0.3">
      <c r="CN2687">
        <v>2686</v>
      </c>
    </row>
    <row r="2688" spans="92:92" x14ac:dyDescent="0.3">
      <c r="CN2688">
        <v>2687</v>
      </c>
    </row>
    <row r="2689" spans="92:92" x14ac:dyDescent="0.3">
      <c r="CN2689">
        <v>2688</v>
      </c>
    </row>
    <row r="2690" spans="92:92" x14ac:dyDescent="0.3">
      <c r="CN2690">
        <v>2689</v>
      </c>
    </row>
    <row r="2691" spans="92:92" x14ac:dyDescent="0.3">
      <c r="CN2691">
        <v>2690</v>
      </c>
    </row>
    <row r="2692" spans="92:92" x14ac:dyDescent="0.3">
      <c r="CN2692">
        <v>2691</v>
      </c>
    </row>
    <row r="2693" spans="92:92" x14ac:dyDescent="0.3">
      <c r="CN2693">
        <v>2692</v>
      </c>
    </row>
    <row r="2694" spans="92:92" x14ac:dyDescent="0.3">
      <c r="CN2694">
        <v>2693</v>
      </c>
    </row>
    <row r="2695" spans="92:92" x14ac:dyDescent="0.3">
      <c r="CN2695">
        <v>2694</v>
      </c>
    </row>
    <row r="2696" spans="92:92" x14ac:dyDescent="0.3">
      <c r="CN2696">
        <v>2695</v>
      </c>
    </row>
    <row r="2697" spans="92:92" x14ac:dyDescent="0.3">
      <c r="CN2697">
        <v>2696</v>
      </c>
    </row>
    <row r="2698" spans="92:92" x14ac:dyDescent="0.3">
      <c r="CN2698">
        <v>2697</v>
      </c>
    </row>
    <row r="2699" spans="92:92" x14ac:dyDescent="0.3">
      <c r="CN2699">
        <v>2698</v>
      </c>
    </row>
    <row r="2700" spans="92:92" x14ac:dyDescent="0.3">
      <c r="CN2700">
        <v>2699</v>
      </c>
    </row>
    <row r="2701" spans="92:92" x14ac:dyDescent="0.3">
      <c r="CN2701">
        <v>2700</v>
      </c>
    </row>
    <row r="2702" spans="92:92" x14ac:dyDescent="0.3">
      <c r="CN2702">
        <v>2701</v>
      </c>
    </row>
    <row r="2703" spans="92:92" x14ac:dyDescent="0.3">
      <c r="CN2703">
        <v>2702</v>
      </c>
    </row>
    <row r="2704" spans="92:92" x14ac:dyDescent="0.3">
      <c r="CN2704">
        <v>2703</v>
      </c>
    </row>
    <row r="2705" spans="92:92" x14ac:dyDescent="0.3">
      <c r="CN2705">
        <v>2704</v>
      </c>
    </row>
    <row r="2706" spans="92:92" x14ac:dyDescent="0.3">
      <c r="CN2706">
        <v>2705</v>
      </c>
    </row>
    <row r="2707" spans="92:92" x14ac:dyDescent="0.3">
      <c r="CN2707">
        <v>2706</v>
      </c>
    </row>
    <row r="2708" spans="92:92" x14ac:dyDescent="0.3">
      <c r="CN2708">
        <v>2707</v>
      </c>
    </row>
    <row r="2709" spans="92:92" x14ac:dyDescent="0.3">
      <c r="CN2709">
        <v>2708</v>
      </c>
    </row>
    <row r="2710" spans="92:92" x14ac:dyDescent="0.3">
      <c r="CN2710">
        <v>2709</v>
      </c>
    </row>
    <row r="2711" spans="92:92" x14ac:dyDescent="0.3">
      <c r="CN2711">
        <v>2710</v>
      </c>
    </row>
    <row r="2712" spans="92:92" x14ac:dyDescent="0.3">
      <c r="CN2712">
        <v>2711</v>
      </c>
    </row>
    <row r="2713" spans="92:92" x14ac:dyDescent="0.3">
      <c r="CN2713">
        <v>2712</v>
      </c>
    </row>
    <row r="2714" spans="92:92" x14ac:dyDescent="0.3">
      <c r="CN2714">
        <v>2713</v>
      </c>
    </row>
    <row r="2715" spans="92:92" x14ac:dyDescent="0.3">
      <c r="CN2715">
        <v>2714</v>
      </c>
    </row>
    <row r="2716" spans="92:92" x14ac:dyDescent="0.3">
      <c r="CN2716">
        <v>2715</v>
      </c>
    </row>
    <row r="2717" spans="92:92" x14ac:dyDescent="0.3">
      <c r="CN2717">
        <v>2716</v>
      </c>
    </row>
    <row r="2718" spans="92:92" x14ac:dyDescent="0.3">
      <c r="CN2718">
        <v>2717</v>
      </c>
    </row>
    <row r="2719" spans="92:92" x14ac:dyDescent="0.3">
      <c r="CN2719">
        <v>2718</v>
      </c>
    </row>
    <row r="2720" spans="92:92" x14ac:dyDescent="0.3">
      <c r="CN2720">
        <v>2719</v>
      </c>
    </row>
    <row r="2721" spans="92:92" x14ac:dyDescent="0.3">
      <c r="CN2721">
        <v>2720</v>
      </c>
    </row>
    <row r="2722" spans="92:92" x14ac:dyDescent="0.3">
      <c r="CN2722">
        <v>2721</v>
      </c>
    </row>
    <row r="2723" spans="92:92" x14ac:dyDescent="0.3">
      <c r="CN2723">
        <v>2722</v>
      </c>
    </row>
    <row r="2724" spans="92:92" x14ac:dyDescent="0.3">
      <c r="CN2724">
        <v>2723</v>
      </c>
    </row>
    <row r="2725" spans="92:92" x14ac:dyDescent="0.3">
      <c r="CN2725">
        <v>2724</v>
      </c>
    </row>
    <row r="2726" spans="92:92" x14ac:dyDescent="0.3">
      <c r="CN2726">
        <v>2725</v>
      </c>
    </row>
    <row r="2727" spans="92:92" x14ac:dyDescent="0.3">
      <c r="CN2727">
        <v>2726</v>
      </c>
    </row>
    <row r="2728" spans="92:92" x14ac:dyDescent="0.3">
      <c r="CN2728">
        <v>2727</v>
      </c>
    </row>
    <row r="2729" spans="92:92" x14ac:dyDescent="0.3">
      <c r="CN2729">
        <v>2728</v>
      </c>
    </row>
    <row r="2730" spans="92:92" x14ac:dyDescent="0.3">
      <c r="CN2730">
        <v>2729</v>
      </c>
    </row>
    <row r="2731" spans="92:92" x14ac:dyDescent="0.3">
      <c r="CN2731">
        <v>2730</v>
      </c>
    </row>
    <row r="2732" spans="92:92" x14ac:dyDescent="0.3">
      <c r="CN2732">
        <v>2731</v>
      </c>
    </row>
    <row r="2733" spans="92:92" x14ac:dyDescent="0.3">
      <c r="CN2733">
        <v>2732</v>
      </c>
    </row>
    <row r="2734" spans="92:92" x14ac:dyDescent="0.3">
      <c r="CN2734">
        <v>2733</v>
      </c>
    </row>
    <row r="2735" spans="92:92" x14ac:dyDescent="0.3">
      <c r="CN2735">
        <v>2734</v>
      </c>
    </row>
    <row r="2736" spans="92:92" x14ac:dyDescent="0.3">
      <c r="CN2736">
        <v>2735</v>
      </c>
    </row>
    <row r="2737" spans="92:92" x14ac:dyDescent="0.3">
      <c r="CN2737">
        <v>2736</v>
      </c>
    </row>
    <row r="2738" spans="92:92" x14ac:dyDescent="0.3">
      <c r="CN2738">
        <v>2737</v>
      </c>
    </row>
    <row r="2739" spans="92:92" x14ac:dyDescent="0.3">
      <c r="CN2739">
        <v>2738</v>
      </c>
    </row>
    <row r="2740" spans="92:92" x14ac:dyDescent="0.3">
      <c r="CN2740">
        <v>2739</v>
      </c>
    </row>
    <row r="2741" spans="92:92" x14ac:dyDescent="0.3">
      <c r="CN2741">
        <v>2740</v>
      </c>
    </row>
    <row r="2742" spans="92:92" x14ac:dyDescent="0.3">
      <c r="CN2742">
        <v>2741</v>
      </c>
    </row>
    <row r="2743" spans="92:92" x14ac:dyDescent="0.3">
      <c r="CN2743">
        <v>2742</v>
      </c>
    </row>
    <row r="2744" spans="92:92" x14ac:dyDescent="0.3">
      <c r="CN2744">
        <v>2743</v>
      </c>
    </row>
    <row r="2745" spans="92:92" x14ac:dyDescent="0.3">
      <c r="CN2745">
        <v>2744</v>
      </c>
    </row>
    <row r="2746" spans="92:92" x14ac:dyDescent="0.3">
      <c r="CN2746">
        <v>2745</v>
      </c>
    </row>
    <row r="2747" spans="92:92" x14ac:dyDescent="0.3">
      <c r="CN2747">
        <v>2746</v>
      </c>
    </row>
    <row r="2748" spans="92:92" x14ac:dyDescent="0.3">
      <c r="CN2748">
        <v>2747</v>
      </c>
    </row>
    <row r="2749" spans="92:92" x14ac:dyDescent="0.3">
      <c r="CN2749">
        <v>2748</v>
      </c>
    </row>
    <row r="2750" spans="92:92" x14ac:dyDescent="0.3">
      <c r="CN2750">
        <v>2749</v>
      </c>
    </row>
    <row r="2751" spans="92:92" x14ac:dyDescent="0.3">
      <c r="CN2751">
        <v>2750</v>
      </c>
    </row>
    <row r="2752" spans="92:92" x14ac:dyDescent="0.3">
      <c r="CN2752">
        <v>2751</v>
      </c>
    </row>
    <row r="2753" spans="92:92" x14ac:dyDescent="0.3">
      <c r="CN2753">
        <v>2752</v>
      </c>
    </row>
    <row r="2754" spans="92:92" x14ac:dyDescent="0.3">
      <c r="CN2754">
        <v>2753</v>
      </c>
    </row>
    <row r="2755" spans="92:92" x14ac:dyDescent="0.3">
      <c r="CN2755">
        <v>2754</v>
      </c>
    </row>
    <row r="2756" spans="92:92" x14ac:dyDescent="0.3">
      <c r="CN2756">
        <v>2755</v>
      </c>
    </row>
    <row r="2757" spans="92:92" x14ac:dyDescent="0.3">
      <c r="CN2757">
        <v>2756</v>
      </c>
    </row>
    <row r="2758" spans="92:92" x14ac:dyDescent="0.3">
      <c r="CN2758">
        <v>2757</v>
      </c>
    </row>
    <row r="2759" spans="92:92" x14ac:dyDescent="0.3">
      <c r="CN2759">
        <v>2758</v>
      </c>
    </row>
    <row r="2760" spans="92:92" x14ac:dyDescent="0.3">
      <c r="CN2760">
        <v>2759</v>
      </c>
    </row>
    <row r="2761" spans="92:92" x14ac:dyDescent="0.3">
      <c r="CN2761">
        <v>2760</v>
      </c>
    </row>
    <row r="2762" spans="92:92" x14ac:dyDescent="0.3">
      <c r="CN2762">
        <v>2761</v>
      </c>
    </row>
    <row r="2763" spans="92:92" x14ac:dyDescent="0.3">
      <c r="CN2763">
        <v>2762</v>
      </c>
    </row>
    <row r="2764" spans="92:92" x14ac:dyDescent="0.3">
      <c r="CN2764">
        <v>2763</v>
      </c>
    </row>
    <row r="2765" spans="92:92" x14ac:dyDescent="0.3">
      <c r="CN2765">
        <v>2764</v>
      </c>
    </row>
    <row r="2766" spans="92:92" x14ac:dyDescent="0.3">
      <c r="CN2766">
        <v>2765</v>
      </c>
    </row>
    <row r="2767" spans="92:92" x14ac:dyDescent="0.3">
      <c r="CN2767">
        <v>2766</v>
      </c>
    </row>
    <row r="2768" spans="92:92" x14ac:dyDescent="0.3">
      <c r="CN2768">
        <v>2767</v>
      </c>
    </row>
    <row r="2769" spans="92:92" x14ac:dyDescent="0.3">
      <c r="CN2769">
        <v>2768</v>
      </c>
    </row>
    <row r="2770" spans="92:92" x14ac:dyDescent="0.3">
      <c r="CN2770">
        <v>2769</v>
      </c>
    </row>
    <row r="2771" spans="92:92" x14ac:dyDescent="0.3">
      <c r="CN2771">
        <v>2770</v>
      </c>
    </row>
    <row r="2772" spans="92:92" x14ac:dyDescent="0.3">
      <c r="CN2772">
        <v>2771</v>
      </c>
    </row>
    <row r="2773" spans="92:92" x14ac:dyDescent="0.3">
      <c r="CN2773">
        <v>2772</v>
      </c>
    </row>
    <row r="2774" spans="92:92" x14ac:dyDescent="0.3">
      <c r="CN2774">
        <v>2773</v>
      </c>
    </row>
    <row r="2775" spans="92:92" x14ac:dyDescent="0.3">
      <c r="CN2775">
        <v>2774</v>
      </c>
    </row>
    <row r="2776" spans="92:92" x14ac:dyDescent="0.3">
      <c r="CN2776">
        <v>2775</v>
      </c>
    </row>
    <row r="2777" spans="92:92" x14ac:dyDescent="0.3">
      <c r="CN2777">
        <v>2776</v>
      </c>
    </row>
    <row r="2778" spans="92:92" x14ac:dyDescent="0.3">
      <c r="CN2778">
        <v>2777</v>
      </c>
    </row>
    <row r="2779" spans="92:92" x14ac:dyDescent="0.3">
      <c r="CN2779">
        <v>2778</v>
      </c>
    </row>
    <row r="2780" spans="92:92" x14ac:dyDescent="0.3">
      <c r="CN2780">
        <v>2779</v>
      </c>
    </row>
    <row r="2781" spans="92:92" x14ac:dyDescent="0.3">
      <c r="CN2781">
        <v>2780</v>
      </c>
    </row>
    <row r="2782" spans="92:92" x14ac:dyDescent="0.3">
      <c r="CN2782">
        <v>2781</v>
      </c>
    </row>
    <row r="2783" spans="92:92" x14ac:dyDescent="0.3">
      <c r="CN2783">
        <v>2782</v>
      </c>
    </row>
    <row r="2784" spans="92:92" x14ac:dyDescent="0.3">
      <c r="CN2784">
        <v>2783</v>
      </c>
    </row>
    <row r="2785" spans="92:92" x14ac:dyDescent="0.3">
      <c r="CN2785">
        <v>2784</v>
      </c>
    </row>
    <row r="2786" spans="92:92" x14ac:dyDescent="0.3">
      <c r="CN2786">
        <v>2785</v>
      </c>
    </row>
    <row r="2787" spans="92:92" x14ac:dyDescent="0.3">
      <c r="CN2787">
        <v>2786</v>
      </c>
    </row>
    <row r="2788" spans="92:92" x14ac:dyDescent="0.3">
      <c r="CN2788">
        <v>2787</v>
      </c>
    </row>
    <row r="2789" spans="92:92" x14ac:dyDescent="0.3">
      <c r="CN2789">
        <v>2788</v>
      </c>
    </row>
    <row r="2790" spans="92:92" x14ac:dyDescent="0.3">
      <c r="CN2790">
        <v>2789</v>
      </c>
    </row>
    <row r="2791" spans="92:92" x14ac:dyDescent="0.3">
      <c r="CN2791">
        <v>2790</v>
      </c>
    </row>
    <row r="2792" spans="92:92" x14ac:dyDescent="0.3">
      <c r="CN2792">
        <v>2791</v>
      </c>
    </row>
    <row r="2793" spans="92:92" x14ac:dyDescent="0.3">
      <c r="CN2793">
        <v>2792</v>
      </c>
    </row>
    <row r="2794" spans="92:92" x14ac:dyDescent="0.3">
      <c r="CN2794">
        <v>2793</v>
      </c>
    </row>
    <row r="2795" spans="92:92" x14ac:dyDescent="0.3">
      <c r="CN2795">
        <v>2794</v>
      </c>
    </row>
    <row r="2796" spans="92:92" x14ac:dyDescent="0.3">
      <c r="CN2796">
        <v>2795</v>
      </c>
    </row>
    <row r="2797" spans="92:92" x14ac:dyDescent="0.3">
      <c r="CN2797">
        <v>2796</v>
      </c>
    </row>
    <row r="2798" spans="92:92" x14ac:dyDescent="0.3">
      <c r="CN2798">
        <v>2797</v>
      </c>
    </row>
    <row r="2799" spans="92:92" x14ac:dyDescent="0.3">
      <c r="CN2799">
        <v>2798</v>
      </c>
    </row>
    <row r="2800" spans="92:92" x14ac:dyDescent="0.3">
      <c r="CN2800">
        <v>2799</v>
      </c>
    </row>
    <row r="2801" spans="92:92" x14ac:dyDescent="0.3">
      <c r="CN2801">
        <v>2800</v>
      </c>
    </row>
    <row r="2802" spans="92:92" x14ac:dyDescent="0.3">
      <c r="CN2802">
        <v>2801</v>
      </c>
    </row>
    <row r="2803" spans="92:92" x14ac:dyDescent="0.3">
      <c r="CN2803">
        <v>2802</v>
      </c>
    </row>
    <row r="2804" spans="92:92" x14ac:dyDescent="0.3">
      <c r="CN2804">
        <v>2803</v>
      </c>
    </row>
    <row r="2805" spans="92:92" x14ac:dyDescent="0.3">
      <c r="CN2805">
        <v>2804</v>
      </c>
    </row>
    <row r="2806" spans="92:92" x14ac:dyDescent="0.3">
      <c r="CN2806">
        <v>2805</v>
      </c>
    </row>
    <row r="2807" spans="92:92" x14ac:dyDescent="0.3">
      <c r="CN2807">
        <v>2806</v>
      </c>
    </row>
    <row r="2808" spans="92:92" x14ac:dyDescent="0.3">
      <c r="CN2808">
        <v>2807</v>
      </c>
    </row>
    <row r="2809" spans="92:92" x14ac:dyDescent="0.3">
      <c r="CN2809">
        <v>2808</v>
      </c>
    </row>
    <row r="2810" spans="92:92" x14ac:dyDescent="0.3">
      <c r="CN2810">
        <v>2809</v>
      </c>
    </row>
    <row r="2811" spans="92:92" x14ac:dyDescent="0.3">
      <c r="CN2811">
        <v>2810</v>
      </c>
    </row>
    <row r="2812" spans="92:92" x14ac:dyDescent="0.3">
      <c r="CN2812">
        <v>2811</v>
      </c>
    </row>
    <row r="2813" spans="92:92" x14ac:dyDescent="0.3">
      <c r="CN2813">
        <v>2812</v>
      </c>
    </row>
    <row r="2814" spans="92:92" x14ac:dyDescent="0.3">
      <c r="CN2814">
        <v>2813</v>
      </c>
    </row>
    <row r="2815" spans="92:92" x14ac:dyDescent="0.3">
      <c r="CN2815">
        <v>2814</v>
      </c>
    </row>
    <row r="2816" spans="92:92" x14ac:dyDescent="0.3">
      <c r="CN2816">
        <v>2815</v>
      </c>
    </row>
    <row r="2817" spans="92:92" x14ac:dyDescent="0.3">
      <c r="CN2817">
        <v>2816</v>
      </c>
    </row>
    <row r="2818" spans="92:92" x14ac:dyDescent="0.3">
      <c r="CN2818">
        <v>2817</v>
      </c>
    </row>
    <row r="2819" spans="92:92" x14ac:dyDescent="0.3">
      <c r="CN2819">
        <v>2818</v>
      </c>
    </row>
    <row r="2820" spans="92:92" x14ac:dyDescent="0.3">
      <c r="CN2820">
        <v>2819</v>
      </c>
    </row>
    <row r="2821" spans="92:92" x14ac:dyDescent="0.3">
      <c r="CN2821">
        <v>2820</v>
      </c>
    </row>
    <row r="2822" spans="92:92" x14ac:dyDescent="0.3">
      <c r="CN2822">
        <v>2821</v>
      </c>
    </row>
    <row r="2823" spans="92:92" x14ac:dyDescent="0.3">
      <c r="CN2823">
        <v>2822</v>
      </c>
    </row>
    <row r="2824" spans="92:92" x14ac:dyDescent="0.3">
      <c r="CN2824">
        <v>2823</v>
      </c>
    </row>
    <row r="2825" spans="92:92" x14ac:dyDescent="0.3">
      <c r="CN2825">
        <v>2824</v>
      </c>
    </row>
    <row r="2826" spans="92:92" x14ac:dyDescent="0.3">
      <c r="CN2826">
        <v>2825</v>
      </c>
    </row>
    <row r="2827" spans="92:92" x14ac:dyDescent="0.3">
      <c r="CN2827">
        <v>2826</v>
      </c>
    </row>
    <row r="2828" spans="92:92" x14ac:dyDescent="0.3">
      <c r="CN2828">
        <v>2827</v>
      </c>
    </row>
    <row r="2829" spans="92:92" x14ac:dyDescent="0.3">
      <c r="CN2829">
        <v>2828</v>
      </c>
    </row>
    <row r="2830" spans="92:92" x14ac:dyDescent="0.3">
      <c r="CN2830">
        <v>2829</v>
      </c>
    </row>
    <row r="2831" spans="92:92" x14ac:dyDescent="0.3">
      <c r="CN2831">
        <v>2830</v>
      </c>
    </row>
    <row r="2832" spans="92:92" x14ac:dyDescent="0.3">
      <c r="CN2832">
        <v>2831</v>
      </c>
    </row>
    <row r="2833" spans="92:92" x14ac:dyDescent="0.3">
      <c r="CN2833">
        <v>2832</v>
      </c>
    </row>
    <row r="2834" spans="92:92" x14ac:dyDescent="0.3">
      <c r="CN2834">
        <v>2833</v>
      </c>
    </row>
    <row r="2835" spans="92:92" x14ac:dyDescent="0.3">
      <c r="CN2835">
        <v>2834</v>
      </c>
    </row>
    <row r="2836" spans="92:92" x14ac:dyDescent="0.3">
      <c r="CN2836">
        <v>2835</v>
      </c>
    </row>
    <row r="2837" spans="92:92" x14ac:dyDescent="0.3">
      <c r="CN2837">
        <v>2836</v>
      </c>
    </row>
    <row r="2838" spans="92:92" x14ac:dyDescent="0.3">
      <c r="CN2838">
        <v>2837</v>
      </c>
    </row>
    <row r="2839" spans="92:92" x14ac:dyDescent="0.3">
      <c r="CN2839">
        <v>2838</v>
      </c>
    </row>
    <row r="2840" spans="92:92" x14ac:dyDescent="0.3">
      <c r="CN2840">
        <v>2839</v>
      </c>
    </row>
    <row r="2841" spans="92:92" x14ac:dyDescent="0.3">
      <c r="CN2841">
        <v>2840</v>
      </c>
    </row>
    <row r="2842" spans="92:92" x14ac:dyDescent="0.3">
      <c r="CN2842">
        <v>2841</v>
      </c>
    </row>
    <row r="2843" spans="92:92" x14ac:dyDescent="0.3">
      <c r="CN2843">
        <v>2842</v>
      </c>
    </row>
    <row r="2844" spans="92:92" x14ac:dyDescent="0.3">
      <c r="CN2844">
        <v>2843</v>
      </c>
    </row>
    <row r="2845" spans="92:92" x14ac:dyDescent="0.3">
      <c r="CN2845">
        <v>2844</v>
      </c>
    </row>
    <row r="2846" spans="92:92" x14ac:dyDescent="0.3">
      <c r="CN2846">
        <v>2845</v>
      </c>
    </row>
    <row r="2847" spans="92:92" x14ac:dyDescent="0.3">
      <c r="CN2847">
        <v>2846</v>
      </c>
    </row>
    <row r="2848" spans="92:92" x14ac:dyDescent="0.3">
      <c r="CN2848">
        <v>2847</v>
      </c>
    </row>
    <row r="2849" spans="92:92" x14ac:dyDescent="0.3">
      <c r="CN2849">
        <v>2848</v>
      </c>
    </row>
    <row r="2850" spans="92:92" x14ac:dyDescent="0.3">
      <c r="CN2850">
        <v>2849</v>
      </c>
    </row>
    <row r="2851" spans="92:92" x14ac:dyDescent="0.3">
      <c r="CN2851">
        <v>2850</v>
      </c>
    </row>
    <row r="2852" spans="92:92" x14ac:dyDescent="0.3">
      <c r="CN2852">
        <v>2851</v>
      </c>
    </row>
    <row r="2853" spans="92:92" x14ac:dyDescent="0.3">
      <c r="CN2853">
        <v>2852</v>
      </c>
    </row>
    <row r="2854" spans="92:92" x14ac:dyDescent="0.3">
      <c r="CN2854">
        <v>2853</v>
      </c>
    </row>
    <row r="2855" spans="92:92" x14ac:dyDescent="0.3">
      <c r="CN2855">
        <v>2854</v>
      </c>
    </row>
    <row r="2856" spans="92:92" x14ac:dyDescent="0.3">
      <c r="CN2856">
        <v>2855</v>
      </c>
    </row>
    <row r="2857" spans="92:92" x14ac:dyDescent="0.3">
      <c r="CN2857">
        <v>2856</v>
      </c>
    </row>
    <row r="2858" spans="92:92" x14ac:dyDescent="0.3">
      <c r="CN2858">
        <v>2857</v>
      </c>
    </row>
    <row r="2859" spans="92:92" x14ac:dyDescent="0.3">
      <c r="CN2859">
        <v>2858</v>
      </c>
    </row>
    <row r="2860" spans="92:92" x14ac:dyDescent="0.3">
      <c r="CN2860">
        <v>2859</v>
      </c>
    </row>
    <row r="2861" spans="92:92" x14ac:dyDescent="0.3">
      <c r="CN2861">
        <v>2860</v>
      </c>
    </row>
    <row r="2862" spans="92:92" x14ac:dyDescent="0.3">
      <c r="CN2862">
        <v>2861</v>
      </c>
    </row>
    <row r="2863" spans="92:92" x14ac:dyDescent="0.3">
      <c r="CN2863">
        <v>2862</v>
      </c>
    </row>
    <row r="2864" spans="92:92" x14ac:dyDescent="0.3">
      <c r="CN2864">
        <v>2863</v>
      </c>
    </row>
    <row r="2865" spans="92:92" x14ac:dyDescent="0.3">
      <c r="CN2865">
        <v>2864</v>
      </c>
    </row>
    <row r="2866" spans="92:92" x14ac:dyDescent="0.3">
      <c r="CN2866">
        <v>2865</v>
      </c>
    </row>
    <row r="2867" spans="92:92" x14ac:dyDescent="0.3">
      <c r="CN2867">
        <v>2866</v>
      </c>
    </row>
    <row r="2868" spans="92:92" x14ac:dyDescent="0.3">
      <c r="CN2868">
        <v>2867</v>
      </c>
    </row>
    <row r="2869" spans="92:92" x14ac:dyDescent="0.3">
      <c r="CN2869">
        <v>2868</v>
      </c>
    </row>
    <row r="2870" spans="92:92" x14ac:dyDescent="0.3">
      <c r="CN2870">
        <v>2869</v>
      </c>
    </row>
    <row r="2871" spans="92:92" x14ac:dyDescent="0.3">
      <c r="CN2871">
        <v>2870</v>
      </c>
    </row>
    <row r="2872" spans="92:92" x14ac:dyDescent="0.3">
      <c r="CN2872">
        <v>2871</v>
      </c>
    </row>
    <row r="2873" spans="92:92" x14ac:dyDescent="0.3">
      <c r="CN2873">
        <v>2872</v>
      </c>
    </row>
    <row r="2874" spans="92:92" x14ac:dyDescent="0.3">
      <c r="CN2874">
        <v>2873</v>
      </c>
    </row>
    <row r="2875" spans="92:92" x14ac:dyDescent="0.3">
      <c r="CN2875">
        <v>2874</v>
      </c>
    </row>
    <row r="2876" spans="92:92" x14ac:dyDescent="0.3">
      <c r="CN2876">
        <v>2875</v>
      </c>
    </row>
    <row r="2877" spans="92:92" x14ac:dyDescent="0.3">
      <c r="CN2877">
        <v>2876</v>
      </c>
    </row>
    <row r="2878" spans="92:92" x14ac:dyDescent="0.3">
      <c r="CN2878">
        <v>2877</v>
      </c>
    </row>
    <row r="2879" spans="92:92" x14ac:dyDescent="0.3">
      <c r="CN2879">
        <v>2878</v>
      </c>
    </row>
    <row r="2880" spans="92:92" x14ac:dyDescent="0.3">
      <c r="CN2880">
        <v>2879</v>
      </c>
    </row>
    <row r="2881" spans="92:92" x14ac:dyDescent="0.3">
      <c r="CN2881">
        <v>2880</v>
      </c>
    </row>
    <row r="2882" spans="92:92" x14ac:dyDescent="0.3">
      <c r="CN2882">
        <v>2881</v>
      </c>
    </row>
    <row r="2883" spans="92:92" x14ac:dyDescent="0.3">
      <c r="CN2883">
        <v>2882</v>
      </c>
    </row>
    <row r="2884" spans="92:92" x14ac:dyDescent="0.3">
      <c r="CN2884">
        <v>2883</v>
      </c>
    </row>
    <row r="2885" spans="92:92" x14ac:dyDescent="0.3">
      <c r="CN2885">
        <v>2884</v>
      </c>
    </row>
    <row r="2886" spans="92:92" x14ac:dyDescent="0.3">
      <c r="CN2886">
        <v>2885</v>
      </c>
    </row>
    <row r="2887" spans="92:92" x14ac:dyDescent="0.3">
      <c r="CN2887">
        <v>2886</v>
      </c>
    </row>
    <row r="2888" spans="92:92" x14ac:dyDescent="0.3">
      <c r="CN2888">
        <v>2887</v>
      </c>
    </row>
    <row r="2889" spans="92:92" x14ac:dyDescent="0.3">
      <c r="CN2889">
        <v>2888</v>
      </c>
    </row>
    <row r="2890" spans="92:92" x14ac:dyDescent="0.3">
      <c r="CN2890">
        <v>2889</v>
      </c>
    </row>
    <row r="2891" spans="92:92" x14ac:dyDescent="0.3">
      <c r="CN2891">
        <v>2890</v>
      </c>
    </row>
    <row r="2892" spans="92:92" x14ac:dyDescent="0.3">
      <c r="CN2892">
        <v>2891</v>
      </c>
    </row>
    <row r="2893" spans="92:92" x14ac:dyDescent="0.3">
      <c r="CN2893">
        <v>2892</v>
      </c>
    </row>
    <row r="2894" spans="92:92" x14ac:dyDescent="0.3">
      <c r="CN2894">
        <v>2893</v>
      </c>
    </row>
    <row r="2895" spans="92:92" x14ac:dyDescent="0.3">
      <c r="CN2895">
        <v>2894</v>
      </c>
    </row>
    <row r="2896" spans="92:92" x14ac:dyDescent="0.3">
      <c r="CN2896">
        <v>2895</v>
      </c>
    </row>
    <row r="2897" spans="92:92" x14ac:dyDescent="0.3">
      <c r="CN2897">
        <v>2896</v>
      </c>
    </row>
    <row r="2898" spans="92:92" x14ac:dyDescent="0.3">
      <c r="CN2898">
        <v>2897</v>
      </c>
    </row>
    <row r="2899" spans="92:92" x14ac:dyDescent="0.3">
      <c r="CN2899">
        <v>2898</v>
      </c>
    </row>
    <row r="2900" spans="92:92" x14ac:dyDescent="0.3">
      <c r="CN2900">
        <v>2899</v>
      </c>
    </row>
    <row r="2901" spans="92:92" x14ac:dyDescent="0.3">
      <c r="CN2901">
        <v>2900</v>
      </c>
    </row>
    <row r="2902" spans="92:92" x14ac:dyDescent="0.3">
      <c r="CN2902">
        <v>2901</v>
      </c>
    </row>
    <row r="2903" spans="92:92" x14ac:dyDescent="0.3">
      <c r="CN2903">
        <v>2902</v>
      </c>
    </row>
    <row r="2904" spans="92:92" x14ac:dyDescent="0.3">
      <c r="CN2904">
        <v>2903</v>
      </c>
    </row>
    <row r="2905" spans="92:92" x14ac:dyDescent="0.3">
      <c r="CN2905">
        <v>2904</v>
      </c>
    </row>
    <row r="2906" spans="92:92" x14ac:dyDescent="0.3">
      <c r="CN2906">
        <v>2905</v>
      </c>
    </row>
    <row r="2907" spans="92:92" x14ac:dyDescent="0.3">
      <c r="CN2907">
        <v>2906</v>
      </c>
    </row>
    <row r="2908" spans="92:92" x14ac:dyDescent="0.3">
      <c r="CN2908">
        <v>2907</v>
      </c>
    </row>
    <row r="2909" spans="92:92" x14ac:dyDescent="0.3">
      <c r="CN2909">
        <v>2908</v>
      </c>
    </row>
    <row r="2910" spans="92:92" x14ac:dyDescent="0.3">
      <c r="CN2910">
        <v>2909</v>
      </c>
    </row>
    <row r="2911" spans="92:92" x14ac:dyDescent="0.3">
      <c r="CN2911">
        <v>2910</v>
      </c>
    </row>
    <row r="2912" spans="92:92" x14ac:dyDescent="0.3">
      <c r="CN2912">
        <v>2911</v>
      </c>
    </row>
    <row r="2913" spans="92:92" x14ac:dyDescent="0.3">
      <c r="CN2913">
        <v>2912</v>
      </c>
    </row>
    <row r="2914" spans="92:92" x14ac:dyDescent="0.3">
      <c r="CN2914">
        <v>2913</v>
      </c>
    </row>
    <row r="2915" spans="92:92" x14ac:dyDescent="0.3">
      <c r="CN2915">
        <v>2914</v>
      </c>
    </row>
    <row r="2916" spans="92:92" x14ac:dyDescent="0.3">
      <c r="CN2916">
        <v>2915</v>
      </c>
    </row>
    <row r="2917" spans="92:92" x14ac:dyDescent="0.3">
      <c r="CN2917">
        <v>2916</v>
      </c>
    </row>
    <row r="2918" spans="92:92" x14ac:dyDescent="0.3">
      <c r="CN2918">
        <v>2917</v>
      </c>
    </row>
    <row r="2919" spans="92:92" x14ac:dyDescent="0.3">
      <c r="CN2919">
        <v>2918</v>
      </c>
    </row>
    <row r="2920" spans="92:92" x14ac:dyDescent="0.3">
      <c r="CN2920">
        <v>2919</v>
      </c>
    </row>
    <row r="2921" spans="92:92" x14ac:dyDescent="0.3">
      <c r="CN2921">
        <v>2920</v>
      </c>
    </row>
    <row r="2922" spans="92:92" x14ac:dyDescent="0.3">
      <c r="CN2922">
        <v>2921</v>
      </c>
    </row>
    <row r="2923" spans="92:92" x14ac:dyDescent="0.3">
      <c r="CN2923">
        <v>2922</v>
      </c>
    </row>
    <row r="2924" spans="92:92" x14ac:dyDescent="0.3">
      <c r="CN2924">
        <v>2923</v>
      </c>
    </row>
    <row r="2925" spans="92:92" x14ac:dyDescent="0.3">
      <c r="CN2925">
        <v>2924</v>
      </c>
    </row>
    <row r="2926" spans="92:92" x14ac:dyDescent="0.3">
      <c r="CN2926">
        <v>2925</v>
      </c>
    </row>
    <row r="2927" spans="92:92" x14ac:dyDescent="0.3">
      <c r="CN2927">
        <v>2926</v>
      </c>
    </row>
    <row r="2928" spans="92:92" x14ac:dyDescent="0.3">
      <c r="CN2928">
        <v>2927</v>
      </c>
    </row>
    <row r="2929" spans="92:92" x14ac:dyDescent="0.3">
      <c r="CN2929">
        <v>2928</v>
      </c>
    </row>
    <row r="2930" spans="92:92" x14ac:dyDescent="0.3">
      <c r="CN2930">
        <v>2929</v>
      </c>
    </row>
    <row r="2931" spans="92:92" x14ac:dyDescent="0.3">
      <c r="CN2931">
        <v>2930</v>
      </c>
    </row>
    <row r="2932" spans="92:92" x14ac:dyDescent="0.3">
      <c r="CN2932">
        <v>2931</v>
      </c>
    </row>
    <row r="2933" spans="92:92" x14ac:dyDescent="0.3">
      <c r="CN2933">
        <v>2932</v>
      </c>
    </row>
    <row r="2934" spans="92:92" x14ac:dyDescent="0.3">
      <c r="CN2934">
        <v>2933</v>
      </c>
    </row>
    <row r="2935" spans="92:92" x14ac:dyDescent="0.3">
      <c r="CN2935">
        <v>2934</v>
      </c>
    </row>
    <row r="2936" spans="92:92" x14ac:dyDescent="0.3">
      <c r="CN2936">
        <v>2935</v>
      </c>
    </row>
    <row r="2937" spans="92:92" x14ac:dyDescent="0.3">
      <c r="CN2937">
        <v>2936</v>
      </c>
    </row>
    <row r="2938" spans="92:92" x14ac:dyDescent="0.3">
      <c r="CN2938">
        <v>2937</v>
      </c>
    </row>
    <row r="2939" spans="92:92" x14ac:dyDescent="0.3">
      <c r="CN2939">
        <v>2938</v>
      </c>
    </row>
    <row r="2940" spans="92:92" x14ac:dyDescent="0.3">
      <c r="CN2940">
        <v>2939</v>
      </c>
    </row>
    <row r="2941" spans="92:92" x14ac:dyDescent="0.3">
      <c r="CN2941">
        <v>2940</v>
      </c>
    </row>
    <row r="2942" spans="92:92" x14ac:dyDescent="0.3">
      <c r="CN2942">
        <v>2941</v>
      </c>
    </row>
    <row r="2943" spans="92:92" x14ac:dyDescent="0.3">
      <c r="CN2943">
        <v>2942</v>
      </c>
    </row>
    <row r="2944" spans="92:92" x14ac:dyDescent="0.3">
      <c r="CN2944">
        <v>2943</v>
      </c>
    </row>
    <row r="2945" spans="92:92" x14ac:dyDescent="0.3">
      <c r="CN2945">
        <v>2944</v>
      </c>
    </row>
    <row r="2946" spans="92:92" x14ac:dyDescent="0.3">
      <c r="CN2946">
        <v>2945</v>
      </c>
    </row>
    <row r="2947" spans="92:92" x14ac:dyDescent="0.3">
      <c r="CN2947">
        <v>2946</v>
      </c>
    </row>
    <row r="2948" spans="92:92" x14ac:dyDescent="0.3">
      <c r="CN2948">
        <v>2947</v>
      </c>
    </row>
    <row r="2949" spans="92:92" x14ac:dyDescent="0.3">
      <c r="CN2949">
        <v>2948</v>
      </c>
    </row>
    <row r="2950" spans="92:92" x14ac:dyDescent="0.3">
      <c r="CN2950">
        <v>2949</v>
      </c>
    </row>
    <row r="2951" spans="92:92" x14ac:dyDescent="0.3">
      <c r="CN2951">
        <v>2950</v>
      </c>
    </row>
    <row r="2952" spans="92:92" x14ac:dyDescent="0.3">
      <c r="CN2952">
        <v>2951</v>
      </c>
    </row>
    <row r="2953" spans="92:92" x14ac:dyDescent="0.3">
      <c r="CN2953">
        <v>2952</v>
      </c>
    </row>
    <row r="2954" spans="92:92" x14ac:dyDescent="0.3">
      <c r="CN2954">
        <v>2953</v>
      </c>
    </row>
    <row r="2955" spans="92:92" x14ac:dyDescent="0.3">
      <c r="CN2955">
        <v>2954</v>
      </c>
    </row>
    <row r="2956" spans="92:92" x14ac:dyDescent="0.3">
      <c r="CN2956">
        <v>2955</v>
      </c>
    </row>
    <row r="2957" spans="92:92" x14ac:dyDescent="0.3">
      <c r="CN2957">
        <v>2956</v>
      </c>
    </row>
    <row r="2958" spans="92:92" x14ac:dyDescent="0.3">
      <c r="CN2958">
        <v>2957</v>
      </c>
    </row>
    <row r="2959" spans="92:92" x14ac:dyDescent="0.3">
      <c r="CN2959">
        <v>2958</v>
      </c>
    </row>
    <row r="2960" spans="92:92" x14ac:dyDescent="0.3">
      <c r="CN2960">
        <v>2959</v>
      </c>
    </row>
    <row r="2961" spans="92:92" x14ac:dyDescent="0.3">
      <c r="CN2961">
        <v>2960</v>
      </c>
    </row>
    <row r="2962" spans="92:92" x14ac:dyDescent="0.3">
      <c r="CN2962">
        <v>2961</v>
      </c>
    </row>
    <row r="2963" spans="92:92" x14ac:dyDescent="0.3">
      <c r="CN2963">
        <v>2962</v>
      </c>
    </row>
    <row r="2964" spans="92:92" x14ac:dyDescent="0.3">
      <c r="CN2964">
        <v>2963</v>
      </c>
    </row>
    <row r="2965" spans="92:92" x14ac:dyDescent="0.3">
      <c r="CN2965">
        <v>2964</v>
      </c>
    </row>
    <row r="2966" spans="92:92" x14ac:dyDescent="0.3">
      <c r="CN2966">
        <v>2965</v>
      </c>
    </row>
    <row r="2967" spans="92:92" x14ac:dyDescent="0.3">
      <c r="CN2967">
        <v>2966</v>
      </c>
    </row>
    <row r="2968" spans="92:92" x14ac:dyDescent="0.3">
      <c r="CN2968">
        <v>2967</v>
      </c>
    </row>
    <row r="2969" spans="92:92" x14ac:dyDescent="0.3">
      <c r="CN2969">
        <v>2968</v>
      </c>
    </row>
    <row r="2970" spans="92:92" x14ac:dyDescent="0.3">
      <c r="CN2970">
        <v>2969</v>
      </c>
    </row>
    <row r="2971" spans="92:92" x14ac:dyDescent="0.3">
      <c r="CN2971">
        <v>2970</v>
      </c>
    </row>
    <row r="2972" spans="92:92" x14ac:dyDescent="0.3">
      <c r="CN2972">
        <v>2971</v>
      </c>
    </row>
    <row r="2973" spans="92:92" x14ac:dyDescent="0.3">
      <c r="CN2973">
        <v>2972</v>
      </c>
    </row>
    <row r="2974" spans="92:92" x14ac:dyDescent="0.3">
      <c r="CN2974">
        <v>2973</v>
      </c>
    </row>
    <row r="2975" spans="92:92" x14ac:dyDescent="0.3">
      <c r="CN2975">
        <v>2974</v>
      </c>
    </row>
    <row r="2976" spans="92:92" x14ac:dyDescent="0.3">
      <c r="CN2976">
        <v>2975</v>
      </c>
    </row>
    <row r="2977" spans="92:92" x14ac:dyDescent="0.3">
      <c r="CN2977">
        <v>2976</v>
      </c>
    </row>
    <row r="2978" spans="92:92" x14ac:dyDescent="0.3">
      <c r="CN2978">
        <v>2977</v>
      </c>
    </row>
    <row r="2979" spans="92:92" x14ac:dyDescent="0.3">
      <c r="CN2979">
        <v>2978</v>
      </c>
    </row>
    <row r="2980" spans="92:92" x14ac:dyDescent="0.3">
      <c r="CN2980">
        <v>2979</v>
      </c>
    </row>
    <row r="2981" spans="92:92" x14ac:dyDescent="0.3">
      <c r="CN2981">
        <v>2980</v>
      </c>
    </row>
    <row r="2982" spans="92:92" x14ac:dyDescent="0.3">
      <c r="CN2982">
        <v>2981</v>
      </c>
    </row>
    <row r="2983" spans="92:92" x14ac:dyDescent="0.3">
      <c r="CN2983">
        <v>2982</v>
      </c>
    </row>
    <row r="2984" spans="92:92" x14ac:dyDescent="0.3">
      <c r="CN2984">
        <v>2983</v>
      </c>
    </row>
    <row r="2985" spans="92:92" x14ac:dyDescent="0.3">
      <c r="CN2985">
        <v>2984</v>
      </c>
    </row>
    <row r="2986" spans="92:92" x14ac:dyDescent="0.3">
      <c r="CN2986">
        <v>2985</v>
      </c>
    </row>
    <row r="2987" spans="92:92" x14ac:dyDescent="0.3">
      <c r="CN2987">
        <v>2986</v>
      </c>
    </row>
    <row r="2988" spans="92:92" x14ac:dyDescent="0.3">
      <c r="CN2988">
        <v>2987</v>
      </c>
    </row>
    <row r="2989" spans="92:92" x14ac:dyDescent="0.3">
      <c r="CN2989">
        <v>2988</v>
      </c>
    </row>
    <row r="2990" spans="92:92" x14ac:dyDescent="0.3">
      <c r="CN2990">
        <v>2989</v>
      </c>
    </row>
    <row r="2991" spans="92:92" x14ac:dyDescent="0.3">
      <c r="CN2991">
        <v>2990</v>
      </c>
    </row>
    <row r="2992" spans="92:92" x14ac:dyDescent="0.3">
      <c r="CN2992">
        <v>2991</v>
      </c>
    </row>
    <row r="2993" spans="92:92" x14ac:dyDescent="0.3">
      <c r="CN2993">
        <v>2992</v>
      </c>
    </row>
    <row r="2994" spans="92:92" x14ac:dyDescent="0.3">
      <c r="CN2994">
        <v>2993</v>
      </c>
    </row>
    <row r="2995" spans="92:92" x14ac:dyDescent="0.3">
      <c r="CN2995">
        <v>2994</v>
      </c>
    </row>
    <row r="2996" spans="92:92" x14ac:dyDescent="0.3">
      <c r="CN2996">
        <v>2995</v>
      </c>
    </row>
    <row r="2997" spans="92:92" x14ac:dyDescent="0.3">
      <c r="CN2997">
        <v>2996</v>
      </c>
    </row>
    <row r="2998" spans="92:92" x14ac:dyDescent="0.3">
      <c r="CN2998">
        <v>2997</v>
      </c>
    </row>
    <row r="2999" spans="92:92" x14ac:dyDescent="0.3">
      <c r="CN2999">
        <v>2998</v>
      </c>
    </row>
    <row r="3000" spans="92:92" x14ac:dyDescent="0.3">
      <c r="CN3000">
        <v>2999</v>
      </c>
    </row>
    <row r="3001" spans="92:92" x14ac:dyDescent="0.3">
      <c r="CN3001">
        <v>3000</v>
      </c>
    </row>
    <row r="3002" spans="92:92" x14ac:dyDescent="0.3">
      <c r="CN3002">
        <v>3001</v>
      </c>
    </row>
    <row r="3003" spans="92:92" x14ac:dyDescent="0.3">
      <c r="CN3003">
        <v>3002</v>
      </c>
    </row>
    <row r="3004" spans="92:92" x14ac:dyDescent="0.3">
      <c r="CN3004">
        <v>3003</v>
      </c>
    </row>
    <row r="3005" spans="92:92" x14ac:dyDescent="0.3">
      <c r="CN3005">
        <v>3004</v>
      </c>
    </row>
    <row r="3006" spans="92:92" x14ac:dyDescent="0.3">
      <c r="CN3006">
        <v>3005</v>
      </c>
    </row>
    <row r="3007" spans="92:92" x14ac:dyDescent="0.3">
      <c r="CN3007">
        <v>3006</v>
      </c>
    </row>
    <row r="3008" spans="92:92" x14ac:dyDescent="0.3">
      <c r="CN3008">
        <v>3007</v>
      </c>
    </row>
    <row r="3009" spans="92:92" x14ac:dyDescent="0.3">
      <c r="CN3009">
        <v>3008</v>
      </c>
    </row>
    <row r="3010" spans="92:92" x14ac:dyDescent="0.3">
      <c r="CN3010">
        <v>3009</v>
      </c>
    </row>
    <row r="3011" spans="92:92" x14ac:dyDescent="0.3">
      <c r="CN3011">
        <v>3010</v>
      </c>
    </row>
    <row r="3012" spans="92:92" x14ac:dyDescent="0.3">
      <c r="CN3012">
        <v>3011</v>
      </c>
    </row>
    <row r="3013" spans="92:92" x14ac:dyDescent="0.3">
      <c r="CN3013">
        <v>3012</v>
      </c>
    </row>
    <row r="3014" spans="92:92" x14ac:dyDescent="0.3">
      <c r="CN3014">
        <v>3013</v>
      </c>
    </row>
    <row r="3015" spans="92:92" x14ac:dyDescent="0.3">
      <c r="CN3015">
        <v>3014</v>
      </c>
    </row>
    <row r="3016" spans="92:92" x14ac:dyDescent="0.3">
      <c r="CN3016">
        <v>3015</v>
      </c>
    </row>
    <row r="3017" spans="92:92" x14ac:dyDescent="0.3">
      <c r="CN3017">
        <v>3016</v>
      </c>
    </row>
    <row r="3018" spans="92:92" x14ac:dyDescent="0.3">
      <c r="CN3018">
        <v>3017</v>
      </c>
    </row>
    <row r="3019" spans="92:92" x14ac:dyDescent="0.3">
      <c r="CN3019">
        <v>3018</v>
      </c>
    </row>
    <row r="3020" spans="92:92" x14ac:dyDescent="0.3">
      <c r="CN3020">
        <v>3019</v>
      </c>
    </row>
    <row r="3021" spans="92:92" x14ac:dyDescent="0.3">
      <c r="CN3021">
        <v>3020</v>
      </c>
    </row>
    <row r="3022" spans="92:92" x14ac:dyDescent="0.3">
      <c r="CN3022">
        <v>3021</v>
      </c>
    </row>
    <row r="3023" spans="92:92" x14ac:dyDescent="0.3">
      <c r="CN3023">
        <v>3022</v>
      </c>
    </row>
    <row r="3024" spans="92:92" x14ac:dyDescent="0.3">
      <c r="CN3024">
        <v>3023</v>
      </c>
    </row>
    <row r="3025" spans="92:92" x14ac:dyDescent="0.3">
      <c r="CN3025">
        <v>3024</v>
      </c>
    </row>
    <row r="3026" spans="92:92" x14ac:dyDescent="0.3">
      <c r="CN3026">
        <v>3025</v>
      </c>
    </row>
    <row r="3027" spans="92:92" x14ac:dyDescent="0.3">
      <c r="CN3027">
        <v>3026</v>
      </c>
    </row>
    <row r="3028" spans="92:92" x14ac:dyDescent="0.3">
      <c r="CN3028">
        <v>3027</v>
      </c>
    </row>
    <row r="3029" spans="92:92" x14ac:dyDescent="0.3">
      <c r="CN3029">
        <v>3028</v>
      </c>
    </row>
    <row r="3030" spans="92:92" x14ac:dyDescent="0.3">
      <c r="CN3030">
        <v>3029</v>
      </c>
    </row>
    <row r="3031" spans="92:92" x14ac:dyDescent="0.3">
      <c r="CN3031">
        <v>3030</v>
      </c>
    </row>
    <row r="3032" spans="92:92" x14ac:dyDescent="0.3">
      <c r="CN3032">
        <v>3031</v>
      </c>
    </row>
    <row r="3033" spans="92:92" x14ac:dyDescent="0.3">
      <c r="CN3033">
        <v>3032</v>
      </c>
    </row>
    <row r="3034" spans="92:92" x14ac:dyDescent="0.3">
      <c r="CN3034">
        <v>3033</v>
      </c>
    </row>
    <row r="3035" spans="92:92" x14ac:dyDescent="0.3">
      <c r="CN3035">
        <v>3034</v>
      </c>
    </row>
    <row r="3036" spans="92:92" x14ac:dyDescent="0.3">
      <c r="CN3036">
        <v>3035</v>
      </c>
    </row>
    <row r="3037" spans="92:92" x14ac:dyDescent="0.3">
      <c r="CN3037">
        <v>3036</v>
      </c>
    </row>
    <row r="3038" spans="92:92" x14ac:dyDescent="0.3">
      <c r="CN3038">
        <v>3037</v>
      </c>
    </row>
    <row r="3039" spans="92:92" x14ac:dyDescent="0.3">
      <c r="CN3039">
        <v>3038</v>
      </c>
    </row>
    <row r="3040" spans="92:92" x14ac:dyDescent="0.3">
      <c r="CN3040">
        <v>3039</v>
      </c>
    </row>
    <row r="3041" spans="92:92" x14ac:dyDescent="0.3">
      <c r="CN3041">
        <v>3040</v>
      </c>
    </row>
    <row r="3042" spans="92:92" x14ac:dyDescent="0.3">
      <c r="CN3042">
        <v>3041</v>
      </c>
    </row>
    <row r="3043" spans="92:92" x14ac:dyDescent="0.3">
      <c r="CN3043">
        <v>3042</v>
      </c>
    </row>
    <row r="3044" spans="92:92" x14ac:dyDescent="0.3">
      <c r="CN3044">
        <v>3043</v>
      </c>
    </row>
    <row r="3045" spans="92:92" x14ac:dyDescent="0.3">
      <c r="CN3045">
        <v>3044</v>
      </c>
    </row>
    <row r="3046" spans="92:92" x14ac:dyDescent="0.3">
      <c r="CN3046">
        <v>3045</v>
      </c>
    </row>
    <row r="3047" spans="92:92" x14ac:dyDescent="0.3">
      <c r="CN3047">
        <v>3046</v>
      </c>
    </row>
    <row r="3048" spans="92:92" x14ac:dyDescent="0.3">
      <c r="CN3048">
        <v>3047</v>
      </c>
    </row>
    <row r="3049" spans="92:92" x14ac:dyDescent="0.3">
      <c r="CN3049">
        <v>3048</v>
      </c>
    </row>
    <row r="3050" spans="92:92" x14ac:dyDescent="0.3">
      <c r="CN3050">
        <v>3049</v>
      </c>
    </row>
    <row r="3051" spans="92:92" x14ac:dyDescent="0.3">
      <c r="CN3051">
        <v>3050</v>
      </c>
    </row>
    <row r="3052" spans="92:92" x14ac:dyDescent="0.3">
      <c r="CN3052">
        <v>3051</v>
      </c>
    </row>
    <row r="3053" spans="92:92" x14ac:dyDescent="0.3">
      <c r="CN3053">
        <v>3052</v>
      </c>
    </row>
    <row r="3054" spans="92:92" x14ac:dyDescent="0.3">
      <c r="CN3054">
        <v>3053</v>
      </c>
    </row>
    <row r="3055" spans="92:92" x14ac:dyDescent="0.3">
      <c r="CN3055">
        <v>3054</v>
      </c>
    </row>
    <row r="3056" spans="92:92" x14ac:dyDescent="0.3">
      <c r="CN3056">
        <v>3055</v>
      </c>
    </row>
    <row r="3057" spans="92:92" x14ac:dyDescent="0.3">
      <c r="CN3057">
        <v>3056</v>
      </c>
    </row>
    <row r="3058" spans="92:92" x14ac:dyDescent="0.3">
      <c r="CN3058">
        <v>3057</v>
      </c>
    </row>
    <row r="3059" spans="92:92" x14ac:dyDescent="0.3">
      <c r="CN3059">
        <v>3058</v>
      </c>
    </row>
    <row r="3060" spans="92:92" x14ac:dyDescent="0.3">
      <c r="CN3060">
        <v>3059</v>
      </c>
    </row>
    <row r="3061" spans="92:92" x14ac:dyDescent="0.3">
      <c r="CN3061">
        <v>3060</v>
      </c>
    </row>
    <row r="3062" spans="92:92" x14ac:dyDescent="0.3">
      <c r="CN3062">
        <v>3061</v>
      </c>
    </row>
    <row r="3063" spans="92:92" x14ac:dyDescent="0.3">
      <c r="CN3063">
        <v>3062</v>
      </c>
    </row>
    <row r="3064" spans="92:92" x14ac:dyDescent="0.3">
      <c r="CN3064">
        <v>3063</v>
      </c>
    </row>
    <row r="3065" spans="92:92" x14ac:dyDescent="0.3">
      <c r="CN3065">
        <v>3064</v>
      </c>
    </row>
    <row r="3066" spans="92:92" x14ac:dyDescent="0.3">
      <c r="CN3066">
        <v>3065</v>
      </c>
    </row>
    <row r="3067" spans="92:92" x14ac:dyDescent="0.3">
      <c r="CN3067">
        <v>3066</v>
      </c>
    </row>
    <row r="3068" spans="92:92" x14ac:dyDescent="0.3">
      <c r="CN3068">
        <v>3067</v>
      </c>
    </row>
    <row r="3069" spans="92:92" x14ac:dyDescent="0.3">
      <c r="CN3069">
        <v>3068</v>
      </c>
    </row>
    <row r="3070" spans="92:92" x14ac:dyDescent="0.3">
      <c r="CN3070">
        <v>3069</v>
      </c>
    </row>
    <row r="3071" spans="92:92" x14ac:dyDescent="0.3">
      <c r="CN3071">
        <v>3070</v>
      </c>
    </row>
    <row r="3072" spans="92:92" x14ac:dyDescent="0.3">
      <c r="CN3072">
        <v>3071</v>
      </c>
    </row>
    <row r="3073" spans="92:92" x14ac:dyDescent="0.3">
      <c r="CN3073">
        <v>3072</v>
      </c>
    </row>
    <row r="3074" spans="92:92" x14ac:dyDescent="0.3">
      <c r="CN3074">
        <v>3073</v>
      </c>
    </row>
    <row r="3075" spans="92:92" x14ac:dyDescent="0.3">
      <c r="CN3075">
        <v>3074</v>
      </c>
    </row>
    <row r="3076" spans="92:92" x14ac:dyDescent="0.3">
      <c r="CN3076">
        <v>3075</v>
      </c>
    </row>
    <row r="3077" spans="92:92" x14ac:dyDescent="0.3">
      <c r="CN3077">
        <v>3076</v>
      </c>
    </row>
    <row r="3078" spans="92:92" x14ac:dyDescent="0.3">
      <c r="CN3078">
        <v>3077</v>
      </c>
    </row>
    <row r="3079" spans="92:92" x14ac:dyDescent="0.3">
      <c r="CN3079">
        <v>3078</v>
      </c>
    </row>
    <row r="3080" spans="92:92" x14ac:dyDescent="0.3">
      <c r="CN3080">
        <v>3079</v>
      </c>
    </row>
    <row r="3081" spans="92:92" x14ac:dyDescent="0.3">
      <c r="CN3081">
        <v>3080</v>
      </c>
    </row>
    <row r="3082" spans="92:92" x14ac:dyDescent="0.3">
      <c r="CN3082">
        <v>3081</v>
      </c>
    </row>
    <row r="3083" spans="92:92" x14ac:dyDescent="0.3">
      <c r="CN3083">
        <v>3082</v>
      </c>
    </row>
    <row r="3084" spans="92:92" x14ac:dyDescent="0.3">
      <c r="CN3084">
        <v>3083</v>
      </c>
    </row>
    <row r="3085" spans="92:92" x14ac:dyDescent="0.3">
      <c r="CN3085">
        <v>3084</v>
      </c>
    </row>
    <row r="3086" spans="92:92" x14ac:dyDescent="0.3">
      <c r="CN3086">
        <v>3085</v>
      </c>
    </row>
    <row r="3087" spans="92:92" x14ac:dyDescent="0.3">
      <c r="CN3087">
        <v>3086</v>
      </c>
    </row>
    <row r="3088" spans="92:92" x14ac:dyDescent="0.3">
      <c r="CN3088">
        <v>3087</v>
      </c>
    </row>
    <row r="3089" spans="92:92" x14ac:dyDescent="0.3">
      <c r="CN3089">
        <v>3088</v>
      </c>
    </row>
    <row r="3090" spans="92:92" x14ac:dyDescent="0.3">
      <c r="CN3090">
        <v>3089</v>
      </c>
    </row>
    <row r="3091" spans="92:92" x14ac:dyDescent="0.3">
      <c r="CN3091">
        <v>3090</v>
      </c>
    </row>
    <row r="3092" spans="92:92" x14ac:dyDescent="0.3">
      <c r="CN3092">
        <v>3091</v>
      </c>
    </row>
    <row r="3093" spans="92:92" x14ac:dyDescent="0.3">
      <c r="CN3093">
        <v>3092</v>
      </c>
    </row>
    <row r="3094" spans="92:92" x14ac:dyDescent="0.3">
      <c r="CN3094">
        <v>3093</v>
      </c>
    </row>
    <row r="3095" spans="92:92" x14ac:dyDescent="0.3">
      <c r="CN3095">
        <v>3094</v>
      </c>
    </row>
    <row r="3096" spans="92:92" x14ac:dyDescent="0.3">
      <c r="CN3096">
        <v>3095</v>
      </c>
    </row>
    <row r="3097" spans="92:92" x14ac:dyDescent="0.3">
      <c r="CN3097">
        <v>3096</v>
      </c>
    </row>
    <row r="3098" spans="92:92" x14ac:dyDescent="0.3">
      <c r="CN3098">
        <v>3097</v>
      </c>
    </row>
    <row r="3099" spans="92:92" x14ac:dyDescent="0.3">
      <c r="CN3099">
        <v>3098</v>
      </c>
    </row>
    <row r="3100" spans="92:92" x14ac:dyDescent="0.3">
      <c r="CN3100">
        <v>3099</v>
      </c>
    </row>
    <row r="3101" spans="92:92" x14ac:dyDescent="0.3">
      <c r="CN3101">
        <v>3100</v>
      </c>
    </row>
    <row r="3102" spans="92:92" x14ac:dyDescent="0.3">
      <c r="CN3102">
        <v>3101</v>
      </c>
    </row>
    <row r="3103" spans="92:92" x14ac:dyDescent="0.3">
      <c r="CN3103">
        <v>3102</v>
      </c>
    </row>
    <row r="3104" spans="92:92" x14ac:dyDescent="0.3">
      <c r="CN3104">
        <v>3103</v>
      </c>
    </row>
    <row r="3105" spans="92:92" x14ac:dyDescent="0.3">
      <c r="CN3105">
        <v>3104</v>
      </c>
    </row>
    <row r="3106" spans="92:92" x14ac:dyDescent="0.3">
      <c r="CN3106">
        <v>3105</v>
      </c>
    </row>
    <row r="3107" spans="92:92" x14ac:dyDescent="0.3">
      <c r="CN3107">
        <v>3106</v>
      </c>
    </row>
    <row r="3108" spans="92:92" x14ac:dyDescent="0.3">
      <c r="CN3108">
        <v>3107</v>
      </c>
    </row>
    <row r="3109" spans="92:92" x14ac:dyDescent="0.3">
      <c r="CN3109">
        <v>3108</v>
      </c>
    </row>
    <row r="3110" spans="92:92" x14ac:dyDescent="0.3">
      <c r="CN3110">
        <v>3109</v>
      </c>
    </row>
    <row r="3111" spans="92:92" x14ac:dyDescent="0.3">
      <c r="CN3111">
        <v>3110</v>
      </c>
    </row>
    <row r="3112" spans="92:92" x14ac:dyDescent="0.3">
      <c r="CN3112">
        <v>3111</v>
      </c>
    </row>
    <row r="3113" spans="92:92" x14ac:dyDescent="0.3">
      <c r="CN3113">
        <v>3112</v>
      </c>
    </row>
    <row r="3114" spans="92:92" x14ac:dyDescent="0.3">
      <c r="CN3114">
        <v>3113</v>
      </c>
    </row>
    <row r="3115" spans="92:92" x14ac:dyDescent="0.3">
      <c r="CN3115">
        <v>3114</v>
      </c>
    </row>
    <row r="3116" spans="92:92" x14ac:dyDescent="0.3">
      <c r="CN3116">
        <v>3115</v>
      </c>
    </row>
    <row r="3117" spans="92:92" x14ac:dyDescent="0.3">
      <c r="CN3117">
        <v>3116</v>
      </c>
    </row>
    <row r="3118" spans="92:92" x14ac:dyDescent="0.3">
      <c r="CN3118">
        <v>3117</v>
      </c>
    </row>
    <row r="3119" spans="92:92" x14ac:dyDescent="0.3">
      <c r="CN3119">
        <v>3118</v>
      </c>
    </row>
    <row r="3120" spans="92:92" x14ac:dyDescent="0.3">
      <c r="CN3120">
        <v>3119</v>
      </c>
    </row>
    <row r="3121" spans="92:92" x14ac:dyDescent="0.3">
      <c r="CN3121">
        <v>3120</v>
      </c>
    </row>
    <row r="3122" spans="92:92" x14ac:dyDescent="0.3">
      <c r="CN3122">
        <v>3121</v>
      </c>
    </row>
    <row r="3123" spans="92:92" x14ac:dyDescent="0.3">
      <c r="CN3123">
        <v>3122</v>
      </c>
    </row>
    <row r="3124" spans="92:92" x14ac:dyDescent="0.3">
      <c r="CN3124">
        <v>3123</v>
      </c>
    </row>
    <row r="3125" spans="92:92" x14ac:dyDescent="0.3">
      <c r="CN3125">
        <v>3124</v>
      </c>
    </row>
    <row r="3126" spans="92:92" x14ac:dyDescent="0.3">
      <c r="CN3126">
        <v>3125</v>
      </c>
    </row>
    <row r="3127" spans="92:92" x14ac:dyDescent="0.3">
      <c r="CN3127">
        <v>3126</v>
      </c>
    </row>
    <row r="3128" spans="92:92" x14ac:dyDescent="0.3">
      <c r="CN3128">
        <v>3127</v>
      </c>
    </row>
    <row r="3129" spans="92:92" x14ac:dyDescent="0.3">
      <c r="CN3129">
        <v>3128</v>
      </c>
    </row>
    <row r="3130" spans="92:92" x14ac:dyDescent="0.3">
      <c r="CN3130">
        <v>3129</v>
      </c>
    </row>
    <row r="3131" spans="92:92" x14ac:dyDescent="0.3">
      <c r="CN3131">
        <v>3130</v>
      </c>
    </row>
    <row r="3132" spans="92:92" x14ac:dyDescent="0.3">
      <c r="CN3132">
        <v>3131</v>
      </c>
    </row>
    <row r="3133" spans="92:92" x14ac:dyDescent="0.3">
      <c r="CN3133">
        <v>3132</v>
      </c>
    </row>
    <row r="3134" spans="92:92" x14ac:dyDescent="0.3">
      <c r="CN3134">
        <v>3133</v>
      </c>
    </row>
    <row r="3135" spans="92:92" x14ac:dyDescent="0.3">
      <c r="CN3135">
        <v>3134</v>
      </c>
    </row>
    <row r="3136" spans="92:92" x14ac:dyDescent="0.3">
      <c r="CN3136">
        <v>3135</v>
      </c>
    </row>
    <row r="3137" spans="92:92" x14ac:dyDescent="0.3">
      <c r="CN3137">
        <v>3136</v>
      </c>
    </row>
    <row r="3138" spans="92:92" x14ac:dyDescent="0.3">
      <c r="CN3138">
        <v>3137</v>
      </c>
    </row>
    <row r="3139" spans="92:92" x14ac:dyDescent="0.3">
      <c r="CN3139">
        <v>3138</v>
      </c>
    </row>
    <row r="3140" spans="92:92" x14ac:dyDescent="0.3">
      <c r="CN3140">
        <v>3139</v>
      </c>
    </row>
    <row r="3141" spans="92:92" x14ac:dyDescent="0.3">
      <c r="CN3141">
        <v>3140</v>
      </c>
    </row>
    <row r="3142" spans="92:92" x14ac:dyDescent="0.3">
      <c r="CN3142">
        <v>3141</v>
      </c>
    </row>
    <row r="3143" spans="92:92" x14ac:dyDescent="0.3">
      <c r="CN3143">
        <v>3142</v>
      </c>
    </row>
    <row r="3144" spans="92:92" x14ac:dyDescent="0.3">
      <c r="CN3144">
        <v>3143</v>
      </c>
    </row>
    <row r="3145" spans="92:92" x14ac:dyDescent="0.3">
      <c r="CN3145">
        <v>3144</v>
      </c>
    </row>
    <row r="3146" spans="92:92" x14ac:dyDescent="0.3">
      <c r="CN3146">
        <v>3145</v>
      </c>
    </row>
    <row r="3147" spans="92:92" x14ac:dyDescent="0.3">
      <c r="CN3147">
        <v>3146</v>
      </c>
    </row>
    <row r="3148" spans="92:92" x14ac:dyDescent="0.3">
      <c r="CN3148">
        <v>3147</v>
      </c>
    </row>
    <row r="3149" spans="92:92" x14ac:dyDescent="0.3">
      <c r="CN3149">
        <v>3148</v>
      </c>
    </row>
    <row r="3150" spans="92:92" x14ac:dyDescent="0.3">
      <c r="CN3150">
        <v>3149</v>
      </c>
    </row>
    <row r="3151" spans="92:92" x14ac:dyDescent="0.3">
      <c r="CN3151">
        <v>3150</v>
      </c>
    </row>
    <row r="3152" spans="92:92" x14ac:dyDescent="0.3">
      <c r="CN3152">
        <v>3151</v>
      </c>
    </row>
    <row r="3153" spans="92:92" x14ac:dyDescent="0.3">
      <c r="CN3153">
        <v>3152</v>
      </c>
    </row>
    <row r="3154" spans="92:92" x14ac:dyDescent="0.3">
      <c r="CN3154">
        <v>3153</v>
      </c>
    </row>
    <row r="3155" spans="92:92" x14ac:dyDescent="0.3">
      <c r="CN3155">
        <v>3154</v>
      </c>
    </row>
    <row r="3156" spans="92:92" x14ac:dyDescent="0.3">
      <c r="CN3156">
        <v>3155</v>
      </c>
    </row>
    <row r="3157" spans="92:92" x14ac:dyDescent="0.3">
      <c r="CN3157">
        <v>3156</v>
      </c>
    </row>
    <row r="3158" spans="92:92" x14ac:dyDescent="0.3">
      <c r="CN3158">
        <v>3157</v>
      </c>
    </row>
    <row r="3159" spans="92:92" x14ac:dyDescent="0.3">
      <c r="CN3159">
        <v>3158</v>
      </c>
    </row>
    <row r="3160" spans="92:92" x14ac:dyDescent="0.3">
      <c r="CN3160">
        <v>3159</v>
      </c>
    </row>
    <row r="3161" spans="92:92" x14ac:dyDescent="0.3">
      <c r="CN3161">
        <v>3160</v>
      </c>
    </row>
    <row r="3162" spans="92:92" x14ac:dyDescent="0.3">
      <c r="CN3162">
        <v>3161</v>
      </c>
    </row>
    <row r="3163" spans="92:92" x14ac:dyDescent="0.3">
      <c r="CN3163">
        <v>3162</v>
      </c>
    </row>
    <row r="3164" spans="92:92" x14ac:dyDescent="0.3">
      <c r="CN3164">
        <v>3163</v>
      </c>
    </row>
    <row r="3165" spans="92:92" x14ac:dyDescent="0.3">
      <c r="CN3165">
        <v>3164</v>
      </c>
    </row>
    <row r="3166" spans="92:92" x14ac:dyDescent="0.3">
      <c r="CN3166">
        <v>3165</v>
      </c>
    </row>
    <row r="3167" spans="92:92" x14ac:dyDescent="0.3">
      <c r="CN3167">
        <v>3166</v>
      </c>
    </row>
    <row r="3168" spans="92:92" x14ac:dyDescent="0.3">
      <c r="CN3168">
        <v>3167</v>
      </c>
    </row>
    <row r="3169" spans="92:92" x14ac:dyDescent="0.3">
      <c r="CN3169">
        <v>3168</v>
      </c>
    </row>
    <row r="3170" spans="92:92" x14ac:dyDescent="0.3">
      <c r="CN3170">
        <v>3169</v>
      </c>
    </row>
    <row r="3171" spans="92:92" x14ac:dyDescent="0.3">
      <c r="CN3171">
        <v>3170</v>
      </c>
    </row>
    <row r="3172" spans="92:92" x14ac:dyDescent="0.3">
      <c r="CN3172">
        <v>3171</v>
      </c>
    </row>
    <row r="3173" spans="92:92" x14ac:dyDescent="0.3">
      <c r="CN3173">
        <v>3172</v>
      </c>
    </row>
    <row r="3174" spans="92:92" x14ac:dyDescent="0.3">
      <c r="CN3174">
        <v>3173</v>
      </c>
    </row>
    <row r="3175" spans="92:92" x14ac:dyDescent="0.3">
      <c r="CN3175">
        <v>3174</v>
      </c>
    </row>
    <row r="3176" spans="92:92" x14ac:dyDescent="0.3">
      <c r="CN3176">
        <v>3175</v>
      </c>
    </row>
    <row r="3177" spans="92:92" x14ac:dyDescent="0.3">
      <c r="CN3177">
        <v>3176</v>
      </c>
    </row>
    <row r="3178" spans="92:92" x14ac:dyDescent="0.3">
      <c r="CN3178">
        <v>3177</v>
      </c>
    </row>
    <row r="3179" spans="92:92" x14ac:dyDescent="0.3">
      <c r="CN3179">
        <v>3178</v>
      </c>
    </row>
    <row r="3180" spans="92:92" x14ac:dyDescent="0.3">
      <c r="CN3180">
        <v>3179</v>
      </c>
    </row>
    <row r="3181" spans="92:92" x14ac:dyDescent="0.3">
      <c r="CN3181">
        <v>3180</v>
      </c>
    </row>
    <row r="3182" spans="92:92" x14ac:dyDescent="0.3">
      <c r="CN3182">
        <v>3181</v>
      </c>
    </row>
    <row r="3183" spans="92:92" x14ac:dyDescent="0.3">
      <c r="CN3183">
        <v>3182</v>
      </c>
    </row>
    <row r="3184" spans="92:92" x14ac:dyDescent="0.3">
      <c r="CN3184">
        <v>3183</v>
      </c>
    </row>
    <row r="3185" spans="92:92" x14ac:dyDescent="0.3">
      <c r="CN3185">
        <v>3184</v>
      </c>
    </row>
    <row r="3186" spans="92:92" x14ac:dyDescent="0.3">
      <c r="CN3186">
        <v>3185</v>
      </c>
    </row>
    <row r="3187" spans="92:92" x14ac:dyDescent="0.3">
      <c r="CN3187">
        <v>3186</v>
      </c>
    </row>
    <row r="3188" spans="92:92" x14ac:dyDescent="0.3">
      <c r="CN3188">
        <v>3187</v>
      </c>
    </row>
    <row r="3189" spans="92:92" x14ac:dyDescent="0.3">
      <c r="CN3189">
        <v>3188</v>
      </c>
    </row>
    <row r="3190" spans="92:92" x14ac:dyDescent="0.3">
      <c r="CN3190">
        <v>3189</v>
      </c>
    </row>
    <row r="3191" spans="92:92" x14ac:dyDescent="0.3">
      <c r="CN3191">
        <v>3190</v>
      </c>
    </row>
    <row r="3192" spans="92:92" x14ac:dyDescent="0.3">
      <c r="CN3192">
        <v>3191</v>
      </c>
    </row>
    <row r="3193" spans="92:92" x14ac:dyDescent="0.3">
      <c r="CN3193">
        <v>3192</v>
      </c>
    </row>
    <row r="3194" spans="92:92" x14ac:dyDescent="0.3">
      <c r="CN3194">
        <v>3193</v>
      </c>
    </row>
    <row r="3195" spans="92:92" x14ac:dyDescent="0.3">
      <c r="CN3195">
        <v>3194</v>
      </c>
    </row>
    <row r="3196" spans="92:92" x14ac:dyDescent="0.3">
      <c r="CN3196">
        <v>3195</v>
      </c>
    </row>
    <row r="3197" spans="92:92" x14ac:dyDescent="0.3">
      <c r="CN3197">
        <v>3196</v>
      </c>
    </row>
    <row r="3198" spans="92:92" x14ac:dyDescent="0.3">
      <c r="CN3198">
        <v>3197</v>
      </c>
    </row>
    <row r="3199" spans="92:92" x14ac:dyDescent="0.3">
      <c r="CN3199">
        <v>3198</v>
      </c>
    </row>
    <row r="3200" spans="92:92" x14ac:dyDescent="0.3">
      <c r="CN3200">
        <v>3199</v>
      </c>
    </row>
    <row r="3201" spans="92:92" x14ac:dyDescent="0.3">
      <c r="CN3201">
        <v>3200</v>
      </c>
    </row>
    <row r="3202" spans="92:92" x14ac:dyDescent="0.3">
      <c r="CN3202">
        <v>3201</v>
      </c>
    </row>
    <row r="3203" spans="92:92" x14ac:dyDescent="0.3">
      <c r="CN3203">
        <v>3202</v>
      </c>
    </row>
    <row r="3204" spans="92:92" x14ac:dyDescent="0.3">
      <c r="CN3204">
        <v>3203</v>
      </c>
    </row>
    <row r="3205" spans="92:92" x14ac:dyDescent="0.3">
      <c r="CN3205">
        <v>3204</v>
      </c>
    </row>
    <row r="3206" spans="92:92" x14ac:dyDescent="0.3">
      <c r="CN3206">
        <v>3205</v>
      </c>
    </row>
    <row r="3207" spans="92:92" x14ac:dyDescent="0.3">
      <c r="CN3207">
        <v>3206</v>
      </c>
    </row>
    <row r="3208" spans="92:92" x14ac:dyDescent="0.3">
      <c r="CN3208">
        <v>3207</v>
      </c>
    </row>
    <row r="3209" spans="92:92" x14ac:dyDescent="0.3">
      <c r="CN3209">
        <v>3208</v>
      </c>
    </row>
    <row r="3210" spans="92:92" x14ac:dyDescent="0.3">
      <c r="CN3210">
        <v>3209</v>
      </c>
    </row>
    <row r="3211" spans="92:92" x14ac:dyDescent="0.3">
      <c r="CN3211">
        <v>3210</v>
      </c>
    </row>
    <row r="3212" spans="92:92" x14ac:dyDescent="0.3">
      <c r="CN3212">
        <v>3211</v>
      </c>
    </row>
    <row r="3213" spans="92:92" x14ac:dyDescent="0.3">
      <c r="CN3213">
        <v>3212</v>
      </c>
    </row>
    <row r="3214" spans="92:92" x14ac:dyDescent="0.3">
      <c r="CN3214">
        <v>3213</v>
      </c>
    </row>
    <row r="3215" spans="92:92" x14ac:dyDescent="0.3">
      <c r="CN3215">
        <v>3214</v>
      </c>
    </row>
    <row r="3216" spans="92:92" x14ac:dyDescent="0.3">
      <c r="CN3216">
        <v>3215</v>
      </c>
    </row>
    <row r="3217" spans="92:92" x14ac:dyDescent="0.3">
      <c r="CN3217">
        <v>3216</v>
      </c>
    </row>
    <row r="3218" spans="92:92" x14ac:dyDescent="0.3">
      <c r="CN3218">
        <v>3217</v>
      </c>
    </row>
    <row r="3219" spans="92:92" x14ac:dyDescent="0.3">
      <c r="CN3219">
        <v>3218</v>
      </c>
    </row>
    <row r="3220" spans="92:92" x14ac:dyDescent="0.3">
      <c r="CN3220">
        <v>3219</v>
      </c>
    </row>
    <row r="3221" spans="92:92" x14ac:dyDescent="0.3">
      <c r="CN3221">
        <v>3220</v>
      </c>
    </row>
    <row r="3222" spans="92:92" x14ac:dyDescent="0.3">
      <c r="CN3222">
        <v>3221</v>
      </c>
    </row>
    <row r="3223" spans="92:92" x14ac:dyDescent="0.3">
      <c r="CN3223">
        <v>3222</v>
      </c>
    </row>
    <row r="3224" spans="92:92" x14ac:dyDescent="0.3">
      <c r="CN3224">
        <v>3223</v>
      </c>
    </row>
    <row r="3225" spans="92:92" x14ac:dyDescent="0.3">
      <c r="CN3225">
        <v>3224</v>
      </c>
    </row>
    <row r="3226" spans="92:92" x14ac:dyDescent="0.3">
      <c r="CN3226">
        <v>3225</v>
      </c>
    </row>
    <row r="3227" spans="92:92" x14ac:dyDescent="0.3">
      <c r="CN3227">
        <v>3226</v>
      </c>
    </row>
    <row r="3228" spans="92:92" x14ac:dyDescent="0.3">
      <c r="CN3228">
        <v>3227</v>
      </c>
    </row>
    <row r="3229" spans="92:92" x14ac:dyDescent="0.3">
      <c r="CN3229">
        <v>3228</v>
      </c>
    </row>
    <row r="3230" spans="92:92" x14ac:dyDescent="0.3">
      <c r="CN3230">
        <v>3229</v>
      </c>
    </row>
    <row r="3231" spans="92:92" x14ac:dyDescent="0.3">
      <c r="CN3231">
        <v>3230</v>
      </c>
    </row>
    <row r="3232" spans="92:92" x14ac:dyDescent="0.3">
      <c r="CN3232">
        <v>3231</v>
      </c>
    </row>
    <row r="3233" spans="92:92" x14ac:dyDescent="0.3">
      <c r="CN3233">
        <v>3232</v>
      </c>
    </row>
    <row r="3234" spans="92:92" x14ac:dyDescent="0.3">
      <c r="CN3234">
        <v>3233</v>
      </c>
    </row>
    <row r="3235" spans="92:92" x14ac:dyDescent="0.3">
      <c r="CN3235">
        <v>3234</v>
      </c>
    </row>
    <row r="3236" spans="92:92" x14ac:dyDescent="0.3">
      <c r="CN3236">
        <v>3235</v>
      </c>
    </row>
    <row r="3237" spans="92:92" x14ac:dyDescent="0.3">
      <c r="CN3237">
        <v>3236</v>
      </c>
    </row>
    <row r="3238" spans="92:92" x14ac:dyDescent="0.3">
      <c r="CN3238">
        <v>3237</v>
      </c>
    </row>
    <row r="3239" spans="92:92" x14ac:dyDescent="0.3">
      <c r="CN3239">
        <v>3238</v>
      </c>
    </row>
    <row r="3240" spans="92:92" x14ac:dyDescent="0.3">
      <c r="CN3240">
        <v>3239</v>
      </c>
    </row>
    <row r="3241" spans="92:92" x14ac:dyDescent="0.3">
      <c r="CN3241">
        <v>3240</v>
      </c>
    </row>
    <row r="3242" spans="92:92" x14ac:dyDescent="0.3">
      <c r="CN3242">
        <v>3241</v>
      </c>
    </row>
    <row r="3243" spans="92:92" x14ac:dyDescent="0.3">
      <c r="CN3243">
        <v>3242</v>
      </c>
    </row>
    <row r="3244" spans="92:92" x14ac:dyDescent="0.3">
      <c r="CN3244">
        <v>3243</v>
      </c>
    </row>
    <row r="3245" spans="92:92" x14ac:dyDescent="0.3">
      <c r="CN3245">
        <v>3244</v>
      </c>
    </row>
    <row r="3246" spans="92:92" x14ac:dyDescent="0.3">
      <c r="CN3246">
        <v>3245</v>
      </c>
    </row>
    <row r="3247" spans="92:92" x14ac:dyDescent="0.3">
      <c r="CN3247">
        <v>3246</v>
      </c>
    </row>
    <row r="3248" spans="92:92" x14ac:dyDescent="0.3">
      <c r="CN3248">
        <v>3247</v>
      </c>
    </row>
    <row r="3249" spans="92:92" x14ac:dyDescent="0.3">
      <c r="CN3249">
        <v>3248</v>
      </c>
    </row>
    <row r="3250" spans="92:92" x14ac:dyDescent="0.3">
      <c r="CN3250">
        <v>3249</v>
      </c>
    </row>
    <row r="3251" spans="92:92" x14ac:dyDescent="0.3">
      <c r="CN3251">
        <v>3250</v>
      </c>
    </row>
    <row r="3252" spans="92:92" x14ac:dyDescent="0.3">
      <c r="CN3252">
        <v>3251</v>
      </c>
    </row>
    <row r="3253" spans="92:92" x14ac:dyDescent="0.3">
      <c r="CN3253">
        <v>3252</v>
      </c>
    </row>
    <row r="3254" spans="92:92" x14ac:dyDescent="0.3">
      <c r="CN3254">
        <v>3253</v>
      </c>
    </row>
    <row r="3255" spans="92:92" x14ac:dyDescent="0.3">
      <c r="CN3255">
        <v>3254</v>
      </c>
    </row>
    <row r="3256" spans="92:92" x14ac:dyDescent="0.3">
      <c r="CN3256">
        <v>3255</v>
      </c>
    </row>
    <row r="3257" spans="92:92" x14ac:dyDescent="0.3">
      <c r="CN3257">
        <v>3256</v>
      </c>
    </row>
    <row r="3258" spans="92:92" x14ac:dyDescent="0.3">
      <c r="CN3258">
        <v>3257</v>
      </c>
    </row>
    <row r="3259" spans="92:92" x14ac:dyDescent="0.3">
      <c r="CN3259">
        <v>3258</v>
      </c>
    </row>
    <row r="3260" spans="92:92" x14ac:dyDescent="0.3">
      <c r="CN3260">
        <v>3259</v>
      </c>
    </row>
    <row r="3261" spans="92:92" x14ac:dyDescent="0.3">
      <c r="CN3261">
        <v>3260</v>
      </c>
    </row>
    <row r="3262" spans="92:92" x14ac:dyDescent="0.3">
      <c r="CN3262">
        <v>3261</v>
      </c>
    </row>
    <row r="3263" spans="92:92" x14ac:dyDescent="0.3">
      <c r="CN3263">
        <v>3262</v>
      </c>
    </row>
    <row r="3264" spans="92:92" x14ac:dyDescent="0.3">
      <c r="CN3264">
        <v>3263</v>
      </c>
    </row>
    <row r="3265" spans="92:92" x14ac:dyDescent="0.3">
      <c r="CN3265">
        <v>3264</v>
      </c>
    </row>
    <row r="3266" spans="92:92" x14ac:dyDescent="0.3">
      <c r="CN3266">
        <v>3265</v>
      </c>
    </row>
    <row r="3267" spans="92:92" x14ac:dyDescent="0.3">
      <c r="CN3267">
        <v>3266</v>
      </c>
    </row>
    <row r="3268" spans="92:92" x14ac:dyDescent="0.3">
      <c r="CN3268">
        <v>3267</v>
      </c>
    </row>
    <row r="3269" spans="92:92" x14ac:dyDescent="0.3">
      <c r="CN3269">
        <v>3268</v>
      </c>
    </row>
    <row r="3270" spans="92:92" x14ac:dyDescent="0.3">
      <c r="CN3270">
        <v>3269</v>
      </c>
    </row>
    <row r="3271" spans="92:92" x14ac:dyDescent="0.3">
      <c r="CN3271">
        <v>3270</v>
      </c>
    </row>
    <row r="3272" spans="92:92" x14ac:dyDescent="0.3">
      <c r="CN3272">
        <v>3271</v>
      </c>
    </row>
    <row r="3273" spans="92:92" x14ac:dyDescent="0.3">
      <c r="CN3273">
        <v>3272</v>
      </c>
    </row>
    <row r="3274" spans="92:92" x14ac:dyDescent="0.3">
      <c r="CN3274">
        <v>3273</v>
      </c>
    </row>
    <row r="3275" spans="92:92" x14ac:dyDescent="0.3">
      <c r="CN3275">
        <v>3274</v>
      </c>
    </row>
    <row r="3276" spans="92:92" x14ac:dyDescent="0.3">
      <c r="CN3276">
        <v>3275</v>
      </c>
    </row>
    <row r="3277" spans="92:92" x14ac:dyDescent="0.3">
      <c r="CN3277">
        <v>3276</v>
      </c>
    </row>
    <row r="3278" spans="92:92" x14ac:dyDescent="0.3">
      <c r="CN3278">
        <v>3277</v>
      </c>
    </row>
    <row r="3279" spans="92:92" x14ac:dyDescent="0.3">
      <c r="CN3279">
        <v>3278</v>
      </c>
    </row>
    <row r="3280" spans="92:92" x14ac:dyDescent="0.3">
      <c r="CN3280">
        <v>3279</v>
      </c>
    </row>
    <row r="3281" spans="92:92" x14ac:dyDescent="0.3">
      <c r="CN3281">
        <v>3280</v>
      </c>
    </row>
    <row r="3282" spans="92:92" x14ac:dyDescent="0.3">
      <c r="CN3282">
        <v>3281</v>
      </c>
    </row>
    <row r="3283" spans="92:92" x14ac:dyDescent="0.3">
      <c r="CN3283">
        <v>3282</v>
      </c>
    </row>
    <row r="3284" spans="92:92" x14ac:dyDescent="0.3">
      <c r="CN3284">
        <v>3283</v>
      </c>
    </row>
    <row r="3285" spans="92:92" x14ac:dyDescent="0.3">
      <c r="CN3285">
        <v>3284</v>
      </c>
    </row>
    <row r="3286" spans="92:92" x14ac:dyDescent="0.3">
      <c r="CN3286">
        <v>3285</v>
      </c>
    </row>
    <row r="3287" spans="92:92" x14ac:dyDescent="0.3">
      <c r="CN3287">
        <v>3286</v>
      </c>
    </row>
    <row r="3288" spans="92:92" x14ac:dyDescent="0.3">
      <c r="CN3288">
        <v>3287</v>
      </c>
    </row>
    <row r="3289" spans="92:92" x14ac:dyDescent="0.3">
      <c r="CN3289">
        <v>3288</v>
      </c>
    </row>
    <row r="3290" spans="92:92" x14ac:dyDescent="0.3">
      <c r="CN3290">
        <v>3289</v>
      </c>
    </row>
    <row r="3291" spans="92:92" x14ac:dyDescent="0.3">
      <c r="CN3291">
        <v>3290</v>
      </c>
    </row>
    <row r="3292" spans="92:92" x14ac:dyDescent="0.3">
      <c r="CN3292">
        <v>3291</v>
      </c>
    </row>
    <row r="3293" spans="92:92" x14ac:dyDescent="0.3">
      <c r="CN3293">
        <v>3292</v>
      </c>
    </row>
    <row r="3294" spans="92:92" x14ac:dyDescent="0.3">
      <c r="CN3294">
        <v>3293</v>
      </c>
    </row>
    <row r="3295" spans="92:92" x14ac:dyDescent="0.3">
      <c r="CN3295">
        <v>3294</v>
      </c>
    </row>
    <row r="3296" spans="92:92" x14ac:dyDescent="0.3">
      <c r="CN3296">
        <v>3295</v>
      </c>
    </row>
    <row r="3297" spans="92:92" x14ac:dyDescent="0.3">
      <c r="CN3297">
        <v>3296</v>
      </c>
    </row>
    <row r="3298" spans="92:92" x14ac:dyDescent="0.3">
      <c r="CN3298">
        <v>3297</v>
      </c>
    </row>
    <row r="3299" spans="92:92" x14ac:dyDescent="0.3">
      <c r="CN3299">
        <v>3298</v>
      </c>
    </row>
    <row r="3300" spans="92:92" x14ac:dyDescent="0.3">
      <c r="CN3300">
        <v>3299</v>
      </c>
    </row>
    <row r="3301" spans="92:92" x14ac:dyDescent="0.3">
      <c r="CN3301">
        <v>3300</v>
      </c>
    </row>
    <row r="3302" spans="92:92" x14ac:dyDescent="0.3">
      <c r="CN3302">
        <v>3301</v>
      </c>
    </row>
    <row r="3303" spans="92:92" x14ac:dyDescent="0.3">
      <c r="CN3303">
        <v>3302</v>
      </c>
    </row>
    <row r="3304" spans="92:92" x14ac:dyDescent="0.3">
      <c r="CN3304">
        <v>3303</v>
      </c>
    </row>
    <row r="3305" spans="92:92" x14ac:dyDescent="0.3">
      <c r="CN3305">
        <v>3304</v>
      </c>
    </row>
    <row r="3306" spans="92:92" x14ac:dyDescent="0.3">
      <c r="CN3306">
        <v>3305</v>
      </c>
    </row>
    <row r="3307" spans="92:92" x14ac:dyDescent="0.3">
      <c r="CN3307">
        <v>3306</v>
      </c>
    </row>
    <row r="3308" spans="92:92" x14ac:dyDescent="0.3">
      <c r="CN3308">
        <v>3307</v>
      </c>
    </row>
    <row r="3309" spans="92:92" x14ac:dyDescent="0.3">
      <c r="CN3309">
        <v>3308</v>
      </c>
    </row>
    <row r="3310" spans="92:92" x14ac:dyDescent="0.3">
      <c r="CN3310">
        <v>3309</v>
      </c>
    </row>
    <row r="3311" spans="92:92" x14ac:dyDescent="0.3">
      <c r="CN3311">
        <v>3310</v>
      </c>
    </row>
    <row r="3312" spans="92:92" x14ac:dyDescent="0.3">
      <c r="CN3312">
        <v>3311</v>
      </c>
    </row>
    <row r="3313" spans="92:92" x14ac:dyDescent="0.3">
      <c r="CN3313">
        <v>3312</v>
      </c>
    </row>
    <row r="3314" spans="92:92" x14ac:dyDescent="0.3">
      <c r="CN3314">
        <v>3313</v>
      </c>
    </row>
    <row r="3315" spans="92:92" x14ac:dyDescent="0.3">
      <c r="CN3315">
        <v>3314</v>
      </c>
    </row>
    <row r="3316" spans="92:92" x14ac:dyDescent="0.3">
      <c r="CN3316">
        <v>3315</v>
      </c>
    </row>
    <row r="3317" spans="92:92" x14ac:dyDescent="0.3">
      <c r="CN3317">
        <v>3316</v>
      </c>
    </row>
    <row r="3318" spans="92:92" x14ac:dyDescent="0.3">
      <c r="CN3318">
        <v>3317</v>
      </c>
    </row>
    <row r="3319" spans="92:92" x14ac:dyDescent="0.3">
      <c r="CN3319">
        <v>3318</v>
      </c>
    </row>
    <row r="3320" spans="92:92" x14ac:dyDescent="0.3">
      <c r="CN3320">
        <v>3319</v>
      </c>
    </row>
    <row r="3321" spans="92:92" x14ac:dyDescent="0.3">
      <c r="CN3321">
        <v>3320</v>
      </c>
    </row>
    <row r="3322" spans="92:92" x14ac:dyDescent="0.3">
      <c r="CN3322">
        <v>3321</v>
      </c>
    </row>
    <row r="3323" spans="92:92" x14ac:dyDescent="0.3">
      <c r="CN3323">
        <v>3322</v>
      </c>
    </row>
    <row r="3324" spans="92:92" x14ac:dyDescent="0.3">
      <c r="CN3324">
        <v>3323</v>
      </c>
    </row>
    <row r="3325" spans="92:92" x14ac:dyDescent="0.3">
      <c r="CN3325">
        <v>3324</v>
      </c>
    </row>
    <row r="3326" spans="92:92" x14ac:dyDescent="0.3">
      <c r="CN3326">
        <v>3325</v>
      </c>
    </row>
    <row r="3327" spans="92:92" x14ac:dyDescent="0.3">
      <c r="CN3327">
        <v>3326</v>
      </c>
    </row>
    <row r="3328" spans="92:92" x14ac:dyDescent="0.3">
      <c r="CN3328">
        <v>3327</v>
      </c>
    </row>
    <row r="3329" spans="92:92" x14ac:dyDescent="0.3">
      <c r="CN3329">
        <v>3328</v>
      </c>
    </row>
    <row r="3330" spans="92:92" x14ac:dyDescent="0.3">
      <c r="CN3330">
        <v>3329</v>
      </c>
    </row>
    <row r="3331" spans="92:92" x14ac:dyDescent="0.3">
      <c r="CN3331">
        <v>3330</v>
      </c>
    </row>
    <row r="3332" spans="92:92" x14ac:dyDescent="0.3">
      <c r="CN3332">
        <v>3331</v>
      </c>
    </row>
    <row r="3333" spans="92:92" x14ac:dyDescent="0.3">
      <c r="CN3333">
        <v>3332</v>
      </c>
    </row>
    <row r="3334" spans="92:92" x14ac:dyDescent="0.3">
      <c r="CN3334">
        <v>3333</v>
      </c>
    </row>
    <row r="3335" spans="92:92" x14ac:dyDescent="0.3">
      <c r="CN3335">
        <v>3334</v>
      </c>
    </row>
    <row r="3336" spans="92:92" x14ac:dyDescent="0.3">
      <c r="CN3336">
        <v>3335</v>
      </c>
    </row>
    <row r="3337" spans="92:92" x14ac:dyDescent="0.3">
      <c r="CN3337">
        <v>3336</v>
      </c>
    </row>
    <row r="3338" spans="92:92" x14ac:dyDescent="0.3">
      <c r="CN3338">
        <v>3337</v>
      </c>
    </row>
    <row r="3339" spans="92:92" x14ac:dyDescent="0.3">
      <c r="CN3339">
        <v>3338</v>
      </c>
    </row>
    <row r="3340" spans="92:92" x14ac:dyDescent="0.3">
      <c r="CN3340">
        <v>3339</v>
      </c>
    </row>
    <row r="3341" spans="92:92" x14ac:dyDescent="0.3">
      <c r="CN3341">
        <v>3340</v>
      </c>
    </row>
    <row r="3342" spans="92:92" x14ac:dyDescent="0.3">
      <c r="CN3342">
        <v>3341</v>
      </c>
    </row>
    <row r="3343" spans="92:92" x14ac:dyDescent="0.3">
      <c r="CN3343">
        <v>3342</v>
      </c>
    </row>
    <row r="3344" spans="92:92" x14ac:dyDescent="0.3">
      <c r="CN3344">
        <v>3343</v>
      </c>
    </row>
    <row r="3345" spans="92:92" x14ac:dyDescent="0.3">
      <c r="CN3345">
        <v>3344</v>
      </c>
    </row>
    <row r="3346" spans="92:92" x14ac:dyDescent="0.3">
      <c r="CN3346">
        <v>3345</v>
      </c>
    </row>
    <row r="3347" spans="92:92" x14ac:dyDescent="0.3">
      <c r="CN3347">
        <v>3346</v>
      </c>
    </row>
    <row r="3348" spans="92:92" x14ac:dyDescent="0.3">
      <c r="CN3348">
        <v>3347</v>
      </c>
    </row>
    <row r="3349" spans="92:92" x14ac:dyDescent="0.3">
      <c r="CN3349">
        <v>3348</v>
      </c>
    </row>
    <row r="3350" spans="92:92" x14ac:dyDescent="0.3">
      <c r="CN3350">
        <v>3349</v>
      </c>
    </row>
    <row r="3351" spans="92:92" x14ac:dyDescent="0.3">
      <c r="CN3351">
        <v>3350</v>
      </c>
    </row>
    <row r="3352" spans="92:92" x14ac:dyDescent="0.3">
      <c r="CN3352">
        <v>3351</v>
      </c>
    </row>
    <row r="3353" spans="92:92" x14ac:dyDescent="0.3">
      <c r="CN3353">
        <v>3352</v>
      </c>
    </row>
    <row r="3354" spans="92:92" x14ac:dyDescent="0.3">
      <c r="CN3354">
        <v>3353</v>
      </c>
    </row>
    <row r="3355" spans="92:92" x14ac:dyDescent="0.3">
      <c r="CN3355">
        <v>3354</v>
      </c>
    </row>
    <row r="3356" spans="92:92" x14ac:dyDescent="0.3">
      <c r="CN3356">
        <v>3355</v>
      </c>
    </row>
    <row r="3357" spans="92:92" x14ac:dyDescent="0.3">
      <c r="CN3357">
        <v>3356</v>
      </c>
    </row>
    <row r="3358" spans="92:92" x14ac:dyDescent="0.3">
      <c r="CN3358">
        <v>3357</v>
      </c>
    </row>
    <row r="3359" spans="92:92" x14ac:dyDescent="0.3">
      <c r="CN3359">
        <v>3358</v>
      </c>
    </row>
    <row r="3360" spans="92:92" x14ac:dyDescent="0.3">
      <c r="CN3360">
        <v>3359</v>
      </c>
    </row>
    <row r="3361" spans="92:92" x14ac:dyDescent="0.3">
      <c r="CN3361">
        <v>3360</v>
      </c>
    </row>
    <row r="3362" spans="92:92" x14ac:dyDescent="0.3">
      <c r="CN3362">
        <v>3361</v>
      </c>
    </row>
    <row r="3363" spans="92:92" x14ac:dyDescent="0.3">
      <c r="CN3363">
        <v>3362</v>
      </c>
    </row>
    <row r="3364" spans="92:92" x14ac:dyDescent="0.3">
      <c r="CN3364">
        <v>3363</v>
      </c>
    </row>
    <row r="3365" spans="92:92" x14ac:dyDescent="0.3">
      <c r="CN3365">
        <v>3364</v>
      </c>
    </row>
    <row r="3366" spans="92:92" x14ac:dyDescent="0.3">
      <c r="CN3366">
        <v>3365</v>
      </c>
    </row>
    <row r="3367" spans="92:92" x14ac:dyDescent="0.3">
      <c r="CN3367">
        <v>3366</v>
      </c>
    </row>
    <row r="3368" spans="92:92" x14ac:dyDescent="0.3">
      <c r="CN3368">
        <v>3367</v>
      </c>
    </row>
    <row r="3369" spans="92:92" x14ac:dyDescent="0.3">
      <c r="CN3369">
        <v>3368</v>
      </c>
    </row>
    <row r="3370" spans="92:92" x14ac:dyDescent="0.3">
      <c r="CN3370">
        <v>3369</v>
      </c>
    </row>
    <row r="3371" spans="92:92" x14ac:dyDescent="0.3">
      <c r="CN3371">
        <v>3370</v>
      </c>
    </row>
    <row r="3372" spans="92:92" x14ac:dyDescent="0.3">
      <c r="CN3372">
        <v>3371</v>
      </c>
    </row>
    <row r="3373" spans="92:92" x14ac:dyDescent="0.3">
      <c r="CN3373">
        <v>3372</v>
      </c>
    </row>
    <row r="3374" spans="92:92" x14ac:dyDescent="0.3">
      <c r="CN3374">
        <v>3373</v>
      </c>
    </row>
    <row r="3375" spans="92:92" x14ac:dyDescent="0.3">
      <c r="CN3375">
        <v>3374</v>
      </c>
    </row>
    <row r="3376" spans="92:92" x14ac:dyDescent="0.3">
      <c r="CN3376">
        <v>3375</v>
      </c>
    </row>
    <row r="3377" spans="92:92" x14ac:dyDescent="0.3">
      <c r="CN3377">
        <v>3376</v>
      </c>
    </row>
    <row r="3378" spans="92:92" x14ac:dyDescent="0.3">
      <c r="CN3378">
        <v>3377</v>
      </c>
    </row>
    <row r="3379" spans="92:92" x14ac:dyDescent="0.3">
      <c r="CN3379">
        <v>3378</v>
      </c>
    </row>
    <row r="3380" spans="92:92" x14ac:dyDescent="0.3">
      <c r="CN3380">
        <v>3379</v>
      </c>
    </row>
    <row r="3381" spans="92:92" x14ac:dyDescent="0.3">
      <c r="CN3381">
        <v>3380</v>
      </c>
    </row>
    <row r="3382" spans="92:92" x14ac:dyDescent="0.3">
      <c r="CN3382">
        <v>3381</v>
      </c>
    </row>
    <row r="3383" spans="92:92" x14ac:dyDescent="0.3">
      <c r="CN3383">
        <v>3382</v>
      </c>
    </row>
    <row r="3384" spans="92:92" x14ac:dyDescent="0.3">
      <c r="CN3384">
        <v>3383</v>
      </c>
    </row>
    <row r="3385" spans="92:92" x14ac:dyDescent="0.3">
      <c r="CN3385">
        <v>3384</v>
      </c>
    </row>
    <row r="3386" spans="92:92" x14ac:dyDescent="0.3">
      <c r="CN3386">
        <v>3385</v>
      </c>
    </row>
    <row r="3387" spans="92:92" x14ac:dyDescent="0.3">
      <c r="CN3387">
        <v>3386</v>
      </c>
    </row>
    <row r="3388" spans="92:92" x14ac:dyDescent="0.3">
      <c r="CN3388">
        <v>3387</v>
      </c>
    </row>
    <row r="3389" spans="92:92" x14ac:dyDescent="0.3">
      <c r="CN3389">
        <v>3388</v>
      </c>
    </row>
    <row r="3390" spans="92:92" x14ac:dyDescent="0.3">
      <c r="CN3390">
        <v>3389</v>
      </c>
    </row>
    <row r="3391" spans="92:92" x14ac:dyDescent="0.3">
      <c r="CN3391">
        <v>3390</v>
      </c>
    </row>
    <row r="3392" spans="92:92" x14ac:dyDescent="0.3">
      <c r="CN3392">
        <v>3391</v>
      </c>
    </row>
    <row r="3393" spans="92:92" x14ac:dyDescent="0.3">
      <c r="CN3393">
        <v>3392</v>
      </c>
    </row>
    <row r="3394" spans="92:92" x14ac:dyDescent="0.3">
      <c r="CN3394">
        <v>3393</v>
      </c>
    </row>
    <row r="3395" spans="92:92" x14ac:dyDescent="0.3">
      <c r="CN3395">
        <v>3394</v>
      </c>
    </row>
    <row r="3396" spans="92:92" x14ac:dyDescent="0.3">
      <c r="CN3396">
        <v>3395</v>
      </c>
    </row>
    <row r="3397" spans="92:92" x14ac:dyDescent="0.3">
      <c r="CN3397">
        <v>3396</v>
      </c>
    </row>
    <row r="3398" spans="92:92" x14ac:dyDescent="0.3">
      <c r="CN3398">
        <v>3397</v>
      </c>
    </row>
    <row r="3399" spans="92:92" x14ac:dyDescent="0.3">
      <c r="CN3399">
        <v>3398</v>
      </c>
    </row>
    <row r="3400" spans="92:92" x14ac:dyDescent="0.3">
      <c r="CN3400">
        <v>3399</v>
      </c>
    </row>
    <row r="3401" spans="92:92" x14ac:dyDescent="0.3">
      <c r="CN3401">
        <v>3400</v>
      </c>
    </row>
    <row r="3402" spans="92:92" x14ac:dyDescent="0.3">
      <c r="CN3402">
        <v>3401</v>
      </c>
    </row>
    <row r="3403" spans="92:92" x14ac:dyDescent="0.3">
      <c r="CN3403">
        <v>3402</v>
      </c>
    </row>
    <row r="3404" spans="92:92" x14ac:dyDescent="0.3">
      <c r="CN3404">
        <v>3403</v>
      </c>
    </row>
    <row r="3405" spans="92:92" x14ac:dyDescent="0.3">
      <c r="CN3405">
        <v>3404</v>
      </c>
    </row>
    <row r="3406" spans="92:92" x14ac:dyDescent="0.3">
      <c r="CN3406">
        <v>3405</v>
      </c>
    </row>
    <row r="3407" spans="92:92" x14ac:dyDescent="0.3">
      <c r="CN3407">
        <v>3406</v>
      </c>
    </row>
    <row r="3408" spans="92:92" x14ac:dyDescent="0.3">
      <c r="CN3408">
        <v>3407</v>
      </c>
    </row>
    <row r="3409" spans="92:92" x14ac:dyDescent="0.3">
      <c r="CN3409">
        <v>3408</v>
      </c>
    </row>
    <row r="3410" spans="92:92" x14ac:dyDescent="0.3">
      <c r="CN3410">
        <v>3409</v>
      </c>
    </row>
    <row r="3411" spans="92:92" x14ac:dyDescent="0.3">
      <c r="CN3411">
        <v>3410</v>
      </c>
    </row>
    <row r="3412" spans="92:92" x14ac:dyDescent="0.3">
      <c r="CN3412">
        <v>3411</v>
      </c>
    </row>
    <row r="3413" spans="92:92" x14ac:dyDescent="0.3">
      <c r="CN3413">
        <v>3412</v>
      </c>
    </row>
    <row r="3414" spans="92:92" x14ac:dyDescent="0.3">
      <c r="CN3414">
        <v>3413</v>
      </c>
    </row>
    <row r="3415" spans="92:92" x14ac:dyDescent="0.3">
      <c r="CN3415">
        <v>3414</v>
      </c>
    </row>
    <row r="3416" spans="92:92" x14ac:dyDescent="0.3">
      <c r="CN3416">
        <v>3415</v>
      </c>
    </row>
    <row r="3417" spans="92:92" x14ac:dyDescent="0.3">
      <c r="CN3417">
        <v>3416</v>
      </c>
    </row>
    <row r="3418" spans="92:92" x14ac:dyDescent="0.3">
      <c r="CN3418">
        <v>3417</v>
      </c>
    </row>
    <row r="3419" spans="92:92" x14ac:dyDescent="0.3">
      <c r="CN3419">
        <v>3418</v>
      </c>
    </row>
    <row r="3420" spans="92:92" x14ac:dyDescent="0.3">
      <c r="CN3420">
        <v>3419</v>
      </c>
    </row>
    <row r="3421" spans="92:92" x14ac:dyDescent="0.3">
      <c r="CN3421">
        <v>3420</v>
      </c>
    </row>
    <row r="3422" spans="92:92" x14ac:dyDescent="0.3">
      <c r="CN3422">
        <v>3421</v>
      </c>
    </row>
    <row r="3423" spans="92:92" x14ac:dyDescent="0.3">
      <c r="CN3423">
        <v>3422</v>
      </c>
    </row>
    <row r="3424" spans="92:92" x14ac:dyDescent="0.3">
      <c r="CN3424">
        <v>3423</v>
      </c>
    </row>
    <row r="3425" spans="92:92" x14ac:dyDescent="0.3">
      <c r="CN3425">
        <v>3424</v>
      </c>
    </row>
    <row r="3426" spans="92:92" x14ac:dyDescent="0.3">
      <c r="CN3426">
        <v>3425</v>
      </c>
    </row>
    <row r="3427" spans="92:92" x14ac:dyDescent="0.3">
      <c r="CN3427">
        <v>3426</v>
      </c>
    </row>
    <row r="3428" spans="92:92" x14ac:dyDescent="0.3">
      <c r="CN3428">
        <v>3427</v>
      </c>
    </row>
    <row r="3429" spans="92:92" x14ac:dyDescent="0.3">
      <c r="CN3429">
        <v>3428</v>
      </c>
    </row>
    <row r="3430" spans="92:92" x14ac:dyDescent="0.3">
      <c r="CN3430">
        <v>3429</v>
      </c>
    </row>
    <row r="3431" spans="92:92" x14ac:dyDescent="0.3">
      <c r="CN3431">
        <v>3430</v>
      </c>
    </row>
    <row r="3432" spans="92:92" x14ac:dyDescent="0.3">
      <c r="CN3432">
        <v>3431</v>
      </c>
    </row>
    <row r="3433" spans="92:92" x14ac:dyDescent="0.3">
      <c r="CN3433">
        <v>3432</v>
      </c>
    </row>
    <row r="3434" spans="92:92" x14ac:dyDescent="0.3">
      <c r="CN3434">
        <v>3433</v>
      </c>
    </row>
    <row r="3435" spans="92:92" x14ac:dyDescent="0.3">
      <c r="CN3435">
        <v>3434</v>
      </c>
    </row>
    <row r="3436" spans="92:92" x14ac:dyDescent="0.3">
      <c r="CN3436">
        <v>3435</v>
      </c>
    </row>
    <row r="3437" spans="92:92" x14ac:dyDescent="0.3">
      <c r="CN3437">
        <v>3436</v>
      </c>
    </row>
    <row r="3438" spans="92:92" x14ac:dyDescent="0.3">
      <c r="CN3438">
        <v>3437</v>
      </c>
    </row>
    <row r="3439" spans="92:92" x14ac:dyDescent="0.3">
      <c r="CN3439">
        <v>3438</v>
      </c>
    </row>
    <row r="3440" spans="92:92" x14ac:dyDescent="0.3">
      <c r="CN3440">
        <v>3439</v>
      </c>
    </row>
    <row r="3441" spans="92:92" x14ac:dyDescent="0.3">
      <c r="CN3441">
        <v>3440</v>
      </c>
    </row>
    <row r="3442" spans="92:92" x14ac:dyDescent="0.3">
      <c r="CN3442">
        <v>3441</v>
      </c>
    </row>
    <row r="3443" spans="92:92" x14ac:dyDescent="0.3">
      <c r="CN3443">
        <v>3442</v>
      </c>
    </row>
    <row r="3444" spans="92:92" x14ac:dyDescent="0.3">
      <c r="CN3444">
        <v>3443</v>
      </c>
    </row>
    <row r="3445" spans="92:92" x14ac:dyDescent="0.3">
      <c r="CN3445">
        <v>3444</v>
      </c>
    </row>
    <row r="3446" spans="92:92" x14ac:dyDescent="0.3">
      <c r="CN3446">
        <v>3445</v>
      </c>
    </row>
    <row r="3447" spans="92:92" x14ac:dyDescent="0.3">
      <c r="CN3447">
        <v>3446</v>
      </c>
    </row>
    <row r="3448" spans="92:92" x14ac:dyDescent="0.3">
      <c r="CN3448">
        <v>3447</v>
      </c>
    </row>
    <row r="3449" spans="92:92" x14ac:dyDescent="0.3">
      <c r="CN3449">
        <v>3448</v>
      </c>
    </row>
    <row r="3450" spans="92:92" x14ac:dyDescent="0.3">
      <c r="CN3450">
        <v>3449</v>
      </c>
    </row>
    <row r="3451" spans="92:92" x14ac:dyDescent="0.3">
      <c r="CN3451">
        <v>3450</v>
      </c>
    </row>
    <row r="3452" spans="92:92" x14ac:dyDescent="0.3">
      <c r="CN3452">
        <v>3451</v>
      </c>
    </row>
    <row r="3453" spans="92:92" x14ac:dyDescent="0.3">
      <c r="CN3453">
        <v>3452</v>
      </c>
    </row>
    <row r="3454" spans="92:92" x14ac:dyDescent="0.3">
      <c r="CN3454">
        <v>3453</v>
      </c>
    </row>
    <row r="3455" spans="92:92" x14ac:dyDescent="0.3">
      <c r="CN3455">
        <v>3454</v>
      </c>
    </row>
    <row r="3456" spans="92:92" x14ac:dyDescent="0.3">
      <c r="CN3456">
        <v>3455</v>
      </c>
    </row>
    <row r="3457" spans="92:92" x14ac:dyDescent="0.3">
      <c r="CN3457">
        <v>3456</v>
      </c>
    </row>
    <row r="3458" spans="92:92" x14ac:dyDescent="0.3">
      <c r="CN3458">
        <v>3457</v>
      </c>
    </row>
    <row r="3459" spans="92:92" x14ac:dyDescent="0.3">
      <c r="CN3459">
        <v>3458</v>
      </c>
    </row>
    <row r="3460" spans="92:92" x14ac:dyDescent="0.3">
      <c r="CN3460">
        <v>3459</v>
      </c>
    </row>
    <row r="3461" spans="92:92" x14ac:dyDescent="0.3">
      <c r="CN3461">
        <v>3460</v>
      </c>
    </row>
    <row r="3462" spans="92:92" x14ac:dyDescent="0.3">
      <c r="CN3462">
        <v>3461</v>
      </c>
    </row>
    <row r="3463" spans="92:92" x14ac:dyDescent="0.3">
      <c r="CN3463">
        <v>3462</v>
      </c>
    </row>
    <row r="3464" spans="92:92" x14ac:dyDescent="0.3">
      <c r="CN3464">
        <v>3463</v>
      </c>
    </row>
    <row r="3465" spans="92:92" x14ac:dyDescent="0.3">
      <c r="CN3465">
        <v>3464</v>
      </c>
    </row>
    <row r="3466" spans="92:92" x14ac:dyDescent="0.3">
      <c r="CN3466">
        <v>3465</v>
      </c>
    </row>
    <row r="3467" spans="92:92" x14ac:dyDescent="0.3">
      <c r="CN3467">
        <v>3466</v>
      </c>
    </row>
    <row r="3468" spans="92:92" x14ac:dyDescent="0.3">
      <c r="CN3468">
        <v>3467</v>
      </c>
    </row>
    <row r="3469" spans="92:92" x14ac:dyDescent="0.3">
      <c r="CN3469">
        <v>3468</v>
      </c>
    </row>
    <row r="3470" spans="92:92" x14ac:dyDescent="0.3">
      <c r="CN3470">
        <v>3469</v>
      </c>
    </row>
    <row r="3471" spans="92:92" x14ac:dyDescent="0.3">
      <c r="CN3471">
        <v>3470</v>
      </c>
    </row>
    <row r="3472" spans="92:92" x14ac:dyDescent="0.3">
      <c r="CN3472">
        <v>3471</v>
      </c>
    </row>
    <row r="3473" spans="92:92" x14ac:dyDescent="0.3">
      <c r="CN3473">
        <v>3472</v>
      </c>
    </row>
    <row r="3474" spans="92:92" x14ac:dyDescent="0.3">
      <c r="CN3474">
        <v>3473</v>
      </c>
    </row>
    <row r="3475" spans="92:92" x14ac:dyDescent="0.3">
      <c r="CN3475">
        <v>3474</v>
      </c>
    </row>
    <row r="3476" spans="92:92" x14ac:dyDescent="0.3">
      <c r="CN3476">
        <v>3475</v>
      </c>
    </row>
    <row r="3477" spans="92:92" x14ac:dyDescent="0.3">
      <c r="CN3477">
        <v>3476</v>
      </c>
    </row>
    <row r="3478" spans="92:92" x14ac:dyDescent="0.3">
      <c r="CN3478">
        <v>3477</v>
      </c>
    </row>
    <row r="3479" spans="92:92" x14ac:dyDescent="0.3">
      <c r="CN3479">
        <v>3478</v>
      </c>
    </row>
    <row r="3480" spans="92:92" x14ac:dyDescent="0.3">
      <c r="CN3480">
        <v>3479</v>
      </c>
    </row>
    <row r="3481" spans="92:92" x14ac:dyDescent="0.3">
      <c r="CN3481">
        <v>3480</v>
      </c>
    </row>
    <row r="3482" spans="92:92" x14ac:dyDescent="0.3">
      <c r="CN3482">
        <v>3481</v>
      </c>
    </row>
    <row r="3483" spans="92:92" x14ac:dyDescent="0.3">
      <c r="CN3483">
        <v>3482</v>
      </c>
    </row>
    <row r="3484" spans="92:92" x14ac:dyDescent="0.3">
      <c r="CN3484">
        <v>3483</v>
      </c>
    </row>
    <row r="3485" spans="92:92" x14ac:dyDescent="0.3">
      <c r="CN3485">
        <v>3484</v>
      </c>
    </row>
    <row r="3486" spans="92:92" x14ac:dyDescent="0.3">
      <c r="CN3486">
        <v>3485</v>
      </c>
    </row>
    <row r="3487" spans="92:92" x14ac:dyDescent="0.3">
      <c r="CN3487">
        <v>3486</v>
      </c>
    </row>
    <row r="3488" spans="92:92" x14ac:dyDescent="0.3">
      <c r="CN3488">
        <v>3487</v>
      </c>
    </row>
    <row r="3489" spans="92:92" x14ac:dyDescent="0.3">
      <c r="CN3489">
        <v>3488</v>
      </c>
    </row>
    <row r="3490" spans="92:92" x14ac:dyDescent="0.3">
      <c r="CN3490">
        <v>3489</v>
      </c>
    </row>
    <row r="3491" spans="92:92" x14ac:dyDescent="0.3">
      <c r="CN3491">
        <v>3490</v>
      </c>
    </row>
    <row r="3492" spans="92:92" x14ac:dyDescent="0.3">
      <c r="CN3492">
        <v>3491</v>
      </c>
    </row>
    <row r="3493" spans="92:92" x14ac:dyDescent="0.3">
      <c r="CN3493">
        <v>3492</v>
      </c>
    </row>
    <row r="3494" spans="92:92" x14ac:dyDescent="0.3">
      <c r="CN3494">
        <v>3493</v>
      </c>
    </row>
    <row r="3495" spans="92:92" x14ac:dyDescent="0.3">
      <c r="CN3495">
        <v>3494</v>
      </c>
    </row>
    <row r="3496" spans="92:92" x14ac:dyDescent="0.3">
      <c r="CN3496">
        <v>3495</v>
      </c>
    </row>
    <row r="3497" spans="92:92" x14ac:dyDescent="0.3">
      <c r="CN3497">
        <v>3496</v>
      </c>
    </row>
    <row r="3498" spans="92:92" x14ac:dyDescent="0.3">
      <c r="CN3498">
        <v>3497</v>
      </c>
    </row>
    <row r="3499" spans="92:92" x14ac:dyDescent="0.3">
      <c r="CN3499">
        <v>3498</v>
      </c>
    </row>
    <row r="3500" spans="92:92" x14ac:dyDescent="0.3">
      <c r="CN3500">
        <v>3499</v>
      </c>
    </row>
    <row r="3501" spans="92:92" x14ac:dyDescent="0.3">
      <c r="CN3501">
        <v>3500</v>
      </c>
    </row>
    <row r="3502" spans="92:92" x14ac:dyDescent="0.3">
      <c r="CN3502">
        <v>3501</v>
      </c>
    </row>
    <row r="3503" spans="92:92" x14ac:dyDescent="0.3">
      <c r="CN3503">
        <v>3502</v>
      </c>
    </row>
    <row r="3504" spans="92:92" x14ac:dyDescent="0.3">
      <c r="CN3504">
        <v>3503</v>
      </c>
    </row>
    <row r="3505" spans="92:92" x14ac:dyDescent="0.3">
      <c r="CN3505">
        <v>3504</v>
      </c>
    </row>
    <row r="3506" spans="92:92" x14ac:dyDescent="0.3">
      <c r="CN3506">
        <v>3505</v>
      </c>
    </row>
    <row r="3507" spans="92:92" x14ac:dyDescent="0.3">
      <c r="CN3507">
        <v>3506</v>
      </c>
    </row>
    <row r="3508" spans="92:92" x14ac:dyDescent="0.3">
      <c r="CN3508">
        <v>3507</v>
      </c>
    </row>
    <row r="3509" spans="92:92" x14ac:dyDescent="0.3">
      <c r="CN3509">
        <v>3508</v>
      </c>
    </row>
    <row r="3510" spans="92:92" x14ac:dyDescent="0.3">
      <c r="CN3510">
        <v>3509</v>
      </c>
    </row>
    <row r="3511" spans="92:92" x14ac:dyDescent="0.3">
      <c r="CN3511">
        <v>3510</v>
      </c>
    </row>
    <row r="3512" spans="92:92" x14ac:dyDescent="0.3">
      <c r="CN3512">
        <v>3511</v>
      </c>
    </row>
    <row r="3513" spans="92:92" x14ac:dyDescent="0.3">
      <c r="CN3513">
        <v>3512</v>
      </c>
    </row>
    <row r="3514" spans="92:92" x14ac:dyDescent="0.3">
      <c r="CN3514">
        <v>3513</v>
      </c>
    </row>
    <row r="3515" spans="92:92" x14ac:dyDescent="0.3">
      <c r="CN3515">
        <v>3514</v>
      </c>
    </row>
    <row r="3516" spans="92:92" x14ac:dyDescent="0.3">
      <c r="CN3516">
        <v>3515</v>
      </c>
    </row>
    <row r="3517" spans="92:92" x14ac:dyDescent="0.3">
      <c r="CN3517">
        <v>3516</v>
      </c>
    </row>
    <row r="3518" spans="92:92" x14ac:dyDescent="0.3">
      <c r="CN3518">
        <v>3517</v>
      </c>
    </row>
    <row r="3519" spans="92:92" x14ac:dyDescent="0.3">
      <c r="CN3519">
        <v>3518</v>
      </c>
    </row>
    <row r="3520" spans="92:92" x14ac:dyDescent="0.3">
      <c r="CN3520">
        <v>3519</v>
      </c>
    </row>
    <row r="3521" spans="92:92" x14ac:dyDescent="0.3">
      <c r="CN3521">
        <v>3520</v>
      </c>
    </row>
    <row r="3522" spans="92:92" x14ac:dyDescent="0.3">
      <c r="CN3522">
        <v>3521</v>
      </c>
    </row>
    <row r="3523" spans="92:92" x14ac:dyDescent="0.3">
      <c r="CN3523">
        <v>3522</v>
      </c>
    </row>
    <row r="3524" spans="92:92" x14ac:dyDescent="0.3">
      <c r="CN3524">
        <v>3523</v>
      </c>
    </row>
    <row r="3525" spans="92:92" x14ac:dyDescent="0.3">
      <c r="CN3525">
        <v>3524</v>
      </c>
    </row>
    <row r="3526" spans="92:92" x14ac:dyDescent="0.3">
      <c r="CN3526">
        <v>3525</v>
      </c>
    </row>
    <row r="3527" spans="92:92" x14ac:dyDescent="0.3">
      <c r="CN3527">
        <v>3526</v>
      </c>
    </row>
    <row r="3528" spans="92:92" x14ac:dyDescent="0.3">
      <c r="CN3528">
        <v>3527</v>
      </c>
    </row>
    <row r="3529" spans="92:92" x14ac:dyDescent="0.3">
      <c r="CN3529">
        <v>3528</v>
      </c>
    </row>
    <row r="3530" spans="92:92" x14ac:dyDescent="0.3">
      <c r="CN3530">
        <v>3529</v>
      </c>
    </row>
    <row r="3531" spans="92:92" x14ac:dyDescent="0.3">
      <c r="CN3531">
        <v>3530</v>
      </c>
    </row>
    <row r="3532" spans="92:92" x14ac:dyDescent="0.3">
      <c r="CN3532">
        <v>3531</v>
      </c>
    </row>
    <row r="3533" spans="92:92" x14ac:dyDescent="0.3">
      <c r="CN3533">
        <v>3532</v>
      </c>
    </row>
    <row r="3534" spans="92:92" x14ac:dyDescent="0.3">
      <c r="CN3534">
        <v>3533</v>
      </c>
    </row>
    <row r="3535" spans="92:92" x14ac:dyDescent="0.3">
      <c r="CN3535">
        <v>3534</v>
      </c>
    </row>
    <row r="3536" spans="92:92" x14ac:dyDescent="0.3">
      <c r="CN3536">
        <v>3535</v>
      </c>
    </row>
    <row r="3537" spans="92:92" x14ac:dyDescent="0.3">
      <c r="CN3537">
        <v>3536</v>
      </c>
    </row>
    <row r="3538" spans="92:92" x14ac:dyDescent="0.3">
      <c r="CN3538">
        <v>3537</v>
      </c>
    </row>
    <row r="3539" spans="92:92" x14ac:dyDescent="0.3">
      <c r="CN3539">
        <v>3538</v>
      </c>
    </row>
    <row r="3540" spans="92:92" x14ac:dyDescent="0.3">
      <c r="CN3540">
        <v>3539</v>
      </c>
    </row>
    <row r="3541" spans="92:92" x14ac:dyDescent="0.3">
      <c r="CN3541">
        <v>3540</v>
      </c>
    </row>
    <row r="3542" spans="92:92" x14ac:dyDescent="0.3">
      <c r="CN3542">
        <v>3541</v>
      </c>
    </row>
    <row r="3543" spans="92:92" x14ac:dyDescent="0.3">
      <c r="CN3543">
        <v>3542</v>
      </c>
    </row>
    <row r="3544" spans="92:92" x14ac:dyDescent="0.3">
      <c r="CN3544">
        <v>3543</v>
      </c>
    </row>
    <row r="3545" spans="92:92" x14ac:dyDescent="0.3">
      <c r="CN3545">
        <v>3544</v>
      </c>
    </row>
    <row r="3546" spans="92:92" x14ac:dyDescent="0.3">
      <c r="CN3546">
        <v>3545</v>
      </c>
    </row>
    <row r="3547" spans="92:92" x14ac:dyDescent="0.3">
      <c r="CN3547">
        <v>3546</v>
      </c>
    </row>
    <row r="3548" spans="92:92" x14ac:dyDescent="0.3">
      <c r="CN3548">
        <v>3547</v>
      </c>
    </row>
    <row r="3549" spans="92:92" x14ac:dyDescent="0.3">
      <c r="CN3549">
        <v>3548</v>
      </c>
    </row>
    <row r="3550" spans="92:92" x14ac:dyDescent="0.3">
      <c r="CN3550">
        <v>3549</v>
      </c>
    </row>
    <row r="3551" spans="92:92" x14ac:dyDescent="0.3">
      <c r="CN3551">
        <v>3550</v>
      </c>
    </row>
    <row r="3552" spans="92:92" x14ac:dyDescent="0.3">
      <c r="CN3552">
        <v>3551</v>
      </c>
    </row>
    <row r="3553" spans="92:92" x14ac:dyDescent="0.3">
      <c r="CN3553">
        <v>3552</v>
      </c>
    </row>
    <row r="3554" spans="92:92" x14ac:dyDescent="0.3">
      <c r="CN3554">
        <v>3553</v>
      </c>
    </row>
    <row r="3555" spans="92:92" x14ac:dyDescent="0.3">
      <c r="CN3555">
        <v>3554</v>
      </c>
    </row>
    <row r="3556" spans="92:92" x14ac:dyDescent="0.3">
      <c r="CN3556">
        <v>3555</v>
      </c>
    </row>
    <row r="3557" spans="92:92" x14ac:dyDescent="0.3">
      <c r="CN3557">
        <v>3556</v>
      </c>
    </row>
    <row r="3558" spans="92:92" x14ac:dyDescent="0.3">
      <c r="CN3558">
        <v>3557</v>
      </c>
    </row>
    <row r="3559" spans="92:92" x14ac:dyDescent="0.3">
      <c r="CN3559">
        <v>3558</v>
      </c>
    </row>
    <row r="3560" spans="92:92" x14ac:dyDescent="0.3">
      <c r="CN3560">
        <v>3559</v>
      </c>
    </row>
    <row r="3561" spans="92:92" x14ac:dyDescent="0.3">
      <c r="CN3561">
        <v>3560</v>
      </c>
    </row>
    <row r="3562" spans="92:92" x14ac:dyDescent="0.3">
      <c r="CN3562">
        <v>3561</v>
      </c>
    </row>
    <row r="3563" spans="92:92" x14ac:dyDescent="0.3">
      <c r="CN3563">
        <v>3562</v>
      </c>
    </row>
    <row r="3564" spans="92:92" x14ac:dyDescent="0.3">
      <c r="CN3564">
        <v>3563</v>
      </c>
    </row>
    <row r="3565" spans="92:92" x14ac:dyDescent="0.3">
      <c r="CN3565">
        <v>3564</v>
      </c>
    </row>
    <row r="3566" spans="92:92" x14ac:dyDescent="0.3">
      <c r="CN3566">
        <v>3565</v>
      </c>
    </row>
    <row r="3567" spans="92:92" x14ac:dyDescent="0.3">
      <c r="CN3567">
        <v>3566</v>
      </c>
    </row>
    <row r="3568" spans="92:92" x14ac:dyDescent="0.3">
      <c r="CN3568">
        <v>3567</v>
      </c>
    </row>
    <row r="3569" spans="92:92" x14ac:dyDescent="0.3">
      <c r="CN3569">
        <v>3568</v>
      </c>
    </row>
    <row r="3570" spans="92:92" x14ac:dyDescent="0.3">
      <c r="CN3570">
        <v>3569</v>
      </c>
    </row>
    <row r="3571" spans="92:92" x14ac:dyDescent="0.3">
      <c r="CN3571">
        <v>3570</v>
      </c>
    </row>
    <row r="3572" spans="92:92" x14ac:dyDescent="0.3">
      <c r="CN3572">
        <v>3571</v>
      </c>
    </row>
    <row r="3573" spans="92:92" x14ac:dyDescent="0.3">
      <c r="CN3573">
        <v>3572</v>
      </c>
    </row>
    <row r="3574" spans="92:92" x14ac:dyDescent="0.3">
      <c r="CN3574">
        <v>3573</v>
      </c>
    </row>
    <row r="3575" spans="92:92" x14ac:dyDescent="0.3">
      <c r="CN3575">
        <v>3574</v>
      </c>
    </row>
    <row r="3576" spans="92:92" x14ac:dyDescent="0.3">
      <c r="CN3576">
        <v>3575</v>
      </c>
    </row>
    <row r="3577" spans="92:92" x14ac:dyDescent="0.3">
      <c r="CN3577">
        <v>3576</v>
      </c>
    </row>
    <row r="3578" spans="92:92" x14ac:dyDescent="0.3">
      <c r="CN3578">
        <v>3577</v>
      </c>
    </row>
    <row r="3579" spans="92:92" x14ac:dyDescent="0.3">
      <c r="CN3579">
        <v>3578</v>
      </c>
    </row>
    <row r="3580" spans="92:92" x14ac:dyDescent="0.3">
      <c r="CN3580">
        <v>3579</v>
      </c>
    </row>
    <row r="3581" spans="92:92" x14ac:dyDescent="0.3">
      <c r="CN3581">
        <v>3580</v>
      </c>
    </row>
    <row r="3582" spans="92:92" x14ac:dyDescent="0.3">
      <c r="CN3582">
        <v>3581</v>
      </c>
    </row>
    <row r="3583" spans="92:92" x14ac:dyDescent="0.3">
      <c r="CN3583">
        <v>3582</v>
      </c>
    </row>
    <row r="3584" spans="92:92" x14ac:dyDescent="0.3">
      <c r="CN3584">
        <v>3583</v>
      </c>
    </row>
    <row r="3585" spans="92:92" x14ac:dyDescent="0.3">
      <c r="CN3585">
        <v>3584</v>
      </c>
    </row>
    <row r="3586" spans="92:92" x14ac:dyDescent="0.3">
      <c r="CN3586">
        <v>3585</v>
      </c>
    </row>
    <row r="3587" spans="92:92" x14ac:dyDescent="0.3">
      <c r="CN3587">
        <v>3586</v>
      </c>
    </row>
    <row r="3588" spans="92:92" x14ac:dyDescent="0.3">
      <c r="CN3588">
        <v>3587</v>
      </c>
    </row>
    <row r="3589" spans="92:92" x14ac:dyDescent="0.3">
      <c r="CN3589">
        <v>3588</v>
      </c>
    </row>
    <row r="3590" spans="92:92" x14ac:dyDescent="0.3">
      <c r="CN3590">
        <v>3589</v>
      </c>
    </row>
    <row r="3591" spans="92:92" x14ac:dyDescent="0.3">
      <c r="CN3591">
        <v>3590</v>
      </c>
    </row>
    <row r="3592" spans="92:92" x14ac:dyDescent="0.3">
      <c r="CN3592">
        <v>3591</v>
      </c>
    </row>
    <row r="3593" spans="92:92" x14ac:dyDescent="0.3">
      <c r="CN3593">
        <v>3592</v>
      </c>
    </row>
    <row r="3594" spans="92:92" x14ac:dyDescent="0.3">
      <c r="CN3594">
        <v>3593</v>
      </c>
    </row>
    <row r="3595" spans="92:92" x14ac:dyDescent="0.3">
      <c r="CN3595">
        <v>3594</v>
      </c>
    </row>
    <row r="3596" spans="92:92" x14ac:dyDescent="0.3">
      <c r="CN3596">
        <v>3595</v>
      </c>
    </row>
    <row r="3597" spans="92:92" x14ac:dyDescent="0.3">
      <c r="CN3597">
        <v>3596</v>
      </c>
    </row>
    <row r="3598" spans="92:92" x14ac:dyDescent="0.3">
      <c r="CN3598">
        <v>3597</v>
      </c>
    </row>
    <row r="3599" spans="92:92" x14ac:dyDescent="0.3">
      <c r="CN3599">
        <v>3598</v>
      </c>
    </row>
    <row r="3600" spans="92:92" x14ac:dyDescent="0.3">
      <c r="CN3600">
        <v>3599</v>
      </c>
    </row>
    <row r="3601" spans="92:92" x14ac:dyDescent="0.3">
      <c r="CN3601">
        <v>3600</v>
      </c>
    </row>
    <row r="3602" spans="92:92" x14ac:dyDescent="0.3">
      <c r="CN3602">
        <v>3601</v>
      </c>
    </row>
    <row r="3603" spans="92:92" x14ac:dyDescent="0.3">
      <c r="CN3603">
        <v>3602</v>
      </c>
    </row>
    <row r="3604" spans="92:92" x14ac:dyDescent="0.3">
      <c r="CN3604">
        <v>3603</v>
      </c>
    </row>
    <row r="3605" spans="92:92" x14ac:dyDescent="0.3">
      <c r="CN3605">
        <v>3604</v>
      </c>
    </row>
    <row r="3606" spans="92:92" x14ac:dyDescent="0.3">
      <c r="CN3606">
        <v>3605</v>
      </c>
    </row>
    <row r="3607" spans="92:92" x14ac:dyDescent="0.3">
      <c r="CN3607">
        <v>3606</v>
      </c>
    </row>
    <row r="3608" spans="92:92" x14ac:dyDescent="0.3">
      <c r="CN3608">
        <v>3607</v>
      </c>
    </row>
    <row r="3609" spans="92:92" x14ac:dyDescent="0.3">
      <c r="CN3609">
        <v>3608</v>
      </c>
    </row>
    <row r="3610" spans="92:92" x14ac:dyDescent="0.3">
      <c r="CN3610">
        <v>3609</v>
      </c>
    </row>
    <row r="3611" spans="92:92" x14ac:dyDescent="0.3">
      <c r="CN3611">
        <v>3610</v>
      </c>
    </row>
    <row r="3612" spans="92:92" x14ac:dyDescent="0.3">
      <c r="CN3612">
        <v>3611</v>
      </c>
    </row>
    <row r="3613" spans="92:92" x14ac:dyDescent="0.3">
      <c r="CN3613">
        <v>3612</v>
      </c>
    </row>
    <row r="3614" spans="92:92" x14ac:dyDescent="0.3">
      <c r="CN3614">
        <v>3613</v>
      </c>
    </row>
    <row r="3615" spans="92:92" x14ac:dyDescent="0.3">
      <c r="CN3615">
        <v>3614</v>
      </c>
    </row>
    <row r="3616" spans="92:92" x14ac:dyDescent="0.3">
      <c r="CN3616">
        <v>3615</v>
      </c>
    </row>
    <row r="3617" spans="92:92" x14ac:dyDescent="0.3">
      <c r="CN3617">
        <v>3616</v>
      </c>
    </row>
    <row r="3618" spans="92:92" x14ac:dyDescent="0.3">
      <c r="CN3618">
        <v>3617</v>
      </c>
    </row>
    <row r="3619" spans="92:92" x14ac:dyDescent="0.3">
      <c r="CN3619">
        <v>3618</v>
      </c>
    </row>
    <row r="3620" spans="92:92" x14ac:dyDescent="0.3">
      <c r="CN3620">
        <v>3619</v>
      </c>
    </row>
    <row r="3621" spans="92:92" x14ac:dyDescent="0.3">
      <c r="CN3621">
        <v>3620</v>
      </c>
    </row>
    <row r="3622" spans="92:92" x14ac:dyDescent="0.3">
      <c r="CN3622">
        <v>3621</v>
      </c>
    </row>
    <row r="3623" spans="92:92" x14ac:dyDescent="0.3">
      <c r="CN3623">
        <v>3622</v>
      </c>
    </row>
    <row r="3624" spans="92:92" x14ac:dyDescent="0.3">
      <c r="CN3624">
        <v>3623</v>
      </c>
    </row>
    <row r="3625" spans="92:92" x14ac:dyDescent="0.3">
      <c r="CN3625">
        <v>3624</v>
      </c>
    </row>
    <row r="3626" spans="92:92" x14ac:dyDescent="0.3">
      <c r="CN3626">
        <v>3625</v>
      </c>
    </row>
    <row r="3627" spans="92:92" x14ac:dyDescent="0.3">
      <c r="CN3627">
        <v>3626</v>
      </c>
    </row>
    <row r="3628" spans="92:92" x14ac:dyDescent="0.3">
      <c r="CN3628">
        <v>3627</v>
      </c>
    </row>
    <row r="3629" spans="92:92" x14ac:dyDescent="0.3">
      <c r="CN3629">
        <v>3628</v>
      </c>
    </row>
    <row r="3630" spans="92:92" x14ac:dyDescent="0.3">
      <c r="CN3630">
        <v>3629</v>
      </c>
    </row>
    <row r="3631" spans="92:92" x14ac:dyDescent="0.3">
      <c r="CN3631">
        <v>3630</v>
      </c>
    </row>
    <row r="3632" spans="92:92" x14ac:dyDescent="0.3">
      <c r="CN3632">
        <v>3631</v>
      </c>
    </row>
    <row r="3633" spans="92:92" x14ac:dyDescent="0.3">
      <c r="CN3633">
        <v>3632</v>
      </c>
    </row>
    <row r="3634" spans="92:92" x14ac:dyDescent="0.3">
      <c r="CN3634">
        <v>3633</v>
      </c>
    </row>
    <row r="3635" spans="92:92" x14ac:dyDescent="0.3">
      <c r="CN3635">
        <v>3634</v>
      </c>
    </row>
    <row r="3636" spans="92:92" x14ac:dyDescent="0.3">
      <c r="CN3636">
        <v>3635</v>
      </c>
    </row>
    <row r="3637" spans="92:92" x14ac:dyDescent="0.3">
      <c r="CN3637">
        <v>3636</v>
      </c>
    </row>
    <row r="3638" spans="92:92" x14ac:dyDescent="0.3">
      <c r="CN3638">
        <v>3637</v>
      </c>
    </row>
    <row r="3639" spans="92:92" x14ac:dyDescent="0.3">
      <c r="CN3639">
        <v>3638</v>
      </c>
    </row>
    <row r="3640" spans="92:92" x14ac:dyDescent="0.3">
      <c r="CN3640">
        <v>3639</v>
      </c>
    </row>
    <row r="3641" spans="92:92" x14ac:dyDescent="0.3">
      <c r="CN3641">
        <v>3640</v>
      </c>
    </row>
    <row r="3642" spans="92:92" x14ac:dyDescent="0.3">
      <c r="CN3642">
        <v>3641</v>
      </c>
    </row>
    <row r="3643" spans="92:92" x14ac:dyDescent="0.3">
      <c r="CN3643">
        <v>3642</v>
      </c>
    </row>
    <row r="3644" spans="92:92" x14ac:dyDescent="0.3">
      <c r="CN3644">
        <v>3643</v>
      </c>
    </row>
    <row r="3645" spans="92:92" x14ac:dyDescent="0.3">
      <c r="CN3645">
        <v>3644</v>
      </c>
    </row>
    <row r="3646" spans="92:92" x14ac:dyDescent="0.3">
      <c r="CN3646">
        <v>3645</v>
      </c>
    </row>
    <row r="3647" spans="92:92" x14ac:dyDescent="0.3">
      <c r="CN3647">
        <v>3646</v>
      </c>
    </row>
    <row r="3648" spans="92:92" x14ac:dyDescent="0.3">
      <c r="CN3648">
        <v>3647</v>
      </c>
    </row>
    <row r="3649" spans="92:92" x14ac:dyDescent="0.3">
      <c r="CN3649">
        <v>3648</v>
      </c>
    </row>
    <row r="3650" spans="92:92" x14ac:dyDescent="0.3">
      <c r="CN3650">
        <v>3649</v>
      </c>
    </row>
    <row r="3651" spans="92:92" x14ac:dyDescent="0.3">
      <c r="CN3651">
        <v>3650</v>
      </c>
    </row>
    <row r="3652" spans="92:92" x14ac:dyDescent="0.3">
      <c r="CN3652">
        <v>3651</v>
      </c>
    </row>
    <row r="3653" spans="92:92" x14ac:dyDescent="0.3">
      <c r="CN3653">
        <v>3652</v>
      </c>
    </row>
    <row r="3654" spans="92:92" x14ac:dyDescent="0.3">
      <c r="CN3654">
        <v>3653</v>
      </c>
    </row>
    <row r="3655" spans="92:92" x14ac:dyDescent="0.3">
      <c r="CN3655">
        <v>3654</v>
      </c>
    </row>
    <row r="3656" spans="92:92" x14ac:dyDescent="0.3">
      <c r="CN3656">
        <v>3655</v>
      </c>
    </row>
    <row r="3657" spans="92:92" x14ac:dyDescent="0.3">
      <c r="CN3657">
        <v>3656</v>
      </c>
    </row>
    <row r="3658" spans="92:92" x14ac:dyDescent="0.3">
      <c r="CN3658">
        <v>3657</v>
      </c>
    </row>
    <row r="3659" spans="92:92" x14ac:dyDescent="0.3">
      <c r="CN3659">
        <v>3658</v>
      </c>
    </row>
    <row r="3660" spans="92:92" x14ac:dyDescent="0.3">
      <c r="CN3660">
        <v>3659</v>
      </c>
    </row>
    <row r="3661" spans="92:92" x14ac:dyDescent="0.3">
      <c r="CN3661">
        <v>3660</v>
      </c>
    </row>
    <row r="3662" spans="92:92" x14ac:dyDescent="0.3">
      <c r="CN3662">
        <v>3661</v>
      </c>
    </row>
    <row r="3663" spans="92:92" x14ac:dyDescent="0.3">
      <c r="CN3663">
        <v>3662</v>
      </c>
    </row>
    <row r="3664" spans="92:92" x14ac:dyDescent="0.3">
      <c r="CN3664">
        <v>3663</v>
      </c>
    </row>
    <row r="3665" spans="92:92" x14ac:dyDescent="0.3">
      <c r="CN3665">
        <v>3664</v>
      </c>
    </row>
    <row r="3666" spans="92:92" x14ac:dyDescent="0.3">
      <c r="CN3666">
        <v>3665</v>
      </c>
    </row>
    <row r="3667" spans="92:92" x14ac:dyDescent="0.3">
      <c r="CN3667">
        <v>3666</v>
      </c>
    </row>
    <row r="3668" spans="92:92" x14ac:dyDescent="0.3">
      <c r="CN3668">
        <v>3667</v>
      </c>
    </row>
    <row r="3669" spans="92:92" x14ac:dyDescent="0.3">
      <c r="CN3669">
        <v>3668</v>
      </c>
    </row>
    <row r="3670" spans="92:92" x14ac:dyDescent="0.3">
      <c r="CN3670">
        <v>3669</v>
      </c>
    </row>
    <row r="3671" spans="92:92" x14ac:dyDescent="0.3">
      <c r="CN3671">
        <v>3670</v>
      </c>
    </row>
    <row r="3672" spans="92:92" x14ac:dyDescent="0.3">
      <c r="CN3672">
        <v>3671</v>
      </c>
    </row>
    <row r="3673" spans="92:92" x14ac:dyDescent="0.3">
      <c r="CN3673">
        <v>3672</v>
      </c>
    </row>
    <row r="3674" spans="92:92" x14ac:dyDescent="0.3">
      <c r="CN3674">
        <v>3673</v>
      </c>
    </row>
    <row r="3675" spans="92:92" x14ac:dyDescent="0.3">
      <c r="CN3675">
        <v>3674</v>
      </c>
    </row>
    <row r="3676" spans="92:92" x14ac:dyDescent="0.3">
      <c r="CN3676">
        <v>3675</v>
      </c>
    </row>
    <row r="3677" spans="92:92" x14ac:dyDescent="0.3">
      <c r="CN3677">
        <v>3676</v>
      </c>
    </row>
    <row r="3678" spans="92:92" x14ac:dyDescent="0.3">
      <c r="CN3678">
        <v>3677</v>
      </c>
    </row>
    <row r="3679" spans="92:92" x14ac:dyDescent="0.3">
      <c r="CN3679">
        <v>3678</v>
      </c>
    </row>
    <row r="3680" spans="92:92" x14ac:dyDescent="0.3">
      <c r="CN3680">
        <v>3679</v>
      </c>
    </row>
    <row r="3681" spans="92:92" x14ac:dyDescent="0.3">
      <c r="CN3681">
        <v>3680</v>
      </c>
    </row>
    <row r="3682" spans="92:92" x14ac:dyDescent="0.3">
      <c r="CN3682">
        <v>3681</v>
      </c>
    </row>
    <row r="3683" spans="92:92" x14ac:dyDescent="0.3">
      <c r="CN3683">
        <v>3682</v>
      </c>
    </row>
    <row r="3684" spans="92:92" x14ac:dyDescent="0.3">
      <c r="CN3684">
        <v>3683</v>
      </c>
    </row>
    <row r="3685" spans="92:92" x14ac:dyDescent="0.3">
      <c r="CN3685">
        <v>3684</v>
      </c>
    </row>
    <row r="3686" spans="92:92" x14ac:dyDescent="0.3">
      <c r="CN3686">
        <v>3685</v>
      </c>
    </row>
    <row r="3687" spans="92:92" x14ac:dyDescent="0.3">
      <c r="CN3687">
        <v>3686</v>
      </c>
    </row>
    <row r="3688" spans="92:92" x14ac:dyDescent="0.3">
      <c r="CN3688">
        <v>3687</v>
      </c>
    </row>
    <row r="3689" spans="92:92" x14ac:dyDescent="0.3">
      <c r="CN3689">
        <v>3688</v>
      </c>
    </row>
    <row r="3690" spans="92:92" x14ac:dyDescent="0.3">
      <c r="CN3690">
        <v>3689</v>
      </c>
    </row>
    <row r="3691" spans="92:92" x14ac:dyDescent="0.3">
      <c r="CN3691">
        <v>3690</v>
      </c>
    </row>
    <row r="3692" spans="92:92" x14ac:dyDescent="0.3">
      <c r="CN3692">
        <v>3691</v>
      </c>
    </row>
    <row r="3693" spans="92:92" x14ac:dyDescent="0.3">
      <c r="CN3693">
        <v>3692</v>
      </c>
    </row>
    <row r="3694" spans="92:92" x14ac:dyDescent="0.3">
      <c r="CN3694">
        <v>3693</v>
      </c>
    </row>
    <row r="3695" spans="92:92" x14ac:dyDescent="0.3">
      <c r="CN3695">
        <v>3694</v>
      </c>
    </row>
    <row r="3696" spans="92:92" x14ac:dyDescent="0.3">
      <c r="CN3696">
        <v>3695</v>
      </c>
    </row>
    <row r="3697" spans="92:92" x14ac:dyDescent="0.3">
      <c r="CN3697">
        <v>3696</v>
      </c>
    </row>
    <row r="3698" spans="92:92" x14ac:dyDescent="0.3">
      <c r="CN3698">
        <v>3697</v>
      </c>
    </row>
    <row r="3699" spans="92:92" x14ac:dyDescent="0.3">
      <c r="CN3699">
        <v>3698</v>
      </c>
    </row>
    <row r="3700" spans="92:92" x14ac:dyDescent="0.3">
      <c r="CN3700">
        <v>3699</v>
      </c>
    </row>
    <row r="3701" spans="92:92" x14ac:dyDescent="0.3">
      <c r="CN3701">
        <v>3700</v>
      </c>
    </row>
    <row r="3702" spans="92:92" x14ac:dyDescent="0.3">
      <c r="CN3702">
        <v>3701</v>
      </c>
    </row>
    <row r="3703" spans="92:92" x14ac:dyDescent="0.3">
      <c r="CN3703">
        <v>3702</v>
      </c>
    </row>
    <row r="3704" spans="92:92" x14ac:dyDescent="0.3">
      <c r="CN3704">
        <v>3703</v>
      </c>
    </row>
    <row r="3705" spans="92:92" x14ac:dyDescent="0.3">
      <c r="CN3705">
        <v>3704</v>
      </c>
    </row>
    <row r="3706" spans="92:92" x14ac:dyDescent="0.3">
      <c r="CN3706">
        <v>3705</v>
      </c>
    </row>
    <row r="3707" spans="92:92" x14ac:dyDescent="0.3">
      <c r="CN3707">
        <v>3706</v>
      </c>
    </row>
    <row r="3708" spans="92:92" x14ac:dyDescent="0.3">
      <c r="CN3708">
        <v>3707</v>
      </c>
    </row>
    <row r="3709" spans="92:92" x14ac:dyDescent="0.3">
      <c r="CN3709">
        <v>3708</v>
      </c>
    </row>
    <row r="3710" spans="92:92" x14ac:dyDescent="0.3">
      <c r="CN3710">
        <v>3709</v>
      </c>
    </row>
    <row r="3711" spans="92:92" x14ac:dyDescent="0.3">
      <c r="CN3711">
        <v>3710</v>
      </c>
    </row>
    <row r="3712" spans="92:92" x14ac:dyDescent="0.3">
      <c r="CN3712">
        <v>3711</v>
      </c>
    </row>
    <row r="3713" spans="92:92" x14ac:dyDescent="0.3">
      <c r="CN3713">
        <v>3712</v>
      </c>
    </row>
    <row r="3714" spans="92:92" x14ac:dyDescent="0.3">
      <c r="CN3714">
        <v>3713</v>
      </c>
    </row>
    <row r="3715" spans="92:92" x14ac:dyDescent="0.3">
      <c r="CN3715">
        <v>3714</v>
      </c>
    </row>
    <row r="3716" spans="92:92" x14ac:dyDescent="0.3">
      <c r="CN3716">
        <v>3715</v>
      </c>
    </row>
    <row r="3717" spans="92:92" x14ac:dyDescent="0.3">
      <c r="CN3717">
        <v>3716</v>
      </c>
    </row>
    <row r="3718" spans="92:92" x14ac:dyDescent="0.3">
      <c r="CN3718">
        <v>3717</v>
      </c>
    </row>
    <row r="3719" spans="92:92" x14ac:dyDescent="0.3">
      <c r="CN3719">
        <v>3718</v>
      </c>
    </row>
    <row r="3720" spans="92:92" x14ac:dyDescent="0.3">
      <c r="CN3720">
        <v>3719</v>
      </c>
    </row>
    <row r="3721" spans="92:92" x14ac:dyDescent="0.3">
      <c r="CN3721">
        <v>3720</v>
      </c>
    </row>
    <row r="3722" spans="92:92" x14ac:dyDescent="0.3">
      <c r="CN3722">
        <v>3721</v>
      </c>
    </row>
    <row r="3723" spans="92:92" x14ac:dyDescent="0.3">
      <c r="CN3723">
        <v>3722</v>
      </c>
    </row>
    <row r="3724" spans="92:92" x14ac:dyDescent="0.3">
      <c r="CN3724">
        <v>3723</v>
      </c>
    </row>
    <row r="3725" spans="92:92" x14ac:dyDescent="0.3">
      <c r="CN3725">
        <v>3724</v>
      </c>
    </row>
    <row r="3726" spans="92:92" x14ac:dyDescent="0.3">
      <c r="CN3726">
        <v>3725</v>
      </c>
    </row>
    <row r="3727" spans="92:92" x14ac:dyDescent="0.3">
      <c r="CN3727">
        <v>3726</v>
      </c>
    </row>
    <row r="3728" spans="92:92" x14ac:dyDescent="0.3">
      <c r="CN3728">
        <v>3727</v>
      </c>
    </row>
    <row r="3729" spans="92:92" x14ac:dyDescent="0.3">
      <c r="CN3729">
        <v>3728</v>
      </c>
    </row>
    <row r="3730" spans="92:92" x14ac:dyDescent="0.3">
      <c r="CN3730">
        <v>3729</v>
      </c>
    </row>
    <row r="3731" spans="92:92" x14ac:dyDescent="0.3">
      <c r="CN3731">
        <v>3730</v>
      </c>
    </row>
    <row r="3732" spans="92:92" x14ac:dyDescent="0.3">
      <c r="CN3732">
        <v>3731</v>
      </c>
    </row>
    <row r="3733" spans="92:92" x14ac:dyDescent="0.3">
      <c r="CN3733">
        <v>3732</v>
      </c>
    </row>
    <row r="3734" spans="92:92" x14ac:dyDescent="0.3">
      <c r="CN3734">
        <v>3733</v>
      </c>
    </row>
    <row r="3735" spans="92:92" x14ac:dyDescent="0.3">
      <c r="CN3735">
        <v>3734</v>
      </c>
    </row>
    <row r="3736" spans="92:92" x14ac:dyDescent="0.3">
      <c r="CN3736">
        <v>3735</v>
      </c>
    </row>
    <row r="3737" spans="92:92" x14ac:dyDescent="0.3">
      <c r="CN3737">
        <v>3736</v>
      </c>
    </row>
    <row r="3738" spans="92:92" x14ac:dyDescent="0.3">
      <c r="CN3738">
        <v>3737</v>
      </c>
    </row>
    <row r="3739" spans="92:92" x14ac:dyDescent="0.3">
      <c r="CN3739">
        <v>3738</v>
      </c>
    </row>
    <row r="3740" spans="92:92" x14ac:dyDescent="0.3">
      <c r="CN3740">
        <v>3739</v>
      </c>
    </row>
    <row r="3741" spans="92:92" x14ac:dyDescent="0.3">
      <c r="CN3741">
        <v>3740</v>
      </c>
    </row>
    <row r="3742" spans="92:92" x14ac:dyDescent="0.3">
      <c r="CN3742">
        <v>3741</v>
      </c>
    </row>
    <row r="3743" spans="92:92" x14ac:dyDescent="0.3">
      <c r="CN3743">
        <v>3742</v>
      </c>
    </row>
    <row r="3744" spans="92:92" x14ac:dyDescent="0.3">
      <c r="CN3744">
        <v>3743</v>
      </c>
    </row>
    <row r="3745" spans="92:92" x14ac:dyDescent="0.3">
      <c r="CN3745">
        <v>3744</v>
      </c>
    </row>
    <row r="3746" spans="92:92" x14ac:dyDescent="0.3">
      <c r="CN3746">
        <v>3745</v>
      </c>
    </row>
    <row r="3747" spans="92:92" x14ac:dyDescent="0.3">
      <c r="CN3747">
        <v>3746</v>
      </c>
    </row>
    <row r="3748" spans="92:92" x14ac:dyDescent="0.3">
      <c r="CN3748">
        <v>3747</v>
      </c>
    </row>
    <row r="3749" spans="92:92" x14ac:dyDescent="0.3">
      <c r="CN3749">
        <v>3748</v>
      </c>
    </row>
    <row r="3750" spans="92:92" x14ac:dyDescent="0.3">
      <c r="CN3750">
        <v>3749</v>
      </c>
    </row>
    <row r="3751" spans="92:92" x14ac:dyDescent="0.3">
      <c r="CN3751">
        <v>3750</v>
      </c>
    </row>
    <row r="3752" spans="92:92" x14ac:dyDescent="0.3">
      <c r="CN3752">
        <v>3751</v>
      </c>
    </row>
    <row r="3753" spans="92:92" x14ac:dyDescent="0.3">
      <c r="CN3753">
        <v>3752</v>
      </c>
    </row>
    <row r="3754" spans="92:92" x14ac:dyDescent="0.3">
      <c r="CN3754">
        <v>3753</v>
      </c>
    </row>
    <row r="3755" spans="92:92" x14ac:dyDescent="0.3">
      <c r="CN3755">
        <v>3754</v>
      </c>
    </row>
    <row r="3756" spans="92:92" x14ac:dyDescent="0.3">
      <c r="CN3756">
        <v>3755</v>
      </c>
    </row>
    <row r="3757" spans="92:92" x14ac:dyDescent="0.3">
      <c r="CN3757">
        <v>3756</v>
      </c>
    </row>
    <row r="3758" spans="92:92" x14ac:dyDescent="0.3">
      <c r="CN3758">
        <v>3757</v>
      </c>
    </row>
    <row r="3759" spans="92:92" x14ac:dyDescent="0.3">
      <c r="CN3759">
        <v>3758</v>
      </c>
    </row>
    <row r="3760" spans="92:92" x14ac:dyDescent="0.3">
      <c r="CN3760">
        <v>3759</v>
      </c>
    </row>
    <row r="3761" spans="92:92" x14ac:dyDescent="0.3">
      <c r="CN3761">
        <v>3760</v>
      </c>
    </row>
    <row r="3762" spans="92:92" x14ac:dyDescent="0.3">
      <c r="CN3762">
        <v>3761</v>
      </c>
    </row>
    <row r="3763" spans="92:92" x14ac:dyDescent="0.3">
      <c r="CN3763">
        <v>3762</v>
      </c>
    </row>
    <row r="3764" spans="92:92" x14ac:dyDescent="0.3">
      <c r="CN3764">
        <v>3763</v>
      </c>
    </row>
    <row r="3765" spans="92:92" x14ac:dyDescent="0.3">
      <c r="CN3765">
        <v>3764</v>
      </c>
    </row>
    <row r="3766" spans="92:92" x14ac:dyDescent="0.3">
      <c r="CN3766">
        <v>3765</v>
      </c>
    </row>
    <row r="3767" spans="92:92" x14ac:dyDescent="0.3">
      <c r="CN3767">
        <v>3766</v>
      </c>
    </row>
    <row r="3768" spans="92:92" x14ac:dyDescent="0.3">
      <c r="CN3768">
        <v>3767</v>
      </c>
    </row>
    <row r="3769" spans="92:92" x14ac:dyDescent="0.3">
      <c r="CN3769">
        <v>3768</v>
      </c>
    </row>
    <row r="3770" spans="92:92" x14ac:dyDescent="0.3">
      <c r="CN3770">
        <v>3769</v>
      </c>
    </row>
    <row r="3771" spans="92:92" x14ac:dyDescent="0.3">
      <c r="CN3771">
        <v>3770</v>
      </c>
    </row>
    <row r="3772" spans="92:92" x14ac:dyDescent="0.3">
      <c r="CN3772">
        <v>3771</v>
      </c>
    </row>
    <row r="3773" spans="92:92" x14ac:dyDescent="0.3">
      <c r="CN3773">
        <v>3772</v>
      </c>
    </row>
    <row r="3774" spans="92:92" x14ac:dyDescent="0.3">
      <c r="CN3774">
        <v>3773</v>
      </c>
    </row>
    <row r="3775" spans="92:92" x14ac:dyDescent="0.3">
      <c r="CN3775">
        <v>3774</v>
      </c>
    </row>
    <row r="3776" spans="92:92" x14ac:dyDescent="0.3">
      <c r="CN3776">
        <v>3775</v>
      </c>
    </row>
    <row r="3777" spans="92:92" x14ac:dyDescent="0.3">
      <c r="CN3777">
        <v>3776</v>
      </c>
    </row>
    <row r="3778" spans="92:92" x14ac:dyDescent="0.3">
      <c r="CN3778">
        <v>3777</v>
      </c>
    </row>
    <row r="3779" spans="92:92" x14ac:dyDescent="0.3">
      <c r="CN3779">
        <v>3778</v>
      </c>
    </row>
    <row r="3780" spans="92:92" x14ac:dyDescent="0.3">
      <c r="CN3780">
        <v>3779</v>
      </c>
    </row>
    <row r="3781" spans="92:92" x14ac:dyDescent="0.3">
      <c r="CN3781">
        <v>3780</v>
      </c>
    </row>
    <row r="3782" spans="92:92" x14ac:dyDescent="0.3">
      <c r="CN3782">
        <v>3781</v>
      </c>
    </row>
    <row r="3783" spans="92:92" x14ac:dyDescent="0.3">
      <c r="CN3783">
        <v>3782</v>
      </c>
    </row>
    <row r="3784" spans="92:92" x14ac:dyDescent="0.3">
      <c r="CN3784">
        <v>3783</v>
      </c>
    </row>
    <row r="3785" spans="92:92" x14ac:dyDescent="0.3">
      <c r="CN3785">
        <v>3784</v>
      </c>
    </row>
    <row r="3786" spans="92:92" x14ac:dyDescent="0.3">
      <c r="CN3786">
        <v>3785</v>
      </c>
    </row>
    <row r="3787" spans="92:92" x14ac:dyDescent="0.3">
      <c r="CN3787">
        <v>3786</v>
      </c>
    </row>
    <row r="3788" spans="92:92" x14ac:dyDescent="0.3">
      <c r="CN3788">
        <v>3787</v>
      </c>
    </row>
    <row r="3789" spans="92:92" x14ac:dyDescent="0.3">
      <c r="CN3789">
        <v>3788</v>
      </c>
    </row>
    <row r="3790" spans="92:92" x14ac:dyDescent="0.3">
      <c r="CN3790">
        <v>3789</v>
      </c>
    </row>
    <row r="3791" spans="92:92" x14ac:dyDescent="0.3">
      <c r="CN3791">
        <v>3790</v>
      </c>
    </row>
    <row r="3792" spans="92:92" x14ac:dyDescent="0.3">
      <c r="CN3792">
        <v>3791</v>
      </c>
    </row>
    <row r="3793" spans="92:92" x14ac:dyDescent="0.3">
      <c r="CN3793">
        <v>3792</v>
      </c>
    </row>
    <row r="3794" spans="92:92" x14ac:dyDescent="0.3">
      <c r="CN3794">
        <v>3793</v>
      </c>
    </row>
    <row r="3795" spans="92:92" x14ac:dyDescent="0.3">
      <c r="CN3795">
        <v>3794</v>
      </c>
    </row>
    <row r="3796" spans="92:92" x14ac:dyDescent="0.3">
      <c r="CN3796">
        <v>3795</v>
      </c>
    </row>
    <row r="3797" spans="92:92" x14ac:dyDescent="0.3">
      <c r="CN3797">
        <v>3796</v>
      </c>
    </row>
    <row r="3798" spans="92:92" x14ac:dyDescent="0.3">
      <c r="CN3798">
        <v>3797</v>
      </c>
    </row>
    <row r="3799" spans="92:92" x14ac:dyDescent="0.3">
      <c r="CN3799">
        <v>3798</v>
      </c>
    </row>
    <row r="3800" spans="92:92" x14ac:dyDescent="0.3">
      <c r="CN3800">
        <v>3799</v>
      </c>
    </row>
    <row r="3801" spans="92:92" x14ac:dyDescent="0.3">
      <c r="CN3801">
        <v>3800</v>
      </c>
    </row>
    <row r="3802" spans="92:92" x14ac:dyDescent="0.3">
      <c r="CN3802">
        <v>3801</v>
      </c>
    </row>
    <row r="3803" spans="92:92" x14ac:dyDescent="0.3">
      <c r="CN3803">
        <v>3802</v>
      </c>
    </row>
    <row r="3804" spans="92:92" x14ac:dyDescent="0.3">
      <c r="CN3804">
        <v>3803</v>
      </c>
    </row>
    <row r="3805" spans="92:92" x14ac:dyDescent="0.3">
      <c r="CN3805">
        <v>3804</v>
      </c>
    </row>
    <row r="3806" spans="92:92" x14ac:dyDescent="0.3">
      <c r="CN3806">
        <v>3805</v>
      </c>
    </row>
    <row r="3807" spans="92:92" x14ac:dyDescent="0.3">
      <c r="CN3807">
        <v>3806</v>
      </c>
    </row>
    <row r="3808" spans="92:92" x14ac:dyDescent="0.3">
      <c r="CN3808">
        <v>3807</v>
      </c>
    </row>
    <row r="3809" spans="92:92" x14ac:dyDescent="0.3">
      <c r="CN3809">
        <v>3808</v>
      </c>
    </row>
    <row r="3810" spans="92:92" x14ac:dyDescent="0.3">
      <c r="CN3810">
        <v>3809</v>
      </c>
    </row>
    <row r="3811" spans="92:92" x14ac:dyDescent="0.3">
      <c r="CN3811">
        <v>3810</v>
      </c>
    </row>
    <row r="3812" spans="92:92" x14ac:dyDescent="0.3">
      <c r="CN3812">
        <v>3811</v>
      </c>
    </row>
    <row r="3813" spans="92:92" x14ac:dyDescent="0.3">
      <c r="CN3813">
        <v>3812</v>
      </c>
    </row>
    <row r="3814" spans="92:92" x14ac:dyDescent="0.3">
      <c r="CN3814">
        <v>3813</v>
      </c>
    </row>
    <row r="3815" spans="92:92" x14ac:dyDescent="0.3">
      <c r="CN3815">
        <v>3814</v>
      </c>
    </row>
    <row r="3816" spans="92:92" x14ac:dyDescent="0.3">
      <c r="CN3816">
        <v>3815</v>
      </c>
    </row>
    <row r="3817" spans="92:92" x14ac:dyDescent="0.3">
      <c r="CN3817">
        <v>3816</v>
      </c>
    </row>
    <row r="3818" spans="92:92" x14ac:dyDescent="0.3">
      <c r="CN3818">
        <v>3817</v>
      </c>
    </row>
    <row r="3819" spans="92:92" x14ac:dyDescent="0.3">
      <c r="CN3819">
        <v>3818</v>
      </c>
    </row>
    <row r="3820" spans="92:92" x14ac:dyDescent="0.3">
      <c r="CN3820">
        <v>3819</v>
      </c>
    </row>
    <row r="3821" spans="92:92" x14ac:dyDescent="0.3">
      <c r="CN3821">
        <v>3820</v>
      </c>
    </row>
    <row r="3822" spans="92:92" x14ac:dyDescent="0.3">
      <c r="CN3822">
        <v>3821</v>
      </c>
    </row>
    <row r="3823" spans="92:92" x14ac:dyDescent="0.3">
      <c r="CN3823">
        <v>3822</v>
      </c>
    </row>
    <row r="3824" spans="92:92" x14ac:dyDescent="0.3">
      <c r="CN3824">
        <v>3823</v>
      </c>
    </row>
    <row r="3825" spans="92:92" x14ac:dyDescent="0.3">
      <c r="CN3825">
        <v>3824</v>
      </c>
    </row>
    <row r="3826" spans="92:92" x14ac:dyDescent="0.3">
      <c r="CN3826">
        <v>3825</v>
      </c>
    </row>
    <row r="3827" spans="92:92" x14ac:dyDescent="0.3">
      <c r="CN3827">
        <v>3826</v>
      </c>
    </row>
    <row r="3828" spans="92:92" x14ac:dyDescent="0.3">
      <c r="CN3828">
        <v>3827</v>
      </c>
    </row>
    <row r="3829" spans="92:92" x14ac:dyDescent="0.3">
      <c r="CN3829">
        <v>3828</v>
      </c>
    </row>
    <row r="3830" spans="92:92" x14ac:dyDescent="0.3">
      <c r="CN3830">
        <v>3829</v>
      </c>
    </row>
    <row r="3831" spans="92:92" x14ac:dyDescent="0.3">
      <c r="CN3831">
        <v>3830</v>
      </c>
    </row>
    <row r="3832" spans="92:92" x14ac:dyDescent="0.3">
      <c r="CN3832">
        <v>3831</v>
      </c>
    </row>
    <row r="3833" spans="92:92" x14ac:dyDescent="0.3">
      <c r="CN3833">
        <v>3832</v>
      </c>
    </row>
    <row r="3834" spans="92:92" x14ac:dyDescent="0.3">
      <c r="CN3834">
        <v>3833</v>
      </c>
    </row>
    <row r="3835" spans="92:92" x14ac:dyDescent="0.3">
      <c r="CN3835">
        <v>3834</v>
      </c>
    </row>
    <row r="3836" spans="92:92" x14ac:dyDescent="0.3">
      <c r="CN3836">
        <v>3835</v>
      </c>
    </row>
    <row r="3837" spans="92:92" x14ac:dyDescent="0.3">
      <c r="CN3837">
        <v>3836</v>
      </c>
    </row>
    <row r="3838" spans="92:92" x14ac:dyDescent="0.3">
      <c r="CN3838">
        <v>3837</v>
      </c>
    </row>
    <row r="3839" spans="92:92" x14ac:dyDescent="0.3">
      <c r="CN3839">
        <v>3838</v>
      </c>
    </row>
    <row r="3840" spans="92:92" x14ac:dyDescent="0.3">
      <c r="CN3840">
        <v>3839</v>
      </c>
    </row>
    <row r="3841" spans="92:92" x14ac:dyDescent="0.3">
      <c r="CN3841">
        <v>3840</v>
      </c>
    </row>
    <row r="3842" spans="92:92" x14ac:dyDescent="0.3">
      <c r="CN3842">
        <v>3841</v>
      </c>
    </row>
    <row r="3843" spans="92:92" x14ac:dyDescent="0.3">
      <c r="CN3843">
        <v>3842</v>
      </c>
    </row>
    <row r="3844" spans="92:92" x14ac:dyDescent="0.3">
      <c r="CN3844">
        <v>3843</v>
      </c>
    </row>
    <row r="3845" spans="92:92" x14ac:dyDescent="0.3">
      <c r="CN3845">
        <v>3844</v>
      </c>
    </row>
    <row r="3846" spans="92:92" x14ac:dyDescent="0.3">
      <c r="CN3846">
        <v>3845</v>
      </c>
    </row>
    <row r="3847" spans="92:92" x14ac:dyDescent="0.3">
      <c r="CN3847">
        <v>3846</v>
      </c>
    </row>
    <row r="3848" spans="92:92" x14ac:dyDescent="0.3">
      <c r="CN3848">
        <v>3847</v>
      </c>
    </row>
    <row r="3849" spans="92:92" x14ac:dyDescent="0.3">
      <c r="CN3849">
        <v>3848</v>
      </c>
    </row>
    <row r="3850" spans="92:92" x14ac:dyDescent="0.3">
      <c r="CN3850">
        <v>3849</v>
      </c>
    </row>
    <row r="3851" spans="92:92" x14ac:dyDescent="0.3">
      <c r="CN3851">
        <v>3850</v>
      </c>
    </row>
    <row r="3852" spans="92:92" x14ac:dyDescent="0.3">
      <c r="CN3852">
        <v>3851</v>
      </c>
    </row>
    <row r="3853" spans="92:92" x14ac:dyDescent="0.3">
      <c r="CN3853">
        <v>3852</v>
      </c>
    </row>
    <row r="3854" spans="92:92" x14ac:dyDescent="0.3">
      <c r="CN3854">
        <v>3853</v>
      </c>
    </row>
    <row r="3855" spans="92:92" x14ac:dyDescent="0.3">
      <c r="CN3855">
        <v>3854</v>
      </c>
    </row>
    <row r="3856" spans="92:92" x14ac:dyDescent="0.3">
      <c r="CN3856">
        <v>3855</v>
      </c>
    </row>
    <row r="3857" spans="92:92" x14ac:dyDescent="0.3">
      <c r="CN3857">
        <v>3856</v>
      </c>
    </row>
    <row r="3858" spans="92:92" x14ac:dyDescent="0.3">
      <c r="CN3858">
        <v>3857</v>
      </c>
    </row>
    <row r="3859" spans="92:92" x14ac:dyDescent="0.3">
      <c r="CN3859">
        <v>3858</v>
      </c>
    </row>
    <row r="3860" spans="92:92" x14ac:dyDescent="0.3">
      <c r="CN3860">
        <v>3859</v>
      </c>
    </row>
    <row r="3861" spans="92:92" x14ac:dyDescent="0.3">
      <c r="CN3861">
        <v>3860</v>
      </c>
    </row>
    <row r="3862" spans="92:92" x14ac:dyDescent="0.3">
      <c r="CN3862">
        <v>3861</v>
      </c>
    </row>
    <row r="3863" spans="92:92" x14ac:dyDescent="0.3">
      <c r="CN3863">
        <v>3862</v>
      </c>
    </row>
    <row r="3864" spans="92:92" x14ac:dyDescent="0.3">
      <c r="CN3864">
        <v>3863</v>
      </c>
    </row>
    <row r="3865" spans="92:92" x14ac:dyDescent="0.3">
      <c r="CN3865">
        <v>3864</v>
      </c>
    </row>
    <row r="3866" spans="92:92" x14ac:dyDescent="0.3">
      <c r="CN3866">
        <v>3865</v>
      </c>
    </row>
    <row r="3867" spans="92:92" x14ac:dyDescent="0.3">
      <c r="CN3867">
        <v>3866</v>
      </c>
    </row>
    <row r="3868" spans="92:92" x14ac:dyDescent="0.3">
      <c r="CN3868">
        <v>3867</v>
      </c>
    </row>
    <row r="3869" spans="92:92" x14ac:dyDescent="0.3">
      <c r="CN3869">
        <v>3868</v>
      </c>
    </row>
    <row r="3870" spans="92:92" x14ac:dyDescent="0.3">
      <c r="CN3870">
        <v>3869</v>
      </c>
    </row>
    <row r="3871" spans="92:92" x14ac:dyDescent="0.3">
      <c r="CN3871">
        <v>3870</v>
      </c>
    </row>
    <row r="3872" spans="92:92" x14ac:dyDescent="0.3">
      <c r="CN3872">
        <v>3871</v>
      </c>
    </row>
    <row r="3873" spans="92:92" x14ac:dyDescent="0.3">
      <c r="CN3873">
        <v>3872</v>
      </c>
    </row>
    <row r="3874" spans="92:92" x14ac:dyDescent="0.3">
      <c r="CN3874">
        <v>3873</v>
      </c>
    </row>
    <row r="3875" spans="92:92" x14ac:dyDescent="0.3">
      <c r="CN3875">
        <v>3874</v>
      </c>
    </row>
    <row r="3876" spans="92:92" x14ac:dyDescent="0.3">
      <c r="CN3876">
        <v>3875</v>
      </c>
    </row>
    <row r="3877" spans="92:92" x14ac:dyDescent="0.3">
      <c r="CN3877">
        <v>3876</v>
      </c>
    </row>
    <row r="3878" spans="92:92" x14ac:dyDescent="0.3">
      <c r="CN3878">
        <v>3877</v>
      </c>
    </row>
    <row r="3879" spans="92:92" x14ac:dyDescent="0.3">
      <c r="CN3879">
        <v>3878</v>
      </c>
    </row>
    <row r="3880" spans="92:92" x14ac:dyDescent="0.3">
      <c r="CN3880">
        <v>3879</v>
      </c>
    </row>
    <row r="3881" spans="92:92" x14ac:dyDescent="0.3">
      <c r="CN3881">
        <v>3880</v>
      </c>
    </row>
    <row r="3882" spans="92:92" x14ac:dyDescent="0.3">
      <c r="CN3882">
        <v>3881</v>
      </c>
    </row>
    <row r="3883" spans="92:92" x14ac:dyDescent="0.3">
      <c r="CN3883">
        <v>3882</v>
      </c>
    </row>
    <row r="3884" spans="92:92" x14ac:dyDescent="0.3">
      <c r="CN3884">
        <v>3883</v>
      </c>
    </row>
    <row r="3885" spans="92:92" x14ac:dyDescent="0.3">
      <c r="CN3885">
        <v>3884</v>
      </c>
    </row>
    <row r="3886" spans="92:92" x14ac:dyDescent="0.3">
      <c r="CN3886">
        <v>3885</v>
      </c>
    </row>
    <row r="3887" spans="92:92" x14ac:dyDescent="0.3">
      <c r="CN3887">
        <v>3886</v>
      </c>
    </row>
    <row r="3888" spans="92:92" x14ac:dyDescent="0.3">
      <c r="CN3888">
        <v>3887</v>
      </c>
    </row>
    <row r="3889" spans="92:92" x14ac:dyDescent="0.3">
      <c r="CN3889">
        <v>3888</v>
      </c>
    </row>
    <row r="3890" spans="92:92" x14ac:dyDescent="0.3">
      <c r="CN3890">
        <v>3889</v>
      </c>
    </row>
    <row r="3891" spans="92:92" x14ac:dyDescent="0.3">
      <c r="CN3891">
        <v>3890</v>
      </c>
    </row>
    <row r="3892" spans="92:92" x14ac:dyDescent="0.3">
      <c r="CN3892">
        <v>3891</v>
      </c>
    </row>
    <row r="3893" spans="92:92" x14ac:dyDescent="0.3">
      <c r="CN3893">
        <v>3892</v>
      </c>
    </row>
    <row r="3894" spans="92:92" x14ac:dyDescent="0.3">
      <c r="CN3894">
        <v>3893</v>
      </c>
    </row>
    <row r="3895" spans="92:92" x14ac:dyDescent="0.3">
      <c r="CN3895">
        <v>3894</v>
      </c>
    </row>
    <row r="3896" spans="92:92" x14ac:dyDescent="0.3">
      <c r="CN3896">
        <v>3895</v>
      </c>
    </row>
    <row r="3897" spans="92:92" x14ac:dyDescent="0.3">
      <c r="CN3897">
        <v>3896</v>
      </c>
    </row>
    <row r="3898" spans="92:92" x14ac:dyDescent="0.3">
      <c r="CN3898">
        <v>3897</v>
      </c>
    </row>
    <row r="3899" spans="92:92" x14ac:dyDescent="0.3">
      <c r="CN3899">
        <v>3898</v>
      </c>
    </row>
    <row r="3900" spans="92:92" x14ac:dyDescent="0.3">
      <c r="CN3900">
        <v>3899</v>
      </c>
    </row>
    <row r="3901" spans="92:92" x14ac:dyDescent="0.3">
      <c r="CN3901">
        <v>3900</v>
      </c>
    </row>
    <row r="3902" spans="92:92" x14ac:dyDescent="0.3">
      <c r="CN3902">
        <v>3901</v>
      </c>
    </row>
    <row r="3903" spans="92:92" x14ac:dyDescent="0.3">
      <c r="CN3903">
        <v>3902</v>
      </c>
    </row>
    <row r="3904" spans="92:92" x14ac:dyDescent="0.3">
      <c r="CN3904">
        <v>3903</v>
      </c>
    </row>
    <row r="3905" spans="92:92" x14ac:dyDescent="0.3">
      <c r="CN3905">
        <v>3904</v>
      </c>
    </row>
    <row r="3906" spans="92:92" x14ac:dyDescent="0.3">
      <c r="CN3906">
        <v>3905</v>
      </c>
    </row>
    <row r="3907" spans="92:92" x14ac:dyDescent="0.3">
      <c r="CN3907">
        <v>3906</v>
      </c>
    </row>
    <row r="3908" spans="92:92" x14ac:dyDescent="0.3">
      <c r="CN3908">
        <v>3907</v>
      </c>
    </row>
    <row r="3909" spans="92:92" x14ac:dyDescent="0.3">
      <c r="CN3909">
        <v>3908</v>
      </c>
    </row>
    <row r="3910" spans="92:92" x14ac:dyDescent="0.3">
      <c r="CN3910">
        <v>3909</v>
      </c>
    </row>
    <row r="3911" spans="92:92" x14ac:dyDescent="0.3">
      <c r="CN3911">
        <v>3910</v>
      </c>
    </row>
    <row r="3912" spans="92:92" x14ac:dyDescent="0.3">
      <c r="CN3912">
        <v>3911</v>
      </c>
    </row>
    <row r="3913" spans="92:92" x14ac:dyDescent="0.3">
      <c r="CN3913">
        <v>3912</v>
      </c>
    </row>
    <row r="3914" spans="92:92" x14ac:dyDescent="0.3">
      <c r="CN3914">
        <v>3913</v>
      </c>
    </row>
    <row r="3915" spans="92:92" x14ac:dyDescent="0.3">
      <c r="CN3915">
        <v>3914</v>
      </c>
    </row>
    <row r="3916" spans="92:92" x14ac:dyDescent="0.3">
      <c r="CN3916">
        <v>3915</v>
      </c>
    </row>
    <row r="3917" spans="92:92" x14ac:dyDescent="0.3">
      <c r="CN3917">
        <v>3916</v>
      </c>
    </row>
    <row r="3918" spans="92:92" x14ac:dyDescent="0.3">
      <c r="CN3918">
        <v>3917</v>
      </c>
    </row>
    <row r="3919" spans="92:92" x14ac:dyDescent="0.3">
      <c r="CN3919">
        <v>3918</v>
      </c>
    </row>
    <row r="3920" spans="92:92" x14ac:dyDescent="0.3">
      <c r="CN3920">
        <v>3919</v>
      </c>
    </row>
    <row r="3921" spans="92:92" x14ac:dyDescent="0.3">
      <c r="CN3921">
        <v>3920</v>
      </c>
    </row>
    <row r="3922" spans="92:92" x14ac:dyDescent="0.3">
      <c r="CN3922">
        <v>3921</v>
      </c>
    </row>
    <row r="3923" spans="92:92" x14ac:dyDescent="0.3">
      <c r="CN3923">
        <v>3922</v>
      </c>
    </row>
    <row r="3924" spans="92:92" x14ac:dyDescent="0.3">
      <c r="CN3924">
        <v>3923</v>
      </c>
    </row>
    <row r="3925" spans="92:92" x14ac:dyDescent="0.3">
      <c r="CN3925">
        <v>3924</v>
      </c>
    </row>
    <row r="3926" spans="92:92" x14ac:dyDescent="0.3">
      <c r="CN3926">
        <v>3925</v>
      </c>
    </row>
    <row r="3927" spans="92:92" x14ac:dyDescent="0.3">
      <c r="CN3927">
        <v>3926</v>
      </c>
    </row>
    <row r="3928" spans="92:92" x14ac:dyDescent="0.3">
      <c r="CN3928">
        <v>3927</v>
      </c>
    </row>
    <row r="3929" spans="92:92" x14ac:dyDescent="0.3">
      <c r="CN3929">
        <v>3928</v>
      </c>
    </row>
    <row r="3930" spans="92:92" x14ac:dyDescent="0.3">
      <c r="CN3930">
        <v>3929</v>
      </c>
    </row>
    <row r="3931" spans="92:92" x14ac:dyDescent="0.3">
      <c r="CN3931">
        <v>3930</v>
      </c>
    </row>
    <row r="3932" spans="92:92" x14ac:dyDescent="0.3">
      <c r="CN3932">
        <v>3931</v>
      </c>
    </row>
    <row r="3933" spans="92:92" x14ac:dyDescent="0.3">
      <c r="CN3933">
        <v>3932</v>
      </c>
    </row>
    <row r="3934" spans="92:92" x14ac:dyDescent="0.3">
      <c r="CN3934">
        <v>3933</v>
      </c>
    </row>
    <row r="3935" spans="92:92" x14ac:dyDescent="0.3">
      <c r="CN3935">
        <v>3934</v>
      </c>
    </row>
    <row r="3936" spans="92:92" x14ac:dyDescent="0.3">
      <c r="CN3936">
        <v>3935</v>
      </c>
    </row>
    <row r="3937" spans="92:92" x14ac:dyDescent="0.3">
      <c r="CN3937">
        <v>3936</v>
      </c>
    </row>
    <row r="3938" spans="92:92" x14ac:dyDescent="0.3">
      <c r="CN3938">
        <v>3937</v>
      </c>
    </row>
    <row r="3939" spans="92:92" x14ac:dyDescent="0.3">
      <c r="CN3939">
        <v>3938</v>
      </c>
    </row>
    <row r="3940" spans="92:92" x14ac:dyDescent="0.3">
      <c r="CN3940">
        <v>3939</v>
      </c>
    </row>
    <row r="3941" spans="92:92" x14ac:dyDescent="0.3">
      <c r="CN3941">
        <v>3940</v>
      </c>
    </row>
    <row r="3942" spans="92:92" x14ac:dyDescent="0.3">
      <c r="CN3942">
        <v>3941</v>
      </c>
    </row>
    <row r="3943" spans="92:92" x14ac:dyDescent="0.3">
      <c r="CN3943">
        <v>3942</v>
      </c>
    </row>
    <row r="3944" spans="92:92" x14ac:dyDescent="0.3">
      <c r="CN3944">
        <v>3943</v>
      </c>
    </row>
    <row r="3945" spans="92:92" x14ac:dyDescent="0.3">
      <c r="CN3945">
        <v>3944</v>
      </c>
    </row>
    <row r="3946" spans="92:92" x14ac:dyDescent="0.3">
      <c r="CN3946">
        <v>3945</v>
      </c>
    </row>
    <row r="3947" spans="92:92" x14ac:dyDescent="0.3">
      <c r="CN3947">
        <v>3946</v>
      </c>
    </row>
    <row r="3948" spans="92:92" x14ac:dyDescent="0.3">
      <c r="CN3948">
        <v>3947</v>
      </c>
    </row>
    <row r="3949" spans="92:92" x14ac:dyDescent="0.3">
      <c r="CN3949">
        <v>3948</v>
      </c>
    </row>
    <row r="3950" spans="92:92" x14ac:dyDescent="0.3">
      <c r="CN3950">
        <v>3949</v>
      </c>
    </row>
    <row r="3951" spans="92:92" x14ac:dyDescent="0.3">
      <c r="CN3951">
        <v>3950</v>
      </c>
    </row>
    <row r="3952" spans="92:92" x14ac:dyDescent="0.3">
      <c r="CN3952">
        <v>3951</v>
      </c>
    </row>
    <row r="3953" spans="92:92" x14ac:dyDescent="0.3">
      <c r="CN3953">
        <v>3952</v>
      </c>
    </row>
    <row r="3954" spans="92:92" x14ac:dyDescent="0.3">
      <c r="CN3954">
        <v>3953</v>
      </c>
    </row>
    <row r="3955" spans="92:92" x14ac:dyDescent="0.3">
      <c r="CN3955">
        <v>3954</v>
      </c>
    </row>
    <row r="3956" spans="92:92" x14ac:dyDescent="0.3">
      <c r="CN3956">
        <v>3955</v>
      </c>
    </row>
    <row r="3957" spans="92:92" x14ac:dyDescent="0.3">
      <c r="CN3957">
        <v>3956</v>
      </c>
    </row>
    <row r="3958" spans="92:92" x14ac:dyDescent="0.3">
      <c r="CN3958">
        <v>3957</v>
      </c>
    </row>
    <row r="3959" spans="92:92" x14ac:dyDescent="0.3">
      <c r="CN3959">
        <v>3958</v>
      </c>
    </row>
    <row r="3960" spans="92:92" x14ac:dyDescent="0.3">
      <c r="CN3960">
        <v>3959</v>
      </c>
    </row>
    <row r="3961" spans="92:92" x14ac:dyDescent="0.3">
      <c r="CN3961">
        <v>3960</v>
      </c>
    </row>
    <row r="3962" spans="92:92" x14ac:dyDescent="0.3">
      <c r="CN3962">
        <v>3961</v>
      </c>
    </row>
    <row r="3963" spans="92:92" x14ac:dyDescent="0.3">
      <c r="CN3963">
        <v>3962</v>
      </c>
    </row>
    <row r="3964" spans="92:92" x14ac:dyDescent="0.3">
      <c r="CN3964">
        <v>3963</v>
      </c>
    </row>
    <row r="3965" spans="92:92" x14ac:dyDescent="0.3">
      <c r="CN3965">
        <v>3964</v>
      </c>
    </row>
    <row r="3966" spans="92:92" x14ac:dyDescent="0.3">
      <c r="CN3966">
        <v>3965</v>
      </c>
    </row>
    <row r="3967" spans="92:92" x14ac:dyDescent="0.3">
      <c r="CN3967">
        <v>3966</v>
      </c>
    </row>
    <row r="3968" spans="92:92" x14ac:dyDescent="0.3">
      <c r="CN3968">
        <v>3967</v>
      </c>
    </row>
    <row r="3969" spans="92:92" x14ac:dyDescent="0.3">
      <c r="CN3969">
        <v>3968</v>
      </c>
    </row>
    <row r="3970" spans="92:92" x14ac:dyDescent="0.3">
      <c r="CN3970">
        <v>3969</v>
      </c>
    </row>
    <row r="3971" spans="92:92" x14ac:dyDescent="0.3">
      <c r="CN3971">
        <v>3970</v>
      </c>
    </row>
    <row r="3972" spans="92:92" x14ac:dyDescent="0.3">
      <c r="CN3972">
        <v>3971</v>
      </c>
    </row>
    <row r="3973" spans="92:92" x14ac:dyDescent="0.3">
      <c r="CN3973">
        <v>3972</v>
      </c>
    </row>
    <row r="3974" spans="92:92" x14ac:dyDescent="0.3">
      <c r="CN3974">
        <v>3973</v>
      </c>
    </row>
    <row r="3975" spans="92:92" x14ac:dyDescent="0.3">
      <c r="CN3975">
        <v>3974</v>
      </c>
    </row>
    <row r="3976" spans="92:92" x14ac:dyDescent="0.3">
      <c r="CN3976">
        <v>3975</v>
      </c>
    </row>
    <row r="3977" spans="92:92" x14ac:dyDescent="0.3">
      <c r="CN3977">
        <v>3976</v>
      </c>
    </row>
    <row r="3978" spans="92:92" x14ac:dyDescent="0.3">
      <c r="CN3978">
        <v>3977</v>
      </c>
    </row>
    <row r="3979" spans="92:92" x14ac:dyDescent="0.3">
      <c r="CN3979">
        <v>3978</v>
      </c>
    </row>
    <row r="3980" spans="92:92" x14ac:dyDescent="0.3">
      <c r="CN3980">
        <v>3979</v>
      </c>
    </row>
    <row r="3981" spans="92:92" x14ac:dyDescent="0.3">
      <c r="CN3981">
        <v>3980</v>
      </c>
    </row>
    <row r="3982" spans="92:92" x14ac:dyDescent="0.3">
      <c r="CN3982">
        <v>3981</v>
      </c>
    </row>
    <row r="3983" spans="92:92" x14ac:dyDescent="0.3">
      <c r="CN3983">
        <v>3982</v>
      </c>
    </row>
    <row r="3984" spans="92:92" x14ac:dyDescent="0.3">
      <c r="CN3984">
        <v>3983</v>
      </c>
    </row>
    <row r="3985" spans="92:92" x14ac:dyDescent="0.3">
      <c r="CN3985">
        <v>3984</v>
      </c>
    </row>
    <row r="3986" spans="92:92" x14ac:dyDescent="0.3">
      <c r="CN3986">
        <v>3985</v>
      </c>
    </row>
    <row r="3987" spans="92:92" x14ac:dyDescent="0.3">
      <c r="CN3987">
        <v>3986</v>
      </c>
    </row>
    <row r="3988" spans="92:92" x14ac:dyDescent="0.3">
      <c r="CN3988">
        <v>3987</v>
      </c>
    </row>
    <row r="3989" spans="92:92" x14ac:dyDescent="0.3">
      <c r="CN3989">
        <v>3988</v>
      </c>
    </row>
    <row r="3990" spans="92:92" x14ac:dyDescent="0.3">
      <c r="CN3990">
        <v>3989</v>
      </c>
    </row>
    <row r="3991" spans="92:92" x14ac:dyDescent="0.3">
      <c r="CN3991">
        <v>3990</v>
      </c>
    </row>
    <row r="3992" spans="92:92" x14ac:dyDescent="0.3">
      <c r="CN3992">
        <v>3991</v>
      </c>
    </row>
    <row r="3993" spans="92:92" x14ac:dyDescent="0.3">
      <c r="CN3993">
        <v>3992</v>
      </c>
    </row>
    <row r="3994" spans="92:92" x14ac:dyDescent="0.3">
      <c r="CN3994">
        <v>3993</v>
      </c>
    </row>
    <row r="3995" spans="92:92" x14ac:dyDescent="0.3">
      <c r="CN3995">
        <v>3994</v>
      </c>
    </row>
    <row r="3996" spans="92:92" x14ac:dyDescent="0.3">
      <c r="CN3996">
        <v>3995</v>
      </c>
    </row>
    <row r="3997" spans="92:92" x14ac:dyDescent="0.3">
      <c r="CN3997">
        <v>3996</v>
      </c>
    </row>
    <row r="3998" spans="92:92" x14ac:dyDescent="0.3">
      <c r="CN3998">
        <v>3997</v>
      </c>
    </row>
    <row r="3999" spans="92:92" x14ac:dyDescent="0.3">
      <c r="CN3999">
        <v>3998</v>
      </c>
    </row>
    <row r="4000" spans="92:92" x14ac:dyDescent="0.3">
      <c r="CN4000">
        <v>3999</v>
      </c>
    </row>
    <row r="4001" spans="92:92" x14ac:dyDescent="0.3">
      <c r="CN4001">
        <v>4000</v>
      </c>
    </row>
    <row r="4002" spans="92:92" x14ac:dyDescent="0.3">
      <c r="CN4002">
        <v>4001</v>
      </c>
    </row>
    <row r="4003" spans="92:92" x14ac:dyDescent="0.3">
      <c r="CN4003">
        <v>4002</v>
      </c>
    </row>
    <row r="4004" spans="92:92" x14ac:dyDescent="0.3">
      <c r="CN4004">
        <v>4003</v>
      </c>
    </row>
    <row r="4005" spans="92:92" x14ac:dyDescent="0.3">
      <c r="CN4005">
        <v>4004</v>
      </c>
    </row>
    <row r="4006" spans="92:92" x14ac:dyDescent="0.3">
      <c r="CN4006">
        <v>4005</v>
      </c>
    </row>
    <row r="4007" spans="92:92" x14ac:dyDescent="0.3">
      <c r="CN4007">
        <v>4006</v>
      </c>
    </row>
    <row r="4008" spans="92:92" x14ac:dyDescent="0.3">
      <c r="CN4008">
        <v>4007</v>
      </c>
    </row>
    <row r="4009" spans="92:92" x14ac:dyDescent="0.3">
      <c r="CN4009">
        <v>4008</v>
      </c>
    </row>
    <row r="4010" spans="92:92" x14ac:dyDescent="0.3">
      <c r="CN4010">
        <v>4009</v>
      </c>
    </row>
    <row r="4011" spans="92:92" x14ac:dyDescent="0.3">
      <c r="CN4011">
        <v>4010</v>
      </c>
    </row>
    <row r="4012" spans="92:92" x14ac:dyDescent="0.3">
      <c r="CN4012">
        <v>4011</v>
      </c>
    </row>
    <row r="4013" spans="92:92" x14ac:dyDescent="0.3">
      <c r="CN4013">
        <v>4012</v>
      </c>
    </row>
    <row r="4014" spans="92:92" x14ac:dyDescent="0.3">
      <c r="CN4014">
        <v>4013</v>
      </c>
    </row>
    <row r="4015" spans="92:92" x14ac:dyDescent="0.3">
      <c r="CN4015">
        <v>4014</v>
      </c>
    </row>
    <row r="4016" spans="92:92" x14ac:dyDescent="0.3">
      <c r="CN4016">
        <v>4015</v>
      </c>
    </row>
    <row r="4017" spans="92:92" x14ac:dyDescent="0.3">
      <c r="CN4017">
        <v>4016</v>
      </c>
    </row>
    <row r="4018" spans="92:92" x14ac:dyDescent="0.3">
      <c r="CN4018">
        <v>4017</v>
      </c>
    </row>
    <row r="4019" spans="92:92" x14ac:dyDescent="0.3">
      <c r="CN4019">
        <v>4018</v>
      </c>
    </row>
    <row r="4020" spans="92:92" x14ac:dyDescent="0.3">
      <c r="CN4020">
        <v>4019</v>
      </c>
    </row>
    <row r="4021" spans="92:92" x14ac:dyDescent="0.3">
      <c r="CN4021">
        <v>4020</v>
      </c>
    </row>
    <row r="4022" spans="92:92" x14ac:dyDescent="0.3">
      <c r="CN4022">
        <v>4021</v>
      </c>
    </row>
    <row r="4023" spans="92:92" x14ac:dyDescent="0.3">
      <c r="CN4023">
        <v>4022</v>
      </c>
    </row>
    <row r="4024" spans="92:92" x14ac:dyDescent="0.3">
      <c r="CN4024">
        <v>4023</v>
      </c>
    </row>
    <row r="4025" spans="92:92" x14ac:dyDescent="0.3">
      <c r="CN4025">
        <v>4024</v>
      </c>
    </row>
    <row r="4026" spans="92:92" x14ac:dyDescent="0.3">
      <c r="CN4026">
        <v>4025</v>
      </c>
    </row>
    <row r="4027" spans="92:92" x14ac:dyDescent="0.3">
      <c r="CN4027">
        <v>4026</v>
      </c>
    </row>
    <row r="4028" spans="92:92" x14ac:dyDescent="0.3">
      <c r="CN4028">
        <v>4027</v>
      </c>
    </row>
    <row r="4029" spans="92:92" x14ac:dyDescent="0.3">
      <c r="CN4029">
        <v>4028</v>
      </c>
    </row>
    <row r="4030" spans="92:92" x14ac:dyDescent="0.3">
      <c r="CN4030">
        <v>4029</v>
      </c>
    </row>
    <row r="4031" spans="92:92" x14ac:dyDescent="0.3">
      <c r="CN4031">
        <v>4030</v>
      </c>
    </row>
    <row r="4032" spans="92:92" x14ac:dyDescent="0.3">
      <c r="CN4032">
        <v>4031</v>
      </c>
    </row>
    <row r="4033" spans="92:92" x14ac:dyDescent="0.3">
      <c r="CN4033">
        <v>4032</v>
      </c>
    </row>
    <row r="4034" spans="92:92" x14ac:dyDescent="0.3">
      <c r="CN4034">
        <v>4033</v>
      </c>
    </row>
    <row r="4035" spans="92:92" x14ac:dyDescent="0.3">
      <c r="CN4035">
        <v>4034</v>
      </c>
    </row>
    <row r="4036" spans="92:92" x14ac:dyDescent="0.3">
      <c r="CN4036">
        <v>4035</v>
      </c>
    </row>
    <row r="4037" spans="92:92" x14ac:dyDescent="0.3">
      <c r="CN4037">
        <v>4036</v>
      </c>
    </row>
    <row r="4038" spans="92:92" x14ac:dyDescent="0.3">
      <c r="CN4038">
        <v>4037</v>
      </c>
    </row>
    <row r="4039" spans="92:92" x14ac:dyDescent="0.3">
      <c r="CN4039">
        <v>4038</v>
      </c>
    </row>
    <row r="4040" spans="92:92" x14ac:dyDescent="0.3">
      <c r="CN4040">
        <v>4039</v>
      </c>
    </row>
    <row r="4041" spans="92:92" x14ac:dyDescent="0.3">
      <c r="CN4041">
        <v>4040</v>
      </c>
    </row>
    <row r="4042" spans="92:92" x14ac:dyDescent="0.3">
      <c r="CN4042">
        <v>4041</v>
      </c>
    </row>
    <row r="4043" spans="92:92" x14ac:dyDescent="0.3">
      <c r="CN4043">
        <v>4042</v>
      </c>
    </row>
    <row r="4044" spans="92:92" x14ac:dyDescent="0.3">
      <c r="CN4044">
        <v>4043</v>
      </c>
    </row>
    <row r="4045" spans="92:92" x14ac:dyDescent="0.3">
      <c r="CN4045">
        <v>4044</v>
      </c>
    </row>
    <row r="4046" spans="92:92" x14ac:dyDescent="0.3">
      <c r="CN4046">
        <v>4045</v>
      </c>
    </row>
    <row r="4047" spans="92:92" x14ac:dyDescent="0.3">
      <c r="CN4047">
        <v>4046</v>
      </c>
    </row>
    <row r="4048" spans="92:92" x14ac:dyDescent="0.3">
      <c r="CN4048">
        <v>4047</v>
      </c>
    </row>
    <row r="4049" spans="92:92" x14ac:dyDescent="0.3">
      <c r="CN4049">
        <v>4048</v>
      </c>
    </row>
    <row r="4050" spans="92:92" x14ac:dyDescent="0.3">
      <c r="CN4050">
        <v>4049</v>
      </c>
    </row>
    <row r="4051" spans="92:92" x14ac:dyDescent="0.3">
      <c r="CN4051">
        <v>4050</v>
      </c>
    </row>
    <row r="4052" spans="92:92" x14ac:dyDescent="0.3">
      <c r="CN4052">
        <v>4051</v>
      </c>
    </row>
    <row r="4053" spans="92:92" x14ac:dyDescent="0.3">
      <c r="CN4053">
        <v>4052</v>
      </c>
    </row>
    <row r="4054" spans="92:92" x14ac:dyDescent="0.3">
      <c r="CN4054">
        <v>4053</v>
      </c>
    </row>
    <row r="4055" spans="92:92" x14ac:dyDescent="0.3">
      <c r="CN4055">
        <v>4054</v>
      </c>
    </row>
    <row r="4056" spans="92:92" x14ac:dyDescent="0.3">
      <c r="CN4056">
        <v>4055</v>
      </c>
    </row>
    <row r="4057" spans="92:92" x14ac:dyDescent="0.3">
      <c r="CN4057">
        <v>4056</v>
      </c>
    </row>
    <row r="4058" spans="92:92" x14ac:dyDescent="0.3">
      <c r="CN4058">
        <v>4057</v>
      </c>
    </row>
    <row r="4059" spans="92:92" x14ac:dyDescent="0.3">
      <c r="CN4059">
        <v>4058</v>
      </c>
    </row>
    <row r="4060" spans="92:92" x14ac:dyDescent="0.3">
      <c r="CN4060">
        <v>4059</v>
      </c>
    </row>
    <row r="4061" spans="92:92" x14ac:dyDescent="0.3">
      <c r="CN4061">
        <v>4060</v>
      </c>
    </row>
    <row r="4062" spans="92:92" x14ac:dyDescent="0.3">
      <c r="CN4062">
        <v>4061</v>
      </c>
    </row>
    <row r="4063" spans="92:92" x14ac:dyDescent="0.3">
      <c r="CN4063">
        <v>4062</v>
      </c>
    </row>
    <row r="4064" spans="92:92" x14ac:dyDescent="0.3">
      <c r="CN4064">
        <v>4063</v>
      </c>
    </row>
    <row r="4065" spans="92:92" x14ac:dyDescent="0.3">
      <c r="CN4065">
        <v>4064</v>
      </c>
    </row>
    <row r="4066" spans="92:92" x14ac:dyDescent="0.3">
      <c r="CN4066">
        <v>4065</v>
      </c>
    </row>
    <row r="4067" spans="92:92" x14ac:dyDescent="0.3">
      <c r="CN4067">
        <v>4066</v>
      </c>
    </row>
    <row r="4068" spans="92:92" x14ac:dyDescent="0.3">
      <c r="CN4068">
        <v>4067</v>
      </c>
    </row>
    <row r="4069" spans="92:92" x14ac:dyDescent="0.3">
      <c r="CN4069">
        <v>4068</v>
      </c>
    </row>
    <row r="4070" spans="92:92" x14ac:dyDescent="0.3">
      <c r="CN4070">
        <v>4069</v>
      </c>
    </row>
    <row r="4071" spans="92:92" x14ac:dyDescent="0.3">
      <c r="CN4071">
        <v>4070</v>
      </c>
    </row>
    <row r="4072" spans="92:92" x14ac:dyDescent="0.3">
      <c r="CN4072">
        <v>4071</v>
      </c>
    </row>
    <row r="4073" spans="92:92" x14ac:dyDescent="0.3">
      <c r="CN4073">
        <v>4072</v>
      </c>
    </row>
    <row r="4074" spans="92:92" x14ac:dyDescent="0.3">
      <c r="CN4074">
        <v>4073</v>
      </c>
    </row>
    <row r="4075" spans="92:92" x14ac:dyDescent="0.3">
      <c r="CN4075">
        <v>4074</v>
      </c>
    </row>
    <row r="4076" spans="92:92" x14ac:dyDescent="0.3">
      <c r="CN4076">
        <v>4075</v>
      </c>
    </row>
    <row r="4077" spans="92:92" x14ac:dyDescent="0.3">
      <c r="CN4077">
        <v>4076</v>
      </c>
    </row>
    <row r="4078" spans="92:92" x14ac:dyDescent="0.3">
      <c r="CN4078">
        <v>4077</v>
      </c>
    </row>
    <row r="4079" spans="92:92" x14ac:dyDescent="0.3">
      <c r="CN4079">
        <v>4078</v>
      </c>
    </row>
    <row r="4080" spans="92:92" x14ac:dyDescent="0.3">
      <c r="CN4080">
        <v>4079</v>
      </c>
    </row>
    <row r="4081" spans="92:92" x14ac:dyDescent="0.3">
      <c r="CN4081">
        <v>4080</v>
      </c>
    </row>
    <row r="4082" spans="92:92" x14ac:dyDescent="0.3">
      <c r="CN4082">
        <v>4081</v>
      </c>
    </row>
    <row r="4083" spans="92:92" x14ac:dyDescent="0.3">
      <c r="CN4083">
        <v>4082</v>
      </c>
    </row>
    <row r="4084" spans="92:92" x14ac:dyDescent="0.3">
      <c r="CN4084">
        <v>4083</v>
      </c>
    </row>
    <row r="4085" spans="92:92" x14ac:dyDescent="0.3">
      <c r="CN4085">
        <v>4084</v>
      </c>
    </row>
    <row r="4086" spans="92:92" x14ac:dyDescent="0.3">
      <c r="CN4086">
        <v>4085</v>
      </c>
    </row>
    <row r="4087" spans="92:92" x14ac:dyDescent="0.3">
      <c r="CN4087">
        <v>4086</v>
      </c>
    </row>
    <row r="4088" spans="92:92" x14ac:dyDescent="0.3">
      <c r="CN4088">
        <v>4087</v>
      </c>
    </row>
    <row r="4089" spans="92:92" x14ac:dyDescent="0.3">
      <c r="CN4089">
        <v>4088</v>
      </c>
    </row>
    <row r="4090" spans="92:92" x14ac:dyDescent="0.3">
      <c r="CN4090">
        <v>4089</v>
      </c>
    </row>
    <row r="4091" spans="92:92" x14ac:dyDescent="0.3">
      <c r="CN4091">
        <v>4090</v>
      </c>
    </row>
    <row r="4092" spans="92:92" x14ac:dyDescent="0.3">
      <c r="CN4092">
        <v>4091</v>
      </c>
    </row>
    <row r="4093" spans="92:92" x14ac:dyDescent="0.3">
      <c r="CN4093">
        <v>4092</v>
      </c>
    </row>
    <row r="4094" spans="92:92" x14ac:dyDescent="0.3">
      <c r="CN4094">
        <v>4093</v>
      </c>
    </row>
    <row r="4095" spans="92:92" x14ac:dyDescent="0.3">
      <c r="CN4095">
        <v>4094</v>
      </c>
    </row>
    <row r="4096" spans="92:92" x14ac:dyDescent="0.3">
      <c r="CN4096">
        <v>4095</v>
      </c>
    </row>
    <row r="4097" spans="92:92" x14ac:dyDescent="0.3">
      <c r="CN4097">
        <v>4096</v>
      </c>
    </row>
    <row r="4098" spans="92:92" x14ac:dyDescent="0.3">
      <c r="CN4098">
        <v>4097</v>
      </c>
    </row>
    <row r="4099" spans="92:92" x14ac:dyDescent="0.3">
      <c r="CN4099">
        <v>4098</v>
      </c>
    </row>
    <row r="4100" spans="92:92" x14ac:dyDescent="0.3">
      <c r="CN4100">
        <v>4099</v>
      </c>
    </row>
    <row r="4101" spans="92:92" x14ac:dyDescent="0.3">
      <c r="CN4101">
        <v>4100</v>
      </c>
    </row>
    <row r="4102" spans="92:92" x14ac:dyDescent="0.3">
      <c r="CN4102">
        <v>4101</v>
      </c>
    </row>
    <row r="4103" spans="92:92" x14ac:dyDescent="0.3">
      <c r="CN4103">
        <v>4102</v>
      </c>
    </row>
    <row r="4104" spans="92:92" x14ac:dyDescent="0.3">
      <c r="CN4104">
        <v>4103</v>
      </c>
    </row>
    <row r="4105" spans="92:92" x14ac:dyDescent="0.3">
      <c r="CN4105">
        <v>4104</v>
      </c>
    </row>
    <row r="4106" spans="92:92" x14ac:dyDescent="0.3">
      <c r="CN4106">
        <v>4105</v>
      </c>
    </row>
    <row r="4107" spans="92:92" x14ac:dyDescent="0.3">
      <c r="CN4107">
        <v>4106</v>
      </c>
    </row>
    <row r="4108" spans="92:92" x14ac:dyDescent="0.3">
      <c r="CN4108">
        <v>4107</v>
      </c>
    </row>
    <row r="4109" spans="92:92" x14ac:dyDescent="0.3">
      <c r="CN4109">
        <v>4108</v>
      </c>
    </row>
    <row r="4110" spans="92:92" x14ac:dyDescent="0.3">
      <c r="CN4110">
        <v>4109</v>
      </c>
    </row>
    <row r="4111" spans="92:92" x14ac:dyDescent="0.3">
      <c r="CN4111">
        <v>4110</v>
      </c>
    </row>
    <row r="4112" spans="92:92" x14ac:dyDescent="0.3">
      <c r="CN4112">
        <v>4111</v>
      </c>
    </row>
    <row r="4113" spans="92:92" x14ac:dyDescent="0.3">
      <c r="CN4113">
        <v>4112</v>
      </c>
    </row>
    <row r="4114" spans="92:92" x14ac:dyDescent="0.3">
      <c r="CN4114">
        <v>4113</v>
      </c>
    </row>
    <row r="4115" spans="92:92" x14ac:dyDescent="0.3">
      <c r="CN4115">
        <v>4114</v>
      </c>
    </row>
    <row r="4116" spans="92:92" x14ac:dyDescent="0.3">
      <c r="CN4116">
        <v>4115</v>
      </c>
    </row>
    <row r="4117" spans="92:92" x14ac:dyDescent="0.3">
      <c r="CN4117">
        <v>4116</v>
      </c>
    </row>
    <row r="4118" spans="92:92" x14ac:dyDescent="0.3">
      <c r="CN4118">
        <v>4117</v>
      </c>
    </row>
    <row r="4119" spans="92:92" x14ac:dyDescent="0.3">
      <c r="CN4119">
        <v>4118</v>
      </c>
    </row>
    <row r="4120" spans="92:92" x14ac:dyDescent="0.3">
      <c r="CN4120">
        <v>4119</v>
      </c>
    </row>
    <row r="4121" spans="92:92" x14ac:dyDescent="0.3">
      <c r="CN4121">
        <v>4120</v>
      </c>
    </row>
    <row r="4122" spans="92:92" x14ac:dyDescent="0.3">
      <c r="CN4122">
        <v>4121</v>
      </c>
    </row>
    <row r="4123" spans="92:92" x14ac:dyDescent="0.3">
      <c r="CN4123">
        <v>4122</v>
      </c>
    </row>
    <row r="4124" spans="92:92" x14ac:dyDescent="0.3">
      <c r="CN4124">
        <v>4123</v>
      </c>
    </row>
    <row r="4125" spans="92:92" x14ac:dyDescent="0.3">
      <c r="CN4125">
        <v>4124</v>
      </c>
    </row>
    <row r="4126" spans="92:92" x14ac:dyDescent="0.3">
      <c r="CN4126">
        <v>4125</v>
      </c>
    </row>
    <row r="4127" spans="92:92" x14ac:dyDescent="0.3">
      <c r="CN4127">
        <v>4126</v>
      </c>
    </row>
    <row r="4128" spans="92:92" x14ac:dyDescent="0.3">
      <c r="CN4128">
        <v>4127</v>
      </c>
    </row>
    <row r="4129" spans="92:92" x14ac:dyDescent="0.3">
      <c r="CN4129">
        <v>4128</v>
      </c>
    </row>
    <row r="4130" spans="92:92" x14ac:dyDescent="0.3">
      <c r="CN4130">
        <v>4129</v>
      </c>
    </row>
    <row r="4131" spans="92:92" x14ac:dyDescent="0.3">
      <c r="CN4131">
        <v>4130</v>
      </c>
    </row>
    <row r="4132" spans="92:92" x14ac:dyDescent="0.3">
      <c r="CN4132">
        <v>4131</v>
      </c>
    </row>
    <row r="4133" spans="92:92" x14ac:dyDescent="0.3">
      <c r="CN4133">
        <v>4132</v>
      </c>
    </row>
    <row r="4134" spans="92:92" x14ac:dyDescent="0.3">
      <c r="CN4134">
        <v>4133</v>
      </c>
    </row>
    <row r="4135" spans="92:92" x14ac:dyDescent="0.3">
      <c r="CN4135">
        <v>4134</v>
      </c>
    </row>
    <row r="4136" spans="92:92" x14ac:dyDescent="0.3">
      <c r="CN4136">
        <v>4135</v>
      </c>
    </row>
    <row r="4137" spans="92:92" x14ac:dyDescent="0.3">
      <c r="CN4137">
        <v>4136</v>
      </c>
    </row>
    <row r="4138" spans="92:92" x14ac:dyDescent="0.3">
      <c r="CN4138">
        <v>4137</v>
      </c>
    </row>
    <row r="4139" spans="92:92" x14ac:dyDescent="0.3">
      <c r="CN4139">
        <v>4138</v>
      </c>
    </row>
    <row r="4140" spans="92:92" x14ac:dyDescent="0.3">
      <c r="CN4140">
        <v>4139</v>
      </c>
    </row>
    <row r="4141" spans="92:92" x14ac:dyDescent="0.3">
      <c r="CN4141">
        <v>4140</v>
      </c>
    </row>
    <row r="4142" spans="92:92" x14ac:dyDescent="0.3">
      <c r="CN4142">
        <v>4141</v>
      </c>
    </row>
    <row r="4143" spans="92:92" x14ac:dyDescent="0.3">
      <c r="CN4143">
        <v>4142</v>
      </c>
    </row>
    <row r="4144" spans="92:92" x14ac:dyDescent="0.3">
      <c r="CN4144">
        <v>4143</v>
      </c>
    </row>
    <row r="4145" spans="92:92" x14ac:dyDescent="0.3">
      <c r="CN4145">
        <v>4144</v>
      </c>
    </row>
    <row r="4146" spans="92:92" x14ac:dyDescent="0.3">
      <c r="CN4146">
        <v>4145</v>
      </c>
    </row>
    <row r="4147" spans="92:92" x14ac:dyDescent="0.3">
      <c r="CN4147">
        <v>4146</v>
      </c>
    </row>
    <row r="4148" spans="92:92" x14ac:dyDescent="0.3">
      <c r="CN4148">
        <v>4147</v>
      </c>
    </row>
    <row r="4149" spans="92:92" x14ac:dyDescent="0.3">
      <c r="CN4149">
        <v>4148</v>
      </c>
    </row>
    <row r="4150" spans="92:92" x14ac:dyDescent="0.3">
      <c r="CN4150">
        <v>4149</v>
      </c>
    </row>
    <row r="4151" spans="92:92" x14ac:dyDescent="0.3">
      <c r="CN4151">
        <v>4150</v>
      </c>
    </row>
    <row r="4152" spans="92:92" x14ac:dyDescent="0.3">
      <c r="CN4152">
        <v>4151</v>
      </c>
    </row>
    <row r="4153" spans="92:92" x14ac:dyDescent="0.3">
      <c r="CN4153">
        <v>4152</v>
      </c>
    </row>
    <row r="4154" spans="92:92" x14ac:dyDescent="0.3">
      <c r="CN4154">
        <v>4153</v>
      </c>
    </row>
    <row r="4155" spans="92:92" x14ac:dyDescent="0.3">
      <c r="CN4155">
        <v>4154</v>
      </c>
    </row>
    <row r="4156" spans="92:92" x14ac:dyDescent="0.3">
      <c r="CN4156">
        <v>4155</v>
      </c>
    </row>
    <row r="4157" spans="92:92" x14ac:dyDescent="0.3">
      <c r="CN4157">
        <v>4156</v>
      </c>
    </row>
    <row r="4158" spans="92:92" x14ac:dyDescent="0.3">
      <c r="CN4158">
        <v>4157</v>
      </c>
    </row>
    <row r="4159" spans="92:92" x14ac:dyDescent="0.3">
      <c r="CN4159">
        <v>4158</v>
      </c>
    </row>
    <row r="4160" spans="92:92" x14ac:dyDescent="0.3">
      <c r="CN4160">
        <v>4159</v>
      </c>
    </row>
    <row r="4161" spans="92:92" x14ac:dyDescent="0.3">
      <c r="CN4161">
        <v>4160</v>
      </c>
    </row>
    <row r="4162" spans="92:92" x14ac:dyDescent="0.3">
      <c r="CN4162">
        <v>4161</v>
      </c>
    </row>
    <row r="4163" spans="92:92" x14ac:dyDescent="0.3">
      <c r="CN4163">
        <v>4162</v>
      </c>
    </row>
    <row r="4164" spans="92:92" x14ac:dyDescent="0.3">
      <c r="CN4164">
        <v>4163</v>
      </c>
    </row>
    <row r="4165" spans="92:92" x14ac:dyDescent="0.3">
      <c r="CN4165">
        <v>4164</v>
      </c>
    </row>
    <row r="4166" spans="92:92" x14ac:dyDescent="0.3">
      <c r="CN4166">
        <v>4165</v>
      </c>
    </row>
    <row r="4167" spans="92:92" x14ac:dyDescent="0.3">
      <c r="CN4167">
        <v>4166</v>
      </c>
    </row>
    <row r="4168" spans="92:92" x14ac:dyDescent="0.3">
      <c r="CN4168">
        <v>4167</v>
      </c>
    </row>
    <row r="4169" spans="92:92" x14ac:dyDescent="0.3">
      <c r="CN4169">
        <v>4168</v>
      </c>
    </row>
    <row r="4170" spans="92:92" x14ac:dyDescent="0.3">
      <c r="CN4170">
        <v>4169</v>
      </c>
    </row>
    <row r="4171" spans="92:92" x14ac:dyDescent="0.3">
      <c r="CN4171">
        <v>4170</v>
      </c>
    </row>
    <row r="4172" spans="92:92" x14ac:dyDescent="0.3">
      <c r="CN4172">
        <v>4171</v>
      </c>
    </row>
    <row r="4173" spans="92:92" x14ac:dyDescent="0.3">
      <c r="CN4173">
        <v>4172</v>
      </c>
    </row>
    <row r="4174" spans="92:92" x14ac:dyDescent="0.3">
      <c r="CN4174">
        <v>4173</v>
      </c>
    </row>
    <row r="4175" spans="92:92" x14ac:dyDescent="0.3">
      <c r="CN4175">
        <v>4174</v>
      </c>
    </row>
    <row r="4176" spans="92:92" x14ac:dyDescent="0.3">
      <c r="CN4176">
        <v>4175</v>
      </c>
    </row>
    <row r="4177" spans="92:92" x14ac:dyDescent="0.3">
      <c r="CN4177">
        <v>4176</v>
      </c>
    </row>
    <row r="4178" spans="92:92" x14ac:dyDescent="0.3">
      <c r="CN4178">
        <v>4177</v>
      </c>
    </row>
    <row r="4179" spans="92:92" x14ac:dyDescent="0.3">
      <c r="CN4179">
        <v>4178</v>
      </c>
    </row>
    <row r="4180" spans="92:92" x14ac:dyDescent="0.3">
      <c r="CN4180">
        <v>4179</v>
      </c>
    </row>
    <row r="4181" spans="92:92" x14ac:dyDescent="0.3">
      <c r="CN4181">
        <v>4180</v>
      </c>
    </row>
    <row r="4182" spans="92:92" x14ac:dyDescent="0.3">
      <c r="CN4182">
        <v>4181</v>
      </c>
    </row>
    <row r="4183" spans="92:92" x14ac:dyDescent="0.3">
      <c r="CN4183">
        <v>4182</v>
      </c>
    </row>
    <row r="4184" spans="92:92" x14ac:dyDescent="0.3">
      <c r="CN4184">
        <v>4183</v>
      </c>
    </row>
    <row r="4185" spans="92:92" x14ac:dyDescent="0.3">
      <c r="CN4185">
        <v>4184</v>
      </c>
    </row>
    <row r="4186" spans="92:92" x14ac:dyDescent="0.3">
      <c r="CN4186">
        <v>4185</v>
      </c>
    </row>
    <row r="4187" spans="92:92" x14ac:dyDescent="0.3">
      <c r="CN4187">
        <v>4186</v>
      </c>
    </row>
    <row r="4188" spans="92:92" x14ac:dyDescent="0.3">
      <c r="CN4188">
        <v>4187</v>
      </c>
    </row>
    <row r="4189" spans="92:92" x14ac:dyDescent="0.3">
      <c r="CN4189">
        <v>4188</v>
      </c>
    </row>
    <row r="4190" spans="92:92" x14ac:dyDescent="0.3">
      <c r="CN4190">
        <v>4189</v>
      </c>
    </row>
    <row r="4191" spans="92:92" x14ac:dyDescent="0.3">
      <c r="CN4191">
        <v>4190</v>
      </c>
    </row>
    <row r="4192" spans="92:92" x14ac:dyDescent="0.3">
      <c r="CN4192">
        <v>4191</v>
      </c>
    </row>
    <row r="4193" spans="92:92" x14ac:dyDescent="0.3">
      <c r="CN4193">
        <v>4192</v>
      </c>
    </row>
    <row r="4194" spans="92:92" x14ac:dyDescent="0.3">
      <c r="CN4194">
        <v>4193</v>
      </c>
    </row>
    <row r="4195" spans="92:92" x14ac:dyDescent="0.3">
      <c r="CN4195">
        <v>4194</v>
      </c>
    </row>
    <row r="4196" spans="92:92" x14ac:dyDescent="0.3">
      <c r="CN4196">
        <v>4195</v>
      </c>
    </row>
    <row r="4197" spans="92:92" x14ac:dyDescent="0.3">
      <c r="CN4197">
        <v>4196</v>
      </c>
    </row>
    <row r="4198" spans="92:92" x14ac:dyDescent="0.3">
      <c r="CN4198">
        <v>4197</v>
      </c>
    </row>
    <row r="4199" spans="92:92" x14ac:dyDescent="0.3">
      <c r="CN4199">
        <v>4198</v>
      </c>
    </row>
    <row r="4200" spans="92:92" x14ac:dyDescent="0.3">
      <c r="CN4200">
        <v>4199</v>
      </c>
    </row>
    <row r="4201" spans="92:92" x14ac:dyDescent="0.3">
      <c r="CN4201">
        <v>4200</v>
      </c>
    </row>
    <row r="4202" spans="92:92" x14ac:dyDescent="0.3">
      <c r="CN4202">
        <v>4201</v>
      </c>
    </row>
    <row r="4203" spans="92:92" x14ac:dyDescent="0.3">
      <c r="CN4203">
        <v>4202</v>
      </c>
    </row>
    <row r="4204" spans="92:92" x14ac:dyDescent="0.3">
      <c r="CN4204">
        <v>4203</v>
      </c>
    </row>
    <row r="4205" spans="92:92" x14ac:dyDescent="0.3">
      <c r="CN4205">
        <v>4204</v>
      </c>
    </row>
    <row r="4206" spans="92:92" x14ac:dyDescent="0.3">
      <c r="CN4206">
        <v>4205</v>
      </c>
    </row>
    <row r="4207" spans="92:92" x14ac:dyDescent="0.3">
      <c r="CN4207">
        <v>4206</v>
      </c>
    </row>
    <row r="4208" spans="92:92" x14ac:dyDescent="0.3">
      <c r="CN4208">
        <v>4207</v>
      </c>
    </row>
    <row r="4209" spans="92:92" x14ac:dyDescent="0.3">
      <c r="CN4209">
        <v>4208</v>
      </c>
    </row>
    <row r="4210" spans="92:92" x14ac:dyDescent="0.3">
      <c r="CN4210">
        <v>4209</v>
      </c>
    </row>
    <row r="4211" spans="92:92" x14ac:dyDescent="0.3">
      <c r="CN4211">
        <v>4210</v>
      </c>
    </row>
    <row r="4212" spans="92:92" x14ac:dyDescent="0.3">
      <c r="CN4212">
        <v>4211</v>
      </c>
    </row>
    <row r="4213" spans="92:92" x14ac:dyDescent="0.3">
      <c r="CN4213">
        <v>4212</v>
      </c>
    </row>
    <row r="4214" spans="92:92" x14ac:dyDescent="0.3">
      <c r="CN4214">
        <v>4213</v>
      </c>
    </row>
    <row r="4215" spans="92:92" x14ac:dyDescent="0.3">
      <c r="CN4215">
        <v>4214</v>
      </c>
    </row>
    <row r="4216" spans="92:92" x14ac:dyDescent="0.3">
      <c r="CN4216">
        <v>4215</v>
      </c>
    </row>
    <row r="4217" spans="92:92" x14ac:dyDescent="0.3">
      <c r="CN4217">
        <v>4216</v>
      </c>
    </row>
    <row r="4218" spans="92:92" x14ac:dyDescent="0.3">
      <c r="CN4218">
        <v>4217</v>
      </c>
    </row>
    <row r="4219" spans="92:92" x14ac:dyDescent="0.3">
      <c r="CN4219">
        <v>4218</v>
      </c>
    </row>
    <row r="4220" spans="92:92" x14ac:dyDescent="0.3">
      <c r="CN4220">
        <v>4219</v>
      </c>
    </row>
    <row r="4221" spans="92:92" x14ac:dyDescent="0.3">
      <c r="CN4221">
        <v>4220</v>
      </c>
    </row>
    <row r="4222" spans="92:92" x14ac:dyDescent="0.3">
      <c r="CN4222">
        <v>4221</v>
      </c>
    </row>
    <row r="4223" spans="92:92" x14ac:dyDescent="0.3">
      <c r="CN4223">
        <v>4222</v>
      </c>
    </row>
    <row r="4224" spans="92:92" x14ac:dyDescent="0.3">
      <c r="CN4224">
        <v>4223</v>
      </c>
    </row>
    <row r="4225" spans="92:92" x14ac:dyDescent="0.3">
      <c r="CN4225">
        <v>4224</v>
      </c>
    </row>
    <row r="4226" spans="92:92" x14ac:dyDescent="0.3">
      <c r="CN4226">
        <v>4225</v>
      </c>
    </row>
    <row r="4227" spans="92:92" x14ac:dyDescent="0.3">
      <c r="CN4227">
        <v>4226</v>
      </c>
    </row>
    <row r="4228" spans="92:92" x14ac:dyDescent="0.3">
      <c r="CN4228">
        <v>4227</v>
      </c>
    </row>
    <row r="4229" spans="92:92" x14ac:dyDescent="0.3">
      <c r="CN4229">
        <v>4228</v>
      </c>
    </row>
    <row r="4230" spans="92:92" x14ac:dyDescent="0.3">
      <c r="CN4230">
        <v>4229</v>
      </c>
    </row>
    <row r="4231" spans="92:92" x14ac:dyDescent="0.3">
      <c r="CN4231">
        <v>4230</v>
      </c>
    </row>
    <row r="4232" spans="92:92" x14ac:dyDescent="0.3">
      <c r="CN4232">
        <v>4231</v>
      </c>
    </row>
    <row r="4233" spans="92:92" x14ac:dyDescent="0.3">
      <c r="CN4233">
        <v>4232</v>
      </c>
    </row>
    <row r="4234" spans="92:92" x14ac:dyDescent="0.3">
      <c r="CN4234">
        <v>4233</v>
      </c>
    </row>
    <row r="4235" spans="92:92" x14ac:dyDescent="0.3">
      <c r="CN4235">
        <v>4234</v>
      </c>
    </row>
    <row r="4236" spans="92:92" x14ac:dyDescent="0.3">
      <c r="CN4236">
        <v>4235</v>
      </c>
    </row>
    <row r="4237" spans="92:92" x14ac:dyDescent="0.3">
      <c r="CN4237">
        <v>4236</v>
      </c>
    </row>
    <row r="4238" spans="92:92" x14ac:dyDescent="0.3">
      <c r="CN4238">
        <v>4237</v>
      </c>
    </row>
    <row r="4239" spans="92:92" x14ac:dyDescent="0.3">
      <c r="CN4239">
        <v>4238</v>
      </c>
    </row>
    <row r="4240" spans="92:92" x14ac:dyDescent="0.3">
      <c r="CN4240">
        <v>4239</v>
      </c>
    </row>
    <row r="4241" spans="92:92" x14ac:dyDescent="0.3">
      <c r="CN4241">
        <v>4240</v>
      </c>
    </row>
    <row r="4242" spans="92:92" x14ac:dyDescent="0.3">
      <c r="CN4242">
        <v>4241</v>
      </c>
    </row>
    <row r="4243" spans="92:92" x14ac:dyDescent="0.3">
      <c r="CN4243">
        <v>4242</v>
      </c>
    </row>
    <row r="4244" spans="92:92" x14ac:dyDescent="0.3">
      <c r="CN4244">
        <v>4243</v>
      </c>
    </row>
    <row r="4245" spans="92:92" x14ac:dyDescent="0.3">
      <c r="CN4245">
        <v>4244</v>
      </c>
    </row>
    <row r="4246" spans="92:92" x14ac:dyDescent="0.3">
      <c r="CN4246">
        <v>4245</v>
      </c>
    </row>
    <row r="4247" spans="92:92" x14ac:dyDescent="0.3">
      <c r="CN4247">
        <v>4246</v>
      </c>
    </row>
    <row r="4248" spans="92:92" x14ac:dyDescent="0.3">
      <c r="CN4248">
        <v>4247</v>
      </c>
    </row>
    <row r="4249" spans="92:92" x14ac:dyDescent="0.3">
      <c r="CN4249">
        <v>4248</v>
      </c>
    </row>
    <row r="4250" spans="92:92" x14ac:dyDescent="0.3">
      <c r="CN4250">
        <v>4249</v>
      </c>
    </row>
    <row r="4251" spans="92:92" x14ac:dyDescent="0.3">
      <c r="CN4251">
        <v>4250</v>
      </c>
    </row>
    <row r="4252" spans="92:92" x14ac:dyDescent="0.3">
      <c r="CN4252">
        <v>4251</v>
      </c>
    </row>
    <row r="4253" spans="92:92" x14ac:dyDescent="0.3">
      <c r="CN4253">
        <v>4252</v>
      </c>
    </row>
    <row r="4254" spans="92:92" x14ac:dyDescent="0.3">
      <c r="CN4254">
        <v>4253</v>
      </c>
    </row>
    <row r="4255" spans="92:92" x14ac:dyDescent="0.3">
      <c r="CN4255">
        <v>4254</v>
      </c>
    </row>
    <row r="4256" spans="92:92" x14ac:dyDescent="0.3">
      <c r="CN4256">
        <v>4255</v>
      </c>
    </row>
    <row r="4257" spans="92:92" x14ac:dyDescent="0.3">
      <c r="CN4257">
        <v>4256</v>
      </c>
    </row>
    <row r="4258" spans="92:92" x14ac:dyDescent="0.3">
      <c r="CN4258">
        <v>4257</v>
      </c>
    </row>
    <row r="4259" spans="92:92" x14ac:dyDescent="0.3">
      <c r="CN4259">
        <v>4258</v>
      </c>
    </row>
    <row r="4260" spans="92:92" x14ac:dyDescent="0.3">
      <c r="CN4260">
        <v>4259</v>
      </c>
    </row>
    <row r="4261" spans="92:92" x14ac:dyDescent="0.3">
      <c r="CN4261">
        <v>4260</v>
      </c>
    </row>
    <row r="4262" spans="92:92" x14ac:dyDescent="0.3">
      <c r="CN4262">
        <v>4261</v>
      </c>
    </row>
    <row r="4263" spans="92:92" x14ac:dyDescent="0.3">
      <c r="CN4263">
        <v>4262</v>
      </c>
    </row>
    <row r="4264" spans="92:92" x14ac:dyDescent="0.3">
      <c r="CN4264">
        <v>4263</v>
      </c>
    </row>
    <row r="4265" spans="92:92" x14ac:dyDescent="0.3">
      <c r="CN4265">
        <v>4264</v>
      </c>
    </row>
    <row r="4266" spans="92:92" x14ac:dyDescent="0.3">
      <c r="CN4266">
        <v>4265</v>
      </c>
    </row>
    <row r="4267" spans="92:92" x14ac:dyDescent="0.3">
      <c r="CN4267">
        <v>4266</v>
      </c>
    </row>
    <row r="4268" spans="92:92" x14ac:dyDescent="0.3">
      <c r="CN4268">
        <v>4267</v>
      </c>
    </row>
    <row r="4269" spans="92:92" x14ac:dyDescent="0.3">
      <c r="CN4269">
        <v>4268</v>
      </c>
    </row>
    <row r="4270" spans="92:92" x14ac:dyDescent="0.3">
      <c r="CN4270">
        <v>4269</v>
      </c>
    </row>
    <row r="4271" spans="92:92" x14ac:dyDescent="0.3">
      <c r="CN4271">
        <v>4270</v>
      </c>
    </row>
    <row r="4272" spans="92:92" x14ac:dyDescent="0.3">
      <c r="CN4272">
        <v>4271</v>
      </c>
    </row>
    <row r="4273" spans="92:92" x14ac:dyDescent="0.3">
      <c r="CN4273">
        <v>4272</v>
      </c>
    </row>
    <row r="4274" spans="92:92" x14ac:dyDescent="0.3">
      <c r="CN4274">
        <v>4273</v>
      </c>
    </row>
    <row r="4275" spans="92:92" x14ac:dyDescent="0.3">
      <c r="CN4275">
        <v>4274</v>
      </c>
    </row>
    <row r="4276" spans="92:92" x14ac:dyDescent="0.3">
      <c r="CN4276">
        <v>4275</v>
      </c>
    </row>
    <row r="4277" spans="92:92" x14ac:dyDescent="0.3">
      <c r="CN4277">
        <v>4276</v>
      </c>
    </row>
    <row r="4278" spans="92:92" x14ac:dyDescent="0.3">
      <c r="CN4278">
        <v>4277</v>
      </c>
    </row>
    <row r="4279" spans="92:92" x14ac:dyDescent="0.3">
      <c r="CN4279">
        <v>4278</v>
      </c>
    </row>
    <row r="4280" spans="92:92" x14ac:dyDescent="0.3">
      <c r="CN4280">
        <v>4279</v>
      </c>
    </row>
    <row r="4281" spans="92:92" x14ac:dyDescent="0.3">
      <c r="CN4281">
        <v>4280</v>
      </c>
    </row>
    <row r="4282" spans="92:92" x14ac:dyDescent="0.3">
      <c r="CN4282">
        <v>4281</v>
      </c>
    </row>
    <row r="4283" spans="92:92" x14ac:dyDescent="0.3">
      <c r="CN4283">
        <v>4282</v>
      </c>
    </row>
    <row r="4284" spans="92:92" x14ac:dyDescent="0.3">
      <c r="CN4284">
        <v>4283</v>
      </c>
    </row>
    <row r="4285" spans="92:92" x14ac:dyDescent="0.3">
      <c r="CN4285">
        <v>4284</v>
      </c>
    </row>
    <row r="4286" spans="92:92" x14ac:dyDescent="0.3">
      <c r="CN4286">
        <v>4285</v>
      </c>
    </row>
    <row r="4287" spans="92:92" x14ac:dyDescent="0.3">
      <c r="CN4287">
        <v>4286</v>
      </c>
    </row>
    <row r="4288" spans="92:92" x14ac:dyDescent="0.3">
      <c r="CN4288">
        <v>4287</v>
      </c>
    </row>
    <row r="4289" spans="92:92" x14ac:dyDescent="0.3">
      <c r="CN4289">
        <v>4288</v>
      </c>
    </row>
    <row r="4290" spans="92:92" x14ac:dyDescent="0.3">
      <c r="CN4290">
        <v>4289</v>
      </c>
    </row>
    <row r="4291" spans="92:92" x14ac:dyDescent="0.3">
      <c r="CN4291">
        <v>4290</v>
      </c>
    </row>
    <row r="4292" spans="92:92" x14ac:dyDescent="0.3">
      <c r="CN4292">
        <v>4291</v>
      </c>
    </row>
    <row r="4293" spans="92:92" x14ac:dyDescent="0.3">
      <c r="CN4293">
        <v>4292</v>
      </c>
    </row>
    <row r="4294" spans="92:92" x14ac:dyDescent="0.3">
      <c r="CN4294">
        <v>4293</v>
      </c>
    </row>
    <row r="4295" spans="92:92" x14ac:dyDescent="0.3">
      <c r="CN4295">
        <v>4294</v>
      </c>
    </row>
    <row r="4296" spans="92:92" x14ac:dyDescent="0.3">
      <c r="CN4296">
        <v>4295</v>
      </c>
    </row>
    <row r="4297" spans="92:92" x14ac:dyDescent="0.3">
      <c r="CN4297">
        <v>4296</v>
      </c>
    </row>
    <row r="4298" spans="92:92" x14ac:dyDescent="0.3">
      <c r="CN4298">
        <v>4297</v>
      </c>
    </row>
    <row r="4299" spans="92:92" x14ac:dyDescent="0.3">
      <c r="CN4299">
        <v>4298</v>
      </c>
    </row>
    <row r="4300" spans="92:92" x14ac:dyDescent="0.3">
      <c r="CN4300">
        <v>4299</v>
      </c>
    </row>
    <row r="4301" spans="92:92" x14ac:dyDescent="0.3">
      <c r="CN4301">
        <v>4300</v>
      </c>
    </row>
    <row r="4302" spans="92:92" x14ac:dyDescent="0.3">
      <c r="CN4302">
        <v>4301</v>
      </c>
    </row>
    <row r="4303" spans="92:92" x14ac:dyDescent="0.3">
      <c r="CN4303">
        <v>4302</v>
      </c>
    </row>
    <row r="4304" spans="92:92" x14ac:dyDescent="0.3">
      <c r="CN4304">
        <v>4303</v>
      </c>
    </row>
    <row r="4305" spans="92:92" x14ac:dyDescent="0.3">
      <c r="CN4305">
        <v>4304</v>
      </c>
    </row>
    <row r="4306" spans="92:92" x14ac:dyDescent="0.3">
      <c r="CN4306">
        <v>4305</v>
      </c>
    </row>
    <row r="4307" spans="92:92" x14ac:dyDescent="0.3">
      <c r="CN4307">
        <v>4306</v>
      </c>
    </row>
    <row r="4308" spans="92:92" x14ac:dyDescent="0.3">
      <c r="CN4308">
        <v>4307</v>
      </c>
    </row>
    <row r="4309" spans="92:92" x14ac:dyDescent="0.3">
      <c r="CN4309">
        <v>4308</v>
      </c>
    </row>
    <row r="4310" spans="92:92" x14ac:dyDescent="0.3">
      <c r="CN4310">
        <v>4309</v>
      </c>
    </row>
    <row r="4311" spans="92:92" x14ac:dyDescent="0.3">
      <c r="CN4311">
        <v>4310</v>
      </c>
    </row>
    <row r="4312" spans="92:92" x14ac:dyDescent="0.3">
      <c r="CN4312">
        <v>4311</v>
      </c>
    </row>
    <row r="4313" spans="92:92" x14ac:dyDescent="0.3">
      <c r="CN4313">
        <v>4312</v>
      </c>
    </row>
    <row r="4314" spans="92:92" x14ac:dyDescent="0.3">
      <c r="CN4314">
        <v>4313</v>
      </c>
    </row>
    <row r="4315" spans="92:92" x14ac:dyDescent="0.3">
      <c r="CN4315">
        <v>4314</v>
      </c>
    </row>
    <row r="4316" spans="92:92" x14ac:dyDescent="0.3">
      <c r="CN4316">
        <v>4315</v>
      </c>
    </row>
    <row r="4317" spans="92:92" x14ac:dyDescent="0.3">
      <c r="CN4317">
        <v>4316</v>
      </c>
    </row>
    <row r="4318" spans="92:92" x14ac:dyDescent="0.3">
      <c r="CN4318">
        <v>4317</v>
      </c>
    </row>
    <row r="4319" spans="92:92" x14ac:dyDescent="0.3">
      <c r="CN4319">
        <v>4318</v>
      </c>
    </row>
    <row r="4320" spans="92:92" x14ac:dyDescent="0.3">
      <c r="CN4320">
        <v>4319</v>
      </c>
    </row>
    <row r="4321" spans="92:92" x14ac:dyDescent="0.3">
      <c r="CN4321">
        <v>4320</v>
      </c>
    </row>
    <row r="4322" spans="92:92" x14ac:dyDescent="0.3">
      <c r="CN4322">
        <v>4321</v>
      </c>
    </row>
    <row r="4323" spans="92:92" x14ac:dyDescent="0.3">
      <c r="CN4323">
        <v>4322</v>
      </c>
    </row>
    <row r="4324" spans="92:92" x14ac:dyDescent="0.3">
      <c r="CN4324">
        <v>4323</v>
      </c>
    </row>
    <row r="4325" spans="92:92" x14ac:dyDescent="0.3">
      <c r="CN4325">
        <v>4324</v>
      </c>
    </row>
    <row r="4326" spans="92:92" x14ac:dyDescent="0.3">
      <c r="CN4326">
        <v>4325</v>
      </c>
    </row>
    <row r="4327" spans="92:92" x14ac:dyDescent="0.3">
      <c r="CN4327">
        <v>4326</v>
      </c>
    </row>
    <row r="4328" spans="92:92" x14ac:dyDescent="0.3">
      <c r="CN4328">
        <v>4327</v>
      </c>
    </row>
    <row r="4329" spans="92:92" x14ac:dyDescent="0.3">
      <c r="CN4329">
        <v>4328</v>
      </c>
    </row>
    <row r="4330" spans="92:92" x14ac:dyDescent="0.3">
      <c r="CN4330">
        <v>4329</v>
      </c>
    </row>
    <row r="4331" spans="92:92" x14ac:dyDescent="0.3">
      <c r="CN4331">
        <v>4330</v>
      </c>
    </row>
    <row r="4332" spans="92:92" x14ac:dyDescent="0.3">
      <c r="CN4332">
        <v>4331</v>
      </c>
    </row>
    <row r="4333" spans="92:92" x14ac:dyDescent="0.3">
      <c r="CN4333">
        <v>4332</v>
      </c>
    </row>
    <row r="4334" spans="92:92" x14ac:dyDescent="0.3">
      <c r="CN4334">
        <v>4333</v>
      </c>
    </row>
    <row r="4335" spans="92:92" x14ac:dyDescent="0.3">
      <c r="CN4335">
        <v>4334</v>
      </c>
    </row>
    <row r="4336" spans="92:92" x14ac:dyDescent="0.3">
      <c r="CN4336">
        <v>4335</v>
      </c>
    </row>
    <row r="4337" spans="92:92" x14ac:dyDescent="0.3">
      <c r="CN4337">
        <v>4336</v>
      </c>
    </row>
    <row r="4338" spans="92:92" x14ac:dyDescent="0.3">
      <c r="CN4338">
        <v>4337</v>
      </c>
    </row>
    <row r="4339" spans="92:92" x14ac:dyDescent="0.3">
      <c r="CN4339">
        <v>4338</v>
      </c>
    </row>
    <row r="4340" spans="92:92" x14ac:dyDescent="0.3">
      <c r="CN4340">
        <v>4339</v>
      </c>
    </row>
    <row r="4341" spans="92:92" x14ac:dyDescent="0.3">
      <c r="CN4341">
        <v>4340</v>
      </c>
    </row>
    <row r="4342" spans="92:92" x14ac:dyDescent="0.3">
      <c r="CN4342">
        <v>4341</v>
      </c>
    </row>
    <row r="4343" spans="92:92" x14ac:dyDescent="0.3">
      <c r="CN4343">
        <v>4342</v>
      </c>
    </row>
    <row r="4344" spans="92:92" x14ac:dyDescent="0.3">
      <c r="CN4344">
        <v>4343</v>
      </c>
    </row>
    <row r="4345" spans="92:92" x14ac:dyDescent="0.3">
      <c r="CN4345">
        <v>4344</v>
      </c>
    </row>
    <row r="4346" spans="92:92" x14ac:dyDescent="0.3">
      <c r="CN4346">
        <v>4345</v>
      </c>
    </row>
    <row r="4347" spans="92:92" x14ac:dyDescent="0.3">
      <c r="CN4347">
        <v>4346</v>
      </c>
    </row>
    <row r="4348" spans="92:92" x14ac:dyDescent="0.3">
      <c r="CN4348">
        <v>4347</v>
      </c>
    </row>
    <row r="4349" spans="92:92" x14ac:dyDescent="0.3">
      <c r="CN4349">
        <v>4348</v>
      </c>
    </row>
    <row r="4350" spans="92:92" x14ac:dyDescent="0.3">
      <c r="CN4350">
        <v>4349</v>
      </c>
    </row>
    <row r="4351" spans="92:92" x14ac:dyDescent="0.3">
      <c r="CN4351">
        <v>4350</v>
      </c>
    </row>
    <row r="4352" spans="92:92" x14ac:dyDescent="0.3">
      <c r="CN4352">
        <v>4351</v>
      </c>
    </row>
    <row r="4353" spans="92:92" x14ac:dyDescent="0.3">
      <c r="CN4353">
        <v>4352</v>
      </c>
    </row>
    <row r="4354" spans="92:92" x14ac:dyDescent="0.3">
      <c r="CN4354">
        <v>4353</v>
      </c>
    </row>
    <row r="4355" spans="92:92" x14ac:dyDescent="0.3">
      <c r="CN4355">
        <v>4354</v>
      </c>
    </row>
    <row r="4356" spans="92:92" x14ac:dyDescent="0.3">
      <c r="CN4356">
        <v>4355</v>
      </c>
    </row>
    <row r="4357" spans="92:92" x14ac:dyDescent="0.3">
      <c r="CN4357">
        <v>4356</v>
      </c>
    </row>
    <row r="4358" spans="92:92" x14ac:dyDescent="0.3">
      <c r="CN4358">
        <v>4357</v>
      </c>
    </row>
    <row r="4359" spans="92:92" x14ac:dyDescent="0.3">
      <c r="CN4359">
        <v>4358</v>
      </c>
    </row>
    <row r="4360" spans="92:92" x14ac:dyDescent="0.3">
      <c r="CN4360">
        <v>4359</v>
      </c>
    </row>
    <row r="4361" spans="92:92" x14ac:dyDescent="0.3">
      <c r="CN4361">
        <v>4360</v>
      </c>
    </row>
    <row r="4362" spans="92:92" x14ac:dyDescent="0.3">
      <c r="CN4362">
        <v>4361</v>
      </c>
    </row>
    <row r="4363" spans="92:92" x14ac:dyDescent="0.3">
      <c r="CN4363">
        <v>4362</v>
      </c>
    </row>
    <row r="4364" spans="92:92" x14ac:dyDescent="0.3">
      <c r="CN4364">
        <v>4363</v>
      </c>
    </row>
    <row r="4365" spans="92:92" x14ac:dyDescent="0.3">
      <c r="CN4365">
        <v>4364</v>
      </c>
    </row>
    <row r="4366" spans="92:92" x14ac:dyDescent="0.3">
      <c r="CN4366">
        <v>4365</v>
      </c>
    </row>
    <row r="4367" spans="92:92" x14ac:dyDescent="0.3">
      <c r="CN4367">
        <v>4366</v>
      </c>
    </row>
    <row r="4368" spans="92:92" x14ac:dyDescent="0.3">
      <c r="CN4368">
        <v>4367</v>
      </c>
    </row>
    <row r="4369" spans="92:92" x14ac:dyDescent="0.3">
      <c r="CN4369">
        <v>4368</v>
      </c>
    </row>
    <row r="4370" spans="92:92" x14ac:dyDescent="0.3">
      <c r="CN4370">
        <v>4369</v>
      </c>
    </row>
    <row r="4371" spans="92:92" x14ac:dyDescent="0.3">
      <c r="CN4371">
        <v>4370</v>
      </c>
    </row>
    <row r="4372" spans="92:92" x14ac:dyDescent="0.3">
      <c r="CN4372">
        <v>4371</v>
      </c>
    </row>
    <row r="4373" spans="92:92" x14ac:dyDescent="0.3">
      <c r="CN4373">
        <v>4372</v>
      </c>
    </row>
    <row r="4374" spans="92:92" x14ac:dyDescent="0.3">
      <c r="CN4374">
        <v>4373</v>
      </c>
    </row>
    <row r="4375" spans="92:92" x14ac:dyDescent="0.3">
      <c r="CN4375">
        <v>4374</v>
      </c>
    </row>
    <row r="4376" spans="92:92" x14ac:dyDescent="0.3">
      <c r="CN4376">
        <v>4375</v>
      </c>
    </row>
    <row r="4377" spans="92:92" x14ac:dyDescent="0.3">
      <c r="CN4377">
        <v>4376</v>
      </c>
    </row>
    <row r="4378" spans="92:92" x14ac:dyDescent="0.3">
      <c r="CN4378">
        <v>4377</v>
      </c>
    </row>
    <row r="4379" spans="92:92" x14ac:dyDescent="0.3">
      <c r="CN4379">
        <v>4378</v>
      </c>
    </row>
    <row r="4380" spans="92:92" x14ac:dyDescent="0.3">
      <c r="CN4380">
        <v>4379</v>
      </c>
    </row>
    <row r="4381" spans="92:92" x14ac:dyDescent="0.3">
      <c r="CN4381">
        <v>4380</v>
      </c>
    </row>
    <row r="4382" spans="92:92" x14ac:dyDescent="0.3">
      <c r="CN4382">
        <v>4381</v>
      </c>
    </row>
    <row r="4383" spans="92:92" x14ac:dyDescent="0.3">
      <c r="CN4383">
        <v>4382</v>
      </c>
    </row>
    <row r="4384" spans="92:92" x14ac:dyDescent="0.3">
      <c r="CN4384">
        <v>4383</v>
      </c>
    </row>
    <row r="4385" spans="92:92" x14ac:dyDescent="0.3">
      <c r="CN4385">
        <v>4384</v>
      </c>
    </row>
    <row r="4386" spans="92:92" x14ac:dyDescent="0.3">
      <c r="CN4386">
        <v>4385</v>
      </c>
    </row>
    <row r="4387" spans="92:92" x14ac:dyDescent="0.3">
      <c r="CN4387">
        <v>4386</v>
      </c>
    </row>
    <row r="4388" spans="92:92" x14ac:dyDescent="0.3">
      <c r="CN4388">
        <v>4387</v>
      </c>
    </row>
    <row r="4389" spans="92:92" x14ac:dyDescent="0.3">
      <c r="CN4389">
        <v>4388</v>
      </c>
    </row>
    <row r="4390" spans="92:92" x14ac:dyDescent="0.3">
      <c r="CN4390">
        <v>4389</v>
      </c>
    </row>
    <row r="4391" spans="92:92" x14ac:dyDescent="0.3">
      <c r="CN4391">
        <v>4390</v>
      </c>
    </row>
    <row r="4392" spans="92:92" x14ac:dyDescent="0.3">
      <c r="CN4392">
        <v>4391</v>
      </c>
    </row>
    <row r="4393" spans="92:92" x14ac:dyDescent="0.3">
      <c r="CN4393">
        <v>4392</v>
      </c>
    </row>
    <row r="4394" spans="92:92" x14ac:dyDescent="0.3">
      <c r="CN4394">
        <v>4393</v>
      </c>
    </row>
    <row r="4395" spans="92:92" x14ac:dyDescent="0.3">
      <c r="CN4395">
        <v>4394</v>
      </c>
    </row>
    <row r="4396" spans="92:92" x14ac:dyDescent="0.3">
      <c r="CN4396">
        <v>4395</v>
      </c>
    </row>
    <row r="4397" spans="92:92" x14ac:dyDescent="0.3">
      <c r="CN4397">
        <v>4396</v>
      </c>
    </row>
    <row r="4398" spans="92:92" x14ac:dyDescent="0.3">
      <c r="CN4398">
        <v>4397</v>
      </c>
    </row>
    <row r="4399" spans="92:92" x14ac:dyDescent="0.3">
      <c r="CN4399">
        <v>4398</v>
      </c>
    </row>
    <row r="4400" spans="92:92" x14ac:dyDescent="0.3">
      <c r="CN4400">
        <v>4399</v>
      </c>
    </row>
    <row r="4401" spans="92:92" x14ac:dyDescent="0.3">
      <c r="CN4401">
        <v>4400</v>
      </c>
    </row>
    <row r="4402" spans="92:92" x14ac:dyDescent="0.3">
      <c r="CN4402">
        <v>4401</v>
      </c>
    </row>
    <row r="4403" spans="92:92" x14ac:dyDescent="0.3">
      <c r="CN4403">
        <v>4402</v>
      </c>
    </row>
    <row r="4404" spans="92:92" x14ac:dyDescent="0.3">
      <c r="CN4404">
        <v>4403</v>
      </c>
    </row>
    <row r="4405" spans="92:92" x14ac:dyDescent="0.3">
      <c r="CN4405">
        <v>4404</v>
      </c>
    </row>
    <row r="4406" spans="92:92" x14ac:dyDescent="0.3">
      <c r="CN4406">
        <v>4405</v>
      </c>
    </row>
    <row r="4407" spans="92:92" x14ac:dyDescent="0.3">
      <c r="CN4407">
        <v>4406</v>
      </c>
    </row>
    <row r="4408" spans="92:92" x14ac:dyDescent="0.3">
      <c r="CN4408">
        <v>4407</v>
      </c>
    </row>
    <row r="4409" spans="92:92" x14ac:dyDescent="0.3">
      <c r="CN4409">
        <v>4408</v>
      </c>
    </row>
    <row r="4410" spans="92:92" x14ac:dyDescent="0.3">
      <c r="CN4410">
        <v>4409</v>
      </c>
    </row>
    <row r="4411" spans="92:92" x14ac:dyDescent="0.3">
      <c r="CN4411">
        <v>4410</v>
      </c>
    </row>
    <row r="4412" spans="92:92" x14ac:dyDescent="0.3">
      <c r="CN4412">
        <v>4411</v>
      </c>
    </row>
    <row r="4413" spans="92:92" x14ac:dyDescent="0.3">
      <c r="CN4413">
        <v>4412</v>
      </c>
    </row>
    <row r="4414" spans="92:92" x14ac:dyDescent="0.3">
      <c r="CN4414">
        <v>4413</v>
      </c>
    </row>
    <row r="4415" spans="92:92" x14ac:dyDescent="0.3">
      <c r="CN4415">
        <v>4414</v>
      </c>
    </row>
    <row r="4416" spans="92:92" x14ac:dyDescent="0.3">
      <c r="CN4416">
        <v>4415</v>
      </c>
    </row>
    <row r="4417" spans="92:92" x14ac:dyDescent="0.3">
      <c r="CN4417">
        <v>4416</v>
      </c>
    </row>
    <row r="4418" spans="92:92" x14ac:dyDescent="0.3">
      <c r="CN4418">
        <v>4417</v>
      </c>
    </row>
    <row r="4419" spans="92:92" x14ac:dyDescent="0.3">
      <c r="CN4419">
        <v>4418</v>
      </c>
    </row>
    <row r="4420" spans="92:92" x14ac:dyDescent="0.3">
      <c r="CN4420">
        <v>4419</v>
      </c>
    </row>
    <row r="4421" spans="92:92" x14ac:dyDescent="0.3">
      <c r="CN4421">
        <v>4420</v>
      </c>
    </row>
    <row r="4422" spans="92:92" x14ac:dyDescent="0.3">
      <c r="CN4422">
        <v>4421</v>
      </c>
    </row>
    <row r="4423" spans="92:92" x14ac:dyDescent="0.3">
      <c r="CN4423">
        <v>4422</v>
      </c>
    </row>
    <row r="4424" spans="92:92" x14ac:dyDescent="0.3">
      <c r="CN4424">
        <v>4423</v>
      </c>
    </row>
    <row r="4425" spans="92:92" x14ac:dyDescent="0.3">
      <c r="CN4425">
        <v>4424</v>
      </c>
    </row>
    <row r="4426" spans="92:92" x14ac:dyDescent="0.3">
      <c r="CN4426">
        <v>4425</v>
      </c>
    </row>
    <row r="4427" spans="92:92" x14ac:dyDescent="0.3">
      <c r="CN4427">
        <v>4426</v>
      </c>
    </row>
    <row r="4428" spans="92:92" x14ac:dyDescent="0.3">
      <c r="CN4428">
        <v>4427</v>
      </c>
    </row>
    <row r="4429" spans="92:92" x14ac:dyDescent="0.3">
      <c r="CN4429">
        <v>4428</v>
      </c>
    </row>
    <row r="4430" spans="92:92" x14ac:dyDescent="0.3">
      <c r="CN4430">
        <v>4429</v>
      </c>
    </row>
    <row r="4431" spans="92:92" x14ac:dyDescent="0.3">
      <c r="CN4431">
        <v>4430</v>
      </c>
    </row>
    <row r="4432" spans="92:92" x14ac:dyDescent="0.3">
      <c r="CN4432">
        <v>4431</v>
      </c>
    </row>
    <row r="4433" spans="92:92" x14ac:dyDescent="0.3">
      <c r="CN4433">
        <v>4432</v>
      </c>
    </row>
    <row r="4434" spans="92:92" x14ac:dyDescent="0.3">
      <c r="CN4434">
        <v>4433</v>
      </c>
    </row>
    <row r="4435" spans="92:92" x14ac:dyDescent="0.3">
      <c r="CN4435">
        <v>4434</v>
      </c>
    </row>
    <row r="4436" spans="92:92" x14ac:dyDescent="0.3">
      <c r="CN4436">
        <v>4435</v>
      </c>
    </row>
    <row r="4437" spans="92:92" x14ac:dyDescent="0.3">
      <c r="CN4437">
        <v>4436</v>
      </c>
    </row>
    <row r="4438" spans="92:92" x14ac:dyDescent="0.3">
      <c r="CN4438">
        <v>4437</v>
      </c>
    </row>
    <row r="4439" spans="92:92" x14ac:dyDescent="0.3">
      <c r="CN4439">
        <v>4438</v>
      </c>
    </row>
    <row r="4440" spans="92:92" x14ac:dyDescent="0.3">
      <c r="CN4440">
        <v>4439</v>
      </c>
    </row>
    <row r="4441" spans="92:92" x14ac:dyDescent="0.3">
      <c r="CN4441">
        <v>4440</v>
      </c>
    </row>
    <row r="4442" spans="92:92" x14ac:dyDescent="0.3">
      <c r="CN4442">
        <v>4441</v>
      </c>
    </row>
    <row r="4443" spans="92:92" x14ac:dyDescent="0.3">
      <c r="CN4443">
        <v>4442</v>
      </c>
    </row>
    <row r="4444" spans="92:92" x14ac:dyDescent="0.3">
      <c r="CN4444">
        <v>4443</v>
      </c>
    </row>
    <row r="4445" spans="92:92" x14ac:dyDescent="0.3">
      <c r="CN4445">
        <v>4444</v>
      </c>
    </row>
    <row r="4446" spans="92:92" x14ac:dyDescent="0.3">
      <c r="CN4446">
        <v>4445</v>
      </c>
    </row>
    <row r="4447" spans="92:92" x14ac:dyDescent="0.3">
      <c r="CN4447">
        <v>4446</v>
      </c>
    </row>
    <row r="4448" spans="92:92" x14ac:dyDescent="0.3">
      <c r="CN4448">
        <v>4447</v>
      </c>
    </row>
    <row r="4449" spans="92:92" x14ac:dyDescent="0.3">
      <c r="CN4449">
        <v>4448</v>
      </c>
    </row>
    <row r="4450" spans="92:92" x14ac:dyDescent="0.3">
      <c r="CN4450">
        <v>4449</v>
      </c>
    </row>
    <row r="4451" spans="92:92" x14ac:dyDescent="0.3">
      <c r="CN4451">
        <v>4450</v>
      </c>
    </row>
    <row r="4452" spans="92:92" x14ac:dyDescent="0.3">
      <c r="CN4452">
        <v>4451</v>
      </c>
    </row>
    <row r="4453" spans="92:92" x14ac:dyDescent="0.3">
      <c r="CN4453">
        <v>4452</v>
      </c>
    </row>
    <row r="4454" spans="92:92" x14ac:dyDescent="0.3">
      <c r="CN4454">
        <v>4453</v>
      </c>
    </row>
    <row r="4455" spans="92:92" x14ac:dyDescent="0.3">
      <c r="CN4455">
        <v>4454</v>
      </c>
    </row>
    <row r="4456" spans="92:92" x14ac:dyDescent="0.3">
      <c r="CN4456">
        <v>4455</v>
      </c>
    </row>
    <row r="4457" spans="92:92" x14ac:dyDescent="0.3">
      <c r="CN4457">
        <v>4456</v>
      </c>
    </row>
    <row r="4458" spans="92:92" x14ac:dyDescent="0.3">
      <c r="CN4458">
        <v>4457</v>
      </c>
    </row>
    <row r="4459" spans="92:92" x14ac:dyDescent="0.3">
      <c r="CN4459">
        <v>4458</v>
      </c>
    </row>
    <row r="4460" spans="92:92" x14ac:dyDescent="0.3">
      <c r="CN4460">
        <v>4459</v>
      </c>
    </row>
    <row r="4461" spans="92:92" x14ac:dyDescent="0.3">
      <c r="CN4461">
        <v>4460</v>
      </c>
    </row>
    <row r="4462" spans="92:92" x14ac:dyDescent="0.3">
      <c r="CN4462">
        <v>4461</v>
      </c>
    </row>
    <row r="4463" spans="92:92" x14ac:dyDescent="0.3">
      <c r="CN4463">
        <v>4462</v>
      </c>
    </row>
    <row r="4464" spans="92:92" x14ac:dyDescent="0.3">
      <c r="CN4464">
        <v>4463</v>
      </c>
    </row>
    <row r="4465" spans="92:92" x14ac:dyDescent="0.3">
      <c r="CN4465">
        <v>4464</v>
      </c>
    </row>
    <row r="4466" spans="92:92" x14ac:dyDescent="0.3">
      <c r="CN4466">
        <v>4465</v>
      </c>
    </row>
    <row r="4467" spans="92:92" x14ac:dyDescent="0.3">
      <c r="CN4467">
        <v>4466</v>
      </c>
    </row>
    <row r="4468" spans="92:92" x14ac:dyDescent="0.3">
      <c r="CN4468">
        <v>4467</v>
      </c>
    </row>
    <row r="4469" spans="92:92" x14ac:dyDescent="0.3">
      <c r="CN4469">
        <v>4468</v>
      </c>
    </row>
    <row r="4470" spans="92:92" x14ac:dyDescent="0.3">
      <c r="CN4470">
        <v>4469</v>
      </c>
    </row>
    <row r="4471" spans="92:92" x14ac:dyDescent="0.3">
      <c r="CN4471">
        <v>4470</v>
      </c>
    </row>
    <row r="4472" spans="92:92" x14ac:dyDescent="0.3">
      <c r="CN4472">
        <v>4471</v>
      </c>
    </row>
    <row r="4473" spans="92:92" x14ac:dyDescent="0.3">
      <c r="CN4473">
        <v>4472</v>
      </c>
    </row>
    <row r="4474" spans="92:92" x14ac:dyDescent="0.3">
      <c r="CN4474">
        <v>4473</v>
      </c>
    </row>
    <row r="4475" spans="92:92" x14ac:dyDescent="0.3">
      <c r="CN4475">
        <v>4474</v>
      </c>
    </row>
    <row r="4476" spans="92:92" x14ac:dyDescent="0.3">
      <c r="CN4476">
        <v>4475</v>
      </c>
    </row>
    <row r="4477" spans="92:92" x14ac:dyDescent="0.3">
      <c r="CN4477">
        <v>4476</v>
      </c>
    </row>
    <row r="4478" spans="92:92" x14ac:dyDescent="0.3">
      <c r="CN4478">
        <v>4477</v>
      </c>
    </row>
    <row r="4479" spans="92:92" x14ac:dyDescent="0.3">
      <c r="CN4479">
        <v>4478</v>
      </c>
    </row>
    <row r="4480" spans="92:92" x14ac:dyDescent="0.3">
      <c r="CN4480">
        <v>4479</v>
      </c>
    </row>
    <row r="4481" spans="92:92" x14ac:dyDescent="0.3">
      <c r="CN4481">
        <v>4480</v>
      </c>
    </row>
    <row r="4482" spans="92:92" x14ac:dyDescent="0.3">
      <c r="CN4482">
        <v>4481</v>
      </c>
    </row>
    <row r="4483" spans="92:92" x14ac:dyDescent="0.3">
      <c r="CN4483">
        <v>4482</v>
      </c>
    </row>
    <row r="4484" spans="92:92" x14ac:dyDescent="0.3">
      <c r="CN4484">
        <v>4483</v>
      </c>
    </row>
    <row r="4485" spans="92:92" x14ac:dyDescent="0.3">
      <c r="CN4485">
        <v>4484</v>
      </c>
    </row>
    <row r="4486" spans="92:92" x14ac:dyDescent="0.3">
      <c r="CN4486">
        <v>4485</v>
      </c>
    </row>
    <row r="4487" spans="92:92" x14ac:dyDescent="0.3">
      <c r="CN4487">
        <v>4486</v>
      </c>
    </row>
    <row r="4488" spans="92:92" x14ac:dyDescent="0.3">
      <c r="CN4488">
        <v>4487</v>
      </c>
    </row>
    <row r="4489" spans="92:92" x14ac:dyDescent="0.3">
      <c r="CN4489">
        <v>4488</v>
      </c>
    </row>
    <row r="4490" spans="92:92" x14ac:dyDescent="0.3">
      <c r="CN4490">
        <v>4489</v>
      </c>
    </row>
    <row r="4491" spans="92:92" x14ac:dyDescent="0.3">
      <c r="CN4491">
        <v>4490</v>
      </c>
    </row>
    <row r="4492" spans="92:92" x14ac:dyDescent="0.3">
      <c r="CN4492">
        <v>4491</v>
      </c>
    </row>
    <row r="4493" spans="92:92" x14ac:dyDescent="0.3">
      <c r="CN4493">
        <v>4492</v>
      </c>
    </row>
    <row r="4494" spans="92:92" x14ac:dyDescent="0.3">
      <c r="CN4494">
        <v>4493</v>
      </c>
    </row>
    <row r="4495" spans="92:92" x14ac:dyDescent="0.3">
      <c r="CN4495">
        <v>4494</v>
      </c>
    </row>
    <row r="4496" spans="92:92" x14ac:dyDescent="0.3">
      <c r="CN4496">
        <v>4495</v>
      </c>
    </row>
    <row r="4497" spans="92:92" x14ac:dyDescent="0.3">
      <c r="CN4497">
        <v>4496</v>
      </c>
    </row>
    <row r="4498" spans="92:92" x14ac:dyDescent="0.3">
      <c r="CN4498">
        <v>4497</v>
      </c>
    </row>
    <row r="4499" spans="92:92" x14ac:dyDescent="0.3">
      <c r="CN4499">
        <v>4498</v>
      </c>
    </row>
    <row r="4500" spans="92:92" x14ac:dyDescent="0.3">
      <c r="CN4500">
        <v>4499</v>
      </c>
    </row>
    <row r="4501" spans="92:92" x14ac:dyDescent="0.3">
      <c r="CN4501">
        <v>4500</v>
      </c>
    </row>
    <row r="4502" spans="92:92" x14ac:dyDescent="0.3">
      <c r="CN4502">
        <v>4501</v>
      </c>
    </row>
    <row r="4503" spans="92:92" x14ac:dyDescent="0.3">
      <c r="CN4503">
        <v>4502</v>
      </c>
    </row>
    <row r="4504" spans="92:92" x14ac:dyDescent="0.3">
      <c r="CN4504">
        <v>4503</v>
      </c>
    </row>
    <row r="4505" spans="92:92" x14ac:dyDescent="0.3">
      <c r="CN4505">
        <v>4504</v>
      </c>
    </row>
    <row r="4506" spans="92:92" x14ac:dyDescent="0.3">
      <c r="CN4506">
        <v>4505</v>
      </c>
    </row>
    <row r="4507" spans="92:92" x14ac:dyDescent="0.3">
      <c r="CN4507">
        <v>4506</v>
      </c>
    </row>
    <row r="4508" spans="92:92" x14ac:dyDescent="0.3">
      <c r="CN4508">
        <v>4507</v>
      </c>
    </row>
    <row r="4509" spans="92:92" x14ac:dyDescent="0.3">
      <c r="CN4509">
        <v>4508</v>
      </c>
    </row>
    <row r="4510" spans="92:92" x14ac:dyDescent="0.3">
      <c r="CN4510">
        <v>4509</v>
      </c>
    </row>
    <row r="4511" spans="92:92" x14ac:dyDescent="0.3">
      <c r="CN4511">
        <v>4510</v>
      </c>
    </row>
    <row r="4512" spans="92:92" x14ac:dyDescent="0.3">
      <c r="CN4512">
        <v>4511</v>
      </c>
    </row>
    <row r="4513" spans="92:92" x14ac:dyDescent="0.3">
      <c r="CN4513">
        <v>4512</v>
      </c>
    </row>
    <row r="4514" spans="92:92" x14ac:dyDescent="0.3">
      <c r="CN4514">
        <v>4513</v>
      </c>
    </row>
    <row r="4515" spans="92:92" x14ac:dyDescent="0.3">
      <c r="CN4515">
        <v>4514</v>
      </c>
    </row>
    <row r="4516" spans="92:92" x14ac:dyDescent="0.3">
      <c r="CN4516">
        <v>4515</v>
      </c>
    </row>
    <row r="4517" spans="92:92" x14ac:dyDescent="0.3">
      <c r="CN4517">
        <v>4516</v>
      </c>
    </row>
    <row r="4518" spans="92:92" x14ac:dyDescent="0.3">
      <c r="CN4518">
        <v>4517</v>
      </c>
    </row>
    <row r="4519" spans="92:92" x14ac:dyDescent="0.3">
      <c r="CN4519">
        <v>4518</v>
      </c>
    </row>
    <row r="4520" spans="92:92" x14ac:dyDescent="0.3">
      <c r="CN4520">
        <v>4519</v>
      </c>
    </row>
    <row r="4521" spans="92:92" x14ac:dyDescent="0.3">
      <c r="CN4521">
        <v>4520</v>
      </c>
    </row>
    <row r="4522" spans="92:92" x14ac:dyDescent="0.3">
      <c r="CN4522">
        <v>4521</v>
      </c>
    </row>
    <row r="4523" spans="92:92" x14ac:dyDescent="0.3">
      <c r="CN4523">
        <v>4522</v>
      </c>
    </row>
    <row r="4524" spans="92:92" x14ac:dyDescent="0.3">
      <c r="CN4524">
        <v>4523</v>
      </c>
    </row>
    <row r="4525" spans="92:92" x14ac:dyDescent="0.3">
      <c r="CN4525">
        <v>4524</v>
      </c>
    </row>
    <row r="4526" spans="92:92" x14ac:dyDescent="0.3">
      <c r="CN4526">
        <v>4525</v>
      </c>
    </row>
    <row r="4527" spans="92:92" x14ac:dyDescent="0.3">
      <c r="CN4527">
        <v>4526</v>
      </c>
    </row>
    <row r="4528" spans="92:92" x14ac:dyDescent="0.3">
      <c r="CN4528">
        <v>4527</v>
      </c>
    </row>
    <row r="4529" spans="92:92" x14ac:dyDescent="0.3">
      <c r="CN4529">
        <v>4528</v>
      </c>
    </row>
    <row r="4530" spans="92:92" x14ac:dyDescent="0.3">
      <c r="CN4530">
        <v>4529</v>
      </c>
    </row>
    <row r="4531" spans="92:92" x14ac:dyDescent="0.3">
      <c r="CN4531">
        <v>4530</v>
      </c>
    </row>
    <row r="4532" spans="92:92" x14ac:dyDescent="0.3">
      <c r="CN4532">
        <v>4531</v>
      </c>
    </row>
    <row r="4533" spans="92:92" x14ac:dyDescent="0.3">
      <c r="CN4533">
        <v>4532</v>
      </c>
    </row>
    <row r="4534" spans="92:92" x14ac:dyDescent="0.3">
      <c r="CN4534">
        <v>4533</v>
      </c>
    </row>
    <row r="4535" spans="92:92" x14ac:dyDescent="0.3">
      <c r="CN4535">
        <v>4534</v>
      </c>
    </row>
    <row r="4536" spans="92:92" x14ac:dyDescent="0.3">
      <c r="CN4536">
        <v>4535</v>
      </c>
    </row>
    <row r="4537" spans="92:92" x14ac:dyDescent="0.3">
      <c r="CN4537">
        <v>4536</v>
      </c>
    </row>
    <row r="4538" spans="92:92" x14ac:dyDescent="0.3">
      <c r="CN4538">
        <v>4537</v>
      </c>
    </row>
    <row r="4539" spans="92:92" x14ac:dyDescent="0.3">
      <c r="CN4539">
        <v>4538</v>
      </c>
    </row>
    <row r="4540" spans="92:92" x14ac:dyDescent="0.3">
      <c r="CN4540">
        <v>4539</v>
      </c>
    </row>
    <row r="4541" spans="92:92" x14ac:dyDescent="0.3">
      <c r="CN4541">
        <v>4540</v>
      </c>
    </row>
    <row r="4542" spans="92:92" x14ac:dyDescent="0.3">
      <c r="CN4542">
        <v>4541</v>
      </c>
    </row>
    <row r="4543" spans="92:92" x14ac:dyDescent="0.3">
      <c r="CN4543">
        <v>4542</v>
      </c>
    </row>
    <row r="4544" spans="92:92" x14ac:dyDescent="0.3">
      <c r="CN4544">
        <v>4543</v>
      </c>
    </row>
    <row r="4545" spans="92:92" x14ac:dyDescent="0.3">
      <c r="CN4545">
        <v>4544</v>
      </c>
    </row>
    <row r="4546" spans="92:92" x14ac:dyDescent="0.3">
      <c r="CN4546">
        <v>4545</v>
      </c>
    </row>
    <row r="4547" spans="92:92" x14ac:dyDescent="0.3">
      <c r="CN4547">
        <v>4546</v>
      </c>
    </row>
    <row r="4548" spans="92:92" x14ac:dyDescent="0.3">
      <c r="CN4548">
        <v>4547</v>
      </c>
    </row>
    <row r="4549" spans="92:92" x14ac:dyDescent="0.3">
      <c r="CN4549">
        <v>4548</v>
      </c>
    </row>
    <row r="4550" spans="92:92" x14ac:dyDescent="0.3">
      <c r="CN4550">
        <v>4549</v>
      </c>
    </row>
    <row r="4551" spans="92:92" x14ac:dyDescent="0.3">
      <c r="CN4551">
        <v>4550</v>
      </c>
    </row>
    <row r="4552" spans="92:92" x14ac:dyDescent="0.3">
      <c r="CN4552">
        <v>4551</v>
      </c>
    </row>
    <row r="4553" spans="92:92" x14ac:dyDescent="0.3">
      <c r="CN4553">
        <v>4552</v>
      </c>
    </row>
    <row r="4554" spans="92:92" x14ac:dyDescent="0.3">
      <c r="CN4554">
        <v>4553</v>
      </c>
    </row>
    <row r="4555" spans="92:92" x14ac:dyDescent="0.3">
      <c r="CN4555">
        <v>4554</v>
      </c>
    </row>
    <row r="4556" spans="92:92" x14ac:dyDescent="0.3">
      <c r="CN4556">
        <v>4555</v>
      </c>
    </row>
    <row r="4557" spans="92:92" x14ac:dyDescent="0.3">
      <c r="CN4557">
        <v>4556</v>
      </c>
    </row>
    <row r="4558" spans="92:92" x14ac:dyDescent="0.3">
      <c r="CN4558">
        <v>4557</v>
      </c>
    </row>
    <row r="4559" spans="92:92" x14ac:dyDescent="0.3">
      <c r="CN4559">
        <v>4558</v>
      </c>
    </row>
    <row r="4560" spans="92:92" x14ac:dyDescent="0.3">
      <c r="CN4560">
        <v>4559</v>
      </c>
    </row>
    <row r="4561" spans="92:92" x14ac:dyDescent="0.3">
      <c r="CN4561">
        <v>4560</v>
      </c>
    </row>
    <row r="4562" spans="92:92" x14ac:dyDescent="0.3">
      <c r="CN4562">
        <v>4561</v>
      </c>
    </row>
    <row r="4563" spans="92:92" x14ac:dyDescent="0.3">
      <c r="CN4563">
        <v>4562</v>
      </c>
    </row>
    <row r="4564" spans="92:92" x14ac:dyDescent="0.3">
      <c r="CN4564">
        <v>4563</v>
      </c>
    </row>
    <row r="4565" spans="92:92" x14ac:dyDescent="0.3">
      <c r="CN4565">
        <v>4564</v>
      </c>
    </row>
    <row r="4566" spans="92:92" x14ac:dyDescent="0.3">
      <c r="CN4566">
        <v>4565</v>
      </c>
    </row>
    <row r="4567" spans="92:92" x14ac:dyDescent="0.3">
      <c r="CN4567">
        <v>4566</v>
      </c>
    </row>
    <row r="4568" spans="92:92" x14ac:dyDescent="0.3">
      <c r="CN4568">
        <v>4567</v>
      </c>
    </row>
    <row r="4569" spans="92:92" x14ac:dyDescent="0.3">
      <c r="CN4569">
        <v>4568</v>
      </c>
    </row>
    <row r="4570" spans="92:92" x14ac:dyDescent="0.3">
      <c r="CN4570">
        <v>4569</v>
      </c>
    </row>
    <row r="4571" spans="92:92" x14ac:dyDescent="0.3">
      <c r="CN4571">
        <v>4570</v>
      </c>
    </row>
    <row r="4572" spans="92:92" x14ac:dyDescent="0.3">
      <c r="CN4572">
        <v>4571</v>
      </c>
    </row>
    <row r="4573" spans="92:92" x14ac:dyDescent="0.3">
      <c r="CN4573">
        <v>4572</v>
      </c>
    </row>
    <row r="4574" spans="92:92" x14ac:dyDescent="0.3">
      <c r="CN4574">
        <v>4573</v>
      </c>
    </row>
    <row r="4575" spans="92:92" x14ac:dyDescent="0.3">
      <c r="CN4575">
        <v>4574</v>
      </c>
    </row>
    <row r="4576" spans="92:92" x14ac:dyDescent="0.3">
      <c r="CN4576">
        <v>4575</v>
      </c>
    </row>
    <row r="4577" spans="92:92" x14ac:dyDescent="0.3">
      <c r="CN4577">
        <v>4576</v>
      </c>
    </row>
    <row r="4578" spans="92:92" x14ac:dyDescent="0.3">
      <c r="CN4578">
        <v>4577</v>
      </c>
    </row>
    <row r="4579" spans="92:92" x14ac:dyDescent="0.3">
      <c r="CN4579">
        <v>4578</v>
      </c>
    </row>
    <row r="4580" spans="92:92" x14ac:dyDescent="0.3">
      <c r="CN4580">
        <v>4579</v>
      </c>
    </row>
    <row r="4581" spans="92:92" x14ac:dyDescent="0.3">
      <c r="CN4581">
        <v>4580</v>
      </c>
    </row>
    <row r="4582" spans="92:92" x14ac:dyDescent="0.3">
      <c r="CN4582">
        <v>4581</v>
      </c>
    </row>
    <row r="4583" spans="92:92" x14ac:dyDescent="0.3">
      <c r="CN4583">
        <v>4582</v>
      </c>
    </row>
    <row r="4584" spans="92:92" x14ac:dyDescent="0.3">
      <c r="CN4584">
        <v>4583</v>
      </c>
    </row>
    <row r="4585" spans="92:92" x14ac:dyDescent="0.3">
      <c r="CN4585">
        <v>4584</v>
      </c>
    </row>
    <row r="4586" spans="92:92" x14ac:dyDescent="0.3">
      <c r="CN4586">
        <v>4585</v>
      </c>
    </row>
    <row r="4587" spans="92:92" x14ac:dyDescent="0.3">
      <c r="CN4587">
        <v>4586</v>
      </c>
    </row>
    <row r="4588" spans="92:92" x14ac:dyDescent="0.3">
      <c r="CN4588">
        <v>4587</v>
      </c>
    </row>
    <row r="4589" spans="92:92" x14ac:dyDescent="0.3">
      <c r="CN4589">
        <v>4588</v>
      </c>
    </row>
    <row r="4590" spans="92:92" x14ac:dyDescent="0.3">
      <c r="CN4590">
        <v>4589</v>
      </c>
    </row>
    <row r="4591" spans="92:92" x14ac:dyDescent="0.3">
      <c r="CN4591">
        <v>4590</v>
      </c>
    </row>
    <row r="4592" spans="92:92" x14ac:dyDescent="0.3">
      <c r="CN4592">
        <v>4591</v>
      </c>
    </row>
    <row r="4593" spans="92:92" x14ac:dyDescent="0.3">
      <c r="CN4593">
        <v>4592</v>
      </c>
    </row>
    <row r="4594" spans="92:92" x14ac:dyDescent="0.3">
      <c r="CN4594">
        <v>4593</v>
      </c>
    </row>
    <row r="4595" spans="92:92" x14ac:dyDescent="0.3">
      <c r="CN4595">
        <v>4594</v>
      </c>
    </row>
    <row r="4596" spans="92:92" x14ac:dyDescent="0.3">
      <c r="CN4596">
        <v>4595</v>
      </c>
    </row>
    <row r="4597" spans="92:92" x14ac:dyDescent="0.3">
      <c r="CN4597">
        <v>4596</v>
      </c>
    </row>
    <row r="4598" spans="92:92" x14ac:dyDescent="0.3">
      <c r="CN4598">
        <v>4597</v>
      </c>
    </row>
    <row r="4599" spans="92:92" x14ac:dyDescent="0.3">
      <c r="CN4599">
        <v>4598</v>
      </c>
    </row>
    <row r="4600" spans="92:92" x14ac:dyDescent="0.3">
      <c r="CN4600">
        <v>4599</v>
      </c>
    </row>
    <row r="4601" spans="92:92" x14ac:dyDescent="0.3">
      <c r="CN4601">
        <v>4600</v>
      </c>
    </row>
    <row r="4602" spans="92:92" x14ac:dyDescent="0.3">
      <c r="CN4602">
        <v>4601</v>
      </c>
    </row>
    <row r="4603" spans="92:92" x14ac:dyDescent="0.3">
      <c r="CN4603">
        <v>4602</v>
      </c>
    </row>
    <row r="4604" spans="92:92" x14ac:dyDescent="0.3">
      <c r="CN4604">
        <v>4603</v>
      </c>
    </row>
    <row r="4605" spans="92:92" x14ac:dyDescent="0.3">
      <c r="CN4605">
        <v>4604</v>
      </c>
    </row>
    <row r="4606" spans="92:92" x14ac:dyDescent="0.3">
      <c r="CN4606">
        <v>4605</v>
      </c>
    </row>
    <row r="4607" spans="92:92" x14ac:dyDescent="0.3">
      <c r="CN4607">
        <v>4606</v>
      </c>
    </row>
    <row r="4608" spans="92:92" x14ac:dyDescent="0.3">
      <c r="CN4608">
        <v>4607</v>
      </c>
    </row>
    <row r="4609" spans="92:92" x14ac:dyDescent="0.3">
      <c r="CN4609">
        <v>4608</v>
      </c>
    </row>
    <row r="4610" spans="92:92" x14ac:dyDescent="0.3">
      <c r="CN4610">
        <v>4609</v>
      </c>
    </row>
    <row r="4611" spans="92:92" x14ac:dyDescent="0.3">
      <c r="CN4611">
        <v>4610</v>
      </c>
    </row>
    <row r="4612" spans="92:92" x14ac:dyDescent="0.3">
      <c r="CN4612">
        <v>4611</v>
      </c>
    </row>
    <row r="4613" spans="92:92" x14ac:dyDescent="0.3">
      <c r="CN4613">
        <v>4612</v>
      </c>
    </row>
    <row r="4614" spans="92:92" x14ac:dyDescent="0.3">
      <c r="CN4614">
        <v>4613</v>
      </c>
    </row>
    <row r="4615" spans="92:92" x14ac:dyDescent="0.3">
      <c r="CN4615">
        <v>4614</v>
      </c>
    </row>
    <row r="4616" spans="92:92" x14ac:dyDescent="0.3">
      <c r="CN4616">
        <v>4615</v>
      </c>
    </row>
    <row r="4617" spans="92:92" x14ac:dyDescent="0.3">
      <c r="CN4617">
        <v>4616</v>
      </c>
    </row>
    <row r="4618" spans="92:92" x14ac:dyDescent="0.3">
      <c r="CN4618">
        <v>4617</v>
      </c>
    </row>
    <row r="4619" spans="92:92" x14ac:dyDescent="0.3">
      <c r="CN4619">
        <v>4618</v>
      </c>
    </row>
    <row r="4620" spans="92:92" x14ac:dyDescent="0.3">
      <c r="CN4620">
        <v>4619</v>
      </c>
    </row>
    <row r="4621" spans="92:92" x14ac:dyDescent="0.3">
      <c r="CN4621">
        <v>4620</v>
      </c>
    </row>
    <row r="4622" spans="92:92" x14ac:dyDescent="0.3">
      <c r="CN4622">
        <v>4621</v>
      </c>
    </row>
    <row r="4623" spans="92:92" x14ac:dyDescent="0.3">
      <c r="CN4623">
        <v>4622</v>
      </c>
    </row>
    <row r="4624" spans="92:92" x14ac:dyDescent="0.3">
      <c r="CN4624">
        <v>4623</v>
      </c>
    </row>
    <row r="4625" spans="92:92" x14ac:dyDescent="0.3">
      <c r="CN4625">
        <v>4624</v>
      </c>
    </row>
    <row r="4626" spans="92:92" x14ac:dyDescent="0.3">
      <c r="CN4626">
        <v>4625</v>
      </c>
    </row>
    <row r="4627" spans="92:92" x14ac:dyDescent="0.3">
      <c r="CN4627">
        <v>4626</v>
      </c>
    </row>
    <row r="4628" spans="92:92" x14ac:dyDescent="0.3">
      <c r="CN4628">
        <v>4627</v>
      </c>
    </row>
    <row r="4629" spans="92:92" x14ac:dyDescent="0.3">
      <c r="CN4629">
        <v>4628</v>
      </c>
    </row>
    <row r="4630" spans="92:92" x14ac:dyDescent="0.3">
      <c r="CN4630">
        <v>4629</v>
      </c>
    </row>
    <row r="4631" spans="92:92" x14ac:dyDescent="0.3">
      <c r="CN4631">
        <v>4630</v>
      </c>
    </row>
    <row r="4632" spans="92:92" x14ac:dyDescent="0.3">
      <c r="CN4632">
        <v>4631</v>
      </c>
    </row>
    <row r="4633" spans="92:92" x14ac:dyDescent="0.3">
      <c r="CN4633">
        <v>4632</v>
      </c>
    </row>
    <row r="4634" spans="92:92" x14ac:dyDescent="0.3">
      <c r="CN4634">
        <v>4633</v>
      </c>
    </row>
    <row r="4635" spans="92:92" x14ac:dyDescent="0.3">
      <c r="CN4635">
        <v>4634</v>
      </c>
    </row>
    <row r="4636" spans="92:92" x14ac:dyDescent="0.3">
      <c r="CN4636">
        <v>4635</v>
      </c>
    </row>
    <row r="4637" spans="92:92" x14ac:dyDescent="0.3">
      <c r="CN4637">
        <v>4636</v>
      </c>
    </row>
    <row r="4638" spans="92:92" x14ac:dyDescent="0.3">
      <c r="CN4638">
        <v>4637</v>
      </c>
    </row>
    <row r="4639" spans="92:92" x14ac:dyDescent="0.3">
      <c r="CN4639">
        <v>4638</v>
      </c>
    </row>
    <row r="4640" spans="92:92" x14ac:dyDescent="0.3">
      <c r="CN4640">
        <v>4639</v>
      </c>
    </row>
    <row r="4641" spans="92:92" x14ac:dyDescent="0.3">
      <c r="CN4641">
        <v>4640</v>
      </c>
    </row>
    <row r="4642" spans="92:92" x14ac:dyDescent="0.3">
      <c r="CN4642">
        <v>4641</v>
      </c>
    </row>
    <row r="4643" spans="92:92" x14ac:dyDescent="0.3">
      <c r="CN4643">
        <v>4642</v>
      </c>
    </row>
    <row r="4644" spans="92:92" x14ac:dyDescent="0.3">
      <c r="CN4644">
        <v>4643</v>
      </c>
    </row>
    <row r="4645" spans="92:92" x14ac:dyDescent="0.3">
      <c r="CN4645">
        <v>4644</v>
      </c>
    </row>
    <row r="4646" spans="92:92" x14ac:dyDescent="0.3">
      <c r="CN4646">
        <v>4645</v>
      </c>
    </row>
    <row r="4647" spans="92:92" x14ac:dyDescent="0.3">
      <c r="CN4647">
        <v>4646</v>
      </c>
    </row>
    <row r="4648" spans="92:92" x14ac:dyDescent="0.3">
      <c r="CN4648">
        <v>4647</v>
      </c>
    </row>
    <row r="4649" spans="92:92" x14ac:dyDescent="0.3">
      <c r="CN4649">
        <v>4648</v>
      </c>
    </row>
    <row r="4650" spans="92:92" x14ac:dyDescent="0.3">
      <c r="CN4650">
        <v>4649</v>
      </c>
    </row>
    <row r="4651" spans="92:92" x14ac:dyDescent="0.3">
      <c r="CN4651">
        <v>4650</v>
      </c>
    </row>
    <row r="4652" spans="92:92" x14ac:dyDescent="0.3">
      <c r="CN4652">
        <v>4651</v>
      </c>
    </row>
    <row r="4653" spans="92:92" x14ac:dyDescent="0.3">
      <c r="CN4653">
        <v>4652</v>
      </c>
    </row>
    <row r="4654" spans="92:92" x14ac:dyDescent="0.3">
      <c r="CN4654">
        <v>4653</v>
      </c>
    </row>
    <row r="4655" spans="92:92" x14ac:dyDescent="0.3">
      <c r="CN4655">
        <v>4654</v>
      </c>
    </row>
    <row r="4656" spans="92:92" x14ac:dyDescent="0.3">
      <c r="CN4656">
        <v>4655</v>
      </c>
    </row>
    <row r="4657" spans="92:92" x14ac:dyDescent="0.3">
      <c r="CN4657">
        <v>4656</v>
      </c>
    </row>
    <row r="4658" spans="92:92" x14ac:dyDescent="0.3">
      <c r="CN4658">
        <v>4657</v>
      </c>
    </row>
    <row r="4659" spans="92:92" x14ac:dyDescent="0.3">
      <c r="CN4659">
        <v>4658</v>
      </c>
    </row>
    <row r="4660" spans="92:92" x14ac:dyDescent="0.3">
      <c r="CN4660">
        <v>4659</v>
      </c>
    </row>
    <row r="4661" spans="92:92" x14ac:dyDescent="0.3">
      <c r="CN4661">
        <v>4660</v>
      </c>
    </row>
    <row r="4662" spans="92:92" x14ac:dyDescent="0.3">
      <c r="CN4662">
        <v>4661</v>
      </c>
    </row>
    <row r="4663" spans="92:92" x14ac:dyDescent="0.3">
      <c r="CN4663">
        <v>4662</v>
      </c>
    </row>
    <row r="4664" spans="92:92" x14ac:dyDescent="0.3">
      <c r="CN4664">
        <v>4663</v>
      </c>
    </row>
    <row r="4665" spans="92:92" x14ac:dyDescent="0.3">
      <c r="CN4665">
        <v>4664</v>
      </c>
    </row>
    <row r="4666" spans="92:92" x14ac:dyDescent="0.3">
      <c r="CN4666">
        <v>4665</v>
      </c>
    </row>
    <row r="4667" spans="92:92" x14ac:dyDescent="0.3">
      <c r="CN4667">
        <v>4666</v>
      </c>
    </row>
    <row r="4668" spans="92:92" x14ac:dyDescent="0.3">
      <c r="CN4668">
        <v>4667</v>
      </c>
    </row>
    <row r="4669" spans="92:92" x14ac:dyDescent="0.3">
      <c r="CN4669">
        <v>4668</v>
      </c>
    </row>
    <row r="4670" spans="92:92" x14ac:dyDescent="0.3">
      <c r="CN4670">
        <v>4669</v>
      </c>
    </row>
    <row r="4671" spans="92:92" x14ac:dyDescent="0.3">
      <c r="CN4671">
        <v>4670</v>
      </c>
    </row>
    <row r="4672" spans="92:92" x14ac:dyDescent="0.3">
      <c r="CN4672">
        <v>4671</v>
      </c>
    </row>
    <row r="4673" spans="92:92" x14ac:dyDescent="0.3">
      <c r="CN4673">
        <v>4672</v>
      </c>
    </row>
    <row r="4674" spans="92:92" x14ac:dyDescent="0.3">
      <c r="CN4674">
        <v>4673</v>
      </c>
    </row>
    <row r="4675" spans="92:92" x14ac:dyDescent="0.3">
      <c r="CN4675">
        <v>4674</v>
      </c>
    </row>
    <row r="4676" spans="92:92" x14ac:dyDescent="0.3">
      <c r="CN4676">
        <v>4675</v>
      </c>
    </row>
    <row r="4677" spans="92:92" x14ac:dyDescent="0.3">
      <c r="CN4677">
        <v>4676</v>
      </c>
    </row>
    <row r="4678" spans="92:92" x14ac:dyDescent="0.3">
      <c r="CN4678">
        <v>4677</v>
      </c>
    </row>
    <row r="4679" spans="92:92" x14ac:dyDescent="0.3">
      <c r="CN4679">
        <v>4678</v>
      </c>
    </row>
    <row r="4680" spans="92:92" x14ac:dyDescent="0.3">
      <c r="CN4680">
        <v>4679</v>
      </c>
    </row>
    <row r="4681" spans="92:92" x14ac:dyDescent="0.3">
      <c r="CN4681">
        <v>4680</v>
      </c>
    </row>
    <row r="4682" spans="92:92" x14ac:dyDescent="0.3">
      <c r="CN4682">
        <v>4681</v>
      </c>
    </row>
    <row r="4683" spans="92:92" x14ac:dyDescent="0.3">
      <c r="CN4683">
        <v>4682</v>
      </c>
    </row>
    <row r="4684" spans="92:92" x14ac:dyDescent="0.3">
      <c r="CN4684">
        <v>4683</v>
      </c>
    </row>
    <row r="4685" spans="92:92" x14ac:dyDescent="0.3">
      <c r="CN4685">
        <v>4684</v>
      </c>
    </row>
    <row r="4686" spans="92:92" x14ac:dyDescent="0.3">
      <c r="CN4686">
        <v>4685</v>
      </c>
    </row>
    <row r="4687" spans="92:92" x14ac:dyDescent="0.3">
      <c r="CN4687">
        <v>4686</v>
      </c>
    </row>
    <row r="4688" spans="92:92" x14ac:dyDescent="0.3">
      <c r="CN4688">
        <v>4687</v>
      </c>
    </row>
    <row r="4689" spans="92:92" x14ac:dyDescent="0.3">
      <c r="CN4689">
        <v>4688</v>
      </c>
    </row>
    <row r="4690" spans="92:92" x14ac:dyDescent="0.3">
      <c r="CN4690">
        <v>4689</v>
      </c>
    </row>
    <row r="4691" spans="92:92" x14ac:dyDescent="0.3">
      <c r="CN4691">
        <v>4690</v>
      </c>
    </row>
    <row r="4692" spans="92:92" x14ac:dyDescent="0.3">
      <c r="CN4692">
        <v>4691</v>
      </c>
    </row>
    <row r="4693" spans="92:92" x14ac:dyDescent="0.3">
      <c r="CN4693">
        <v>4692</v>
      </c>
    </row>
    <row r="4694" spans="92:92" x14ac:dyDescent="0.3">
      <c r="CN4694">
        <v>4693</v>
      </c>
    </row>
    <row r="4695" spans="92:92" x14ac:dyDescent="0.3">
      <c r="CN4695">
        <v>4694</v>
      </c>
    </row>
    <row r="4696" spans="92:92" x14ac:dyDescent="0.3">
      <c r="CN4696">
        <v>4695</v>
      </c>
    </row>
    <row r="4697" spans="92:92" x14ac:dyDescent="0.3">
      <c r="CN4697">
        <v>4696</v>
      </c>
    </row>
    <row r="4698" spans="92:92" x14ac:dyDescent="0.3">
      <c r="CN4698">
        <v>4697</v>
      </c>
    </row>
    <row r="4699" spans="92:92" x14ac:dyDescent="0.3">
      <c r="CN4699">
        <v>4698</v>
      </c>
    </row>
    <row r="4700" spans="92:92" x14ac:dyDescent="0.3">
      <c r="CN4700">
        <v>4699</v>
      </c>
    </row>
    <row r="4701" spans="92:92" x14ac:dyDescent="0.3">
      <c r="CN4701">
        <v>4700</v>
      </c>
    </row>
    <row r="4702" spans="92:92" x14ac:dyDescent="0.3">
      <c r="CN4702">
        <v>4701</v>
      </c>
    </row>
    <row r="4703" spans="92:92" x14ac:dyDescent="0.3">
      <c r="CN4703">
        <v>4702</v>
      </c>
    </row>
    <row r="4704" spans="92:92" x14ac:dyDescent="0.3">
      <c r="CN4704">
        <v>4703</v>
      </c>
    </row>
    <row r="4705" spans="92:92" x14ac:dyDescent="0.3">
      <c r="CN4705">
        <v>4704</v>
      </c>
    </row>
    <row r="4706" spans="92:92" x14ac:dyDescent="0.3">
      <c r="CN4706">
        <v>4705</v>
      </c>
    </row>
    <row r="4707" spans="92:92" x14ac:dyDescent="0.3">
      <c r="CN4707">
        <v>4706</v>
      </c>
    </row>
    <row r="4708" spans="92:92" x14ac:dyDescent="0.3">
      <c r="CN4708">
        <v>4707</v>
      </c>
    </row>
    <row r="4709" spans="92:92" x14ac:dyDescent="0.3">
      <c r="CN4709">
        <v>4708</v>
      </c>
    </row>
    <row r="4710" spans="92:92" x14ac:dyDescent="0.3">
      <c r="CN4710">
        <v>4709</v>
      </c>
    </row>
    <row r="4711" spans="92:92" x14ac:dyDescent="0.3">
      <c r="CN4711">
        <v>4710</v>
      </c>
    </row>
    <row r="4712" spans="92:92" x14ac:dyDescent="0.3">
      <c r="CN4712">
        <v>4711</v>
      </c>
    </row>
    <row r="4713" spans="92:92" x14ac:dyDescent="0.3">
      <c r="CN4713">
        <v>4712</v>
      </c>
    </row>
    <row r="4714" spans="92:92" x14ac:dyDescent="0.3">
      <c r="CN4714">
        <v>4713</v>
      </c>
    </row>
    <row r="4715" spans="92:92" x14ac:dyDescent="0.3">
      <c r="CN4715">
        <v>4714</v>
      </c>
    </row>
    <row r="4716" spans="92:92" x14ac:dyDescent="0.3">
      <c r="CN4716">
        <v>4715</v>
      </c>
    </row>
    <row r="4717" spans="92:92" x14ac:dyDescent="0.3">
      <c r="CN4717">
        <v>4716</v>
      </c>
    </row>
    <row r="4718" spans="92:92" x14ac:dyDescent="0.3">
      <c r="CN4718">
        <v>4717</v>
      </c>
    </row>
    <row r="4719" spans="92:92" x14ac:dyDescent="0.3">
      <c r="CN4719">
        <v>4718</v>
      </c>
    </row>
    <row r="4720" spans="92:92" x14ac:dyDescent="0.3">
      <c r="CN4720">
        <v>4719</v>
      </c>
    </row>
    <row r="4721" spans="92:92" x14ac:dyDescent="0.3">
      <c r="CN4721">
        <v>4720</v>
      </c>
    </row>
    <row r="4722" spans="92:92" x14ac:dyDescent="0.3">
      <c r="CN4722">
        <v>4721</v>
      </c>
    </row>
    <row r="4723" spans="92:92" x14ac:dyDescent="0.3">
      <c r="CN4723">
        <v>4722</v>
      </c>
    </row>
    <row r="4724" spans="92:92" x14ac:dyDescent="0.3">
      <c r="CN4724">
        <v>4723</v>
      </c>
    </row>
    <row r="4725" spans="92:92" x14ac:dyDescent="0.3">
      <c r="CN4725">
        <v>4724</v>
      </c>
    </row>
    <row r="4726" spans="92:92" x14ac:dyDescent="0.3">
      <c r="CN4726">
        <v>4725</v>
      </c>
    </row>
    <row r="4727" spans="92:92" x14ac:dyDescent="0.3">
      <c r="CN4727">
        <v>4726</v>
      </c>
    </row>
    <row r="4728" spans="92:92" x14ac:dyDescent="0.3">
      <c r="CN4728">
        <v>4727</v>
      </c>
    </row>
    <row r="4729" spans="92:92" x14ac:dyDescent="0.3">
      <c r="CN4729">
        <v>4728</v>
      </c>
    </row>
    <row r="4730" spans="92:92" x14ac:dyDescent="0.3">
      <c r="CN4730">
        <v>4729</v>
      </c>
    </row>
    <row r="4731" spans="92:92" x14ac:dyDescent="0.3">
      <c r="CN4731">
        <v>4730</v>
      </c>
    </row>
    <row r="4732" spans="92:92" x14ac:dyDescent="0.3">
      <c r="CN4732">
        <v>4731</v>
      </c>
    </row>
    <row r="4733" spans="92:92" x14ac:dyDescent="0.3">
      <c r="CN4733">
        <v>4732</v>
      </c>
    </row>
    <row r="4734" spans="92:92" x14ac:dyDescent="0.3">
      <c r="CN4734">
        <v>4733</v>
      </c>
    </row>
    <row r="4735" spans="92:92" x14ac:dyDescent="0.3">
      <c r="CN4735">
        <v>4734</v>
      </c>
    </row>
    <row r="4736" spans="92:92" x14ac:dyDescent="0.3">
      <c r="CN4736">
        <v>4735</v>
      </c>
    </row>
    <row r="4737" spans="92:92" x14ac:dyDescent="0.3">
      <c r="CN4737">
        <v>4736</v>
      </c>
    </row>
    <row r="4738" spans="92:92" x14ac:dyDescent="0.3">
      <c r="CN4738">
        <v>4737</v>
      </c>
    </row>
    <row r="4739" spans="92:92" x14ac:dyDescent="0.3">
      <c r="CN4739">
        <v>4738</v>
      </c>
    </row>
    <row r="4740" spans="92:92" x14ac:dyDescent="0.3">
      <c r="CN4740">
        <v>4739</v>
      </c>
    </row>
    <row r="4741" spans="92:92" x14ac:dyDescent="0.3">
      <c r="CN4741">
        <v>4740</v>
      </c>
    </row>
    <row r="4742" spans="92:92" x14ac:dyDescent="0.3">
      <c r="CN4742">
        <v>4741</v>
      </c>
    </row>
    <row r="4743" spans="92:92" x14ac:dyDescent="0.3">
      <c r="CN4743">
        <v>4742</v>
      </c>
    </row>
    <row r="4744" spans="92:92" x14ac:dyDescent="0.3">
      <c r="CN4744">
        <v>4743</v>
      </c>
    </row>
    <row r="4745" spans="92:92" x14ac:dyDescent="0.3">
      <c r="CN4745">
        <v>4744</v>
      </c>
    </row>
    <row r="4746" spans="92:92" x14ac:dyDescent="0.3">
      <c r="CN4746">
        <v>4745</v>
      </c>
    </row>
    <row r="4747" spans="92:92" x14ac:dyDescent="0.3">
      <c r="CN4747">
        <v>4746</v>
      </c>
    </row>
    <row r="4748" spans="92:92" x14ac:dyDescent="0.3">
      <c r="CN4748">
        <v>4747</v>
      </c>
    </row>
    <row r="4749" spans="92:92" x14ac:dyDescent="0.3">
      <c r="CN4749">
        <v>4748</v>
      </c>
    </row>
    <row r="4750" spans="92:92" x14ac:dyDescent="0.3">
      <c r="CN4750">
        <v>4749</v>
      </c>
    </row>
    <row r="4751" spans="92:92" x14ac:dyDescent="0.3">
      <c r="CN4751">
        <v>4750</v>
      </c>
    </row>
    <row r="4752" spans="92:92" x14ac:dyDescent="0.3">
      <c r="CN4752">
        <v>4751</v>
      </c>
    </row>
    <row r="4753" spans="92:92" x14ac:dyDescent="0.3">
      <c r="CN4753">
        <v>4752</v>
      </c>
    </row>
    <row r="4754" spans="92:92" x14ac:dyDescent="0.3">
      <c r="CN4754">
        <v>4753</v>
      </c>
    </row>
    <row r="4755" spans="92:92" x14ac:dyDescent="0.3">
      <c r="CN4755">
        <v>4754</v>
      </c>
    </row>
    <row r="4756" spans="92:92" x14ac:dyDescent="0.3">
      <c r="CN4756">
        <v>4755</v>
      </c>
    </row>
    <row r="4757" spans="92:92" x14ac:dyDescent="0.3">
      <c r="CN4757">
        <v>4756</v>
      </c>
    </row>
    <row r="4758" spans="92:92" x14ac:dyDescent="0.3">
      <c r="CN4758">
        <v>4757</v>
      </c>
    </row>
    <row r="4759" spans="92:92" x14ac:dyDescent="0.3">
      <c r="CN4759">
        <v>4758</v>
      </c>
    </row>
    <row r="4760" spans="92:92" x14ac:dyDescent="0.3">
      <c r="CN4760">
        <v>4759</v>
      </c>
    </row>
    <row r="4761" spans="92:92" x14ac:dyDescent="0.3">
      <c r="CN4761">
        <v>4760</v>
      </c>
    </row>
    <row r="4762" spans="92:92" x14ac:dyDescent="0.3">
      <c r="CN4762">
        <v>4761</v>
      </c>
    </row>
    <row r="4763" spans="92:92" x14ac:dyDescent="0.3">
      <c r="CN4763">
        <v>4762</v>
      </c>
    </row>
    <row r="4764" spans="92:92" x14ac:dyDescent="0.3">
      <c r="CN4764">
        <v>4763</v>
      </c>
    </row>
    <row r="4765" spans="92:92" x14ac:dyDescent="0.3">
      <c r="CN4765">
        <v>4764</v>
      </c>
    </row>
    <row r="4766" spans="92:92" x14ac:dyDescent="0.3">
      <c r="CN4766">
        <v>4765</v>
      </c>
    </row>
    <row r="4767" spans="92:92" x14ac:dyDescent="0.3">
      <c r="CN4767">
        <v>4766</v>
      </c>
    </row>
    <row r="4768" spans="92:92" x14ac:dyDescent="0.3">
      <c r="CN4768">
        <v>4767</v>
      </c>
    </row>
    <row r="4769" spans="92:92" x14ac:dyDescent="0.3">
      <c r="CN4769">
        <v>4768</v>
      </c>
    </row>
    <row r="4770" spans="92:92" x14ac:dyDescent="0.3">
      <c r="CN4770">
        <v>4769</v>
      </c>
    </row>
    <row r="4771" spans="92:92" x14ac:dyDescent="0.3">
      <c r="CN4771">
        <v>4770</v>
      </c>
    </row>
    <row r="4772" spans="92:92" x14ac:dyDescent="0.3">
      <c r="CN4772">
        <v>4771</v>
      </c>
    </row>
    <row r="4773" spans="92:92" x14ac:dyDescent="0.3">
      <c r="CN4773">
        <v>4772</v>
      </c>
    </row>
    <row r="4774" spans="92:92" x14ac:dyDescent="0.3">
      <c r="CN4774">
        <v>4773</v>
      </c>
    </row>
    <row r="4775" spans="92:92" x14ac:dyDescent="0.3">
      <c r="CN4775">
        <v>4774</v>
      </c>
    </row>
    <row r="4776" spans="92:92" x14ac:dyDescent="0.3">
      <c r="CN4776">
        <v>4775</v>
      </c>
    </row>
    <row r="4777" spans="92:92" x14ac:dyDescent="0.3">
      <c r="CN4777">
        <v>4776</v>
      </c>
    </row>
    <row r="4778" spans="92:92" x14ac:dyDescent="0.3">
      <c r="CN4778">
        <v>4777</v>
      </c>
    </row>
    <row r="4779" spans="92:92" x14ac:dyDescent="0.3">
      <c r="CN4779">
        <v>4778</v>
      </c>
    </row>
    <row r="4780" spans="92:92" x14ac:dyDescent="0.3">
      <c r="CN4780">
        <v>4779</v>
      </c>
    </row>
    <row r="4781" spans="92:92" x14ac:dyDescent="0.3">
      <c r="CN4781">
        <v>4780</v>
      </c>
    </row>
    <row r="4782" spans="92:92" x14ac:dyDescent="0.3">
      <c r="CN4782">
        <v>4781</v>
      </c>
    </row>
    <row r="4783" spans="92:92" x14ac:dyDescent="0.3">
      <c r="CN4783">
        <v>4782</v>
      </c>
    </row>
    <row r="4784" spans="92:92" x14ac:dyDescent="0.3">
      <c r="CN4784">
        <v>4783</v>
      </c>
    </row>
    <row r="4785" spans="92:92" x14ac:dyDescent="0.3">
      <c r="CN4785">
        <v>4784</v>
      </c>
    </row>
    <row r="4786" spans="92:92" x14ac:dyDescent="0.3">
      <c r="CN4786">
        <v>4785</v>
      </c>
    </row>
    <row r="4787" spans="92:92" x14ac:dyDescent="0.3">
      <c r="CN4787">
        <v>4786</v>
      </c>
    </row>
    <row r="4788" spans="92:92" x14ac:dyDescent="0.3">
      <c r="CN4788">
        <v>4787</v>
      </c>
    </row>
    <row r="4789" spans="92:92" x14ac:dyDescent="0.3">
      <c r="CN4789">
        <v>4788</v>
      </c>
    </row>
    <row r="4790" spans="92:92" x14ac:dyDescent="0.3">
      <c r="CN4790">
        <v>4789</v>
      </c>
    </row>
    <row r="4791" spans="92:92" x14ac:dyDescent="0.3">
      <c r="CN4791">
        <v>4790</v>
      </c>
    </row>
    <row r="4792" spans="92:92" x14ac:dyDescent="0.3">
      <c r="CN4792">
        <v>4791</v>
      </c>
    </row>
    <row r="4793" spans="92:92" x14ac:dyDescent="0.3">
      <c r="CN4793">
        <v>4792</v>
      </c>
    </row>
    <row r="4794" spans="92:92" x14ac:dyDescent="0.3">
      <c r="CN4794">
        <v>4793</v>
      </c>
    </row>
    <row r="4795" spans="92:92" x14ac:dyDescent="0.3">
      <c r="CN4795">
        <v>4794</v>
      </c>
    </row>
    <row r="4796" spans="92:92" x14ac:dyDescent="0.3">
      <c r="CN4796">
        <v>4795</v>
      </c>
    </row>
    <row r="4797" spans="92:92" x14ac:dyDescent="0.3">
      <c r="CN4797">
        <v>4796</v>
      </c>
    </row>
    <row r="4798" spans="92:92" x14ac:dyDescent="0.3">
      <c r="CN4798">
        <v>4797</v>
      </c>
    </row>
    <row r="4799" spans="92:92" x14ac:dyDescent="0.3">
      <c r="CN4799">
        <v>4798</v>
      </c>
    </row>
    <row r="4800" spans="92:92" x14ac:dyDescent="0.3">
      <c r="CN4800">
        <v>4799</v>
      </c>
    </row>
    <row r="4801" spans="92:92" x14ac:dyDescent="0.3">
      <c r="CN4801">
        <v>4800</v>
      </c>
    </row>
    <row r="4802" spans="92:92" x14ac:dyDescent="0.3">
      <c r="CN4802">
        <v>4801</v>
      </c>
    </row>
    <row r="4803" spans="92:92" x14ac:dyDescent="0.3">
      <c r="CN4803">
        <v>4802</v>
      </c>
    </row>
    <row r="4804" spans="92:92" x14ac:dyDescent="0.3">
      <c r="CN4804">
        <v>4803</v>
      </c>
    </row>
    <row r="4805" spans="92:92" x14ac:dyDescent="0.3">
      <c r="CN4805">
        <v>4804</v>
      </c>
    </row>
    <row r="4806" spans="92:92" x14ac:dyDescent="0.3">
      <c r="CN4806">
        <v>4805</v>
      </c>
    </row>
    <row r="4807" spans="92:92" x14ac:dyDescent="0.3">
      <c r="CN4807">
        <v>4806</v>
      </c>
    </row>
    <row r="4808" spans="92:92" x14ac:dyDescent="0.3">
      <c r="CN4808">
        <v>4807</v>
      </c>
    </row>
    <row r="4809" spans="92:92" x14ac:dyDescent="0.3">
      <c r="CN4809">
        <v>4808</v>
      </c>
    </row>
    <row r="4810" spans="92:92" x14ac:dyDescent="0.3">
      <c r="CN4810">
        <v>4809</v>
      </c>
    </row>
    <row r="4811" spans="92:92" x14ac:dyDescent="0.3">
      <c r="CN4811">
        <v>4810</v>
      </c>
    </row>
    <row r="4812" spans="92:92" x14ac:dyDescent="0.3">
      <c r="CN4812">
        <v>4811</v>
      </c>
    </row>
    <row r="4813" spans="92:92" x14ac:dyDescent="0.3">
      <c r="CN4813">
        <v>4812</v>
      </c>
    </row>
    <row r="4814" spans="92:92" x14ac:dyDescent="0.3">
      <c r="CN4814">
        <v>4813</v>
      </c>
    </row>
    <row r="4815" spans="92:92" x14ac:dyDescent="0.3">
      <c r="CN4815">
        <v>4814</v>
      </c>
    </row>
    <row r="4816" spans="92:92" x14ac:dyDescent="0.3">
      <c r="CN4816">
        <v>4815</v>
      </c>
    </row>
    <row r="4817" spans="92:92" x14ac:dyDescent="0.3">
      <c r="CN4817">
        <v>4816</v>
      </c>
    </row>
    <row r="4818" spans="92:92" x14ac:dyDescent="0.3">
      <c r="CN4818">
        <v>4817</v>
      </c>
    </row>
    <row r="4819" spans="92:92" x14ac:dyDescent="0.3">
      <c r="CN4819">
        <v>4818</v>
      </c>
    </row>
    <row r="4820" spans="92:92" x14ac:dyDescent="0.3">
      <c r="CN4820">
        <v>4819</v>
      </c>
    </row>
    <row r="4821" spans="92:92" x14ac:dyDescent="0.3">
      <c r="CN4821">
        <v>4820</v>
      </c>
    </row>
    <row r="4822" spans="92:92" x14ac:dyDescent="0.3">
      <c r="CN4822">
        <v>4821</v>
      </c>
    </row>
    <row r="4823" spans="92:92" x14ac:dyDescent="0.3">
      <c r="CN4823">
        <v>4822</v>
      </c>
    </row>
    <row r="4824" spans="92:92" x14ac:dyDescent="0.3">
      <c r="CN4824">
        <v>4823</v>
      </c>
    </row>
    <row r="4825" spans="92:92" x14ac:dyDescent="0.3">
      <c r="CN4825">
        <v>4824</v>
      </c>
    </row>
    <row r="4826" spans="92:92" x14ac:dyDescent="0.3">
      <c r="CN4826">
        <v>4825</v>
      </c>
    </row>
    <row r="4827" spans="92:92" x14ac:dyDescent="0.3">
      <c r="CN4827">
        <v>4826</v>
      </c>
    </row>
    <row r="4828" spans="92:92" x14ac:dyDescent="0.3">
      <c r="CN4828">
        <v>4827</v>
      </c>
    </row>
    <row r="4829" spans="92:92" x14ac:dyDescent="0.3">
      <c r="CN4829">
        <v>4828</v>
      </c>
    </row>
    <row r="4830" spans="92:92" x14ac:dyDescent="0.3">
      <c r="CN4830">
        <v>4829</v>
      </c>
    </row>
    <row r="4831" spans="92:92" x14ac:dyDescent="0.3">
      <c r="CN4831">
        <v>4830</v>
      </c>
    </row>
    <row r="4832" spans="92:92" x14ac:dyDescent="0.3">
      <c r="CN4832">
        <v>4831</v>
      </c>
    </row>
    <row r="4833" spans="92:92" x14ac:dyDescent="0.3">
      <c r="CN4833">
        <v>4832</v>
      </c>
    </row>
    <row r="4834" spans="92:92" x14ac:dyDescent="0.3">
      <c r="CN4834">
        <v>4833</v>
      </c>
    </row>
    <row r="4835" spans="92:92" x14ac:dyDescent="0.3">
      <c r="CN4835">
        <v>4834</v>
      </c>
    </row>
    <row r="4836" spans="92:92" x14ac:dyDescent="0.3">
      <c r="CN4836">
        <v>4835</v>
      </c>
    </row>
    <row r="4837" spans="92:92" x14ac:dyDescent="0.3">
      <c r="CN4837">
        <v>4836</v>
      </c>
    </row>
    <row r="4838" spans="92:92" x14ac:dyDescent="0.3">
      <c r="CN4838">
        <v>4837</v>
      </c>
    </row>
    <row r="4839" spans="92:92" x14ac:dyDescent="0.3">
      <c r="CN4839">
        <v>4838</v>
      </c>
    </row>
    <row r="4840" spans="92:92" x14ac:dyDescent="0.3">
      <c r="CN4840">
        <v>4839</v>
      </c>
    </row>
    <row r="4841" spans="92:92" x14ac:dyDescent="0.3">
      <c r="CN4841">
        <v>4840</v>
      </c>
    </row>
    <row r="4842" spans="92:92" x14ac:dyDescent="0.3">
      <c r="CN4842">
        <v>4841</v>
      </c>
    </row>
    <row r="4843" spans="92:92" x14ac:dyDescent="0.3">
      <c r="CN4843">
        <v>4842</v>
      </c>
    </row>
    <row r="4844" spans="92:92" x14ac:dyDescent="0.3">
      <c r="CN4844">
        <v>4843</v>
      </c>
    </row>
    <row r="4845" spans="92:92" x14ac:dyDescent="0.3">
      <c r="CN4845">
        <v>4844</v>
      </c>
    </row>
    <row r="4846" spans="92:92" x14ac:dyDescent="0.3">
      <c r="CN4846">
        <v>4845</v>
      </c>
    </row>
    <row r="4847" spans="92:92" x14ac:dyDescent="0.3">
      <c r="CN4847">
        <v>4846</v>
      </c>
    </row>
    <row r="4848" spans="92:92" x14ac:dyDescent="0.3">
      <c r="CN4848">
        <v>4847</v>
      </c>
    </row>
    <row r="4849" spans="92:92" x14ac:dyDescent="0.3">
      <c r="CN4849">
        <v>4848</v>
      </c>
    </row>
    <row r="4850" spans="92:92" x14ac:dyDescent="0.3">
      <c r="CN4850">
        <v>4849</v>
      </c>
    </row>
    <row r="4851" spans="92:92" x14ac:dyDescent="0.3">
      <c r="CN4851">
        <v>4850</v>
      </c>
    </row>
    <row r="4852" spans="92:92" x14ac:dyDescent="0.3">
      <c r="CN4852">
        <v>4851</v>
      </c>
    </row>
    <row r="4853" spans="92:92" x14ac:dyDescent="0.3">
      <c r="CN4853">
        <v>4852</v>
      </c>
    </row>
    <row r="4854" spans="92:92" x14ac:dyDescent="0.3">
      <c r="CN4854">
        <v>4853</v>
      </c>
    </row>
    <row r="4855" spans="92:92" x14ac:dyDescent="0.3">
      <c r="CN4855">
        <v>4854</v>
      </c>
    </row>
    <row r="4856" spans="92:92" x14ac:dyDescent="0.3">
      <c r="CN4856">
        <v>4855</v>
      </c>
    </row>
    <row r="4857" spans="92:92" x14ac:dyDescent="0.3">
      <c r="CN4857">
        <v>4856</v>
      </c>
    </row>
    <row r="4858" spans="92:92" x14ac:dyDescent="0.3">
      <c r="CN4858">
        <v>4857</v>
      </c>
    </row>
    <row r="4859" spans="92:92" x14ac:dyDescent="0.3">
      <c r="CN4859">
        <v>4858</v>
      </c>
    </row>
    <row r="4860" spans="92:92" x14ac:dyDescent="0.3">
      <c r="CN4860">
        <v>4859</v>
      </c>
    </row>
    <row r="4861" spans="92:92" x14ac:dyDescent="0.3">
      <c r="CN4861">
        <v>4860</v>
      </c>
    </row>
    <row r="4862" spans="92:92" x14ac:dyDescent="0.3">
      <c r="CN4862">
        <v>4861</v>
      </c>
    </row>
    <row r="4863" spans="92:92" x14ac:dyDescent="0.3">
      <c r="CN4863">
        <v>4862</v>
      </c>
    </row>
    <row r="4864" spans="92:92" x14ac:dyDescent="0.3">
      <c r="CN4864">
        <v>4863</v>
      </c>
    </row>
    <row r="4865" spans="92:92" x14ac:dyDescent="0.3">
      <c r="CN4865">
        <v>4864</v>
      </c>
    </row>
    <row r="4866" spans="92:92" x14ac:dyDescent="0.3">
      <c r="CN4866">
        <v>4865</v>
      </c>
    </row>
    <row r="4867" spans="92:92" x14ac:dyDescent="0.3">
      <c r="CN4867">
        <v>4866</v>
      </c>
    </row>
    <row r="4868" spans="92:92" x14ac:dyDescent="0.3">
      <c r="CN4868">
        <v>4867</v>
      </c>
    </row>
    <row r="4869" spans="92:92" x14ac:dyDescent="0.3">
      <c r="CN4869">
        <v>4868</v>
      </c>
    </row>
    <row r="4870" spans="92:92" x14ac:dyDescent="0.3">
      <c r="CN4870">
        <v>4869</v>
      </c>
    </row>
    <row r="4871" spans="92:92" x14ac:dyDescent="0.3">
      <c r="CN4871">
        <v>4870</v>
      </c>
    </row>
    <row r="4872" spans="92:92" x14ac:dyDescent="0.3">
      <c r="CN4872">
        <v>4871</v>
      </c>
    </row>
    <row r="4873" spans="92:92" x14ac:dyDescent="0.3">
      <c r="CN4873">
        <v>4872</v>
      </c>
    </row>
    <row r="4874" spans="92:92" x14ac:dyDescent="0.3">
      <c r="CN4874">
        <v>4873</v>
      </c>
    </row>
    <row r="4875" spans="92:92" x14ac:dyDescent="0.3">
      <c r="CN4875">
        <v>4874</v>
      </c>
    </row>
    <row r="4876" spans="92:92" x14ac:dyDescent="0.3">
      <c r="CN4876">
        <v>4875</v>
      </c>
    </row>
    <row r="4877" spans="92:92" x14ac:dyDescent="0.3">
      <c r="CN4877">
        <v>4876</v>
      </c>
    </row>
    <row r="4878" spans="92:92" x14ac:dyDescent="0.3">
      <c r="CN4878">
        <v>4877</v>
      </c>
    </row>
    <row r="4879" spans="92:92" x14ac:dyDescent="0.3">
      <c r="CN4879">
        <v>4878</v>
      </c>
    </row>
    <row r="4880" spans="92:92" x14ac:dyDescent="0.3">
      <c r="CN4880">
        <v>4879</v>
      </c>
    </row>
    <row r="4881" spans="92:92" x14ac:dyDescent="0.3">
      <c r="CN4881">
        <v>4880</v>
      </c>
    </row>
    <row r="4882" spans="92:92" x14ac:dyDescent="0.3">
      <c r="CN4882">
        <v>4881</v>
      </c>
    </row>
    <row r="4883" spans="92:92" x14ac:dyDescent="0.3">
      <c r="CN4883">
        <v>4882</v>
      </c>
    </row>
    <row r="4884" spans="92:92" x14ac:dyDescent="0.3">
      <c r="CN4884">
        <v>4883</v>
      </c>
    </row>
    <row r="4885" spans="92:92" x14ac:dyDescent="0.3">
      <c r="CN4885">
        <v>4884</v>
      </c>
    </row>
    <row r="4886" spans="92:92" x14ac:dyDescent="0.3">
      <c r="CN4886">
        <v>4885</v>
      </c>
    </row>
    <row r="4887" spans="92:92" x14ac:dyDescent="0.3">
      <c r="CN4887">
        <v>4886</v>
      </c>
    </row>
    <row r="4888" spans="92:92" x14ac:dyDescent="0.3">
      <c r="CN4888">
        <v>4887</v>
      </c>
    </row>
    <row r="4889" spans="92:92" x14ac:dyDescent="0.3">
      <c r="CN4889">
        <v>4888</v>
      </c>
    </row>
    <row r="4890" spans="92:92" x14ac:dyDescent="0.3">
      <c r="CN4890">
        <v>4889</v>
      </c>
    </row>
    <row r="4891" spans="92:92" x14ac:dyDescent="0.3">
      <c r="CN4891">
        <v>4890</v>
      </c>
    </row>
    <row r="4892" spans="92:92" x14ac:dyDescent="0.3">
      <c r="CN4892">
        <v>4891</v>
      </c>
    </row>
    <row r="4893" spans="92:92" x14ac:dyDescent="0.3">
      <c r="CN4893">
        <v>4892</v>
      </c>
    </row>
    <row r="4894" spans="92:92" x14ac:dyDescent="0.3">
      <c r="CN4894">
        <v>4893</v>
      </c>
    </row>
    <row r="4895" spans="92:92" x14ac:dyDescent="0.3">
      <c r="CN4895">
        <v>4894</v>
      </c>
    </row>
    <row r="4896" spans="92:92" x14ac:dyDescent="0.3">
      <c r="CN4896">
        <v>4895</v>
      </c>
    </row>
    <row r="4897" spans="92:92" x14ac:dyDescent="0.3">
      <c r="CN4897">
        <v>4896</v>
      </c>
    </row>
    <row r="4898" spans="92:92" x14ac:dyDescent="0.3">
      <c r="CN4898">
        <v>4897</v>
      </c>
    </row>
    <row r="4899" spans="92:92" x14ac:dyDescent="0.3">
      <c r="CN4899">
        <v>4898</v>
      </c>
    </row>
    <row r="4900" spans="92:92" x14ac:dyDescent="0.3">
      <c r="CN4900">
        <v>4899</v>
      </c>
    </row>
    <row r="4901" spans="92:92" x14ac:dyDescent="0.3">
      <c r="CN4901">
        <v>4900</v>
      </c>
    </row>
    <row r="4902" spans="92:92" x14ac:dyDescent="0.3">
      <c r="CN4902">
        <v>4901</v>
      </c>
    </row>
    <row r="4903" spans="92:92" x14ac:dyDescent="0.3">
      <c r="CN4903">
        <v>4902</v>
      </c>
    </row>
    <row r="4904" spans="92:92" x14ac:dyDescent="0.3">
      <c r="CN4904">
        <v>4903</v>
      </c>
    </row>
    <row r="4905" spans="92:92" x14ac:dyDescent="0.3">
      <c r="CN4905">
        <v>4904</v>
      </c>
    </row>
    <row r="4906" spans="92:92" x14ac:dyDescent="0.3">
      <c r="CN4906">
        <v>4905</v>
      </c>
    </row>
    <row r="4907" spans="92:92" x14ac:dyDescent="0.3">
      <c r="CN4907">
        <v>4906</v>
      </c>
    </row>
    <row r="4908" spans="92:92" x14ac:dyDescent="0.3">
      <c r="CN4908">
        <v>4907</v>
      </c>
    </row>
    <row r="4909" spans="92:92" x14ac:dyDescent="0.3">
      <c r="CN4909">
        <v>4908</v>
      </c>
    </row>
    <row r="4910" spans="92:92" x14ac:dyDescent="0.3">
      <c r="CN4910">
        <v>4909</v>
      </c>
    </row>
    <row r="4911" spans="92:92" x14ac:dyDescent="0.3">
      <c r="CN4911">
        <v>4910</v>
      </c>
    </row>
    <row r="4912" spans="92:92" x14ac:dyDescent="0.3">
      <c r="CN4912">
        <v>4911</v>
      </c>
    </row>
    <row r="4913" spans="92:92" x14ac:dyDescent="0.3">
      <c r="CN4913">
        <v>4912</v>
      </c>
    </row>
    <row r="4914" spans="92:92" x14ac:dyDescent="0.3">
      <c r="CN4914">
        <v>4913</v>
      </c>
    </row>
    <row r="4915" spans="92:92" x14ac:dyDescent="0.3">
      <c r="CN4915">
        <v>4914</v>
      </c>
    </row>
    <row r="4916" spans="92:92" x14ac:dyDescent="0.3">
      <c r="CN4916">
        <v>4915</v>
      </c>
    </row>
    <row r="4917" spans="92:92" x14ac:dyDescent="0.3">
      <c r="CN4917">
        <v>4916</v>
      </c>
    </row>
    <row r="4918" spans="92:92" x14ac:dyDescent="0.3">
      <c r="CN4918">
        <v>4917</v>
      </c>
    </row>
    <row r="4919" spans="92:92" x14ac:dyDescent="0.3">
      <c r="CN4919">
        <v>4918</v>
      </c>
    </row>
    <row r="4920" spans="92:92" x14ac:dyDescent="0.3">
      <c r="CN4920">
        <v>4919</v>
      </c>
    </row>
    <row r="4921" spans="92:92" x14ac:dyDescent="0.3">
      <c r="CN4921">
        <v>4920</v>
      </c>
    </row>
    <row r="4922" spans="92:92" x14ac:dyDescent="0.3">
      <c r="CN4922">
        <v>4921</v>
      </c>
    </row>
    <row r="4923" spans="92:92" x14ac:dyDescent="0.3">
      <c r="CN4923">
        <v>4922</v>
      </c>
    </row>
    <row r="4924" spans="92:92" x14ac:dyDescent="0.3">
      <c r="CN4924">
        <v>4923</v>
      </c>
    </row>
    <row r="4925" spans="92:92" x14ac:dyDescent="0.3">
      <c r="CN4925">
        <v>4924</v>
      </c>
    </row>
    <row r="4926" spans="92:92" x14ac:dyDescent="0.3">
      <c r="CN4926">
        <v>4925</v>
      </c>
    </row>
    <row r="4927" spans="92:92" x14ac:dyDescent="0.3">
      <c r="CN4927">
        <v>4926</v>
      </c>
    </row>
    <row r="4928" spans="92:92" x14ac:dyDescent="0.3">
      <c r="CN4928">
        <v>4927</v>
      </c>
    </row>
    <row r="4929" spans="92:92" x14ac:dyDescent="0.3">
      <c r="CN4929">
        <v>4928</v>
      </c>
    </row>
    <row r="4930" spans="92:92" x14ac:dyDescent="0.3">
      <c r="CN4930">
        <v>4929</v>
      </c>
    </row>
    <row r="4931" spans="92:92" x14ac:dyDescent="0.3">
      <c r="CN4931">
        <v>4930</v>
      </c>
    </row>
    <row r="4932" spans="92:92" x14ac:dyDescent="0.3">
      <c r="CN4932">
        <v>4931</v>
      </c>
    </row>
    <row r="4933" spans="92:92" x14ac:dyDescent="0.3">
      <c r="CN4933">
        <v>4932</v>
      </c>
    </row>
    <row r="4934" spans="92:92" x14ac:dyDescent="0.3">
      <c r="CN4934">
        <v>4933</v>
      </c>
    </row>
    <row r="4935" spans="92:92" x14ac:dyDescent="0.3">
      <c r="CN4935">
        <v>4934</v>
      </c>
    </row>
    <row r="4936" spans="92:92" x14ac:dyDescent="0.3">
      <c r="CN4936">
        <v>4935</v>
      </c>
    </row>
    <row r="4937" spans="92:92" x14ac:dyDescent="0.3">
      <c r="CN4937">
        <v>4936</v>
      </c>
    </row>
    <row r="4938" spans="92:92" x14ac:dyDescent="0.3">
      <c r="CN4938">
        <v>4937</v>
      </c>
    </row>
    <row r="4939" spans="92:92" x14ac:dyDescent="0.3">
      <c r="CN4939">
        <v>4938</v>
      </c>
    </row>
    <row r="4940" spans="92:92" x14ac:dyDescent="0.3">
      <c r="CN4940">
        <v>4939</v>
      </c>
    </row>
    <row r="4941" spans="92:92" x14ac:dyDescent="0.3">
      <c r="CN4941">
        <v>4940</v>
      </c>
    </row>
    <row r="4942" spans="92:92" x14ac:dyDescent="0.3">
      <c r="CN4942">
        <v>4941</v>
      </c>
    </row>
    <row r="4943" spans="92:92" x14ac:dyDescent="0.3">
      <c r="CN4943">
        <v>4942</v>
      </c>
    </row>
    <row r="4944" spans="92:92" x14ac:dyDescent="0.3">
      <c r="CN4944">
        <v>4943</v>
      </c>
    </row>
    <row r="4945" spans="92:92" x14ac:dyDescent="0.3">
      <c r="CN4945">
        <v>4944</v>
      </c>
    </row>
    <row r="4946" spans="92:92" x14ac:dyDescent="0.3">
      <c r="CN4946">
        <v>4945</v>
      </c>
    </row>
    <row r="4947" spans="92:92" x14ac:dyDescent="0.3">
      <c r="CN4947">
        <v>4946</v>
      </c>
    </row>
    <row r="4948" spans="92:92" x14ac:dyDescent="0.3">
      <c r="CN4948">
        <v>4947</v>
      </c>
    </row>
    <row r="4949" spans="92:92" x14ac:dyDescent="0.3">
      <c r="CN4949">
        <v>4948</v>
      </c>
    </row>
    <row r="4950" spans="92:92" x14ac:dyDescent="0.3">
      <c r="CN4950">
        <v>4949</v>
      </c>
    </row>
    <row r="4951" spans="92:92" x14ac:dyDescent="0.3">
      <c r="CN4951">
        <v>4950</v>
      </c>
    </row>
    <row r="4952" spans="92:92" x14ac:dyDescent="0.3">
      <c r="CN4952">
        <v>4951</v>
      </c>
    </row>
    <row r="4953" spans="92:92" x14ac:dyDescent="0.3">
      <c r="CN4953">
        <v>4952</v>
      </c>
    </row>
    <row r="4954" spans="92:92" x14ac:dyDescent="0.3">
      <c r="CN4954">
        <v>4953</v>
      </c>
    </row>
    <row r="4955" spans="92:92" x14ac:dyDescent="0.3">
      <c r="CN4955">
        <v>4954</v>
      </c>
    </row>
    <row r="4956" spans="92:92" x14ac:dyDescent="0.3">
      <c r="CN4956">
        <v>4955</v>
      </c>
    </row>
    <row r="4957" spans="92:92" x14ac:dyDescent="0.3">
      <c r="CN4957">
        <v>4956</v>
      </c>
    </row>
    <row r="4958" spans="92:92" x14ac:dyDescent="0.3">
      <c r="CN4958">
        <v>4957</v>
      </c>
    </row>
    <row r="4959" spans="92:92" x14ac:dyDescent="0.3">
      <c r="CN4959">
        <v>4958</v>
      </c>
    </row>
    <row r="4960" spans="92:92" x14ac:dyDescent="0.3">
      <c r="CN4960">
        <v>4959</v>
      </c>
    </row>
    <row r="4961" spans="92:92" x14ac:dyDescent="0.3">
      <c r="CN4961">
        <v>4960</v>
      </c>
    </row>
    <row r="4962" spans="92:92" x14ac:dyDescent="0.3">
      <c r="CN4962">
        <v>4961</v>
      </c>
    </row>
    <row r="4963" spans="92:92" x14ac:dyDescent="0.3">
      <c r="CN4963">
        <v>4962</v>
      </c>
    </row>
    <row r="4964" spans="92:92" x14ac:dyDescent="0.3">
      <c r="CN4964">
        <v>4963</v>
      </c>
    </row>
    <row r="4965" spans="92:92" x14ac:dyDescent="0.3">
      <c r="CN4965">
        <v>4964</v>
      </c>
    </row>
    <row r="4966" spans="92:92" x14ac:dyDescent="0.3">
      <c r="CN4966">
        <v>4965</v>
      </c>
    </row>
    <row r="4967" spans="92:92" x14ac:dyDescent="0.3">
      <c r="CN4967">
        <v>4966</v>
      </c>
    </row>
    <row r="4968" spans="92:92" x14ac:dyDescent="0.3">
      <c r="CN4968">
        <v>4967</v>
      </c>
    </row>
    <row r="4969" spans="92:92" x14ac:dyDescent="0.3">
      <c r="CN4969">
        <v>4968</v>
      </c>
    </row>
    <row r="4970" spans="92:92" x14ac:dyDescent="0.3">
      <c r="CN4970">
        <v>4969</v>
      </c>
    </row>
    <row r="4971" spans="92:92" x14ac:dyDescent="0.3">
      <c r="CN4971">
        <v>4970</v>
      </c>
    </row>
    <row r="4972" spans="92:92" x14ac:dyDescent="0.3">
      <c r="CN4972">
        <v>4971</v>
      </c>
    </row>
    <row r="4973" spans="92:92" x14ac:dyDescent="0.3">
      <c r="CN4973">
        <v>4972</v>
      </c>
    </row>
    <row r="4974" spans="92:92" x14ac:dyDescent="0.3">
      <c r="CN4974">
        <v>4973</v>
      </c>
    </row>
    <row r="4975" spans="92:92" x14ac:dyDescent="0.3">
      <c r="CN4975">
        <v>4974</v>
      </c>
    </row>
    <row r="4976" spans="92:92" x14ac:dyDescent="0.3">
      <c r="CN4976">
        <v>4975</v>
      </c>
    </row>
    <row r="4977" spans="92:92" x14ac:dyDescent="0.3">
      <c r="CN4977">
        <v>4976</v>
      </c>
    </row>
    <row r="4978" spans="92:92" x14ac:dyDescent="0.3">
      <c r="CN4978">
        <v>4977</v>
      </c>
    </row>
    <row r="4979" spans="92:92" x14ac:dyDescent="0.3">
      <c r="CN4979">
        <v>4978</v>
      </c>
    </row>
    <row r="4980" spans="92:92" x14ac:dyDescent="0.3">
      <c r="CN4980">
        <v>4979</v>
      </c>
    </row>
    <row r="4981" spans="92:92" x14ac:dyDescent="0.3">
      <c r="CN4981">
        <v>4980</v>
      </c>
    </row>
    <row r="4982" spans="92:92" x14ac:dyDescent="0.3">
      <c r="CN4982">
        <v>4981</v>
      </c>
    </row>
    <row r="4983" spans="92:92" x14ac:dyDescent="0.3">
      <c r="CN4983">
        <v>4982</v>
      </c>
    </row>
    <row r="4984" spans="92:92" x14ac:dyDescent="0.3">
      <c r="CN4984">
        <v>4983</v>
      </c>
    </row>
    <row r="4985" spans="92:92" x14ac:dyDescent="0.3">
      <c r="CN4985">
        <v>4984</v>
      </c>
    </row>
    <row r="4986" spans="92:92" x14ac:dyDescent="0.3">
      <c r="CN4986">
        <v>4985</v>
      </c>
    </row>
    <row r="4987" spans="92:92" x14ac:dyDescent="0.3">
      <c r="CN4987">
        <v>4986</v>
      </c>
    </row>
    <row r="4988" spans="92:92" x14ac:dyDescent="0.3">
      <c r="CN4988">
        <v>4987</v>
      </c>
    </row>
    <row r="4989" spans="92:92" x14ac:dyDescent="0.3">
      <c r="CN4989">
        <v>4988</v>
      </c>
    </row>
    <row r="4990" spans="92:92" x14ac:dyDescent="0.3">
      <c r="CN4990">
        <v>4989</v>
      </c>
    </row>
    <row r="4991" spans="92:92" x14ac:dyDescent="0.3">
      <c r="CN4991">
        <v>4990</v>
      </c>
    </row>
    <row r="4992" spans="92:92" x14ac:dyDescent="0.3">
      <c r="CN4992">
        <v>4991</v>
      </c>
    </row>
    <row r="4993" spans="92:92" x14ac:dyDescent="0.3">
      <c r="CN4993">
        <v>4992</v>
      </c>
    </row>
    <row r="4994" spans="92:92" x14ac:dyDescent="0.3">
      <c r="CN4994">
        <v>4993</v>
      </c>
    </row>
    <row r="4995" spans="92:92" x14ac:dyDescent="0.3">
      <c r="CN4995">
        <v>4994</v>
      </c>
    </row>
    <row r="4996" spans="92:92" x14ac:dyDescent="0.3">
      <c r="CN4996">
        <v>4995</v>
      </c>
    </row>
    <row r="4997" spans="92:92" x14ac:dyDescent="0.3">
      <c r="CN4997">
        <v>4996</v>
      </c>
    </row>
    <row r="4998" spans="92:92" x14ac:dyDescent="0.3">
      <c r="CN4998">
        <v>4997</v>
      </c>
    </row>
    <row r="4999" spans="92:92" x14ac:dyDescent="0.3">
      <c r="CN4999">
        <v>4998</v>
      </c>
    </row>
    <row r="5000" spans="92:92" x14ac:dyDescent="0.3">
      <c r="CN5000">
        <v>4999</v>
      </c>
    </row>
    <row r="5001" spans="92:92" x14ac:dyDescent="0.3">
      <c r="CN5001">
        <v>5000</v>
      </c>
    </row>
    <row r="5002" spans="92:92" x14ac:dyDescent="0.3">
      <c r="CN5002">
        <v>5001</v>
      </c>
    </row>
    <row r="5003" spans="92:92" x14ac:dyDescent="0.3">
      <c r="CN5003">
        <v>5002</v>
      </c>
    </row>
    <row r="5004" spans="92:92" x14ac:dyDescent="0.3">
      <c r="CN5004">
        <v>5003</v>
      </c>
    </row>
    <row r="5005" spans="92:92" x14ac:dyDescent="0.3">
      <c r="CN5005">
        <v>5004</v>
      </c>
    </row>
    <row r="5006" spans="92:92" x14ac:dyDescent="0.3">
      <c r="CN5006">
        <v>5005</v>
      </c>
    </row>
    <row r="5007" spans="92:92" x14ac:dyDescent="0.3">
      <c r="CN5007">
        <v>5006</v>
      </c>
    </row>
    <row r="5008" spans="92:92" x14ac:dyDescent="0.3">
      <c r="CN5008">
        <v>5007</v>
      </c>
    </row>
    <row r="5009" spans="92:92" x14ac:dyDescent="0.3">
      <c r="CN5009">
        <v>5008</v>
      </c>
    </row>
    <row r="5010" spans="92:92" x14ac:dyDescent="0.3">
      <c r="CN5010">
        <v>5009</v>
      </c>
    </row>
    <row r="5011" spans="92:92" x14ac:dyDescent="0.3">
      <c r="CN5011">
        <v>5010</v>
      </c>
    </row>
    <row r="5012" spans="92:92" x14ac:dyDescent="0.3">
      <c r="CN5012">
        <v>5011</v>
      </c>
    </row>
    <row r="5013" spans="92:92" x14ac:dyDescent="0.3">
      <c r="CN5013">
        <v>5012</v>
      </c>
    </row>
    <row r="5014" spans="92:92" x14ac:dyDescent="0.3">
      <c r="CN5014">
        <v>5013</v>
      </c>
    </row>
    <row r="5015" spans="92:92" x14ac:dyDescent="0.3">
      <c r="CN5015">
        <v>5014</v>
      </c>
    </row>
    <row r="5016" spans="92:92" x14ac:dyDescent="0.3">
      <c r="CN5016">
        <v>5015</v>
      </c>
    </row>
    <row r="5017" spans="92:92" x14ac:dyDescent="0.3">
      <c r="CN5017">
        <v>5016</v>
      </c>
    </row>
    <row r="5018" spans="92:92" x14ac:dyDescent="0.3">
      <c r="CN5018">
        <v>5017</v>
      </c>
    </row>
    <row r="5019" spans="92:92" x14ac:dyDescent="0.3">
      <c r="CN5019">
        <v>5018</v>
      </c>
    </row>
    <row r="5020" spans="92:92" x14ac:dyDescent="0.3">
      <c r="CN5020">
        <v>5019</v>
      </c>
    </row>
    <row r="5021" spans="92:92" x14ac:dyDescent="0.3">
      <c r="CN5021">
        <v>5020</v>
      </c>
    </row>
    <row r="5022" spans="92:92" x14ac:dyDescent="0.3">
      <c r="CN5022">
        <v>5021</v>
      </c>
    </row>
    <row r="5023" spans="92:92" x14ac:dyDescent="0.3">
      <c r="CN5023">
        <v>5022</v>
      </c>
    </row>
    <row r="5024" spans="92:92" x14ac:dyDescent="0.3">
      <c r="CN5024">
        <v>5023</v>
      </c>
    </row>
    <row r="5025" spans="92:92" x14ac:dyDescent="0.3">
      <c r="CN5025">
        <v>5024</v>
      </c>
    </row>
    <row r="5026" spans="92:92" x14ac:dyDescent="0.3">
      <c r="CN5026">
        <v>5025</v>
      </c>
    </row>
    <row r="5027" spans="92:92" x14ac:dyDescent="0.3">
      <c r="CN5027">
        <v>5026</v>
      </c>
    </row>
    <row r="5028" spans="92:92" x14ac:dyDescent="0.3">
      <c r="CN5028">
        <v>5027</v>
      </c>
    </row>
    <row r="5029" spans="92:92" x14ac:dyDescent="0.3">
      <c r="CN5029">
        <v>5028</v>
      </c>
    </row>
    <row r="5030" spans="92:92" x14ac:dyDescent="0.3">
      <c r="CN5030">
        <v>5029</v>
      </c>
    </row>
    <row r="5031" spans="92:92" x14ac:dyDescent="0.3">
      <c r="CN5031">
        <v>5030</v>
      </c>
    </row>
    <row r="5032" spans="92:92" x14ac:dyDescent="0.3">
      <c r="CN5032">
        <v>5031</v>
      </c>
    </row>
    <row r="5033" spans="92:92" x14ac:dyDescent="0.3">
      <c r="CN5033">
        <v>5032</v>
      </c>
    </row>
    <row r="5034" spans="92:92" x14ac:dyDescent="0.3">
      <c r="CN5034">
        <v>5033</v>
      </c>
    </row>
    <row r="5035" spans="92:92" x14ac:dyDescent="0.3">
      <c r="CN5035">
        <v>5034</v>
      </c>
    </row>
    <row r="5036" spans="92:92" x14ac:dyDescent="0.3">
      <c r="CN5036">
        <v>5035</v>
      </c>
    </row>
    <row r="5037" spans="92:92" x14ac:dyDescent="0.3">
      <c r="CN5037">
        <v>5036</v>
      </c>
    </row>
    <row r="5038" spans="92:92" x14ac:dyDescent="0.3">
      <c r="CN5038">
        <v>5037</v>
      </c>
    </row>
    <row r="5039" spans="92:92" x14ac:dyDescent="0.3">
      <c r="CN5039">
        <v>5038</v>
      </c>
    </row>
    <row r="5040" spans="92:92" x14ac:dyDescent="0.3">
      <c r="CN5040">
        <v>5039</v>
      </c>
    </row>
    <row r="5041" spans="92:92" x14ac:dyDescent="0.3">
      <c r="CN5041">
        <v>5040</v>
      </c>
    </row>
    <row r="5042" spans="92:92" x14ac:dyDescent="0.3">
      <c r="CN5042">
        <v>5041</v>
      </c>
    </row>
    <row r="5043" spans="92:92" x14ac:dyDescent="0.3">
      <c r="CN5043">
        <v>5042</v>
      </c>
    </row>
    <row r="5044" spans="92:92" x14ac:dyDescent="0.3">
      <c r="CN5044">
        <v>5043</v>
      </c>
    </row>
    <row r="5045" spans="92:92" x14ac:dyDescent="0.3">
      <c r="CN5045">
        <v>5044</v>
      </c>
    </row>
    <row r="5046" spans="92:92" x14ac:dyDescent="0.3">
      <c r="CN5046">
        <v>5045</v>
      </c>
    </row>
    <row r="5047" spans="92:92" x14ac:dyDescent="0.3">
      <c r="CN5047">
        <v>5046</v>
      </c>
    </row>
    <row r="5048" spans="92:92" x14ac:dyDescent="0.3">
      <c r="CN5048">
        <v>5047</v>
      </c>
    </row>
    <row r="5049" spans="92:92" x14ac:dyDescent="0.3">
      <c r="CN5049">
        <v>5048</v>
      </c>
    </row>
    <row r="5050" spans="92:92" x14ac:dyDescent="0.3">
      <c r="CN5050">
        <v>5049</v>
      </c>
    </row>
    <row r="5051" spans="92:92" x14ac:dyDescent="0.3">
      <c r="CN5051">
        <v>5050</v>
      </c>
    </row>
    <row r="5052" spans="92:92" x14ac:dyDescent="0.3">
      <c r="CN5052">
        <v>5051</v>
      </c>
    </row>
    <row r="5053" spans="92:92" x14ac:dyDescent="0.3">
      <c r="CN5053">
        <v>5052</v>
      </c>
    </row>
    <row r="5054" spans="92:92" x14ac:dyDescent="0.3">
      <c r="CN5054">
        <v>5053</v>
      </c>
    </row>
    <row r="5055" spans="92:92" x14ac:dyDescent="0.3">
      <c r="CN5055">
        <v>5054</v>
      </c>
    </row>
    <row r="5056" spans="92:92" x14ac:dyDescent="0.3">
      <c r="CN5056">
        <v>5055</v>
      </c>
    </row>
    <row r="5057" spans="92:92" x14ac:dyDescent="0.3">
      <c r="CN5057">
        <v>5056</v>
      </c>
    </row>
    <row r="5058" spans="92:92" x14ac:dyDescent="0.3">
      <c r="CN5058">
        <v>5057</v>
      </c>
    </row>
    <row r="5059" spans="92:92" x14ac:dyDescent="0.3">
      <c r="CN5059">
        <v>5058</v>
      </c>
    </row>
    <row r="5060" spans="92:92" x14ac:dyDescent="0.3">
      <c r="CN5060">
        <v>5059</v>
      </c>
    </row>
    <row r="5061" spans="92:92" x14ac:dyDescent="0.3">
      <c r="CN5061">
        <v>5060</v>
      </c>
    </row>
    <row r="5062" spans="92:92" x14ac:dyDescent="0.3">
      <c r="CN5062">
        <v>5061</v>
      </c>
    </row>
    <row r="5063" spans="92:92" x14ac:dyDescent="0.3">
      <c r="CN5063">
        <v>5062</v>
      </c>
    </row>
    <row r="5064" spans="92:92" x14ac:dyDescent="0.3">
      <c r="CN5064">
        <v>5063</v>
      </c>
    </row>
    <row r="5065" spans="92:92" x14ac:dyDescent="0.3">
      <c r="CN5065">
        <v>5064</v>
      </c>
    </row>
    <row r="5066" spans="92:92" x14ac:dyDescent="0.3">
      <c r="CN5066">
        <v>5065</v>
      </c>
    </row>
    <row r="5067" spans="92:92" x14ac:dyDescent="0.3">
      <c r="CN5067">
        <v>5066</v>
      </c>
    </row>
    <row r="5068" spans="92:92" x14ac:dyDescent="0.3">
      <c r="CN5068">
        <v>5067</v>
      </c>
    </row>
    <row r="5069" spans="92:92" x14ac:dyDescent="0.3">
      <c r="CN5069">
        <v>5068</v>
      </c>
    </row>
    <row r="5070" spans="92:92" x14ac:dyDescent="0.3">
      <c r="CN5070">
        <v>5069</v>
      </c>
    </row>
    <row r="5071" spans="92:92" x14ac:dyDescent="0.3">
      <c r="CN5071">
        <v>5070</v>
      </c>
    </row>
    <row r="5072" spans="92:92" x14ac:dyDescent="0.3">
      <c r="CN5072">
        <v>5071</v>
      </c>
    </row>
    <row r="5073" spans="92:92" x14ac:dyDescent="0.3">
      <c r="CN5073">
        <v>5072</v>
      </c>
    </row>
    <row r="5074" spans="92:92" x14ac:dyDescent="0.3">
      <c r="CN5074">
        <v>5073</v>
      </c>
    </row>
    <row r="5075" spans="92:92" x14ac:dyDescent="0.3">
      <c r="CN5075">
        <v>5074</v>
      </c>
    </row>
    <row r="5076" spans="92:92" x14ac:dyDescent="0.3">
      <c r="CN5076">
        <v>5075</v>
      </c>
    </row>
    <row r="5077" spans="92:92" x14ac:dyDescent="0.3">
      <c r="CN5077">
        <v>5076</v>
      </c>
    </row>
    <row r="5078" spans="92:92" x14ac:dyDescent="0.3">
      <c r="CN5078">
        <v>5077</v>
      </c>
    </row>
    <row r="5079" spans="92:92" x14ac:dyDescent="0.3">
      <c r="CN5079">
        <v>5078</v>
      </c>
    </row>
    <row r="5080" spans="92:92" x14ac:dyDescent="0.3">
      <c r="CN5080">
        <v>5079</v>
      </c>
    </row>
    <row r="5081" spans="92:92" x14ac:dyDescent="0.3">
      <c r="CN5081">
        <v>5080</v>
      </c>
    </row>
    <row r="5082" spans="92:92" x14ac:dyDescent="0.3">
      <c r="CN5082">
        <v>5081</v>
      </c>
    </row>
    <row r="5083" spans="92:92" x14ac:dyDescent="0.3">
      <c r="CN5083">
        <v>5082</v>
      </c>
    </row>
    <row r="5084" spans="92:92" x14ac:dyDescent="0.3">
      <c r="CN5084">
        <v>5083</v>
      </c>
    </row>
    <row r="5085" spans="92:92" x14ac:dyDescent="0.3">
      <c r="CN5085">
        <v>5084</v>
      </c>
    </row>
    <row r="5086" spans="92:92" x14ac:dyDescent="0.3">
      <c r="CN5086">
        <v>5085</v>
      </c>
    </row>
    <row r="5087" spans="92:92" x14ac:dyDescent="0.3">
      <c r="CN5087">
        <v>5086</v>
      </c>
    </row>
    <row r="5088" spans="92:92" x14ac:dyDescent="0.3">
      <c r="CN5088">
        <v>5087</v>
      </c>
    </row>
    <row r="5089" spans="92:92" x14ac:dyDescent="0.3">
      <c r="CN5089">
        <v>5088</v>
      </c>
    </row>
    <row r="5090" spans="92:92" x14ac:dyDescent="0.3">
      <c r="CN5090">
        <v>5089</v>
      </c>
    </row>
    <row r="5091" spans="92:92" x14ac:dyDescent="0.3">
      <c r="CN5091">
        <v>5090</v>
      </c>
    </row>
    <row r="5092" spans="92:92" x14ac:dyDescent="0.3">
      <c r="CN5092">
        <v>5091</v>
      </c>
    </row>
    <row r="5093" spans="92:92" x14ac:dyDescent="0.3">
      <c r="CN5093">
        <v>5092</v>
      </c>
    </row>
    <row r="5094" spans="92:92" x14ac:dyDescent="0.3">
      <c r="CN5094">
        <v>5093</v>
      </c>
    </row>
    <row r="5095" spans="92:92" x14ac:dyDescent="0.3">
      <c r="CN5095">
        <v>5094</v>
      </c>
    </row>
    <row r="5096" spans="92:92" x14ac:dyDescent="0.3">
      <c r="CN5096">
        <v>5095</v>
      </c>
    </row>
    <row r="5097" spans="92:92" x14ac:dyDescent="0.3">
      <c r="CN5097">
        <v>5096</v>
      </c>
    </row>
    <row r="5098" spans="92:92" x14ac:dyDescent="0.3">
      <c r="CN5098">
        <v>5097</v>
      </c>
    </row>
    <row r="5099" spans="92:92" x14ac:dyDescent="0.3">
      <c r="CN5099">
        <v>5098</v>
      </c>
    </row>
    <row r="5100" spans="92:92" x14ac:dyDescent="0.3">
      <c r="CN5100">
        <v>5099</v>
      </c>
    </row>
    <row r="5101" spans="92:92" x14ac:dyDescent="0.3">
      <c r="CN5101">
        <v>5100</v>
      </c>
    </row>
    <row r="5102" spans="92:92" x14ac:dyDescent="0.3">
      <c r="CN5102">
        <v>5101</v>
      </c>
    </row>
    <row r="5103" spans="92:92" x14ac:dyDescent="0.3">
      <c r="CN5103">
        <v>5102</v>
      </c>
    </row>
    <row r="5104" spans="92:92" x14ac:dyDescent="0.3">
      <c r="CN5104">
        <v>5103</v>
      </c>
    </row>
    <row r="5105" spans="92:92" x14ac:dyDescent="0.3">
      <c r="CN5105">
        <v>5104</v>
      </c>
    </row>
    <row r="5106" spans="92:92" x14ac:dyDescent="0.3">
      <c r="CN5106">
        <v>5105</v>
      </c>
    </row>
    <row r="5107" spans="92:92" x14ac:dyDescent="0.3">
      <c r="CN5107">
        <v>5106</v>
      </c>
    </row>
    <row r="5108" spans="92:92" x14ac:dyDescent="0.3">
      <c r="CN5108">
        <v>5107</v>
      </c>
    </row>
    <row r="5109" spans="92:92" x14ac:dyDescent="0.3">
      <c r="CN5109">
        <v>5108</v>
      </c>
    </row>
    <row r="5110" spans="92:92" x14ac:dyDescent="0.3">
      <c r="CN5110">
        <v>5109</v>
      </c>
    </row>
    <row r="5111" spans="92:92" x14ac:dyDescent="0.3">
      <c r="CN5111">
        <v>5110</v>
      </c>
    </row>
    <row r="5112" spans="92:92" x14ac:dyDescent="0.3">
      <c r="CN5112">
        <v>5111</v>
      </c>
    </row>
    <row r="5113" spans="92:92" x14ac:dyDescent="0.3">
      <c r="CN5113">
        <v>5112</v>
      </c>
    </row>
    <row r="5114" spans="92:92" x14ac:dyDescent="0.3">
      <c r="CN5114">
        <v>5113</v>
      </c>
    </row>
    <row r="5115" spans="92:92" x14ac:dyDescent="0.3">
      <c r="CN5115">
        <v>5114</v>
      </c>
    </row>
    <row r="5116" spans="92:92" x14ac:dyDescent="0.3">
      <c r="CN5116">
        <v>5115</v>
      </c>
    </row>
    <row r="5117" spans="92:92" x14ac:dyDescent="0.3">
      <c r="CN5117">
        <v>5116</v>
      </c>
    </row>
    <row r="5118" spans="92:92" x14ac:dyDescent="0.3">
      <c r="CN5118">
        <v>5117</v>
      </c>
    </row>
    <row r="5119" spans="92:92" x14ac:dyDescent="0.3">
      <c r="CN5119">
        <v>5118</v>
      </c>
    </row>
    <row r="5120" spans="92:92" x14ac:dyDescent="0.3">
      <c r="CN5120">
        <v>5119</v>
      </c>
    </row>
    <row r="5121" spans="92:92" x14ac:dyDescent="0.3">
      <c r="CN5121">
        <v>5120</v>
      </c>
    </row>
    <row r="5122" spans="92:92" x14ac:dyDescent="0.3">
      <c r="CN5122">
        <v>5121</v>
      </c>
    </row>
    <row r="5123" spans="92:92" x14ac:dyDescent="0.3">
      <c r="CN5123">
        <v>5122</v>
      </c>
    </row>
    <row r="5124" spans="92:92" x14ac:dyDescent="0.3">
      <c r="CN5124">
        <v>5123</v>
      </c>
    </row>
    <row r="5125" spans="92:92" x14ac:dyDescent="0.3">
      <c r="CN5125">
        <v>5124</v>
      </c>
    </row>
    <row r="5126" spans="92:92" x14ac:dyDescent="0.3">
      <c r="CN5126">
        <v>5125</v>
      </c>
    </row>
    <row r="5127" spans="92:92" x14ac:dyDescent="0.3">
      <c r="CN5127">
        <v>5126</v>
      </c>
    </row>
    <row r="5128" spans="92:92" x14ac:dyDescent="0.3">
      <c r="CN5128">
        <v>5127</v>
      </c>
    </row>
    <row r="5129" spans="92:92" x14ac:dyDescent="0.3">
      <c r="CN5129">
        <v>5128</v>
      </c>
    </row>
    <row r="5130" spans="92:92" x14ac:dyDescent="0.3">
      <c r="CN5130">
        <v>5129</v>
      </c>
    </row>
    <row r="5131" spans="92:92" x14ac:dyDescent="0.3">
      <c r="CN5131">
        <v>5130</v>
      </c>
    </row>
    <row r="5132" spans="92:92" x14ac:dyDescent="0.3">
      <c r="CN5132">
        <v>5131</v>
      </c>
    </row>
    <row r="5133" spans="92:92" x14ac:dyDescent="0.3">
      <c r="CN5133">
        <v>5132</v>
      </c>
    </row>
    <row r="5134" spans="92:92" x14ac:dyDescent="0.3">
      <c r="CN5134">
        <v>5133</v>
      </c>
    </row>
    <row r="5135" spans="92:92" x14ac:dyDescent="0.3">
      <c r="CN5135">
        <v>5134</v>
      </c>
    </row>
    <row r="5136" spans="92:92" x14ac:dyDescent="0.3">
      <c r="CN5136">
        <v>5135</v>
      </c>
    </row>
    <row r="5137" spans="92:92" x14ac:dyDescent="0.3">
      <c r="CN5137">
        <v>5136</v>
      </c>
    </row>
    <row r="5138" spans="92:92" x14ac:dyDescent="0.3">
      <c r="CN5138">
        <v>5137</v>
      </c>
    </row>
    <row r="5139" spans="92:92" x14ac:dyDescent="0.3">
      <c r="CN5139">
        <v>5138</v>
      </c>
    </row>
    <row r="5140" spans="92:92" x14ac:dyDescent="0.3">
      <c r="CN5140">
        <v>5139</v>
      </c>
    </row>
    <row r="5141" spans="92:92" x14ac:dyDescent="0.3">
      <c r="CN5141">
        <v>5140</v>
      </c>
    </row>
    <row r="5142" spans="92:92" x14ac:dyDescent="0.3">
      <c r="CN5142">
        <v>5141</v>
      </c>
    </row>
    <row r="5143" spans="92:92" x14ac:dyDescent="0.3">
      <c r="CN5143">
        <v>5142</v>
      </c>
    </row>
    <row r="5144" spans="92:92" x14ac:dyDescent="0.3">
      <c r="CN5144">
        <v>5143</v>
      </c>
    </row>
    <row r="5145" spans="92:92" x14ac:dyDescent="0.3">
      <c r="CN5145">
        <v>5144</v>
      </c>
    </row>
    <row r="5146" spans="92:92" x14ac:dyDescent="0.3">
      <c r="CN5146">
        <v>5145</v>
      </c>
    </row>
    <row r="5147" spans="92:92" x14ac:dyDescent="0.3">
      <c r="CN5147">
        <v>5146</v>
      </c>
    </row>
    <row r="5148" spans="92:92" x14ac:dyDescent="0.3">
      <c r="CN5148">
        <v>5147</v>
      </c>
    </row>
    <row r="5149" spans="92:92" x14ac:dyDescent="0.3">
      <c r="CN5149">
        <v>5148</v>
      </c>
    </row>
    <row r="5150" spans="92:92" x14ac:dyDescent="0.3">
      <c r="CN5150">
        <v>5149</v>
      </c>
    </row>
    <row r="5151" spans="92:92" x14ac:dyDescent="0.3">
      <c r="CN5151">
        <v>5150</v>
      </c>
    </row>
    <row r="5152" spans="92:92" x14ac:dyDescent="0.3">
      <c r="CN5152">
        <v>5151</v>
      </c>
    </row>
    <row r="5153" spans="92:92" x14ac:dyDescent="0.3">
      <c r="CN5153">
        <v>5152</v>
      </c>
    </row>
    <row r="5154" spans="92:92" x14ac:dyDescent="0.3">
      <c r="CN5154">
        <v>5153</v>
      </c>
    </row>
    <row r="5155" spans="92:92" x14ac:dyDescent="0.3">
      <c r="CN5155">
        <v>5154</v>
      </c>
    </row>
    <row r="5156" spans="92:92" x14ac:dyDescent="0.3">
      <c r="CN5156">
        <v>5155</v>
      </c>
    </row>
    <row r="5157" spans="92:92" x14ac:dyDescent="0.3">
      <c r="CN5157">
        <v>5156</v>
      </c>
    </row>
    <row r="5158" spans="92:92" x14ac:dyDescent="0.3">
      <c r="CN5158">
        <v>5157</v>
      </c>
    </row>
    <row r="5159" spans="92:92" x14ac:dyDescent="0.3">
      <c r="CN5159">
        <v>5158</v>
      </c>
    </row>
    <row r="5160" spans="92:92" x14ac:dyDescent="0.3">
      <c r="CN5160">
        <v>5159</v>
      </c>
    </row>
    <row r="5161" spans="92:92" x14ac:dyDescent="0.3">
      <c r="CN5161">
        <v>5160</v>
      </c>
    </row>
    <row r="5162" spans="92:92" x14ac:dyDescent="0.3">
      <c r="CN5162">
        <v>5161</v>
      </c>
    </row>
    <row r="5163" spans="92:92" x14ac:dyDescent="0.3">
      <c r="CN5163">
        <v>5162</v>
      </c>
    </row>
    <row r="5164" spans="92:92" x14ac:dyDescent="0.3">
      <c r="CN5164">
        <v>5163</v>
      </c>
    </row>
    <row r="5165" spans="92:92" x14ac:dyDescent="0.3">
      <c r="CN5165">
        <v>5164</v>
      </c>
    </row>
    <row r="5166" spans="92:92" x14ac:dyDescent="0.3">
      <c r="CN5166">
        <v>5165</v>
      </c>
    </row>
    <row r="5167" spans="92:92" x14ac:dyDescent="0.3">
      <c r="CN5167">
        <v>5166</v>
      </c>
    </row>
    <row r="5168" spans="92:92" x14ac:dyDescent="0.3">
      <c r="CN5168">
        <v>5167</v>
      </c>
    </row>
    <row r="5169" spans="92:92" x14ac:dyDescent="0.3">
      <c r="CN5169">
        <v>5168</v>
      </c>
    </row>
    <row r="5170" spans="92:92" x14ac:dyDescent="0.3">
      <c r="CN5170">
        <v>5169</v>
      </c>
    </row>
    <row r="5171" spans="92:92" x14ac:dyDescent="0.3">
      <c r="CN5171">
        <v>5170</v>
      </c>
    </row>
    <row r="5172" spans="92:92" x14ac:dyDescent="0.3">
      <c r="CN5172">
        <v>5171</v>
      </c>
    </row>
    <row r="5173" spans="92:92" x14ac:dyDescent="0.3">
      <c r="CN5173">
        <v>5172</v>
      </c>
    </row>
    <row r="5174" spans="92:92" x14ac:dyDescent="0.3">
      <c r="CN5174">
        <v>5173</v>
      </c>
    </row>
    <row r="5175" spans="92:92" x14ac:dyDescent="0.3">
      <c r="CN5175">
        <v>5174</v>
      </c>
    </row>
    <row r="5176" spans="92:92" x14ac:dyDescent="0.3">
      <c r="CN5176">
        <v>5175</v>
      </c>
    </row>
    <row r="5177" spans="92:92" x14ac:dyDescent="0.3">
      <c r="CN5177">
        <v>5176</v>
      </c>
    </row>
    <row r="5178" spans="92:92" x14ac:dyDescent="0.3">
      <c r="CN5178">
        <v>5177</v>
      </c>
    </row>
    <row r="5179" spans="92:92" x14ac:dyDescent="0.3">
      <c r="CN5179">
        <v>5178</v>
      </c>
    </row>
    <row r="5180" spans="92:92" x14ac:dyDescent="0.3">
      <c r="CN5180">
        <v>5179</v>
      </c>
    </row>
    <row r="5181" spans="92:92" x14ac:dyDescent="0.3">
      <c r="CN5181">
        <v>5180</v>
      </c>
    </row>
    <row r="5182" spans="92:92" x14ac:dyDescent="0.3">
      <c r="CN5182">
        <v>5181</v>
      </c>
    </row>
    <row r="5183" spans="92:92" x14ac:dyDescent="0.3">
      <c r="CN5183">
        <v>5182</v>
      </c>
    </row>
    <row r="5184" spans="92:92" x14ac:dyDescent="0.3">
      <c r="CN5184">
        <v>5183</v>
      </c>
    </row>
    <row r="5185" spans="92:92" x14ac:dyDescent="0.3">
      <c r="CN5185">
        <v>5184</v>
      </c>
    </row>
    <row r="5186" spans="92:92" x14ac:dyDescent="0.3">
      <c r="CN5186">
        <v>5185</v>
      </c>
    </row>
    <row r="5187" spans="92:92" x14ac:dyDescent="0.3">
      <c r="CN5187">
        <v>5186</v>
      </c>
    </row>
    <row r="5188" spans="92:92" x14ac:dyDescent="0.3">
      <c r="CN5188">
        <v>5187</v>
      </c>
    </row>
    <row r="5189" spans="92:92" x14ac:dyDescent="0.3">
      <c r="CN5189">
        <v>5188</v>
      </c>
    </row>
    <row r="5190" spans="92:92" x14ac:dyDescent="0.3">
      <c r="CN5190">
        <v>5189</v>
      </c>
    </row>
    <row r="5191" spans="92:92" x14ac:dyDescent="0.3">
      <c r="CN5191">
        <v>5190</v>
      </c>
    </row>
    <row r="5192" spans="92:92" x14ac:dyDescent="0.3">
      <c r="CN5192">
        <v>5191</v>
      </c>
    </row>
    <row r="5193" spans="92:92" x14ac:dyDescent="0.3">
      <c r="CN5193">
        <v>5192</v>
      </c>
    </row>
    <row r="5194" spans="92:92" x14ac:dyDescent="0.3">
      <c r="CN5194">
        <v>5193</v>
      </c>
    </row>
    <row r="5195" spans="92:92" x14ac:dyDescent="0.3">
      <c r="CN5195">
        <v>5194</v>
      </c>
    </row>
    <row r="5196" spans="92:92" x14ac:dyDescent="0.3">
      <c r="CN5196">
        <v>5195</v>
      </c>
    </row>
    <row r="5197" spans="92:92" x14ac:dyDescent="0.3">
      <c r="CN5197">
        <v>5196</v>
      </c>
    </row>
    <row r="5198" spans="92:92" x14ac:dyDescent="0.3">
      <c r="CN5198">
        <v>5197</v>
      </c>
    </row>
    <row r="5199" spans="92:92" x14ac:dyDescent="0.3">
      <c r="CN5199">
        <v>5198</v>
      </c>
    </row>
    <row r="5200" spans="92:92" x14ac:dyDescent="0.3">
      <c r="CN5200">
        <v>5199</v>
      </c>
    </row>
    <row r="5201" spans="92:92" x14ac:dyDescent="0.3">
      <c r="CN5201">
        <v>5200</v>
      </c>
    </row>
    <row r="5202" spans="92:92" x14ac:dyDescent="0.3">
      <c r="CN5202">
        <v>5201</v>
      </c>
    </row>
    <row r="5203" spans="92:92" x14ac:dyDescent="0.3">
      <c r="CN5203">
        <v>5202</v>
      </c>
    </row>
    <row r="5204" spans="92:92" x14ac:dyDescent="0.3">
      <c r="CN5204">
        <v>5203</v>
      </c>
    </row>
    <row r="5205" spans="92:92" x14ac:dyDescent="0.3">
      <c r="CN5205">
        <v>5204</v>
      </c>
    </row>
    <row r="5206" spans="92:92" x14ac:dyDescent="0.3">
      <c r="CN5206">
        <v>5205</v>
      </c>
    </row>
    <row r="5207" spans="92:92" x14ac:dyDescent="0.3">
      <c r="CN5207">
        <v>5206</v>
      </c>
    </row>
    <row r="5208" spans="92:92" x14ac:dyDescent="0.3">
      <c r="CN5208">
        <v>5207</v>
      </c>
    </row>
    <row r="5209" spans="92:92" x14ac:dyDescent="0.3">
      <c r="CN5209">
        <v>5208</v>
      </c>
    </row>
    <row r="5210" spans="92:92" x14ac:dyDescent="0.3">
      <c r="CN5210">
        <v>5209</v>
      </c>
    </row>
    <row r="5211" spans="92:92" x14ac:dyDescent="0.3">
      <c r="CN5211">
        <v>5210</v>
      </c>
    </row>
    <row r="5212" spans="92:92" x14ac:dyDescent="0.3">
      <c r="CN5212">
        <v>5211</v>
      </c>
    </row>
    <row r="5213" spans="92:92" x14ac:dyDescent="0.3">
      <c r="CN5213">
        <v>5212</v>
      </c>
    </row>
    <row r="5214" spans="92:92" x14ac:dyDescent="0.3">
      <c r="CN5214">
        <v>5213</v>
      </c>
    </row>
    <row r="5215" spans="92:92" x14ac:dyDescent="0.3">
      <c r="CN5215">
        <v>5214</v>
      </c>
    </row>
    <row r="5216" spans="92:92" x14ac:dyDescent="0.3">
      <c r="CN5216">
        <v>5215</v>
      </c>
    </row>
    <row r="5217" spans="92:92" x14ac:dyDescent="0.3">
      <c r="CN5217">
        <v>5216</v>
      </c>
    </row>
    <row r="5218" spans="92:92" x14ac:dyDescent="0.3">
      <c r="CN5218">
        <v>5217</v>
      </c>
    </row>
    <row r="5219" spans="92:92" x14ac:dyDescent="0.3">
      <c r="CN5219">
        <v>5218</v>
      </c>
    </row>
    <row r="5220" spans="92:92" x14ac:dyDescent="0.3">
      <c r="CN5220">
        <v>5219</v>
      </c>
    </row>
    <row r="5221" spans="92:92" x14ac:dyDescent="0.3">
      <c r="CN5221">
        <v>5220</v>
      </c>
    </row>
    <row r="5222" spans="92:92" x14ac:dyDescent="0.3">
      <c r="CN5222">
        <v>5221</v>
      </c>
    </row>
    <row r="5223" spans="92:92" x14ac:dyDescent="0.3">
      <c r="CN5223">
        <v>5222</v>
      </c>
    </row>
    <row r="5224" spans="92:92" x14ac:dyDescent="0.3">
      <c r="CN5224">
        <v>5223</v>
      </c>
    </row>
    <row r="5225" spans="92:92" x14ac:dyDescent="0.3">
      <c r="CN5225">
        <v>5224</v>
      </c>
    </row>
    <row r="5226" spans="92:92" x14ac:dyDescent="0.3">
      <c r="CN5226">
        <v>5225</v>
      </c>
    </row>
    <row r="5227" spans="92:92" x14ac:dyDescent="0.3">
      <c r="CN5227">
        <v>5226</v>
      </c>
    </row>
    <row r="5228" spans="92:92" x14ac:dyDescent="0.3">
      <c r="CN5228">
        <v>5227</v>
      </c>
    </row>
    <row r="5229" spans="92:92" x14ac:dyDescent="0.3">
      <c r="CN5229">
        <v>5228</v>
      </c>
    </row>
    <row r="5230" spans="92:92" x14ac:dyDescent="0.3">
      <c r="CN5230">
        <v>5229</v>
      </c>
    </row>
    <row r="5231" spans="92:92" x14ac:dyDescent="0.3">
      <c r="CN5231">
        <v>5230</v>
      </c>
    </row>
    <row r="5232" spans="92:92" x14ac:dyDescent="0.3">
      <c r="CN5232">
        <v>5231</v>
      </c>
    </row>
    <row r="5233" spans="92:92" x14ac:dyDescent="0.3">
      <c r="CN5233">
        <v>5232</v>
      </c>
    </row>
    <row r="5234" spans="92:92" x14ac:dyDescent="0.3">
      <c r="CN5234">
        <v>5233</v>
      </c>
    </row>
    <row r="5235" spans="92:92" x14ac:dyDescent="0.3">
      <c r="CN5235">
        <v>5234</v>
      </c>
    </row>
    <row r="5236" spans="92:92" x14ac:dyDescent="0.3">
      <c r="CN5236">
        <v>5235</v>
      </c>
    </row>
    <row r="5237" spans="92:92" x14ac:dyDescent="0.3">
      <c r="CN5237">
        <v>5236</v>
      </c>
    </row>
    <row r="5238" spans="92:92" x14ac:dyDescent="0.3">
      <c r="CN5238">
        <v>5237</v>
      </c>
    </row>
    <row r="5239" spans="92:92" x14ac:dyDescent="0.3">
      <c r="CN5239">
        <v>5238</v>
      </c>
    </row>
    <row r="5240" spans="92:92" x14ac:dyDescent="0.3">
      <c r="CN5240">
        <v>5239</v>
      </c>
    </row>
    <row r="5241" spans="92:92" x14ac:dyDescent="0.3">
      <c r="CN5241">
        <v>5240</v>
      </c>
    </row>
    <row r="5242" spans="92:92" x14ac:dyDescent="0.3">
      <c r="CN5242">
        <v>5241</v>
      </c>
    </row>
    <row r="5243" spans="92:92" x14ac:dyDescent="0.3">
      <c r="CN5243">
        <v>5242</v>
      </c>
    </row>
    <row r="5244" spans="92:92" x14ac:dyDescent="0.3">
      <c r="CN5244">
        <v>5243</v>
      </c>
    </row>
    <row r="5245" spans="92:92" x14ac:dyDescent="0.3">
      <c r="CN5245">
        <v>5244</v>
      </c>
    </row>
    <row r="5246" spans="92:92" x14ac:dyDescent="0.3">
      <c r="CN5246">
        <v>5245</v>
      </c>
    </row>
    <row r="5247" spans="92:92" x14ac:dyDescent="0.3">
      <c r="CN5247">
        <v>5246</v>
      </c>
    </row>
    <row r="5248" spans="92:92" x14ac:dyDescent="0.3">
      <c r="CN5248">
        <v>5247</v>
      </c>
    </row>
    <row r="5249" spans="92:92" x14ac:dyDescent="0.3">
      <c r="CN5249">
        <v>5248</v>
      </c>
    </row>
    <row r="5250" spans="92:92" x14ac:dyDescent="0.3">
      <c r="CN5250">
        <v>5249</v>
      </c>
    </row>
    <row r="5251" spans="92:92" x14ac:dyDescent="0.3">
      <c r="CN5251">
        <v>5250</v>
      </c>
    </row>
    <row r="5252" spans="92:92" x14ac:dyDescent="0.3">
      <c r="CN5252">
        <v>5251</v>
      </c>
    </row>
    <row r="5253" spans="92:92" x14ac:dyDescent="0.3">
      <c r="CN5253">
        <v>5252</v>
      </c>
    </row>
    <row r="5254" spans="92:92" x14ac:dyDescent="0.3">
      <c r="CN5254">
        <v>5253</v>
      </c>
    </row>
    <row r="5255" spans="92:92" x14ac:dyDescent="0.3">
      <c r="CN5255">
        <v>5254</v>
      </c>
    </row>
    <row r="5256" spans="92:92" x14ac:dyDescent="0.3">
      <c r="CN5256">
        <v>5255</v>
      </c>
    </row>
    <row r="5257" spans="92:92" x14ac:dyDescent="0.3">
      <c r="CN5257">
        <v>5256</v>
      </c>
    </row>
    <row r="5258" spans="92:92" x14ac:dyDescent="0.3">
      <c r="CN5258">
        <v>5257</v>
      </c>
    </row>
    <row r="5259" spans="92:92" x14ac:dyDescent="0.3">
      <c r="CN5259">
        <v>5258</v>
      </c>
    </row>
    <row r="5260" spans="92:92" x14ac:dyDescent="0.3">
      <c r="CN5260">
        <v>5259</v>
      </c>
    </row>
    <row r="5261" spans="92:92" x14ac:dyDescent="0.3">
      <c r="CN5261">
        <v>5260</v>
      </c>
    </row>
    <row r="5262" spans="92:92" x14ac:dyDescent="0.3">
      <c r="CN5262">
        <v>5261</v>
      </c>
    </row>
    <row r="5263" spans="92:92" x14ac:dyDescent="0.3">
      <c r="CN5263">
        <v>5262</v>
      </c>
    </row>
    <row r="5264" spans="92:92" x14ac:dyDescent="0.3">
      <c r="CN5264">
        <v>5263</v>
      </c>
    </row>
    <row r="5265" spans="92:92" x14ac:dyDescent="0.3">
      <c r="CN5265">
        <v>5264</v>
      </c>
    </row>
    <row r="5266" spans="92:92" x14ac:dyDescent="0.3">
      <c r="CN5266">
        <v>5265</v>
      </c>
    </row>
    <row r="5267" spans="92:92" x14ac:dyDescent="0.3">
      <c r="CN5267">
        <v>5266</v>
      </c>
    </row>
    <row r="5268" spans="92:92" x14ac:dyDescent="0.3">
      <c r="CN5268">
        <v>5267</v>
      </c>
    </row>
    <row r="5269" spans="92:92" x14ac:dyDescent="0.3">
      <c r="CN5269">
        <v>5268</v>
      </c>
    </row>
    <row r="5270" spans="92:92" x14ac:dyDescent="0.3">
      <c r="CN5270">
        <v>5269</v>
      </c>
    </row>
    <row r="5271" spans="92:92" x14ac:dyDescent="0.3">
      <c r="CN5271">
        <v>5270</v>
      </c>
    </row>
    <row r="5272" spans="92:92" x14ac:dyDescent="0.3">
      <c r="CN5272">
        <v>5271</v>
      </c>
    </row>
    <row r="5273" spans="92:92" x14ac:dyDescent="0.3">
      <c r="CN5273">
        <v>5272</v>
      </c>
    </row>
    <row r="5274" spans="92:92" x14ac:dyDescent="0.3">
      <c r="CN5274">
        <v>5273</v>
      </c>
    </row>
    <row r="5275" spans="92:92" x14ac:dyDescent="0.3">
      <c r="CN5275">
        <v>5274</v>
      </c>
    </row>
    <row r="5276" spans="92:92" x14ac:dyDescent="0.3">
      <c r="CN5276">
        <v>5275</v>
      </c>
    </row>
    <row r="5277" spans="92:92" x14ac:dyDescent="0.3">
      <c r="CN5277">
        <v>5276</v>
      </c>
    </row>
    <row r="5278" spans="92:92" x14ac:dyDescent="0.3">
      <c r="CN5278">
        <v>5277</v>
      </c>
    </row>
    <row r="5279" spans="92:92" x14ac:dyDescent="0.3">
      <c r="CN5279">
        <v>5278</v>
      </c>
    </row>
    <row r="5280" spans="92:92" x14ac:dyDescent="0.3">
      <c r="CN5280">
        <v>5279</v>
      </c>
    </row>
    <row r="5281" spans="92:92" x14ac:dyDescent="0.3">
      <c r="CN5281">
        <v>5280</v>
      </c>
    </row>
    <row r="5282" spans="92:92" x14ac:dyDescent="0.3">
      <c r="CN5282">
        <v>5281</v>
      </c>
    </row>
    <row r="5283" spans="92:92" x14ac:dyDescent="0.3">
      <c r="CN5283">
        <v>5282</v>
      </c>
    </row>
    <row r="5284" spans="92:92" x14ac:dyDescent="0.3">
      <c r="CN5284">
        <v>5283</v>
      </c>
    </row>
    <row r="5285" spans="92:92" x14ac:dyDescent="0.3">
      <c r="CN5285">
        <v>5284</v>
      </c>
    </row>
    <row r="5286" spans="92:92" x14ac:dyDescent="0.3">
      <c r="CN5286">
        <v>5285</v>
      </c>
    </row>
    <row r="5287" spans="92:92" x14ac:dyDescent="0.3">
      <c r="CN5287">
        <v>5286</v>
      </c>
    </row>
    <row r="5288" spans="92:92" x14ac:dyDescent="0.3">
      <c r="CN5288">
        <v>5287</v>
      </c>
    </row>
    <row r="5289" spans="92:92" x14ac:dyDescent="0.3">
      <c r="CN5289">
        <v>5288</v>
      </c>
    </row>
    <row r="5290" spans="92:92" x14ac:dyDescent="0.3">
      <c r="CN5290">
        <v>5289</v>
      </c>
    </row>
    <row r="5291" spans="92:92" x14ac:dyDescent="0.3">
      <c r="CN5291">
        <v>5290</v>
      </c>
    </row>
    <row r="5292" spans="92:92" x14ac:dyDescent="0.3">
      <c r="CN5292">
        <v>5291</v>
      </c>
    </row>
    <row r="5293" spans="92:92" x14ac:dyDescent="0.3">
      <c r="CN5293">
        <v>5292</v>
      </c>
    </row>
    <row r="5294" spans="92:92" x14ac:dyDescent="0.3">
      <c r="CN5294">
        <v>5293</v>
      </c>
    </row>
    <row r="5295" spans="92:92" x14ac:dyDescent="0.3">
      <c r="CN5295">
        <v>5294</v>
      </c>
    </row>
    <row r="5296" spans="92:92" x14ac:dyDescent="0.3">
      <c r="CN5296">
        <v>5295</v>
      </c>
    </row>
    <row r="5297" spans="92:92" x14ac:dyDescent="0.3">
      <c r="CN5297">
        <v>5296</v>
      </c>
    </row>
    <row r="5298" spans="92:92" x14ac:dyDescent="0.3">
      <c r="CN5298">
        <v>5297</v>
      </c>
    </row>
    <row r="5299" spans="92:92" x14ac:dyDescent="0.3">
      <c r="CN5299">
        <v>5298</v>
      </c>
    </row>
    <row r="5300" spans="92:92" x14ac:dyDescent="0.3">
      <c r="CN5300">
        <v>5299</v>
      </c>
    </row>
    <row r="5301" spans="92:92" x14ac:dyDescent="0.3">
      <c r="CN5301">
        <v>5300</v>
      </c>
    </row>
    <row r="5302" spans="92:92" x14ac:dyDescent="0.3">
      <c r="CN5302">
        <v>5301</v>
      </c>
    </row>
    <row r="5303" spans="92:92" x14ac:dyDescent="0.3">
      <c r="CN5303">
        <v>5302</v>
      </c>
    </row>
    <row r="5304" spans="92:92" x14ac:dyDescent="0.3">
      <c r="CN5304">
        <v>5303</v>
      </c>
    </row>
    <row r="5305" spans="92:92" x14ac:dyDescent="0.3">
      <c r="CN5305">
        <v>5304</v>
      </c>
    </row>
    <row r="5306" spans="92:92" x14ac:dyDescent="0.3">
      <c r="CN5306">
        <v>5305</v>
      </c>
    </row>
    <row r="5307" spans="92:92" x14ac:dyDescent="0.3">
      <c r="CN5307">
        <v>5306</v>
      </c>
    </row>
    <row r="5308" spans="92:92" x14ac:dyDescent="0.3">
      <c r="CN5308">
        <v>5307</v>
      </c>
    </row>
    <row r="5309" spans="92:92" x14ac:dyDescent="0.3">
      <c r="CN5309">
        <v>5308</v>
      </c>
    </row>
    <row r="5310" spans="92:92" x14ac:dyDescent="0.3">
      <c r="CN5310">
        <v>5309</v>
      </c>
    </row>
    <row r="5311" spans="92:92" x14ac:dyDescent="0.3">
      <c r="CN5311">
        <v>5310</v>
      </c>
    </row>
    <row r="5312" spans="92:92" x14ac:dyDescent="0.3">
      <c r="CN5312">
        <v>5311</v>
      </c>
    </row>
    <row r="5313" spans="92:92" x14ac:dyDescent="0.3">
      <c r="CN5313">
        <v>5312</v>
      </c>
    </row>
    <row r="5314" spans="92:92" x14ac:dyDescent="0.3">
      <c r="CN5314">
        <v>5313</v>
      </c>
    </row>
    <row r="5315" spans="92:92" x14ac:dyDescent="0.3">
      <c r="CN5315">
        <v>5314</v>
      </c>
    </row>
    <row r="5316" spans="92:92" x14ac:dyDescent="0.3">
      <c r="CN5316">
        <v>5315</v>
      </c>
    </row>
    <row r="5317" spans="92:92" x14ac:dyDescent="0.3">
      <c r="CN5317">
        <v>5316</v>
      </c>
    </row>
    <row r="5318" spans="92:92" x14ac:dyDescent="0.3">
      <c r="CN5318">
        <v>5317</v>
      </c>
    </row>
    <row r="5319" spans="92:92" x14ac:dyDescent="0.3">
      <c r="CN5319">
        <v>5318</v>
      </c>
    </row>
    <row r="5320" spans="92:92" x14ac:dyDescent="0.3">
      <c r="CN5320">
        <v>5319</v>
      </c>
    </row>
    <row r="5321" spans="92:92" x14ac:dyDescent="0.3">
      <c r="CN5321">
        <v>5320</v>
      </c>
    </row>
    <row r="5322" spans="92:92" x14ac:dyDescent="0.3">
      <c r="CN5322">
        <v>5321</v>
      </c>
    </row>
    <row r="5323" spans="92:92" x14ac:dyDescent="0.3">
      <c r="CN5323">
        <v>5322</v>
      </c>
    </row>
    <row r="5324" spans="92:92" x14ac:dyDescent="0.3">
      <c r="CN5324">
        <v>5323</v>
      </c>
    </row>
    <row r="5325" spans="92:92" x14ac:dyDescent="0.3">
      <c r="CN5325">
        <v>5324</v>
      </c>
    </row>
    <row r="5326" spans="92:92" x14ac:dyDescent="0.3">
      <c r="CN5326">
        <v>5325</v>
      </c>
    </row>
    <row r="5327" spans="92:92" x14ac:dyDescent="0.3">
      <c r="CN5327">
        <v>5326</v>
      </c>
    </row>
    <row r="5328" spans="92:92" x14ac:dyDescent="0.3">
      <c r="CN5328">
        <v>5327</v>
      </c>
    </row>
    <row r="5329" spans="92:92" x14ac:dyDescent="0.3">
      <c r="CN5329">
        <v>5328</v>
      </c>
    </row>
    <row r="5330" spans="92:92" x14ac:dyDescent="0.3">
      <c r="CN5330">
        <v>5329</v>
      </c>
    </row>
    <row r="5331" spans="92:92" x14ac:dyDescent="0.3">
      <c r="CN5331">
        <v>5330</v>
      </c>
    </row>
    <row r="5332" spans="92:92" x14ac:dyDescent="0.3">
      <c r="CN5332">
        <v>5331</v>
      </c>
    </row>
    <row r="5333" spans="92:92" x14ac:dyDescent="0.3">
      <c r="CN5333">
        <v>5332</v>
      </c>
    </row>
    <row r="5334" spans="92:92" x14ac:dyDescent="0.3">
      <c r="CN5334">
        <v>5333</v>
      </c>
    </row>
    <row r="5335" spans="92:92" x14ac:dyDescent="0.3">
      <c r="CN5335">
        <v>5334</v>
      </c>
    </row>
    <row r="5336" spans="92:92" x14ac:dyDescent="0.3">
      <c r="CN5336">
        <v>5335</v>
      </c>
    </row>
    <row r="5337" spans="92:92" x14ac:dyDescent="0.3">
      <c r="CN5337">
        <v>5336</v>
      </c>
    </row>
    <row r="5338" spans="92:92" x14ac:dyDescent="0.3">
      <c r="CN5338">
        <v>5337</v>
      </c>
    </row>
    <row r="5339" spans="92:92" x14ac:dyDescent="0.3">
      <c r="CN5339">
        <v>5338</v>
      </c>
    </row>
    <row r="5340" spans="92:92" x14ac:dyDescent="0.3">
      <c r="CN5340">
        <v>5339</v>
      </c>
    </row>
    <row r="5341" spans="92:92" x14ac:dyDescent="0.3">
      <c r="CN5341">
        <v>5340</v>
      </c>
    </row>
    <row r="5342" spans="92:92" x14ac:dyDescent="0.3">
      <c r="CN5342">
        <v>5341</v>
      </c>
    </row>
    <row r="5343" spans="92:92" x14ac:dyDescent="0.3">
      <c r="CN5343">
        <v>5342</v>
      </c>
    </row>
    <row r="5344" spans="92:92" x14ac:dyDescent="0.3">
      <c r="CN5344">
        <v>5343</v>
      </c>
    </row>
    <row r="5345" spans="92:92" x14ac:dyDescent="0.3">
      <c r="CN5345">
        <v>5344</v>
      </c>
    </row>
    <row r="5346" spans="92:92" x14ac:dyDescent="0.3">
      <c r="CN5346">
        <v>5345</v>
      </c>
    </row>
    <row r="5347" spans="92:92" x14ac:dyDescent="0.3">
      <c r="CN5347">
        <v>5346</v>
      </c>
    </row>
    <row r="5348" spans="92:92" x14ac:dyDescent="0.3">
      <c r="CN5348">
        <v>5347</v>
      </c>
    </row>
    <row r="5349" spans="92:92" x14ac:dyDescent="0.3">
      <c r="CN5349">
        <v>5348</v>
      </c>
    </row>
    <row r="5350" spans="92:92" x14ac:dyDescent="0.3">
      <c r="CN5350">
        <v>5349</v>
      </c>
    </row>
    <row r="5351" spans="92:92" x14ac:dyDescent="0.3">
      <c r="CN5351">
        <v>5350</v>
      </c>
    </row>
    <row r="5352" spans="92:92" x14ac:dyDescent="0.3">
      <c r="CN5352">
        <v>5351</v>
      </c>
    </row>
    <row r="5353" spans="92:92" x14ac:dyDescent="0.3">
      <c r="CN5353">
        <v>5352</v>
      </c>
    </row>
    <row r="5354" spans="92:92" x14ac:dyDescent="0.3">
      <c r="CN5354">
        <v>5353</v>
      </c>
    </row>
    <row r="5355" spans="92:92" x14ac:dyDescent="0.3">
      <c r="CN5355">
        <v>5354</v>
      </c>
    </row>
    <row r="5356" spans="92:92" x14ac:dyDescent="0.3">
      <c r="CN5356">
        <v>5355</v>
      </c>
    </row>
    <row r="5357" spans="92:92" x14ac:dyDescent="0.3">
      <c r="CN5357">
        <v>5356</v>
      </c>
    </row>
    <row r="5358" spans="92:92" x14ac:dyDescent="0.3">
      <c r="CN5358">
        <v>5357</v>
      </c>
    </row>
    <row r="5359" spans="92:92" x14ac:dyDescent="0.3">
      <c r="CN5359">
        <v>5358</v>
      </c>
    </row>
    <row r="5360" spans="92:92" x14ac:dyDescent="0.3">
      <c r="CN5360">
        <v>5359</v>
      </c>
    </row>
    <row r="5361" spans="92:92" x14ac:dyDescent="0.3">
      <c r="CN5361">
        <v>5360</v>
      </c>
    </row>
    <row r="5362" spans="92:92" x14ac:dyDescent="0.3">
      <c r="CN5362">
        <v>5361</v>
      </c>
    </row>
    <row r="5363" spans="92:92" x14ac:dyDescent="0.3">
      <c r="CN5363">
        <v>5362</v>
      </c>
    </row>
    <row r="5364" spans="92:92" x14ac:dyDescent="0.3">
      <c r="CN5364">
        <v>5363</v>
      </c>
    </row>
    <row r="5365" spans="92:92" x14ac:dyDescent="0.3">
      <c r="CN5365">
        <v>5364</v>
      </c>
    </row>
    <row r="5366" spans="92:92" x14ac:dyDescent="0.3">
      <c r="CN5366">
        <v>5365</v>
      </c>
    </row>
    <row r="5367" spans="92:92" x14ac:dyDescent="0.3">
      <c r="CN5367">
        <v>5366</v>
      </c>
    </row>
    <row r="5368" spans="92:92" x14ac:dyDescent="0.3">
      <c r="CN5368">
        <v>5367</v>
      </c>
    </row>
    <row r="5369" spans="92:92" x14ac:dyDescent="0.3">
      <c r="CN5369">
        <v>5368</v>
      </c>
    </row>
    <row r="5370" spans="92:92" x14ac:dyDescent="0.3">
      <c r="CN5370">
        <v>5369</v>
      </c>
    </row>
    <row r="5371" spans="92:92" x14ac:dyDescent="0.3">
      <c r="CN5371">
        <v>5370</v>
      </c>
    </row>
    <row r="5372" spans="92:92" x14ac:dyDescent="0.3">
      <c r="CN5372">
        <v>5371</v>
      </c>
    </row>
    <row r="5373" spans="92:92" x14ac:dyDescent="0.3">
      <c r="CN5373">
        <v>5372</v>
      </c>
    </row>
    <row r="5374" spans="92:92" x14ac:dyDescent="0.3">
      <c r="CN5374">
        <v>5373</v>
      </c>
    </row>
    <row r="5375" spans="92:92" x14ac:dyDescent="0.3">
      <c r="CN5375">
        <v>5374</v>
      </c>
    </row>
    <row r="5376" spans="92:92" x14ac:dyDescent="0.3">
      <c r="CN5376">
        <v>5375</v>
      </c>
    </row>
    <row r="5377" spans="92:92" x14ac:dyDescent="0.3">
      <c r="CN5377">
        <v>5376</v>
      </c>
    </row>
    <row r="5378" spans="92:92" x14ac:dyDescent="0.3">
      <c r="CN5378">
        <v>5377</v>
      </c>
    </row>
    <row r="5379" spans="92:92" x14ac:dyDescent="0.3">
      <c r="CN5379">
        <v>5378</v>
      </c>
    </row>
    <row r="5380" spans="92:92" x14ac:dyDescent="0.3">
      <c r="CN5380">
        <v>5379</v>
      </c>
    </row>
    <row r="5381" spans="92:92" x14ac:dyDescent="0.3">
      <c r="CN5381">
        <v>5380</v>
      </c>
    </row>
    <row r="5382" spans="92:92" x14ac:dyDescent="0.3">
      <c r="CN5382">
        <v>5381</v>
      </c>
    </row>
    <row r="5383" spans="92:92" x14ac:dyDescent="0.3">
      <c r="CN5383">
        <v>5382</v>
      </c>
    </row>
    <row r="5384" spans="92:92" x14ac:dyDescent="0.3">
      <c r="CN5384">
        <v>5383</v>
      </c>
    </row>
    <row r="5385" spans="92:92" x14ac:dyDescent="0.3">
      <c r="CN5385">
        <v>5384</v>
      </c>
    </row>
    <row r="5386" spans="92:92" x14ac:dyDescent="0.3">
      <c r="CN5386">
        <v>5385</v>
      </c>
    </row>
    <row r="5387" spans="92:92" x14ac:dyDescent="0.3">
      <c r="CN5387">
        <v>5386</v>
      </c>
    </row>
    <row r="5388" spans="92:92" x14ac:dyDescent="0.3">
      <c r="CN5388">
        <v>5387</v>
      </c>
    </row>
    <row r="5389" spans="92:92" x14ac:dyDescent="0.3">
      <c r="CN5389">
        <v>5388</v>
      </c>
    </row>
    <row r="5390" spans="92:92" x14ac:dyDescent="0.3">
      <c r="CN5390">
        <v>5389</v>
      </c>
    </row>
    <row r="5391" spans="92:92" x14ac:dyDescent="0.3">
      <c r="CN5391">
        <v>5390</v>
      </c>
    </row>
    <row r="5392" spans="92:92" x14ac:dyDescent="0.3">
      <c r="CN5392">
        <v>5391</v>
      </c>
    </row>
    <row r="5393" spans="92:92" x14ac:dyDescent="0.3">
      <c r="CN5393">
        <v>5392</v>
      </c>
    </row>
    <row r="5394" spans="92:92" x14ac:dyDescent="0.3">
      <c r="CN5394">
        <v>5393</v>
      </c>
    </row>
    <row r="5395" spans="92:92" x14ac:dyDescent="0.3">
      <c r="CN5395">
        <v>5394</v>
      </c>
    </row>
    <row r="5396" spans="92:92" x14ac:dyDescent="0.3">
      <c r="CN5396">
        <v>5395</v>
      </c>
    </row>
    <row r="5397" spans="92:92" x14ac:dyDescent="0.3">
      <c r="CN5397">
        <v>5396</v>
      </c>
    </row>
    <row r="5398" spans="92:92" x14ac:dyDescent="0.3">
      <c r="CN5398">
        <v>5397</v>
      </c>
    </row>
    <row r="5399" spans="92:92" x14ac:dyDescent="0.3">
      <c r="CN5399">
        <v>5398</v>
      </c>
    </row>
    <row r="5400" spans="92:92" x14ac:dyDescent="0.3">
      <c r="CN5400">
        <v>5399</v>
      </c>
    </row>
    <row r="5401" spans="92:92" x14ac:dyDescent="0.3">
      <c r="CN5401">
        <v>5400</v>
      </c>
    </row>
    <row r="5402" spans="92:92" x14ac:dyDescent="0.3">
      <c r="CN5402">
        <v>5401</v>
      </c>
    </row>
    <row r="5403" spans="92:92" x14ac:dyDescent="0.3">
      <c r="CN5403">
        <v>5402</v>
      </c>
    </row>
    <row r="5404" spans="92:92" x14ac:dyDescent="0.3">
      <c r="CN5404">
        <v>5403</v>
      </c>
    </row>
    <row r="5405" spans="92:92" x14ac:dyDescent="0.3">
      <c r="CN5405">
        <v>5404</v>
      </c>
    </row>
    <row r="5406" spans="92:92" x14ac:dyDescent="0.3">
      <c r="CN5406">
        <v>5405</v>
      </c>
    </row>
    <row r="5407" spans="92:92" x14ac:dyDescent="0.3">
      <c r="CN5407">
        <v>5406</v>
      </c>
    </row>
    <row r="5408" spans="92:92" x14ac:dyDescent="0.3">
      <c r="CN5408">
        <v>5407</v>
      </c>
    </row>
    <row r="5409" spans="92:92" x14ac:dyDescent="0.3">
      <c r="CN5409">
        <v>5408</v>
      </c>
    </row>
    <row r="5410" spans="92:92" x14ac:dyDescent="0.3">
      <c r="CN5410">
        <v>5409</v>
      </c>
    </row>
    <row r="5411" spans="92:92" x14ac:dyDescent="0.3">
      <c r="CN5411">
        <v>5410</v>
      </c>
    </row>
    <row r="5412" spans="92:92" x14ac:dyDescent="0.3">
      <c r="CN5412">
        <v>5411</v>
      </c>
    </row>
    <row r="5413" spans="92:92" x14ac:dyDescent="0.3">
      <c r="CN5413">
        <v>5412</v>
      </c>
    </row>
    <row r="5414" spans="92:92" x14ac:dyDescent="0.3">
      <c r="CN5414">
        <v>5413</v>
      </c>
    </row>
    <row r="5415" spans="92:92" x14ac:dyDescent="0.3">
      <c r="CN5415">
        <v>5414</v>
      </c>
    </row>
    <row r="5416" spans="92:92" x14ac:dyDescent="0.3">
      <c r="CN5416">
        <v>5415</v>
      </c>
    </row>
    <row r="5417" spans="92:92" x14ac:dyDescent="0.3">
      <c r="CN5417">
        <v>5416</v>
      </c>
    </row>
    <row r="5418" spans="92:92" x14ac:dyDescent="0.3">
      <c r="CN5418">
        <v>5417</v>
      </c>
    </row>
    <row r="5419" spans="92:92" x14ac:dyDescent="0.3">
      <c r="CN5419">
        <v>5418</v>
      </c>
    </row>
    <row r="5420" spans="92:92" x14ac:dyDescent="0.3">
      <c r="CN5420">
        <v>5419</v>
      </c>
    </row>
    <row r="5421" spans="92:92" x14ac:dyDescent="0.3">
      <c r="CN5421">
        <v>5420</v>
      </c>
    </row>
    <row r="5422" spans="92:92" x14ac:dyDescent="0.3">
      <c r="CN5422">
        <v>5421</v>
      </c>
    </row>
    <row r="5423" spans="92:92" x14ac:dyDescent="0.3">
      <c r="CN5423">
        <v>5422</v>
      </c>
    </row>
    <row r="5424" spans="92:92" x14ac:dyDescent="0.3">
      <c r="CN5424">
        <v>5423</v>
      </c>
    </row>
    <row r="5425" spans="92:92" x14ac:dyDescent="0.3">
      <c r="CN5425">
        <v>5424</v>
      </c>
    </row>
    <row r="5426" spans="92:92" x14ac:dyDescent="0.3">
      <c r="CN5426">
        <v>5425</v>
      </c>
    </row>
    <row r="5427" spans="92:92" x14ac:dyDescent="0.3">
      <c r="CN5427">
        <v>5426</v>
      </c>
    </row>
    <row r="5428" spans="92:92" x14ac:dyDescent="0.3">
      <c r="CN5428">
        <v>5427</v>
      </c>
    </row>
    <row r="5429" spans="92:92" x14ac:dyDescent="0.3">
      <c r="CN5429">
        <v>5428</v>
      </c>
    </row>
    <row r="5430" spans="92:92" x14ac:dyDescent="0.3">
      <c r="CN5430">
        <v>5429</v>
      </c>
    </row>
    <row r="5431" spans="92:92" x14ac:dyDescent="0.3">
      <c r="CN5431">
        <v>5430</v>
      </c>
    </row>
    <row r="5432" spans="92:92" x14ac:dyDescent="0.3">
      <c r="CN5432">
        <v>5431</v>
      </c>
    </row>
    <row r="5433" spans="92:92" x14ac:dyDescent="0.3">
      <c r="CN5433">
        <v>5432</v>
      </c>
    </row>
    <row r="5434" spans="92:92" x14ac:dyDescent="0.3">
      <c r="CN5434">
        <v>5433</v>
      </c>
    </row>
    <row r="5435" spans="92:92" x14ac:dyDescent="0.3">
      <c r="CN5435">
        <v>5434</v>
      </c>
    </row>
    <row r="5436" spans="92:92" x14ac:dyDescent="0.3">
      <c r="CN5436">
        <v>5435</v>
      </c>
    </row>
    <row r="5437" spans="92:92" x14ac:dyDescent="0.3">
      <c r="CN5437">
        <v>5436</v>
      </c>
    </row>
    <row r="5438" spans="92:92" x14ac:dyDescent="0.3">
      <c r="CN5438">
        <v>5437</v>
      </c>
    </row>
    <row r="5439" spans="92:92" x14ac:dyDescent="0.3">
      <c r="CN5439">
        <v>5438</v>
      </c>
    </row>
    <row r="5440" spans="92:92" x14ac:dyDescent="0.3">
      <c r="CN5440">
        <v>5439</v>
      </c>
    </row>
    <row r="5441" spans="92:92" x14ac:dyDescent="0.3">
      <c r="CN5441">
        <v>5440</v>
      </c>
    </row>
    <row r="5442" spans="92:92" x14ac:dyDescent="0.3">
      <c r="CN5442">
        <v>5441</v>
      </c>
    </row>
    <row r="5443" spans="92:92" x14ac:dyDescent="0.3">
      <c r="CN5443">
        <v>5442</v>
      </c>
    </row>
    <row r="5444" spans="92:92" x14ac:dyDescent="0.3">
      <c r="CN5444">
        <v>5443</v>
      </c>
    </row>
    <row r="5445" spans="92:92" x14ac:dyDescent="0.3">
      <c r="CN5445">
        <v>5444</v>
      </c>
    </row>
    <row r="5446" spans="92:92" x14ac:dyDescent="0.3">
      <c r="CN5446">
        <v>5445</v>
      </c>
    </row>
    <row r="5447" spans="92:92" x14ac:dyDescent="0.3">
      <c r="CN5447">
        <v>5446</v>
      </c>
    </row>
    <row r="5448" spans="92:92" x14ac:dyDescent="0.3">
      <c r="CN5448">
        <v>5447</v>
      </c>
    </row>
    <row r="5449" spans="92:92" x14ac:dyDescent="0.3">
      <c r="CN5449">
        <v>5448</v>
      </c>
    </row>
    <row r="5450" spans="92:92" x14ac:dyDescent="0.3">
      <c r="CN5450">
        <v>5449</v>
      </c>
    </row>
    <row r="5451" spans="92:92" x14ac:dyDescent="0.3">
      <c r="CN5451">
        <v>5450</v>
      </c>
    </row>
    <row r="5452" spans="92:92" x14ac:dyDescent="0.3">
      <c r="CN5452">
        <v>5451</v>
      </c>
    </row>
    <row r="5453" spans="92:92" x14ac:dyDescent="0.3">
      <c r="CN5453">
        <v>5452</v>
      </c>
    </row>
    <row r="5454" spans="92:92" x14ac:dyDescent="0.3">
      <c r="CN5454">
        <v>5453</v>
      </c>
    </row>
    <row r="5455" spans="92:92" x14ac:dyDescent="0.3">
      <c r="CN5455">
        <v>5454</v>
      </c>
    </row>
    <row r="5456" spans="92:92" x14ac:dyDescent="0.3">
      <c r="CN5456">
        <v>5455</v>
      </c>
    </row>
    <row r="5457" spans="92:92" x14ac:dyDescent="0.3">
      <c r="CN5457">
        <v>5456</v>
      </c>
    </row>
    <row r="5458" spans="92:92" x14ac:dyDescent="0.3">
      <c r="CN5458">
        <v>5457</v>
      </c>
    </row>
    <row r="5459" spans="92:92" x14ac:dyDescent="0.3">
      <c r="CN5459">
        <v>5458</v>
      </c>
    </row>
    <row r="5460" spans="92:92" x14ac:dyDescent="0.3">
      <c r="CN5460">
        <v>5459</v>
      </c>
    </row>
    <row r="5461" spans="92:92" x14ac:dyDescent="0.3">
      <c r="CN5461">
        <v>5460</v>
      </c>
    </row>
    <row r="5462" spans="92:92" x14ac:dyDescent="0.3">
      <c r="CN5462">
        <v>5461</v>
      </c>
    </row>
    <row r="5463" spans="92:92" x14ac:dyDescent="0.3">
      <c r="CN5463">
        <v>5462</v>
      </c>
    </row>
    <row r="5464" spans="92:92" x14ac:dyDescent="0.3">
      <c r="CN5464">
        <v>5463</v>
      </c>
    </row>
    <row r="5465" spans="92:92" x14ac:dyDescent="0.3">
      <c r="CN5465">
        <v>5464</v>
      </c>
    </row>
    <row r="5466" spans="92:92" x14ac:dyDescent="0.3">
      <c r="CN5466">
        <v>5465</v>
      </c>
    </row>
    <row r="5467" spans="92:92" x14ac:dyDescent="0.3">
      <c r="CN5467">
        <v>5466</v>
      </c>
    </row>
    <row r="5468" spans="92:92" x14ac:dyDescent="0.3">
      <c r="CN5468">
        <v>5467</v>
      </c>
    </row>
    <row r="5469" spans="92:92" x14ac:dyDescent="0.3">
      <c r="CN5469">
        <v>5468</v>
      </c>
    </row>
    <row r="5470" spans="92:92" x14ac:dyDescent="0.3">
      <c r="CN5470">
        <v>5469</v>
      </c>
    </row>
    <row r="5471" spans="92:92" x14ac:dyDescent="0.3">
      <c r="CN5471">
        <v>5470</v>
      </c>
    </row>
    <row r="5472" spans="92:92" x14ac:dyDescent="0.3">
      <c r="CN5472">
        <v>5471</v>
      </c>
    </row>
    <row r="5473" spans="92:92" x14ac:dyDescent="0.3">
      <c r="CN5473">
        <v>5472</v>
      </c>
    </row>
    <row r="5474" spans="92:92" x14ac:dyDescent="0.3">
      <c r="CN5474">
        <v>5473</v>
      </c>
    </row>
    <row r="5475" spans="92:92" x14ac:dyDescent="0.3">
      <c r="CN5475">
        <v>5474</v>
      </c>
    </row>
    <row r="5476" spans="92:92" x14ac:dyDescent="0.3">
      <c r="CN5476">
        <v>5475</v>
      </c>
    </row>
    <row r="5477" spans="92:92" x14ac:dyDescent="0.3">
      <c r="CN5477">
        <v>5476</v>
      </c>
    </row>
    <row r="5478" spans="92:92" x14ac:dyDescent="0.3">
      <c r="CN5478">
        <v>5477</v>
      </c>
    </row>
    <row r="5479" spans="92:92" x14ac:dyDescent="0.3">
      <c r="CN5479">
        <v>5478</v>
      </c>
    </row>
    <row r="5480" spans="92:92" x14ac:dyDescent="0.3">
      <c r="CN5480">
        <v>5479</v>
      </c>
    </row>
    <row r="5481" spans="92:92" x14ac:dyDescent="0.3">
      <c r="CN5481">
        <v>5480</v>
      </c>
    </row>
    <row r="5482" spans="92:92" x14ac:dyDescent="0.3">
      <c r="CN5482">
        <v>5481</v>
      </c>
    </row>
    <row r="5483" spans="92:92" x14ac:dyDescent="0.3">
      <c r="CN5483">
        <v>5482</v>
      </c>
    </row>
    <row r="5484" spans="92:92" x14ac:dyDescent="0.3">
      <c r="CN5484">
        <v>5483</v>
      </c>
    </row>
    <row r="5485" spans="92:92" x14ac:dyDescent="0.3">
      <c r="CN5485">
        <v>5484</v>
      </c>
    </row>
    <row r="5486" spans="92:92" x14ac:dyDescent="0.3">
      <c r="CN5486">
        <v>5485</v>
      </c>
    </row>
    <row r="5487" spans="92:92" x14ac:dyDescent="0.3">
      <c r="CN5487">
        <v>5486</v>
      </c>
    </row>
    <row r="5488" spans="92:92" x14ac:dyDescent="0.3">
      <c r="CN5488">
        <v>5487</v>
      </c>
    </row>
    <row r="5489" spans="92:92" x14ac:dyDescent="0.3">
      <c r="CN5489">
        <v>5488</v>
      </c>
    </row>
    <row r="5490" spans="92:92" x14ac:dyDescent="0.3">
      <c r="CN5490">
        <v>5489</v>
      </c>
    </row>
    <row r="5491" spans="92:92" x14ac:dyDescent="0.3">
      <c r="CN5491">
        <v>5490</v>
      </c>
    </row>
    <row r="5492" spans="92:92" x14ac:dyDescent="0.3">
      <c r="CN5492">
        <v>5491</v>
      </c>
    </row>
    <row r="5493" spans="92:92" x14ac:dyDescent="0.3">
      <c r="CN5493">
        <v>5492</v>
      </c>
    </row>
    <row r="5494" spans="92:92" x14ac:dyDescent="0.3">
      <c r="CN5494">
        <v>5493</v>
      </c>
    </row>
    <row r="5495" spans="92:92" x14ac:dyDescent="0.3">
      <c r="CN5495">
        <v>5494</v>
      </c>
    </row>
    <row r="5496" spans="92:92" x14ac:dyDescent="0.3">
      <c r="CN5496">
        <v>5495</v>
      </c>
    </row>
    <row r="5497" spans="92:92" x14ac:dyDescent="0.3">
      <c r="CN5497">
        <v>5496</v>
      </c>
    </row>
    <row r="5498" spans="92:92" x14ac:dyDescent="0.3">
      <c r="CN5498">
        <v>5497</v>
      </c>
    </row>
    <row r="5499" spans="92:92" x14ac:dyDescent="0.3">
      <c r="CN5499">
        <v>5498</v>
      </c>
    </row>
    <row r="5500" spans="92:92" x14ac:dyDescent="0.3">
      <c r="CN5500">
        <v>5499</v>
      </c>
    </row>
    <row r="5501" spans="92:92" x14ac:dyDescent="0.3">
      <c r="CN5501">
        <v>5500</v>
      </c>
    </row>
    <row r="5502" spans="92:92" x14ac:dyDescent="0.3">
      <c r="CN5502">
        <v>5501</v>
      </c>
    </row>
    <row r="5503" spans="92:92" x14ac:dyDescent="0.3">
      <c r="CN5503">
        <v>5502</v>
      </c>
    </row>
    <row r="5504" spans="92:92" x14ac:dyDescent="0.3">
      <c r="CN5504">
        <v>5503</v>
      </c>
    </row>
    <row r="5505" spans="92:92" x14ac:dyDescent="0.3">
      <c r="CN5505">
        <v>5504</v>
      </c>
    </row>
    <row r="5506" spans="92:92" x14ac:dyDescent="0.3">
      <c r="CN5506">
        <v>5505</v>
      </c>
    </row>
    <row r="5507" spans="92:92" x14ac:dyDescent="0.3">
      <c r="CN5507">
        <v>5506</v>
      </c>
    </row>
    <row r="5508" spans="92:92" x14ac:dyDescent="0.3">
      <c r="CN5508">
        <v>5507</v>
      </c>
    </row>
    <row r="5509" spans="92:92" x14ac:dyDescent="0.3">
      <c r="CN5509">
        <v>5508</v>
      </c>
    </row>
    <row r="5510" spans="92:92" x14ac:dyDescent="0.3">
      <c r="CN5510">
        <v>5509</v>
      </c>
    </row>
    <row r="5511" spans="92:92" x14ac:dyDescent="0.3">
      <c r="CN5511">
        <v>5510</v>
      </c>
    </row>
    <row r="5512" spans="92:92" x14ac:dyDescent="0.3">
      <c r="CN5512">
        <v>5511</v>
      </c>
    </row>
    <row r="5513" spans="92:92" x14ac:dyDescent="0.3">
      <c r="CN5513">
        <v>5512</v>
      </c>
    </row>
    <row r="5514" spans="92:92" x14ac:dyDescent="0.3">
      <c r="CN5514">
        <v>5513</v>
      </c>
    </row>
    <row r="5515" spans="92:92" x14ac:dyDescent="0.3">
      <c r="CN5515">
        <v>5514</v>
      </c>
    </row>
    <row r="5516" spans="92:92" x14ac:dyDescent="0.3">
      <c r="CN5516">
        <v>5515</v>
      </c>
    </row>
    <row r="5517" spans="92:92" x14ac:dyDescent="0.3">
      <c r="CN5517">
        <v>5516</v>
      </c>
    </row>
    <row r="5518" spans="92:92" x14ac:dyDescent="0.3">
      <c r="CN5518">
        <v>5517</v>
      </c>
    </row>
    <row r="5519" spans="92:92" x14ac:dyDescent="0.3">
      <c r="CN5519">
        <v>5518</v>
      </c>
    </row>
    <row r="5520" spans="92:92" x14ac:dyDescent="0.3">
      <c r="CN5520">
        <v>5519</v>
      </c>
    </row>
    <row r="5521" spans="92:92" x14ac:dyDescent="0.3">
      <c r="CN5521">
        <v>5520</v>
      </c>
    </row>
    <row r="5522" spans="92:92" x14ac:dyDescent="0.3">
      <c r="CN5522">
        <v>5521</v>
      </c>
    </row>
    <row r="5523" spans="92:92" x14ac:dyDescent="0.3">
      <c r="CN5523">
        <v>5522</v>
      </c>
    </row>
    <row r="5524" spans="92:92" x14ac:dyDescent="0.3">
      <c r="CN5524">
        <v>5523</v>
      </c>
    </row>
    <row r="5525" spans="92:92" x14ac:dyDescent="0.3">
      <c r="CN5525">
        <v>5524</v>
      </c>
    </row>
    <row r="5526" spans="92:92" x14ac:dyDescent="0.3">
      <c r="CN5526">
        <v>5525</v>
      </c>
    </row>
    <row r="5527" spans="92:92" x14ac:dyDescent="0.3">
      <c r="CN5527">
        <v>5526</v>
      </c>
    </row>
    <row r="5528" spans="92:92" x14ac:dyDescent="0.3">
      <c r="CN5528">
        <v>5527</v>
      </c>
    </row>
    <row r="5529" spans="92:92" x14ac:dyDescent="0.3">
      <c r="CN5529">
        <v>5528</v>
      </c>
    </row>
    <row r="5530" spans="92:92" x14ac:dyDescent="0.3">
      <c r="CN5530">
        <v>5529</v>
      </c>
    </row>
    <row r="5531" spans="92:92" x14ac:dyDescent="0.3">
      <c r="CN5531">
        <v>5530</v>
      </c>
    </row>
    <row r="5532" spans="92:92" x14ac:dyDescent="0.3">
      <c r="CN5532">
        <v>5531</v>
      </c>
    </row>
    <row r="5533" spans="92:92" x14ac:dyDescent="0.3">
      <c r="CN5533">
        <v>5532</v>
      </c>
    </row>
    <row r="5534" spans="92:92" x14ac:dyDescent="0.3">
      <c r="CN5534">
        <v>5533</v>
      </c>
    </row>
    <row r="5535" spans="92:92" x14ac:dyDescent="0.3">
      <c r="CN5535">
        <v>5534</v>
      </c>
    </row>
    <row r="5536" spans="92:92" x14ac:dyDescent="0.3">
      <c r="CN5536">
        <v>5535</v>
      </c>
    </row>
    <row r="5537" spans="92:92" x14ac:dyDescent="0.3">
      <c r="CN5537">
        <v>5536</v>
      </c>
    </row>
    <row r="5538" spans="92:92" x14ac:dyDescent="0.3">
      <c r="CN5538">
        <v>5537</v>
      </c>
    </row>
    <row r="5539" spans="92:92" x14ac:dyDescent="0.3">
      <c r="CN5539">
        <v>5538</v>
      </c>
    </row>
    <row r="5540" spans="92:92" x14ac:dyDescent="0.3">
      <c r="CN5540">
        <v>5539</v>
      </c>
    </row>
    <row r="5541" spans="92:92" x14ac:dyDescent="0.3">
      <c r="CN5541">
        <v>5540</v>
      </c>
    </row>
    <row r="5542" spans="92:92" x14ac:dyDescent="0.3">
      <c r="CN5542">
        <v>5541</v>
      </c>
    </row>
    <row r="5543" spans="92:92" x14ac:dyDescent="0.3">
      <c r="CN5543">
        <v>5542</v>
      </c>
    </row>
    <row r="5544" spans="92:92" x14ac:dyDescent="0.3">
      <c r="CN5544">
        <v>5543</v>
      </c>
    </row>
    <row r="5545" spans="92:92" x14ac:dyDescent="0.3">
      <c r="CN5545">
        <v>5544</v>
      </c>
    </row>
    <row r="5546" spans="92:92" x14ac:dyDescent="0.3">
      <c r="CN5546">
        <v>5545</v>
      </c>
    </row>
    <row r="5547" spans="92:92" x14ac:dyDescent="0.3">
      <c r="CN5547">
        <v>5546</v>
      </c>
    </row>
    <row r="5548" spans="92:92" x14ac:dyDescent="0.3">
      <c r="CN5548">
        <v>5547</v>
      </c>
    </row>
    <row r="5549" spans="92:92" x14ac:dyDescent="0.3">
      <c r="CN5549">
        <v>5548</v>
      </c>
    </row>
    <row r="5550" spans="92:92" x14ac:dyDescent="0.3">
      <c r="CN5550">
        <v>5549</v>
      </c>
    </row>
    <row r="5551" spans="92:92" x14ac:dyDescent="0.3">
      <c r="CN5551">
        <v>5550</v>
      </c>
    </row>
    <row r="5552" spans="92:92" x14ac:dyDescent="0.3">
      <c r="CN5552">
        <v>5551</v>
      </c>
    </row>
    <row r="5553" spans="92:92" x14ac:dyDescent="0.3">
      <c r="CN5553">
        <v>5552</v>
      </c>
    </row>
    <row r="5554" spans="92:92" x14ac:dyDescent="0.3">
      <c r="CN5554">
        <v>5553</v>
      </c>
    </row>
    <row r="5555" spans="92:92" x14ac:dyDescent="0.3">
      <c r="CN5555">
        <v>5554</v>
      </c>
    </row>
    <row r="5556" spans="92:92" x14ac:dyDescent="0.3">
      <c r="CN5556">
        <v>5555</v>
      </c>
    </row>
    <row r="5557" spans="92:92" x14ac:dyDescent="0.3">
      <c r="CN5557">
        <v>5556</v>
      </c>
    </row>
    <row r="5558" spans="92:92" x14ac:dyDescent="0.3">
      <c r="CN5558">
        <v>5557</v>
      </c>
    </row>
    <row r="5559" spans="92:92" x14ac:dyDescent="0.3">
      <c r="CN5559">
        <v>5558</v>
      </c>
    </row>
    <row r="5560" spans="92:92" x14ac:dyDescent="0.3">
      <c r="CN5560">
        <v>5559</v>
      </c>
    </row>
    <row r="5561" spans="92:92" x14ac:dyDescent="0.3">
      <c r="CN5561">
        <v>5560</v>
      </c>
    </row>
    <row r="5562" spans="92:92" x14ac:dyDescent="0.3">
      <c r="CN5562">
        <v>5561</v>
      </c>
    </row>
    <row r="5563" spans="92:92" x14ac:dyDescent="0.3">
      <c r="CN5563">
        <v>5562</v>
      </c>
    </row>
    <row r="5564" spans="92:92" x14ac:dyDescent="0.3">
      <c r="CN5564">
        <v>5563</v>
      </c>
    </row>
    <row r="5565" spans="92:92" x14ac:dyDescent="0.3">
      <c r="CN5565">
        <v>5564</v>
      </c>
    </row>
    <row r="5566" spans="92:92" x14ac:dyDescent="0.3">
      <c r="CN5566">
        <v>5565</v>
      </c>
    </row>
    <row r="5567" spans="92:92" x14ac:dyDescent="0.3">
      <c r="CN5567">
        <v>5566</v>
      </c>
    </row>
    <row r="5568" spans="92:92" x14ac:dyDescent="0.3">
      <c r="CN5568">
        <v>5567</v>
      </c>
    </row>
    <row r="5569" spans="92:92" x14ac:dyDescent="0.3">
      <c r="CN5569">
        <v>5568</v>
      </c>
    </row>
    <row r="5570" spans="92:92" x14ac:dyDescent="0.3">
      <c r="CN5570">
        <v>5569</v>
      </c>
    </row>
    <row r="5571" spans="92:92" x14ac:dyDescent="0.3">
      <c r="CN5571">
        <v>5570</v>
      </c>
    </row>
    <row r="5572" spans="92:92" x14ac:dyDescent="0.3">
      <c r="CN5572">
        <v>5571</v>
      </c>
    </row>
    <row r="5573" spans="92:92" x14ac:dyDescent="0.3">
      <c r="CN5573">
        <v>5572</v>
      </c>
    </row>
    <row r="5574" spans="92:92" x14ac:dyDescent="0.3">
      <c r="CN5574">
        <v>5573</v>
      </c>
    </row>
    <row r="5575" spans="92:92" x14ac:dyDescent="0.3">
      <c r="CN5575">
        <v>5574</v>
      </c>
    </row>
    <row r="5576" spans="92:92" x14ac:dyDescent="0.3">
      <c r="CN5576">
        <v>5575</v>
      </c>
    </row>
    <row r="5577" spans="92:92" x14ac:dyDescent="0.3">
      <c r="CN5577">
        <v>5576</v>
      </c>
    </row>
    <row r="5578" spans="92:92" x14ac:dyDescent="0.3">
      <c r="CN5578">
        <v>5577</v>
      </c>
    </row>
    <row r="5579" spans="92:92" x14ac:dyDescent="0.3">
      <c r="CN5579">
        <v>5578</v>
      </c>
    </row>
    <row r="5580" spans="92:92" x14ac:dyDescent="0.3">
      <c r="CN5580">
        <v>5579</v>
      </c>
    </row>
    <row r="5581" spans="92:92" x14ac:dyDescent="0.3">
      <c r="CN5581">
        <v>5580</v>
      </c>
    </row>
    <row r="5582" spans="92:92" x14ac:dyDescent="0.3">
      <c r="CN5582">
        <v>5581</v>
      </c>
    </row>
    <row r="5583" spans="92:92" x14ac:dyDescent="0.3">
      <c r="CN5583">
        <v>5582</v>
      </c>
    </row>
    <row r="5584" spans="92:92" x14ac:dyDescent="0.3">
      <c r="CN5584">
        <v>5583</v>
      </c>
    </row>
    <row r="5585" spans="92:92" x14ac:dyDescent="0.3">
      <c r="CN5585">
        <v>5584</v>
      </c>
    </row>
    <row r="5586" spans="92:92" x14ac:dyDescent="0.3">
      <c r="CN5586">
        <v>5585</v>
      </c>
    </row>
    <row r="5587" spans="92:92" x14ac:dyDescent="0.3">
      <c r="CN5587">
        <v>5586</v>
      </c>
    </row>
    <row r="5588" spans="92:92" x14ac:dyDescent="0.3">
      <c r="CN5588">
        <v>5587</v>
      </c>
    </row>
    <row r="5589" spans="92:92" x14ac:dyDescent="0.3">
      <c r="CN5589">
        <v>5588</v>
      </c>
    </row>
    <row r="5590" spans="92:92" x14ac:dyDescent="0.3">
      <c r="CN5590">
        <v>5589</v>
      </c>
    </row>
    <row r="5591" spans="92:92" x14ac:dyDescent="0.3">
      <c r="CN5591">
        <v>5590</v>
      </c>
    </row>
    <row r="5592" spans="92:92" x14ac:dyDescent="0.3">
      <c r="CN5592">
        <v>5591</v>
      </c>
    </row>
    <row r="5593" spans="92:92" x14ac:dyDescent="0.3">
      <c r="CN5593">
        <v>5592</v>
      </c>
    </row>
    <row r="5594" spans="92:92" x14ac:dyDescent="0.3">
      <c r="CN5594">
        <v>5593</v>
      </c>
    </row>
    <row r="5595" spans="92:92" x14ac:dyDescent="0.3">
      <c r="CN5595">
        <v>5594</v>
      </c>
    </row>
    <row r="5596" spans="92:92" x14ac:dyDescent="0.3">
      <c r="CN5596">
        <v>5595</v>
      </c>
    </row>
    <row r="5597" spans="92:92" x14ac:dyDescent="0.3">
      <c r="CN5597">
        <v>5596</v>
      </c>
    </row>
    <row r="5598" spans="92:92" x14ac:dyDescent="0.3">
      <c r="CN5598">
        <v>5597</v>
      </c>
    </row>
    <row r="5599" spans="92:92" x14ac:dyDescent="0.3">
      <c r="CN5599">
        <v>5598</v>
      </c>
    </row>
    <row r="5600" spans="92:92" x14ac:dyDescent="0.3">
      <c r="CN5600">
        <v>5599</v>
      </c>
    </row>
    <row r="5601" spans="92:92" x14ac:dyDescent="0.3">
      <c r="CN5601">
        <v>5600</v>
      </c>
    </row>
    <row r="5602" spans="92:92" x14ac:dyDescent="0.3">
      <c r="CN5602">
        <v>5601</v>
      </c>
    </row>
    <row r="5603" spans="92:92" x14ac:dyDescent="0.3">
      <c r="CN5603">
        <v>5602</v>
      </c>
    </row>
    <row r="5604" spans="92:92" x14ac:dyDescent="0.3">
      <c r="CN5604">
        <v>5603</v>
      </c>
    </row>
    <row r="5605" spans="92:92" x14ac:dyDescent="0.3">
      <c r="CN5605">
        <v>5604</v>
      </c>
    </row>
    <row r="5606" spans="92:92" x14ac:dyDescent="0.3">
      <c r="CN5606">
        <v>5605</v>
      </c>
    </row>
    <row r="5607" spans="92:92" x14ac:dyDescent="0.3">
      <c r="CN5607">
        <v>5606</v>
      </c>
    </row>
    <row r="5608" spans="92:92" x14ac:dyDescent="0.3">
      <c r="CN5608">
        <v>5607</v>
      </c>
    </row>
    <row r="5609" spans="92:92" x14ac:dyDescent="0.3">
      <c r="CN5609">
        <v>5608</v>
      </c>
    </row>
    <row r="5610" spans="92:92" x14ac:dyDescent="0.3">
      <c r="CN5610">
        <v>5609</v>
      </c>
    </row>
    <row r="5611" spans="92:92" x14ac:dyDescent="0.3">
      <c r="CN5611">
        <v>5610</v>
      </c>
    </row>
    <row r="5612" spans="92:92" x14ac:dyDescent="0.3">
      <c r="CN5612">
        <v>5611</v>
      </c>
    </row>
    <row r="5613" spans="92:92" x14ac:dyDescent="0.3">
      <c r="CN5613">
        <v>5612</v>
      </c>
    </row>
    <row r="5614" spans="92:92" x14ac:dyDescent="0.3">
      <c r="CN5614">
        <v>5613</v>
      </c>
    </row>
    <row r="5615" spans="92:92" x14ac:dyDescent="0.3">
      <c r="CN5615">
        <v>5614</v>
      </c>
    </row>
    <row r="5616" spans="92:92" x14ac:dyDescent="0.3">
      <c r="CN5616">
        <v>5615</v>
      </c>
    </row>
    <row r="5617" spans="92:92" x14ac:dyDescent="0.3">
      <c r="CN5617">
        <v>5616</v>
      </c>
    </row>
    <row r="5618" spans="92:92" x14ac:dyDescent="0.3">
      <c r="CN5618">
        <v>5617</v>
      </c>
    </row>
    <row r="5619" spans="92:92" x14ac:dyDescent="0.3">
      <c r="CN5619">
        <v>5618</v>
      </c>
    </row>
    <row r="5620" spans="92:92" x14ac:dyDescent="0.3">
      <c r="CN5620">
        <v>5619</v>
      </c>
    </row>
    <row r="5621" spans="92:92" x14ac:dyDescent="0.3">
      <c r="CN5621">
        <v>5620</v>
      </c>
    </row>
    <row r="5622" spans="92:92" x14ac:dyDescent="0.3">
      <c r="CN5622">
        <v>5621</v>
      </c>
    </row>
    <row r="5623" spans="92:92" x14ac:dyDescent="0.3">
      <c r="CN5623">
        <v>5622</v>
      </c>
    </row>
    <row r="5624" spans="92:92" x14ac:dyDescent="0.3">
      <c r="CN5624">
        <v>5623</v>
      </c>
    </row>
    <row r="5625" spans="92:92" x14ac:dyDescent="0.3">
      <c r="CN5625">
        <v>5624</v>
      </c>
    </row>
    <row r="5626" spans="92:92" x14ac:dyDescent="0.3">
      <c r="CN5626">
        <v>5625</v>
      </c>
    </row>
    <row r="5627" spans="92:92" x14ac:dyDescent="0.3">
      <c r="CN5627">
        <v>5626</v>
      </c>
    </row>
    <row r="5628" spans="92:92" x14ac:dyDescent="0.3">
      <c r="CN5628">
        <v>5627</v>
      </c>
    </row>
    <row r="5629" spans="92:92" x14ac:dyDescent="0.3">
      <c r="CN5629">
        <v>5628</v>
      </c>
    </row>
    <row r="5630" spans="92:92" x14ac:dyDescent="0.3">
      <c r="CN5630">
        <v>5629</v>
      </c>
    </row>
    <row r="5631" spans="92:92" x14ac:dyDescent="0.3">
      <c r="CN5631">
        <v>5630</v>
      </c>
    </row>
    <row r="5632" spans="92:92" x14ac:dyDescent="0.3">
      <c r="CN5632">
        <v>5631</v>
      </c>
    </row>
    <row r="5633" spans="92:92" x14ac:dyDescent="0.3">
      <c r="CN5633">
        <v>5632</v>
      </c>
    </row>
    <row r="5634" spans="92:92" x14ac:dyDescent="0.3">
      <c r="CN5634">
        <v>5633</v>
      </c>
    </row>
    <row r="5635" spans="92:92" x14ac:dyDescent="0.3">
      <c r="CN5635">
        <v>5634</v>
      </c>
    </row>
    <row r="5636" spans="92:92" x14ac:dyDescent="0.3">
      <c r="CN5636">
        <v>5635</v>
      </c>
    </row>
    <row r="5637" spans="92:92" x14ac:dyDescent="0.3">
      <c r="CN5637">
        <v>5636</v>
      </c>
    </row>
    <row r="5638" spans="92:92" x14ac:dyDescent="0.3">
      <c r="CN5638">
        <v>5637</v>
      </c>
    </row>
    <row r="5639" spans="92:92" x14ac:dyDescent="0.3">
      <c r="CN5639">
        <v>5638</v>
      </c>
    </row>
    <row r="5640" spans="92:92" x14ac:dyDescent="0.3">
      <c r="CN5640">
        <v>5639</v>
      </c>
    </row>
    <row r="5641" spans="92:92" x14ac:dyDescent="0.3">
      <c r="CN5641">
        <v>5640</v>
      </c>
    </row>
    <row r="5642" spans="92:92" x14ac:dyDescent="0.3">
      <c r="CN5642">
        <v>5641</v>
      </c>
    </row>
    <row r="5643" spans="92:92" x14ac:dyDescent="0.3">
      <c r="CN5643">
        <v>5642</v>
      </c>
    </row>
    <row r="5644" spans="92:92" x14ac:dyDescent="0.3">
      <c r="CN5644">
        <v>5643</v>
      </c>
    </row>
    <row r="5645" spans="92:92" x14ac:dyDescent="0.3">
      <c r="CN5645">
        <v>5644</v>
      </c>
    </row>
    <row r="5646" spans="92:92" x14ac:dyDescent="0.3">
      <c r="CN5646">
        <v>5645</v>
      </c>
    </row>
    <row r="5647" spans="92:92" x14ac:dyDescent="0.3">
      <c r="CN5647">
        <v>5646</v>
      </c>
    </row>
    <row r="5648" spans="92:92" x14ac:dyDescent="0.3">
      <c r="CN5648">
        <v>5647</v>
      </c>
    </row>
    <row r="5649" spans="92:92" x14ac:dyDescent="0.3">
      <c r="CN5649">
        <v>5648</v>
      </c>
    </row>
    <row r="5650" spans="92:92" x14ac:dyDescent="0.3">
      <c r="CN5650">
        <v>5649</v>
      </c>
    </row>
    <row r="5651" spans="92:92" x14ac:dyDescent="0.3">
      <c r="CN5651">
        <v>5650</v>
      </c>
    </row>
    <row r="5652" spans="92:92" x14ac:dyDescent="0.3">
      <c r="CN5652">
        <v>5651</v>
      </c>
    </row>
    <row r="5653" spans="92:92" x14ac:dyDescent="0.3">
      <c r="CN5653">
        <v>5652</v>
      </c>
    </row>
    <row r="5654" spans="92:92" x14ac:dyDescent="0.3">
      <c r="CN5654">
        <v>5653</v>
      </c>
    </row>
    <row r="5655" spans="92:92" x14ac:dyDescent="0.3">
      <c r="CN5655">
        <v>5654</v>
      </c>
    </row>
    <row r="5656" spans="92:92" x14ac:dyDescent="0.3">
      <c r="CN5656">
        <v>5655</v>
      </c>
    </row>
    <row r="5657" spans="92:92" x14ac:dyDescent="0.3">
      <c r="CN5657">
        <v>5656</v>
      </c>
    </row>
    <row r="5658" spans="92:92" x14ac:dyDescent="0.3">
      <c r="CN5658">
        <v>5657</v>
      </c>
    </row>
    <row r="5659" spans="92:92" x14ac:dyDescent="0.3">
      <c r="CN5659">
        <v>5658</v>
      </c>
    </row>
    <row r="5660" spans="92:92" x14ac:dyDescent="0.3">
      <c r="CN5660">
        <v>5659</v>
      </c>
    </row>
    <row r="5661" spans="92:92" x14ac:dyDescent="0.3">
      <c r="CN5661">
        <v>5660</v>
      </c>
    </row>
    <row r="5662" spans="92:92" x14ac:dyDescent="0.3">
      <c r="CN5662">
        <v>5661</v>
      </c>
    </row>
    <row r="5663" spans="92:92" x14ac:dyDescent="0.3">
      <c r="CN5663">
        <v>5662</v>
      </c>
    </row>
    <row r="5664" spans="92:92" x14ac:dyDescent="0.3">
      <c r="CN5664">
        <v>5663</v>
      </c>
    </row>
    <row r="5665" spans="92:92" x14ac:dyDescent="0.3">
      <c r="CN5665">
        <v>5664</v>
      </c>
    </row>
    <row r="5666" spans="92:92" x14ac:dyDescent="0.3">
      <c r="CN5666">
        <v>5665</v>
      </c>
    </row>
    <row r="5667" spans="92:92" x14ac:dyDescent="0.3">
      <c r="CN5667">
        <v>5666</v>
      </c>
    </row>
    <row r="5668" spans="92:92" x14ac:dyDescent="0.3">
      <c r="CN5668">
        <v>5667</v>
      </c>
    </row>
    <row r="5669" spans="92:92" x14ac:dyDescent="0.3">
      <c r="CN5669">
        <v>5668</v>
      </c>
    </row>
    <row r="5670" spans="92:92" x14ac:dyDescent="0.3">
      <c r="CN5670">
        <v>5669</v>
      </c>
    </row>
    <row r="5671" spans="92:92" x14ac:dyDescent="0.3">
      <c r="CN5671">
        <v>5670</v>
      </c>
    </row>
    <row r="5672" spans="92:92" x14ac:dyDescent="0.3">
      <c r="CN5672">
        <v>5671</v>
      </c>
    </row>
    <row r="5673" spans="92:92" x14ac:dyDescent="0.3">
      <c r="CN5673">
        <v>5672</v>
      </c>
    </row>
    <row r="5674" spans="92:92" x14ac:dyDescent="0.3">
      <c r="CN5674">
        <v>5673</v>
      </c>
    </row>
    <row r="5675" spans="92:92" x14ac:dyDescent="0.3">
      <c r="CN5675">
        <v>5674</v>
      </c>
    </row>
    <row r="5676" spans="92:92" x14ac:dyDescent="0.3">
      <c r="CN5676">
        <v>5675</v>
      </c>
    </row>
    <row r="5677" spans="92:92" x14ac:dyDescent="0.3">
      <c r="CN5677">
        <v>5676</v>
      </c>
    </row>
    <row r="5678" spans="92:92" x14ac:dyDescent="0.3">
      <c r="CN5678">
        <v>5677</v>
      </c>
    </row>
    <row r="5679" spans="92:92" x14ac:dyDescent="0.3">
      <c r="CN5679">
        <v>5678</v>
      </c>
    </row>
    <row r="5680" spans="92:92" x14ac:dyDescent="0.3">
      <c r="CN5680">
        <v>5679</v>
      </c>
    </row>
    <row r="5681" spans="92:92" x14ac:dyDescent="0.3">
      <c r="CN5681">
        <v>5680</v>
      </c>
    </row>
    <row r="5682" spans="92:92" x14ac:dyDescent="0.3">
      <c r="CN5682">
        <v>5681</v>
      </c>
    </row>
    <row r="5683" spans="92:92" x14ac:dyDescent="0.3">
      <c r="CN5683">
        <v>5682</v>
      </c>
    </row>
    <row r="5684" spans="92:92" x14ac:dyDescent="0.3">
      <c r="CN5684">
        <v>5683</v>
      </c>
    </row>
    <row r="5685" spans="92:92" x14ac:dyDescent="0.3">
      <c r="CN5685">
        <v>5684</v>
      </c>
    </row>
    <row r="5686" spans="92:92" x14ac:dyDescent="0.3">
      <c r="CN5686">
        <v>5685</v>
      </c>
    </row>
    <row r="5687" spans="92:92" x14ac:dyDescent="0.3">
      <c r="CN5687">
        <v>5686</v>
      </c>
    </row>
    <row r="5688" spans="92:92" x14ac:dyDescent="0.3">
      <c r="CN5688">
        <v>5687</v>
      </c>
    </row>
    <row r="5689" spans="92:92" x14ac:dyDescent="0.3">
      <c r="CN5689">
        <v>5688</v>
      </c>
    </row>
    <row r="5690" spans="92:92" x14ac:dyDescent="0.3">
      <c r="CN5690">
        <v>5689</v>
      </c>
    </row>
    <row r="5691" spans="92:92" x14ac:dyDescent="0.3">
      <c r="CN5691">
        <v>5690</v>
      </c>
    </row>
    <row r="5692" spans="92:92" x14ac:dyDescent="0.3">
      <c r="CN5692">
        <v>5691</v>
      </c>
    </row>
    <row r="5693" spans="92:92" x14ac:dyDescent="0.3">
      <c r="CN5693">
        <v>5692</v>
      </c>
    </row>
    <row r="5694" spans="92:92" x14ac:dyDescent="0.3">
      <c r="CN5694">
        <v>5693</v>
      </c>
    </row>
    <row r="5695" spans="92:92" x14ac:dyDescent="0.3">
      <c r="CN5695">
        <v>5694</v>
      </c>
    </row>
    <row r="5696" spans="92:92" x14ac:dyDescent="0.3">
      <c r="CN5696">
        <v>5695</v>
      </c>
    </row>
    <row r="5697" spans="92:92" x14ac:dyDescent="0.3">
      <c r="CN5697">
        <v>5696</v>
      </c>
    </row>
    <row r="5698" spans="92:92" x14ac:dyDescent="0.3">
      <c r="CN5698">
        <v>5697</v>
      </c>
    </row>
    <row r="5699" spans="92:92" x14ac:dyDescent="0.3">
      <c r="CN5699">
        <v>5698</v>
      </c>
    </row>
    <row r="5700" spans="92:92" x14ac:dyDescent="0.3">
      <c r="CN5700">
        <v>5699</v>
      </c>
    </row>
    <row r="5701" spans="92:92" x14ac:dyDescent="0.3">
      <c r="CN5701">
        <v>5700</v>
      </c>
    </row>
    <row r="5702" spans="92:92" x14ac:dyDescent="0.3">
      <c r="CN5702">
        <v>5701</v>
      </c>
    </row>
    <row r="5703" spans="92:92" x14ac:dyDescent="0.3">
      <c r="CN5703">
        <v>5702</v>
      </c>
    </row>
    <row r="5704" spans="92:92" x14ac:dyDescent="0.3">
      <c r="CN5704">
        <v>5703</v>
      </c>
    </row>
    <row r="5705" spans="92:92" x14ac:dyDescent="0.3">
      <c r="CN5705">
        <v>5704</v>
      </c>
    </row>
    <row r="5706" spans="92:92" x14ac:dyDescent="0.3">
      <c r="CN5706">
        <v>5705</v>
      </c>
    </row>
    <row r="5707" spans="92:92" x14ac:dyDescent="0.3">
      <c r="CN5707">
        <v>5706</v>
      </c>
    </row>
    <row r="5708" spans="92:92" x14ac:dyDescent="0.3">
      <c r="CN5708">
        <v>5707</v>
      </c>
    </row>
    <row r="5709" spans="92:92" x14ac:dyDescent="0.3">
      <c r="CN5709">
        <v>5708</v>
      </c>
    </row>
    <row r="5710" spans="92:92" x14ac:dyDescent="0.3">
      <c r="CN5710">
        <v>5709</v>
      </c>
    </row>
    <row r="5711" spans="92:92" x14ac:dyDescent="0.3">
      <c r="CN5711">
        <v>5710</v>
      </c>
    </row>
    <row r="5712" spans="92:92" x14ac:dyDescent="0.3">
      <c r="CN5712">
        <v>5711</v>
      </c>
    </row>
    <row r="5713" spans="92:92" x14ac:dyDescent="0.3">
      <c r="CN5713">
        <v>5712</v>
      </c>
    </row>
    <row r="5714" spans="92:92" x14ac:dyDescent="0.3">
      <c r="CN5714">
        <v>5713</v>
      </c>
    </row>
    <row r="5715" spans="92:92" x14ac:dyDescent="0.3">
      <c r="CN5715">
        <v>5714</v>
      </c>
    </row>
    <row r="5716" spans="92:92" x14ac:dyDescent="0.3">
      <c r="CN5716">
        <v>5715</v>
      </c>
    </row>
    <row r="5717" spans="92:92" x14ac:dyDescent="0.3">
      <c r="CN5717">
        <v>5716</v>
      </c>
    </row>
    <row r="5718" spans="92:92" x14ac:dyDescent="0.3">
      <c r="CN5718">
        <v>5717</v>
      </c>
    </row>
    <row r="5719" spans="92:92" x14ac:dyDescent="0.3">
      <c r="CN5719">
        <v>5718</v>
      </c>
    </row>
    <row r="5720" spans="92:92" x14ac:dyDescent="0.3">
      <c r="CN5720">
        <v>5719</v>
      </c>
    </row>
    <row r="5721" spans="92:92" x14ac:dyDescent="0.3">
      <c r="CN5721">
        <v>5720</v>
      </c>
    </row>
    <row r="5722" spans="92:92" x14ac:dyDescent="0.3">
      <c r="CN5722">
        <v>5721</v>
      </c>
    </row>
    <row r="5723" spans="92:92" x14ac:dyDescent="0.3">
      <c r="CN5723">
        <v>5722</v>
      </c>
    </row>
    <row r="5724" spans="92:92" x14ac:dyDescent="0.3">
      <c r="CN5724">
        <v>5723</v>
      </c>
    </row>
    <row r="5725" spans="92:92" x14ac:dyDescent="0.3">
      <c r="CN5725">
        <v>5724</v>
      </c>
    </row>
    <row r="5726" spans="92:92" x14ac:dyDescent="0.3">
      <c r="CN5726">
        <v>5725</v>
      </c>
    </row>
    <row r="5727" spans="92:92" x14ac:dyDescent="0.3">
      <c r="CN5727">
        <v>5726</v>
      </c>
    </row>
    <row r="5728" spans="92:92" x14ac:dyDescent="0.3">
      <c r="CN5728">
        <v>5727</v>
      </c>
    </row>
    <row r="5729" spans="92:92" x14ac:dyDescent="0.3">
      <c r="CN5729">
        <v>5728</v>
      </c>
    </row>
    <row r="5730" spans="92:92" x14ac:dyDescent="0.3">
      <c r="CN5730">
        <v>5729</v>
      </c>
    </row>
    <row r="5731" spans="92:92" x14ac:dyDescent="0.3">
      <c r="CN5731">
        <v>5730</v>
      </c>
    </row>
    <row r="5732" spans="92:92" x14ac:dyDescent="0.3">
      <c r="CN5732">
        <v>5731</v>
      </c>
    </row>
    <row r="5733" spans="92:92" x14ac:dyDescent="0.3">
      <c r="CN5733">
        <v>5732</v>
      </c>
    </row>
    <row r="5734" spans="92:92" x14ac:dyDescent="0.3">
      <c r="CN5734">
        <v>5733</v>
      </c>
    </row>
    <row r="5735" spans="92:92" x14ac:dyDescent="0.3">
      <c r="CN5735">
        <v>5734</v>
      </c>
    </row>
    <row r="5736" spans="92:92" x14ac:dyDescent="0.3">
      <c r="CN5736">
        <v>5735</v>
      </c>
    </row>
    <row r="5737" spans="92:92" x14ac:dyDescent="0.3">
      <c r="CN5737">
        <v>5736</v>
      </c>
    </row>
    <row r="5738" spans="92:92" x14ac:dyDescent="0.3">
      <c r="CN5738">
        <v>5737</v>
      </c>
    </row>
    <row r="5739" spans="92:92" x14ac:dyDescent="0.3">
      <c r="CN5739">
        <v>5738</v>
      </c>
    </row>
    <row r="5740" spans="92:92" x14ac:dyDescent="0.3">
      <c r="CN5740">
        <v>5739</v>
      </c>
    </row>
    <row r="5741" spans="92:92" x14ac:dyDescent="0.3">
      <c r="CN5741">
        <v>5740</v>
      </c>
    </row>
    <row r="5742" spans="92:92" x14ac:dyDescent="0.3">
      <c r="CN5742">
        <v>5741</v>
      </c>
    </row>
    <row r="5743" spans="92:92" x14ac:dyDescent="0.3">
      <c r="CN5743">
        <v>5742</v>
      </c>
    </row>
    <row r="5744" spans="92:92" x14ac:dyDescent="0.3">
      <c r="CN5744">
        <v>5743</v>
      </c>
    </row>
    <row r="5745" spans="92:92" x14ac:dyDescent="0.3">
      <c r="CN5745">
        <v>5744</v>
      </c>
    </row>
    <row r="5746" spans="92:92" x14ac:dyDescent="0.3">
      <c r="CN5746">
        <v>5745</v>
      </c>
    </row>
    <row r="5747" spans="92:92" x14ac:dyDescent="0.3">
      <c r="CN5747">
        <v>5746</v>
      </c>
    </row>
    <row r="5748" spans="92:92" x14ac:dyDescent="0.3">
      <c r="CN5748">
        <v>5747</v>
      </c>
    </row>
    <row r="5749" spans="92:92" x14ac:dyDescent="0.3">
      <c r="CN5749">
        <v>5748</v>
      </c>
    </row>
    <row r="5750" spans="92:92" x14ac:dyDescent="0.3">
      <c r="CN5750">
        <v>5749</v>
      </c>
    </row>
    <row r="5751" spans="92:92" x14ac:dyDescent="0.3">
      <c r="CN5751">
        <v>5750</v>
      </c>
    </row>
    <row r="5752" spans="92:92" x14ac:dyDescent="0.3">
      <c r="CN5752">
        <v>5751</v>
      </c>
    </row>
    <row r="5753" spans="92:92" x14ac:dyDescent="0.3">
      <c r="CN5753">
        <v>5752</v>
      </c>
    </row>
    <row r="5754" spans="92:92" x14ac:dyDescent="0.3">
      <c r="CN5754">
        <v>5753</v>
      </c>
    </row>
    <row r="5755" spans="92:92" x14ac:dyDescent="0.3">
      <c r="CN5755">
        <v>5754</v>
      </c>
    </row>
    <row r="5756" spans="92:92" x14ac:dyDescent="0.3">
      <c r="CN5756">
        <v>5755</v>
      </c>
    </row>
    <row r="5757" spans="92:92" x14ac:dyDescent="0.3">
      <c r="CN5757">
        <v>5756</v>
      </c>
    </row>
    <row r="5758" spans="92:92" x14ac:dyDescent="0.3">
      <c r="CN5758">
        <v>5757</v>
      </c>
    </row>
    <row r="5759" spans="92:92" x14ac:dyDescent="0.3">
      <c r="CN5759">
        <v>5758</v>
      </c>
    </row>
    <row r="5760" spans="92:92" x14ac:dyDescent="0.3">
      <c r="CN5760">
        <v>5759</v>
      </c>
    </row>
    <row r="5761" spans="92:92" x14ac:dyDescent="0.3">
      <c r="CN5761">
        <v>5760</v>
      </c>
    </row>
    <row r="5762" spans="92:92" x14ac:dyDescent="0.3">
      <c r="CN5762">
        <v>5761</v>
      </c>
    </row>
    <row r="5763" spans="92:92" x14ac:dyDescent="0.3">
      <c r="CN5763">
        <v>5762</v>
      </c>
    </row>
    <row r="5764" spans="92:92" x14ac:dyDescent="0.3">
      <c r="CN5764">
        <v>5763</v>
      </c>
    </row>
    <row r="5765" spans="92:92" x14ac:dyDescent="0.3">
      <c r="CN5765">
        <v>5764</v>
      </c>
    </row>
    <row r="5766" spans="92:92" x14ac:dyDescent="0.3">
      <c r="CN5766">
        <v>5765</v>
      </c>
    </row>
    <row r="5767" spans="92:92" x14ac:dyDescent="0.3">
      <c r="CN5767">
        <v>5766</v>
      </c>
    </row>
    <row r="5768" spans="92:92" x14ac:dyDescent="0.3">
      <c r="CN5768">
        <v>5767</v>
      </c>
    </row>
    <row r="5769" spans="92:92" x14ac:dyDescent="0.3">
      <c r="CN5769">
        <v>5768</v>
      </c>
    </row>
    <row r="5770" spans="92:92" x14ac:dyDescent="0.3">
      <c r="CN5770">
        <v>5769</v>
      </c>
    </row>
    <row r="5771" spans="92:92" x14ac:dyDescent="0.3">
      <c r="CN5771">
        <v>5770</v>
      </c>
    </row>
    <row r="5772" spans="92:92" x14ac:dyDescent="0.3">
      <c r="CN5772">
        <v>5771</v>
      </c>
    </row>
    <row r="5773" spans="92:92" x14ac:dyDescent="0.3">
      <c r="CN5773">
        <v>5772</v>
      </c>
    </row>
    <row r="5774" spans="92:92" x14ac:dyDescent="0.3">
      <c r="CN5774">
        <v>5773</v>
      </c>
    </row>
    <row r="5775" spans="92:92" x14ac:dyDescent="0.3">
      <c r="CN5775">
        <v>5774</v>
      </c>
    </row>
    <row r="5776" spans="92:92" x14ac:dyDescent="0.3">
      <c r="CN5776">
        <v>5775</v>
      </c>
    </row>
    <row r="5777" spans="92:92" x14ac:dyDescent="0.3">
      <c r="CN5777">
        <v>5776</v>
      </c>
    </row>
    <row r="5778" spans="92:92" x14ac:dyDescent="0.3">
      <c r="CN5778">
        <v>5777</v>
      </c>
    </row>
    <row r="5779" spans="92:92" x14ac:dyDescent="0.3">
      <c r="CN5779">
        <v>5778</v>
      </c>
    </row>
    <row r="5780" spans="92:92" x14ac:dyDescent="0.3">
      <c r="CN5780">
        <v>5779</v>
      </c>
    </row>
    <row r="5781" spans="92:92" x14ac:dyDescent="0.3">
      <c r="CN5781">
        <v>5780</v>
      </c>
    </row>
    <row r="5782" spans="92:92" x14ac:dyDescent="0.3">
      <c r="CN5782">
        <v>5781</v>
      </c>
    </row>
    <row r="5783" spans="92:92" x14ac:dyDescent="0.3">
      <c r="CN5783">
        <v>5782</v>
      </c>
    </row>
    <row r="5784" spans="92:92" x14ac:dyDescent="0.3">
      <c r="CN5784">
        <v>5783</v>
      </c>
    </row>
    <row r="5785" spans="92:92" x14ac:dyDescent="0.3">
      <c r="CN5785">
        <v>5784</v>
      </c>
    </row>
    <row r="5786" spans="92:92" x14ac:dyDescent="0.3">
      <c r="CN5786">
        <v>5785</v>
      </c>
    </row>
    <row r="5787" spans="92:92" x14ac:dyDescent="0.3">
      <c r="CN5787">
        <v>5786</v>
      </c>
    </row>
    <row r="5788" spans="92:92" x14ac:dyDescent="0.3">
      <c r="CN5788">
        <v>5787</v>
      </c>
    </row>
    <row r="5789" spans="92:92" x14ac:dyDescent="0.3">
      <c r="CN5789">
        <v>5788</v>
      </c>
    </row>
    <row r="5790" spans="92:92" x14ac:dyDescent="0.3">
      <c r="CN5790">
        <v>5789</v>
      </c>
    </row>
    <row r="5791" spans="92:92" x14ac:dyDescent="0.3">
      <c r="CN5791">
        <v>5790</v>
      </c>
    </row>
    <row r="5792" spans="92:92" x14ac:dyDescent="0.3">
      <c r="CN5792">
        <v>5791</v>
      </c>
    </row>
    <row r="5793" spans="92:92" x14ac:dyDescent="0.3">
      <c r="CN5793">
        <v>5792</v>
      </c>
    </row>
    <row r="5794" spans="92:92" x14ac:dyDescent="0.3">
      <c r="CN5794">
        <v>5793</v>
      </c>
    </row>
    <row r="5795" spans="92:92" x14ac:dyDescent="0.3">
      <c r="CN5795">
        <v>5794</v>
      </c>
    </row>
    <row r="5796" spans="92:92" x14ac:dyDescent="0.3">
      <c r="CN5796">
        <v>5795</v>
      </c>
    </row>
    <row r="5797" spans="92:92" x14ac:dyDescent="0.3">
      <c r="CN5797">
        <v>5796</v>
      </c>
    </row>
    <row r="5798" spans="92:92" x14ac:dyDescent="0.3">
      <c r="CN5798">
        <v>5797</v>
      </c>
    </row>
    <row r="5799" spans="92:92" x14ac:dyDescent="0.3">
      <c r="CN5799">
        <v>5798</v>
      </c>
    </row>
    <row r="5800" spans="92:92" x14ac:dyDescent="0.3">
      <c r="CN5800">
        <v>5799</v>
      </c>
    </row>
    <row r="5801" spans="92:92" x14ac:dyDescent="0.3">
      <c r="CN5801">
        <v>5800</v>
      </c>
    </row>
    <row r="5802" spans="92:92" x14ac:dyDescent="0.3">
      <c r="CN5802">
        <v>5801</v>
      </c>
    </row>
    <row r="5803" spans="92:92" x14ac:dyDescent="0.3">
      <c r="CN5803">
        <v>5802</v>
      </c>
    </row>
    <row r="5804" spans="92:92" x14ac:dyDescent="0.3">
      <c r="CN5804">
        <v>5803</v>
      </c>
    </row>
    <row r="5805" spans="92:92" x14ac:dyDescent="0.3">
      <c r="CN5805">
        <v>5804</v>
      </c>
    </row>
    <row r="5806" spans="92:92" x14ac:dyDescent="0.3">
      <c r="CN5806">
        <v>5805</v>
      </c>
    </row>
    <row r="5807" spans="92:92" x14ac:dyDescent="0.3">
      <c r="CN5807">
        <v>5806</v>
      </c>
    </row>
    <row r="5808" spans="92:92" x14ac:dyDescent="0.3">
      <c r="CN5808">
        <v>5807</v>
      </c>
    </row>
    <row r="5809" spans="92:92" x14ac:dyDescent="0.3">
      <c r="CN5809">
        <v>5808</v>
      </c>
    </row>
    <row r="5810" spans="92:92" x14ac:dyDescent="0.3">
      <c r="CN5810">
        <v>5809</v>
      </c>
    </row>
    <row r="5811" spans="92:92" x14ac:dyDescent="0.3">
      <c r="CN5811">
        <v>5810</v>
      </c>
    </row>
    <row r="5812" spans="92:92" x14ac:dyDescent="0.3">
      <c r="CN5812">
        <v>5811</v>
      </c>
    </row>
    <row r="5813" spans="92:92" x14ac:dyDescent="0.3">
      <c r="CN5813">
        <v>5812</v>
      </c>
    </row>
    <row r="5814" spans="92:92" x14ac:dyDescent="0.3">
      <c r="CN5814">
        <v>5813</v>
      </c>
    </row>
    <row r="5815" spans="92:92" x14ac:dyDescent="0.3">
      <c r="CN5815">
        <v>5814</v>
      </c>
    </row>
    <row r="5816" spans="92:92" x14ac:dyDescent="0.3">
      <c r="CN5816">
        <v>5815</v>
      </c>
    </row>
    <row r="5817" spans="92:92" x14ac:dyDescent="0.3">
      <c r="CN5817">
        <v>5816</v>
      </c>
    </row>
    <row r="5818" spans="92:92" x14ac:dyDescent="0.3">
      <c r="CN5818">
        <v>5817</v>
      </c>
    </row>
    <row r="5819" spans="92:92" x14ac:dyDescent="0.3">
      <c r="CN5819">
        <v>5818</v>
      </c>
    </row>
    <row r="5820" spans="92:92" x14ac:dyDescent="0.3">
      <c r="CN5820">
        <v>5819</v>
      </c>
    </row>
    <row r="5821" spans="92:92" x14ac:dyDescent="0.3">
      <c r="CN5821">
        <v>5820</v>
      </c>
    </row>
    <row r="5822" spans="92:92" x14ac:dyDescent="0.3">
      <c r="CN5822">
        <v>5821</v>
      </c>
    </row>
    <row r="5823" spans="92:92" x14ac:dyDescent="0.3">
      <c r="CN5823">
        <v>5822</v>
      </c>
    </row>
    <row r="5824" spans="92:92" x14ac:dyDescent="0.3">
      <c r="CN5824">
        <v>5823</v>
      </c>
    </row>
    <row r="5825" spans="92:92" x14ac:dyDescent="0.3">
      <c r="CN5825">
        <v>5824</v>
      </c>
    </row>
    <row r="5826" spans="92:92" x14ac:dyDescent="0.3">
      <c r="CN5826">
        <v>5825</v>
      </c>
    </row>
    <row r="5827" spans="92:92" x14ac:dyDescent="0.3">
      <c r="CN5827">
        <v>5826</v>
      </c>
    </row>
    <row r="5828" spans="92:92" x14ac:dyDescent="0.3">
      <c r="CN5828">
        <v>5827</v>
      </c>
    </row>
    <row r="5829" spans="92:92" x14ac:dyDescent="0.3">
      <c r="CN5829">
        <v>5828</v>
      </c>
    </row>
    <row r="5830" spans="92:92" x14ac:dyDescent="0.3">
      <c r="CN5830">
        <v>5829</v>
      </c>
    </row>
    <row r="5831" spans="92:92" x14ac:dyDescent="0.3">
      <c r="CN5831">
        <v>5830</v>
      </c>
    </row>
    <row r="5832" spans="92:92" x14ac:dyDescent="0.3">
      <c r="CN5832">
        <v>5831</v>
      </c>
    </row>
    <row r="5833" spans="92:92" x14ac:dyDescent="0.3">
      <c r="CN5833">
        <v>5832</v>
      </c>
    </row>
    <row r="5834" spans="92:92" x14ac:dyDescent="0.3">
      <c r="CN5834">
        <v>5833</v>
      </c>
    </row>
    <row r="5835" spans="92:92" x14ac:dyDescent="0.3">
      <c r="CN5835">
        <v>5834</v>
      </c>
    </row>
    <row r="5836" spans="92:92" x14ac:dyDescent="0.3">
      <c r="CN5836">
        <v>5835</v>
      </c>
    </row>
    <row r="5837" spans="92:92" x14ac:dyDescent="0.3">
      <c r="CN5837">
        <v>5836</v>
      </c>
    </row>
    <row r="5838" spans="92:92" x14ac:dyDescent="0.3">
      <c r="CN5838">
        <v>5837</v>
      </c>
    </row>
    <row r="5839" spans="92:92" x14ac:dyDescent="0.3">
      <c r="CN5839">
        <v>5838</v>
      </c>
    </row>
    <row r="5840" spans="92:92" x14ac:dyDescent="0.3">
      <c r="CN5840">
        <v>5839</v>
      </c>
    </row>
    <row r="5841" spans="92:92" x14ac:dyDescent="0.3">
      <c r="CN5841">
        <v>5840</v>
      </c>
    </row>
    <row r="5842" spans="92:92" x14ac:dyDescent="0.3">
      <c r="CN5842">
        <v>5841</v>
      </c>
    </row>
    <row r="5843" spans="92:92" x14ac:dyDescent="0.3">
      <c r="CN5843">
        <v>5842</v>
      </c>
    </row>
    <row r="5844" spans="92:92" x14ac:dyDescent="0.3">
      <c r="CN5844">
        <v>5843</v>
      </c>
    </row>
    <row r="5845" spans="92:92" x14ac:dyDescent="0.3">
      <c r="CN5845">
        <v>5844</v>
      </c>
    </row>
    <row r="5846" spans="92:92" x14ac:dyDescent="0.3">
      <c r="CN5846">
        <v>5845</v>
      </c>
    </row>
    <row r="5847" spans="92:92" x14ac:dyDescent="0.3">
      <c r="CN5847">
        <v>5846</v>
      </c>
    </row>
    <row r="5848" spans="92:92" x14ac:dyDescent="0.3">
      <c r="CN5848">
        <v>5847</v>
      </c>
    </row>
    <row r="5849" spans="92:92" x14ac:dyDescent="0.3">
      <c r="CN5849">
        <v>5848</v>
      </c>
    </row>
    <row r="5850" spans="92:92" x14ac:dyDescent="0.3">
      <c r="CN5850">
        <v>5849</v>
      </c>
    </row>
    <row r="5851" spans="92:92" x14ac:dyDescent="0.3">
      <c r="CN5851">
        <v>5850</v>
      </c>
    </row>
    <row r="5852" spans="92:92" x14ac:dyDescent="0.3">
      <c r="CN5852">
        <v>5851</v>
      </c>
    </row>
    <row r="5853" spans="92:92" x14ac:dyDescent="0.3">
      <c r="CN5853">
        <v>5852</v>
      </c>
    </row>
    <row r="5854" spans="92:92" x14ac:dyDescent="0.3">
      <c r="CN5854">
        <v>5853</v>
      </c>
    </row>
    <row r="5855" spans="92:92" x14ac:dyDescent="0.3">
      <c r="CN5855">
        <v>5854</v>
      </c>
    </row>
    <row r="5856" spans="92:92" x14ac:dyDescent="0.3">
      <c r="CN5856">
        <v>5855</v>
      </c>
    </row>
    <row r="5857" spans="92:92" x14ac:dyDescent="0.3">
      <c r="CN5857">
        <v>5856</v>
      </c>
    </row>
    <row r="5858" spans="92:92" x14ac:dyDescent="0.3">
      <c r="CN5858">
        <v>5857</v>
      </c>
    </row>
    <row r="5859" spans="92:92" x14ac:dyDescent="0.3">
      <c r="CN5859">
        <v>5858</v>
      </c>
    </row>
    <row r="5860" spans="92:92" x14ac:dyDescent="0.3">
      <c r="CN5860">
        <v>5859</v>
      </c>
    </row>
    <row r="5861" spans="92:92" x14ac:dyDescent="0.3">
      <c r="CN5861">
        <v>5860</v>
      </c>
    </row>
    <row r="5862" spans="92:92" x14ac:dyDescent="0.3">
      <c r="CN5862">
        <v>5861</v>
      </c>
    </row>
    <row r="5863" spans="92:92" x14ac:dyDescent="0.3">
      <c r="CN5863">
        <v>5862</v>
      </c>
    </row>
    <row r="5864" spans="92:92" x14ac:dyDescent="0.3">
      <c r="CN5864">
        <v>5863</v>
      </c>
    </row>
    <row r="5865" spans="92:92" x14ac:dyDescent="0.3">
      <c r="CN5865">
        <v>5864</v>
      </c>
    </row>
    <row r="5866" spans="92:92" x14ac:dyDescent="0.3">
      <c r="CN5866">
        <v>5865</v>
      </c>
    </row>
    <row r="5867" spans="92:92" x14ac:dyDescent="0.3">
      <c r="CN5867">
        <v>5866</v>
      </c>
    </row>
    <row r="5868" spans="92:92" x14ac:dyDescent="0.3">
      <c r="CN5868">
        <v>5867</v>
      </c>
    </row>
    <row r="5869" spans="92:92" x14ac:dyDescent="0.3">
      <c r="CN5869">
        <v>5868</v>
      </c>
    </row>
    <row r="5870" spans="92:92" x14ac:dyDescent="0.3">
      <c r="CN5870">
        <v>5869</v>
      </c>
    </row>
    <row r="5871" spans="92:92" x14ac:dyDescent="0.3">
      <c r="CN5871">
        <v>5870</v>
      </c>
    </row>
    <row r="5872" spans="92:92" x14ac:dyDescent="0.3">
      <c r="CN5872">
        <v>5871</v>
      </c>
    </row>
    <row r="5873" spans="92:92" x14ac:dyDescent="0.3">
      <c r="CN5873">
        <v>5872</v>
      </c>
    </row>
    <row r="5874" spans="92:92" x14ac:dyDescent="0.3">
      <c r="CN5874">
        <v>5873</v>
      </c>
    </row>
    <row r="5875" spans="92:92" x14ac:dyDescent="0.3">
      <c r="CN5875">
        <v>5874</v>
      </c>
    </row>
    <row r="5876" spans="92:92" x14ac:dyDescent="0.3">
      <c r="CN5876">
        <v>5875</v>
      </c>
    </row>
    <row r="5877" spans="92:92" x14ac:dyDescent="0.3">
      <c r="CN5877">
        <v>5876</v>
      </c>
    </row>
    <row r="5878" spans="92:92" x14ac:dyDescent="0.3">
      <c r="CN5878">
        <v>5877</v>
      </c>
    </row>
    <row r="5879" spans="92:92" x14ac:dyDescent="0.3">
      <c r="CN5879">
        <v>5878</v>
      </c>
    </row>
    <row r="5880" spans="92:92" x14ac:dyDescent="0.3">
      <c r="CN5880">
        <v>5879</v>
      </c>
    </row>
    <row r="5881" spans="92:92" x14ac:dyDescent="0.3">
      <c r="CN5881">
        <v>5880</v>
      </c>
    </row>
    <row r="5882" spans="92:92" x14ac:dyDescent="0.3">
      <c r="CN5882">
        <v>5881</v>
      </c>
    </row>
    <row r="5883" spans="92:92" x14ac:dyDescent="0.3">
      <c r="CN5883">
        <v>5882</v>
      </c>
    </row>
    <row r="5884" spans="92:92" x14ac:dyDescent="0.3">
      <c r="CN5884">
        <v>5883</v>
      </c>
    </row>
    <row r="5885" spans="92:92" x14ac:dyDescent="0.3">
      <c r="CN5885">
        <v>5884</v>
      </c>
    </row>
    <row r="5886" spans="92:92" x14ac:dyDescent="0.3">
      <c r="CN5886">
        <v>5885</v>
      </c>
    </row>
    <row r="5887" spans="92:92" x14ac:dyDescent="0.3">
      <c r="CN5887">
        <v>5886</v>
      </c>
    </row>
    <row r="5888" spans="92:92" x14ac:dyDescent="0.3">
      <c r="CN5888">
        <v>5887</v>
      </c>
    </row>
    <row r="5889" spans="92:92" x14ac:dyDescent="0.3">
      <c r="CN5889">
        <v>5888</v>
      </c>
    </row>
    <row r="5890" spans="92:92" x14ac:dyDescent="0.3">
      <c r="CN5890">
        <v>5889</v>
      </c>
    </row>
    <row r="5891" spans="92:92" x14ac:dyDescent="0.3">
      <c r="CN5891">
        <v>5890</v>
      </c>
    </row>
    <row r="5892" spans="92:92" x14ac:dyDescent="0.3">
      <c r="CN5892">
        <v>5891</v>
      </c>
    </row>
    <row r="5893" spans="92:92" x14ac:dyDescent="0.3">
      <c r="CN5893">
        <v>5892</v>
      </c>
    </row>
    <row r="5894" spans="92:92" x14ac:dyDescent="0.3">
      <c r="CN5894">
        <v>5893</v>
      </c>
    </row>
    <row r="5895" spans="92:92" x14ac:dyDescent="0.3">
      <c r="CN5895">
        <v>5894</v>
      </c>
    </row>
    <row r="5896" spans="92:92" x14ac:dyDescent="0.3">
      <c r="CN5896">
        <v>5895</v>
      </c>
    </row>
    <row r="5897" spans="92:92" x14ac:dyDescent="0.3">
      <c r="CN5897">
        <v>5896</v>
      </c>
    </row>
    <row r="5898" spans="92:92" x14ac:dyDescent="0.3">
      <c r="CN5898">
        <v>5897</v>
      </c>
    </row>
    <row r="5899" spans="92:92" x14ac:dyDescent="0.3">
      <c r="CN5899">
        <v>5898</v>
      </c>
    </row>
    <row r="5900" spans="92:92" x14ac:dyDescent="0.3">
      <c r="CN5900">
        <v>5899</v>
      </c>
    </row>
    <row r="5901" spans="92:92" x14ac:dyDescent="0.3">
      <c r="CN5901">
        <v>5900</v>
      </c>
    </row>
    <row r="5902" spans="92:92" x14ac:dyDescent="0.3">
      <c r="CN5902">
        <v>5901</v>
      </c>
    </row>
    <row r="5903" spans="92:92" x14ac:dyDescent="0.3">
      <c r="CN5903">
        <v>5902</v>
      </c>
    </row>
    <row r="5904" spans="92:92" x14ac:dyDescent="0.3">
      <c r="CN5904">
        <v>5903</v>
      </c>
    </row>
    <row r="5905" spans="92:92" x14ac:dyDescent="0.3">
      <c r="CN5905">
        <v>5904</v>
      </c>
    </row>
    <row r="5906" spans="92:92" x14ac:dyDescent="0.3">
      <c r="CN5906">
        <v>5905</v>
      </c>
    </row>
    <row r="5907" spans="92:92" x14ac:dyDescent="0.3">
      <c r="CN5907">
        <v>5906</v>
      </c>
    </row>
    <row r="5908" spans="92:92" x14ac:dyDescent="0.3">
      <c r="CN5908">
        <v>5907</v>
      </c>
    </row>
    <row r="5909" spans="92:92" x14ac:dyDescent="0.3">
      <c r="CN5909">
        <v>5908</v>
      </c>
    </row>
    <row r="5910" spans="92:92" x14ac:dyDescent="0.3">
      <c r="CN5910">
        <v>5909</v>
      </c>
    </row>
    <row r="5911" spans="92:92" x14ac:dyDescent="0.3">
      <c r="CN5911">
        <v>5910</v>
      </c>
    </row>
    <row r="5912" spans="92:92" x14ac:dyDescent="0.3">
      <c r="CN5912">
        <v>5911</v>
      </c>
    </row>
    <row r="5913" spans="92:92" x14ac:dyDescent="0.3">
      <c r="CN5913">
        <v>5912</v>
      </c>
    </row>
    <row r="5914" spans="92:92" x14ac:dyDescent="0.3">
      <c r="CN5914">
        <v>5913</v>
      </c>
    </row>
    <row r="5915" spans="92:92" x14ac:dyDescent="0.3">
      <c r="CN5915">
        <v>5914</v>
      </c>
    </row>
    <row r="5916" spans="92:92" x14ac:dyDescent="0.3">
      <c r="CN5916">
        <v>5915</v>
      </c>
    </row>
    <row r="5917" spans="92:92" x14ac:dyDescent="0.3">
      <c r="CN5917">
        <v>5916</v>
      </c>
    </row>
    <row r="5918" spans="92:92" x14ac:dyDescent="0.3">
      <c r="CN5918">
        <v>5917</v>
      </c>
    </row>
    <row r="5919" spans="92:92" x14ac:dyDescent="0.3">
      <c r="CN5919">
        <v>5918</v>
      </c>
    </row>
    <row r="5920" spans="92:92" x14ac:dyDescent="0.3">
      <c r="CN5920">
        <v>5919</v>
      </c>
    </row>
    <row r="5921" spans="92:92" x14ac:dyDescent="0.3">
      <c r="CN5921">
        <v>5920</v>
      </c>
    </row>
    <row r="5922" spans="92:92" x14ac:dyDescent="0.3">
      <c r="CN5922">
        <v>5921</v>
      </c>
    </row>
    <row r="5923" spans="92:92" x14ac:dyDescent="0.3">
      <c r="CN5923">
        <v>5922</v>
      </c>
    </row>
    <row r="5924" spans="92:92" x14ac:dyDescent="0.3">
      <c r="CN5924">
        <v>5923</v>
      </c>
    </row>
    <row r="5925" spans="92:92" x14ac:dyDescent="0.3">
      <c r="CN5925">
        <v>5924</v>
      </c>
    </row>
    <row r="5926" spans="92:92" x14ac:dyDescent="0.3">
      <c r="CN5926">
        <v>5925</v>
      </c>
    </row>
    <row r="5927" spans="92:92" x14ac:dyDescent="0.3">
      <c r="CN5927">
        <v>5926</v>
      </c>
    </row>
    <row r="5928" spans="92:92" x14ac:dyDescent="0.3">
      <c r="CN5928">
        <v>5927</v>
      </c>
    </row>
    <row r="5929" spans="92:92" x14ac:dyDescent="0.3">
      <c r="CN5929">
        <v>5928</v>
      </c>
    </row>
    <row r="5930" spans="92:92" x14ac:dyDescent="0.3">
      <c r="CN5930">
        <v>5929</v>
      </c>
    </row>
    <row r="5931" spans="92:92" x14ac:dyDescent="0.3">
      <c r="CN5931">
        <v>5930</v>
      </c>
    </row>
    <row r="5932" spans="92:92" x14ac:dyDescent="0.3">
      <c r="CN5932">
        <v>5931</v>
      </c>
    </row>
    <row r="5933" spans="92:92" x14ac:dyDescent="0.3">
      <c r="CN5933">
        <v>5932</v>
      </c>
    </row>
    <row r="5934" spans="92:92" x14ac:dyDescent="0.3">
      <c r="CN5934">
        <v>5933</v>
      </c>
    </row>
    <row r="5935" spans="92:92" x14ac:dyDescent="0.3">
      <c r="CN5935">
        <v>5934</v>
      </c>
    </row>
    <row r="5936" spans="92:92" x14ac:dyDescent="0.3">
      <c r="CN5936">
        <v>5935</v>
      </c>
    </row>
    <row r="5937" spans="92:92" x14ac:dyDescent="0.3">
      <c r="CN5937">
        <v>5936</v>
      </c>
    </row>
    <row r="5938" spans="92:92" x14ac:dyDescent="0.3">
      <c r="CN5938">
        <v>5937</v>
      </c>
    </row>
    <row r="5939" spans="92:92" x14ac:dyDescent="0.3">
      <c r="CN5939">
        <v>5938</v>
      </c>
    </row>
    <row r="5940" spans="92:92" x14ac:dyDescent="0.3">
      <c r="CN5940">
        <v>5939</v>
      </c>
    </row>
    <row r="5941" spans="92:92" x14ac:dyDescent="0.3">
      <c r="CN5941">
        <v>5940</v>
      </c>
    </row>
    <row r="5942" spans="92:92" x14ac:dyDescent="0.3">
      <c r="CN5942">
        <v>5941</v>
      </c>
    </row>
    <row r="5943" spans="92:92" x14ac:dyDescent="0.3">
      <c r="CN5943">
        <v>5942</v>
      </c>
    </row>
    <row r="5944" spans="92:92" x14ac:dyDescent="0.3">
      <c r="CN5944">
        <v>5943</v>
      </c>
    </row>
    <row r="5945" spans="92:92" x14ac:dyDescent="0.3">
      <c r="CN5945">
        <v>5944</v>
      </c>
    </row>
    <row r="5946" spans="92:92" x14ac:dyDescent="0.3">
      <c r="CN5946">
        <v>5945</v>
      </c>
    </row>
    <row r="5947" spans="92:92" x14ac:dyDescent="0.3">
      <c r="CN5947">
        <v>5946</v>
      </c>
    </row>
    <row r="5948" spans="92:92" x14ac:dyDescent="0.3">
      <c r="CN5948">
        <v>5947</v>
      </c>
    </row>
    <row r="5949" spans="92:92" x14ac:dyDescent="0.3">
      <c r="CN5949">
        <v>5948</v>
      </c>
    </row>
    <row r="5950" spans="92:92" x14ac:dyDescent="0.3">
      <c r="CN5950">
        <v>5949</v>
      </c>
    </row>
    <row r="5951" spans="92:92" x14ac:dyDescent="0.3">
      <c r="CN5951">
        <v>5950</v>
      </c>
    </row>
    <row r="5952" spans="92:92" x14ac:dyDescent="0.3">
      <c r="CN5952">
        <v>5951</v>
      </c>
    </row>
    <row r="5953" spans="92:92" x14ac:dyDescent="0.3">
      <c r="CN5953">
        <v>5952</v>
      </c>
    </row>
    <row r="5954" spans="92:92" x14ac:dyDescent="0.3">
      <c r="CN5954">
        <v>5953</v>
      </c>
    </row>
    <row r="5955" spans="92:92" x14ac:dyDescent="0.3">
      <c r="CN5955">
        <v>5954</v>
      </c>
    </row>
    <row r="5956" spans="92:92" x14ac:dyDescent="0.3">
      <c r="CN5956">
        <v>5955</v>
      </c>
    </row>
    <row r="5957" spans="92:92" x14ac:dyDescent="0.3">
      <c r="CN5957">
        <v>5956</v>
      </c>
    </row>
    <row r="5958" spans="92:92" x14ac:dyDescent="0.3">
      <c r="CN5958">
        <v>5957</v>
      </c>
    </row>
    <row r="5959" spans="92:92" x14ac:dyDescent="0.3">
      <c r="CN5959">
        <v>5958</v>
      </c>
    </row>
    <row r="5960" spans="92:92" x14ac:dyDescent="0.3">
      <c r="CN5960">
        <v>5959</v>
      </c>
    </row>
    <row r="5961" spans="92:92" x14ac:dyDescent="0.3">
      <c r="CN5961">
        <v>5960</v>
      </c>
    </row>
    <row r="5962" spans="92:92" x14ac:dyDescent="0.3">
      <c r="CN5962">
        <v>5961</v>
      </c>
    </row>
    <row r="5963" spans="92:92" x14ac:dyDescent="0.3">
      <c r="CN5963">
        <v>5962</v>
      </c>
    </row>
    <row r="5964" spans="92:92" x14ac:dyDescent="0.3">
      <c r="CN5964">
        <v>5963</v>
      </c>
    </row>
    <row r="5965" spans="92:92" x14ac:dyDescent="0.3">
      <c r="CN5965">
        <v>5964</v>
      </c>
    </row>
    <row r="5966" spans="92:92" x14ac:dyDescent="0.3">
      <c r="CN5966">
        <v>5965</v>
      </c>
    </row>
    <row r="5967" spans="92:92" x14ac:dyDescent="0.3">
      <c r="CN5967">
        <v>5966</v>
      </c>
    </row>
    <row r="5968" spans="92:92" x14ac:dyDescent="0.3">
      <c r="CN5968">
        <v>5967</v>
      </c>
    </row>
    <row r="5969" spans="92:92" x14ac:dyDescent="0.3">
      <c r="CN5969">
        <v>5968</v>
      </c>
    </row>
    <row r="5970" spans="92:92" x14ac:dyDescent="0.3">
      <c r="CN5970">
        <v>5969</v>
      </c>
    </row>
    <row r="5971" spans="92:92" x14ac:dyDescent="0.3">
      <c r="CN5971">
        <v>5970</v>
      </c>
    </row>
    <row r="5972" spans="92:92" x14ac:dyDescent="0.3">
      <c r="CN5972">
        <v>5971</v>
      </c>
    </row>
    <row r="5973" spans="92:92" x14ac:dyDescent="0.3">
      <c r="CN5973">
        <v>5972</v>
      </c>
    </row>
    <row r="5974" spans="92:92" x14ac:dyDescent="0.3">
      <c r="CN5974">
        <v>5973</v>
      </c>
    </row>
    <row r="5975" spans="92:92" x14ac:dyDescent="0.3">
      <c r="CN5975">
        <v>5974</v>
      </c>
    </row>
    <row r="5976" spans="92:92" x14ac:dyDescent="0.3">
      <c r="CN5976">
        <v>5975</v>
      </c>
    </row>
    <row r="5977" spans="92:92" x14ac:dyDescent="0.3">
      <c r="CN5977">
        <v>5976</v>
      </c>
    </row>
    <row r="5978" spans="92:92" x14ac:dyDescent="0.3">
      <c r="CN5978">
        <v>5977</v>
      </c>
    </row>
    <row r="5979" spans="92:92" x14ac:dyDescent="0.3">
      <c r="CN5979">
        <v>5978</v>
      </c>
    </row>
    <row r="5980" spans="92:92" x14ac:dyDescent="0.3">
      <c r="CN5980">
        <v>5979</v>
      </c>
    </row>
    <row r="5981" spans="92:92" x14ac:dyDescent="0.3">
      <c r="CN5981">
        <v>5980</v>
      </c>
    </row>
    <row r="5982" spans="92:92" x14ac:dyDescent="0.3">
      <c r="CN5982">
        <v>5981</v>
      </c>
    </row>
    <row r="5983" spans="92:92" x14ac:dyDescent="0.3">
      <c r="CN5983">
        <v>5982</v>
      </c>
    </row>
    <row r="5984" spans="92:92" x14ac:dyDescent="0.3">
      <c r="CN5984">
        <v>5983</v>
      </c>
    </row>
    <row r="5985" spans="92:92" x14ac:dyDescent="0.3">
      <c r="CN5985">
        <v>5984</v>
      </c>
    </row>
    <row r="5986" spans="92:92" x14ac:dyDescent="0.3">
      <c r="CN5986">
        <v>5985</v>
      </c>
    </row>
    <row r="5987" spans="92:92" x14ac:dyDescent="0.3">
      <c r="CN5987">
        <v>5986</v>
      </c>
    </row>
    <row r="5988" spans="92:92" x14ac:dyDescent="0.3">
      <c r="CN5988">
        <v>5987</v>
      </c>
    </row>
    <row r="5989" spans="92:92" x14ac:dyDescent="0.3">
      <c r="CN5989">
        <v>5988</v>
      </c>
    </row>
    <row r="5990" spans="92:92" x14ac:dyDescent="0.3">
      <c r="CN5990">
        <v>5989</v>
      </c>
    </row>
    <row r="5991" spans="92:92" x14ac:dyDescent="0.3">
      <c r="CN5991">
        <v>5990</v>
      </c>
    </row>
    <row r="5992" spans="92:92" x14ac:dyDescent="0.3">
      <c r="CN5992">
        <v>5991</v>
      </c>
    </row>
    <row r="5993" spans="92:92" x14ac:dyDescent="0.3">
      <c r="CN5993">
        <v>5992</v>
      </c>
    </row>
    <row r="5994" spans="92:92" x14ac:dyDescent="0.3">
      <c r="CN5994">
        <v>5993</v>
      </c>
    </row>
    <row r="5995" spans="92:92" x14ac:dyDescent="0.3">
      <c r="CN5995">
        <v>5994</v>
      </c>
    </row>
    <row r="5996" spans="92:92" x14ac:dyDescent="0.3">
      <c r="CN5996">
        <v>5995</v>
      </c>
    </row>
    <row r="5997" spans="92:92" x14ac:dyDescent="0.3">
      <c r="CN5997">
        <v>5996</v>
      </c>
    </row>
    <row r="5998" spans="92:92" x14ac:dyDescent="0.3">
      <c r="CN5998">
        <v>5997</v>
      </c>
    </row>
    <row r="5999" spans="92:92" x14ac:dyDescent="0.3">
      <c r="CN5999">
        <v>5998</v>
      </c>
    </row>
    <row r="6000" spans="92:92" x14ac:dyDescent="0.3">
      <c r="CN6000">
        <v>5999</v>
      </c>
    </row>
    <row r="6001" spans="92:92" x14ac:dyDescent="0.3">
      <c r="CN6001">
        <v>6000</v>
      </c>
    </row>
    <row r="6002" spans="92:92" x14ac:dyDescent="0.3">
      <c r="CN6002">
        <v>6001</v>
      </c>
    </row>
    <row r="6003" spans="92:92" x14ac:dyDescent="0.3">
      <c r="CN6003">
        <v>6002</v>
      </c>
    </row>
    <row r="6004" spans="92:92" x14ac:dyDescent="0.3">
      <c r="CN6004">
        <v>6003</v>
      </c>
    </row>
    <row r="6005" spans="92:92" x14ac:dyDescent="0.3">
      <c r="CN6005">
        <v>6004</v>
      </c>
    </row>
    <row r="6006" spans="92:92" x14ac:dyDescent="0.3">
      <c r="CN6006">
        <v>6005</v>
      </c>
    </row>
    <row r="6007" spans="92:92" x14ac:dyDescent="0.3">
      <c r="CN6007">
        <v>6006</v>
      </c>
    </row>
    <row r="6008" spans="92:92" x14ac:dyDescent="0.3">
      <c r="CN6008">
        <v>6007</v>
      </c>
    </row>
    <row r="6009" spans="92:92" x14ac:dyDescent="0.3">
      <c r="CN6009">
        <v>6008</v>
      </c>
    </row>
    <row r="6010" spans="92:92" x14ac:dyDescent="0.3">
      <c r="CN6010">
        <v>6009</v>
      </c>
    </row>
    <row r="6011" spans="92:92" x14ac:dyDescent="0.3">
      <c r="CN6011">
        <v>6010</v>
      </c>
    </row>
    <row r="6012" spans="92:92" x14ac:dyDescent="0.3">
      <c r="CN6012">
        <v>6011</v>
      </c>
    </row>
    <row r="6013" spans="92:92" x14ac:dyDescent="0.3">
      <c r="CN6013">
        <v>6012</v>
      </c>
    </row>
    <row r="6014" spans="92:92" x14ac:dyDescent="0.3">
      <c r="CN6014">
        <v>6013</v>
      </c>
    </row>
    <row r="6015" spans="92:92" x14ac:dyDescent="0.3">
      <c r="CN6015">
        <v>6014</v>
      </c>
    </row>
    <row r="6016" spans="92:92" x14ac:dyDescent="0.3">
      <c r="CN6016">
        <v>6015</v>
      </c>
    </row>
    <row r="6017" spans="92:92" x14ac:dyDescent="0.3">
      <c r="CN6017">
        <v>6016</v>
      </c>
    </row>
    <row r="6018" spans="92:92" x14ac:dyDescent="0.3">
      <c r="CN6018">
        <v>6017</v>
      </c>
    </row>
    <row r="6019" spans="92:92" x14ac:dyDescent="0.3">
      <c r="CN6019">
        <v>6018</v>
      </c>
    </row>
    <row r="6020" spans="92:92" x14ac:dyDescent="0.3">
      <c r="CN6020">
        <v>6019</v>
      </c>
    </row>
    <row r="6021" spans="92:92" x14ac:dyDescent="0.3">
      <c r="CN6021">
        <v>6020</v>
      </c>
    </row>
    <row r="6022" spans="92:92" x14ac:dyDescent="0.3">
      <c r="CN6022">
        <v>6021</v>
      </c>
    </row>
    <row r="6023" spans="92:92" x14ac:dyDescent="0.3">
      <c r="CN6023">
        <v>6022</v>
      </c>
    </row>
    <row r="6024" spans="92:92" x14ac:dyDescent="0.3">
      <c r="CN6024">
        <v>6023</v>
      </c>
    </row>
    <row r="6025" spans="92:92" x14ac:dyDescent="0.3">
      <c r="CN6025">
        <v>6024</v>
      </c>
    </row>
    <row r="6026" spans="92:92" x14ac:dyDescent="0.3">
      <c r="CN6026">
        <v>6025</v>
      </c>
    </row>
    <row r="6027" spans="92:92" x14ac:dyDescent="0.3">
      <c r="CN6027">
        <v>6026</v>
      </c>
    </row>
    <row r="6028" spans="92:92" x14ac:dyDescent="0.3">
      <c r="CN6028">
        <v>6027</v>
      </c>
    </row>
    <row r="6029" spans="92:92" x14ac:dyDescent="0.3">
      <c r="CN6029">
        <v>6028</v>
      </c>
    </row>
    <row r="6030" spans="92:92" x14ac:dyDescent="0.3">
      <c r="CN6030">
        <v>6029</v>
      </c>
    </row>
    <row r="6031" spans="92:92" x14ac:dyDescent="0.3">
      <c r="CN6031">
        <v>6030</v>
      </c>
    </row>
    <row r="6032" spans="92:92" x14ac:dyDescent="0.3">
      <c r="CN6032">
        <v>6031</v>
      </c>
    </row>
    <row r="6033" spans="92:92" x14ac:dyDescent="0.3">
      <c r="CN6033">
        <v>6032</v>
      </c>
    </row>
    <row r="6034" spans="92:92" x14ac:dyDescent="0.3">
      <c r="CN6034">
        <v>6033</v>
      </c>
    </row>
    <row r="6035" spans="92:92" x14ac:dyDescent="0.3">
      <c r="CN6035">
        <v>6034</v>
      </c>
    </row>
    <row r="6036" spans="92:92" x14ac:dyDescent="0.3">
      <c r="CN6036">
        <v>6035</v>
      </c>
    </row>
    <row r="6037" spans="92:92" x14ac:dyDescent="0.3">
      <c r="CN6037">
        <v>6036</v>
      </c>
    </row>
    <row r="6038" spans="92:92" x14ac:dyDescent="0.3">
      <c r="CN6038">
        <v>6037</v>
      </c>
    </row>
    <row r="6039" spans="92:92" x14ac:dyDescent="0.3">
      <c r="CN6039">
        <v>6038</v>
      </c>
    </row>
    <row r="6040" spans="92:92" x14ac:dyDescent="0.3">
      <c r="CN6040">
        <v>6039</v>
      </c>
    </row>
    <row r="6041" spans="92:92" x14ac:dyDescent="0.3">
      <c r="CN6041">
        <v>6040</v>
      </c>
    </row>
    <row r="6042" spans="92:92" x14ac:dyDescent="0.3">
      <c r="CN6042">
        <v>6041</v>
      </c>
    </row>
    <row r="6043" spans="92:92" x14ac:dyDescent="0.3">
      <c r="CN6043">
        <v>6042</v>
      </c>
    </row>
    <row r="6044" spans="92:92" x14ac:dyDescent="0.3">
      <c r="CN6044">
        <v>6043</v>
      </c>
    </row>
    <row r="6045" spans="92:92" x14ac:dyDescent="0.3">
      <c r="CN6045">
        <v>6044</v>
      </c>
    </row>
    <row r="6046" spans="92:92" x14ac:dyDescent="0.3">
      <c r="CN6046">
        <v>6045</v>
      </c>
    </row>
    <row r="6047" spans="92:92" x14ac:dyDescent="0.3">
      <c r="CN6047">
        <v>6046</v>
      </c>
    </row>
    <row r="6048" spans="92:92" x14ac:dyDescent="0.3">
      <c r="CN6048">
        <v>6047</v>
      </c>
    </row>
    <row r="6049" spans="92:92" x14ac:dyDescent="0.3">
      <c r="CN6049">
        <v>6048</v>
      </c>
    </row>
    <row r="6050" spans="92:92" x14ac:dyDescent="0.3">
      <c r="CN6050">
        <v>6049</v>
      </c>
    </row>
    <row r="6051" spans="92:92" x14ac:dyDescent="0.3">
      <c r="CN6051">
        <v>6050</v>
      </c>
    </row>
    <row r="6052" spans="92:92" x14ac:dyDescent="0.3">
      <c r="CN6052">
        <v>6051</v>
      </c>
    </row>
    <row r="6053" spans="92:92" x14ac:dyDescent="0.3">
      <c r="CN6053">
        <v>6052</v>
      </c>
    </row>
    <row r="6054" spans="92:92" x14ac:dyDescent="0.3">
      <c r="CN6054">
        <v>6053</v>
      </c>
    </row>
    <row r="6055" spans="92:92" x14ac:dyDescent="0.3">
      <c r="CN6055">
        <v>6054</v>
      </c>
    </row>
    <row r="6056" spans="92:92" x14ac:dyDescent="0.3">
      <c r="CN6056">
        <v>6055</v>
      </c>
    </row>
    <row r="6057" spans="92:92" x14ac:dyDescent="0.3">
      <c r="CN6057">
        <v>6056</v>
      </c>
    </row>
    <row r="6058" spans="92:92" x14ac:dyDescent="0.3">
      <c r="CN6058">
        <v>6057</v>
      </c>
    </row>
    <row r="6059" spans="92:92" x14ac:dyDescent="0.3">
      <c r="CN6059">
        <v>6058</v>
      </c>
    </row>
    <row r="6060" spans="92:92" x14ac:dyDescent="0.3">
      <c r="CN6060">
        <v>6059</v>
      </c>
    </row>
    <row r="6061" spans="92:92" x14ac:dyDescent="0.3">
      <c r="CN6061">
        <v>6060</v>
      </c>
    </row>
    <row r="6062" spans="92:92" x14ac:dyDescent="0.3">
      <c r="CN6062">
        <v>6061</v>
      </c>
    </row>
    <row r="6063" spans="92:92" x14ac:dyDescent="0.3">
      <c r="CN6063">
        <v>6062</v>
      </c>
    </row>
    <row r="6064" spans="92:92" x14ac:dyDescent="0.3">
      <c r="CN6064">
        <v>6063</v>
      </c>
    </row>
    <row r="6065" spans="92:92" x14ac:dyDescent="0.3">
      <c r="CN6065">
        <v>6064</v>
      </c>
    </row>
    <row r="6066" spans="92:92" x14ac:dyDescent="0.3">
      <c r="CN6066">
        <v>6065</v>
      </c>
    </row>
    <row r="6067" spans="92:92" x14ac:dyDescent="0.3">
      <c r="CN6067">
        <v>6066</v>
      </c>
    </row>
    <row r="6068" spans="92:92" x14ac:dyDescent="0.3">
      <c r="CN6068">
        <v>6067</v>
      </c>
    </row>
    <row r="6069" spans="92:92" x14ac:dyDescent="0.3">
      <c r="CN6069">
        <v>6068</v>
      </c>
    </row>
    <row r="6070" spans="92:92" x14ac:dyDescent="0.3">
      <c r="CN6070">
        <v>6069</v>
      </c>
    </row>
    <row r="6071" spans="92:92" x14ac:dyDescent="0.3">
      <c r="CN6071">
        <v>6070</v>
      </c>
    </row>
    <row r="6072" spans="92:92" x14ac:dyDescent="0.3">
      <c r="CN6072">
        <v>6071</v>
      </c>
    </row>
    <row r="6073" spans="92:92" x14ac:dyDescent="0.3">
      <c r="CN6073">
        <v>6072</v>
      </c>
    </row>
    <row r="6074" spans="92:92" x14ac:dyDescent="0.3">
      <c r="CN6074">
        <v>6073</v>
      </c>
    </row>
    <row r="6075" spans="92:92" x14ac:dyDescent="0.3">
      <c r="CN6075">
        <v>6074</v>
      </c>
    </row>
    <row r="6076" spans="92:92" x14ac:dyDescent="0.3">
      <c r="CN6076">
        <v>6075</v>
      </c>
    </row>
    <row r="6077" spans="92:92" x14ac:dyDescent="0.3">
      <c r="CN6077">
        <v>6076</v>
      </c>
    </row>
    <row r="6078" spans="92:92" x14ac:dyDescent="0.3">
      <c r="CN6078">
        <v>6077</v>
      </c>
    </row>
    <row r="6079" spans="92:92" x14ac:dyDescent="0.3">
      <c r="CN6079">
        <v>6078</v>
      </c>
    </row>
    <row r="6080" spans="92:92" x14ac:dyDescent="0.3">
      <c r="CN6080">
        <v>6079</v>
      </c>
    </row>
    <row r="6081" spans="92:92" x14ac:dyDescent="0.3">
      <c r="CN6081">
        <v>6080</v>
      </c>
    </row>
    <row r="6082" spans="92:92" x14ac:dyDescent="0.3">
      <c r="CN6082">
        <v>6081</v>
      </c>
    </row>
    <row r="6083" spans="92:92" x14ac:dyDescent="0.3">
      <c r="CN6083">
        <v>6082</v>
      </c>
    </row>
    <row r="6084" spans="92:92" x14ac:dyDescent="0.3">
      <c r="CN6084">
        <v>6083</v>
      </c>
    </row>
    <row r="6085" spans="92:92" x14ac:dyDescent="0.3">
      <c r="CN6085">
        <v>6084</v>
      </c>
    </row>
    <row r="6086" spans="92:92" x14ac:dyDescent="0.3">
      <c r="CN6086">
        <v>6085</v>
      </c>
    </row>
    <row r="6087" spans="92:92" x14ac:dyDescent="0.3">
      <c r="CN6087">
        <v>6086</v>
      </c>
    </row>
    <row r="6088" spans="92:92" x14ac:dyDescent="0.3">
      <c r="CN6088">
        <v>6087</v>
      </c>
    </row>
    <row r="6089" spans="92:92" x14ac:dyDescent="0.3">
      <c r="CN6089">
        <v>6088</v>
      </c>
    </row>
    <row r="6090" spans="92:92" x14ac:dyDescent="0.3">
      <c r="CN6090">
        <v>6089</v>
      </c>
    </row>
    <row r="6091" spans="92:92" x14ac:dyDescent="0.3">
      <c r="CN6091">
        <v>6090</v>
      </c>
    </row>
    <row r="6092" spans="92:92" x14ac:dyDescent="0.3">
      <c r="CN6092">
        <v>6091</v>
      </c>
    </row>
    <row r="6093" spans="92:92" x14ac:dyDescent="0.3">
      <c r="CN6093">
        <v>6092</v>
      </c>
    </row>
    <row r="6094" spans="92:92" x14ac:dyDescent="0.3">
      <c r="CN6094">
        <v>6093</v>
      </c>
    </row>
    <row r="6095" spans="92:92" x14ac:dyDescent="0.3">
      <c r="CN6095">
        <v>6094</v>
      </c>
    </row>
    <row r="6096" spans="92:92" x14ac:dyDescent="0.3">
      <c r="CN6096">
        <v>6095</v>
      </c>
    </row>
    <row r="6097" spans="92:92" x14ac:dyDescent="0.3">
      <c r="CN6097">
        <v>6096</v>
      </c>
    </row>
    <row r="6098" spans="92:92" x14ac:dyDescent="0.3">
      <c r="CN6098">
        <v>6097</v>
      </c>
    </row>
    <row r="6099" spans="92:92" x14ac:dyDescent="0.3">
      <c r="CN6099">
        <v>6098</v>
      </c>
    </row>
    <row r="6100" spans="92:92" x14ac:dyDescent="0.3">
      <c r="CN6100">
        <v>6099</v>
      </c>
    </row>
    <row r="6101" spans="92:92" x14ac:dyDescent="0.3">
      <c r="CN6101">
        <v>6100</v>
      </c>
    </row>
    <row r="6102" spans="92:92" x14ac:dyDescent="0.3">
      <c r="CN6102">
        <v>6101</v>
      </c>
    </row>
    <row r="6103" spans="92:92" x14ac:dyDescent="0.3">
      <c r="CN6103">
        <v>6102</v>
      </c>
    </row>
    <row r="6104" spans="92:92" x14ac:dyDescent="0.3">
      <c r="CN6104">
        <v>6103</v>
      </c>
    </row>
    <row r="6105" spans="92:92" x14ac:dyDescent="0.3">
      <c r="CN6105">
        <v>6104</v>
      </c>
    </row>
    <row r="6106" spans="92:92" x14ac:dyDescent="0.3">
      <c r="CN6106">
        <v>6105</v>
      </c>
    </row>
    <row r="6107" spans="92:92" x14ac:dyDescent="0.3">
      <c r="CN6107">
        <v>6106</v>
      </c>
    </row>
    <row r="6108" spans="92:92" x14ac:dyDescent="0.3">
      <c r="CN6108">
        <v>6107</v>
      </c>
    </row>
    <row r="6109" spans="92:92" x14ac:dyDescent="0.3">
      <c r="CN6109">
        <v>6108</v>
      </c>
    </row>
    <row r="6110" spans="92:92" x14ac:dyDescent="0.3">
      <c r="CN6110">
        <v>6109</v>
      </c>
    </row>
    <row r="6111" spans="92:92" x14ac:dyDescent="0.3">
      <c r="CN6111">
        <v>6110</v>
      </c>
    </row>
    <row r="6112" spans="92:92" x14ac:dyDescent="0.3">
      <c r="CN6112">
        <v>6111</v>
      </c>
    </row>
    <row r="6113" spans="92:92" x14ac:dyDescent="0.3">
      <c r="CN6113">
        <v>6112</v>
      </c>
    </row>
    <row r="6114" spans="92:92" x14ac:dyDescent="0.3">
      <c r="CN6114">
        <v>6113</v>
      </c>
    </row>
    <row r="6115" spans="92:92" x14ac:dyDescent="0.3">
      <c r="CN6115">
        <v>6114</v>
      </c>
    </row>
    <row r="6116" spans="92:92" x14ac:dyDescent="0.3">
      <c r="CN6116">
        <v>6115</v>
      </c>
    </row>
    <row r="6117" spans="92:92" x14ac:dyDescent="0.3">
      <c r="CN6117">
        <v>6116</v>
      </c>
    </row>
    <row r="6118" spans="92:92" x14ac:dyDescent="0.3">
      <c r="CN6118">
        <v>6117</v>
      </c>
    </row>
    <row r="6119" spans="92:92" x14ac:dyDescent="0.3">
      <c r="CN6119">
        <v>6118</v>
      </c>
    </row>
    <row r="6120" spans="92:92" x14ac:dyDescent="0.3">
      <c r="CN6120">
        <v>6119</v>
      </c>
    </row>
    <row r="6121" spans="92:92" x14ac:dyDescent="0.3">
      <c r="CN6121">
        <v>6120</v>
      </c>
    </row>
    <row r="6122" spans="92:92" x14ac:dyDescent="0.3">
      <c r="CN6122">
        <v>6121</v>
      </c>
    </row>
    <row r="6123" spans="92:92" x14ac:dyDescent="0.3">
      <c r="CN6123">
        <v>6122</v>
      </c>
    </row>
    <row r="6124" spans="92:92" x14ac:dyDescent="0.3">
      <c r="CN6124">
        <v>6123</v>
      </c>
    </row>
    <row r="6125" spans="92:92" x14ac:dyDescent="0.3">
      <c r="CN6125">
        <v>6124</v>
      </c>
    </row>
    <row r="6126" spans="92:92" x14ac:dyDescent="0.3">
      <c r="CN6126">
        <v>6125</v>
      </c>
    </row>
    <row r="6127" spans="92:92" x14ac:dyDescent="0.3">
      <c r="CN6127">
        <v>6126</v>
      </c>
    </row>
    <row r="6128" spans="92:92" x14ac:dyDescent="0.3">
      <c r="CN6128">
        <v>6127</v>
      </c>
    </row>
    <row r="6129" spans="92:92" x14ac:dyDescent="0.3">
      <c r="CN6129">
        <v>6128</v>
      </c>
    </row>
    <row r="6130" spans="92:92" x14ac:dyDescent="0.3">
      <c r="CN6130">
        <v>6129</v>
      </c>
    </row>
    <row r="6131" spans="92:92" x14ac:dyDescent="0.3">
      <c r="CN6131">
        <v>6130</v>
      </c>
    </row>
    <row r="6132" spans="92:92" x14ac:dyDescent="0.3">
      <c r="CN6132">
        <v>6131</v>
      </c>
    </row>
    <row r="6133" spans="92:92" x14ac:dyDescent="0.3">
      <c r="CN6133">
        <v>6132</v>
      </c>
    </row>
    <row r="6134" spans="92:92" x14ac:dyDescent="0.3">
      <c r="CN6134">
        <v>6133</v>
      </c>
    </row>
    <row r="6135" spans="92:92" x14ac:dyDescent="0.3">
      <c r="CN6135">
        <v>6134</v>
      </c>
    </row>
    <row r="6136" spans="92:92" x14ac:dyDescent="0.3">
      <c r="CN6136">
        <v>6135</v>
      </c>
    </row>
    <row r="6137" spans="92:92" x14ac:dyDescent="0.3">
      <c r="CN6137">
        <v>6136</v>
      </c>
    </row>
    <row r="6138" spans="92:92" x14ac:dyDescent="0.3">
      <c r="CN6138">
        <v>6137</v>
      </c>
    </row>
    <row r="6139" spans="92:92" x14ac:dyDescent="0.3">
      <c r="CN6139">
        <v>6138</v>
      </c>
    </row>
    <row r="6140" spans="92:92" x14ac:dyDescent="0.3">
      <c r="CN6140">
        <v>6139</v>
      </c>
    </row>
    <row r="6141" spans="92:92" x14ac:dyDescent="0.3">
      <c r="CN6141">
        <v>6140</v>
      </c>
    </row>
    <row r="6142" spans="92:92" x14ac:dyDescent="0.3">
      <c r="CN6142">
        <v>6141</v>
      </c>
    </row>
    <row r="6143" spans="92:92" x14ac:dyDescent="0.3">
      <c r="CN6143">
        <v>6142</v>
      </c>
    </row>
    <row r="6144" spans="92:92" x14ac:dyDescent="0.3">
      <c r="CN6144">
        <v>6143</v>
      </c>
    </row>
    <row r="6145" spans="92:92" x14ac:dyDescent="0.3">
      <c r="CN6145">
        <v>6144</v>
      </c>
    </row>
    <row r="6146" spans="92:92" x14ac:dyDescent="0.3">
      <c r="CN6146">
        <v>6145</v>
      </c>
    </row>
    <row r="6147" spans="92:92" x14ac:dyDescent="0.3">
      <c r="CN6147">
        <v>6146</v>
      </c>
    </row>
    <row r="6148" spans="92:92" x14ac:dyDescent="0.3">
      <c r="CN6148">
        <v>6147</v>
      </c>
    </row>
    <row r="6149" spans="92:92" x14ac:dyDescent="0.3">
      <c r="CN6149">
        <v>6148</v>
      </c>
    </row>
    <row r="6150" spans="92:92" x14ac:dyDescent="0.3">
      <c r="CN6150">
        <v>6149</v>
      </c>
    </row>
    <row r="6151" spans="92:92" x14ac:dyDescent="0.3">
      <c r="CN6151">
        <v>6150</v>
      </c>
    </row>
    <row r="6152" spans="92:92" x14ac:dyDescent="0.3">
      <c r="CN6152">
        <v>6151</v>
      </c>
    </row>
    <row r="6153" spans="92:92" x14ac:dyDescent="0.3">
      <c r="CN6153">
        <v>6152</v>
      </c>
    </row>
    <row r="6154" spans="92:92" x14ac:dyDescent="0.3">
      <c r="CN6154">
        <v>6153</v>
      </c>
    </row>
    <row r="6155" spans="92:92" x14ac:dyDescent="0.3">
      <c r="CN6155">
        <v>6154</v>
      </c>
    </row>
    <row r="6156" spans="92:92" x14ac:dyDescent="0.3">
      <c r="CN6156">
        <v>6155</v>
      </c>
    </row>
    <row r="6157" spans="92:92" x14ac:dyDescent="0.3">
      <c r="CN6157">
        <v>6156</v>
      </c>
    </row>
    <row r="6158" spans="92:92" x14ac:dyDescent="0.3">
      <c r="CN6158">
        <v>6157</v>
      </c>
    </row>
    <row r="6159" spans="92:92" x14ac:dyDescent="0.3">
      <c r="CN6159">
        <v>6158</v>
      </c>
    </row>
    <row r="6160" spans="92:92" x14ac:dyDescent="0.3">
      <c r="CN6160">
        <v>6159</v>
      </c>
    </row>
    <row r="6161" spans="92:92" x14ac:dyDescent="0.3">
      <c r="CN6161">
        <v>6160</v>
      </c>
    </row>
    <row r="6162" spans="92:92" x14ac:dyDescent="0.3">
      <c r="CN6162">
        <v>6161</v>
      </c>
    </row>
    <row r="6163" spans="92:92" x14ac:dyDescent="0.3">
      <c r="CN6163">
        <v>6162</v>
      </c>
    </row>
    <row r="6164" spans="92:92" x14ac:dyDescent="0.3">
      <c r="CN6164">
        <v>6163</v>
      </c>
    </row>
    <row r="6165" spans="92:92" x14ac:dyDescent="0.3">
      <c r="CN6165">
        <v>6164</v>
      </c>
    </row>
    <row r="6166" spans="92:92" x14ac:dyDescent="0.3">
      <c r="CN6166">
        <v>6165</v>
      </c>
    </row>
    <row r="6167" spans="92:92" x14ac:dyDescent="0.3">
      <c r="CN6167">
        <v>6166</v>
      </c>
    </row>
    <row r="6168" spans="92:92" x14ac:dyDescent="0.3">
      <c r="CN6168">
        <v>6167</v>
      </c>
    </row>
    <row r="6169" spans="92:92" x14ac:dyDescent="0.3">
      <c r="CN6169">
        <v>6168</v>
      </c>
    </row>
    <row r="6170" spans="92:92" x14ac:dyDescent="0.3">
      <c r="CN6170">
        <v>6169</v>
      </c>
    </row>
    <row r="6171" spans="92:92" x14ac:dyDescent="0.3">
      <c r="CN6171">
        <v>6170</v>
      </c>
    </row>
    <row r="6172" spans="92:92" x14ac:dyDescent="0.3">
      <c r="CN6172">
        <v>6171</v>
      </c>
    </row>
    <row r="6173" spans="92:92" x14ac:dyDescent="0.3">
      <c r="CN6173">
        <v>6172</v>
      </c>
    </row>
    <row r="6174" spans="92:92" x14ac:dyDescent="0.3">
      <c r="CN6174">
        <v>6173</v>
      </c>
    </row>
    <row r="6175" spans="92:92" x14ac:dyDescent="0.3">
      <c r="CN6175">
        <v>6174</v>
      </c>
    </row>
    <row r="6176" spans="92:92" x14ac:dyDescent="0.3">
      <c r="CN6176">
        <v>6175</v>
      </c>
    </row>
    <row r="6177" spans="92:92" x14ac:dyDescent="0.3">
      <c r="CN6177">
        <v>6176</v>
      </c>
    </row>
    <row r="6178" spans="92:92" x14ac:dyDescent="0.3">
      <c r="CN6178">
        <v>6177</v>
      </c>
    </row>
    <row r="6179" spans="92:92" x14ac:dyDescent="0.3">
      <c r="CN6179">
        <v>6178</v>
      </c>
    </row>
    <row r="6180" spans="92:92" x14ac:dyDescent="0.3">
      <c r="CN6180">
        <v>6179</v>
      </c>
    </row>
    <row r="6181" spans="92:92" x14ac:dyDescent="0.3">
      <c r="CN6181">
        <v>6180</v>
      </c>
    </row>
    <row r="6182" spans="92:92" x14ac:dyDescent="0.3">
      <c r="CN6182">
        <v>6181</v>
      </c>
    </row>
    <row r="6183" spans="92:92" x14ac:dyDescent="0.3">
      <c r="CN6183">
        <v>6182</v>
      </c>
    </row>
    <row r="6184" spans="92:92" x14ac:dyDescent="0.3">
      <c r="CN6184">
        <v>6183</v>
      </c>
    </row>
    <row r="6185" spans="92:92" x14ac:dyDescent="0.3">
      <c r="CN6185">
        <v>6184</v>
      </c>
    </row>
    <row r="6186" spans="92:92" x14ac:dyDescent="0.3">
      <c r="CN6186">
        <v>6185</v>
      </c>
    </row>
    <row r="6187" spans="92:92" x14ac:dyDescent="0.3">
      <c r="CN6187">
        <v>6186</v>
      </c>
    </row>
    <row r="6188" spans="92:92" x14ac:dyDescent="0.3">
      <c r="CN6188">
        <v>6187</v>
      </c>
    </row>
    <row r="6189" spans="92:92" x14ac:dyDescent="0.3">
      <c r="CN6189">
        <v>6188</v>
      </c>
    </row>
    <row r="6190" spans="92:92" x14ac:dyDescent="0.3">
      <c r="CN6190">
        <v>6189</v>
      </c>
    </row>
    <row r="6191" spans="92:92" x14ac:dyDescent="0.3">
      <c r="CN6191">
        <v>6190</v>
      </c>
    </row>
    <row r="6192" spans="92:92" x14ac:dyDescent="0.3">
      <c r="CN6192">
        <v>6191</v>
      </c>
    </row>
    <row r="6193" spans="92:92" x14ac:dyDescent="0.3">
      <c r="CN6193">
        <v>6192</v>
      </c>
    </row>
    <row r="6194" spans="92:92" x14ac:dyDescent="0.3">
      <c r="CN6194">
        <v>6193</v>
      </c>
    </row>
    <row r="6195" spans="92:92" x14ac:dyDescent="0.3">
      <c r="CN6195">
        <v>6194</v>
      </c>
    </row>
    <row r="6196" spans="92:92" x14ac:dyDescent="0.3">
      <c r="CN6196">
        <v>6195</v>
      </c>
    </row>
    <row r="6197" spans="92:92" x14ac:dyDescent="0.3">
      <c r="CN6197">
        <v>6196</v>
      </c>
    </row>
    <row r="6198" spans="92:92" x14ac:dyDescent="0.3">
      <c r="CN6198">
        <v>6197</v>
      </c>
    </row>
    <row r="6199" spans="92:92" x14ac:dyDescent="0.3">
      <c r="CN6199">
        <v>6198</v>
      </c>
    </row>
    <row r="6200" spans="92:92" x14ac:dyDescent="0.3">
      <c r="CN6200">
        <v>6199</v>
      </c>
    </row>
    <row r="6201" spans="92:92" x14ac:dyDescent="0.3">
      <c r="CN6201">
        <v>6200</v>
      </c>
    </row>
    <row r="6202" spans="92:92" x14ac:dyDescent="0.3">
      <c r="CN6202">
        <v>6201</v>
      </c>
    </row>
    <row r="6203" spans="92:92" x14ac:dyDescent="0.3">
      <c r="CN6203">
        <v>6202</v>
      </c>
    </row>
    <row r="6204" spans="92:92" x14ac:dyDescent="0.3">
      <c r="CN6204">
        <v>6203</v>
      </c>
    </row>
    <row r="6205" spans="92:92" x14ac:dyDescent="0.3">
      <c r="CN6205">
        <v>6204</v>
      </c>
    </row>
    <row r="6206" spans="92:92" x14ac:dyDescent="0.3">
      <c r="CN6206">
        <v>6205</v>
      </c>
    </row>
    <row r="6207" spans="92:92" x14ac:dyDescent="0.3">
      <c r="CN6207">
        <v>6206</v>
      </c>
    </row>
    <row r="6208" spans="92:92" x14ac:dyDescent="0.3">
      <c r="CN6208">
        <v>6207</v>
      </c>
    </row>
    <row r="6209" spans="92:92" x14ac:dyDescent="0.3">
      <c r="CN6209">
        <v>6208</v>
      </c>
    </row>
    <row r="6210" spans="92:92" x14ac:dyDescent="0.3">
      <c r="CN6210">
        <v>6209</v>
      </c>
    </row>
    <row r="6211" spans="92:92" x14ac:dyDescent="0.3">
      <c r="CN6211">
        <v>6210</v>
      </c>
    </row>
    <row r="6212" spans="92:92" x14ac:dyDescent="0.3">
      <c r="CN6212">
        <v>6211</v>
      </c>
    </row>
    <row r="6213" spans="92:92" x14ac:dyDescent="0.3">
      <c r="CN6213">
        <v>6212</v>
      </c>
    </row>
    <row r="6214" spans="92:92" x14ac:dyDescent="0.3">
      <c r="CN6214">
        <v>6213</v>
      </c>
    </row>
    <row r="6215" spans="92:92" x14ac:dyDescent="0.3">
      <c r="CN6215">
        <v>6214</v>
      </c>
    </row>
    <row r="6216" spans="92:92" x14ac:dyDescent="0.3">
      <c r="CN6216">
        <v>6215</v>
      </c>
    </row>
    <row r="6217" spans="92:92" x14ac:dyDescent="0.3">
      <c r="CN6217">
        <v>6216</v>
      </c>
    </row>
    <row r="6218" spans="92:92" x14ac:dyDescent="0.3">
      <c r="CN6218">
        <v>6217</v>
      </c>
    </row>
    <row r="6219" spans="92:92" x14ac:dyDescent="0.3">
      <c r="CN6219">
        <v>6218</v>
      </c>
    </row>
    <row r="6220" spans="92:92" x14ac:dyDescent="0.3">
      <c r="CN6220">
        <v>6219</v>
      </c>
    </row>
    <row r="6221" spans="92:92" x14ac:dyDescent="0.3">
      <c r="CN6221">
        <v>6220</v>
      </c>
    </row>
    <row r="6222" spans="92:92" x14ac:dyDescent="0.3">
      <c r="CN6222">
        <v>6221</v>
      </c>
    </row>
    <row r="6223" spans="92:92" x14ac:dyDescent="0.3">
      <c r="CN6223">
        <v>6222</v>
      </c>
    </row>
    <row r="6224" spans="92:92" x14ac:dyDescent="0.3">
      <c r="CN6224">
        <v>6223</v>
      </c>
    </row>
    <row r="6225" spans="92:92" x14ac:dyDescent="0.3">
      <c r="CN6225">
        <v>6224</v>
      </c>
    </row>
    <row r="6226" spans="92:92" x14ac:dyDescent="0.3">
      <c r="CN6226">
        <v>6225</v>
      </c>
    </row>
    <row r="6227" spans="92:92" x14ac:dyDescent="0.3">
      <c r="CN6227">
        <v>6226</v>
      </c>
    </row>
    <row r="6228" spans="92:92" x14ac:dyDescent="0.3">
      <c r="CN6228">
        <v>6227</v>
      </c>
    </row>
    <row r="6229" spans="92:92" x14ac:dyDescent="0.3">
      <c r="CN6229">
        <v>6228</v>
      </c>
    </row>
    <row r="6230" spans="92:92" x14ac:dyDescent="0.3">
      <c r="CN6230">
        <v>6229</v>
      </c>
    </row>
    <row r="6231" spans="92:92" x14ac:dyDescent="0.3">
      <c r="CN6231">
        <v>6230</v>
      </c>
    </row>
    <row r="6232" spans="92:92" x14ac:dyDescent="0.3">
      <c r="CN6232">
        <v>6231</v>
      </c>
    </row>
    <row r="6233" spans="92:92" x14ac:dyDescent="0.3">
      <c r="CN6233">
        <v>6232</v>
      </c>
    </row>
    <row r="6234" spans="92:92" x14ac:dyDescent="0.3">
      <c r="CN6234">
        <v>6233</v>
      </c>
    </row>
    <row r="6235" spans="92:92" x14ac:dyDescent="0.3">
      <c r="CN6235">
        <v>6234</v>
      </c>
    </row>
    <row r="6236" spans="92:92" x14ac:dyDescent="0.3">
      <c r="CN6236">
        <v>6235</v>
      </c>
    </row>
    <row r="6237" spans="92:92" x14ac:dyDescent="0.3">
      <c r="CN6237">
        <v>6236</v>
      </c>
    </row>
    <row r="6238" spans="92:92" x14ac:dyDescent="0.3">
      <c r="CN6238">
        <v>6237</v>
      </c>
    </row>
    <row r="6239" spans="92:92" x14ac:dyDescent="0.3">
      <c r="CN6239">
        <v>6238</v>
      </c>
    </row>
    <row r="6240" spans="92:92" x14ac:dyDescent="0.3">
      <c r="CN6240">
        <v>6239</v>
      </c>
    </row>
    <row r="6241" spans="92:92" x14ac:dyDescent="0.3">
      <c r="CN6241">
        <v>6240</v>
      </c>
    </row>
    <row r="6242" spans="92:92" x14ac:dyDescent="0.3">
      <c r="CN6242">
        <v>6241</v>
      </c>
    </row>
    <row r="6243" spans="92:92" x14ac:dyDescent="0.3">
      <c r="CN6243">
        <v>6242</v>
      </c>
    </row>
    <row r="6244" spans="92:92" x14ac:dyDescent="0.3">
      <c r="CN6244">
        <v>6243</v>
      </c>
    </row>
    <row r="6245" spans="92:92" x14ac:dyDescent="0.3">
      <c r="CN6245">
        <v>6244</v>
      </c>
    </row>
    <row r="6246" spans="92:92" x14ac:dyDescent="0.3">
      <c r="CN6246">
        <v>6245</v>
      </c>
    </row>
    <row r="6247" spans="92:92" x14ac:dyDescent="0.3">
      <c r="CN6247">
        <v>6246</v>
      </c>
    </row>
    <row r="6248" spans="92:92" x14ac:dyDescent="0.3">
      <c r="CN6248">
        <v>6247</v>
      </c>
    </row>
    <row r="6249" spans="92:92" x14ac:dyDescent="0.3">
      <c r="CN6249">
        <v>6248</v>
      </c>
    </row>
    <row r="6250" spans="92:92" x14ac:dyDescent="0.3">
      <c r="CN6250">
        <v>6249</v>
      </c>
    </row>
    <row r="6251" spans="92:92" x14ac:dyDescent="0.3">
      <c r="CN6251">
        <v>6250</v>
      </c>
    </row>
    <row r="6252" spans="92:92" x14ac:dyDescent="0.3">
      <c r="CN6252">
        <v>6251</v>
      </c>
    </row>
    <row r="6253" spans="92:92" x14ac:dyDescent="0.3">
      <c r="CN6253">
        <v>6252</v>
      </c>
    </row>
    <row r="6254" spans="92:92" x14ac:dyDescent="0.3">
      <c r="CN6254">
        <v>6253</v>
      </c>
    </row>
    <row r="6255" spans="92:92" x14ac:dyDescent="0.3">
      <c r="CN6255">
        <v>6254</v>
      </c>
    </row>
    <row r="6256" spans="92:92" x14ac:dyDescent="0.3">
      <c r="CN6256">
        <v>6255</v>
      </c>
    </row>
    <row r="6257" spans="92:92" x14ac:dyDescent="0.3">
      <c r="CN6257">
        <v>6256</v>
      </c>
    </row>
    <row r="6258" spans="92:92" x14ac:dyDescent="0.3">
      <c r="CN6258">
        <v>6257</v>
      </c>
    </row>
    <row r="6259" spans="92:92" x14ac:dyDescent="0.3">
      <c r="CN6259">
        <v>6258</v>
      </c>
    </row>
    <row r="6260" spans="92:92" x14ac:dyDescent="0.3">
      <c r="CN6260">
        <v>6259</v>
      </c>
    </row>
    <row r="6261" spans="92:92" x14ac:dyDescent="0.3">
      <c r="CN6261">
        <v>6260</v>
      </c>
    </row>
    <row r="6262" spans="92:92" x14ac:dyDescent="0.3">
      <c r="CN6262">
        <v>6261</v>
      </c>
    </row>
    <row r="6263" spans="92:92" x14ac:dyDescent="0.3">
      <c r="CN6263">
        <v>6262</v>
      </c>
    </row>
    <row r="6264" spans="92:92" x14ac:dyDescent="0.3">
      <c r="CN6264">
        <v>6263</v>
      </c>
    </row>
    <row r="6265" spans="92:92" x14ac:dyDescent="0.3">
      <c r="CN6265">
        <v>6264</v>
      </c>
    </row>
    <row r="6266" spans="92:92" x14ac:dyDescent="0.3">
      <c r="CN6266">
        <v>6265</v>
      </c>
    </row>
    <row r="6267" spans="92:92" x14ac:dyDescent="0.3">
      <c r="CN6267">
        <v>6266</v>
      </c>
    </row>
    <row r="6268" spans="92:92" x14ac:dyDescent="0.3">
      <c r="CN6268">
        <v>6267</v>
      </c>
    </row>
    <row r="6269" spans="92:92" x14ac:dyDescent="0.3">
      <c r="CN6269">
        <v>6268</v>
      </c>
    </row>
    <row r="6270" spans="92:92" x14ac:dyDescent="0.3">
      <c r="CN6270">
        <v>6269</v>
      </c>
    </row>
    <row r="6271" spans="92:92" x14ac:dyDescent="0.3">
      <c r="CN6271">
        <v>6270</v>
      </c>
    </row>
    <row r="6272" spans="92:92" x14ac:dyDescent="0.3">
      <c r="CN6272">
        <v>6271</v>
      </c>
    </row>
    <row r="6273" spans="92:92" x14ac:dyDescent="0.3">
      <c r="CN6273">
        <v>6272</v>
      </c>
    </row>
    <row r="6274" spans="92:92" x14ac:dyDescent="0.3">
      <c r="CN6274">
        <v>6273</v>
      </c>
    </row>
    <row r="6275" spans="92:92" x14ac:dyDescent="0.3">
      <c r="CN6275">
        <v>6274</v>
      </c>
    </row>
    <row r="6276" spans="92:92" x14ac:dyDescent="0.3">
      <c r="CN6276">
        <v>6275</v>
      </c>
    </row>
    <row r="6277" spans="92:92" x14ac:dyDescent="0.3">
      <c r="CN6277">
        <v>6276</v>
      </c>
    </row>
    <row r="6278" spans="92:92" x14ac:dyDescent="0.3">
      <c r="CN6278">
        <v>6277</v>
      </c>
    </row>
    <row r="6279" spans="92:92" x14ac:dyDescent="0.3">
      <c r="CN6279">
        <v>6278</v>
      </c>
    </row>
    <row r="6280" spans="92:92" x14ac:dyDescent="0.3">
      <c r="CN6280">
        <v>6279</v>
      </c>
    </row>
    <row r="6281" spans="92:92" x14ac:dyDescent="0.3">
      <c r="CN6281">
        <v>6280</v>
      </c>
    </row>
    <row r="6282" spans="92:92" x14ac:dyDescent="0.3">
      <c r="CN6282">
        <v>6281</v>
      </c>
    </row>
    <row r="6283" spans="92:92" x14ac:dyDescent="0.3">
      <c r="CN6283">
        <v>6282</v>
      </c>
    </row>
    <row r="6284" spans="92:92" x14ac:dyDescent="0.3">
      <c r="CN6284">
        <v>6283</v>
      </c>
    </row>
    <row r="6285" spans="92:92" x14ac:dyDescent="0.3">
      <c r="CN6285">
        <v>6284</v>
      </c>
    </row>
    <row r="6286" spans="92:92" x14ac:dyDescent="0.3">
      <c r="CN6286">
        <v>6285</v>
      </c>
    </row>
    <row r="6287" spans="92:92" x14ac:dyDescent="0.3">
      <c r="CN6287">
        <v>6286</v>
      </c>
    </row>
    <row r="6288" spans="92:92" x14ac:dyDescent="0.3">
      <c r="CN6288">
        <v>6287</v>
      </c>
    </row>
    <row r="6289" spans="92:92" x14ac:dyDescent="0.3">
      <c r="CN6289">
        <v>6288</v>
      </c>
    </row>
    <row r="6290" spans="92:92" x14ac:dyDescent="0.3">
      <c r="CN6290">
        <v>6289</v>
      </c>
    </row>
    <row r="6291" spans="92:92" x14ac:dyDescent="0.3">
      <c r="CN6291">
        <v>6290</v>
      </c>
    </row>
    <row r="6292" spans="92:92" x14ac:dyDescent="0.3">
      <c r="CN6292">
        <v>6291</v>
      </c>
    </row>
    <row r="6293" spans="92:92" x14ac:dyDescent="0.3">
      <c r="CN6293">
        <v>6292</v>
      </c>
    </row>
    <row r="6294" spans="92:92" x14ac:dyDescent="0.3">
      <c r="CN6294">
        <v>6293</v>
      </c>
    </row>
    <row r="6295" spans="92:92" x14ac:dyDescent="0.3">
      <c r="CN6295">
        <v>6294</v>
      </c>
    </row>
    <row r="6296" spans="92:92" x14ac:dyDescent="0.3">
      <c r="CN6296">
        <v>6295</v>
      </c>
    </row>
    <row r="6297" spans="92:92" x14ac:dyDescent="0.3">
      <c r="CN6297">
        <v>6296</v>
      </c>
    </row>
    <row r="6298" spans="92:92" x14ac:dyDescent="0.3">
      <c r="CN6298">
        <v>6297</v>
      </c>
    </row>
    <row r="6299" spans="92:92" x14ac:dyDescent="0.3">
      <c r="CN6299">
        <v>6298</v>
      </c>
    </row>
    <row r="6300" spans="92:92" x14ac:dyDescent="0.3">
      <c r="CN6300">
        <v>6299</v>
      </c>
    </row>
    <row r="6301" spans="92:92" x14ac:dyDescent="0.3">
      <c r="CN6301">
        <v>6300</v>
      </c>
    </row>
    <row r="6302" spans="92:92" x14ac:dyDescent="0.3">
      <c r="CN6302">
        <v>6301</v>
      </c>
    </row>
    <row r="6303" spans="92:92" x14ac:dyDescent="0.3">
      <c r="CN6303">
        <v>6302</v>
      </c>
    </row>
    <row r="6304" spans="92:92" x14ac:dyDescent="0.3">
      <c r="CN6304">
        <v>6303</v>
      </c>
    </row>
    <row r="6305" spans="92:92" x14ac:dyDescent="0.3">
      <c r="CN6305">
        <v>6304</v>
      </c>
    </row>
    <row r="6306" spans="92:92" x14ac:dyDescent="0.3">
      <c r="CN6306">
        <v>6305</v>
      </c>
    </row>
    <row r="6307" spans="92:92" x14ac:dyDescent="0.3">
      <c r="CN6307">
        <v>6306</v>
      </c>
    </row>
    <row r="6308" spans="92:92" x14ac:dyDescent="0.3">
      <c r="CN6308">
        <v>6307</v>
      </c>
    </row>
    <row r="6309" spans="92:92" x14ac:dyDescent="0.3">
      <c r="CN6309">
        <v>6308</v>
      </c>
    </row>
    <row r="6310" spans="92:92" x14ac:dyDescent="0.3">
      <c r="CN6310">
        <v>6309</v>
      </c>
    </row>
    <row r="6311" spans="92:92" x14ac:dyDescent="0.3">
      <c r="CN6311">
        <v>6310</v>
      </c>
    </row>
    <row r="6312" spans="92:92" x14ac:dyDescent="0.3">
      <c r="CN6312">
        <v>6311</v>
      </c>
    </row>
    <row r="6313" spans="92:92" x14ac:dyDescent="0.3">
      <c r="CN6313">
        <v>6312</v>
      </c>
    </row>
    <row r="6314" spans="92:92" x14ac:dyDescent="0.3">
      <c r="CN6314">
        <v>6313</v>
      </c>
    </row>
    <row r="6315" spans="92:92" x14ac:dyDescent="0.3">
      <c r="CN6315">
        <v>6314</v>
      </c>
    </row>
    <row r="6316" spans="92:92" x14ac:dyDescent="0.3">
      <c r="CN6316">
        <v>6315</v>
      </c>
    </row>
    <row r="6317" spans="92:92" x14ac:dyDescent="0.3">
      <c r="CN6317">
        <v>6316</v>
      </c>
    </row>
    <row r="6318" spans="92:92" x14ac:dyDescent="0.3">
      <c r="CN6318">
        <v>6317</v>
      </c>
    </row>
    <row r="6319" spans="92:92" x14ac:dyDescent="0.3">
      <c r="CN6319">
        <v>6318</v>
      </c>
    </row>
    <row r="6320" spans="92:92" x14ac:dyDescent="0.3">
      <c r="CN6320">
        <v>6319</v>
      </c>
    </row>
    <row r="6321" spans="92:92" x14ac:dyDescent="0.3">
      <c r="CN6321">
        <v>6320</v>
      </c>
    </row>
    <row r="6322" spans="92:92" x14ac:dyDescent="0.3">
      <c r="CN6322">
        <v>6321</v>
      </c>
    </row>
    <row r="6323" spans="92:92" x14ac:dyDescent="0.3">
      <c r="CN6323">
        <v>6322</v>
      </c>
    </row>
    <row r="6324" spans="92:92" x14ac:dyDescent="0.3">
      <c r="CN6324">
        <v>6323</v>
      </c>
    </row>
    <row r="6325" spans="92:92" x14ac:dyDescent="0.3">
      <c r="CN6325">
        <v>6324</v>
      </c>
    </row>
    <row r="6326" spans="92:92" x14ac:dyDescent="0.3">
      <c r="CN6326">
        <v>6325</v>
      </c>
    </row>
    <row r="6327" spans="92:92" x14ac:dyDescent="0.3">
      <c r="CN6327">
        <v>6326</v>
      </c>
    </row>
    <row r="6328" spans="92:92" x14ac:dyDescent="0.3">
      <c r="CN6328">
        <v>6327</v>
      </c>
    </row>
    <row r="6329" spans="92:92" x14ac:dyDescent="0.3">
      <c r="CN6329">
        <v>6328</v>
      </c>
    </row>
    <row r="6330" spans="92:92" x14ac:dyDescent="0.3">
      <c r="CN6330">
        <v>6329</v>
      </c>
    </row>
    <row r="6331" spans="92:92" x14ac:dyDescent="0.3">
      <c r="CN6331">
        <v>6330</v>
      </c>
    </row>
    <row r="6332" spans="92:92" x14ac:dyDescent="0.3">
      <c r="CN6332">
        <v>6331</v>
      </c>
    </row>
    <row r="6333" spans="92:92" x14ac:dyDescent="0.3">
      <c r="CN6333">
        <v>6332</v>
      </c>
    </row>
    <row r="6334" spans="92:92" x14ac:dyDescent="0.3">
      <c r="CN6334">
        <v>6333</v>
      </c>
    </row>
    <row r="6335" spans="92:92" x14ac:dyDescent="0.3">
      <c r="CN6335">
        <v>6334</v>
      </c>
    </row>
    <row r="6336" spans="92:92" x14ac:dyDescent="0.3">
      <c r="CN6336">
        <v>6335</v>
      </c>
    </row>
    <row r="6337" spans="92:92" x14ac:dyDescent="0.3">
      <c r="CN6337">
        <v>6336</v>
      </c>
    </row>
    <row r="6338" spans="92:92" x14ac:dyDescent="0.3">
      <c r="CN6338">
        <v>6337</v>
      </c>
    </row>
    <row r="6339" spans="92:92" x14ac:dyDescent="0.3">
      <c r="CN6339">
        <v>6338</v>
      </c>
    </row>
    <row r="6340" spans="92:92" x14ac:dyDescent="0.3">
      <c r="CN6340">
        <v>6339</v>
      </c>
    </row>
    <row r="6341" spans="92:92" x14ac:dyDescent="0.3">
      <c r="CN6341">
        <v>6340</v>
      </c>
    </row>
    <row r="6342" spans="92:92" x14ac:dyDescent="0.3">
      <c r="CN6342">
        <v>6341</v>
      </c>
    </row>
    <row r="6343" spans="92:92" x14ac:dyDescent="0.3">
      <c r="CN6343">
        <v>6342</v>
      </c>
    </row>
    <row r="6344" spans="92:92" x14ac:dyDescent="0.3">
      <c r="CN6344">
        <v>6343</v>
      </c>
    </row>
    <row r="6345" spans="92:92" x14ac:dyDescent="0.3">
      <c r="CN6345">
        <v>6344</v>
      </c>
    </row>
    <row r="6346" spans="92:92" x14ac:dyDescent="0.3">
      <c r="CN6346">
        <v>6345</v>
      </c>
    </row>
    <row r="6347" spans="92:92" x14ac:dyDescent="0.3">
      <c r="CN6347">
        <v>6346</v>
      </c>
    </row>
    <row r="6348" spans="92:92" x14ac:dyDescent="0.3">
      <c r="CN6348">
        <v>6347</v>
      </c>
    </row>
    <row r="6349" spans="92:92" x14ac:dyDescent="0.3">
      <c r="CN6349">
        <v>6348</v>
      </c>
    </row>
    <row r="6350" spans="92:92" x14ac:dyDescent="0.3">
      <c r="CN6350">
        <v>6349</v>
      </c>
    </row>
    <row r="6351" spans="92:92" x14ac:dyDescent="0.3">
      <c r="CN6351">
        <v>6350</v>
      </c>
    </row>
    <row r="6352" spans="92:92" x14ac:dyDescent="0.3">
      <c r="CN6352">
        <v>6351</v>
      </c>
    </row>
    <row r="6353" spans="92:92" x14ac:dyDescent="0.3">
      <c r="CN6353">
        <v>6352</v>
      </c>
    </row>
    <row r="6354" spans="92:92" x14ac:dyDescent="0.3">
      <c r="CN6354">
        <v>6353</v>
      </c>
    </row>
    <row r="6355" spans="92:92" x14ac:dyDescent="0.3">
      <c r="CN6355">
        <v>6354</v>
      </c>
    </row>
    <row r="6356" spans="92:92" x14ac:dyDescent="0.3">
      <c r="CN6356">
        <v>6355</v>
      </c>
    </row>
    <row r="6357" spans="92:92" x14ac:dyDescent="0.3">
      <c r="CN6357">
        <v>6356</v>
      </c>
    </row>
    <row r="6358" spans="92:92" x14ac:dyDescent="0.3">
      <c r="CN6358">
        <v>6357</v>
      </c>
    </row>
    <row r="6359" spans="92:92" x14ac:dyDescent="0.3">
      <c r="CN6359">
        <v>6358</v>
      </c>
    </row>
    <row r="6360" spans="92:92" x14ac:dyDescent="0.3">
      <c r="CN6360">
        <v>6359</v>
      </c>
    </row>
    <row r="6361" spans="92:92" x14ac:dyDescent="0.3">
      <c r="CN6361">
        <v>6360</v>
      </c>
    </row>
    <row r="6362" spans="92:92" x14ac:dyDescent="0.3">
      <c r="CN6362">
        <v>6361</v>
      </c>
    </row>
    <row r="6363" spans="92:92" x14ac:dyDescent="0.3">
      <c r="CN6363">
        <v>6362</v>
      </c>
    </row>
    <row r="6364" spans="92:92" x14ac:dyDescent="0.3">
      <c r="CN6364">
        <v>6363</v>
      </c>
    </row>
    <row r="6365" spans="92:92" x14ac:dyDescent="0.3">
      <c r="CN6365">
        <v>6364</v>
      </c>
    </row>
    <row r="6366" spans="92:92" x14ac:dyDescent="0.3">
      <c r="CN6366">
        <v>6365</v>
      </c>
    </row>
    <row r="6367" spans="92:92" x14ac:dyDescent="0.3">
      <c r="CN6367">
        <v>6366</v>
      </c>
    </row>
    <row r="6368" spans="92:92" x14ac:dyDescent="0.3">
      <c r="CN6368">
        <v>6367</v>
      </c>
    </row>
    <row r="6369" spans="92:92" x14ac:dyDescent="0.3">
      <c r="CN6369">
        <v>6368</v>
      </c>
    </row>
    <row r="6370" spans="92:92" x14ac:dyDescent="0.3">
      <c r="CN6370">
        <v>6369</v>
      </c>
    </row>
    <row r="6371" spans="92:92" x14ac:dyDescent="0.3">
      <c r="CN6371">
        <v>6370</v>
      </c>
    </row>
    <row r="6372" spans="92:92" x14ac:dyDescent="0.3">
      <c r="CN6372">
        <v>6371</v>
      </c>
    </row>
    <row r="6373" spans="92:92" x14ac:dyDescent="0.3">
      <c r="CN6373">
        <v>6372</v>
      </c>
    </row>
    <row r="6374" spans="92:92" x14ac:dyDescent="0.3">
      <c r="CN6374">
        <v>6373</v>
      </c>
    </row>
    <row r="6375" spans="92:92" x14ac:dyDescent="0.3">
      <c r="CN6375">
        <v>6374</v>
      </c>
    </row>
    <row r="6376" spans="92:92" x14ac:dyDescent="0.3">
      <c r="CN6376">
        <v>6375</v>
      </c>
    </row>
    <row r="6377" spans="92:92" x14ac:dyDescent="0.3">
      <c r="CN6377">
        <v>6376</v>
      </c>
    </row>
    <row r="6378" spans="92:92" x14ac:dyDescent="0.3">
      <c r="CN6378">
        <v>6377</v>
      </c>
    </row>
    <row r="6379" spans="92:92" x14ac:dyDescent="0.3">
      <c r="CN6379">
        <v>6378</v>
      </c>
    </row>
    <row r="6380" spans="92:92" x14ac:dyDescent="0.3">
      <c r="CN6380">
        <v>6379</v>
      </c>
    </row>
    <row r="6381" spans="92:92" x14ac:dyDescent="0.3">
      <c r="CN6381">
        <v>6380</v>
      </c>
    </row>
    <row r="6382" spans="92:92" x14ac:dyDescent="0.3">
      <c r="CN6382">
        <v>6381</v>
      </c>
    </row>
    <row r="6383" spans="92:92" x14ac:dyDescent="0.3">
      <c r="CN6383">
        <v>6382</v>
      </c>
    </row>
    <row r="6384" spans="92:92" x14ac:dyDescent="0.3">
      <c r="CN6384">
        <v>6383</v>
      </c>
    </row>
    <row r="6385" spans="92:92" x14ac:dyDescent="0.3">
      <c r="CN6385">
        <v>6384</v>
      </c>
    </row>
    <row r="6386" spans="92:92" x14ac:dyDescent="0.3">
      <c r="CN6386">
        <v>6385</v>
      </c>
    </row>
    <row r="6387" spans="92:92" x14ac:dyDescent="0.3">
      <c r="CN6387">
        <v>6386</v>
      </c>
    </row>
    <row r="6388" spans="92:92" x14ac:dyDescent="0.3">
      <c r="CN6388">
        <v>6387</v>
      </c>
    </row>
    <row r="6389" spans="92:92" x14ac:dyDescent="0.3">
      <c r="CN6389">
        <v>6388</v>
      </c>
    </row>
    <row r="6390" spans="92:92" x14ac:dyDescent="0.3">
      <c r="CN6390">
        <v>6389</v>
      </c>
    </row>
    <row r="6391" spans="92:92" x14ac:dyDescent="0.3">
      <c r="CN6391">
        <v>6390</v>
      </c>
    </row>
    <row r="6392" spans="92:92" x14ac:dyDescent="0.3">
      <c r="CN6392">
        <v>6391</v>
      </c>
    </row>
    <row r="6393" spans="92:92" x14ac:dyDescent="0.3">
      <c r="CN6393">
        <v>6392</v>
      </c>
    </row>
    <row r="6394" spans="92:92" x14ac:dyDescent="0.3">
      <c r="CN6394">
        <v>6393</v>
      </c>
    </row>
    <row r="6395" spans="92:92" x14ac:dyDescent="0.3">
      <c r="CN6395">
        <v>6394</v>
      </c>
    </row>
    <row r="6396" spans="92:92" x14ac:dyDescent="0.3">
      <c r="CN6396">
        <v>6395</v>
      </c>
    </row>
    <row r="6397" spans="92:92" x14ac:dyDescent="0.3">
      <c r="CN6397">
        <v>6396</v>
      </c>
    </row>
    <row r="6398" spans="92:92" x14ac:dyDescent="0.3">
      <c r="CN6398">
        <v>6397</v>
      </c>
    </row>
    <row r="6399" spans="92:92" x14ac:dyDescent="0.3">
      <c r="CN6399">
        <v>6398</v>
      </c>
    </row>
    <row r="6400" spans="92:92" x14ac:dyDescent="0.3">
      <c r="CN6400">
        <v>6399</v>
      </c>
    </row>
    <row r="6401" spans="92:92" x14ac:dyDescent="0.3">
      <c r="CN6401">
        <v>6400</v>
      </c>
    </row>
    <row r="6402" spans="92:92" x14ac:dyDescent="0.3">
      <c r="CN6402">
        <v>6401</v>
      </c>
    </row>
    <row r="6403" spans="92:92" x14ac:dyDescent="0.3">
      <c r="CN6403">
        <v>6402</v>
      </c>
    </row>
    <row r="6404" spans="92:92" x14ac:dyDescent="0.3">
      <c r="CN6404">
        <v>6403</v>
      </c>
    </row>
    <row r="6405" spans="92:92" x14ac:dyDescent="0.3">
      <c r="CN6405">
        <v>6404</v>
      </c>
    </row>
    <row r="6406" spans="92:92" x14ac:dyDescent="0.3">
      <c r="CN6406">
        <v>6405</v>
      </c>
    </row>
    <row r="6407" spans="92:92" x14ac:dyDescent="0.3">
      <c r="CN6407">
        <v>6406</v>
      </c>
    </row>
    <row r="6408" spans="92:92" x14ac:dyDescent="0.3">
      <c r="CN6408">
        <v>6407</v>
      </c>
    </row>
    <row r="6409" spans="92:92" x14ac:dyDescent="0.3">
      <c r="CN6409">
        <v>6408</v>
      </c>
    </row>
    <row r="6410" spans="92:92" x14ac:dyDescent="0.3">
      <c r="CN6410">
        <v>6409</v>
      </c>
    </row>
    <row r="6411" spans="92:92" x14ac:dyDescent="0.3">
      <c r="CN6411">
        <v>6410</v>
      </c>
    </row>
    <row r="6412" spans="92:92" x14ac:dyDescent="0.3">
      <c r="CN6412">
        <v>6411</v>
      </c>
    </row>
    <row r="6413" spans="92:92" x14ac:dyDescent="0.3">
      <c r="CN6413">
        <v>6412</v>
      </c>
    </row>
    <row r="6414" spans="92:92" x14ac:dyDescent="0.3">
      <c r="CN6414">
        <v>6413</v>
      </c>
    </row>
    <row r="6415" spans="92:92" x14ac:dyDescent="0.3">
      <c r="CN6415">
        <v>6414</v>
      </c>
    </row>
    <row r="6416" spans="92:92" x14ac:dyDescent="0.3">
      <c r="CN6416">
        <v>6415</v>
      </c>
    </row>
    <row r="6417" spans="92:92" x14ac:dyDescent="0.3">
      <c r="CN6417">
        <v>6416</v>
      </c>
    </row>
    <row r="6418" spans="92:92" x14ac:dyDescent="0.3">
      <c r="CN6418">
        <v>6417</v>
      </c>
    </row>
    <row r="6419" spans="92:92" x14ac:dyDescent="0.3">
      <c r="CN6419">
        <v>6418</v>
      </c>
    </row>
    <row r="6420" spans="92:92" x14ac:dyDescent="0.3">
      <c r="CN6420">
        <v>6419</v>
      </c>
    </row>
    <row r="6421" spans="92:92" x14ac:dyDescent="0.3">
      <c r="CN6421">
        <v>6420</v>
      </c>
    </row>
    <row r="6422" spans="92:92" x14ac:dyDescent="0.3">
      <c r="CN6422">
        <v>6421</v>
      </c>
    </row>
    <row r="6423" spans="92:92" x14ac:dyDescent="0.3">
      <c r="CN6423">
        <v>6422</v>
      </c>
    </row>
    <row r="6424" spans="92:92" x14ac:dyDescent="0.3">
      <c r="CN6424">
        <v>6423</v>
      </c>
    </row>
    <row r="6425" spans="92:92" x14ac:dyDescent="0.3">
      <c r="CN6425">
        <v>6424</v>
      </c>
    </row>
    <row r="6426" spans="92:92" x14ac:dyDescent="0.3">
      <c r="CN6426">
        <v>6425</v>
      </c>
    </row>
    <row r="6427" spans="92:92" x14ac:dyDescent="0.3">
      <c r="CN6427">
        <v>6426</v>
      </c>
    </row>
    <row r="6428" spans="92:92" x14ac:dyDescent="0.3">
      <c r="CN6428">
        <v>6427</v>
      </c>
    </row>
    <row r="6429" spans="92:92" x14ac:dyDescent="0.3">
      <c r="CN6429">
        <v>6428</v>
      </c>
    </row>
    <row r="6430" spans="92:92" x14ac:dyDescent="0.3">
      <c r="CN6430">
        <v>6429</v>
      </c>
    </row>
    <row r="6431" spans="92:92" x14ac:dyDescent="0.3">
      <c r="CN6431">
        <v>6430</v>
      </c>
    </row>
    <row r="6432" spans="92:92" x14ac:dyDescent="0.3">
      <c r="CN6432">
        <v>6431</v>
      </c>
    </row>
    <row r="6433" spans="92:92" x14ac:dyDescent="0.3">
      <c r="CN6433">
        <v>6432</v>
      </c>
    </row>
    <row r="6434" spans="92:92" x14ac:dyDescent="0.3">
      <c r="CN6434">
        <v>6433</v>
      </c>
    </row>
    <row r="6435" spans="92:92" x14ac:dyDescent="0.3">
      <c r="CN6435">
        <v>6434</v>
      </c>
    </row>
    <row r="6436" spans="92:92" x14ac:dyDescent="0.3">
      <c r="CN6436">
        <v>6435</v>
      </c>
    </row>
    <row r="6437" spans="92:92" x14ac:dyDescent="0.3">
      <c r="CN6437">
        <v>6436</v>
      </c>
    </row>
    <row r="6438" spans="92:92" x14ac:dyDescent="0.3">
      <c r="CN6438">
        <v>6437</v>
      </c>
    </row>
    <row r="6439" spans="92:92" x14ac:dyDescent="0.3">
      <c r="CN6439">
        <v>6438</v>
      </c>
    </row>
    <row r="6440" spans="92:92" x14ac:dyDescent="0.3">
      <c r="CN6440">
        <v>6439</v>
      </c>
    </row>
    <row r="6441" spans="92:92" x14ac:dyDescent="0.3">
      <c r="CN6441">
        <v>6440</v>
      </c>
    </row>
    <row r="6442" spans="92:92" x14ac:dyDescent="0.3">
      <c r="CN6442">
        <v>6441</v>
      </c>
    </row>
    <row r="6443" spans="92:92" x14ac:dyDescent="0.3">
      <c r="CN6443">
        <v>6442</v>
      </c>
    </row>
    <row r="6444" spans="92:92" x14ac:dyDescent="0.3">
      <c r="CN6444">
        <v>6443</v>
      </c>
    </row>
    <row r="6445" spans="92:92" x14ac:dyDescent="0.3">
      <c r="CN6445">
        <v>6444</v>
      </c>
    </row>
    <row r="6446" spans="92:92" x14ac:dyDescent="0.3">
      <c r="CN6446">
        <v>6445</v>
      </c>
    </row>
    <row r="6447" spans="92:92" x14ac:dyDescent="0.3">
      <c r="CN6447">
        <v>6446</v>
      </c>
    </row>
    <row r="6448" spans="92:92" x14ac:dyDescent="0.3">
      <c r="CN6448">
        <v>6447</v>
      </c>
    </row>
    <row r="6449" spans="92:92" x14ac:dyDescent="0.3">
      <c r="CN6449">
        <v>6448</v>
      </c>
    </row>
    <row r="6450" spans="92:92" x14ac:dyDescent="0.3">
      <c r="CN6450">
        <v>6449</v>
      </c>
    </row>
    <row r="6451" spans="92:92" x14ac:dyDescent="0.3">
      <c r="CN6451">
        <v>6450</v>
      </c>
    </row>
    <row r="6452" spans="92:92" x14ac:dyDescent="0.3">
      <c r="CN6452">
        <v>6451</v>
      </c>
    </row>
    <row r="6453" spans="92:92" x14ac:dyDescent="0.3">
      <c r="CN6453">
        <v>6452</v>
      </c>
    </row>
    <row r="6454" spans="92:92" x14ac:dyDescent="0.3">
      <c r="CN6454">
        <v>6453</v>
      </c>
    </row>
    <row r="6455" spans="92:92" x14ac:dyDescent="0.3">
      <c r="CN6455">
        <v>6454</v>
      </c>
    </row>
    <row r="6456" spans="92:92" x14ac:dyDescent="0.3">
      <c r="CN6456">
        <v>6455</v>
      </c>
    </row>
    <row r="6457" spans="92:92" x14ac:dyDescent="0.3">
      <c r="CN6457">
        <v>6456</v>
      </c>
    </row>
    <row r="6458" spans="92:92" x14ac:dyDescent="0.3">
      <c r="CN6458">
        <v>6457</v>
      </c>
    </row>
    <row r="6459" spans="92:92" x14ac:dyDescent="0.3">
      <c r="CN6459">
        <v>6458</v>
      </c>
    </row>
    <row r="6460" spans="92:92" x14ac:dyDescent="0.3">
      <c r="CN6460">
        <v>6459</v>
      </c>
    </row>
    <row r="6461" spans="92:92" x14ac:dyDescent="0.3">
      <c r="CN6461">
        <v>6460</v>
      </c>
    </row>
    <row r="6462" spans="92:92" x14ac:dyDescent="0.3">
      <c r="CN6462">
        <v>6461</v>
      </c>
    </row>
    <row r="6463" spans="92:92" x14ac:dyDescent="0.3">
      <c r="CN6463">
        <v>6462</v>
      </c>
    </row>
    <row r="6464" spans="92:92" x14ac:dyDescent="0.3">
      <c r="CN6464">
        <v>6463</v>
      </c>
    </row>
    <row r="6465" spans="92:92" x14ac:dyDescent="0.3">
      <c r="CN6465">
        <v>6464</v>
      </c>
    </row>
    <row r="6466" spans="92:92" x14ac:dyDescent="0.3">
      <c r="CN6466">
        <v>6465</v>
      </c>
    </row>
    <row r="6467" spans="92:92" x14ac:dyDescent="0.3">
      <c r="CN6467">
        <v>6466</v>
      </c>
    </row>
    <row r="6468" spans="92:92" x14ac:dyDescent="0.3">
      <c r="CN6468">
        <v>6467</v>
      </c>
    </row>
    <row r="6469" spans="92:92" x14ac:dyDescent="0.3">
      <c r="CN6469">
        <v>6468</v>
      </c>
    </row>
    <row r="6470" spans="92:92" x14ac:dyDescent="0.3">
      <c r="CN6470">
        <v>6469</v>
      </c>
    </row>
    <row r="6471" spans="92:92" x14ac:dyDescent="0.3">
      <c r="CN6471">
        <v>6470</v>
      </c>
    </row>
    <row r="6472" spans="92:92" x14ac:dyDescent="0.3">
      <c r="CN6472">
        <v>6471</v>
      </c>
    </row>
    <row r="6473" spans="92:92" x14ac:dyDescent="0.3">
      <c r="CN6473">
        <v>6472</v>
      </c>
    </row>
    <row r="6474" spans="92:92" x14ac:dyDescent="0.3">
      <c r="CN6474">
        <v>6473</v>
      </c>
    </row>
    <row r="6475" spans="92:92" x14ac:dyDescent="0.3">
      <c r="CN6475">
        <v>6474</v>
      </c>
    </row>
    <row r="6476" spans="92:92" x14ac:dyDescent="0.3">
      <c r="CN6476">
        <v>6475</v>
      </c>
    </row>
    <row r="6477" spans="92:92" x14ac:dyDescent="0.3">
      <c r="CN6477">
        <v>6476</v>
      </c>
    </row>
    <row r="6478" spans="92:92" x14ac:dyDescent="0.3">
      <c r="CN6478">
        <v>6477</v>
      </c>
    </row>
    <row r="6479" spans="92:92" x14ac:dyDescent="0.3">
      <c r="CN6479">
        <v>6478</v>
      </c>
    </row>
    <row r="6480" spans="92:92" x14ac:dyDescent="0.3">
      <c r="CN6480">
        <v>6479</v>
      </c>
    </row>
    <row r="6481" spans="92:92" x14ac:dyDescent="0.3">
      <c r="CN6481">
        <v>6480</v>
      </c>
    </row>
    <row r="6482" spans="92:92" x14ac:dyDescent="0.3">
      <c r="CN6482">
        <v>6481</v>
      </c>
    </row>
    <row r="6483" spans="92:92" x14ac:dyDescent="0.3">
      <c r="CN6483">
        <v>6482</v>
      </c>
    </row>
    <row r="6484" spans="92:92" x14ac:dyDescent="0.3">
      <c r="CN6484">
        <v>6483</v>
      </c>
    </row>
    <row r="6485" spans="92:92" x14ac:dyDescent="0.3">
      <c r="CN6485">
        <v>6484</v>
      </c>
    </row>
    <row r="6486" spans="92:92" x14ac:dyDescent="0.3">
      <c r="CN6486">
        <v>6485</v>
      </c>
    </row>
    <row r="6487" spans="92:92" x14ac:dyDescent="0.3">
      <c r="CN6487">
        <v>6486</v>
      </c>
    </row>
    <row r="6488" spans="92:92" x14ac:dyDescent="0.3">
      <c r="CN6488">
        <v>6487</v>
      </c>
    </row>
    <row r="6489" spans="92:92" x14ac:dyDescent="0.3">
      <c r="CN6489">
        <v>6488</v>
      </c>
    </row>
    <row r="6490" spans="92:92" x14ac:dyDescent="0.3">
      <c r="CN6490">
        <v>6489</v>
      </c>
    </row>
    <row r="6491" spans="92:92" x14ac:dyDescent="0.3">
      <c r="CN6491">
        <v>6490</v>
      </c>
    </row>
    <row r="6492" spans="92:92" x14ac:dyDescent="0.3">
      <c r="CN6492">
        <v>6491</v>
      </c>
    </row>
    <row r="6493" spans="92:92" x14ac:dyDescent="0.3">
      <c r="CN6493">
        <v>6492</v>
      </c>
    </row>
    <row r="6494" spans="92:92" x14ac:dyDescent="0.3">
      <c r="CN6494">
        <v>6493</v>
      </c>
    </row>
    <row r="6495" spans="92:92" x14ac:dyDescent="0.3">
      <c r="CN6495">
        <v>6494</v>
      </c>
    </row>
    <row r="6496" spans="92:92" x14ac:dyDescent="0.3">
      <c r="CN6496">
        <v>6495</v>
      </c>
    </row>
    <row r="6497" spans="92:92" x14ac:dyDescent="0.3">
      <c r="CN6497">
        <v>6496</v>
      </c>
    </row>
    <row r="6498" spans="92:92" x14ac:dyDescent="0.3">
      <c r="CN6498">
        <v>6497</v>
      </c>
    </row>
    <row r="6499" spans="92:92" x14ac:dyDescent="0.3">
      <c r="CN6499">
        <v>6498</v>
      </c>
    </row>
    <row r="6500" spans="92:92" x14ac:dyDescent="0.3">
      <c r="CN6500">
        <v>6499</v>
      </c>
    </row>
    <row r="6501" spans="92:92" x14ac:dyDescent="0.3">
      <c r="CN6501">
        <v>6500</v>
      </c>
    </row>
    <row r="6502" spans="92:92" x14ac:dyDescent="0.3">
      <c r="CN6502">
        <v>6501</v>
      </c>
    </row>
    <row r="6503" spans="92:92" x14ac:dyDescent="0.3">
      <c r="CN6503">
        <v>6502</v>
      </c>
    </row>
    <row r="6504" spans="92:92" x14ac:dyDescent="0.3">
      <c r="CN6504">
        <v>6503</v>
      </c>
    </row>
    <row r="6505" spans="92:92" x14ac:dyDescent="0.3">
      <c r="CN6505">
        <v>6504</v>
      </c>
    </row>
    <row r="6506" spans="92:92" x14ac:dyDescent="0.3">
      <c r="CN6506">
        <v>6505</v>
      </c>
    </row>
    <row r="6507" spans="92:92" x14ac:dyDescent="0.3">
      <c r="CN6507">
        <v>6506</v>
      </c>
    </row>
    <row r="6508" spans="92:92" x14ac:dyDescent="0.3">
      <c r="CN6508">
        <v>6507</v>
      </c>
    </row>
    <row r="6509" spans="92:92" x14ac:dyDescent="0.3">
      <c r="CN6509">
        <v>6508</v>
      </c>
    </row>
    <row r="6510" spans="92:92" x14ac:dyDescent="0.3">
      <c r="CN6510">
        <v>6509</v>
      </c>
    </row>
    <row r="6511" spans="92:92" x14ac:dyDescent="0.3">
      <c r="CN6511">
        <v>6510</v>
      </c>
    </row>
    <row r="6512" spans="92:92" x14ac:dyDescent="0.3">
      <c r="CN6512">
        <v>6511</v>
      </c>
    </row>
    <row r="6513" spans="92:92" x14ac:dyDescent="0.3">
      <c r="CN6513">
        <v>6512</v>
      </c>
    </row>
    <row r="6514" spans="92:92" x14ac:dyDescent="0.3">
      <c r="CN6514">
        <v>6513</v>
      </c>
    </row>
    <row r="6515" spans="92:92" x14ac:dyDescent="0.3">
      <c r="CN6515">
        <v>6514</v>
      </c>
    </row>
    <row r="6516" spans="92:92" x14ac:dyDescent="0.3">
      <c r="CN6516">
        <v>6515</v>
      </c>
    </row>
    <row r="6517" spans="92:92" x14ac:dyDescent="0.3">
      <c r="CN6517">
        <v>6516</v>
      </c>
    </row>
    <row r="6518" spans="92:92" x14ac:dyDescent="0.3">
      <c r="CN6518">
        <v>6517</v>
      </c>
    </row>
    <row r="6519" spans="92:92" x14ac:dyDescent="0.3">
      <c r="CN6519">
        <v>6518</v>
      </c>
    </row>
    <row r="6520" spans="92:92" x14ac:dyDescent="0.3">
      <c r="CN6520">
        <v>6519</v>
      </c>
    </row>
    <row r="6521" spans="92:92" x14ac:dyDescent="0.3">
      <c r="CN6521">
        <v>6520</v>
      </c>
    </row>
    <row r="6522" spans="92:92" x14ac:dyDescent="0.3">
      <c r="CN6522">
        <v>6521</v>
      </c>
    </row>
    <row r="6523" spans="92:92" x14ac:dyDescent="0.3">
      <c r="CN6523">
        <v>6522</v>
      </c>
    </row>
    <row r="6524" spans="92:92" x14ac:dyDescent="0.3">
      <c r="CN6524">
        <v>6523</v>
      </c>
    </row>
    <row r="6525" spans="92:92" x14ac:dyDescent="0.3">
      <c r="CN6525">
        <v>6524</v>
      </c>
    </row>
    <row r="6526" spans="92:92" x14ac:dyDescent="0.3">
      <c r="CN6526">
        <v>6525</v>
      </c>
    </row>
    <row r="6527" spans="92:92" x14ac:dyDescent="0.3">
      <c r="CN6527">
        <v>6526</v>
      </c>
    </row>
    <row r="6528" spans="92:92" x14ac:dyDescent="0.3">
      <c r="CN6528">
        <v>6527</v>
      </c>
    </row>
    <row r="6529" spans="92:92" x14ac:dyDescent="0.3">
      <c r="CN6529">
        <v>6528</v>
      </c>
    </row>
    <row r="6530" spans="92:92" x14ac:dyDescent="0.3">
      <c r="CN6530">
        <v>6529</v>
      </c>
    </row>
    <row r="6531" spans="92:92" x14ac:dyDescent="0.3">
      <c r="CN6531">
        <v>6530</v>
      </c>
    </row>
    <row r="6532" spans="92:92" x14ac:dyDescent="0.3">
      <c r="CN6532">
        <v>6531</v>
      </c>
    </row>
    <row r="6533" spans="92:92" x14ac:dyDescent="0.3">
      <c r="CN6533">
        <v>6532</v>
      </c>
    </row>
    <row r="6534" spans="92:92" x14ac:dyDescent="0.3">
      <c r="CN6534">
        <v>6533</v>
      </c>
    </row>
    <row r="6535" spans="92:92" x14ac:dyDescent="0.3">
      <c r="CN6535">
        <v>6534</v>
      </c>
    </row>
    <row r="6536" spans="92:92" x14ac:dyDescent="0.3">
      <c r="CN6536">
        <v>6535</v>
      </c>
    </row>
    <row r="6537" spans="92:92" x14ac:dyDescent="0.3">
      <c r="CN6537">
        <v>6536</v>
      </c>
    </row>
    <row r="6538" spans="92:92" x14ac:dyDescent="0.3">
      <c r="CN6538">
        <v>6537</v>
      </c>
    </row>
    <row r="6539" spans="92:92" x14ac:dyDescent="0.3">
      <c r="CN6539">
        <v>6538</v>
      </c>
    </row>
    <row r="6540" spans="92:92" x14ac:dyDescent="0.3">
      <c r="CN6540">
        <v>6539</v>
      </c>
    </row>
    <row r="6541" spans="92:92" x14ac:dyDescent="0.3">
      <c r="CN6541">
        <v>6540</v>
      </c>
    </row>
    <row r="6542" spans="92:92" x14ac:dyDescent="0.3">
      <c r="CN6542">
        <v>6541</v>
      </c>
    </row>
    <row r="6543" spans="92:92" x14ac:dyDescent="0.3">
      <c r="CN6543">
        <v>6542</v>
      </c>
    </row>
    <row r="6544" spans="92:92" x14ac:dyDescent="0.3">
      <c r="CN6544">
        <v>6543</v>
      </c>
    </row>
    <row r="6545" spans="92:92" x14ac:dyDescent="0.3">
      <c r="CN6545">
        <v>6544</v>
      </c>
    </row>
    <row r="6546" spans="92:92" x14ac:dyDescent="0.3">
      <c r="CN6546">
        <v>6545</v>
      </c>
    </row>
    <row r="6547" spans="92:92" x14ac:dyDescent="0.3">
      <c r="CN6547">
        <v>6546</v>
      </c>
    </row>
    <row r="6548" spans="92:92" x14ac:dyDescent="0.3">
      <c r="CN6548">
        <v>6547</v>
      </c>
    </row>
    <row r="6549" spans="92:92" x14ac:dyDescent="0.3">
      <c r="CN6549">
        <v>6548</v>
      </c>
    </row>
    <row r="6550" spans="92:92" x14ac:dyDescent="0.3">
      <c r="CN6550">
        <v>6549</v>
      </c>
    </row>
    <row r="6551" spans="92:92" x14ac:dyDescent="0.3">
      <c r="CN6551">
        <v>6550</v>
      </c>
    </row>
    <row r="6552" spans="92:92" x14ac:dyDescent="0.3">
      <c r="CN6552">
        <v>6551</v>
      </c>
    </row>
    <row r="6553" spans="92:92" x14ac:dyDescent="0.3">
      <c r="CN6553">
        <v>6552</v>
      </c>
    </row>
    <row r="6554" spans="92:92" x14ac:dyDescent="0.3">
      <c r="CN6554">
        <v>6553</v>
      </c>
    </row>
    <row r="6555" spans="92:92" x14ac:dyDescent="0.3">
      <c r="CN6555">
        <v>6554</v>
      </c>
    </row>
    <row r="6556" spans="92:92" x14ac:dyDescent="0.3">
      <c r="CN6556">
        <v>6555</v>
      </c>
    </row>
    <row r="6557" spans="92:92" x14ac:dyDescent="0.3">
      <c r="CN6557">
        <v>6556</v>
      </c>
    </row>
    <row r="6558" spans="92:92" x14ac:dyDescent="0.3">
      <c r="CN6558">
        <v>6557</v>
      </c>
    </row>
    <row r="6559" spans="92:92" x14ac:dyDescent="0.3">
      <c r="CN6559">
        <v>6558</v>
      </c>
    </row>
    <row r="6560" spans="92:92" x14ac:dyDescent="0.3">
      <c r="CN6560">
        <v>6559</v>
      </c>
    </row>
    <row r="6561" spans="92:92" x14ac:dyDescent="0.3">
      <c r="CN6561">
        <v>6560</v>
      </c>
    </row>
    <row r="6562" spans="92:92" x14ac:dyDescent="0.3">
      <c r="CN6562">
        <v>6561</v>
      </c>
    </row>
    <row r="6563" spans="92:92" x14ac:dyDescent="0.3">
      <c r="CN6563">
        <v>6562</v>
      </c>
    </row>
    <row r="6564" spans="92:92" x14ac:dyDescent="0.3">
      <c r="CN6564">
        <v>6563</v>
      </c>
    </row>
    <row r="6565" spans="92:92" x14ac:dyDescent="0.3">
      <c r="CN6565">
        <v>6564</v>
      </c>
    </row>
    <row r="6566" spans="92:92" x14ac:dyDescent="0.3">
      <c r="CN6566">
        <v>6565</v>
      </c>
    </row>
    <row r="6567" spans="92:92" x14ac:dyDescent="0.3">
      <c r="CN6567">
        <v>6566</v>
      </c>
    </row>
    <row r="6568" spans="92:92" x14ac:dyDescent="0.3">
      <c r="CN6568">
        <v>6567</v>
      </c>
    </row>
    <row r="6569" spans="92:92" x14ac:dyDescent="0.3">
      <c r="CN6569">
        <v>6568</v>
      </c>
    </row>
    <row r="6570" spans="92:92" x14ac:dyDescent="0.3">
      <c r="CN6570">
        <v>6569</v>
      </c>
    </row>
    <row r="6571" spans="92:92" x14ac:dyDescent="0.3">
      <c r="CN6571">
        <v>6570</v>
      </c>
    </row>
    <row r="6572" spans="92:92" x14ac:dyDescent="0.3">
      <c r="CN6572">
        <v>6571</v>
      </c>
    </row>
    <row r="6573" spans="92:92" x14ac:dyDescent="0.3">
      <c r="CN6573">
        <v>6572</v>
      </c>
    </row>
    <row r="6574" spans="92:92" x14ac:dyDescent="0.3">
      <c r="CN6574">
        <v>6573</v>
      </c>
    </row>
    <row r="6575" spans="92:92" x14ac:dyDescent="0.3">
      <c r="CN6575">
        <v>6574</v>
      </c>
    </row>
    <row r="6576" spans="92:92" x14ac:dyDescent="0.3">
      <c r="CN6576">
        <v>6575</v>
      </c>
    </row>
    <row r="6577" spans="92:92" x14ac:dyDescent="0.3">
      <c r="CN6577">
        <v>6576</v>
      </c>
    </row>
    <row r="6578" spans="92:92" x14ac:dyDescent="0.3">
      <c r="CN6578">
        <v>6577</v>
      </c>
    </row>
    <row r="6579" spans="92:92" x14ac:dyDescent="0.3">
      <c r="CN6579">
        <v>6578</v>
      </c>
    </row>
    <row r="6580" spans="92:92" x14ac:dyDescent="0.3">
      <c r="CN6580">
        <v>6579</v>
      </c>
    </row>
    <row r="6581" spans="92:92" x14ac:dyDescent="0.3">
      <c r="CN6581">
        <v>6580</v>
      </c>
    </row>
    <row r="6582" spans="92:92" x14ac:dyDescent="0.3">
      <c r="CN6582">
        <v>6581</v>
      </c>
    </row>
    <row r="6583" spans="92:92" x14ac:dyDescent="0.3">
      <c r="CN6583">
        <v>6582</v>
      </c>
    </row>
    <row r="6584" spans="92:92" x14ac:dyDescent="0.3">
      <c r="CN6584">
        <v>6583</v>
      </c>
    </row>
    <row r="6585" spans="92:92" x14ac:dyDescent="0.3">
      <c r="CN6585">
        <v>6584</v>
      </c>
    </row>
    <row r="6586" spans="92:92" x14ac:dyDescent="0.3">
      <c r="CN6586">
        <v>6585</v>
      </c>
    </row>
    <row r="6587" spans="92:92" x14ac:dyDescent="0.3">
      <c r="CN6587">
        <v>6586</v>
      </c>
    </row>
    <row r="6588" spans="92:92" x14ac:dyDescent="0.3">
      <c r="CN6588">
        <v>6587</v>
      </c>
    </row>
    <row r="6589" spans="92:92" x14ac:dyDescent="0.3">
      <c r="CN6589">
        <v>6588</v>
      </c>
    </row>
    <row r="6590" spans="92:92" x14ac:dyDescent="0.3">
      <c r="CN6590">
        <v>6589</v>
      </c>
    </row>
    <row r="6591" spans="92:92" x14ac:dyDescent="0.3">
      <c r="CN6591">
        <v>6590</v>
      </c>
    </row>
    <row r="6592" spans="92:92" x14ac:dyDescent="0.3">
      <c r="CN6592">
        <v>6591</v>
      </c>
    </row>
    <row r="6593" spans="92:92" x14ac:dyDescent="0.3">
      <c r="CN6593">
        <v>6592</v>
      </c>
    </row>
    <row r="6594" spans="92:92" x14ac:dyDescent="0.3">
      <c r="CN6594">
        <v>6593</v>
      </c>
    </row>
    <row r="6595" spans="92:92" x14ac:dyDescent="0.3">
      <c r="CN6595">
        <v>6594</v>
      </c>
    </row>
    <row r="6596" spans="92:92" x14ac:dyDescent="0.3">
      <c r="CN6596">
        <v>6595</v>
      </c>
    </row>
    <row r="6597" spans="92:92" x14ac:dyDescent="0.3">
      <c r="CN6597">
        <v>6596</v>
      </c>
    </row>
    <row r="6598" spans="92:92" x14ac:dyDescent="0.3">
      <c r="CN6598">
        <v>6597</v>
      </c>
    </row>
    <row r="6599" spans="92:92" x14ac:dyDescent="0.3">
      <c r="CN6599">
        <v>6598</v>
      </c>
    </row>
    <row r="6600" spans="92:92" x14ac:dyDescent="0.3">
      <c r="CN6600">
        <v>6599</v>
      </c>
    </row>
    <row r="6601" spans="92:92" x14ac:dyDescent="0.3">
      <c r="CN6601">
        <v>6600</v>
      </c>
    </row>
    <row r="6602" spans="92:92" x14ac:dyDescent="0.3">
      <c r="CN6602">
        <v>6601</v>
      </c>
    </row>
    <row r="6603" spans="92:92" x14ac:dyDescent="0.3">
      <c r="CN6603">
        <v>6602</v>
      </c>
    </row>
    <row r="6604" spans="92:92" x14ac:dyDescent="0.3">
      <c r="CN6604">
        <v>6603</v>
      </c>
    </row>
    <row r="6605" spans="92:92" x14ac:dyDescent="0.3">
      <c r="CN6605">
        <v>6604</v>
      </c>
    </row>
    <row r="6606" spans="92:92" x14ac:dyDescent="0.3">
      <c r="CN6606">
        <v>6605</v>
      </c>
    </row>
    <row r="6607" spans="92:92" x14ac:dyDescent="0.3">
      <c r="CN6607">
        <v>6606</v>
      </c>
    </row>
    <row r="6608" spans="92:92" x14ac:dyDescent="0.3">
      <c r="CN6608">
        <v>6607</v>
      </c>
    </row>
    <row r="6609" spans="92:92" x14ac:dyDescent="0.3">
      <c r="CN6609">
        <v>6608</v>
      </c>
    </row>
    <row r="6610" spans="92:92" x14ac:dyDescent="0.3">
      <c r="CN6610">
        <v>6609</v>
      </c>
    </row>
    <row r="6611" spans="92:92" x14ac:dyDescent="0.3">
      <c r="CN6611">
        <v>6610</v>
      </c>
    </row>
    <row r="6612" spans="92:92" x14ac:dyDescent="0.3">
      <c r="CN6612">
        <v>6611</v>
      </c>
    </row>
    <row r="6613" spans="92:92" x14ac:dyDescent="0.3">
      <c r="CN6613">
        <v>6612</v>
      </c>
    </row>
    <row r="6614" spans="92:92" x14ac:dyDescent="0.3">
      <c r="CN6614">
        <v>6613</v>
      </c>
    </row>
    <row r="6615" spans="92:92" x14ac:dyDescent="0.3">
      <c r="CN6615">
        <v>6614</v>
      </c>
    </row>
    <row r="6616" spans="92:92" x14ac:dyDescent="0.3">
      <c r="CN6616">
        <v>6615</v>
      </c>
    </row>
    <row r="6617" spans="92:92" x14ac:dyDescent="0.3">
      <c r="CN6617">
        <v>6616</v>
      </c>
    </row>
    <row r="6618" spans="92:92" x14ac:dyDescent="0.3">
      <c r="CN6618">
        <v>6617</v>
      </c>
    </row>
    <row r="6619" spans="92:92" x14ac:dyDescent="0.3">
      <c r="CN6619">
        <v>6618</v>
      </c>
    </row>
    <row r="6620" spans="92:92" x14ac:dyDescent="0.3">
      <c r="CN6620">
        <v>6619</v>
      </c>
    </row>
    <row r="6621" spans="92:92" x14ac:dyDescent="0.3">
      <c r="CN6621">
        <v>6620</v>
      </c>
    </row>
    <row r="6622" spans="92:92" x14ac:dyDescent="0.3">
      <c r="CN6622">
        <v>6621</v>
      </c>
    </row>
    <row r="6623" spans="92:92" x14ac:dyDescent="0.3">
      <c r="CN6623">
        <v>6622</v>
      </c>
    </row>
    <row r="6624" spans="92:92" x14ac:dyDescent="0.3">
      <c r="CN6624">
        <v>6623</v>
      </c>
    </row>
    <row r="6625" spans="92:92" x14ac:dyDescent="0.3">
      <c r="CN6625">
        <v>6624</v>
      </c>
    </row>
    <row r="6626" spans="92:92" x14ac:dyDescent="0.3">
      <c r="CN6626">
        <v>6625</v>
      </c>
    </row>
    <row r="6627" spans="92:92" x14ac:dyDescent="0.3">
      <c r="CN6627">
        <v>6626</v>
      </c>
    </row>
    <row r="6628" spans="92:92" x14ac:dyDescent="0.3">
      <c r="CN6628">
        <v>6627</v>
      </c>
    </row>
    <row r="6629" spans="92:92" x14ac:dyDescent="0.3">
      <c r="CN6629">
        <v>6628</v>
      </c>
    </row>
    <row r="6630" spans="92:92" x14ac:dyDescent="0.3">
      <c r="CN6630">
        <v>6629</v>
      </c>
    </row>
    <row r="6631" spans="92:92" x14ac:dyDescent="0.3">
      <c r="CN6631">
        <v>6630</v>
      </c>
    </row>
    <row r="6632" spans="92:92" x14ac:dyDescent="0.3">
      <c r="CN6632">
        <v>6631</v>
      </c>
    </row>
    <row r="6633" spans="92:92" x14ac:dyDescent="0.3">
      <c r="CN6633">
        <v>6632</v>
      </c>
    </row>
    <row r="6634" spans="92:92" x14ac:dyDescent="0.3">
      <c r="CN6634">
        <v>6633</v>
      </c>
    </row>
    <row r="6635" spans="92:92" x14ac:dyDescent="0.3">
      <c r="CN6635">
        <v>6634</v>
      </c>
    </row>
    <row r="6636" spans="92:92" x14ac:dyDescent="0.3">
      <c r="CN6636">
        <v>6635</v>
      </c>
    </row>
    <row r="6637" spans="92:92" x14ac:dyDescent="0.3">
      <c r="CN6637">
        <v>6636</v>
      </c>
    </row>
    <row r="6638" spans="92:92" x14ac:dyDescent="0.3">
      <c r="CN6638">
        <v>6637</v>
      </c>
    </row>
    <row r="6639" spans="92:92" x14ac:dyDescent="0.3">
      <c r="CN6639">
        <v>6638</v>
      </c>
    </row>
    <row r="6640" spans="92:92" x14ac:dyDescent="0.3">
      <c r="CN6640">
        <v>6639</v>
      </c>
    </row>
    <row r="6641" spans="92:92" x14ac:dyDescent="0.3">
      <c r="CN6641">
        <v>6640</v>
      </c>
    </row>
    <row r="6642" spans="92:92" x14ac:dyDescent="0.3">
      <c r="CN6642">
        <v>6641</v>
      </c>
    </row>
    <row r="6643" spans="92:92" x14ac:dyDescent="0.3">
      <c r="CN6643">
        <v>6642</v>
      </c>
    </row>
    <row r="6644" spans="92:92" x14ac:dyDescent="0.3">
      <c r="CN6644">
        <v>6643</v>
      </c>
    </row>
    <row r="6645" spans="92:92" x14ac:dyDescent="0.3">
      <c r="CN6645">
        <v>6644</v>
      </c>
    </row>
    <row r="6646" spans="92:92" x14ac:dyDescent="0.3">
      <c r="CN6646">
        <v>6645</v>
      </c>
    </row>
    <row r="6647" spans="92:92" x14ac:dyDescent="0.3">
      <c r="CN6647">
        <v>6646</v>
      </c>
    </row>
    <row r="6648" spans="92:92" x14ac:dyDescent="0.3">
      <c r="CN6648">
        <v>6647</v>
      </c>
    </row>
    <row r="6649" spans="92:92" x14ac:dyDescent="0.3">
      <c r="CN6649">
        <v>6648</v>
      </c>
    </row>
    <row r="6650" spans="92:92" x14ac:dyDescent="0.3">
      <c r="CN6650">
        <v>6649</v>
      </c>
    </row>
    <row r="6651" spans="92:92" x14ac:dyDescent="0.3">
      <c r="CN6651">
        <v>6650</v>
      </c>
    </row>
    <row r="6652" spans="92:92" x14ac:dyDescent="0.3">
      <c r="CN6652">
        <v>6651</v>
      </c>
    </row>
    <row r="6653" spans="92:92" x14ac:dyDescent="0.3">
      <c r="CN6653">
        <v>6652</v>
      </c>
    </row>
    <row r="6654" spans="92:92" x14ac:dyDescent="0.3">
      <c r="CN6654">
        <v>6653</v>
      </c>
    </row>
    <row r="6655" spans="92:92" x14ac:dyDescent="0.3">
      <c r="CN6655">
        <v>6654</v>
      </c>
    </row>
    <row r="6656" spans="92:92" x14ac:dyDescent="0.3">
      <c r="CN6656">
        <v>6655</v>
      </c>
    </row>
    <row r="6657" spans="92:92" x14ac:dyDescent="0.3">
      <c r="CN6657">
        <v>6656</v>
      </c>
    </row>
    <row r="6658" spans="92:92" x14ac:dyDescent="0.3">
      <c r="CN6658">
        <v>6657</v>
      </c>
    </row>
    <row r="6659" spans="92:92" x14ac:dyDescent="0.3">
      <c r="CN6659">
        <v>6658</v>
      </c>
    </row>
    <row r="6660" spans="92:92" x14ac:dyDescent="0.3">
      <c r="CN6660">
        <v>6659</v>
      </c>
    </row>
    <row r="6661" spans="92:92" x14ac:dyDescent="0.3">
      <c r="CN6661">
        <v>6660</v>
      </c>
    </row>
    <row r="6662" spans="92:92" x14ac:dyDescent="0.3">
      <c r="CN6662">
        <v>6661</v>
      </c>
    </row>
    <row r="6663" spans="92:92" x14ac:dyDescent="0.3">
      <c r="CN6663">
        <v>6662</v>
      </c>
    </row>
    <row r="6664" spans="92:92" x14ac:dyDescent="0.3">
      <c r="CN6664">
        <v>6663</v>
      </c>
    </row>
    <row r="6665" spans="92:92" x14ac:dyDescent="0.3">
      <c r="CN6665">
        <v>6664</v>
      </c>
    </row>
    <row r="6666" spans="92:92" x14ac:dyDescent="0.3">
      <c r="CN6666">
        <v>6665</v>
      </c>
    </row>
    <row r="6667" spans="92:92" x14ac:dyDescent="0.3">
      <c r="CN6667">
        <v>6666</v>
      </c>
    </row>
    <row r="6668" spans="92:92" x14ac:dyDescent="0.3">
      <c r="CN6668">
        <v>6667</v>
      </c>
    </row>
    <row r="6669" spans="92:92" x14ac:dyDescent="0.3">
      <c r="CN6669">
        <v>6668</v>
      </c>
    </row>
    <row r="6670" spans="92:92" x14ac:dyDescent="0.3">
      <c r="CN6670">
        <v>6669</v>
      </c>
    </row>
    <row r="6671" spans="92:92" x14ac:dyDescent="0.3">
      <c r="CN6671">
        <v>6670</v>
      </c>
    </row>
    <row r="6672" spans="92:92" x14ac:dyDescent="0.3">
      <c r="CN6672">
        <v>6671</v>
      </c>
    </row>
    <row r="6673" spans="92:92" x14ac:dyDescent="0.3">
      <c r="CN6673">
        <v>6672</v>
      </c>
    </row>
    <row r="6674" spans="92:92" x14ac:dyDescent="0.3">
      <c r="CN6674">
        <v>6673</v>
      </c>
    </row>
    <row r="6675" spans="92:92" x14ac:dyDescent="0.3">
      <c r="CN6675">
        <v>6674</v>
      </c>
    </row>
    <row r="6676" spans="92:92" x14ac:dyDescent="0.3">
      <c r="CN6676">
        <v>6675</v>
      </c>
    </row>
    <row r="6677" spans="92:92" x14ac:dyDescent="0.3">
      <c r="CN6677">
        <v>6676</v>
      </c>
    </row>
    <row r="6678" spans="92:92" x14ac:dyDescent="0.3">
      <c r="CN6678">
        <v>6677</v>
      </c>
    </row>
    <row r="6679" spans="92:92" x14ac:dyDescent="0.3">
      <c r="CN6679">
        <v>6678</v>
      </c>
    </row>
    <row r="6680" spans="92:92" x14ac:dyDescent="0.3">
      <c r="CN6680">
        <v>6679</v>
      </c>
    </row>
    <row r="6681" spans="92:92" x14ac:dyDescent="0.3">
      <c r="CN6681">
        <v>6680</v>
      </c>
    </row>
    <row r="6682" spans="92:92" x14ac:dyDescent="0.3">
      <c r="CN6682">
        <v>6681</v>
      </c>
    </row>
    <row r="6683" spans="92:92" x14ac:dyDescent="0.3">
      <c r="CN6683">
        <v>6682</v>
      </c>
    </row>
    <row r="6684" spans="92:92" x14ac:dyDescent="0.3">
      <c r="CN6684">
        <v>6683</v>
      </c>
    </row>
    <row r="6685" spans="92:92" x14ac:dyDescent="0.3">
      <c r="CN6685">
        <v>6684</v>
      </c>
    </row>
    <row r="6686" spans="92:92" x14ac:dyDescent="0.3">
      <c r="CN6686">
        <v>6685</v>
      </c>
    </row>
    <row r="6687" spans="92:92" x14ac:dyDescent="0.3">
      <c r="CN6687">
        <v>6686</v>
      </c>
    </row>
    <row r="6688" spans="92:92" x14ac:dyDescent="0.3">
      <c r="CN6688">
        <v>6687</v>
      </c>
    </row>
    <row r="6689" spans="92:92" x14ac:dyDescent="0.3">
      <c r="CN6689">
        <v>6688</v>
      </c>
    </row>
    <row r="6690" spans="92:92" x14ac:dyDescent="0.3">
      <c r="CN6690">
        <v>6689</v>
      </c>
    </row>
    <row r="6691" spans="92:92" x14ac:dyDescent="0.3">
      <c r="CN6691">
        <v>6690</v>
      </c>
    </row>
    <row r="6692" spans="92:92" x14ac:dyDescent="0.3">
      <c r="CN6692">
        <v>6691</v>
      </c>
    </row>
    <row r="6693" spans="92:92" x14ac:dyDescent="0.3">
      <c r="CN6693">
        <v>6692</v>
      </c>
    </row>
    <row r="6694" spans="92:92" x14ac:dyDescent="0.3">
      <c r="CN6694">
        <v>6693</v>
      </c>
    </row>
    <row r="6695" spans="92:92" x14ac:dyDescent="0.3">
      <c r="CN6695">
        <v>6694</v>
      </c>
    </row>
    <row r="6696" spans="92:92" x14ac:dyDescent="0.3">
      <c r="CN6696">
        <v>6695</v>
      </c>
    </row>
    <row r="6697" spans="92:92" x14ac:dyDescent="0.3">
      <c r="CN6697">
        <v>6696</v>
      </c>
    </row>
    <row r="6698" spans="92:92" x14ac:dyDescent="0.3">
      <c r="CN6698">
        <v>6697</v>
      </c>
    </row>
    <row r="6699" spans="92:92" x14ac:dyDescent="0.3">
      <c r="CN6699">
        <v>6698</v>
      </c>
    </row>
    <row r="6700" spans="92:92" x14ac:dyDescent="0.3">
      <c r="CN6700">
        <v>6699</v>
      </c>
    </row>
    <row r="6701" spans="92:92" x14ac:dyDescent="0.3">
      <c r="CN6701">
        <v>6700</v>
      </c>
    </row>
    <row r="6702" spans="92:92" x14ac:dyDescent="0.3">
      <c r="CN6702">
        <v>6701</v>
      </c>
    </row>
    <row r="6703" spans="92:92" x14ac:dyDescent="0.3">
      <c r="CN6703">
        <v>6702</v>
      </c>
    </row>
    <row r="6704" spans="92:92" x14ac:dyDescent="0.3">
      <c r="CN6704">
        <v>6703</v>
      </c>
    </row>
    <row r="6705" spans="92:92" x14ac:dyDescent="0.3">
      <c r="CN6705">
        <v>6704</v>
      </c>
    </row>
    <row r="6706" spans="92:92" x14ac:dyDescent="0.3">
      <c r="CN6706">
        <v>6705</v>
      </c>
    </row>
    <row r="6707" spans="92:92" x14ac:dyDescent="0.3">
      <c r="CN6707">
        <v>6706</v>
      </c>
    </row>
    <row r="6708" spans="92:92" x14ac:dyDescent="0.3">
      <c r="CN6708">
        <v>6707</v>
      </c>
    </row>
    <row r="6709" spans="92:92" x14ac:dyDescent="0.3">
      <c r="CN6709">
        <v>6708</v>
      </c>
    </row>
    <row r="6710" spans="92:92" x14ac:dyDescent="0.3">
      <c r="CN6710">
        <v>6709</v>
      </c>
    </row>
    <row r="6711" spans="92:92" x14ac:dyDescent="0.3">
      <c r="CN6711">
        <v>6710</v>
      </c>
    </row>
    <row r="6712" spans="92:92" x14ac:dyDescent="0.3">
      <c r="CN6712">
        <v>6711</v>
      </c>
    </row>
    <row r="6713" spans="92:92" x14ac:dyDescent="0.3">
      <c r="CN6713">
        <v>6712</v>
      </c>
    </row>
    <row r="6714" spans="92:92" x14ac:dyDescent="0.3">
      <c r="CN6714">
        <v>6713</v>
      </c>
    </row>
    <row r="6715" spans="92:92" x14ac:dyDescent="0.3">
      <c r="CN6715">
        <v>6714</v>
      </c>
    </row>
    <row r="6716" spans="92:92" x14ac:dyDescent="0.3">
      <c r="CN6716">
        <v>6715</v>
      </c>
    </row>
    <row r="6717" spans="92:92" x14ac:dyDescent="0.3">
      <c r="CN6717">
        <v>6716</v>
      </c>
    </row>
    <row r="6718" spans="92:92" x14ac:dyDescent="0.3">
      <c r="CN6718">
        <v>6717</v>
      </c>
    </row>
    <row r="6719" spans="92:92" x14ac:dyDescent="0.3">
      <c r="CN6719">
        <v>6718</v>
      </c>
    </row>
    <row r="6720" spans="92:92" x14ac:dyDescent="0.3">
      <c r="CN6720">
        <v>6719</v>
      </c>
    </row>
    <row r="6721" spans="92:92" x14ac:dyDescent="0.3">
      <c r="CN6721">
        <v>6720</v>
      </c>
    </row>
    <row r="6722" spans="92:92" x14ac:dyDescent="0.3">
      <c r="CN6722">
        <v>6721</v>
      </c>
    </row>
    <row r="6723" spans="92:92" x14ac:dyDescent="0.3">
      <c r="CN6723">
        <v>6722</v>
      </c>
    </row>
    <row r="6724" spans="92:92" x14ac:dyDescent="0.3">
      <c r="CN6724">
        <v>6723</v>
      </c>
    </row>
    <row r="6725" spans="92:92" x14ac:dyDescent="0.3">
      <c r="CN6725">
        <v>6724</v>
      </c>
    </row>
    <row r="6726" spans="92:92" x14ac:dyDescent="0.3">
      <c r="CN6726">
        <v>6725</v>
      </c>
    </row>
    <row r="6727" spans="92:92" x14ac:dyDescent="0.3">
      <c r="CN6727">
        <v>6726</v>
      </c>
    </row>
    <row r="6728" spans="92:92" x14ac:dyDescent="0.3">
      <c r="CN6728">
        <v>6727</v>
      </c>
    </row>
    <row r="6729" spans="92:92" x14ac:dyDescent="0.3">
      <c r="CN6729">
        <v>6728</v>
      </c>
    </row>
    <row r="6730" spans="92:92" x14ac:dyDescent="0.3">
      <c r="CN6730">
        <v>6729</v>
      </c>
    </row>
    <row r="6731" spans="92:92" x14ac:dyDescent="0.3">
      <c r="CN6731">
        <v>6730</v>
      </c>
    </row>
    <row r="6732" spans="92:92" x14ac:dyDescent="0.3">
      <c r="CN6732">
        <v>6731</v>
      </c>
    </row>
    <row r="6733" spans="92:92" x14ac:dyDescent="0.3">
      <c r="CN6733">
        <v>6732</v>
      </c>
    </row>
    <row r="6734" spans="92:92" x14ac:dyDescent="0.3">
      <c r="CN6734">
        <v>6733</v>
      </c>
    </row>
    <row r="6735" spans="92:92" x14ac:dyDescent="0.3">
      <c r="CN6735">
        <v>6734</v>
      </c>
    </row>
    <row r="6736" spans="92:92" x14ac:dyDescent="0.3">
      <c r="CN6736">
        <v>6735</v>
      </c>
    </row>
    <row r="6737" spans="92:92" x14ac:dyDescent="0.3">
      <c r="CN6737">
        <v>6736</v>
      </c>
    </row>
    <row r="6738" spans="92:92" x14ac:dyDescent="0.3">
      <c r="CN6738">
        <v>6737</v>
      </c>
    </row>
    <row r="6739" spans="92:92" x14ac:dyDescent="0.3">
      <c r="CN6739">
        <v>6738</v>
      </c>
    </row>
    <row r="6740" spans="92:92" x14ac:dyDescent="0.3">
      <c r="CN6740">
        <v>6739</v>
      </c>
    </row>
    <row r="6741" spans="92:92" x14ac:dyDescent="0.3">
      <c r="CN6741">
        <v>6740</v>
      </c>
    </row>
    <row r="6742" spans="92:92" x14ac:dyDescent="0.3">
      <c r="CN6742">
        <v>6741</v>
      </c>
    </row>
    <row r="6743" spans="92:92" x14ac:dyDescent="0.3">
      <c r="CN6743">
        <v>6742</v>
      </c>
    </row>
    <row r="6744" spans="92:92" x14ac:dyDescent="0.3">
      <c r="CN6744">
        <v>6743</v>
      </c>
    </row>
    <row r="6745" spans="92:92" x14ac:dyDescent="0.3">
      <c r="CN6745">
        <v>6744</v>
      </c>
    </row>
    <row r="6746" spans="92:92" x14ac:dyDescent="0.3">
      <c r="CN6746">
        <v>6745</v>
      </c>
    </row>
    <row r="6747" spans="92:92" x14ac:dyDescent="0.3">
      <c r="CN6747">
        <v>6746</v>
      </c>
    </row>
    <row r="6748" spans="92:92" x14ac:dyDescent="0.3">
      <c r="CN6748">
        <v>6747</v>
      </c>
    </row>
    <row r="6749" spans="92:92" x14ac:dyDescent="0.3">
      <c r="CN6749">
        <v>6748</v>
      </c>
    </row>
    <row r="6750" spans="92:92" x14ac:dyDescent="0.3">
      <c r="CN6750">
        <v>6749</v>
      </c>
    </row>
    <row r="6751" spans="92:92" x14ac:dyDescent="0.3">
      <c r="CN6751">
        <v>6750</v>
      </c>
    </row>
    <row r="6752" spans="92:92" x14ac:dyDescent="0.3">
      <c r="CN6752">
        <v>6751</v>
      </c>
    </row>
    <row r="6753" spans="92:92" x14ac:dyDescent="0.3">
      <c r="CN6753">
        <v>6752</v>
      </c>
    </row>
    <row r="6754" spans="92:92" x14ac:dyDescent="0.3">
      <c r="CN6754">
        <v>6753</v>
      </c>
    </row>
    <row r="6755" spans="92:92" x14ac:dyDescent="0.3">
      <c r="CN6755">
        <v>6754</v>
      </c>
    </row>
    <row r="6756" spans="92:92" x14ac:dyDescent="0.3">
      <c r="CN6756">
        <v>6755</v>
      </c>
    </row>
    <row r="6757" spans="92:92" x14ac:dyDescent="0.3">
      <c r="CN6757">
        <v>6756</v>
      </c>
    </row>
    <row r="6758" spans="92:92" x14ac:dyDescent="0.3">
      <c r="CN6758">
        <v>6757</v>
      </c>
    </row>
    <row r="6759" spans="92:92" x14ac:dyDescent="0.3">
      <c r="CN6759">
        <v>6758</v>
      </c>
    </row>
    <row r="6760" spans="92:92" x14ac:dyDescent="0.3">
      <c r="CN6760">
        <v>6759</v>
      </c>
    </row>
    <row r="6761" spans="92:92" x14ac:dyDescent="0.3">
      <c r="CN6761">
        <v>6760</v>
      </c>
    </row>
    <row r="6762" spans="92:92" x14ac:dyDescent="0.3">
      <c r="CN6762">
        <v>6761</v>
      </c>
    </row>
    <row r="6763" spans="92:92" x14ac:dyDescent="0.3">
      <c r="CN6763">
        <v>6762</v>
      </c>
    </row>
    <row r="6764" spans="92:92" x14ac:dyDescent="0.3">
      <c r="CN6764">
        <v>6763</v>
      </c>
    </row>
    <row r="6765" spans="92:92" x14ac:dyDescent="0.3">
      <c r="CN6765">
        <v>6764</v>
      </c>
    </row>
    <row r="6766" spans="92:92" x14ac:dyDescent="0.3">
      <c r="CN6766">
        <v>6765</v>
      </c>
    </row>
    <row r="6767" spans="92:92" x14ac:dyDescent="0.3">
      <c r="CN6767">
        <v>6766</v>
      </c>
    </row>
    <row r="6768" spans="92:92" x14ac:dyDescent="0.3">
      <c r="CN6768">
        <v>6767</v>
      </c>
    </row>
    <row r="6769" spans="92:92" x14ac:dyDescent="0.3">
      <c r="CN6769">
        <v>6768</v>
      </c>
    </row>
    <row r="6770" spans="92:92" x14ac:dyDescent="0.3">
      <c r="CN6770">
        <v>6769</v>
      </c>
    </row>
    <row r="6771" spans="92:92" x14ac:dyDescent="0.3">
      <c r="CN6771">
        <v>6770</v>
      </c>
    </row>
    <row r="6772" spans="92:92" x14ac:dyDescent="0.3">
      <c r="CN6772">
        <v>6771</v>
      </c>
    </row>
    <row r="6773" spans="92:92" x14ac:dyDescent="0.3">
      <c r="CN6773">
        <v>6772</v>
      </c>
    </row>
    <row r="6774" spans="92:92" x14ac:dyDescent="0.3">
      <c r="CN6774">
        <v>6773</v>
      </c>
    </row>
    <row r="6775" spans="92:92" x14ac:dyDescent="0.3">
      <c r="CN6775">
        <v>6774</v>
      </c>
    </row>
    <row r="6776" spans="92:92" x14ac:dyDescent="0.3">
      <c r="CN6776">
        <v>6775</v>
      </c>
    </row>
    <row r="6777" spans="92:92" x14ac:dyDescent="0.3">
      <c r="CN6777">
        <v>6776</v>
      </c>
    </row>
    <row r="6778" spans="92:92" x14ac:dyDescent="0.3">
      <c r="CN6778">
        <v>6777</v>
      </c>
    </row>
    <row r="6779" spans="92:92" x14ac:dyDescent="0.3">
      <c r="CN6779">
        <v>6778</v>
      </c>
    </row>
    <row r="6780" spans="92:92" x14ac:dyDescent="0.3">
      <c r="CN6780">
        <v>6779</v>
      </c>
    </row>
    <row r="6781" spans="92:92" x14ac:dyDescent="0.3">
      <c r="CN6781">
        <v>6780</v>
      </c>
    </row>
    <row r="6782" spans="92:92" x14ac:dyDescent="0.3">
      <c r="CN6782">
        <v>6781</v>
      </c>
    </row>
    <row r="6783" spans="92:92" x14ac:dyDescent="0.3">
      <c r="CN6783">
        <v>6782</v>
      </c>
    </row>
    <row r="6784" spans="92:92" x14ac:dyDescent="0.3">
      <c r="CN6784">
        <v>6783</v>
      </c>
    </row>
    <row r="6785" spans="92:92" x14ac:dyDescent="0.3">
      <c r="CN6785">
        <v>6784</v>
      </c>
    </row>
    <row r="6786" spans="92:92" x14ac:dyDescent="0.3">
      <c r="CN6786">
        <v>6785</v>
      </c>
    </row>
    <row r="6787" spans="92:92" x14ac:dyDescent="0.3">
      <c r="CN6787">
        <v>6786</v>
      </c>
    </row>
    <row r="6788" spans="92:92" x14ac:dyDescent="0.3">
      <c r="CN6788">
        <v>6787</v>
      </c>
    </row>
    <row r="6789" spans="92:92" x14ac:dyDescent="0.3">
      <c r="CN6789">
        <v>6788</v>
      </c>
    </row>
    <row r="6790" spans="92:92" x14ac:dyDescent="0.3">
      <c r="CN6790">
        <v>6789</v>
      </c>
    </row>
    <row r="6791" spans="92:92" x14ac:dyDescent="0.3">
      <c r="CN6791">
        <v>6790</v>
      </c>
    </row>
    <row r="6792" spans="92:92" x14ac:dyDescent="0.3">
      <c r="CN6792">
        <v>6791</v>
      </c>
    </row>
    <row r="6793" spans="92:92" x14ac:dyDescent="0.3">
      <c r="CN6793">
        <v>6792</v>
      </c>
    </row>
    <row r="6794" spans="92:92" x14ac:dyDescent="0.3">
      <c r="CN6794">
        <v>6793</v>
      </c>
    </row>
    <row r="6795" spans="92:92" x14ac:dyDescent="0.3">
      <c r="CN6795">
        <v>6794</v>
      </c>
    </row>
    <row r="6796" spans="92:92" x14ac:dyDescent="0.3">
      <c r="CN6796">
        <v>6795</v>
      </c>
    </row>
    <row r="6797" spans="92:92" x14ac:dyDescent="0.3">
      <c r="CN6797">
        <v>6796</v>
      </c>
    </row>
    <row r="6798" spans="92:92" x14ac:dyDescent="0.3">
      <c r="CN6798">
        <v>6797</v>
      </c>
    </row>
    <row r="6799" spans="92:92" x14ac:dyDescent="0.3">
      <c r="CN6799">
        <v>6798</v>
      </c>
    </row>
    <row r="6800" spans="92:92" x14ac:dyDescent="0.3">
      <c r="CN6800">
        <v>6799</v>
      </c>
    </row>
    <row r="6801" spans="92:92" x14ac:dyDescent="0.3">
      <c r="CN6801">
        <v>6800</v>
      </c>
    </row>
    <row r="6802" spans="92:92" x14ac:dyDescent="0.3">
      <c r="CN6802">
        <v>6801</v>
      </c>
    </row>
    <row r="6803" spans="92:92" x14ac:dyDescent="0.3">
      <c r="CN6803">
        <v>6802</v>
      </c>
    </row>
    <row r="6804" spans="92:92" x14ac:dyDescent="0.3">
      <c r="CN6804">
        <v>6803</v>
      </c>
    </row>
    <row r="6805" spans="92:92" x14ac:dyDescent="0.3">
      <c r="CN6805">
        <v>6804</v>
      </c>
    </row>
    <row r="6806" spans="92:92" x14ac:dyDescent="0.3">
      <c r="CN6806">
        <v>6805</v>
      </c>
    </row>
    <row r="6807" spans="92:92" x14ac:dyDescent="0.3">
      <c r="CN6807">
        <v>6806</v>
      </c>
    </row>
    <row r="6808" spans="92:92" x14ac:dyDescent="0.3">
      <c r="CN6808">
        <v>6807</v>
      </c>
    </row>
    <row r="6809" spans="92:92" x14ac:dyDescent="0.3">
      <c r="CN6809">
        <v>6808</v>
      </c>
    </row>
    <row r="6810" spans="92:92" x14ac:dyDescent="0.3">
      <c r="CN6810">
        <v>6809</v>
      </c>
    </row>
    <row r="6811" spans="92:92" x14ac:dyDescent="0.3">
      <c r="CN6811">
        <v>6810</v>
      </c>
    </row>
    <row r="6812" spans="92:92" x14ac:dyDescent="0.3">
      <c r="CN6812">
        <v>6811</v>
      </c>
    </row>
    <row r="6813" spans="92:92" x14ac:dyDescent="0.3">
      <c r="CN6813">
        <v>6812</v>
      </c>
    </row>
    <row r="6814" spans="92:92" x14ac:dyDescent="0.3">
      <c r="CN6814">
        <v>6813</v>
      </c>
    </row>
    <row r="6815" spans="92:92" x14ac:dyDescent="0.3">
      <c r="CN6815">
        <v>6814</v>
      </c>
    </row>
    <row r="6816" spans="92:92" x14ac:dyDescent="0.3">
      <c r="CN6816">
        <v>6815</v>
      </c>
    </row>
    <row r="6817" spans="92:92" x14ac:dyDescent="0.3">
      <c r="CN6817">
        <v>6816</v>
      </c>
    </row>
    <row r="6818" spans="92:92" x14ac:dyDescent="0.3">
      <c r="CN6818">
        <v>6817</v>
      </c>
    </row>
    <row r="6819" spans="92:92" x14ac:dyDescent="0.3">
      <c r="CN6819">
        <v>6818</v>
      </c>
    </row>
    <row r="6820" spans="92:92" x14ac:dyDescent="0.3">
      <c r="CN6820">
        <v>6819</v>
      </c>
    </row>
    <row r="6821" spans="92:92" x14ac:dyDescent="0.3">
      <c r="CN6821">
        <v>6820</v>
      </c>
    </row>
    <row r="6822" spans="92:92" x14ac:dyDescent="0.3">
      <c r="CN6822">
        <v>6821</v>
      </c>
    </row>
    <row r="6823" spans="92:92" x14ac:dyDescent="0.3">
      <c r="CN6823">
        <v>6822</v>
      </c>
    </row>
    <row r="6824" spans="92:92" x14ac:dyDescent="0.3">
      <c r="CN6824">
        <v>6823</v>
      </c>
    </row>
    <row r="6825" spans="92:92" x14ac:dyDescent="0.3">
      <c r="CN6825">
        <v>6824</v>
      </c>
    </row>
    <row r="6826" spans="92:92" x14ac:dyDescent="0.3">
      <c r="CN6826">
        <v>6825</v>
      </c>
    </row>
    <row r="6827" spans="92:92" x14ac:dyDescent="0.3">
      <c r="CN6827">
        <v>6826</v>
      </c>
    </row>
    <row r="6828" spans="92:92" x14ac:dyDescent="0.3">
      <c r="CN6828">
        <v>6827</v>
      </c>
    </row>
    <row r="6829" spans="92:92" x14ac:dyDescent="0.3">
      <c r="CN6829">
        <v>6828</v>
      </c>
    </row>
    <row r="6830" spans="92:92" x14ac:dyDescent="0.3">
      <c r="CN6830">
        <v>6829</v>
      </c>
    </row>
    <row r="6831" spans="92:92" x14ac:dyDescent="0.3">
      <c r="CN6831">
        <v>6830</v>
      </c>
    </row>
    <row r="6832" spans="92:92" x14ac:dyDescent="0.3">
      <c r="CN6832">
        <v>6831</v>
      </c>
    </row>
    <row r="6833" spans="92:92" x14ac:dyDescent="0.3">
      <c r="CN6833">
        <v>6832</v>
      </c>
    </row>
    <row r="6834" spans="92:92" x14ac:dyDescent="0.3">
      <c r="CN6834">
        <v>6833</v>
      </c>
    </row>
    <row r="6835" spans="92:92" x14ac:dyDescent="0.3">
      <c r="CN6835">
        <v>6834</v>
      </c>
    </row>
    <row r="6836" spans="92:92" x14ac:dyDescent="0.3">
      <c r="CN6836">
        <v>6835</v>
      </c>
    </row>
    <row r="6837" spans="92:92" x14ac:dyDescent="0.3">
      <c r="CN6837">
        <v>6836</v>
      </c>
    </row>
    <row r="6838" spans="92:92" x14ac:dyDescent="0.3">
      <c r="CN6838">
        <v>6837</v>
      </c>
    </row>
    <row r="6839" spans="92:92" x14ac:dyDescent="0.3">
      <c r="CN6839">
        <v>6838</v>
      </c>
    </row>
    <row r="6840" spans="92:92" x14ac:dyDescent="0.3">
      <c r="CN6840">
        <v>6839</v>
      </c>
    </row>
    <row r="6841" spans="92:92" x14ac:dyDescent="0.3">
      <c r="CN6841">
        <v>6840</v>
      </c>
    </row>
    <row r="6842" spans="92:92" x14ac:dyDescent="0.3">
      <c r="CN6842">
        <v>6841</v>
      </c>
    </row>
    <row r="6843" spans="92:92" x14ac:dyDescent="0.3">
      <c r="CN6843">
        <v>6842</v>
      </c>
    </row>
    <row r="6844" spans="92:92" x14ac:dyDescent="0.3">
      <c r="CN6844">
        <v>6843</v>
      </c>
    </row>
    <row r="6845" spans="92:92" x14ac:dyDescent="0.3">
      <c r="CN6845">
        <v>6844</v>
      </c>
    </row>
    <row r="6846" spans="92:92" x14ac:dyDescent="0.3">
      <c r="CN6846">
        <v>6845</v>
      </c>
    </row>
    <row r="6847" spans="92:92" x14ac:dyDescent="0.3">
      <c r="CN6847">
        <v>6846</v>
      </c>
    </row>
    <row r="6848" spans="92:92" x14ac:dyDescent="0.3">
      <c r="CN6848">
        <v>6847</v>
      </c>
    </row>
    <row r="6849" spans="92:92" x14ac:dyDescent="0.3">
      <c r="CN6849">
        <v>6848</v>
      </c>
    </row>
    <row r="6850" spans="92:92" x14ac:dyDescent="0.3">
      <c r="CN6850">
        <v>6849</v>
      </c>
    </row>
    <row r="6851" spans="92:92" x14ac:dyDescent="0.3">
      <c r="CN6851">
        <v>6850</v>
      </c>
    </row>
    <row r="6852" spans="92:92" x14ac:dyDescent="0.3">
      <c r="CN6852">
        <v>6851</v>
      </c>
    </row>
    <row r="6853" spans="92:92" x14ac:dyDescent="0.3">
      <c r="CN6853">
        <v>6852</v>
      </c>
    </row>
    <row r="6854" spans="92:92" x14ac:dyDescent="0.3">
      <c r="CN6854">
        <v>6853</v>
      </c>
    </row>
    <row r="6855" spans="92:92" x14ac:dyDescent="0.3">
      <c r="CN6855">
        <v>6854</v>
      </c>
    </row>
    <row r="6856" spans="92:92" x14ac:dyDescent="0.3">
      <c r="CN6856">
        <v>6855</v>
      </c>
    </row>
    <row r="6857" spans="92:92" x14ac:dyDescent="0.3">
      <c r="CN6857">
        <v>6856</v>
      </c>
    </row>
    <row r="6858" spans="92:92" x14ac:dyDescent="0.3">
      <c r="CN6858">
        <v>6857</v>
      </c>
    </row>
    <row r="6859" spans="92:92" x14ac:dyDescent="0.3">
      <c r="CN6859">
        <v>6858</v>
      </c>
    </row>
    <row r="6860" spans="92:92" x14ac:dyDescent="0.3">
      <c r="CN6860">
        <v>6859</v>
      </c>
    </row>
    <row r="6861" spans="92:92" x14ac:dyDescent="0.3">
      <c r="CN6861">
        <v>6860</v>
      </c>
    </row>
    <row r="6862" spans="92:92" x14ac:dyDescent="0.3">
      <c r="CN6862">
        <v>6861</v>
      </c>
    </row>
    <row r="6863" spans="92:92" x14ac:dyDescent="0.3">
      <c r="CN6863">
        <v>6862</v>
      </c>
    </row>
    <row r="6864" spans="92:92" x14ac:dyDescent="0.3">
      <c r="CN6864">
        <v>6863</v>
      </c>
    </row>
    <row r="6865" spans="92:92" x14ac:dyDescent="0.3">
      <c r="CN6865">
        <v>6864</v>
      </c>
    </row>
    <row r="6866" spans="92:92" x14ac:dyDescent="0.3">
      <c r="CN6866">
        <v>6865</v>
      </c>
    </row>
    <row r="6867" spans="92:92" x14ac:dyDescent="0.3">
      <c r="CN6867">
        <v>6866</v>
      </c>
    </row>
    <row r="6868" spans="92:92" x14ac:dyDescent="0.3">
      <c r="CN6868">
        <v>6867</v>
      </c>
    </row>
    <row r="6869" spans="92:92" x14ac:dyDescent="0.3">
      <c r="CN6869">
        <v>6868</v>
      </c>
    </row>
    <row r="6870" spans="92:92" x14ac:dyDescent="0.3">
      <c r="CN6870">
        <v>6869</v>
      </c>
    </row>
    <row r="6871" spans="92:92" x14ac:dyDescent="0.3">
      <c r="CN6871">
        <v>6870</v>
      </c>
    </row>
    <row r="6872" spans="92:92" x14ac:dyDescent="0.3">
      <c r="CN6872">
        <v>6871</v>
      </c>
    </row>
    <row r="6873" spans="92:92" x14ac:dyDescent="0.3">
      <c r="CN6873">
        <v>6872</v>
      </c>
    </row>
    <row r="6874" spans="92:92" x14ac:dyDescent="0.3">
      <c r="CN6874">
        <v>6873</v>
      </c>
    </row>
    <row r="6875" spans="92:92" x14ac:dyDescent="0.3">
      <c r="CN6875">
        <v>6874</v>
      </c>
    </row>
    <row r="6876" spans="92:92" x14ac:dyDescent="0.3">
      <c r="CN6876">
        <v>6875</v>
      </c>
    </row>
    <row r="6877" spans="92:92" x14ac:dyDescent="0.3">
      <c r="CN6877">
        <v>6876</v>
      </c>
    </row>
    <row r="6878" spans="92:92" x14ac:dyDescent="0.3">
      <c r="CN6878">
        <v>6877</v>
      </c>
    </row>
    <row r="6879" spans="92:92" x14ac:dyDescent="0.3">
      <c r="CN6879">
        <v>6878</v>
      </c>
    </row>
    <row r="6880" spans="92:92" x14ac:dyDescent="0.3">
      <c r="CN6880">
        <v>6879</v>
      </c>
    </row>
    <row r="6881" spans="92:92" x14ac:dyDescent="0.3">
      <c r="CN6881">
        <v>6880</v>
      </c>
    </row>
    <row r="6882" spans="92:92" x14ac:dyDescent="0.3">
      <c r="CN6882">
        <v>6881</v>
      </c>
    </row>
    <row r="6883" spans="92:92" x14ac:dyDescent="0.3">
      <c r="CN6883">
        <v>6882</v>
      </c>
    </row>
    <row r="6884" spans="92:92" x14ac:dyDescent="0.3">
      <c r="CN6884">
        <v>6883</v>
      </c>
    </row>
    <row r="6885" spans="92:92" x14ac:dyDescent="0.3">
      <c r="CN6885">
        <v>6884</v>
      </c>
    </row>
    <row r="6886" spans="92:92" x14ac:dyDescent="0.3">
      <c r="CN6886">
        <v>6885</v>
      </c>
    </row>
    <row r="6887" spans="92:92" x14ac:dyDescent="0.3">
      <c r="CN6887">
        <v>6886</v>
      </c>
    </row>
    <row r="6888" spans="92:92" x14ac:dyDescent="0.3">
      <c r="CN6888">
        <v>6887</v>
      </c>
    </row>
    <row r="6889" spans="92:92" x14ac:dyDescent="0.3">
      <c r="CN6889">
        <v>6888</v>
      </c>
    </row>
    <row r="6890" spans="92:92" x14ac:dyDescent="0.3">
      <c r="CN6890">
        <v>6889</v>
      </c>
    </row>
    <row r="6891" spans="92:92" x14ac:dyDescent="0.3">
      <c r="CN6891">
        <v>6890</v>
      </c>
    </row>
    <row r="6892" spans="92:92" x14ac:dyDescent="0.3">
      <c r="CN6892">
        <v>6891</v>
      </c>
    </row>
    <row r="6893" spans="92:92" x14ac:dyDescent="0.3">
      <c r="CN6893">
        <v>6892</v>
      </c>
    </row>
    <row r="6894" spans="92:92" x14ac:dyDescent="0.3">
      <c r="CN6894">
        <v>6893</v>
      </c>
    </row>
    <row r="6895" spans="92:92" x14ac:dyDescent="0.3">
      <c r="CN6895">
        <v>6894</v>
      </c>
    </row>
    <row r="6896" spans="92:92" x14ac:dyDescent="0.3">
      <c r="CN6896">
        <v>6895</v>
      </c>
    </row>
    <row r="6897" spans="92:92" x14ac:dyDescent="0.3">
      <c r="CN6897">
        <v>6896</v>
      </c>
    </row>
    <row r="6898" spans="92:92" x14ac:dyDescent="0.3">
      <c r="CN6898">
        <v>6897</v>
      </c>
    </row>
    <row r="6899" spans="92:92" x14ac:dyDescent="0.3">
      <c r="CN6899">
        <v>6898</v>
      </c>
    </row>
    <row r="6900" spans="92:92" x14ac:dyDescent="0.3">
      <c r="CN6900">
        <v>6899</v>
      </c>
    </row>
    <row r="6901" spans="92:92" x14ac:dyDescent="0.3">
      <c r="CN6901">
        <v>6900</v>
      </c>
    </row>
    <row r="6902" spans="92:92" x14ac:dyDescent="0.3">
      <c r="CN6902">
        <v>6901</v>
      </c>
    </row>
    <row r="6903" spans="92:92" x14ac:dyDescent="0.3">
      <c r="CN6903">
        <v>6902</v>
      </c>
    </row>
    <row r="6904" spans="92:92" x14ac:dyDescent="0.3">
      <c r="CN6904">
        <v>6903</v>
      </c>
    </row>
    <row r="6905" spans="92:92" x14ac:dyDescent="0.3">
      <c r="CN6905">
        <v>6904</v>
      </c>
    </row>
    <row r="6906" spans="92:92" x14ac:dyDescent="0.3">
      <c r="CN6906">
        <v>6905</v>
      </c>
    </row>
    <row r="6907" spans="92:92" x14ac:dyDescent="0.3">
      <c r="CN6907">
        <v>6906</v>
      </c>
    </row>
    <row r="6908" spans="92:92" x14ac:dyDescent="0.3">
      <c r="CN6908">
        <v>6907</v>
      </c>
    </row>
    <row r="6909" spans="92:92" x14ac:dyDescent="0.3">
      <c r="CN6909">
        <v>6908</v>
      </c>
    </row>
    <row r="6910" spans="92:92" x14ac:dyDescent="0.3">
      <c r="CN6910">
        <v>6909</v>
      </c>
    </row>
    <row r="6911" spans="92:92" x14ac:dyDescent="0.3">
      <c r="CN6911">
        <v>6910</v>
      </c>
    </row>
    <row r="6912" spans="92:92" x14ac:dyDescent="0.3">
      <c r="CN6912">
        <v>6911</v>
      </c>
    </row>
    <row r="6913" spans="92:92" x14ac:dyDescent="0.3">
      <c r="CN6913">
        <v>6912</v>
      </c>
    </row>
    <row r="6914" spans="92:92" x14ac:dyDescent="0.3">
      <c r="CN6914">
        <v>6913</v>
      </c>
    </row>
    <row r="6915" spans="92:92" x14ac:dyDescent="0.3">
      <c r="CN6915">
        <v>6914</v>
      </c>
    </row>
    <row r="6916" spans="92:92" x14ac:dyDescent="0.3">
      <c r="CN6916">
        <v>6915</v>
      </c>
    </row>
    <row r="6917" spans="92:92" x14ac:dyDescent="0.3">
      <c r="CN6917">
        <v>6916</v>
      </c>
    </row>
    <row r="6918" spans="92:92" x14ac:dyDescent="0.3">
      <c r="CN6918">
        <v>6917</v>
      </c>
    </row>
    <row r="6919" spans="92:92" x14ac:dyDescent="0.3">
      <c r="CN6919">
        <v>6918</v>
      </c>
    </row>
    <row r="6920" spans="92:92" x14ac:dyDescent="0.3">
      <c r="CN6920">
        <v>6919</v>
      </c>
    </row>
    <row r="6921" spans="92:92" x14ac:dyDescent="0.3">
      <c r="CN6921">
        <v>6920</v>
      </c>
    </row>
    <row r="6922" spans="92:92" x14ac:dyDescent="0.3">
      <c r="CN6922">
        <v>6921</v>
      </c>
    </row>
    <row r="6923" spans="92:92" x14ac:dyDescent="0.3">
      <c r="CN6923">
        <v>6922</v>
      </c>
    </row>
    <row r="6924" spans="92:92" x14ac:dyDescent="0.3">
      <c r="CN6924">
        <v>6923</v>
      </c>
    </row>
    <row r="6925" spans="92:92" x14ac:dyDescent="0.3">
      <c r="CN6925">
        <v>6924</v>
      </c>
    </row>
    <row r="6926" spans="92:92" x14ac:dyDescent="0.3">
      <c r="CN6926">
        <v>6925</v>
      </c>
    </row>
    <row r="6927" spans="92:92" x14ac:dyDescent="0.3">
      <c r="CN6927">
        <v>6926</v>
      </c>
    </row>
    <row r="6928" spans="92:92" x14ac:dyDescent="0.3">
      <c r="CN6928">
        <v>6927</v>
      </c>
    </row>
    <row r="6929" spans="92:92" x14ac:dyDescent="0.3">
      <c r="CN6929">
        <v>6928</v>
      </c>
    </row>
    <row r="6930" spans="92:92" x14ac:dyDescent="0.3">
      <c r="CN6930">
        <v>6929</v>
      </c>
    </row>
    <row r="6931" spans="92:92" x14ac:dyDescent="0.3">
      <c r="CN6931">
        <v>6930</v>
      </c>
    </row>
    <row r="6932" spans="92:92" x14ac:dyDescent="0.3">
      <c r="CN6932">
        <v>6931</v>
      </c>
    </row>
    <row r="6933" spans="92:92" x14ac:dyDescent="0.3">
      <c r="CN6933">
        <v>6932</v>
      </c>
    </row>
    <row r="6934" spans="92:92" x14ac:dyDescent="0.3">
      <c r="CN6934">
        <v>6933</v>
      </c>
    </row>
    <row r="6935" spans="92:92" x14ac:dyDescent="0.3">
      <c r="CN6935">
        <v>6934</v>
      </c>
    </row>
    <row r="6936" spans="92:92" x14ac:dyDescent="0.3">
      <c r="CN6936">
        <v>6935</v>
      </c>
    </row>
    <row r="6937" spans="92:92" x14ac:dyDescent="0.3">
      <c r="CN6937">
        <v>6936</v>
      </c>
    </row>
    <row r="6938" spans="92:92" x14ac:dyDescent="0.3">
      <c r="CN6938">
        <v>6937</v>
      </c>
    </row>
    <row r="6939" spans="92:92" x14ac:dyDescent="0.3">
      <c r="CN6939">
        <v>6938</v>
      </c>
    </row>
    <row r="6940" spans="92:92" x14ac:dyDescent="0.3">
      <c r="CN6940">
        <v>6939</v>
      </c>
    </row>
    <row r="6941" spans="92:92" x14ac:dyDescent="0.3">
      <c r="CN6941">
        <v>6940</v>
      </c>
    </row>
    <row r="6942" spans="92:92" x14ac:dyDescent="0.3">
      <c r="CN6942">
        <v>6941</v>
      </c>
    </row>
    <row r="6943" spans="92:92" x14ac:dyDescent="0.3">
      <c r="CN6943">
        <v>6942</v>
      </c>
    </row>
    <row r="6944" spans="92:92" x14ac:dyDescent="0.3">
      <c r="CN6944">
        <v>6943</v>
      </c>
    </row>
    <row r="6945" spans="92:92" x14ac:dyDescent="0.3">
      <c r="CN6945">
        <v>6944</v>
      </c>
    </row>
    <row r="6946" spans="92:92" x14ac:dyDescent="0.3">
      <c r="CN6946">
        <v>6945</v>
      </c>
    </row>
    <row r="6947" spans="92:92" x14ac:dyDescent="0.3">
      <c r="CN6947">
        <v>6946</v>
      </c>
    </row>
    <row r="6948" spans="92:92" x14ac:dyDescent="0.3">
      <c r="CN6948">
        <v>6947</v>
      </c>
    </row>
    <row r="6949" spans="92:92" x14ac:dyDescent="0.3">
      <c r="CN6949">
        <v>6948</v>
      </c>
    </row>
    <row r="6950" spans="92:92" x14ac:dyDescent="0.3">
      <c r="CN6950">
        <v>6949</v>
      </c>
    </row>
    <row r="6951" spans="92:92" x14ac:dyDescent="0.3">
      <c r="CN6951">
        <v>6950</v>
      </c>
    </row>
    <row r="6952" spans="92:92" x14ac:dyDescent="0.3">
      <c r="CN6952">
        <v>6951</v>
      </c>
    </row>
    <row r="6953" spans="92:92" x14ac:dyDescent="0.3">
      <c r="CN6953">
        <v>6952</v>
      </c>
    </row>
    <row r="6954" spans="92:92" x14ac:dyDescent="0.3">
      <c r="CN6954">
        <v>6953</v>
      </c>
    </row>
    <row r="6955" spans="92:92" x14ac:dyDescent="0.3">
      <c r="CN6955">
        <v>6954</v>
      </c>
    </row>
    <row r="6956" spans="92:92" x14ac:dyDescent="0.3">
      <c r="CN6956">
        <v>6955</v>
      </c>
    </row>
    <row r="6957" spans="92:92" x14ac:dyDescent="0.3">
      <c r="CN6957">
        <v>6956</v>
      </c>
    </row>
    <row r="6958" spans="92:92" x14ac:dyDescent="0.3">
      <c r="CN6958">
        <v>6957</v>
      </c>
    </row>
    <row r="6959" spans="92:92" x14ac:dyDescent="0.3">
      <c r="CN6959">
        <v>6958</v>
      </c>
    </row>
    <row r="6960" spans="92:92" x14ac:dyDescent="0.3">
      <c r="CN6960">
        <v>6959</v>
      </c>
    </row>
    <row r="6961" spans="92:92" x14ac:dyDescent="0.3">
      <c r="CN6961">
        <v>6960</v>
      </c>
    </row>
    <row r="6962" spans="92:92" x14ac:dyDescent="0.3">
      <c r="CN6962">
        <v>6961</v>
      </c>
    </row>
    <row r="6963" spans="92:92" x14ac:dyDescent="0.3">
      <c r="CN6963">
        <v>6962</v>
      </c>
    </row>
    <row r="6964" spans="92:92" x14ac:dyDescent="0.3">
      <c r="CN6964">
        <v>6963</v>
      </c>
    </row>
    <row r="6965" spans="92:92" x14ac:dyDescent="0.3">
      <c r="CN6965">
        <v>6964</v>
      </c>
    </row>
    <row r="6966" spans="92:92" x14ac:dyDescent="0.3">
      <c r="CN6966">
        <v>6965</v>
      </c>
    </row>
    <row r="6967" spans="92:92" x14ac:dyDescent="0.3">
      <c r="CN6967">
        <v>6966</v>
      </c>
    </row>
    <row r="6968" spans="92:92" x14ac:dyDescent="0.3">
      <c r="CN6968">
        <v>6967</v>
      </c>
    </row>
    <row r="6969" spans="92:92" x14ac:dyDescent="0.3">
      <c r="CN6969">
        <v>6968</v>
      </c>
    </row>
    <row r="6970" spans="92:92" x14ac:dyDescent="0.3">
      <c r="CN6970">
        <v>6969</v>
      </c>
    </row>
    <row r="6971" spans="92:92" x14ac:dyDescent="0.3">
      <c r="CN6971">
        <v>6970</v>
      </c>
    </row>
    <row r="6972" spans="92:92" x14ac:dyDescent="0.3">
      <c r="CN6972">
        <v>6971</v>
      </c>
    </row>
    <row r="6973" spans="92:92" x14ac:dyDescent="0.3">
      <c r="CN6973">
        <v>6972</v>
      </c>
    </row>
    <row r="6974" spans="92:92" x14ac:dyDescent="0.3">
      <c r="CN6974">
        <v>6973</v>
      </c>
    </row>
    <row r="6975" spans="92:92" x14ac:dyDescent="0.3">
      <c r="CN6975">
        <v>6974</v>
      </c>
    </row>
    <row r="6976" spans="92:92" x14ac:dyDescent="0.3">
      <c r="CN6976">
        <v>6975</v>
      </c>
    </row>
    <row r="6977" spans="92:92" x14ac:dyDescent="0.3">
      <c r="CN6977">
        <v>6976</v>
      </c>
    </row>
    <row r="6978" spans="92:92" x14ac:dyDescent="0.3">
      <c r="CN6978">
        <v>6977</v>
      </c>
    </row>
    <row r="6979" spans="92:92" x14ac:dyDescent="0.3">
      <c r="CN6979">
        <v>6978</v>
      </c>
    </row>
    <row r="6980" spans="92:92" x14ac:dyDescent="0.3">
      <c r="CN6980">
        <v>6979</v>
      </c>
    </row>
    <row r="6981" spans="92:92" x14ac:dyDescent="0.3">
      <c r="CN6981">
        <v>6980</v>
      </c>
    </row>
    <row r="6982" spans="92:92" x14ac:dyDescent="0.3">
      <c r="CN6982">
        <v>6981</v>
      </c>
    </row>
    <row r="6983" spans="92:92" x14ac:dyDescent="0.3">
      <c r="CN6983">
        <v>6982</v>
      </c>
    </row>
    <row r="6984" spans="92:92" x14ac:dyDescent="0.3">
      <c r="CN6984">
        <v>6983</v>
      </c>
    </row>
    <row r="6985" spans="92:92" x14ac:dyDescent="0.3">
      <c r="CN6985">
        <v>6984</v>
      </c>
    </row>
    <row r="6986" spans="92:92" x14ac:dyDescent="0.3">
      <c r="CN6986">
        <v>6985</v>
      </c>
    </row>
    <row r="6987" spans="92:92" x14ac:dyDescent="0.3">
      <c r="CN6987">
        <v>6986</v>
      </c>
    </row>
    <row r="6988" spans="92:92" x14ac:dyDescent="0.3">
      <c r="CN6988">
        <v>6987</v>
      </c>
    </row>
    <row r="6989" spans="92:92" x14ac:dyDescent="0.3">
      <c r="CN6989">
        <v>6988</v>
      </c>
    </row>
    <row r="6990" spans="92:92" x14ac:dyDescent="0.3">
      <c r="CN6990">
        <v>6989</v>
      </c>
    </row>
    <row r="6991" spans="92:92" x14ac:dyDescent="0.3">
      <c r="CN6991">
        <v>6990</v>
      </c>
    </row>
    <row r="6992" spans="92:92" x14ac:dyDescent="0.3">
      <c r="CN6992">
        <v>6991</v>
      </c>
    </row>
    <row r="6993" spans="92:92" x14ac:dyDescent="0.3">
      <c r="CN6993">
        <v>6992</v>
      </c>
    </row>
    <row r="6994" spans="92:92" x14ac:dyDescent="0.3">
      <c r="CN6994">
        <v>6993</v>
      </c>
    </row>
    <row r="6995" spans="92:92" x14ac:dyDescent="0.3">
      <c r="CN6995">
        <v>6994</v>
      </c>
    </row>
    <row r="6996" spans="92:92" x14ac:dyDescent="0.3">
      <c r="CN6996">
        <v>6995</v>
      </c>
    </row>
    <row r="6997" spans="92:92" x14ac:dyDescent="0.3">
      <c r="CN6997">
        <v>6996</v>
      </c>
    </row>
    <row r="6998" spans="92:92" x14ac:dyDescent="0.3">
      <c r="CN6998">
        <v>6997</v>
      </c>
    </row>
    <row r="6999" spans="92:92" x14ac:dyDescent="0.3">
      <c r="CN6999">
        <v>6998</v>
      </c>
    </row>
    <row r="7000" spans="92:92" x14ac:dyDescent="0.3">
      <c r="CN7000">
        <v>6999</v>
      </c>
    </row>
    <row r="7001" spans="92:92" x14ac:dyDescent="0.3">
      <c r="CN7001">
        <v>7000</v>
      </c>
    </row>
    <row r="7002" spans="92:92" x14ac:dyDescent="0.3">
      <c r="CN7002">
        <v>7001</v>
      </c>
    </row>
    <row r="7003" spans="92:92" x14ac:dyDescent="0.3">
      <c r="CN7003">
        <v>7002</v>
      </c>
    </row>
    <row r="7004" spans="92:92" x14ac:dyDescent="0.3">
      <c r="CN7004">
        <v>7003</v>
      </c>
    </row>
    <row r="7005" spans="92:92" x14ac:dyDescent="0.3">
      <c r="CN7005">
        <v>7004</v>
      </c>
    </row>
    <row r="7006" spans="92:92" x14ac:dyDescent="0.3">
      <c r="CN7006">
        <v>7005</v>
      </c>
    </row>
    <row r="7007" spans="92:92" x14ac:dyDescent="0.3">
      <c r="CN7007">
        <v>7006</v>
      </c>
    </row>
    <row r="7008" spans="92:92" x14ac:dyDescent="0.3">
      <c r="CN7008">
        <v>7007</v>
      </c>
    </row>
    <row r="7009" spans="92:92" x14ac:dyDescent="0.3">
      <c r="CN7009">
        <v>7008</v>
      </c>
    </row>
    <row r="7010" spans="92:92" x14ac:dyDescent="0.3">
      <c r="CN7010">
        <v>7009</v>
      </c>
    </row>
    <row r="7011" spans="92:92" x14ac:dyDescent="0.3">
      <c r="CN7011">
        <v>7010</v>
      </c>
    </row>
    <row r="7012" spans="92:92" x14ac:dyDescent="0.3">
      <c r="CN7012">
        <v>7011</v>
      </c>
    </row>
    <row r="7013" spans="92:92" x14ac:dyDescent="0.3">
      <c r="CN7013">
        <v>7012</v>
      </c>
    </row>
    <row r="7014" spans="92:92" x14ac:dyDescent="0.3">
      <c r="CN7014">
        <v>7013</v>
      </c>
    </row>
    <row r="7015" spans="92:92" x14ac:dyDescent="0.3">
      <c r="CN7015">
        <v>7014</v>
      </c>
    </row>
    <row r="7016" spans="92:92" x14ac:dyDescent="0.3">
      <c r="CN7016">
        <v>7015</v>
      </c>
    </row>
    <row r="7017" spans="92:92" x14ac:dyDescent="0.3">
      <c r="CN7017">
        <v>7016</v>
      </c>
    </row>
    <row r="7018" spans="92:92" x14ac:dyDescent="0.3">
      <c r="CN7018">
        <v>7017</v>
      </c>
    </row>
    <row r="7019" spans="92:92" x14ac:dyDescent="0.3">
      <c r="CN7019">
        <v>7018</v>
      </c>
    </row>
    <row r="7020" spans="92:92" x14ac:dyDescent="0.3">
      <c r="CN7020">
        <v>7019</v>
      </c>
    </row>
    <row r="7021" spans="92:92" x14ac:dyDescent="0.3">
      <c r="CN7021">
        <v>7020</v>
      </c>
    </row>
    <row r="7022" spans="92:92" x14ac:dyDescent="0.3">
      <c r="CN7022">
        <v>7021</v>
      </c>
    </row>
    <row r="7023" spans="92:92" x14ac:dyDescent="0.3">
      <c r="CN7023">
        <v>7022</v>
      </c>
    </row>
    <row r="7024" spans="92:92" x14ac:dyDescent="0.3">
      <c r="CN7024">
        <v>7023</v>
      </c>
    </row>
    <row r="7025" spans="92:92" x14ac:dyDescent="0.3">
      <c r="CN7025">
        <v>7024</v>
      </c>
    </row>
    <row r="7026" spans="92:92" x14ac:dyDescent="0.3">
      <c r="CN7026">
        <v>7025</v>
      </c>
    </row>
    <row r="7027" spans="92:92" x14ac:dyDescent="0.3">
      <c r="CN7027">
        <v>7026</v>
      </c>
    </row>
    <row r="7028" spans="92:92" x14ac:dyDescent="0.3">
      <c r="CN7028">
        <v>7027</v>
      </c>
    </row>
    <row r="7029" spans="92:92" x14ac:dyDescent="0.3">
      <c r="CN7029">
        <v>7028</v>
      </c>
    </row>
    <row r="7030" spans="92:92" x14ac:dyDescent="0.3">
      <c r="CN7030">
        <v>7029</v>
      </c>
    </row>
    <row r="7031" spans="92:92" x14ac:dyDescent="0.3">
      <c r="CN7031">
        <v>7030</v>
      </c>
    </row>
    <row r="7032" spans="92:92" x14ac:dyDescent="0.3">
      <c r="CN7032">
        <v>7031</v>
      </c>
    </row>
    <row r="7033" spans="92:92" x14ac:dyDescent="0.3">
      <c r="CN7033">
        <v>7032</v>
      </c>
    </row>
    <row r="7034" spans="92:92" x14ac:dyDescent="0.3">
      <c r="CN7034">
        <v>7033</v>
      </c>
    </row>
    <row r="7035" spans="92:92" x14ac:dyDescent="0.3">
      <c r="CN7035">
        <v>7034</v>
      </c>
    </row>
    <row r="7036" spans="92:92" x14ac:dyDescent="0.3">
      <c r="CN7036">
        <v>7035</v>
      </c>
    </row>
    <row r="7037" spans="92:92" x14ac:dyDescent="0.3">
      <c r="CN7037">
        <v>7036</v>
      </c>
    </row>
    <row r="7038" spans="92:92" x14ac:dyDescent="0.3">
      <c r="CN7038">
        <v>7037</v>
      </c>
    </row>
    <row r="7039" spans="92:92" x14ac:dyDescent="0.3">
      <c r="CN7039">
        <v>7038</v>
      </c>
    </row>
    <row r="7040" spans="92:92" x14ac:dyDescent="0.3">
      <c r="CN7040">
        <v>7039</v>
      </c>
    </row>
    <row r="7041" spans="92:92" x14ac:dyDescent="0.3">
      <c r="CN7041">
        <v>7040</v>
      </c>
    </row>
    <row r="7042" spans="92:92" x14ac:dyDescent="0.3">
      <c r="CN7042">
        <v>7041</v>
      </c>
    </row>
    <row r="7043" spans="92:92" x14ac:dyDescent="0.3">
      <c r="CN7043">
        <v>7042</v>
      </c>
    </row>
    <row r="7044" spans="92:92" x14ac:dyDescent="0.3">
      <c r="CN7044">
        <v>7043</v>
      </c>
    </row>
    <row r="7045" spans="92:92" x14ac:dyDescent="0.3">
      <c r="CN7045">
        <v>7044</v>
      </c>
    </row>
    <row r="7046" spans="92:92" x14ac:dyDescent="0.3">
      <c r="CN7046">
        <v>7045</v>
      </c>
    </row>
    <row r="7047" spans="92:92" x14ac:dyDescent="0.3">
      <c r="CN7047">
        <v>7046</v>
      </c>
    </row>
    <row r="7048" spans="92:92" x14ac:dyDescent="0.3">
      <c r="CN7048">
        <v>7047</v>
      </c>
    </row>
    <row r="7049" spans="92:92" x14ac:dyDescent="0.3">
      <c r="CN7049">
        <v>7048</v>
      </c>
    </row>
    <row r="7050" spans="92:92" x14ac:dyDescent="0.3">
      <c r="CN7050">
        <v>7049</v>
      </c>
    </row>
    <row r="7051" spans="92:92" x14ac:dyDescent="0.3">
      <c r="CN7051">
        <v>7050</v>
      </c>
    </row>
    <row r="7052" spans="92:92" x14ac:dyDescent="0.3">
      <c r="CN7052">
        <v>7051</v>
      </c>
    </row>
    <row r="7053" spans="92:92" x14ac:dyDescent="0.3">
      <c r="CN7053">
        <v>7052</v>
      </c>
    </row>
    <row r="7054" spans="92:92" x14ac:dyDescent="0.3">
      <c r="CN7054">
        <v>7053</v>
      </c>
    </row>
    <row r="7055" spans="92:92" x14ac:dyDescent="0.3">
      <c r="CN7055">
        <v>7054</v>
      </c>
    </row>
    <row r="7056" spans="92:92" x14ac:dyDescent="0.3">
      <c r="CN7056">
        <v>7055</v>
      </c>
    </row>
    <row r="7057" spans="92:92" x14ac:dyDescent="0.3">
      <c r="CN7057">
        <v>7056</v>
      </c>
    </row>
    <row r="7058" spans="92:92" x14ac:dyDescent="0.3">
      <c r="CN7058">
        <v>7057</v>
      </c>
    </row>
    <row r="7059" spans="92:92" x14ac:dyDescent="0.3">
      <c r="CN7059">
        <v>7058</v>
      </c>
    </row>
    <row r="7060" spans="92:92" x14ac:dyDescent="0.3">
      <c r="CN7060">
        <v>7059</v>
      </c>
    </row>
    <row r="7061" spans="92:92" x14ac:dyDescent="0.3">
      <c r="CN7061">
        <v>7060</v>
      </c>
    </row>
    <row r="7062" spans="92:92" x14ac:dyDescent="0.3">
      <c r="CN7062">
        <v>7061</v>
      </c>
    </row>
    <row r="7063" spans="92:92" x14ac:dyDescent="0.3">
      <c r="CN7063">
        <v>7062</v>
      </c>
    </row>
    <row r="7064" spans="92:92" x14ac:dyDescent="0.3">
      <c r="CN7064">
        <v>7063</v>
      </c>
    </row>
    <row r="7065" spans="92:92" x14ac:dyDescent="0.3">
      <c r="CN7065">
        <v>7064</v>
      </c>
    </row>
    <row r="7066" spans="92:92" x14ac:dyDescent="0.3">
      <c r="CN7066">
        <v>7065</v>
      </c>
    </row>
    <row r="7067" spans="92:92" x14ac:dyDescent="0.3">
      <c r="CN7067">
        <v>7066</v>
      </c>
    </row>
    <row r="7068" spans="92:92" x14ac:dyDescent="0.3">
      <c r="CN7068">
        <v>7067</v>
      </c>
    </row>
    <row r="7069" spans="92:92" x14ac:dyDescent="0.3">
      <c r="CN7069">
        <v>7068</v>
      </c>
    </row>
    <row r="7070" spans="92:92" x14ac:dyDescent="0.3">
      <c r="CN7070">
        <v>7069</v>
      </c>
    </row>
    <row r="7071" spans="92:92" x14ac:dyDescent="0.3">
      <c r="CN7071">
        <v>7070</v>
      </c>
    </row>
    <row r="7072" spans="92:92" x14ac:dyDescent="0.3">
      <c r="CN7072">
        <v>7071</v>
      </c>
    </row>
    <row r="7073" spans="92:92" x14ac:dyDescent="0.3">
      <c r="CN7073">
        <v>7072</v>
      </c>
    </row>
    <row r="7074" spans="92:92" x14ac:dyDescent="0.3">
      <c r="CN7074">
        <v>7073</v>
      </c>
    </row>
    <row r="7075" spans="92:92" x14ac:dyDescent="0.3">
      <c r="CN7075">
        <v>7074</v>
      </c>
    </row>
    <row r="7076" spans="92:92" x14ac:dyDescent="0.3">
      <c r="CN7076">
        <v>7075</v>
      </c>
    </row>
    <row r="7077" spans="92:92" x14ac:dyDescent="0.3">
      <c r="CN7077">
        <v>7076</v>
      </c>
    </row>
    <row r="7078" spans="92:92" x14ac:dyDescent="0.3">
      <c r="CN7078">
        <v>7077</v>
      </c>
    </row>
    <row r="7079" spans="92:92" x14ac:dyDescent="0.3">
      <c r="CN7079">
        <v>7078</v>
      </c>
    </row>
    <row r="7080" spans="92:92" x14ac:dyDescent="0.3">
      <c r="CN7080">
        <v>7079</v>
      </c>
    </row>
    <row r="7081" spans="92:92" x14ac:dyDescent="0.3">
      <c r="CN7081">
        <v>7080</v>
      </c>
    </row>
    <row r="7082" spans="92:92" x14ac:dyDescent="0.3">
      <c r="CN7082">
        <v>7081</v>
      </c>
    </row>
    <row r="7083" spans="92:92" x14ac:dyDescent="0.3">
      <c r="CN7083">
        <v>7082</v>
      </c>
    </row>
    <row r="7084" spans="92:92" x14ac:dyDescent="0.3">
      <c r="CN7084">
        <v>7083</v>
      </c>
    </row>
    <row r="7085" spans="92:92" x14ac:dyDescent="0.3">
      <c r="CN7085">
        <v>7084</v>
      </c>
    </row>
    <row r="7086" spans="92:92" x14ac:dyDescent="0.3">
      <c r="CN7086">
        <v>7085</v>
      </c>
    </row>
    <row r="7087" spans="92:92" x14ac:dyDescent="0.3">
      <c r="CN7087">
        <v>7086</v>
      </c>
    </row>
    <row r="7088" spans="92:92" x14ac:dyDescent="0.3">
      <c r="CN7088">
        <v>7087</v>
      </c>
    </row>
    <row r="7089" spans="92:92" x14ac:dyDescent="0.3">
      <c r="CN7089">
        <v>7088</v>
      </c>
    </row>
    <row r="7090" spans="92:92" x14ac:dyDescent="0.3">
      <c r="CN7090">
        <v>7089</v>
      </c>
    </row>
    <row r="7091" spans="92:92" x14ac:dyDescent="0.3">
      <c r="CN7091">
        <v>7090</v>
      </c>
    </row>
    <row r="7092" spans="92:92" x14ac:dyDescent="0.3">
      <c r="CN7092">
        <v>7091</v>
      </c>
    </row>
    <row r="7093" spans="92:92" x14ac:dyDescent="0.3">
      <c r="CN7093">
        <v>7092</v>
      </c>
    </row>
    <row r="7094" spans="92:92" x14ac:dyDescent="0.3">
      <c r="CN7094">
        <v>7093</v>
      </c>
    </row>
    <row r="7095" spans="92:92" x14ac:dyDescent="0.3">
      <c r="CN7095">
        <v>7094</v>
      </c>
    </row>
    <row r="7096" spans="92:92" x14ac:dyDescent="0.3">
      <c r="CN7096">
        <v>7095</v>
      </c>
    </row>
    <row r="7097" spans="92:92" x14ac:dyDescent="0.3">
      <c r="CN7097">
        <v>7096</v>
      </c>
    </row>
    <row r="7098" spans="92:92" x14ac:dyDescent="0.3">
      <c r="CN7098">
        <v>7097</v>
      </c>
    </row>
    <row r="7099" spans="92:92" x14ac:dyDescent="0.3">
      <c r="CN7099">
        <v>7098</v>
      </c>
    </row>
    <row r="7100" spans="92:92" x14ac:dyDescent="0.3">
      <c r="CN7100">
        <v>7099</v>
      </c>
    </row>
    <row r="7101" spans="92:92" x14ac:dyDescent="0.3">
      <c r="CN7101">
        <v>7100</v>
      </c>
    </row>
    <row r="7102" spans="92:92" x14ac:dyDescent="0.3">
      <c r="CN7102">
        <v>7101</v>
      </c>
    </row>
    <row r="7103" spans="92:92" x14ac:dyDescent="0.3">
      <c r="CN7103">
        <v>7102</v>
      </c>
    </row>
    <row r="7104" spans="92:92" x14ac:dyDescent="0.3">
      <c r="CN7104">
        <v>7103</v>
      </c>
    </row>
    <row r="7105" spans="92:92" x14ac:dyDescent="0.3">
      <c r="CN7105">
        <v>7104</v>
      </c>
    </row>
    <row r="7106" spans="92:92" x14ac:dyDescent="0.3">
      <c r="CN7106">
        <v>7105</v>
      </c>
    </row>
    <row r="7107" spans="92:92" x14ac:dyDescent="0.3">
      <c r="CN7107">
        <v>7106</v>
      </c>
    </row>
    <row r="7108" spans="92:92" x14ac:dyDescent="0.3">
      <c r="CN7108">
        <v>7107</v>
      </c>
    </row>
    <row r="7109" spans="92:92" x14ac:dyDescent="0.3">
      <c r="CN7109">
        <v>7108</v>
      </c>
    </row>
    <row r="7110" spans="92:92" x14ac:dyDescent="0.3">
      <c r="CN7110">
        <v>7109</v>
      </c>
    </row>
    <row r="7111" spans="92:92" x14ac:dyDescent="0.3">
      <c r="CN7111">
        <v>7110</v>
      </c>
    </row>
    <row r="7112" spans="92:92" x14ac:dyDescent="0.3">
      <c r="CN7112">
        <v>7111</v>
      </c>
    </row>
    <row r="7113" spans="92:92" x14ac:dyDescent="0.3">
      <c r="CN7113">
        <v>7112</v>
      </c>
    </row>
    <row r="7114" spans="92:92" x14ac:dyDescent="0.3">
      <c r="CN7114">
        <v>7113</v>
      </c>
    </row>
    <row r="7115" spans="92:92" x14ac:dyDescent="0.3">
      <c r="CN7115">
        <v>7114</v>
      </c>
    </row>
    <row r="7116" spans="92:92" x14ac:dyDescent="0.3">
      <c r="CN7116">
        <v>7115</v>
      </c>
    </row>
    <row r="7117" spans="92:92" x14ac:dyDescent="0.3">
      <c r="CN7117">
        <v>7116</v>
      </c>
    </row>
    <row r="7118" spans="92:92" x14ac:dyDescent="0.3">
      <c r="CN7118">
        <v>7117</v>
      </c>
    </row>
    <row r="7119" spans="92:92" x14ac:dyDescent="0.3">
      <c r="CN7119">
        <v>7118</v>
      </c>
    </row>
    <row r="7120" spans="92:92" x14ac:dyDescent="0.3">
      <c r="CN7120">
        <v>7119</v>
      </c>
    </row>
    <row r="7121" spans="92:92" x14ac:dyDescent="0.3">
      <c r="CN7121">
        <v>7120</v>
      </c>
    </row>
    <row r="7122" spans="92:92" x14ac:dyDescent="0.3">
      <c r="CN7122">
        <v>7121</v>
      </c>
    </row>
    <row r="7123" spans="92:92" x14ac:dyDescent="0.3">
      <c r="CN7123">
        <v>7122</v>
      </c>
    </row>
    <row r="7124" spans="92:92" x14ac:dyDescent="0.3">
      <c r="CN7124">
        <v>7123</v>
      </c>
    </row>
    <row r="7125" spans="92:92" x14ac:dyDescent="0.3">
      <c r="CN7125">
        <v>7124</v>
      </c>
    </row>
    <row r="7126" spans="92:92" x14ac:dyDescent="0.3">
      <c r="CN7126">
        <v>7125</v>
      </c>
    </row>
    <row r="7127" spans="92:92" x14ac:dyDescent="0.3">
      <c r="CN7127">
        <v>7126</v>
      </c>
    </row>
    <row r="7128" spans="92:92" x14ac:dyDescent="0.3">
      <c r="CN7128">
        <v>7127</v>
      </c>
    </row>
    <row r="7129" spans="92:92" x14ac:dyDescent="0.3">
      <c r="CN7129">
        <v>7128</v>
      </c>
    </row>
    <row r="7130" spans="92:92" x14ac:dyDescent="0.3">
      <c r="CN7130">
        <v>7129</v>
      </c>
    </row>
    <row r="7131" spans="92:92" x14ac:dyDescent="0.3">
      <c r="CN7131">
        <v>7130</v>
      </c>
    </row>
    <row r="7132" spans="92:92" x14ac:dyDescent="0.3">
      <c r="CN7132">
        <v>7131</v>
      </c>
    </row>
    <row r="7133" spans="92:92" x14ac:dyDescent="0.3">
      <c r="CN7133">
        <v>7132</v>
      </c>
    </row>
    <row r="7134" spans="92:92" x14ac:dyDescent="0.3">
      <c r="CN7134">
        <v>7133</v>
      </c>
    </row>
    <row r="7135" spans="92:92" x14ac:dyDescent="0.3">
      <c r="CN7135">
        <v>7134</v>
      </c>
    </row>
    <row r="7136" spans="92:92" x14ac:dyDescent="0.3">
      <c r="CN7136">
        <v>7135</v>
      </c>
    </row>
    <row r="7137" spans="92:92" x14ac:dyDescent="0.3">
      <c r="CN7137">
        <v>7136</v>
      </c>
    </row>
    <row r="7138" spans="92:92" x14ac:dyDescent="0.3">
      <c r="CN7138">
        <v>7137</v>
      </c>
    </row>
    <row r="7139" spans="92:92" x14ac:dyDescent="0.3">
      <c r="CN7139">
        <v>7138</v>
      </c>
    </row>
    <row r="7140" spans="92:92" x14ac:dyDescent="0.3">
      <c r="CN7140">
        <v>7139</v>
      </c>
    </row>
    <row r="7141" spans="92:92" x14ac:dyDescent="0.3">
      <c r="CN7141">
        <v>7140</v>
      </c>
    </row>
    <row r="7142" spans="92:92" x14ac:dyDescent="0.3">
      <c r="CN7142">
        <v>7141</v>
      </c>
    </row>
    <row r="7143" spans="92:92" x14ac:dyDescent="0.3">
      <c r="CN7143">
        <v>7142</v>
      </c>
    </row>
    <row r="7144" spans="92:92" x14ac:dyDescent="0.3">
      <c r="CN7144">
        <v>7143</v>
      </c>
    </row>
    <row r="7145" spans="92:92" x14ac:dyDescent="0.3">
      <c r="CN7145">
        <v>7144</v>
      </c>
    </row>
    <row r="7146" spans="92:92" x14ac:dyDescent="0.3">
      <c r="CN7146">
        <v>7145</v>
      </c>
    </row>
    <row r="7147" spans="92:92" x14ac:dyDescent="0.3">
      <c r="CN7147">
        <v>7146</v>
      </c>
    </row>
    <row r="7148" spans="92:92" x14ac:dyDescent="0.3">
      <c r="CN7148">
        <v>7147</v>
      </c>
    </row>
    <row r="7149" spans="92:92" x14ac:dyDescent="0.3">
      <c r="CN7149">
        <v>7148</v>
      </c>
    </row>
    <row r="7150" spans="92:92" x14ac:dyDescent="0.3">
      <c r="CN7150">
        <v>7149</v>
      </c>
    </row>
    <row r="7151" spans="92:92" x14ac:dyDescent="0.3">
      <c r="CN7151">
        <v>7150</v>
      </c>
    </row>
    <row r="7152" spans="92:92" x14ac:dyDescent="0.3">
      <c r="CN7152">
        <v>7151</v>
      </c>
    </row>
    <row r="7153" spans="92:92" x14ac:dyDescent="0.3">
      <c r="CN7153">
        <v>7152</v>
      </c>
    </row>
    <row r="7154" spans="92:92" x14ac:dyDescent="0.3">
      <c r="CN7154">
        <v>7153</v>
      </c>
    </row>
    <row r="7155" spans="92:92" x14ac:dyDescent="0.3">
      <c r="CN7155">
        <v>7154</v>
      </c>
    </row>
    <row r="7156" spans="92:92" x14ac:dyDescent="0.3">
      <c r="CN7156">
        <v>7155</v>
      </c>
    </row>
    <row r="7157" spans="92:92" x14ac:dyDescent="0.3">
      <c r="CN7157">
        <v>7156</v>
      </c>
    </row>
    <row r="7158" spans="92:92" x14ac:dyDescent="0.3">
      <c r="CN7158">
        <v>7157</v>
      </c>
    </row>
    <row r="7159" spans="92:92" x14ac:dyDescent="0.3">
      <c r="CN7159">
        <v>7158</v>
      </c>
    </row>
    <row r="7160" spans="92:92" x14ac:dyDescent="0.3">
      <c r="CN7160">
        <v>7159</v>
      </c>
    </row>
    <row r="7161" spans="92:92" x14ac:dyDescent="0.3">
      <c r="CN7161">
        <v>7160</v>
      </c>
    </row>
    <row r="7162" spans="92:92" x14ac:dyDescent="0.3">
      <c r="CN7162">
        <v>7161</v>
      </c>
    </row>
    <row r="7163" spans="92:92" x14ac:dyDescent="0.3">
      <c r="CN7163">
        <v>7162</v>
      </c>
    </row>
    <row r="7164" spans="92:92" x14ac:dyDescent="0.3">
      <c r="CN7164">
        <v>7163</v>
      </c>
    </row>
    <row r="7165" spans="92:92" x14ac:dyDescent="0.3">
      <c r="CN7165">
        <v>7164</v>
      </c>
    </row>
    <row r="7166" spans="92:92" x14ac:dyDescent="0.3">
      <c r="CN7166">
        <v>7165</v>
      </c>
    </row>
    <row r="7167" spans="92:92" x14ac:dyDescent="0.3">
      <c r="CN7167">
        <v>7166</v>
      </c>
    </row>
    <row r="7168" spans="92:92" x14ac:dyDescent="0.3">
      <c r="CN7168">
        <v>7167</v>
      </c>
    </row>
    <row r="7169" spans="92:92" x14ac:dyDescent="0.3">
      <c r="CN7169">
        <v>7168</v>
      </c>
    </row>
    <row r="7170" spans="92:92" x14ac:dyDescent="0.3">
      <c r="CN7170">
        <v>7169</v>
      </c>
    </row>
    <row r="7171" spans="92:92" x14ac:dyDescent="0.3">
      <c r="CN7171">
        <v>7170</v>
      </c>
    </row>
    <row r="7172" spans="92:92" x14ac:dyDescent="0.3">
      <c r="CN7172">
        <v>7171</v>
      </c>
    </row>
    <row r="7173" spans="92:92" x14ac:dyDescent="0.3">
      <c r="CN7173">
        <v>7172</v>
      </c>
    </row>
    <row r="7174" spans="92:92" x14ac:dyDescent="0.3">
      <c r="CN7174">
        <v>7173</v>
      </c>
    </row>
    <row r="7175" spans="92:92" x14ac:dyDescent="0.3">
      <c r="CN7175">
        <v>7174</v>
      </c>
    </row>
    <row r="7176" spans="92:92" x14ac:dyDescent="0.3">
      <c r="CN7176">
        <v>7175</v>
      </c>
    </row>
    <row r="7177" spans="92:92" x14ac:dyDescent="0.3">
      <c r="CN7177">
        <v>7176</v>
      </c>
    </row>
    <row r="7178" spans="92:92" x14ac:dyDescent="0.3">
      <c r="CN7178">
        <v>7177</v>
      </c>
    </row>
    <row r="7179" spans="92:92" x14ac:dyDescent="0.3">
      <c r="CN7179">
        <v>7178</v>
      </c>
    </row>
    <row r="7180" spans="92:92" x14ac:dyDescent="0.3">
      <c r="CN7180">
        <v>7179</v>
      </c>
    </row>
    <row r="7181" spans="92:92" x14ac:dyDescent="0.3">
      <c r="CN7181">
        <v>7180</v>
      </c>
    </row>
    <row r="7182" spans="92:92" x14ac:dyDescent="0.3">
      <c r="CN7182">
        <v>7181</v>
      </c>
    </row>
    <row r="7183" spans="92:92" x14ac:dyDescent="0.3">
      <c r="CN7183">
        <v>7182</v>
      </c>
    </row>
    <row r="7184" spans="92:92" x14ac:dyDescent="0.3">
      <c r="CN7184">
        <v>7183</v>
      </c>
    </row>
    <row r="7185" spans="92:92" x14ac:dyDescent="0.3">
      <c r="CN7185">
        <v>7184</v>
      </c>
    </row>
    <row r="7186" spans="92:92" x14ac:dyDescent="0.3">
      <c r="CN7186">
        <v>7185</v>
      </c>
    </row>
    <row r="7187" spans="92:92" x14ac:dyDescent="0.3">
      <c r="CN7187">
        <v>7186</v>
      </c>
    </row>
    <row r="7188" spans="92:92" x14ac:dyDescent="0.3">
      <c r="CN7188">
        <v>7187</v>
      </c>
    </row>
    <row r="7189" spans="92:92" x14ac:dyDescent="0.3">
      <c r="CN7189">
        <v>7188</v>
      </c>
    </row>
    <row r="7190" spans="92:92" x14ac:dyDescent="0.3">
      <c r="CN7190">
        <v>7189</v>
      </c>
    </row>
    <row r="7191" spans="92:92" x14ac:dyDescent="0.3">
      <c r="CN7191">
        <v>7190</v>
      </c>
    </row>
    <row r="7192" spans="92:92" x14ac:dyDescent="0.3">
      <c r="CN7192">
        <v>7191</v>
      </c>
    </row>
    <row r="7193" spans="92:92" x14ac:dyDescent="0.3">
      <c r="CN7193">
        <v>7192</v>
      </c>
    </row>
    <row r="7194" spans="92:92" x14ac:dyDescent="0.3">
      <c r="CN7194">
        <v>7193</v>
      </c>
    </row>
    <row r="7195" spans="92:92" x14ac:dyDescent="0.3">
      <c r="CN7195">
        <v>7194</v>
      </c>
    </row>
    <row r="7196" spans="92:92" x14ac:dyDescent="0.3">
      <c r="CN7196">
        <v>7195</v>
      </c>
    </row>
    <row r="7197" spans="92:92" x14ac:dyDescent="0.3">
      <c r="CN7197">
        <v>7196</v>
      </c>
    </row>
    <row r="7198" spans="92:92" x14ac:dyDescent="0.3">
      <c r="CN7198">
        <v>7197</v>
      </c>
    </row>
    <row r="7199" spans="92:92" x14ac:dyDescent="0.3">
      <c r="CN7199">
        <v>7198</v>
      </c>
    </row>
    <row r="7200" spans="92:92" x14ac:dyDescent="0.3">
      <c r="CN7200">
        <v>7199</v>
      </c>
    </row>
    <row r="7201" spans="92:92" x14ac:dyDescent="0.3">
      <c r="CN7201">
        <v>7200</v>
      </c>
    </row>
    <row r="7202" spans="92:92" x14ac:dyDescent="0.3">
      <c r="CN7202">
        <v>7201</v>
      </c>
    </row>
    <row r="7203" spans="92:92" x14ac:dyDescent="0.3">
      <c r="CN7203">
        <v>7202</v>
      </c>
    </row>
    <row r="7204" spans="92:92" x14ac:dyDescent="0.3">
      <c r="CN7204">
        <v>7203</v>
      </c>
    </row>
    <row r="7205" spans="92:92" x14ac:dyDescent="0.3">
      <c r="CN7205">
        <v>7204</v>
      </c>
    </row>
    <row r="7206" spans="92:92" x14ac:dyDescent="0.3">
      <c r="CN7206">
        <v>7205</v>
      </c>
    </row>
    <row r="7207" spans="92:92" x14ac:dyDescent="0.3">
      <c r="CN7207">
        <v>7206</v>
      </c>
    </row>
    <row r="7208" spans="92:92" x14ac:dyDescent="0.3">
      <c r="CN7208">
        <v>7207</v>
      </c>
    </row>
    <row r="7209" spans="92:92" x14ac:dyDescent="0.3">
      <c r="CN7209">
        <v>7208</v>
      </c>
    </row>
    <row r="7210" spans="92:92" x14ac:dyDescent="0.3">
      <c r="CN7210">
        <v>7209</v>
      </c>
    </row>
    <row r="7211" spans="92:92" x14ac:dyDescent="0.3">
      <c r="CN7211">
        <v>7210</v>
      </c>
    </row>
    <row r="7212" spans="92:92" x14ac:dyDescent="0.3">
      <c r="CN7212">
        <v>7211</v>
      </c>
    </row>
    <row r="7213" spans="92:92" x14ac:dyDescent="0.3">
      <c r="CN7213">
        <v>7212</v>
      </c>
    </row>
    <row r="7214" spans="92:92" x14ac:dyDescent="0.3">
      <c r="CN7214">
        <v>7213</v>
      </c>
    </row>
    <row r="7215" spans="92:92" x14ac:dyDescent="0.3">
      <c r="CN7215">
        <v>7214</v>
      </c>
    </row>
    <row r="7216" spans="92:92" x14ac:dyDescent="0.3">
      <c r="CN7216">
        <v>7215</v>
      </c>
    </row>
    <row r="7217" spans="92:92" x14ac:dyDescent="0.3">
      <c r="CN7217">
        <v>7216</v>
      </c>
    </row>
    <row r="7218" spans="92:92" x14ac:dyDescent="0.3">
      <c r="CN7218">
        <v>7217</v>
      </c>
    </row>
    <row r="7219" spans="92:92" x14ac:dyDescent="0.3">
      <c r="CN7219">
        <v>7218</v>
      </c>
    </row>
    <row r="7220" spans="92:92" x14ac:dyDescent="0.3">
      <c r="CN7220">
        <v>7219</v>
      </c>
    </row>
    <row r="7221" spans="92:92" x14ac:dyDescent="0.3">
      <c r="CN7221">
        <v>7220</v>
      </c>
    </row>
    <row r="7222" spans="92:92" x14ac:dyDescent="0.3">
      <c r="CN7222">
        <v>7221</v>
      </c>
    </row>
    <row r="7223" spans="92:92" x14ac:dyDescent="0.3">
      <c r="CN7223">
        <v>7222</v>
      </c>
    </row>
    <row r="7224" spans="92:92" x14ac:dyDescent="0.3">
      <c r="CN7224">
        <v>7223</v>
      </c>
    </row>
    <row r="7225" spans="92:92" x14ac:dyDescent="0.3">
      <c r="CN7225">
        <v>7224</v>
      </c>
    </row>
    <row r="7226" spans="92:92" x14ac:dyDescent="0.3">
      <c r="CN7226">
        <v>7225</v>
      </c>
    </row>
    <row r="7227" spans="92:92" x14ac:dyDescent="0.3">
      <c r="CN7227">
        <v>7226</v>
      </c>
    </row>
    <row r="7228" spans="92:92" x14ac:dyDescent="0.3">
      <c r="CN7228">
        <v>7227</v>
      </c>
    </row>
    <row r="7229" spans="92:92" x14ac:dyDescent="0.3">
      <c r="CN7229">
        <v>7228</v>
      </c>
    </row>
    <row r="7230" spans="92:92" x14ac:dyDescent="0.3">
      <c r="CN7230">
        <v>7229</v>
      </c>
    </row>
    <row r="7231" spans="92:92" x14ac:dyDescent="0.3">
      <c r="CN7231">
        <v>7230</v>
      </c>
    </row>
    <row r="7232" spans="92:92" x14ac:dyDescent="0.3">
      <c r="CN7232">
        <v>7231</v>
      </c>
    </row>
    <row r="7233" spans="92:92" x14ac:dyDescent="0.3">
      <c r="CN7233">
        <v>7232</v>
      </c>
    </row>
    <row r="7234" spans="92:92" x14ac:dyDescent="0.3">
      <c r="CN7234">
        <v>7233</v>
      </c>
    </row>
    <row r="7235" spans="92:92" x14ac:dyDescent="0.3">
      <c r="CN7235">
        <v>7234</v>
      </c>
    </row>
    <row r="7236" spans="92:92" x14ac:dyDescent="0.3">
      <c r="CN7236">
        <v>7235</v>
      </c>
    </row>
    <row r="7237" spans="92:92" x14ac:dyDescent="0.3">
      <c r="CN7237">
        <v>7236</v>
      </c>
    </row>
    <row r="7238" spans="92:92" x14ac:dyDescent="0.3">
      <c r="CN7238">
        <v>7237</v>
      </c>
    </row>
    <row r="7239" spans="92:92" x14ac:dyDescent="0.3">
      <c r="CN7239">
        <v>7238</v>
      </c>
    </row>
    <row r="7240" spans="92:92" x14ac:dyDescent="0.3">
      <c r="CN7240">
        <v>7239</v>
      </c>
    </row>
    <row r="7241" spans="92:92" x14ac:dyDescent="0.3">
      <c r="CN7241">
        <v>7240</v>
      </c>
    </row>
    <row r="7242" spans="92:92" x14ac:dyDescent="0.3">
      <c r="CN7242">
        <v>7241</v>
      </c>
    </row>
    <row r="7243" spans="92:92" x14ac:dyDescent="0.3">
      <c r="CN7243">
        <v>7242</v>
      </c>
    </row>
    <row r="7244" spans="92:92" x14ac:dyDescent="0.3">
      <c r="CN7244">
        <v>7243</v>
      </c>
    </row>
    <row r="7245" spans="92:92" x14ac:dyDescent="0.3">
      <c r="CN7245">
        <v>7244</v>
      </c>
    </row>
    <row r="7246" spans="92:92" x14ac:dyDescent="0.3">
      <c r="CN7246">
        <v>7245</v>
      </c>
    </row>
    <row r="7247" spans="92:92" x14ac:dyDescent="0.3">
      <c r="CN7247">
        <v>7246</v>
      </c>
    </row>
    <row r="7248" spans="92:92" x14ac:dyDescent="0.3">
      <c r="CN7248">
        <v>7247</v>
      </c>
    </row>
    <row r="7249" spans="92:92" x14ac:dyDescent="0.3">
      <c r="CN7249">
        <v>7248</v>
      </c>
    </row>
    <row r="7250" spans="92:92" x14ac:dyDescent="0.3">
      <c r="CN7250">
        <v>7249</v>
      </c>
    </row>
    <row r="7251" spans="92:92" x14ac:dyDescent="0.3">
      <c r="CN7251">
        <v>7250</v>
      </c>
    </row>
    <row r="7252" spans="92:92" x14ac:dyDescent="0.3">
      <c r="CN7252">
        <v>7251</v>
      </c>
    </row>
    <row r="7253" spans="92:92" x14ac:dyDescent="0.3">
      <c r="CN7253">
        <v>7252</v>
      </c>
    </row>
    <row r="7254" spans="92:92" x14ac:dyDescent="0.3">
      <c r="CN7254">
        <v>7253</v>
      </c>
    </row>
    <row r="7255" spans="92:92" x14ac:dyDescent="0.3">
      <c r="CN7255">
        <v>7254</v>
      </c>
    </row>
    <row r="7256" spans="92:92" x14ac:dyDescent="0.3">
      <c r="CN7256">
        <v>7255</v>
      </c>
    </row>
    <row r="7257" spans="92:92" x14ac:dyDescent="0.3">
      <c r="CN7257">
        <v>7256</v>
      </c>
    </row>
    <row r="7258" spans="92:92" x14ac:dyDescent="0.3">
      <c r="CN7258">
        <v>7257</v>
      </c>
    </row>
    <row r="7259" spans="92:92" x14ac:dyDescent="0.3">
      <c r="CN7259">
        <v>7258</v>
      </c>
    </row>
    <row r="7260" spans="92:92" x14ac:dyDescent="0.3">
      <c r="CN7260">
        <v>7259</v>
      </c>
    </row>
    <row r="7261" spans="92:92" x14ac:dyDescent="0.3">
      <c r="CN7261">
        <v>7260</v>
      </c>
    </row>
    <row r="7262" spans="92:92" x14ac:dyDescent="0.3">
      <c r="CN7262">
        <v>7261</v>
      </c>
    </row>
    <row r="7263" spans="92:92" x14ac:dyDescent="0.3">
      <c r="CN7263">
        <v>7262</v>
      </c>
    </row>
    <row r="7264" spans="92:92" x14ac:dyDescent="0.3">
      <c r="CN7264">
        <v>7263</v>
      </c>
    </row>
    <row r="7265" spans="92:92" x14ac:dyDescent="0.3">
      <c r="CN7265">
        <v>7264</v>
      </c>
    </row>
    <row r="7266" spans="92:92" x14ac:dyDescent="0.3">
      <c r="CN7266">
        <v>7265</v>
      </c>
    </row>
    <row r="7267" spans="92:92" x14ac:dyDescent="0.3">
      <c r="CN7267">
        <v>7266</v>
      </c>
    </row>
    <row r="7268" spans="92:92" x14ac:dyDescent="0.3">
      <c r="CN7268">
        <v>7267</v>
      </c>
    </row>
    <row r="7269" spans="92:92" x14ac:dyDescent="0.3">
      <c r="CN7269">
        <v>7268</v>
      </c>
    </row>
    <row r="7270" spans="92:92" x14ac:dyDescent="0.3">
      <c r="CN7270">
        <v>7269</v>
      </c>
    </row>
    <row r="7271" spans="92:92" x14ac:dyDescent="0.3">
      <c r="CN7271">
        <v>7270</v>
      </c>
    </row>
    <row r="7272" spans="92:92" x14ac:dyDescent="0.3">
      <c r="CN7272">
        <v>7271</v>
      </c>
    </row>
    <row r="7273" spans="92:92" x14ac:dyDescent="0.3">
      <c r="CN7273">
        <v>7272</v>
      </c>
    </row>
    <row r="7274" spans="92:92" x14ac:dyDescent="0.3">
      <c r="CN7274">
        <v>7273</v>
      </c>
    </row>
    <row r="7275" spans="92:92" x14ac:dyDescent="0.3">
      <c r="CN7275">
        <v>7274</v>
      </c>
    </row>
    <row r="7276" spans="92:92" x14ac:dyDescent="0.3">
      <c r="CN7276">
        <v>7275</v>
      </c>
    </row>
    <row r="7277" spans="92:92" x14ac:dyDescent="0.3">
      <c r="CN7277">
        <v>7276</v>
      </c>
    </row>
    <row r="7278" spans="92:92" x14ac:dyDescent="0.3">
      <c r="CN7278">
        <v>7277</v>
      </c>
    </row>
    <row r="7279" spans="92:92" x14ac:dyDescent="0.3">
      <c r="CN7279">
        <v>7278</v>
      </c>
    </row>
    <row r="7280" spans="92:92" x14ac:dyDescent="0.3">
      <c r="CN7280">
        <v>7279</v>
      </c>
    </row>
    <row r="7281" spans="92:92" x14ac:dyDescent="0.3">
      <c r="CN7281">
        <v>7280</v>
      </c>
    </row>
    <row r="7282" spans="92:92" x14ac:dyDescent="0.3">
      <c r="CN7282">
        <v>7281</v>
      </c>
    </row>
    <row r="7283" spans="92:92" x14ac:dyDescent="0.3">
      <c r="CN7283">
        <v>7282</v>
      </c>
    </row>
    <row r="7284" spans="92:92" x14ac:dyDescent="0.3">
      <c r="CN7284">
        <v>7283</v>
      </c>
    </row>
    <row r="7285" spans="92:92" x14ac:dyDescent="0.3">
      <c r="CN7285">
        <v>7284</v>
      </c>
    </row>
    <row r="7286" spans="92:92" x14ac:dyDescent="0.3">
      <c r="CN7286">
        <v>7285</v>
      </c>
    </row>
    <row r="7287" spans="92:92" x14ac:dyDescent="0.3">
      <c r="CN7287">
        <v>7286</v>
      </c>
    </row>
    <row r="7288" spans="92:92" x14ac:dyDescent="0.3">
      <c r="CN7288">
        <v>7287</v>
      </c>
    </row>
    <row r="7289" spans="92:92" x14ac:dyDescent="0.3">
      <c r="CN7289">
        <v>7288</v>
      </c>
    </row>
    <row r="7290" spans="92:92" x14ac:dyDescent="0.3">
      <c r="CN7290">
        <v>7289</v>
      </c>
    </row>
    <row r="7291" spans="92:92" x14ac:dyDescent="0.3">
      <c r="CN7291">
        <v>7290</v>
      </c>
    </row>
    <row r="7292" spans="92:92" x14ac:dyDescent="0.3">
      <c r="CN7292">
        <v>7291</v>
      </c>
    </row>
    <row r="7293" spans="92:92" x14ac:dyDescent="0.3">
      <c r="CN7293">
        <v>7292</v>
      </c>
    </row>
    <row r="7294" spans="92:92" x14ac:dyDescent="0.3">
      <c r="CN7294">
        <v>7293</v>
      </c>
    </row>
    <row r="7295" spans="92:92" x14ac:dyDescent="0.3">
      <c r="CN7295">
        <v>7294</v>
      </c>
    </row>
    <row r="7296" spans="92:92" x14ac:dyDescent="0.3">
      <c r="CN7296">
        <v>7295</v>
      </c>
    </row>
    <row r="7297" spans="92:92" x14ac:dyDescent="0.3">
      <c r="CN7297">
        <v>7296</v>
      </c>
    </row>
    <row r="7298" spans="92:92" x14ac:dyDescent="0.3">
      <c r="CN7298">
        <v>7297</v>
      </c>
    </row>
    <row r="7299" spans="92:92" x14ac:dyDescent="0.3">
      <c r="CN7299">
        <v>7298</v>
      </c>
    </row>
    <row r="7300" spans="92:92" x14ac:dyDescent="0.3">
      <c r="CN7300">
        <v>7299</v>
      </c>
    </row>
    <row r="7301" spans="92:92" x14ac:dyDescent="0.3">
      <c r="CN7301">
        <v>7300</v>
      </c>
    </row>
    <row r="7302" spans="92:92" x14ac:dyDescent="0.3">
      <c r="CN7302">
        <v>7301</v>
      </c>
    </row>
    <row r="7303" spans="92:92" x14ac:dyDescent="0.3">
      <c r="CN7303">
        <v>7302</v>
      </c>
    </row>
    <row r="7304" spans="92:92" x14ac:dyDescent="0.3">
      <c r="CN7304">
        <v>7303</v>
      </c>
    </row>
    <row r="7305" spans="92:92" x14ac:dyDescent="0.3">
      <c r="CN7305">
        <v>7304</v>
      </c>
    </row>
    <row r="7306" spans="92:92" x14ac:dyDescent="0.3">
      <c r="CN7306">
        <v>7305</v>
      </c>
    </row>
    <row r="7307" spans="92:92" x14ac:dyDescent="0.3">
      <c r="CN7307">
        <v>7306</v>
      </c>
    </row>
    <row r="7308" spans="92:92" x14ac:dyDescent="0.3">
      <c r="CN7308">
        <v>7307</v>
      </c>
    </row>
    <row r="7309" spans="92:92" x14ac:dyDescent="0.3">
      <c r="CN7309">
        <v>7308</v>
      </c>
    </row>
    <row r="7310" spans="92:92" x14ac:dyDescent="0.3">
      <c r="CN7310">
        <v>7309</v>
      </c>
    </row>
    <row r="7311" spans="92:92" x14ac:dyDescent="0.3">
      <c r="CN7311">
        <v>7310</v>
      </c>
    </row>
    <row r="7312" spans="92:92" x14ac:dyDescent="0.3">
      <c r="CN7312">
        <v>7311</v>
      </c>
    </row>
    <row r="7313" spans="92:92" x14ac:dyDescent="0.3">
      <c r="CN7313">
        <v>7312</v>
      </c>
    </row>
    <row r="7314" spans="92:92" x14ac:dyDescent="0.3">
      <c r="CN7314">
        <v>7313</v>
      </c>
    </row>
    <row r="7315" spans="92:92" x14ac:dyDescent="0.3">
      <c r="CN7315">
        <v>7314</v>
      </c>
    </row>
    <row r="7316" spans="92:92" x14ac:dyDescent="0.3">
      <c r="CN7316">
        <v>7315</v>
      </c>
    </row>
    <row r="7317" spans="92:92" x14ac:dyDescent="0.3">
      <c r="CN7317">
        <v>7316</v>
      </c>
    </row>
    <row r="7318" spans="92:92" x14ac:dyDescent="0.3">
      <c r="CN7318">
        <v>7317</v>
      </c>
    </row>
    <row r="7319" spans="92:92" x14ac:dyDescent="0.3">
      <c r="CN7319">
        <v>7318</v>
      </c>
    </row>
    <row r="7320" spans="92:92" x14ac:dyDescent="0.3">
      <c r="CN7320">
        <v>7319</v>
      </c>
    </row>
    <row r="7321" spans="92:92" x14ac:dyDescent="0.3">
      <c r="CN7321">
        <v>7320</v>
      </c>
    </row>
    <row r="7322" spans="92:92" x14ac:dyDescent="0.3">
      <c r="CN7322">
        <v>7321</v>
      </c>
    </row>
    <row r="7323" spans="92:92" x14ac:dyDescent="0.3">
      <c r="CN7323">
        <v>7322</v>
      </c>
    </row>
    <row r="7324" spans="92:92" x14ac:dyDescent="0.3">
      <c r="CN7324">
        <v>7323</v>
      </c>
    </row>
    <row r="7325" spans="92:92" x14ac:dyDescent="0.3">
      <c r="CN7325">
        <v>7324</v>
      </c>
    </row>
    <row r="7326" spans="92:92" x14ac:dyDescent="0.3">
      <c r="CN7326">
        <v>7325</v>
      </c>
    </row>
    <row r="7327" spans="92:92" x14ac:dyDescent="0.3">
      <c r="CN7327">
        <v>7326</v>
      </c>
    </row>
    <row r="7328" spans="92:92" x14ac:dyDescent="0.3">
      <c r="CN7328">
        <v>7327</v>
      </c>
    </row>
    <row r="7329" spans="92:92" x14ac:dyDescent="0.3">
      <c r="CN7329">
        <v>7328</v>
      </c>
    </row>
    <row r="7330" spans="92:92" x14ac:dyDescent="0.3">
      <c r="CN7330">
        <v>7329</v>
      </c>
    </row>
    <row r="7331" spans="92:92" x14ac:dyDescent="0.3">
      <c r="CN7331">
        <v>7330</v>
      </c>
    </row>
    <row r="7332" spans="92:92" x14ac:dyDescent="0.3">
      <c r="CN7332">
        <v>7331</v>
      </c>
    </row>
    <row r="7333" spans="92:92" x14ac:dyDescent="0.3">
      <c r="CN7333">
        <v>7332</v>
      </c>
    </row>
    <row r="7334" spans="92:92" x14ac:dyDescent="0.3">
      <c r="CN7334">
        <v>7333</v>
      </c>
    </row>
    <row r="7335" spans="92:92" x14ac:dyDescent="0.3">
      <c r="CN7335">
        <v>7334</v>
      </c>
    </row>
    <row r="7336" spans="92:92" x14ac:dyDescent="0.3">
      <c r="CN7336">
        <v>7335</v>
      </c>
    </row>
    <row r="7337" spans="92:92" x14ac:dyDescent="0.3">
      <c r="CN7337">
        <v>7336</v>
      </c>
    </row>
    <row r="7338" spans="92:92" x14ac:dyDescent="0.3">
      <c r="CN7338">
        <v>7337</v>
      </c>
    </row>
    <row r="7339" spans="92:92" x14ac:dyDescent="0.3">
      <c r="CN7339">
        <v>7338</v>
      </c>
    </row>
    <row r="7340" spans="92:92" x14ac:dyDescent="0.3">
      <c r="CN7340">
        <v>7339</v>
      </c>
    </row>
    <row r="7341" spans="92:92" x14ac:dyDescent="0.3">
      <c r="CN7341">
        <v>7340</v>
      </c>
    </row>
    <row r="7342" spans="92:92" x14ac:dyDescent="0.3">
      <c r="CN7342">
        <v>7341</v>
      </c>
    </row>
    <row r="7343" spans="92:92" x14ac:dyDescent="0.3">
      <c r="CN7343">
        <v>7342</v>
      </c>
    </row>
    <row r="7344" spans="92:92" x14ac:dyDescent="0.3">
      <c r="CN7344">
        <v>7343</v>
      </c>
    </row>
    <row r="7345" spans="92:92" x14ac:dyDescent="0.3">
      <c r="CN7345">
        <v>7344</v>
      </c>
    </row>
    <row r="7346" spans="92:92" x14ac:dyDescent="0.3">
      <c r="CN7346">
        <v>7345</v>
      </c>
    </row>
    <row r="7347" spans="92:92" x14ac:dyDescent="0.3">
      <c r="CN7347">
        <v>7346</v>
      </c>
    </row>
    <row r="7348" spans="92:92" x14ac:dyDescent="0.3">
      <c r="CN7348">
        <v>7347</v>
      </c>
    </row>
    <row r="7349" spans="92:92" x14ac:dyDescent="0.3">
      <c r="CN7349">
        <v>7348</v>
      </c>
    </row>
    <row r="7350" spans="92:92" x14ac:dyDescent="0.3">
      <c r="CN7350">
        <v>7349</v>
      </c>
    </row>
    <row r="7351" spans="92:92" x14ac:dyDescent="0.3">
      <c r="CN7351">
        <v>7350</v>
      </c>
    </row>
    <row r="7352" spans="92:92" x14ac:dyDescent="0.3">
      <c r="CN7352">
        <v>7351</v>
      </c>
    </row>
    <row r="7353" spans="92:92" x14ac:dyDescent="0.3">
      <c r="CN7353">
        <v>7352</v>
      </c>
    </row>
    <row r="7354" spans="92:92" x14ac:dyDescent="0.3">
      <c r="CN7354">
        <v>7353</v>
      </c>
    </row>
    <row r="7355" spans="92:92" x14ac:dyDescent="0.3">
      <c r="CN7355">
        <v>7354</v>
      </c>
    </row>
    <row r="7356" spans="92:92" x14ac:dyDescent="0.3">
      <c r="CN7356">
        <v>7355</v>
      </c>
    </row>
    <row r="7357" spans="92:92" x14ac:dyDescent="0.3">
      <c r="CN7357">
        <v>7356</v>
      </c>
    </row>
    <row r="7358" spans="92:92" x14ac:dyDescent="0.3">
      <c r="CN7358">
        <v>7357</v>
      </c>
    </row>
    <row r="7359" spans="92:92" x14ac:dyDescent="0.3">
      <c r="CN7359">
        <v>7358</v>
      </c>
    </row>
    <row r="7360" spans="92:92" x14ac:dyDescent="0.3">
      <c r="CN7360">
        <v>7359</v>
      </c>
    </row>
    <row r="7361" spans="92:92" x14ac:dyDescent="0.3">
      <c r="CN7361">
        <v>7360</v>
      </c>
    </row>
    <row r="7362" spans="92:92" x14ac:dyDescent="0.3">
      <c r="CN7362">
        <v>7361</v>
      </c>
    </row>
    <row r="7363" spans="92:92" x14ac:dyDescent="0.3">
      <c r="CN7363">
        <v>7362</v>
      </c>
    </row>
    <row r="7364" spans="92:92" x14ac:dyDescent="0.3">
      <c r="CN7364">
        <v>7363</v>
      </c>
    </row>
    <row r="7365" spans="92:92" x14ac:dyDescent="0.3">
      <c r="CN7365">
        <v>7364</v>
      </c>
    </row>
    <row r="7366" spans="92:92" x14ac:dyDescent="0.3">
      <c r="CN7366">
        <v>7365</v>
      </c>
    </row>
    <row r="7367" spans="92:92" x14ac:dyDescent="0.3">
      <c r="CN7367">
        <v>7366</v>
      </c>
    </row>
    <row r="7368" spans="92:92" x14ac:dyDescent="0.3">
      <c r="CN7368">
        <v>7367</v>
      </c>
    </row>
    <row r="7369" spans="92:92" x14ac:dyDescent="0.3">
      <c r="CN7369">
        <v>7368</v>
      </c>
    </row>
    <row r="7370" spans="92:92" x14ac:dyDescent="0.3">
      <c r="CN7370">
        <v>7369</v>
      </c>
    </row>
    <row r="7371" spans="92:92" x14ac:dyDescent="0.3">
      <c r="CN7371">
        <v>7370</v>
      </c>
    </row>
    <row r="7372" spans="92:92" x14ac:dyDescent="0.3">
      <c r="CN7372">
        <v>7371</v>
      </c>
    </row>
    <row r="7373" spans="92:92" x14ac:dyDescent="0.3">
      <c r="CN7373">
        <v>7372</v>
      </c>
    </row>
    <row r="7374" spans="92:92" x14ac:dyDescent="0.3">
      <c r="CN7374">
        <v>7373</v>
      </c>
    </row>
    <row r="7375" spans="92:92" x14ac:dyDescent="0.3">
      <c r="CN7375">
        <v>7374</v>
      </c>
    </row>
    <row r="7376" spans="92:92" x14ac:dyDescent="0.3">
      <c r="CN7376">
        <v>7375</v>
      </c>
    </row>
    <row r="7377" spans="92:92" x14ac:dyDescent="0.3">
      <c r="CN7377">
        <v>7376</v>
      </c>
    </row>
    <row r="7378" spans="92:92" x14ac:dyDescent="0.3">
      <c r="CN7378">
        <v>7377</v>
      </c>
    </row>
    <row r="7379" spans="92:92" x14ac:dyDescent="0.3">
      <c r="CN7379">
        <v>7378</v>
      </c>
    </row>
    <row r="7380" spans="92:92" x14ac:dyDescent="0.3">
      <c r="CN7380">
        <v>7379</v>
      </c>
    </row>
    <row r="7381" spans="92:92" x14ac:dyDescent="0.3">
      <c r="CN7381">
        <v>7380</v>
      </c>
    </row>
    <row r="7382" spans="92:92" x14ac:dyDescent="0.3">
      <c r="CN7382">
        <v>7381</v>
      </c>
    </row>
    <row r="7383" spans="92:92" x14ac:dyDescent="0.3">
      <c r="CN7383">
        <v>7382</v>
      </c>
    </row>
    <row r="7384" spans="92:92" x14ac:dyDescent="0.3">
      <c r="CN7384">
        <v>7383</v>
      </c>
    </row>
    <row r="7385" spans="92:92" x14ac:dyDescent="0.3">
      <c r="CN7385">
        <v>7384</v>
      </c>
    </row>
    <row r="7386" spans="92:92" x14ac:dyDescent="0.3">
      <c r="CN7386">
        <v>7385</v>
      </c>
    </row>
    <row r="7387" spans="92:92" x14ac:dyDescent="0.3">
      <c r="CN7387">
        <v>7386</v>
      </c>
    </row>
    <row r="7388" spans="92:92" x14ac:dyDescent="0.3">
      <c r="CN7388">
        <v>7387</v>
      </c>
    </row>
    <row r="7389" spans="92:92" x14ac:dyDescent="0.3">
      <c r="CN7389">
        <v>7388</v>
      </c>
    </row>
    <row r="7390" spans="92:92" x14ac:dyDescent="0.3">
      <c r="CN7390">
        <v>7389</v>
      </c>
    </row>
    <row r="7391" spans="92:92" x14ac:dyDescent="0.3">
      <c r="CN7391">
        <v>7390</v>
      </c>
    </row>
    <row r="7392" spans="92:92" x14ac:dyDescent="0.3">
      <c r="CN7392">
        <v>7391</v>
      </c>
    </row>
    <row r="7393" spans="92:92" x14ac:dyDescent="0.3">
      <c r="CN7393">
        <v>7392</v>
      </c>
    </row>
    <row r="7394" spans="92:92" x14ac:dyDescent="0.3">
      <c r="CN7394">
        <v>7393</v>
      </c>
    </row>
    <row r="7395" spans="92:92" x14ac:dyDescent="0.3">
      <c r="CN7395">
        <v>7394</v>
      </c>
    </row>
    <row r="7396" spans="92:92" x14ac:dyDescent="0.3">
      <c r="CN7396">
        <v>7395</v>
      </c>
    </row>
    <row r="7397" spans="92:92" x14ac:dyDescent="0.3">
      <c r="CN7397">
        <v>7396</v>
      </c>
    </row>
    <row r="7398" spans="92:92" x14ac:dyDescent="0.3">
      <c r="CN7398">
        <v>7397</v>
      </c>
    </row>
    <row r="7399" spans="92:92" x14ac:dyDescent="0.3">
      <c r="CN7399">
        <v>7398</v>
      </c>
    </row>
    <row r="7400" spans="92:92" x14ac:dyDescent="0.3">
      <c r="CN7400">
        <v>7399</v>
      </c>
    </row>
    <row r="7401" spans="92:92" x14ac:dyDescent="0.3">
      <c r="CN7401">
        <v>7400</v>
      </c>
    </row>
    <row r="7402" spans="92:92" x14ac:dyDescent="0.3">
      <c r="CN7402">
        <v>7401</v>
      </c>
    </row>
    <row r="7403" spans="92:92" x14ac:dyDescent="0.3">
      <c r="CN7403">
        <v>7402</v>
      </c>
    </row>
    <row r="7404" spans="92:92" x14ac:dyDescent="0.3">
      <c r="CN7404">
        <v>7403</v>
      </c>
    </row>
    <row r="7405" spans="92:92" x14ac:dyDescent="0.3">
      <c r="CN7405">
        <v>7404</v>
      </c>
    </row>
    <row r="7406" spans="92:92" x14ac:dyDescent="0.3">
      <c r="CN7406">
        <v>7405</v>
      </c>
    </row>
    <row r="7407" spans="92:92" x14ac:dyDescent="0.3">
      <c r="CN7407">
        <v>7406</v>
      </c>
    </row>
    <row r="7408" spans="92:92" x14ac:dyDescent="0.3">
      <c r="CN7408">
        <v>7407</v>
      </c>
    </row>
    <row r="7409" spans="92:92" x14ac:dyDescent="0.3">
      <c r="CN7409">
        <v>7408</v>
      </c>
    </row>
    <row r="7410" spans="92:92" x14ac:dyDescent="0.3">
      <c r="CN7410">
        <v>7409</v>
      </c>
    </row>
    <row r="7411" spans="92:92" x14ac:dyDescent="0.3">
      <c r="CN7411">
        <v>7410</v>
      </c>
    </row>
    <row r="7412" spans="92:92" x14ac:dyDescent="0.3">
      <c r="CN7412">
        <v>7411</v>
      </c>
    </row>
    <row r="7413" spans="92:92" x14ac:dyDescent="0.3">
      <c r="CN7413">
        <v>7412</v>
      </c>
    </row>
    <row r="7414" spans="92:92" x14ac:dyDescent="0.3">
      <c r="CN7414">
        <v>7413</v>
      </c>
    </row>
    <row r="7415" spans="92:92" x14ac:dyDescent="0.3">
      <c r="CN7415">
        <v>7414</v>
      </c>
    </row>
    <row r="7416" spans="92:92" x14ac:dyDescent="0.3">
      <c r="CN7416">
        <v>7415</v>
      </c>
    </row>
    <row r="7417" spans="92:92" x14ac:dyDescent="0.3">
      <c r="CN7417">
        <v>7416</v>
      </c>
    </row>
    <row r="7418" spans="92:92" x14ac:dyDescent="0.3">
      <c r="CN7418">
        <v>7417</v>
      </c>
    </row>
    <row r="7419" spans="92:92" x14ac:dyDescent="0.3">
      <c r="CN7419">
        <v>7418</v>
      </c>
    </row>
    <row r="7420" spans="92:92" x14ac:dyDescent="0.3">
      <c r="CN7420">
        <v>7419</v>
      </c>
    </row>
    <row r="7421" spans="92:92" x14ac:dyDescent="0.3">
      <c r="CN7421">
        <v>7420</v>
      </c>
    </row>
    <row r="7422" spans="92:92" x14ac:dyDescent="0.3">
      <c r="CN7422">
        <v>7421</v>
      </c>
    </row>
    <row r="7423" spans="92:92" x14ac:dyDescent="0.3">
      <c r="CN7423">
        <v>7422</v>
      </c>
    </row>
    <row r="7424" spans="92:92" x14ac:dyDescent="0.3">
      <c r="CN7424">
        <v>7423</v>
      </c>
    </row>
    <row r="7425" spans="92:92" x14ac:dyDescent="0.3">
      <c r="CN7425">
        <v>7424</v>
      </c>
    </row>
    <row r="7426" spans="92:92" x14ac:dyDescent="0.3">
      <c r="CN7426">
        <v>7425</v>
      </c>
    </row>
    <row r="7427" spans="92:92" x14ac:dyDescent="0.3">
      <c r="CN7427">
        <v>7426</v>
      </c>
    </row>
    <row r="7428" spans="92:92" x14ac:dyDescent="0.3">
      <c r="CN7428">
        <v>7427</v>
      </c>
    </row>
    <row r="7429" spans="92:92" x14ac:dyDescent="0.3">
      <c r="CN7429">
        <v>7428</v>
      </c>
    </row>
    <row r="7430" spans="92:92" x14ac:dyDescent="0.3">
      <c r="CN7430">
        <v>7429</v>
      </c>
    </row>
    <row r="7431" spans="92:92" x14ac:dyDescent="0.3">
      <c r="CN7431">
        <v>7430</v>
      </c>
    </row>
    <row r="7432" spans="92:92" x14ac:dyDescent="0.3">
      <c r="CN7432">
        <v>7431</v>
      </c>
    </row>
    <row r="7433" spans="92:92" x14ac:dyDescent="0.3">
      <c r="CN7433">
        <v>7432</v>
      </c>
    </row>
    <row r="7434" spans="92:92" x14ac:dyDescent="0.3">
      <c r="CN7434">
        <v>7433</v>
      </c>
    </row>
    <row r="7435" spans="92:92" x14ac:dyDescent="0.3">
      <c r="CN7435">
        <v>7434</v>
      </c>
    </row>
    <row r="7436" spans="92:92" x14ac:dyDescent="0.3">
      <c r="CN7436">
        <v>7435</v>
      </c>
    </row>
    <row r="7437" spans="92:92" x14ac:dyDescent="0.3">
      <c r="CN7437">
        <v>7436</v>
      </c>
    </row>
    <row r="7438" spans="92:92" x14ac:dyDescent="0.3">
      <c r="CN7438">
        <v>7437</v>
      </c>
    </row>
    <row r="7439" spans="92:92" x14ac:dyDescent="0.3">
      <c r="CN7439">
        <v>7438</v>
      </c>
    </row>
    <row r="7440" spans="92:92" x14ac:dyDescent="0.3">
      <c r="CN7440">
        <v>7439</v>
      </c>
    </row>
    <row r="7441" spans="92:92" x14ac:dyDescent="0.3">
      <c r="CN7441">
        <v>7440</v>
      </c>
    </row>
    <row r="7442" spans="92:92" x14ac:dyDescent="0.3">
      <c r="CN7442">
        <v>7441</v>
      </c>
    </row>
    <row r="7443" spans="92:92" x14ac:dyDescent="0.3">
      <c r="CN7443">
        <v>7442</v>
      </c>
    </row>
    <row r="7444" spans="92:92" x14ac:dyDescent="0.3">
      <c r="CN7444">
        <v>7443</v>
      </c>
    </row>
    <row r="7445" spans="92:92" x14ac:dyDescent="0.3">
      <c r="CN7445">
        <v>7444</v>
      </c>
    </row>
    <row r="7446" spans="92:92" x14ac:dyDescent="0.3">
      <c r="CN7446">
        <v>7445</v>
      </c>
    </row>
    <row r="7447" spans="92:92" x14ac:dyDescent="0.3">
      <c r="CN7447">
        <v>7446</v>
      </c>
    </row>
    <row r="7448" spans="92:92" x14ac:dyDescent="0.3">
      <c r="CN7448">
        <v>7447</v>
      </c>
    </row>
    <row r="7449" spans="92:92" x14ac:dyDescent="0.3">
      <c r="CN7449">
        <v>7448</v>
      </c>
    </row>
    <row r="7450" spans="92:92" x14ac:dyDescent="0.3">
      <c r="CN7450">
        <v>7449</v>
      </c>
    </row>
    <row r="7451" spans="92:92" x14ac:dyDescent="0.3">
      <c r="CN7451">
        <v>7450</v>
      </c>
    </row>
    <row r="7452" spans="92:92" x14ac:dyDescent="0.3">
      <c r="CN7452">
        <v>7451</v>
      </c>
    </row>
    <row r="7453" spans="92:92" x14ac:dyDescent="0.3">
      <c r="CN7453">
        <v>7452</v>
      </c>
    </row>
    <row r="7454" spans="92:92" x14ac:dyDescent="0.3">
      <c r="CN7454">
        <v>7453</v>
      </c>
    </row>
    <row r="7455" spans="92:92" x14ac:dyDescent="0.3">
      <c r="CN7455">
        <v>7454</v>
      </c>
    </row>
    <row r="7456" spans="92:92" x14ac:dyDescent="0.3">
      <c r="CN7456">
        <v>7455</v>
      </c>
    </row>
    <row r="7457" spans="92:92" x14ac:dyDescent="0.3">
      <c r="CN7457">
        <v>7456</v>
      </c>
    </row>
    <row r="7458" spans="92:92" x14ac:dyDescent="0.3">
      <c r="CN7458">
        <v>7457</v>
      </c>
    </row>
    <row r="7459" spans="92:92" x14ac:dyDescent="0.3">
      <c r="CN7459">
        <v>7458</v>
      </c>
    </row>
    <row r="7460" spans="92:92" x14ac:dyDescent="0.3">
      <c r="CN7460">
        <v>7459</v>
      </c>
    </row>
    <row r="7461" spans="92:92" x14ac:dyDescent="0.3">
      <c r="CN7461">
        <v>7460</v>
      </c>
    </row>
    <row r="7462" spans="92:92" x14ac:dyDescent="0.3">
      <c r="CN7462">
        <v>7461</v>
      </c>
    </row>
    <row r="7463" spans="92:92" x14ac:dyDescent="0.3">
      <c r="CN7463">
        <v>7462</v>
      </c>
    </row>
    <row r="7464" spans="92:92" x14ac:dyDescent="0.3">
      <c r="CN7464">
        <v>7463</v>
      </c>
    </row>
    <row r="7465" spans="92:92" x14ac:dyDescent="0.3">
      <c r="CN7465">
        <v>7464</v>
      </c>
    </row>
    <row r="7466" spans="92:92" x14ac:dyDescent="0.3">
      <c r="CN7466">
        <v>7465</v>
      </c>
    </row>
    <row r="7467" spans="92:92" x14ac:dyDescent="0.3">
      <c r="CN7467">
        <v>7466</v>
      </c>
    </row>
    <row r="7468" spans="92:92" x14ac:dyDescent="0.3">
      <c r="CN7468">
        <v>7467</v>
      </c>
    </row>
    <row r="7469" spans="92:92" x14ac:dyDescent="0.3">
      <c r="CN7469">
        <v>7468</v>
      </c>
    </row>
    <row r="7470" spans="92:92" x14ac:dyDescent="0.3">
      <c r="CN7470">
        <v>7469</v>
      </c>
    </row>
    <row r="7471" spans="92:92" x14ac:dyDescent="0.3">
      <c r="CN7471">
        <v>7470</v>
      </c>
    </row>
    <row r="7472" spans="92:92" x14ac:dyDescent="0.3">
      <c r="CN7472">
        <v>7471</v>
      </c>
    </row>
    <row r="7473" spans="92:92" x14ac:dyDescent="0.3">
      <c r="CN7473">
        <v>7472</v>
      </c>
    </row>
    <row r="7474" spans="92:92" x14ac:dyDescent="0.3">
      <c r="CN7474">
        <v>7473</v>
      </c>
    </row>
    <row r="7475" spans="92:92" x14ac:dyDescent="0.3">
      <c r="CN7475">
        <v>7474</v>
      </c>
    </row>
    <row r="7476" spans="92:92" x14ac:dyDescent="0.3">
      <c r="CN7476">
        <v>7475</v>
      </c>
    </row>
    <row r="7477" spans="92:92" x14ac:dyDescent="0.3">
      <c r="CN7477">
        <v>7476</v>
      </c>
    </row>
    <row r="7478" spans="92:92" x14ac:dyDescent="0.3">
      <c r="CN7478">
        <v>7477</v>
      </c>
    </row>
    <row r="7479" spans="92:92" x14ac:dyDescent="0.3">
      <c r="CN7479">
        <v>7478</v>
      </c>
    </row>
    <row r="7480" spans="92:92" x14ac:dyDescent="0.3">
      <c r="CN7480">
        <v>7479</v>
      </c>
    </row>
    <row r="7481" spans="92:92" x14ac:dyDescent="0.3">
      <c r="CN7481">
        <v>7480</v>
      </c>
    </row>
    <row r="7482" spans="92:92" x14ac:dyDescent="0.3">
      <c r="CN7482">
        <v>7481</v>
      </c>
    </row>
    <row r="7483" spans="92:92" x14ac:dyDescent="0.3">
      <c r="CN7483">
        <v>7482</v>
      </c>
    </row>
    <row r="7484" spans="92:92" x14ac:dyDescent="0.3">
      <c r="CN7484">
        <v>7483</v>
      </c>
    </row>
    <row r="7485" spans="92:92" x14ac:dyDescent="0.3">
      <c r="CN7485">
        <v>7484</v>
      </c>
    </row>
    <row r="7486" spans="92:92" x14ac:dyDescent="0.3">
      <c r="CN7486">
        <v>7485</v>
      </c>
    </row>
    <row r="7487" spans="92:92" x14ac:dyDescent="0.3">
      <c r="CN7487">
        <v>7486</v>
      </c>
    </row>
    <row r="7488" spans="92:92" x14ac:dyDescent="0.3">
      <c r="CN7488">
        <v>7487</v>
      </c>
    </row>
    <row r="7489" spans="92:92" x14ac:dyDescent="0.3">
      <c r="CN7489">
        <v>7488</v>
      </c>
    </row>
    <row r="7490" spans="92:92" x14ac:dyDescent="0.3">
      <c r="CN7490">
        <v>7489</v>
      </c>
    </row>
    <row r="7491" spans="92:92" x14ac:dyDescent="0.3">
      <c r="CN7491">
        <v>7490</v>
      </c>
    </row>
    <row r="7492" spans="92:92" x14ac:dyDescent="0.3">
      <c r="CN7492">
        <v>7491</v>
      </c>
    </row>
    <row r="7493" spans="92:92" x14ac:dyDescent="0.3">
      <c r="CN7493">
        <v>7492</v>
      </c>
    </row>
    <row r="7494" spans="92:92" x14ac:dyDescent="0.3">
      <c r="CN7494">
        <v>7493</v>
      </c>
    </row>
    <row r="7495" spans="92:92" x14ac:dyDescent="0.3">
      <c r="CN7495">
        <v>7494</v>
      </c>
    </row>
    <row r="7496" spans="92:92" x14ac:dyDescent="0.3">
      <c r="CN7496">
        <v>7495</v>
      </c>
    </row>
    <row r="7497" spans="92:92" x14ac:dyDescent="0.3">
      <c r="CN7497">
        <v>7496</v>
      </c>
    </row>
    <row r="7498" spans="92:92" x14ac:dyDescent="0.3">
      <c r="CN7498">
        <v>7497</v>
      </c>
    </row>
    <row r="7499" spans="92:92" x14ac:dyDescent="0.3">
      <c r="CN7499">
        <v>7498</v>
      </c>
    </row>
    <row r="7500" spans="92:92" x14ac:dyDescent="0.3">
      <c r="CN7500">
        <v>7499</v>
      </c>
    </row>
    <row r="7501" spans="92:92" x14ac:dyDescent="0.3">
      <c r="CN7501">
        <v>7500</v>
      </c>
    </row>
    <row r="7502" spans="92:92" x14ac:dyDescent="0.3">
      <c r="CN7502">
        <v>7501</v>
      </c>
    </row>
    <row r="7503" spans="92:92" x14ac:dyDescent="0.3">
      <c r="CN7503">
        <v>7502</v>
      </c>
    </row>
    <row r="7504" spans="92:92" x14ac:dyDescent="0.3">
      <c r="CN7504">
        <v>7503</v>
      </c>
    </row>
    <row r="7505" spans="92:92" x14ac:dyDescent="0.3">
      <c r="CN7505">
        <v>7504</v>
      </c>
    </row>
    <row r="7506" spans="92:92" x14ac:dyDescent="0.3">
      <c r="CN7506">
        <v>7505</v>
      </c>
    </row>
    <row r="7507" spans="92:92" x14ac:dyDescent="0.3">
      <c r="CN7507">
        <v>7506</v>
      </c>
    </row>
    <row r="7508" spans="92:92" x14ac:dyDescent="0.3">
      <c r="CN7508">
        <v>7507</v>
      </c>
    </row>
    <row r="7509" spans="92:92" x14ac:dyDescent="0.3">
      <c r="CN7509">
        <v>7508</v>
      </c>
    </row>
    <row r="7510" spans="92:92" x14ac:dyDescent="0.3">
      <c r="CN7510">
        <v>7509</v>
      </c>
    </row>
    <row r="7511" spans="92:92" x14ac:dyDescent="0.3">
      <c r="CN7511">
        <v>7510</v>
      </c>
    </row>
    <row r="7512" spans="92:92" x14ac:dyDescent="0.3">
      <c r="CN7512">
        <v>7511</v>
      </c>
    </row>
    <row r="7513" spans="92:92" x14ac:dyDescent="0.3">
      <c r="CN7513">
        <v>7512</v>
      </c>
    </row>
    <row r="7514" spans="92:92" x14ac:dyDescent="0.3">
      <c r="CN7514">
        <v>7513</v>
      </c>
    </row>
    <row r="7515" spans="92:92" x14ac:dyDescent="0.3">
      <c r="CN7515">
        <v>7514</v>
      </c>
    </row>
    <row r="7516" spans="92:92" x14ac:dyDescent="0.3">
      <c r="CN7516">
        <v>7515</v>
      </c>
    </row>
    <row r="7517" spans="92:92" x14ac:dyDescent="0.3">
      <c r="CN7517">
        <v>7516</v>
      </c>
    </row>
    <row r="7518" spans="92:92" x14ac:dyDescent="0.3">
      <c r="CN7518">
        <v>7517</v>
      </c>
    </row>
    <row r="7519" spans="92:92" x14ac:dyDescent="0.3">
      <c r="CN7519">
        <v>7518</v>
      </c>
    </row>
    <row r="7520" spans="92:92" x14ac:dyDescent="0.3">
      <c r="CN7520">
        <v>7519</v>
      </c>
    </row>
    <row r="7521" spans="92:92" x14ac:dyDescent="0.3">
      <c r="CN7521">
        <v>7520</v>
      </c>
    </row>
    <row r="7522" spans="92:92" x14ac:dyDescent="0.3">
      <c r="CN7522">
        <v>7521</v>
      </c>
    </row>
    <row r="7523" spans="92:92" x14ac:dyDescent="0.3">
      <c r="CN7523">
        <v>7522</v>
      </c>
    </row>
    <row r="7524" spans="92:92" x14ac:dyDescent="0.3">
      <c r="CN7524">
        <v>7523</v>
      </c>
    </row>
    <row r="7525" spans="92:92" x14ac:dyDescent="0.3">
      <c r="CN7525">
        <v>7524</v>
      </c>
    </row>
    <row r="7526" spans="92:92" x14ac:dyDescent="0.3">
      <c r="CN7526">
        <v>7525</v>
      </c>
    </row>
    <row r="7527" spans="92:92" x14ac:dyDescent="0.3">
      <c r="CN7527">
        <v>7526</v>
      </c>
    </row>
    <row r="7528" spans="92:92" x14ac:dyDescent="0.3">
      <c r="CN7528">
        <v>7527</v>
      </c>
    </row>
    <row r="7529" spans="92:92" x14ac:dyDescent="0.3">
      <c r="CN7529">
        <v>7528</v>
      </c>
    </row>
    <row r="7530" spans="92:92" x14ac:dyDescent="0.3">
      <c r="CN7530">
        <v>7529</v>
      </c>
    </row>
    <row r="7531" spans="92:92" x14ac:dyDescent="0.3">
      <c r="CN7531">
        <v>7530</v>
      </c>
    </row>
    <row r="7532" spans="92:92" x14ac:dyDescent="0.3">
      <c r="CN7532">
        <v>7531</v>
      </c>
    </row>
    <row r="7533" spans="92:92" x14ac:dyDescent="0.3">
      <c r="CN7533">
        <v>7532</v>
      </c>
    </row>
    <row r="7534" spans="92:92" x14ac:dyDescent="0.3">
      <c r="CN7534">
        <v>7533</v>
      </c>
    </row>
    <row r="7535" spans="92:92" x14ac:dyDescent="0.3">
      <c r="CN7535">
        <v>7534</v>
      </c>
    </row>
    <row r="7536" spans="92:92" x14ac:dyDescent="0.3">
      <c r="CN7536">
        <v>7535</v>
      </c>
    </row>
    <row r="7537" spans="92:92" x14ac:dyDescent="0.3">
      <c r="CN7537">
        <v>7536</v>
      </c>
    </row>
    <row r="7538" spans="92:92" x14ac:dyDescent="0.3">
      <c r="CN7538">
        <v>7537</v>
      </c>
    </row>
    <row r="7539" spans="92:92" x14ac:dyDescent="0.3">
      <c r="CN7539">
        <v>7538</v>
      </c>
    </row>
    <row r="7540" spans="92:92" x14ac:dyDescent="0.3">
      <c r="CN7540">
        <v>7539</v>
      </c>
    </row>
    <row r="7541" spans="92:92" x14ac:dyDescent="0.3">
      <c r="CN7541">
        <v>7540</v>
      </c>
    </row>
    <row r="7542" spans="92:92" x14ac:dyDescent="0.3">
      <c r="CN7542">
        <v>7541</v>
      </c>
    </row>
    <row r="7543" spans="92:92" x14ac:dyDescent="0.3">
      <c r="CN7543">
        <v>7542</v>
      </c>
    </row>
    <row r="7544" spans="92:92" x14ac:dyDescent="0.3">
      <c r="CN7544">
        <v>7543</v>
      </c>
    </row>
    <row r="7545" spans="92:92" x14ac:dyDescent="0.3">
      <c r="CN7545">
        <v>7544</v>
      </c>
    </row>
    <row r="7546" spans="92:92" x14ac:dyDescent="0.3">
      <c r="CN7546">
        <v>7545</v>
      </c>
    </row>
    <row r="7547" spans="92:92" x14ac:dyDescent="0.3">
      <c r="CN7547">
        <v>7546</v>
      </c>
    </row>
    <row r="7548" spans="92:92" x14ac:dyDescent="0.3">
      <c r="CN7548">
        <v>7547</v>
      </c>
    </row>
    <row r="7549" spans="92:92" x14ac:dyDescent="0.3">
      <c r="CN7549">
        <v>7548</v>
      </c>
    </row>
    <row r="7550" spans="92:92" x14ac:dyDescent="0.3">
      <c r="CN7550">
        <v>7549</v>
      </c>
    </row>
    <row r="7551" spans="92:92" x14ac:dyDescent="0.3">
      <c r="CN7551">
        <v>7550</v>
      </c>
    </row>
    <row r="7552" spans="92:92" x14ac:dyDescent="0.3">
      <c r="CN7552">
        <v>7551</v>
      </c>
    </row>
    <row r="7553" spans="92:92" x14ac:dyDescent="0.3">
      <c r="CN7553">
        <v>7552</v>
      </c>
    </row>
    <row r="7554" spans="92:92" x14ac:dyDescent="0.3">
      <c r="CN7554">
        <v>7553</v>
      </c>
    </row>
    <row r="7555" spans="92:92" x14ac:dyDescent="0.3">
      <c r="CN7555">
        <v>7554</v>
      </c>
    </row>
    <row r="7556" spans="92:92" x14ac:dyDescent="0.3">
      <c r="CN7556">
        <v>7555</v>
      </c>
    </row>
    <row r="7557" spans="92:92" x14ac:dyDescent="0.3">
      <c r="CN7557">
        <v>7556</v>
      </c>
    </row>
    <row r="7558" spans="92:92" x14ac:dyDescent="0.3">
      <c r="CN7558">
        <v>7557</v>
      </c>
    </row>
    <row r="7559" spans="92:92" x14ac:dyDescent="0.3">
      <c r="CN7559">
        <v>7558</v>
      </c>
    </row>
    <row r="7560" spans="92:92" x14ac:dyDescent="0.3">
      <c r="CN7560">
        <v>7559</v>
      </c>
    </row>
    <row r="7561" spans="92:92" x14ac:dyDescent="0.3">
      <c r="CN7561">
        <v>7560</v>
      </c>
    </row>
    <row r="7562" spans="92:92" x14ac:dyDescent="0.3">
      <c r="CN7562">
        <v>7561</v>
      </c>
    </row>
    <row r="7563" spans="92:92" x14ac:dyDescent="0.3">
      <c r="CN7563">
        <v>7562</v>
      </c>
    </row>
    <row r="7564" spans="92:92" x14ac:dyDescent="0.3">
      <c r="CN7564">
        <v>7563</v>
      </c>
    </row>
    <row r="7565" spans="92:92" x14ac:dyDescent="0.3">
      <c r="CN7565">
        <v>7564</v>
      </c>
    </row>
    <row r="7566" spans="92:92" x14ac:dyDescent="0.3">
      <c r="CN7566">
        <v>7565</v>
      </c>
    </row>
    <row r="7567" spans="92:92" x14ac:dyDescent="0.3">
      <c r="CN7567">
        <v>7566</v>
      </c>
    </row>
    <row r="7568" spans="92:92" x14ac:dyDescent="0.3">
      <c r="CN7568">
        <v>7567</v>
      </c>
    </row>
    <row r="7569" spans="92:92" x14ac:dyDescent="0.3">
      <c r="CN7569">
        <v>7568</v>
      </c>
    </row>
    <row r="7570" spans="92:92" x14ac:dyDescent="0.3">
      <c r="CN7570">
        <v>7569</v>
      </c>
    </row>
    <row r="7571" spans="92:92" x14ac:dyDescent="0.3">
      <c r="CN7571">
        <v>7570</v>
      </c>
    </row>
    <row r="7572" spans="92:92" x14ac:dyDescent="0.3">
      <c r="CN7572">
        <v>7571</v>
      </c>
    </row>
    <row r="7573" spans="92:92" x14ac:dyDescent="0.3">
      <c r="CN7573">
        <v>7572</v>
      </c>
    </row>
    <row r="7574" spans="92:92" x14ac:dyDescent="0.3">
      <c r="CN7574">
        <v>7573</v>
      </c>
    </row>
    <row r="7575" spans="92:92" x14ac:dyDescent="0.3">
      <c r="CN7575">
        <v>7574</v>
      </c>
    </row>
    <row r="7576" spans="92:92" x14ac:dyDescent="0.3">
      <c r="CN7576">
        <v>7575</v>
      </c>
    </row>
    <row r="7577" spans="92:92" x14ac:dyDescent="0.3">
      <c r="CN7577">
        <v>7576</v>
      </c>
    </row>
    <row r="7578" spans="92:92" x14ac:dyDescent="0.3">
      <c r="CN7578">
        <v>7577</v>
      </c>
    </row>
    <row r="7579" spans="92:92" x14ac:dyDescent="0.3">
      <c r="CN7579">
        <v>7578</v>
      </c>
    </row>
    <row r="7580" spans="92:92" x14ac:dyDescent="0.3">
      <c r="CN7580">
        <v>7579</v>
      </c>
    </row>
    <row r="7581" spans="92:92" x14ac:dyDescent="0.3">
      <c r="CN7581">
        <v>7580</v>
      </c>
    </row>
    <row r="7582" spans="92:92" x14ac:dyDescent="0.3">
      <c r="CN7582">
        <v>7581</v>
      </c>
    </row>
    <row r="7583" spans="92:92" x14ac:dyDescent="0.3">
      <c r="CN7583">
        <v>7582</v>
      </c>
    </row>
    <row r="7584" spans="92:92" x14ac:dyDescent="0.3">
      <c r="CN7584">
        <v>7583</v>
      </c>
    </row>
    <row r="7585" spans="92:92" x14ac:dyDescent="0.3">
      <c r="CN7585">
        <v>7584</v>
      </c>
    </row>
    <row r="7586" spans="92:92" x14ac:dyDescent="0.3">
      <c r="CN7586">
        <v>7585</v>
      </c>
    </row>
    <row r="7587" spans="92:92" x14ac:dyDescent="0.3">
      <c r="CN7587">
        <v>7586</v>
      </c>
    </row>
    <row r="7588" spans="92:92" x14ac:dyDescent="0.3">
      <c r="CN7588">
        <v>7587</v>
      </c>
    </row>
    <row r="7589" spans="92:92" x14ac:dyDescent="0.3">
      <c r="CN7589">
        <v>7588</v>
      </c>
    </row>
    <row r="7590" spans="92:92" x14ac:dyDescent="0.3">
      <c r="CN7590">
        <v>7589</v>
      </c>
    </row>
    <row r="7591" spans="92:92" x14ac:dyDescent="0.3">
      <c r="CN7591">
        <v>7590</v>
      </c>
    </row>
    <row r="7592" spans="92:92" x14ac:dyDescent="0.3">
      <c r="CN7592">
        <v>7591</v>
      </c>
    </row>
    <row r="7593" spans="92:92" x14ac:dyDescent="0.3">
      <c r="CN7593">
        <v>7592</v>
      </c>
    </row>
    <row r="7594" spans="92:92" x14ac:dyDescent="0.3">
      <c r="CN7594">
        <v>7593</v>
      </c>
    </row>
    <row r="7595" spans="92:92" x14ac:dyDescent="0.3">
      <c r="CN7595">
        <v>7594</v>
      </c>
    </row>
    <row r="7596" spans="92:92" x14ac:dyDescent="0.3">
      <c r="CN7596">
        <v>7595</v>
      </c>
    </row>
    <row r="7597" spans="92:92" x14ac:dyDescent="0.3">
      <c r="CN7597">
        <v>7596</v>
      </c>
    </row>
    <row r="7598" spans="92:92" x14ac:dyDescent="0.3">
      <c r="CN7598">
        <v>7597</v>
      </c>
    </row>
    <row r="7599" spans="92:92" x14ac:dyDescent="0.3">
      <c r="CN7599">
        <v>7598</v>
      </c>
    </row>
    <row r="7600" spans="92:92" x14ac:dyDescent="0.3">
      <c r="CN7600">
        <v>7599</v>
      </c>
    </row>
    <row r="7601" spans="92:92" x14ac:dyDescent="0.3">
      <c r="CN7601">
        <v>7600</v>
      </c>
    </row>
    <row r="7602" spans="92:92" x14ac:dyDescent="0.3">
      <c r="CN7602">
        <v>7601</v>
      </c>
    </row>
    <row r="7603" spans="92:92" x14ac:dyDescent="0.3">
      <c r="CN7603">
        <v>7602</v>
      </c>
    </row>
    <row r="7604" spans="92:92" x14ac:dyDescent="0.3">
      <c r="CN7604">
        <v>7603</v>
      </c>
    </row>
    <row r="7605" spans="92:92" x14ac:dyDescent="0.3">
      <c r="CN7605">
        <v>7604</v>
      </c>
    </row>
    <row r="7606" spans="92:92" x14ac:dyDescent="0.3">
      <c r="CN7606">
        <v>7605</v>
      </c>
    </row>
    <row r="7607" spans="92:92" x14ac:dyDescent="0.3">
      <c r="CN7607">
        <v>7606</v>
      </c>
    </row>
    <row r="7608" spans="92:92" x14ac:dyDescent="0.3">
      <c r="CN7608">
        <v>7607</v>
      </c>
    </row>
    <row r="7609" spans="92:92" x14ac:dyDescent="0.3">
      <c r="CN7609">
        <v>7608</v>
      </c>
    </row>
    <row r="7610" spans="92:92" x14ac:dyDescent="0.3">
      <c r="CN7610">
        <v>7609</v>
      </c>
    </row>
    <row r="7611" spans="92:92" x14ac:dyDescent="0.3">
      <c r="CN7611">
        <v>7610</v>
      </c>
    </row>
    <row r="7612" spans="92:92" x14ac:dyDescent="0.3">
      <c r="CN7612">
        <v>7611</v>
      </c>
    </row>
    <row r="7613" spans="92:92" x14ac:dyDescent="0.3">
      <c r="CN7613">
        <v>7612</v>
      </c>
    </row>
    <row r="7614" spans="92:92" x14ac:dyDescent="0.3">
      <c r="CN7614">
        <v>7613</v>
      </c>
    </row>
    <row r="7615" spans="92:92" x14ac:dyDescent="0.3">
      <c r="CN7615">
        <v>7614</v>
      </c>
    </row>
    <row r="7616" spans="92:92" x14ac:dyDescent="0.3">
      <c r="CN7616">
        <v>7615</v>
      </c>
    </row>
    <row r="7617" spans="92:92" x14ac:dyDescent="0.3">
      <c r="CN7617">
        <v>7616</v>
      </c>
    </row>
    <row r="7618" spans="92:92" x14ac:dyDescent="0.3">
      <c r="CN7618">
        <v>7617</v>
      </c>
    </row>
    <row r="7619" spans="92:92" x14ac:dyDescent="0.3">
      <c r="CN7619">
        <v>7618</v>
      </c>
    </row>
    <row r="7620" spans="92:92" x14ac:dyDescent="0.3">
      <c r="CN7620">
        <v>7619</v>
      </c>
    </row>
    <row r="7621" spans="92:92" x14ac:dyDescent="0.3">
      <c r="CN7621">
        <v>7620</v>
      </c>
    </row>
    <row r="7622" spans="92:92" x14ac:dyDescent="0.3">
      <c r="CN7622">
        <v>7621</v>
      </c>
    </row>
    <row r="7623" spans="92:92" x14ac:dyDescent="0.3">
      <c r="CN7623">
        <v>7622</v>
      </c>
    </row>
    <row r="7624" spans="92:92" x14ac:dyDescent="0.3">
      <c r="CN7624">
        <v>7623</v>
      </c>
    </row>
    <row r="7625" spans="92:92" x14ac:dyDescent="0.3">
      <c r="CN7625">
        <v>7624</v>
      </c>
    </row>
    <row r="7626" spans="92:92" x14ac:dyDescent="0.3">
      <c r="CN7626">
        <v>7625</v>
      </c>
    </row>
    <row r="7627" spans="92:92" x14ac:dyDescent="0.3">
      <c r="CN7627">
        <v>7626</v>
      </c>
    </row>
    <row r="7628" spans="92:92" x14ac:dyDescent="0.3">
      <c r="CN7628">
        <v>7627</v>
      </c>
    </row>
    <row r="7629" spans="92:92" x14ac:dyDescent="0.3">
      <c r="CN7629">
        <v>7628</v>
      </c>
    </row>
    <row r="7630" spans="92:92" x14ac:dyDescent="0.3">
      <c r="CN7630">
        <v>7629</v>
      </c>
    </row>
    <row r="7631" spans="92:92" x14ac:dyDescent="0.3">
      <c r="CN7631">
        <v>7630</v>
      </c>
    </row>
    <row r="7632" spans="92:92" x14ac:dyDescent="0.3">
      <c r="CN7632">
        <v>7631</v>
      </c>
    </row>
    <row r="7633" spans="92:92" x14ac:dyDescent="0.3">
      <c r="CN7633">
        <v>7632</v>
      </c>
    </row>
    <row r="7634" spans="92:92" x14ac:dyDescent="0.3">
      <c r="CN7634">
        <v>7633</v>
      </c>
    </row>
    <row r="7635" spans="92:92" x14ac:dyDescent="0.3">
      <c r="CN7635">
        <v>7634</v>
      </c>
    </row>
    <row r="7636" spans="92:92" x14ac:dyDescent="0.3">
      <c r="CN7636">
        <v>7635</v>
      </c>
    </row>
    <row r="7637" spans="92:92" x14ac:dyDescent="0.3">
      <c r="CN7637">
        <v>7636</v>
      </c>
    </row>
    <row r="7638" spans="92:92" x14ac:dyDescent="0.3">
      <c r="CN7638">
        <v>7637</v>
      </c>
    </row>
    <row r="7639" spans="92:92" x14ac:dyDescent="0.3">
      <c r="CN7639">
        <v>7638</v>
      </c>
    </row>
    <row r="7640" spans="92:92" x14ac:dyDescent="0.3">
      <c r="CN7640">
        <v>7639</v>
      </c>
    </row>
    <row r="7641" spans="92:92" x14ac:dyDescent="0.3">
      <c r="CN7641">
        <v>7640</v>
      </c>
    </row>
    <row r="7642" spans="92:92" x14ac:dyDescent="0.3">
      <c r="CN7642">
        <v>7641</v>
      </c>
    </row>
    <row r="7643" spans="92:92" x14ac:dyDescent="0.3">
      <c r="CN7643">
        <v>7642</v>
      </c>
    </row>
    <row r="7644" spans="92:92" x14ac:dyDescent="0.3">
      <c r="CN7644">
        <v>7643</v>
      </c>
    </row>
    <row r="7645" spans="92:92" x14ac:dyDescent="0.3">
      <c r="CN7645">
        <v>7644</v>
      </c>
    </row>
    <row r="7646" spans="92:92" x14ac:dyDescent="0.3">
      <c r="CN7646">
        <v>7645</v>
      </c>
    </row>
    <row r="7647" spans="92:92" x14ac:dyDescent="0.3">
      <c r="CN7647">
        <v>7646</v>
      </c>
    </row>
    <row r="7648" spans="92:92" x14ac:dyDescent="0.3">
      <c r="CN7648">
        <v>7647</v>
      </c>
    </row>
    <row r="7649" spans="92:92" x14ac:dyDescent="0.3">
      <c r="CN7649">
        <v>7648</v>
      </c>
    </row>
    <row r="7650" spans="92:92" x14ac:dyDescent="0.3">
      <c r="CN7650">
        <v>7649</v>
      </c>
    </row>
    <row r="7651" spans="92:92" x14ac:dyDescent="0.3">
      <c r="CN7651">
        <v>7650</v>
      </c>
    </row>
    <row r="7652" spans="92:92" x14ac:dyDescent="0.3">
      <c r="CN7652">
        <v>7651</v>
      </c>
    </row>
    <row r="7653" spans="92:92" x14ac:dyDescent="0.3">
      <c r="CN7653">
        <v>7652</v>
      </c>
    </row>
    <row r="7654" spans="92:92" x14ac:dyDescent="0.3">
      <c r="CN7654">
        <v>7653</v>
      </c>
    </row>
    <row r="7655" spans="92:92" x14ac:dyDescent="0.3">
      <c r="CN7655">
        <v>7654</v>
      </c>
    </row>
    <row r="7656" spans="92:92" x14ac:dyDescent="0.3">
      <c r="CN7656">
        <v>7655</v>
      </c>
    </row>
    <row r="7657" spans="92:92" x14ac:dyDescent="0.3">
      <c r="CN7657">
        <v>7656</v>
      </c>
    </row>
    <row r="7658" spans="92:92" x14ac:dyDescent="0.3">
      <c r="CN7658">
        <v>7657</v>
      </c>
    </row>
    <row r="7659" spans="92:92" x14ac:dyDescent="0.3">
      <c r="CN7659">
        <v>7658</v>
      </c>
    </row>
    <row r="7660" spans="92:92" x14ac:dyDescent="0.3">
      <c r="CN7660">
        <v>7659</v>
      </c>
    </row>
    <row r="7661" spans="92:92" x14ac:dyDescent="0.3">
      <c r="CN7661">
        <v>7660</v>
      </c>
    </row>
    <row r="7662" spans="92:92" x14ac:dyDescent="0.3">
      <c r="CN7662">
        <v>7661</v>
      </c>
    </row>
    <row r="7663" spans="92:92" x14ac:dyDescent="0.3">
      <c r="CN7663">
        <v>7662</v>
      </c>
    </row>
    <row r="7664" spans="92:92" x14ac:dyDescent="0.3">
      <c r="CN7664">
        <v>7663</v>
      </c>
    </row>
    <row r="7665" spans="92:92" x14ac:dyDescent="0.3">
      <c r="CN7665">
        <v>7664</v>
      </c>
    </row>
    <row r="7666" spans="92:92" x14ac:dyDescent="0.3">
      <c r="CN7666">
        <v>7665</v>
      </c>
    </row>
    <row r="7667" spans="92:92" x14ac:dyDescent="0.3">
      <c r="CN7667">
        <v>7666</v>
      </c>
    </row>
    <row r="7668" spans="92:92" x14ac:dyDescent="0.3">
      <c r="CN7668">
        <v>7667</v>
      </c>
    </row>
    <row r="7669" spans="92:92" x14ac:dyDescent="0.3">
      <c r="CN7669">
        <v>7668</v>
      </c>
    </row>
    <row r="7670" spans="92:92" x14ac:dyDescent="0.3">
      <c r="CN7670">
        <v>7669</v>
      </c>
    </row>
    <row r="7671" spans="92:92" x14ac:dyDescent="0.3">
      <c r="CN7671">
        <v>7670</v>
      </c>
    </row>
    <row r="7672" spans="92:92" x14ac:dyDescent="0.3">
      <c r="CN7672">
        <v>7671</v>
      </c>
    </row>
    <row r="7673" spans="92:92" x14ac:dyDescent="0.3">
      <c r="CN7673">
        <v>7672</v>
      </c>
    </row>
    <row r="7674" spans="92:92" x14ac:dyDescent="0.3">
      <c r="CN7674">
        <v>7673</v>
      </c>
    </row>
    <row r="7675" spans="92:92" x14ac:dyDescent="0.3">
      <c r="CN7675">
        <v>7674</v>
      </c>
    </row>
    <row r="7676" spans="92:92" x14ac:dyDescent="0.3">
      <c r="CN7676">
        <v>7675</v>
      </c>
    </row>
    <row r="7677" spans="92:92" x14ac:dyDescent="0.3">
      <c r="CN7677">
        <v>7676</v>
      </c>
    </row>
    <row r="7678" spans="92:92" x14ac:dyDescent="0.3">
      <c r="CN7678">
        <v>7677</v>
      </c>
    </row>
    <row r="7679" spans="92:92" x14ac:dyDescent="0.3">
      <c r="CN7679">
        <v>7678</v>
      </c>
    </row>
    <row r="7680" spans="92:92" x14ac:dyDescent="0.3">
      <c r="CN7680">
        <v>7679</v>
      </c>
    </row>
    <row r="7681" spans="92:92" x14ac:dyDescent="0.3">
      <c r="CN7681">
        <v>7680</v>
      </c>
    </row>
    <row r="7682" spans="92:92" x14ac:dyDescent="0.3">
      <c r="CN7682">
        <v>7681</v>
      </c>
    </row>
    <row r="7683" spans="92:92" x14ac:dyDescent="0.3">
      <c r="CN7683">
        <v>7682</v>
      </c>
    </row>
    <row r="7684" spans="92:92" x14ac:dyDescent="0.3">
      <c r="CN7684">
        <v>7683</v>
      </c>
    </row>
    <row r="7685" spans="92:92" x14ac:dyDescent="0.3">
      <c r="CN7685">
        <v>7684</v>
      </c>
    </row>
    <row r="7686" spans="92:92" x14ac:dyDescent="0.3">
      <c r="CN7686">
        <v>7685</v>
      </c>
    </row>
    <row r="7687" spans="92:92" x14ac:dyDescent="0.3">
      <c r="CN7687">
        <v>7686</v>
      </c>
    </row>
    <row r="7688" spans="92:92" x14ac:dyDescent="0.3">
      <c r="CN7688">
        <v>7687</v>
      </c>
    </row>
    <row r="7689" spans="92:92" x14ac:dyDescent="0.3">
      <c r="CN7689">
        <v>7688</v>
      </c>
    </row>
    <row r="7690" spans="92:92" x14ac:dyDescent="0.3">
      <c r="CN7690">
        <v>7689</v>
      </c>
    </row>
    <row r="7691" spans="92:92" x14ac:dyDescent="0.3">
      <c r="CN7691">
        <v>7690</v>
      </c>
    </row>
    <row r="7692" spans="92:92" x14ac:dyDescent="0.3">
      <c r="CN7692">
        <v>7691</v>
      </c>
    </row>
    <row r="7693" spans="92:92" x14ac:dyDescent="0.3">
      <c r="CN7693">
        <v>7692</v>
      </c>
    </row>
    <row r="7694" spans="92:92" x14ac:dyDescent="0.3">
      <c r="CN7694">
        <v>7693</v>
      </c>
    </row>
    <row r="7695" spans="92:92" x14ac:dyDescent="0.3">
      <c r="CN7695">
        <v>7694</v>
      </c>
    </row>
    <row r="7696" spans="92:92" x14ac:dyDescent="0.3">
      <c r="CN7696">
        <v>7695</v>
      </c>
    </row>
    <row r="7697" spans="92:92" x14ac:dyDescent="0.3">
      <c r="CN7697">
        <v>7696</v>
      </c>
    </row>
    <row r="7698" spans="92:92" x14ac:dyDescent="0.3">
      <c r="CN7698">
        <v>7697</v>
      </c>
    </row>
    <row r="7699" spans="92:92" x14ac:dyDescent="0.3">
      <c r="CN7699">
        <v>7698</v>
      </c>
    </row>
    <row r="7700" spans="92:92" x14ac:dyDescent="0.3">
      <c r="CN7700">
        <v>7699</v>
      </c>
    </row>
    <row r="7701" spans="92:92" x14ac:dyDescent="0.3">
      <c r="CN7701">
        <v>7700</v>
      </c>
    </row>
    <row r="7702" spans="92:92" x14ac:dyDescent="0.3">
      <c r="CN7702">
        <v>7701</v>
      </c>
    </row>
    <row r="7703" spans="92:92" x14ac:dyDescent="0.3">
      <c r="CN7703">
        <v>7702</v>
      </c>
    </row>
    <row r="7704" spans="92:92" x14ac:dyDescent="0.3">
      <c r="CN7704">
        <v>7703</v>
      </c>
    </row>
    <row r="7705" spans="92:92" x14ac:dyDescent="0.3">
      <c r="CN7705">
        <v>7704</v>
      </c>
    </row>
    <row r="7706" spans="92:92" x14ac:dyDescent="0.3">
      <c r="CN7706">
        <v>7705</v>
      </c>
    </row>
    <row r="7707" spans="92:92" x14ac:dyDescent="0.3">
      <c r="CN7707">
        <v>7706</v>
      </c>
    </row>
    <row r="7708" spans="92:92" x14ac:dyDescent="0.3">
      <c r="CN7708">
        <v>7707</v>
      </c>
    </row>
    <row r="7709" spans="92:92" x14ac:dyDescent="0.3">
      <c r="CN7709">
        <v>7708</v>
      </c>
    </row>
    <row r="7710" spans="92:92" x14ac:dyDescent="0.3">
      <c r="CN7710">
        <v>7709</v>
      </c>
    </row>
    <row r="7711" spans="92:92" x14ac:dyDescent="0.3">
      <c r="CN7711">
        <v>7710</v>
      </c>
    </row>
    <row r="7712" spans="92:92" x14ac:dyDescent="0.3">
      <c r="CN7712">
        <v>7711</v>
      </c>
    </row>
    <row r="7713" spans="92:92" x14ac:dyDescent="0.3">
      <c r="CN7713">
        <v>7712</v>
      </c>
    </row>
    <row r="7714" spans="92:92" x14ac:dyDescent="0.3">
      <c r="CN7714">
        <v>7713</v>
      </c>
    </row>
    <row r="7715" spans="92:92" x14ac:dyDescent="0.3">
      <c r="CN7715">
        <v>7714</v>
      </c>
    </row>
    <row r="7716" spans="92:92" x14ac:dyDescent="0.3">
      <c r="CN7716">
        <v>7715</v>
      </c>
    </row>
    <row r="7717" spans="92:92" x14ac:dyDescent="0.3">
      <c r="CN7717">
        <v>7716</v>
      </c>
    </row>
    <row r="7718" spans="92:92" x14ac:dyDescent="0.3">
      <c r="CN7718">
        <v>7717</v>
      </c>
    </row>
    <row r="7719" spans="92:92" x14ac:dyDescent="0.3">
      <c r="CN7719">
        <v>7718</v>
      </c>
    </row>
    <row r="7720" spans="92:92" x14ac:dyDescent="0.3">
      <c r="CN7720">
        <v>7719</v>
      </c>
    </row>
    <row r="7721" spans="92:92" x14ac:dyDescent="0.3">
      <c r="CN7721">
        <v>7720</v>
      </c>
    </row>
    <row r="7722" spans="92:92" x14ac:dyDescent="0.3">
      <c r="CN7722">
        <v>7721</v>
      </c>
    </row>
    <row r="7723" spans="92:92" x14ac:dyDescent="0.3">
      <c r="CN7723">
        <v>7722</v>
      </c>
    </row>
    <row r="7724" spans="92:92" x14ac:dyDescent="0.3">
      <c r="CN7724">
        <v>7723</v>
      </c>
    </row>
    <row r="7725" spans="92:92" x14ac:dyDescent="0.3">
      <c r="CN7725">
        <v>7724</v>
      </c>
    </row>
    <row r="7726" spans="92:92" x14ac:dyDescent="0.3">
      <c r="CN7726">
        <v>7725</v>
      </c>
    </row>
    <row r="7727" spans="92:92" x14ac:dyDescent="0.3">
      <c r="CN7727">
        <v>7726</v>
      </c>
    </row>
    <row r="7728" spans="92:92" x14ac:dyDescent="0.3">
      <c r="CN7728">
        <v>7727</v>
      </c>
    </row>
    <row r="7729" spans="92:92" x14ac:dyDescent="0.3">
      <c r="CN7729">
        <v>7728</v>
      </c>
    </row>
    <row r="7730" spans="92:92" x14ac:dyDescent="0.3">
      <c r="CN7730">
        <v>7729</v>
      </c>
    </row>
    <row r="7731" spans="92:92" x14ac:dyDescent="0.3">
      <c r="CN7731">
        <v>7730</v>
      </c>
    </row>
    <row r="7732" spans="92:92" x14ac:dyDescent="0.3">
      <c r="CN7732">
        <v>7731</v>
      </c>
    </row>
    <row r="7733" spans="92:92" x14ac:dyDescent="0.3">
      <c r="CN7733">
        <v>7732</v>
      </c>
    </row>
    <row r="7734" spans="92:92" x14ac:dyDescent="0.3">
      <c r="CN7734">
        <v>7733</v>
      </c>
    </row>
    <row r="7735" spans="92:92" x14ac:dyDescent="0.3">
      <c r="CN7735">
        <v>7734</v>
      </c>
    </row>
    <row r="7736" spans="92:92" x14ac:dyDescent="0.3">
      <c r="CN7736">
        <v>7735</v>
      </c>
    </row>
    <row r="7737" spans="92:92" x14ac:dyDescent="0.3">
      <c r="CN7737">
        <v>7736</v>
      </c>
    </row>
    <row r="7738" spans="92:92" x14ac:dyDescent="0.3">
      <c r="CN7738">
        <v>7737</v>
      </c>
    </row>
    <row r="7739" spans="92:92" x14ac:dyDescent="0.3">
      <c r="CN7739">
        <v>7738</v>
      </c>
    </row>
    <row r="7740" spans="92:92" x14ac:dyDescent="0.3">
      <c r="CN7740">
        <v>7739</v>
      </c>
    </row>
    <row r="7741" spans="92:92" x14ac:dyDescent="0.3">
      <c r="CN7741">
        <v>7740</v>
      </c>
    </row>
    <row r="7742" spans="92:92" x14ac:dyDescent="0.3">
      <c r="CN7742">
        <v>7741</v>
      </c>
    </row>
    <row r="7743" spans="92:92" x14ac:dyDescent="0.3">
      <c r="CN7743">
        <v>7742</v>
      </c>
    </row>
    <row r="7744" spans="92:92" x14ac:dyDescent="0.3">
      <c r="CN7744">
        <v>7743</v>
      </c>
    </row>
    <row r="7745" spans="92:92" x14ac:dyDescent="0.3">
      <c r="CN7745">
        <v>7744</v>
      </c>
    </row>
    <row r="7746" spans="92:92" x14ac:dyDescent="0.3">
      <c r="CN7746">
        <v>7745</v>
      </c>
    </row>
    <row r="7747" spans="92:92" x14ac:dyDescent="0.3">
      <c r="CN7747">
        <v>7746</v>
      </c>
    </row>
    <row r="7748" spans="92:92" x14ac:dyDescent="0.3">
      <c r="CN7748">
        <v>7747</v>
      </c>
    </row>
    <row r="7749" spans="92:92" x14ac:dyDescent="0.3">
      <c r="CN7749">
        <v>7748</v>
      </c>
    </row>
    <row r="7750" spans="92:92" x14ac:dyDescent="0.3">
      <c r="CN7750">
        <v>7749</v>
      </c>
    </row>
    <row r="7751" spans="92:92" x14ac:dyDescent="0.3">
      <c r="CN7751">
        <v>7750</v>
      </c>
    </row>
    <row r="7752" spans="92:92" x14ac:dyDescent="0.3">
      <c r="CN7752">
        <v>7751</v>
      </c>
    </row>
    <row r="7753" spans="92:92" x14ac:dyDescent="0.3">
      <c r="CN7753">
        <v>7752</v>
      </c>
    </row>
    <row r="7754" spans="92:92" x14ac:dyDescent="0.3">
      <c r="CN7754">
        <v>7753</v>
      </c>
    </row>
    <row r="7755" spans="92:92" x14ac:dyDescent="0.3">
      <c r="CN7755">
        <v>7754</v>
      </c>
    </row>
    <row r="7756" spans="92:92" x14ac:dyDescent="0.3">
      <c r="CN7756">
        <v>7755</v>
      </c>
    </row>
    <row r="7757" spans="92:92" x14ac:dyDescent="0.3">
      <c r="CN7757">
        <v>7756</v>
      </c>
    </row>
    <row r="7758" spans="92:92" x14ac:dyDescent="0.3">
      <c r="CN7758">
        <v>7757</v>
      </c>
    </row>
    <row r="7759" spans="92:92" x14ac:dyDescent="0.3">
      <c r="CN7759">
        <v>7758</v>
      </c>
    </row>
    <row r="7760" spans="92:92" x14ac:dyDescent="0.3">
      <c r="CN7760">
        <v>7759</v>
      </c>
    </row>
    <row r="7761" spans="92:92" x14ac:dyDescent="0.3">
      <c r="CN7761">
        <v>7760</v>
      </c>
    </row>
    <row r="7762" spans="92:92" x14ac:dyDescent="0.3">
      <c r="CN7762">
        <v>7761</v>
      </c>
    </row>
    <row r="7763" spans="92:92" x14ac:dyDescent="0.3">
      <c r="CN7763">
        <v>7762</v>
      </c>
    </row>
    <row r="7764" spans="92:92" x14ac:dyDescent="0.3">
      <c r="CN7764">
        <v>7763</v>
      </c>
    </row>
    <row r="7765" spans="92:92" x14ac:dyDescent="0.3">
      <c r="CN7765">
        <v>7764</v>
      </c>
    </row>
    <row r="7766" spans="92:92" x14ac:dyDescent="0.3">
      <c r="CN7766">
        <v>7765</v>
      </c>
    </row>
    <row r="7767" spans="92:92" x14ac:dyDescent="0.3">
      <c r="CN7767">
        <v>7766</v>
      </c>
    </row>
    <row r="7768" spans="92:92" x14ac:dyDescent="0.3">
      <c r="CN7768">
        <v>7767</v>
      </c>
    </row>
    <row r="7769" spans="92:92" x14ac:dyDescent="0.3">
      <c r="CN7769">
        <v>7768</v>
      </c>
    </row>
    <row r="7770" spans="92:92" x14ac:dyDescent="0.3">
      <c r="CN7770">
        <v>7769</v>
      </c>
    </row>
    <row r="7771" spans="92:92" x14ac:dyDescent="0.3">
      <c r="CN7771">
        <v>7770</v>
      </c>
    </row>
    <row r="7772" spans="92:92" x14ac:dyDescent="0.3">
      <c r="CN7772">
        <v>7771</v>
      </c>
    </row>
    <row r="7773" spans="92:92" x14ac:dyDescent="0.3">
      <c r="CN7773">
        <v>7772</v>
      </c>
    </row>
    <row r="7774" spans="92:92" x14ac:dyDescent="0.3">
      <c r="CN7774">
        <v>7773</v>
      </c>
    </row>
    <row r="7775" spans="92:92" x14ac:dyDescent="0.3">
      <c r="CN7775">
        <v>7774</v>
      </c>
    </row>
    <row r="7776" spans="92:92" x14ac:dyDescent="0.3">
      <c r="CN7776">
        <v>7775</v>
      </c>
    </row>
    <row r="7777" spans="92:92" x14ac:dyDescent="0.3">
      <c r="CN7777">
        <v>7776</v>
      </c>
    </row>
    <row r="7778" spans="92:92" x14ac:dyDescent="0.3">
      <c r="CN7778">
        <v>7777</v>
      </c>
    </row>
    <row r="7779" spans="92:92" x14ac:dyDescent="0.3">
      <c r="CN7779">
        <v>7778</v>
      </c>
    </row>
    <row r="7780" spans="92:92" x14ac:dyDescent="0.3">
      <c r="CN7780">
        <v>7779</v>
      </c>
    </row>
    <row r="7781" spans="92:92" x14ac:dyDescent="0.3">
      <c r="CN7781">
        <v>7780</v>
      </c>
    </row>
    <row r="7782" spans="92:92" x14ac:dyDescent="0.3">
      <c r="CN7782">
        <v>7781</v>
      </c>
    </row>
    <row r="7783" spans="92:92" x14ac:dyDescent="0.3">
      <c r="CN7783">
        <v>7782</v>
      </c>
    </row>
    <row r="7784" spans="92:92" x14ac:dyDescent="0.3">
      <c r="CN7784">
        <v>7783</v>
      </c>
    </row>
    <row r="7785" spans="92:92" x14ac:dyDescent="0.3">
      <c r="CN7785">
        <v>7784</v>
      </c>
    </row>
    <row r="7786" spans="92:92" x14ac:dyDescent="0.3">
      <c r="CN7786">
        <v>7785</v>
      </c>
    </row>
    <row r="7787" spans="92:92" x14ac:dyDescent="0.3">
      <c r="CN7787">
        <v>7786</v>
      </c>
    </row>
    <row r="7788" spans="92:92" x14ac:dyDescent="0.3">
      <c r="CN7788">
        <v>7787</v>
      </c>
    </row>
    <row r="7789" spans="92:92" x14ac:dyDescent="0.3">
      <c r="CN7789">
        <v>7788</v>
      </c>
    </row>
    <row r="7790" spans="92:92" x14ac:dyDescent="0.3">
      <c r="CN7790">
        <v>7789</v>
      </c>
    </row>
    <row r="7791" spans="92:92" x14ac:dyDescent="0.3">
      <c r="CN7791">
        <v>7790</v>
      </c>
    </row>
    <row r="7792" spans="92:92" x14ac:dyDescent="0.3">
      <c r="CN7792">
        <v>7791</v>
      </c>
    </row>
    <row r="7793" spans="92:92" x14ac:dyDescent="0.3">
      <c r="CN7793">
        <v>7792</v>
      </c>
    </row>
    <row r="7794" spans="92:92" x14ac:dyDescent="0.3">
      <c r="CN7794">
        <v>7793</v>
      </c>
    </row>
    <row r="7795" spans="92:92" x14ac:dyDescent="0.3">
      <c r="CN7795">
        <v>7794</v>
      </c>
    </row>
    <row r="7796" spans="92:92" x14ac:dyDescent="0.3">
      <c r="CN7796">
        <v>7795</v>
      </c>
    </row>
    <row r="7797" spans="92:92" x14ac:dyDescent="0.3">
      <c r="CN7797">
        <v>7796</v>
      </c>
    </row>
    <row r="7798" spans="92:92" x14ac:dyDescent="0.3">
      <c r="CN7798">
        <v>7797</v>
      </c>
    </row>
    <row r="7799" spans="92:92" x14ac:dyDescent="0.3">
      <c r="CN7799">
        <v>7798</v>
      </c>
    </row>
    <row r="7800" spans="92:92" x14ac:dyDescent="0.3">
      <c r="CN7800">
        <v>7799</v>
      </c>
    </row>
    <row r="7801" spans="92:92" x14ac:dyDescent="0.3">
      <c r="CN7801">
        <v>7800</v>
      </c>
    </row>
    <row r="7802" spans="92:92" x14ac:dyDescent="0.3">
      <c r="CN7802">
        <v>7801</v>
      </c>
    </row>
    <row r="7803" spans="92:92" x14ac:dyDescent="0.3">
      <c r="CN7803">
        <v>7802</v>
      </c>
    </row>
    <row r="7804" spans="92:92" x14ac:dyDescent="0.3">
      <c r="CN7804">
        <v>7803</v>
      </c>
    </row>
    <row r="7805" spans="92:92" x14ac:dyDescent="0.3">
      <c r="CN7805">
        <v>7804</v>
      </c>
    </row>
    <row r="7806" spans="92:92" x14ac:dyDescent="0.3">
      <c r="CN7806">
        <v>7805</v>
      </c>
    </row>
    <row r="7807" spans="92:92" x14ac:dyDescent="0.3">
      <c r="CN7807">
        <v>7806</v>
      </c>
    </row>
    <row r="7808" spans="92:92" x14ac:dyDescent="0.3">
      <c r="CN7808">
        <v>7807</v>
      </c>
    </row>
    <row r="7809" spans="92:92" x14ac:dyDescent="0.3">
      <c r="CN7809">
        <v>7808</v>
      </c>
    </row>
    <row r="7810" spans="92:92" x14ac:dyDescent="0.3">
      <c r="CN7810">
        <v>7809</v>
      </c>
    </row>
    <row r="7811" spans="92:92" x14ac:dyDescent="0.3">
      <c r="CN7811">
        <v>7810</v>
      </c>
    </row>
    <row r="7812" spans="92:92" x14ac:dyDescent="0.3">
      <c r="CN7812">
        <v>7811</v>
      </c>
    </row>
    <row r="7813" spans="92:92" x14ac:dyDescent="0.3">
      <c r="CN7813">
        <v>7812</v>
      </c>
    </row>
    <row r="7814" spans="92:92" x14ac:dyDescent="0.3">
      <c r="CN7814">
        <v>7813</v>
      </c>
    </row>
    <row r="7815" spans="92:92" x14ac:dyDescent="0.3">
      <c r="CN7815">
        <v>7814</v>
      </c>
    </row>
    <row r="7816" spans="92:92" x14ac:dyDescent="0.3">
      <c r="CN7816">
        <v>7815</v>
      </c>
    </row>
    <row r="7817" spans="92:92" x14ac:dyDescent="0.3">
      <c r="CN7817">
        <v>7816</v>
      </c>
    </row>
    <row r="7818" spans="92:92" x14ac:dyDescent="0.3">
      <c r="CN7818">
        <v>7817</v>
      </c>
    </row>
    <row r="7819" spans="92:92" x14ac:dyDescent="0.3">
      <c r="CN7819">
        <v>7818</v>
      </c>
    </row>
    <row r="7820" spans="92:92" x14ac:dyDescent="0.3">
      <c r="CN7820">
        <v>7819</v>
      </c>
    </row>
    <row r="7821" spans="92:92" x14ac:dyDescent="0.3">
      <c r="CN7821">
        <v>7820</v>
      </c>
    </row>
    <row r="7822" spans="92:92" x14ac:dyDescent="0.3">
      <c r="CN7822">
        <v>7821</v>
      </c>
    </row>
    <row r="7823" spans="92:92" x14ac:dyDescent="0.3">
      <c r="CN7823">
        <v>7822</v>
      </c>
    </row>
    <row r="7824" spans="92:92" x14ac:dyDescent="0.3">
      <c r="CN7824">
        <v>7823</v>
      </c>
    </row>
    <row r="7825" spans="92:92" x14ac:dyDescent="0.3">
      <c r="CN7825">
        <v>7824</v>
      </c>
    </row>
    <row r="7826" spans="92:92" x14ac:dyDescent="0.3">
      <c r="CN7826">
        <v>7825</v>
      </c>
    </row>
    <row r="7827" spans="92:92" x14ac:dyDescent="0.3">
      <c r="CN7827">
        <v>7826</v>
      </c>
    </row>
    <row r="7828" spans="92:92" x14ac:dyDescent="0.3">
      <c r="CN7828">
        <v>7827</v>
      </c>
    </row>
    <row r="7829" spans="92:92" x14ac:dyDescent="0.3">
      <c r="CN7829">
        <v>7828</v>
      </c>
    </row>
    <row r="7830" spans="92:92" x14ac:dyDescent="0.3">
      <c r="CN7830">
        <v>7829</v>
      </c>
    </row>
    <row r="7831" spans="92:92" x14ac:dyDescent="0.3">
      <c r="CN7831">
        <v>7830</v>
      </c>
    </row>
    <row r="7832" spans="92:92" x14ac:dyDescent="0.3">
      <c r="CN7832">
        <v>7831</v>
      </c>
    </row>
    <row r="7833" spans="92:92" x14ac:dyDescent="0.3">
      <c r="CN7833">
        <v>7832</v>
      </c>
    </row>
    <row r="7834" spans="92:92" x14ac:dyDescent="0.3">
      <c r="CN7834">
        <v>7833</v>
      </c>
    </row>
    <row r="7835" spans="92:92" x14ac:dyDescent="0.3">
      <c r="CN7835">
        <v>7834</v>
      </c>
    </row>
    <row r="7836" spans="92:92" x14ac:dyDescent="0.3">
      <c r="CN7836">
        <v>7835</v>
      </c>
    </row>
    <row r="7837" spans="92:92" x14ac:dyDescent="0.3">
      <c r="CN7837">
        <v>7836</v>
      </c>
    </row>
    <row r="7838" spans="92:92" x14ac:dyDescent="0.3">
      <c r="CN7838">
        <v>7837</v>
      </c>
    </row>
    <row r="7839" spans="92:92" x14ac:dyDescent="0.3">
      <c r="CN7839">
        <v>7838</v>
      </c>
    </row>
    <row r="7840" spans="92:92" x14ac:dyDescent="0.3">
      <c r="CN7840">
        <v>7839</v>
      </c>
    </row>
    <row r="7841" spans="92:92" x14ac:dyDescent="0.3">
      <c r="CN7841">
        <v>7840</v>
      </c>
    </row>
    <row r="7842" spans="92:92" x14ac:dyDescent="0.3">
      <c r="CN7842">
        <v>7841</v>
      </c>
    </row>
    <row r="7843" spans="92:92" x14ac:dyDescent="0.3">
      <c r="CN7843">
        <v>7842</v>
      </c>
    </row>
    <row r="7844" spans="92:92" x14ac:dyDescent="0.3">
      <c r="CN7844">
        <v>7843</v>
      </c>
    </row>
    <row r="7845" spans="92:92" x14ac:dyDescent="0.3">
      <c r="CN7845">
        <v>7844</v>
      </c>
    </row>
    <row r="7846" spans="92:92" x14ac:dyDescent="0.3">
      <c r="CN7846">
        <v>7845</v>
      </c>
    </row>
    <row r="7847" spans="92:92" x14ac:dyDescent="0.3">
      <c r="CN7847">
        <v>7846</v>
      </c>
    </row>
    <row r="7848" spans="92:92" x14ac:dyDescent="0.3">
      <c r="CN7848">
        <v>7847</v>
      </c>
    </row>
    <row r="7849" spans="92:92" x14ac:dyDescent="0.3">
      <c r="CN7849">
        <v>7848</v>
      </c>
    </row>
    <row r="7850" spans="92:92" x14ac:dyDescent="0.3">
      <c r="CN7850">
        <v>7849</v>
      </c>
    </row>
    <row r="7851" spans="92:92" x14ac:dyDescent="0.3">
      <c r="CN7851">
        <v>7850</v>
      </c>
    </row>
    <row r="7852" spans="92:92" x14ac:dyDescent="0.3">
      <c r="CN7852">
        <v>7851</v>
      </c>
    </row>
    <row r="7853" spans="92:92" x14ac:dyDescent="0.3">
      <c r="CN7853">
        <v>7852</v>
      </c>
    </row>
    <row r="7854" spans="92:92" x14ac:dyDescent="0.3">
      <c r="CN7854">
        <v>7853</v>
      </c>
    </row>
    <row r="7855" spans="92:92" x14ac:dyDescent="0.3">
      <c r="CN7855">
        <v>7854</v>
      </c>
    </row>
    <row r="7856" spans="92:92" x14ac:dyDescent="0.3">
      <c r="CN7856">
        <v>7855</v>
      </c>
    </row>
    <row r="7857" spans="92:92" x14ac:dyDescent="0.3">
      <c r="CN7857">
        <v>7856</v>
      </c>
    </row>
    <row r="7858" spans="92:92" x14ac:dyDescent="0.3">
      <c r="CN7858">
        <v>7857</v>
      </c>
    </row>
    <row r="7859" spans="92:92" x14ac:dyDescent="0.3">
      <c r="CN7859">
        <v>7858</v>
      </c>
    </row>
    <row r="7860" spans="92:92" x14ac:dyDescent="0.3">
      <c r="CN7860">
        <v>7859</v>
      </c>
    </row>
    <row r="7861" spans="92:92" x14ac:dyDescent="0.3">
      <c r="CN7861">
        <v>7860</v>
      </c>
    </row>
    <row r="7862" spans="92:92" x14ac:dyDescent="0.3">
      <c r="CN7862">
        <v>7861</v>
      </c>
    </row>
    <row r="7863" spans="92:92" x14ac:dyDescent="0.3">
      <c r="CN7863">
        <v>7862</v>
      </c>
    </row>
    <row r="7864" spans="92:92" x14ac:dyDescent="0.3">
      <c r="CN7864">
        <v>7863</v>
      </c>
    </row>
    <row r="7865" spans="92:92" x14ac:dyDescent="0.3">
      <c r="CN7865">
        <v>7864</v>
      </c>
    </row>
    <row r="7866" spans="92:92" x14ac:dyDescent="0.3">
      <c r="CN7866">
        <v>7865</v>
      </c>
    </row>
    <row r="7867" spans="92:92" x14ac:dyDescent="0.3">
      <c r="CN7867">
        <v>7866</v>
      </c>
    </row>
    <row r="7868" spans="92:92" x14ac:dyDescent="0.3">
      <c r="CN7868">
        <v>7867</v>
      </c>
    </row>
    <row r="7869" spans="92:92" x14ac:dyDescent="0.3">
      <c r="CN7869">
        <v>7868</v>
      </c>
    </row>
    <row r="7870" spans="92:92" x14ac:dyDescent="0.3">
      <c r="CN7870">
        <v>7869</v>
      </c>
    </row>
    <row r="7871" spans="92:92" x14ac:dyDescent="0.3">
      <c r="CN7871">
        <v>7870</v>
      </c>
    </row>
    <row r="7872" spans="92:92" x14ac:dyDescent="0.3">
      <c r="CN7872">
        <v>7871</v>
      </c>
    </row>
    <row r="7873" spans="92:92" x14ac:dyDescent="0.3">
      <c r="CN7873">
        <v>7872</v>
      </c>
    </row>
    <row r="7874" spans="92:92" x14ac:dyDescent="0.3">
      <c r="CN7874">
        <v>7873</v>
      </c>
    </row>
    <row r="7875" spans="92:92" x14ac:dyDescent="0.3">
      <c r="CN7875">
        <v>7874</v>
      </c>
    </row>
    <row r="7876" spans="92:92" x14ac:dyDescent="0.3">
      <c r="CN7876">
        <v>7875</v>
      </c>
    </row>
    <row r="7877" spans="92:92" x14ac:dyDescent="0.3">
      <c r="CN7877">
        <v>7876</v>
      </c>
    </row>
    <row r="7878" spans="92:92" x14ac:dyDescent="0.3">
      <c r="CN7878">
        <v>7877</v>
      </c>
    </row>
    <row r="7879" spans="92:92" x14ac:dyDescent="0.3">
      <c r="CN7879">
        <v>7878</v>
      </c>
    </row>
    <row r="7880" spans="92:92" x14ac:dyDescent="0.3">
      <c r="CN7880">
        <v>7879</v>
      </c>
    </row>
    <row r="7881" spans="92:92" x14ac:dyDescent="0.3">
      <c r="CN7881">
        <v>7880</v>
      </c>
    </row>
    <row r="7882" spans="92:92" x14ac:dyDescent="0.3">
      <c r="CN7882">
        <v>7881</v>
      </c>
    </row>
    <row r="7883" spans="92:92" x14ac:dyDescent="0.3">
      <c r="CN7883">
        <v>7882</v>
      </c>
    </row>
    <row r="7884" spans="92:92" x14ac:dyDescent="0.3">
      <c r="CN7884">
        <v>7883</v>
      </c>
    </row>
    <row r="7885" spans="92:92" x14ac:dyDescent="0.3">
      <c r="CN7885">
        <v>7884</v>
      </c>
    </row>
    <row r="7886" spans="92:92" x14ac:dyDescent="0.3">
      <c r="CN7886">
        <v>7885</v>
      </c>
    </row>
    <row r="7887" spans="92:92" x14ac:dyDescent="0.3">
      <c r="CN7887">
        <v>7886</v>
      </c>
    </row>
    <row r="7888" spans="92:92" x14ac:dyDescent="0.3">
      <c r="CN7888">
        <v>7887</v>
      </c>
    </row>
    <row r="7889" spans="92:92" x14ac:dyDescent="0.3">
      <c r="CN7889">
        <v>7888</v>
      </c>
    </row>
    <row r="7890" spans="92:92" x14ac:dyDescent="0.3">
      <c r="CN7890">
        <v>7889</v>
      </c>
    </row>
    <row r="7891" spans="92:92" x14ac:dyDescent="0.3">
      <c r="CN7891">
        <v>7890</v>
      </c>
    </row>
    <row r="7892" spans="92:92" x14ac:dyDescent="0.3">
      <c r="CN7892">
        <v>7891</v>
      </c>
    </row>
    <row r="7893" spans="92:92" x14ac:dyDescent="0.3">
      <c r="CN7893">
        <v>7892</v>
      </c>
    </row>
    <row r="7894" spans="92:92" x14ac:dyDescent="0.3">
      <c r="CN7894">
        <v>7893</v>
      </c>
    </row>
    <row r="7895" spans="92:92" x14ac:dyDescent="0.3">
      <c r="CN7895">
        <v>7894</v>
      </c>
    </row>
    <row r="7896" spans="92:92" x14ac:dyDescent="0.3">
      <c r="CN7896">
        <v>7895</v>
      </c>
    </row>
    <row r="7897" spans="92:92" x14ac:dyDescent="0.3">
      <c r="CN7897">
        <v>7896</v>
      </c>
    </row>
    <row r="7898" spans="92:92" x14ac:dyDescent="0.3">
      <c r="CN7898">
        <v>7897</v>
      </c>
    </row>
    <row r="7899" spans="92:92" x14ac:dyDescent="0.3">
      <c r="CN7899">
        <v>7898</v>
      </c>
    </row>
    <row r="7900" spans="92:92" x14ac:dyDescent="0.3">
      <c r="CN7900">
        <v>7899</v>
      </c>
    </row>
    <row r="7901" spans="92:92" x14ac:dyDescent="0.3">
      <c r="CN7901">
        <v>7900</v>
      </c>
    </row>
    <row r="7902" spans="92:92" x14ac:dyDescent="0.3">
      <c r="CN7902">
        <v>7901</v>
      </c>
    </row>
    <row r="7903" spans="92:92" x14ac:dyDescent="0.3">
      <c r="CN7903">
        <v>7902</v>
      </c>
    </row>
    <row r="7904" spans="92:92" x14ac:dyDescent="0.3">
      <c r="CN7904">
        <v>7903</v>
      </c>
    </row>
    <row r="7905" spans="92:92" x14ac:dyDescent="0.3">
      <c r="CN7905">
        <v>7904</v>
      </c>
    </row>
    <row r="7906" spans="92:92" x14ac:dyDescent="0.3">
      <c r="CN7906">
        <v>7905</v>
      </c>
    </row>
    <row r="7907" spans="92:92" x14ac:dyDescent="0.3">
      <c r="CN7907">
        <v>7906</v>
      </c>
    </row>
    <row r="7908" spans="92:92" x14ac:dyDescent="0.3">
      <c r="CN7908">
        <v>7907</v>
      </c>
    </row>
    <row r="7909" spans="92:92" x14ac:dyDescent="0.3">
      <c r="CN7909">
        <v>7908</v>
      </c>
    </row>
    <row r="7910" spans="92:92" x14ac:dyDescent="0.3">
      <c r="CN7910">
        <v>7909</v>
      </c>
    </row>
    <row r="7911" spans="92:92" x14ac:dyDescent="0.3">
      <c r="CN7911">
        <v>7910</v>
      </c>
    </row>
    <row r="7912" spans="92:92" x14ac:dyDescent="0.3">
      <c r="CN7912">
        <v>7911</v>
      </c>
    </row>
    <row r="7913" spans="92:92" x14ac:dyDescent="0.3">
      <c r="CN7913">
        <v>7912</v>
      </c>
    </row>
    <row r="7914" spans="92:92" x14ac:dyDescent="0.3">
      <c r="CN7914">
        <v>7913</v>
      </c>
    </row>
    <row r="7915" spans="92:92" x14ac:dyDescent="0.3">
      <c r="CN7915">
        <v>7914</v>
      </c>
    </row>
    <row r="7916" spans="92:92" x14ac:dyDescent="0.3">
      <c r="CN7916">
        <v>7915</v>
      </c>
    </row>
    <row r="7917" spans="92:92" x14ac:dyDescent="0.3">
      <c r="CN7917">
        <v>7916</v>
      </c>
    </row>
    <row r="7918" spans="92:92" x14ac:dyDescent="0.3">
      <c r="CN7918">
        <v>7917</v>
      </c>
    </row>
    <row r="7919" spans="92:92" x14ac:dyDescent="0.3">
      <c r="CN7919">
        <v>7918</v>
      </c>
    </row>
    <row r="7920" spans="92:92" x14ac:dyDescent="0.3">
      <c r="CN7920">
        <v>7919</v>
      </c>
    </row>
    <row r="7921" spans="92:92" x14ac:dyDescent="0.3">
      <c r="CN7921">
        <v>7920</v>
      </c>
    </row>
    <row r="7922" spans="92:92" x14ac:dyDescent="0.3">
      <c r="CN7922">
        <v>7921</v>
      </c>
    </row>
    <row r="7923" spans="92:92" x14ac:dyDescent="0.3">
      <c r="CN7923">
        <v>7922</v>
      </c>
    </row>
    <row r="7924" spans="92:92" x14ac:dyDescent="0.3">
      <c r="CN7924">
        <v>7923</v>
      </c>
    </row>
    <row r="7925" spans="92:92" x14ac:dyDescent="0.3">
      <c r="CN7925">
        <v>7924</v>
      </c>
    </row>
    <row r="7926" spans="92:92" x14ac:dyDescent="0.3">
      <c r="CN7926">
        <v>7925</v>
      </c>
    </row>
    <row r="7927" spans="92:92" x14ac:dyDescent="0.3">
      <c r="CN7927">
        <v>7926</v>
      </c>
    </row>
    <row r="7928" spans="92:92" x14ac:dyDescent="0.3">
      <c r="CN7928">
        <v>7927</v>
      </c>
    </row>
    <row r="7929" spans="92:92" x14ac:dyDescent="0.3">
      <c r="CN7929">
        <v>7928</v>
      </c>
    </row>
    <row r="7930" spans="92:92" x14ac:dyDescent="0.3">
      <c r="CN7930">
        <v>7929</v>
      </c>
    </row>
    <row r="7931" spans="92:92" x14ac:dyDescent="0.3">
      <c r="CN7931">
        <v>7930</v>
      </c>
    </row>
    <row r="7932" spans="92:92" x14ac:dyDescent="0.3">
      <c r="CN7932">
        <v>7931</v>
      </c>
    </row>
    <row r="7933" spans="92:92" x14ac:dyDescent="0.3">
      <c r="CN7933">
        <v>7932</v>
      </c>
    </row>
    <row r="7934" spans="92:92" x14ac:dyDescent="0.3">
      <c r="CN7934">
        <v>7933</v>
      </c>
    </row>
    <row r="7935" spans="92:92" x14ac:dyDescent="0.3">
      <c r="CN7935">
        <v>7934</v>
      </c>
    </row>
    <row r="7936" spans="92:92" x14ac:dyDescent="0.3">
      <c r="CN7936">
        <v>7935</v>
      </c>
    </row>
    <row r="7937" spans="92:92" x14ac:dyDescent="0.3">
      <c r="CN7937">
        <v>7936</v>
      </c>
    </row>
    <row r="7938" spans="92:92" x14ac:dyDescent="0.3">
      <c r="CN7938">
        <v>7937</v>
      </c>
    </row>
    <row r="7939" spans="92:92" x14ac:dyDescent="0.3">
      <c r="CN7939">
        <v>7938</v>
      </c>
    </row>
    <row r="7940" spans="92:92" x14ac:dyDescent="0.3">
      <c r="CN7940">
        <v>7939</v>
      </c>
    </row>
    <row r="7941" spans="92:92" x14ac:dyDescent="0.3">
      <c r="CN7941">
        <v>7940</v>
      </c>
    </row>
    <row r="7942" spans="92:92" x14ac:dyDescent="0.3">
      <c r="CN7942">
        <v>7941</v>
      </c>
    </row>
    <row r="7943" spans="92:92" x14ac:dyDescent="0.3">
      <c r="CN7943">
        <v>7942</v>
      </c>
    </row>
    <row r="7944" spans="92:92" x14ac:dyDescent="0.3">
      <c r="CN7944">
        <v>7943</v>
      </c>
    </row>
    <row r="7945" spans="92:92" x14ac:dyDescent="0.3">
      <c r="CN7945">
        <v>7944</v>
      </c>
    </row>
    <row r="7946" spans="92:92" x14ac:dyDescent="0.3">
      <c r="CN7946">
        <v>7945</v>
      </c>
    </row>
    <row r="7947" spans="92:92" x14ac:dyDescent="0.3">
      <c r="CN7947">
        <v>7946</v>
      </c>
    </row>
    <row r="7948" spans="92:92" x14ac:dyDescent="0.3">
      <c r="CN7948">
        <v>7947</v>
      </c>
    </row>
    <row r="7949" spans="92:92" x14ac:dyDescent="0.3">
      <c r="CN7949">
        <v>7948</v>
      </c>
    </row>
    <row r="7950" spans="92:92" x14ac:dyDescent="0.3">
      <c r="CN7950">
        <v>7949</v>
      </c>
    </row>
    <row r="7951" spans="92:92" x14ac:dyDescent="0.3">
      <c r="CN7951">
        <v>7950</v>
      </c>
    </row>
    <row r="7952" spans="92:92" x14ac:dyDescent="0.3">
      <c r="CN7952">
        <v>7951</v>
      </c>
    </row>
    <row r="7953" spans="92:92" x14ac:dyDescent="0.3">
      <c r="CN7953">
        <v>7952</v>
      </c>
    </row>
    <row r="7954" spans="92:92" x14ac:dyDescent="0.3">
      <c r="CN7954">
        <v>7953</v>
      </c>
    </row>
    <row r="7955" spans="92:92" x14ac:dyDescent="0.3">
      <c r="CN7955">
        <v>7954</v>
      </c>
    </row>
    <row r="7956" spans="92:92" x14ac:dyDescent="0.3">
      <c r="CN7956">
        <v>7955</v>
      </c>
    </row>
    <row r="7957" spans="92:92" x14ac:dyDescent="0.3">
      <c r="CN7957">
        <v>7956</v>
      </c>
    </row>
    <row r="7958" spans="92:92" x14ac:dyDescent="0.3">
      <c r="CN7958">
        <v>7957</v>
      </c>
    </row>
    <row r="7959" spans="92:92" x14ac:dyDescent="0.3">
      <c r="CN7959">
        <v>7958</v>
      </c>
    </row>
    <row r="7960" spans="92:92" x14ac:dyDescent="0.3">
      <c r="CN7960">
        <v>7959</v>
      </c>
    </row>
    <row r="7961" spans="92:92" x14ac:dyDescent="0.3">
      <c r="CN7961">
        <v>7960</v>
      </c>
    </row>
    <row r="7962" spans="92:92" x14ac:dyDescent="0.3">
      <c r="CN7962">
        <v>7961</v>
      </c>
    </row>
    <row r="7963" spans="92:92" x14ac:dyDescent="0.3">
      <c r="CN7963">
        <v>7962</v>
      </c>
    </row>
    <row r="7964" spans="92:92" x14ac:dyDescent="0.3">
      <c r="CN7964">
        <v>7963</v>
      </c>
    </row>
    <row r="7965" spans="92:92" x14ac:dyDescent="0.3">
      <c r="CN7965">
        <v>7964</v>
      </c>
    </row>
    <row r="7966" spans="92:92" x14ac:dyDescent="0.3">
      <c r="CN7966">
        <v>7965</v>
      </c>
    </row>
    <row r="7967" spans="92:92" x14ac:dyDescent="0.3">
      <c r="CN7967">
        <v>7966</v>
      </c>
    </row>
    <row r="7968" spans="92:92" x14ac:dyDescent="0.3">
      <c r="CN7968">
        <v>7967</v>
      </c>
    </row>
    <row r="7969" spans="92:92" x14ac:dyDescent="0.3">
      <c r="CN7969">
        <v>7968</v>
      </c>
    </row>
    <row r="7970" spans="92:92" x14ac:dyDescent="0.3">
      <c r="CN7970">
        <v>7969</v>
      </c>
    </row>
    <row r="7971" spans="92:92" x14ac:dyDescent="0.3">
      <c r="CN7971">
        <v>7970</v>
      </c>
    </row>
    <row r="7972" spans="92:92" x14ac:dyDescent="0.3">
      <c r="CN7972">
        <v>7971</v>
      </c>
    </row>
    <row r="7973" spans="92:92" x14ac:dyDescent="0.3">
      <c r="CN7973">
        <v>7972</v>
      </c>
    </row>
    <row r="7974" spans="92:92" x14ac:dyDescent="0.3">
      <c r="CN7974">
        <v>7973</v>
      </c>
    </row>
    <row r="7975" spans="92:92" x14ac:dyDescent="0.3">
      <c r="CN7975">
        <v>7974</v>
      </c>
    </row>
    <row r="7976" spans="92:92" x14ac:dyDescent="0.3">
      <c r="CN7976">
        <v>7975</v>
      </c>
    </row>
    <row r="7977" spans="92:92" x14ac:dyDescent="0.3">
      <c r="CN7977">
        <v>7976</v>
      </c>
    </row>
    <row r="7978" spans="92:92" x14ac:dyDescent="0.3">
      <c r="CN7978">
        <v>7977</v>
      </c>
    </row>
    <row r="7979" spans="92:92" x14ac:dyDescent="0.3">
      <c r="CN7979">
        <v>7978</v>
      </c>
    </row>
    <row r="7980" spans="92:92" x14ac:dyDescent="0.3">
      <c r="CN7980">
        <v>7979</v>
      </c>
    </row>
    <row r="7981" spans="92:92" x14ac:dyDescent="0.3">
      <c r="CN7981">
        <v>7980</v>
      </c>
    </row>
    <row r="7982" spans="92:92" x14ac:dyDescent="0.3">
      <c r="CN7982">
        <v>7981</v>
      </c>
    </row>
    <row r="7983" spans="92:92" x14ac:dyDescent="0.3">
      <c r="CN7983">
        <v>7982</v>
      </c>
    </row>
    <row r="7984" spans="92:92" x14ac:dyDescent="0.3">
      <c r="CN7984">
        <v>7983</v>
      </c>
    </row>
    <row r="7985" spans="92:92" x14ac:dyDescent="0.3">
      <c r="CN7985">
        <v>7984</v>
      </c>
    </row>
    <row r="7986" spans="92:92" x14ac:dyDescent="0.3">
      <c r="CN7986">
        <v>7985</v>
      </c>
    </row>
    <row r="7987" spans="92:92" x14ac:dyDescent="0.3">
      <c r="CN7987">
        <v>7986</v>
      </c>
    </row>
    <row r="7988" spans="92:92" x14ac:dyDescent="0.3">
      <c r="CN7988">
        <v>7987</v>
      </c>
    </row>
    <row r="7989" spans="92:92" x14ac:dyDescent="0.3">
      <c r="CN7989">
        <v>7988</v>
      </c>
    </row>
    <row r="7990" spans="92:92" x14ac:dyDescent="0.3">
      <c r="CN7990">
        <v>7989</v>
      </c>
    </row>
    <row r="7991" spans="92:92" x14ac:dyDescent="0.3">
      <c r="CN7991">
        <v>7990</v>
      </c>
    </row>
    <row r="7992" spans="92:92" x14ac:dyDescent="0.3">
      <c r="CN7992">
        <v>7991</v>
      </c>
    </row>
    <row r="7993" spans="92:92" x14ac:dyDescent="0.3">
      <c r="CN7993">
        <v>7992</v>
      </c>
    </row>
    <row r="7994" spans="92:92" x14ac:dyDescent="0.3">
      <c r="CN7994">
        <v>7993</v>
      </c>
    </row>
    <row r="7995" spans="92:92" x14ac:dyDescent="0.3">
      <c r="CN7995">
        <v>7994</v>
      </c>
    </row>
    <row r="7996" spans="92:92" x14ac:dyDescent="0.3">
      <c r="CN7996">
        <v>7995</v>
      </c>
    </row>
    <row r="7997" spans="92:92" x14ac:dyDescent="0.3">
      <c r="CN7997">
        <v>7996</v>
      </c>
    </row>
    <row r="7998" spans="92:92" x14ac:dyDescent="0.3">
      <c r="CN7998">
        <v>7997</v>
      </c>
    </row>
    <row r="7999" spans="92:92" x14ac:dyDescent="0.3">
      <c r="CN7999">
        <v>7998</v>
      </c>
    </row>
    <row r="8000" spans="92:92" x14ac:dyDescent="0.3">
      <c r="CN8000">
        <v>7999</v>
      </c>
    </row>
    <row r="8001" spans="92:92" x14ac:dyDescent="0.3">
      <c r="CN8001">
        <v>8000</v>
      </c>
    </row>
    <row r="8002" spans="92:92" x14ac:dyDescent="0.3">
      <c r="CN8002">
        <v>8001</v>
      </c>
    </row>
    <row r="8003" spans="92:92" x14ac:dyDescent="0.3">
      <c r="CN8003">
        <v>8002</v>
      </c>
    </row>
    <row r="8004" spans="92:92" x14ac:dyDescent="0.3">
      <c r="CN8004">
        <v>8003</v>
      </c>
    </row>
    <row r="8005" spans="92:92" x14ac:dyDescent="0.3">
      <c r="CN8005">
        <v>8004</v>
      </c>
    </row>
    <row r="8006" spans="92:92" x14ac:dyDescent="0.3">
      <c r="CN8006">
        <v>8005</v>
      </c>
    </row>
    <row r="8007" spans="92:92" x14ac:dyDescent="0.3">
      <c r="CN8007">
        <v>8006</v>
      </c>
    </row>
    <row r="8008" spans="92:92" x14ac:dyDescent="0.3">
      <c r="CN8008">
        <v>8007</v>
      </c>
    </row>
    <row r="8009" spans="92:92" x14ac:dyDescent="0.3">
      <c r="CN8009">
        <v>8008</v>
      </c>
    </row>
    <row r="8010" spans="92:92" x14ac:dyDescent="0.3">
      <c r="CN8010">
        <v>8009</v>
      </c>
    </row>
    <row r="8011" spans="92:92" x14ac:dyDescent="0.3">
      <c r="CN8011">
        <v>8010</v>
      </c>
    </row>
    <row r="8012" spans="92:92" x14ac:dyDescent="0.3">
      <c r="CN8012">
        <v>8011</v>
      </c>
    </row>
    <row r="8013" spans="92:92" x14ac:dyDescent="0.3">
      <c r="CN8013">
        <v>8012</v>
      </c>
    </row>
    <row r="8014" spans="92:92" x14ac:dyDescent="0.3">
      <c r="CN8014">
        <v>8013</v>
      </c>
    </row>
    <row r="8015" spans="92:92" x14ac:dyDescent="0.3">
      <c r="CN8015">
        <v>8014</v>
      </c>
    </row>
    <row r="8016" spans="92:92" x14ac:dyDescent="0.3">
      <c r="CN8016">
        <v>8015</v>
      </c>
    </row>
    <row r="8017" spans="92:92" x14ac:dyDescent="0.3">
      <c r="CN8017">
        <v>8016</v>
      </c>
    </row>
    <row r="8018" spans="92:92" x14ac:dyDescent="0.3">
      <c r="CN8018">
        <v>8017</v>
      </c>
    </row>
    <row r="8019" spans="92:92" x14ac:dyDescent="0.3">
      <c r="CN8019">
        <v>8018</v>
      </c>
    </row>
    <row r="8020" spans="92:92" x14ac:dyDescent="0.3">
      <c r="CN8020">
        <v>8019</v>
      </c>
    </row>
    <row r="8021" spans="92:92" x14ac:dyDescent="0.3">
      <c r="CN8021">
        <v>8020</v>
      </c>
    </row>
    <row r="8022" spans="92:92" x14ac:dyDescent="0.3">
      <c r="CN8022">
        <v>8021</v>
      </c>
    </row>
    <row r="8023" spans="92:92" x14ac:dyDescent="0.3">
      <c r="CN8023">
        <v>8022</v>
      </c>
    </row>
    <row r="8024" spans="92:92" x14ac:dyDescent="0.3">
      <c r="CN8024">
        <v>8023</v>
      </c>
    </row>
    <row r="8025" spans="92:92" x14ac:dyDescent="0.3">
      <c r="CN8025">
        <v>8024</v>
      </c>
    </row>
    <row r="8026" spans="92:92" x14ac:dyDescent="0.3">
      <c r="CN8026">
        <v>8025</v>
      </c>
    </row>
    <row r="8027" spans="92:92" x14ac:dyDescent="0.3">
      <c r="CN8027">
        <v>8026</v>
      </c>
    </row>
    <row r="8028" spans="92:92" x14ac:dyDescent="0.3">
      <c r="CN8028">
        <v>8027</v>
      </c>
    </row>
    <row r="8029" spans="92:92" x14ac:dyDescent="0.3">
      <c r="CN8029">
        <v>8028</v>
      </c>
    </row>
    <row r="8030" spans="92:92" x14ac:dyDescent="0.3">
      <c r="CN8030">
        <v>8029</v>
      </c>
    </row>
    <row r="8031" spans="92:92" x14ac:dyDescent="0.3">
      <c r="CN8031">
        <v>8030</v>
      </c>
    </row>
    <row r="8032" spans="92:92" x14ac:dyDescent="0.3">
      <c r="CN8032">
        <v>8031</v>
      </c>
    </row>
    <row r="8033" spans="92:92" x14ac:dyDescent="0.3">
      <c r="CN8033">
        <v>8032</v>
      </c>
    </row>
    <row r="8034" spans="92:92" x14ac:dyDescent="0.3">
      <c r="CN8034">
        <v>8033</v>
      </c>
    </row>
    <row r="8035" spans="92:92" x14ac:dyDescent="0.3">
      <c r="CN8035">
        <v>8034</v>
      </c>
    </row>
    <row r="8036" spans="92:92" x14ac:dyDescent="0.3">
      <c r="CN8036">
        <v>8035</v>
      </c>
    </row>
    <row r="8037" spans="92:92" x14ac:dyDescent="0.3">
      <c r="CN8037">
        <v>8036</v>
      </c>
    </row>
    <row r="8038" spans="92:92" x14ac:dyDescent="0.3">
      <c r="CN8038">
        <v>8037</v>
      </c>
    </row>
    <row r="8039" spans="92:92" x14ac:dyDescent="0.3">
      <c r="CN8039">
        <v>8038</v>
      </c>
    </row>
    <row r="8040" spans="92:92" x14ac:dyDescent="0.3">
      <c r="CN8040">
        <v>8039</v>
      </c>
    </row>
    <row r="8041" spans="92:92" x14ac:dyDescent="0.3">
      <c r="CN8041">
        <v>8040</v>
      </c>
    </row>
    <row r="8042" spans="92:92" x14ac:dyDescent="0.3">
      <c r="CN8042">
        <v>8041</v>
      </c>
    </row>
    <row r="8043" spans="92:92" x14ac:dyDescent="0.3">
      <c r="CN8043">
        <v>8042</v>
      </c>
    </row>
    <row r="8044" spans="92:92" x14ac:dyDescent="0.3">
      <c r="CN8044">
        <v>8043</v>
      </c>
    </row>
    <row r="8045" spans="92:92" x14ac:dyDescent="0.3">
      <c r="CN8045">
        <v>8044</v>
      </c>
    </row>
    <row r="8046" spans="92:92" x14ac:dyDescent="0.3">
      <c r="CN8046">
        <v>8045</v>
      </c>
    </row>
    <row r="8047" spans="92:92" x14ac:dyDescent="0.3">
      <c r="CN8047">
        <v>8046</v>
      </c>
    </row>
    <row r="8048" spans="92:92" x14ac:dyDescent="0.3">
      <c r="CN8048">
        <v>8047</v>
      </c>
    </row>
    <row r="8049" spans="92:92" x14ac:dyDescent="0.3">
      <c r="CN8049">
        <v>8048</v>
      </c>
    </row>
    <row r="8050" spans="92:92" x14ac:dyDescent="0.3">
      <c r="CN8050">
        <v>8049</v>
      </c>
    </row>
    <row r="8051" spans="92:92" x14ac:dyDescent="0.3">
      <c r="CN8051">
        <v>8050</v>
      </c>
    </row>
    <row r="8052" spans="92:92" x14ac:dyDescent="0.3">
      <c r="CN8052">
        <v>8051</v>
      </c>
    </row>
    <row r="8053" spans="92:92" x14ac:dyDescent="0.3">
      <c r="CN8053">
        <v>8052</v>
      </c>
    </row>
    <row r="8054" spans="92:92" x14ac:dyDescent="0.3">
      <c r="CN8054">
        <v>8053</v>
      </c>
    </row>
    <row r="8055" spans="92:92" x14ac:dyDescent="0.3">
      <c r="CN8055">
        <v>8054</v>
      </c>
    </row>
    <row r="8056" spans="92:92" x14ac:dyDescent="0.3">
      <c r="CN8056">
        <v>8055</v>
      </c>
    </row>
    <row r="8057" spans="92:92" x14ac:dyDescent="0.3">
      <c r="CN8057">
        <v>8056</v>
      </c>
    </row>
    <row r="8058" spans="92:92" x14ac:dyDescent="0.3">
      <c r="CN8058">
        <v>8057</v>
      </c>
    </row>
    <row r="8059" spans="92:92" x14ac:dyDescent="0.3">
      <c r="CN8059">
        <v>8058</v>
      </c>
    </row>
    <row r="8060" spans="92:92" x14ac:dyDescent="0.3">
      <c r="CN8060">
        <v>8059</v>
      </c>
    </row>
    <row r="8061" spans="92:92" x14ac:dyDescent="0.3">
      <c r="CN8061">
        <v>8060</v>
      </c>
    </row>
    <row r="8062" spans="92:92" x14ac:dyDescent="0.3">
      <c r="CN8062">
        <v>8061</v>
      </c>
    </row>
    <row r="8063" spans="92:92" x14ac:dyDescent="0.3">
      <c r="CN8063">
        <v>8062</v>
      </c>
    </row>
    <row r="8064" spans="92:92" x14ac:dyDescent="0.3">
      <c r="CN8064">
        <v>8063</v>
      </c>
    </row>
    <row r="8065" spans="92:92" x14ac:dyDescent="0.3">
      <c r="CN8065">
        <v>8064</v>
      </c>
    </row>
    <row r="8066" spans="92:92" x14ac:dyDescent="0.3">
      <c r="CN8066">
        <v>8065</v>
      </c>
    </row>
    <row r="8067" spans="92:92" x14ac:dyDescent="0.3">
      <c r="CN8067">
        <v>8066</v>
      </c>
    </row>
    <row r="8068" spans="92:92" x14ac:dyDescent="0.3">
      <c r="CN8068">
        <v>8067</v>
      </c>
    </row>
    <row r="8069" spans="92:92" x14ac:dyDescent="0.3">
      <c r="CN8069">
        <v>8068</v>
      </c>
    </row>
    <row r="8070" spans="92:92" x14ac:dyDescent="0.3">
      <c r="CN8070">
        <v>8069</v>
      </c>
    </row>
    <row r="8071" spans="92:92" x14ac:dyDescent="0.3">
      <c r="CN8071">
        <v>8070</v>
      </c>
    </row>
    <row r="8072" spans="92:92" x14ac:dyDescent="0.3">
      <c r="CN8072">
        <v>8071</v>
      </c>
    </row>
    <row r="8073" spans="92:92" x14ac:dyDescent="0.3">
      <c r="CN8073">
        <v>8072</v>
      </c>
    </row>
    <row r="8074" spans="92:92" x14ac:dyDescent="0.3">
      <c r="CN8074">
        <v>8073</v>
      </c>
    </row>
    <row r="8075" spans="92:92" x14ac:dyDescent="0.3">
      <c r="CN8075">
        <v>8074</v>
      </c>
    </row>
    <row r="8076" spans="92:92" x14ac:dyDescent="0.3">
      <c r="CN8076">
        <v>8075</v>
      </c>
    </row>
    <row r="8077" spans="92:92" x14ac:dyDescent="0.3">
      <c r="CN8077">
        <v>8076</v>
      </c>
    </row>
    <row r="8078" spans="92:92" x14ac:dyDescent="0.3">
      <c r="CN8078">
        <v>8077</v>
      </c>
    </row>
    <row r="8079" spans="92:92" x14ac:dyDescent="0.3">
      <c r="CN8079">
        <v>8078</v>
      </c>
    </row>
    <row r="8080" spans="92:92" x14ac:dyDescent="0.3">
      <c r="CN8080">
        <v>8079</v>
      </c>
    </row>
    <row r="8081" spans="92:92" x14ac:dyDescent="0.3">
      <c r="CN8081">
        <v>8080</v>
      </c>
    </row>
    <row r="8082" spans="92:92" x14ac:dyDescent="0.3">
      <c r="CN8082">
        <v>8081</v>
      </c>
    </row>
    <row r="8083" spans="92:92" x14ac:dyDescent="0.3">
      <c r="CN8083">
        <v>8082</v>
      </c>
    </row>
    <row r="8084" spans="92:92" x14ac:dyDescent="0.3">
      <c r="CN8084">
        <v>8083</v>
      </c>
    </row>
    <row r="8085" spans="92:92" x14ac:dyDescent="0.3">
      <c r="CN8085">
        <v>8084</v>
      </c>
    </row>
    <row r="8086" spans="92:92" x14ac:dyDescent="0.3">
      <c r="CN8086">
        <v>8085</v>
      </c>
    </row>
    <row r="8087" spans="92:92" x14ac:dyDescent="0.3">
      <c r="CN8087">
        <v>8086</v>
      </c>
    </row>
    <row r="8088" spans="92:92" x14ac:dyDescent="0.3">
      <c r="CN8088">
        <v>8087</v>
      </c>
    </row>
    <row r="8089" spans="92:92" x14ac:dyDescent="0.3">
      <c r="CN8089">
        <v>8088</v>
      </c>
    </row>
    <row r="8090" spans="92:92" x14ac:dyDescent="0.3">
      <c r="CN8090">
        <v>8089</v>
      </c>
    </row>
    <row r="8091" spans="92:92" x14ac:dyDescent="0.3">
      <c r="CN8091">
        <v>8090</v>
      </c>
    </row>
    <row r="8092" spans="92:92" x14ac:dyDescent="0.3">
      <c r="CN8092">
        <v>8091</v>
      </c>
    </row>
    <row r="8093" spans="92:92" x14ac:dyDescent="0.3">
      <c r="CN8093">
        <v>8092</v>
      </c>
    </row>
    <row r="8094" spans="92:92" x14ac:dyDescent="0.3">
      <c r="CN8094">
        <v>8093</v>
      </c>
    </row>
    <row r="8095" spans="92:92" x14ac:dyDescent="0.3">
      <c r="CN8095">
        <v>8094</v>
      </c>
    </row>
    <row r="8096" spans="92:92" x14ac:dyDescent="0.3">
      <c r="CN8096">
        <v>8095</v>
      </c>
    </row>
    <row r="8097" spans="92:92" x14ac:dyDescent="0.3">
      <c r="CN8097">
        <v>8096</v>
      </c>
    </row>
    <row r="8098" spans="92:92" x14ac:dyDescent="0.3">
      <c r="CN8098">
        <v>8097</v>
      </c>
    </row>
    <row r="8099" spans="92:92" x14ac:dyDescent="0.3">
      <c r="CN8099">
        <v>8098</v>
      </c>
    </row>
    <row r="8100" spans="92:92" x14ac:dyDescent="0.3">
      <c r="CN8100">
        <v>8099</v>
      </c>
    </row>
    <row r="8101" spans="92:92" x14ac:dyDescent="0.3">
      <c r="CN8101">
        <v>8100</v>
      </c>
    </row>
    <row r="8102" spans="92:92" x14ac:dyDescent="0.3">
      <c r="CN8102">
        <v>8101</v>
      </c>
    </row>
    <row r="8103" spans="92:92" x14ac:dyDescent="0.3">
      <c r="CN8103">
        <v>8102</v>
      </c>
    </row>
    <row r="8104" spans="92:92" x14ac:dyDescent="0.3">
      <c r="CN8104">
        <v>8103</v>
      </c>
    </row>
    <row r="8105" spans="92:92" x14ac:dyDescent="0.3">
      <c r="CN8105">
        <v>8104</v>
      </c>
    </row>
    <row r="8106" spans="92:92" x14ac:dyDescent="0.3">
      <c r="CN8106">
        <v>8105</v>
      </c>
    </row>
    <row r="8107" spans="92:92" x14ac:dyDescent="0.3">
      <c r="CN8107">
        <v>8106</v>
      </c>
    </row>
    <row r="8108" spans="92:92" x14ac:dyDescent="0.3">
      <c r="CN8108">
        <v>8107</v>
      </c>
    </row>
    <row r="8109" spans="92:92" x14ac:dyDescent="0.3">
      <c r="CN8109">
        <v>8108</v>
      </c>
    </row>
    <row r="8110" spans="92:92" x14ac:dyDescent="0.3">
      <c r="CN8110">
        <v>8109</v>
      </c>
    </row>
    <row r="8111" spans="92:92" x14ac:dyDescent="0.3">
      <c r="CN8111">
        <v>8110</v>
      </c>
    </row>
    <row r="8112" spans="92:92" x14ac:dyDescent="0.3">
      <c r="CN8112">
        <v>8111</v>
      </c>
    </row>
    <row r="8113" spans="92:92" x14ac:dyDescent="0.3">
      <c r="CN8113">
        <v>8112</v>
      </c>
    </row>
    <row r="8114" spans="92:92" x14ac:dyDescent="0.3">
      <c r="CN8114">
        <v>8113</v>
      </c>
    </row>
    <row r="8115" spans="92:92" x14ac:dyDescent="0.3">
      <c r="CN8115">
        <v>8114</v>
      </c>
    </row>
    <row r="8116" spans="92:92" x14ac:dyDescent="0.3">
      <c r="CN8116">
        <v>8115</v>
      </c>
    </row>
    <row r="8117" spans="92:92" x14ac:dyDescent="0.3">
      <c r="CN8117">
        <v>8116</v>
      </c>
    </row>
    <row r="8118" spans="92:92" x14ac:dyDescent="0.3">
      <c r="CN8118">
        <v>8117</v>
      </c>
    </row>
    <row r="8119" spans="92:92" x14ac:dyDescent="0.3">
      <c r="CN8119">
        <v>8118</v>
      </c>
    </row>
    <row r="8120" spans="92:92" x14ac:dyDescent="0.3">
      <c r="CN8120">
        <v>8119</v>
      </c>
    </row>
    <row r="8121" spans="92:92" x14ac:dyDescent="0.3">
      <c r="CN8121">
        <v>8120</v>
      </c>
    </row>
    <row r="8122" spans="92:92" x14ac:dyDescent="0.3">
      <c r="CN8122">
        <v>8121</v>
      </c>
    </row>
    <row r="8123" spans="92:92" x14ac:dyDescent="0.3">
      <c r="CN8123">
        <v>8122</v>
      </c>
    </row>
    <row r="8124" spans="92:92" x14ac:dyDescent="0.3">
      <c r="CN8124">
        <v>8123</v>
      </c>
    </row>
    <row r="8125" spans="92:92" x14ac:dyDescent="0.3">
      <c r="CN8125">
        <v>8124</v>
      </c>
    </row>
    <row r="8126" spans="92:92" x14ac:dyDescent="0.3">
      <c r="CN8126">
        <v>8125</v>
      </c>
    </row>
    <row r="8127" spans="92:92" x14ac:dyDescent="0.3">
      <c r="CN8127">
        <v>8126</v>
      </c>
    </row>
    <row r="8128" spans="92:92" x14ac:dyDescent="0.3">
      <c r="CN8128">
        <v>8127</v>
      </c>
    </row>
    <row r="8129" spans="92:92" x14ac:dyDescent="0.3">
      <c r="CN8129">
        <v>8128</v>
      </c>
    </row>
    <row r="8130" spans="92:92" x14ac:dyDescent="0.3">
      <c r="CN8130">
        <v>8129</v>
      </c>
    </row>
    <row r="8131" spans="92:92" x14ac:dyDescent="0.3">
      <c r="CN8131">
        <v>8130</v>
      </c>
    </row>
    <row r="8132" spans="92:92" x14ac:dyDescent="0.3">
      <c r="CN8132">
        <v>8131</v>
      </c>
    </row>
    <row r="8133" spans="92:92" x14ac:dyDescent="0.3">
      <c r="CN8133">
        <v>8132</v>
      </c>
    </row>
    <row r="8134" spans="92:92" x14ac:dyDescent="0.3">
      <c r="CN8134">
        <v>8133</v>
      </c>
    </row>
    <row r="8135" spans="92:92" x14ac:dyDescent="0.3">
      <c r="CN8135">
        <v>8134</v>
      </c>
    </row>
    <row r="8136" spans="92:92" x14ac:dyDescent="0.3">
      <c r="CN8136">
        <v>8135</v>
      </c>
    </row>
    <row r="8137" spans="92:92" x14ac:dyDescent="0.3">
      <c r="CN8137">
        <v>8136</v>
      </c>
    </row>
    <row r="8138" spans="92:92" x14ac:dyDescent="0.3">
      <c r="CN8138">
        <v>8137</v>
      </c>
    </row>
    <row r="8139" spans="92:92" x14ac:dyDescent="0.3">
      <c r="CN8139">
        <v>8138</v>
      </c>
    </row>
    <row r="8140" spans="92:92" x14ac:dyDescent="0.3">
      <c r="CN8140">
        <v>8139</v>
      </c>
    </row>
    <row r="8141" spans="92:92" x14ac:dyDescent="0.3">
      <c r="CN8141">
        <v>8140</v>
      </c>
    </row>
    <row r="8142" spans="92:92" x14ac:dyDescent="0.3">
      <c r="CN8142">
        <v>8141</v>
      </c>
    </row>
    <row r="8143" spans="92:92" x14ac:dyDescent="0.3">
      <c r="CN8143">
        <v>8142</v>
      </c>
    </row>
    <row r="8144" spans="92:92" x14ac:dyDescent="0.3">
      <c r="CN8144">
        <v>8143</v>
      </c>
    </row>
    <row r="8145" spans="92:92" x14ac:dyDescent="0.3">
      <c r="CN8145">
        <v>8144</v>
      </c>
    </row>
    <row r="8146" spans="92:92" x14ac:dyDescent="0.3">
      <c r="CN8146">
        <v>8145</v>
      </c>
    </row>
    <row r="8147" spans="92:92" x14ac:dyDescent="0.3">
      <c r="CN8147">
        <v>8146</v>
      </c>
    </row>
    <row r="8148" spans="92:92" x14ac:dyDescent="0.3">
      <c r="CN8148">
        <v>8147</v>
      </c>
    </row>
    <row r="8149" spans="92:92" x14ac:dyDescent="0.3">
      <c r="CN8149">
        <v>8148</v>
      </c>
    </row>
    <row r="8150" spans="92:92" x14ac:dyDescent="0.3">
      <c r="CN8150">
        <v>8149</v>
      </c>
    </row>
    <row r="8151" spans="92:92" x14ac:dyDescent="0.3">
      <c r="CN8151">
        <v>8150</v>
      </c>
    </row>
    <row r="8152" spans="92:92" x14ac:dyDescent="0.3">
      <c r="CN8152">
        <v>8151</v>
      </c>
    </row>
    <row r="8153" spans="92:92" x14ac:dyDescent="0.3">
      <c r="CN8153">
        <v>8152</v>
      </c>
    </row>
    <row r="8154" spans="92:92" x14ac:dyDescent="0.3">
      <c r="CN8154">
        <v>8153</v>
      </c>
    </row>
    <row r="8155" spans="92:92" x14ac:dyDescent="0.3">
      <c r="CN8155">
        <v>8154</v>
      </c>
    </row>
    <row r="8156" spans="92:92" x14ac:dyDescent="0.3">
      <c r="CN8156">
        <v>8155</v>
      </c>
    </row>
    <row r="8157" spans="92:92" x14ac:dyDescent="0.3">
      <c r="CN8157">
        <v>8156</v>
      </c>
    </row>
    <row r="8158" spans="92:92" x14ac:dyDescent="0.3">
      <c r="CN8158">
        <v>8157</v>
      </c>
    </row>
    <row r="8159" spans="92:92" x14ac:dyDescent="0.3">
      <c r="CN8159">
        <v>8158</v>
      </c>
    </row>
    <row r="8160" spans="92:92" x14ac:dyDescent="0.3">
      <c r="CN8160">
        <v>8159</v>
      </c>
    </row>
    <row r="8161" spans="92:92" x14ac:dyDescent="0.3">
      <c r="CN8161">
        <v>8160</v>
      </c>
    </row>
    <row r="8162" spans="92:92" x14ac:dyDescent="0.3">
      <c r="CN8162">
        <v>8161</v>
      </c>
    </row>
    <row r="8163" spans="92:92" x14ac:dyDescent="0.3">
      <c r="CN8163">
        <v>8162</v>
      </c>
    </row>
    <row r="8164" spans="92:92" x14ac:dyDescent="0.3">
      <c r="CN8164">
        <v>8163</v>
      </c>
    </row>
    <row r="8165" spans="92:92" x14ac:dyDescent="0.3">
      <c r="CN8165">
        <v>8164</v>
      </c>
    </row>
    <row r="8166" spans="92:92" x14ac:dyDescent="0.3">
      <c r="CN8166">
        <v>8165</v>
      </c>
    </row>
    <row r="8167" spans="92:92" x14ac:dyDescent="0.3">
      <c r="CN8167">
        <v>8166</v>
      </c>
    </row>
    <row r="8168" spans="92:92" x14ac:dyDescent="0.3">
      <c r="CN8168">
        <v>8167</v>
      </c>
    </row>
    <row r="8169" spans="92:92" x14ac:dyDescent="0.3">
      <c r="CN8169">
        <v>8168</v>
      </c>
    </row>
    <row r="8170" spans="92:92" x14ac:dyDescent="0.3">
      <c r="CN8170">
        <v>8169</v>
      </c>
    </row>
    <row r="8171" spans="92:92" x14ac:dyDescent="0.3">
      <c r="CN8171">
        <v>8170</v>
      </c>
    </row>
    <row r="8172" spans="92:92" x14ac:dyDescent="0.3">
      <c r="CN8172">
        <v>8171</v>
      </c>
    </row>
    <row r="8173" spans="92:92" x14ac:dyDescent="0.3">
      <c r="CN8173">
        <v>8172</v>
      </c>
    </row>
    <row r="8174" spans="92:92" x14ac:dyDescent="0.3">
      <c r="CN8174">
        <v>8173</v>
      </c>
    </row>
    <row r="8175" spans="92:92" x14ac:dyDescent="0.3">
      <c r="CN8175">
        <v>8174</v>
      </c>
    </row>
    <row r="8176" spans="92:92" x14ac:dyDescent="0.3">
      <c r="CN8176">
        <v>8175</v>
      </c>
    </row>
    <row r="8177" spans="92:92" x14ac:dyDescent="0.3">
      <c r="CN8177">
        <v>8176</v>
      </c>
    </row>
    <row r="8178" spans="92:92" x14ac:dyDescent="0.3">
      <c r="CN8178">
        <v>8177</v>
      </c>
    </row>
    <row r="8179" spans="92:92" x14ac:dyDescent="0.3">
      <c r="CN8179">
        <v>8178</v>
      </c>
    </row>
    <row r="8180" spans="92:92" x14ac:dyDescent="0.3">
      <c r="CN8180">
        <v>8179</v>
      </c>
    </row>
    <row r="8181" spans="92:92" x14ac:dyDescent="0.3">
      <c r="CN8181">
        <v>8180</v>
      </c>
    </row>
    <row r="8182" spans="92:92" x14ac:dyDescent="0.3">
      <c r="CN8182">
        <v>8181</v>
      </c>
    </row>
    <row r="8183" spans="92:92" x14ac:dyDescent="0.3">
      <c r="CN8183">
        <v>8182</v>
      </c>
    </row>
    <row r="8184" spans="92:92" x14ac:dyDescent="0.3">
      <c r="CN8184">
        <v>8183</v>
      </c>
    </row>
    <row r="8185" spans="92:92" x14ac:dyDescent="0.3">
      <c r="CN8185">
        <v>8184</v>
      </c>
    </row>
    <row r="8186" spans="92:92" x14ac:dyDescent="0.3">
      <c r="CN8186">
        <v>8185</v>
      </c>
    </row>
    <row r="8187" spans="92:92" x14ac:dyDescent="0.3">
      <c r="CN8187">
        <v>8186</v>
      </c>
    </row>
    <row r="8188" spans="92:92" x14ac:dyDescent="0.3">
      <c r="CN8188">
        <v>8187</v>
      </c>
    </row>
    <row r="8189" spans="92:92" x14ac:dyDescent="0.3">
      <c r="CN8189">
        <v>8188</v>
      </c>
    </row>
    <row r="8190" spans="92:92" x14ac:dyDescent="0.3">
      <c r="CN8190">
        <v>8189</v>
      </c>
    </row>
    <row r="8191" spans="92:92" x14ac:dyDescent="0.3">
      <c r="CN8191">
        <v>8190</v>
      </c>
    </row>
    <row r="8192" spans="92:92" x14ac:dyDescent="0.3">
      <c r="CN8192">
        <v>8191</v>
      </c>
    </row>
    <row r="8193" spans="92:92" x14ac:dyDescent="0.3">
      <c r="CN8193">
        <v>8192</v>
      </c>
    </row>
    <row r="8194" spans="92:92" x14ac:dyDescent="0.3">
      <c r="CN8194">
        <v>8193</v>
      </c>
    </row>
    <row r="8195" spans="92:92" x14ac:dyDescent="0.3">
      <c r="CN8195">
        <v>8194</v>
      </c>
    </row>
    <row r="8196" spans="92:92" x14ac:dyDescent="0.3">
      <c r="CN8196">
        <v>8195</v>
      </c>
    </row>
    <row r="8197" spans="92:92" x14ac:dyDescent="0.3">
      <c r="CN8197">
        <v>8196</v>
      </c>
    </row>
    <row r="8198" spans="92:92" x14ac:dyDescent="0.3">
      <c r="CN8198">
        <v>8197</v>
      </c>
    </row>
    <row r="8199" spans="92:92" x14ac:dyDescent="0.3">
      <c r="CN8199">
        <v>8198</v>
      </c>
    </row>
    <row r="8200" spans="92:92" x14ac:dyDescent="0.3">
      <c r="CN8200">
        <v>8199</v>
      </c>
    </row>
    <row r="8201" spans="92:92" x14ac:dyDescent="0.3">
      <c r="CN8201">
        <v>8200</v>
      </c>
    </row>
    <row r="8202" spans="92:92" x14ac:dyDescent="0.3">
      <c r="CN8202">
        <v>8201</v>
      </c>
    </row>
    <row r="8203" spans="92:92" x14ac:dyDescent="0.3">
      <c r="CN8203">
        <v>8202</v>
      </c>
    </row>
    <row r="8204" spans="92:92" x14ac:dyDescent="0.3">
      <c r="CN8204">
        <v>8203</v>
      </c>
    </row>
    <row r="8205" spans="92:92" x14ac:dyDescent="0.3">
      <c r="CN8205">
        <v>8204</v>
      </c>
    </row>
    <row r="8206" spans="92:92" x14ac:dyDescent="0.3">
      <c r="CN8206">
        <v>8205</v>
      </c>
    </row>
    <row r="8207" spans="92:92" x14ac:dyDescent="0.3">
      <c r="CN8207">
        <v>8206</v>
      </c>
    </row>
    <row r="8208" spans="92:92" x14ac:dyDescent="0.3">
      <c r="CN8208">
        <v>8207</v>
      </c>
    </row>
    <row r="8209" spans="92:92" x14ac:dyDescent="0.3">
      <c r="CN8209">
        <v>8208</v>
      </c>
    </row>
    <row r="8210" spans="92:92" x14ac:dyDescent="0.3">
      <c r="CN8210">
        <v>8209</v>
      </c>
    </row>
    <row r="8211" spans="92:92" x14ac:dyDescent="0.3">
      <c r="CN8211">
        <v>8210</v>
      </c>
    </row>
    <row r="8212" spans="92:92" x14ac:dyDescent="0.3">
      <c r="CN8212">
        <v>8211</v>
      </c>
    </row>
    <row r="8213" spans="92:92" x14ac:dyDescent="0.3">
      <c r="CN8213">
        <v>8212</v>
      </c>
    </row>
    <row r="8214" spans="92:92" x14ac:dyDescent="0.3">
      <c r="CN8214">
        <v>8213</v>
      </c>
    </row>
    <row r="8215" spans="92:92" x14ac:dyDescent="0.3">
      <c r="CN8215">
        <v>8214</v>
      </c>
    </row>
    <row r="8216" spans="92:92" x14ac:dyDescent="0.3">
      <c r="CN8216">
        <v>8215</v>
      </c>
    </row>
    <row r="8217" spans="92:92" x14ac:dyDescent="0.3">
      <c r="CN8217">
        <v>8216</v>
      </c>
    </row>
    <row r="8218" spans="92:92" x14ac:dyDescent="0.3">
      <c r="CN8218">
        <v>8217</v>
      </c>
    </row>
    <row r="8219" spans="92:92" x14ac:dyDescent="0.3">
      <c r="CN8219">
        <v>8218</v>
      </c>
    </row>
    <row r="8220" spans="92:92" x14ac:dyDescent="0.3">
      <c r="CN8220">
        <v>8219</v>
      </c>
    </row>
    <row r="8221" spans="92:92" x14ac:dyDescent="0.3">
      <c r="CN8221">
        <v>8220</v>
      </c>
    </row>
    <row r="8222" spans="92:92" x14ac:dyDescent="0.3">
      <c r="CN8222">
        <v>8221</v>
      </c>
    </row>
    <row r="8223" spans="92:92" x14ac:dyDescent="0.3">
      <c r="CN8223">
        <v>8222</v>
      </c>
    </row>
    <row r="8224" spans="92:92" x14ac:dyDescent="0.3">
      <c r="CN8224">
        <v>8223</v>
      </c>
    </row>
    <row r="8225" spans="92:92" x14ac:dyDescent="0.3">
      <c r="CN8225">
        <v>8224</v>
      </c>
    </row>
    <row r="8226" spans="92:92" x14ac:dyDescent="0.3">
      <c r="CN8226">
        <v>8225</v>
      </c>
    </row>
    <row r="8227" spans="92:92" x14ac:dyDescent="0.3">
      <c r="CN8227">
        <v>8226</v>
      </c>
    </row>
    <row r="8228" spans="92:92" x14ac:dyDescent="0.3">
      <c r="CN8228">
        <v>8227</v>
      </c>
    </row>
    <row r="8229" spans="92:92" x14ac:dyDescent="0.3">
      <c r="CN8229">
        <v>8228</v>
      </c>
    </row>
    <row r="8230" spans="92:92" x14ac:dyDescent="0.3">
      <c r="CN8230">
        <v>8229</v>
      </c>
    </row>
    <row r="8231" spans="92:92" x14ac:dyDescent="0.3">
      <c r="CN8231">
        <v>8230</v>
      </c>
    </row>
    <row r="8232" spans="92:92" x14ac:dyDescent="0.3">
      <c r="CN8232">
        <v>8231</v>
      </c>
    </row>
    <row r="8233" spans="92:92" x14ac:dyDescent="0.3">
      <c r="CN8233">
        <v>8232</v>
      </c>
    </row>
    <row r="8234" spans="92:92" x14ac:dyDescent="0.3">
      <c r="CN8234">
        <v>8233</v>
      </c>
    </row>
    <row r="8235" spans="92:92" x14ac:dyDescent="0.3">
      <c r="CN8235">
        <v>8234</v>
      </c>
    </row>
    <row r="8236" spans="92:92" x14ac:dyDescent="0.3">
      <c r="CN8236">
        <v>8235</v>
      </c>
    </row>
    <row r="8237" spans="92:92" x14ac:dyDescent="0.3">
      <c r="CN8237">
        <v>8236</v>
      </c>
    </row>
    <row r="8238" spans="92:92" x14ac:dyDescent="0.3">
      <c r="CN8238">
        <v>8237</v>
      </c>
    </row>
    <row r="8239" spans="92:92" x14ac:dyDescent="0.3">
      <c r="CN8239">
        <v>8238</v>
      </c>
    </row>
    <row r="8240" spans="92:92" x14ac:dyDescent="0.3">
      <c r="CN8240">
        <v>8239</v>
      </c>
    </row>
    <row r="8241" spans="92:92" x14ac:dyDescent="0.3">
      <c r="CN8241">
        <v>8240</v>
      </c>
    </row>
    <row r="8242" spans="92:92" x14ac:dyDescent="0.3">
      <c r="CN8242">
        <v>8241</v>
      </c>
    </row>
    <row r="8243" spans="92:92" x14ac:dyDescent="0.3">
      <c r="CN8243">
        <v>8242</v>
      </c>
    </row>
    <row r="8244" spans="92:92" x14ac:dyDescent="0.3">
      <c r="CN8244">
        <v>8243</v>
      </c>
    </row>
    <row r="8245" spans="92:92" x14ac:dyDescent="0.3">
      <c r="CN8245">
        <v>8244</v>
      </c>
    </row>
    <row r="8246" spans="92:92" x14ac:dyDescent="0.3">
      <c r="CN8246">
        <v>8245</v>
      </c>
    </row>
    <row r="8247" spans="92:92" x14ac:dyDescent="0.3">
      <c r="CN8247">
        <v>8246</v>
      </c>
    </row>
    <row r="8248" spans="92:92" x14ac:dyDescent="0.3">
      <c r="CN8248">
        <v>8247</v>
      </c>
    </row>
    <row r="8249" spans="92:92" x14ac:dyDescent="0.3">
      <c r="CN8249">
        <v>8248</v>
      </c>
    </row>
    <row r="8250" spans="92:92" x14ac:dyDescent="0.3">
      <c r="CN8250">
        <v>8249</v>
      </c>
    </row>
    <row r="8251" spans="92:92" x14ac:dyDescent="0.3">
      <c r="CN8251">
        <v>8250</v>
      </c>
    </row>
    <row r="8252" spans="92:92" x14ac:dyDescent="0.3">
      <c r="CN8252">
        <v>8251</v>
      </c>
    </row>
    <row r="8253" spans="92:92" x14ac:dyDescent="0.3">
      <c r="CN8253">
        <v>8252</v>
      </c>
    </row>
    <row r="8254" spans="92:92" x14ac:dyDescent="0.3">
      <c r="CN8254">
        <v>8253</v>
      </c>
    </row>
    <row r="8255" spans="92:92" x14ac:dyDescent="0.3">
      <c r="CN8255">
        <v>8254</v>
      </c>
    </row>
    <row r="8256" spans="92:92" x14ac:dyDescent="0.3">
      <c r="CN8256">
        <v>8255</v>
      </c>
    </row>
    <row r="8257" spans="92:92" x14ac:dyDescent="0.3">
      <c r="CN8257">
        <v>8256</v>
      </c>
    </row>
    <row r="8258" spans="92:92" x14ac:dyDescent="0.3">
      <c r="CN8258">
        <v>8257</v>
      </c>
    </row>
    <row r="8259" spans="92:92" x14ac:dyDescent="0.3">
      <c r="CN8259">
        <v>8258</v>
      </c>
    </row>
    <row r="8260" spans="92:92" x14ac:dyDescent="0.3">
      <c r="CN8260">
        <v>8259</v>
      </c>
    </row>
    <row r="8261" spans="92:92" x14ac:dyDescent="0.3">
      <c r="CN8261">
        <v>8260</v>
      </c>
    </row>
    <row r="8262" spans="92:92" x14ac:dyDescent="0.3">
      <c r="CN8262">
        <v>8261</v>
      </c>
    </row>
    <row r="8263" spans="92:92" x14ac:dyDescent="0.3">
      <c r="CN8263">
        <v>8262</v>
      </c>
    </row>
    <row r="8264" spans="92:92" x14ac:dyDescent="0.3">
      <c r="CN8264">
        <v>8263</v>
      </c>
    </row>
    <row r="8265" spans="92:92" x14ac:dyDescent="0.3">
      <c r="CN8265">
        <v>8264</v>
      </c>
    </row>
    <row r="8266" spans="92:92" x14ac:dyDescent="0.3">
      <c r="CN8266">
        <v>8265</v>
      </c>
    </row>
    <row r="8267" spans="92:92" x14ac:dyDescent="0.3">
      <c r="CN8267">
        <v>8266</v>
      </c>
    </row>
    <row r="8268" spans="92:92" x14ac:dyDescent="0.3">
      <c r="CN8268">
        <v>8267</v>
      </c>
    </row>
    <row r="8269" spans="92:92" x14ac:dyDescent="0.3">
      <c r="CN8269">
        <v>8268</v>
      </c>
    </row>
    <row r="8270" spans="92:92" x14ac:dyDescent="0.3">
      <c r="CN8270">
        <v>8269</v>
      </c>
    </row>
    <row r="8271" spans="92:92" x14ac:dyDescent="0.3">
      <c r="CN8271">
        <v>8270</v>
      </c>
    </row>
    <row r="8272" spans="92:92" x14ac:dyDescent="0.3">
      <c r="CN8272">
        <v>8271</v>
      </c>
    </row>
    <row r="8273" spans="92:92" x14ac:dyDescent="0.3">
      <c r="CN8273">
        <v>8272</v>
      </c>
    </row>
    <row r="8274" spans="92:92" x14ac:dyDescent="0.3">
      <c r="CN8274">
        <v>8273</v>
      </c>
    </row>
    <row r="8275" spans="92:92" x14ac:dyDescent="0.3">
      <c r="CN8275">
        <v>8274</v>
      </c>
    </row>
    <row r="8276" spans="92:92" x14ac:dyDescent="0.3">
      <c r="CN8276">
        <v>8275</v>
      </c>
    </row>
    <row r="8277" spans="92:92" x14ac:dyDescent="0.3">
      <c r="CN8277">
        <v>8276</v>
      </c>
    </row>
    <row r="8278" spans="92:92" x14ac:dyDescent="0.3">
      <c r="CN8278">
        <v>8277</v>
      </c>
    </row>
    <row r="8279" spans="92:92" x14ac:dyDescent="0.3">
      <c r="CN8279">
        <v>8278</v>
      </c>
    </row>
    <row r="8280" spans="92:92" x14ac:dyDescent="0.3">
      <c r="CN8280">
        <v>8279</v>
      </c>
    </row>
    <row r="8281" spans="92:92" x14ac:dyDescent="0.3">
      <c r="CN8281">
        <v>8280</v>
      </c>
    </row>
    <row r="8282" spans="92:92" x14ac:dyDescent="0.3">
      <c r="CN8282">
        <v>8281</v>
      </c>
    </row>
    <row r="8283" spans="92:92" x14ac:dyDescent="0.3">
      <c r="CN8283">
        <v>8282</v>
      </c>
    </row>
    <row r="8284" spans="92:92" x14ac:dyDescent="0.3">
      <c r="CN8284">
        <v>8283</v>
      </c>
    </row>
    <row r="8285" spans="92:92" x14ac:dyDescent="0.3">
      <c r="CN8285">
        <v>8284</v>
      </c>
    </row>
    <row r="8286" spans="92:92" x14ac:dyDescent="0.3">
      <c r="CN8286">
        <v>8285</v>
      </c>
    </row>
    <row r="8287" spans="92:92" x14ac:dyDescent="0.3">
      <c r="CN8287">
        <v>8286</v>
      </c>
    </row>
    <row r="8288" spans="92:92" x14ac:dyDescent="0.3">
      <c r="CN8288">
        <v>8287</v>
      </c>
    </row>
    <row r="8289" spans="92:92" x14ac:dyDescent="0.3">
      <c r="CN8289">
        <v>8288</v>
      </c>
    </row>
    <row r="8290" spans="92:92" x14ac:dyDescent="0.3">
      <c r="CN8290">
        <v>8289</v>
      </c>
    </row>
    <row r="8291" spans="92:92" x14ac:dyDescent="0.3">
      <c r="CN8291">
        <v>8290</v>
      </c>
    </row>
    <row r="8292" spans="92:92" x14ac:dyDescent="0.3">
      <c r="CN8292">
        <v>8291</v>
      </c>
    </row>
    <row r="8293" spans="92:92" x14ac:dyDescent="0.3">
      <c r="CN8293">
        <v>8292</v>
      </c>
    </row>
    <row r="8294" spans="92:92" x14ac:dyDescent="0.3">
      <c r="CN8294">
        <v>8293</v>
      </c>
    </row>
    <row r="8295" spans="92:92" x14ac:dyDescent="0.3">
      <c r="CN8295">
        <v>8294</v>
      </c>
    </row>
    <row r="8296" spans="92:92" x14ac:dyDescent="0.3">
      <c r="CN8296">
        <v>8295</v>
      </c>
    </row>
    <row r="8297" spans="92:92" x14ac:dyDescent="0.3">
      <c r="CN8297">
        <v>8296</v>
      </c>
    </row>
    <row r="8298" spans="92:92" x14ac:dyDescent="0.3">
      <c r="CN8298">
        <v>8297</v>
      </c>
    </row>
    <row r="8299" spans="92:92" x14ac:dyDescent="0.3">
      <c r="CN8299">
        <v>8298</v>
      </c>
    </row>
    <row r="8300" spans="92:92" x14ac:dyDescent="0.3">
      <c r="CN8300">
        <v>8299</v>
      </c>
    </row>
    <row r="8301" spans="92:92" x14ac:dyDescent="0.3">
      <c r="CN8301">
        <v>8300</v>
      </c>
    </row>
    <row r="8302" spans="92:92" x14ac:dyDescent="0.3">
      <c r="CN8302">
        <v>8301</v>
      </c>
    </row>
    <row r="8303" spans="92:92" x14ac:dyDescent="0.3">
      <c r="CN8303">
        <v>8302</v>
      </c>
    </row>
    <row r="8304" spans="92:92" x14ac:dyDescent="0.3">
      <c r="CN8304">
        <v>8303</v>
      </c>
    </row>
    <row r="8305" spans="92:92" x14ac:dyDescent="0.3">
      <c r="CN8305">
        <v>8304</v>
      </c>
    </row>
    <row r="8306" spans="92:92" x14ac:dyDescent="0.3">
      <c r="CN8306">
        <v>8305</v>
      </c>
    </row>
    <row r="8307" spans="92:92" x14ac:dyDescent="0.3">
      <c r="CN8307">
        <v>8306</v>
      </c>
    </row>
    <row r="8308" spans="92:92" x14ac:dyDescent="0.3">
      <c r="CN8308">
        <v>8307</v>
      </c>
    </row>
    <row r="8309" spans="92:92" x14ac:dyDescent="0.3">
      <c r="CN8309">
        <v>8308</v>
      </c>
    </row>
    <row r="8310" spans="92:92" x14ac:dyDescent="0.3">
      <c r="CN8310">
        <v>8309</v>
      </c>
    </row>
    <row r="8311" spans="92:92" x14ac:dyDescent="0.3">
      <c r="CN8311">
        <v>8310</v>
      </c>
    </row>
    <row r="8312" spans="92:92" x14ac:dyDescent="0.3">
      <c r="CN8312">
        <v>8311</v>
      </c>
    </row>
    <row r="8313" spans="92:92" x14ac:dyDescent="0.3">
      <c r="CN8313">
        <v>8312</v>
      </c>
    </row>
    <row r="8314" spans="92:92" x14ac:dyDescent="0.3">
      <c r="CN8314">
        <v>8313</v>
      </c>
    </row>
    <row r="8315" spans="92:92" x14ac:dyDescent="0.3">
      <c r="CN8315">
        <v>8314</v>
      </c>
    </row>
    <row r="8316" spans="92:92" x14ac:dyDescent="0.3">
      <c r="CN8316">
        <v>8315</v>
      </c>
    </row>
    <row r="8317" spans="92:92" x14ac:dyDescent="0.3">
      <c r="CN8317">
        <v>8316</v>
      </c>
    </row>
    <row r="8318" spans="92:92" x14ac:dyDescent="0.3">
      <c r="CN8318">
        <v>8317</v>
      </c>
    </row>
    <row r="8319" spans="92:92" x14ac:dyDescent="0.3">
      <c r="CN8319">
        <v>8318</v>
      </c>
    </row>
    <row r="8320" spans="92:92" x14ac:dyDescent="0.3">
      <c r="CN8320">
        <v>8319</v>
      </c>
    </row>
    <row r="8321" spans="92:92" x14ac:dyDescent="0.3">
      <c r="CN8321">
        <v>8320</v>
      </c>
    </row>
    <row r="8322" spans="92:92" x14ac:dyDescent="0.3">
      <c r="CN8322">
        <v>8321</v>
      </c>
    </row>
    <row r="8323" spans="92:92" x14ac:dyDescent="0.3">
      <c r="CN8323">
        <v>8322</v>
      </c>
    </row>
    <row r="8324" spans="92:92" x14ac:dyDescent="0.3">
      <c r="CN8324">
        <v>8323</v>
      </c>
    </row>
    <row r="8325" spans="92:92" x14ac:dyDescent="0.3">
      <c r="CN8325">
        <v>8324</v>
      </c>
    </row>
    <row r="8326" spans="92:92" x14ac:dyDescent="0.3">
      <c r="CN8326">
        <v>8325</v>
      </c>
    </row>
    <row r="8327" spans="92:92" x14ac:dyDescent="0.3">
      <c r="CN8327">
        <v>8326</v>
      </c>
    </row>
    <row r="8328" spans="92:92" x14ac:dyDescent="0.3">
      <c r="CN8328">
        <v>8327</v>
      </c>
    </row>
    <row r="8329" spans="92:92" x14ac:dyDescent="0.3">
      <c r="CN8329">
        <v>8328</v>
      </c>
    </row>
    <row r="8330" spans="92:92" x14ac:dyDescent="0.3">
      <c r="CN8330">
        <v>8329</v>
      </c>
    </row>
    <row r="8331" spans="92:92" x14ac:dyDescent="0.3">
      <c r="CN8331">
        <v>8330</v>
      </c>
    </row>
    <row r="8332" spans="92:92" x14ac:dyDescent="0.3">
      <c r="CN8332">
        <v>8331</v>
      </c>
    </row>
    <row r="8333" spans="92:92" x14ac:dyDescent="0.3">
      <c r="CN8333">
        <v>8332</v>
      </c>
    </row>
    <row r="8334" spans="92:92" x14ac:dyDescent="0.3">
      <c r="CN8334">
        <v>8333</v>
      </c>
    </row>
    <row r="8335" spans="92:92" x14ac:dyDescent="0.3">
      <c r="CN8335">
        <v>8334</v>
      </c>
    </row>
    <row r="8336" spans="92:92" x14ac:dyDescent="0.3">
      <c r="CN8336">
        <v>8335</v>
      </c>
    </row>
    <row r="8337" spans="92:92" x14ac:dyDescent="0.3">
      <c r="CN8337">
        <v>8336</v>
      </c>
    </row>
    <row r="8338" spans="92:92" x14ac:dyDescent="0.3">
      <c r="CN8338">
        <v>8337</v>
      </c>
    </row>
    <row r="8339" spans="92:92" x14ac:dyDescent="0.3">
      <c r="CN8339">
        <v>8338</v>
      </c>
    </row>
    <row r="8340" spans="92:92" x14ac:dyDescent="0.3">
      <c r="CN8340">
        <v>8339</v>
      </c>
    </row>
    <row r="8341" spans="92:92" x14ac:dyDescent="0.3">
      <c r="CN8341">
        <v>8340</v>
      </c>
    </row>
    <row r="8342" spans="92:92" x14ac:dyDescent="0.3">
      <c r="CN8342">
        <v>8341</v>
      </c>
    </row>
    <row r="8343" spans="92:92" x14ac:dyDescent="0.3">
      <c r="CN8343">
        <v>8342</v>
      </c>
    </row>
    <row r="8344" spans="92:92" x14ac:dyDescent="0.3">
      <c r="CN8344">
        <v>8343</v>
      </c>
    </row>
    <row r="8345" spans="92:92" x14ac:dyDescent="0.3">
      <c r="CN8345">
        <v>8344</v>
      </c>
    </row>
    <row r="8346" spans="92:92" x14ac:dyDescent="0.3">
      <c r="CN8346">
        <v>8345</v>
      </c>
    </row>
    <row r="8347" spans="92:92" x14ac:dyDescent="0.3">
      <c r="CN8347">
        <v>8346</v>
      </c>
    </row>
    <row r="8348" spans="92:92" x14ac:dyDescent="0.3">
      <c r="CN8348">
        <v>8347</v>
      </c>
    </row>
    <row r="8349" spans="92:92" x14ac:dyDescent="0.3">
      <c r="CN8349">
        <v>8348</v>
      </c>
    </row>
    <row r="8350" spans="92:92" x14ac:dyDescent="0.3">
      <c r="CN8350">
        <v>8349</v>
      </c>
    </row>
    <row r="8351" spans="92:92" x14ac:dyDescent="0.3">
      <c r="CN8351">
        <v>8350</v>
      </c>
    </row>
    <row r="8352" spans="92:92" x14ac:dyDescent="0.3">
      <c r="CN8352">
        <v>8351</v>
      </c>
    </row>
    <row r="8353" spans="92:92" x14ac:dyDescent="0.3">
      <c r="CN8353">
        <v>8352</v>
      </c>
    </row>
    <row r="8354" spans="92:92" x14ac:dyDescent="0.3">
      <c r="CN8354">
        <v>8353</v>
      </c>
    </row>
    <row r="8355" spans="92:92" x14ac:dyDescent="0.3">
      <c r="CN8355">
        <v>8354</v>
      </c>
    </row>
    <row r="8356" spans="92:92" x14ac:dyDescent="0.3">
      <c r="CN8356">
        <v>8355</v>
      </c>
    </row>
    <row r="8357" spans="92:92" x14ac:dyDescent="0.3">
      <c r="CN8357">
        <v>8356</v>
      </c>
    </row>
    <row r="8358" spans="92:92" x14ac:dyDescent="0.3">
      <c r="CN8358">
        <v>8357</v>
      </c>
    </row>
    <row r="8359" spans="92:92" x14ac:dyDescent="0.3">
      <c r="CN8359">
        <v>8358</v>
      </c>
    </row>
    <row r="8360" spans="92:92" x14ac:dyDescent="0.3">
      <c r="CN8360">
        <v>8359</v>
      </c>
    </row>
    <row r="8361" spans="92:92" x14ac:dyDescent="0.3">
      <c r="CN8361">
        <v>8360</v>
      </c>
    </row>
    <row r="8362" spans="92:92" x14ac:dyDescent="0.3">
      <c r="CN8362">
        <v>8361</v>
      </c>
    </row>
    <row r="8363" spans="92:92" x14ac:dyDescent="0.3">
      <c r="CN8363">
        <v>8362</v>
      </c>
    </row>
    <row r="8364" spans="92:92" x14ac:dyDescent="0.3">
      <c r="CN8364">
        <v>8363</v>
      </c>
    </row>
    <row r="8365" spans="92:92" x14ac:dyDescent="0.3">
      <c r="CN8365">
        <v>8364</v>
      </c>
    </row>
    <row r="8366" spans="92:92" x14ac:dyDescent="0.3">
      <c r="CN8366">
        <v>8365</v>
      </c>
    </row>
    <row r="8367" spans="92:92" x14ac:dyDescent="0.3">
      <c r="CN8367">
        <v>8366</v>
      </c>
    </row>
    <row r="8368" spans="92:92" x14ac:dyDescent="0.3">
      <c r="CN8368">
        <v>8367</v>
      </c>
    </row>
    <row r="8369" spans="92:92" x14ac:dyDescent="0.3">
      <c r="CN8369">
        <v>8368</v>
      </c>
    </row>
    <row r="8370" spans="92:92" x14ac:dyDescent="0.3">
      <c r="CN8370">
        <v>8369</v>
      </c>
    </row>
    <row r="8371" spans="92:92" x14ac:dyDescent="0.3">
      <c r="CN8371">
        <v>8370</v>
      </c>
    </row>
    <row r="8372" spans="92:92" x14ac:dyDescent="0.3">
      <c r="CN8372">
        <v>8371</v>
      </c>
    </row>
    <row r="8373" spans="92:92" x14ac:dyDescent="0.3">
      <c r="CN8373">
        <v>8372</v>
      </c>
    </row>
    <row r="8374" spans="92:92" x14ac:dyDescent="0.3">
      <c r="CN8374">
        <v>8373</v>
      </c>
    </row>
    <row r="8375" spans="92:92" x14ac:dyDescent="0.3">
      <c r="CN8375">
        <v>8374</v>
      </c>
    </row>
    <row r="8376" spans="92:92" x14ac:dyDescent="0.3">
      <c r="CN8376">
        <v>8375</v>
      </c>
    </row>
    <row r="8377" spans="92:92" x14ac:dyDescent="0.3">
      <c r="CN8377">
        <v>8376</v>
      </c>
    </row>
    <row r="8378" spans="92:92" x14ac:dyDescent="0.3">
      <c r="CN8378">
        <v>8377</v>
      </c>
    </row>
    <row r="8379" spans="92:92" x14ac:dyDescent="0.3">
      <c r="CN8379">
        <v>8378</v>
      </c>
    </row>
    <row r="8380" spans="92:92" x14ac:dyDescent="0.3">
      <c r="CN8380">
        <v>8379</v>
      </c>
    </row>
    <row r="8381" spans="92:92" x14ac:dyDescent="0.3">
      <c r="CN8381">
        <v>8380</v>
      </c>
    </row>
    <row r="8382" spans="92:92" x14ac:dyDescent="0.3">
      <c r="CN8382">
        <v>8381</v>
      </c>
    </row>
    <row r="8383" spans="92:92" x14ac:dyDescent="0.3">
      <c r="CN8383">
        <v>8382</v>
      </c>
    </row>
    <row r="8384" spans="92:92" x14ac:dyDescent="0.3">
      <c r="CN8384">
        <v>8383</v>
      </c>
    </row>
    <row r="8385" spans="92:92" x14ac:dyDescent="0.3">
      <c r="CN8385">
        <v>8384</v>
      </c>
    </row>
    <row r="8386" spans="92:92" x14ac:dyDescent="0.3">
      <c r="CN8386">
        <v>8385</v>
      </c>
    </row>
    <row r="8387" spans="92:92" x14ac:dyDescent="0.3">
      <c r="CN8387">
        <v>8386</v>
      </c>
    </row>
    <row r="8388" spans="92:92" x14ac:dyDescent="0.3">
      <c r="CN8388">
        <v>8387</v>
      </c>
    </row>
    <row r="8389" spans="92:92" x14ac:dyDescent="0.3">
      <c r="CN8389">
        <v>8388</v>
      </c>
    </row>
    <row r="8390" spans="92:92" x14ac:dyDescent="0.3">
      <c r="CN8390">
        <v>8389</v>
      </c>
    </row>
    <row r="8391" spans="92:92" x14ac:dyDescent="0.3">
      <c r="CN8391">
        <v>8390</v>
      </c>
    </row>
    <row r="8392" spans="92:92" x14ac:dyDescent="0.3">
      <c r="CN8392">
        <v>8391</v>
      </c>
    </row>
    <row r="8393" spans="92:92" x14ac:dyDescent="0.3">
      <c r="CN8393">
        <v>8392</v>
      </c>
    </row>
    <row r="8394" spans="92:92" x14ac:dyDescent="0.3">
      <c r="CN8394">
        <v>8393</v>
      </c>
    </row>
    <row r="8395" spans="92:92" x14ac:dyDescent="0.3">
      <c r="CN8395">
        <v>8394</v>
      </c>
    </row>
    <row r="8396" spans="92:92" x14ac:dyDescent="0.3">
      <c r="CN8396">
        <v>8395</v>
      </c>
    </row>
    <row r="8397" spans="92:92" x14ac:dyDescent="0.3">
      <c r="CN8397">
        <v>8396</v>
      </c>
    </row>
    <row r="8398" spans="92:92" x14ac:dyDescent="0.3">
      <c r="CN8398">
        <v>8397</v>
      </c>
    </row>
    <row r="8399" spans="92:92" x14ac:dyDescent="0.3">
      <c r="CN8399">
        <v>8398</v>
      </c>
    </row>
    <row r="8400" spans="92:92" x14ac:dyDescent="0.3">
      <c r="CN8400">
        <v>8399</v>
      </c>
    </row>
    <row r="8401" spans="92:92" x14ac:dyDescent="0.3">
      <c r="CN8401">
        <v>8400</v>
      </c>
    </row>
    <row r="8402" spans="92:92" x14ac:dyDescent="0.3">
      <c r="CN8402">
        <v>8401</v>
      </c>
    </row>
    <row r="8403" spans="92:92" x14ac:dyDescent="0.3">
      <c r="CN8403">
        <v>8402</v>
      </c>
    </row>
    <row r="8404" spans="92:92" x14ac:dyDescent="0.3">
      <c r="CN8404">
        <v>8403</v>
      </c>
    </row>
    <row r="8405" spans="92:92" x14ac:dyDescent="0.3">
      <c r="CN8405">
        <v>8404</v>
      </c>
    </row>
    <row r="8406" spans="92:92" x14ac:dyDescent="0.3">
      <c r="CN8406">
        <v>8405</v>
      </c>
    </row>
    <row r="8407" spans="92:92" x14ac:dyDescent="0.3">
      <c r="CN8407">
        <v>8406</v>
      </c>
    </row>
    <row r="8408" spans="92:92" x14ac:dyDescent="0.3">
      <c r="CN8408">
        <v>8407</v>
      </c>
    </row>
    <row r="8409" spans="92:92" x14ac:dyDescent="0.3">
      <c r="CN8409">
        <v>8408</v>
      </c>
    </row>
    <row r="8410" spans="92:92" x14ac:dyDescent="0.3">
      <c r="CN8410">
        <v>8409</v>
      </c>
    </row>
    <row r="8411" spans="92:92" x14ac:dyDescent="0.3">
      <c r="CN8411">
        <v>8410</v>
      </c>
    </row>
    <row r="8412" spans="92:92" x14ac:dyDescent="0.3">
      <c r="CN8412">
        <v>8411</v>
      </c>
    </row>
    <row r="8413" spans="92:92" x14ac:dyDescent="0.3">
      <c r="CN8413">
        <v>8412</v>
      </c>
    </row>
    <row r="8414" spans="92:92" x14ac:dyDescent="0.3">
      <c r="CN8414">
        <v>8413</v>
      </c>
    </row>
    <row r="8415" spans="92:92" x14ac:dyDescent="0.3">
      <c r="CN8415">
        <v>8414</v>
      </c>
    </row>
    <row r="8416" spans="92:92" x14ac:dyDescent="0.3">
      <c r="CN8416">
        <v>8415</v>
      </c>
    </row>
    <row r="8417" spans="92:92" x14ac:dyDescent="0.3">
      <c r="CN8417">
        <v>8416</v>
      </c>
    </row>
    <row r="8418" spans="92:92" x14ac:dyDescent="0.3">
      <c r="CN8418">
        <v>8417</v>
      </c>
    </row>
    <row r="8419" spans="92:92" x14ac:dyDescent="0.3">
      <c r="CN8419">
        <v>8418</v>
      </c>
    </row>
    <row r="8420" spans="92:92" x14ac:dyDescent="0.3">
      <c r="CN8420">
        <v>8419</v>
      </c>
    </row>
    <row r="8421" spans="92:92" x14ac:dyDescent="0.3">
      <c r="CN8421">
        <v>8420</v>
      </c>
    </row>
    <row r="8422" spans="92:92" x14ac:dyDescent="0.3">
      <c r="CN8422">
        <v>8421</v>
      </c>
    </row>
    <row r="8423" spans="92:92" x14ac:dyDescent="0.3">
      <c r="CN8423">
        <v>8422</v>
      </c>
    </row>
    <row r="8424" spans="92:92" x14ac:dyDescent="0.3">
      <c r="CN8424">
        <v>8423</v>
      </c>
    </row>
    <row r="8425" spans="92:92" x14ac:dyDescent="0.3">
      <c r="CN8425">
        <v>8424</v>
      </c>
    </row>
    <row r="8426" spans="92:92" x14ac:dyDescent="0.3">
      <c r="CN8426">
        <v>8425</v>
      </c>
    </row>
    <row r="8427" spans="92:92" x14ac:dyDescent="0.3">
      <c r="CN8427">
        <v>8426</v>
      </c>
    </row>
    <row r="8428" spans="92:92" x14ac:dyDescent="0.3">
      <c r="CN8428">
        <v>8427</v>
      </c>
    </row>
    <row r="8429" spans="92:92" x14ac:dyDescent="0.3">
      <c r="CN8429">
        <v>8428</v>
      </c>
    </row>
    <row r="8430" spans="92:92" x14ac:dyDescent="0.3">
      <c r="CN8430">
        <v>8429</v>
      </c>
    </row>
    <row r="8431" spans="92:92" x14ac:dyDescent="0.3">
      <c r="CN8431">
        <v>8430</v>
      </c>
    </row>
    <row r="8432" spans="92:92" x14ac:dyDescent="0.3">
      <c r="CN8432">
        <v>8431</v>
      </c>
    </row>
    <row r="8433" spans="92:92" x14ac:dyDescent="0.3">
      <c r="CN8433">
        <v>8432</v>
      </c>
    </row>
    <row r="8434" spans="92:92" x14ac:dyDescent="0.3">
      <c r="CN8434">
        <v>8433</v>
      </c>
    </row>
    <row r="8435" spans="92:92" x14ac:dyDescent="0.3">
      <c r="CN8435">
        <v>8434</v>
      </c>
    </row>
    <row r="8436" spans="92:92" x14ac:dyDescent="0.3">
      <c r="CN8436">
        <v>8435</v>
      </c>
    </row>
    <row r="8437" spans="92:92" x14ac:dyDescent="0.3">
      <c r="CN8437">
        <v>8436</v>
      </c>
    </row>
    <row r="8438" spans="92:92" x14ac:dyDescent="0.3">
      <c r="CN8438">
        <v>8437</v>
      </c>
    </row>
    <row r="8439" spans="92:92" x14ac:dyDescent="0.3">
      <c r="CN8439">
        <v>8438</v>
      </c>
    </row>
    <row r="8440" spans="92:92" x14ac:dyDescent="0.3">
      <c r="CN8440">
        <v>8439</v>
      </c>
    </row>
    <row r="8441" spans="92:92" x14ac:dyDescent="0.3">
      <c r="CN8441">
        <v>8440</v>
      </c>
    </row>
    <row r="8442" spans="92:92" x14ac:dyDescent="0.3">
      <c r="CN8442">
        <v>8441</v>
      </c>
    </row>
    <row r="8443" spans="92:92" x14ac:dyDescent="0.3">
      <c r="CN8443">
        <v>8442</v>
      </c>
    </row>
    <row r="8444" spans="92:92" x14ac:dyDescent="0.3">
      <c r="CN8444">
        <v>8443</v>
      </c>
    </row>
    <row r="8445" spans="92:92" x14ac:dyDescent="0.3">
      <c r="CN8445">
        <v>8444</v>
      </c>
    </row>
    <row r="8446" spans="92:92" x14ac:dyDescent="0.3">
      <c r="CN8446">
        <v>8445</v>
      </c>
    </row>
    <row r="8447" spans="92:92" x14ac:dyDescent="0.3">
      <c r="CN8447">
        <v>8446</v>
      </c>
    </row>
    <row r="8448" spans="92:92" x14ac:dyDescent="0.3">
      <c r="CN8448">
        <v>8447</v>
      </c>
    </row>
    <row r="8449" spans="92:92" x14ac:dyDescent="0.3">
      <c r="CN8449">
        <v>8448</v>
      </c>
    </row>
    <row r="8450" spans="92:92" x14ac:dyDescent="0.3">
      <c r="CN8450">
        <v>8449</v>
      </c>
    </row>
    <row r="8451" spans="92:92" x14ac:dyDescent="0.3">
      <c r="CN8451">
        <v>8450</v>
      </c>
    </row>
    <row r="8452" spans="92:92" x14ac:dyDescent="0.3">
      <c r="CN8452">
        <v>8451</v>
      </c>
    </row>
    <row r="8453" spans="92:92" x14ac:dyDescent="0.3">
      <c r="CN8453">
        <v>8452</v>
      </c>
    </row>
    <row r="8454" spans="92:92" x14ac:dyDescent="0.3">
      <c r="CN8454">
        <v>8453</v>
      </c>
    </row>
    <row r="8455" spans="92:92" x14ac:dyDescent="0.3">
      <c r="CN8455">
        <v>8454</v>
      </c>
    </row>
    <row r="8456" spans="92:92" x14ac:dyDescent="0.3">
      <c r="CN8456">
        <v>8455</v>
      </c>
    </row>
    <row r="8457" spans="92:92" x14ac:dyDescent="0.3">
      <c r="CN8457">
        <v>8456</v>
      </c>
    </row>
    <row r="8458" spans="92:92" x14ac:dyDescent="0.3">
      <c r="CN8458">
        <v>8457</v>
      </c>
    </row>
    <row r="8459" spans="92:92" x14ac:dyDescent="0.3">
      <c r="CN8459">
        <v>8458</v>
      </c>
    </row>
    <row r="8460" spans="92:92" x14ac:dyDescent="0.3">
      <c r="CN8460">
        <v>8459</v>
      </c>
    </row>
    <row r="8461" spans="92:92" x14ac:dyDescent="0.3">
      <c r="CN8461">
        <v>8460</v>
      </c>
    </row>
    <row r="8462" spans="92:92" x14ac:dyDescent="0.3">
      <c r="CN8462">
        <v>8461</v>
      </c>
    </row>
    <row r="8463" spans="92:92" x14ac:dyDescent="0.3">
      <c r="CN8463">
        <v>8462</v>
      </c>
    </row>
    <row r="8464" spans="92:92" x14ac:dyDescent="0.3">
      <c r="CN8464">
        <v>8463</v>
      </c>
    </row>
    <row r="8465" spans="92:92" x14ac:dyDescent="0.3">
      <c r="CN8465">
        <v>8464</v>
      </c>
    </row>
    <row r="8466" spans="92:92" x14ac:dyDescent="0.3">
      <c r="CN8466">
        <v>8465</v>
      </c>
    </row>
    <row r="8467" spans="92:92" x14ac:dyDescent="0.3">
      <c r="CN8467">
        <v>8466</v>
      </c>
    </row>
    <row r="8468" spans="92:92" x14ac:dyDescent="0.3">
      <c r="CN8468">
        <v>8467</v>
      </c>
    </row>
    <row r="8469" spans="92:92" x14ac:dyDescent="0.3">
      <c r="CN8469">
        <v>8468</v>
      </c>
    </row>
    <row r="8470" spans="92:92" x14ac:dyDescent="0.3">
      <c r="CN8470">
        <v>8469</v>
      </c>
    </row>
    <row r="8471" spans="92:92" x14ac:dyDescent="0.3">
      <c r="CN8471">
        <v>8470</v>
      </c>
    </row>
    <row r="8472" spans="92:92" x14ac:dyDescent="0.3">
      <c r="CN8472">
        <v>8471</v>
      </c>
    </row>
    <row r="8473" spans="92:92" x14ac:dyDescent="0.3">
      <c r="CN8473">
        <v>8472</v>
      </c>
    </row>
    <row r="8474" spans="92:92" x14ac:dyDescent="0.3">
      <c r="CN8474">
        <v>8473</v>
      </c>
    </row>
    <row r="8475" spans="92:92" x14ac:dyDescent="0.3">
      <c r="CN8475">
        <v>8474</v>
      </c>
    </row>
    <row r="8476" spans="92:92" x14ac:dyDescent="0.3">
      <c r="CN8476">
        <v>8475</v>
      </c>
    </row>
    <row r="8477" spans="92:92" x14ac:dyDescent="0.3">
      <c r="CN8477">
        <v>8476</v>
      </c>
    </row>
    <row r="8478" spans="92:92" x14ac:dyDescent="0.3">
      <c r="CN8478">
        <v>8477</v>
      </c>
    </row>
    <row r="8479" spans="92:92" x14ac:dyDescent="0.3">
      <c r="CN8479">
        <v>8478</v>
      </c>
    </row>
    <row r="8480" spans="92:92" x14ac:dyDescent="0.3">
      <c r="CN8480">
        <v>8479</v>
      </c>
    </row>
    <row r="8481" spans="92:92" x14ac:dyDescent="0.3">
      <c r="CN8481">
        <v>8480</v>
      </c>
    </row>
    <row r="8482" spans="92:92" x14ac:dyDescent="0.3">
      <c r="CN8482">
        <v>8481</v>
      </c>
    </row>
    <row r="8483" spans="92:92" x14ac:dyDescent="0.3">
      <c r="CN8483">
        <v>8482</v>
      </c>
    </row>
    <row r="8484" spans="92:92" x14ac:dyDescent="0.3">
      <c r="CN8484">
        <v>8483</v>
      </c>
    </row>
    <row r="8485" spans="92:92" x14ac:dyDescent="0.3">
      <c r="CN8485">
        <v>8484</v>
      </c>
    </row>
    <row r="8486" spans="92:92" x14ac:dyDescent="0.3">
      <c r="CN8486">
        <v>8485</v>
      </c>
    </row>
    <row r="8487" spans="92:92" x14ac:dyDescent="0.3">
      <c r="CN8487">
        <v>8486</v>
      </c>
    </row>
    <row r="8488" spans="92:92" x14ac:dyDescent="0.3">
      <c r="CN8488">
        <v>8487</v>
      </c>
    </row>
    <row r="8489" spans="92:92" x14ac:dyDescent="0.3">
      <c r="CN8489">
        <v>8488</v>
      </c>
    </row>
    <row r="8490" spans="92:92" x14ac:dyDescent="0.3">
      <c r="CN8490">
        <v>8489</v>
      </c>
    </row>
    <row r="8491" spans="92:92" x14ac:dyDescent="0.3">
      <c r="CN8491">
        <v>8490</v>
      </c>
    </row>
    <row r="8492" spans="92:92" x14ac:dyDescent="0.3">
      <c r="CN8492">
        <v>8491</v>
      </c>
    </row>
    <row r="8493" spans="92:92" x14ac:dyDescent="0.3">
      <c r="CN8493">
        <v>8492</v>
      </c>
    </row>
    <row r="8494" spans="92:92" x14ac:dyDescent="0.3">
      <c r="CN8494">
        <v>8493</v>
      </c>
    </row>
    <row r="8495" spans="92:92" x14ac:dyDescent="0.3">
      <c r="CN8495">
        <v>8494</v>
      </c>
    </row>
    <row r="8496" spans="92:92" x14ac:dyDescent="0.3">
      <c r="CN8496">
        <v>8495</v>
      </c>
    </row>
    <row r="8497" spans="92:92" x14ac:dyDescent="0.3">
      <c r="CN8497">
        <v>8496</v>
      </c>
    </row>
    <row r="8498" spans="92:92" x14ac:dyDescent="0.3">
      <c r="CN8498">
        <v>8497</v>
      </c>
    </row>
    <row r="8499" spans="92:92" x14ac:dyDescent="0.3">
      <c r="CN8499">
        <v>8498</v>
      </c>
    </row>
    <row r="8500" spans="92:92" x14ac:dyDescent="0.3">
      <c r="CN8500">
        <v>8499</v>
      </c>
    </row>
    <row r="8501" spans="92:92" x14ac:dyDescent="0.3">
      <c r="CN8501">
        <v>8500</v>
      </c>
    </row>
    <row r="8502" spans="92:92" x14ac:dyDescent="0.3">
      <c r="CN8502">
        <v>8501</v>
      </c>
    </row>
    <row r="8503" spans="92:92" x14ac:dyDescent="0.3">
      <c r="CN8503">
        <v>8502</v>
      </c>
    </row>
    <row r="8504" spans="92:92" x14ac:dyDescent="0.3">
      <c r="CN8504">
        <v>8503</v>
      </c>
    </row>
    <row r="8505" spans="92:92" x14ac:dyDescent="0.3">
      <c r="CN8505">
        <v>8504</v>
      </c>
    </row>
    <row r="8506" spans="92:92" x14ac:dyDescent="0.3">
      <c r="CN8506">
        <v>8505</v>
      </c>
    </row>
    <row r="8507" spans="92:92" x14ac:dyDescent="0.3">
      <c r="CN8507">
        <v>8506</v>
      </c>
    </row>
    <row r="8508" spans="92:92" x14ac:dyDescent="0.3">
      <c r="CN8508">
        <v>8507</v>
      </c>
    </row>
    <row r="8509" spans="92:92" x14ac:dyDescent="0.3">
      <c r="CN8509">
        <v>8508</v>
      </c>
    </row>
    <row r="8510" spans="92:92" x14ac:dyDescent="0.3">
      <c r="CN8510">
        <v>8509</v>
      </c>
    </row>
    <row r="8511" spans="92:92" x14ac:dyDescent="0.3">
      <c r="CN8511">
        <v>8510</v>
      </c>
    </row>
    <row r="8512" spans="92:92" x14ac:dyDescent="0.3">
      <c r="CN8512">
        <v>8511</v>
      </c>
    </row>
    <row r="8513" spans="92:92" x14ac:dyDescent="0.3">
      <c r="CN8513">
        <v>8512</v>
      </c>
    </row>
    <row r="8514" spans="92:92" x14ac:dyDescent="0.3">
      <c r="CN8514">
        <v>8513</v>
      </c>
    </row>
    <row r="8515" spans="92:92" x14ac:dyDescent="0.3">
      <c r="CN8515">
        <v>8514</v>
      </c>
    </row>
    <row r="8516" spans="92:92" x14ac:dyDescent="0.3">
      <c r="CN8516">
        <v>8515</v>
      </c>
    </row>
    <row r="8517" spans="92:92" x14ac:dyDescent="0.3">
      <c r="CN8517">
        <v>8516</v>
      </c>
    </row>
    <row r="8518" spans="92:92" x14ac:dyDescent="0.3">
      <c r="CN8518">
        <v>8517</v>
      </c>
    </row>
    <row r="8519" spans="92:92" x14ac:dyDescent="0.3">
      <c r="CN8519">
        <v>8518</v>
      </c>
    </row>
    <row r="8520" spans="92:92" x14ac:dyDescent="0.3">
      <c r="CN8520">
        <v>8519</v>
      </c>
    </row>
    <row r="8521" spans="92:92" x14ac:dyDescent="0.3">
      <c r="CN8521">
        <v>8520</v>
      </c>
    </row>
    <row r="8522" spans="92:92" x14ac:dyDescent="0.3">
      <c r="CN8522">
        <v>8521</v>
      </c>
    </row>
    <row r="8523" spans="92:92" x14ac:dyDescent="0.3">
      <c r="CN8523">
        <v>8522</v>
      </c>
    </row>
    <row r="8524" spans="92:92" x14ac:dyDescent="0.3">
      <c r="CN8524">
        <v>8523</v>
      </c>
    </row>
    <row r="8525" spans="92:92" x14ac:dyDescent="0.3">
      <c r="CN8525">
        <v>8524</v>
      </c>
    </row>
    <row r="8526" spans="92:92" x14ac:dyDescent="0.3">
      <c r="CN8526">
        <v>8525</v>
      </c>
    </row>
    <row r="8527" spans="92:92" x14ac:dyDescent="0.3">
      <c r="CN8527">
        <v>8526</v>
      </c>
    </row>
    <row r="8528" spans="92:92" x14ac:dyDescent="0.3">
      <c r="CN8528">
        <v>8527</v>
      </c>
    </row>
    <row r="8529" spans="92:92" x14ac:dyDescent="0.3">
      <c r="CN8529">
        <v>8528</v>
      </c>
    </row>
    <row r="8530" spans="92:92" x14ac:dyDescent="0.3">
      <c r="CN8530">
        <v>8529</v>
      </c>
    </row>
    <row r="8531" spans="92:92" x14ac:dyDescent="0.3">
      <c r="CN8531">
        <v>8530</v>
      </c>
    </row>
    <row r="8532" spans="92:92" x14ac:dyDescent="0.3">
      <c r="CN8532">
        <v>8531</v>
      </c>
    </row>
    <row r="8533" spans="92:92" x14ac:dyDescent="0.3">
      <c r="CN8533">
        <v>8532</v>
      </c>
    </row>
    <row r="8534" spans="92:92" x14ac:dyDescent="0.3">
      <c r="CN8534">
        <v>8533</v>
      </c>
    </row>
    <row r="8535" spans="92:92" x14ac:dyDescent="0.3">
      <c r="CN8535">
        <v>8534</v>
      </c>
    </row>
    <row r="8536" spans="92:92" x14ac:dyDescent="0.3">
      <c r="CN8536">
        <v>8535</v>
      </c>
    </row>
    <row r="8537" spans="92:92" x14ac:dyDescent="0.3">
      <c r="CN8537">
        <v>8536</v>
      </c>
    </row>
    <row r="8538" spans="92:92" x14ac:dyDescent="0.3">
      <c r="CN8538">
        <v>8537</v>
      </c>
    </row>
    <row r="8539" spans="92:92" x14ac:dyDescent="0.3">
      <c r="CN8539">
        <v>8538</v>
      </c>
    </row>
    <row r="8540" spans="92:92" x14ac:dyDescent="0.3">
      <c r="CN8540">
        <v>8539</v>
      </c>
    </row>
    <row r="8541" spans="92:92" x14ac:dyDescent="0.3">
      <c r="CN8541">
        <v>8540</v>
      </c>
    </row>
    <row r="8542" spans="92:92" x14ac:dyDescent="0.3">
      <c r="CN8542">
        <v>8541</v>
      </c>
    </row>
    <row r="8543" spans="92:92" x14ac:dyDescent="0.3">
      <c r="CN8543">
        <v>8542</v>
      </c>
    </row>
    <row r="8544" spans="92:92" x14ac:dyDescent="0.3">
      <c r="CN8544">
        <v>8543</v>
      </c>
    </row>
    <row r="8545" spans="92:92" x14ac:dyDescent="0.3">
      <c r="CN8545">
        <v>8544</v>
      </c>
    </row>
    <row r="8546" spans="92:92" x14ac:dyDescent="0.3">
      <c r="CN8546">
        <v>8545</v>
      </c>
    </row>
    <row r="8547" spans="92:92" x14ac:dyDescent="0.3">
      <c r="CN8547">
        <v>8546</v>
      </c>
    </row>
    <row r="8548" spans="92:92" x14ac:dyDescent="0.3">
      <c r="CN8548">
        <v>8547</v>
      </c>
    </row>
    <row r="8549" spans="92:92" x14ac:dyDescent="0.3">
      <c r="CN8549">
        <v>8548</v>
      </c>
    </row>
    <row r="8550" spans="92:92" x14ac:dyDescent="0.3">
      <c r="CN8550">
        <v>8549</v>
      </c>
    </row>
    <row r="8551" spans="92:92" x14ac:dyDescent="0.3">
      <c r="CN8551">
        <v>8550</v>
      </c>
    </row>
    <row r="8552" spans="92:92" x14ac:dyDescent="0.3">
      <c r="CN8552">
        <v>8551</v>
      </c>
    </row>
    <row r="8553" spans="92:92" x14ac:dyDescent="0.3">
      <c r="CN8553">
        <v>8552</v>
      </c>
    </row>
    <row r="8554" spans="92:92" x14ac:dyDescent="0.3">
      <c r="CN8554">
        <v>8553</v>
      </c>
    </row>
    <row r="8555" spans="92:92" x14ac:dyDescent="0.3">
      <c r="CN8555">
        <v>8554</v>
      </c>
    </row>
    <row r="8556" spans="92:92" x14ac:dyDescent="0.3">
      <c r="CN8556">
        <v>8555</v>
      </c>
    </row>
    <row r="8557" spans="92:92" x14ac:dyDescent="0.3">
      <c r="CN8557">
        <v>8556</v>
      </c>
    </row>
    <row r="8558" spans="92:92" x14ac:dyDescent="0.3">
      <c r="CN8558">
        <v>8557</v>
      </c>
    </row>
    <row r="8559" spans="92:92" x14ac:dyDescent="0.3">
      <c r="CN8559">
        <v>8558</v>
      </c>
    </row>
    <row r="8560" spans="92:92" x14ac:dyDescent="0.3">
      <c r="CN8560">
        <v>8559</v>
      </c>
    </row>
    <row r="8561" spans="92:92" x14ac:dyDescent="0.3">
      <c r="CN8561">
        <v>8560</v>
      </c>
    </row>
    <row r="8562" spans="92:92" x14ac:dyDescent="0.3">
      <c r="CN8562">
        <v>8561</v>
      </c>
    </row>
    <row r="8563" spans="92:92" x14ac:dyDescent="0.3">
      <c r="CN8563">
        <v>8562</v>
      </c>
    </row>
    <row r="8564" spans="92:92" x14ac:dyDescent="0.3">
      <c r="CN8564">
        <v>8563</v>
      </c>
    </row>
    <row r="8565" spans="92:92" x14ac:dyDescent="0.3">
      <c r="CN8565">
        <v>8564</v>
      </c>
    </row>
    <row r="8566" spans="92:92" x14ac:dyDescent="0.3">
      <c r="CN8566">
        <v>8565</v>
      </c>
    </row>
    <row r="8567" spans="92:92" x14ac:dyDescent="0.3">
      <c r="CN8567">
        <v>8566</v>
      </c>
    </row>
    <row r="8568" spans="92:92" x14ac:dyDescent="0.3">
      <c r="CN8568">
        <v>8567</v>
      </c>
    </row>
    <row r="8569" spans="92:92" x14ac:dyDescent="0.3">
      <c r="CN8569">
        <v>8568</v>
      </c>
    </row>
    <row r="8570" spans="92:92" x14ac:dyDescent="0.3">
      <c r="CN8570">
        <v>8569</v>
      </c>
    </row>
    <row r="8571" spans="92:92" x14ac:dyDescent="0.3">
      <c r="CN8571">
        <v>8570</v>
      </c>
    </row>
    <row r="8572" spans="92:92" x14ac:dyDescent="0.3">
      <c r="CN8572">
        <v>8571</v>
      </c>
    </row>
    <row r="8573" spans="92:92" x14ac:dyDescent="0.3">
      <c r="CN8573">
        <v>8572</v>
      </c>
    </row>
    <row r="8574" spans="92:92" x14ac:dyDescent="0.3">
      <c r="CN8574">
        <v>8573</v>
      </c>
    </row>
    <row r="8575" spans="92:92" x14ac:dyDescent="0.3">
      <c r="CN8575">
        <v>8574</v>
      </c>
    </row>
    <row r="8576" spans="92:92" x14ac:dyDescent="0.3">
      <c r="CN8576">
        <v>8575</v>
      </c>
    </row>
    <row r="8577" spans="92:92" x14ac:dyDescent="0.3">
      <c r="CN8577">
        <v>8576</v>
      </c>
    </row>
    <row r="8578" spans="92:92" x14ac:dyDescent="0.3">
      <c r="CN8578">
        <v>8577</v>
      </c>
    </row>
    <row r="8579" spans="92:92" x14ac:dyDescent="0.3">
      <c r="CN8579">
        <v>8578</v>
      </c>
    </row>
    <row r="8580" spans="92:92" x14ac:dyDescent="0.3">
      <c r="CN8580">
        <v>8579</v>
      </c>
    </row>
    <row r="8581" spans="92:92" x14ac:dyDescent="0.3">
      <c r="CN8581">
        <v>8580</v>
      </c>
    </row>
    <row r="8582" spans="92:92" x14ac:dyDescent="0.3">
      <c r="CN8582">
        <v>8581</v>
      </c>
    </row>
    <row r="8583" spans="92:92" x14ac:dyDescent="0.3">
      <c r="CN8583">
        <v>8582</v>
      </c>
    </row>
    <row r="8584" spans="92:92" x14ac:dyDescent="0.3">
      <c r="CN8584">
        <v>8583</v>
      </c>
    </row>
    <row r="8585" spans="92:92" x14ac:dyDescent="0.3">
      <c r="CN8585">
        <v>8584</v>
      </c>
    </row>
    <row r="8586" spans="92:92" x14ac:dyDescent="0.3">
      <c r="CN8586">
        <v>8585</v>
      </c>
    </row>
    <row r="8587" spans="92:92" x14ac:dyDescent="0.3">
      <c r="CN8587">
        <v>8586</v>
      </c>
    </row>
    <row r="8588" spans="92:92" x14ac:dyDescent="0.3">
      <c r="CN8588">
        <v>8587</v>
      </c>
    </row>
    <row r="8589" spans="92:92" x14ac:dyDescent="0.3">
      <c r="CN8589">
        <v>8588</v>
      </c>
    </row>
    <row r="8590" spans="92:92" x14ac:dyDescent="0.3">
      <c r="CN8590">
        <v>8589</v>
      </c>
    </row>
    <row r="8591" spans="92:92" x14ac:dyDescent="0.3">
      <c r="CN8591">
        <v>8590</v>
      </c>
    </row>
    <row r="8592" spans="92:92" x14ac:dyDescent="0.3">
      <c r="CN8592">
        <v>8591</v>
      </c>
    </row>
    <row r="8593" spans="92:92" x14ac:dyDescent="0.3">
      <c r="CN8593">
        <v>8592</v>
      </c>
    </row>
    <row r="8594" spans="92:92" x14ac:dyDescent="0.3">
      <c r="CN8594">
        <v>8593</v>
      </c>
    </row>
    <row r="8595" spans="92:92" x14ac:dyDescent="0.3">
      <c r="CN8595">
        <v>8594</v>
      </c>
    </row>
    <row r="8596" spans="92:92" x14ac:dyDescent="0.3">
      <c r="CN8596">
        <v>8595</v>
      </c>
    </row>
    <row r="8597" spans="92:92" x14ac:dyDescent="0.3">
      <c r="CN8597">
        <v>8596</v>
      </c>
    </row>
    <row r="8598" spans="92:92" x14ac:dyDescent="0.3">
      <c r="CN8598">
        <v>8597</v>
      </c>
    </row>
    <row r="8599" spans="92:92" x14ac:dyDescent="0.3">
      <c r="CN8599">
        <v>8598</v>
      </c>
    </row>
    <row r="8600" spans="92:92" x14ac:dyDescent="0.3">
      <c r="CN8600">
        <v>8599</v>
      </c>
    </row>
    <row r="8601" spans="92:92" x14ac:dyDescent="0.3">
      <c r="CN8601">
        <v>8600</v>
      </c>
    </row>
    <row r="8602" spans="92:92" x14ac:dyDescent="0.3">
      <c r="CN8602">
        <v>8601</v>
      </c>
    </row>
    <row r="8603" spans="92:92" x14ac:dyDescent="0.3">
      <c r="CN8603">
        <v>8602</v>
      </c>
    </row>
    <row r="8604" spans="92:92" x14ac:dyDescent="0.3">
      <c r="CN8604">
        <v>8603</v>
      </c>
    </row>
    <row r="8605" spans="92:92" x14ac:dyDescent="0.3">
      <c r="CN8605">
        <v>8604</v>
      </c>
    </row>
    <row r="8606" spans="92:92" x14ac:dyDescent="0.3">
      <c r="CN8606">
        <v>8605</v>
      </c>
    </row>
    <row r="8607" spans="92:92" x14ac:dyDescent="0.3">
      <c r="CN8607">
        <v>8606</v>
      </c>
    </row>
    <row r="8608" spans="92:92" x14ac:dyDescent="0.3">
      <c r="CN8608">
        <v>8607</v>
      </c>
    </row>
    <row r="8609" spans="92:92" x14ac:dyDescent="0.3">
      <c r="CN8609">
        <v>8608</v>
      </c>
    </row>
    <row r="8610" spans="92:92" x14ac:dyDescent="0.3">
      <c r="CN8610">
        <v>8609</v>
      </c>
    </row>
    <row r="8611" spans="92:92" x14ac:dyDescent="0.3">
      <c r="CN8611">
        <v>8610</v>
      </c>
    </row>
    <row r="8612" spans="92:92" x14ac:dyDescent="0.3">
      <c r="CN8612">
        <v>8611</v>
      </c>
    </row>
    <row r="8613" spans="92:92" x14ac:dyDescent="0.3">
      <c r="CN8613">
        <v>8612</v>
      </c>
    </row>
    <row r="8614" spans="92:92" x14ac:dyDescent="0.3">
      <c r="CN8614">
        <v>8613</v>
      </c>
    </row>
    <row r="8615" spans="92:92" x14ac:dyDescent="0.3">
      <c r="CN8615">
        <v>8614</v>
      </c>
    </row>
    <row r="8616" spans="92:92" x14ac:dyDescent="0.3">
      <c r="CN8616">
        <v>8615</v>
      </c>
    </row>
    <row r="8617" spans="92:92" x14ac:dyDescent="0.3">
      <c r="CN8617">
        <v>8616</v>
      </c>
    </row>
    <row r="8618" spans="92:92" x14ac:dyDescent="0.3">
      <c r="CN8618">
        <v>8617</v>
      </c>
    </row>
    <row r="8619" spans="92:92" x14ac:dyDescent="0.3">
      <c r="CN8619">
        <v>8618</v>
      </c>
    </row>
    <row r="8620" spans="92:92" x14ac:dyDescent="0.3">
      <c r="CN8620">
        <v>8619</v>
      </c>
    </row>
    <row r="8621" spans="92:92" x14ac:dyDescent="0.3">
      <c r="CN8621">
        <v>8620</v>
      </c>
    </row>
    <row r="8622" spans="92:92" x14ac:dyDescent="0.3">
      <c r="CN8622">
        <v>8621</v>
      </c>
    </row>
    <row r="8623" spans="92:92" x14ac:dyDescent="0.3">
      <c r="CN8623">
        <v>8622</v>
      </c>
    </row>
    <row r="8624" spans="92:92" x14ac:dyDescent="0.3">
      <c r="CN8624">
        <v>8623</v>
      </c>
    </row>
    <row r="8625" spans="92:92" x14ac:dyDescent="0.3">
      <c r="CN8625">
        <v>8624</v>
      </c>
    </row>
    <row r="8626" spans="92:92" x14ac:dyDescent="0.3">
      <c r="CN8626">
        <v>8625</v>
      </c>
    </row>
    <row r="8627" spans="92:92" x14ac:dyDescent="0.3">
      <c r="CN8627">
        <v>8626</v>
      </c>
    </row>
    <row r="8628" spans="92:92" x14ac:dyDescent="0.3">
      <c r="CN8628">
        <v>8627</v>
      </c>
    </row>
    <row r="8629" spans="92:92" x14ac:dyDescent="0.3">
      <c r="CN8629">
        <v>8628</v>
      </c>
    </row>
    <row r="8630" spans="92:92" x14ac:dyDescent="0.3">
      <c r="CN8630">
        <v>8629</v>
      </c>
    </row>
    <row r="8631" spans="92:92" x14ac:dyDescent="0.3">
      <c r="CN8631">
        <v>8630</v>
      </c>
    </row>
    <row r="8632" spans="92:92" x14ac:dyDescent="0.3">
      <c r="CN8632">
        <v>8631</v>
      </c>
    </row>
    <row r="8633" spans="92:92" x14ac:dyDescent="0.3">
      <c r="CN8633">
        <v>8632</v>
      </c>
    </row>
    <row r="8634" spans="92:92" x14ac:dyDescent="0.3">
      <c r="CN8634">
        <v>8633</v>
      </c>
    </row>
    <row r="8635" spans="92:92" x14ac:dyDescent="0.3">
      <c r="CN8635">
        <v>8634</v>
      </c>
    </row>
    <row r="8636" spans="92:92" x14ac:dyDescent="0.3">
      <c r="CN8636">
        <v>8635</v>
      </c>
    </row>
    <row r="8637" spans="92:92" x14ac:dyDescent="0.3">
      <c r="CN8637">
        <v>8636</v>
      </c>
    </row>
    <row r="8638" spans="92:92" x14ac:dyDescent="0.3">
      <c r="CN8638">
        <v>8637</v>
      </c>
    </row>
    <row r="8639" spans="92:92" x14ac:dyDescent="0.3">
      <c r="CN8639">
        <v>8638</v>
      </c>
    </row>
    <row r="8640" spans="92:92" x14ac:dyDescent="0.3">
      <c r="CN8640">
        <v>8639</v>
      </c>
    </row>
    <row r="8641" spans="92:92" x14ac:dyDescent="0.3">
      <c r="CN8641">
        <v>8640</v>
      </c>
    </row>
    <row r="8642" spans="92:92" x14ac:dyDescent="0.3">
      <c r="CN8642">
        <v>8641</v>
      </c>
    </row>
    <row r="8643" spans="92:92" x14ac:dyDescent="0.3">
      <c r="CN8643">
        <v>8642</v>
      </c>
    </row>
    <row r="8644" spans="92:92" x14ac:dyDescent="0.3">
      <c r="CN8644">
        <v>8643</v>
      </c>
    </row>
    <row r="8645" spans="92:92" x14ac:dyDescent="0.3">
      <c r="CN8645">
        <v>8644</v>
      </c>
    </row>
    <row r="8646" spans="92:92" x14ac:dyDescent="0.3">
      <c r="CN8646">
        <v>8645</v>
      </c>
    </row>
    <row r="8647" spans="92:92" x14ac:dyDescent="0.3">
      <c r="CN8647">
        <v>8646</v>
      </c>
    </row>
    <row r="8648" spans="92:92" x14ac:dyDescent="0.3">
      <c r="CN8648">
        <v>8647</v>
      </c>
    </row>
    <row r="8649" spans="92:92" x14ac:dyDescent="0.3">
      <c r="CN8649">
        <v>8648</v>
      </c>
    </row>
    <row r="8650" spans="92:92" x14ac:dyDescent="0.3">
      <c r="CN8650">
        <v>8649</v>
      </c>
    </row>
    <row r="8651" spans="92:92" x14ac:dyDescent="0.3">
      <c r="CN8651">
        <v>8650</v>
      </c>
    </row>
    <row r="8652" spans="92:92" x14ac:dyDescent="0.3">
      <c r="CN8652">
        <v>8651</v>
      </c>
    </row>
    <row r="8653" spans="92:92" x14ac:dyDescent="0.3">
      <c r="CN8653">
        <v>8652</v>
      </c>
    </row>
    <row r="8654" spans="92:92" x14ac:dyDescent="0.3">
      <c r="CN8654">
        <v>8653</v>
      </c>
    </row>
    <row r="8655" spans="92:92" x14ac:dyDescent="0.3">
      <c r="CN8655">
        <v>8654</v>
      </c>
    </row>
    <row r="8656" spans="92:92" x14ac:dyDescent="0.3">
      <c r="CN8656">
        <v>8655</v>
      </c>
    </row>
    <row r="8657" spans="92:92" x14ac:dyDescent="0.3">
      <c r="CN8657">
        <v>8656</v>
      </c>
    </row>
    <row r="8658" spans="92:92" x14ac:dyDescent="0.3">
      <c r="CN8658">
        <v>8657</v>
      </c>
    </row>
    <row r="8659" spans="92:92" x14ac:dyDescent="0.3">
      <c r="CN8659">
        <v>8658</v>
      </c>
    </row>
    <row r="8660" spans="92:92" x14ac:dyDescent="0.3">
      <c r="CN8660">
        <v>8659</v>
      </c>
    </row>
    <row r="8661" spans="92:92" x14ac:dyDescent="0.3">
      <c r="CN8661">
        <v>8660</v>
      </c>
    </row>
    <row r="8662" spans="92:92" x14ac:dyDescent="0.3">
      <c r="CN8662">
        <v>8661</v>
      </c>
    </row>
    <row r="8663" spans="92:92" x14ac:dyDescent="0.3">
      <c r="CN8663">
        <v>8662</v>
      </c>
    </row>
    <row r="8664" spans="92:92" x14ac:dyDescent="0.3">
      <c r="CN8664">
        <v>8663</v>
      </c>
    </row>
    <row r="8665" spans="92:92" x14ac:dyDescent="0.3">
      <c r="CN8665">
        <v>8664</v>
      </c>
    </row>
    <row r="8666" spans="92:92" x14ac:dyDescent="0.3">
      <c r="CN8666">
        <v>8665</v>
      </c>
    </row>
    <row r="8667" spans="92:92" x14ac:dyDescent="0.3">
      <c r="CN8667">
        <v>8666</v>
      </c>
    </row>
    <row r="8668" spans="92:92" x14ac:dyDescent="0.3">
      <c r="CN8668">
        <v>8667</v>
      </c>
    </row>
    <row r="8669" spans="92:92" x14ac:dyDescent="0.3">
      <c r="CN8669">
        <v>8668</v>
      </c>
    </row>
    <row r="8670" spans="92:92" x14ac:dyDescent="0.3">
      <c r="CN8670">
        <v>8669</v>
      </c>
    </row>
    <row r="8671" spans="92:92" x14ac:dyDescent="0.3">
      <c r="CN8671">
        <v>8670</v>
      </c>
    </row>
    <row r="8672" spans="92:92" x14ac:dyDescent="0.3">
      <c r="CN8672">
        <v>8671</v>
      </c>
    </row>
    <row r="8673" spans="92:92" x14ac:dyDescent="0.3">
      <c r="CN8673">
        <v>8672</v>
      </c>
    </row>
    <row r="8674" spans="92:92" x14ac:dyDescent="0.3">
      <c r="CN8674">
        <v>8673</v>
      </c>
    </row>
    <row r="8675" spans="92:92" x14ac:dyDescent="0.3">
      <c r="CN8675">
        <v>8674</v>
      </c>
    </row>
    <row r="8676" spans="92:92" x14ac:dyDescent="0.3">
      <c r="CN8676">
        <v>8675</v>
      </c>
    </row>
    <row r="8677" spans="92:92" x14ac:dyDescent="0.3">
      <c r="CN8677">
        <v>8676</v>
      </c>
    </row>
    <row r="8678" spans="92:92" x14ac:dyDescent="0.3">
      <c r="CN8678">
        <v>8677</v>
      </c>
    </row>
    <row r="8679" spans="92:92" x14ac:dyDescent="0.3">
      <c r="CN8679">
        <v>8678</v>
      </c>
    </row>
    <row r="8680" spans="92:92" x14ac:dyDescent="0.3">
      <c r="CN8680">
        <v>8679</v>
      </c>
    </row>
    <row r="8681" spans="92:92" x14ac:dyDescent="0.3">
      <c r="CN8681">
        <v>8680</v>
      </c>
    </row>
    <row r="8682" spans="92:92" x14ac:dyDescent="0.3">
      <c r="CN8682">
        <v>8681</v>
      </c>
    </row>
    <row r="8683" spans="92:92" x14ac:dyDescent="0.3">
      <c r="CN8683">
        <v>8682</v>
      </c>
    </row>
    <row r="8684" spans="92:92" x14ac:dyDescent="0.3">
      <c r="CN8684">
        <v>8683</v>
      </c>
    </row>
    <row r="8685" spans="92:92" x14ac:dyDescent="0.3">
      <c r="CN8685">
        <v>8684</v>
      </c>
    </row>
    <row r="8686" spans="92:92" x14ac:dyDescent="0.3">
      <c r="CN8686">
        <v>8685</v>
      </c>
    </row>
    <row r="8687" spans="92:92" x14ac:dyDescent="0.3">
      <c r="CN8687">
        <v>8686</v>
      </c>
    </row>
    <row r="8688" spans="92:92" x14ac:dyDescent="0.3">
      <c r="CN8688">
        <v>8687</v>
      </c>
    </row>
    <row r="8689" spans="92:92" x14ac:dyDescent="0.3">
      <c r="CN8689">
        <v>8688</v>
      </c>
    </row>
    <row r="8690" spans="92:92" x14ac:dyDescent="0.3">
      <c r="CN8690">
        <v>8689</v>
      </c>
    </row>
    <row r="8691" spans="92:92" x14ac:dyDescent="0.3">
      <c r="CN8691">
        <v>8690</v>
      </c>
    </row>
    <row r="8692" spans="92:92" x14ac:dyDescent="0.3">
      <c r="CN8692">
        <v>8691</v>
      </c>
    </row>
    <row r="8693" spans="92:92" x14ac:dyDescent="0.3">
      <c r="CN8693">
        <v>8692</v>
      </c>
    </row>
    <row r="8694" spans="92:92" x14ac:dyDescent="0.3">
      <c r="CN8694">
        <v>8693</v>
      </c>
    </row>
    <row r="8695" spans="92:92" x14ac:dyDescent="0.3">
      <c r="CN8695">
        <v>8694</v>
      </c>
    </row>
    <row r="8696" spans="92:92" x14ac:dyDescent="0.3">
      <c r="CN8696">
        <v>8695</v>
      </c>
    </row>
    <row r="8697" spans="92:92" x14ac:dyDescent="0.3">
      <c r="CN8697">
        <v>8696</v>
      </c>
    </row>
    <row r="8698" spans="92:92" x14ac:dyDescent="0.3">
      <c r="CN8698">
        <v>8697</v>
      </c>
    </row>
    <row r="8699" spans="92:92" x14ac:dyDescent="0.3">
      <c r="CN8699">
        <v>8698</v>
      </c>
    </row>
    <row r="8700" spans="92:92" x14ac:dyDescent="0.3">
      <c r="CN8700">
        <v>8699</v>
      </c>
    </row>
    <row r="8701" spans="92:92" x14ac:dyDescent="0.3">
      <c r="CN8701">
        <v>8700</v>
      </c>
    </row>
    <row r="8702" spans="92:92" x14ac:dyDescent="0.3">
      <c r="CN8702">
        <v>8701</v>
      </c>
    </row>
    <row r="8703" spans="92:92" x14ac:dyDescent="0.3">
      <c r="CN8703">
        <v>8702</v>
      </c>
    </row>
    <row r="8704" spans="92:92" x14ac:dyDescent="0.3">
      <c r="CN8704">
        <v>8703</v>
      </c>
    </row>
    <row r="8705" spans="92:92" x14ac:dyDescent="0.3">
      <c r="CN8705">
        <v>8704</v>
      </c>
    </row>
    <row r="8706" spans="92:92" x14ac:dyDescent="0.3">
      <c r="CN8706">
        <v>8705</v>
      </c>
    </row>
    <row r="8707" spans="92:92" x14ac:dyDescent="0.3">
      <c r="CN8707">
        <v>8706</v>
      </c>
    </row>
    <row r="8708" spans="92:92" x14ac:dyDescent="0.3">
      <c r="CN8708">
        <v>8707</v>
      </c>
    </row>
    <row r="8709" spans="92:92" x14ac:dyDescent="0.3">
      <c r="CN8709">
        <v>8708</v>
      </c>
    </row>
    <row r="8710" spans="92:92" x14ac:dyDescent="0.3">
      <c r="CN8710">
        <v>8709</v>
      </c>
    </row>
    <row r="8711" spans="92:92" x14ac:dyDescent="0.3">
      <c r="CN8711">
        <v>8710</v>
      </c>
    </row>
    <row r="8712" spans="92:92" x14ac:dyDescent="0.3">
      <c r="CN8712">
        <v>8711</v>
      </c>
    </row>
    <row r="8713" spans="92:92" x14ac:dyDescent="0.3">
      <c r="CN8713">
        <v>8712</v>
      </c>
    </row>
    <row r="8714" spans="92:92" x14ac:dyDescent="0.3">
      <c r="CN8714">
        <v>8713</v>
      </c>
    </row>
    <row r="8715" spans="92:92" x14ac:dyDescent="0.3">
      <c r="CN8715">
        <v>8714</v>
      </c>
    </row>
    <row r="8716" spans="92:92" x14ac:dyDescent="0.3">
      <c r="CN8716">
        <v>8715</v>
      </c>
    </row>
    <row r="8717" spans="92:92" x14ac:dyDescent="0.3">
      <c r="CN8717">
        <v>8716</v>
      </c>
    </row>
    <row r="8718" spans="92:92" x14ac:dyDescent="0.3">
      <c r="CN8718">
        <v>8717</v>
      </c>
    </row>
    <row r="8719" spans="92:92" x14ac:dyDescent="0.3">
      <c r="CN8719">
        <v>8718</v>
      </c>
    </row>
    <row r="8720" spans="92:92" x14ac:dyDescent="0.3">
      <c r="CN8720">
        <v>8719</v>
      </c>
    </row>
    <row r="8721" spans="92:92" x14ac:dyDescent="0.3">
      <c r="CN8721">
        <v>8720</v>
      </c>
    </row>
    <row r="8722" spans="92:92" x14ac:dyDescent="0.3">
      <c r="CN8722">
        <v>8721</v>
      </c>
    </row>
    <row r="8723" spans="92:92" x14ac:dyDescent="0.3">
      <c r="CN8723">
        <v>8722</v>
      </c>
    </row>
    <row r="8724" spans="92:92" x14ac:dyDescent="0.3">
      <c r="CN8724">
        <v>8723</v>
      </c>
    </row>
    <row r="8725" spans="92:92" x14ac:dyDescent="0.3">
      <c r="CN8725">
        <v>8724</v>
      </c>
    </row>
    <row r="8726" spans="92:92" x14ac:dyDescent="0.3">
      <c r="CN8726">
        <v>8725</v>
      </c>
    </row>
    <row r="8727" spans="92:92" x14ac:dyDescent="0.3">
      <c r="CN8727">
        <v>8726</v>
      </c>
    </row>
    <row r="8728" spans="92:92" x14ac:dyDescent="0.3">
      <c r="CN8728">
        <v>8727</v>
      </c>
    </row>
    <row r="8729" spans="92:92" x14ac:dyDescent="0.3">
      <c r="CN8729">
        <v>8728</v>
      </c>
    </row>
    <row r="8730" spans="92:92" x14ac:dyDescent="0.3">
      <c r="CN8730">
        <v>8729</v>
      </c>
    </row>
    <row r="8731" spans="92:92" x14ac:dyDescent="0.3">
      <c r="CN8731">
        <v>8730</v>
      </c>
    </row>
    <row r="8732" spans="92:92" x14ac:dyDescent="0.3">
      <c r="CN8732">
        <v>8731</v>
      </c>
    </row>
    <row r="8733" spans="92:92" x14ac:dyDescent="0.3">
      <c r="CN8733">
        <v>8732</v>
      </c>
    </row>
    <row r="8734" spans="92:92" x14ac:dyDescent="0.3">
      <c r="CN8734">
        <v>8733</v>
      </c>
    </row>
    <row r="8735" spans="92:92" x14ac:dyDescent="0.3">
      <c r="CN8735">
        <v>8734</v>
      </c>
    </row>
    <row r="8736" spans="92:92" x14ac:dyDescent="0.3">
      <c r="CN8736">
        <v>8735</v>
      </c>
    </row>
    <row r="8737" spans="92:92" x14ac:dyDescent="0.3">
      <c r="CN8737">
        <v>8736</v>
      </c>
    </row>
    <row r="8738" spans="92:92" x14ac:dyDescent="0.3">
      <c r="CN8738">
        <v>8737</v>
      </c>
    </row>
    <row r="8739" spans="92:92" x14ac:dyDescent="0.3">
      <c r="CN8739">
        <v>8738</v>
      </c>
    </row>
    <row r="8740" spans="92:92" x14ac:dyDescent="0.3">
      <c r="CN8740">
        <v>8739</v>
      </c>
    </row>
    <row r="8741" spans="92:92" x14ac:dyDescent="0.3">
      <c r="CN8741">
        <v>8740</v>
      </c>
    </row>
    <row r="8742" spans="92:92" x14ac:dyDescent="0.3">
      <c r="CN8742">
        <v>8741</v>
      </c>
    </row>
    <row r="8743" spans="92:92" x14ac:dyDescent="0.3">
      <c r="CN8743">
        <v>8742</v>
      </c>
    </row>
    <row r="8744" spans="92:92" x14ac:dyDescent="0.3">
      <c r="CN8744">
        <v>8743</v>
      </c>
    </row>
    <row r="8745" spans="92:92" x14ac:dyDescent="0.3">
      <c r="CN8745">
        <v>8744</v>
      </c>
    </row>
    <row r="8746" spans="92:92" x14ac:dyDescent="0.3">
      <c r="CN8746">
        <v>8745</v>
      </c>
    </row>
    <row r="8747" spans="92:92" x14ac:dyDescent="0.3">
      <c r="CN8747">
        <v>8746</v>
      </c>
    </row>
    <row r="8748" spans="92:92" x14ac:dyDescent="0.3">
      <c r="CN8748">
        <v>8747</v>
      </c>
    </row>
    <row r="8749" spans="92:92" x14ac:dyDescent="0.3">
      <c r="CN8749">
        <v>8748</v>
      </c>
    </row>
    <row r="8750" spans="92:92" x14ac:dyDescent="0.3">
      <c r="CN8750">
        <v>8749</v>
      </c>
    </row>
    <row r="8751" spans="92:92" x14ac:dyDescent="0.3">
      <c r="CN8751">
        <v>8750</v>
      </c>
    </row>
    <row r="8752" spans="92:92" x14ac:dyDescent="0.3">
      <c r="CN8752">
        <v>8751</v>
      </c>
    </row>
    <row r="8753" spans="92:92" x14ac:dyDescent="0.3">
      <c r="CN8753">
        <v>8752</v>
      </c>
    </row>
    <row r="8754" spans="92:92" x14ac:dyDescent="0.3">
      <c r="CN8754">
        <v>8753</v>
      </c>
    </row>
    <row r="8755" spans="92:92" x14ac:dyDescent="0.3">
      <c r="CN8755">
        <v>8754</v>
      </c>
    </row>
    <row r="8756" spans="92:92" x14ac:dyDescent="0.3">
      <c r="CN8756">
        <v>8755</v>
      </c>
    </row>
    <row r="8757" spans="92:92" x14ac:dyDescent="0.3">
      <c r="CN8757">
        <v>8756</v>
      </c>
    </row>
    <row r="8758" spans="92:92" x14ac:dyDescent="0.3">
      <c r="CN8758">
        <v>8757</v>
      </c>
    </row>
    <row r="8759" spans="92:92" x14ac:dyDescent="0.3">
      <c r="CN8759">
        <v>8758</v>
      </c>
    </row>
    <row r="8760" spans="92:92" x14ac:dyDescent="0.3">
      <c r="CN8760">
        <v>8759</v>
      </c>
    </row>
    <row r="8761" spans="92:92" x14ac:dyDescent="0.3">
      <c r="CN8761">
        <v>8760</v>
      </c>
    </row>
    <row r="8762" spans="92:92" x14ac:dyDescent="0.3">
      <c r="CN8762">
        <v>8761</v>
      </c>
    </row>
    <row r="8763" spans="92:92" x14ac:dyDescent="0.3">
      <c r="CN8763">
        <v>8762</v>
      </c>
    </row>
    <row r="8764" spans="92:92" x14ac:dyDescent="0.3">
      <c r="CN8764">
        <v>8763</v>
      </c>
    </row>
    <row r="8765" spans="92:92" x14ac:dyDescent="0.3">
      <c r="CN8765">
        <v>8764</v>
      </c>
    </row>
    <row r="8766" spans="92:92" x14ac:dyDescent="0.3">
      <c r="CN8766">
        <v>8765</v>
      </c>
    </row>
    <row r="8767" spans="92:92" x14ac:dyDescent="0.3">
      <c r="CN8767">
        <v>8766</v>
      </c>
    </row>
    <row r="8768" spans="92:92" x14ac:dyDescent="0.3">
      <c r="CN8768">
        <v>8767</v>
      </c>
    </row>
    <row r="8769" spans="92:92" x14ac:dyDescent="0.3">
      <c r="CN8769">
        <v>8768</v>
      </c>
    </row>
    <row r="8770" spans="92:92" x14ac:dyDescent="0.3">
      <c r="CN8770">
        <v>8769</v>
      </c>
    </row>
    <row r="8771" spans="92:92" x14ac:dyDescent="0.3">
      <c r="CN8771">
        <v>8770</v>
      </c>
    </row>
    <row r="8772" spans="92:92" x14ac:dyDescent="0.3">
      <c r="CN8772">
        <v>8771</v>
      </c>
    </row>
    <row r="8773" spans="92:92" x14ac:dyDescent="0.3">
      <c r="CN8773">
        <v>8772</v>
      </c>
    </row>
    <row r="8774" spans="92:92" x14ac:dyDescent="0.3">
      <c r="CN8774">
        <v>8773</v>
      </c>
    </row>
    <row r="8775" spans="92:92" x14ac:dyDescent="0.3">
      <c r="CN8775">
        <v>8774</v>
      </c>
    </row>
    <row r="8776" spans="92:92" x14ac:dyDescent="0.3">
      <c r="CN8776">
        <v>8775</v>
      </c>
    </row>
    <row r="8777" spans="92:92" x14ac:dyDescent="0.3">
      <c r="CN8777">
        <v>8776</v>
      </c>
    </row>
    <row r="8778" spans="92:92" x14ac:dyDescent="0.3">
      <c r="CN8778">
        <v>8777</v>
      </c>
    </row>
    <row r="8779" spans="92:92" x14ac:dyDescent="0.3">
      <c r="CN8779">
        <v>8778</v>
      </c>
    </row>
    <row r="8780" spans="92:92" x14ac:dyDescent="0.3">
      <c r="CN8780">
        <v>8779</v>
      </c>
    </row>
    <row r="8781" spans="92:92" x14ac:dyDescent="0.3">
      <c r="CN8781">
        <v>8780</v>
      </c>
    </row>
    <row r="8782" spans="92:92" x14ac:dyDescent="0.3">
      <c r="CN8782">
        <v>8781</v>
      </c>
    </row>
    <row r="8783" spans="92:92" x14ac:dyDescent="0.3">
      <c r="CN8783">
        <v>8782</v>
      </c>
    </row>
    <row r="8784" spans="92:92" x14ac:dyDescent="0.3">
      <c r="CN8784">
        <v>8783</v>
      </c>
    </row>
    <row r="8785" spans="92:92" x14ac:dyDescent="0.3">
      <c r="CN8785">
        <v>8784</v>
      </c>
    </row>
    <row r="8786" spans="92:92" x14ac:dyDescent="0.3">
      <c r="CN8786">
        <v>8785</v>
      </c>
    </row>
    <row r="8787" spans="92:92" x14ac:dyDescent="0.3">
      <c r="CN8787">
        <v>8786</v>
      </c>
    </row>
    <row r="8788" spans="92:92" x14ac:dyDescent="0.3">
      <c r="CN8788">
        <v>8787</v>
      </c>
    </row>
    <row r="8789" spans="92:92" x14ac:dyDescent="0.3">
      <c r="CN8789">
        <v>8788</v>
      </c>
    </row>
    <row r="8790" spans="92:92" x14ac:dyDescent="0.3">
      <c r="CN8790">
        <v>8789</v>
      </c>
    </row>
    <row r="8791" spans="92:92" x14ac:dyDescent="0.3">
      <c r="CN8791">
        <v>8790</v>
      </c>
    </row>
    <row r="8792" spans="92:92" x14ac:dyDescent="0.3">
      <c r="CN8792">
        <v>8791</v>
      </c>
    </row>
    <row r="8793" spans="92:92" x14ac:dyDescent="0.3">
      <c r="CN8793">
        <v>8792</v>
      </c>
    </row>
    <row r="8794" spans="92:92" x14ac:dyDescent="0.3">
      <c r="CN8794">
        <v>8793</v>
      </c>
    </row>
    <row r="8795" spans="92:92" x14ac:dyDescent="0.3">
      <c r="CN8795">
        <v>8794</v>
      </c>
    </row>
    <row r="8796" spans="92:92" x14ac:dyDescent="0.3">
      <c r="CN8796">
        <v>8795</v>
      </c>
    </row>
    <row r="8797" spans="92:92" x14ac:dyDescent="0.3">
      <c r="CN8797">
        <v>8796</v>
      </c>
    </row>
    <row r="8798" spans="92:92" x14ac:dyDescent="0.3">
      <c r="CN8798">
        <v>8797</v>
      </c>
    </row>
    <row r="8799" spans="92:92" x14ac:dyDescent="0.3">
      <c r="CN8799">
        <v>8798</v>
      </c>
    </row>
    <row r="8800" spans="92:92" x14ac:dyDescent="0.3">
      <c r="CN8800">
        <v>8799</v>
      </c>
    </row>
    <row r="8801" spans="92:92" x14ac:dyDescent="0.3">
      <c r="CN8801">
        <v>8800</v>
      </c>
    </row>
    <row r="8802" spans="92:92" x14ac:dyDescent="0.3">
      <c r="CN8802">
        <v>8801</v>
      </c>
    </row>
    <row r="8803" spans="92:92" x14ac:dyDescent="0.3">
      <c r="CN8803">
        <v>8802</v>
      </c>
    </row>
    <row r="8804" spans="92:92" x14ac:dyDescent="0.3">
      <c r="CN8804">
        <v>8803</v>
      </c>
    </row>
    <row r="8805" spans="92:92" x14ac:dyDescent="0.3">
      <c r="CN8805">
        <v>8804</v>
      </c>
    </row>
    <row r="8806" spans="92:92" x14ac:dyDescent="0.3">
      <c r="CN8806">
        <v>8805</v>
      </c>
    </row>
    <row r="8807" spans="92:92" x14ac:dyDescent="0.3">
      <c r="CN8807">
        <v>8806</v>
      </c>
    </row>
    <row r="8808" spans="92:92" x14ac:dyDescent="0.3">
      <c r="CN8808">
        <v>8807</v>
      </c>
    </row>
    <row r="8809" spans="92:92" x14ac:dyDescent="0.3">
      <c r="CN8809">
        <v>8808</v>
      </c>
    </row>
    <row r="8810" spans="92:92" x14ac:dyDescent="0.3">
      <c r="CN8810">
        <v>8809</v>
      </c>
    </row>
    <row r="8811" spans="92:92" x14ac:dyDescent="0.3">
      <c r="CN8811">
        <v>8810</v>
      </c>
    </row>
    <row r="8812" spans="92:92" x14ac:dyDescent="0.3">
      <c r="CN8812">
        <v>8811</v>
      </c>
    </row>
    <row r="8813" spans="92:92" x14ac:dyDescent="0.3">
      <c r="CN8813">
        <v>8812</v>
      </c>
    </row>
    <row r="8814" spans="92:92" x14ac:dyDescent="0.3">
      <c r="CN8814">
        <v>8813</v>
      </c>
    </row>
    <row r="8815" spans="92:92" x14ac:dyDescent="0.3">
      <c r="CN8815">
        <v>8814</v>
      </c>
    </row>
    <row r="8816" spans="92:92" x14ac:dyDescent="0.3">
      <c r="CN8816">
        <v>8815</v>
      </c>
    </row>
    <row r="8817" spans="92:92" x14ac:dyDescent="0.3">
      <c r="CN8817">
        <v>8816</v>
      </c>
    </row>
    <row r="8818" spans="92:92" x14ac:dyDescent="0.3">
      <c r="CN8818">
        <v>8817</v>
      </c>
    </row>
    <row r="8819" spans="92:92" x14ac:dyDescent="0.3">
      <c r="CN8819">
        <v>8818</v>
      </c>
    </row>
    <row r="8820" spans="92:92" x14ac:dyDescent="0.3">
      <c r="CN8820">
        <v>8819</v>
      </c>
    </row>
    <row r="8821" spans="92:92" x14ac:dyDescent="0.3">
      <c r="CN8821">
        <v>8820</v>
      </c>
    </row>
    <row r="8822" spans="92:92" x14ac:dyDescent="0.3">
      <c r="CN8822">
        <v>8821</v>
      </c>
    </row>
    <row r="8823" spans="92:92" x14ac:dyDescent="0.3">
      <c r="CN8823">
        <v>8822</v>
      </c>
    </row>
    <row r="8824" spans="92:92" x14ac:dyDescent="0.3">
      <c r="CN8824">
        <v>8823</v>
      </c>
    </row>
    <row r="8825" spans="92:92" x14ac:dyDescent="0.3">
      <c r="CN8825">
        <v>8824</v>
      </c>
    </row>
    <row r="8826" spans="92:92" x14ac:dyDescent="0.3">
      <c r="CN8826">
        <v>8825</v>
      </c>
    </row>
    <row r="8827" spans="92:92" x14ac:dyDescent="0.3">
      <c r="CN8827">
        <v>8826</v>
      </c>
    </row>
    <row r="8828" spans="92:92" x14ac:dyDescent="0.3">
      <c r="CN8828">
        <v>8827</v>
      </c>
    </row>
    <row r="8829" spans="92:92" x14ac:dyDescent="0.3">
      <c r="CN8829">
        <v>8828</v>
      </c>
    </row>
    <row r="8830" spans="92:92" x14ac:dyDescent="0.3">
      <c r="CN8830">
        <v>8829</v>
      </c>
    </row>
    <row r="8831" spans="92:92" x14ac:dyDescent="0.3">
      <c r="CN8831">
        <v>8830</v>
      </c>
    </row>
    <row r="8832" spans="92:92" x14ac:dyDescent="0.3">
      <c r="CN8832">
        <v>8831</v>
      </c>
    </row>
    <row r="8833" spans="92:92" x14ac:dyDescent="0.3">
      <c r="CN8833">
        <v>8832</v>
      </c>
    </row>
    <row r="8834" spans="92:92" x14ac:dyDescent="0.3">
      <c r="CN8834">
        <v>8833</v>
      </c>
    </row>
    <row r="8835" spans="92:92" x14ac:dyDescent="0.3">
      <c r="CN8835">
        <v>8834</v>
      </c>
    </row>
    <row r="8836" spans="92:92" x14ac:dyDescent="0.3">
      <c r="CN8836">
        <v>8835</v>
      </c>
    </row>
    <row r="8837" spans="92:92" x14ac:dyDescent="0.3">
      <c r="CN8837">
        <v>8836</v>
      </c>
    </row>
    <row r="8838" spans="92:92" x14ac:dyDescent="0.3">
      <c r="CN8838">
        <v>8837</v>
      </c>
    </row>
    <row r="8839" spans="92:92" x14ac:dyDescent="0.3">
      <c r="CN8839">
        <v>8838</v>
      </c>
    </row>
    <row r="8840" spans="92:92" x14ac:dyDescent="0.3">
      <c r="CN8840">
        <v>8839</v>
      </c>
    </row>
    <row r="8841" spans="92:92" x14ac:dyDescent="0.3">
      <c r="CN8841">
        <v>8840</v>
      </c>
    </row>
    <row r="8842" spans="92:92" x14ac:dyDescent="0.3">
      <c r="CN8842">
        <v>8841</v>
      </c>
    </row>
    <row r="8843" spans="92:92" x14ac:dyDescent="0.3">
      <c r="CN8843">
        <v>8842</v>
      </c>
    </row>
    <row r="8844" spans="92:92" x14ac:dyDescent="0.3">
      <c r="CN8844">
        <v>8843</v>
      </c>
    </row>
    <row r="8845" spans="92:92" x14ac:dyDescent="0.3">
      <c r="CN8845">
        <v>8844</v>
      </c>
    </row>
    <row r="8846" spans="92:92" x14ac:dyDescent="0.3">
      <c r="CN8846">
        <v>8845</v>
      </c>
    </row>
    <row r="8847" spans="92:92" x14ac:dyDescent="0.3">
      <c r="CN8847">
        <v>8846</v>
      </c>
    </row>
    <row r="8848" spans="92:92" x14ac:dyDescent="0.3">
      <c r="CN8848">
        <v>8847</v>
      </c>
    </row>
    <row r="8849" spans="92:92" x14ac:dyDescent="0.3">
      <c r="CN8849">
        <v>8848</v>
      </c>
    </row>
    <row r="8850" spans="92:92" x14ac:dyDescent="0.3">
      <c r="CN8850">
        <v>8849</v>
      </c>
    </row>
    <row r="8851" spans="92:92" x14ac:dyDescent="0.3">
      <c r="CN8851">
        <v>8850</v>
      </c>
    </row>
    <row r="8852" spans="92:92" x14ac:dyDescent="0.3">
      <c r="CN8852">
        <v>8851</v>
      </c>
    </row>
    <row r="8853" spans="92:92" x14ac:dyDescent="0.3">
      <c r="CN8853">
        <v>8852</v>
      </c>
    </row>
    <row r="8854" spans="92:92" x14ac:dyDescent="0.3">
      <c r="CN8854">
        <v>8853</v>
      </c>
    </row>
    <row r="8855" spans="92:92" x14ac:dyDescent="0.3">
      <c r="CN8855">
        <v>8854</v>
      </c>
    </row>
    <row r="8856" spans="92:92" x14ac:dyDescent="0.3">
      <c r="CN8856">
        <v>8855</v>
      </c>
    </row>
    <row r="8857" spans="92:92" x14ac:dyDescent="0.3">
      <c r="CN8857">
        <v>8856</v>
      </c>
    </row>
    <row r="8858" spans="92:92" x14ac:dyDescent="0.3">
      <c r="CN8858">
        <v>8857</v>
      </c>
    </row>
    <row r="8859" spans="92:92" x14ac:dyDescent="0.3">
      <c r="CN8859">
        <v>8858</v>
      </c>
    </row>
    <row r="8860" spans="92:92" x14ac:dyDescent="0.3">
      <c r="CN8860">
        <v>8859</v>
      </c>
    </row>
    <row r="8861" spans="92:92" x14ac:dyDescent="0.3">
      <c r="CN8861">
        <v>8860</v>
      </c>
    </row>
    <row r="8862" spans="92:92" x14ac:dyDescent="0.3">
      <c r="CN8862">
        <v>8861</v>
      </c>
    </row>
    <row r="8863" spans="92:92" x14ac:dyDescent="0.3">
      <c r="CN8863">
        <v>8862</v>
      </c>
    </row>
    <row r="8864" spans="92:92" x14ac:dyDescent="0.3">
      <c r="CN8864">
        <v>8863</v>
      </c>
    </row>
    <row r="8865" spans="92:92" x14ac:dyDescent="0.3">
      <c r="CN8865">
        <v>8864</v>
      </c>
    </row>
    <row r="8866" spans="92:92" x14ac:dyDescent="0.3">
      <c r="CN8866">
        <v>8865</v>
      </c>
    </row>
    <row r="8867" spans="92:92" x14ac:dyDescent="0.3">
      <c r="CN8867">
        <v>8866</v>
      </c>
    </row>
    <row r="8868" spans="92:92" x14ac:dyDescent="0.3">
      <c r="CN8868">
        <v>8867</v>
      </c>
    </row>
    <row r="8869" spans="92:92" x14ac:dyDescent="0.3">
      <c r="CN8869">
        <v>8868</v>
      </c>
    </row>
    <row r="8870" spans="92:92" x14ac:dyDescent="0.3">
      <c r="CN8870">
        <v>8869</v>
      </c>
    </row>
    <row r="8871" spans="92:92" x14ac:dyDescent="0.3">
      <c r="CN8871">
        <v>8870</v>
      </c>
    </row>
    <row r="8872" spans="92:92" x14ac:dyDescent="0.3">
      <c r="CN8872">
        <v>8871</v>
      </c>
    </row>
    <row r="8873" spans="92:92" x14ac:dyDescent="0.3">
      <c r="CN8873">
        <v>8872</v>
      </c>
    </row>
    <row r="8874" spans="92:92" x14ac:dyDescent="0.3">
      <c r="CN8874">
        <v>8873</v>
      </c>
    </row>
    <row r="8875" spans="92:92" x14ac:dyDescent="0.3">
      <c r="CN8875">
        <v>8874</v>
      </c>
    </row>
    <row r="8876" spans="92:92" x14ac:dyDescent="0.3">
      <c r="CN8876">
        <v>8875</v>
      </c>
    </row>
    <row r="8877" spans="92:92" x14ac:dyDescent="0.3">
      <c r="CN8877">
        <v>8876</v>
      </c>
    </row>
    <row r="8878" spans="92:92" x14ac:dyDescent="0.3">
      <c r="CN8878">
        <v>8877</v>
      </c>
    </row>
    <row r="8879" spans="92:92" x14ac:dyDescent="0.3">
      <c r="CN8879">
        <v>8878</v>
      </c>
    </row>
    <row r="8880" spans="92:92" x14ac:dyDescent="0.3">
      <c r="CN8880">
        <v>8879</v>
      </c>
    </row>
    <row r="8881" spans="92:92" x14ac:dyDescent="0.3">
      <c r="CN8881">
        <v>8880</v>
      </c>
    </row>
    <row r="8882" spans="92:92" x14ac:dyDescent="0.3">
      <c r="CN8882">
        <v>8881</v>
      </c>
    </row>
    <row r="8883" spans="92:92" x14ac:dyDescent="0.3">
      <c r="CN8883">
        <v>8882</v>
      </c>
    </row>
    <row r="8884" spans="92:92" x14ac:dyDescent="0.3">
      <c r="CN8884">
        <v>8883</v>
      </c>
    </row>
    <row r="8885" spans="92:92" x14ac:dyDescent="0.3">
      <c r="CN8885">
        <v>8884</v>
      </c>
    </row>
    <row r="8886" spans="92:92" x14ac:dyDescent="0.3">
      <c r="CN8886">
        <v>8885</v>
      </c>
    </row>
    <row r="8887" spans="92:92" x14ac:dyDescent="0.3">
      <c r="CN8887">
        <v>8886</v>
      </c>
    </row>
    <row r="8888" spans="92:92" x14ac:dyDescent="0.3">
      <c r="CN8888">
        <v>8887</v>
      </c>
    </row>
    <row r="8889" spans="92:92" x14ac:dyDescent="0.3">
      <c r="CN8889">
        <v>8888</v>
      </c>
    </row>
    <row r="8890" spans="92:92" x14ac:dyDescent="0.3">
      <c r="CN8890">
        <v>8889</v>
      </c>
    </row>
    <row r="8891" spans="92:92" x14ac:dyDescent="0.3">
      <c r="CN8891">
        <v>8890</v>
      </c>
    </row>
    <row r="8892" spans="92:92" x14ac:dyDescent="0.3">
      <c r="CN8892">
        <v>8891</v>
      </c>
    </row>
    <row r="8893" spans="92:92" x14ac:dyDescent="0.3">
      <c r="CN8893">
        <v>8892</v>
      </c>
    </row>
    <row r="8894" spans="92:92" x14ac:dyDescent="0.3">
      <c r="CN8894">
        <v>8893</v>
      </c>
    </row>
    <row r="8895" spans="92:92" x14ac:dyDescent="0.3">
      <c r="CN8895">
        <v>8894</v>
      </c>
    </row>
    <row r="8896" spans="92:92" x14ac:dyDescent="0.3">
      <c r="CN8896">
        <v>8895</v>
      </c>
    </row>
    <row r="8897" spans="92:92" x14ac:dyDescent="0.3">
      <c r="CN8897">
        <v>8896</v>
      </c>
    </row>
    <row r="8898" spans="92:92" x14ac:dyDescent="0.3">
      <c r="CN8898">
        <v>8897</v>
      </c>
    </row>
    <row r="8899" spans="92:92" x14ac:dyDescent="0.3">
      <c r="CN8899">
        <v>8898</v>
      </c>
    </row>
    <row r="8900" spans="92:92" x14ac:dyDescent="0.3">
      <c r="CN8900">
        <v>8899</v>
      </c>
    </row>
    <row r="8901" spans="92:92" x14ac:dyDescent="0.3">
      <c r="CN8901">
        <v>8900</v>
      </c>
    </row>
    <row r="8902" spans="92:92" x14ac:dyDescent="0.3">
      <c r="CN8902">
        <v>8901</v>
      </c>
    </row>
    <row r="8903" spans="92:92" x14ac:dyDescent="0.3">
      <c r="CN8903">
        <v>8902</v>
      </c>
    </row>
    <row r="8904" spans="92:92" x14ac:dyDescent="0.3">
      <c r="CN8904">
        <v>8903</v>
      </c>
    </row>
    <row r="8905" spans="92:92" x14ac:dyDescent="0.3">
      <c r="CN8905">
        <v>8904</v>
      </c>
    </row>
    <row r="8906" spans="92:92" x14ac:dyDescent="0.3">
      <c r="CN8906">
        <v>8905</v>
      </c>
    </row>
    <row r="8907" spans="92:92" x14ac:dyDescent="0.3">
      <c r="CN8907">
        <v>8906</v>
      </c>
    </row>
    <row r="8908" spans="92:92" x14ac:dyDescent="0.3">
      <c r="CN8908">
        <v>8907</v>
      </c>
    </row>
    <row r="8909" spans="92:92" x14ac:dyDescent="0.3">
      <c r="CN8909">
        <v>8908</v>
      </c>
    </row>
    <row r="8910" spans="92:92" x14ac:dyDescent="0.3">
      <c r="CN8910">
        <v>8909</v>
      </c>
    </row>
    <row r="8911" spans="92:92" x14ac:dyDescent="0.3">
      <c r="CN8911">
        <v>8910</v>
      </c>
    </row>
    <row r="8912" spans="92:92" x14ac:dyDescent="0.3">
      <c r="CN8912">
        <v>8911</v>
      </c>
    </row>
    <row r="8913" spans="92:92" x14ac:dyDescent="0.3">
      <c r="CN8913">
        <v>8912</v>
      </c>
    </row>
    <row r="8914" spans="92:92" x14ac:dyDescent="0.3">
      <c r="CN8914">
        <v>8913</v>
      </c>
    </row>
    <row r="8915" spans="92:92" x14ac:dyDescent="0.3">
      <c r="CN8915">
        <v>8914</v>
      </c>
    </row>
    <row r="8916" spans="92:92" x14ac:dyDescent="0.3">
      <c r="CN8916">
        <v>8915</v>
      </c>
    </row>
    <row r="8917" spans="92:92" x14ac:dyDescent="0.3">
      <c r="CN8917">
        <v>8916</v>
      </c>
    </row>
    <row r="8918" spans="92:92" x14ac:dyDescent="0.3">
      <c r="CN8918">
        <v>8917</v>
      </c>
    </row>
    <row r="8919" spans="92:92" x14ac:dyDescent="0.3">
      <c r="CN8919">
        <v>8918</v>
      </c>
    </row>
    <row r="8920" spans="92:92" x14ac:dyDescent="0.3">
      <c r="CN8920">
        <v>8919</v>
      </c>
    </row>
    <row r="8921" spans="92:92" x14ac:dyDescent="0.3">
      <c r="CN8921">
        <v>8920</v>
      </c>
    </row>
    <row r="8922" spans="92:92" x14ac:dyDescent="0.3">
      <c r="CN8922">
        <v>8921</v>
      </c>
    </row>
    <row r="8923" spans="92:92" x14ac:dyDescent="0.3">
      <c r="CN8923">
        <v>8922</v>
      </c>
    </row>
    <row r="8924" spans="92:92" x14ac:dyDescent="0.3">
      <c r="CN8924">
        <v>8923</v>
      </c>
    </row>
    <row r="8925" spans="92:92" x14ac:dyDescent="0.3">
      <c r="CN8925">
        <v>8924</v>
      </c>
    </row>
    <row r="8926" spans="92:92" x14ac:dyDescent="0.3">
      <c r="CN8926">
        <v>8925</v>
      </c>
    </row>
    <row r="8927" spans="92:92" x14ac:dyDescent="0.3">
      <c r="CN8927">
        <v>8926</v>
      </c>
    </row>
    <row r="8928" spans="92:92" x14ac:dyDescent="0.3">
      <c r="CN8928">
        <v>8927</v>
      </c>
    </row>
    <row r="8929" spans="92:92" x14ac:dyDescent="0.3">
      <c r="CN8929">
        <v>8928</v>
      </c>
    </row>
    <row r="8930" spans="92:92" x14ac:dyDescent="0.3">
      <c r="CN8930">
        <v>8929</v>
      </c>
    </row>
    <row r="8931" spans="92:92" x14ac:dyDescent="0.3">
      <c r="CN8931">
        <v>8930</v>
      </c>
    </row>
    <row r="8932" spans="92:92" x14ac:dyDescent="0.3">
      <c r="CN8932">
        <v>8931</v>
      </c>
    </row>
    <row r="8933" spans="92:92" x14ac:dyDescent="0.3">
      <c r="CN8933">
        <v>8932</v>
      </c>
    </row>
    <row r="8934" spans="92:92" x14ac:dyDescent="0.3">
      <c r="CN8934">
        <v>8933</v>
      </c>
    </row>
    <row r="8935" spans="92:92" x14ac:dyDescent="0.3">
      <c r="CN8935">
        <v>8934</v>
      </c>
    </row>
    <row r="8936" spans="92:92" x14ac:dyDescent="0.3">
      <c r="CN8936">
        <v>8935</v>
      </c>
    </row>
    <row r="8937" spans="92:92" x14ac:dyDescent="0.3">
      <c r="CN8937">
        <v>8936</v>
      </c>
    </row>
    <row r="8938" spans="92:92" x14ac:dyDescent="0.3">
      <c r="CN8938">
        <v>8937</v>
      </c>
    </row>
    <row r="8939" spans="92:92" x14ac:dyDescent="0.3">
      <c r="CN8939">
        <v>8938</v>
      </c>
    </row>
    <row r="8940" spans="92:92" x14ac:dyDescent="0.3">
      <c r="CN8940">
        <v>8939</v>
      </c>
    </row>
    <row r="8941" spans="92:92" x14ac:dyDescent="0.3">
      <c r="CN8941">
        <v>8940</v>
      </c>
    </row>
    <row r="8942" spans="92:92" x14ac:dyDescent="0.3">
      <c r="CN8942">
        <v>8941</v>
      </c>
    </row>
    <row r="8943" spans="92:92" x14ac:dyDescent="0.3">
      <c r="CN8943">
        <v>8942</v>
      </c>
    </row>
    <row r="8944" spans="92:92" x14ac:dyDescent="0.3">
      <c r="CN8944">
        <v>8943</v>
      </c>
    </row>
    <row r="8945" spans="92:92" x14ac:dyDescent="0.3">
      <c r="CN8945">
        <v>8944</v>
      </c>
    </row>
    <row r="8946" spans="92:92" x14ac:dyDescent="0.3">
      <c r="CN8946">
        <v>8945</v>
      </c>
    </row>
    <row r="8947" spans="92:92" x14ac:dyDescent="0.3">
      <c r="CN8947">
        <v>8946</v>
      </c>
    </row>
    <row r="8948" spans="92:92" x14ac:dyDescent="0.3">
      <c r="CN8948">
        <v>8947</v>
      </c>
    </row>
    <row r="8949" spans="92:92" x14ac:dyDescent="0.3">
      <c r="CN8949">
        <v>8948</v>
      </c>
    </row>
    <row r="8950" spans="92:92" x14ac:dyDescent="0.3">
      <c r="CN8950">
        <v>8949</v>
      </c>
    </row>
    <row r="8951" spans="92:92" x14ac:dyDescent="0.3">
      <c r="CN8951">
        <v>8950</v>
      </c>
    </row>
    <row r="8952" spans="92:92" x14ac:dyDescent="0.3">
      <c r="CN8952">
        <v>8951</v>
      </c>
    </row>
    <row r="8953" spans="92:92" x14ac:dyDescent="0.3">
      <c r="CN8953">
        <v>8952</v>
      </c>
    </row>
    <row r="8954" spans="92:92" x14ac:dyDescent="0.3">
      <c r="CN8954">
        <v>8953</v>
      </c>
    </row>
    <row r="8955" spans="92:92" x14ac:dyDescent="0.3">
      <c r="CN8955">
        <v>8954</v>
      </c>
    </row>
    <row r="8956" spans="92:92" x14ac:dyDescent="0.3">
      <c r="CN8956">
        <v>8955</v>
      </c>
    </row>
    <row r="8957" spans="92:92" x14ac:dyDescent="0.3">
      <c r="CN8957">
        <v>8956</v>
      </c>
    </row>
    <row r="8958" spans="92:92" x14ac:dyDescent="0.3">
      <c r="CN8958">
        <v>8957</v>
      </c>
    </row>
    <row r="8959" spans="92:92" x14ac:dyDescent="0.3">
      <c r="CN8959">
        <v>8958</v>
      </c>
    </row>
    <row r="8960" spans="92:92" x14ac:dyDescent="0.3">
      <c r="CN8960">
        <v>8959</v>
      </c>
    </row>
    <row r="8961" spans="92:92" x14ac:dyDescent="0.3">
      <c r="CN8961">
        <v>8960</v>
      </c>
    </row>
    <row r="8962" spans="92:92" x14ac:dyDescent="0.3">
      <c r="CN8962">
        <v>8961</v>
      </c>
    </row>
    <row r="8963" spans="92:92" x14ac:dyDescent="0.3">
      <c r="CN8963">
        <v>8962</v>
      </c>
    </row>
    <row r="8964" spans="92:92" x14ac:dyDescent="0.3">
      <c r="CN8964">
        <v>8963</v>
      </c>
    </row>
    <row r="8965" spans="92:92" x14ac:dyDescent="0.3">
      <c r="CN8965">
        <v>8964</v>
      </c>
    </row>
    <row r="8966" spans="92:92" x14ac:dyDescent="0.3">
      <c r="CN8966">
        <v>8965</v>
      </c>
    </row>
    <row r="8967" spans="92:92" x14ac:dyDescent="0.3">
      <c r="CN8967">
        <v>8966</v>
      </c>
    </row>
    <row r="8968" spans="92:92" x14ac:dyDescent="0.3">
      <c r="CN8968">
        <v>8967</v>
      </c>
    </row>
    <row r="8969" spans="92:92" x14ac:dyDescent="0.3">
      <c r="CN8969">
        <v>8968</v>
      </c>
    </row>
    <row r="8970" spans="92:92" x14ac:dyDescent="0.3">
      <c r="CN8970">
        <v>8969</v>
      </c>
    </row>
    <row r="8971" spans="92:92" x14ac:dyDescent="0.3">
      <c r="CN8971">
        <v>8970</v>
      </c>
    </row>
    <row r="8972" spans="92:92" x14ac:dyDescent="0.3">
      <c r="CN8972">
        <v>8971</v>
      </c>
    </row>
    <row r="8973" spans="92:92" x14ac:dyDescent="0.3">
      <c r="CN8973">
        <v>8972</v>
      </c>
    </row>
    <row r="8974" spans="92:92" x14ac:dyDescent="0.3">
      <c r="CN8974">
        <v>8973</v>
      </c>
    </row>
    <row r="8975" spans="92:92" x14ac:dyDescent="0.3">
      <c r="CN8975">
        <v>8974</v>
      </c>
    </row>
    <row r="8976" spans="92:92" x14ac:dyDescent="0.3">
      <c r="CN8976">
        <v>8975</v>
      </c>
    </row>
    <row r="8977" spans="92:92" x14ac:dyDescent="0.3">
      <c r="CN8977">
        <v>8976</v>
      </c>
    </row>
    <row r="8978" spans="92:92" x14ac:dyDescent="0.3">
      <c r="CN8978">
        <v>8977</v>
      </c>
    </row>
    <row r="8979" spans="92:92" x14ac:dyDescent="0.3">
      <c r="CN8979">
        <v>8978</v>
      </c>
    </row>
    <row r="8980" spans="92:92" x14ac:dyDescent="0.3">
      <c r="CN8980">
        <v>8979</v>
      </c>
    </row>
    <row r="8981" spans="92:92" x14ac:dyDescent="0.3">
      <c r="CN8981">
        <v>8980</v>
      </c>
    </row>
    <row r="8982" spans="92:92" x14ac:dyDescent="0.3">
      <c r="CN8982">
        <v>8981</v>
      </c>
    </row>
    <row r="8983" spans="92:92" x14ac:dyDescent="0.3">
      <c r="CN8983">
        <v>8982</v>
      </c>
    </row>
    <row r="8984" spans="92:92" x14ac:dyDescent="0.3">
      <c r="CN8984">
        <v>8983</v>
      </c>
    </row>
    <row r="8985" spans="92:92" x14ac:dyDescent="0.3">
      <c r="CN8985">
        <v>8984</v>
      </c>
    </row>
    <row r="8986" spans="92:92" x14ac:dyDescent="0.3">
      <c r="CN8986">
        <v>8985</v>
      </c>
    </row>
    <row r="8987" spans="92:92" x14ac:dyDescent="0.3">
      <c r="CN8987">
        <v>8986</v>
      </c>
    </row>
    <row r="8988" spans="92:92" x14ac:dyDescent="0.3">
      <c r="CN8988">
        <v>8987</v>
      </c>
    </row>
    <row r="8989" spans="92:92" x14ac:dyDescent="0.3">
      <c r="CN8989">
        <v>8988</v>
      </c>
    </row>
    <row r="8990" spans="92:92" x14ac:dyDescent="0.3">
      <c r="CN8990">
        <v>8989</v>
      </c>
    </row>
    <row r="8991" spans="92:92" x14ac:dyDescent="0.3">
      <c r="CN8991">
        <v>8990</v>
      </c>
    </row>
    <row r="8992" spans="92:92" x14ac:dyDescent="0.3">
      <c r="CN8992">
        <v>8991</v>
      </c>
    </row>
    <row r="8993" spans="92:92" x14ac:dyDescent="0.3">
      <c r="CN8993">
        <v>8992</v>
      </c>
    </row>
    <row r="8994" spans="92:92" x14ac:dyDescent="0.3">
      <c r="CN8994">
        <v>8993</v>
      </c>
    </row>
    <row r="8995" spans="92:92" x14ac:dyDescent="0.3">
      <c r="CN8995">
        <v>8994</v>
      </c>
    </row>
    <row r="8996" spans="92:92" x14ac:dyDescent="0.3">
      <c r="CN8996">
        <v>8995</v>
      </c>
    </row>
    <row r="8997" spans="92:92" x14ac:dyDescent="0.3">
      <c r="CN8997">
        <v>8996</v>
      </c>
    </row>
    <row r="8998" spans="92:92" x14ac:dyDescent="0.3">
      <c r="CN8998">
        <v>8997</v>
      </c>
    </row>
    <row r="8999" spans="92:92" x14ac:dyDescent="0.3">
      <c r="CN8999">
        <v>8998</v>
      </c>
    </row>
    <row r="9000" spans="92:92" x14ac:dyDescent="0.3">
      <c r="CN9000">
        <v>8999</v>
      </c>
    </row>
    <row r="9001" spans="92:92" x14ac:dyDescent="0.3">
      <c r="CN9001">
        <v>9000</v>
      </c>
    </row>
    <row r="9002" spans="92:92" x14ac:dyDescent="0.3">
      <c r="CN9002">
        <v>9001</v>
      </c>
    </row>
    <row r="9003" spans="92:92" x14ac:dyDescent="0.3">
      <c r="CN9003">
        <v>9002</v>
      </c>
    </row>
    <row r="9004" spans="92:92" x14ac:dyDescent="0.3">
      <c r="CN9004">
        <v>9003</v>
      </c>
    </row>
    <row r="9005" spans="92:92" x14ac:dyDescent="0.3">
      <c r="CN9005">
        <v>9004</v>
      </c>
    </row>
    <row r="9006" spans="92:92" x14ac:dyDescent="0.3">
      <c r="CN9006">
        <v>9005</v>
      </c>
    </row>
    <row r="9007" spans="92:92" x14ac:dyDescent="0.3">
      <c r="CN9007">
        <v>9006</v>
      </c>
    </row>
    <row r="9008" spans="92:92" x14ac:dyDescent="0.3">
      <c r="CN9008">
        <v>9007</v>
      </c>
    </row>
    <row r="9009" spans="92:92" x14ac:dyDescent="0.3">
      <c r="CN9009">
        <v>9008</v>
      </c>
    </row>
    <row r="9010" spans="92:92" x14ac:dyDescent="0.3">
      <c r="CN9010">
        <v>9009</v>
      </c>
    </row>
    <row r="9011" spans="92:92" x14ac:dyDescent="0.3">
      <c r="CN9011">
        <v>9010</v>
      </c>
    </row>
    <row r="9012" spans="92:92" x14ac:dyDescent="0.3">
      <c r="CN9012">
        <v>9011</v>
      </c>
    </row>
    <row r="9013" spans="92:92" x14ac:dyDescent="0.3">
      <c r="CN9013">
        <v>9012</v>
      </c>
    </row>
    <row r="9014" spans="92:92" x14ac:dyDescent="0.3">
      <c r="CN9014">
        <v>9013</v>
      </c>
    </row>
    <row r="9015" spans="92:92" x14ac:dyDescent="0.3">
      <c r="CN9015">
        <v>9014</v>
      </c>
    </row>
    <row r="9016" spans="92:92" x14ac:dyDescent="0.3">
      <c r="CN9016">
        <v>9015</v>
      </c>
    </row>
    <row r="9017" spans="92:92" x14ac:dyDescent="0.3">
      <c r="CN9017">
        <v>9016</v>
      </c>
    </row>
    <row r="9018" spans="92:92" x14ac:dyDescent="0.3">
      <c r="CN9018">
        <v>9017</v>
      </c>
    </row>
    <row r="9019" spans="92:92" x14ac:dyDescent="0.3">
      <c r="CN9019">
        <v>9018</v>
      </c>
    </row>
    <row r="9020" spans="92:92" x14ac:dyDescent="0.3">
      <c r="CN9020">
        <v>9019</v>
      </c>
    </row>
    <row r="9021" spans="92:92" x14ac:dyDescent="0.3">
      <c r="CN9021">
        <v>9020</v>
      </c>
    </row>
    <row r="9022" spans="92:92" x14ac:dyDescent="0.3">
      <c r="CN9022">
        <v>9021</v>
      </c>
    </row>
    <row r="9023" spans="92:92" x14ac:dyDescent="0.3">
      <c r="CN9023">
        <v>9022</v>
      </c>
    </row>
    <row r="9024" spans="92:92" x14ac:dyDescent="0.3">
      <c r="CN9024">
        <v>9023</v>
      </c>
    </row>
    <row r="9025" spans="92:92" x14ac:dyDescent="0.3">
      <c r="CN9025">
        <v>9024</v>
      </c>
    </row>
    <row r="9026" spans="92:92" x14ac:dyDescent="0.3">
      <c r="CN9026">
        <v>9025</v>
      </c>
    </row>
    <row r="9027" spans="92:92" x14ac:dyDescent="0.3">
      <c r="CN9027">
        <v>9026</v>
      </c>
    </row>
    <row r="9028" spans="92:92" x14ac:dyDescent="0.3">
      <c r="CN9028">
        <v>9027</v>
      </c>
    </row>
    <row r="9029" spans="92:92" x14ac:dyDescent="0.3">
      <c r="CN9029">
        <v>9028</v>
      </c>
    </row>
    <row r="9030" spans="92:92" x14ac:dyDescent="0.3">
      <c r="CN9030">
        <v>9029</v>
      </c>
    </row>
    <row r="9031" spans="92:92" x14ac:dyDescent="0.3">
      <c r="CN9031">
        <v>9030</v>
      </c>
    </row>
    <row r="9032" spans="92:92" x14ac:dyDescent="0.3">
      <c r="CN9032">
        <v>9031</v>
      </c>
    </row>
    <row r="9033" spans="92:92" x14ac:dyDescent="0.3">
      <c r="CN9033">
        <v>9032</v>
      </c>
    </row>
    <row r="9034" spans="92:92" x14ac:dyDescent="0.3">
      <c r="CN9034">
        <v>9033</v>
      </c>
    </row>
    <row r="9035" spans="92:92" x14ac:dyDescent="0.3">
      <c r="CN9035">
        <v>9034</v>
      </c>
    </row>
    <row r="9036" spans="92:92" x14ac:dyDescent="0.3">
      <c r="CN9036">
        <v>9035</v>
      </c>
    </row>
    <row r="9037" spans="92:92" x14ac:dyDescent="0.3">
      <c r="CN9037">
        <v>9036</v>
      </c>
    </row>
    <row r="9038" spans="92:92" x14ac:dyDescent="0.3">
      <c r="CN9038">
        <v>9037</v>
      </c>
    </row>
    <row r="9039" spans="92:92" x14ac:dyDescent="0.3">
      <c r="CN9039">
        <v>9038</v>
      </c>
    </row>
    <row r="9040" spans="92:92" x14ac:dyDescent="0.3">
      <c r="CN9040">
        <v>9039</v>
      </c>
    </row>
    <row r="9041" spans="92:92" x14ac:dyDescent="0.3">
      <c r="CN9041">
        <v>9040</v>
      </c>
    </row>
    <row r="9042" spans="92:92" x14ac:dyDescent="0.3">
      <c r="CN9042">
        <v>9041</v>
      </c>
    </row>
    <row r="9043" spans="92:92" x14ac:dyDescent="0.3">
      <c r="CN9043">
        <v>9042</v>
      </c>
    </row>
    <row r="9044" spans="92:92" x14ac:dyDescent="0.3">
      <c r="CN9044">
        <v>9043</v>
      </c>
    </row>
    <row r="9045" spans="92:92" x14ac:dyDescent="0.3">
      <c r="CN9045">
        <v>9044</v>
      </c>
    </row>
    <row r="9046" spans="92:92" x14ac:dyDescent="0.3">
      <c r="CN9046">
        <v>9045</v>
      </c>
    </row>
    <row r="9047" spans="92:92" x14ac:dyDescent="0.3">
      <c r="CN9047">
        <v>9046</v>
      </c>
    </row>
    <row r="9048" spans="92:92" x14ac:dyDescent="0.3">
      <c r="CN9048">
        <v>9047</v>
      </c>
    </row>
    <row r="9049" spans="92:92" x14ac:dyDescent="0.3">
      <c r="CN9049">
        <v>9048</v>
      </c>
    </row>
    <row r="9050" spans="92:92" x14ac:dyDescent="0.3">
      <c r="CN9050">
        <v>9049</v>
      </c>
    </row>
    <row r="9051" spans="92:92" x14ac:dyDescent="0.3">
      <c r="CN9051">
        <v>9050</v>
      </c>
    </row>
    <row r="9052" spans="92:92" x14ac:dyDescent="0.3">
      <c r="CN9052">
        <v>9051</v>
      </c>
    </row>
    <row r="9053" spans="92:92" x14ac:dyDescent="0.3">
      <c r="CN9053">
        <v>9052</v>
      </c>
    </row>
    <row r="9054" spans="92:92" x14ac:dyDescent="0.3">
      <c r="CN9054">
        <v>9053</v>
      </c>
    </row>
    <row r="9055" spans="92:92" x14ac:dyDescent="0.3">
      <c r="CN9055">
        <v>9054</v>
      </c>
    </row>
    <row r="9056" spans="92:92" x14ac:dyDescent="0.3">
      <c r="CN9056">
        <v>9055</v>
      </c>
    </row>
    <row r="9057" spans="92:92" x14ac:dyDescent="0.3">
      <c r="CN9057">
        <v>9056</v>
      </c>
    </row>
    <row r="9058" spans="92:92" x14ac:dyDescent="0.3">
      <c r="CN9058">
        <v>9057</v>
      </c>
    </row>
    <row r="9059" spans="92:92" x14ac:dyDescent="0.3">
      <c r="CN9059">
        <v>9058</v>
      </c>
    </row>
    <row r="9060" spans="92:92" x14ac:dyDescent="0.3">
      <c r="CN9060">
        <v>9059</v>
      </c>
    </row>
    <row r="9061" spans="92:92" x14ac:dyDescent="0.3">
      <c r="CN9061">
        <v>9060</v>
      </c>
    </row>
    <row r="9062" spans="92:92" x14ac:dyDescent="0.3">
      <c r="CN9062">
        <v>9061</v>
      </c>
    </row>
    <row r="9063" spans="92:92" x14ac:dyDescent="0.3">
      <c r="CN9063">
        <v>9062</v>
      </c>
    </row>
    <row r="9064" spans="92:92" x14ac:dyDescent="0.3">
      <c r="CN9064">
        <v>9063</v>
      </c>
    </row>
    <row r="9065" spans="92:92" x14ac:dyDescent="0.3">
      <c r="CN9065">
        <v>9064</v>
      </c>
    </row>
    <row r="9066" spans="92:92" x14ac:dyDescent="0.3">
      <c r="CN9066">
        <v>9065</v>
      </c>
    </row>
    <row r="9067" spans="92:92" x14ac:dyDescent="0.3">
      <c r="CN9067">
        <v>9066</v>
      </c>
    </row>
    <row r="9068" spans="92:92" x14ac:dyDescent="0.3">
      <c r="CN9068">
        <v>9067</v>
      </c>
    </row>
    <row r="9069" spans="92:92" x14ac:dyDescent="0.3">
      <c r="CN9069">
        <v>9068</v>
      </c>
    </row>
    <row r="9070" spans="92:92" x14ac:dyDescent="0.3">
      <c r="CN9070">
        <v>9069</v>
      </c>
    </row>
    <row r="9071" spans="92:92" x14ac:dyDescent="0.3">
      <c r="CN9071">
        <v>9070</v>
      </c>
    </row>
    <row r="9072" spans="92:92" x14ac:dyDescent="0.3">
      <c r="CN9072">
        <v>9071</v>
      </c>
    </row>
    <row r="9073" spans="92:92" x14ac:dyDescent="0.3">
      <c r="CN9073">
        <v>9072</v>
      </c>
    </row>
    <row r="9074" spans="92:92" x14ac:dyDescent="0.3">
      <c r="CN9074">
        <v>9073</v>
      </c>
    </row>
    <row r="9075" spans="92:92" x14ac:dyDescent="0.3">
      <c r="CN9075">
        <v>9074</v>
      </c>
    </row>
    <row r="9076" spans="92:92" x14ac:dyDescent="0.3">
      <c r="CN9076">
        <v>9075</v>
      </c>
    </row>
    <row r="9077" spans="92:92" x14ac:dyDescent="0.3">
      <c r="CN9077">
        <v>9076</v>
      </c>
    </row>
    <row r="9078" spans="92:92" x14ac:dyDescent="0.3">
      <c r="CN9078">
        <v>9077</v>
      </c>
    </row>
    <row r="9079" spans="92:92" x14ac:dyDescent="0.3">
      <c r="CN9079">
        <v>9078</v>
      </c>
    </row>
    <row r="9080" spans="92:92" x14ac:dyDescent="0.3">
      <c r="CN9080">
        <v>9079</v>
      </c>
    </row>
    <row r="9081" spans="92:92" x14ac:dyDescent="0.3">
      <c r="CN9081">
        <v>9080</v>
      </c>
    </row>
    <row r="9082" spans="92:92" x14ac:dyDescent="0.3">
      <c r="CN9082">
        <v>9081</v>
      </c>
    </row>
    <row r="9083" spans="92:92" x14ac:dyDescent="0.3">
      <c r="CN9083">
        <v>9082</v>
      </c>
    </row>
    <row r="9084" spans="92:92" x14ac:dyDescent="0.3">
      <c r="CN9084">
        <v>9083</v>
      </c>
    </row>
    <row r="9085" spans="92:92" x14ac:dyDescent="0.3">
      <c r="CN9085">
        <v>9084</v>
      </c>
    </row>
    <row r="9086" spans="92:92" x14ac:dyDescent="0.3">
      <c r="CN9086">
        <v>9085</v>
      </c>
    </row>
    <row r="9087" spans="92:92" x14ac:dyDescent="0.3">
      <c r="CN9087">
        <v>9086</v>
      </c>
    </row>
    <row r="9088" spans="92:92" x14ac:dyDescent="0.3">
      <c r="CN9088">
        <v>9087</v>
      </c>
    </row>
    <row r="9089" spans="92:92" x14ac:dyDescent="0.3">
      <c r="CN9089">
        <v>9088</v>
      </c>
    </row>
    <row r="9090" spans="92:92" x14ac:dyDescent="0.3">
      <c r="CN9090">
        <v>9089</v>
      </c>
    </row>
    <row r="9091" spans="92:92" x14ac:dyDescent="0.3">
      <c r="CN9091">
        <v>9090</v>
      </c>
    </row>
    <row r="9092" spans="92:92" x14ac:dyDescent="0.3">
      <c r="CN9092">
        <v>9091</v>
      </c>
    </row>
    <row r="9093" spans="92:92" x14ac:dyDescent="0.3">
      <c r="CN9093">
        <v>9092</v>
      </c>
    </row>
    <row r="9094" spans="92:92" x14ac:dyDescent="0.3">
      <c r="CN9094">
        <v>9093</v>
      </c>
    </row>
    <row r="9095" spans="92:92" x14ac:dyDescent="0.3">
      <c r="CN9095">
        <v>9094</v>
      </c>
    </row>
    <row r="9096" spans="92:92" x14ac:dyDescent="0.3">
      <c r="CN9096">
        <v>9095</v>
      </c>
    </row>
    <row r="9097" spans="92:92" x14ac:dyDescent="0.3">
      <c r="CN9097">
        <v>9096</v>
      </c>
    </row>
    <row r="9098" spans="92:92" x14ac:dyDescent="0.3">
      <c r="CN9098">
        <v>9097</v>
      </c>
    </row>
    <row r="9099" spans="92:92" x14ac:dyDescent="0.3">
      <c r="CN9099">
        <v>9098</v>
      </c>
    </row>
    <row r="9100" spans="92:92" x14ac:dyDescent="0.3">
      <c r="CN9100">
        <v>9099</v>
      </c>
    </row>
    <row r="9101" spans="92:92" x14ac:dyDescent="0.3">
      <c r="CN9101">
        <v>9100</v>
      </c>
    </row>
    <row r="9102" spans="92:92" x14ac:dyDescent="0.3">
      <c r="CN9102">
        <v>9101</v>
      </c>
    </row>
    <row r="9103" spans="92:92" x14ac:dyDescent="0.3">
      <c r="CN9103">
        <v>9102</v>
      </c>
    </row>
    <row r="9104" spans="92:92" x14ac:dyDescent="0.3">
      <c r="CN9104">
        <v>9103</v>
      </c>
    </row>
    <row r="9105" spans="92:92" x14ac:dyDescent="0.3">
      <c r="CN9105">
        <v>9104</v>
      </c>
    </row>
    <row r="9106" spans="92:92" x14ac:dyDescent="0.3">
      <c r="CN9106">
        <v>9105</v>
      </c>
    </row>
    <row r="9107" spans="92:92" x14ac:dyDescent="0.3">
      <c r="CN9107">
        <v>9106</v>
      </c>
    </row>
    <row r="9108" spans="92:92" x14ac:dyDescent="0.3">
      <c r="CN9108">
        <v>9107</v>
      </c>
    </row>
    <row r="9109" spans="92:92" x14ac:dyDescent="0.3">
      <c r="CN9109">
        <v>9108</v>
      </c>
    </row>
    <row r="9110" spans="92:92" x14ac:dyDescent="0.3">
      <c r="CN9110">
        <v>9109</v>
      </c>
    </row>
    <row r="9111" spans="92:92" x14ac:dyDescent="0.3">
      <c r="CN9111">
        <v>9110</v>
      </c>
    </row>
    <row r="9112" spans="92:92" x14ac:dyDescent="0.3">
      <c r="CN9112">
        <v>9111</v>
      </c>
    </row>
    <row r="9113" spans="92:92" x14ac:dyDescent="0.3">
      <c r="CN9113">
        <v>9112</v>
      </c>
    </row>
    <row r="9114" spans="92:92" x14ac:dyDescent="0.3">
      <c r="CN9114">
        <v>9113</v>
      </c>
    </row>
    <row r="9115" spans="92:92" x14ac:dyDescent="0.3">
      <c r="CN9115">
        <v>9114</v>
      </c>
    </row>
    <row r="9116" spans="92:92" x14ac:dyDescent="0.3">
      <c r="CN9116">
        <v>9115</v>
      </c>
    </row>
    <row r="9117" spans="92:92" x14ac:dyDescent="0.3">
      <c r="CN9117">
        <v>9116</v>
      </c>
    </row>
    <row r="9118" spans="92:92" x14ac:dyDescent="0.3">
      <c r="CN9118">
        <v>9117</v>
      </c>
    </row>
    <row r="9119" spans="92:92" x14ac:dyDescent="0.3">
      <c r="CN9119">
        <v>9118</v>
      </c>
    </row>
    <row r="9120" spans="92:92" x14ac:dyDescent="0.3">
      <c r="CN9120">
        <v>9119</v>
      </c>
    </row>
    <row r="9121" spans="92:92" x14ac:dyDescent="0.3">
      <c r="CN9121">
        <v>9120</v>
      </c>
    </row>
    <row r="9122" spans="92:92" x14ac:dyDescent="0.3">
      <c r="CN9122">
        <v>9121</v>
      </c>
    </row>
    <row r="9123" spans="92:92" x14ac:dyDescent="0.3">
      <c r="CN9123">
        <v>9122</v>
      </c>
    </row>
    <row r="9124" spans="92:92" x14ac:dyDescent="0.3">
      <c r="CN9124">
        <v>9123</v>
      </c>
    </row>
    <row r="9125" spans="92:92" x14ac:dyDescent="0.3">
      <c r="CN9125">
        <v>9124</v>
      </c>
    </row>
    <row r="9126" spans="92:92" x14ac:dyDescent="0.3">
      <c r="CN9126">
        <v>9125</v>
      </c>
    </row>
    <row r="9127" spans="92:92" x14ac:dyDescent="0.3">
      <c r="CN9127">
        <v>9126</v>
      </c>
    </row>
    <row r="9128" spans="92:92" x14ac:dyDescent="0.3">
      <c r="CN9128">
        <v>9127</v>
      </c>
    </row>
    <row r="9129" spans="92:92" x14ac:dyDescent="0.3">
      <c r="CN9129">
        <v>9128</v>
      </c>
    </row>
    <row r="9130" spans="92:92" x14ac:dyDescent="0.3">
      <c r="CN9130">
        <v>9129</v>
      </c>
    </row>
    <row r="9131" spans="92:92" x14ac:dyDescent="0.3">
      <c r="CN9131">
        <v>9130</v>
      </c>
    </row>
    <row r="9132" spans="92:92" x14ac:dyDescent="0.3">
      <c r="CN9132">
        <v>9131</v>
      </c>
    </row>
    <row r="9133" spans="92:92" x14ac:dyDescent="0.3">
      <c r="CN9133">
        <v>9132</v>
      </c>
    </row>
    <row r="9134" spans="92:92" x14ac:dyDescent="0.3">
      <c r="CN9134">
        <v>9133</v>
      </c>
    </row>
    <row r="9135" spans="92:92" x14ac:dyDescent="0.3">
      <c r="CN9135">
        <v>9134</v>
      </c>
    </row>
    <row r="9136" spans="92:92" x14ac:dyDescent="0.3">
      <c r="CN9136">
        <v>9135</v>
      </c>
    </row>
    <row r="9137" spans="92:92" x14ac:dyDescent="0.3">
      <c r="CN9137">
        <v>9136</v>
      </c>
    </row>
    <row r="9138" spans="92:92" x14ac:dyDescent="0.3">
      <c r="CN9138">
        <v>9137</v>
      </c>
    </row>
    <row r="9139" spans="92:92" x14ac:dyDescent="0.3">
      <c r="CN9139">
        <v>9138</v>
      </c>
    </row>
    <row r="9140" spans="92:92" x14ac:dyDescent="0.3">
      <c r="CN9140">
        <v>9139</v>
      </c>
    </row>
    <row r="9141" spans="92:92" x14ac:dyDescent="0.3">
      <c r="CN9141">
        <v>9140</v>
      </c>
    </row>
    <row r="9142" spans="92:92" x14ac:dyDescent="0.3">
      <c r="CN9142">
        <v>9141</v>
      </c>
    </row>
    <row r="9143" spans="92:92" x14ac:dyDescent="0.3">
      <c r="CN9143">
        <v>9142</v>
      </c>
    </row>
    <row r="9144" spans="92:92" x14ac:dyDescent="0.3">
      <c r="CN9144">
        <v>9143</v>
      </c>
    </row>
    <row r="9145" spans="92:92" x14ac:dyDescent="0.3">
      <c r="CN9145">
        <v>9144</v>
      </c>
    </row>
    <row r="9146" spans="92:92" x14ac:dyDescent="0.3">
      <c r="CN9146">
        <v>9145</v>
      </c>
    </row>
    <row r="9147" spans="92:92" x14ac:dyDescent="0.3">
      <c r="CN9147">
        <v>9146</v>
      </c>
    </row>
    <row r="9148" spans="92:92" x14ac:dyDescent="0.3">
      <c r="CN9148">
        <v>9147</v>
      </c>
    </row>
    <row r="9149" spans="92:92" x14ac:dyDescent="0.3">
      <c r="CN9149">
        <v>9148</v>
      </c>
    </row>
    <row r="9150" spans="92:92" x14ac:dyDescent="0.3">
      <c r="CN9150">
        <v>9149</v>
      </c>
    </row>
    <row r="9151" spans="92:92" x14ac:dyDescent="0.3">
      <c r="CN9151">
        <v>9150</v>
      </c>
    </row>
    <row r="9152" spans="92:92" x14ac:dyDescent="0.3">
      <c r="CN9152">
        <v>9151</v>
      </c>
    </row>
    <row r="9153" spans="92:92" x14ac:dyDescent="0.3">
      <c r="CN9153">
        <v>9152</v>
      </c>
    </row>
    <row r="9154" spans="92:92" x14ac:dyDescent="0.3">
      <c r="CN9154">
        <v>9153</v>
      </c>
    </row>
    <row r="9155" spans="92:92" x14ac:dyDescent="0.3">
      <c r="CN9155">
        <v>9154</v>
      </c>
    </row>
    <row r="9156" spans="92:92" x14ac:dyDescent="0.3">
      <c r="CN9156">
        <v>9155</v>
      </c>
    </row>
    <row r="9157" spans="92:92" x14ac:dyDescent="0.3">
      <c r="CN9157">
        <v>9156</v>
      </c>
    </row>
    <row r="9158" spans="92:92" x14ac:dyDescent="0.3">
      <c r="CN9158">
        <v>9157</v>
      </c>
    </row>
    <row r="9159" spans="92:92" x14ac:dyDescent="0.3">
      <c r="CN9159">
        <v>9158</v>
      </c>
    </row>
    <row r="9160" spans="92:92" x14ac:dyDescent="0.3">
      <c r="CN9160">
        <v>9159</v>
      </c>
    </row>
    <row r="9161" spans="92:92" x14ac:dyDescent="0.3">
      <c r="CN9161">
        <v>9160</v>
      </c>
    </row>
    <row r="9162" spans="92:92" x14ac:dyDescent="0.3">
      <c r="CN9162">
        <v>9161</v>
      </c>
    </row>
    <row r="9163" spans="92:92" x14ac:dyDescent="0.3">
      <c r="CN9163">
        <v>9162</v>
      </c>
    </row>
    <row r="9164" spans="92:92" x14ac:dyDescent="0.3">
      <c r="CN9164">
        <v>9163</v>
      </c>
    </row>
    <row r="9165" spans="92:92" x14ac:dyDescent="0.3">
      <c r="CN9165">
        <v>9164</v>
      </c>
    </row>
    <row r="9166" spans="92:92" x14ac:dyDescent="0.3">
      <c r="CN9166">
        <v>9165</v>
      </c>
    </row>
    <row r="9167" spans="92:92" x14ac:dyDescent="0.3">
      <c r="CN9167">
        <v>9166</v>
      </c>
    </row>
    <row r="9168" spans="92:92" x14ac:dyDescent="0.3">
      <c r="CN9168">
        <v>9167</v>
      </c>
    </row>
    <row r="9169" spans="92:92" x14ac:dyDescent="0.3">
      <c r="CN9169">
        <v>9168</v>
      </c>
    </row>
    <row r="9170" spans="92:92" x14ac:dyDescent="0.3">
      <c r="CN9170">
        <v>9169</v>
      </c>
    </row>
    <row r="9171" spans="92:92" x14ac:dyDescent="0.3">
      <c r="CN9171">
        <v>9170</v>
      </c>
    </row>
    <row r="9172" spans="92:92" x14ac:dyDescent="0.3">
      <c r="CN9172">
        <v>9171</v>
      </c>
    </row>
    <row r="9173" spans="92:92" x14ac:dyDescent="0.3">
      <c r="CN9173">
        <v>9172</v>
      </c>
    </row>
    <row r="9174" spans="92:92" x14ac:dyDescent="0.3">
      <c r="CN9174">
        <v>9173</v>
      </c>
    </row>
    <row r="9175" spans="92:92" x14ac:dyDescent="0.3">
      <c r="CN9175">
        <v>9174</v>
      </c>
    </row>
    <row r="9176" spans="92:92" x14ac:dyDescent="0.3">
      <c r="CN9176">
        <v>9175</v>
      </c>
    </row>
    <row r="9177" spans="92:92" x14ac:dyDescent="0.3">
      <c r="CN9177">
        <v>9176</v>
      </c>
    </row>
    <row r="9178" spans="92:92" x14ac:dyDescent="0.3">
      <c r="CN9178">
        <v>9177</v>
      </c>
    </row>
    <row r="9179" spans="92:92" x14ac:dyDescent="0.3">
      <c r="CN9179">
        <v>9178</v>
      </c>
    </row>
    <row r="9180" spans="92:92" x14ac:dyDescent="0.3">
      <c r="CN9180">
        <v>9179</v>
      </c>
    </row>
    <row r="9181" spans="92:92" x14ac:dyDescent="0.3">
      <c r="CN9181">
        <v>9180</v>
      </c>
    </row>
    <row r="9182" spans="92:92" x14ac:dyDescent="0.3">
      <c r="CN9182">
        <v>9181</v>
      </c>
    </row>
    <row r="9183" spans="92:92" x14ac:dyDescent="0.3">
      <c r="CN9183">
        <v>9182</v>
      </c>
    </row>
    <row r="9184" spans="92:92" x14ac:dyDescent="0.3">
      <c r="CN9184">
        <v>9183</v>
      </c>
    </row>
    <row r="9185" spans="92:92" x14ac:dyDescent="0.3">
      <c r="CN9185">
        <v>9184</v>
      </c>
    </row>
    <row r="9186" spans="92:92" x14ac:dyDescent="0.3">
      <c r="CN9186">
        <v>9185</v>
      </c>
    </row>
    <row r="9187" spans="92:92" x14ac:dyDescent="0.3">
      <c r="CN9187">
        <v>9186</v>
      </c>
    </row>
    <row r="9188" spans="92:92" x14ac:dyDescent="0.3">
      <c r="CN9188">
        <v>9187</v>
      </c>
    </row>
    <row r="9189" spans="92:92" x14ac:dyDescent="0.3">
      <c r="CN9189">
        <v>9188</v>
      </c>
    </row>
    <row r="9190" spans="92:92" x14ac:dyDescent="0.3">
      <c r="CN9190">
        <v>9189</v>
      </c>
    </row>
    <row r="9191" spans="92:92" x14ac:dyDescent="0.3">
      <c r="CN9191">
        <v>9190</v>
      </c>
    </row>
    <row r="9192" spans="92:92" x14ac:dyDescent="0.3">
      <c r="CN9192">
        <v>9191</v>
      </c>
    </row>
    <row r="9193" spans="92:92" x14ac:dyDescent="0.3">
      <c r="CN9193">
        <v>9192</v>
      </c>
    </row>
    <row r="9194" spans="92:92" x14ac:dyDescent="0.3">
      <c r="CN9194">
        <v>9193</v>
      </c>
    </row>
    <row r="9195" spans="92:92" x14ac:dyDescent="0.3">
      <c r="CN9195">
        <v>9194</v>
      </c>
    </row>
    <row r="9196" spans="92:92" x14ac:dyDescent="0.3">
      <c r="CN9196">
        <v>9195</v>
      </c>
    </row>
    <row r="9197" spans="92:92" x14ac:dyDescent="0.3">
      <c r="CN9197">
        <v>9196</v>
      </c>
    </row>
    <row r="9198" spans="92:92" x14ac:dyDescent="0.3">
      <c r="CN9198">
        <v>9197</v>
      </c>
    </row>
    <row r="9199" spans="92:92" x14ac:dyDescent="0.3">
      <c r="CN9199">
        <v>9198</v>
      </c>
    </row>
    <row r="9200" spans="92:92" x14ac:dyDescent="0.3">
      <c r="CN9200">
        <v>9199</v>
      </c>
    </row>
    <row r="9201" spans="92:92" x14ac:dyDescent="0.3">
      <c r="CN9201">
        <v>9200</v>
      </c>
    </row>
    <row r="9202" spans="92:92" x14ac:dyDescent="0.3">
      <c r="CN9202">
        <v>9201</v>
      </c>
    </row>
    <row r="9203" spans="92:92" x14ac:dyDescent="0.3">
      <c r="CN9203">
        <v>9202</v>
      </c>
    </row>
    <row r="9204" spans="92:92" x14ac:dyDescent="0.3">
      <c r="CN9204">
        <v>9203</v>
      </c>
    </row>
    <row r="9205" spans="92:92" x14ac:dyDescent="0.3">
      <c r="CN9205">
        <v>9204</v>
      </c>
    </row>
    <row r="9206" spans="92:92" x14ac:dyDescent="0.3">
      <c r="CN9206">
        <v>9205</v>
      </c>
    </row>
    <row r="9207" spans="92:92" x14ac:dyDescent="0.3">
      <c r="CN9207">
        <v>9206</v>
      </c>
    </row>
    <row r="9208" spans="92:92" x14ac:dyDescent="0.3">
      <c r="CN9208">
        <v>9207</v>
      </c>
    </row>
    <row r="9209" spans="92:92" x14ac:dyDescent="0.3">
      <c r="CN9209">
        <v>9208</v>
      </c>
    </row>
    <row r="9210" spans="92:92" x14ac:dyDescent="0.3">
      <c r="CN9210">
        <v>9209</v>
      </c>
    </row>
    <row r="9211" spans="92:92" x14ac:dyDescent="0.3">
      <c r="CN9211">
        <v>9210</v>
      </c>
    </row>
    <row r="9212" spans="92:92" x14ac:dyDescent="0.3">
      <c r="CN9212">
        <v>9211</v>
      </c>
    </row>
    <row r="9213" spans="92:92" x14ac:dyDescent="0.3">
      <c r="CN9213">
        <v>9212</v>
      </c>
    </row>
    <row r="9214" spans="92:92" x14ac:dyDescent="0.3">
      <c r="CN9214">
        <v>9213</v>
      </c>
    </row>
    <row r="9215" spans="92:92" x14ac:dyDescent="0.3">
      <c r="CN9215">
        <v>9214</v>
      </c>
    </row>
    <row r="9216" spans="92:92" x14ac:dyDescent="0.3">
      <c r="CN9216">
        <v>9215</v>
      </c>
    </row>
    <row r="9217" spans="92:92" x14ac:dyDescent="0.3">
      <c r="CN9217">
        <v>9216</v>
      </c>
    </row>
    <row r="9218" spans="92:92" x14ac:dyDescent="0.3">
      <c r="CN9218">
        <v>9217</v>
      </c>
    </row>
    <row r="9219" spans="92:92" x14ac:dyDescent="0.3">
      <c r="CN9219">
        <v>9218</v>
      </c>
    </row>
    <row r="9220" spans="92:92" x14ac:dyDescent="0.3">
      <c r="CN9220">
        <v>9219</v>
      </c>
    </row>
    <row r="9221" spans="92:92" x14ac:dyDescent="0.3">
      <c r="CN9221">
        <v>9220</v>
      </c>
    </row>
    <row r="9222" spans="92:92" x14ac:dyDescent="0.3">
      <c r="CN9222">
        <v>9221</v>
      </c>
    </row>
    <row r="9223" spans="92:92" x14ac:dyDescent="0.3">
      <c r="CN9223">
        <v>9222</v>
      </c>
    </row>
    <row r="9224" spans="92:92" x14ac:dyDescent="0.3">
      <c r="CN9224">
        <v>9223</v>
      </c>
    </row>
    <row r="9225" spans="92:92" x14ac:dyDescent="0.3">
      <c r="CN9225">
        <v>9224</v>
      </c>
    </row>
    <row r="9226" spans="92:92" x14ac:dyDescent="0.3">
      <c r="CN9226">
        <v>9225</v>
      </c>
    </row>
    <row r="9227" spans="92:92" x14ac:dyDescent="0.3">
      <c r="CN9227">
        <v>9226</v>
      </c>
    </row>
    <row r="9228" spans="92:92" x14ac:dyDescent="0.3">
      <c r="CN9228">
        <v>9227</v>
      </c>
    </row>
    <row r="9229" spans="92:92" x14ac:dyDescent="0.3">
      <c r="CN9229">
        <v>9228</v>
      </c>
    </row>
    <row r="9230" spans="92:92" x14ac:dyDescent="0.3">
      <c r="CN9230">
        <v>9229</v>
      </c>
    </row>
    <row r="9231" spans="92:92" x14ac:dyDescent="0.3">
      <c r="CN9231">
        <v>9230</v>
      </c>
    </row>
    <row r="9232" spans="92:92" x14ac:dyDescent="0.3">
      <c r="CN9232">
        <v>9231</v>
      </c>
    </row>
    <row r="9233" spans="92:92" x14ac:dyDescent="0.3">
      <c r="CN9233">
        <v>9232</v>
      </c>
    </row>
    <row r="9234" spans="92:92" x14ac:dyDescent="0.3">
      <c r="CN9234">
        <v>9233</v>
      </c>
    </row>
    <row r="9235" spans="92:92" x14ac:dyDescent="0.3">
      <c r="CN9235">
        <v>9234</v>
      </c>
    </row>
    <row r="9236" spans="92:92" x14ac:dyDescent="0.3">
      <c r="CN9236">
        <v>9235</v>
      </c>
    </row>
    <row r="9237" spans="92:92" x14ac:dyDescent="0.3">
      <c r="CN9237">
        <v>9236</v>
      </c>
    </row>
    <row r="9238" spans="92:92" x14ac:dyDescent="0.3">
      <c r="CN9238">
        <v>9237</v>
      </c>
    </row>
    <row r="9239" spans="92:92" x14ac:dyDescent="0.3">
      <c r="CN9239">
        <v>9238</v>
      </c>
    </row>
    <row r="9240" spans="92:92" x14ac:dyDescent="0.3">
      <c r="CN9240">
        <v>9239</v>
      </c>
    </row>
    <row r="9241" spans="92:92" x14ac:dyDescent="0.3">
      <c r="CN9241">
        <v>9240</v>
      </c>
    </row>
    <row r="9242" spans="92:92" x14ac:dyDescent="0.3">
      <c r="CN9242">
        <v>9241</v>
      </c>
    </row>
    <row r="9243" spans="92:92" x14ac:dyDescent="0.3">
      <c r="CN9243">
        <v>9242</v>
      </c>
    </row>
    <row r="9244" spans="92:92" x14ac:dyDescent="0.3">
      <c r="CN9244">
        <v>9243</v>
      </c>
    </row>
    <row r="9245" spans="92:92" x14ac:dyDescent="0.3">
      <c r="CN9245">
        <v>9244</v>
      </c>
    </row>
    <row r="9246" spans="92:92" x14ac:dyDescent="0.3">
      <c r="CN9246">
        <v>9245</v>
      </c>
    </row>
    <row r="9247" spans="92:92" x14ac:dyDescent="0.3">
      <c r="CN9247">
        <v>9246</v>
      </c>
    </row>
    <row r="9248" spans="92:92" x14ac:dyDescent="0.3">
      <c r="CN9248">
        <v>9247</v>
      </c>
    </row>
    <row r="9249" spans="92:92" x14ac:dyDescent="0.3">
      <c r="CN9249">
        <v>9248</v>
      </c>
    </row>
    <row r="9250" spans="92:92" x14ac:dyDescent="0.3">
      <c r="CN9250">
        <v>9249</v>
      </c>
    </row>
    <row r="9251" spans="92:92" x14ac:dyDescent="0.3">
      <c r="CN9251">
        <v>9250</v>
      </c>
    </row>
    <row r="9252" spans="92:92" x14ac:dyDescent="0.3">
      <c r="CN9252">
        <v>9251</v>
      </c>
    </row>
    <row r="9253" spans="92:92" x14ac:dyDescent="0.3">
      <c r="CN9253">
        <v>9252</v>
      </c>
    </row>
    <row r="9254" spans="92:92" x14ac:dyDescent="0.3">
      <c r="CN9254">
        <v>9253</v>
      </c>
    </row>
    <row r="9255" spans="92:92" x14ac:dyDescent="0.3">
      <c r="CN9255">
        <v>9254</v>
      </c>
    </row>
    <row r="9256" spans="92:92" x14ac:dyDescent="0.3">
      <c r="CN9256">
        <v>9255</v>
      </c>
    </row>
    <row r="9257" spans="92:92" x14ac:dyDescent="0.3">
      <c r="CN9257">
        <v>9256</v>
      </c>
    </row>
    <row r="9258" spans="92:92" x14ac:dyDescent="0.3">
      <c r="CN9258">
        <v>9257</v>
      </c>
    </row>
    <row r="9259" spans="92:92" x14ac:dyDescent="0.3">
      <c r="CN9259">
        <v>9258</v>
      </c>
    </row>
    <row r="9260" spans="92:92" x14ac:dyDescent="0.3">
      <c r="CN9260">
        <v>9259</v>
      </c>
    </row>
    <row r="9261" spans="92:92" x14ac:dyDescent="0.3">
      <c r="CN9261">
        <v>9260</v>
      </c>
    </row>
    <row r="9262" spans="92:92" x14ac:dyDescent="0.3">
      <c r="CN9262">
        <v>9261</v>
      </c>
    </row>
    <row r="9263" spans="92:92" x14ac:dyDescent="0.3">
      <c r="CN9263">
        <v>9262</v>
      </c>
    </row>
    <row r="9264" spans="92:92" x14ac:dyDescent="0.3">
      <c r="CN9264">
        <v>9263</v>
      </c>
    </row>
    <row r="9265" spans="92:92" x14ac:dyDescent="0.3">
      <c r="CN9265">
        <v>9264</v>
      </c>
    </row>
    <row r="9266" spans="92:92" x14ac:dyDescent="0.3">
      <c r="CN9266">
        <v>9265</v>
      </c>
    </row>
    <row r="9267" spans="92:92" x14ac:dyDescent="0.3">
      <c r="CN9267">
        <v>9266</v>
      </c>
    </row>
    <row r="9268" spans="92:92" x14ac:dyDescent="0.3">
      <c r="CN9268">
        <v>9267</v>
      </c>
    </row>
    <row r="9269" spans="92:92" x14ac:dyDescent="0.3">
      <c r="CN9269">
        <v>9268</v>
      </c>
    </row>
    <row r="9270" spans="92:92" x14ac:dyDescent="0.3">
      <c r="CN9270">
        <v>9269</v>
      </c>
    </row>
    <row r="9271" spans="92:92" x14ac:dyDescent="0.3">
      <c r="CN9271">
        <v>9270</v>
      </c>
    </row>
    <row r="9272" spans="92:92" x14ac:dyDescent="0.3">
      <c r="CN9272">
        <v>9271</v>
      </c>
    </row>
    <row r="9273" spans="92:92" x14ac:dyDescent="0.3">
      <c r="CN9273">
        <v>9272</v>
      </c>
    </row>
    <row r="9274" spans="92:92" x14ac:dyDescent="0.3">
      <c r="CN9274">
        <v>9273</v>
      </c>
    </row>
    <row r="9275" spans="92:92" x14ac:dyDescent="0.3">
      <c r="CN9275">
        <v>9274</v>
      </c>
    </row>
    <row r="9276" spans="92:92" x14ac:dyDescent="0.3">
      <c r="CN9276">
        <v>9275</v>
      </c>
    </row>
    <row r="9277" spans="92:92" x14ac:dyDescent="0.3">
      <c r="CN9277">
        <v>9276</v>
      </c>
    </row>
    <row r="9278" spans="92:92" x14ac:dyDescent="0.3">
      <c r="CN9278">
        <v>9277</v>
      </c>
    </row>
    <row r="9279" spans="92:92" x14ac:dyDescent="0.3">
      <c r="CN9279">
        <v>9278</v>
      </c>
    </row>
    <row r="9280" spans="92:92" x14ac:dyDescent="0.3">
      <c r="CN9280">
        <v>9279</v>
      </c>
    </row>
    <row r="9281" spans="92:92" x14ac:dyDescent="0.3">
      <c r="CN9281">
        <v>9280</v>
      </c>
    </row>
    <row r="9282" spans="92:92" x14ac:dyDescent="0.3">
      <c r="CN9282">
        <v>9281</v>
      </c>
    </row>
    <row r="9283" spans="92:92" x14ac:dyDescent="0.3">
      <c r="CN9283">
        <v>9282</v>
      </c>
    </row>
    <row r="9284" spans="92:92" x14ac:dyDescent="0.3">
      <c r="CN9284">
        <v>9283</v>
      </c>
    </row>
    <row r="9285" spans="92:92" x14ac:dyDescent="0.3">
      <c r="CN9285">
        <v>9284</v>
      </c>
    </row>
    <row r="9286" spans="92:92" x14ac:dyDescent="0.3">
      <c r="CN9286">
        <v>9285</v>
      </c>
    </row>
    <row r="9287" spans="92:92" x14ac:dyDescent="0.3">
      <c r="CN9287">
        <v>9286</v>
      </c>
    </row>
    <row r="9288" spans="92:92" x14ac:dyDescent="0.3">
      <c r="CN9288">
        <v>9287</v>
      </c>
    </row>
    <row r="9289" spans="92:92" x14ac:dyDescent="0.3">
      <c r="CN9289">
        <v>9288</v>
      </c>
    </row>
    <row r="9290" spans="92:92" x14ac:dyDescent="0.3">
      <c r="CN9290">
        <v>9289</v>
      </c>
    </row>
    <row r="9291" spans="92:92" x14ac:dyDescent="0.3">
      <c r="CN9291">
        <v>9290</v>
      </c>
    </row>
    <row r="9292" spans="92:92" x14ac:dyDescent="0.3">
      <c r="CN9292">
        <v>9291</v>
      </c>
    </row>
    <row r="9293" spans="92:92" x14ac:dyDescent="0.3">
      <c r="CN9293">
        <v>9292</v>
      </c>
    </row>
    <row r="9294" spans="92:92" x14ac:dyDescent="0.3">
      <c r="CN9294">
        <v>9293</v>
      </c>
    </row>
    <row r="9295" spans="92:92" x14ac:dyDescent="0.3">
      <c r="CN9295">
        <v>9294</v>
      </c>
    </row>
    <row r="9296" spans="92:92" x14ac:dyDescent="0.3">
      <c r="CN9296">
        <v>9295</v>
      </c>
    </row>
    <row r="9297" spans="92:92" x14ac:dyDescent="0.3">
      <c r="CN9297">
        <v>9296</v>
      </c>
    </row>
    <row r="9298" spans="92:92" x14ac:dyDescent="0.3">
      <c r="CN9298">
        <v>9297</v>
      </c>
    </row>
    <row r="9299" spans="92:92" x14ac:dyDescent="0.3">
      <c r="CN9299">
        <v>9298</v>
      </c>
    </row>
    <row r="9300" spans="92:92" x14ac:dyDescent="0.3">
      <c r="CN9300">
        <v>9299</v>
      </c>
    </row>
    <row r="9301" spans="92:92" x14ac:dyDescent="0.3">
      <c r="CN9301">
        <v>9300</v>
      </c>
    </row>
    <row r="9302" spans="92:92" x14ac:dyDescent="0.3">
      <c r="CN9302">
        <v>9301</v>
      </c>
    </row>
    <row r="9303" spans="92:92" x14ac:dyDescent="0.3">
      <c r="CN9303">
        <v>9302</v>
      </c>
    </row>
    <row r="9304" spans="92:92" x14ac:dyDescent="0.3">
      <c r="CN9304">
        <v>9303</v>
      </c>
    </row>
    <row r="9305" spans="92:92" x14ac:dyDescent="0.3">
      <c r="CN9305">
        <v>9304</v>
      </c>
    </row>
    <row r="9306" spans="92:92" x14ac:dyDescent="0.3">
      <c r="CN9306">
        <v>9305</v>
      </c>
    </row>
    <row r="9307" spans="92:92" x14ac:dyDescent="0.3">
      <c r="CN9307">
        <v>9306</v>
      </c>
    </row>
    <row r="9308" spans="92:92" x14ac:dyDescent="0.3">
      <c r="CN9308">
        <v>9307</v>
      </c>
    </row>
    <row r="9309" spans="92:92" x14ac:dyDescent="0.3">
      <c r="CN9309">
        <v>9308</v>
      </c>
    </row>
    <row r="9310" spans="92:92" x14ac:dyDescent="0.3">
      <c r="CN9310">
        <v>9309</v>
      </c>
    </row>
    <row r="9311" spans="92:92" x14ac:dyDescent="0.3">
      <c r="CN9311">
        <v>9310</v>
      </c>
    </row>
    <row r="9312" spans="92:92" x14ac:dyDescent="0.3">
      <c r="CN9312">
        <v>9311</v>
      </c>
    </row>
    <row r="9313" spans="92:92" x14ac:dyDescent="0.3">
      <c r="CN9313">
        <v>9312</v>
      </c>
    </row>
    <row r="9314" spans="92:92" x14ac:dyDescent="0.3">
      <c r="CN9314">
        <v>9313</v>
      </c>
    </row>
    <row r="9315" spans="92:92" x14ac:dyDescent="0.3">
      <c r="CN9315">
        <v>9314</v>
      </c>
    </row>
    <row r="9316" spans="92:92" x14ac:dyDescent="0.3">
      <c r="CN9316">
        <v>9315</v>
      </c>
    </row>
    <row r="9317" spans="92:92" x14ac:dyDescent="0.3">
      <c r="CN9317">
        <v>9316</v>
      </c>
    </row>
    <row r="9318" spans="92:92" x14ac:dyDescent="0.3">
      <c r="CN9318">
        <v>9317</v>
      </c>
    </row>
    <row r="9319" spans="92:92" x14ac:dyDescent="0.3">
      <c r="CN9319">
        <v>9318</v>
      </c>
    </row>
    <row r="9320" spans="92:92" x14ac:dyDescent="0.3">
      <c r="CN9320">
        <v>9319</v>
      </c>
    </row>
    <row r="9321" spans="92:92" x14ac:dyDescent="0.3">
      <c r="CN9321">
        <v>9320</v>
      </c>
    </row>
    <row r="9322" spans="92:92" x14ac:dyDescent="0.3">
      <c r="CN9322">
        <v>9321</v>
      </c>
    </row>
    <row r="9323" spans="92:92" x14ac:dyDescent="0.3">
      <c r="CN9323">
        <v>9322</v>
      </c>
    </row>
    <row r="9324" spans="92:92" x14ac:dyDescent="0.3">
      <c r="CN9324">
        <v>9323</v>
      </c>
    </row>
    <row r="9325" spans="92:92" x14ac:dyDescent="0.3">
      <c r="CN9325">
        <v>9324</v>
      </c>
    </row>
    <row r="9326" spans="92:92" x14ac:dyDescent="0.3">
      <c r="CN9326">
        <v>9325</v>
      </c>
    </row>
    <row r="9327" spans="92:92" x14ac:dyDescent="0.3">
      <c r="CN9327">
        <v>9326</v>
      </c>
    </row>
    <row r="9328" spans="92:92" x14ac:dyDescent="0.3">
      <c r="CN9328">
        <v>9327</v>
      </c>
    </row>
    <row r="9329" spans="92:92" x14ac:dyDescent="0.3">
      <c r="CN9329">
        <v>9328</v>
      </c>
    </row>
    <row r="9330" spans="92:92" x14ac:dyDescent="0.3">
      <c r="CN9330">
        <v>9329</v>
      </c>
    </row>
    <row r="9331" spans="92:92" x14ac:dyDescent="0.3">
      <c r="CN9331">
        <v>9330</v>
      </c>
    </row>
    <row r="9332" spans="92:92" x14ac:dyDescent="0.3">
      <c r="CN9332">
        <v>9331</v>
      </c>
    </row>
    <row r="9333" spans="92:92" x14ac:dyDescent="0.3">
      <c r="CN9333">
        <v>9332</v>
      </c>
    </row>
    <row r="9334" spans="92:92" x14ac:dyDescent="0.3">
      <c r="CN9334">
        <v>9333</v>
      </c>
    </row>
    <row r="9335" spans="92:92" x14ac:dyDescent="0.3">
      <c r="CN9335">
        <v>9334</v>
      </c>
    </row>
    <row r="9336" spans="92:92" x14ac:dyDescent="0.3">
      <c r="CN9336">
        <v>9335</v>
      </c>
    </row>
    <row r="9337" spans="92:92" x14ac:dyDescent="0.3">
      <c r="CN9337">
        <v>9336</v>
      </c>
    </row>
    <row r="9338" spans="92:92" x14ac:dyDescent="0.3">
      <c r="CN9338">
        <v>9337</v>
      </c>
    </row>
    <row r="9339" spans="92:92" x14ac:dyDescent="0.3">
      <c r="CN9339">
        <v>9338</v>
      </c>
    </row>
    <row r="9340" spans="92:92" x14ac:dyDescent="0.3">
      <c r="CN9340">
        <v>9339</v>
      </c>
    </row>
    <row r="9341" spans="92:92" x14ac:dyDescent="0.3">
      <c r="CN9341">
        <v>9340</v>
      </c>
    </row>
    <row r="9342" spans="92:92" x14ac:dyDescent="0.3">
      <c r="CN9342">
        <v>9341</v>
      </c>
    </row>
    <row r="9343" spans="92:92" x14ac:dyDescent="0.3">
      <c r="CN9343">
        <v>9342</v>
      </c>
    </row>
    <row r="9344" spans="92:92" x14ac:dyDescent="0.3">
      <c r="CN9344">
        <v>9343</v>
      </c>
    </row>
    <row r="9345" spans="92:92" x14ac:dyDescent="0.3">
      <c r="CN9345">
        <v>9344</v>
      </c>
    </row>
    <row r="9346" spans="92:92" x14ac:dyDescent="0.3">
      <c r="CN9346">
        <v>9345</v>
      </c>
    </row>
    <row r="9347" spans="92:92" x14ac:dyDescent="0.3">
      <c r="CN9347">
        <v>9346</v>
      </c>
    </row>
    <row r="9348" spans="92:92" x14ac:dyDescent="0.3">
      <c r="CN9348">
        <v>9347</v>
      </c>
    </row>
    <row r="9349" spans="92:92" x14ac:dyDescent="0.3">
      <c r="CN9349">
        <v>9348</v>
      </c>
    </row>
    <row r="9350" spans="92:92" x14ac:dyDescent="0.3">
      <c r="CN9350">
        <v>9349</v>
      </c>
    </row>
    <row r="9351" spans="92:92" x14ac:dyDescent="0.3">
      <c r="CN9351">
        <v>9350</v>
      </c>
    </row>
    <row r="9352" spans="92:92" x14ac:dyDescent="0.3">
      <c r="CN9352">
        <v>9351</v>
      </c>
    </row>
    <row r="9353" spans="92:92" x14ac:dyDescent="0.3">
      <c r="CN9353">
        <v>9352</v>
      </c>
    </row>
    <row r="9354" spans="92:92" x14ac:dyDescent="0.3">
      <c r="CN9354">
        <v>9353</v>
      </c>
    </row>
    <row r="9355" spans="92:92" x14ac:dyDescent="0.3">
      <c r="CN9355">
        <v>9354</v>
      </c>
    </row>
    <row r="9356" spans="92:92" x14ac:dyDescent="0.3">
      <c r="CN9356">
        <v>9355</v>
      </c>
    </row>
    <row r="9357" spans="92:92" x14ac:dyDescent="0.3">
      <c r="CN9357">
        <v>9356</v>
      </c>
    </row>
    <row r="9358" spans="92:92" x14ac:dyDescent="0.3">
      <c r="CN9358">
        <v>9357</v>
      </c>
    </row>
    <row r="9359" spans="92:92" x14ac:dyDescent="0.3">
      <c r="CN9359">
        <v>9358</v>
      </c>
    </row>
    <row r="9360" spans="92:92" x14ac:dyDescent="0.3">
      <c r="CN9360">
        <v>9359</v>
      </c>
    </row>
    <row r="9361" spans="92:92" x14ac:dyDescent="0.3">
      <c r="CN9361">
        <v>9360</v>
      </c>
    </row>
    <row r="9362" spans="92:92" x14ac:dyDescent="0.3">
      <c r="CN9362">
        <v>9361</v>
      </c>
    </row>
    <row r="9363" spans="92:92" x14ac:dyDescent="0.3">
      <c r="CN9363">
        <v>9362</v>
      </c>
    </row>
    <row r="9364" spans="92:92" x14ac:dyDescent="0.3">
      <c r="CN9364">
        <v>9363</v>
      </c>
    </row>
    <row r="9365" spans="92:92" x14ac:dyDescent="0.3">
      <c r="CN9365">
        <v>9364</v>
      </c>
    </row>
    <row r="9366" spans="92:92" x14ac:dyDescent="0.3">
      <c r="CN9366">
        <v>9365</v>
      </c>
    </row>
    <row r="9367" spans="92:92" x14ac:dyDescent="0.3">
      <c r="CN9367">
        <v>9366</v>
      </c>
    </row>
    <row r="9368" spans="92:92" x14ac:dyDescent="0.3">
      <c r="CN9368">
        <v>9367</v>
      </c>
    </row>
    <row r="9369" spans="92:92" x14ac:dyDescent="0.3">
      <c r="CN9369">
        <v>9368</v>
      </c>
    </row>
    <row r="9370" spans="92:92" x14ac:dyDescent="0.3">
      <c r="CN9370">
        <v>9369</v>
      </c>
    </row>
    <row r="9371" spans="92:92" x14ac:dyDescent="0.3">
      <c r="CN9371">
        <v>9370</v>
      </c>
    </row>
    <row r="9372" spans="92:92" x14ac:dyDescent="0.3">
      <c r="CN9372">
        <v>9371</v>
      </c>
    </row>
    <row r="9373" spans="92:92" x14ac:dyDescent="0.3">
      <c r="CN9373">
        <v>9372</v>
      </c>
    </row>
    <row r="9374" spans="92:92" x14ac:dyDescent="0.3">
      <c r="CN9374">
        <v>9373</v>
      </c>
    </row>
    <row r="9375" spans="92:92" x14ac:dyDescent="0.3">
      <c r="CN9375">
        <v>9374</v>
      </c>
    </row>
    <row r="9376" spans="92:92" x14ac:dyDescent="0.3">
      <c r="CN9376">
        <v>9375</v>
      </c>
    </row>
    <row r="9377" spans="92:92" x14ac:dyDescent="0.3">
      <c r="CN9377">
        <v>9376</v>
      </c>
    </row>
    <row r="9378" spans="92:92" x14ac:dyDescent="0.3">
      <c r="CN9378">
        <v>9377</v>
      </c>
    </row>
    <row r="9379" spans="92:92" x14ac:dyDescent="0.3">
      <c r="CN9379">
        <v>9378</v>
      </c>
    </row>
    <row r="9380" spans="92:92" x14ac:dyDescent="0.3">
      <c r="CN9380">
        <v>9379</v>
      </c>
    </row>
    <row r="9381" spans="92:92" x14ac:dyDescent="0.3">
      <c r="CN9381">
        <v>9380</v>
      </c>
    </row>
    <row r="9382" spans="92:92" x14ac:dyDescent="0.3">
      <c r="CN9382">
        <v>9381</v>
      </c>
    </row>
    <row r="9383" spans="92:92" x14ac:dyDescent="0.3">
      <c r="CN9383">
        <v>9382</v>
      </c>
    </row>
    <row r="9384" spans="92:92" x14ac:dyDescent="0.3">
      <c r="CN9384">
        <v>9383</v>
      </c>
    </row>
    <row r="9385" spans="92:92" x14ac:dyDescent="0.3">
      <c r="CN9385">
        <v>9384</v>
      </c>
    </row>
    <row r="9386" spans="92:92" x14ac:dyDescent="0.3">
      <c r="CN9386">
        <v>9385</v>
      </c>
    </row>
    <row r="9387" spans="92:92" x14ac:dyDescent="0.3">
      <c r="CN9387">
        <v>9386</v>
      </c>
    </row>
    <row r="9388" spans="92:92" x14ac:dyDescent="0.3">
      <c r="CN9388">
        <v>9387</v>
      </c>
    </row>
    <row r="9389" spans="92:92" x14ac:dyDescent="0.3">
      <c r="CN9389">
        <v>9388</v>
      </c>
    </row>
    <row r="9390" spans="92:92" x14ac:dyDescent="0.3">
      <c r="CN9390">
        <v>9389</v>
      </c>
    </row>
    <row r="9391" spans="92:92" x14ac:dyDescent="0.3">
      <c r="CN9391">
        <v>9390</v>
      </c>
    </row>
    <row r="9392" spans="92:92" x14ac:dyDescent="0.3">
      <c r="CN9392">
        <v>9391</v>
      </c>
    </row>
    <row r="9393" spans="92:92" x14ac:dyDescent="0.3">
      <c r="CN9393">
        <v>9392</v>
      </c>
    </row>
    <row r="9394" spans="92:92" x14ac:dyDescent="0.3">
      <c r="CN9394">
        <v>9393</v>
      </c>
    </row>
    <row r="9395" spans="92:92" x14ac:dyDescent="0.3">
      <c r="CN9395">
        <v>9394</v>
      </c>
    </row>
    <row r="9396" spans="92:92" x14ac:dyDescent="0.3">
      <c r="CN9396">
        <v>9395</v>
      </c>
    </row>
    <row r="9397" spans="92:92" x14ac:dyDescent="0.3">
      <c r="CN9397">
        <v>9396</v>
      </c>
    </row>
    <row r="9398" spans="92:92" x14ac:dyDescent="0.3">
      <c r="CN9398">
        <v>9397</v>
      </c>
    </row>
    <row r="9399" spans="92:92" x14ac:dyDescent="0.3">
      <c r="CN9399">
        <v>9398</v>
      </c>
    </row>
    <row r="9400" spans="92:92" x14ac:dyDescent="0.3">
      <c r="CN9400">
        <v>9399</v>
      </c>
    </row>
    <row r="9401" spans="92:92" x14ac:dyDescent="0.3">
      <c r="CN9401">
        <v>9400</v>
      </c>
    </row>
    <row r="9402" spans="92:92" x14ac:dyDescent="0.3">
      <c r="CN9402">
        <v>9401</v>
      </c>
    </row>
    <row r="9403" spans="92:92" x14ac:dyDescent="0.3">
      <c r="CN9403">
        <v>9402</v>
      </c>
    </row>
    <row r="9404" spans="92:92" x14ac:dyDescent="0.3">
      <c r="CN9404">
        <v>9403</v>
      </c>
    </row>
    <row r="9405" spans="92:92" x14ac:dyDescent="0.3">
      <c r="CN9405">
        <v>9404</v>
      </c>
    </row>
    <row r="9406" spans="92:92" x14ac:dyDescent="0.3">
      <c r="CN9406">
        <v>9405</v>
      </c>
    </row>
    <row r="9407" spans="92:92" x14ac:dyDescent="0.3">
      <c r="CN9407">
        <v>9406</v>
      </c>
    </row>
    <row r="9408" spans="92:92" x14ac:dyDescent="0.3">
      <c r="CN9408">
        <v>9407</v>
      </c>
    </row>
    <row r="9409" spans="92:92" x14ac:dyDescent="0.3">
      <c r="CN9409">
        <v>9408</v>
      </c>
    </row>
    <row r="9410" spans="92:92" x14ac:dyDescent="0.3">
      <c r="CN9410">
        <v>9409</v>
      </c>
    </row>
    <row r="9411" spans="92:92" x14ac:dyDescent="0.3">
      <c r="CN9411">
        <v>9410</v>
      </c>
    </row>
    <row r="9412" spans="92:92" x14ac:dyDescent="0.3">
      <c r="CN9412">
        <v>9411</v>
      </c>
    </row>
    <row r="9413" spans="92:92" x14ac:dyDescent="0.3">
      <c r="CN9413">
        <v>9412</v>
      </c>
    </row>
    <row r="9414" spans="92:92" x14ac:dyDescent="0.3">
      <c r="CN9414">
        <v>9413</v>
      </c>
    </row>
    <row r="9415" spans="92:92" x14ac:dyDescent="0.3">
      <c r="CN9415">
        <v>9414</v>
      </c>
    </row>
    <row r="9416" spans="92:92" x14ac:dyDescent="0.3">
      <c r="CN9416">
        <v>9415</v>
      </c>
    </row>
    <row r="9417" spans="92:92" x14ac:dyDescent="0.3">
      <c r="CN9417">
        <v>9416</v>
      </c>
    </row>
    <row r="9418" spans="92:92" x14ac:dyDescent="0.3">
      <c r="CN9418">
        <v>9417</v>
      </c>
    </row>
    <row r="9419" spans="92:92" x14ac:dyDescent="0.3">
      <c r="CN9419">
        <v>9418</v>
      </c>
    </row>
    <row r="9420" spans="92:92" x14ac:dyDescent="0.3">
      <c r="CN9420">
        <v>9419</v>
      </c>
    </row>
    <row r="9421" spans="92:92" x14ac:dyDescent="0.3">
      <c r="CN9421">
        <v>9420</v>
      </c>
    </row>
    <row r="9422" spans="92:92" x14ac:dyDescent="0.3">
      <c r="CN9422">
        <v>9421</v>
      </c>
    </row>
    <row r="9423" spans="92:92" x14ac:dyDescent="0.3">
      <c r="CN9423">
        <v>9422</v>
      </c>
    </row>
    <row r="9424" spans="92:92" x14ac:dyDescent="0.3">
      <c r="CN9424">
        <v>9423</v>
      </c>
    </row>
    <row r="9425" spans="92:92" x14ac:dyDescent="0.3">
      <c r="CN9425">
        <v>9424</v>
      </c>
    </row>
    <row r="9426" spans="92:92" x14ac:dyDescent="0.3">
      <c r="CN9426">
        <v>9425</v>
      </c>
    </row>
    <row r="9427" spans="92:92" x14ac:dyDescent="0.3">
      <c r="CN9427">
        <v>9426</v>
      </c>
    </row>
    <row r="9428" spans="92:92" x14ac:dyDescent="0.3">
      <c r="CN9428">
        <v>9427</v>
      </c>
    </row>
    <row r="9429" spans="92:92" x14ac:dyDescent="0.3">
      <c r="CN9429">
        <v>9428</v>
      </c>
    </row>
    <row r="9430" spans="92:92" x14ac:dyDescent="0.3">
      <c r="CN9430">
        <v>9429</v>
      </c>
    </row>
    <row r="9431" spans="92:92" x14ac:dyDescent="0.3">
      <c r="CN9431">
        <v>9430</v>
      </c>
    </row>
    <row r="9432" spans="92:92" x14ac:dyDescent="0.3">
      <c r="CN9432">
        <v>9431</v>
      </c>
    </row>
    <row r="9433" spans="92:92" x14ac:dyDescent="0.3">
      <c r="CN9433">
        <v>9432</v>
      </c>
    </row>
    <row r="9434" spans="92:92" x14ac:dyDescent="0.3">
      <c r="CN9434">
        <v>9433</v>
      </c>
    </row>
    <row r="9435" spans="92:92" x14ac:dyDescent="0.3">
      <c r="CN9435">
        <v>9434</v>
      </c>
    </row>
    <row r="9436" spans="92:92" x14ac:dyDescent="0.3">
      <c r="CN9436">
        <v>9435</v>
      </c>
    </row>
    <row r="9437" spans="92:92" x14ac:dyDescent="0.3">
      <c r="CN9437">
        <v>9436</v>
      </c>
    </row>
    <row r="9438" spans="92:92" x14ac:dyDescent="0.3">
      <c r="CN9438">
        <v>9437</v>
      </c>
    </row>
    <row r="9439" spans="92:92" x14ac:dyDescent="0.3">
      <c r="CN9439">
        <v>9438</v>
      </c>
    </row>
    <row r="9440" spans="92:92" x14ac:dyDescent="0.3">
      <c r="CN9440">
        <v>9439</v>
      </c>
    </row>
    <row r="9441" spans="92:92" x14ac:dyDescent="0.3">
      <c r="CN9441">
        <v>9440</v>
      </c>
    </row>
    <row r="9442" spans="92:92" x14ac:dyDescent="0.3">
      <c r="CN9442">
        <v>9441</v>
      </c>
    </row>
    <row r="9443" spans="92:92" x14ac:dyDescent="0.3">
      <c r="CN9443">
        <v>9442</v>
      </c>
    </row>
    <row r="9444" spans="92:92" x14ac:dyDescent="0.3">
      <c r="CN9444">
        <v>9443</v>
      </c>
    </row>
    <row r="9445" spans="92:92" x14ac:dyDescent="0.3">
      <c r="CN9445">
        <v>9444</v>
      </c>
    </row>
    <row r="9446" spans="92:92" x14ac:dyDescent="0.3">
      <c r="CN9446">
        <v>9445</v>
      </c>
    </row>
    <row r="9447" spans="92:92" x14ac:dyDescent="0.3">
      <c r="CN9447">
        <v>9446</v>
      </c>
    </row>
    <row r="9448" spans="92:92" x14ac:dyDescent="0.3">
      <c r="CN9448">
        <v>9447</v>
      </c>
    </row>
    <row r="9449" spans="92:92" x14ac:dyDescent="0.3">
      <c r="CN9449">
        <v>9448</v>
      </c>
    </row>
    <row r="9450" spans="92:92" x14ac:dyDescent="0.3">
      <c r="CN9450">
        <v>9449</v>
      </c>
    </row>
    <row r="9451" spans="92:92" x14ac:dyDescent="0.3">
      <c r="CN9451">
        <v>9450</v>
      </c>
    </row>
    <row r="9452" spans="92:92" x14ac:dyDescent="0.3">
      <c r="CN9452">
        <v>9451</v>
      </c>
    </row>
    <row r="9453" spans="92:92" x14ac:dyDescent="0.3">
      <c r="CN9453">
        <v>9452</v>
      </c>
    </row>
    <row r="9454" spans="92:92" x14ac:dyDescent="0.3">
      <c r="CN9454">
        <v>9453</v>
      </c>
    </row>
    <row r="9455" spans="92:92" x14ac:dyDescent="0.3">
      <c r="CN9455">
        <v>9454</v>
      </c>
    </row>
    <row r="9456" spans="92:92" x14ac:dyDescent="0.3">
      <c r="CN9456">
        <v>9455</v>
      </c>
    </row>
    <row r="9457" spans="92:92" x14ac:dyDescent="0.3">
      <c r="CN9457">
        <v>9456</v>
      </c>
    </row>
    <row r="9458" spans="92:92" x14ac:dyDescent="0.3">
      <c r="CN9458">
        <v>9457</v>
      </c>
    </row>
    <row r="9459" spans="92:92" x14ac:dyDescent="0.3">
      <c r="CN9459">
        <v>9458</v>
      </c>
    </row>
    <row r="9460" spans="92:92" x14ac:dyDescent="0.3">
      <c r="CN9460">
        <v>9459</v>
      </c>
    </row>
    <row r="9461" spans="92:92" x14ac:dyDescent="0.3">
      <c r="CN9461">
        <v>9460</v>
      </c>
    </row>
    <row r="9462" spans="92:92" x14ac:dyDescent="0.3">
      <c r="CN9462">
        <v>9461</v>
      </c>
    </row>
    <row r="9463" spans="92:92" x14ac:dyDescent="0.3">
      <c r="CN9463">
        <v>9462</v>
      </c>
    </row>
    <row r="9464" spans="92:92" x14ac:dyDescent="0.3">
      <c r="CN9464">
        <v>9463</v>
      </c>
    </row>
    <row r="9465" spans="92:92" x14ac:dyDescent="0.3">
      <c r="CN9465">
        <v>9464</v>
      </c>
    </row>
    <row r="9466" spans="92:92" x14ac:dyDescent="0.3">
      <c r="CN9466">
        <v>9465</v>
      </c>
    </row>
    <row r="9467" spans="92:92" x14ac:dyDescent="0.3">
      <c r="CN9467">
        <v>9466</v>
      </c>
    </row>
    <row r="9468" spans="92:92" x14ac:dyDescent="0.3">
      <c r="CN9468">
        <v>9467</v>
      </c>
    </row>
    <row r="9469" spans="92:92" x14ac:dyDescent="0.3">
      <c r="CN9469">
        <v>9468</v>
      </c>
    </row>
    <row r="9470" spans="92:92" x14ac:dyDescent="0.3">
      <c r="CN9470">
        <v>9469</v>
      </c>
    </row>
    <row r="9471" spans="92:92" x14ac:dyDescent="0.3">
      <c r="CN9471">
        <v>9470</v>
      </c>
    </row>
    <row r="9472" spans="92:92" x14ac:dyDescent="0.3">
      <c r="CN9472">
        <v>9471</v>
      </c>
    </row>
    <row r="9473" spans="92:92" x14ac:dyDescent="0.3">
      <c r="CN9473">
        <v>9472</v>
      </c>
    </row>
    <row r="9474" spans="92:92" x14ac:dyDescent="0.3">
      <c r="CN9474">
        <v>9473</v>
      </c>
    </row>
    <row r="9475" spans="92:92" x14ac:dyDescent="0.3">
      <c r="CN9475">
        <v>9474</v>
      </c>
    </row>
    <row r="9476" spans="92:92" x14ac:dyDescent="0.3">
      <c r="CN9476">
        <v>9475</v>
      </c>
    </row>
    <row r="9477" spans="92:92" x14ac:dyDescent="0.3">
      <c r="CN9477">
        <v>9476</v>
      </c>
    </row>
    <row r="9478" spans="92:92" x14ac:dyDescent="0.3">
      <c r="CN9478">
        <v>9477</v>
      </c>
    </row>
    <row r="9479" spans="92:92" x14ac:dyDescent="0.3">
      <c r="CN9479">
        <v>9478</v>
      </c>
    </row>
    <row r="9480" spans="92:92" x14ac:dyDescent="0.3">
      <c r="CN9480">
        <v>9479</v>
      </c>
    </row>
    <row r="9481" spans="92:92" x14ac:dyDescent="0.3">
      <c r="CN9481">
        <v>9480</v>
      </c>
    </row>
    <row r="9482" spans="92:92" x14ac:dyDescent="0.3">
      <c r="CN9482">
        <v>9481</v>
      </c>
    </row>
    <row r="9483" spans="92:92" x14ac:dyDescent="0.3">
      <c r="CN9483">
        <v>9482</v>
      </c>
    </row>
    <row r="9484" spans="92:92" x14ac:dyDescent="0.3">
      <c r="CN9484">
        <v>9483</v>
      </c>
    </row>
    <row r="9485" spans="92:92" x14ac:dyDescent="0.3">
      <c r="CN9485">
        <v>9484</v>
      </c>
    </row>
    <row r="9486" spans="92:92" x14ac:dyDescent="0.3">
      <c r="CN9486">
        <v>9485</v>
      </c>
    </row>
    <row r="9487" spans="92:92" x14ac:dyDescent="0.3">
      <c r="CN9487">
        <v>9486</v>
      </c>
    </row>
    <row r="9488" spans="92:92" x14ac:dyDescent="0.3">
      <c r="CN9488">
        <v>9487</v>
      </c>
    </row>
    <row r="9489" spans="92:92" x14ac:dyDescent="0.3">
      <c r="CN9489">
        <v>9488</v>
      </c>
    </row>
    <row r="9490" spans="92:92" x14ac:dyDescent="0.3">
      <c r="CN9490">
        <v>9489</v>
      </c>
    </row>
    <row r="9491" spans="92:92" x14ac:dyDescent="0.3">
      <c r="CN9491">
        <v>9490</v>
      </c>
    </row>
    <row r="9492" spans="92:92" x14ac:dyDescent="0.3">
      <c r="CN9492">
        <v>9491</v>
      </c>
    </row>
    <row r="9493" spans="92:92" x14ac:dyDescent="0.3">
      <c r="CN9493">
        <v>9492</v>
      </c>
    </row>
    <row r="9494" spans="92:92" x14ac:dyDescent="0.3">
      <c r="CN9494">
        <v>9493</v>
      </c>
    </row>
    <row r="9495" spans="92:92" x14ac:dyDescent="0.3">
      <c r="CN9495">
        <v>9494</v>
      </c>
    </row>
    <row r="9496" spans="92:92" x14ac:dyDescent="0.3">
      <c r="CN9496">
        <v>9495</v>
      </c>
    </row>
    <row r="9497" spans="92:92" x14ac:dyDescent="0.3">
      <c r="CN9497">
        <v>9496</v>
      </c>
    </row>
    <row r="9498" spans="92:92" x14ac:dyDescent="0.3">
      <c r="CN9498">
        <v>9497</v>
      </c>
    </row>
    <row r="9499" spans="92:92" x14ac:dyDescent="0.3">
      <c r="CN9499">
        <v>9498</v>
      </c>
    </row>
    <row r="9500" spans="92:92" x14ac:dyDescent="0.3">
      <c r="CN9500">
        <v>9499</v>
      </c>
    </row>
    <row r="9501" spans="92:92" x14ac:dyDescent="0.3">
      <c r="CN9501">
        <v>9500</v>
      </c>
    </row>
    <row r="9502" spans="92:92" x14ac:dyDescent="0.3">
      <c r="CN9502">
        <v>9501</v>
      </c>
    </row>
    <row r="9503" spans="92:92" x14ac:dyDescent="0.3">
      <c r="CN9503">
        <v>9502</v>
      </c>
    </row>
    <row r="9504" spans="92:92" x14ac:dyDescent="0.3">
      <c r="CN9504">
        <v>9503</v>
      </c>
    </row>
    <row r="9505" spans="92:92" x14ac:dyDescent="0.3">
      <c r="CN9505">
        <v>9504</v>
      </c>
    </row>
    <row r="9506" spans="92:92" x14ac:dyDescent="0.3">
      <c r="CN9506">
        <v>9505</v>
      </c>
    </row>
    <row r="9507" spans="92:92" x14ac:dyDescent="0.3">
      <c r="CN9507">
        <v>9506</v>
      </c>
    </row>
    <row r="9508" spans="92:92" x14ac:dyDescent="0.3">
      <c r="CN9508">
        <v>9507</v>
      </c>
    </row>
    <row r="9509" spans="92:92" x14ac:dyDescent="0.3">
      <c r="CN9509">
        <v>9508</v>
      </c>
    </row>
    <row r="9510" spans="92:92" x14ac:dyDescent="0.3">
      <c r="CN9510">
        <v>9509</v>
      </c>
    </row>
    <row r="9511" spans="92:92" x14ac:dyDescent="0.3">
      <c r="CN9511">
        <v>9510</v>
      </c>
    </row>
    <row r="9512" spans="92:92" x14ac:dyDescent="0.3">
      <c r="CN9512">
        <v>9511</v>
      </c>
    </row>
    <row r="9513" spans="92:92" x14ac:dyDescent="0.3">
      <c r="CN9513">
        <v>9512</v>
      </c>
    </row>
    <row r="9514" spans="92:92" x14ac:dyDescent="0.3">
      <c r="CN9514">
        <v>9513</v>
      </c>
    </row>
    <row r="9515" spans="92:92" x14ac:dyDescent="0.3">
      <c r="CN9515">
        <v>9514</v>
      </c>
    </row>
    <row r="9516" spans="92:92" x14ac:dyDescent="0.3">
      <c r="CN9516">
        <v>9515</v>
      </c>
    </row>
    <row r="9517" spans="92:92" x14ac:dyDescent="0.3">
      <c r="CN9517">
        <v>9516</v>
      </c>
    </row>
    <row r="9518" spans="92:92" x14ac:dyDescent="0.3">
      <c r="CN9518">
        <v>9517</v>
      </c>
    </row>
    <row r="9519" spans="92:92" x14ac:dyDescent="0.3">
      <c r="CN9519">
        <v>9518</v>
      </c>
    </row>
    <row r="9520" spans="92:92" x14ac:dyDescent="0.3">
      <c r="CN9520">
        <v>9519</v>
      </c>
    </row>
    <row r="9521" spans="92:92" x14ac:dyDescent="0.3">
      <c r="CN9521">
        <v>9520</v>
      </c>
    </row>
    <row r="9522" spans="92:92" x14ac:dyDescent="0.3">
      <c r="CN9522">
        <v>9521</v>
      </c>
    </row>
    <row r="9523" spans="92:92" x14ac:dyDescent="0.3">
      <c r="CN9523">
        <v>9522</v>
      </c>
    </row>
    <row r="9524" spans="92:92" x14ac:dyDescent="0.3">
      <c r="CN9524">
        <v>9523</v>
      </c>
    </row>
    <row r="9525" spans="92:92" x14ac:dyDescent="0.3">
      <c r="CN9525">
        <v>9524</v>
      </c>
    </row>
    <row r="9526" spans="92:92" x14ac:dyDescent="0.3">
      <c r="CN9526">
        <v>9525</v>
      </c>
    </row>
    <row r="9527" spans="92:92" x14ac:dyDescent="0.3">
      <c r="CN9527">
        <v>9526</v>
      </c>
    </row>
    <row r="9528" spans="92:92" x14ac:dyDescent="0.3">
      <c r="CN9528">
        <v>9527</v>
      </c>
    </row>
    <row r="9529" spans="92:92" x14ac:dyDescent="0.3">
      <c r="CN9529">
        <v>9528</v>
      </c>
    </row>
    <row r="9530" spans="92:92" x14ac:dyDescent="0.3">
      <c r="CN9530">
        <v>9529</v>
      </c>
    </row>
    <row r="9531" spans="92:92" x14ac:dyDescent="0.3">
      <c r="CN9531">
        <v>9530</v>
      </c>
    </row>
    <row r="9532" spans="92:92" x14ac:dyDescent="0.3">
      <c r="CN9532">
        <v>9531</v>
      </c>
    </row>
    <row r="9533" spans="92:92" x14ac:dyDescent="0.3">
      <c r="CN9533">
        <v>9532</v>
      </c>
    </row>
    <row r="9534" spans="92:92" x14ac:dyDescent="0.3">
      <c r="CN9534">
        <v>9533</v>
      </c>
    </row>
    <row r="9535" spans="92:92" x14ac:dyDescent="0.3">
      <c r="CN9535">
        <v>9534</v>
      </c>
    </row>
    <row r="9536" spans="92:92" x14ac:dyDescent="0.3">
      <c r="CN9536">
        <v>9535</v>
      </c>
    </row>
    <row r="9537" spans="92:92" x14ac:dyDescent="0.3">
      <c r="CN9537">
        <v>9536</v>
      </c>
    </row>
    <row r="9538" spans="92:92" x14ac:dyDescent="0.3">
      <c r="CN9538">
        <v>9537</v>
      </c>
    </row>
    <row r="9539" spans="92:92" x14ac:dyDescent="0.3">
      <c r="CN9539">
        <v>9538</v>
      </c>
    </row>
    <row r="9540" spans="92:92" x14ac:dyDescent="0.3">
      <c r="CN9540">
        <v>9539</v>
      </c>
    </row>
    <row r="9541" spans="92:92" x14ac:dyDescent="0.3">
      <c r="CN9541">
        <v>9540</v>
      </c>
    </row>
    <row r="9542" spans="92:92" x14ac:dyDescent="0.3">
      <c r="CN9542">
        <v>9541</v>
      </c>
    </row>
    <row r="9543" spans="92:92" x14ac:dyDescent="0.3">
      <c r="CN9543">
        <v>9542</v>
      </c>
    </row>
    <row r="9544" spans="92:92" x14ac:dyDescent="0.3">
      <c r="CN9544">
        <v>9543</v>
      </c>
    </row>
    <row r="9545" spans="92:92" x14ac:dyDescent="0.3">
      <c r="CN9545">
        <v>9544</v>
      </c>
    </row>
    <row r="9546" spans="92:92" x14ac:dyDescent="0.3">
      <c r="CN9546">
        <v>9545</v>
      </c>
    </row>
    <row r="9547" spans="92:92" x14ac:dyDescent="0.3">
      <c r="CN9547">
        <v>9546</v>
      </c>
    </row>
    <row r="9548" spans="92:92" x14ac:dyDescent="0.3">
      <c r="CN9548">
        <v>9547</v>
      </c>
    </row>
    <row r="9549" spans="92:92" x14ac:dyDescent="0.3">
      <c r="CN9549">
        <v>9548</v>
      </c>
    </row>
    <row r="9550" spans="92:92" x14ac:dyDescent="0.3">
      <c r="CN9550">
        <v>9549</v>
      </c>
    </row>
    <row r="9551" spans="92:92" x14ac:dyDescent="0.3">
      <c r="CN9551">
        <v>9550</v>
      </c>
    </row>
    <row r="9552" spans="92:92" x14ac:dyDescent="0.3">
      <c r="CN9552">
        <v>9551</v>
      </c>
    </row>
    <row r="9553" spans="92:92" x14ac:dyDescent="0.3">
      <c r="CN9553">
        <v>9552</v>
      </c>
    </row>
    <row r="9554" spans="92:92" x14ac:dyDescent="0.3">
      <c r="CN9554">
        <v>9553</v>
      </c>
    </row>
    <row r="9555" spans="92:92" x14ac:dyDescent="0.3">
      <c r="CN9555">
        <v>9554</v>
      </c>
    </row>
    <row r="9556" spans="92:92" x14ac:dyDescent="0.3">
      <c r="CN9556">
        <v>9555</v>
      </c>
    </row>
    <row r="9557" spans="92:92" x14ac:dyDescent="0.3">
      <c r="CN9557">
        <v>9556</v>
      </c>
    </row>
    <row r="9558" spans="92:92" x14ac:dyDescent="0.3">
      <c r="CN9558">
        <v>9557</v>
      </c>
    </row>
    <row r="9559" spans="92:92" x14ac:dyDescent="0.3">
      <c r="CN9559">
        <v>9558</v>
      </c>
    </row>
    <row r="9560" spans="92:92" x14ac:dyDescent="0.3">
      <c r="CN9560">
        <v>9559</v>
      </c>
    </row>
    <row r="9561" spans="92:92" x14ac:dyDescent="0.3">
      <c r="CN9561">
        <v>9560</v>
      </c>
    </row>
    <row r="9562" spans="92:92" x14ac:dyDescent="0.3">
      <c r="CN9562">
        <v>9561</v>
      </c>
    </row>
    <row r="9563" spans="92:92" x14ac:dyDescent="0.3">
      <c r="CN9563">
        <v>9562</v>
      </c>
    </row>
    <row r="9564" spans="92:92" x14ac:dyDescent="0.3">
      <c r="CN9564">
        <v>9563</v>
      </c>
    </row>
    <row r="9565" spans="92:92" x14ac:dyDescent="0.3">
      <c r="CN9565">
        <v>9564</v>
      </c>
    </row>
    <row r="9566" spans="92:92" x14ac:dyDescent="0.3">
      <c r="CN9566">
        <v>9565</v>
      </c>
    </row>
    <row r="9567" spans="92:92" x14ac:dyDescent="0.3">
      <c r="CN9567">
        <v>9566</v>
      </c>
    </row>
    <row r="9568" spans="92:92" x14ac:dyDescent="0.3">
      <c r="CN9568">
        <v>9567</v>
      </c>
    </row>
    <row r="9569" spans="92:92" x14ac:dyDescent="0.3">
      <c r="CN9569">
        <v>9568</v>
      </c>
    </row>
    <row r="9570" spans="92:92" x14ac:dyDescent="0.3">
      <c r="CN9570">
        <v>9569</v>
      </c>
    </row>
    <row r="9571" spans="92:92" x14ac:dyDescent="0.3">
      <c r="CN9571">
        <v>9570</v>
      </c>
    </row>
    <row r="9572" spans="92:92" x14ac:dyDescent="0.3">
      <c r="CN9572">
        <v>9571</v>
      </c>
    </row>
    <row r="9573" spans="92:92" x14ac:dyDescent="0.3">
      <c r="CN9573">
        <v>9572</v>
      </c>
    </row>
    <row r="9574" spans="92:92" x14ac:dyDescent="0.3">
      <c r="CN9574">
        <v>9573</v>
      </c>
    </row>
    <row r="9575" spans="92:92" x14ac:dyDescent="0.3">
      <c r="CN9575">
        <v>9574</v>
      </c>
    </row>
    <row r="9576" spans="92:92" x14ac:dyDescent="0.3">
      <c r="CN9576">
        <v>9575</v>
      </c>
    </row>
    <row r="9577" spans="92:92" x14ac:dyDescent="0.3">
      <c r="CN9577">
        <v>9576</v>
      </c>
    </row>
    <row r="9578" spans="92:92" x14ac:dyDescent="0.3">
      <c r="CN9578">
        <v>9577</v>
      </c>
    </row>
    <row r="9579" spans="92:92" x14ac:dyDescent="0.3">
      <c r="CN9579">
        <v>9578</v>
      </c>
    </row>
    <row r="9580" spans="92:92" x14ac:dyDescent="0.3">
      <c r="CN9580">
        <v>9579</v>
      </c>
    </row>
    <row r="9581" spans="92:92" x14ac:dyDescent="0.3">
      <c r="CN9581">
        <v>9580</v>
      </c>
    </row>
    <row r="9582" spans="92:92" x14ac:dyDescent="0.3">
      <c r="CN9582">
        <v>9581</v>
      </c>
    </row>
    <row r="9583" spans="92:92" x14ac:dyDescent="0.3">
      <c r="CN9583">
        <v>9582</v>
      </c>
    </row>
    <row r="9584" spans="92:92" x14ac:dyDescent="0.3">
      <c r="CN9584">
        <v>9583</v>
      </c>
    </row>
    <row r="9585" spans="92:92" x14ac:dyDescent="0.3">
      <c r="CN9585">
        <v>9584</v>
      </c>
    </row>
    <row r="9586" spans="92:92" x14ac:dyDescent="0.3">
      <c r="CN9586">
        <v>9585</v>
      </c>
    </row>
    <row r="9587" spans="92:92" x14ac:dyDescent="0.3">
      <c r="CN9587">
        <v>9586</v>
      </c>
    </row>
    <row r="9588" spans="92:92" x14ac:dyDescent="0.3">
      <c r="CN9588">
        <v>9587</v>
      </c>
    </row>
    <row r="9589" spans="92:92" x14ac:dyDescent="0.3">
      <c r="CN9589">
        <v>9588</v>
      </c>
    </row>
    <row r="9590" spans="92:92" x14ac:dyDescent="0.3">
      <c r="CN9590">
        <v>9589</v>
      </c>
    </row>
    <row r="9591" spans="92:92" x14ac:dyDescent="0.3">
      <c r="CN9591">
        <v>9590</v>
      </c>
    </row>
    <row r="9592" spans="92:92" x14ac:dyDescent="0.3">
      <c r="CN9592">
        <v>9591</v>
      </c>
    </row>
    <row r="9593" spans="92:92" x14ac:dyDescent="0.3">
      <c r="CN9593">
        <v>9592</v>
      </c>
    </row>
    <row r="9594" spans="92:92" x14ac:dyDescent="0.3">
      <c r="CN9594">
        <v>9593</v>
      </c>
    </row>
    <row r="9595" spans="92:92" x14ac:dyDescent="0.3">
      <c r="CN9595">
        <v>9594</v>
      </c>
    </row>
    <row r="9596" spans="92:92" x14ac:dyDescent="0.3">
      <c r="CN9596">
        <v>9595</v>
      </c>
    </row>
    <row r="9597" spans="92:92" x14ac:dyDescent="0.3">
      <c r="CN9597">
        <v>9596</v>
      </c>
    </row>
    <row r="9598" spans="92:92" x14ac:dyDescent="0.3">
      <c r="CN9598">
        <v>9597</v>
      </c>
    </row>
    <row r="9599" spans="92:92" x14ac:dyDescent="0.3">
      <c r="CN9599">
        <v>9598</v>
      </c>
    </row>
    <row r="9600" spans="92:92" x14ac:dyDescent="0.3">
      <c r="CN9600">
        <v>9599</v>
      </c>
    </row>
    <row r="9601" spans="92:92" x14ac:dyDescent="0.3">
      <c r="CN9601">
        <v>9600</v>
      </c>
    </row>
    <row r="9602" spans="92:92" x14ac:dyDescent="0.3">
      <c r="CN9602">
        <v>9601</v>
      </c>
    </row>
    <row r="9603" spans="92:92" x14ac:dyDescent="0.3">
      <c r="CN9603">
        <v>9602</v>
      </c>
    </row>
    <row r="9604" spans="92:92" x14ac:dyDescent="0.3">
      <c r="CN9604">
        <v>9603</v>
      </c>
    </row>
    <row r="9605" spans="92:92" x14ac:dyDescent="0.3">
      <c r="CN9605">
        <v>9604</v>
      </c>
    </row>
    <row r="9606" spans="92:92" x14ac:dyDescent="0.3">
      <c r="CN9606">
        <v>9605</v>
      </c>
    </row>
    <row r="9607" spans="92:92" x14ac:dyDescent="0.3">
      <c r="CN9607">
        <v>9606</v>
      </c>
    </row>
    <row r="9608" spans="92:92" x14ac:dyDescent="0.3">
      <c r="CN9608">
        <v>9607</v>
      </c>
    </row>
    <row r="9609" spans="92:92" x14ac:dyDescent="0.3">
      <c r="CN9609">
        <v>9608</v>
      </c>
    </row>
    <row r="9610" spans="92:92" x14ac:dyDescent="0.3">
      <c r="CN9610">
        <v>9609</v>
      </c>
    </row>
    <row r="9611" spans="92:92" x14ac:dyDescent="0.3">
      <c r="CN9611">
        <v>9610</v>
      </c>
    </row>
    <row r="9612" spans="92:92" x14ac:dyDescent="0.3">
      <c r="CN9612">
        <v>9611</v>
      </c>
    </row>
    <row r="9613" spans="92:92" x14ac:dyDescent="0.3">
      <c r="CN9613">
        <v>9612</v>
      </c>
    </row>
    <row r="9614" spans="92:92" x14ac:dyDescent="0.3">
      <c r="CN9614">
        <v>9613</v>
      </c>
    </row>
    <row r="9615" spans="92:92" x14ac:dyDescent="0.3">
      <c r="CN9615">
        <v>9614</v>
      </c>
    </row>
    <row r="9616" spans="92:92" x14ac:dyDescent="0.3">
      <c r="CN9616">
        <v>9615</v>
      </c>
    </row>
    <row r="9617" spans="92:92" x14ac:dyDescent="0.3">
      <c r="CN9617">
        <v>9616</v>
      </c>
    </row>
    <row r="9618" spans="92:92" x14ac:dyDescent="0.3">
      <c r="CN9618">
        <v>9617</v>
      </c>
    </row>
    <row r="9619" spans="92:92" x14ac:dyDescent="0.3">
      <c r="CN9619">
        <v>9618</v>
      </c>
    </row>
    <row r="9620" spans="92:92" x14ac:dyDescent="0.3">
      <c r="CN9620">
        <v>9619</v>
      </c>
    </row>
    <row r="9621" spans="92:92" x14ac:dyDescent="0.3">
      <c r="CN9621">
        <v>9620</v>
      </c>
    </row>
    <row r="9622" spans="92:92" x14ac:dyDescent="0.3">
      <c r="CN9622">
        <v>9621</v>
      </c>
    </row>
    <row r="9623" spans="92:92" x14ac:dyDescent="0.3">
      <c r="CN9623">
        <v>9622</v>
      </c>
    </row>
    <row r="9624" spans="92:92" x14ac:dyDescent="0.3">
      <c r="CN9624">
        <v>9623</v>
      </c>
    </row>
    <row r="9625" spans="92:92" x14ac:dyDescent="0.3">
      <c r="CN9625">
        <v>9624</v>
      </c>
    </row>
    <row r="9626" spans="92:92" x14ac:dyDescent="0.3">
      <c r="CN9626">
        <v>9625</v>
      </c>
    </row>
    <row r="9627" spans="92:92" x14ac:dyDescent="0.3">
      <c r="CN9627">
        <v>9626</v>
      </c>
    </row>
    <row r="9628" spans="92:92" x14ac:dyDescent="0.3">
      <c r="CN9628">
        <v>9627</v>
      </c>
    </row>
    <row r="9629" spans="92:92" x14ac:dyDescent="0.3">
      <c r="CN9629">
        <v>9628</v>
      </c>
    </row>
    <row r="9630" spans="92:92" x14ac:dyDescent="0.3">
      <c r="CN9630">
        <v>9629</v>
      </c>
    </row>
    <row r="9631" spans="92:92" x14ac:dyDescent="0.3">
      <c r="CN9631">
        <v>9630</v>
      </c>
    </row>
    <row r="9632" spans="92:92" x14ac:dyDescent="0.3">
      <c r="CN9632">
        <v>9631</v>
      </c>
    </row>
    <row r="9633" spans="92:92" x14ac:dyDescent="0.3">
      <c r="CN9633">
        <v>9632</v>
      </c>
    </row>
    <row r="9634" spans="92:92" x14ac:dyDescent="0.3">
      <c r="CN9634">
        <v>9633</v>
      </c>
    </row>
    <row r="9635" spans="92:92" x14ac:dyDescent="0.3">
      <c r="CN9635">
        <v>9634</v>
      </c>
    </row>
    <row r="9636" spans="92:92" x14ac:dyDescent="0.3">
      <c r="CN9636">
        <v>9635</v>
      </c>
    </row>
    <row r="9637" spans="92:92" x14ac:dyDescent="0.3">
      <c r="CN9637">
        <v>9636</v>
      </c>
    </row>
    <row r="9638" spans="92:92" x14ac:dyDescent="0.3">
      <c r="CN9638">
        <v>9637</v>
      </c>
    </row>
    <row r="9639" spans="92:92" x14ac:dyDescent="0.3">
      <c r="CN9639">
        <v>9638</v>
      </c>
    </row>
    <row r="9640" spans="92:92" x14ac:dyDescent="0.3">
      <c r="CN9640">
        <v>9639</v>
      </c>
    </row>
    <row r="9641" spans="92:92" x14ac:dyDescent="0.3">
      <c r="CN9641">
        <v>9640</v>
      </c>
    </row>
    <row r="9642" spans="92:92" x14ac:dyDescent="0.3">
      <c r="CN9642">
        <v>9641</v>
      </c>
    </row>
    <row r="9643" spans="92:92" x14ac:dyDescent="0.3">
      <c r="CN9643">
        <v>9642</v>
      </c>
    </row>
    <row r="9644" spans="92:92" x14ac:dyDescent="0.3">
      <c r="CN9644">
        <v>9643</v>
      </c>
    </row>
    <row r="9645" spans="92:92" x14ac:dyDescent="0.3">
      <c r="CN9645">
        <v>9644</v>
      </c>
    </row>
    <row r="9646" spans="92:92" x14ac:dyDescent="0.3">
      <c r="CN9646">
        <v>9645</v>
      </c>
    </row>
    <row r="9647" spans="92:92" x14ac:dyDescent="0.3">
      <c r="CN9647">
        <v>9646</v>
      </c>
    </row>
    <row r="9648" spans="92:92" x14ac:dyDescent="0.3">
      <c r="CN9648">
        <v>9647</v>
      </c>
    </row>
    <row r="9649" spans="92:92" x14ac:dyDescent="0.3">
      <c r="CN9649">
        <v>9648</v>
      </c>
    </row>
    <row r="9650" spans="92:92" x14ac:dyDescent="0.3">
      <c r="CN9650">
        <v>9649</v>
      </c>
    </row>
    <row r="9651" spans="92:92" x14ac:dyDescent="0.3">
      <c r="CN9651">
        <v>9650</v>
      </c>
    </row>
    <row r="9652" spans="92:92" x14ac:dyDescent="0.3">
      <c r="CN9652">
        <v>9651</v>
      </c>
    </row>
    <row r="9653" spans="92:92" x14ac:dyDescent="0.3">
      <c r="CN9653">
        <v>9652</v>
      </c>
    </row>
    <row r="9654" spans="92:92" x14ac:dyDescent="0.3">
      <c r="CN9654">
        <v>9653</v>
      </c>
    </row>
    <row r="9655" spans="92:92" x14ac:dyDescent="0.3">
      <c r="CN9655">
        <v>9654</v>
      </c>
    </row>
    <row r="9656" spans="92:92" x14ac:dyDescent="0.3">
      <c r="CN9656">
        <v>9655</v>
      </c>
    </row>
    <row r="9657" spans="92:92" x14ac:dyDescent="0.3">
      <c r="CN9657">
        <v>9656</v>
      </c>
    </row>
    <row r="9658" spans="92:92" x14ac:dyDescent="0.3">
      <c r="CN9658">
        <v>9657</v>
      </c>
    </row>
    <row r="9659" spans="92:92" x14ac:dyDescent="0.3">
      <c r="CN9659">
        <v>9658</v>
      </c>
    </row>
    <row r="9660" spans="92:92" x14ac:dyDescent="0.3">
      <c r="CN9660">
        <v>9659</v>
      </c>
    </row>
    <row r="9661" spans="92:92" x14ac:dyDescent="0.3">
      <c r="CN9661">
        <v>9660</v>
      </c>
    </row>
    <row r="9662" spans="92:92" x14ac:dyDescent="0.3">
      <c r="CN9662">
        <v>9661</v>
      </c>
    </row>
    <row r="9663" spans="92:92" x14ac:dyDescent="0.3">
      <c r="CN9663">
        <v>9662</v>
      </c>
    </row>
    <row r="9664" spans="92:92" x14ac:dyDescent="0.3">
      <c r="CN9664">
        <v>9663</v>
      </c>
    </row>
    <row r="9665" spans="92:92" x14ac:dyDescent="0.3">
      <c r="CN9665">
        <v>9664</v>
      </c>
    </row>
    <row r="9666" spans="92:92" x14ac:dyDescent="0.3">
      <c r="CN9666">
        <v>9665</v>
      </c>
    </row>
    <row r="9667" spans="92:92" x14ac:dyDescent="0.3">
      <c r="CN9667">
        <v>9666</v>
      </c>
    </row>
    <row r="9668" spans="92:92" x14ac:dyDescent="0.3">
      <c r="CN9668">
        <v>9667</v>
      </c>
    </row>
    <row r="9669" spans="92:92" x14ac:dyDescent="0.3">
      <c r="CN9669">
        <v>9668</v>
      </c>
    </row>
    <row r="9670" spans="92:92" x14ac:dyDescent="0.3">
      <c r="CN9670">
        <v>9669</v>
      </c>
    </row>
    <row r="9671" spans="92:92" x14ac:dyDescent="0.3">
      <c r="CN9671">
        <v>9670</v>
      </c>
    </row>
    <row r="9672" spans="92:92" x14ac:dyDescent="0.3">
      <c r="CN9672">
        <v>9671</v>
      </c>
    </row>
    <row r="9673" spans="92:92" x14ac:dyDescent="0.3">
      <c r="CN9673">
        <v>9672</v>
      </c>
    </row>
    <row r="9674" spans="92:92" x14ac:dyDescent="0.3">
      <c r="CN9674">
        <v>9673</v>
      </c>
    </row>
    <row r="9675" spans="92:92" x14ac:dyDescent="0.3">
      <c r="CN9675">
        <v>9674</v>
      </c>
    </row>
    <row r="9676" spans="92:92" x14ac:dyDescent="0.3">
      <c r="CN9676">
        <v>9675</v>
      </c>
    </row>
    <row r="9677" spans="92:92" x14ac:dyDescent="0.3">
      <c r="CN9677">
        <v>9676</v>
      </c>
    </row>
    <row r="9678" spans="92:92" x14ac:dyDescent="0.3">
      <c r="CN9678">
        <v>9677</v>
      </c>
    </row>
    <row r="9679" spans="92:92" x14ac:dyDescent="0.3">
      <c r="CN9679">
        <v>9678</v>
      </c>
    </row>
    <row r="9680" spans="92:92" x14ac:dyDescent="0.3">
      <c r="CN9680">
        <v>9679</v>
      </c>
    </row>
    <row r="9681" spans="92:92" x14ac:dyDescent="0.3">
      <c r="CN9681">
        <v>9680</v>
      </c>
    </row>
    <row r="9682" spans="92:92" x14ac:dyDescent="0.3">
      <c r="CN9682">
        <v>9681</v>
      </c>
    </row>
    <row r="9683" spans="92:92" x14ac:dyDescent="0.3">
      <c r="CN9683">
        <v>9682</v>
      </c>
    </row>
    <row r="9684" spans="92:92" x14ac:dyDescent="0.3">
      <c r="CN9684">
        <v>9683</v>
      </c>
    </row>
    <row r="9685" spans="92:92" x14ac:dyDescent="0.3">
      <c r="CN9685">
        <v>9684</v>
      </c>
    </row>
    <row r="9686" spans="92:92" x14ac:dyDescent="0.3">
      <c r="CN9686">
        <v>9685</v>
      </c>
    </row>
    <row r="9687" spans="92:92" x14ac:dyDescent="0.3">
      <c r="CN9687">
        <v>9686</v>
      </c>
    </row>
    <row r="9688" spans="92:92" x14ac:dyDescent="0.3">
      <c r="CN9688">
        <v>9687</v>
      </c>
    </row>
    <row r="9689" spans="92:92" x14ac:dyDescent="0.3">
      <c r="CN9689">
        <v>9688</v>
      </c>
    </row>
    <row r="9690" spans="92:92" x14ac:dyDescent="0.3">
      <c r="CN9690">
        <v>9689</v>
      </c>
    </row>
    <row r="9691" spans="92:92" x14ac:dyDescent="0.3">
      <c r="CN9691">
        <v>9690</v>
      </c>
    </row>
    <row r="9692" spans="92:92" x14ac:dyDescent="0.3">
      <c r="CN9692">
        <v>9691</v>
      </c>
    </row>
    <row r="9693" spans="92:92" x14ac:dyDescent="0.3">
      <c r="CN9693">
        <v>9692</v>
      </c>
    </row>
    <row r="9694" spans="92:92" x14ac:dyDescent="0.3">
      <c r="CN9694">
        <v>9693</v>
      </c>
    </row>
    <row r="9695" spans="92:92" x14ac:dyDescent="0.3">
      <c r="CN9695">
        <v>9694</v>
      </c>
    </row>
    <row r="9696" spans="92:92" x14ac:dyDescent="0.3">
      <c r="CN9696">
        <v>9695</v>
      </c>
    </row>
    <row r="9697" spans="92:92" x14ac:dyDescent="0.3">
      <c r="CN9697">
        <v>9696</v>
      </c>
    </row>
    <row r="9698" spans="92:92" x14ac:dyDescent="0.3">
      <c r="CN9698">
        <v>9697</v>
      </c>
    </row>
    <row r="9699" spans="92:92" x14ac:dyDescent="0.3">
      <c r="CN9699">
        <v>9698</v>
      </c>
    </row>
    <row r="9700" spans="92:92" x14ac:dyDescent="0.3">
      <c r="CN9700">
        <v>9699</v>
      </c>
    </row>
    <row r="9701" spans="92:92" x14ac:dyDescent="0.3">
      <c r="CN9701">
        <v>9700</v>
      </c>
    </row>
    <row r="9702" spans="92:92" x14ac:dyDescent="0.3">
      <c r="CN9702">
        <v>9701</v>
      </c>
    </row>
    <row r="9703" spans="92:92" x14ac:dyDescent="0.3">
      <c r="CN9703">
        <v>9702</v>
      </c>
    </row>
    <row r="9704" spans="92:92" x14ac:dyDescent="0.3">
      <c r="CN9704">
        <v>9703</v>
      </c>
    </row>
    <row r="9705" spans="92:92" x14ac:dyDescent="0.3">
      <c r="CN9705">
        <v>9704</v>
      </c>
    </row>
    <row r="9706" spans="92:92" x14ac:dyDescent="0.3">
      <c r="CN9706">
        <v>9705</v>
      </c>
    </row>
    <row r="9707" spans="92:92" x14ac:dyDescent="0.3">
      <c r="CN9707">
        <v>9706</v>
      </c>
    </row>
    <row r="9708" spans="92:92" x14ac:dyDescent="0.3">
      <c r="CN9708">
        <v>9707</v>
      </c>
    </row>
    <row r="9709" spans="92:92" x14ac:dyDescent="0.3">
      <c r="CN9709">
        <v>9708</v>
      </c>
    </row>
    <row r="9710" spans="92:92" x14ac:dyDescent="0.3">
      <c r="CN9710">
        <v>9709</v>
      </c>
    </row>
    <row r="9711" spans="92:92" x14ac:dyDescent="0.3">
      <c r="CN9711">
        <v>9710</v>
      </c>
    </row>
    <row r="9712" spans="92:92" x14ac:dyDescent="0.3">
      <c r="CN9712">
        <v>9711</v>
      </c>
    </row>
    <row r="9713" spans="92:92" x14ac:dyDescent="0.3">
      <c r="CN9713">
        <v>9712</v>
      </c>
    </row>
    <row r="9714" spans="92:92" x14ac:dyDescent="0.3">
      <c r="CN9714">
        <v>9713</v>
      </c>
    </row>
    <row r="9715" spans="92:92" x14ac:dyDescent="0.3">
      <c r="CN9715">
        <v>9714</v>
      </c>
    </row>
    <row r="9716" spans="92:92" x14ac:dyDescent="0.3">
      <c r="CN9716">
        <v>9715</v>
      </c>
    </row>
    <row r="9717" spans="92:92" x14ac:dyDescent="0.3">
      <c r="CN9717">
        <v>9716</v>
      </c>
    </row>
    <row r="9718" spans="92:92" x14ac:dyDescent="0.3">
      <c r="CN9718">
        <v>9717</v>
      </c>
    </row>
    <row r="9719" spans="92:92" x14ac:dyDescent="0.3">
      <c r="CN9719">
        <v>9718</v>
      </c>
    </row>
    <row r="9720" spans="92:92" x14ac:dyDescent="0.3">
      <c r="CN9720">
        <v>9719</v>
      </c>
    </row>
    <row r="9721" spans="92:92" x14ac:dyDescent="0.3">
      <c r="CN9721">
        <v>9720</v>
      </c>
    </row>
    <row r="9722" spans="92:92" x14ac:dyDescent="0.3">
      <c r="CN9722">
        <v>9721</v>
      </c>
    </row>
    <row r="9723" spans="92:92" x14ac:dyDescent="0.3">
      <c r="CN9723">
        <v>9722</v>
      </c>
    </row>
    <row r="9724" spans="92:92" x14ac:dyDescent="0.3">
      <c r="CN9724">
        <v>9723</v>
      </c>
    </row>
    <row r="9725" spans="92:92" x14ac:dyDescent="0.3">
      <c r="CN9725">
        <v>9724</v>
      </c>
    </row>
    <row r="9726" spans="92:92" x14ac:dyDescent="0.3">
      <c r="CN9726">
        <v>9725</v>
      </c>
    </row>
    <row r="9727" spans="92:92" x14ac:dyDescent="0.3">
      <c r="CN9727">
        <v>9726</v>
      </c>
    </row>
    <row r="9728" spans="92:92" x14ac:dyDescent="0.3">
      <c r="CN9728">
        <v>9727</v>
      </c>
    </row>
    <row r="9729" spans="92:92" x14ac:dyDescent="0.3">
      <c r="CN9729">
        <v>9728</v>
      </c>
    </row>
    <row r="9730" spans="92:92" x14ac:dyDescent="0.3">
      <c r="CN9730">
        <v>9729</v>
      </c>
    </row>
    <row r="9731" spans="92:92" x14ac:dyDescent="0.3">
      <c r="CN9731">
        <v>9730</v>
      </c>
    </row>
    <row r="9732" spans="92:92" x14ac:dyDescent="0.3">
      <c r="CN9732">
        <v>9731</v>
      </c>
    </row>
    <row r="9733" spans="92:92" x14ac:dyDescent="0.3">
      <c r="CN9733">
        <v>9732</v>
      </c>
    </row>
    <row r="9734" spans="92:92" x14ac:dyDescent="0.3">
      <c r="CN9734">
        <v>9733</v>
      </c>
    </row>
    <row r="9735" spans="92:92" x14ac:dyDescent="0.3">
      <c r="CN9735">
        <v>9734</v>
      </c>
    </row>
    <row r="9736" spans="92:92" x14ac:dyDescent="0.3">
      <c r="CN9736">
        <v>9735</v>
      </c>
    </row>
    <row r="9737" spans="92:92" x14ac:dyDescent="0.3">
      <c r="CN9737">
        <v>9736</v>
      </c>
    </row>
    <row r="9738" spans="92:92" x14ac:dyDescent="0.3">
      <c r="CN9738">
        <v>9737</v>
      </c>
    </row>
    <row r="9739" spans="92:92" x14ac:dyDescent="0.3">
      <c r="CN9739">
        <v>9738</v>
      </c>
    </row>
    <row r="9740" spans="92:92" x14ac:dyDescent="0.3">
      <c r="CN9740">
        <v>9739</v>
      </c>
    </row>
    <row r="9741" spans="92:92" x14ac:dyDescent="0.3">
      <c r="CN9741">
        <v>9740</v>
      </c>
    </row>
    <row r="9742" spans="92:92" x14ac:dyDescent="0.3">
      <c r="CN9742">
        <v>9741</v>
      </c>
    </row>
    <row r="9743" spans="92:92" x14ac:dyDescent="0.3">
      <c r="CN9743">
        <v>9742</v>
      </c>
    </row>
    <row r="9744" spans="92:92" x14ac:dyDescent="0.3">
      <c r="CN9744">
        <v>9743</v>
      </c>
    </row>
    <row r="9745" spans="92:92" x14ac:dyDescent="0.3">
      <c r="CN9745">
        <v>9744</v>
      </c>
    </row>
    <row r="9746" spans="92:92" x14ac:dyDescent="0.3">
      <c r="CN9746">
        <v>9745</v>
      </c>
    </row>
    <row r="9747" spans="92:92" x14ac:dyDescent="0.3">
      <c r="CN9747">
        <v>9746</v>
      </c>
    </row>
    <row r="9748" spans="92:92" x14ac:dyDescent="0.3">
      <c r="CN9748">
        <v>9747</v>
      </c>
    </row>
    <row r="9749" spans="92:92" x14ac:dyDescent="0.3">
      <c r="CN9749">
        <v>9748</v>
      </c>
    </row>
    <row r="9750" spans="92:92" x14ac:dyDescent="0.3">
      <c r="CN9750">
        <v>9749</v>
      </c>
    </row>
    <row r="9751" spans="92:92" x14ac:dyDescent="0.3">
      <c r="CN9751">
        <v>9750</v>
      </c>
    </row>
    <row r="9752" spans="92:92" x14ac:dyDescent="0.3">
      <c r="CN9752">
        <v>9751</v>
      </c>
    </row>
    <row r="9753" spans="92:92" x14ac:dyDescent="0.3">
      <c r="CN9753">
        <v>9752</v>
      </c>
    </row>
    <row r="9754" spans="92:92" x14ac:dyDescent="0.3">
      <c r="CN9754">
        <v>9753</v>
      </c>
    </row>
    <row r="9755" spans="92:92" x14ac:dyDescent="0.3">
      <c r="CN9755">
        <v>9754</v>
      </c>
    </row>
    <row r="9756" spans="92:92" x14ac:dyDescent="0.3">
      <c r="CN9756">
        <v>9755</v>
      </c>
    </row>
    <row r="9757" spans="92:92" x14ac:dyDescent="0.3">
      <c r="CN9757">
        <v>9756</v>
      </c>
    </row>
    <row r="9758" spans="92:92" x14ac:dyDescent="0.3">
      <c r="CN9758">
        <v>9757</v>
      </c>
    </row>
    <row r="9759" spans="92:92" x14ac:dyDescent="0.3">
      <c r="CN9759">
        <v>9758</v>
      </c>
    </row>
    <row r="9760" spans="92:92" x14ac:dyDescent="0.3">
      <c r="CN9760">
        <v>9759</v>
      </c>
    </row>
    <row r="9761" spans="92:92" x14ac:dyDescent="0.3">
      <c r="CN9761">
        <v>9760</v>
      </c>
    </row>
    <row r="9762" spans="92:92" x14ac:dyDescent="0.3">
      <c r="CN9762">
        <v>9761</v>
      </c>
    </row>
    <row r="9763" spans="92:92" x14ac:dyDescent="0.3">
      <c r="CN9763">
        <v>9762</v>
      </c>
    </row>
    <row r="9764" spans="92:92" x14ac:dyDescent="0.3">
      <c r="CN9764">
        <v>9763</v>
      </c>
    </row>
    <row r="9765" spans="92:92" x14ac:dyDescent="0.3">
      <c r="CN9765">
        <v>9764</v>
      </c>
    </row>
    <row r="9766" spans="92:92" x14ac:dyDescent="0.3">
      <c r="CN9766">
        <v>9765</v>
      </c>
    </row>
    <row r="9767" spans="92:92" x14ac:dyDescent="0.3">
      <c r="CN9767">
        <v>9766</v>
      </c>
    </row>
    <row r="9768" spans="92:92" x14ac:dyDescent="0.3">
      <c r="CN9768">
        <v>9767</v>
      </c>
    </row>
    <row r="9769" spans="92:92" x14ac:dyDescent="0.3">
      <c r="CN9769">
        <v>9768</v>
      </c>
    </row>
    <row r="9770" spans="92:92" x14ac:dyDescent="0.3">
      <c r="CN9770">
        <v>9769</v>
      </c>
    </row>
    <row r="9771" spans="92:92" x14ac:dyDescent="0.3">
      <c r="CN9771">
        <v>9770</v>
      </c>
    </row>
    <row r="9772" spans="92:92" x14ac:dyDescent="0.3">
      <c r="CN9772">
        <v>9771</v>
      </c>
    </row>
    <row r="9773" spans="92:92" x14ac:dyDescent="0.3">
      <c r="CN9773">
        <v>9772</v>
      </c>
    </row>
    <row r="9774" spans="92:92" x14ac:dyDescent="0.3">
      <c r="CN9774">
        <v>9773</v>
      </c>
    </row>
    <row r="9775" spans="92:92" x14ac:dyDescent="0.3">
      <c r="CN9775">
        <v>9774</v>
      </c>
    </row>
    <row r="9776" spans="92:92" x14ac:dyDescent="0.3">
      <c r="CN9776">
        <v>9775</v>
      </c>
    </row>
    <row r="9777" spans="92:92" x14ac:dyDescent="0.3">
      <c r="CN9777">
        <v>9776</v>
      </c>
    </row>
    <row r="9778" spans="92:92" x14ac:dyDescent="0.3">
      <c r="CN9778">
        <v>9777</v>
      </c>
    </row>
    <row r="9779" spans="92:92" x14ac:dyDescent="0.3">
      <c r="CN9779">
        <v>9778</v>
      </c>
    </row>
    <row r="9780" spans="92:92" x14ac:dyDescent="0.3">
      <c r="CN9780">
        <v>9779</v>
      </c>
    </row>
    <row r="9781" spans="92:92" x14ac:dyDescent="0.3">
      <c r="CN9781">
        <v>9780</v>
      </c>
    </row>
    <row r="9782" spans="92:92" x14ac:dyDescent="0.3">
      <c r="CN9782">
        <v>9781</v>
      </c>
    </row>
    <row r="9783" spans="92:92" x14ac:dyDescent="0.3">
      <c r="CN9783">
        <v>9782</v>
      </c>
    </row>
    <row r="9784" spans="92:92" x14ac:dyDescent="0.3">
      <c r="CN9784">
        <v>9783</v>
      </c>
    </row>
    <row r="9785" spans="92:92" x14ac:dyDescent="0.3">
      <c r="CN9785">
        <v>9784</v>
      </c>
    </row>
    <row r="9786" spans="92:92" x14ac:dyDescent="0.3">
      <c r="CN9786">
        <v>9785</v>
      </c>
    </row>
    <row r="9787" spans="92:92" x14ac:dyDescent="0.3">
      <c r="CN9787">
        <v>9786</v>
      </c>
    </row>
    <row r="9788" spans="92:92" x14ac:dyDescent="0.3">
      <c r="CN9788">
        <v>9787</v>
      </c>
    </row>
    <row r="9789" spans="92:92" x14ac:dyDescent="0.3">
      <c r="CN9789">
        <v>9788</v>
      </c>
    </row>
    <row r="9790" spans="92:92" x14ac:dyDescent="0.3">
      <c r="CN9790">
        <v>9789</v>
      </c>
    </row>
    <row r="9791" spans="92:92" x14ac:dyDescent="0.3">
      <c r="CN9791">
        <v>9790</v>
      </c>
    </row>
    <row r="9792" spans="92:92" x14ac:dyDescent="0.3">
      <c r="CN9792">
        <v>9791</v>
      </c>
    </row>
    <row r="9793" spans="92:92" x14ac:dyDescent="0.3">
      <c r="CN9793">
        <v>9792</v>
      </c>
    </row>
    <row r="9794" spans="92:92" x14ac:dyDescent="0.3">
      <c r="CN9794">
        <v>9793</v>
      </c>
    </row>
    <row r="9795" spans="92:92" x14ac:dyDescent="0.3">
      <c r="CN9795">
        <v>9794</v>
      </c>
    </row>
    <row r="9796" spans="92:92" x14ac:dyDescent="0.3">
      <c r="CN9796">
        <v>9795</v>
      </c>
    </row>
    <row r="9797" spans="92:92" x14ac:dyDescent="0.3">
      <c r="CN9797">
        <v>9796</v>
      </c>
    </row>
    <row r="9798" spans="92:92" x14ac:dyDescent="0.3">
      <c r="CN9798">
        <v>9797</v>
      </c>
    </row>
    <row r="9799" spans="92:92" x14ac:dyDescent="0.3">
      <c r="CN9799">
        <v>9798</v>
      </c>
    </row>
    <row r="9800" spans="92:92" x14ac:dyDescent="0.3">
      <c r="CN9800">
        <v>9799</v>
      </c>
    </row>
    <row r="9801" spans="92:92" x14ac:dyDescent="0.3">
      <c r="CN9801">
        <v>9800</v>
      </c>
    </row>
    <row r="9802" spans="92:92" x14ac:dyDescent="0.3">
      <c r="CN9802">
        <v>9801</v>
      </c>
    </row>
    <row r="9803" spans="92:92" x14ac:dyDescent="0.3">
      <c r="CN9803">
        <v>9802</v>
      </c>
    </row>
    <row r="9804" spans="92:92" x14ac:dyDescent="0.3">
      <c r="CN9804">
        <v>9803</v>
      </c>
    </row>
    <row r="9805" spans="92:92" x14ac:dyDescent="0.3">
      <c r="CN9805">
        <v>9804</v>
      </c>
    </row>
    <row r="9806" spans="92:92" x14ac:dyDescent="0.3">
      <c r="CN9806">
        <v>9805</v>
      </c>
    </row>
    <row r="9807" spans="92:92" x14ac:dyDescent="0.3">
      <c r="CN9807">
        <v>9806</v>
      </c>
    </row>
    <row r="9808" spans="92:92" x14ac:dyDescent="0.3">
      <c r="CN9808">
        <v>9807</v>
      </c>
    </row>
    <row r="9809" spans="92:92" x14ac:dyDescent="0.3">
      <c r="CN9809">
        <v>9808</v>
      </c>
    </row>
    <row r="9810" spans="92:92" x14ac:dyDescent="0.3">
      <c r="CN9810">
        <v>9809</v>
      </c>
    </row>
    <row r="9811" spans="92:92" x14ac:dyDescent="0.3">
      <c r="CN9811">
        <v>9810</v>
      </c>
    </row>
    <row r="9812" spans="92:92" x14ac:dyDescent="0.3">
      <c r="CN9812">
        <v>9811</v>
      </c>
    </row>
    <row r="9813" spans="92:92" x14ac:dyDescent="0.3">
      <c r="CN9813">
        <v>9812</v>
      </c>
    </row>
    <row r="9814" spans="92:92" x14ac:dyDescent="0.3">
      <c r="CN9814">
        <v>9813</v>
      </c>
    </row>
    <row r="9815" spans="92:92" x14ac:dyDescent="0.3">
      <c r="CN9815">
        <v>9814</v>
      </c>
    </row>
    <row r="9816" spans="92:92" x14ac:dyDescent="0.3">
      <c r="CN9816">
        <v>9815</v>
      </c>
    </row>
    <row r="9817" spans="92:92" x14ac:dyDescent="0.3">
      <c r="CN9817">
        <v>9816</v>
      </c>
    </row>
    <row r="9818" spans="92:92" x14ac:dyDescent="0.3">
      <c r="CN9818">
        <v>9817</v>
      </c>
    </row>
    <row r="9819" spans="92:92" x14ac:dyDescent="0.3">
      <c r="CN9819">
        <v>9818</v>
      </c>
    </row>
    <row r="9820" spans="92:92" x14ac:dyDescent="0.3">
      <c r="CN9820">
        <v>9819</v>
      </c>
    </row>
    <row r="9821" spans="92:92" x14ac:dyDescent="0.3">
      <c r="CN9821">
        <v>9820</v>
      </c>
    </row>
    <row r="9822" spans="92:92" x14ac:dyDescent="0.3">
      <c r="CN9822">
        <v>9821</v>
      </c>
    </row>
    <row r="9823" spans="92:92" x14ac:dyDescent="0.3">
      <c r="CN9823">
        <v>9822</v>
      </c>
    </row>
    <row r="9824" spans="92:92" x14ac:dyDescent="0.3">
      <c r="CN9824">
        <v>9823</v>
      </c>
    </row>
    <row r="9825" spans="92:92" x14ac:dyDescent="0.3">
      <c r="CN9825">
        <v>9824</v>
      </c>
    </row>
    <row r="9826" spans="92:92" x14ac:dyDescent="0.3">
      <c r="CN9826">
        <v>9825</v>
      </c>
    </row>
    <row r="9827" spans="92:92" x14ac:dyDescent="0.3">
      <c r="CN9827">
        <v>9826</v>
      </c>
    </row>
    <row r="9828" spans="92:92" x14ac:dyDescent="0.3">
      <c r="CN9828">
        <v>9827</v>
      </c>
    </row>
    <row r="9829" spans="92:92" x14ac:dyDescent="0.3">
      <c r="CN9829">
        <v>9828</v>
      </c>
    </row>
    <row r="9830" spans="92:92" x14ac:dyDescent="0.3">
      <c r="CN9830">
        <v>9829</v>
      </c>
    </row>
    <row r="9831" spans="92:92" x14ac:dyDescent="0.3">
      <c r="CN9831">
        <v>9830</v>
      </c>
    </row>
    <row r="9832" spans="92:92" x14ac:dyDescent="0.3">
      <c r="CN9832">
        <v>9831</v>
      </c>
    </row>
    <row r="9833" spans="92:92" x14ac:dyDescent="0.3">
      <c r="CN9833">
        <v>9832</v>
      </c>
    </row>
    <row r="9834" spans="92:92" x14ac:dyDescent="0.3">
      <c r="CN9834">
        <v>9833</v>
      </c>
    </row>
    <row r="9835" spans="92:92" x14ac:dyDescent="0.3">
      <c r="CN9835">
        <v>9834</v>
      </c>
    </row>
    <row r="9836" spans="92:92" x14ac:dyDescent="0.3">
      <c r="CN9836">
        <v>9835</v>
      </c>
    </row>
    <row r="9837" spans="92:92" x14ac:dyDescent="0.3">
      <c r="CN9837">
        <v>9836</v>
      </c>
    </row>
    <row r="9838" spans="92:92" x14ac:dyDescent="0.3">
      <c r="CN9838">
        <v>9837</v>
      </c>
    </row>
    <row r="9839" spans="92:92" x14ac:dyDescent="0.3">
      <c r="CN9839">
        <v>9838</v>
      </c>
    </row>
    <row r="9840" spans="92:92" x14ac:dyDescent="0.3">
      <c r="CN9840">
        <v>9839</v>
      </c>
    </row>
    <row r="9841" spans="92:92" x14ac:dyDescent="0.3">
      <c r="CN9841">
        <v>9840</v>
      </c>
    </row>
    <row r="9842" spans="92:92" x14ac:dyDescent="0.3">
      <c r="CN9842">
        <v>9841</v>
      </c>
    </row>
    <row r="9843" spans="92:92" x14ac:dyDescent="0.3">
      <c r="CN9843">
        <v>9842</v>
      </c>
    </row>
    <row r="9844" spans="92:92" x14ac:dyDescent="0.3">
      <c r="CN9844">
        <v>9843</v>
      </c>
    </row>
    <row r="9845" spans="92:92" x14ac:dyDescent="0.3">
      <c r="CN9845">
        <v>9844</v>
      </c>
    </row>
    <row r="9846" spans="92:92" x14ac:dyDescent="0.3">
      <c r="CN9846">
        <v>9845</v>
      </c>
    </row>
    <row r="9847" spans="92:92" x14ac:dyDescent="0.3">
      <c r="CN9847">
        <v>9846</v>
      </c>
    </row>
    <row r="9848" spans="92:92" x14ac:dyDescent="0.3">
      <c r="CN9848">
        <v>9847</v>
      </c>
    </row>
    <row r="9849" spans="92:92" x14ac:dyDescent="0.3">
      <c r="CN9849">
        <v>9848</v>
      </c>
    </row>
    <row r="9850" spans="92:92" x14ac:dyDescent="0.3">
      <c r="CN9850">
        <v>9849</v>
      </c>
    </row>
    <row r="9851" spans="92:92" x14ac:dyDescent="0.3">
      <c r="CN9851">
        <v>9850</v>
      </c>
    </row>
    <row r="9852" spans="92:92" x14ac:dyDescent="0.3">
      <c r="CN9852">
        <v>9851</v>
      </c>
    </row>
    <row r="9853" spans="92:92" x14ac:dyDescent="0.3">
      <c r="CN9853">
        <v>9852</v>
      </c>
    </row>
    <row r="9854" spans="92:92" x14ac:dyDescent="0.3">
      <c r="CN9854">
        <v>9853</v>
      </c>
    </row>
    <row r="9855" spans="92:92" x14ac:dyDescent="0.3">
      <c r="CN9855">
        <v>9854</v>
      </c>
    </row>
    <row r="9856" spans="92:92" x14ac:dyDescent="0.3">
      <c r="CN9856">
        <v>9855</v>
      </c>
    </row>
    <row r="9857" spans="92:92" x14ac:dyDescent="0.3">
      <c r="CN9857">
        <v>9856</v>
      </c>
    </row>
    <row r="9858" spans="92:92" x14ac:dyDescent="0.3">
      <c r="CN9858">
        <v>9857</v>
      </c>
    </row>
    <row r="9859" spans="92:92" x14ac:dyDescent="0.3">
      <c r="CN9859">
        <v>9858</v>
      </c>
    </row>
    <row r="9860" spans="92:92" x14ac:dyDescent="0.3">
      <c r="CN9860">
        <v>9859</v>
      </c>
    </row>
    <row r="9861" spans="92:92" x14ac:dyDescent="0.3">
      <c r="CN9861">
        <v>9860</v>
      </c>
    </row>
    <row r="9862" spans="92:92" x14ac:dyDescent="0.3">
      <c r="CN9862">
        <v>9861</v>
      </c>
    </row>
    <row r="9863" spans="92:92" x14ac:dyDescent="0.3">
      <c r="CN9863">
        <v>9862</v>
      </c>
    </row>
    <row r="9864" spans="92:92" x14ac:dyDescent="0.3">
      <c r="CN9864">
        <v>9863</v>
      </c>
    </row>
    <row r="9865" spans="92:92" x14ac:dyDescent="0.3">
      <c r="CN9865">
        <v>9864</v>
      </c>
    </row>
    <row r="9866" spans="92:92" x14ac:dyDescent="0.3">
      <c r="CN9866">
        <v>9865</v>
      </c>
    </row>
    <row r="9867" spans="92:92" x14ac:dyDescent="0.3">
      <c r="CN9867">
        <v>9866</v>
      </c>
    </row>
    <row r="9868" spans="92:92" x14ac:dyDescent="0.3">
      <c r="CN9868">
        <v>9867</v>
      </c>
    </row>
    <row r="9869" spans="92:92" x14ac:dyDescent="0.3">
      <c r="CN9869">
        <v>9868</v>
      </c>
    </row>
    <row r="9870" spans="92:92" x14ac:dyDescent="0.3">
      <c r="CN9870">
        <v>9869</v>
      </c>
    </row>
    <row r="9871" spans="92:92" x14ac:dyDescent="0.3">
      <c r="CN9871">
        <v>9870</v>
      </c>
    </row>
    <row r="9872" spans="92:92" x14ac:dyDescent="0.3">
      <c r="CN9872">
        <v>9871</v>
      </c>
    </row>
    <row r="9873" spans="92:92" x14ac:dyDescent="0.3">
      <c r="CN9873">
        <v>9872</v>
      </c>
    </row>
    <row r="9874" spans="92:92" x14ac:dyDescent="0.3">
      <c r="CN9874">
        <v>9873</v>
      </c>
    </row>
    <row r="9875" spans="92:92" x14ac:dyDescent="0.3">
      <c r="CN9875">
        <v>9874</v>
      </c>
    </row>
    <row r="9876" spans="92:92" x14ac:dyDescent="0.3">
      <c r="CN9876">
        <v>9875</v>
      </c>
    </row>
    <row r="9877" spans="92:92" x14ac:dyDescent="0.3">
      <c r="CN9877">
        <v>9876</v>
      </c>
    </row>
    <row r="9878" spans="92:92" x14ac:dyDescent="0.3">
      <c r="CN9878">
        <v>9877</v>
      </c>
    </row>
    <row r="9879" spans="92:92" x14ac:dyDescent="0.3">
      <c r="CN9879">
        <v>9878</v>
      </c>
    </row>
    <row r="9880" spans="92:92" x14ac:dyDescent="0.3">
      <c r="CN9880">
        <v>9879</v>
      </c>
    </row>
    <row r="9881" spans="92:92" x14ac:dyDescent="0.3">
      <c r="CN9881">
        <v>9880</v>
      </c>
    </row>
    <row r="9882" spans="92:92" x14ac:dyDescent="0.3">
      <c r="CN9882">
        <v>9881</v>
      </c>
    </row>
    <row r="9883" spans="92:92" x14ac:dyDescent="0.3">
      <c r="CN9883">
        <v>9882</v>
      </c>
    </row>
    <row r="9884" spans="92:92" x14ac:dyDescent="0.3">
      <c r="CN9884">
        <v>9883</v>
      </c>
    </row>
    <row r="9885" spans="92:92" x14ac:dyDescent="0.3">
      <c r="CN9885">
        <v>9884</v>
      </c>
    </row>
    <row r="9886" spans="92:92" x14ac:dyDescent="0.3">
      <c r="CN9886">
        <v>9885</v>
      </c>
    </row>
    <row r="9887" spans="92:92" x14ac:dyDescent="0.3">
      <c r="CN9887">
        <v>9886</v>
      </c>
    </row>
    <row r="9888" spans="92:92" x14ac:dyDescent="0.3">
      <c r="CN9888">
        <v>9887</v>
      </c>
    </row>
    <row r="9889" spans="92:92" x14ac:dyDescent="0.3">
      <c r="CN9889">
        <v>9888</v>
      </c>
    </row>
    <row r="9890" spans="92:92" x14ac:dyDescent="0.3">
      <c r="CN9890">
        <v>9889</v>
      </c>
    </row>
    <row r="9891" spans="92:92" x14ac:dyDescent="0.3">
      <c r="CN9891">
        <v>9890</v>
      </c>
    </row>
    <row r="9892" spans="92:92" x14ac:dyDescent="0.3">
      <c r="CN9892">
        <v>9891</v>
      </c>
    </row>
    <row r="9893" spans="92:92" x14ac:dyDescent="0.3">
      <c r="CN9893">
        <v>9892</v>
      </c>
    </row>
    <row r="9894" spans="92:92" x14ac:dyDescent="0.3">
      <c r="CN9894">
        <v>9893</v>
      </c>
    </row>
    <row r="9895" spans="92:92" x14ac:dyDescent="0.3">
      <c r="CN9895">
        <v>9894</v>
      </c>
    </row>
    <row r="9896" spans="92:92" x14ac:dyDescent="0.3">
      <c r="CN9896">
        <v>9895</v>
      </c>
    </row>
    <row r="9897" spans="92:92" x14ac:dyDescent="0.3">
      <c r="CN9897">
        <v>9896</v>
      </c>
    </row>
    <row r="9898" spans="92:92" x14ac:dyDescent="0.3">
      <c r="CN9898">
        <v>9897</v>
      </c>
    </row>
    <row r="9899" spans="92:92" x14ac:dyDescent="0.3">
      <c r="CN9899">
        <v>9898</v>
      </c>
    </row>
    <row r="9900" spans="92:92" x14ac:dyDescent="0.3">
      <c r="CN9900">
        <v>9899</v>
      </c>
    </row>
    <row r="9901" spans="92:92" x14ac:dyDescent="0.3">
      <c r="CN9901">
        <v>9900</v>
      </c>
    </row>
    <row r="9902" spans="92:92" x14ac:dyDescent="0.3">
      <c r="CN9902">
        <v>9901</v>
      </c>
    </row>
    <row r="9903" spans="92:92" x14ac:dyDescent="0.3">
      <c r="CN9903">
        <v>9902</v>
      </c>
    </row>
    <row r="9904" spans="92:92" x14ac:dyDescent="0.3">
      <c r="CN9904">
        <v>9903</v>
      </c>
    </row>
    <row r="9905" spans="92:92" x14ac:dyDescent="0.3">
      <c r="CN9905">
        <v>9904</v>
      </c>
    </row>
    <row r="9906" spans="92:92" x14ac:dyDescent="0.3">
      <c r="CN9906">
        <v>9905</v>
      </c>
    </row>
    <row r="9907" spans="92:92" x14ac:dyDescent="0.3">
      <c r="CN9907">
        <v>9906</v>
      </c>
    </row>
    <row r="9908" spans="92:92" x14ac:dyDescent="0.3">
      <c r="CN9908">
        <v>9907</v>
      </c>
    </row>
    <row r="9909" spans="92:92" x14ac:dyDescent="0.3">
      <c r="CN9909">
        <v>9908</v>
      </c>
    </row>
    <row r="9910" spans="92:92" x14ac:dyDescent="0.3">
      <c r="CN9910">
        <v>9909</v>
      </c>
    </row>
    <row r="9911" spans="92:92" x14ac:dyDescent="0.3">
      <c r="CN9911">
        <v>9910</v>
      </c>
    </row>
    <row r="9912" spans="92:92" x14ac:dyDescent="0.3">
      <c r="CN9912">
        <v>9911</v>
      </c>
    </row>
    <row r="9913" spans="92:92" x14ac:dyDescent="0.3">
      <c r="CN9913">
        <v>9912</v>
      </c>
    </row>
    <row r="9914" spans="92:92" x14ac:dyDescent="0.3">
      <c r="CN9914">
        <v>9913</v>
      </c>
    </row>
    <row r="9915" spans="92:92" x14ac:dyDescent="0.3">
      <c r="CN9915">
        <v>9914</v>
      </c>
    </row>
    <row r="9916" spans="92:92" x14ac:dyDescent="0.3">
      <c r="CN9916">
        <v>9915</v>
      </c>
    </row>
    <row r="9917" spans="92:92" x14ac:dyDescent="0.3">
      <c r="CN9917">
        <v>9916</v>
      </c>
    </row>
    <row r="9918" spans="92:92" x14ac:dyDescent="0.3">
      <c r="CN9918">
        <v>9917</v>
      </c>
    </row>
    <row r="9919" spans="92:92" x14ac:dyDescent="0.3">
      <c r="CN9919">
        <v>9918</v>
      </c>
    </row>
    <row r="9920" spans="92:92" x14ac:dyDescent="0.3">
      <c r="CN9920">
        <v>9919</v>
      </c>
    </row>
    <row r="9921" spans="92:92" x14ac:dyDescent="0.3">
      <c r="CN9921">
        <v>9920</v>
      </c>
    </row>
    <row r="9922" spans="92:92" x14ac:dyDescent="0.3">
      <c r="CN9922">
        <v>9921</v>
      </c>
    </row>
    <row r="9923" spans="92:92" x14ac:dyDescent="0.3">
      <c r="CN9923">
        <v>9922</v>
      </c>
    </row>
    <row r="9924" spans="92:92" x14ac:dyDescent="0.3">
      <c r="CN9924">
        <v>9923</v>
      </c>
    </row>
    <row r="9925" spans="92:92" x14ac:dyDescent="0.3">
      <c r="CN9925">
        <v>9924</v>
      </c>
    </row>
    <row r="9926" spans="92:92" x14ac:dyDescent="0.3">
      <c r="CN9926">
        <v>9925</v>
      </c>
    </row>
    <row r="9927" spans="92:92" x14ac:dyDescent="0.3">
      <c r="CN9927">
        <v>9926</v>
      </c>
    </row>
    <row r="9928" spans="92:92" x14ac:dyDescent="0.3">
      <c r="CN9928">
        <v>9927</v>
      </c>
    </row>
    <row r="9929" spans="92:92" x14ac:dyDescent="0.3">
      <c r="CN9929">
        <v>9928</v>
      </c>
    </row>
    <row r="9930" spans="92:92" x14ac:dyDescent="0.3">
      <c r="CN9930">
        <v>9929</v>
      </c>
    </row>
    <row r="9931" spans="92:92" x14ac:dyDescent="0.3">
      <c r="CN9931">
        <v>9930</v>
      </c>
    </row>
    <row r="9932" spans="92:92" x14ac:dyDescent="0.3">
      <c r="CN9932">
        <v>9931</v>
      </c>
    </row>
    <row r="9933" spans="92:92" x14ac:dyDescent="0.3">
      <c r="CN9933">
        <v>9932</v>
      </c>
    </row>
    <row r="9934" spans="92:92" x14ac:dyDescent="0.3">
      <c r="CN9934">
        <v>9933</v>
      </c>
    </row>
    <row r="9935" spans="92:92" x14ac:dyDescent="0.3">
      <c r="CN9935">
        <v>9934</v>
      </c>
    </row>
    <row r="9936" spans="92:92" x14ac:dyDescent="0.3">
      <c r="CN9936">
        <v>9935</v>
      </c>
    </row>
    <row r="9937" spans="92:92" x14ac:dyDescent="0.3">
      <c r="CN9937">
        <v>9936</v>
      </c>
    </row>
    <row r="9938" spans="92:92" x14ac:dyDescent="0.3">
      <c r="CN9938">
        <v>9937</v>
      </c>
    </row>
    <row r="9939" spans="92:92" x14ac:dyDescent="0.3">
      <c r="CN9939">
        <v>9938</v>
      </c>
    </row>
    <row r="9940" spans="92:92" x14ac:dyDescent="0.3">
      <c r="CN9940">
        <v>9939</v>
      </c>
    </row>
    <row r="9941" spans="92:92" x14ac:dyDescent="0.3">
      <c r="CN9941">
        <v>9940</v>
      </c>
    </row>
    <row r="9942" spans="92:92" x14ac:dyDescent="0.3">
      <c r="CN9942">
        <v>9941</v>
      </c>
    </row>
    <row r="9943" spans="92:92" x14ac:dyDescent="0.3">
      <c r="CN9943">
        <v>9942</v>
      </c>
    </row>
    <row r="9944" spans="92:92" x14ac:dyDescent="0.3">
      <c r="CN9944">
        <v>9943</v>
      </c>
    </row>
    <row r="9945" spans="92:92" x14ac:dyDescent="0.3">
      <c r="CN9945">
        <v>9944</v>
      </c>
    </row>
    <row r="9946" spans="92:92" x14ac:dyDescent="0.3">
      <c r="CN9946">
        <v>9945</v>
      </c>
    </row>
    <row r="9947" spans="92:92" x14ac:dyDescent="0.3">
      <c r="CN9947">
        <v>9946</v>
      </c>
    </row>
    <row r="9948" spans="92:92" x14ac:dyDescent="0.3">
      <c r="CN9948">
        <v>9947</v>
      </c>
    </row>
    <row r="9949" spans="92:92" x14ac:dyDescent="0.3">
      <c r="CN9949">
        <v>9948</v>
      </c>
    </row>
    <row r="9950" spans="92:92" x14ac:dyDescent="0.3">
      <c r="CN9950">
        <v>9949</v>
      </c>
    </row>
    <row r="9951" spans="92:92" x14ac:dyDescent="0.3">
      <c r="CN9951">
        <v>9950</v>
      </c>
    </row>
    <row r="9952" spans="92:92" x14ac:dyDescent="0.3">
      <c r="CN9952">
        <v>9951</v>
      </c>
    </row>
    <row r="9953" spans="92:92" x14ac:dyDescent="0.3">
      <c r="CN9953">
        <v>9952</v>
      </c>
    </row>
    <row r="9954" spans="92:92" x14ac:dyDescent="0.3">
      <c r="CN9954">
        <v>9953</v>
      </c>
    </row>
    <row r="9955" spans="92:92" x14ac:dyDescent="0.3">
      <c r="CN9955">
        <v>9954</v>
      </c>
    </row>
    <row r="9956" spans="92:92" x14ac:dyDescent="0.3">
      <c r="CN9956">
        <v>9955</v>
      </c>
    </row>
    <row r="9957" spans="92:92" x14ac:dyDescent="0.3">
      <c r="CN9957">
        <v>9956</v>
      </c>
    </row>
    <row r="9958" spans="92:92" x14ac:dyDescent="0.3">
      <c r="CN9958">
        <v>9957</v>
      </c>
    </row>
    <row r="9959" spans="92:92" x14ac:dyDescent="0.3">
      <c r="CN9959">
        <v>9958</v>
      </c>
    </row>
    <row r="9960" spans="92:92" x14ac:dyDescent="0.3">
      <c r="CN9960">
        <v>9959</v>
      </c>
    </row>
    <row r="9961" spans="92:92" x14ac:dyDescent="0.3">
      <c r="CN9961">
        <v>9960</v>
      </c>
    </row>
    <row r="9962" spans="92:92" x14ac:dyDescent="0.3">
      <c r="CN9962">
        <v>9961</v>
      </c>
    </row>
    <row r="9963" spans="92:92" x14ac:dyDescent="0.3">
      <c r="CN9963">
        <v>9962</v>
      </c>
    </row>
    <row r="9964" spans="92:92" x14ac:dyDescent="0.3">
      <c r="CN9964">
        <v>9963</v>
      </c>
    </row>
    <row r="9965" spans="92:92" x14ac:dyDescent="0.3">
      <c r="CN9965">
        <v>9964</v>
      </c>
    </row>
    <row r="9966" spans="92:92" x14ac:dyDescent="0.3">
      <c r="CN9966">
        <v>9965</v>
      </c>
    </row>
    <row r="9967" spans="92:92" x14ac:dyDescent="0.3">
      <c r="CN9967">
        <v>9966</v>
      </c>
    </row>
    <row r="9968" spans="92:92" x14ac:dyDescent="0.3">
      <c r="CN9968">
        <v>9967</v>
      </c>
    </row>
    <row r="9969" spans="92:92" x14ac:dyDescent="0.3">
      <c r="CN9969">
        <v>9968</v>
      </c>
    </row>
    <row r="9970" spans="92:92" x14ac:dyDescent="0.3">
      <c r="CN9970">
        <v>9969</v>
      </c>
    </row>
    <row r="9971" spans="92:92" x14ac:dyDescent="0.3">
      <c r="CN9971">
        <v>9970</v>
      </c>
    </row>
    <row r="9972" spans="92:92" x14ac:dyDescent="0.3">
      <c r="CN9972">
        <v>9971</v>
      </c>
    </row>
    <row r="9973" spans="92:92" x14ac:dyDescent="0.3">
      <c r="CN9973">
        <v>9972</v>
      </c>
    </row>
    <row r="9974" spans="92:92" x14ac:dyDescent="0.3">
      <c r="CN9974">
        <v>9973</v>
      </c>
    </row>
    <row r="9975" spans="92:92" x14ac:dyDescent="0.3">
      <c r="CN9975">
        <v>9974</v>
      </c>
    </row>
    <row r="9976" spans="92:92" x14ac:dyDescent="0.3">
      <c r="CN9976">
        <v>9975</v>
      </c>
    </row>
    <row r="9977" spans="92:92" x14ac:dyDescent="0.3">
      <c r="CN9977">
        <v>9976</v>
      </c>
    </row>
    <row r="9978" spans="92:92" x14ac:dyDescent="0.3">
      <c r="CN9978">
        <v>9977</v>
      </c>
    </row>
    <row r="9979" spans="92:92" x14ac:dyDescent="0.3">
      <c r="CN9979">
        <v>9978</v>
      </c>
    </row>
    <row r="9980" spans="92:92" x14ac:dyDescent="0.3">
      <c r="CN9980">
        <v>9979</v>
      </c>
    </row>
    <row r="9981" spans="92:92" x14ac:dyDescent="0.3">
      <c r="CN9981">
        <v>9980</v>
      </c>
    </row>
    <row r="9982" spans="92:92" x14ac:dyDescent="0.3">
      <c r="CN9982">
        <v>9981</v>
      </c>
    </row>
    <row r="9983" spans="92:92" x14ac:dyDescent="0.3">
      <c r="CN9983">
        <v>9982</v>
      </c>
    </row>
    <row r="9984" spans="92:92" x14ac:dyDescent="0.3">
      <c r="CN9984">
        <v>9983</v>
      </c>
    </row>
    <row r="9985" spans="92:92" x14ac:dyDescent="0.3">
      <c r="CN9985">
        <v>9984</v>
      </c>
    </row>
    <row r="9986" spans="92:92" x14ac:dyDescent="0.3">
      <c r="CN9986">
        <v>9985</v>
      </c>
    </row>
    <row r="9987" spans="92:92" x14ac:dyDescent="0.3">
      <c r="CN9987">
        <v>9986</v>
      </c>
    </row>
    <row r="9988" spans="92:92" x14ac:dyDescent="0.3">
      <c r="CN9988">
        <v>9987</v>
      </c>
    </row>
    <row r="9989" spans="92:92" x14ac:dyDescent="0.3">
      <c r="CN9989">
        <v>9988</v>
      </c>
    </row>
    <row r="9990" spans="92:92" x14ac:dyDescent="0.3">
      <c r="CN9990">
        <v>9989</v>
      </c>
    </row>
    <row r="9991" spans="92:92" x14ac:dyDescent="0.3">
      <c r="CN9991">
        <v>9990</v>
      </c>
    </row>
    <row r="9992" spans="92:92" x14ac:dyDescent="0.3">
      <c r="CN9992">
        <v>9991</v>
      </c>
    </row>
    <row r="9993" spans="92:92" x14ac:dyDescent="0.3">
      <c r="CN9993">
        <v>9992</v>
      </c>
    </row>
    <row r="9994" spans="92:92" x14ac:dyDescent="0.3">
      <c r="CN9994">
        <v>9993</v>
      </c>
    </row>
    <row r="9995" spans="92:92" x14ac:dyDescent="0.3">
      <c r="CN9995">
        <v>9994</v>
      </c>
    </row>
    <row r="9996" spans="92:92" x14ac:dyDescent="0.3">
      <c r="CN9996">
        <v>9995</v>
      </c>
    </row>
    <row r="9997" spans="92:92" x14ac:dyDescent="0.3">
      <c r="CN9997">
        <v>9996</v>
      </c>
    </row>
    <row r="9998" spans="92:92" x14ac:dyDescent="0.3">
      <c r="CN9998">
        <v>9997</v>
      </c>
    </row>
    <row r="9999" spans="92:92" x14ac:dyDescent="0.3">
      <c r="CN9999">
        <v>9998</v>
      </c>
    </row>
    <row r="10000" spans="92:92" x14ac:dyDescent="0.3">
      <c r="CN10000">
        <v>9999</v>
      </c>
    </row>
    <row r="10001" spans="92:92" x14ac:dyDescent="0.3">
      <c r="CN10001">
        <v>10000</v>
      </c>
    </row>
  </sheetData>
  <autoFilter ref="A2:AW1439" xr:uid="{C9DCB444-DF10-4476-8F2A-DAC4F512A797}">
    <sortState xmlns:xlrd2="http://schemas.microsoft.com/office/spreadsheetml/2017/richdata2" ref="A3:AW1439">
      <sortCondition ref="F2:F1310"/>
    </sortState>
  </autoFilter>
  <sortState xmlns:xlrd2="http://schemas.microsoft.com/office/spreadsheetml/2017/richdata2" ref="CD11:CD596">
    <sortCondition ref="CD11:CD596"/>
  </sortState>
  <mergeCells count="5">
    <mergeCell ref="A1:J1"/>
    <mergeCell ref="K1:AI1"/>
    <mergeCell ref="AJ1:AP1"/>
    <mergeCell ref="AQ1:AW1"/>
    <mergeCell ref="CK2:CL2"/>
  </mergeCells>
  <phoneticPr fontId="5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4"/>
  <dimension ref="A1:FU603"/>
  <sheetViews>
    <sheetView topLeftCell="DP3" workbookViewId="0">
      <selection activeCell="DX5" sqref="DX5"/>
    </sheetView>
  </sheetViews>
  <sheetFormatPr baseColWidth="10" defaultRowHeight="14.4" x14ac:dyDescent="0.3"/>
  <cols>
    <col min="1" max="1" width="6.5546875" customWidth="1"/>
    <col min="2" max="2" width="29" customWidth="1"/>
    <col min="3" max="3" width="6.88671875" customWidth="1"/>
    <col min="4" max="4" width="16.33203125" customWidth="1"/>
    <col min="5" max="5" width="14.6640625" customWidth="1"/>
    <col min="6" max="6" width="6.6640625" customWidth="1"/>
    <col min="7" max="7" width="18.109375" customWidth="1"/>
    <col min="8" max="8" width="14.88671875" customWidth="1"/>
    <col min="9" max="9" width="7.33203125" customWidth="1"/>
    <col min="10" max="12" width="14.88671875" customWidth="1"/>
    <col min="13" max="13" width="15.109375" style="14" customWidth="1"/>
    <col min="14" max="14" width="11.44140625" style="14"/>
    <col min="22" max="22" width="18.109375" customWidth="1"/>
    <col min="28" max="29" width="13.44140625" customWidth="1"/>
    <col min="30" max="30" width="13.5546875" style="14" customWidth="1"/>
    <col min="31" max="31" width="16.109375" style="14" customWidth="1"/>
    <col min="33" max="37" width="14.33203125" customWidth="1"/>
    <col min="38" max="38" width="14.33203125" style="14" customWidth="1"/>
    <col min="39" max="39" width="8" style="14" customWidth="1"/>
    <col min="60" max="60" width="11.44140625" style="42"/>
    <col min="69" max="69" width="14.33203125" customWidth="1"/>
    <col min="72" max="72" width="13.6640625" customWidth="1"/>
    <col min="87" max="88" width="14.33203125" customWidth="1"/>
    <col min="89" max="90" width="11.44140625" style="14"/>
    <col min="118" max="118" width="11.44140625" style="63"/>
    <col min="128" max="128" width="33.88671875" customWidth="1"/>
    <col min="131" max="131" width="14.109375" customWidth="1"/>
    <col min="148" max="148" width="14" style="14" customWidth="1"/>
    <col min="149" max="149" width="11.44140625" style="14"/>
  </cols>
  <sheetData>
    <row r="1" spans="1:176" ht="21.6" thickBot="1" x14ac:dyDescent="0.45">
      <c r="B1" s="367" t="s">
        <v>555</v>
      </c>
      <c r="C1" s="367"/>
      <c r="D1" s="367"/>
      <c r="E1" s="367"/>
      <c r="F1" s="367"/>
      <c r="G1" s="367"/>
      <c r="H1" s="367"/>
      <c r="I1" s="367"/>
      <c r="J1" s="367"/>
      <c r="K1" s="367"/>
      <c r="L1" s="367"/>
      <c r="M1" s="367"/>
      <c r="N1" s="367"/>
      <c r="O1" s="367"/>
      <c r="P1" s="367"/>
      <c r="Q1" s="367"/>
      <c r="R1" s="367"/>
      <c r="S1" s="367"/>
      <c r="T1" s="367"/>
      <c r="U1" s="367"/>
      <c r="V1" s="367"/>
      <c r="W1" s="367"/>
      <c r="X1" s="367"/>
      <c r="Y1" s="367"/>
      <c r="Z1" s="367"/>
      <c r="AA1" s="367"/>
      <c r="AB1" s="367"/>
      <c r="AC1" s="367"/>
      <c r="AD1" s="367"/>
      <c r="AE1" s="367"/>
      <c r="AF1" s="367"/>
      <c r="AG1" s="367"/>
      <c r="AH1" s="367"/>
      <c r="AI1" s="367"/>
      <c r="AJ1" s="367"/>
      <c r="AK1" s="367"/>
      <c r="AL1" s="367"/>
      <c r="AM1" s="367"/>
      <c r="AN1" s="367"/>
      <c r="AO1" s="367"/>
      <c r="AP1" s="367"/>
      <c r="AQ1" s="367"/>
      <c r="AR1" s="367"/>
      <c r="AS1" s="367"/>
      <c r="AT1" s="367"/>
      <c r="AU1" s="367"/>
      <c r="AV1" s="367"/>
      <c r="AW1" s="367"/>
      <c r="AX1" s="367"/>
      <c r="AY1" s="367"/>
      <c r="AZ1" s="367"/>
      <c r="BA1" s="367"/>
      <c r="BB1" s="367"/>
      <c r="BC1" s="367"/>
      <c r="BD1" s="367"/>
      <c r="BE1" s="367"/>
      <c r="BF1" s="368"/>
      <c r="BH1" s="130"/>
      <c r="BI1" s="367" t="s">
        <v>570</v>
      </c>
      <c r="BJ1" s="367"/>
      <c r="BK1" s="367"/>
      <c r="BL1" s="367"/>
      <c r="BM1" s="367"/>
      <c r="BN1" s="367"/>
      <c r="BO1" s="367"/>
      <c r="BP1" s="367"/>
      <c r="BQ1" s="367"/>
      <c r="BR1" s="367"/>
      <c r="BS1" s="367"/>
      <c r="BT1" s="367"/>
      <c r="BU1" s="367"/>
      <c r="BV1" s="367"/>
      <c r="BW1" s="367"/>
      <c r="BX1" s="367"/>
      <c r="BY1" s="367"/>
      <c r="BZ1" s="367"/>
      <c r="CA1" s="367"/>
      <c r="CB1" s="367"/>
      <c r="CC1" s="367"/>
      <c r="CD1" s="367"/>
      <c r="CE1" s="367"/>
      <c r="CF1" s="367"/>
      <c r="CG1" s="367"/>
      <c r="CH1" s="367"/>
      <c r="CI1" s="367"/>
      <c r="CJ1" s="367"/>
      <c r="CK1" s="367"/>
      <c r="CL1" s="367"/>
      <c r="CM1" s="367"/>
      <c r="CN1" s="367"/>
      <c r="CO1" s="367"/>
      <c r="CP1" s="367"/>
      <c r="CQ1" s="367"/>
      <c r="CR1" s="367"/>
      <c r="CS1" s="367"/>
      <c r="CT1" s="367"/>
      <c r="CU1" s="367"/>
      <c r="CV1" s="367"/>
      <c r="CW1" s="367"/>
      <c r="CX1" s="367"/>
      <c r="CY1" s="367"/>
      <c r="CZ1" s="367"/>
      <c r="DA1" s="367"/>
      <c r="DB1" s="367"/>
      <c r="DC1" s="367"/>
      <c r="DD1" s="367"/>
      <c r="DE1" s="367"/>
      <c r="DF1" s="367"/>
      <c r="DG1" s="367"/>
      <c r="DH1" s="367"/>
      <c r="DI1" s="367"/>
      <c r="DJ1" s="367"/>
      <c r="DK1" s="367"/>
      <c r="DL1" s="367"/>
      <c r="DM1" s="368"/>
      <c r="DN1" s="134"/>
      <c r="DO1" s="133"/>
      <c r="DP1" s="356" t="s">
        <v>571</v>
      </c>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7"/>
    </row>
    <row r="2" spans="1:176" ht="15" thickBot="1" x14ac:dyDescent="0.35">
      <c r="E2" s="42"/>
      <c r="F2" s="372" t="s">
        <v>150</v>
      </c>
      <c r="G2" s="372"/>
      <c r="H2" s="372"/>
      <c r="I2" s="372"/>
      <c r="J2" s="372"/>
      <c r="K2" s="373"/>
      <c r="L2" s="212"/>
      <c r="M2" s="372" t="s">
        <v>566</v>
      </c>
      <c r="N2" s="372"/>
      <c r="O2" s="372"/>
      <c r="P2" s="372"/>
      <c r="Q2" s="372"/>
      <c r="R2" s="372"/>
      <c r="S2" s="372"/>
      <c r="T2" s="372"/>
      <c r="U2" s="372"/>
      <c r="V2" s="372"/>
      <c r="W2" s="373"/>
      <c r="X2" s="201" t="str">
        <f>'Etape 2 - par animal'!$G$27</f>
        <v>Catégorie</v>
      </c>
      <c r="Y2" s="7"/>
      <c r="Z2" s="331" t="s">
        <v>567</v>
      </c>
      <c r="AA2" s="332"/>
      <c r="AB2" s="333"/>
      <c r="AC2" s="212"/>
      <c r="AD2" s="372" t="s">
        <v>1</v>
      </c>
      <c r="AE2" s="372"/>
      <c r="AF2" s="372"/>
      <c r="AG2" s="372"/>
      <c r="AH2" s="372"/>
      <c r="AI2" s="372"/>
      <c r="AJ2" s="373"/>
      <c r="AK2" s="212"/>
      <c r="AL2" s="331" t="s">
        <v>148</v>
      </c>
      <c r="AM2" s="332"/>
      <c r="AN2" s="332"/>
      <c r="AO2" s="332"/>
      <c r="AP2" s="332"/>
      <c r="AQ2" s="332"/>
      <c r="AR2" s="333"/>
      <c r="AU2" s="364" t="s">
        <v>197</v>
      </c>
      <c r="AV2" s="365"/>
      <c r="AW2" s="365"/>
      <c r="AX2" s="365"/>
      <c r="AY2" s="365"/>
      <c r="AZ2" s="365"/>
      <c r="BA2" s="365"/>
      <c r="BB2" s="365"/>
      <c r="BC2" s="365"/>
      <c r="BD2" s="365"/>
      <c r="BE2" s="365"/>
      <c r="BF2" s="366"/>
      <c r="BM2" s="372" t="s">
        <v>150</v>
      </c>
      <c r="BN2" s="372"/>
      <c r="BO2" s="372"/>
      <c r="BP2" s="372"/>
      <c r="BQ2" s="372"/>
      <c r="BR2" s="373"/>
      <c r="BS2" s="212"/>
      <c r="BT2" s="372" t="s">
        <v>566</v>
      </c>
      <c r="BU2" s="372"/>
      <c r="BV2" s="372"/>
      <c r="BW2" s="372"/>
      <c r="BX2" s="372"/>
      <c r="BY2" s="372"/>
      <c r="BZ2" s="372"/>
      <c r="CA2" s="372"/>
      <c r="CB2" s="372"/>
      <c r="CC2" s="372"/>
      <c r="CD2" s="373"/>
      <c r="CE2" s="201" t="str">
        <f>'Etape 2 - par lot'!$G$27</f>
        <v>Catégorie</v>
      </c>
      <c r="CF2" s="73"/>
      <c r="CG2" s="331" t="s">
        <v>567</v>
      </c>
      <c r="CH2" s="332"/>
      <c r="CI2" s="333"/>
      <c r="CJ2" s="212"/>
      <c r="CK2" s="331" t="s">
        <v>1</v>
      </c>
      <c r="CL2" s="332"/>
      <c r="CM2" s="332"/>
      <c r="CN2" s="332"/>
      <c r="CO2" s="332"/>
      <c r="CP2" s="332"/>
      <c r="CQ2" s="333"/>
      <c r="CR2" s="212"/>
      <c r="CS2" s="331" t="s">
        <v>148</v>
      </c>
      <c r="CT2" s="332"/>
      <c r="CU2" s="332"/>
      <c r="CV2" s="332"/>
      <c r="CW2" s="332"/>
      <c r="CX2" s="332"/>
      <c r="CY2" s="333"/>
      <c r="DB2" s="369" t="s">
        <v>197</v>
      </c>
      <c r="DC2" s="370"/>
      <c r="DD2" s="370"/>
      <c r="DE2" s="370"/>
      <c r="DF2" s="370"/>
      <c r="DG2" s="370"/>
      <c r="DH2" s="370"/>
      <c r="DI2" s="370"/>
      <c r="DJ2" s="370"/>
      <c r="DK2" s="370"/>
      <c r="DL2" s="370"/>
      <c r="DM2" s="371"/>
      <c r="DT2" s="331" t="s">
        <v>150</v>
      </c>
      <c r="DU2" s="332"/>
      <c r="DV2" s="332"/>
      <c r="DW2" s="380"/>
      <c r="DX2" s="380"/>
      <c r="DY2" s="381"/>
      <c r="DZ2" s="212"/>
      <c r="EA2" s="372" t="s">
        <v>566</v>
      </c>
      <c r="EB2" s="372"/>
      <c r="EC2" s="372"/>
      <c r="ED2" s="372"/>
      <c r="EE2" s="372"/>
      <c r="EF2" s="372"/>
      <c r="EG2" s="372"/>
      <c r="EH2" s="372"/>
      <c r="EI2" s="372"/>
      <c r="EJ2" s="372"/>
      <c r="EK2" s="373"/>
      <c r="EL2" s="232" t="str">
        <f>'Etape 2 - par kg'!$G$27</f>
        <v>Catégorie</v>
      </c>
      <c r="EM2" s="7"/>
      <c r="EN2" s="331" t="s">
        <v>567</v>
      </c>
      <c r="EO2" s="332"/>
      <c r="EP2" s="333"/>
      <c r="EQ2" s="212"/>
      <c r="ER2" s="361" t="s">
        <v>1</v>
      </c>
      <c r="ES2" s="361"/>
      <c r="ET2" s="361"/>
      <c r="EU2" s="361"/>
      <c r="EV2" s="361"/>
      <c r="EW2" s="361"/>
      <c r="EX2" s="362"/>
      <c r="EY2" s="212"/>
      <c r="EZ2" s="331" t="s">
        <v>148</v>
      </c>
      <c r="FA2" s="332"/>
      <c r="FB2" s="332"/>
      <c r="FC2" s="332"/>
      <c r="FD2" s="332"/>
      <c r="FE2" s="332"/>
      <c r="FF2" s="333"/>
      <c r="FI2" s="358" t="s">
        <v>197</v>
      </c>
      <c r="FJ2" s="359"/>
      <c r="FK2" s="359"/>
      <c r="FL2" s="359"/>
      <c r="FM2" s="359"/>
      <c r="FN2" s="359"/>
      <c r="FO2" s="359"/>
      <c r="FP2" s="359"/>
      <c r="FQ2" s="359"/>
      <c r="FR2" s="359"/>
      <c r="FS2" s="359"/>
      <c r="FT2" s="360"/>
    </row>
    <row r="3" spans="1:176" ht="15" thickBot="1" x14ac:dyDescent="0.35">
      <c r="A3" s="331" t="s">
        <v>51</v>
      </c>
      <c r="B3" s="332"/>
      <c r="C3" s="332"/>
      <c r="D3" s="333"/>
      <c r="F3" s="337" t="s">
        <v>563</v>
      </c>
      <c r="G3" s="335"/>
      <c r="H3" s="338"/>
      <c r="I3" s="337" t="s">
        <v>564</v>
      </c>
      <c r="J3" s="335"/>
      <c r="K3" s="338"/>
      <c r="L3" s="73"/>
      <c r="M3" s="215" t="s">
        <v>4350</v>
      </c>
      <c r="N3" s="216" t="s">
        <v>4349</v>
      </c>
      <c r="O3" s="374" t="s">
        <v>556</v>
      </c>
      <c r="P3" s="374"/>
      <c r="Q3" s="217"/>
      <c r="R3" s="133" t="s">
        <v>559</v>
      </c>
      <c r="S3" s="133" t="s">
        <v>557</v>
      </c>
      <c r="T3" s="134" t="s">
        <v>558</v>
      </c>
      <c r="U3" t="s">
        <v>560</v>
      </c>
      <c r="V3" t="s">
        <v>561</v>
      </c>
      <c r="W3" s="63" t="s">
        <v>562</v>
      </c>
      <c r="X3" s="202" t="str">
        <f>'Etape 2 - par animal'!$M$27</f>
        <v>Toutes</v>
      </c>
      <c r="Y3" s="7"/>
      <c r="Z3" s="42" t="s">
        <v>4349</v>
      </c>
      <c r="AA3" t="s">
        <v>568</v>
      </c>
      <c r="AB3" s="63" t="s">
        <v>569</v>
      </c>
      <c r="AD3" s="213" t="s">
        <v>4350</v>
      </c>
      <c r="AE3" s="218" t="s">
        <v>4349</v>
      </c>
      <c r="AF3" s="345" t="s">
        <v>565</v>
      </c>
      <c r="AG3" s="343"/>
      <c r="AH3" s="206" t="s">
        <v>4349</v>
      </c>
      <c r="AI3" s="342" t="s">
        <v>564</v>
      </c>
      <c r="AJ3" s="343"/>
      <c r="AK3" s="73"/>
      <c r="AL3" s="213" t="s">
        <v>4350</v>
      </c>
      <c r="AM3" s="214" t="s">
        <v>4349</v>
      </c>
      <c r="AN3" s="342" t="s">
        <v>563</v>
      </c>
      <c r="AO3" s="344"/>
      <c r="AP3" s="207" t="s">
        <v>4349</v>
      </c>
      <c r="AQ3" s="342" t="s">
        <v>564</v>
      </c>
      <c r="AR3" s="343"/>
      <c r="AT3" s="35" t="str">
        <f>'Etape 2 - par animal'!G27</f>
        <v>Catégorie</v>
      </c>
      <c r="AU3" s="37" t="str">
        <f>IF('Étape 1 - à remplir'!D16="","Janvier",'Étape 1 - à remplir'!D16)</f>
        <v>Janvier</v>
      </c>
      <c r="AV3" s="37" t="str">
        <f t="shared" ref="AV3:BF3" ca="1" si="0">OFFSET(MOIS,MATCH(AU3,MOIS,0),0,1,1)</f>
        <v>Février</v>
      </c>
      <c r="AW3" s="37" t="str">
        <f t="shared" ca="1" si="0"/>
        <v>Mars</v>
      </c>
      <c r="AX3" s="37" t="str">
        <f t="shared" ca="1" si="0"/>
        <v>Avril</v>
      </c>
      <c r="AY3" s="37" t="str">
        <f t="shared" ca="1" si="0"/>
        <v>Mai</v>
      </c>
      <c r="AZ3" s="37" t="str">
        <f t="shared" ca="1" si="0"/>
        <v>Juin</v>
      </c>
      <c r="BA3" s="37" t="str">
        <f t="shared" ca="1" si="0"/>
        <v>Juillet</v>
      </c>
      <c r="BB3" s="37" t="str">
        <f t="shared" ca="1" si="0"/>
        <v>Août</v>
      </c>
      <c r="BC3" s="37" t="str">
        <f t="shared" ca="1" si="0"/>
        <v>Septembre</v>
      </c>
      <c r="BD3" s="37" t="str">
        <f t="shared" ca="1" si="0"/>
        <v>Octobre</v>
      </c>
      <c r="BE3" s="37" t="str">
        <f t="shared" ca="1" si="0"/>
        <v>Novembre</v>
      </c>
      <c r="BF3" s="37" t="str">
        <f t="shared" ca="1" si="0"/>
        <v>Décembre</v>
      </c>
      <c r="BH3" s="375" t="s">
        <v>51</v>
      </c>
      <c r="BI3" s="372"/>
      <c r="BJ3" s="372"/>
      <c r="BK3" s="376"/>
      <c r="BL3" s="43"/>
      <c r="BM3" s="130" t="s">
        <v>4349</v>
      </c>
      <c r="BN3" s="342" t="s">
        <v>563</v>
      </c>
      <c r="BO3" s="344"/>
      <c r="BP3" s="342" t="s">
        <v>564</v>
      </c>
      <c r="BQ3" s="342"/>
      <c r="BR3" s="343"/>
      <c r="BS3" s="73"/>
      <c r="BT3" s="213" t="s">
        <v>4350</v>
      </c>
      <c r="BU3" s="218" t="s">
        <v>4349</v>
      </c>
      <c r="BV3" s="345" t="s">
        <v>556</v>
      </c>
      <c r="BW3" s="342"/>
      <c r="BX3" s="133"/>
      <c r="BY3" s="133" t="s">
        <v>559</v>
      </c>
      <c r="BZ3" s="133" t="s">
        <v>557</v>
      </c>
      <c r="CA3" s="133" t="s">
        <v>558</v>
      </c>
      <c r="CB3" s="133" t="s">
        <v>560</v>
      </c>
      <c r="CC3" s="133" t="s">
        <v>561</v>
      </c>
      <c r="CD3" s="134" t="s">
        <v>562</v>
      </c>
      <c r="CE3" s="202" t="str">
        <f>'Etape 2 - par lot'!$M$27</f>
        <v>Toutes</v>
      </c>
      <c r="CG3" s="42" t="s">
        <v>4349</v>
      </c>
      <c r="CH3" s="42" t="s">
        <v>568</v>
      </c>
      <c r="CI3" s="63" t="s">
        <v>569</v>
      </c>
      <c r="CK3" s="227" t="s">
        <v>4350</v>
      </c>
      <c r="CL3" s="225" t="s">
        <v>4349</v>
      </c>
      <c r="CM3" s="342" t="s">
        <v>565</v>
      </c>
      <c r="CN3" s="344"/>
      <c r="CO3" s="352" t="s">
        <v>564</v>
      </c>
      <c r="CP3" s="342"/>
      <c r="CQ3" s="343"/>
      <c r="CR3" s="73"/>
      <c r="CS3" s="208" t="s">
        <v>4350</v>
      </c>
      <c r="CT3" s="73" t="s">
        <v>4349</v>
      </c>
      <c r="CU3" s="352" t="s">
        <v>563</v>
      </c>
      <c r="CV3" s="344"/>
      <c r="CW3" s="207"/>
      <c r="CX3" s="342" t="s">
        <v>564</v>
      </c>
      <c r="CY3" s="343"/>
      <c r="DA3" s="35" t="str">
        <f>'Etape 2 - par lot'!G27</f>
        <v>Catégorie</v>
      </c>
      <c r="DB3" s="37" t="str">
        <f t="shared" ref="DB3:DM4" si="1">AU3</f>
        <v>Janvier</v>
      </c>
      <c r="DC3" s="37" t="str">
        <f t="shared" ca="1" si="1"/>
        <v>Février</v>
      </c>
      <c r="DD3" s="37" t="str">
        <f t="shared" ca="1" si="1"/>
        <v>Mars</v>
      </c>
      <c r="DE3" s="37" t="str">
        <f t="shared" ca="1" si="1"/>
        <v>Avril</v>
      </c>
      <c r="DF3" s="37" t="str">
        <f t="shared" ca="1" si="1"/>
        <v>Mai</v>
      </c>
      <c r="DG3" s="37" t="str">
        <f t="shared" ca="1" si="1"/>
        <v>Juin</v>
      </c>
      <c r="DH3" s="37" t="str">
        <f t="shared" ca="1" si="1"/>
        <v>Juillet</v>
      </c>
      <c r="DI3" s="37" t="str">
        <f t="shared" ca="1" si="1"/>
        <v>Août</v>
      </c>
      <c r="DJ3" s="37" t="str">
        <f t="shared" ca="1" si="1"/>
        <v>Septembre</v>
      </c>
      <c r="DK3" s="37" t="str">
        <f t="shared" ca="1" si="1"/>
        <v>Octobre</v>
      </c>
      <c r="DL3" s="37" t="str">
        <f t="shared" ca="1" si="1"/>
        <v>Novembre</v>
      </c>
      <c r="DM3" s="37" t="str">
        <f t="shared" ca="1" si="1"/>
        <v>Décembre</v>
      </c>
      <c r="DO3" s="331" t="s">
        <v>51</v>
      </c>
      <c r="DP3" s="332"/>
      <c r="DQ3" s="332"/>
      <c r="DR3" s="333"/>
      <c r="DT3" s="130" t="s">
        <v>4349</v>
      </c>
      <c r="DU3" s="342" t="s">
        <v>563</v>
      </c>
      <c r="DV3" s="343"/>
      <c r="DW3" s="345" t="s">
        <v>564</v>
      </c>
      <c r="DX3" s="342"/>
      <c r="DY3" s="343"/>
      <c r="DZ3" s="73"/>
      <c r="EA3" s="194" t="s">
        <v>4350</v>
      </c>
      <c r="EB3" s="226" t="s">
        <v>4349</v>
      </c>
      <c r="EC3" s="353" t="s">
        <v>556</v>
      </c>
      <c r="ED3" s="353"/>
      <c r="EF3" t="s">
        <v>559</v>
      </c>
      <c r="EG3" t="s">
        <v>557</v>
      </c>
      <c r="EH3" t="s">
        <v>558</v>
      </c>
      <c r="EI3" t="s">
        <v>560</v>
      </c>
      <c r="EJ3" t="s">
        <v>561</v>
      </c>
      <c r="EK3" s="63" t="s">
        <v>562</v>
      </c>
      <c r="EL3" s="202" t="str">
        <f>'Etape 2 - par kg'!$M$27</f>
        <v>Toutes</v>
      </c>
      <c r="EM3" s="7"/>
      <c r="EN3" s="42" t="s">
        <v>4352</v>
      </c>
      <c r="EO3" t="s">
        <v>568</v>
      </c>
      <c r="EP3" s="63" t="s">
        <v>569</v>
      </c>
      <c r="ER3" s="213" t="s">
        <v>4350</v>
      </c>
      <c r="ES3" s="233" t="s">
        <v>4349</v>
      </c>
      <c r="ET3" s="342" t="s">
        <v>565</v>
      </c>
      <c r="EU3" s="344"/>
      <c r="EV3" s="352" t="s">
        <v>564</v>
      </c>
      <c r="EW3" s="342"/>
      <c r="EX3" s="343"/>
      <c r="EY3" s="73"/>
      <c r="EZ3" s="208"/>
      <c r="FA3" s="209"/>
      <c r="FB3" s="353" t="s">
        <v>563</v>
      </c>
      <c r="FC3" s="354"/>
      <c r="FD3" s="363" t="s">
        <v>564</v>
      </c>
      <c r="FE3" s="353"/>
      <c r="FF3" s="355"/>
      <c r="FH3" s="35" t="str">
        <f>'Etape 2 - par kg'!G27</f>
        <v>Catégorie</v>
      </c>
      <c r="FI3" s="37" t="str">
        <f t="shared" ref="FI3:FT4" si="2">AU3</f>
        <v>Janvier</v>
      </c>
      <c r="FJ3" s="37" t="str">
        <f t="shared" ca="1" si="2"/>
        <v>Février</v>
      </c>
      <c r="FK3" s="37" t="str">
        <f t="shared" ca="1" si="2"/>
        <v>Mars</v>
      </c>
      <c r="FL3" s="37" t="str">
        <f t="shared" ca="1" si="2"/>
        <v>Avril</v>
      </c>
      <c r="FM3" s="37" t="str">
        <f t="shared" ca="1" si="2"/>
        <v>Mai</v>
      </c>
      <c r="FN3" s="37" t="str">
        <f t="shared" ca="1" si="2"/>
        <v>Juin</v>
      </c>
      <c r="FO3" s="37" t="str">
        <f t="shared" ca="1" si="2"/>
        <v>Juillet</v>
      </c>
      <c r="FP3" s="37" t="str">
        <f t="shared" ca="1" si="2"/>
        <v>Août</v>
      </c>
      <c r="FQ3" s="37" t="str">
        <f t="shared" ca="1" si="2"/>
        <v>Septembre</v>
      </c>
      <c r="FR3" s="37" t="str">
        <f t="shared" ca="1" si="2"/>
        <v>Octobre</v>
      </c>
      <c r="FS3" s="37" t="str">
        <f t="shared" ca="1" si="2"/>
        <v>Novembre</v>
      </c>
      <c r="FT3" s="37" t="str">
        <f t="shared" ca="1" si="2"/>
        <v>Décembre</v>
      </c>
    </row>
    <row r="4" spans="1:176" x14ac:dyDescent="0.3">
      <c r="A4" s="42" t="e">
        <f>IF(D4="","",COUNTIF(D$4:D$13,"&gt;"&amp;D4)+COUNTIF(D$4:D4,D4))</f>
        <v>#N/A</v>
      </c>
      <c r="B4" t="str">
        <f>IF('Étape 1 - à remplir'!L19="","",'Étape 1 - à remplir'!L19)</f>
        <v/>
      </c>
      <c r="C4" t="e">
        <f>IF(INDEX('Étape 1 - à remplir'!G$19:L$28,MATCH(MASQ2!B4,'Étape 1 - à remplir'!L$19:L$28,0),1)="animaux",SUMIF('Étape 1 - à remplir'!C$31:C$400,MASQ2!B4,'Étape 1 - à remplir'!F$31:F$400),NA())</f>
        <v>#N/A</v>
      </c>
      <c r="D4" s="63" t="e">
        <f>C4/INDEX('Étape 1 - à remplir'!F$19:L$28,MATCH(MASQ2!B4,'Étape 1 - à remplir'!L$19:L$28,0),1)</f>
        <v>#N/A</v>
      </c>
      <c r="F4" s="118" t="str">
        <f>IFERROR(IF(H4="","",COUNTIF(H$4:H$23,"&gt;"&amp;H4)+COUNTIF(H$4:H4,H4)),"")</f>
        <v/>
      </c>
      <c r="G4" t="str">
        <f>Données_ATB!CG3</f>
        <v>Abcès</v>
      </c>
      <c r="H4" s="76" t="e">
        <f>IF(IF(X$2="Catégorie",IF(X$3="Toutes",SUMIFS('Étape 1 - à remplir'!F$31:F$400,'Étape 1 - à remplir'!D$31:D$400,MASQ2!G4,'Étape 1 - à remplir'!G$31:G$400,"animaux"),SUMIFS('Étape 1 - à remplir'!F$31:F$400,'Étape 1 - à remplir'!D$31:D$400,MASQ2!G4,'Étape 1 - à remplir'!C$31:C$400,X$3)),IF(X$2="Âge",IF(X$3="Tous",SUMIFS('Étape 1 - à remplir'!F$31:F$400,'Étape 1 - à remplir'!D$31:D$400,MASQ2!G4,'Étape 1 - à remplir'!G$31:G$400,"animaux"),SUMIFS('Étape 1 - à remplir'!F$31:F$400,'Étape 1 - à remplir'!D$31:D$400,MASQ2!G4,'Étape 1 - à remplir'!P$31:P$400,X$3)),IF(X$2="Atelier",IF(X$3="Tous",SUMIFS('Étape 1 - à remplir'!F$31:F$400,'Étape 1 - à remplir'!D$31:D$400,MASQ2!G4,'Étape 1 - à remplir'!G$31:G$400,"animaux"),SUMIFS('Étape 1 - à remplir'!F$31:F$400,'Étape 1 - à remplir'!D$31:D$400,MASQ2!G4,'Étape 1 - à remplir'!O$31:O$400,X$3)),IF(X$2="Espèce",IF(X$3="Toutes",SUMIFS('Étape 1 - à remplir'!F$31:F$400,'Étape 1 - à remplir'!D$31:D$400,MASQ2!G4,'Étape 1 - à remplir'!G$31:G$400,"animaux"),SUMIFS('Étape 1 - à remplir'!F$31:F$400,'Étape 1 - à remplir'!D$31:D$400,MASQ2!G4,'Étape 1 - à remplir'!N$31:N$400,X$3))))))=0,NA(),IF(X$2="Catégorie",IF(X$3="Toutes",SUMIFS('Étape 1 - à remplir'!F$31:F$400,'Étape 1 - à remplir'!D$31:D$400,MASQ2!G4,'Étape 1 - à remplir'!G$31:G$400,"animaux"),SUMIFS('Étape 1 - à remplir'!F$31:F$400,'Étape 1 - à remplir'!D$31:D$400,MASQ2!G4,'Étape 1 - à remplir'!C$31:C$400,X$3)),IF(X$2="Âge",IF(X$3="Tous",SUMIFS('Étape 1 - à remplir'!F$31:F$400,'Étape 1 - à remplir'!D$31:D$400,MASQ2!G4,'Étape 1 - à remplir'!G$31:G$400,"animaux"),SUMIFS('Étape 1 - à remplir'!F$31:F$400,'Étape 1 - à remplir'!D$31:D$400,MASQ2!G4,'Étape 1 - à remplir'!P$31:P$400,X$3)),IF(X$2="Atelier",IF(X$3="Tous",SUMIFS('Étape 1 - à remplir'!F$31:F$400,'Étape 1 - à remplir'!D$31:D$400,MASQ2!G4,'Étape 1 - à remplir'!G$31:G$400,"animaux"),SUMIFS('Étape 1 - à remplir'!F$31:F$400,'Étape 1 - à remplir'!D$31:D$400,MASQ2!G4,'Étape 1 - à remplir'!O$31:O$400,X$3)),IF(X$2="Espèce",IF(X$3="Tous",SUMIFS('Étape 1 - à remplir'!F$31:F$400,'Étape 1 - à remplir'!D$31:D$400,MASQ2!G4,'Étape 1 - à remplir'!G$31:G$400,"animaux"),SUMIFS('Étape 1 - à remplir'!F$31:F$400,'Étape 1 - à remplir'!D$31:D$400,MASQ2!G4,'Étape 1 - à remplir'!N$31:N$400,X$3)))))))</f>
        <v>#N/A</v>
      </c>
      <c r="I4" s="118">
        <v>1</v>
      </c>
      <c r="J4" t="e">
        <f>INDEX(F$4:H$23,MATCH(I4,F$4:F$23,0),2)</f>
        <v>#N/A</v>
      </c>
      <c r="K4" s="76" t="e">
        <f>INDEX(F$4:H$23,MATCH(I4,F$4:F$23,0),3)</f>
        <v>#N/A</v>
      </c>
      <c r="M4" s="194" t="str">
        <f ca="1">INDEX(Données_ATB!BD:BU,MATCH(MASQ2!O4,Données_ATB!BD:BD,0),18)</f>
        <v/>
      </c>
      <c r="N4" s="14" t="str">
        <f>IFERROR(IF(Q4=0,"",COUNTIF(Q$4:Q$600,"&gt;"&amp;Q4)+COUNTIF(Q$4:Q4,Q4)),"")</f>
        <v/>
      </c>
      <c r="O4" t="str">
        <f>Données_ATB!BD3</f>
        <v>ACIDE OXOLINIQUE 30 VOLAILLE FRANVET</v>
      </c>
      <c r="P4" t="e">
        <f>IF(IF(X$2="Catégorie",IF(X$3="Toutes",SUMIFS('Étape 1 - à remplir'!$F$31:$F$400,'Étape 1 - à remplir'!$E$31:$E$400,MASQ2!O4,'Étape 1 - à remplir'!$G$31:$G$400,"animaux"),SUMIFS('Étape 1 - à remplir'!$F$31:$F$400,'Étape 1 - à remplir'!$E$31:$E$400,MASQ2!O4,'Étape 1 - à remplir'!$C$31:$C$400,X$3)),IF(X$2="Âge",IF(X$3="Tous",SUMIFS('Étape 1 - à remplir'!$F$31:$F$400,'Étape 1 - à remplir'!$E$31:$E$400,MASQ2!O4,'Étape 1 - à remplir'!$G$31:$G$400,"animaux"),SUMIFS('Étape 1 - à remplir'!$F$31:$F$400,'Étape 1 - à remplir'!$E$31:$E$400,MASQ2!O4,'Étape 1 - à remplir'!$P$31:$P$400,X$3)),IF(X$2="Atelier",IF(X$3="Tous",SUMIFS('Étape 1 - à remplir'!$F$31:$F$400,'Étape 1 - à remplir'!$E$31:$E$400,MASQ2!O4,'Étape 1 - à remplir'!$G$31:$G$400,"animaux"),SUMIFS('Étape 1 - à remplir'!$F$31:$F$400,'Étape 1 - à remplir'!$E$31:$E$400,MASQ2!O4,'Étape 1 - à remplir'!$O$31:$O$400,X$3)),IF(X$2="Espèce",IF(X$3="Toutes",SUMIFS('Étape 1 - à remplir'!$F$31:$F$400,'Étape 1 - à remplir'!$E$31:$E$400,MASQ2!O4,'Étape 1 - à remplir'!$G$31:$G$400,"animaux"),SUMIFS('Étape 1 - à remplir'!$F$31:$F$400,'Étape 1 - à remplir'!$E$31:$E$400,MASQ2!O4,'Étape 1 - à remplir'!$N$31:$N$400,X$3))))))=0,NA(),IF(X$2="Catégorie",IF(X$3="Toutes",SUMIFS('Étape 1 - à remplir'!$F$31:$F$400,'Étape 1 - à remplir'!$E$31:$E$400,MASQ2!O4,'Étape 1 - à remplir'!$G$31:$G$400,"animaux"),SUMIFS('Étape 1 - à remplir'!$F$31:$F$400,'Étape 1 - à remplir'!$E$31:$E$400,MASQ2!O4,'Étape 1 - à remplir'!$C$31:$C$400,X$3)),IF(X$2="Âge",IF(X$3="Tous",SUMIFS('Étape 1 - à remplir'!$F$31:$F$400,'Étape 1 - à remplir'!$E$31:$E$400,MASQ2!O4,'Étape 1 - à remplir'!$G$31:$G$400,"animaux"),SUMIFS('Étape 1 - à remplir'!$F$31:$F$400,'Étape 1 - à remplir'!$E$31:$E$400,MASQ2!O4,'Étape 1 - à remplir'!$P$31:$P$400,X$3)),IF(X$2="Atelier",IF(X$3="Tous",SUMIFS('Étape 1 - à remplir'!$F$31:$F$400,'Étape 1 - à remplir'!$E$31:$E$400,MASQ2!O4,'Étape 1 - à remplir'!$G$31:$G$400,"animaux"),SUMIFS('Étape 1 - à remplir'!$F$31:$F$400,'Étape 1 - à remplir'!$E$31:$E$400,MASQ2!O4,'Étape 1 - à remplir'!$O$31:$O$400,X$3)),IF(X$2="Espèce",IF(X$3="Toutes",SUMIFS('Étape 1 - à remplir'!$F$31:$F$400,'Étape 1 - à remplir'!$E$31:$E$400,MASQ2!O4,'Étape 1 - à remplir'!$G$31:$G$400,"animaux"),SUMIFS('Étape 1 - à remplir'!$F$31:$F$400,'Étape 1 - à remplir'!$E$31:$E$400,MASQ2!O4,'Étape 1 - à remplir'!$N$31:$N$400,X$3)))))))</f>
        <v>#N/A</v>
      </c>
      <c r="Q4" s="63">
        <f>IFERROR(P4,0)</f>
        <v>0</v>
      </c>
      <c r="R4" s="133" t="str">
        <f>Données_ATB!BM3</f>
        <v>Acide oxolinique</v>
      </c>
      <c r="S4" s="133" t="str">
        <f>Données_ATB!BN3</f>
        <v/>
      </c>
      <c r="T4" s="134" t="str">
        <f>Données_ATB!BO3</f>
        <v/>
      </c>
      <c r="U4" s="133" t="str">
        <f>Données_ATB!BQ3</f>
        <v>Quinolones</v>
      </c>
      <c r="V4" s="133" t="str">
        <f>Données_ATB!BR3</f>
        <v/>
      </c>
      <c r="W4" s="134" t="str">
        <f>Données_ATB!BS3</f>
        <v/>
      </c>
      <c r="Z4" s="42">
        <v>1</v>
      </c>
      <c r="AA4" t="e">
        <f>INDEX(N$3:Q$600,MATCH(Z4,N$3:N$600,0),2)</f>
        <v>#N/A</v>
      </c>
      <c r="AB4" s="63" t="e">
        <f>INDEX(N$3:Q$600,MATCH(Z4,N$3:N$600,0),4)</f>
        <v>#N/A</v>
      </c>
      <c r="AD4" s="194" t="str">
        <f>IF(AF4="Colistine","x",IF(INDEX(Données_ATB!CA$3:CB$63,MATCH(AF4,Données_ATB!CA$3:CA$63,0),2)="Fluoroquinolones","x",IF(INDEX(Données_ATB!CA$3:CB$63,MATCH(AF4,Données_ATB!CA$3:CA$63,0),2)="Cephalosporines 3&amp;4G","x","")))</f>
        <v/>
      </c>
      <c r="AE4" s="219" t="str">
        <f>IFERROR(IF(AG4=0,"",COUNTIF(AG$4:AG$64,"&gt;"&amp;AG4)+COUNTIF(AG$4:AG4,AG4)),"")</f>
        <v/>
      </c>
      <c r="AF4" s="42" t="str">
        <f>Données_ATB!CA3</f>
        <v>Amoxicilline</v>
      </c>
      <c r="AG4" s="63" t="e">
        <f>IF(SUMIFS(Q$4:Q$603,R$4:R$603,AF4)+SUMIFS(Q$4:Q$603,S$4:S$603,AF4)+SUMIFS(Q$4:Q$603,T$4:T$603,AF4)=0,NA(),SUMIFS(Q$4:Q$603,R$4:R$603,AF4)+SUMIFS(Q$4:Q$603,S$4:S$603,AF4)+SUMIFS(Q$4:Q$603,T$4:T$603,AF4))</f>
        <v>#N/A</v>
      </c>
      <c r="AH4" s="42">
        <v>1</v>
      </c>
      <c r="AI4" t="e">
        <f>INDEX(AE$4:AG$64,MATCH(AH4,AE$4:AE$64,0),2)</f>
        <v>#N/A</v>
      </c>
      <c r="AJ4" s="63" t="e">
        <f>INDEX(AE$4:AG$64,MATCH(AH4,AE$4:AE$64,0),3)</f>
        <v>#N/A</v>
      </c>
      <c r="AL4" s="194" t="str">
        <f>IF(AN4="Colistine","x",IF(AN4="Fluoroquinolones","x",IF(AN4="Cephalosporines 3&amp;4G","x","")))</f>
        <v/>
      </c>
      <c r="AM4" s="14" t="str">
        <f>IFERROR(IF(AO4=0,"",COUNTIF(AO$4:AO$19,"&gt;"&amp;AO4)+COUNTIF(AO$4:AO4,AO4)),"")</f>
        <v/>
      </c>
      <c r="AN4" t="str">
        <f>Données_ATB!BX3</f>
        <v>Acide clavulanique</v>
      </c>
      <c r="AO4" s="76" t="e">
        <f t="shared" ref="AO4:AO19" si="3">IF(SUMIFS(Q$4:Q$603,U$4:U$603,AN4)+SUMIFS(Q$4:Q$603,V$4:V$603,AN4)+SUMIFS(Q$4:Q$603,W$4:W$603,AN4)=0,NA(),SUMIFS(Q$4:Q$603,U$4:U$603,AN4)+SUMIFS(Q$4:Q$603,V$4:V$603,AN4)+SUMIFS(Q$4:Q$603,W$4:W$603,AN4))</f>
        <v>#N/A</v>
      </c>
      <c r="AP4">
        <v>1</v>
      </c>
      <c r="AQ4" t="e">
        <f>INDEX(AM$4:AO$19,MATCH(AP4,AM$4:AM$19,0),2)</f>
        <v>#N/A</v>
      </c>
      <c r="AR4" s="63" t="e">
        <f>INDEX(AM$4:AO$19,MATCH(AP4,AM$4:AM$19,0),3)</f>
        <v>#N/A</v>
      </c>
      <c r="AT4" s="36" t="str">
        <f>'Etape 2 - par animal'!M27</f>
        <v>Toutes</v>
      </c>
      <c r="AU4" s="38">
        <f>INDEX(Données_ATB!$CI$3:$CJ$26,MATCH(MASQ2!AU$3,Données_ATB!$CI$3:$CI$26,0),2)</f>
        <v>1</v>
      </c>
      <c r="AV4" s="38">
        <f ca="1">INDEX(Données_ATB!$CI$3:$CJ$26,MATCH(MASQ2!AV$3,Données_ATB!$CI$3:$CI$26,0),2)</f>
        <v>2</v>
      </c>
      <c r="AW4" s="38">
        <f ca="1">INDEX(Données_ATB!$CI$3:$CJ$26,MATCH(MASQ2!AW$3,Données_ATB!$CI$3:$CI$26,0),2)</f>
        <v>3</v>
      </c>
      <c r="AX4" s="38">
        <f ca="1">INDEX(Données_ATB!$CI$3:$CJ$26,MATCH(MASQ2!AX$3,Données_ATB!$CI$3:$CI$26,0),2)</f>
        <v>4</v>
      </c>
      <c r="AY4" s="38">
        <f ca="1">INDEX(Données_ATB!$CI$3:$CJ$26,MATCH(MASQ2!AY$3,Données_ATB!$CI$3:$CI$26,0),2)</f>
        <v>5</v>
      </c>
      <c r="AZ4" s="38">
        <f ca="1">INDEX(Données_ATB!$CI$3:$CJ$26,MATCH(MASQ2!AZ$3,Données_ATB!$CI$3:$CI$26,0),2)</f>
        <v>6</v>
      </c>
      <c r="BA4" s="38">
        <f ca="1">INDEX(Données_ATB!$CI$3:$CJ$26,MATCH(MASQ2!BA$3,Données_ATB!$CI$3:$CI$26,0),2)</f>
        <v>7</v>
      </c>
      <c r="BB4" s="38">
        <f ca="1">INDEX(Données_ATB!$CI$3:$CJ$26,MATCH(MASQ2!BB$3,Données_ATB!$CI$3:$CI$26,0),2)</f>
        <v>8</v>
      </c>
      <c r="BC4" s="38">
        <f ca="1">INDEX(Données_ATB!$CI$3:$CJ$26,MATCH(MASQ2!BC$3,Données_ATB!$CI$3:$CI$26,0),2)</f>
        <v>9</v>
      </c>
      <c r="BD4" s="38">
        <f ca="1">INDEX(Données_ATB!$CI$3:$CJ$26,MATCH(MASQ2!BD$3,Données_ATB!$CI$3:$CI$26,0),2)</f>
        <v>10</v>
      </c>
      <c r="BE4" s="38">
        <f ca="1">INDEX(Données_ATB!$CI$3:$CJ$26,MATCH(MASQ2!BE$3,Données_ATB!$CI$3:$CI$26,0),2)</f>
        <v>11</v>
      </c>
      <c r="BF4" s="38">
        <f ca="1">INDEX(Données_ATB!$CI$3:$CJ$26,MATCH(MASQ2!BF$3,Données_ATB!$CI$3:$CI$26,0),2)</f>
        <v>12</v>
      </c>
      <c r="BH4" s="42" t="e">
        <f>IF(BK4="","",COUNTIF(BK$4:BK$13,"&gt;"&amp;BK4)+COUNTIF(BK$4:BK4,BK4))</f>
        <v>#N/A</v>
      </c>
      <c r="BI4" t="str">
        <f>'Étape 1 - à remplir'!L19</f>
        <v/>
      </c>
      <c r="BJ4" t="e">
        <f>IF(INDEX('Étape 1 - à remplir'!G$19:L$28,MATCH(BI4,'Étape 1 - à remplir'!L$19:L$28,0),1)="lots",SUMIF('Étape 1 - à remplir'!C$31:C$400,BI4,'Étape 1 - à remplir'!F$31:F$400),NA())</f>
        <v>#N/A</v>
      </c>
      <c r="BK4" s="76" t="e">
        <f>BJ4/INDEX('Étape 1 - à remplir'!F$19:L$28,MATCH(BI4,'Étape 1 - à remplir'!L$19:L$28,0),1)</f>
        <v>#N/A</v>
      </c>
      <c r="BM4" s="42" t="e">
        <f>IF(BO4="","",COUNTIF(BO$4:BO$23,"&gt;"&amp;BO4)+COUNTIF(BO$4:BO4,BO4))</f>
        <v>#N/A</v>
      </c>
      <c r="BN4" t="str">
        <f t="shared" ref="BN4:BN23" si="4">G4</f>
        <v>Abcès</v>
      </c>
      <c r="BO4" s="76" t="e">
        <f>IF(IF(CE$2="Catégorie",IF(CE$3="Toutes",SUMIFS('Étape 1 - à remplir'!$F$31:$F$400,'Étape 1 - à remplir'!$D$31:$D$400,MASQ2!BN4,'Étape 1 - à remplir'!$G$31:$G$400,"lots"),SUMIFS('Étape 1 - à remplir'!$F$31:$F$400,'Étape 1 - à remplir'!$D$31:$D$400,MASQ2!BN4,'Étape 1 - à remplir'!$C$31:$C$400,CE$3,'Étape 1 - à remplir'!$G$31:$G$400,"lots")),IF(CE$2="Âge",IF(CE$3="Tous",SUMIFS('Étape 1 - à remplir'!$F$31:$F$400,'Étape 1 - à remplir'!$D$31:$D$400,MASQ2!BN4,'Étape 1 - à remplir'!$G$31:$G$400,"lots"),SUMIFS('Étape 1 - à remplir'!$F$31:$F$400,'Étape 1 - à remplir'!$D$31:$D$400,MASQ2!BN4,'Étape 1 - à remplir'!$P$31:$P$400,CE$3,'Étape 1 - à remplir'!$G$31:$G$400,"lots")),IF(CE$2="Atelier",IF(CE$3="Tous",SUMIFS('Étape 1 - à remplir'!$F$31:$F$400,'Étape 1 - à remplir'!$D$31:$D$400,MASQ2!BN4,'Étape 1 - à remplir'!$G$31:$G$400,"lots"),SUMIFS('Étape 1 - à remplir'!$F$31:$F$400,'Étape 1 - à remplir'!$D$31:$D$400,MASQ2!BN4,'Étape 1 - à remplir'!$O$31:$O$400,CE$3,'Étape 1 - à remplir'!$G$31:$G$400,"lots")),IF(CE$2="Espèce",IF(CE$3="Toutes",SUMIFS('Étape 1 - à remplir'!$F$31:$F$400,'Étape 1 - à remplir'!$D$31:$D$400,MASQ2!BN4,'Étape 1 - à remplir'!$G$31:$G$400,"lots"),SUMIFS('Étape 1 - à remplir'!$F$31:$F$400,'Étape 1 - à remplir'!$D$31:$D$400,MASQ2!BN4,'Étape 1 - à remplir'!$N$31:$N$400,CE$3,'Étape 1 - à remplir'!$G$31:$G$400,"lots"))))))=0,NA(),IF(CE$2="Catégorie",IF(CE$3="Toutes",SUMIFS('Étape 1 - à remplir'!$F$31:$F$400,'Étape 1 - à remplir'!$D$31:$D$400,MASQ2!BN4,'Étape 1 - à remplir'!$G$31:$G$400,"lots"),SUMIFS('Étape 1 - à remplir'!$F$31:$F$400,'Étape 1 - à remplir'!$D$31:$D$400,MASQ2!BN4,'Étape 1 - à remplir'!$C$31:$C$400,CE$3,'Étape 1 - à remplir'!$G$31:$G$400,"lots")),IF(CE$2="Âge",IF(CE$3="Tous",SUMIFS('Étape 1 - à remplir'!$F$31:$F$400,'Étape 1 - à remplir'!$D$31:$D$400,MASQ2!BN4,'Étape 1 - à remplir'!$G$31:$G$400,"lots"),SUMIFS('Étape 1 - à remplir'!$F$31:$F$400,'Étape 1 - à remplir'!$D$31:$D$400,MASQ2!BN4,'Étape 1 - à remplir'!$P$31:$P$400,CE$3,'Étape 1 - à remplir'!$G$31:$G$400,"lots")),IF(CE$2="Atelier",IF(CE$3="Tous",SUMIFS('Étape 1 - à remplir'!$F$31:$F$400,'Étape 1 - à remplir'!$D$31:$D$400,MASQ2!BN4,'Étape 1 - à remplir'!$G$31:$G$400,"lots"),SUMIFS('Étape 1 - à remplir'!$F$31:$F$400,'Étape 1 - à remplir'!$D$31:$D$400,MASQ2!BN4,'Étape 1 - à remplir'!$O$31:$O$400,CE$3,'Étape 1 - à remplir'!$G$31:$G$400,"lots")),IF(CE$2="Espèce",IF(CE$3="Toutes",SUMIFS('Étape 1 - à remplir'!$F$31:$F$400,'Étape 1 - à remplir'!$D$31:$D$400,MASQ2!BN4,'Étape 1 - à remplir'!$G$31:$G$400,"lots"),SUMIFS('Étape 1 - à remplir'!$F$31:$F$400,'Étape 1 - à remplir'!$D$31:$D$400,MASQ2!BN4,'Étape 1 - à remplir'!$N$31:$N$400,CE$3,'Étape 1 - à remplir'!$G$31:$G$400,"lots")))))))</f>
        <v>#N/A</v>
      </c>
      <c r="BP4">
        <v>1</v>
      </c>
      <c r="BQ4" t="e">
        <f>INDEX(BM$4:BO$23,MATCH(BP4,BM$4:BM$23,0),2)</f>
        <v>#N/A</v>
      </c>
      <c r="BR4" s="63" t="e">
        <f>INDEX(BM$4:BO$23,MATCH(BP4,BM$4:BM$23,0),3)</f>
        <v>#N/A</v>
      </c>
      <c r="BT4" s="194" t="str">
        <f t="shared" ref="BT4:BT67" ca="1" si="5">M4</f>
        <v/>
      </c>
      <c r="BU4" s="219" t="str">
        <f>IFERROR(IF(BX4=0,"",COUNTIF(BX$4:BX$600,"&gt;"&amp;BX4)+COUNTIF(BX$4:BX4,BX4)),"")</f>
        <v/>
      </c>
      <c r="BV4" s="42" t="str">
        <f t="shared" ref="BV4:BV67" si="6">O4</f>
        <v>ACIDE OXOLINIQUE 30 VOLAILLE FRANVET</v>
      </c>
      <c r="BW4" t="e">
        <f>IF(IF(CE$2="Catégorie",IF(CE$3="Toutes",SUMIFS('Étape 1 - à remplir'!$F$31:$F$400,'Étape 1 - à remplir'!$E$31:$E$400,MASQ2!BV4,'Étape 1 - à remplir'!$G$31:$G$400,"lots"),SUMIFS('Étape 1 - à remplir'!$F$31:$F$400,'Étape 1 - à remplir'!$E$31:$E$400,MASQ2!BV4,'Étape 1 - à remplir'!$C$31:$C$400,CE$3)),IF(CE$2="Âge",IF(CE$3="Tous",SUMIFS('Étape 1 - à remplir'!$F$31:$F$400,'Étape 1 - à remplir'!$E$31:$E$400,MASQ2!BV4,'Étape 1 - à remplir'!$G$31:$G$400,"lots"),SUMIFS('Étape 1 - à remplir'!$F$31:$F$400,'Étape 1 - à remplir'!$E$31:$E$400,MASQ2!BV4,'Étape 1 - à remplir'!$P$31:$P$400,CE$3,'Étape 1 - à remplir'!$G$31:$G$400,"lots")),IF(CE$2="Atelier",IF(CE$3="Tous",SUMIFS('Étape 1 - à remplir'!$F$31:$F$400,'Étape 1 - à remplir'!$E$31:$E$400,MASQ2!BV4,'Étape 1 - à remplir'!$G$31:$G$400,"lots"),SUMIFS('Étape 1 - à remplir'!$F$31:$F$400,'Étape 1 - à remplir'!$E$31:$E$400,MASQ2!BV4,'Étape 1 - à remplir'!$O$31:$O$400,CE$3,'Étape 1 - à remplir'!$G$31:$G$400,"lots")),IF(CE$2="Espèce",IF(CE$3="Toutes",SUMIFS('Étape 1 - à remplir'!$F$31:$F$400,'Étape 1 - à remplir'!$E$31:$E$400,MASQ2!BV4,'Étape 1 - à remplir'!$G$31:$G$400,"lots"),SUMIFS('Étape 1 - à remplir'!$F$31:$F$400,'Étape 1 - à remplir'!$E$31:$E$400,MASQ2!BV4,'Étape 1 - à remplir'!$N$31:$N$400,CE$3,'Étape 1 - à remplir'!$G$31:$G$400,"lots"))))))=0,NA(),IF(CE$2="Catégorie",IF(CE$3="Toutes",SUMIFS('Étape 1 - à remplir'!$F$31:$F$400,'Étape 1 - à remplir'!$E$31:$E$400,MASQ2!BV4,'Étape 1 - à remplir'!$G$31:$G$400,"lots"),SUMIFS('Étape 1 - à remplir'!$F$31:$F$400,'Étape 1 - à remplir'!$E$31:$E$400,MASQ2!BV4,'Étape 1 - à remplir'!$C$31:$C$400,CE$3)),IF(CE$2="Âge",IF(CE$3="Tous",SUMIFS('Étape 1 - à remplir'!$F$31:$F$400,'Étape 1 - à remplir'!$E$31:$E$400,MASQ2!BV4,'Étape 1 - à remplir'!$G$31:$G$400,"lots"),SUMIFS('Étape 1 - à remplir'!$F$31:$F$400,'Étape 1 - à remplir'!$E$31:$E$400,MASQ2!BV4,'Étape 1 - à remplir'!$P$31:$P$400,CE$3,'Étape 1 - à remplir'!$G$31:$G$400,"lots")),IF(CE$2="Atelier",IF(CE$3="Tous",SUMIFS('Étape 1 - à remplir'!$F$31:$F$400,'Étape 1 - à remplir'!$E$31:$E$400,MASQ2!BV4,'Étape 1 - à remplir'!$G$31:$G$400,"lots"),SUMIFS('Étape 1 - à remplir'!$F$31:$F$400,'Étape 1 - à remplir'!$E$31:$E$400,MASQ2!BV4,'Étape 1 - à remplir'!$O$31:$O$400,CE$3,'Étape 1 - à remplir'!$G$31:$G$400,"lots")),IF(CE$2="Espèce",IF(CE$3="Toutes",SUMIFS('Étape 1 - à remplir'!$F$31:$F$400,'Étape 1 - à remplir'!$E$31:$E$400,MASQ2!BV4,'Étape 1 - à remplir'!$G$31:$G$400,"lots"),SUMIFS('Étape 1 - à remplir'!$F$31:$F$400,'Étape 1 - à remplir'!$E$31:$E$400,MASQ2!BV4,'Étape 1 - à remplir'!$N$31:$N$400,CE$3,'Étape 1 - à remplir'!$G$31:$G$400,"lots")))))))</f>
        <v>#N/A</v>
      </c>
      <c r="BX4">
        <f>IFERROR(BW4,0)</f>
        <v>0</v>
      </c>
      <c r="BY4" t="str">
        <f t="shared" ref="BY4:BY67" si="7">R4</f>
        <v>Acide oxolinique</v>
      </c>
      <c r="BZ4" t="str">
        <f t="shared" ref="BZ4:BZ67" si="8">S4</f>
        <v/>
      </c>
      <c r="CA4" t="str">
        <f t="shared" ref="CA4:CA67" si="9">T4</f>
        <v/>
      </c>
      <c r="CB4" t="str">
        <f t="shared" ref="CB4:CB67" si="10">U4</f>
        <v>Quinolones</v>
      </c>
      <c r="CC4" t="str">
        <f t="shared" ref="CC4:CC67" si="11">V4</f>
        <v/>
      </c>
      <c r="CD4" s="63" t="str">
        <f t="shared" ref="CD4:CD67" si="12">W4</f>
        <v/>
      </c>
      <c r="CG4" s="42">
        <v>1</v>
      </c>
      <c r="CH4" s="42" t="e">
        <f>INDEX(BU$3:BX$600,MATCH(CG4,BU$3:BU$600,0),2)</f>
        <v>#N/A</v>
      </c>
      <c r="CI4" s="63" t="e">
        <f>INDEX(BU$3:BX$600,MATCH(CG4,BU$3:BU$600,0),3)</f>
        <v>#N/A</v>
      </c>
      <c r="CK4" s="194" t="str">
        <f t="shared" ref="CK4:CK35" si="13">AD4</f>
        <v/>
      </c>
      <c r="CL4" s="226" t="str">
        <f>IFERROR(IF(CN4=0,"",COUNTIF(CN$4:CN$64,"&gt;"&amp;CN4)+COUNTIF(CN$4:CN4,CN4)),"")</f>
        <v/>
      </c>
      <c r="CM4" t="str">
        <f t="shared" ref="CM4:CM35" si="14">AF4</f>
        <v>Amoxicilline</v>
      </c>
      <c r="CN4" s="76" t="e">
        <f>IF(SUMIFS(BX$4:BX$603,BY$4:BY$603,CM4)+SUMIFS(BX$4:BX$603,BZ$4:BZ$603,CM4)+SUMIFS(BX$4:BX$603,CA$4:CA$603,CM4)=0,NA(),SUMIFS(BX$4:BX$603,BY$4:BY$603,CM4)+SUMIFS(BX$4:BX$603,BZ$4:BZ$603,CM4)+SUMIFS(BX$4:BX$603,CA$4:CA$603,CM4))</f>
        <v>#N/A</v>
      </c>
      <c r="CO4">
        <v>1</v>
      </c>
      <c r="CP4" t="e">
        <f>INDEX(CL$4:CN$64,MATCH(CO4,CL$4:CL$64,0),2)</f>
        <v>#N/A</v>
      </c>
      <c r="CQ4" s="63" t="e">
        <f>INDEX(CL$4:CN$64,MATCH(CO4,CL$4:CL$64,0),3)</f>
        <v>#N/A</v>
      </c>
      <c r="CS4" s="194" t="str">
        <f t="shared" ref="CS4:CS25" si="15">AL4</f>
        <v/>
      </c>
      <c r="CT4" s="14" t="str">
        <f>IFERROR(IF(CV4=0,"",COUNTIF(CV$4:CV$19,"&gt;"&amp;CV4)+COUNTIF(CV$4:CV4,CV4)),"")</f>
        <v/>
      </c>
      <c r="CU4" s="230" t="str">
        <f t="shared" ref="CU4:CU19" si="16">AN4</f>
        <v>Acide clavulanique</v>
      </c>
      <c r="CV4" s="76" t="e">
        <f>IF(SUMIFS(BX$4:BX$603,CB$4:CB$603,CU4)+SUMIFS(BX$4:BX$603,CC$4:CC$603,CU4)+SUMIFS(BX$4:BX$603,CD$4:CD$603,CU4)=0,NA(),SUMIFS(BX$4:BX$603,CB$4:CB$603,CU4)+SUMIFS(BX$4:BX$603,CC$4:CC$603,CU4)+SUMIFS(BX$4:BX$603,CD$4:CD$603,CU4))</f>
        <v>#N/A</v>
      </c>
      <c r="CW4">
        <v>1</v>
      </c>
      <c r="CX4" t="e">
        <f>INDEX(CT$4:CV$19,MATCH(CW4,CT$4:CT$19,0),2)</f>
        <v>#N/A</v>
      </c>
      <c r="CY4" s="63" t="e">
        <f>INDEX(CT$4:CV$19,MATCH(CW4,CT$4:CT$19,0),3)</f>
        <v>#N/A</v>
      </c>
      <c r="DA4" s="36" t="str">
        <f>'Etape 2 - par lot'!M27</f>
        <v>Toutes</v>
      </c>
      <c r="DB4" s="37">
        <f t="shared" si="1"/>
        <v>1</v>
      </c>
      <c r="DC4" s="37">
        <f t="shared" ca="1" si="1"/>
        <v>2</v>
      </c>
      <c r="DD4" s="37">
        <f t="shared" ca="1" si="1"/>
        <v>3</v>
      </c>
      <c r="DE4" s="37">
        <f t="shared" ca="1" si="1"/>
        <v>4</v>
      </c>
      <c r="DF4" s="37">
        <f t="shared" ca="1" si="1"/>
        <v>5</v>
      </c>
      <c r="DG4" s="37">
        <f t="shared" ca="1" si="1"/>
        <v>6</v>
      </c>
      <c r="DH4" s="37">
        <f t="shared" ca="1" si="1"/>
        <v>7</v>
      </c>
      <c r="DI4" s="37">
        <f t="shared" ca="1" si="1"/>
        <v>8</v>
      </c>
      <c r="DJ4" s="37">
        <f t="shared" ca="1" si="1"/>
        <v>9</v>
      </c>
      <c r="DK4" s="37">
        <f t="shared" ca="1" si="1"/>
        <v>10</v>
      </c>
      <c r="DL4" s="37">
        <f t="shared" ca="1" si="1"/>
        <v>11</v>
      </c>
      <c r="DM4" s="37">
        <f t="shared" ca="1" si="1"/>
        <v>12</v>
      </c>
      <c r="DO4" s="42" t="e">
        <f>IF(DR4="","",COUNTIF(DR$4:DR$13,"&gt;"&amp;DR4)+COUNTIF(DR$4:DR4,DR4))</f>
        <v>#N/A</v>
      </c>
      <c r="DP4" t="str">
        <f>'Étape 1 - à remplir'!L19</f>
        <v/>
      </c>
      <c r="DQ4" t="e">
        <f>IF(INDEX('Étape 1 - à remplir'!G$19:L$28,MATCH(DP4,'Étape 1 - à remplir'!L$19:L$28,0),1)="kg",SUMIF('Étape 1 - à remplir'!C$31:C$400,DP4,'Étape 1 - à remplir'!F$31:F$400),NA())</f>
        <v>#N/A</v>
      </c>
      <c r="DR4" s="63" t="e">
        <f>DQ4/INDEX('Étape 1 - à remplir'!F$19:L$28,MATCH(DP4,'Étape 1 - à remplir'!L$19:L$28,0),1)</f>
        <v>#N/A</v>
      </c>
      <c r="DT4" s="42" t="e">
        <f>IF(DV4="","",COUNTIF(DV$4:DV$23,"&gt;"&amp;DV4)+COUNTIF(DV$4:DV4,DV4))</f>
        <v>#N/A</v>
      </c>
      <c r="DU4" t="str">
        <f t="shared" ref="DU4:DU23" si="17">G4</f>
        <v>Abcès</v>
      </c>
      <c r="DV4" s="63" t="e">
        <f>IF(IF(EL$2="Catégorie",IF(EL$3="Toutes",SUMIFS('Étape 1 - à remplir'!$F$31:$F$400,'Étape 1 - à remplir'!$D$31:$D$400,MASQ2!DU4,'Étape 1 - à remplir'!$G$31:$G$400,"kg"),SUMIFS('Étape 1 - à remplir'!$F$31:$F$400,'Étape 1 - à remplir'!$D$31:$D$400,MASQ2!DU4,'Étape 1 - à remplir'!$C$31:$C$400,EL$3,'Étape 1 - à remplir'!$G$31:$G$400,"kg")),IF(EL$2="Âge",IF(EL$3="Tous",SUMIFS('Étape 1 - à remplir'!$F$31:$F$400,'Étape 1 - à remplir'!$D$31:$D$400,MASQ2!DU4,'Étape 1 - à remplir'!$G$31:$G$400,"kg"),SUMIFS('Étape 1 - à remplir'!$F$31:$F$400,'Étape 1 - à remplir'!$D$31:$D$400,MASQ2!DU4,'Étape 1 - à remplir'!$P$31:$P$400,EL$3,'Étape 1 - à remplir'!$G$31:$G$400,"kg")),IF(EL$2="Atelier",IF(EL$3="Tous",SUMIFS('Étape 1 - à remplir'!$F$31:$F$400,'Étape 1 - à remplir'!$D$31:$D$400,MASQ2!DU4,'Étape 1 - à remplir'!$G$31:$G$400,"kg"),SUMIFS('Étape 1 - à remplir'!$F$31:$F$400,'Étape 1 - à remplir'!$D$31:$D$400,MASQ2!DU4,'Étape 1 - à remplir'!$O$31:$O$400,EL$3,'Étape 1 - à remplir'!$G$31:$G$400,"kg")),IF(EL$2="Espèce",IF(EL$3="Toutes",SUMIFS('Étape 1 - à remplir'!$F$31:$F$400,'Étape 1 - à remplir'!$D$31:$D$400,MASQ2!DU4,'Étape 1 - à remplir'!$G$31:$G$400,"kg"),SUMIFS('Étape 1 - à remplir'!$F$31:$F$400,'Étape 1 - à remplir'!$D$31:$D$400,MASQ2!DU4,'Étape 1 - à remplir'!$N$31:$N$400,EL$3,'Étape 1 - à remplir'!$G$31:$G$400,"kg"))))))=0,NA(),IF(EL$2="Catégorie",IF(EL$3="Toutes",SUMIFS('Étape 1 - à remplir'!$F$31:$F$400,'Étape 1 - à remplir'!$D$31:$D$400,MASQ2!DU4,'Étape 1 - à remplir'!$G$31:$G$400,"kg"),SUMIFS('Étape 1 - à remplir'!$F$31:$F$400,'Étape 1 - à remplir'!$D$31:$D$400,MASQ2!DU4,'Étape 1 - à remplir'!$C$31:$C$400,EL$3,'Étape 1 - à remplir'!$G$31:$G$400,"kg")),IF(EL$2="Âge",IF(EL$3="Tous",SUMIFS('Étape 1 - à remplir'!$F$31:$F$400,'Étape 1 - à remplir'!$D$31:$D$400,MASQ2!DU4,'Étape 1 - à remplir'!$G$31:$G$400,"kg"),SUMIFS('Étape 1 - à remplir'!$F$31:$F$400,'Étape 1 - à remplir'!$D$31:$D$400,MASQ2!DU4,'Étape 1 - à remplir'!$P$31:$P$400,EL$3,'Étape 1 - à remplir'!$G$31:$G$400,"kg")),IF(EL$2="Atelier",IF(EL$3="Tous",SUMIFS('Étape 1 - à remplir'!$F$31:$F$400,'Étape 1 - à remplir'!$D$31:$D$400,MASQ2!DU4,'Étape 1 - à remplir'!$G$31:$G$400,"kg"),SUMIFS('Étape 1 - à remplir'!$F$31:$F$400,'Étape 1 - à remplir'!$D$31:$D$400,MASQ2!DU4,'Étape 1 - à remplir'!$O$31:$O$400,EL$3,'Étape 1 - à remplir'!$G$31:$G$400,"kg")),IF(EL$2="Espèce",IF(EL$3="Toutes",SUMIFS('Étape 1 - à remplir'!$F$31:$F$400,'Étape 1 - à remplir'!$D$31:$D$400,MASQ2!DU4,'Étape 1 - à remplir'!$G$31:$G$400,"kg"),SUMIFS('Étape 1 - à remplir'!$F$31:$F$400,'Étape 1 - à remplir'!$D$31:$D$400,MASQ2!DU4,'Étape 1 - à remplir'!$N$31:$N$400,EL$3,'Étape 1 - à remplir'!$G$31:$G$400,"kg")))))))</f>
        <v>#N/A</v>
      </c>
      <c r="DW4" s="42">
        <v>1</v>
      </c>
      <c r="DX4" t="e">
        <f>INDEX(DT$4:DV$23,MATCH(DW4,DT$4:DT$23,0),2)</f>
        <v>#N/A</v>
      </c>
      <c r="DY4" s="63" t="e">
        <f>INDEX(DT$4:DV$23,MATCH(DW4,DT$4:DT$23,0),3)</f>
        <v>#N/A</v>
      </c>
      <c r="EA4" s="194" t="str">
        <f t="shared" ref="EA4:EA67" ca="1" si="18">M4</f>
        <v/>
      </c>
      <c r="EB4" s="226" t="str">
        <f>IFERROR(IF(ED4=0,"",COUNTIF(ED$4:ED$600,"&gt;"&amp;ED4)+COUNTIF(ED$4:ED4,ED4)),"")</f>
        <v/>
      </c>
      <c r="EC4" t="str">
        <f t="shared" ref="EC4:EC67" si="19">O4</f>
        <v>ACIDE OXOLINIQUE 30 VOLAILLE FRANVET</v>
      </c>
      <c r="ED4" t="e">
        <f>IF(IF(EL$2="Catégorie",IF(EL$3="Toutes",SUMIFS('Étape 1 - à remplir'!$F$31:$F$400,'Étape 1 - à remplir'!$E$31:$E$400,MASQ2!EC4,'Étape 1 - à remplir'!$G$31:$G$400,"kg"),SUMIFS('Étape 1 - à remplir'!$F$31:$F$400,'Étape 1 - à remplir'!$E$31:$E$400,MASQ2!EC4,'Étape 1 - à remplir'!$C$31:$C$400,EL$3)),IF(EL$2="Âge",IF(EL$3="Tous",SUMIFS('Étape 1 - à remplir'!$F$31:$F$400,'Étape 1 - à remplir'!$E$31:$E$400,MASQ2!EC4,'Étape 1 - à remplir'!$G$31:$G$400,"kg"),SUMIFS('Étape 1 - à remplir'!$F$31:$F$400,'Étape 1 - à remplir'!$E$31:$E$400,MASQ2!EC4,'Étape 1 - à remplir'!$P$31:$P$400,EL$3,'Étape 1 - à remplir'!$G$31:$G$400,"kg")),IF(EL$2="Atelier",IF(EL$3="Tous",SUMIFS('Étape 1 - à remplir'!$F$31:$F$400,'Étape 1 - à remplir'!$E$31:$E$400,MASQ2!EC4,'Étape 1 - à remplir'!$G$31:$G$400,"kg"),SUMIFS('Étape 1 - à remplir'!$F$31:$F$400,'Étape 1 - à remplir'!$E$31:$E$400,MASQ2!EC4,'Étape 1 - à remplir'!$O$31:$O$400,EL$3,'Étape 1 - à remplir'!$G$31:$G$400,"kg")),IF(EL$2="Espèce",IF(EL$3="Toutes",SUMIFS('Étape 1 - à remplir'!$F$31:$F$400,'Étape 1 - à remplir'!$E$31:$E$400,MASQ2!EC4,'Étape 1 - à remplir'!$G$31:$G$400,"kg"),SUMIFS('Étape 1 - à remplir'!$F$31:$F$400,'Étape 1 - à remplir'!$E$31:$E$400,MASQ2!EC4,'Étape 1 - à remplir'!$N$31:$N$400,EL$3,'Étape 1 - à remplir'!$G$31:$G$400,"kg"))))))=0,NA(),IF(EL$2="Catégorie",IF(EL$3="Toutes",SUMIFS('Étape 1 - à remplir'!$F$31:$F$400,'Étape 1 - à remplir'!$E$31:$E$400,MASQ2!EC4,'Étape 1 - à remplir'!$G$31:$G$400,"kg"),SUMIFS('Étape 1 - à remplir'!$F$31:$F$400,'Étape 1 - à remplir'!$E$31:$E$400,MASQ2!EC4,'Étape 1 - à remplir'!$C$31:$C$400,EL$3)),IF(EL$2="Âge",IF(EL$3="Tous",SUMIFS('Étape 1 - à remplir'!$F$31:$F$400,'Étape 1 - à remplir'!$E$31:$E$400,MASQ2!EC4,'Étape 1 - à remplir'!$G$31:$G$400,"kg"),SUMIFS('Étape 1 - à remplir'!$F$31:$F$400,'Étape 1 - à remplir'!$E$31:$E$400,MASQ2!EC4,'Étape 1 - à remplir'!$P$31:$P$400,EL$3,'Étape 1 - à remplir'!$G$31:$G$400,"kg")),IF(EL$2="Atelier",IF(EL$3="Tous",SUMIFS('Étape 1 - à remplir'!$F$31:$F$400,'Étape 1 - à remplir'!$E$31:$E$400,MASQ2!EC4,'Étape 1 - à remplir'!$G$31:$G$400,"kg"),SUMIFS('Étape 1 - à remplir'!$F$31:$F$400,'Étape 1 - à remplir'!$E$31:$E$400,MASQ2!EC4,'Étape 1 - à remplir'!$O$31:$O$400,EL$3,'Étape 1 - à remplir'!$G$31:$G$400,"kg")),IF(EL$2="Espèce",IF(EL$3="Toutes",SUMIFS('Étape 1 - à remplir'!$F$31:$F$400,'Étape 1 - à remplir'!$E$31:$E$400,MASQ2!EC4,'Étape 1 - à remplir'!$G$31:$G$400,"kg"),SUMIFS('Étape 1 - à remplir'!$F$31:$F$400,'Étape 1 - à remplir'!$E$31:$E$400,MASQ2!EC4,'Étape 1 - à remplir'!$N$31:$N$400,EL$3,'Étape 1 - à remplir'!$G$31:$G$400,"kg")))))))</f>
        <v>#N/A</v>
      </c>
      <c r="EE4" s="76">
        <f>IFERROR(ED4,0)</f>
        <v>0</v>
      </c>
      <c r="EF4" t="str">
        <f t="shared" ref="EF4:EF67" si="20">R4</f>
        <v>Acide oxolinique</v>
      </c>
      <c r="EG4" t="str">
        <f t="shared" ref="EG4:EG67" si="21">S4</f>
        <v/>
      </c>
      <c r="EH4" t="str">
        <f t="shared" ref="EH4:EH67" si="22">T4</f>
        <v/>
      </c>
      <c r="EI4" t="str">
        <f t="shared" ref="EI4:EI67" si="23">U4</f>
        <v>Quinolones</v>
      </c>
      <c r="EJ4" t="str">
        <f t="shared" ref="EJ4:EJ67" si="24">V4</f>
        <v/>
      </c>
      <c r="EK4" s="63" t="str">
        <f t="shared" ref="EK4:EK67" si="25">W4</f>
        <v/>
      </c>
      <c r="EN4" s="42">
        <v>1</v>
      </c>
      <c r="EO4" t="e">
        <f>INDEX(EB$3:EE$600,MATCH(EN4,EB$3:EB$600,0),2)</f>
        <v>#N/A</v>
      </c>
      <c r="EP4" s="63" t="e">
        <f>INDEX(EB$3:EE$600,MATCH(EN4,EB$3:EB$600,0),3)</f>
        <v>#N/A</v>
      </c>
      <c r="ER4" s="194" t="str">
        <f t="shared" ref="ER4:ER35" si="26">AD4</f>
        <v/>
      </c>
      <c r="ES4" s="226" t="str">
        <f>IFERROR(IF(EU4=0,"",COUNTIF(EU$4:EU$64,"&gt;"&amp;EU4)+COUNTIF(EU$4:EU4,EU4)),"")</f>
        <v/>
      </c>
      <c r="ET4" t="str">
        <f t="shared" ref="ET4:ET35" si="27">AF4</f>
        <v>Amoxicilline</v>
      </c>
      <c r="EU4" s="76" t="e">
        <f>IF(SUMIFS(EE$4:EE$603,EF$4:EF$603,ET4)+SUMIFS(EE$4:EE$603,EG$4:EG$603,ET4)+SUMIFS(EE$4:EE$603,EH$4:EH$603,ET4)=0,NA(),SUMIFS(EE$4:EE$603,EF$4:EF$603,ET4)+SUMIFS(EE$4:EE$603,EG$4:EG$603,ET4)+SUMIFS(EE$4:EE$603,EH$4:EH$603,ET4))</f>
        <v>#N/A</v>
      </c>
      <c r="EV4">
        <v>1</v>
      </c>
      <c r="EW4" t="e">
        <f>INDEX(ES$4:EU$64,MATCH(EV4,ES$4:ES$64,0),2)</f>
        <v>#N/A</v>
      </c>
      <c r="EX4" s="63" t="e">
        <f>INDEX(ES$4:EU$64,MATCH(EV4,ES$4:ES$64,0),3)</f>
        <v>#N/A</v>
      </c>
      <c r="EZ4" s="194" t="str">
        <f t="shared" ref="EZ4:EZ25" si="28">AL4</f>
        <v/>
      </c>
      <c r="FA4" s="226" t="str">
        <f>IFERROR(IF(FC4=0,"",COUNTIF(FC$4:FC$19,"&gt;"&amp;FC4)+COUNTIF(FC$4:FC4,FC4)),"")</f>
        <v/>
      </c>
      <c r="FB4" t="str">
        <f t="shared" ref="FB4:FB19" si="29">AN4</f>
        <v>Acide clavulanique</v>
      </c>
      <c r="FC4" s="76" t="e">
        <f>IF(SUMIFS(EE$4:EE$603,EI$4:EI$603,FB4)+SUMIFS(EE$4:EE$603,EJ$4:EJ$603,FB4)+SUMIFS(EE$4:EE$603,EK$4:EK$603,FB4)=0,NA(),SUMIFS(EE$4:EE$603,EI$4:EI$603,FB4)+SUMIFS(EE$4:EE$603,EJ$4:EJ$603,FB4)+SUMIFS(EE$4:EE$603,EK$4:EK$603,FB4))</f>
        <v>#N/A</v>
      </c>
      <c r="FD4">
        <v>1</v>
      </c>
      <c r="FE4" t="e">
        <f>INDEX(FA$4:FC$64,MATCH(FD4,FA$4:FA$64,0),2)</f>
        <v>#N/A</v>
      </c>
      <c r="FF4" s="63" t="e">
        <f>INDEX(FA$4:FC$64,MATCH(FD4,FA$4:FA$64,0),3)</f>
        <v>#N/A</v>
      </c>
      <c r="FH4" s="36" t="str">
        <f>'Etape 2 - par kg'!M27</f>
        <v>Toutes</v>
      </c>
      <c r="FI4" s="205">
        <f t="shared" si="2"/>
        <v>1</v>
      </c>
      <c r="FJ4" s="205">
        <f t="shared" ca="1" si="2"/>
        <v>2</v>
      </c>
      <c r="FK4" s="205">
        <f t="shared" ca="1" si="2"/>
        <v>3</v>
      </c>
      <c r="FL4" s="205">
        <f t="shared" ca="1" si="2"/>
        <v>4</v>
      </c>
      <c r="FM4" s="205">
        <f t="shared" ca="1" si="2"/>
        <v>5</v>
      </c>
      <c r="FN4" s="205">
        <f t="shared" ca="1" si="2"/>
        <v>6</v>
      </c>
      <c r="FO4" s="205">
        <f t="shared" ca="1" si="2"/>
        <v>7</v>
      </c>
      <c r="FP4" s="205">
        <f t="shared" ca="1" si="2"/>
        <v>8</v>
      </c>
      <c r="FQ4" s="205">
        <f t="shared" ca="1" si="2"/>
        <v>9</v>
      </c>
      <c r="FR4" s="205">
        <f t="shared" ca="1" si="2"/>
        <v>10</v>
      </c>
      <c r="FS4" s="205">
        <f t="shared" ca="1" si="2"/>
        <v>11</v>
      </c>
      <c r="FT4" s="205">
        <f t="shared" ca="1" si="2"/>
        <v>12</v>
      </c>
    </row>
    <row r="5" spans="1:176" x14ac:dyDescent="0.3">
      <c r="A5" s="42" t="e">
        <f>IF(D5="","",COUNTIF(D$4:D$13,"&gt;"&amp;D5)+COUNTIF(D$4:D5,D5))</f>
        <v>#N/A</v>
      </c>
      <c r="B5" t="str">
        <f>IF('Étape 1 - à remplir'!L20="","",'Étape 1 - à remplir'!L20)</f>
        <v/>
      </c>
      <c r="C5" t="e">
        <f>IF(INDEX('Étape 1 - à remplir'!G$19:L$28,MATCH(MASQ2!B5,'Étape 1 - à remplir'!L$19:L$28,0),1)="animaux",SUMIF('Étape 1 - à remplir'!C$31:C$400,MASQ2!B5,'Étape 1 - à remplir'!F$31:F$400),NA())</f>
        <v>#N/A</v>
      </c>
      <c r="D5" s="63" t="e">
        <f>C5/INDEX('Étape 1 - à remplir'!F$19:L$28,MATCH(MASQ2!B5,'Étape 1 - à remplir'!L$19:L$28,0),1)</f>
        <v>#N/A</v>
      </c>
      <c r="F5" s="118" t="str">
        <f>IFERROR(IF(H5="","",COUNTIF(H$4:H$23,"&gt;"&amp;H5)+COUNTIF(H$4:H5,H5)),"")</f>
        <v/>
      </c>
      <c r="G5" t="str">
        <f>Données_ATB!CG4</f>
        <v>Arthrites, boiteries</v>
      </c>
      <c r="H5" s="76" t="e">
        <f>IF(IF(X$2="Catégorie",IF(X$3="Toutes",SUMIFS('Étape 1 - à remplir'!F$31:F$400,'Étape 1 - à remplir'!D$31:D$400,MASQ2!G5,'Étape 1 - à remplir'!G$31:G$400,"animaux"),SUMIFS('Étape 1 - à remplir'!F$31:F$400,'Étape 1 - à remplir'!D$31:D$400,MASQ2!G5,'Étape 1 - à remplir'!C$31:C$400,X$3)),IF(X$2="Âge",IF(X$3="Tous",SUMIFS('Étape 1 - à remplir'!F$31:F$400,'Étape 1 - à remplir'!D$31:D$400,MASQ2!G5,'Étape 1 - à remplir'!G$31:G$400,"animaux"),SUMIFS('Étape 1 - à remplir'!F$31:F$400,'Étape 1 - à remplir'!D$31:D$400,MASQ2!G5,'Étape 1 - à remplir'!P$31:P$400,X$3)),IF(X$2="Atelier",IF(X$3="Tous",SUMIFS('Étape 1 - à remplir'!F$31:F$400,'Étape 1 - à remplir'!D$31:D$400,MASQ2!G5,'Étape 1 - à remplir'!G$31:G$400,"animaux"),SUMIFS('Étape 1 - à remplir'!F$31:F$400,'Étape 1 - à remplir'!D$31:D$400,MASQ2!G5,'Étape 1 - à remplir'!O$31:O$400,X$3)),IF(X$2="Espèce",IF(X$3="Toutes",SUMIFS('Étape 1 - à remplir'!F$31:F$400,'Étape 1 - à remplir'!D$31:D$400,MASQ2!G5,'Étape 1 - à remplir'!G$31:G$400,"animaux"),SUMIFS('Étape 1 - à remplir'!F$31:F$400,'Étape 1 - à remplir'!D$31:D$400,MASQ2!G5,'Étape 1 - à remplir'!N$31:N$400,X$3))))))=0,NA(),IF(X$2="Catégorie",IF(X$3="Toutes",SUMIFS('Étape 1 - à remplir'!F$31:F$400,'Étape 1 - à remplir'!D$31:D$400,MASQ2!G5,'Étape 1 - à remplir'!G$31:G$400,"animaux"),SUMIFS('Étape 1 - à remplir'!F$31:F$400,'Étape 1 - à remplir'!D$31:D$400,MASQ2!G5,'Étape 1 - à remplir'!C$31:C$400,X$3)),IF(X$2="Âge",IF(X$3="Tous",SUMIFS('Étape 1 - à remplir'!F$31:F$400,'Étape 1 - à remplir'!D$31:D$400,MASQ2!G5,'Étape 1 - à remplir'!G$31:G$400,"animaux"),SUMIFS('Étape 1 - à remplir'!F$31:F$400,'Étape 1 - à remplir'!D$31:D$400,MASQ2!G5,'Étape 1 - à remplir'!P$31:P$400,X$3)),IF(X$2="Atelier",IF(X$3="Tous",SUMIFS('Étape 1 - à remplir'!F$31:F$400,'Étape 1 - à remplir'!D$31:D$400,MASQ2!G5,'Étape 1 - à remplir'!G$31:G$400,"animaux"),SUMIFS('Étape 1 - à remplir'!F$31:F$400,'Étape 1 - à remplir'!D$31:D$400,MASQ2!G5,'Étape 1 - à remplir'!O$31:O$400,X$3)),IF(X$2="Espèce",IF(X$3="Tous",SUMIFS('Étape 1 - à remplir'!F$31:F$400,'Étape 1 - à remplir'!D$31:D$400,MASQ2!G5,'Étape 1 - à remplir'!G$31:G$400,"animaux"),SUMIFS('Étape 1 - à remplir'!F$31:F$400,'Étape 1 - à remplir'!D$31:D$400,MASQ2!G5,'Étape 1 - à remplir'!N$31:N$400,X$3)))))))</f>
        <v>#N/A</v>
      </c>
      <c r="I5" s="118">
        <v>2</v>
      </c>
      <c r="J5" t="e">
        <f t="shared" ref="J5:J8" si="30">INDEX(F$4:H$23,MATCH(I5,F$4:F$23,0),2)</f>
        <v>#N/A</v>
      </c>
      <c r="K5" s="76" t="e">
        <f t="shared" ref="K5:K8" si="31">INDEX(F$4:H$23,MATCH(I5,F$4:F$23,0),3)</f>
        <v>#N/A</v>
      </c>
      <c r="M5" s="194" t="str">
        <f ca="1">INDEX(Données_ATB!BD:BU,MATCH(MASQ2!O5,Données_ATB!BD:BD,0),18)</f>
        <v/>
      </c>
      <c r="N5" s="14" t="str">
        <f>IFERROR(IF(Q5=0,"",COUNTIF(Q$4:Q$600,"&gt;"&amp;Q5)+COUNTIF(Q$4:Q5,Q5)),"")</f>
        <v/>
      </c>
      <c r="O5" t="str">
        <f>Données_ATB!BD4</f>
        <v>ACIDE OXOLINIQUE 60 PORC FRANVET</v>
      </c>
      <c r="P5" t="e">
        <f>IF(IF(X$2="Catégorie",IF(X$3="Toutes",SUMIFS('Étape 1 - à remplir'!$F$31:$F$400,'Étape 1 - à remplir'!$E$31:$E$400,MASQ2!O5,'Étape 1 - à remplir'!$G$31:$G$400,"animaux"),SUMIFS('Étape 1 - à remplir'!$F$31:$F$400,'Étape 1 - à remplir'!$E$31:$E$400,MASQ2!O5,'Étape 1 - à remplir'!$C$31:$C$400,X$3)),IF(X$2="Âge",IF(X$3="Tous",SUMIFS('Étape 1 - à remplir'!$F$31:$F$400,'Étape 1 - à remplir'!$E$31:$E$400,MASQ2!O5,'Étape 1 - à remplir'!$G$31:$G$400,"animaux"),SUMIFS('Étape 1 - à remplir'!$F$31:$F$400,'Étape 1 - à remplir'!$E$31:$E$400,MASQ2!O5,'Étape 1 - à remplir'!$P$31:$P$400,X$3)),IF(X$2="Atelier",IF(X$3="Tous",SUMIFS('Étape 1 - à remplir'!$F$31:$F$400,'Étape 1 - à remplir'!$E$31:$E$400,MASQ2!O5,'Étape 1 - à remplir'!$G$31:$G$400,"animaux"),SUMIFS('Étape 1 - à remplir'!$F$31:$F$400,'Étape 1 - à remplir'!$E$31:$E$400,MASQ2!O5,'Étape 1 - à remplir'!$O$31:$O$400,X$3)),IF(X$2="Espèce",IF(X$3="Toutes",SUMIFS('Étape 1 - à remplir'!$F$31:$F$400,'Étape 1 - à remplir'!$E$31:$E$400,MASQ2!O5,'Étape 1 - à remplir'!$G$31:$G$400,"animaux"),SUMIFS('Étape 1 - à remplir'!$F$31:$F$400,'Étape 1 - à remplir'!$E$31:$E$400,MASQ2!O5,'Étape 1 - à remplir'!$N$31:$N$400,X$3))))))=0,NA(),IF(X$2="Catégorie",IF(X$3="Toutes",SUMIFS('Étape 1 - à remplir'!$F$31:$F$400,'Étape 1 - à remplir'!$E$31:$E$400,MASQ2!O5,'Étape 1 - à remplir'!$G$31:$G$400,"animaux"),SUMIFS('Étape 1 - à remplir'!$F$31:$F$400,'Étape 1 - à remplir'!$E$31:$E$400,MASQ2!O5,'Étape 1 - à remplir'!$C$31:$C$400,X$3)),IF(X$2="Âge",IF(X$3="Tous",SUMIFS('Étape 1 - à remplir'!$F$31:$F$400,'Étape 1 - à remplir'!$E$31:$E$400,MASQ2!O5,'Étape 1 - à remplir'!$G$31:$G$400,"animaux"),SUMIFS('Étape 1 - à remplir'!$F$31:$F$400,'Étape 1 - à remplir'!$E$31:$E$400,MASQ2!O5,'Étape 1 - à remplir'!$P$31:$P$400,X$3)),IF(X$2="Atelier",IF(X$3="Tous",SUMIFS('Étape 1 - à remplir'!$F$31:$F$400,'Étape 1 - à remplir'!$E$31:$E$400,MASQ2!O5,'Étape 1 - à remplir'!$G$31:$G$400,"animaux"),SUMIFS('Étape 1 - à remplir'!$F$31:$F$400,'Étape 1 - à remplir'!$E$31:$E$400,MASQ2!O5,'Étape 1 - à remplir'!$O$31:$O$400,X$3)),IF(X$2="Espèce",IF(X$3="Toutes",SUMIFS('Étape 1 - à remplir'!$F$31:$F$400,'Étape 1 - à remplir'!$E$31:$E$400,MASQ2!O5,'Étape 1 - à remplir'!$G$31:$G$400,"animaux"),SUMIFS('Étape 1 - à remplir'!$F$31:$F$400,'Étape 1 - à remplir'!$E$31:$E$400,MASQ2!O5,'Étape 1 - à remplir'!$N$31:$N$400,X$3)))))))</f>
        <v>#N/A</v>
      </c>
      <c r="Q5" s="63">
        <f>IFERROR(P5,0)</f>
        <v>0</v>
      </c>
      <c r="R5" t="str">
        <f>Données_ATB!BM4</f>
        <v>Acide oxolinique</v>
      </c>
      <c r="S5" t="str">
        <f>Données_ATB!BN4</f>
        <v/>
      </c>
      <c r="T5" s="63" t="str">
        <f>Données_ATB!BO4</f>
        <v/>
      </c>
      <c r="U5" s="42" t="str">
        <f>Données_ATB!BQ4</f>
        <v>Quinolones</v>
      </c>
      <c r="V5" t="str">
        <f>Données_ATB!BR4</f>
        <v/>
      </c>
      <c r="W5" s="63" t="str">
        <f>Données_ATB!BS4</f>
        <v/>
      </c>
      <c r="Z5" s="42">
        <v>2</v>
      </c>
      <c r="AA5" t="e">
        <f t="shared" ref="AA5:AA68" si="32">INDEX(N$3:Q$600,MATCH(Z5,N$3:N$600,0),2)</f>
        <v>#N/A</v>
      </c>
      <c r="AB5" s="63" t="e">
        <f t="shared" ref="AB5:AB68" si="33">INDEX(N$3:Q$600,MATCH(Z5,N$3:N$600,0),4)</f>
        <v>#N/A</v>
      </c>
      <c r="AD5" s="194" t="str">
        <f>IF(AF5="Colistine","x",IF(INDEX(Données_ATB!CA$3:CB$63,MATCH(AF5,Données_ATB!CA$3:CA$63,0),2)="Fluoroquinolones","x",IF(INDEX(Données_ATB!CA$3:CB$63,MATCH(AF5,Données_ATB!CA$3:CA$63,0),2)="Cephalosporines 3&amp;4G","x","")))</f>
        <v/>
      </c>
      <c r="AE5" s="219" t="str">
        <f>IFERROR(IF(AG5=0,"",COUNTIF(AG$4:AG$64,"&gt;"&amp;AG5)+COUNTIF(AG$4:AG5,AG5)),"")</f>
        <v/>
      </c>
      <c r="AF5" s="42" t="str">
        <f>Données_ATB!CA4</f>
        <v>Ampicilline</v>
      </c>
      <c r="AG5" s="63" t="e">
        <f t="shared" ref="AG5:AG64" si="34">IF(SUMIFS(Q$4:Q$603,R$4:R$603,AF5)+SUMIFS(Q$4:Q$603,S$4:S$603,AF5)+SUMIFS(Q$4:Q$603,T$4:T$603,AF5)=0,NA(),SUMIFS(Q$4:Q$603,R$4:R$603,AF5)+SUMIFS(Q$4:Q$603,S$4:S$603,AF5)+SUMIFS(Q$4:Q$603,T$4:T$603,AF5))</f>
        <v>#N/A</v>
      </c>
      <c r="AH5" s="42">
        <v>2</v>
      </c>
      <c r="AI5" t="e">
        <f t="shared" ref="AI5:AI64" si="35">INDEX(AE$4:AG$64,MATCH(AH5,AE$4:AE$64,0),2)</f>
        <v>#N/A</v>
      </c>
      <c r="AJ5" s="63" t="e">
        <f t="shared" ref="AJ5:AJ64" si="36">INDEX(AE$4:AG$64,MATCH(AH5,AE$4:AE$64,0),3)</f>
        <v>#N/A</v>
      </c>
      <c r="AL5" s="194" t="str">
        <f t="shared" ref="AL5:AL19" si="37">IF(AN5="Colistine","x",IF(AN5="Fluoroquinolones","x",IF(AN5="Cephalosporines 3&amp;4G","x","")))</f>
        <v/>
      </c>
      <c r="AM5" s="14" t="str">
        <f>IFERROR(IF(AO5=0,"",COUNTIF(AO$4:AO$19,"&gt;"&amp;AO5)+COUNTIF(AO$4:AO5,AO5)),"")</f>
        <v/>
      </c>
      <c r="AN5" t="str">
        <f>Données_ATB!BX4</f>
        <v>Aminoglycosides</v>
      </c>
      <c r="AO5" s="76" t="e">
        <f t="shared" si="3"/>
        <v>#N/A</v>
      </c>
      <c r="AP5">
        <v>2</v>
      </c>
      <c r="AQ5" t="e">
        <f t="shared" ref="AQ5:AQ19" si="38">INDEX(AM$4:AO$19,MATCH(AP5,AM$4:AM$19,0),2)</f>
        <v>#N/A</v>
      </c>
      <c r="AR5" s="63" t="e">
        <f t="shared" ref="AR5:AR19" si="39">INDEX(AM$4:AO$19,MATCH(AP5,AM$4:AM$19,0),3)</f>
        <v>#N/A</v>
      </c>
      <c r="AT5" s="36" t="str">
        <f>IF(AND(AT$3="Espèce",AT$4="Toutes"),AX32,IF(AND(AT$3="Atelier",AT$4="Tous"),AW32,IF(AND(AT$3="Âge",AT$4="Tous"),AV32,IF(AND(AT$3="Catégorie",AT$4="Toutes"),AU32,AT$4))))</f>
        <v/>
      </c>
      <c r="AU5" s="36" t="str">
        <f>IF($AT$3="Catégorie",IF(SUMIFS('Étape 1 - à remplir'!$F$31:$F$400,'Étape 1 - à remplir'!$C$31:$C$400,$AT5,'Étape 1 - à remplir'!$M$31:$M$400,MASQ2!AU$4)=0,"",SUMIFS('Étape 1 - à remplir'!$F$31:$F$400,'Étape 1 - à remplir'!$C$31:$C$400,$AT5,'Étape 1 - à remplir'!$M$31:$M$400,MASQ2!AU$4)/INDEX('Étape 1 - à remplir'!$C$19:$L$28,MATCH(MASQ2!$AT5,'Étape 1 - à remplir'!$L$19:$L$28,0),4)),INDEX($AU$44:$BF$73,MATCH($AT5,$AT$44:$AT$73,0),AU$4))</f>
        <v/>
      </c>
      <c r="AV5" s="36" t="str" cm="1">
        <f t="array" aca="1" ref="AV5" ca="1">IF($AT$3="Catégorie",IF(SUMIFS('Étape 1 - à remplir'!$F$31:$F$400,'Étape 1 - à remplir'!$C$31:$C$400,$AT5,'Étape 1 - à remplir'!$M$31:$M$400,MASQ2!AV$4)=0,"",SUMIFS('Étape 1 - à remplir'!$F$31:$F$400,'Étape 1 - à remplir'!$C$31:$C$400,$AT5,'Étape 1 - à remplir'!$M$31:$M$400,MASQ2!AV$4)/INDEX('Étape 1 - à remplir'!$C$19:$L$28,MATCH(MASQ2!$AT5,'Étape 1 - à remplir'!$L$19:$L$28,0),4)),INDEX($AU$44:$BF$73,MATCH($AT5,$AT$44:$AT$73,0),AV$4))</f>
        <v/>
      </c>
      <c r="AW5" s="36" t="str" cm="1">
        <f t="array" aca="1" ref="AW5" ca="1">IF($AT$3="Catégorie",IF(SUMIFS('Étape 1 - à remplir'!$F$31:$F$400,'Étape 1 - à remplir'!$C$31:$C$400,$AT5,'Étape 1 - à remplir'!$M$31:$M$400,MASQ2!AW$4)=0,"",SUMIFS('Étape 1 - à remplir'!$F$31:$F$400,'Étape 1 - à remplir'!$C$31:$C$400,$AT5,'Étape 1 - à remplir'!$M$31:$M$400,MASQ2!AW$4)/INDEX('Étape 1 - à remplir'!$C$19:$L$28,MATCH(MASQ2!$AT5,'Étape 1 - à remplir'!$L$19:$L$28,0),4)),INDEX($AU$44:$BF$73,MATCH($AT5,$AT$44:$AT$73,0),AW$4))</f>
        <v/>
      </c>
      <c r="AX5" s="36" t="str" cm="1">
        <f t="array" aca="1" ref="AX5" ca="1">IF($AT$3="Catégorie",IF(SUMIFS('Étape 1 - à remplir'!$F$31:$F$400,'Étape 1 - à remplir'!$C$31:$C$400,$AT5,'Étape 1 - à remplir'!$M$31:$M$400,MASQ2!AX$4)=0,"",SUMIFS('Étape 1 - à remplir'!$F$31:$F$400,'Étape 1 - à remplir'!$C$31:$C$400,$AT5,'Étape 1 - à remplir'!$M$31:$M$400,MASQ2!AX$4)/INDEX('Étape 1 - à remplir'!$C$19:$L$28,MATCH(MASQ2!$AT5,'Étape 1 - à remplir'!$L$19:$L$28,0),4)),INDEX($AU$44:$BF$73,MATCH($AT5,$AT$44:$AT$73,0),AX$4))</f>
        <v/>
      </c>
      <c r="AY5" s="36" t="str" cm="1">
        <f t="array" aca="1" ref="AY5" ca="1">IF($AT$3="Catégorie",IF(SUMIFS('Étape 1 - à remplir'!$F$31:$F$400,'Étape 1 - à remplir'!$C$31:$C$400,$AT5,'Étape 1 - à remplir'!$M$31:$M$400,MASQ2!AY$4)=0,"",SUMIFS('Étape 1 - à remplir'!$F$31:$F$400,'Étape 1 - à remplir'!$C$31:$C$400,$AT5,'Étape 1 - à remplir'!$M$31:$M$400,MASQ2!AY$4)/INDEX('Étape 1 - à remplir'!$C$19:$L$28,MATCH(MASQ2!$AT5,'Étape 1 - à remplir'!$L$19:$L$28,0),4)),INDEX($AU$44:$BF$73,MATCH($AT5,$AT$44:$AT$73,0),AY$4))</f>
        <v/>
      </c>
      <c r="AZ5" s="36" t="str" cm="1">
        <f t="array" aca="1" ref="AZ5" ca="1">IF($AT$3="Catégorie",IF(SUMIFS('Étape 1 - à remplir'!$F$31:$F$400,'Étape 1 - à remplir'!$C$31:$C$400,$AT5,'Étape 1 - à remplir'!$M$31:$M$400,MASQ2!AZ$4)=0,"",SUMIFS('Étape 1 - à remplir'!$F$31:$F$400,'Étape 1 - à remplir'!$C$31:$C$400,$AT5,'Étape 1 - à remplir'!$M$31:$M$400,MASQ2!AZ$4)/INDEX('Étape 1 - à remplir'!$C$19:$L$28,MATCH(MASQ2!$AT5,'Étape 1 - à remplir'!$L$19:$L$28,0),4)),INDEX($AU$44:$BF$73,MATCH($AT5,$AT$44:$AT$73,0),AZ$4))</f>
        <v/>
      </c>
      <c r="BA5" s="36" t="str" cm="1">
        <f t="array" aca="1" ref="BA5" ca="1">IF($AT$3="Catégorie",IF(SUMIFS('Étape 1 - à remplir'!$F$31:$F$400,'Étape 1 - à remplir'!$C$31:$C$400,$AT5,'Étape 1 - à remplir'!$M$31:$M$400,MASQ2!BA$4)=0,"",SUMIFS('Étape 1 - à remplir'!$F$31:$F$400,'Étape 1 - à remplir'!$C$31:$C$400,$AT5,'Étape 1 - à remplir'!$M$31:$M$400,MASQ2!BA$4)/INDEX('Étape 1 - à remplir'!$C$19:$L$28,MATCH(MASQ2!$AT5,'Étape 1 - à remplir'!$L$19:$L$28,0),4)),INDEX($AU$44:$BF$73,MATCH($AT5,$AT$44:$AT$73,0),BA$4))</f>
        <v/>
      </c>
      <c r="BB5" s="36" t="str" cm="1">
        <f t="array" aca="1" ref="BB5" ca="1">IF($AT$3="Catégorie",IF(SUMIFS('Étape 1 - à remplir'!$F$31:$F$400,'Étape 1 - à remplir'!$C$31:$C$400,$AT5,'Étape 1 - à remplir'!$M$31:$M$400,MASQ2!BB$4)=0,"",SUMIFS('Étape 1 - à remplir'!$F$31:$F$400,'Étape 1 - à remplir'!$C$31:$C$400,$AT5,'Étape 1 - à remplir'!$M$31:$M$400,MASQ2!BB$4)/INDEX('Étape 1 - à remplir'!$C$19:$L$28,MATCH(MASQ2!$AT5,'Étape 1 - à remplir'!$L$19:$L$28,0),4)),INDEX($AU$44:$BF$73,MATCH($AT5,$AT$44:$AT$73,0),BB$4))</f>
        <v/>
      </c>
      <c r="BC5" s="36" t="str" cm="1">
        <f t="array" aca="1" ref="BC5" ca="1">IF($AT$3="Catégorie",IF(SUMIFS('Étape 1 - à remplir'!$F$31:$F$400,'Étape 1 - à remplir'!$C$31:$C$400,$AT5,'Étape 1 - à remplir'!$M$31:$M$400,MASQ2!BC$4)=0,"",SUMIFS('Étape 1 - à remplir'!$F$31:$F$400,'Étape 1 - à remplir'!$C$31:$C$400,$AT5,'Étape 1 - à remplir'!$M$31:$M$400,MASQ2!BC$4)/INDEX('Étape 1 - à remplir'!$C$19:$L$28,MATCH(MASQ2!$AT5,'Étape 1 - à remplir'!$L$19:$L$28,0),4)),INDEX($AU$44:$BF$73,MATCH($AT5,$AT$44:$AT$73,0),BC$4))</f>
        <v/>
      </c>
      <c r="BD5" s="36" t="str" cm="1">
        <f t="array" aca="1" ref="BD5" ca="1">IF($AT$3="Catégorie",IF(SUMIFS('Étape 1 - à remplir'!$F$31:$F$400,'Étape 1 - à remplir'!$C$31:$C$400,$AT5,'Étape 1 - à remplir'!$M$31:$M$400,MASQ2!BD$4)=0,"",SUMIFS('Étape 1 - à remplir'!$F$31:$F$400,'Étape 1 - à remplir'!$C$31:$C$400,$AT5,'Étape 1 - à remplir'!$M$31:$M$400,MASQ2!BD$4)/INDEX('Étape 1 - à remplir'!$C$19:$L$28,MATCH(MASQ2!$AT5,'Étape 1 - à remplir'!$L$19:$L$28,0),4)),INDEX($AU$44:$BF$73,MATCH($AT5,$AT$44:$AT$73,0),BD$4))</f>
        <v/>
      </c>
      <c r="BE5" s="36" t="str" cm="1">
        <f t="array" aca="1" ref="BE5" ca="1">IF($AT$3="Catégorie",IF(SUMIFS('Étape 1 - à remplir'!$F$31:$F$400,'Étape 1 - à remplir'!$C$31:$C$400,$AT5,'Étape 1 - à remplir'!$M$31:$M$400,MASQ2!BE$4)=0,"",SUMIFS('Étape 1 - à remplir'!$F$31:$F$400,'Étape 1 - à remplir'!$C$31:$C$400,$AT5,'Étape 1 - à remplir'!$M$31:$M$400,MASQ2!BE$4)/INDEX('Étape 1 - à remplir'!$C$19:$L$28,MATCH(MASQ2!$AT5,'Étape 1 - à remplir'!$L$19:$L$28,0),4)),INDEX($AU$44:$BF$73,MATCH($AT5,$AT$44:$AT$73,0),BE$4))</f>
        <v/>
      </c>
      <c r="BF5" s="36" t="str" cm="1">
        <f t="array" aca="1" ref="BF5" ca="1">IF($AT$3="Catégorie",IF(SUMIFS('Étape 1 - à remplir'!$F$31:$F$400,'Étape 1 - à remplir'!$C$31:$C$400,$AT5,'Étape 1 - à remplir'!$M$31:$M$400,MASQ2!BF$4)=0,"",SUMIFS('Étape 1 - à remplir'!$F$31:$F$400,'Étape 1 - à remplir'!$C$31:$C$400,$AT5,'Étape 1 - à remplir'!$M$31:$M$400,MASQ2!BF$4)/INDEX('Étape 1 - à remplir'!$C$19:$L$28,MATCH(MASQ2!$AT5,'Étape 1 - à remplir'!$L$19:$L$28,0),4)),INDEX($AU$44:$BF$73,MATCH($AT5,$AT$44:$AT$73,0),BF$4))</f>
        <v/>
      </c>
      <c r="BH5" s="42" t="e">
        <f>IF(BK5="","",COUNTIF(BK$4:BK$13,"&gt;"&amp;BK5)+COUNTIF(BK$4:BK5,BK5))</f>
        <v>#N/A</v>
      </c>
      <c r="BI5" t="str">
        <f>'Étape 1 - à remplir'!L20</f>
        <v/>
      </c>
      <c r="BJ5" t="e">
        <f>IF(INDEX('Étape 1 - à remplir'!G$19:L$28,MATCH(BI5,'Étape 1 - à remplir'!L$19:L$28,0),1)="lots",SUMIF('Étape 1 - à remplir'!C$31:C$400,BI5,'Étape 1 - à remplir'!F$31:F$400),NA())</f>
        <v>#N/A</v>
      </c>
      <c r="BK5" s="76" t="e">
        <f>BJ5/INDEX('Étape 1 - à remplir'!F$19:L$28,MATCH(BI5,'Étape 1 - à remplir'!L$19:L$28,0),1)</f>
        <v>#N/A</v>
      </c>
      <c r="BM5" s="42" t="e">
        <f>IF(BO5="","",COUNTIF(BO$4:BO$23,"&gt;"&amp;BO5)+COUNTIF(BO$4:BO5,BO5))</f>
        <v>#N/A</v>
      </c>
      <c r="BN5" t="str">
        <f t="shared" si="4"/>
        <v>Arthrites, boiteries</v>
      </c>
      <c r="BO5" s="76" t="e">
        <f>IF(IF(CE$2="Catégorie",IF(CE$3="Toutes",SUMIFS('Étape 1 - à remplir'!$F$31:$F$400,'Étape 1 - à remplir'!$D$31:$D$400,MASQ2!BN5,'Étape 1 - à remplir'!$G$31:$G$400,"lots"),SUMIFS('Étape 1 - à remplir'!$F$31:$F$400,'Étape 1 - à remplir'!$D$31:$D$400,MASQ2!BN5,'Étape 1 - à remplir'!$C$31:$C$400,CE$3,'Étape 1 - à remplir'!$G$31:$G$400,"lots")),IF(CE$2="Âge",IF(CE$3="Tous",SUMIFS('Étape 1 - à remplir'!$F$31:$F$400,'Étape 1 - à remplir'!$D$31:$D$400,MASQ2!BN5,'Étape 1 - à remplir'!$G$31:$G$400,"lots"),SUMIFS('Étape 1 - à remplir'!$F$31:$F$400,'Étape 1 - à remplir'!$D$31:$D$400,MASQ2!BN5,'Étape 1 - à remplir'!$P$31:$P$400,CE$3,'Étape 1 - à remplir'!$G$31:$G$400,"lots")),IF(CE$2="Atelier",IF(CE$3="Tous",SUMIFS('Étape 1 - à remplir'!$F$31:$F$400,'Étape 1 - à remplir'!$D$31:$D$400,MASQ2!BN5,'Étape 1 - à remplir'!$G$31:$G$400,"lots"),SUMIFS('Étape 1 - à remplir'!$F$31:$F$400,'Étape 1 - à remplir'!$D$31:$D$400,MASQ2!BN5,'Étape 1 - à remplir'!$O$31:$O$400,CE$3,'Étape 1 - à remplir'!$G$31:$G$400,"lots")),IF(CE$2="Espèce",IF(CE$3="Toutes",SUMIFS('Étape 1 - à remplir'!$F$31:$F$400,'Étape 1 - à remplir'!$D$31:$D$400,MASQ2!BN5,'Étape 1 - à remplir'!$G$31:$G$400,"lots"),SUMIFS('Étape 1 - à remplir'!$F$31:$F$400,'Étape 1 - à remplir'!$D$31:$D$400,MASQ2!BN5,'Étape 1 - à remplir'!$N$31:$N$400,CE$3,'Étape 1 - à remplir'!$G$31:$G$400,"lots"))))))=0,NA(),IF(CE$2="Catégorie",IF(CE$3="Toutes",SUMIFS('Étape 1 - à remplir'!$F$31:$F$400,'Étape 1 - à remplir'!$D$31:$D$400,MASQ2!BN5,'Étape 1 - à remplir'!$G$31:$G$400,"lots"),SUMIFS('Étape 1 - à remplir'!$F$31:$F$400,'Étape 1 - à remplir'!$D$31:$D$400,MASQ2!BN5,'Étape 1 - à remplir'!$C$31:$C$400,CE$3,'Étape 1 - à remplir'!$G$31:$G$400,"lots")),IF(CE$2="Âge",IF(CE$3="Tous",SUMIFS('Étape 1 - à remplir'!$F$31:$F$400,'Étape 1 - à remplir'!$D$31:$D$400,MASQ2!BN5,'Étape 1 - à remplir'!$G$31:$G$400,"lots"),SUMIFS('Étape 1 - à remplir'!$F$31:$F$400,'Étape 1 - à remplir'!$D$31:$D$400,MASQ2!BN5,'Étape 1 - à remplir'!$P$31:$P$400,CE$3,'Étape 1 - à remplir'!$G$31:$G$400,"lots")),IF(CE$2="Atelier",IF(CE$3="Tous",SUMIFS('Étape 1 - à remplir'!$F$31:$F$400,'Étape 1 - à remplir'!$D$31:$D$400,MASQ2!BN5,'Étape 1 - à remplir'!$G$31:$G$400,"lots"),SUMIFS('Étape 1 - à remplir'!$F$31:$F$400,'Étape 1 - à remplir'!$D$31:$D$400,MASQ2!BN5,'Étape 1 - à remplir'!$O$31:$O$400,CE$3,'Étape 1 - à remplir'!$G$31:$G$400,"lots")),IF(CE$2="Espèce",IF(CE$3="Toutes",SUMIFS('Étape 1 - à remplir'!$F$31:$F$400,'Étape 1 - à remplir'!$D$31:$D$400,MASQ2!BN5,'Étape 1 - à remplir'!$G$31:$G$400,"lots"),SUMIFS('Étape 1 - à remplir'!$F$31:$F$400,'Étape 1 - à remplir'!$D$31:$D$400,MASQ2!BN5,'Étape 1 - à remplir'!$N$31:$N$400,CE$3,'Étape 1 - à remplir'!$G$31:$G$400,"lots")))))))</f>
        <v>#N/A</v>
      </c>
      <c r="BP5">
        <v>2</v>
      </c>
      <c r="BQ5" t="e">
        <f t="shared" ref="BQ5:BQ22" si="40">INDEX(BM$4:BO$23,MATCH(BP5,BM$4:BM$23,0),2)</f>
        <v>#N/A</v>
      </c>
      <c r="BR5" s="63" t="e">
        <f t="shared" ref="BR5:BR22" si="41">INDEX(BM$4:BO$23,MATCH(BP5,BM$4:BM$23,0),3)</f>
        <v>#N/A</v>
      </c>
      <c r="BT5" s="194" t="str">
        <f t="shared" ca="1" si="5"/>
        <v/>
      </c>
      <c r="BU5" s="219" t="str">
        <f>IFERROR(IF(BX5=0,"",COUNTIF(BX$4:BX$600,"&gt;"&amp;BX5)+COUNTIF(BX$4:BX5,BX5)),"")</f>
        <v/>
      </c>
      <c r="BV5" s="42" t="str">
        <f t="shared" si="6"/>
        <v>ACIDE OXOLINIQUE 60 PORC FRANVET</v>
      </c>
      <c r="BW5" t="e">
        <f>IF(IF(CE$2="Catégorie",IF(CE$3="Toutes",SUMIFS('Étape 1 - à remplir'!$F$31:$F$400,'Étape 1 - à remplir'!$E$31:$E$400,MASQ2!BV5,'Étape 1 - à remplir'!$G$31:$G$400,"lots"),SUMIFS('Étape 1 - à remplir'!$F$31:$F$400,'Étape 1 - à remplir'!$E$31:$E$400,MASQ2!BV5,'Étape 1 - à remplir'!$C$31:$C$400,CE$3)),IF(CE$2="Âge",IF(CE$3="Tous",SUMIFS('Étape 1 - à remplir'!$F$31:$F$400,'Étape 1 - à remplir'!$E$31:$E$400,MASQ2!BV5,'Étape 1 - à remplir'!$G$31:$G$400,"lots"),SUMIFS('Étape 1 - à remplir'!$F$31:$F$400,'Étape 1 - à remplir'!$E$31:$E$400,MASQ2!BV5,'Étape 1 - à remplir'!$P$31:$P$400,CE$3,'Étape 1 - à remplir'!$G$31:$G$400,"lots")),IF(CE$2="Atelier",IF(CE$3="Tous",SUMIFS('Étape 1 - à remplir'!$F$31:$F$400,'Étape 1 - à remplir'!$E$31:$E$400,MASQ2!BV5,'Étape 1 - à remplir'!$G$31:$G$400,"lots"),SUMIFS('Étape 1 - à remplir'!$F$31:$F$400,'Étape 1 - à remplir'!$E$31:$E$400,MASQ2!BV5,'Étape 1 - à remplir'!$O$31:$O$400,CE$3,'Étape 1 - à remplir'!$G$31:$G$400,"lots")),IF(CE$2="Espèce",IF(CE$3="Toutes",SUMIFS('Étape 1 - à remplir'!$F$31:$F$400,'Étape 1 - à remplir'!$E$31:$E$400,MASQ2!BV5,'Étape 1 - à remplir'!$G$31:$G$400,"lots"),SUMIFS('Étape 1 - à remplir'!$F$31:$F$400,'Étape 1 - à remplir'!$E$31:$E$400,MASQ2!BV5,'Étape 1 - à remplir'!$N$31:$N$400,CE$3,'Étape 1 - à remplir'!$G$31:$G$400,"lots"))))))=0,NA(),IF(CE$2="Catégorie",IF(CE$3="Toutes",SUMIFS('Étape 1 - à remplir'!$F$31:$F$400,'Étape 1 - à remplir'!$E$31:$E$400,MASQ2!BV5,'Étape 1 - à remplir'!$G$31:$G$400,"lots"),SUMIFS('Étape 1 - à remplir'!$F$31:$F$400,'Étape 1 - à remplir'!$E$31:$E$400,MASQ2!BV5,'Étape 1 - à remplir'!$C$31:$C$400,CE$3)),IF(CE$2="Âge",IF(CE$3="Tous",SUMIFS('Étape 1 - à remplir'!$F$31:$F$400,'Étape 1 - à remplir'!$E$31:$E$400,MASQ2!BV5,'Étape 1 - à remplir'!$G$31:$G$400,"lots"),SUMIFS('Étape 1 - à remplir'!$F$31:$F$400,'Étape 1 - à remplir'!$E$31:$E$400,MASQ2!BV5,'Étape 1 - à remplir'!$P$31:$P$400,CE$3,'Étape 1 - à remplir'!$G$31:$G$400,"lots")),IF(CE$2="Atelier",IF(CE$3="Tous",SUMIFS('Étape 1 - à remplir'!$F$31:$F$400,'Étape 1 - à remplir'!$E$31:$E$400,MASQ2!BV5,'Étape 1 - à remplir'!$G$31:$G$400,"lots"),SUMIFS('Étape 1 - à remplir'!$F$31:$F$400,'Étape 1 - à remplir'!$E$31:$E$400,MASQ2!BV5,'Étape 1 - à remplir'!$O$31:$O$400,CE$3,'Étape 1 - à remplir'!$G$31:$G$400,"lots")),IF(CE$2="Espèce",IF(CE$3="Toutes",SUMIFS('Étape 1 - à remplir'!$F$31:$F$400,'Étape 1 - à remplir'!$E$31:$E$400,MASQ2!BV5,'Étape 1 - à remplir'!$G$31:$G$400,"lots"),SUMIFS('Étape 1 - à remplir'!$F$31:$F$400,'Étape 1 - à remplir'!$E$31:$E$400,MASQ2!BV5,'Étape 1 - à remplir'!$N$31:$N$400,CE$3,'Étape 1 - à remplir'!$G$31:$G$400,"lots")))))))</f>
        <v>#N/A</v>
      </c>
      <c r="BX5">
        <f t="shared" ref="BX5:BX68" si="42">IFERROR(BW5,0)</f>
        <v>0</v>
      </c>
      <c r="BY5" t="str">
        <f t="shared" si="7"/>
        <v>Acide oxolinique</v>
      </c>
      <c r="BZ5" t="str">
        <f t="shared" si="8"/>
        <v/>
      </c>
      <c r="CA5" t="str">
        <f t="shared" si="9"/>
        <v/>
      </c>
      <c r="CB5" t="str">
        <f t="shared" si="10"/>
        <v>Quinolones</v>
      </c>
      <c r="CC5" t="str">
        <f t="shared" si="11"/>
        <v/>
      </c>
      <c r="CD5" s="63" t="str">
        <f t="shared" si="12"/>
        <v/>
      </c>
      <c r="CG5" s="42">
        <v>2</v>
      </c>
      <c r="CH5" s="42" t="e">
        <f t="shared" ref="CH5:CH17" si="43">INDEX(BU$3:BX$600,MATCH(CG5,BU$3:BU$600,0),2)</f>
        <v>#N/A</v>
      </c>
      <c r="CI5" s="63" t="e">
        <f t="shared" ref="CI5:CI17" si="44">INDEX(BU$3:BX$600,MATCH(CG5,BU$3:BU$600,0),3)</f>
        <v>#N/A</v>
      </c>
      <c r="CK5" s="194" t="str">
        <f t="shared" si="13"/>
        <v/>
      </c>
      <c r="CL5" s="226" t="str">
        <f>IFERROR(IF(CN5=0,"",COUNTIF(CN$4:CN$64,"&gt;"&amp;CN5)+COUNTIF(CN$4:CN5,CN5)),"")</f>
        <v/>
      </c>
      <c r="CM5" t="str">
        <f t="shared" si="14"/>
        <v>Ampicilline</v>
      </c>
      <c r="CN5" s="76" t="e">
        <f t="shared" ref="CN5:CN64" si="45">IF(SUMIFS(BX$4:BX$603,BY$4:BY$603,CM5)+SUMIFS(BX$4:BX$603,BZ$4:BZ$603,CM5)+SUMIFS(BX$4:BX$603,CA$4:CA$603,CM5)=0,NA(),SUMIFS(BX$4:BX$603,BY$4:BY$603,CM5)+SUMIFS(BX$4:BX$603,BZ$4:BZ$603,CM5)+SUMIFS(BX$4:BX$603,CA$4:CA$603,CM5))</f>
        <v>#N/A</v>
      </c>
      <c r="CO5">
        <v>2</v>
      </c>
      <c r="CP5" t="e">
        <f t="shared" ref="CP5:CP64" si="46">INDEX(CL$4:CN$64,MATCH(CO5,CL$4:CL$64,0),2)</f>
        <v>#N/A</v>
      </c>
      <c r="CQ5" s="63" t="e">
        <f t="shared" ref="CQ5:CQ64" si="47">INDEX(CL$4:CN$64,MATCH(CO5,CL$4:CL$64,0),3)</f>
        <v>#N/A</v>
      </c>
      <c r="CS5" s="194" t="str">
        <f t="shared" si="15"/>
        <v/>
      </c>
      <c r="CT5" s="14" t="str">
        <f>IFERROR(IF(CV5=0,"",COUNTIF(CV$4:CV$19,"&gt;"&amp;CV5)+COUNTIF(CV$4:CV5,CV5)),"")</f>
        <v/>
      </c>
      <c r="CU5" s="230" t="str">
        <f t="shared" si="16"/>
        <v>Aminoglycosides</v>
      </c>
      <c r="CV5" s="76" t="e">
        <f t="shared" ref="CV5:CV19" si="48">IF(SUMIFS(BX$4:BX$603,CB$4:CB$603,CU5)+SUMIFS(BX$4:BX$603,CC$4:CC$603,CU5)+SUMIFS(BX$4:BX$603,CD$4:CD$603,CU5)=0,NA(),SUMIFS(BX$4:BX$603,CB$4:CB$603,CU5)+SUMIFS(BX$4:BX$603,CC$4:CC$603,CU5)+SUMIFS(BX$4:BX$603,CD$4:CD$603,CU5))</f>
        <v>#N/A</v>
      </c>
      <c r="CW5">
        <v>2</v>
      </c>
      <c r="CX5" t="e">
        <f t="shared" ref="CX5:CX19" si="49">INDEX(CT$4:CV$19,MATCH(CW5,CT$4:CT$19,0),2)</f>
        <v>#N/A</v>
      </c>
      <c r="CY5" s="63" t="e">
        <f t="shared" ref="CY5:CY19" si="50">INDEX(CT$4:CV$19,MATCH(CW5,CT$4:CT$19,0),3)</f>
        <v>#N/A</v>
      </c>
      <c r="DA5" s="36" t="str">
        <f>IF(AND(DA$3="Espèce",DA$4="Toutes"),DE32,IF(AND(DA$3="Atelier",DA$4="Tous"),DD32,IF(AND(DA$3="Âge",DA$4="Tous"),DC32,IF(AND(DA$3="Catégorie",DA$4="Toutes"),DB32,DA$4))))</f>
        <v/>
      </c>
      <c r="DB5" s="36" t="str" cm="1">
        <f t="array" ref="DB5">IF($DA$3="Catégorie",IF(SUMIFS('Étape 1 - à remplir'!$F$31:$F$400,'Étape 1 - à remplir'!$C$31:$C$400,$DA5,'Étape 1 - à remplir'!$M$31:$M$400,MASQ2!DB$4)=0,"",SUMIFS('Étape 1 - à remplir'!$F$31:$F$400,'Étape 1 - à remplir'!$C$31:$C$400,$DA5,'Étape 1 - à remplir'!$M$31:$M$400,MASQ2!DB$4)/INDEX('Étape 1 - à remplir'!$C$19:$L$28,MATCH(MASQ2!$DA5,'Étape 1 - à remplir'!$L$19:$L$28,0),4)),INDEX($DB$44:$DM$73,MATCH($DA5,$DA$44:$DA$73,0),DB$4))</f>
        <v/>
      </c>
      <c r="DC5" s="36" t="str" cm="1">
        <f t="array" aca="1" ref="DC5" ca="1">IF($DA$3="Catégorie",IF(SUMIFS('Étape 1 - à remplir'!$F$31:$F$400,'Étape 1 - à remplir'!$C$31:$C$400,$DA5,'Étape 1 - à remplir'!$M$31:$M$400,MASQ2!DC$4)=0,"",SUMIFS('Étape 1 - à remplir'!$F$31:$F$400,'Étape 1 - à remplir'!$C$31:$C$400,$DA5,'Étape 1 - à remplir'!$M$31:$M$400,MASQ2!DC$4)/INDEX('Étape 1 - à remplir'!$C$19:$L$28,MATCH(MASQ2!$DA5,'Étape 1 - à remplir'!$L$19:$L$28,0),4)),INDEX($DB$44:$DM$73,MATCH($DA5,$DA$44:$DA$73,0),DC$4))</f>
        <v/>
      </c>
      <c r="DD5" s="36" t="str" cm="1">
        <f t="array" aca="1" ref="DD5" ca="1">IF($DA$3="Catégorie",IF(SUMIFS('Étape 1 - à remplir'!$F$31:$F$400,'Étape 1 - à remplir'!$C$31:$C$400,$DA5,'Étape 1 - à remplir'!$M$31:$M$400,MASQ2!DD$4)=0,"",SUMIFS('Étape 1 - à remplir'!$F$31:$F$400,'Étape 1 - à remplir'!$C$31:$C$400,$DA5,'Étape 1 - à remplir'!$M$31:$M$400,MASQ2!DD$4)/INDEX('Étape 1 - à remplir'!$C$19:$L$28,MATCH(MASQ2!$DA5,'Étape 1 - à remplir'!$L$19:$L$28,0),4)),INDEX($DB$44:$DM$73,MATCH($DA5,$DA$44:$DA$73,0),DD$4))</f>
        <v/>
      </c>
      <c r="DE5" s="36" t="str" cm="1">
        <f t="array" aca="1" ref="DE5" ca="1">IF($DA$3="Catégorie",IF(SUMIFS('Étape 1 - à remplir'!$F$31:$F$400,'Étape 1 - à remplir'!$C$31:$C$400,$DA5,'Étape 1 - à remplir'!$M$31:$M$400,MASQ2!DE$4)=0,"",SUMIFS('Étape 1 - à remplir'!$F$31:$F$400,'Étape 1 - à remplir'!$C$31:$C$400,$DA5,'Étape 1 - à remplir'!$M$31:$M$400,MASQ2!DE$4)/INDEX('Étape 1 - à remplir'!$C$19:$L$28,MATCH(MASQ2!$DA5,'Étape 1 - à remplir'!$L$19:$L$28,0),4)),INDEX($DB$44:$DM$73,MATCH($DA5,$DA$44:$DA$73,0),DE$4))</f>
        <v/>
      </c>
      <c r="DF5" s="36" t="str" cm="1">
        <f t="array" aca="1" ref="DF5" ca="1">IF($DA$3="Catégorie",IF(SUMIFS('Étape 1 - à remplir'!$F$31:$F$400,'Étape 1 - à remplir'!$C$31:$C$400,$DA5,'Étape 1 - à remplir'!$M$31:$M$400,MASQ2!DF$4)=0,"",SUMIFS('Étape 1 - à remplir'!$F$31:$F$400,'Étape 1 - à remplir'!$C$31:$C$400,$DA5,'Étape 1 - à remplir'!$M$31:$M$400,MASQ2!DF$4)/INDEX('Étape 1 - à remplir'!$C$19:$L$28,MATCH(MASQ2!$DA5,'Étape 1 - à remplir'!$L$19:$L$28,0),4)),INDEX($DB$44:$DM$73,MATCH($DA5,$DA$44:$DA$73,0),DF$4))</f>
        <v/>
      </c>
      <c r="DG5" s="36" t="str" cm="1">
        <f t="array" aca="1" ref="DG5" ca="1">IF($DA$3="Catégorie",IF(SUMIFS('Étape 1 - à remplir'!$F$31:$F$400,'Étape 1 - à remplir'!$C$31:$C$400,$DA5,'Étape 1 - à remplir'!$M$31:$M$400,MASQ2!DG$4)=0,"",SUMIFS('Étape 1 - à remplir'!$F$31:$F$400,'Étape 1 - à remplir'!$C$31:$C$400,$DA5,'Étape 1 - à remplir'!$M$31:$M$400,MASQ2!DG$4)/INDEX('Étape 1 - à remplir'!$C$19:$L$28,MATCH(MASQ2!$DA5,'Étape 1 - à remplir'!$L$19:$L$28,0),4)),INDEX($DB$44:$DM$73,MATCH($DA5,$DA$44:$DA$73,0),DG$4))</f>
        <v/>
      </c>
      <c r="DH5" s="36" t="str" cm="1">
        <f t="array" aca="1" ref="DH5" ca="1">IF($DA$3="Catégorie",IF(SUMIFS('Étape 1 - à remplir'!$F$31:$F$400,'Étape 1 - à remplir'!$C$31:$C$400,$DA5,'Étape 1 - à remplir'!$M$31:$M$400,MASQ2!DH$4)=0,"",SUMIFS('Étape 1 - à remplir'!$F$31:$F$400,'Étape 1 - à remplir'!$C$31:$C$400,$DA5,'Étape 1 - à remplir'!$M$31:$M$400,MASQ2!DH$4)/INDEX('Étape 1 - à remplir'!$C$19:$L$28,MATCH(MASQ2!$DA5,'Étape 1 - à remplir'!$L$19:$L$28,0),4)),INDEX($DB$44:$DM$73,MATCH($DA5,$DA$44:$DA$73,0),DH$4))</f>
        <v/>
      </c>
      <c r="DI5" s="36" t="str" cm="1">
        <f t="array" aca="1" ref="DI5" ca="1">IF($DA$3="Catégorie",IF(SUMIFS('Étape 1 - à remplir'!$F$31:$F$400,'Étape 1 - à remplir'!$C$31:$C$400,$DA5,'Étape 1 - à remplir'!$M$31:$M$400,MASQ2!DI$4)=0,"",SUMIFS('Étape 1 - à remplir'!$F$31:$F$400,'Étape 1 - à remplir'!$C$31:$C$400,$DA5,'Étape 1 - à remplir'!$M$31:$M$400,MASQ2!DI$4)/INDEX('Étape 1 - à remplir'!$C$19:$L$28,MATCH(MASQ2!$DA5,'Étape 1 - à remplir'!$L$19:$L$28,0),4)),INDEX($DB$44:$DM$73,MATCH($DA5,$DA$44:$DA$73,0),DI$4))</f>
        <v/>
      </c>
      <c r="DJ5" s="36" t="str" cm="1">
        <f t="array" aca="1" ref="DJ5" ca="1">IF($DA$3="Catégorie",IF(SUMIFS('Étape 1 - à remplir'!$F$31:$F$400,'Étape 1 - à remplir'!$C$31:$C$400,$DA5,'Étape 1 - à remplir'!$M$31:$M$400,MASQ2!DJ$4)=0,"",SUMIFS('Étape 1 - à remplir'!$F$31:$F$400,'Étape 1 - à remplir'!$C$31:$C$400,$DA5,'Étape 1 - à remplir'!$M$31:$M$400,MASQ2!DJ$4)/INDEX('Étape 1 - à remplir'!$C$19:$L$28,MATCH(MASQ2!$DA5,'Étape 1 - à remplir'!$L$19:$L$28,0),4)),INDEX($DB$44:$DM$73,MATCH($DA5,$DA$44:$DA$73,0),DJ$4))</f>
        <v/>
      </c>
      <c r="DK5" s="36" t="str" cm="1">
        <f t="array" aca="1" ref="DK5" ca="1">IF($DA$3="Catégorie",IF(SUMIFS('Étape 1 - à remplir'!$F$31:$F$400,'Étape 1 - à remplir'!$C$31:$C$400,$DA5,'Étape 1 - à remplir'!$M$31:$M$400,MASQ2!DK$4)=0,"",SUMIFS('Étape 1 - à remplir'!$F$31:$F$400,'Étape 1 - à remplir'!$C$31:$C$400,$DA5,'Étape 1 - à remplir'!$M$31:$M$400,MASQ2!DK$4)/INDEX('Étape 1 - à remplir'!$C$19:$L$28,MATCH(MASQ2!$DA5,'Étape 1 - à remplir'!$L$19:$L$28,0),4)),INDEX($DB$44:$DM$73,MATCH($DA5,$DA$44:$DA$73,0),DK$4))</f>
        <v/>
      </c>
      <c r="DL5" s="36" t="str" cm="1">
        <f t="array" aca="1" ref="DL5" ca="1">IF($DA$3="Catégorie",IF(SUMIFS('Étape 1 - à remplir'!$F$31:$F$400,'Étape 1 - à remplir'!$C$31:$C$400,$DA5,'Étape 1 - à remplir'!$M$31:$M$400,MASQ2!DL$4)=0,"",SUMIFS('Étape 1 - à remplir'!$F$31:$F$400,'Étape 1 - à remplir'!$C$31:$C$400,$DA5,'Étape 1 - à remplir'!$M$31:$M$400,MASQ2!DL$4)/INDEX('Étape 1 - à remplir'!$C$19:$L$28,MATCH(MASQ2!$DA5,'Étape 1 - à remplir'!$L$19:$L$28,0),4)),INDEX($DB$44:$DM$73,MATCH($DA5,$DA$44:$DA$73,0),DL$4))</f>
        <v/>
      </c>
      <c r="DM5" s="36" t="str" cm="1">
        <f t="array" aca="1" ref="DM5" ca="1">IF($DA$3="Catégorie",IF(SUMIFS('Étape 1 - à remplir'!$F$31:$F$400,'Étape 1 - à remplir'!$C$31:$C$400,$DA5,'Étape 1 - à remplir'!$M$31:$M$400,MASQ2!DM$4)=0,"",SUMIFS('Étape 1 - à remplir'!$F$31:$F$400,'Étape 1 - à remplir'!$C$31:$C$400,$DA5,'Étape 1 - à remplir'!$M$31:$M$400,MASQ2!DM$4)/INDEX('Étape 1 - à remplir'!$C$19:$L$28,MATCH(MASQ2!$DA5,'Étape 1 - à remplir'!$L$19:$L$28,0),4)),INDEX($DB$44:$DM$73,MATCH($DA5,$DA$44:$DA$73,0),DM$4))</f>
        <v/>
      </c>
      <c r="DO5" s="42" t="e">
        <f>IF(DR5="","",COUNTIF(DR$4:DR$13,"&gt;"&amp;DR5)+COUNTIF(DR$4:DR5,DR5))</f>
        <v>#N/A</v>
      </c>
      <c r="DP5" t="str">
        <f>'Étape 1 - à remplir'!L20</f>
        <v/>
      </c>
      <c r="DQ5" t="e">
        <f>IF(INDEX('Étape 1 - à remplir'!G$19:L$28,MATCH(DP5,'Étape 1 - à remplir'!L$19:L$28,0),1)="kg",SUMIF('Étape 1 - à remplir'!C$31:C$400,DP5,'Étape 1 - à remplir'!F$31:F$400),NA())</f>
        <v>#N/A</v>
      </c>
      <c r="DR5" s="63" t="e">
        <f>DQ5/INDEX('Étape 1 - à remplir'!F$19:L$28,MATCH(DP5,'Étape 1 - à remplir'!L$19:L$28,0),1)</f>
        <v>#N/A</v>
      </c>
      <c r="DT5" s="42" t="e">
        <f>IF(DV5="","",COUNTIF(DV$4:DV$23,"&gt;"&amp;DV5)+COUNTIF(DV$4:DV5,DV5))</f>
        <v>#N/A</v>
      </c>
      <c r="DU5" t="str">
        <f t="shared" si="17"/>
        <v>Arthrites, boiteries</v>
      </c>
      <c r="DV5" s="63" t="e">
        <f>IF(IF(EL$2="Catégorie",IF(EL$3="Toutes",SUMIFS('Étape 1 - à remplir'!$F$31:$F$400,'Étape 1 - à remplir'!$D$31:$D$400,MASQ2!DU5,'Étape 1 - à remplir'!$G$31:$G$400,"kg"),SUMIFS('Étape 1 - à remplir'!$F$31:$F$400,'Étape 1 - à remplir'!$D$31:$D$400,MASQ2!DU5,'Étape 1 - à remplir'!$C$31:$C$400,EL$3,'Étape 1 - à remplir'!$G$31:$G$400,"kg")),IF(EL$2="Âge",IF(EL$3="Tous",SUMIFS('Étape 1 - à remplir'!$F$31:$F$400,'Étape 1 - à remplir'!$D$31:$D$400,MASQ2!DU5,'Étape 1 - à remplir'!$G$31:$G$400,"kg"),SUMIFS('Étape 1 - à remplir'!$F$31:$F$400,'Étape 1 - à remplir'!$D$31:$D$400,MASQ2!DU5,'Étape 1 - à remplir'!$P$31:$P$400,EL$3,'Étape 1 - à remplir'!$G$31:$G$400,"kg")),IF(EL$2="Atelier",IF(EL$3="Tous",SUMIFS('Étape 1 - à remplir'!$F$31:$F$400,'Étape 1 - à remplir'!$D$31:$D$400,MASQ2!DU5,'Étape 1 - à remplir'!$G$31:$G$400,"kg"),SUMIFS('Étape 1 - à remplir'!$F$31:$F$400,'Étape 1 - à remplir'!$D$31:$D$400,MASQ2!DU5,'Étape 1 - à remplir'!$O$31:$O$400,EL$3,'Étape 1 - à remplir'!$G$31:$G$400,"kg")),IF(EL$2="Espèce",IF(EL$3="Toutes",SUMIFS('Étape 1 - à remplir'!$F$31:$F$400,'Étape 1 - à remplir'!$D$31:$D$400,MASQ2!DU5,'Étape 1 - à remplir'!$G$31:$G$400,"kg"),SUMIFS('Étape 1 - à remplir'!$F$31:$F$400,'Étape 1 - à remplir'!$D$31:$D$400,MASQ2!DU5,'Étape 1 - à remplir'!$N$31:$N$400,EL$3,'Étape 1 - à remplir'!$G$31:$G$400,"kg"))))))=0,NA(),IF(EL$2="Catégorie",IF(EL$3="Toutes",SUMIFS('Étape 1 - à remplir'!$F$31:$F$400,'Étape 1 - à remplir'!$D$31:$D$400,MASQ2!DU5,'Étape 1 - à remplir'!$G$31:$G$400,"kg"),SUMIFS('Étape 1 - à remplir'!$F$31:$F$400,'Étape 1 - à remplir'!$D$31:$D$400,MASQ2!DU5,'Étape 1 - à remplir'!$C$31:$C$400,EL$3,'Étape 1 - à remplir'!$G$31:$G$400,"kg")),IF(EL$2="Âge",IF(EL$3="Tous",SUMIFS('Étape 1 - à remplir'!$F$31:$F$400,'Étape 1 - à remplir'!$D$31:$D$400,MASQ2!DU5,'Étape 1 - à remplir'!$G$31:$G$400,"kg"),SUMIFS('Étape 1 - à remplir'!$F$31:$F$400,'Étape 1 - à remplir'!$D$31:$D$400,MASQ2!DU5,'Étape 1 - à remplir'!$P$31:$P$400,EL$3,'Étape 1 - à remplir'!$G$31:$G$400,"kg")),IF(EL$2="Atelier",IF(EL$3="Tous",SUMIFS('Étape 1 - à remplir'!$F$31:$F$400,'Étape 1 - à remplir'!$D$31:$D$400,MASQ2!DU5,'Étape 1 - à remplir'!$G$31:$G$400,"kg"),SUMIFS('Étape 1 - à remplir'!$F$31:$F$400,'Étape 1 - à remplir'!$D$31:$D$400,MASQ2!DU5,'Étape 1 - à remplir'!$O$31:$O$400,EL$3,'Étape 1 - à remplir'!$G$31:$G$400,"kg")),IF(EL$2="Espèce",IF(EL$3="Toutes",SUMIFS('Étape 1 - à remplir'!$F$31:$F$400,'Étape 1 - à remplir'!$D$31:$D$400,MASQ2!DU5,'Étape 1 - à remplir'!$G$31:$G$400,"kg"),SUMIFS('Étape 1 - à remplir'!$F$31:$F$400,'Étape 1 - à remplir'!$D$31:$D$400,MASQ2!DU5,'Étape 1 - à remplir'!$N$31:$N$400,EL$3,'Étape 1 - à remplir'!$G$31:$G$400,"kg")))))))</f>
        <v>#N/A</v>
      </c>
      <c r="DW5" s="42">
        <v>2</v>
      </c>
      <c r="DX5" t="e">
        <f t="shared" ref="DX5:DX23" si="51">INDEX(DT$4:DV$23,MATCH(DW5,DT$4:DT$23,0),2)</f>
        <v>#N/A</v>
      </c>
      <c r="DY5" s="63" t="e">
        <f t="shared" ref="DY5:DY23" si="52">INDEX(DT$4:DV$23,MATCH(DW5,DT$4:DT$23,0),3)</f>
        <v>#N/A</v>
      </c>
      <c r="EA5" s="194" t="str">
        <f t="shared" ca="1" si="18"/>
        <v/>
      </c>
      <c r="EB5" s="226" t="str">
        <f>IFERROR(IF(ED5=0,"",COUNTIF(ED$4:ED$600,"&gt;"&amp;ED5)+COUNTIF(ED$4:ED5,ED5)),"")</f>
        <v/>
      </c>
      <c r="EC5" t="str">
        <f t="shared" si="19"/>
        <v>ACIDE OXOLINIQUE 60 PORC FRANVET</v>
      </c>
      <c r="ED5" t="e">
        <f>IF(IF(EL$2="Catégorie",IF(EL$3="Toutes",SUMIFS('Étape 1 - à remplir'!$F$31:$F$400,'Étape 1 - à remplir'!$E$31:$E$400,MASQ2!EC5,'Étape 1 - à remplir'!$G$31:$G$400,"kg"),SUMIFS('Étape 1 - à remplir'!$F$31:$F$400,'Étape 1 - à remplir'!$E$31:$E$400,MASQ2!EC5,'Étape 1 - à remplir'!$C$31:$C$400,EL$3)),IF(EL$2="Âge",IF(EL$3="Tous",SUMIFS('Étape 1 - à remplir'!$F$31:$F$400,'Étape 1 - à remplir'!$E$31:$E$400,MASQ2!EC5,'Étape 1 - à remplir'!$G$31:$G$400,"kg"),SUMIFS('Étape 1 - à remplir'!$F$31:$F$400,'Étape 1 - à remplir'!$E$31:$E$400,MASQ2!EC5,'Étape 1 - à remplir'!$P$31:$P$400,EL$3,'Étape 1 - à remplir'!$G$31:$G$400,"kg")),IF(EL$2="Atelier",IF(EL$3="Tous",SUMIFS('Étape 1 - à remplir'!$F$31:$F$400,'Étape 1 - à remplir'!$E$31:$E$400,MASQ2!EC5,'Étape 1 - à remplir'!$G$31:$G$400,"kg"),SUMIFS('Étape 1 - à remplir'!$F$31:$F$400,'Étape 1 - à remplir'!$E$31:$E$400,MASQ2!EC5,'Étape 1 - à remplir'!$O$31:$O$400,EL$3,'Étape 1 - à remplir'!$G$31:$G$400,"kg")),IF(EL$2="Espèce",IF(EL$3="Toutes",SUMIFS('Étape 1 - à remplir'!$F$31:$F$400,'Étape 1 - à remplir'!$E$31:$E$400,MASQ2!EC5,'Étape 1 - à remplir'!$G$31:$G$400,"kg"),SUMIFS('Étape 1 - à remplir'!$F$31:$F$400,'Étape 1 - à remplir'!$E$31:$E$400,MASQ2!EC5,'Étape 1 - à remplir'!$N$31:$N$400,EL$3,'Étape 1 - à remplir'!$G$31:$G$400,"kg"))))))=0,NA(),IF(EL$2="Catégorie",IF(EL$3="Toutes",SUMIFS('Étape 1 - à remplir'!$F$31:$F$400,'Étape 1 - à remplir'!$E$31:$E$400,MASQ2!EC5,'Étape 1 - à remplir'!$G$31:$G$400,"kg"),SUMIFS('Étape 1 - à remplir'!$F$31:$F$400,'Étape 1 - à remplir'!$E$31:$E$400,MASQ2!EC5,'Étape 1 - à remplir'!$C$31:$C$400,EL$3)),IF(EL$2="Âge",IF(EL$3="Tous",SUMIFS('Étape 1 - à remplir'!$F$31:$F$400,'Étape 1 - à remplir'!$E$31:$E$400,MASQ2!EC5,'Étape 1 - à remplir'!$G$31:$G$400,"kg"),SUMIFS('Étape 1 - à remplir'!$F$31:$F$400,'Étape 1 - à remplir'!$E$31:$E$400,MASQ2!EC5,'Étape 1 - à remplir'!$P$31:$P$400,EL$3,'Étape 1 - à remplir'!$G$31:$G$400,"kg")),IF(EL$2="Atelier",IF(EL$3="Tous",SUMIFS('Étape 1 - à remplir'!$F$31:$F$400,'Étape 1 - à remplir'!$E$31:$E$400,MASQ2!EC5,'Étape 1 - à remplir'!$G$31:$G$400,"kg"),SUMIFS('Étape 1 - à remplir'!$F$31:$F$400,'Étape 1 - à remplir'!$E$31:$E$400,MASQ2!EC5,'Étape 1 - à remplir'!$O$31:$O$400,EL$3,'Étape 1 - à remplir'!$G$31:$G$400,"kg")),IF(EL$2="Espèce",IF(EL$3="Toutes",SUMIFS('Étape 1 - à remplir'!$F$31:$F$400,'Étape 1 - à remplir'!$E$31:$E$400,MASQ2!EC5,'Étape 1 - à remplir'!$G$31:$G$400,"kg"),SUMIFS('Étape 1 - à remplir'!$F$31:$F$400,'Étape 1 - à remplir'!$E$31:$E$400,MASQ2!EC5,'Étape 1 - à remplir'!$N$31:$N$400,EL$3,'Étape 1 - à remplir'!$G$31:$G$400,"kg")))))))</f>
        <v>#N/A</v>
      </c>
      <c r="EE5" s="76">
        <f t="shared" ref="EE5:EE68" si="53">IFERROR(ED5,0)</f>
        <v>0</v>
      </c>
      <c r="EF5" t="str">
        <f t="shared" si="20"/>
        <v>Acide oxolinique</v>
      </c>
      <c r="EG5" t="str">
        <f t="shared" si="21"/>
        <v/>
      </c>
      <c r="EH5" t="str">
        <f t="shared" si="22"/>
        <v/>
      </c>
      <c r="EI5" t="str">
        <f t="shared" si="23"/>
        <v>Quinolones</v>
      </c>
      <c r="EJ5" t="str">
        <f t="shared" si="24"/>
        <v/>
      </c>
      <c r="EK5" s="63" t="str">
        <f t="shared" si="25"/>
        <v/>
      </c>
      <c r="EN5" s="42">
        <v>2</v>
      </c>
      <c r="EO5" t="e">
        <f t="shared" ref="EO5:EO9" si="54">INDEX(EB$3:EE$600,MATCH(EN5,EB$3:EB$600,0),2)</f>
        <v>#N/A</v>
      </c>
      <c r="EP5" s="63" t="e">
        <f t="shared" ref="EP5:EP9" si="55">INDEX(EB$3:EE$600,MATCH(EN5,EB$3:EB$600,0),3)</f>
        <v>#N/A</v>
      </c>
      <c r="ER5" s="194" t="str">
        <f t="shared" si="26"/>
        <v/>
      </c>
      <c r="ES5" s="226" t="str">
        <f>IFERROR(IF(EU5=0,"",COUNTIF(EU$4:EU$64,"&gt;"&amp;EU5)+COUNTIF(EU$4:EU5,EU5)),"")</f>
        <v/>
      </c>
      <c r="ET5" t="str">
        <f t="shared" si="27"/>
        <v>Ampicilline</v>
      </c>
      <c r="EU5" s="76" t="e">
        <f t="shared" ref="EU5:EU64" si="56">IF(SUMIFS(EE$4:EE$603,EF$4:EF$603,ET5)+SUMIFS(EE$4:EE$603,EG$4:EG$603,ET5)+SUMIFS(EE$4:EE$603,EH$4:EH$603,ET5)=0,NA(),SUMIFS(EE$4:EE$603,EF$4:EF$603,ET5)+SUMIFS(EE$4:EE$603,EG$4:EG$603,ET5)+SUMIFS(EE$4:EE$603,EH$4:EH$603,ET5))</f>
        <v>#N/A</v>
      </c>
      <c r="EV5">
        <v>2</v>
      </c>
      <c r="EW5" t="e">
        <f t="shared" ref="EW5:EW64" si="57">INDEX(ES$4:EU$64,MATCH(EV5,ES$4:ES$64,0),2)</f>
        <v>#N/A</v>
      </c>
      <c r="EX5" s="63" t="e">
        <f t="shared" ref="EX5:EX64" si="58">INDEX(ES$4:EU$64,MATCH(EV5,ES$4:ES$64,0),3)</f>
        <v>#N/A</v>
      </c>
      <c r="EZ5" s="194" t="str">
        <f t="shared" si="28"/>
        <v/>
      </c>
      <c r="FA5" s="226" t="str">
        <f>IFERROR(IF(FC5=0,"",COUNTIF(FC$4:FC$19,"&gt;"&amp;FC5)+COUNTIF(FC$4:FC5,FC5)),"")</f>
        <v/>
      </c>
      <c r="FB5" t="str">
        <f t="shared" si="29"/>
        <v>Aminoglycosides</v>
      </c>
      <c r="FC5" s="76" t="e">
        <f t="shared" ref="FC5:FC19" si="59">IF(SUMIFS(EE$4:EE$603,EI$4:EI$603,FB5)+SUMIFS(EE$4:EE$603,EJ$4:EJ$603,FB5)+SUMIFS(EE$4:EE$603,EK$4:EK$603,FB5)=0,NA(),SUMIFS(EE$4:EE$603,EI$4:EI$603,FB5)+SUMIFS(EE$4:EE$603,EJ$4:EJ$603,FB5)+SUMIFS(EE$4:EE$603,EK$4:EK$603,FB5))</f>
        <v>#N/A</v>
      </c>
      <c r="FD5">
        <v>2</v>
      </c>
      <c r="FE5" t="e">
        <f t="shared" ref="FE5:FE19" si="60">INDEX(FA$4:FC$64,MATCH(FD5,FA$4:FA$64,0),2)</f>
        <v>#N/A</v>
      </c>
      <c r="FF5" s="63" t="e">
        <f t="shared" ref="FF5:FF19" si="61">INDEX(FA$4:FC$64,MATCH(FD5,FA$4:FA$64,0),3)</f>
        <v>#N/A</v>
      </c>
      <c r="FH5" s="36" t="str">
        <f>IF(AND(FH$3="Espèce",FH$4="Toutes"),FL32,IF(AND(FH$3="Atelier",FH$4="Tous"),FK32,IF(AND(FH$3="Âge",FH$4="Tous"),FJ32,IF(AND(FH$3="Catégorie",FH$4="Toutes"),FI32,FH$4))))</f>
        <v/>
      </c>
      <c r="FI5" s="35" t="str" cm="1">
        <f t="array" ref="FI5">IF($FH$3="Catégorie",IF(SUMIFS('Étape 1 - à remplir'!$F$31:$F$400,'Étape 1 - à remplir'!$C$31:$C$400,$FH5,'Étape 1 - à remplir'!$M$31:$M$400,MASQ2!FI$4)=0,"",SUMIFS('Étape 1 - à remplir'!$F$31:$F$400,'Étape 1 - à remplir'!$C$31:$C$400,$FH5,'Étape 1 - à remplir'!$M$31:$M$400,MASQ2!FI$4)/INDEX('Étape 1 - à remplir'!$C$19:$L$28,MATCH(MASQ2!$FH5,'Étape 1 - à remplir'!$L$19:$L$28,0),4)),INDEX($FI$44:$FT$73,MATCH($FH5,$FH$44:$FH$73,0),FI$4))</f>
        <v/>
      </c>
      <c r="FJ5" s="35" t="str" cm="1">
        <f t="array" aca="1" ref="FJ5" ca="1">IF($FH$3="Catégorie",IF(SUMIFS('Étape 1 - à remplir'!$F$31:$F$400,'Étape 1 - à remplir'!$C$31:$C$400,$FH5,'Étape 1 - à remplir'!$M$31:$M$400,MASQ2!FJ$4)=0,"",SUMIFS('Étape 1 - à remplir'!$F$31:$F$400,'Étape 1 - à remplir'!$C$31:$C$400,$FH5,'Étape 1 - à remplir'!$M$31:$M$400,MASQ2!FJ$4)/INDEX('Étape 1 - à remplir'!$C$19:$L$28,MATCH(MASQ2!$FH5,'Étape 1 - à remplir'!$L$19:$L$28,0),4)),INDEX($FI$44:$FT$73,MATCH($FH5,$FH$44:$FH$73,0),FJ$4))</f>
        <v/>
      </c>
      <c r="FK5" s="35" t="str" cm="1">
        <f t="array" aca="1" ref="FK5" ca="1">IF($FH$3="Catégorie",IF(SUMIFS('Étape 1 - à remplir'!$F$31:$F$400,'Étape 1 - à remplir'!$C$31:$C$400,$FH5,'Étape 1 - à remplir'!$M$31:$M$400,MASQ2!FK$4)=0,"",SUMIFS('Étape 1 - à remplir'!$F$31:$F$400,'Étape 1 - à remplir'!$C$31:$C$400,$FH5,'Étape 1 - à remplir'!$M$31:$M$400,MASQ2!FK$4)/INDEX('Étape 1 - à remplir'!$C$19:$L$28,MATCH(MASQ2!$FH5,'Étape 1 - à remplir'!$L$19:$L$28,0),4)),INDEX($FI$44:$FT$73,MATCH($FH5,$FH$44:$FH$73,0),FK$4))</f>
        <v/>
      </c>
      <c r="FL5" s="35" t="str" cm="1">
        <f t="array" aca="1" ref="FL5" ca="1">IF($FH$3="Catégorie",IF(SUMIFS('Étape 1 - à remplir'!$F$31:$F$400,'Étape 1 - à remplir'!$C$31:$C$400,$FH5,'Étape 1 - à remplir'!$M$31:$M$400,MASQ2!FL$4)=0,"",SUMIFS('Étape 1 - à remplir'!$F$31:$F$400,'Étape 1 - à remplir'!$C$31:$C$400,$FH5,'Étape 1 - à remplir'!$M$31:$M$400,MASQ2!FL$4)/INDEX('Étape 1 - à remplir'!$C$19:$L$28,MATCH(MASQ2!$FH5,'Étape 1 - à remplir'!$L$19:$L$28,0),4)),INDEX($FI$44:$FT$73,MATCH($FH5,$FH$44:$FH$73,0),FL$4))</f>
        <v/>
      </c>
      <c r="FM5" s="35" t="str" cm="1">
        <f t="array" aca="1" ref="FM5" ca="1">IF($FH$3="Catégorie",IF(SUMIFS('Étape 1 - à remplir'!$F$31:$F$400,'Étape 1 - à remplir'!$C$31:$C$400,$FH5,'Étape 1 - à remplir'!$M$31:$M$400,MASQ2!FM$4)=0,"",SUMIFS('Étape 1 - à remplir'!$F$31:$F$400,'Étape 1 - à remplir'!$C$31:$C$400,$FH5,'Étape 1 - à remplir'!$M$31:$M$400,MASQ2!FM$4)/INDEX('Étape 1 - à remplir'!$C$19:$L$28,MATCH(MASQ2!$FH5,'Étape 1 - à remplir'!$L$19:$L$28,0),4)),INDEX($FI$44:$FT$73,MATCH($FH5,$FH$44:$FH$73,0),FM$4))</f>
        <v/>
      </c>
      <c r="FN5" s="35" t="str" cm="1">
        <f t="array" aca="1" ref="FN5" ca="1">IF($FH$3="Catégorie",IF(SUMIFS('Étape 1 - à remplir'!$F$31:$F$400,'Étape 1 - à remplir'!$C$31:$C$400,$FH5,'Étape 1 - à remplir'!$M$31:$M$400,MASQ2!FN$4)=0,"",SUMIFS('Étape 1 - à remplir'!$F$31:$F$400,'Étape 1 - à remplir'!$C$31:$C$400,$FH5,'Étape 1 - à remplir'!$M$31:$M$400,MASQ2!FN$4)/INDEX('Étape 1 - à remplir'!$C$19:$L$28,MATCH(MASQ2!$FH5,'Étape 1 - à remplir'!$L$19:$L$28,0),4)),INDEX($FI$44:$FT$73,MATCH($FH5,$FH$44:$FH$73,0),FN$4))</f>
        <v/>
      </c>
      <c r="FO5" s="35" t="str" cm="1">
        <f t="array" aca="1" ref="FO5" ca="1">IF($FH$3="Catégorie",IF(SUMIFS('Étape 1 - à remplir'!$F$31:$F$400,'Étape 1 - à remplir'!$C$31:$C$400,$FH5,'Étape 1 - à remplir'!$M$31:$M$400,MASQ2!FO$4)=0,"",SUMIFS('Étape 1 - à remplir'!$F$31:$F$400,'Étape 1 - à remplir'!$C$31:$C$400,$FH5,'Étape 1 - à remplir'!$M$31:$M$400,MASQ2!FO$4)/INDEX('Étape 1 - à remplir'!$C$19:$L$28,MATCH(MASQ2!$FH5,'Étape 1 - à remplir'!$L$19:$L$28,0),4)),INDEX($FI$44:$FT$73,MATCH($FH5,$FH$44:$FH$73,0),FO$4))</f>
        <v/>
      </c>
      <c r="FP5" s="35" t="str" cm="1">
        <f t="array" aca="1" ref="FP5" ca="1">IF($FH$3="Catégorie",IF(SUMIFS('Étape 1 - à remplir'!$F$31:$F$400,'Étape 1 - à remplir'!$C$31:$C$400,$FH5,'Étape 1 - à remplir'!$M$31:$M$400,MASQ2!FP$4)=0,"",SUMIFS('Étape 1 - à remplir'!$F$31:$F$400,'Étape 1 - à remplir'!$C$31:$C$400,$FH5,'Étape 1 - à remplir'!$M$31:$M$400,MASQ2!FP$4)/INDEX('Étape 1 - à remplir'!$C$19:$L$28,MATCH(MASQ2!$FH5,'Étape 1 - à remplir'!$L$19:$L$28,0),4)),INDEX($FI$44:$FT$73,MATCH($FH5,$FH$44:$FH$73,0),FP$4))</f>
        <v/>
      </c>
      <c r="FQ5" s="35" t="str" cm="1">
        <f t="array" aca="1" ref="FQ5" ca="1">IF($FH$3="Catégorie",IF(SUMIFS('Étape 1 - à remplir'!$F$31:$F$400,'Étape 1 - à remplir'!$C$31:$C$400,$FH5,'Étape 1 - à remplir'!$M$31:$M$400,MASQ2!FQ$4)=0,"",SUMIFS('Étape 1 - à remplir'!$F$31:$F$400,'Étape 1 - à remplir'!$C$31:$C$400,$FH5,'Étape 1 - à remplir'!$M$31:$M$400,MASQ2!FQ$4)/INDEX('Étape 1 - à remplir'!$C$19:$L$28,MATCH(MASQ2!$FH5,'Étape 1 - à remplir'!$L$19:$L$28,0),4)),INDEX($FI$44:$FT$73,MATCH($FH5,$FH$44:$FH$73,0),FQ$4))</f>
        <v/>
      </c>
      <c r="FR5" s="35" t="str" cm="1">
        <f t="array" aca="1" ref="FR5" ca="1">IF($FH$3="Catégorie",IF(SUMIFS('Étape 1 - à remplir'!$F$31:$F$400,'Étape 1 - à remplir'!$C$31:$C$400,$FH5,'Étape 1 - à remplir'!$M$31:$M$400,MASQ2!FR$4)=0,"",SUMIFS('Étape 1 - à remplir'!$F$31:$F$400,'Étape 1 - à remplir'!$C$31:$C$400,$FH5,'Étape 1 - à remplir'!$M$31:$M$400,MASQ2!FR$4)/INDEX('Étape 1 - à remplir'!$C$19:$L$28,MATCH(MASQ2!$FH5,'Étape 1 - à remplir'!$L$19:$L$28,0),4)),INDEX($FI$44:$FT$73,MATCH($FH5,$FH$44:$FH$73,0),FR$4))</f>
        <v/>
      </c>
      <c r="FS5" s="35" t="str" cm="1">
        <f t="array" aca="1" ref="FS5" ca="1">IF($FH$3="Catégorie",IF(SUMIFS('Étape 1 - à remplir'!$F$31:$F$400,'Étape 1 - à remplir'!$C$31:$C$400,$FH5,'Étape 1 - à remplir'!$M$31:$M$400,MASQ2!FS$4)=0,"",SUMIFS('Étape 1 - à remplir'!$F$31:$F$400,'Étape 1 - à remplir'!$C$31:$C$400,$FH5,'Étape 1 - à remplir'!$M$31:$M$400,MASQ2!FS$4)/INDEX('Étape 1 - à remplir'!$C$19:$L$28,MATCH(MASQ2!$FH5,'Étape 1 - à remplir'!$L$19:$L$28,0),4)),INDEX($FI$44:$FT$73,MATCH($FH5,$FH$44:$FH$73,0),FS$4))</f>
        <v/>
      </c>
      <c r="FT5" s="35" t="str" cm="1">
        <f t="array" aca="1" ref="FT5" ca="1">IF($FH$3="Catégorie",IF(SUMIFS('Étape 1 - à remplir'!$F$31:$F$400,'Étape 1 - à remplir'!$C$31:$C$400,$FH5,'Étape 1 - à remplir'!$M$31:$M$400,MASQ2!FT$4)=0,"",SUMIFS('Étape 1 - à remplir'!$F$31:$F$400,'Étape 1 - à remplir'!$C$31:$C$400,$FH5,'Étape 1 - à remplir'!$M$31:$M$400,MASQ2!FT$4)/INDEX('Étape 1 - à remplir'!$C$19:$L$28,MATCH(MASQ2!$FH5,'Étape 1 - à remplir'!$L$19:$L$28,0),4)),INDEX($FI$44:$FT$73,MATCH($FH5,$FH$44:$FH$73,0),FT$4))</f>
        <v/>
      </c>
    </row>
    <row r="6" spans="1:176" x14ac:dyDescent="0.3">
      <c r="A6" s="42" t="e">
        <f>IF(D6="","",COUNTIF(D$4:D$13,"&gt;"&amp;D6)+COUNTIF(D$4:D6,D6))</f>
        <v>#N/A</v>
      </c>
      <c r="B6" t="str">
        <f>IF('Étape 1 - à remplir'!L21="","",'Étape 1 - à remplir'!L21)</f>
        <v/>
      </c>
      <c r="C6" t="e">
        <f>IF(INDEX('Étape 1 - à remplir'!G$19:L$28,MATCH(MASQ2!B6,'Étape 1 - à remplir'!L$19:L$28,0),1)="animaux",SUMIF('Étape 1 - à remplir'!C$31:C$400,MASQ2!B6,'Étape 1 - à remplir'!F$31:F$400),NA())</f>
        <v>#N/A</v>
      </c>
      <c r="D6" s="63" t="e">
        <f>C6/INDEX('Étape 1 - à remplir'!F$19:L$28,MATCH(MASQ2!B6,'Étape 1 - à remplir'!L$19:L$28,0),1)</f>
        <v>#N/A</v>
      </c>
      <c r="F6" s="118" t="str">
        <f>IFERROR(IF(H6="","",COUNTIF(H$4:H$23,"&gt;"&amp;H6)+COUNTIF(H$4:H6,H6)),"")</f>
        <v/>
      </c>
      <c r="G6" t="str">
        <f>Données_ATB!CG5</f>
        <v>Blessures diverses</v>
      </c>
      <c r="H6" s="76" t="e">
        <f>IF(IF(X$2="Catégorie",IF(X$3="Toutes",SUMIFS('Étape 1 - à remplir'!F$31:F$400,'Étape 1 - à remplir'!D$31:D$400,MASQ2!G6,'Étape 1 - à remplir'!G$31:G$400,"animaux"),SUMIFS('Étape 1 - à remplir'!F$31:F$400,'Étape 1 - à remplir'!D$31:D$400,MASQ2!G6,'Étape 1 - à remplir'!C$31:C$400,X$3)),IF(X$2="Âge",IF(X$3="Tous",SUMIFS('Étape 1 - à remplir'!F$31:F$400,'Étape 1 - à remplir'!D$31:D$400,MASQ2!G6,'Étape 1 - à remplir'!G$31:G$400,"animaux"),SUMIFS('Étape 1 - à remplir'!F$31:F$400,'Étape 1 - à remplir'!D$31:D$400,MASQ2!G6,'Étape 1 - à remplir'!P$31:P$400,X$3)),IF(X$2="Atelier",IF(X$3="Tous",SUMIFS('Étape 1 - à remplir'!F$31:F$400,'Étape 1 - à remplir'!D$31:D$400,MASQ2!G6,'Étape 1 - à remplir'!G$31:G$400,"animaux"),SUMIFS('Étape 1 - à remplir'!F$31:F$400,'Étape 1 - à remplir'!D$31:D$400,MASQ2!G6,'Étape 1 - à remplir'!O$31:O$400,X$3)),IF(X$2="Espèce",IF(X$3="Toutes",SUMIFS('Étape 1 - à remplir'!F$31:F$400,'Étape 1 - à remplir'!D$31:D$400,MASQ2!G6,'Étape 1 - à remplir'!G$31:G$400,"animaux"),SUMIFS('Étape 1 - à remplir'!F$31:F$400,'Étape 1 - à remplir'!D$31:D$400,MASQ2!G6,'Étape 1 - à remplir'!N$31:N$400,X$3))))))=0,NA(),IF(X$2="Catégorie",IF(X$3="Toutes",SUMIFS('Étape 1 - à remplir'!F$31:F$400,'Étape 1 - à remplir'!D$31:D$400,MASQ2!G6,'Étape 1 - à remplir'!G$31:G$400,"animaux"),SUMIFS('Étape 1 - à remplir'!F$31:F$400,'Étape 1 - à remplir'!D$31:D$400,MASQ2!G6,'Étape 1 - à remplir'!C$31:C$400,X$3)),IF(X$2="Âge",IF(X$3="Tous",SUMIFS('Étape 1 - à remplir'!F$31:F$400,'Étape 1 - à remplir'!D$31:D$400,MASQ2!G6,'Étape 1 - à remplir'!G$31:G$400,"animaux"),SUMIFS('Étape 1 - à remplir'!F$31:F$400,'Étape 1 - à remplir'!D$31:D$400,MASQ2!G6,'Étape 1 - à remplir'!P$31:P$400,X$3)),IF(X$2="Atelier",IF(X$3="Tous",SUMIFS('Étape 1 - à remplir'!F$31:F$400,'Étape 1 - à remplir'!D$31:D$400,MASQ2!G6,'Étape 1 - à remplir'!G$31:G$400,"animaux"),SUMIFS('Étape 1 - à remplir'!F$31:F$400,'Étape 1 - à remplir'!D$31:D$400,MASQ2!G6,'Étape 1 - à remplir'!O$31:O$400,X$3)),IF(X$2="Espèce",IF(X$3="Tous",SUMIFS('Étape 1 - à remplir'!F$31:F$400,'Étape 1 - à remplir'!D$31:D$400,MASQ2!G6,'Étape 1 - à remplir'!G$31:G$400,"animaux"),SUMIFS('Étape 1 - à remplir'!F$31:F$400,'Étape 1 - à remplir'!D$31:D$400,MASQ2!G6,'Étape 1 - à remplir'!N$31:N$400,X$3)))))))</f>
        <v>#N/A</v>
      </c>
      <c r="I6" s="118">
        <v>3</v>
      </c>
      <c r="J6" t="e">
        <f t="shared" si="30"/>
        <v>#N/A</v>
      </c>
      <c r="K6" s="76" t="e">
        <f t="shared" si="31"/>
        <v>#N/A</v>
      </c>
      <c r="M6" s="194" t="str">
        <f ca="1">INDEX(Données_ATB!BD:BU,MATCH(MASQ2!O6,Données_ATB!BD:BD,0),18)</f>
        <v>x</v>
      </c>
      <c r="N6" s="14" t="str">
        <f>IFERROR(IF(Q6=0,"",COUNTIF(Q$4:Q$600,"&gt;"&amp;Q6)+COUNTIF(Q$4:Q6,Q6)),"")</f>
        <v/>
      </c>
      <c r="O6" t="str">
        <f>Données_ATB!BD5</f>
        <v>ACTI COLI 2 MUI/ML</v>
      </c>
      <c r="P6" t="e">
        <f>IF(IF(X$2="Catégorie",IF(X$3="Toutes",SUMIFS('Étape 1 - à remplir'!$F$31:$F$400,'Étape 1 - à remplir'!$E$31:$E$400,MASQ2!O6,'Étape 1 - à remplir'!$G$31:$G$400,"animaux"),SUMIFS('Étape 1 - à remplir'!$F$31:$F$400,'Étape 1 - à remplir'!$E$31:$E$400,MASQ2!O6,'Étape 1 - à remplir'!$C$31:$C$400,X$3)),IF(X$2="Âge",IF(X$3="Tous",SUMIFS('Étape 1 - à remplir'!$F$31:$F$400,'Étape 1 - à remplir'!$E$31:$E$400,MASQ2!O6,'Étape 1 - à remplir'!$G$31:$G$400,"animaux"),SUMIFS('Étape 1 - à remplir'!$F$31:$F$400,'Étape 1 - à remplir'!$E$31:$E$400,MASQ2!O6,'Étape 1 - à remplir'!$P$31:$P$400,X$3)),IF(X$2="Atelier",IF(X$3="Tous",SUMIFS('Étape 1 - à remplir'!$F$31:$F$400,'Étape 1 - à remplir'!$E$31:$E$400,MASQ2!O6,'Étape 1 - à remplir'!$G$31:$G$400,"animaux"),SUMIFS('Étape 1 - à remplir'!$F$31:$F$400,'Étape 1 - à remplir'!$E$31:$E$400,MASQ2!O6,'Étape 1 - à remplir'!$O$31:$O$400,X$3)),IF(X$2="Espèce",IF(X$3="Toutes",SUMIFS('Étape 1 - à remplir'!$F$31:$F$400,'Étape 1 - à remplir'!$E$31:$E$400,MASQ2!O6,'Étape 1 - à remplir'!$G$31:$G$400,"animaux"),SUMIFS('Étape 1 - à remplir'!$F$31:$F$400,'Étape 1 - à remplir'!$E$31:$E$400,MASQ2!O6,'Étape 1 - à remplir'!$N$31:$N$400,X$3))))))=0,NA(),IF(X$2="Catégorie",IF(X$3="Toutes",SUMIFS('Étape 1 - à remplir'!$F$31:$F$400,'Étape 1 - à remplir'!$E$31:$E$400,MASQ2!O6,'Étape 1 - à remplir'!$G$31:$G$400,"animaux"),SUMIFS('Étape 1 - à remplir'!$F$31:$F$400,'Étape 1 - à remplir'!$E$31:$E$400,MASQ2!O6,'Étape 1 - à remplir'!$C$31:$C$400,X$3)),IF(X$2="Âge",IF(X$3="Tous",SUMIFS('Étape 1 - à remplir'!$F$31:$F$400,'Étape 1 - à remplir'!$E$31:$E$400,MASQ2!O6,'Étape 1 - à remplir'!$G$31:$G$400,"animaux"),SUMIFS('Étape 1 - à remplir'!$F$31:$F$400,'Étape 1 - à remplir'!$E$31:$E$400,MASQ2!O6,'Étape 1 - à remplir'!$P$31:$P$400,X$3)),IF(X$2="Atelier",IF(X$3="Tous",SUMIFS('Étape 1 - à remplir'!$F$31:$F$400,'Étape 1 - à remplir'!$E$31:$E$400,MASQ2!O6,'Étape 1 - à remplir'!$G$31:$G$400,"animaux"),SUMIFS('Étape 1 - à remplir'!$F$31:$F$400,'Étape 1 - à remplir'!$E$31:$E$400,MASQ2!O6,'Étape 1 - à remplir'!$O$31:$O$400,X$3)),IF(X$2="Espèce",IF(X$3="Toutes",SUMIFS('Étape 1 - à remplir'!$F$31:$F$400,'Étape 1 - à remplir'!$E$31:$E$400,MASQ2!O6,'Étape 1 - à remplir'!$G$31:$G$400,"animaux"),SUMIFS('Étape 1 - à remplir'!$F$31:$F$400,'Étape 1 - à remplir'!$E$31:$E$400,MASQ2!O6,'Étape 1 - à remplir'!$N$31:$N$400,X$3)))))))</f>
        <v>#N/A</v>
      </c>
      <c r="Q6" s="63">
        <f t="shared" ref="Q6:Q69" si="62">IFERROR(P6,0)</f>
        <v>0</v>
      </c>
      <c r="R6" t="str">
        <f>Données_ATB!BM5</f>
        <v>Colistine</v>
      </c>
      <c r="S6" t="str">
        <f>Données_ATB!BN5</f>
        <v/>
      </c>
      <c r="T6" s="63" t="str">
        <f>Données_ATB!BO5</f>
        <v/>
      </c>
      <c r="U6" s="42" t="str">
        <f>Données_ATB!BQ5</f>
        <v>Polypeptides</v>
      </c>
      <c r="V6" t="str">
        <f>Données_ATB!BR5</f>
        <v/>
      </c>
      <c r="W6" s="63" t="str">
        <f>Données_ATB!BS5</f>
        <v/>
      </c>
      <c r="Z6" s="42">
        <v>3</v>
      </c>
      <c r="AA6" t="e">
        <f t="shared" si="32"/>
        <v>#N/A</v>
      </c>
      <c r="AB6" s="63" t="e">
        <f t="shared" si="33"/>
        <v>#N/A</v>
      </c>
      <c r="AD6" s="194" t="str">
        <f>IF(AF6="Colistine","x",IF(INDEX(Données_ATB!CA$3:CB$63,MATCH(AF6,Données_ATB!CA$3:CA$63,0),2)="Fluoroquinolones","x",IF(INDEX(Données_ATB!CA$3:CB$63,MATCH(AF6,Données_ATB!CA$3:CA$63,0),2)="Cephalosporines 3&amp;4G","x","")))</f>
        <v/>
      </c>
      <c r="AE6" s="219" t="str">
        <f>IFERROR(IF(AG6=0,"",COUNTIF(AG$4:AG$64,"&gt;"&amp;AG6)+COUNTIF(AG$4:AG6,AG6)),"")</f>
        <v/>
      </c>
      <c r="AF6" s="42" t="str">
        <f>Données_ATB!CA5</f>
        <v>Apramycine</v>
      </c>
      <c r="AG6" s="63" t="e">
        <f t="shared" si="34"/>
        <v>#N/A</v>
      </c>
      <c r="AH6" s="42">
        <v>3</v>
      </c>
      <c r="AI6" t="e">
        <f t="shared" si="35"/>
        <v>#N/A</v>
      </c>
      <c r="AJ6" s="63" t="e">
        <f t="shared" si="36"/>
        <v>#N/A</v>
      </c>
      <c r="AL6" s="194" t="str">
        <f t="shared" si="37"/>
        <v/>
      </c>
      <c r="AM6" s="14" t="str">
        <f>IFERROR(IF(AO6=0,"",COUNTIF(AO$4:AO$19,"&gt;"&amp;AO6)+COUNTIF(AO$4:AO6,AO6)),"")</f>
        <v/>
      </c>
      <c r="AN6" t="str">
        <f>Données_ATB!BX5</f>
        <v>Autres familles</v>
      </c>
      <c r="AO6" s="76" t="e">
        <f t="shared" si="3"/>
        <v>#N/A</v>
      </c>
      <c r="AP6">
        <v>3</v>
      </c>
      <c r="AQ6" t="e">
        <f t="shared" si="38"/>
        <v>#N/A</v>
      </c>
      <c r="AR6" s="63" t="e">
        <f t="shared" si="39"/>
        <v>#N/A</v>
      </c>
      <c r="AT6" s="36" t="str">
        <f>IF(AND(AT$3="Espèce",AT$4="Toutes"),AX33,IF(AND(AT$3="Atelier",AT$4="Tous"),AW33,IF(AND(AT$3="Âge",AT$4="Tous"),AV33,IF(AND(AT$3="Catégorie",AT$4="Toutes"),AU33,""))))</f>
        <v/>
      </c>
      <c r="AU6" s="36" t="str" cm="1">
        <f t="array" ref="AU6">IF($AT$3="Catégorie",IF(SUMIFS('Étape 1 - à remplir'!$F$31:$F$400,'Étape 1 - à remplir'!$C$31:$C$400,$AT6,'Étape 1 - à remplir'!$M$31:$M$400,MASQ2!AU$4)=0,"",SUMIFS('Étape 1 - à remplir'!$F$31:$F$400,'Étape 1 - à remplir'!$C$31:$C$400,$AT6,'Étape 1 - à remplir'!$M$31:$M$400,MASQ2!AU$4)/INDEX('Étape 1 - à remplir'!$C$19:$L$28,MATCH(MASQ2!$AT6,'Étape 1 - à remplir'!$L$19:$L$28,0),4)),INDEX($AU$44:$BF$73,MATCH($AT6,$AT$44:$AT$73,0),AU$4))</f>
        <v/>
      </c>
      <c r="AV6" s="36" t="str" cm="1">
        <f t="array" aca="1" ref="AV6" ca="1">IF($AT$3="Catégorie",IF(SUMIFS('Étape 1 - à remplir'!$F$31:$F$400,'Étape 1 - à remplir'!$C$31:$C$400,$AT6,'Étape 1 - à remplir'!$M$31:$M$400,MASQ2!AV$4)=0,"",SUMIFS('Étape 1 - à remplir'!$F$31:$F$400,'Étape 1 - à remplir'!$C$31:$C$400,$AT6,'Étape 1 - à remplir'!$M$31:$M$400,MASQ2!AV$4)/INDEX('Étape 1 - à remplir'!$C$19:$L$28,MATCH(MASQ2!$AT6,'Étape 1 - à remplir'!$L$19:$L$28,0),4)),INDEX($AU$44:$BF$73,MATCH($AT6,$AT$44:$AT$73,0),AV$4))</f>
        <v/>
      </c>
      <c r="AW6" s="36" t="str" cm="1">
        <f t="array" aca="1" ref="AW6" ca="1">IF($AT$3="Catégorie",IF(SUMIFS('Étape 1 - à remplir'!$F$31:$F$400,'Étape 1 - à remplir'!$C$31:$C$400,$AT6,'Étape 1 - à remplir'!$M$31:$M$400,MASQ2!AW$4)=0,"",SUMIFS('Étape 1 - à remplir'!$F$31:$F$400,'Étape 1 - à remplir'!$C$31:$C$400,$AT6,'Étape 1 - à remplir'!$M$31:$M$400,MASQ2!AW$4)/INDEX('Étape 1 - à remplir'!$C$19:$L$28,MATCH(MASQ2!$AT6,'Étape 1 - à remplir'!$L$19:$L$28,0),4)),INDEX($AU$44:$BF$73,MATCH($AT6,$AT$44:$AT$73,0),AW$4))</f>
        <v/>
      </c>
      <c r="AX6" s="36" t="str" cm="1">
        <f t="array" aca="1" ref="AX6" ca="1">IF($AT$3="Catégorie",IF(SUMIFS('Étape 1 - à remplir'!$F$31:$F$400,'Étape 1 - à remplir'!$C$31:$C$400,$AT6,'Étape 1 - à remplir'!$M$31:$M$400,MASQ2!AX$4)=0,"",SUMIFS('Étape 1 - à remplir'!$F$31:$F$400,'Étape 1 - à remplir'!$C$31:$C$400,$AT6,'Étape 1 - à remplir'!$M$31:$M$400,MASQ2!AX$4)/INDEX('Étape 1 - à remplir'!$C$19:$L$28,MATCH(MASQ2!$AT6,'Étape 1 - à remplir'!$L$19:$L$28,0),4)),INDEX($AU$44:$BF$73,MATCH($AT6,$AT$44:$AT$73,0),AX$4))</f>
        <v/>
      </c>
      <c r="AY6" s="36" t="str" cm="1">
        <f t="array" aca="1" ref="AY6" ca="1">IF($AT$3="Catégorie",IF(SUMIFS('Étape 1 - à remplir'!$F$31:$F$400,'Étape 1 - à remplir'!$C$31:$C$400,$AT6,'Étape 1 - à remplir'!$M$31:$M$400,MASQ2!AY$4)=0,"",SUMIFS('Étape 1 - à remplir'!$F$31:$F$400,'Étape 1 - à remplir'!$C$31:$C$400,$AT6,'Étape 1 - à remplir'!$M$31:$M$400,MASQ2!AY$4)/INDEX('Étape 1 - à remplir'!$C$19:$L$28,MATCH(MASQ2!$AT6,'Étape 1 - à remplir'!$L$19:$L$28,0),4)),INDEX($AU$44:$BF$73,MATCH($AT6,$AT$44:$AT$73,0),AY$4))</f>
        <v/>
      </c>
      <c r="AZ6" s="36" t="str" cm="1">
        <f t="array" aca="1" ref="AZ6" ca="1">IF($AT$3="Catégorie",IF(SUMIFS('Étape 1 - à remplir'!$F$31:$F$400,'Étape 1 - à remplir'!$C$31:$C$400,$AT6,'Étape 1 - à remplir'!$M$31:$M$400,MASQ2!AZ$4)=0,"",SUMIFS('Étape 1 - à remplir'!$F$31:$F$400,'Étape 1 - à remplir'!$C$31:$C$400,$AT6,'Étape 1 - à remplir'!$M$31:$M$400,MASQ2!AZ$4)/INDEX('Étape 1 - à remplir'!$C$19:$L$28,MATCH(MASQ2!$AT6,'Étape 1 - à remplir'!$L$19:$L$28,0),4)),INDEX($AU$44:$BF$73,MATCH($AT6,$AT$44:$AT$73,0),AZ$4))</f>
        <v/>
      </c>
      <c r="BA6" s="36" t="str" cm="1">
        <f t="array" aca="1" ref="BA6" ca="1">IF($AT$3="Catégorie",IF(SUMIFS('Étape 1 - à remplir'!$F$31:$F$400,'Étape 1 - à remplir'!$C$31:$C$400,$AT6,'Étape 1 - à remplir'!$M$31:$M$400,MASQ2!BA$4)=0,"",SUMIFS('Étape 1 - à remplir'!$F$31:$F$400,'Étape 1 - à remplir'!$C$31:$C$400,$AT6,'Étape 1 - à remplir'!$M$31:$M$400,MASQ2!BA$4)/INDEX('Étape 1 - à remplir'!$C$19:$L$28,MATCH(MASQ2!$AT6,'Étape 1 - à remplir'!$L$19:$L$28,0),4)),INDEX($AU$44:$BF$73,MATCH($AT6,$AT$44:$AT$73,0),BA$4))</f>
        <v/>
      </c>
      <c r="BB6" s="36" t="str" cm="1">
        <f t="array" aca="1" ref="BB6" ca="1">IF($AT$3="Catégorie",IF(SUMIFS('Étape 1 - à remplir'!$F$31:$F$400,'Étape 1 - à remplir'!$C$31:$C$400,$AT6,'Étape 1 - à remplir'!$M$31:$M$400,MASQ2!BB$4)=0,"",SUMIFS('Étape 1 - à remplir'!$F$31:$F$400,'Étape 1 - à remplir'!$C$31:$C$400,$AT6,'Étape 1 - à remplir'!$M$31:$M$400,MASQ2!BB$4)/INDEX('Étape 1 - à remplir'!$C$19:$L$28,MATCH(MASQ2!$AT6,'Étape 1 - à remplir'!$L$19:$L$28,0),4)),INDEX($AU$44:$BF$73,MATCH($AT6,$AT$44:$AT$73,0),BB$4))</f>
        <v/>
      </c>
      <c r="BC6" s="36" t="str" cm="1">
        <f t="array" aca="1" ref="BC6" ca="1">IF($AT$3="Catégorie",IF(SUMIFS('Étape 1 - à remplir'!$F$31:$F$400,'Étape 1 - à remplir'!$C$31:$C$400,$AT6,'Étape 1 - à remplir'!$M$31:$M$400,MASQ2!BC$4)=0,"",SUMIFS('Étape 1 - à remplir'!$F$31:$F$400,'Étape 1 - à remplir'!$C$31:$C$400,$AT6,'Étape 1 - à remplir'!$M$31:$M$400,MASQ2!BC$4)/INDEX('Étape 1 - à remplir'!$C$19:$L$28,MATCH(MASQ2!$AT6,'Étape 1 - à remplir'!$L$19:$L$28,0),4)),INDEX($AU$44:$BF$73,MATCH($AT6,$AT$44:$AT$73,0),BC$4))</f>
        <v/>
      </c>
      <c r="BD6" s="36" t="str" cm="1">
        <f t="array" aca="1" ref="BD6" ca="1">IF($AT$3="Catégorie",IF(SUMIFS('Étape 1 - à remplir'!$F$31:$F$400,'Étape 1 - à remplir'!$C$31:$C$400,$AT6,'Étape 1 - à remplir'!$M$31:$M$400,MASQ2!BD$4)=0,"",SUMIFS('Étape 1 - à remplir'!$F$31:$F$400,'Étape 1 - à remplir'!$C$31:$C$400,$AT6,'Étape 1 - à remplir'!$M$31:$M$400,MASQ2!BD$4)/INDEX('Étape 1 - à remplir'!$C$19:$L$28,MATCH(MASQ2!$AT6,'Étape 1 - à remplir'!$L$19:$L$28,0),4)),INDEX($AU$44:$BF$73,MATCH($AT6,$AT$44:$AT$73,0),BD$4))</f>
        <v/>
      </c>
      <c r="BE6" s="36" t="str" cm="1">
        <f t="array" aca="1" ref="BE6" ca="1">IF($AT$3="Catégorie",IF(SUMIFS('Étape 1 - à remplir'!$F$31:$F$400,'Étape 1 - à remplir'!$C$31:$C$400,$AT6,'Étape 1 - à remplir'!$M$31:$M$400,MASQ2!BE$4)=0,"",SUMIFS('Étape 1 - à remplir'!$F$31:$F$400,'Étape 1 - à remplir'!$C$31:$C$400,$AT6,'Étape 1 - à remplir'!$M$31:$M$400,MASQ2!BE$4)/INDEX('Étape 1 - à remplir'!$C$19:$L$28,MATCH(MASQ2!$AT6,'Étape 1 - à remplir'!$L$19:$L$28,0),4)),INDEX($AU$44:$BF$73,MATCH($AT6,$AT$44:$AT$73,0),BE$4))</f>
        <v/>
      </c>
      <c r="BF6" s="36" t="str" cm="1">
        <f t="array" aca="1" ref="BF6" ca="1">IF($AT$3="Catégorie",IF(SUMIFS('Étape 1 - à remplir'!$F$31:$F$400,'Étape 1 - à remplir'!$C$31:$C$400,$AT6,'Étape 1 - à remplir'!$M$31:$M$400,MASQ2!BF$4)=0,"",SUMIFS('Étape 1 - à remplir'!$F$31:$F$400,'Étape 1 - à remplir'!$C$31:$C$400,$AT6,'Étape 1 - à remplir'!$M$31:$M$400,MASQ2!BF$4)/INDEX('Étape 1 - à remplir'!$C$19:$L$28,MATCH(MASQ2!$AT6,'Étape 1 - à remplir'!$L$19:$L$28,0),4)),INDEX($AU$44:$BF$73,MATCH($AT6,$AT$44:$AT$73,0),BF$4))</f>
        <v/>
      </c>
      <c r="BH6" s="42" t="e">
        <f>IF(BK6="","",COUNTIF(BK$4:BK$13,"&gt;"&amp;BK6)+COUNTIF(BK$4:BK6,BK6))</f>
        <v>#N/A</v>
      </c>
      <c r="BI6" t="str">
        <f>'Étape 1 - à remplir'!L21</f>
        <v/>
      </c>
      <c r="BJ6" t="e">
        <f>IF(INDEX('Étape 1 - à remplir'!G$19:L$28,MATCH(BI6,'Étape 1 - à remplir'!L$19:L$28,0),1)="lots",SUMIF('Étape 1 - à remplir'!C$31:C$400,BI6,'Étape 1 - à remplir'!F$31:F$400),NA())</f>
        <v>#N/A</v>
      </c>
      <c r="BK6" s="76" t="e">
        <f>BJ6/INDEX('Étape 1 - à remplir'!F$19:L$28,MATCH(BI6,'Étape 1 - à remplir'!L$19:L$28,0),1)</f>
        <v>#N/A</v>
      </c>
      <c r="BM6" s="42" t="e">
        <f>IF(BO6="","",COUNTIF(BO$4:BO$23,"&gt;"&amp;BO6)+COUNTIF(BO$4:BO6,BO6))</f>
        <v>#N/A</v>
      </c>
      <c r="BN6" t="str">
        <f t="shared" si="4"/>
        <v>Blessures diverses</v>
      </c>
      <c r="BO6" s="76" t="e">
        <f>IF(IF(CE$2="Catégorie",IF(CE$3="Toutes",SUMIFS('Étape 1 - à remplir'!$F$31:$F$400,'Étape 1 - à remplir'!$D$31:$D$400,MASQ2!BN6,'Étape 1 - à remplir'!$G$31:$G$400,"lots"),SUMIFS('Étape 1 - à remplir'!$F$31:$F$400,'Étape 1 - à remplir'!$D$31:$D$400,MASQ2!BN6,'Étape 1 - à remplir'!$C$31:$C$400,CE$3,'Étape 1 - à remplir'!$G$31:$G$400,"lots")),IF(CE$2="Âge",IF(CE$3="Tous",SUMIFS('Étape 1 - à remplir'!$F$31:$F$400,'Étape 1 - à remplir'!$D$31:$D$400,MASQ2!BN6,'Étape 1 - à remplir'!$G$31:$G$400,"lots"),SUMIFS('Étape 1 - à remplir'!$F$31:$F$400,'Étape 1 - à remplir'!$D$31:$D$400,MASQ2!BN6,'Étape 1 - à remplir'!$P$31:$P$400,CE$3,'Étape 1 - à remplir'!$G$31:$G$400,"lots")),IF(CE$2="Atelier",IF(CE$3="Tous",SUMIFS('Étape 1 - à remplir'!$F$31:$F$400,'Étape 1 - à remplir'!$D$31:$D$400,MASQ2!BN6,'Étape 1 - à remplir'!$G$31:$G$400,"lots"),SUMIFS('Étape 1 - à remplir'!$F$31:$F$400,'Étape 1 - à remplir'!$D$31:$D$400,MASQ2!BN6,'Étape 1 - à remplir'!$O$31:$O$400,CE$3,'Étape 1 - à remplir'!$G$31:$G$400,"lots")),IF(CE$2="Espèce",IF(CE$3="Toutes",SUMIFS('Étape 1 - à remplir'!$F$31:$F$400,'Étape 1 - à remplir'!$D$31:$D$400,MASQ2!BN6,'Étape 1 - à remplir'!$G$31:$G$400,"lots"),SUMIFS('Étape 1 - à remplir'!$F$31:$F$400,'Étape 1 - à remplir'!$D$31:$D$400,MASQ2!BN6,'Étape 1 - à remplir'!$N$31:$N$400,CE$3,'Étape 1 - à remplir'!$G$31:$G$400,"lots"))))))=0,NA(),IF(CE$2="Catégorie",IF(CE$3="Toutes",SUMIFS('Étape 1 - à remplir'!$F$31:$F$400,'Étape 1 - à remplir'!$D$31:$D$400,MASQ2!BN6,'Étape 1 - à remplir'!$G$31:$G$400,"lots"),SUMIFS('Étape 1 - à remplir'!$F$31:$F$400,'Étape 1 - à remplir'!$D$31:$D$400,MASQ2!BN6,'Étape 1 - à remplir'!$C$31:$C$400,CE$3,'Étape 1 - à remplir'!$G$31:$G$400,"lots")),IF(CE$2="Âge",IF(CE$3="Tous",SUMIFS('Étape 1 - à remplir'!$F$31:$F$400,'Étape 1 - à remplir'!$D$31:$D$400,MASQ2!BN6,'Étape 1 - à remplir'!$G$31:$G$400,"lots"),SUMIFS('Étape 1 - à remplir'!$F$31:$F$400,'Étape 1 - à remplir'!$D$31:$D$400,MASQ2!BN6,'Étape 1 - à remplir'!$P$31:$P$400,CE$3,'Étape 1 - à remplir'!$G$31:$G$400,"lots")),IF(CE$2="Atelier",IF(CE$3="Tous",SUMIFS('Étape 1 - à remplir'!$F$31:$F$400,'Étape 1 - à remplir'!$D$31:$D$400,MASQ2!BN6,'Étape 1 - à remplir'!$G$31:$G$400,"lots"),SUMIFS('Étape 1 - à remplir'!$F$31:$F$400,'Étape 1 - à remplir'!$D$31:$D$400,MASQ2!BN6,'Étape 1 - à remplir'!$O$31:$O$400,CE$3,'Étape 1 - à remplir'!$G$31:$G$400,"lots")),IF(CE$2="Espèce",IF(CE$3="Toutes",SUMIFS('Étape 1 - à remplir'!$F$31:$F$400,'Étape 1 - à remplir'!$D$31:$D$400,MASQ2!BN6,'Étape 1 - à remplir'!$G$31:$G$400,"lots"),SUMIFS('Étape 1 - à remplir'!$F$31:$F$400,'Étape 1 - à remplir'!$D$31:$D$400,MASQ2!BN6,'Étape 1 - à remplir'!$N$31:$N$400,CE$3,'Étape 1 - à remplir'!$G$31:$G$400,"lots")))))))</f>
        <v>#N/A</v>
      </c>
      <c r="BP6">
        <v>3</v>
      </c>
      <c r="BQ6" t="e">
        <f t="shared" si="40"/>
        <v>#N/A</v>
      </c>
      <c r="BR6" s="63" t="e">
        <f t="shared" si="41"/>
        <v>#N/A</v>
      </c>
      <c r="BT6" s="194" t="str">
        <f t="shared" ca="1" si="5"/>
        <v>x</v>
      </c>
      <c r="BU6" s="219" t="str">
        <f>IFERROR(IF(BX6=0,"",COUNTIF(BX$4:BX$600,"&gt;"&amp;BX6)+COUNTIF(BX$4:BX6,BX6)),"")</f>
        <v/>
      </c>
      <c r="BV6" s="42" t="str">
        <f t="shared" si="6"/>
        <v>ACTI COLI 2 MUI/ML</v>
      </c>
      <c r="BW6" t="e">
        <f>IF(IF(CE$2="Catégorie",IF(CE$3="Toutes",SUMIFS('Étape 1 - à remplir'!$F$31:$F$400,'Étape 1 - à remplir'!$E$31:$E$400,MASQ2!BV6,'Étape 1 - à remplir'!$G$31:$G$400,"lots"),SUMIFS('Étape 1 - à remplir'!$F$31:$F$400,'Étape 1 - à remplir'!$E$31:$E$400,MASQ2!BV6,'Étape 1 - à remplir'!$C$31:$C$400,CE$3)),IF(CE$2="Âge",IF(CE$3="Tous",SUMIFS('Étape 1 - à remplir'!$F$31:$F$400,'Étape 1 - à remplir'!$E$31:$E$400,MASQ2!BV6,'Étape 1 - à remplir'!$G$31:$G$400,"lots"),SUMIFS('Étape 1 - à remplir'!$F$31:$F$400,'Étape 1 - à remplir'!$E$31:$E$400,MASQ2!BV6,'Étape 1 - à remplir'!$P$31:$P$400,CE$3,'Étape 1 - à remplir'!$G$31:$G$400,"lots")),IF(CE$2="Atelier",IF(CE$3="Tous",SUMIFS('Étape 1 - à remplir'!$F$31:$F$400,'Étape 1 - à remplir'!$E$31:$E$400,MASQ2!BV6,'Étape 1 - à remplir'!$G$31:$G$400,"lots"),SUMIFS('Étape 1 - à remplir'!$F$31:$F$400,'Étape 1 - à remplir'!$E$31:$E$400,MASQ2!BV6,'Étape 1 - à remplir'!$O$31:$O$400,CE$3,'Étape 1 - à remplir'!$G$31:$G$400,"lots")),IF(CE$2="Espèce",IF(CE$3="Toutes",SUMIFS('Étape 1 - à remplir'!$F$31:$F$400,'Étape 1 - à remplir'!$E$31:$E$400,MASQ2!BV6,'Étape 1 - à remplir'!$G$31:$G$400,"lots"),SUMIFS('Étape 1 - à remplir'!$F$31:$F$400,'Étape 1 - à remplir'!$E$31:$E$400,MASQ2!BV6,'Étape 1 - à remplir'!$N$31:$N$400,CE$3,'Étape 1 - à remplir'!$G$31:$G$400,"lots"))))))=0,NA(),IF(CE$2="Catégorie",IF(CE$3="Toutes",SUMIFS('Étape 1 - à remplir'!$F$31:$F$400,'Étape 1 - à remplir'!$E$31:$E$400,MASQ2!BV6,'Étape 1 - à remplir'!$G$31:$G$400,"lots"),SUMIFS('Étape 1 - à remplir'!$F$31:$F$400,'Étape 1 - à remplir'!$E$31:$E$400,MASQ2!BV6,'Étape 1 - à remplir'!$C$31:$C$400,CE$3)),IF(CE$2="Âge",IF(CE$3="Tous",SUMIFS('Étape 1 - à remplir'!$F$31:$F$400,'Étape 1 - à remplir'!$E$31:$E$400,MASQ2!BV6,'Étape 1 - à remplir'!$G$31:$G$400,"lots"),SUMIFS('Étape 1 - à remplir'!$F$31:$F$400,'Étape 1 - à remplir'!$E$31:$E$400,MASQ2!BV6,'Étape 1 - à remplir'!$P$31:$P$400,CE$3,'Étape 1 - à remplir'!$G$31:$G$400,"lots")),IF(CE$2="Atelier",IF(CE$3="Tous",SUMIFS('Étape 1 - à remplir'!$F$31:$F$400,'Étape 1 - à remplir'!$E$31:$E$400,MASQ2!BV6,'Étape 1 - à remplir'!$G$31:$G$400,"lots"),SUMIFS('Étape 1 - à remplir'!$F$31:$F$400,'Étape 1 - à remplir'!$E$31:$E$400,MASQ2!BV6,'Étape 1 - à remplir'!$O$31:$O$400,CE$3,'Étape 1 - à remplir'!$G$31:$G$400,"lots")),IF(CE$2="Espèce",IF(CE$3="Toutes",SUMIFS('Étape 1 - à remplir'!$F$31:$F$400,'Étape 1 - à remplir'!$E$31:$E$400,MASQ2!BV6,'Étape 1 - à remplir'!$G$31:$G$400,"lots"),SUMIFS('Étape 1 - à remplir'!$F$31:$F$400,'Étape 1 - à remplir'!$E$31:$E$400,MASQ2!BV6,'Étape 1 - à remplir'!$N$31:$N$400,CE$3,'Étape 1 - à remplir'!$G$31:$G$400,"lots")))))))</f>
        <v>#N/A</v>
      </c>
      <c r="BX6">
        <f t="shared" si="42"/>
        <v>0</v>
      </c>
      <c r="BY6" t="str">
        <f t="shared" si="7"/>
        <v>Colistine</v>
      </c>
      <c r="BZ6" t="str">
        <f t="shared" si="8"/>
        <v/>
      </c>
      <c r="CA6" t="str">
        <f t="shared" si="9"/>
        <v/>
      </c>
      <c r="CB6" t="str">
        <f t="shared" si="10"/>
        <v>Polypeptides</v>
      </c>
      <c r="CC6" t="str">
        <f t="shared" si="11"/>
        <v/>
      </c>
      <c r="CD6" s="63" t="str">
        <f t="shared" si="12"/>
        <v/>
      </c>
      <c r="CG6" s="42">
        <v>3</v>
      </c>
      <c r="CH6" s="42" t="e">
        <f t="shared" si="43"/>
        <v>#N/A</v>
      </c>
      <c r="CI6" s="63" t="e">
        <f t="shared" si="44"/>
        <v>#N/A</v>
      </c>
      <c r="CK6" s="194" t="str">
        <f t="shared" si="13"/>
        <v/>
      </c>
      <c r="CL6" s="226" t="str">
        <f>IFERROR(IF(CN6=0,"",COUNTIF(CN$4:CN$64,"&gt;"&amp;CN6)+COUNTIF(CN$4:CN6,CN6)),"")</f>
        <v/>
      </c>
      <c r="CM6" t="str">
        <f t="shared" si="14"/>
        <v>Apramycine</v>
      </c>
      <c r="CN6" s="76" t="e">
        <f t="shared" si="45"/>
        <v>#N/A</v>
      </c>
      <c r="CO6">
        <v>3</v>
      </c>
      <c r="CP6" t="e">
        <f t="shared" si="46"/>
        <v>#N/A</v>
      </c>
      <c r="CQ6" s="63" t="e">
        <f t="shared" si="47"/>
        <v>#N/A</v>
      </c>
      <c r="CS6" s="194" t="str">
        <f t="shared" si="15"/>
        <v/>
      </c>
      <c r="CT6" s="14" t="str">
        <f>IFERROR(IF(CV6=0,"",COUNTIF(CV$4:CV$19,"&gt;"&amp;CV6)+COUNTIF(CV$4:CV6,CV6)),"")</f>
        <v/>
      </c>
      <c r="CU6" s="230" t="str">
        <f t="shared" si="16"/>
        <v>Autres familles</v>
      </c>
      <c r="CV6" s="76" t="e">
        <f t="shared" si="48"/>
        <v>#N/A</v>
      </c>
      <c r="CW6">
        <v>3</v>
      </c>
      <c r="CX6" t="e">
        <f t="shared" si="49"/>
        <v>#N/A</v>
      </c>
      <c r="CY6" s="63" t="e">
        <f t="shared" si="50"/>
        <v>#N/A</v>
      </c>
      <c r="DA6" s="36" t="str">
        <f>IF(AND(DA$3="Espèce",DA$4="Toutes"),DE33,IF(AND(DA$3="Atelier",DA$4="Tous"),DD33,IF(AND(DA$3="Âge",DA$4="Tous"),DC33,IF(AND(DA$3="Catégorie",DA$4="Toutes"),DB33,""))))</f>
        <v/>
      </c>
      <c r="DB6" s="36" t="str" cm="1">
        <f t="array" ref="DB6">IF($DA$3="Catégorie",IF(SUMIFS('Étape 1 - à remplir'!$F$31:$F$400,'Étape 1 - à remplir'!$C$31:$C$400,$DA6,'Étape 1 - à remplir'!$M$31:$M$400,MASQ2!DB$4)=0,"",SUMIFS('Étape 1 - à remplir'!$F$31:$F$400,'Étape 1 - à remplir'!$C$31:$C$400,$DA6,'Étape 1 - à remplir'!$M$31:$M$400,MASQ2!DB$4)/INDEX('Étape 1 - à remplir'!$C$19:$L$28,MATCH(MASQ2!$DA6,'Étape 1 - à remplir'!$L$19:$L$28,0),4)),INDEX($DB$44:$DM$73,MATCH($DA6,$DA$44:$DA$73,0),DB$4))</f>
        <v/>
      </c>
      <c r="DC6" s="36" t="str" cm="1">
        <f t="array" aca="1" ref="DC6" ca="1">IF($DA$3="Catégorie",IF(SUMIFS('Étape 1 - à remplir'!$F$31:$F$400,'Étape 1 - à remplir'!$C$31:$C$400,$DA6,'Étape 1 - à remplir'!$M$31:$M$400,MASQ2!DC$4)=0,"",SUMIFS('Étape 1 - à remplir'!$F$31:$F$400,'Étape 1 - à remplir'!$C$31:$C$400,$DA6,'Étape 1 - à remplir'!$M$31:$M$400,MASQ2!DC$4)/INDEX('Étape 1 - à remplir'!$C$19:$L$28,MATCH(MASQ2!$DA6,'Étape 1 - à remplir'!$L$19:$L$28,0),4)),INDEX($DB$44:$DM$73,MATCH($DA6,$DA$44:$DA$73,0),DC$4))</f>
        <v/>
      </c>
      <c r="DD6" s="36" t="str" cm="1">
        <f t="array" aca="1" ref="DD6" ca="1">IF($DA$3="Catégorie",IF(SUMIFS('Étape 1 - à remplir'!$F$31:$F$400,'Étape 1 - à remplir'!$C$31:$C$400,$DA6,'Étape 1 - à remplir'!$M$31:$M$400,MASQ2!DD$4)=0,"",SUMIFS('Étape 1 - à remplir'!$F$31:$F$400,'Étape 1 - à remplir'!$C$31:$C$400,$DA6,'Étape 1 - à remplir'!$M$31:$M$400,MASQ2!DD$4)/INDEX('Étape 1 - à remplir'!$C$19:$L$28,MATCH(MASQ2!$DA6,'Étape 1 - à remplir'!$L$19:$L$28,0),4)),INDEX($DB$44:$DM$73,MATCH($DA6,$DA$44:$DA$73,0),DD$4))</f>
        <v/>
      </c>
      <c r="DE6" s="36" t="str" cm="1">
        <f t="array" aca="1" ref="DE6" ca="1">IF($DA$3="Catégorie",IF(SUMIFS('Étape 1 - à remplir'!$F$31:$F$400,'Étape 1 - à remplir'!$C$31:$C$400,$DA6,'Étape 1 - à remplir'!$M$31:$M$400,MASQ2!DE$4)=0,"",SUMIFS('Étape 1 - à remplir'!$F$31:$F$400,'Étape 1 - à remplir'!$C$31:$C$400,$DA6,'Étape 1 - à remplir'!$M$31:$M$400,MASQ2!DE$4)/INDEX('Étape 1 - à remplir'!$C$19:$L$28,MATCH(MASQ2!$DA6,'Étape 1 - à remplir'!$L$19:$L$28,0),4)),INDEX($DB$44:$DM$73,MATCH($DA6,$DA$44:$DA$73,0),DE$4))</f>
        <v/>
      </c>
      <c r="DF6" s="36" t="str" cm="1">
        <f t="array" aca="1" ref="DF6" ca="1">IF($DA$3="Catégorie",IF(SUMIFS('Étape 1 - à remplir'!$F$31:$F$400,'Étape 1 - à remplir'!$C$31:$C$400,$DA6,'Étape 1 - à remplir'!$M$31:$M$400,MASQ2!DF$4)=0,"",SUMIFS('Étape 1 - à remplir'!$F$31:$F$400,'Étape 1 - à remplir'!$C$31:$C$400,$DA6,'Étape 1 - à remplir'!$M$31:$M$400,MASQ2!DF$4)/INDEX('Étape 1 - à remplir'!$C$19:$L$28,MATCH(MASQ2!$DA6,'Étape 1 - à remplir'!$L$19:$L$28,0),4)),INDEX($DB$44:$DM$73,MATCH($DA6,$DA$44:$DA$73,0),DF$4))</f>
        <v/>
      </c>
      <c r="DG6" s="36" t="str" cm="1">
        <f t="array" aca="1" ref="DG6" ca="1">IF($DA$3="Catégorie",IF(SUMIFS('Étape 1 - à remplir'!$F$31:$F$400,'Étape 1 - à remplir'!$C$31:$C$400,$DA6,'Étape 1 - à remplir'!$M$31:$M$400,MASQ2!DG$4)=0,"",SUMIFS('Étape 1 - à remplir'!$F$31:$F$400,'Étape 1 - à remplir'!$C$31:$C$400,$DA6,'Étape 1 - à remplir'!$M$31:$M$400,MASQ2!DG$4)/INDEX('Étape 1 - à remplir'!$C$19:$L$28,MATCH(MASQ2!$DA6,'Étape 1 - à remplir'!$L$19:$L$28,0),4)),INDEX($DB$44:$DM$73,MATCH($DA6,$DA$44:$DA$73,0),DG$4))</f>
        <v/>
      </c>
      <c r="DH6" s="36" t="str" cm="1">
        <f t="array" aca="1" ref="DH6" ca="1">IF($DA$3="Catégorie",IF(SUMIFS('Étape 1 - à remplir'!$F$31:$F$400,'Étape 1 - à remplir'!$C$31:$C$400,$DA6,'Étape 1 - à remplir'!$M$31:$M$400,MASQ2!DH$4)=0,"",SUMIFS('Étape 1 - à remplir'!$F$31:$F$400,'Étape 1 - à remplir'!$C$31:$C$400,$DA6,'Étape 1 - à remplir'!$M$31:$M$400,MASQ2!DH$4)/INDEX('Étape 1 - à remplir'!$C$19:$L$28,MATCH(MASQ2!$DA6,'Étape 1 - à remplir'!$L$19:$L$28,0),4)),INDEX($DB$44:$DM$73,MATCH($DA6,$DA$44:$DA$73,0),DH$4))</f>
        <v/>
      </c>
      <c r="DI6" s="36" t="str" cm="1">
        <f t="array" aca="1" ref="DI6" ca="1">IF($DA$3="Catégorie",IF(SUMIFS('Étape 1 - à remplir'!$F$31:$F$400,'Étape 1 - à remplir'!$C$31:$C$400,$DA6,'Étape 1 - à remplir'!$M$31:$M$400,MASQ2!DI$4)=0,"",SUMIFS('Étape 1 - à remplir'!$F$31:$F$400,'Étape 1 - à remplir'!$C$31:$C$400,$DA6,'Étape 1 - à remplir'!$M$31:$M$400,MASQ2!DI$4)/INDEX('Étape 1 - à remplir'!$C$19:$L$28,MATCH(MASQ2!$DA6,'Étape 1 - à remplir'!$L$19:$L$28,0),4)),INDEX($DB$44:$DM$73,MATCH($DA6,$DA$44:$DA$73,0),DI$4))</f>
        <v/>
      </c>
      <c r="DJ6" s="36" t="str" cm="1">
        <f t="array" aca="1" ref="DJ6" ca="1">IF($DA$3="Catégorie",IF(SUMIFS('Étape 1 - à remplir'!$F$31:$F$400,'Étape 1 - à remplir'!$C$31:$C$400,$DA6,'Étape 1 - à remplir'!$M$31:$M$400,MASQ2!DJ$4)=0,"",SUMIFS('Étape 1 - à remplir'!$F$31:$F$400,'Étape 1 - à remplir'!$C$31:$C$400,$DA6,'Étape 1 - à remplir'!$M$31:$M$400,MASQ2!DJ$4)/INDEX('Étape 1 - à remplir'!$C$19:$L$28,MATCH(MASQ2!$DA6,'Étape 1 - à remplir'!$L$19:$L$28,0),4)),INDEX($DB$44:$DM$73,MATCH($DA6,$DA$44:$DA$73,0),DJ$4))</f>
        <v/>
      </c>
      <c r="DK6" s="36" t="str" cm="1">
        <f t="array" aca="1" ref="DK6" ca="1">IF($DA$3="Catégorie",IF(SUMIFS('Étape 1 - à remplir'!$F$31:$F$400,'Étape 1 - à remplir'!$C$31:$C$400,$DA6,'Étape 1 - à remplir'!$M$31:$M$400,MASQ2!DK$4)=0,"",SUMIFS('Étape 1 - à remplir'!$F$31:$F$400,'Étape 1 - à remplir'!$C$31:$C$400,$DA6,'Étape 1 - à remplir'!$M$31:$M$400,MASQ2!DK$4)/INDEX('Étape 1 - à remplir'!$C$19:$L$28,MATCH(MASQ2!$DA6,'Étape 1 - à remplir'!$L$19:$L$28,0),4)),INDEX($DB$44:$DM$73,MATCH($DA6,$DA$44:$DA$73,0),DK$4))</f>
        <v/>
      </c>
      <c r="DL6" s="36" t="str" cm="1">
        <f t="array" aca="1" ref="DL6" ca="1">IF($DA$3="Catégorie",IF(SUMIFS('Étape 1 - à remplir'!$F$31:$F$400,'Étape 1 - à remplir'!$C$31:$C$400,$DA6,'Étape 1 - à remplir'!$M$31:$M$400,MASQ2!DL$4)=0,"",SUMIFS('Étape 1 - à remplir'!$F$31:$F$400,'Étape 1 - à remplir'!$C$31:$C$400,$DA6,'Étape 1 - à remplir'!$M$31:$M$400,MASQ2!DL$4)/INDEX('Étape 1 - à remplir'!$C$19:$L$28,MATCH(MASQ2!$DA6,'Étape 1 - à remplir'!$L$19:$L$28,0),4)),INDEX($DB$44:$DM$73,MATCH($DA6,$DA$44:$DA$73,0),DL$4))</f>
        <v/>
      </c>
      <c r="DM6" s="36" t="str" cm="1">
        <f t="array" aca="1" ref="DM6" ca="1">IF($DA$3="Catégorie",IF(SUMIFS('Étape 1 - à remplir'!$F$31:$F$400,'Étape 1 - à remplir'!$C$31:$C$400,$DA6,'Étape 1 - à remplir'!$M$31:$M$400,MASQ2!DM$4)=0,"",SUMIFS('Étape 1 - à remplir'!$F$31:$F$400,'Étape 1 - à remplir'!$C$31:$C$400,$DA6,'Étape 1 - à remplir'!$M$31:$M$400,MASQ2!DM$4)/INDEX('Étape 1 - à remplir'!$C$19:$L$28,MATCH(MASQ2!$DA6,'Étape 1 - à remplir'!$L$19:$L$28,0),4)),INDEX($DB$44:$DM$73,MATCH($DA6,$DA$44:$DA$73,0),DM$4))</f>
        <v/>
      </c>
      <c r="DO6" s="42" t="e">
        <f>IF(DR6="","",COUNTIF(DR$4:DR$13,"&gt;"&amp;DR6)+COUNTIF(DR$4:DR6,DR6))</f>
        <v>#N/A</v>
      </c>
      <c r="DP6" t="str">
        <f>'Étape 1 - à remplir'!L21</f>
        <v/>
      </c>
      <c r="DQ6" t="e">
        <f>IF(INDEX('Étape 1 - à remplir'!G$19:L$28,MATCH(DP6,'Étape 1 - à remplir'!L$19:L$28,0),1)="kg",SUMIF('Étape 1 - à remplir'!C$31:C$400,DP6,'Étape 1 - à remplir'!F$31:F$400),NA())</f>
        <v>#N/A</v>
      </c>
      <c r="DR6" s="63" t="e">
        <f>DQ6/INDEX('Étape 1 - à remplir'!F$19:L$28,MATCH(DP6,'Étape 1 - à remplir'!L$19:L$28,0),1)</f>
        <v>#N/A</v>
      </c>
      <c r="DT6" s="42" t="e">
        <f>IF(DV6="","",COUNTIF(DV$4:DV$23,"&gt;"&amp;DV6)+COUNTIF(DV$4:DV6,DV6))</f>
        <v>#N/A</v>
      </c>
      <c r="DU6" t="str">
        <f t="shared" si="17"/>
        <v>Blessures diverses</v>
      </c>
      <c r="DV6" s="63" t="e">
        <f>IF(IF(EL$2="Catégorie",IF(EL$3="Toutes",SUMIFS('Étape 1 - à remplir'!$F$31:$F$400,'Étape 1 - à remplir'!$D$31:$D$400,MASQ2!DU6,'Étape 1 - à remplir'!$G$31:$G$400,"kg"),SUMIFS('Étape 1 - à remplir'!$F$31:$F$400,'Étape 1 - à remplir'!$D$31:$D$400,MASQ2!DU6,'Étape 1 - à remplir'!$C$31:$C$400,EL$3,'Étape 1 - à remplir'!$G$31:$G$400,"kg")),IF(EL$2="Âge",IF(EL$3="Tous",SUMIFS('Étape 1 - à remplir'!$F$31:$F$400,'Étape 1 - à remplir'!$D$31:$D$400,MASQ2!DU6,'Étape 1 - à remplir'!$G$31:$G$400,"kg"),SUMIFS('Étape 1 - à remplir'!$F$31:$F$400,'Étape 1 - à remplir'!$D$31:$D$400,MASQ2!DU6,'Étape 1 - à remplir'!$P$31:$P$400,EL$3,'Étape 1 - à remplir'!$G$31:$G$400,"kg")),IF(EL$2="Atelier",IF(EL$3="Tous",SUMIFS('Étape 1 - à remplir'!$F$31:$F$400,'Étape 1 - à remplir'!$D$31:$D$400,MASQ2!DU6,'Étape 1 - à remplir'!$G$31:$G$400,"kg"),SUMIFS('Étape 1 - à remplir'!$F$31:$F$400,'Étape 1 - à remplir'!$D$31:$D$400,MASQ2!DU6,'Étape 1 - à remplir'!$O$31:$O$400,EL$3,'Étape 1 - à remplir'!$G$31:$G$400,"kg")),IF(EL$2="Espèce",IF(EL$3="Toutes",SUMIFS('Étape 1 - à remplir'!$F$31:$F$400,'Étape 1 - à remplir'!$D$31:$D$400,MASQ2!DU6,'Étape 1 - à remplir'!$G$31:$G$400,"kg"),SUMIFS('Étape 1 - à remplir'!$F$31:$F$400,'Étape 1 - à remplir'!$D$31:$D$400,MASQ2!DU6,'Étape 1 - à remplir'!$N$31:$N$400,EL$3,'Étape 1 - à remplir'!$G$31:$G$400,"kg"))))))=0,NA(),IF(EL$2="Catégorie",IF(EL$3="Toutes",SUMIFS('Étape 1 - à remplir'!$F$31:$F$400,'Étape 1 - à remplir'!$D$31:$D$400,MASQ2!DU6,'Étape 1 - à remplir'!$G$31:$G$400,"kg"),SUMIFS('Étape 1 - à remplir'!$F$31:$F$400,'Étape 1 - à remplir'!$D$31:$D$400,MASQ2!DU6,'Étape 1 - à remplir'!$C$31:$C$400,EL$3,'Étape 1 - à remplir'!$G$31:$G$400,"kg")),IF(EL$2="Âge",IF(EL$3="Tous",SUMIFS('Étape 1 - à remplir'!$F$31:$F$400,'Étape 1 - à remplir'!$D$31:$D$400,MASQ2!DU6,'Étape 1 - à remplir'!$G$31:$G$400,"kg"),SUMIFS('Étape 1 - à remplir'!$F$31:$F$400,'Étape 1 - à remplir'!$D$31:$D$400,MASQ2!DU6,'Étape 1 - à remplir'!$P$31:$P$400,EL$3,'Étape 1 - à remplir'!$G$31:$G$400,"kg")),IF(EL$2="Atelier",IF(EL$3="Tous",SUMIFS('Étape 1 - à remplir'!$F$31:$F$400,'Étape 1 - à remplir'!$D$31:$D$400,MASQ2!DU6,'Étape 1 - à remplir'!$G$31:$G$400,"kg"),SUMIFS('Étape 1 - à remplir'!$F$31:$F$400,'Étape 1 - à remplir'!$D$31:$D$400,MASQ2!DU6,'Étape 1 - à remplir'!$O$31:$O$400,EL$3,'Étape 1 - à remplir'!$G$31:$G$400,"kg")),IF(EL$2="Espèce",IF(EL$3="Toutes",SUMIFS('Étape 1 - à remplir'!$F$31:$F$400,'Étape 1 - à remplir'!$D$31:$D$400,MASQ2!DU6,'Étape 1 - à remplir'!$G$31:$G$400,"kg"),SUMIFS('Étape 1 - à remplir'!$F$31:$F$400,'Étape 1 - à remplir'!$D$31:$D$400,MASQ2!DU6,'Étape 1 - à remplir'!$N$31:$N$400,EL$3,'Étape 1 - à remplir'!$G$31:$G$400,"kg")))))))</f>
        <v>#N/A</v>
      </c>
      <c r="DW6" s="42">
        <v>3</v>
      </c>
      <c r="DX6" t="e">
        <f t="shared" si="51"/>
        <v>#N/A</v>
      </c>
      <c r="DY6" s="63" t="e">
        <f t="shared" si="52"/>
        <v>#N/A</v>
      </c>
      <c r="EA6" s="194" t="str">
        <f t="shared" ca="1" si="18"/>
        <v>x</v>
      </c>
      <c r="EB6" s="226" t="str">
        <f>IFERROR(IF(ED6=0,"",COUNTIF(ED$4:ED$600,"&gt;"&amp;ED6)+COUNTIF(ED$4:ED6,ED6)),"")</f>
        <v/>
      </c>
      <c r="EC6" t="str">
        <f t="shared" si="19"/>
        <v>ACTI COLI 2 MUI/ML</v>
      </c>
      <c r="ED6" t="e">
        <f>IF(IF(EL$2="Catégorie",IF(EL$3="Toutes",SUMIFS('Étape 1 - à remplir'!$F$31:$F$400,'Étape 1 - à remplir'!$E$31:$E$400,MASQ2!EC6,'Étape 1 - à remplir'!$G$31:$G$400,"kg"),SUMIFS('Étape 1 - à remplir'!$F$31:$F$400,'Étape 1 - à remplir'!$E$31:$E$400,MASQ2!EC6,'Étape 1 - à remplir'!$C$31:$C$400,EL$3)),IF(EL$2="Âge",IF(EL$3="Tous",SUMIFS('Étape 1 - à remplir'!$F$31:$F$400,'Étape 1 - à remplir'!$E$31:$E$400,MASQ2!EC6,'Étape 1 - à remplir'!$G$31:$G$400,"kg"),SUMIFS('Étape 1 - à remplir'!$F$31:$F$400,'Étape 1 - à remplir'!$E$31:$E$400,MASQ2!EC6,'Étape 1 - à remplir'!$P$31:$P$400,EL$3,'Étape 1 - à remplir'!$G$31:$G$400,"kg")),IF(EL$2="Atelier",IF(EL$3="Tous",SUMIFS('Étape 1 - à remplir'!$F$31:$F$400,'Étape 1 - à remplir'!$E$31:$E$400,MASQ2!EC6,'Étape 1 - à remplir'!$G$31:$G$400,"kg"),SUMIFS('Étape 1 - à remplir'!$F$31:$F$400,'Étape 1 - à remplir'!$E$31:$E$400,MASQ2!EC6,'Étape 1 - à remplir'!$O$31:$O$400,EL$3,'Étape 1 - à remplir'!$G$31:$G$400,"kg")),IF(EL$2="Espèce",IF(EL$3="Toutes",SUMIFS('Étape 1 - à remplir'!$F$31:$F$400,'Étape 1 - à remplir'!$E$31:$E$400,MASQ2!EC6,'Étape 1 - à remplir'!$G$31:$G$400,"kg"),SUMIFS('Étape 1 - à remplir'!$F$31:$F$400,'Étape 1 - à remplir'!$E$31:$E$400,MASQ2!EC6,'Étape 1 - à remplir'!$N$31:$N$400,EL$3,'Étape 1 - à remplir'!$G$31:$G$400,"kg"))))))=0,NA(),IF(EL$2="Catégorie",IF(EL$3="Toutes",SUMIFS('Étape 1 - à remplir'!$F$31:$F$400,'Étape 1 - à remplir'!$E$31:$E$400,MASQ2!EC6,'Étape 1 - à remplir'!$G$31:$G$400,"kg"),SUMIFS('Étape 1 - à remplir'!$F$31:$F$400,'Étape 1 - à remplir'!$E$31:$E$400,MASQ2!EC6,'Étape 1 - à remplir'!$C$31:$C$400,EL$3)),IF(EL$2="Âge",IF(EL$3="Tous",SUMIFS('Étape 1 - à remplir'!$F$31:$F$400,'Étape 1 - à remplir'!$E$31:$E$400,MASQ2!EC6,'Étape 1 - à remplir'!$G$31:$G$400,"kg"),SUMIFS('Étape 1 - à remplir'!$F$31:$F$400,'Étape 1 - à remplir'!$E$31:$E$400,MASQ2!EC6,'Étape 1 - à remplir'!$P$31:$P$400,EL$3,'Étape 1 - à remplir'!$G$31:$G$400,"kg")),IF(EL$2="Atelier",IF(EL$3="Tous",SUMIFS('Étape 1 - à remplir'!$F$31:$F$400,'Étape 1 - à remplir'!$E$31:$E$400,MASQ2!EC6,'Étape 1 - à remplir'!$G$31:$G$400,"kg"),SUMIFS('Étape 1 - à remplir'!$F$31:$F$400,'Étape 1 - à remplir'!$E$31:$E$400,MASQ2!EC6,'Étape 1 - à remplir'!$O$31:$O$400,EL$3,'Étape 1 - à remplir'!$G$31:$G$400,"kg")),IF(EL$2="Espèce",IF(EL$3="Toutes",SUMIFS('Étape 1 - à remplir'!$F$31:$F$400,'Étape 1 - à remplir'!$E$31:$E$400,MASQ2!EC6,'Étape 1 - à remplir'!$G$31:$G$400,"kg"),SUMIFS('Étape 1 - à remplir'!$F$31:$F$400,'Étape 1 - à remplir'!$E$31:$E$400,MASQ2!EC6,'Étape 1 - à remplir'!$N$31:$N$400,EL$3,'Étape 1 - à remplir'!$G$31:$G$400,"kg")))))))</f>
        <v>#N/A</v>
      </c>
      <c r="EE6" s="76">
        <f t="shared" si="53"/>
        <v>0</v>
      </c>
      <c r="EF6" t="str">
        <f t="shared" si="20"/>
        <v>Colistine</v>
      </c>
      <c r="EG6" t="str">
        <f t="shared" si="21"/>
        <v/>
      </c>
      <c r="EH6" t="str">
        <f t="shared" si="22"/>
        <v/>
      </c>
      <c r="EI6" t="str">
        <f t="shared" si="23"/>
        <v>Polypeptides</v>
      </c>
      <c r="EJ6" t="str">
        <f t="shared" si="24"/>
        <v/>
      </c>
      <c r="EK6" s="63" t="str">
        <f t="shared" si="25"/>
        <v/>
      </c>
      <c r="EN6" s="42">
        <v>3</v>
      </c>
      <c r="EO6" t="e">
        <f t="shared" si="54"/>
        <v>#N/A</v>
      </c>
      <c r="EP6" s="63" t="e">
        <f t="shared" si="55"/>
        <v>#N/A</v>
      </c>
      <c r="ER6" s="194" t="str">
        <f t="shared" si="26"/>
        <v/>
      </c>
      <c r="ES6" s="226" t="str">
        <f>IFERROR(IF(EU6=0,"",COUNTIF(EU$4:EU$64,"&gt;"&amp;EU6)+COUNTIF(EU$4:EU6,EU6)),"")</f>
        <v/>
      </c>
      <c r="ET6" t="str">
        <f t="shared" si="27"/>
        <v>Apramycine</v>
      </c>
      <c r="EU6" s="76" t="e">
        <f t="shared" si="56"/>
        <v>#N/A</v>
      </c>
      <c r="EV6">
        <v>3</v>
      </c>
      <c r="EW6" t="e">
        <f t="shared" si="57"/>
        <v>#N/A</v>
      </c>
      <c r="EX6" s="63" t="e">
        <f t="shared" si="58"/>
        <v>#N/A</v>
      </c>
      <c r="EZ6" s="194" t="str">
        <f t="shared" si="28"/>
        <v/>
      </c>
      <c r="FA6" s="226" t="str">
        <f>IFERROR(IF(FC6=0,"",COUNTIF(FC$4:FC$19,"&gt;"&amp;FC6)+COUNTIF(FC$4:FC6,FC6)),"")</f>
        <v/>
      </c>
      <c r="FB6" t="str">
        <f t="shared" si="29"/>
        <v>Autres familles</v>
      </c>
      <c r="FC6" s="76" t="e">
        <f t="shared" si="59"/>
        <v>#N/A</v>
      </c>
      <c r="FD6">
        <v>3</v>
      </c>
      <c r="FE6" t="e">
        <f t="shared" si="60"/>
        <v>#N/A</v>
      </c>
      <c r="FF6" s="63" t="e">
        <f t="shared" si="61"/>
        <v>#N/A</v>
      </c>
      <c r="FH6" s="36" t="str">
        <f>IF(AND(FH$3="Espèce",FH$4="Toutes"),FL33,IF(AND(FH$3="Atelier",FH$4="Tous"),FK33,IF(AND(FH$3="Âge",FH$4="Tous"),FJ33,IF(AND(FH$3="Catégorie",FH$4="Toutes"),FI33,""))))</f>
        <v/>
      </c>
      <c r="FI6" s="35" t="str" cm="1">
        <f t="array" ref="FI6">IF($FH$3="Catégorie",IF(SUMIFS('Étape 1 - à remplir'!$F$31:$F$400,'Étape 1 - à remplir'!$C$31:$C$400,$FH6,'Étape 1 - à remplir'!$M$31:$M$400,MASQ2!FI$4)=0,"",SUMIFS('Étape 1 - à remplir'!$F$31:$F$400,'Étape 1 - à remplir'!$C$31:$C$400,$FH6,'Étape 1 - à remplir'!$M$31:$M$400,MASQ2!FI$4)/INDEX('Étape 1 - à remplir'!$C$19:$L$28,MATCH(MASQ2!$FH6,'Étape 1 - à remplir'!$L$19:$L$28,0),4)),INDEX($FI$44:$FT$73,MATCH($FH6,$FH$44:$FH$73,0),FI$4))</f>
        <v/>
      </c>
      <c r="FJ6" s="35" t="str" cm="1">
        <f t="array" aca="1" ref="FJ6" ca="1">IF($FH$3="Catégorie",IF(SUMIFS('Étape 1 - à remplir'!$F$31:$F$400,'Étape 1 - à remplir'!$C$31:$C$400,$FH6,'Étape 1 - à remplir'!$M$31:$M$400,MASQ2!FJ$4)=0,"",SUMIFS('Étape 1 - à remplir'!$F$31:$F$400,'Étape 1 - à remplir'!$C$31:$C$400,$FH6,'Étape 1 - à remplir'!$M$31:$M$400,MASQ2!FJ$4)/INDEX('Étape 1 - à remplir'!$C$19:$L$28,MATCH(MASQ2!$FH6,'Étape 1 - à remplir'!$L$19:$L$28,0),4)),INDEX($FI$44:$FT$73,MATCH($FH6,$FH$44:$FH$73,0),FJ$4))</f>
        <v/>
      </c>
      <c r="FK6" s="35" t="str" cm="1">
        <f t="array" aca="1" ref="FK6" ca="1">IF($FH$3="Catégorie",IF(SUMIFS('Étape 1 - à remplir'!$F$31:$F$400,'Étape 1 - à remplir'!$C$31:$C$400,$FH6,'Étape 1 - à remplir'!$M$31:$M$400,MASQ2!FK$4)=0,"",SUMIFS('Étape 1 - à remplir'!$F$31:$F$400,'Étape 1 - à remplir'!$C$31:$C$400,$FH6,'Étape 1 - à remplir'!$M$31:$M$400,MASQ2!FK$4)/INDEX('Étape 1 - à remplir'!$C$19:$L$28,MATCH(MASQ2!$FH6,'Étape 1 - à remplir'!$L$19:$L$28,0),4)),INDEX($FI$44:$FT$73,MATCH($FH6,$FH$44:$FH$73,0),FK$4))</f>
        <v/>
      </c>
      <c r="FL6" s="35" t="str" cm="1">
        <f t="array" aca="1" ref="FL6" ca="1">IF($FH$3="Catégorie",IF(SUMIFS('Étape 1 - à remplir'!$F$31:$F$400,'Étape 1 - à remplir'!$C$31:$C$400,$FH6,'Étape 1 - à remplir'!$M$31:$M$400,MASQ2!FL$4)=0,"",SUMIFS('Étape 1 - à remplir'!$F$31:$F$400,'Étape 1 - à remplir'!$C$31:$C$400,$FH6,'Étape 1 - à remplir'!$M$31:$M$400,MASQ2!FL$4)/INDEX('Étape 1 - à remplir'!$C$19:$L$28,MATCH(MASQ2!$FH6,'Étape 1 - à remplir'!$L$19:$L$28,0),4)),INDEX($FI$44:$FT$73,MATCH($FH6,$FH$44:$FH$73,0),FL$4))</f>
        <v/>
      </c>
      <c r="FM6" s="35" t="str" cm="1">
        <f t="array" aca="1" ref="FM6" ca="1">IF($FH$3="Catégorie",IF(SUMIFS('Étape 1 - à remplir'!$F$31:$F$400,'Étape 1 - à remplir'!$C$31:$C$400,$FH6,'Étape 1 - à remplir'!$M$31:$M$400,MASQ2!FM$4)=0,"",SUMIFS('Étape 1 - à remplir'!$F$31:$F$400,'Étape 1 - à remplir'!$C$31:$C$400,$FH6,'Étape 1 - à remplir'!$M$31:$M$400,MASQ2!FM$4)/INDEX('Étape 1 - à remplir'!$C$19:$L$28,MATCH(MASQ2!$FH6,'Étape 1 - à remplir'!$L$19:$L$28,0),4)),INDEX($FI$44:$FT$73,MATCH($FH6,$FH$44:$FH$73,0),FM$4))</f>
        <v/>
      </c>
      <c r="FN6" s="35" t="str" cm="1">
        <f t="array" aca="1" ref="FN6" ca="1">IF($FH$3="Catégorie",IF(SUMIFS('Étape 1 - à remplir'!$F$31:$F$400,'Étape 1 - à remplir'!$C$31:$C$400,$FH6,'Étape 1 - à remplir'!$M$31:$M$400,MASQ2!FN$4)=0,"",SUMIFS('Étape 1 - à remplir'!$F$31:$F$400,'Étape 1 - à remplir'!$C$31:$C$400,$FH6,'Étape 1 - à remplir'!$M$31:$M$400,MASQ2!FN$4)/INDEX('Étape 1 - à remplir'!$C$19:$L$28,MATCH(MASQ2!$FH6,'Étape 1 - à remplir'!$L$19:$L$28,0),4)),INDEX($FI$44:$FT$73,MATCH($FH6,$FH$44:$FH$73,0),FN$4))</f>
        <v/>
      </c>
      <c r="FO6" s="35" t="str" cm="1">
        <f t="array" aca="1" ref="FO6" ca="1">IF($FH$3="Catégorie",IF(SUMIFS('Étape 1 - à remplir'!$F$31:$F$400,'Étape 1 - à remplir'!$C$31:$C$400,$FH6,'Étape 1 - à remplir'!$M$31:$M$400,MASQ2!FO$4)=0,"",SUMIFS('Étape 1 - à remplir'!$F$31:$F$400,'Étape 1 - à remplir'!$C$31:$C$400,$FH6,'Étape 1 - à remplir'!$M$31:$M$400,MASQ2!FO$4)/INDEX('Étape 1 - à remplir'!$C$19:$L$28,MATCH(MASQ2!$FH6,'Étape 1 - à remplir'!$L$19:$L$28,0),4)),INDEX($FI$44:$FT$73,MATCH($FH6,$FH$44:$FH$73,0),FO$4))</f>
        <v/>
      </c>
      <c r="FP6" s="35" t="str" cm="1">
        <f t="array" aca="1" ref="FP6" ca="1">IF($FH$3="Catégorie",IF(SUMIFS('Étape 1 - à remplir'!$F$31:$F$400,'Étape 1 - à remplir'!$C$31:$C$400,$FH6,'Étape 1 - à remplir'!$M$31:$M$400,MASQ2!FP$4)=0,"",SUMIFS('Étape 1 - à remplir'!$F$31:$F$400,'Étape 1 - à remplir'!$C$31:$C$400,$FH6,'Étape 1 - à remplir'!$M$31:$M$400,MASQ2!FP$4)/INDEX('Étape 1 - à remplir'!$C$19:$L$28,MATCH(MASQ2!$FH6,'Étape 1 - à remplir'!$L$19:$L$28,0),4)),INDEX($FI$44:$FT$73,MATCH($FH6,$FH$44:$FH$73,0),FP$4))</f>
        <v/>
      </c>
      <c r="FQ6" s="35" t="str" cm="1">
        <f t="array" aca="1" ref="FQ6" ca="1">IF($FH$3="Catégorie",IF(SUMIFS('Étape 1 - à remplir'!$F$31:$F$400,'Étape 1 - à remplir'!$C$31:$C$400,$FH6,'Étape 1 - à remplir'!$M$31:$M$400,MASQ2!FQ$4)=0,"",SUMIFS('Étape 1 - à remplir'!$F$31:$F$400,'Étape 1 - à remplir'!$C$31:$C$400,$FH6,'Étape 1 - à remplir'!$M$31:$M$400,MASQ2!FQ$4)/INDEX('Étape 1 - à remplir'!$C$19:$L$28,MATCH(MASQ2!$FH6,'Étape 1 - à remplir'!$L$19:$L$28,0),4)),INDEX($FI$44:$FT$73,MATCH($FH6,$FH$44:$FH$73,0),FQ$4))</f>
        <v/>
      </c>
      <c r="FR6" s="35" t="str" cm="1">
        <f t="array" aca="1" ref="FR6" ca="1">IF($FH$3="Catégorie",IF(SUMIFS('Étape 1 - à remplir'!$F$31:$F$400,'Étape 1 - à remplir'!$C$31:$C$400,$FH6,'Étape 1 - à remplir'!$M$31:$M$400,MASQ2!FR$4)=0,"",SUMIFS('Étape 1 - à remplir'!$F$31:$F$400,'Étape 1 - à remplir'!$C$31:$C$400,$FH6,'Étape 1 - à remplir'!$M$31:$M$400,MASQ2!FR$4)/INDEX('Étape 1 - à remplir'!$C$19:$L$28,MATCH(MASQ2!$FH6,'Étape 1 - à remplir'!$L$19:$L$28,0),4)),INDEX($FI$44:$FT$73,MATCH($FH6,$FH$44:$FH$73,0),FR$4))</f>
        <v/>
      </c>
      <c r="FS6" s="35" t="str" cm="1">
        <f t="array" aca="1" ref="FS6" ca="1">IF($FH$3="Catégorie",IF(SUMIFS('Étape 1 - à remplir'!$F$31:$F$400,'Étape 1 - à remplir'!$C$31:$C$400,$FH6,'Étape 1 - à remplir'!$M$31:$M$400,MASQ2!FS$4)=0,"",SUMIFS('Étape 1 - à remplir'!$F$31:$F$400,'Étape 1 - à remplir'!$C$31:$C$400,$FH6,'Étape 1 - à remplir'!$M$31:$M$400,MASQ2!FS$4)/INDEX('Étape 1 - à remplir'!$C$19:$L$28,MATCH(MASQ2!$FH6,'Étape 1 - à remplir'!$L$19:$L$28,0),4)),INDEX($FI$44:$FT$73,MATCH($FH6,$FH$44:$FH$73,0),FS$4))</f>
        <v/>
      </c>
      <c r="FT6" s="35" t="str" cm="1">
        <f t="array" aca="1" ref="FT6" ca="1">IF($FH$3="Catégorie",IF(SUMIFS('Étape 1 - à remplir'!$F$31:$F$400,'Étape 1 - à remplir'!$C$31:$C$400,$FH6,'Étape 1 - à remplir'!$M$31:$M$400,MASQ2!FT$4)=0,"",SUMIFS('Étape 1 - à remplir'!$F$31:$F$400,'Étape 1 - à remplir'!$C$31:$C$400,$FH6,'Étape 1 - à remplir'!$M$31:$M$400,MASQ2!FT$4)/INDEX('Étape 1 - à remplir'!$C$19:$L$28,MATCH(MASQ2!$FH6,'Étape 1 - à remplir'!$L$19:$L$28,0),4)),INDEX($FI$44:$FT$73,MATCH($FH6,$FH$44:$FH$73,0),FT$4))</f>
        <v/>
      </c>
    </row>
    <row r="7" spans="1:176" x14ac:dyDescent="0.3">
      <c r="A7" s="42" t="e">
        <f>IF(D7="","",COUNTIF(D$4:D$13,"&gt;"&amp;D7)+COUNTIF(D$4:D7,D7))</f>
        <v>#N/A</v>
      </c>
      <c r="B7" t="str">
        <f>IF('Étape 1 - à remplir'!L22="","",'Étape 1 - à remplir'!L22)</f>
        <v/>
      </c>
      <c r="C7" t="e">
        <f>IF(INDEX('Étape 1 - à remplir'!G$19:L$28,MATCH(MASQ2!B7,'Étape 1 - à remplir'!L$19:L$28,0),1)="animaux",SUMIF('Étape 1 - à remplir'!C$31:C$400,MASQ2!B7,'Étape 1 - à remplir'!F$31:F$400),NA())</f>
        <v>#N/A</v>
      </c>
      <c r="D7" s="63" t="e">
        <f>C7/INDEX('Étape 1 - à remplir'!F$19:L$28,MATCH(MASQ2!B7,'Étape 1 - à remplir'!L$19:L$28,0),1)</f>
        <v>#N/A</v>
      </c>
      <c r="F7" s="118" t="str">
        <f>IFERROR(IF(H7="","",COUNTIF(H$4:H$23,"&gt;"&amp;H7)+COUNTIF(H$4:H7,H7)),"")</f>
        <v/>
      </c>
      <c r="G7" t="str">
        <f>Données_ATB!CG6</f>
        <v>Fièvre</v>
      </c>
      <c r="H7" s="76" t="e">
        <f>IF(IF(X$2="Catégorie",IF(X$3="Toutes",SUMIFS('Étape 1 - à remplir'!F$31:F$400,'Étape 1 - à remplir'!D$31:D$400,MASQ2!G7,'Étape 1 - à remplir'!G$31:G$400,"animaux"),SUMIFS('Étape 1 - à remplir'!F$31:F$400,'Étape 1 - à remplir'!D$31:D$400,MASQ2!G7,'Étape 1 - à remplir'!C$31:C$400,X$3)),IF(X$2="Âge",IF(X$3="Tous",SUMIFS('Étape 1 - à remplir'!F$31:F$400,'Étape 1 - à remplir'!D$31:D$400,MASQ2!G7,'Étape 1 - à remplir'!G$31:G$400,"animaux"),SUMIFS('Étape 1 - à remplir'!F$31:F$400,'Étape 1 - à remplir'!D$31:D$400,MASQ2!G7,'Étape 1 - à remplir'!P$31:P$400,X$3)),IF(X$2="Atelier",IF(X$3="Tous",SUMIFS('Étape 1 - à remplir'!F$31:F$400,'Étape 1 - à remplir'!D$31:D$400,MASQ2!G7,'Étape 1 - à remplir'!G$31:G$400,"animaux"),SUMIFS('Étape 1 - à remplir'!F$31:F$400,'Étape 1 - à remplir'!D$31:D$400,MASQ2!G7,'Étape 1 - à remplir'!O$31:O$400,X$3)),IF(X$2="Espèce",IF(X$3="Toutes",SUMIFS('Étape 1 - à remplir'!F$31:F$400,'Étape 1 - à remplir'!D$31:D$400,MASQ2!G7,'Étape 1 - à remplir'!G$31:G$400,"animaux"),SUMIFS('Étape 1 - à remplir'!F$31:F$400,'Étape 1 - à remplir'!D$31:D$400,MASQ2!G7,'Étape 1 - à remplir'!N$31:N$400,X$3))))))=0,NA(),IF(X$2="Catégorie",IF(X$3="Toutes",SUMIFS('Étape 1 - à remplir'!F$31:F$400,'Étape 1 - à remplir'!D$31:D$400,MASQ2!G7,'Étape 1 - à remplir'!G$31:G$400,"animaux"),SUMIFS('Étape 1 - à remplir'!F$31:F$400,'Étape 1 - à remplir'!D$31:D$400,MASQ2!G7,'Étape 1 - à remplir'!C$31:C$400,X$3)),IF(X$2="Âge",IF(X$3="Tous",SUMIFS('Étape 1 - à remplir'!F$31:F$400,'Étape 1 - à remplir'!D$31:D$400,MASQ2!G7,'Étape 1 - à remplir'!G$31:G$400,"animaux"),SUMIFS('Étape 1 - à remplir'!F$31:F$400,'Étape 1 - à remplir'!D$31:D$400,MASQ2!G7,'Étape 1 - à remplir'!P$31:P$400,X$3)),IF(X$2="Atelier",IF(X$3="Tous",SUMIFS('Étape 1 - à remplir'!F$31:F$400,'Étape 1 - à remplir'!D$31:D$400,MASQ2!G7,'Étape 1 - à remplir'!G$31:G$400,"animaux"),SUMIFS('Étape 1 - à remplir'!F$31:F$400,'Étape 1 - à remplir'!D$31:D$400,MASQ2!G7,'Étape 1 - à remplir'!O$31:O$400,X$3)),IF(X$2="Espèce",IF(X$3="Tous",SUMIFS('Étape 1 - à remplir'!F$31:F$400,'Étape 1 - à remplir'!D$31:D$400,MASQ2!G7,'Étape 1 - à remplir'!G$31:G$400,"animaux"),SUMIFS('Étape 1 - à remplir'!F$31:F$400,'Étape 1 - à remplir'!D$31:D$400,MASQ2!G7,'Étape 1 - à remplir'!N$31:N$400,X$3)))))))</f>
        <v>#N/A</v>
      </c>
      <c r="I7" s="118">
        <v>4</v>
      </c>
      <c r="J7" t="e">
        <f t="shared" si="30"/>
        <v>#N/A</v>
      </c>
      <c r="K7" s="76" t="e">
        <f t="shared" si="31"/>
        <v>#N/A</v>
      </c>
      <c r="M7" s="194" t="str">
        <f ca="1">INDEX(Données_ATB!BD:BU,MATCH(MASQ2!O7,Données_ATB!BD:BD,0),18)</f>
        <v>x</v>
      </c>
      <c r="N7" s="14" t="str">
        <f>IFERROR(IF(Q7=0,"",COUNTIF(Q$4:Q$600,"&gt;"&amp;Q7)+COUNTIF(Q$4:Q7,Q7)),"")</f>
        <v/>
      </c>
      <c r="O7" t="str">
        <f>Données_ATB!BD6</f>
        <v>ACTI COLI B</v>
      </c>
      <c r="P7" t="e">
        <f>IF(IF(X$2="Catégorie",IF(X$3="Toutes",SUMIFS('Étape 1 - à remplir'!$F$31:$F$400,'Étape 1 - à remplir'!$E$31:$E$400,MASQ2!O7,'Étape 1 - à remplir'!$G$31:$G$400,"animaux"),SUMIFS('Étape 1 - à remplir'!$F$31:$F$400,'Étape 1 - à remplir'!$E$31:$E$400,MASQ2!O7,'Étape 1 - à remplir'!$C$31:$C$400,X$3)),IF(X$2="Âge",IF(X$3="Tous",SUMIFS('Étape 1 - à remplir'!$F$31:$F$400,'Étape 1 - à remplir'!$E$31:$E$400,MASQ2!O7,'Étape 1 - à remplir'!$G$31:$G$400,"animaux"),SUMIFS('Étape 1 - à remplir'!$F$31:$F$400,'Étape 1 - à remplir'!$E$31:$E$400,MASQ2!O7,'Étape 1 - à remplir'!$P$31:$P$400,X$3)),IF(X$2="Atelier",IF(X$3="Tous",SUMIFS('Étape 1 - à remplir'!$F$31:$F$400,'Étape 1 - à remplir'!$E$31:$E$400,MASQ2!O7,'Étape 1 - à remplir'!$G$31:$G$400,"animaux"),SUMIFS('Étape 1 - à remplir'!$F$31:$F$400,'Étape 1 - à remplir'!$E$31:$E$400,MASQ2!O7,'Étape 1 - à remplir'!$O$31:$O$400,X$3)),IF(X$2="Espèce",IF(X$3="Toutes",SUMIFS('Étape 1 - à remplir'!$F$31:$F$400,'Étape 1 - à remplir'!$E$31:$E$400,MASQ2!O7,'Étape 1 - à remplir'!$G$31:$G$400,"animaux"),SUMIFS('Étape 1 - à remplir'!$F$31:$F$400,'Étape 1 - à remplir'!$E$31:$E$400,MASQ2!O7,'Étape 1 - à remplir'!$N$31:$N$400,X$3))))))=0,NA(),IF(X$2="Catégorie",IF(X$3="Toutes",SUMIFS('Étape 1 - à remplir'!$F$31:$F$400,'Étape 1 - à remplir'!$E$31:$E$400,MASQ2!O7,'Étape 1 - à remplir'!$G$31:$G$400,"animaux"),SUMIFS('Étape 1 - à remplir'!$F$31:$F$400,'Étape 1 - à remplir'!$E$31:$E$400,MASQ2!O7,'Étape 1 - à remplir'!$C$31:$C$400,X$3)),IF(X$2="Âge",IF(X$3="Tous",SUMIFS('Étape 1 - à remplir'!$F$31:$F$400,'Étape 1 - à remplir'!$E$31:$E$400,MASQ2!O7,'Étape 1 - à remplir'!$G$31:$G$400,"animaux"),SUMIFS('Étape 1 - à remplir'!$F$31:$F$400,'Étape 1 - à remplir'!$E$31:$E$400,MASQ2!O7,'Étape 1 - à remplir'!$P$31:$P$400,X$3)),IF(X$2="Atelier",IF(X$3="Tous",SUMIFS('Étape 1 - à remplir'!$F$31:$F$400,'Étape 1 - à remplir'!$E$31:$E$400,MASQ2!O7,'Étape 1 - à remplir'!$G$31:$G$400,"animaux"),SUMIFS('Étape 1 - à remplir'!$F$31:$F$400,'Étape 1 - à remplir'!$E$31:$E$400,MASQ2!O7,'Étape 1 - à remplir'!$O$31:$O$400,X$3)),IF(X$2="Espèce",IF(X$3="Toutes",SUMIFS('Étape 1 - à remplir'!$F$31:$F$400,'Étape 1 - à remplir'!$E$31:$E$400,MASQ2!O7,'Étape 1 - à remplir'!$G$31:$G$400,"animaux"),SUMIFS('Étape 1 - à remplir'!$F$31:$F$400,'Étape 1 - à remplir'!$E$31:$E$400,MASQ2!O7,'Étape 1 - à remplir'!$N$31:$N$400,X$3)))))))</f>
        <v>#N/A</v>
      </c>
      <c r="Q7" s="63">
        <f t="shared" si="62"/>
        <v>0</v>
      </c>
      <c r="R7" t="str">
        <f>Données_ATB!BM6</f>
        <v>Colistine</v>
      </c>
      <c r="S7" t="str">
        <f>Données_ATB!BN6</f>
        <v/>
      </c>
      <c r="T7" s="63" t="str">
        <f>Données_ATB!BO6</f>
        <v/>
      </c>
      <c r="U7" s="42" t="str">
        <f>Données_ATB!BQ6</f>
        <v>Polypeptides</v>
      </c>
      <c r="V7" t="str">
        <f>Données_ATB!BR6</f>
        <v/>
      </c>
      <c r="W7" s="63" t="str">
        <f>Données_ATB!BS6</f>
        <v/>
      </c>
      <c r="Z7" s="42">
        <v>4</v>
      </c>
      <c r="AA7" t="e">
        <f t="shared" si="32"/>
        <v>#N/A</v>
      </c>
      <c r="AB7" s="63" t="e">
        <f t="shared" si="33"/>
        <v>#N/A</v>
      </c>
      <c r="AD7" s="194" t="str">
        <f>IF(AF7="Colistine","x",IF(INDEX(Données_ATB!CA$3:CB$63,MATCH(AF7,Données_ATB!CA$3:CA$63,0),2)="Fluoroquinolones","x",IF(INDEX(Données_ATB!CA$3:CB$63,MATCH(AF7,Données_ATB!CA$3:CA$63,0),2)="Cephalosporines 3&amp;4G","x","")))</f>
        <v/>
      </c>
      <c r="AE7" s="219" t="str">
        <f>IFERROR(IF(AG7=0,"",COUNTIF(AG$4:AG$64,"&gt;"&amp;AG7)+COUNTIF(AG$4:AG7,AG7)),"")</f>
        <v/>
      </c>
      <c r="AF7" s="42" t="str">
        <f>Données_ATB!CA6</f>
        <v>Bacitracine</v>
      </c>
      <c r="AG7" s="63" t="e">
        <f t="shared" si="34"/>
        <v>#N/A</v>
      </c>
      <c r="AH7" s="42">
        <v>4</v>
      </c>
      <c r="AI7" t="e">
        <f t="shared" si="35"/>
        <v>#N/A</v>
      </c>
      <c r="AJ7" s="63" t="e">
        <f t="shared" si="36"/>
        <v>#N/A</v>
      </c>
      <c r="AL7" s="194" t="str">
        <f t="shared" si="37"/>
        <v/>
      </c>
      <c r="AM7" s="14" t="str">
        <f>IFERROR(IF(AO7=0,"",COUNTIF(AO$4:AO$19,"&gt;"&amp;AO7)+COUNTIF(AO$4:AO7,AO7)),"")</f>
        <v/>
      </c>
      <c r="AN7" t="str">
        <f>Données_ATB!BX6</f>
        <v>Cephalosporines 1&amp;2G</v>
      </c>
      <c r="AO7" s="76" t="e">
        <f t="shared" si="3"/>
        <v>#N/A</v>
      </c>
      <c r="AP7">
        <v>4</v>
      </c>
      <c r="AQ7" t="e">
        <f t="shared" si="38"/>
        <v>#N/A</v>
      </c>
      <c r="AR7" s="63" t="e">
        <f t="shared" si="39"/>
        <v>#N/A</v>
      </c>
      <c r="AT7" s="36" t="str">
        <f t="shared" ref="AT7:AT14" si="63">IF(AND(AT$3="Espèce",AT$4="Toutes"),AX34,IF(AND(AT$3="Atelier",AT$4="Tous"),AW34,IF(AND(AT$3="Âge",AT$4="Tous"),AV34,IF(AND(AT$3="Catégorie",AT$4="Toutes"),AU34,""))))</f>
        <v/>
      </c>
      <c r="AU7" s="36" t="str" cm="1">
        <f t="array" ref="AU7">IF($AT$3="Catégorie",IF(SUMIFS('Étape 1 - à remplir'!$F$31:$F$400,'Étape 1 - à remplir'!$C$31:$C$400,$AT7,'Étape 1 - à remplir'!$M$31:$M$400,MASQ2!AU$4)=0,"",SUMIFS('Étape 1 - à remplir'!$F$31:$F$400,'Étape 1 - à remplir'!$C$31:$C$400,$AT7,'Étape 1 - à remplir'!$M$31:$M$400,MASQ2!AU$4)/INDEX('Étape 1 - à remplir'!$C$19:$L$28,MATCH(MASQ2!$AT7,'Étape 1 - à remplir'!$L$19:$L$28,0),4)),INDEX($AU$44:$BF$73,MATCH($AT7,$AT$44:$AT$73,0),AU$4))</f>
        <v/>
      </c>
      <c r="AV7" s="36" t="str" cm="1">
        <f t="array" aca="1" ref="AV7" ca="1">IF($AT$3="Catégorie",IF(SUMIFS('Étape 1 - à remplir'!$F$31:$F$400,'Étape 1 - à remplir'!$C$31:$C$400,$AT7,'Étape 1 - à remplir'!$M$31:$M$400,MASQ2!AV$4)=0,"",SUMIFS('Étape 1 - à remplir'!$F$31:$F$400,'Étape 1 - à remplir'!$C$31:$C$400,$AT7,'Étape 1 - à remplir'!$M$31:$M$400,MASQ2!AV$4)/INDEX('Étape 1 - à remplir'!$C$19:$L$28,MATCH(MASQ2!$AT7,'Étape 1 - à remplir'!$L$19:$L$28,0),4)),INDEX($AU$44:$BF$73,MATCH($AT7,$AT$44:$AT$73,0),AV$4))</f>
        <v/>
      </c>
      <c r="AW7" s="36" t="str" cm="1">
        <f t="array" aca="1" ref="AW7" ca="1">IF($AT$3="Catégorie",IF(SUMIFS('Étape 1 - à remplir'!$F$31:$F$400,'Étape 1 - à remplir'!$C$31:$C$400,$AT7,'Étape 1 - à remplir'!$M$31:$M$400,MASQ2!AW$4)=0,"",SUMIFS('Étape 1 - à remplir'!$F$31:$F$400,'Étape 1 - à remplir'!$C$31:$C$400,$AT7,'Étape 1 - à remplir'!$M$31:$M$400,MASQ2!AW$4)/INDEX('Étape 1 - à remplir'!$C$19:$L$28,MATCH(MASQ2!$AT7,'Étape 1 - à remplir'!$L$19:$L$28,0),4)),INDEX($AU$44:$BF$73,MATCH($AT7,$AT$44:$AT$73,0),AW$4))</f>
        <v/>
      </c>
      <c r="AX7" s="36" t="str" cm="1">
        <f t="array" aca="1" ref="AX7" ca="1">IF($AT$3="Catégorie",IF(SUMIFS('Étape 1 - à remplir'!$F$31:$F$400,'Étape 1 - à remplir'!$C$31:$C$400,$AT7,'Étape 1 - à remplir'!$M$31:$M$400,MASQ2!AX$4)=0,"",SUMIFS('Étape 1 - à remplir'!$F$31:$F$400,'Étape 1 - à remplir'!$C$31:$C$400,$AT7,'Étape 1 - à remplir'!$M$31:$M$400,MASQ2!AX$4)/INDEX('Étape 1 - à remplir'!$C$19:$L$28,MATCH(MASQ2!$AT7,'Étape 1 - à remplir'!$L$19:$L$28,0),4)),INDEX($AU$44:$BF$73,MATCH($AT7,$AT$44:$AT$73,0),AX$4))</f>
        <v/>
      </c>
      <c r="AY7" s="36" t="str" cm="1">
        <f t="array" aca="1" ref="AY7" ca="1">IF($AT$3="Catégorie",IF(SUMIFS('Étape 1 - à remplir'!$F$31:$F$400,'Étape 1 - à remplir'!$C$31:$C$400,$AT7,'Étape 1 - à remplir'!$M$31:$M$400,MASQ2!AY$4)=0,"",SUMIFS('Étape 1 - à remplir'!$F$31:$F$400,'Étape 1 - à remplir'!$C$31:$C$400,$AT7,'Étape 1 - à remplir'!$M$31:$M$400,MASQ2!AY$4)/INDEX('Étape 1 - à remplir'!$C$19:$L$28,MATCH(MASQ2!$AT7,'Étape 1 - à remplir'!$L$19:$L$28,0),4)),INDEX($AU$44:$BF$73,MATCH($AT7,$AT$44:$AT$73,0),AY$4))</f>
        <v/>
      </c>
      <c r="AZ7" s="36" t="str" cm="1">
        <f t="array" aca="1" ref="AZ7" ca="1">IF($AT$3="Catégorie",IF(SUMIFS('Étape 1 - à remplir'!$F$31:$F$400,'Étape 1 - à remplir'!$C$31:$C$400,$AT7,'Étape 1 - à remplir'!$M$31:$M$400,MASQ2!AZ$4)=0,"",SUMIFS('Étape 1 - à remplir'!$F$31:$F$400,'Étape 1 - à remplir'!$C$31:$C$400,$AT7,'Étape 1 - à remplir'!$M$31:$M$400,MASQ2!AZ$4)/INDEX('Étape 1 - à remplir'!$C$19:$L$28,MATCH(MASQ2!$AT7,'Étape 1 - à remplir'!$L$19:$L$28,0),4)),INDEX($AU$44:$BF$73,MATCH($AT7,$AT$44:$AT$73,0),AZ$4))</f>
        <v/>
      </c>
      <c r="BA7" s="36" t="str" cm="1">
        <f t="array" aca="1" ref="BA7" ca="1">IF($AT$3="Catégorie",IF(SUMIFS('Étape 1 - à remplir'!$F$31:$F$400,'Étape 1 - à remplir'!$C$31:$C$400,$AT7,'Étape 1 - à remplir'!$M$31:$M$400,MASQ2!BA$4)=0,"",SUMIFS('Étape 1 - à remplir'!$F$31:$F$400,'Étape 1 - à remplir'!$C$31:$C$400,$AT7,'Étape 1 - à remplir'!$M$31:$M$400,MASQ2!BA$4)/INDEX('Étape 1 - à remplir'!$C$19:$L$28,MATCH(MASQ2!$AT7,'Étape 1 - à remplir'!$L$19:$L$28,0),4)),INDEX($AU$44:$BF$73,MATCH($AT7,$AT$44:$AT$73,0),BA$4))</f>
        <v/>
      </c>
      <c r="BB7" s="36" t="str" cm="1">
        <f t="array" aca="1" ref="BB7" ca="1">IF($AT$3="Catégorie",IF(SUMIFS('Étape 1 - à remplir'!$F$31:$F$400,'Étape 1 - à remplir'!$C$31:$C$400,$AT7,'Étape 1 - à remplir'!$M$31:$M$400,MASQ2!BB$4)=0,"",SUMIFS('Étape 1 - à remplir'!$F$31:$F$400,'Étape 1 - à remplir'!$C$31:$C$400,$AT7,'Étape 1 - à remplir'!$M$31:$M$400,MASQ2!BB$4)/INDEX('Étape 1 - à remplir'!$C$19:$L$28,MATCH(MASQ2!$AT7,'Étape 1 - à remplir'!$L$19:$L$28,0),4)),INDEX($AU$44:$BF$73,MATCH($AT7,$AT$44:$AT$73,0),BB$4))</f>
        <v/>
      </c>
      <c r="BC7" s="36" t="str" cm="1">
        <f t="array" aca="1" ref="BC7" ca="1">IF($AT$3="Catégorie",IF(SUMIFS('Étape 1 - à remplir'!$F$31:$F$400,'Étape 1 - à remplir'!$C$31:$C$400,$AT7,'Étape 1 - à remplir'!$M$31:$M$400,MASQ2!BC$4)=0,"",SUMIFS('Étape 1 - à remplir'!$F$31:$F$400,'Étape 1 - à remplir'!$C$31:$C$400,$AT7,'Étape 1 - à remplir'!$M$31:$M$400,MASQ2!BC$4)/INDEX('Étape 1 - à remplir'!$C$19:$L$28,MATCH(MASQ2!$AT7,'Étape 1 - à remplir'!$L$19:$L$28,0),4)),INDEX($AU$44:$BF$73,MATCH($AT7,$AT$44:$AT$73,0),BC$4))</f>
        <v/>
      </c>
      <c r="BD7" s="36" t="str" cm="1">
        <f t="array" aca="1" ref="BD7" ca="1">IF($AT$3="Catégorie",IF(SUMIFS('Étape 1 - à remplir'!$F$31:$F$400,'Étape 1 - à remplir'!$C$31:$C$400,$AT7,'Étape 1 - à remplir'!$M$31:$M$400,MASQ2!BD$4)=0,"",SUMIFS('Étape 1 - à remplir'!$F$31:$F$400,'Étape 1 - à remplir'!$C$31:$C$400,$AT7,'Étape 1 - à remplir'!$M$31:$M$400,MASQ2!BD$4)/INDEX('Étape 1 - à remplir'!$C$19:$L$28,MATCH(MASQ2!$AT7,'Étape 1 - à remplir'!$L$19:$L$28,0),4)),INDEX($AU$44:$BF$73,MATCH($AT7,$AT$44:$AT$73,0),BD$4))</f>
        <v/>
      </c>
      <c r="BE7" s="36" t="str" cm="1">
        <f t="array" aca="1" ref="BE7" ca="1">IF($AT$3="Catégorie",IF(SUMIFS('Étape 1 - à remplir'!$F$31:$F$400,'Étape 1 - à remplir'!$C$31:$C$400,$AT7,'Étape 1 - à remplir'!$M$31:$M$400,MASQ2!BE$4)=0,"",SUMIFS('Étape 1 - à remplir'!$F$31:$F$400,'Étape 1 - à remplir'!$C$31:$C$400,$AT7,'Étape 1 - à remplir'!$M$31:$M$400,MASQ2!BE$4)/INDEX('Étape 1 - à remplir'!$C$19:$L$28,MATCH(MASQ2!$AT7,'Étape 1 - à remplir'!$L$19:$L$28,0),4)),INDEX($AU$44:$BF$73,MATCH($AT7,$AT$44:$AT$73,0),BE$4))</f>
        <v/>
      </c>
      <c r="BF7" s="36" t="str" cm="1">
        <f t="array" aca="1" ref="BF7" ca="1">IF($AT$3="Catégorie",IF(SUMIFS('Étape 1 - à remplir'!$F$31:$F$400,'Étape 1 - à remplir'!$C$31:$C$400,$AT7,'Étape 1 - à remplir'!$M$31:$M$400,MASQ2!BF$4)=0,"",SUMIFS('Étape 1 - à remplir'!$F$31:$F$400,'Étape 1 - à remplir'!$C$31:$C$400,$AT7,'Étape 1 - à remplir'!$M$31:$M$400,MASQ2!BF$4)/INDEX('Étape 1 - à remplir'!$C$19:$L$28,MATCH(MASQ2!$AT7,'Étape 1 - à remplir'!$L$19:$L$28,0),4)),INDEX($AU$44:$BF$73,MATCH($AT7,$AT$44:$AT$73,0),BF$4))</f>
        <v/>
      </c>
      <c r="BH7" s="42" t="e">
        <f>IF(BK7="","",COUNTIF(BK$4:BK$13,"&gt;"&amp;BK7)+COUNTIF(BK$4:BK7,BK7))</f>
        <v>#N/A</v>
      </c>
      <c r="BI7" t="str">
        <f>'Étape 1 - à remplir'!L22</f>
        <v/>
      </c>
      <c r="BJ7" t="e">
        <f>IF(INDEX('Étape 1 - à remplir'!G$19:L$28,MATCH(BI7,'Étape 1 - à remplir'!L$19:L$28,0),1)="lots",SUMIF('Étape 1 - à remplir'!C$31:C$400,BI7,'Étape 1 - à remplir'!F$31:F$400),NA())</f>
        <v>#N/A</v>
      </c>
      <c r="BK7" s="76" t="e">
        <f>BJ7/INDEX('Étape 1 - à remplir'!F$19:L$28,MATCH(BI7,'Étape 1 - à remplir'!L$19:L$28,0),1)</f>
        <v>#N/A</v>
      </c>
      <c r="BM7" s="42" t="e">
        <f>IF(BO7="","",COUNTIF(BO$4:BO$23,"&gt;"&amp;BO7)+COUNTIF(BO$4:BO7,BO7))</f>
        <v>#N/A</v>
      </c>
      <c r="BN7" t="str">
        <f t="shared" si="4"/>
        <v>Fièvre</v>
      </c>
      <c r="BO7" s="76" t="e">
        <f>IF(IF(CE$2="Catégorie",IF(CE$3="Toutes",SUMIFS('Étape 1 - à remplir'!$F$31:$F$400,'Étape 1 - à remplir'!$D$31:$D$400,MASQ2!BN7,'Étape 1 - à remplir'!$G$31:$G$400,"lots"),SUMIFS('Étape 1 - à remplir'!$F$31:$F$400,'Étape 1 - à remplir'!$D$31:$D$400,MASQ2!BN7,'Étape 1 - à remplir'!$C$31:$C$400,CE$3,'Étape 1 - à remplir'!$G$31:$G$400,"lots")),IF(CE$2="Âge",IF(CE$3="Tous",SUMIFS('Étape 1 - à remplir'!$F$31:$F$400,'Étape 1 - à remplir'!$D$31:$D$400,MASQ2!BN7,'Étape 1 - à remplir'!$G$31:$G$400,"lots"),SUMIFS('Étape 1 - à remplir'!$F$31:$F$400,'Étape 1 - à remplir'!$D$31:$D$400,MASQ2!BN7,'Étape 1 - à remplir'!$P$31:$P$400,CE$3,'Étape 1 - à remplir'!$G$31:$G$400,"lots")),IF(CE$2="Atelier",IF(CE$3="Tous",SUMIFS('Étape 1 - à remplir'!$F$31:$F$400,'Étape 1 - à remplir'!$D$31:$D$400,MASQ2!BN7,'Étape 1 - à remplir'!$G$31:$G$400,"lots"),SUMIFS('Étape 1 - à remplir'!$F$31:$F$400,'Étape 1 - à remplir'!$D$31:$D$400,MASQ2!BN7,'Étape 1 - à remplir'!$O$31:$O$400,CE$3,'Étape 1 - à remplir'!$G$31:$G$400,"lots")),IF(CE$2="Espèce",IF(CE$3="Toutes",SUMIFS('Étape 1 - à remplir'!$F$31:$F$400,'Étape 1 - à remplir'!$D$31:$D$400,MASQ2!BN7,'Étape 1 - à remplir'!$G$31:$G$400,"lots"),SUMIFS('Étape 1 - à remplir'!$F$31:$F$400,'Étape 1 - à remplir'!$D$31:$D$400,MASQ2!BN7,'Étape 1 - à remplir'!$N$31:$N$400,CE$3,'Étape 1 - à remplir'!$G$31:$G$400,"lots"))))))=0,NA(),IF(CE$2="Catégorie",IF(CE$3="Toutes",SUMIFS('Étape 1 - à remplir'!$F$31:$F$400,'Étape 1 - à remplir'!$D$31:$D$400,MASQ2!BN7,'Étape 1 - à remplir'!$G$31:$G$400,"lots"),SUMIFS('Étape 1 - à remplir'!$F$31:$F$400,'Étape 1 - à remplir'!$D$31:$D$400,MASQ2!BN7,'Étape 1 - à remplir'!$C$31:$C$400,CE$3,'Étape 1 - à remplir'!$G$31:$G$400,"lots")),IF(CE$2="Âge",IF(CE$3="Tous",SUMIFS('Étape 1 - à remplir'!$F$31:$F$400,'Étape 1 - à remplir'!$D$31:$D$400,MASQ2!BN7,'Étape 1 - à remplir'!$G$31:$G$400,"lots"),SUMIFS('Étape 1 - à remplir'!$F$31:$F$400,'Étape 1 - à remplir'!$D$31:$D$400,MASQ2!BN7,'Étape 1 - à remplir'!$P$31:$P$400,CE$3,'Étape 1 - à remplir'!$G$31:$G$400,"lots")),IF(CE$2="Atelier",IF(CE$3="Tous",SUMIFS('Étape 1 - à remplir'!$F$31:$F$400,'Étape 1 - à remplir'!$D$31:$D$400,MASQ2!BN7,'Étape 1 - à remplir'!$G$31:$G$400,"lots"),SUMIFS('Étape 1 - à remplir'!$F$31:$F$400,'Étape 1 - à remplir'!$D$31:$D$400,MASQ2!BN7,'Étape 1 - à remplir'!$O$31:$O$400,CE$3,'Étape 1 - à remplir'!$G$31:$G$400,"lots")),IF(CE$2="Espèce",IF(CE$3="Toutes",SUMIFS('Étape 1 - à remplir'!$F$31:$F$400,'Étape 1 - à remplir'!$D$31:$D$400,MASQ2!BN7,'Étape 1 - à remplir'!$G$31:$G$400,"lots"),SUMIFS('Étape 1 - à remplir'!$F$31:$F$400,'Étape 1 - à remplir'!$D$31:$D$400,MASQ2!BN7,'Étape 1 - à remplir'!$N$31:$N$400,CE$3,'Étape 1 - à remplir'!$G$31:$G$400,"lots")))))))</f>
        <v>#N/A</v>
      </c>
      <c r="BP7">
        <v>4</v>
      </c>
      <c r="BQ7" t="e">
        <f t="shared" si="40"/>
        <v>#N/A</v>
      </c>
      <c r="BR7" s="63" t="e">
        <f t="shared" si="41"/>
        <v>#N/A</v>
      </c>
      <c r="BT7" s="194" t="str">
        <f t="shared" ca="1" si="5"/>
        <v>x</v>
      </c>
      <c r="BU7" s="219" t="str">
        <f>IFERROR(IF(BX7=0,"",COUNTIF(BX$4:BX$600,"&gt;"&amp;BX7)+COUNTIF(BX$4:BX7,BX7)),"")</f>
        <v/>
      </c>
      <c r="BV7" s="42" t="str">
        <f t="shared" si="6"/>
        <v>ACTI COLI B</v>
      </c>
      <c r="BW7" t="e">
        <f>IF(IF(CE$2="Catégorie",IF(CE$3="Toutes",SUMIFS('Étape 1 - à remplir'!$F$31:$F$400,'Étape 1 - à remplir'!$E$31:$E$400,MASQ2!BV7,'Étape 1 - à remplir'!$G$31:$G$400,"lots"),SUMIFS('Étape 1 - à remplir'!$F$31:$F$400,'Étape 1 - à remplir'!$E$31:$E$400,MASQ2!BV7,'Étape 1 - à remplir'!$C$31:$C$400,CE$3)),IF(CE$2="Âge",IF(CE$3="Tous",SUMIFS('Étape 1 - à remplir'!$F$31:$F$400,'Étape 1 - à remplir'!$E$31:$E$400,MASQ2!BV7,'Étape 1 - à remplir'!$G$31:$G$400,"lots"),SUMIFS('Étape 1 - à remplir'!$F$31:$F$400,'Étape 1 - à remplir'!$E$31:$E$400,MASQ2!BV7,'Étape 1 - à remplir'!$P$31:$P$400,CE$3,'Étape 1 - à remplir'!$G$31:$G$400,"lots")),IF(CE$2="Atelier",IF(CE$3="Tous",SUMIFS('Étape 1 - à remplir'!$F$31:$F$400,'Étape 1 - à remplir'!$E$31:$E$400,MASQ2!BV7,'Étape 1 - à remplir'!$G$31:$G$400,"lots"),SUMIFS('Étape 1 - à remplir'!$F$31:$F$400,'Étape 1 - à remplir'!$E$31:$E$400,MASQ2!BV7,'Étape 1 - à remplir'!$O$31:$O$400,CE$3,'Étape 1 - à remplir'!$G$31:$G$400,"lots")),IF(CE$2="Espèce",IF(CE$3="Toutes",SUMIFS('Étape 1 - à remplir'!$F$31:$F$400,'Étape 1 - à remplir'!$E$31:$E$400,MASQ2!BV7,'Étape 1 - à remplir'!$G$31:$G$400,"lots"),SUMIFS('Étape 1 - à remplir'!$F$31:$F$400,'Étape 1 - à remplir'!$E$31:$E$400,MASQ2!BV7,'Étape 1 - à remplir'!$N$31:$N$400,CE$3,'Étape 1 - à remplir'!$G$31:$G$400,"lots"))))))=0,NA(),IF(CE$2="Catégorie",IF(CE$3="Toutes",SUMIFS('Étape 1 - à remplir'!$F$31:$F$400,'Étape 1 - à remplir'!$E$31:$E$400,MASQ2!BV7,'Étape 1 - à remplir'!$G$31:$G$400,"lots"),SUMIFS('Étape 1 - à remplir'!$F$31:$F$400,'Étape 1 - à remplir'!$E$31:$E$400,MASQ2!BV7,'Étape 1 - à remplir'!$C$31:$C$400,CE$3)),IF(CE$2="Âge",IF(CE$3="Tous",SUMIFS('Étape 1 - à remplir'!$F$31:$F$400,'Étape 1 - à remplir'!$E$31:$E$400,MASQ2!BV7,'Étape 1 - à remplir'!$G$31:$G$400,"lots"),SUMIFS('Étape 1 - à remplir'!$F$31:$F$400,'Étape 1 - à remplir'!$E$31:$E$400,MASQ2!BV7,'Étape 1 - à remplir'!$P$31:$P$400,CE$3,'Étape 1 - à remplir'!$G$31:$G$400,"lots")),IF(CE$2="Atelier",IF(CE$3="Tous",SUMIFS('Étape 1 - à remplir'!$F$31:$F$400,'Étape 1 - à remplir'!$E$31:$E$400,MASQ2!BV7,'Étape 1 - à remplir'!$G$31:$G$400,"lots"),SUMIFS('Étape 1 - à remplir'!$F$31:$F$400,'Étape 1 - à remplir'!$E$31:$E$400,MASQ2!BV7,'Étape 1 - à remplir'!$O$31:$O$400,CE$3,'Étape 1 - à remplir'!$G$31:$G$400,"lots")),IF(CE$2="Espèce",IF(CE$3="Toutes",SUMIFS('Étape 1 - à remplir'!$F$31:$F$400,'Étape 1 - à remplir'!$E$31:$E$400,MASQ2!BV7,'Étape 1 - à remplir'!$G$31:$G$400,"lots"),SUMIFS('Étape 1 - à remplir'!$F$31:$F$400,'Étape 1 - à remplir'!$E$31:$E$400,MASQ2!BV7,'Étape 1 - à remplir'!$N$31:$N$400,CE$3,'Étape 1 - à remplir'!$G$31:$G$400,"lots")))))))</f>
        <v>#N/A</v>
      </c>
      <c r="BX7">
        <f t="shared" si="42"/>
        <v>0</v>
      </c>
      <c r="BY7" t="str">
        <f t="shared" si="7"/>
        <v>Colistine</v>
      </c>
      <c r="BZ7" t="str">
        <f t="shared" si="8"/>
        <v/>
      </c>
      <c r="CA7" t="str">
        <f t="shared" si="9"/>
        <v/>
      </c>
      <c r="CB7" t="str">
        <f t="shared" si="10"/>
        <v>Polypeptides</v>
      </c>
      <c r="CC7" t="str">
        <f t="shared" si="11"/>
        <v/>
      </c>
      <c r="CD7" s="63" t="str">
        <f t="shared" si="12"/>
        <v/>
      </c>
      <c r="CG7" s="42">
        <v>4</v>
      </c>
      <c r="CH7" s="42" t="e">
        <f t="shared" si="43"/>
        <v>#N/A</v>
      </c>
      <c r="CI7" s="63" t="e">
        <f t="shared" si="44"/>
        <v>#N/A</v>
      </c>
      <c r="CK7" s="194" t="str">
        <f t="shared" si="13"/>
        <v/>
      </c>
      <c r="CL7" s="226" t="str">
        <f>IFERROR(IF(CN7=0,"",COUNTIF(CN$4:CN$64,"&gt;"&amp;CN7)+COUNTIF(CN$4:CN7,CN7)),"")</f>
        <v/>
      </c>
      <c r="CM7" t="str">
        <f t="shared" si="14"/>
        <v>Bacitracine</v>
      </c>
      <c r="CN7" s="76" t="e">
        <f t="shared" si="45"/>
        <v>#N/A</v>
      </c>
      <c r="CO7">
        <v>4</v>
      </c>
      <c r="CP7" t="e">
        <f t="shared" si="46"/>
        <v>#N/A</v>
      </c>
      <c r="CQ7" s="63" t="e">
        <f t="shared" si="47"/>
        <v>#N/A</v>
      </c>
      <c r="CS7" s="194" t="str">
        <f t="shared" si="15"/>
        <v/>
      </c>
      <c r="CT7" s="14" t="str">
        <f>IFERROR(IF(CV7=0,"",COUNTIF(CV$4:CV$19,"&gt;"&amp;CV7)+COUNTIF(CV$4:CV7,CV7)),"")</f>
        <v/>
      </c>
      <c r="CU7" s="230" t="str">
        <f t="shared" si="16"/>
        <v>Cephalosporines 1&amp;2G</v>
      </c>
      <c r="CV7" s="76" t="e">
        <f t="shared" si="48"/>
        <v>#N/A</v>
      </c>
      <c r="CW7">
        <v>4</v>
      </c>
      <c r="CX7" t="e">
        <f t="shared" si="49"/>
        <v>#N/A</v>
      </c>
      <c r="CY7" s="63" t="e">
        <f t="shared" si="50"/>
        <v>#N/A</v>
      </c>
      <c r="DA7" s="36" t="str">
        <f t="shared" ref="DA7:DA14" si="64">IF(AND(DA$3="Espèce",DA$4="Toutes"),DE34,IF(AND(DA$3="Atelier",DA$4="Tous"),DD34,IF(AND(DA$3="Âge",DA$4="Tous"),DC34,IF(AND(DA$3="Catégorie",DA$4="Toutes"),DB34,""))))</f>
        <v/>
      </c>
      <c r="DB7" s="36" t="str" cm="1">
        <f t="array" ref="DB7">IF($DA$3="Catégorie",IF(SUMIFS('Étape 1 - à remplir'!$F$31:$F$400,'Étape 1 - à remplir'!$C$31:$C$400,$DA7,'Étape 1 - à remplir'!$M$31:$M$400,MASQ2!DB$4)=0,"",SUMIFS('Étape 1 - à remplir'!$F$31:$F$400,'Étape 1 - à remplir'!$C$31:$C$400,$DA7,'Étape 1 - à remplir'!$M$31:$M$400,MASQ2!DB$4)/INDEX('Étape 1 - à remplir'!$C$19:$L$28,MATCH(MASQ2!$DA7,'Étape 1 - à remplir'!$L$19:$L$28,0),4)),INDEX($DB$44:$DM$73,MATCH($DA7,$DA$44:$DA$73,0),DB$4))</f>
        <v/>
      </c>
      <c r="DC7" s="36" t="str" cm="1">
        <f t="array" aca="1" ref="DC7" ca="1">IF($DA$3="Catégorie",IF(SUMIFS('Étape 1 - à remplir'!$F$31:$F$400,'Étape 1 - à remplir'!$C$31:$C$400,$DA7,'Étape 1 - à remplir'!$M$31:$M$400,MASQ2!DC$4)=0,"",SUMIFS('Étape 1 - à remplir'!$F$31:$F$400,'Étape 1 - à remplir'!$C$31:$C$400,$DA7,'Étape 1 - à remplir'!$M$31:$M$400,MASQ2!DC$4)/INDEX('Étape 1 - à remplir'!$C$19:$L$28,MATCH(MASQ2!$DA7,'Étape 1 - à remplir'!$L$19:$L$28,0),4)),INDEX($DB$44:$DM$73,MATCH($DA7,$DA$44:$DA$73,0),DC$4))</f>
        <v/>
      </c>
      <c r="DD7" s="36" t="str" cm="1">
        <f t="array" aca="1" ref="DD7" ca="1">IF($DA$3="Catégorie",IF(SUMIFS('Étape 1 - à remplir'!$F$31:$F$400,'Étape 1 - à remplir'!$C$31:$C$400,$DA7,'Étape 1 - à remplir'!$M$31:$M$400,MASQ2!DD$4)=0,"",SUMIFS('Étape 1 - à remplir'!$F$31:$F$400,'Étape 1 - à remplir'!$C$31:$C$400,$DA7,'Étape 1 - à remplir'!$M$31:$M$400,MASQ2!DD$4)/INDEX('Étape 1 - à remplir'!$C$19:$L$28,MATCH(MASQ2!$DA7,'Étape 1 - à remplir'!$L$19:$L$28,0),4)),INDEX($DB$44:$DM$73,MATCH($DA7,$DA$44:$DA$73,0),DD$4))</f>
        <v/>
      </c>
      <c r="DE7" s="36" t="str" cm="1">
        <f t="array" aca="1" ref="DE7" ca="1">IF($DA$3="Catégorie",IF(SUMIFS('Étape 1 - à remplir'!$F$31:$F$400,'Étape 1 - à remplir'!$C$31:$C$400,$DA7,'Étape 1 - à remplir'!$M$31:$M$400,MASQ2!DE$4)=0,"",SUMIFS('Étape 1 - à remplir'!$F$31:$F$400,'Étape 1 - à remplir'!$C$31:$C$400,$DA7,'Étape 1 - à remplir'!$M$31:$M$400,MASQ2!DE$4)/INDEX('Étape 1 - à remplir'!$C$19:$L$28,MATCH(MASQ2!$DA7,'Étape 1 - à remplir'!$L$19:$L$28,0),4)),INDEX($DB$44:$DM$73,MATCH($DA7,$DA$44:$DA$73,0),DE$4))</f>
        <v/>
      </c>
      <c r="DF7" s="36" t="str" cm="1">
        <f t="array" aca="1" ref="DF7" ca="1">IF($DA$3="Catégorie",IF(SUMIFS('Étape 1 - à remplir'!$F$31:$F$400,'Étape 1 - à remplir'!$C$31:$C$400,$DA7,'Étape 1 - à remplir'!$M$31:$M$400,MASQ2!DF$4)=0,"",SUMIFS('Étape 1 - à remplir'!$F$31:$F$400,'Étape 1 - à remplir'!$C$31:$C$400,$DA7,'Étape 1 - à remplir'!$M$31:$M$400,MASQ2!DF$4)/INDEX('Étape 1 - à remplir'!$C$19:$L$28,MATCH(MASQ2!$DA7,'Étape 1 - à remplir'!$L$19:$L$28,0),4)),INDEX($DB$44:$DM$73,MATCH($DA7,$DA$44:$DA$73,0),DF$4))</f>
        <v/>
      </c>
      <c r="DG7" s="36" t="str" cm="1">
        <f t="array" aca="1" ref="DG7" ca="1">IF($DA$3="Catégorie",IF(SUMIFS('Étape 1 - à remplir'!$F$31:$F$400,'Étape 1 - à remplir'!$C$31:$C$400,$DA7,'Étape 1 - à remplir'!$M$31:$M$400,MASQ2!DG$4)=0,"",SUMIFS('Étape 1 - à remplir'!$F$31:$F$400,'Étape 1 - à remplir'!$C$31:$C$400,$DA7,'Étape 1 - à remplir'!$M$31:$M$400,MASQ2!DG$4)/INDEX('Étape 1 - à remplir'!$C$19:$L$28,MATCH(MASQ2!$DA7,'Étape 1 - à remplir'!$L$19:$L$28,0),4)),INDEX($DB$44:$DM$73,MATCH($DA7,$DA$44:$DA$73,0),DG$4))</f>
        <v/>
      </c>
      <c r="DH7" s="36" t="str" cm="1">
        <f t="array" aca="1" ref="DH7" ca="1">IF($DA$3="Catégorie",IF(SUMIFS('Étape 1 - à remplir'!$F$31:$F$400,'Étape 1 - à remplir'!$C$31:$C$400,$DA7,'Étape 1 - à remplir'!$M$31:$M$400,MASQ2!DH$4)=0,"",SUMIFS('Étape 1 - à remplir'!$F$31:$F$400,'Étape 1 - à remplir'!$C$31:$C$400,$DA7,'Étape 1 - à remplir'!$M$31:$M$400,MASQ2!DH$4)/INDEX('Étape 1 - à remplir'!$C$19:$L$28,MATCH(MASQ2!$DA7,'Étape 1 - à remplir'!$L$19:$L$28,0),4)),INDEX($DB$44:$DM$73,MATCH($DA7,$DA$44:$DA$73,0),DH$4))</f>
        <v/>
      </c>
      <c r="DI7" s="36" t="str" cm="1">
        <f t="array" aca="1" ref="DI7" ca="1">IF($DA$3="Catégorie",IF(SUMIFS('Étape 1 - à remplir'!$F$31:$F$400,'Étape 1 - à remplir'!$C$31:$C$400,$DA7,'Étape 1 - à remplir'!$M$31:$M$400,MASQ2!DI$4)=0,"",SUMIFS('Étape 1 - à remplir'!$F$31:$F$400,'Étape 1 - à remplir'!$C$31:$C$400,$DA7,'Étape 1 - à remplir'!$M$31:$M$400,MASQ2!DI$4)/INDEX('Étape 1 - à remplir'!$C$19:$L$28,MATCH(MASQ2!$DA7,'Étape 1 - à remplir'!$L$19:$L$28,0),4)),INDEX($DB$44:$DM$73,MATCH($DA7,$DA$44:$DA$73,0),DI$4))</f>
        <v/>
      </c>
      <c r="DJ7" s="36" t="str" cm="1">
        <f t="array" aca="1" ref="DJ7" ca="1">IF($DA$3="Catégorie",IF(SUMIFS('Étape 1 - à remplir'!$F$31:$F$400,'Étape 1 - à remplir'!$C$31:$C$400,$DA7,'Étape 1 - à remplir'!$M$31:$M$400,MASQ2!DJ$4)=0,"",SUMIFS('Étape 1 - à remplir'!$F$31:$F$400,'Étape 1 - à remplir'!$C$31:$C$400,$DA7,'Étape 1 - à remplir'!$M$31:$M$400,MASQ2!DJ$4)/INDEX('Étape 1 - à remplir'!$C$19:$L$28,MATCH(MASQ2!$DA7,'Étape 1 - à remplir'!$L$19:$L$28,0),4)),INDEX($DB$44:$DM$73,MATCH($DA7,$DA$44:$DA$73,0),DJ$4))</f>
        <v/>
      </c>
      <c r="DK7" s="36" t="str" cm="1">
        <f t="array" aca="1" ref="DK7" ca="1">IF($DA$3="Catégorie",IF(SUMIFS('Étape 1 - à remplir'!$F$31:$F$400,'Étape 1 - à remplir'!$C$31:$C$400,$DA7,'Étape 1 - à remplir'!$M$31:$M$400,MASQ2!DK$4)=0,"",SUMIFS('Étape 1 - à remplir'!$F$31:$F$400,'Étape 1 - à remplir'!$C$31:$C$400,$DA7,'Étape 1 - à remplir'!$M$31:$M$400,MASQ2!DK$4)/INDEX('Étape 1 - à remplir'!$C$19:$L$28,MATCH(MASQ2!$DA7,'Étape 1 - à remplir'!$L$19:$L$28,0),4)),INDEX($DB$44:$DM$73,MATCH($DA7,$DA$44:$DA$73,0),DK$4))</f>
        <v/>
      </c>
      <c r="DL7" s="36" t="str" cm="1">
        <f t="array" aca="1" ref="DL7" ca="1">IF($DA$3="Catégorie",IF(SUMIFS('Étape 1 - à remplir'!$F$31:$F$400,'Étape 1 - à remplir'!$C$31:$C$400,$DA7,'Étape 1 - à remplir'!$M$31:$M$400,MASQ2!DL$4)=0,"",SUMIFS('Étape 1 - à remplir'!$F$31:$F$400,'Étape 1 - à remplir'!$C$31:$C$400,$DA7,'Étape 1 - à remplir'!$M$31:$M$400,MASQ2!DL$4)/INDEX('Étape 1 - à remplir'!$C$19:$L$28,MATCH(MASQ2!$DA7,'Étape 1 - à remplir'!$L$19:$L$28,0),4)),INDEX($DB$44:$DM$73,MATCH($DA7,$DA$44:$DA$73,0),DL$4))</f>
        <v/>
      </c>
      <c r="DM7" s="36" t="str" cm="1">
        <f t="array" aca="1" ref="DM7" ca="1">IF($DA$3="Catégorie",IF(SUMIFS('Étape 1 - à remplir'!$F$31:$F$400,'Étape 1 - à remplir'!$C$31:$C$400,$DA7,'Étape 1 - à remplir'!$M$31:$M$400,MASQ2!DM$4)=0,"",SUMIFS('Étape 1 - à remplir'!$F$31:$F$400,'Étape 1 - à remplir'!$C$31:$C$400,$DA7,'Étape 1 - à remplir'!$M$31:$M$400,MASQ2!DM$4)/INDEX('Étape 1 - à remplir'!$C$19:$L$28,MATCH(MASQ2!$DA7,'Étape 1 - à remplir'!$L$19:$L$28,0),4)),INDEX($DB$44:$DM$73,MATCH($DA7,$DA$44:$DA$73,0),DM$4))</f>
        <v/>
      </c>
      <c r="DO7" s="42" t="e">
        <f>IF(DR7="","",COUNTIF(DR$4:DR$13,"&gt;"&amp;DR7)+COUNTIF(DR$4:DR7,DR7))</f>
        <v>#N/A</v>
      </c>
      <c r="DP7" t="str">
        <f>'Étape 1 - à remplir'!L22</f>
        <v/>
      </c>
      <c r="DQ7" t="e">
        <f>IF(INDEX('Étape 1 - à remplir'!G$19:L$28,MATCH(DP7,'Étape 1 - à remplir'!L$19:L$28,0),1)="kg",SUMIF('Étape 1 - à remplir'!C$31:C$400,DP7,'Étape 1 - à remplir'!F$31:F$400),NA())</f>
        <v>#N/A</v>
      </c>
      <c r="DR7" s="63" t="e">
        <f>DQ7/INDEX('Étape 1 - à remplir'!F$19:L$28,MATCH(DP7,'Étape 1 - à remplir'!L$19:L$28,0),1)</f>
        <v>#N/A</v>
      </c>
      <c r="DT7" s="42" t="e">
        <f>IF(DV7="","",COUNTIF(DV$4:DV$23,"&gt;"&amp;DV7)+COUNTIF(DV$4:DV7,DV7))</f>
        <v>#N/A</v>
      </c>
      <c r="DU7" t="str">
        <f t="shared" si="17"/>
        <v>Fièvre</v>
      </c>
      <c r="DV7" s="63" t="e">
        <f>IF(IF(EL$2="Catégorie",IF(EL$3="Toutes",SUMIFS('Étape 1 - à remplir'!$F$31:$F$400,'Étape 1 - à remplir'!$D$31:$D$400,MASQ2!DU7,'Étape 1 - à remplir'!$G$31:$G$400,"kg"),SUMIFS('Étape 1 - à remplir'!$F$31:$F$400,'Étape 1 - à remplir'!$D$31:$D$400,MASQ2!DU7,'Étape 1 - à remplir'!$C$31:$C$400,EL$3,'Étape 1 - à remplir'!$G$31:$G$400,"kg")),IF(EL$2="Âge",IF(EL$3="Tous",SUMIFS('Étape 1 - à remplir'!$F$31:$F$400,'Étape 1 - à remplir'!$D$31:$D$400,MASQ2!DU7,'Étape 1 - à remplir'!$G$31:$G$400,"kg"),SUMIFS('Étape 1 - à remplir'!$F$31:$F$400,'Étape 1 - à remplir'!$D$31:$D$400,MASQ2!DU7,'Étape 1 - à remplir'!$P$31:$P$400,EL$3,'Étape 1 - à remplir'!$G$31:$G$400,"kg")),IF(EL$2="Atelier",IF(EL$3="Tous",SUMIFS('Étape 1 - à remplir'!$F$31:$F$400,'Étape 1 - à remplir'!$D$31:$D$400,MASQ2!DU7,'Étape 1 - à remplir'!$G$31:$G$400,"kg"),SUMIFS('Étape 1 - à remplir'!$F$31:$F$400,'Étape 1 - à remplir'!$D$31:$D$400,MASQ2!DU7,'Étape 1 - à remplir'!$O$31:$O$400,EL$3,'Étape 1 - à remplir'!$G$31:$G$400,"kg")),IF(EL$2="Espèce",IF(EL$3="Toutes",SUMIFS('Étape 1 - à remplir'!$F$31:$F$400,'Étape 1 - à remplir'!$D$31:$D$400,MASQ2!DU7,'Étape 1 - à remplir'!$G$31:$G$400,"kg"),SUMIFS('Étape 1 - à remplir'!$F$31:$F$400,'Étape 1 - à remplir'!$D$31:$D$400,MASQ2!DU7,'Étape 1 - à remplir'!$N$31:$N$400,EL$3,'Étape 1 - à remplir'!$G$31:$G$400,"kg"))))))=0,NA(),IF(EL$2="Catégorie",IF(EL$3="Toutes",SUMIFS('Étape 1 - à remplir'!$F$31:$F$400,'Étape 1 - à remplir'!$D$31:$D$400,MASQ2!DU7,'Étape 1 - à remplir'!$G$31:$G$400,"kg"),SUMIFS('Étape 1 - à remplir'!$F$31:$F$400,'Étape 1 - à remplir'!$D$31:$D$400,MASQ2!DU7,'Étape 1 - à remplir'!$C$31:$C$400,EL$3,'Étape 1 - à remplir'!$G$31:$G$400,"kg")),IF(EL$2="Âge",IF(EL$3="Tous",SUMIFS('Étape 1 - à remplir'!$F$31:$F$400,'Étape 1 - à remplir'!$D$31:$D$400,MASQ2!DU7,'Étape 1 - à remplir'!$G$31:$G$400,"kg"),SUMIFS('Étape 1 - à remplir'!$F$31:$F$400,'Étape 1 - à remplir'!$D$31:$D$400,MASQ2!DU7,'Étape 1 - à remplir'!$P$31:$P$400,EL$3,'Étape 1 - à remplir'!$G$31:$G$400,"kg")),IF(EL$2="Atelier",IF(EL$3="Tous",SUMIFS('Étape 1 - à remplir'!$F$31:$F$400,'Étape 1 - à remplir'!$D$31:$D$400,MASQ2!DU7,'Étape 1 - à remplir'!$G$31:$G$400,"kg"),SUMIFS('Étape 1 - à remplir'!$F$31:$F$400,'Étape 1 - à remplir'!$D$31:$D$400,MASQ2!DU7,'Étape 1 - à remplir'!$O$31:$O$400,EL$3,'Étape 1 - à remplir'!$G$31:$G$400,"kg")),IF(EL$2="Espèce",IF(EL$3="Toutes",SUMIFS('Étape 1 - à remplir'!$F$31:$F$400,'Étape 1 - à remplir'!$D$31:$D$400,MASQ2!DU7,'Étape 1 - à remplir'!$G$31:$G$400,"kg"),SUMIFS('Étape 1 - à remplir'!$F$31:$F$400,'Étape 1 - à remplir'!$D$31:$D$400,MASQ2!DU7,'Étape 1 - à remplir'!$N$31:$N$400,EL$3,'Étape 1 - à remplir'!$G$31:$G$400,"kg")))))))</f>
        <v>#N/A</v>
      </c>
      <c r="DW7" s="42">
        <v>4</v>
      </c>
      <c r="DX7" t="e">
        <f t="shared" si="51"/>
        <v>#N/A</v>
      </c>
      <c r="DY7" s="63" t="e">
        <f t="shared" si="52"/>
        <v>#N/A</v>
      </c>
      <c r="EA7" s="194" t="str">
        <f t="shared" ca="1" si="18"/>
        <v>x</v>
      </c>
      <c r="EB7" s="226" t="str">
        <f>IFERROR(IF(ED7=0,"",COUNTIF(ED$4:ED$600,"&gt;"&amp;ED7)+COUNTIF(ED$4:ED7,ED7)),"")</f>
        <v/>
      </c>
      <c r="EC7" t="str">
        <f t="shared" si="19"/>
        <v>ACTI COLI B</v>
      </c>
      <c r="ED7" t="e">
        <f>IF(IF(EL$2="Catégorie",IF(EL$3="Toutes",SUMIFS('Étape 1 - à remplir'!$F$31:$F$400,'Étape 1 - à remplir'!$E$31:$E$400,MASQ2!EC7,'Étape 1 - à remplir'!$G$31:$G$400,"kg"),SUMIFS('Étape 1 - à remplir'!$F$31:$F$400,'Étape 1 - à remplir'!$E$31:$E$400,MASQ2!EC7,'Étape 1 - à remplir'!$C$31:$C$400,EL$3)),IF(EL$2="Âge",IF(EL$3="Tous",SUMIFS('Étape 1 - à remplir'!$F$31:$F$400,'Étape 1 - à remplir'!$E$31:$E$400,MASQ2!EC7,'Étape 1 - à remplir'!$G$31:$G$400,"kg"),SUMIFS('Étape 1 - à remplir'!$F$31:$F$400,'Étape 1 - à remplir'!$E$31:$E$400,MASQ2!EC7,'Étape 1 - à remplir'!$P$31:$P$400,EL$3,'Étape 1 - à remplir'!$G$31:$G$400,"kg")),IF(EL$2="Atelier",IF(EL$3="Tous",SUMIFS('Étape 1 - à remplir'!$F$31:$F$400,'Étape 1 - à remplir'!$E$31:$E$400,MASQ2!EC7,'Étape 1 - à remplir'!$G$31:$G$400,"kg"),SUMIFS('Étape 1 - à remplir'!$F$31:$F$400,'Étape 1 - à remplir'!$E$31:$E$400,MASQ2!EC7,'Étape 1 - à remplir'!$O$31:$O$400,EL$3,'Étape 1 - à remplir'!$G$31:$G$400,"kg")),IF(EL$2="Espèce",IF(EL$3="Toutes",SUMIFS('Étape 1 - à remplir'!$F$31:$F$400,'Étape 1 - à remplir'!$E$31:$E$400,MASQ2!EC7,'Étape 1 - à remplir'!$G$31:$G$400,"kg"),SUMIFS('Étape 1 - à remplir'!$F$31:$F$400,'Étape 1 - à remplir'!$E$31:$E$400,MASQ2!EC7,'Étape 1 - à remplir'!$N$31:$N$400,EL$3,'Étape 1 - à remplir'!$G$31:$G$400,"kg"))))))=0,NA(),IF(EL$2="Catégorie",IF(EL$3="Toutes",SUMIFS('Étape 1 - à remplir'!$F$31:$F$400,'Étape 1 - à remplir'!$E$31:$E$400,MASQ2!EC7,'Étape 1 - à remplir'!$G$31:$G$400,"kg"),SUMIFS('Étape 1 - à remplir'!$F$31:$F$400,'Étape 1 - à remplir'!$E$31:$E$400,MASQ2!EC7,'Étape 1 - à remplir'!$C$31:$C$400,EL$3)),IF(EL$2="Âge",IF(EL$3="Tous",SUMIFS('Étape 1 - à remplir'!$F$31:$F$400,'Étape 1 - à remplir'!$E$31:$E$400,MASQ2!EC7,'Étape 1 - à remplir'!$G$31:$G$400,"kg"),SUMIFS('Étape 1 - à remplir'!$F$31:$F$400,'Étape 1 - à remplir'!$E$31:$E$400,MASQ2!EC7,'Étape 1 - à remplir'!$P$31:$P$400,EL$3,'Étape 1 - à remplir'!$G$31:$G$400,"kg")),IF(EL$2="Atelier",IF(EL$3="Tous",SUMIFS('Étape 1 - à remplir'!$F$31:$F$400,'Étape 1 - à remplir'!$E$31:$E$400,MASQ2!EC7,'Étape 1 - à remplir'!$G$31:$G$400,"kg"),SUMIFS('Étape 1 - à remplir'!$F$31:$F$400,'Étape 1 - à remplir'!$E$31:$E$400,MASQ2!EC7,'Étape 1 - à remplir'!$O$31:$O$400,EL$3,'Étape 1 - à remplir'!$G$31:$G$400,"kg")),IF(EL$2="Espèce",IF(EL$3="Toutes",SUMIFS('Étape 1 - à remplir'!$F$31:$F$400,'Étape 1 - à remplir'!$E$31:$E$400,MASQ2!EC7,'Étape 1 - à remplir'!$G$31:$G$400,"kg"),SUMIFS('Étape 1 - à remplir'!$F$31:$F$400,'Étape 1 - à remplir'!$E$31:$E$400,MASQ2!EC7,'Étape 1 - à remplir'!$N$31:$N$400,EL$3,'Étape 1 - à remplir'!$G$31:$G$400,"kg")))))))</f>
        <v>#N/A</v>
      </c>
      <c r="EE7" s="76">
        <f t="shared" si="53"/>
        <v>0</v>
      </c>
      <c r="EF7" t="str">
        <f t="shared" si="20"/>
        <v>Colistine</v>
      </c>
      <c r="EG7" t="str">
        <f t="shared" si="21"/>
        <v/>
      </c>
      <c r="EH7" t="str">
        <f t="shared" si="22"/>
        <v/>
      </c>
      <c r="EI7" t="str">
        <f t="shared" si="23"/>
        <v>Polypeptides</v>
      </c>
      <c r="EJ7" t="str">
        <f t="shared" si="24"/>
        <v/>
      </c>
      <c r="EK7" s="63" t="str">
        <f t="shared" si="25"/>
        <v/>
      </c>
      <c r="EN7" s="42">
        <v>4</v>
      </c>
      <c r="EO7" t="e">
        <f t="shared" si="54"/>
        <v>#N/A</v>
      </c>
      <c r="EP7" s="63" t="e">
        <f t="shared" si="55"/>
        <v>#N/A</v>
      </c>
      <c r="ER7" s="194" t="str">
        <f t="shared" si="26"/>
        <v/>
      </c>
      <c r="ES7" s="226" t="str">
        <f>IFERROR(IF(EU7=0,"",COUNTIF(EU$4:EU$64,"&gt;"&amp;EU7)+COUNTIF(EU$4:EU7,EU7)),"")</f>
        <v/>
      </c>
      <c r="ET7" t="str">
        <f t="shared" si="27"/>
        <v>Bacitracine</v>
      </c>
      <c r="EU7" s="76" t="e">
        <f t="shared" si="56"/>
        <v>#N/A</v>
      </c>
      <c r="EV7">
        <v>4</v>
      </c>
      <c r="EW7" t="e">
        <f t="shared" si="57"/>
        <v>#N/A</v>
      </c>
      <c r="EX7" s="63" t="e">
        <f t="shared" si="58"/>
        <v>#N/A</v>
      </c>
      <c r="EZ7" s="194" t="str">
        <f t="shared" si="28"/>
        <v/>
      </c>
      <c r="FA7" s="226" t="str">
        <f>IFERROR(IF(FC7=0,"",COUNTIF(FC$4:FC$19,"&gt;"&amp;FC7)+COUNTIF(FC$4:FC7,FC7)),"")</f>
        <v/>
      </c>
      <c r="FB7" t="str">
        <f t="shared" si="29"/>
        <v>Cephalosporines 1&amp;2G</v>
      </c>
      <c r="FC7" s="76" t="e">
        <f t="shared" si="59"/>
        <v>#N/A</v>
      </c>
      <c r="FD7">
        <v>4</v>
      </c>
      <c r="FE7" t="e">
        <f t="shared" si="60"/>
        <v>#N/A</v>
      </c>
      <c r="FF7" s="63" t="e">
        <f t="shared" si="61"/>
        <v>#N/A</v>
      </c>
      <c r="FH7" s="36" t="str">
        <f t="shared" ref="FH7:FH14" si="65">IF(AND(FH$3="Espèce",FH$4="Toutes"),FL34,IF(AND(FH$3="Atelier",FH$4="Tous"),FK34,IF(AND(FH$3="Âge",FH$4="Tous"),FJ34,IF(AND(FH$3="Catégorie",FH$4="Toutes"),FI34,""))))</f>
        <v/>
      </c>
      <c r="FI7" s="35" t="str" cm="1">
        <f t="array" ref="FI7">IF($FH$3="Catégorie",IF(SUMIFS('Étape 1 - à remplir'!$F$31:$F$400,'Étape 1 - à remplir'!$C$31:$C$400,$FH7,'Étape 1 - à remplir'!$M$31:$M$400,MASQ2!FI$4)=0,"",SUMIFS('Étape 1 - à remplir'!$F$31:$F$400,'Étape 1 - à remplir'!$C$31:$C$400,$FH7,'Étape 1 - à remplir'!$M$31:$M$400,MASQ2!FI$4)/INDEX('Étape 1 - à remplir'!$C$19:$L$28,MATCH(MASQ2!$FH7,'Étape 1 - à remplir'!$L$19:$L$28,0),4)),INDEX($FI$44:$FT$73,MATCH($FH7,$FH$44:$FH$73,0),FI$4))</f>
        <v/>
      </c>
      <c r="FJ7" s="35" t="str" cm="1">
        <f t="array" aca="1" ref="FJ7" ca="1">IF($FH$3="Catégorie",IF(SUMIFS('Étape 1 - à remplir'!$F$31:$F$400,'Étape 1 - à remplir'!$C$31:$C$400,$FH7,'Étape 1 - à remplir'!$M$31:$M$400,MASQ2!FJ$4)=0,"",SUMIFS('Étape 1 - à remplir'!$F$31:$F$400,'Étape 1 - à remplir'!$C$31:$C$400,$FH7,'Étape 1 - à remplir'!$M$31:$M$400,MASQ2!FJ$4)/INDEX('Étape 1 - à remplir'!$C$19:$L$28,MATCH(MASQ2!$FH7,'Étape 1 - à remplir'!$L$19:$L$28,0),4)),INDEX($FI$44:$FT$73,MATCH($FH7,$FH$44:$FH$73,0),FJ$4))</f>
        <v/>
      </c>
      <c r="FK7" s="35" t="str" cm="1">
        <f t="array" aca="1" ref="FK7" ca="1">IF($FH$3="Catégorie",IF(SUMIFS('Étape 1 - à remplir'!$F$31:$F$400,'Étape 1 - à remplir'!$C$31:$C$400,$FH7,'Étape 1 - à remplir'!$M$31:$M$400,MASQ2!FK$4)=0,"",SUMIFS('Étape 1 - à remplir'!$F$31:$F$400,'Étape 1 - à remplir'!$C$31:$C$400,$FH7,'Étape 1 - à remplir'!$M$31:$M$400,MASQ2!FK$4)/INDEX('Étape 1 - à remplir'!$C$19:$L$28,MATCH(MASQ2!$FH7,'Étape 1 - à remplir'!$L$19:$L$28,0),4)),INDEX($FI$44:$FT$73,MATCH($FH7,$FH$44:$FH$73,0),FK$4))</f>
        <v/>
      </c>
      <c r="FL7" s="35" t="str" cm="1">
        <f t="array" aca="1" ref="FL7" ca="1">IF($FH$3="Catégorie",IF(SUMIFS('Étape 1 - à remplir'!$F$31:$F$400,'Étape 1 - à remplir'!$C$31:$C$400,$FH7,'Étape 1 - à remplir'!$M$31:$M$400,MASQ2!FL$4)=0,"",SUMIFS('Étape 1 - à remplir'!$F$31:$F$400,'Étape 1 - à remplir'!$C$31:$C$400,$FH7,'Étape 1 - à remplir'!$M$31:$M$400,MASQ2!FL$4)/INDEX('Étape 1 - à remplir'!$C$19:$L$28,MATCH(MASQ2!$FH7,'Étape 1 - à remplir'!$L$19:$L$28,0),4)),INDEX($FI$44:$FT$73,MATCH($FH7,$FH$44:$FH$73,0),FL$4))</f>
        <v/>
      </c>
      <c r="FM7" s="35" t="str" cm="1">
        <f t="array" aca="1" ref="FM7" ca="1">IF($FH$3="Catégorie",IF(SUMIFS('Étape 1 - à remplir'!$F$31:$F$400,'Étape 1 - à remplir'!$C$31:$C$400,$FH7,'Étape 1 - à remplir'!$M$31:$M$400,MASQ2!FM$4)=0,"",SUMIFS('Étape 1 - à remplir'!$F$31:$F$400,'Étape 1 - à remplir'!$C$31:$C$400,$FH7,'Étape 1 - à remplir'!$M$31:$M$400,MASQ2!FM$4)/INDEX('Étape 1 - à remplir'!$C$19:$L$28,MATCH(MASQ2!$FH7,'Étape 1 - à remplir'!$L$19:$L$28,0),4)),INDEX($FI$44:$FT$73,MATCH($FH7,$FH$44:$FH$73,0),FM$4))</f>
        <v/>
      </c>
      <c r="FN7" s="35" t="str" cm="1">
        <f t="array" aca="1" ref="FN7" ca="1">IF($FH$3="Catégorie",IF(SUMIFS('Étape 1 - à remplir'!$F$31:$F$400,'Étape 1 - à remplir'!$C$31:$C$400,$FH7,'Étape 1 - à remplir'!$M$31:$M$400,MASQ2!FN$4)=0,"",SUMIFS('Étape 1 - à remplir'!$F$31:$F$400,'Étape 1 - à remplir'!$C$31:$C$400,$FH7,'Étape 1 - à remplir'!$M$31:$M$400,MASQ2!FN$4)/INDEX('Étape 1 - à remplir'!$C$19:$L$28,MATCH(MASQ2!$FH7,'Étape 1 - à remplir'!$L$19:$L$28,0),4)),INDEX($FI$44:$FT$73,MATCH($FH7,$FH$44:$FH$73,0),FN$4))</f>
        <v/>
      </c>
      <c r="FO7" s="35" t="str" cm="1">
        <f t="array" aca="1" ref="FO7" ca="1">IF($FH$3="Catégorie",IF(SUMIFS('Étape 1 - à remplir'!$F$31:$F$400,'Étape 1 - à remplir'!$C$31:$C$400,$FH7,'Étape 1 - à remplir'!$M$31:$M$400,MASQ2!FO$4)=0,"",SUMIFS('Étape 1 - à remplir'!$F$31:$F$400,'Étape 1 - à remplir'!$C$31:$C$400,$FH7,'Étape 1 - à remplir'!$M$31:$M$400,MASQ2!FO$4)/INDEX('Étape 1 - à remplir'!$C$19:$L$28,MATCH(MASQ2!$FH7,'Étape 1 - à remplir'!$L$19:$L$28,0),4)),INDEX($FI$44:$FT$73,MATCH($FH7,$FH$44:$FH$73,0),FO$4))</f>
        <v/>
      </c>
      <c r="FP7" s="35" t="str" cm="1">
        <f t="array" aca="1" ref="FP7" ca="1">IF($FH$3="Catégorie",IF(SUMIFS('Étape 1 - à remplir'!$F$31:$F$400,'Étape 1 - à remplir'!$C$31:$C$400,$FH7,'Étape 1 - à remplir'!$M$31:$M$400,MASQ2!FP$4)=0,"",SUMIFS('Étape 1 - à remplir'!$F$31:$F$400,'Étape 1 - à remplir'!$C$31:$C$400,$FH7,'Étape 1 - à remplir'!$M$31:$M$400,MASQ2!FP$4)/INDEX('Étape 1 - à remplir'!$C$19:$L$28,MATCH(MASQ2!$FH7,'Étape 1 - à remplir'!$L$19:$L$28,0),4)),INDEX($FI$44:$FT$73,MATCH($FH7,$FH$44:$FH$73,0),FP$4))</f>
        <v/>
      </c>
      <c r="FQ7" s="35" t="str" cm="1">
        <f t="array" aca="1" ref="FQ7" ca="1">IF($FH$3="Catégorie",IF(SUMIFS('Étape 1 - à remplir'!$F$31:$F$400,'Étape 1 - à remplir'!$C$31:$C$400,$FH7,'Étape 1 - à remplir'!$M$31:$M$400,MASQ2!FQ$4)=0,"",SUMIFS('Étape 1 - à remplir'!$F$31:$F$400,'Étape 1 - à remplir'!$C$31:$C$400,$FH7,'Étape 1 - à remplir'!$M$31:$M$400,MASQ2!FQ$4)/INDEX('Étape 1 - à remplir'!$C$19:$L$28,MATCH(MASQ2!$FH7,'Étape 1 - à remplir'!$L$19:$L$28,0),4)),INDEX($FI$44:$FT$73,MATCH($FH7,$FH$44:$FH$73,0),FQ$4))</f>
        <v/>
      </c>
      <c r="FR7" s="35" t="str" cm="1">
        <f t="array" aca="1" ref="FR7" ca="1">IF($FH$3="Catégorie",IF(SUMIFS('Étape 1 - à remplir'!$F$31:$F$400,'Étape 1 - à remplir'!$C$31:$C$400,$FH7,'Étape 1 - à remplir'!$M$31:$M$400,MASQ2!FR$4)=0,"",SUMIFS('Étape 1 - à remplir'!$F$31:$F$400,'Étape 1 - à remplir'!$C$31:$C$400,$FH7,'Étape 1 - à remplir'!$M$31:$M$400,MASQ2!FR$4)/INDEX('Étape 1 - à remplir'!$C$19:$L$28,MATCH(MASQ2!$FH7,'Étape 1 - à remplir'!$L$19:$L$28,0),4)),INDEX($FI$44:$FT$73,MATCH($FH7,$FH$44:$FH$73,0),FR$4))</f>
        <v/>
      </c>
      <c r="FS7" s="35" t="str" cm="1">
        <f t="array" aca="1" ref="FS7" ca="1">IF($FH$3="Catégorie",IF(SUMIFS('Étape 1 - à remplir'!$F$31:$F$400,'Étape 1 - à remplir'!$C$31:$C$400,$FH7,'Étape 1 - à remplir'!$M$31:$M$400,MASQ2!FS$4)=0,"",SUMIFS('Étape 1 - à remplir'!$F$31:$F$400,'Étape 1 - à remplir'!$C$31:$C$400,$FH7,'Étape 1 - à remplir'!$M$31:$M$400,MASQ2!FS$4)/INDEX('Étape 1 - à remplir'!$C$19:$L$28,MATCH(MASQ2!$FH7,'Étape 1 - à remplir'!$L$19:$L$28,0),4)),INDEX($FI$44:$FT$73,MATCH($FH7,$FH$44:$FH$73,0),FS$4))</f>
        <v/>
      </c>
      <c r="FT7" s="35" t="str" cm="1">
        <f t="array" aca="1" ref="FT7" ca="1">IF($FH$3="Catégorie",IF(SUMIFS('Étape 1 - à remplir'!$F$31:$F$400,'Étape 1 - à remplir'!$C$31:$C$400,$FH7,'Étape 1 - à remplir'!$M$31:$M$400,MASQ2!FT$4)=0,"",SUMIFS('Étape 1 - à remplir'!$F$31:$F$400,'Étape 1 - à remplir'!$C$31:$C$400,$FH7,'Étape 1 - à remplir'!$M$31:$M$400,MASQ2!FT$4)/INDEX('Étape 1 - à remplir'!$C$19:$L$28,MATCH(MASQ2!$FH7,'Étape 1 - à remplir'!$L$19:$L$28,0),4)),INDEX($FI$44:$FT$73,MATCH($FH7,$FH$44:$FH$73,0),FT$4))</f>
        <v/>
      </c>
    </row>
    <row r="8" spans="1:176" x14ac:dyDescent="0.3">
      <c r="A8" s="42" t="e">
        <f>IF(D8="","",COUNTIF(D$4:D$13,"&gt;"&amp;D8)+COUNTIF(D$4:D8,D8))</f>
        <v>#N/A</v>
      </c>
      <c r="B8" t="str">
        <f>IF('Étape 1 - à remplir'!L23="","",'Étape 1 - à remplir'!L23)</f>
        <v/>
      </c>
      <c r="C8" t="e">
        <f>IF(INDEX('Étape 1 - à remplir'!G$19:L$28,MATCH(MASQ2!B8,'Étape 1 - à remplir'!L$19:L$28,0),1)="animaux",SUMIF('Étape 1 - à remplir'!C$31:C$400,MASQ2!B8,'Étape 1 - à remplir'!F$31:F$400),NA())</f>
        <v>#N/A</v>
      </c>
      <c r="D8" s="63" t="e">
        <f>C8/INDEX('Étape 1 - à remplir'!F$19:L$28,MATCH(MASQ2!B8,'Étape 1 - à remplir'!L$19:L$28,0),1)</f>
        <v>#N/A</v>
      </c>
      <c r="F8" s="118" t="str">
        <f>IFERROR(IF(H8="","",COUNTIF(H$4:H$23,"&gt;"&amp;H8)+COUNTIF(H$4:H8,H8)),"")</f>
        <v/>
      </c>
      <c r="G8" t="str">
        <f>Données_ATB!CG7</f>
        <v>Infections de l’œil (conjonctivites)</v>
      </c>
      <c r="H8" s="76" t="e">
        <f>IF(IF(X$2="Catégorie",IF(X$3="Toutes",SUMIFS('Étape 1 - à remplir'!F$31:F$400,'Étape 1 - à remplir'!D$31:D$400,MASQ2!G8,'Étape 1 - à remplir'!G$31:G$400,"animaux"),SUMIFS('Étape 1 - à remplir'!F$31:F$400,'Étape 1 - à remplir'!D$31:D$400,MASQ2!G8,'Étape 1 - à remplir'!C$31:C$400,X$3)),IF(X$2="Âge",IF(X$3="Tous",SUMIFS('Étape 1 - à remplir'!F$31:F$400,'Étape 1 - à remplir'!D$31:D$400,MASQ2!G8,'Étape 1 - à remplir'!G$31:G$400,"animaux"),SUMIFS('Étape 1 - à remplir'!F$31:F$400,'Étape 1 - à remplir'!D$31:D$400,MASQ2!G8,'Étape 1 - à remplir'!P$31:P$400,X$3)),IF(X$2="Atelier",IF(X$3="Tous",SUMIFS('Étape 1 - à remplir'!F$31:F$400,'Étape 1 - à remplir'!D$31:D$400,MASQ2!G8,'Étape 1 - à remplir'!G$31:G$400,"animaux"),SUMIFS('Étape 1 - à remplir'!F$31:F$400,'Étape 1 - à remplir'!D$31:D$400,MASQ2!G8,'Étape 1 - à remplir'!O$31:O$400,X$3)),IF(X$2="Espèce",IF(X$3="Toutes",SUMIFS('Étape 1 - à remplir'!F$31:F$400,'Étape 1 - à remplir'!D$31:D$400,MASQ2!G8,'Étape 1 - à remplir'!G$31:G$400,"animaux"),SUMIFS('Étape 1 - à remplir'!F$31:F$400,'Étape 1 - à remplir'!D$31:D$400,MASQ2!G8,'Étape 1 - à remplir'!N$31:N$400,X$3))))))=0,NA(),IF(X$2="Catégorie",IF(X$3="Toutes",SUMIFS('Étape 1 - à remplir'!F$31:F$400,'Étape 1 - à remplir'!D$31:D$400,MASQ2!G8,'Étape 1 - à remplir'!G$31:G$400,"animaux"),SUMIFS('Étape 1 - à remplir'!F$31:F$400,'Étape 1 - à remplir'!D$31:D$400,MASQ2!G8,'Étape 1 - à remplir'!C$31:C$400,X$3)),IF(X$2="Âge",IF(X$3="Tous",SUMIFS('Étape 1 - à remplir'!F$31:F$400,'Étape 1 - à remplir'!D$31:D$400,MASQ2!G8,'Étape 1 - à remplir'!G$31:G$400,"animaux"),SUMIFS('Étape 1 - à remplir'!F$31:F$400,'Étape 1 - à remplir'!D$31:D$400,MASQ2!G8,'Étape 1 - à remplir'!P$31:P$400,X$3)),IF(X$2="Atelier",IF(X$3="Tous",SUMIFS('Étape 1 - à remplir'!F$31:F$400,'Étape 1 - à remplir'!D$31:D$400,MASQ2!G8,'Étape 1 - à remplir'!G$31:G$400,"animaux"),SUMIFS('Étape 1 - à remplir'!F$31:F$400,'Étape 1 - à remplir'!D$31:D$400,MASQ2!G8,'Étape 1 - à remplir'!O$31:O$400,X$3)),IF(X$2="Espèce",IF(X$3="Tous",SUMIFS('Étape 1 - à remplir'!F$31:F$400,'Étape 1 - à remplir'!D$31:D$400,MASQ2!G8,'Étape 1 - à remplir'!G$31:G$400,"animaux"),SUMIFS('Étape 1 - à remplir'!F$31:F$400,'Étape 1 - à remplir'!D$31:D$400,MASQ2!G8,'Étape 1 - à remplir'!N$31:N$400,X$3)))))))</f>
        <v>#N/A</v>
      </c>
      <c r="I8" s="118">
        <v>5</v>
      </c>
      <c r="J8" t="e">
        <f t="shared" si="30"/>
        <v>#N/A</v>
      </c>
      <c r="K8" s="76" t="e">
        <f t="shared" si="31"/>
        <v>#N/A</v>
      </c>
      <c r="M8" s="194" t="str">
        <f ca="1">INDEX(Données_ATB!BD:BU,MATCH(MASQ2!O8,Données_ATB!BD:BD,0),18)</f>
        <v/>
      </c>
      <c r="N8" s="14" t="str">
        <f>IFERROR(IF(Q8=0,"",COUNTIF(Q$4:Q$600,"&gt;"&amp;Q8)+COUNTIF(Q$4:Q8,Q8)),"")</f>
        <v/>
      </c>
      <c r="O8" t="str">
        <f>Données_ATB!BD7</f>
        <v>ACTI DOXY 5</v>
      </c>
      <c r="P8" t="e">
        <f>IF(IF(X$2="Catégorie",IF(X$3="Toutes",SUMIFS('Étape 1 - à remplir'!$F$31:$F$400,'Étape 1 - à remplir'!$E$31:$E$400,MASQ2!O8,'Étape 1 - à remplir'!$G$31:$G$400,"animaux"),SUMIFS('Étape 1 - à remplir'!$F$31:$F$400,'Étape 1 - à remplir'!$E$31:$E$400,MASQ2!O8,'Étape 1 - à remplir'!$C$31:$C$400,X$3)),IF(X$2="Âge",IF(X$3="Tous",SUMIFS('Étape 1 - à remplir'!$F$31:$F$400,'Étape 1 - à remplir'!$E$31:$E$400,MASQ2!O8,'Étape 1 - à remplir'!$G$31:$G$400,"animaux"),SUMIFS('Étape 1 - à remplir'!$F$31:$F$400,'Étape 1 - à remplir'!$E$31:$E$400,MASQ2!O8,'Étape 1 - à remplir'!$P$31:$P$400,X$3)),IF(X$2="Atelier",IF(X$3="Tous",SUMIFS('Étape 1 - à remplir'!$F$31:$F$400,'Étape 1 - à remplir'!$E$31:$E$400,MASQ2!O8,'Étape 1 - à remplir'!$G$31:$G$400,"animaux"),SUMIFS('Étape 1 - à remplir'!$F$31:$F$400,'Étape 1 - à remplir'!$E$31:$E$400,MASQ2!O8,'Étape 1 - à remplir'!$O$31:$O$400,X$3)),IF(X$2="Espèce",IF(X$3="Toutes",SUMIFS('Étape 1 - à remplir'!$F$31:$F$400,'Étape 1 - à remplir'!$E$31:$E$400,MASQ2!O8,'Étape 1 - à remplir'!$G$31:$G$400,"animaux"),SUMIFS('Étape 1 - à remplir'!$F$31:$F$400,'Étape 1 - à remplir'!$E$31:$E$400,MASQ2!O8,'Étape 1 - à remplir'!$N$31:$N$400,X$3))))))=0,NA(),IF(X$2="Catégorie",IF(X$3="Toutes",SUMIFS('Étape 1 - à remplir'!$F$31:$F$400,'Étape 1 - à remplir'!$E$31:$E$400,MASQ2!O8,'Étape 1 - à remplir'!$G$31:$G$400,"animaux"),SUMIFS('Étape 1 - à remplir'!$F$31:$F$400,'Étape 1 - à remplir'!$E$31:$E$400,MASQ2!O8,'Étape 1 - à remplir'!$C$31:$C$400,X$3)),IF(X$2="Âge",IF(X$3="Tous",SUMIFS('Étape 1 - à remplir'!$F$31:$F$400,'Étape 1 - à remplir'!$E$31:$E$400,MASQ2!O8,'Étape 1 - à remplir'!$G$31:$G$400,"animaux"),SUMIFS('Étape 1 - à remplir'!$F$31:$F$400,'Étape 1 - à remplir'!$E$31:$E$400,MASQ2!O8,'Étape 1 - à remplir'!$P$31:$P$400,X$3)),IF(X$2="Atelier",IF(X$3="Tous",SUMIFS('Étape 1 - à remplir'!$F$31:$F$400,'Étape 1 - à remplir'!$E$31:$E$400,MASQ2!O8,'Étape 1 - à remplir'!$G$31:$G$400,"animaux"),SUMIFS('Étape 1 - à remplir'!$F$31:$F$400,'Étape 1 - à remplir'!$E$31:$E$400,MASQ2!O8,'Étape 1 - à remplir'!$O$31:$O$400,X$3)),IF(X$2="Espèce",IF(X$3="Toutes",SUMIFS('Étape 1 - à remplir'!$F$31:$F$400,'Étape 1 - à remplir'!$E$31:$E$400,MASQ2!O8,'Étape 1 - à remplir'!$G$31:$G$400,"animaux"),SUMIFS('Étape 1 - à remplir'!$F$31:$F$400,'Étape 1 - à remplir'!$E$31:$E$400,MASQ2!O8,'Étape 1 - à remplir'!$N$31:$N$400,X$3)))))))</f>
        <v>#N/A</v>
      </c>
      <c r="Q8" s="63">
        <f t="shared" si="62"/>
        <v>0</v>
      </c>
      <c r="R8" t="str">
        <f>Données_ATB!BM7</f>
        <v>Doxycycline</v>
      </c>
      <c r="S8" t="str">
        <f>Données_ATB!BN7</f>
        <v/>
      </c>
      <c r="T8" s="63" t="str">
        <f>Données_ATB!BO7</f>
        <v/>
      </c>
      <c r="U8" s="42" t="str">
        <f>Données_ATB!BQ7</f>
        <v>Tetracyclines</v>
      </c>
      <c r="V8" t="str">
        <f>Données_ATB!BR7</f>
        <v/>
      </c>
      <c r="W8" s="63" t="str">
        <f>Données_ATB!BS7</f>
        <v/>
      </c>
      <c r="Z8" s="42">
        <v>5</v>
      </c>
      <c r="AA8" t="e">
        <f t="shared" si="32"/>
        <v>#N/A</v>
      </c>
      <c r="AB8" s="63" t="e">
        <f t="shared" si="33"/>
        <v>#N/A</v>
      </c>
      <c r="AD8" s="194" t="str">
        <f>IF(AF8="Colistine","x",IF(INDEX(Données_ATB!CA$3:CB$63,MATCH(AF8,Données_ATB!CA$3:CA$63,0),2)="Fluoroquinolones","x",IF(INDEX(Données_ATB!CA$3:CB$63,MATCH(AF8,Données_ATB!CA$3:CA$63,0),2)="Cephalosporines 3&amp;4G","x","")))</f>
        <v/>
      </c>
      <c r="AE8" s="219" t="str">
        <f>IFERROR(IF(AG8=0,"",COUNTIF(AG$4:AG$64,"&gt;"&amp;AG8)+COUNTIF(AG$4:AG8,AG8)),"")</f>
        <v/>
      </c>
      <c r="AF8" s="42" t="str">
        <f>Données_ATB!CA7</f>
        <v>Benzylpénicilline</v>
      </c>
      <c r="AG8" s="63" t="e">
        <f t="shared" si="34"/>
        <v>#N/A</v>
      </c>
      <c r="AH8" s="42">
        <v>5</v>
      </c>
      <c r="AI8" t="e">
        <f t="shared" si="35"/>
        <v>#N/A</v>
      </c>
      <c r="AJ8" s="63" t="e">
        <f t="shared" si="36"/>
        <v>#N/A</v>
      </c>
      <c r="AL8" s="194" t="str">
        <f t="shared" si="37"/>
        <v>x</v>
      </c>
      <c r="AM8" s="14" t="str">
        <f>IFERROR(IF(AO8=0,"",COUNTIF(AO$4:AO$19,"&gt;"&amp;AO8)+COUNTIF(AO$4:AO8,AO8)),"")</f>
        <v/>
      </c>
      <c r="AN8" t="str">
        <f>Données_ATB!BX7</f>
        <v>Cephalosporines 3&amp;4G</v>
      </c>
      <c r="AO8" s="76" t="e">
        <f t="shared" si="3"/>
        <v>#N/A</v>
      </c>
      <c r="AP8">
        <v>5</v>
      </c>
      <c r="AQ8" t="e">
        <f t="shared" si="38"/>
        <v>#N/A</v>
      </c>
      <c r="AR8" s="63" t="e">
        <f t="shared" si="39"/>
        <v>#N/A</v>
      </c>
      <c r="AT8" s="36" t="str">
        <f t="shared" si="63"/>
        <v/>
      </c>
      <c r="AU8" s="36" t="str" cm="1">
        <f t="array" ref="AU8">IF($AT$3="Catégorie",IF(SUMIFS('Étape 1 - à remplir'!$F$31:$F$400,'Étape 1 - à remplir'!$C$31:$C$400,$AT8,'Étape 1 - à remplir'!$M$31:$M$400,MASQ2!AU$4)=0,"",SUMIFS('Étape 1 - à remplir'!$F$31:$F$400,'Étape 1 - à remplir'!$C$31:$C$400,$AT8,'Étape 1 - à remplir'!$M$31:$M$400,MASQ2!AU$4)/INDEX('Étape 1 - à remplir'!$C$19:$L$28,MATCH(MASQ2!$AT8,'Étape 1 - à remplir'!$L$19:$L$28,0),4)),INDEX($AU$44:$BF$73,MATCH($AT8,$AT$44:$AT$73,0),AU$4))</f>
        <v/>
      </c>
      <c r="AV8" s="36" t="str" cm="1">
        <f t="array" aca="1" ref="AV8" ca="1">IF($AT$3="Catégorie",IF(SUMIFS('Étape 1 - à remplir'!$F$31:$F$400,'Étape 1 - à remplir'!$C$31:$C$400,$AT8,'Étape 1 - à remplir'!$M$31:$M$400,MASQ2!AV$4)=0,"",SUMIFS('Étape 1 - à remplir'!$F$31:$F$400,'Étape 1 - à remplir'!$C$31:$C$400,$AT8,'Étape 1 - à remplir'!$M$31:$M$400,MASQ2!AV$4)/INDEX('Étape 1 - à remplir'!$C$19:$L$28,MATCH(MASQ2!$AT8,'Étape 1 - à remplir'!$L$19:$L$28,0),4)),INDEX($AU$44:$BF$73,MATCH($AT8,$AT$44:$AT$73,0),AV$4))</f>
        <v/>
      </c>
      <c r="AW8" s="36" t="str" cm="1">
        <f t="array" aca="1" ref="AW8" ca="1">IF($AT$3="Catégorie",IF(SUMIFS('Étape 1 - à remplir'!$F$31:$F$400,'Étape 1 - à remplir'!$C$31:$C$400,$AT8,'Étape 1 - à remplir'!$M$31:$M$400,MASQ2!AW$4)=0,"",SUMIFS('Étape 1 - à remplir'!$F$31:$F$400,'Étape 1 - à remplir'!$C$31:$C$400,$AT8,'Étape 1 - à remplir'!$M$31:$M$400,MASQ2!AW$4)/INDEX('Étape 1 - à remplir'!$C$19:$L$28,MATCH(MASQ2!$AT8,'Étape 1 - à remplir'!$L$19:$L$28,0),4)),INDEX($AU$44:$BF$73,MATCH($AT8,$AT$44:$AT$73,0),AW$4))</f>
        <v/>
      </c>
      <c r="AX8" s="36" t="str" cm="1">
        <f t="array" aca="1" ref="AX8" ca="1">IF($AT$3="Catégorie",IF(SUMIFS('Étape 1 - à remplir'!$F$31:$F$400,'Étape 1 - à remplir'!$C$31:$C$400,$AT8,'Étape 1 - à remplir'!$M$31:$M$400,MASQ2!AX$4)=0,"",SUMIFS('Étape 1 - à remplir'!$F$31:$F$400,'Étape 1 - à remplir'!$C$31:$C$400,$AT8,'Étape 1 - à remplir'!$M$31:$M$400,MASQ2!AX$4)/INDEX('Étape 1 - à remplir'!$C$19:$L$28,MATCH(MASQ2!$AT8,'Étape 1 - à remplir'!$L$19:$L$28,0),4)),INDEX($AU$44:$BF$73,MATCH($AT8,$AT$44:$AT$73,0),AX$4))</f>
        <v/>
      </c>
      <c r="AY8" s="36" t="str" cm="1">
        <f t="array" aca="1" ref="AY8" ca="1">IF($AT$3="Catégorie",IF(SUMIFS('Étape 1 - à remplir'!$F$31:$F$400,'Étape 1 - à remplir'!$C$31:$C$400,$AT8,'Étape 1 - à remplir'!$M$31:$M$400,MASQ2!AY$4)=0,"",SUMIFS('Étape 1 - à remplir'!$F$31:$F$400,'Étape 1 - à remplir'!$C$31:$C$400,$AT8,'Étape 1 - à remplir'!$M$31:$M$400,MASQ2!AY$4)/INDEX('Étape 1 - à remplir'!$C$19:$L$28,MATCH(MASQ2!$AT8,'Étape 1 - à remplir'!$L$19:$L$28,0),4)),INDEX($AU$44:$BF$73,MATCH($AT8,$AT$44:$AT$73,0),AY$4))</f>
        <v/>
      </c>
      <c r="AZ8" s="36" t="str" cm="1">
        <f t="array" aca="1" ref="AZ8" ca="1">IF($AT$3="Catégorie",IF(SUMIFS('Étape 1 - à remplir'!$F$31:$F$400,'Étape 1 - à remplir'!$C$31:$C$400,$AT8,'Étape 1 - à remplir'!$M$31:$M$400,MASQ2!AZ$4)=0,"",SUMIFS('Étape 1 - à remplir'!$F$31:$F$400,'Étape 1 - à remplir'!$C$31:$C$400,$AT8,'Étape 1 - à remplir'!$M$31:$M$400,MASQ2!AZ$4)/INDEX('Étape 1 - à remplir'!$C$19:$L$28,MATCH(MASQ2!$AT8,'Étape 1 - à remplir'!$L$19:$L$28,0),4)),INDEX($AU$44:$BF$73,MATCH($AT8,$AT$44:$AT$73,0),AZ$4))</f>
        <v/>
      </c>
      <c r="BA8" s="36" t="str" cm="1">
        <f t="array" aca="1" ref="BA8" ca="1">IF($AT$3="Catégorie",IF(SUMIFS('Étape 1 - à remplir'!$F$31:$F$400,'Étape 1 - à remplir'!$C$31:$C$400,$AT8,'Étape 1 - à remplir'!$M$31:$M$400,MASQ2!BA$4)=0,"",SUMIFS('Étape 1 - à remplir'!$F$31:$F$400,'Étape 1 - à remplir'!$C$31:$C$400,$AT8,'Étape 1 - à remplir'!$M$31:$M$400,MASQ2!BA$4)/INDEX('Étape 1 - à remplir'!$C$19:$L$28,MATCH(MASQ2!$AT8,'Étape 1 - à remplir'!$L$19:$L$28,0),4)),INDEX($AU$44:$BF$73,MATCH($AT8,$AT$44:$AT$73,0),BA$4))</f>
        <v/>
      </c>
      <c r="BB8" s="36" t="str" cm="1">
        <f t="array" aca="1" ref="BB8" ca="1">IF($AT$3="Catégorie",IF(SUMIFS('Étape 1 - à remplir'!$F$31:$F$400,'Étape 1 - à remplir'!$C$31:$C$400,$AT8,'Étape 1 - à remplir'!$M$31:$M$400,MASQ2!BB$4)=0,"",SUMIFS('Étape 1 - à remplir'!$F$31:$F$400,'Étape 1 - à remplir'!$C$31:$C$400,$AT8,'Étape 1 - à remplir'!$M$31:$M$400,MASQ2!BB$4)/INDEX('Étape 1 - à remplir'!$C$19:$L$28,MATCH(MASQ2!$AT8,'Étape 1 - à remplir'!$L$19:$L$28,0),4)),INDEX($AU$44:$BF$73,MATCH($AT8,$AT$44:$AT$73,0),BB$4))</f>
        <v/>
      </c>
      <c r="BC8" s="36" t="str" cm="1">
        <f t="array" aca="1" ref="BC8" ca="1">IF($AT$3="Catégorie",IF(SUMIFS('Étape 1 - à remplir'!$F$31:$F$400,'Étape 1 - à remplir'!$C$31:$C$400,$AT8,'Étape 1 - à remplir'!$M$31:$M$400,MASQ2!BC$4)=0,"",SUMIFS('Étape 1 - à remplir'!$F$31:$F$400,'Étape 1 - à remplir'!$C$31:$C$400,$AT8,'Étape 1 - à remplir'!$M$31:$M$400,MASQ2!BC$4)/INDEX('Étape 1 - à remplir'!$C$19:$L$28,MATCH(MASQ2!$AT8,'Étape 1 - à remplir'!$L$19:$L$28,0),4)),INDEX($AU$44:$BF$73,MATCH($AT8,$AT$44:$AT$73,0),BC$4))</f>
        <v/>
      </c>
      <c r="BD8" s="36" t="str" cm="1">
        <f t="array" aca="1" ref="BD8" ca="1">IF($AT$3="Catégorie",IF(SUMIFS('Étape 1 - à remplir'!$F$31:$F$400,'Étape 1 - à remplir'!$C$31:$C$400,$AT8,'Étape 1 - à remplir'!$M$31:$M$400,MASQ2!BD$4)=0,"",SUMIFS('Étape 1 - à remplir'!$F$31:$F$400,'Étape 1 - à remplir'!$C$31:$C$400,$AT8,'Étape 1 - à remplir'!$M$31:$M$400,MASQ2!BD$4)/INDEX('Étape 1 - à remplir'!$C$19:$L$28,MATCH(MASQ2!$AT8,'Étape 1 - à remplir'!$L$19:$L$28,0),4)),INDEX($AU$44:$BF$73,MATCH($AT8,$AT$44:$AT$73,0),BD$4))</f>
        <v/>
      </c>
      <c r="BE8" s="36" t="str" cm="1">
        <f t="array" aca="1" ref="BE8" ca="1">IF($AT$3="Catégorie",IF(SUMIFS('Étape 1 - à remplir'!$F$31:$F$400,'Étape 1 - à remplir'!$C$31:$C$400,$AT8,'Étape 1 - à remplir'!$M$31:$M$400,MASQ2!BE$4)=0,"",SUMIFS('Étape 1 - à remplir'!$F$31:$F$400,'Étape 1 - à remplir'!$C$31:$C$400,$AT8,'Étape 1 - à remplir'!$M$31:$M$400,MASQ2!BE$4)/INDEX('Étape 1 - à remplir'!$C$19:$L$28,MATCH(MASQ2!$AT8,'Étape 1 - à remplir'!$L$19:$L$28,0),4)),INDEX($AU$44:$BF$73,MATCH($AT8,$AT$44:$AT$73,0),BE$4))</f>
        <v/>
      </c>
      <c r="BF8" s="36" t="str" cm="1">
        <f t="array" aca="1" ref="BF8" ca="1">IF($AT$3="Catégorie",IF(SUMIFS('Étape 1 - à remplir'!$F$31:$F$400,'Étape 1 - à remplir'!$C$31:$C$400,$AT8,'Étape 1 - à remplir'!$M$31:$M$400,MASQ2!BF$4)=0,"",SUMIFS('Étape 1 - à remplir'!$F$31:$F$400,'Étape 1 - à remplir'!$C$31:$C$400,$AT8,'Étape 1 - à remplir'!$M$31:$M$400,MASQ2!BF$4)/INDEX('Étape 1 - à remplir'!$C$19:$L$28,MATCH(MASQ2!$AT8,'Étape 1 - à remplir'!$L$19:$L$28,0),4)),INDEX($AU$44:$BF$73,MATCH($AT8,$AT$44:$AT$73,0),BF$4))</f>
        <v/>
      </c>
      <c r="BH8" s="42" t="e">
        <f>IF(BK8="","",COUNTIF(BK$4:BK$13,"&gt;"&amp;BK8)+COUNTIF(BK$4:BK8,BK8))</f>
        <v>#N/A</v>
      </c>
      <c r="BI8" t="str">
        <f>'Étape 1 - à remplir'!L23</f>
        <v/>
      </c>
      <c r="BJ8" t="e">
        <f>IF(INDEX('Étape 1 - à remplir'!G$19:L$28,MATCH(BI8,'Étape 1 - à remplir'!L$19:L$28,0),1)="lots",SUMIF('Étape 1 - à remplir'!C$31:C$400,BI8,'Étape 1 - à remplir'!F$31:F$400),NA())</f>
        <v>#N/A</v>
      </c>
      <c r="BK8" s="76" t="e">
        <f>BJ8/INDEX('Étape 1 - à remplir'!F$19:L$28,MATCH(BI8,'Étape 1 - à remplir'!L$19:L$28,0),1)</f>
        <v>#N/A</v>
      </c>
      <c r="BM8" s="42" t="e">
        <f>IF(BO8="","",COUNTIF(BO$4:BO$23,"&gt;"&amp;BO8)+COUNTIF(BO$4:BO8,BO8))</f>
        <v>#N/A</v>
      </c>
      <c r="BN8" t="str">
        <f t="shared" si="4"/>
        <v>Infections de l’œil (conjonctivites)</v>
      </c>
      <c r="BO8" s="76" t="e">
        <f>IF(IF(CE$2="Catégorie",IF(CE$3="Toutes",SUMIFS('Étape 1 - à remplir'!$F$31:$F$400,'Étape 1 - à remplir'!$D$31:$D$400,MASQ2!BN8,'Étape 1 - à remplir'!$G$31:$G$400,"lots"),SUMIFS('Étape 1 - à remplir'!$F$31:$F$400,'Étape 1 - à remplir'!$D$31:$D$400,MASQ2!BN8,'Étape 1 - à remplir'!$C$31:$C$400,CE$3,'Étape 1 - à remplir'!$G$31:$G$400,"lots")),IF(CE$2="Âge",IF(CE$3="Tous",SUMIFS('Étape 1 - à remplir'!$F$31:$F$400,'Étape 1 - à remplir'!$D$31:$D$400,MASQ2!BN8,'Étape 1 - à remplir'!$G$31:$G$400,"lots"),SUMIFS('Étape 1 - à remplir'!$F$31:$F$400,'Étape 1 - à remplir'!$D$31:$D$400,MASQ2!BN8,'Étape 1 - à remplir'!$P$31:$P$400,CE$3,'Étape 1 - à remplir'!$G$31:$G$400,"lots")),IF(CE$2="Atelier",IF(CE$3="Tous",SUMIFS('Étape 1 - à remplir'!$F$31:$F$400,'Étape 1 - à remplir'!$D$31:$D$400,MASQ2!BN8,'Étape 1 - à remplir'!$G$31:$G$400,"lots"),SUMIFS('Étape 1 - à remplir'!$F$31:$F$400,'Étape 1 - à remplir'!$D$31:$D$400,MASQ2!BN8,'Étape 1 - à remplir'!$O$31:$O$400,CE$3,'Étape 1 - à remplir'!$G$31:$G$400,"lots")),IF(CE$2="Espèce",IF(CE$3="Toutes",SUMIFS('Étape 1 - à remplir'!$F$31:$F$400,'Étape 1 - à remplir'!$D$31:$D$400,MASQ2!BN8,'Étape 1 - à remplir'!$G$31:$G$400,"lots"),SUMIFS('Étape 1 - à remplir'!$F$31:$F$400,'Étape 1 - à remplir'!$D$31:$D$400,MASQ2!BN8,'Étape 1 - à remplir'!$N$31:$N$400,CE$3,'Étape 1 - à remplir'!$G$31:$G$400,"lots"))))))=0,NA(),IF(CE$2="Catégorie",IF(CE$3="Toutes",SUMIFS('Étape 1 - à remplir'!$F$31:$F$400,'Étape 1 - à remplir'!$D$31:$D$400,MASQ2!BN8,'Étape 1 - à remplir'!$G$31:$G$400,"lots"),SUMIFS('Étape 1 - à remplir'!$F$31:$F$400,'Étape 1 - à remplir'!$D$31:$D$400,MASQ2!BN8,'Étape 1 - à remplir'!$C$31:$C$400,CE$3,'Étape 1 - à remplir'!$G$31:$G$400,"lots")),IF(CE$2="Âge",IF(CE$3="Tous",SUMIFS('Étape 1 - à remplir'!$F$31:$F$400,'Étape 1 - à remplir'!$D$31:$D$400,MASQ2!BN8,'Étape 1 - à remplir'!$G$31:$G$400,"lots"),SUMIFS('Étape 1 - à remplir'!$F$31:$F$400,'Étape 1 - à remplir'!$D$31:$D$400,MASQ2!BN8,'Étape 1 - à remplir'!$P$31:$P$400,CE$3,'Étape 1 - à remplir'!$G$31:$G$400,"lots")),IF(CE$2="Atelier",IF(CE$3="Tous",SUMIFS('Étape 1 - à remplir'!$F$31:$F$400,'Étape 1 - à remplir'!$D$31:$D$400,MASQ2!BN8,'Étape 1 - à remplir'!$G$31:$G$400,"lots"),SUMIFS('Étape 1 - à remplir'!$F$31:$F$400,'Étape 1 - à remplir'!$D$31:$D$400,MASQ2!BN8,'Étape 1 - à remplir'!$O$31:$O$400,CE$3,'Étape 1 - à remplir'!$G$31:$G$400,"lots")),IF(CE$2="Espèce",IF(CE$3="Toutes",SUMIFS('Étape 1 - à remplir'!$F$31:$F$400,'Étape 1 - à remplir'!$D$31:$D$400,MASQ2!BN8,'Étape 1 - à remplir'!$G$31:$G$400,"lots"),SUMIFS('Étape 1 - à remplir'!$F$31:$F$400,'Étape 1 - à remplir'!$D$31:$D$400,MASQ2!BN8,'Étape 1 - à remplir'!$N$31:$N$400,CE$3,'Étape 1 - à remplir'!$G$31:$G$400,"lots")))))))</f>
        <v>#N/A</v>
      </c>
      <c r="BP8">
        <v>5</v>
      </c>
      <c r="BQ8" t="e">
        <f t="shared" si="40"/>
        <v>#N/A</v>
      </c>
      <c r="BR8" s="63" t="e">
        <f t="shared" si="41"/>
        <v>#N/A</v>
      </c>
      <c r="BT8" s="194" t="str">
        <f t="shared" ca="1" si="5"/>
        <v/>
      </c>
      <c r="BU8" s="219" t="str">
        <f>IFERROR(IF(BX8=0,"",COUNTIF(BX$4:BX$600,"&gt;"&amp;BX8)+COUNTIF(BX$4:BX8,BX8)),"")</f>
        <v/>
      </c>
      <c r="BV8" s="42" t="str">
        <f t="shared" si="6"/>
        <v>ACTI DOXY 5</v>
      </c>
      <c r="BW8" t="e">
        <f>IF(IF(CE$2="Catégorie",IF(CE$3="Toutes",SUMIFS('Étape 1 - à remplir'!$F$31:$F$400,'Étape 1 - à remplir'!$E$31:$E$400,MASQ2!BV8,'Étape 1 - à remplir'!$G$31:$G$400,"lots"),SUMIFS('Étape 1 - à remplir'!$F$31:$F$400,'Étape 1 - à remplir'!$E$31:$E$400,MASQ2!BV8,'Étape 1 - à remplir'!$C$31:$C$400,CE$3)),IF(CE$2="Âge",IF(CE$3="Tous",SUMIFS('Étape 1 - à remplir'!$F$31:$F$400,'Étape 1 - à remplir'!$E$31:$E$400,MASQ2!BV8,'Étape 1 - à remplir'!$G$31:$G$400,"lots"),SUMIFS('Étape 1 - à remplir'!$F$31:$F$400,'Étape 1 - à remplir'!$E$31:$E$400,MASQ2!BV8,'Étape 1 - à remplir'!$P$31:$P$400,CE$3,'Étape 1 - à remplir'!$G$31:$G$400,"lots")),IF(CE$2="Atelier",IF(CE$3="Tous",SUMIFS('Étape 1 - à remplir'!$F$31:$F$400,'Étape 1 - à remplir'!$E$31:$E$400,MASQ2!BV8,'Étape 1 - à remplir'!$G$31:$G$400,"lots"),SUMIFS('Étape 1 - à remplir'!$F$31:$F$400,'Étape 1 - à remplir'!$E$31:$E$400,MASQ2!BV8,'Étape 1 - à remplir'!$O$31:$O$400,CE$3,'Étape 1 - à remplir'!$G$31:$G$400,"lots")),IF(CE$2="Espèce",IF(CE$3="Toutes",SUMIFS('Étape 1 - à remplir'!$F$31:$F$400,'Étape 1 - à remplir'!$E$31:$E$400,MASQ2!BV8,'Étape 1 - à remplir'!$G$31:$G$400,"lots"),SUMIFS('Étape 1 - à remplir'!$F$31:$F$400,'Étape 1 - à remplir'!$E$31:$E$400,MASQ2!BV8,'Étape 1 - à remplir'!$N$31:$N$400,CE$3,'Étape 1 - à remplir'!$G$31:$G$400,"lots"))))))=0,NA(),IF(CE$2="Catégorie",IF(CE$3="Toutes",SUMIFS('Étape 1 - à remplir'!$F$31:$F$400,'Étape 1 - à remplir'!$E$31:$E$400,MASQ2!BV8,'Étape 1 - à remplir'!$G$31:$G$400,"lots"),SUMIFS('Étape 1 - à remplir'!$F$31:$F$400,'Étape 1 - à remplir'!$E$31:$E$400,MASQ2!BV8,'Étape 1 - à remplir'!$C$31:$C$400,CE$3)),IF(CE$2="Âge",IF(CE$3="Tous",SUMIFS('Étape 1 - à remplir'!$F$31:$F$400,'Étape 1 - à remplir'!$E$31:$E$400,MASQ2!BV8,'Étape 1 - à remplir'!$G$31:$G$400,"lots"),SUMIFS('Étape 1 - à remplir'!$F$31:$F$400,'Étape 1 - à remplir'!$E$31:$E$400,MASQ2!BV8,'Étape 1 - à remplir'!$P$31:$P$400,CE$3,'Étape 1 - à remplir'!$G$31:$G$400,"lots")),IF(CE$2="Atelier",IF(CE$3="Tous",SUMIFS('Étape 1 - à remplir'!$F$31:$F$400,'Étape 1 - à remplir'!$E$31:$E$400,MASQ2!BV8,'Étape 1 - à remplir'!$G$31:$G$400,"lots"),SUMIFS('Étape 1 - à remplir'!$F$31:$F$400,'Étape 1 - à remplir'!$E$31:$E$400,MASQ2!BV8,'Étape 1 - à remplir'!$O$31:$O$400,CE$3,'Étape 1 - à remplir'!$G$31:$G$400,"lots")),IF(CE$2="Espèce",IF(CE$3="Toutes",SUMIFS('Étape 1 - à remplir'!$F$31:$F$400,'Étape 1 - à remplir'!$E$31:$E$400,MASQ2!BV8,'Étape 1 - à remplir'!$G$31:$G$400,"lots"),SUMIFS('Étape 1 - à remplir'!$F$31:$F$400,'Étape 1 - à remplir'!$E$31:$E$400,MASQ2!BV8,'Étape 1 - à remplir'!$N$31:$N$400,CE$3,'Étape 1 - à remplir'!$G$31:$G$400,"lots")))))))</f>
        <v>#N/A</v>
      </c>
      <c r="BX8">
        <f t="shared" si="42"/>
        <v>0</v>
      </c>
      <c r="BY8" t="str">
        <f t="shared" si="7"/>
        <v>Doxycycline</v>
      </c>
      <c r="BZ8" t="str">
        <f t="shared" si="8"/>
        <v/>
      </c>
      <c r="CA8" t="str">
        <f t="shared" si="9"/>
        <v/>
      </c>
      <c r="CB8" t="str">
        <f t="shared" si="10"/>
        <v>Tetracyclines</v>
      </c>
      <c r="CC8" t="str">
        <f t="shared" si="11"/>
        <v/>
      </c>
      <c r="CD8" s="63" t="str">
        <f t="shared" si="12"/>
        <v/>
      </c>
      <c r="CG8" s="42">
        <v>5</v>
      </c>
      <c r="CH8" s="42" t="e">
        <f t="shared" si="43"/>
        <v>#N/A</v>
      </c>
      <c r="CI8" s="63" t="e">
        <f t="shared" si="44"/>
        <v>#N/A</v>
      </c>
      <c r="CK8" s="194" t="str">
        <f t="shared" si="13"/>
        <v/>
      </c>
      <c r="CL8" s="226" t="str">
        <f>IFERROR(IF(CN8=0,"",COUNTIF(CN$4:CN$64,"&gt;"&amp;CN8)+COUNTIF(CN$4:CN8,CN8)),"")</f>
        <v/>
      </c>
      <c r="CM8" t="str">
        <f t="shared" si="14"/>
        <v>Benzylpénicilline</v>
      </c>
      <c r="CN8" s="76" t="e">
        <f t="shared" si="45"/>
        <v>#N/A</v>
      </c>
      <c r="CO8">
        <v>5</v>
      </c>
      <c r="CP8" t="e">
        <f t="shared" si="46"/>
        <v>#N/A</v>
      </c>
      <c r="CQ8" s="63" t="e">
        <f t="shared" si="47"/>
        <v>#N/A</v>
      </c>
      <c r="CS8" s="194" t="str">
        <f t="shared" si="15"/>
        <v>x</v>
      </c>
      <c r="CT8" s="14" t="str">
        <f>IFERROR(IF(CV8=0,"",COUNTIF(CV$4:CV$19,"&gt;"&amp;CV8)+COUNTIF(CV$4:CV8,CV8)),"")</f>
        <v/>
      </c>
      <c r="CU8" s="230" t="str">
        <f t="shared" si="16"/>
        <v>Cephalosporines 3&amp;4G</v>
      </c>
      <c r="CV8" s="76" t="e">
        <f t="shared" si="48"/>
        <v>#N/A</v>
      </c>
      <c r="CW8">
        <v>5</v>
      </c>
      <c r="CX8" t="e">
        <f t="shared" si="49"/>
        <v>#N/A</v>
      </c>
      <c r="CY8" s="63" t="e">
        <f t="shared" si="50"/>
        <v>#N/A</v>
      </c>
      <c r="DA8" s="36" t="str">
        <f t="shared" si="64"/>
        <v/>
      </c>
      <c r="DB8" s="36" t="str" cm="1">
        <f t="array" ref="DB8">IF($DA$3="Catégorie",IF(SUMIFS('Étape 1 - à remplir'!$F$31:$F$400,'Étape 1 - à remplir'!$C$31:$C$400,$DA8,'Étape 1 - à remplir'!$M$31:$M$400,MASQ2!DB$4)=0,"",SUMIFS('Étape 1 - à remplir'!$F$31:$F$400,'Étape 1 - à remplir'!$C$31:$C$400,$DA8,'Étape 1 - à remplir'!$M$31:$M$400,MASQ2!DB$4)/INDEX('Étape 1 - à remplir'!$C$19:$L$28,MATCH(MASQ2!$DA8,'Étape 1 - à remplir'!$L$19:$L$28,0),4)),INDEX($DB$44:$DM$73,MATCH($DA8,$DA$44:$DA$73,0),DB$4))</f>
        <v/>
      </c>
      <c r="DC8" s="36" t="str" cm="1">
        <f t="array" aca="1" ref="DC8" ca="1">IF($DA$3="Catégorie",IF(SUMIFS('Étape 1 - à remplir'!$F$31:$F$400,'Étape 1 - à remplir'!$C$31:$C$400,$DA8,'Étape 1 - à remplir'!$M$31:$M$400,MASQ2!DC$4)=0,"",SUMIFS('Étape 1 - à remplir'!$F$31:$F$400,'Étape 1 - à remplir'!$C$31:$C$400,$DA8,'Étape 1 - à remplir'!$M$31:$M$400,MASQ2!DC$4)/INDEX('Étape 1 - à remplir'!$C$19:$L$28,MATCH(MASQ2!$DA8,'Étape 1 - à remplir'!$L$19:$L$28,0),4)),INDEX($DB$44:$DM$73,MATCH($DA8,$DA$44:$DA$73,0),DC$4))</f>
        <v/>
      </c>
      <c r="DD8" s="36" t="str" cm="1">
        <f t="array" aca="1" ref="DD8" ca="1">IF($DA$3="Catégorie",IF(SUMIFS('Étape 1 - à remplir'!$F$31:$F$400,'Étape 1 - à remplir'!$C$31:$C$400,$DA8,'Étape 1 - à remplir'!$M$31:$M$400,MASQ2!DD$4)=0,"",SUMIFS('Étape 1 - à remplir'!$F$31:$F$400,'Étape 1 - à remplir'!$C$31:$C$400,$DA8,'Étape 1 - à remplir'!$M$31:$M$400,MASQ2!DD$4)/INDEX('Étape 1 - à remplir'!$C$19:$L$28,MATCH(MASQ2!$DA8,'Étape 1 - à remplir'!$L$19:$L$28,0),4)),INDEX($DB$44:$DM$73,MATCH($DA8,$DA$44:$DA$73,0),DD$4))</f>
        <v/>
      </c>
      <c r="DE8" s="36" t="str" cm="1">
        <f t="array" aca="1" ref="DE8" ca="1">IF($DA$3="Catégorie",IF(SUMIFS('Étape 1 - à remplir'!$F$31:$F$400,'Étape 1 - à remplir'!$C$31:$C$400,$DA8,'Étape 1 - à remplir'!$M$31:$M$400,MASQ2!DE$4)=0,"",SUMIFS('Étape 1 - à remplir'!$F$31:$F$400,'Étape 1 - à remplir'!$C$31:$C$400,$DA8,'Étape 1 - à remplir'!$M$31:$M$400,MASQ2!DE$4)/INDEX('Étape 1 - à remplir'!$C$19:$L$28,MATCH(MASQ2!$DA8,'Étape 1 - à remplir'!$L$19:$L$28,0),4)),INDEX($DB$44:$DM$73,MATCH($DA8,$DA$44:$DA$73,0),DE$4))</f>
        <v/>
      </c>
      <c r="DF8" s="36" t="str" cm="1">
        <f t="array" aca="1" ref="DF8" ca="1">IF($DA$3="Catégorie",IF(SUMIFS('Étape 1 - à remplir'!$F$31:$F$400,'Étape 1 - à remplir'!$C$31:$C$400,$DA8,'Étape 1 - à remplir'!$M$31:$M$400,MASQ2!DF$4)=0,"",SUMIFS('Étape 1 - à remplir'!$F$31:$F$400,'Étape 1 - à remplir'!$C$31:$C$400,$DA8,'Étape 1 - à remplir'!$M$31:$M$400,MASQ2!DF$4)/INDEX('Étape 1 - à remplir'!$C$19:$L$28,MATCH(MASQ2!$DA8,'Étape 1 - à remplir'!$L$19:$L$28,0),4)),INDEX($DB$44:$DM$73,MATCH($DA8,$DA$44:$DA$73,0),DF$4))</f>
        <v/>
      </c>
      <c r="DG8" s="36" t="str" cm="1">
        <f t="array" aca="1" ref="DG8" ca="1">IF($DA$3="Catégorie",IF(SUMIFS('Étape 1 - à remplir'!$F$31:$F$400,'Étape 1 - à remplir'!$C$31:$C$400,$DA8,'Étape 1 - à remplir'!$M$31:$M$400,MASQ2!DG$4)=0,"",SUMIFS('Étape 1 - à remplir'!$F$31:$F$400,'Étape 1 - à remplir'!$C$31:$C$400,$DA8,'Étape 1 - à remplir'!$M$31:$M$400,MASQ2!DG$4)/INDEX('Étape 1 - à remplir'!$C$19:$L$28,MATCH(MASQ2!$DA8,'Étape 1 - à remplir'!$L$19:$L$28,0),4)),INDEX($DB$44:$DM$73,MATCH($DA8,$DA$44:$DA$73,0),DG$4))</f>
        <v/>
      </c>
      <c r="DH8" s="36" t="str" cm="1">
        <f t="array" aca="1" ref="DH8" ca="1">IF($DA$3="Catégorie",IF(SUMIFS('Étape 1 - à remplir'!$F$31:$F$400,'Étape 1 - à remplir'!$C$31:$C$400,$DA8,'Étape 1 - à remplir'!$M$31:$M$400,MASQ2!DH$4)=0,"",SUMIFS('Étape 1 - à remplir'!$F$31:$F$400,'Étape 1 - à remplir'!$C$31:$C$400,$DA8,'Étape 1 - à remplir'!$M$31:$M$400,MASQ2!DH$4)/INDEX('Étape 1 - à remplir'!$C$19:$L$28,MATCH(MASQ2!$DA8,'Étape 1 - à remplir'!$L$19:$L$28,0),4)),INDEX($DB$44:$DM$73,MATCH($DA8,$DA$44:$DA$73,0),DH$4))</f>
        <v/>
      </c>
      <c r="DI8" s="36" t="str" cm="1">
        <f t="array" aca="1" ref="DI8" ca="1">IF($DA$3="Catégorie",IF(SUMIFS('Étape 1 - à remplir'!$F$31:$F$400,'Étape 1 - à remplir'!$C$31:$C$400,$DA8,'Étape 1 - à remplir'!$M$31:$M$400,MASQ2!DI$4)=0,"",SUMIFS('Étape 1 - à remplir'!$F$31:$F$400,'Étape 1 - à remplir'!$C$31:$C$400,$DA8,'Étape 1 - à remplir'!$M$31:$M$400,MASQ2!DI$4)/INDEX('Étape 1 - à remplir'!$C$19:$L$28,MATCH(MASQ2!$DA8,'Étape 1 - à remplir'!$L$19:$L$28,0),4)),INDEX($DB$44:$DM$73,MATCH($DA8,$DA$44:$DA$73,0),DI$4))</f>
        <v/>
      </c>
      <c r="DJ8" s="36" t="str" cm="1">
        <f t="array" aca="1" ref="DJ8" ca="1">IF($DA$3="Catégorie",IF(SUMIFS('Étape 1 - à remplir'!$F$31:$F$400,'Étape 1 - à remplir'!$C$31:$C$400,$DA8,'Étape 1 - à remplir'!$M$31:$M$400,MASQ2!DJ$4)=0,"",SUMIFS('Étape 1 - à remplir'!$F$31:$F$400,'Étape 1 - à remplir'!$C$31:$C$400,$DA8,'Étape 1 - à remplir'!$M$31:$M$400,MASQ2!DJ$4)/INDEX('Étape 1 - à remplir'!$C$19:$L$28,MATCH(MASQ2!$DA8,'Étape 1 - à remplir'!$L$19:$L$28,0),4)),INDEX($DB$44:$DM$73,MATCH($DA8,$DA$44:$DA$73,0),DJ$4))</f>
        <v/>
      </c>
      <c r="DK8" s="36" t="str" cm="1">
        <f t="array" aca="1" ref="DK8" ca="1">IF($DA$3="Catégorie",IF(SUMIFS('Étape 1 - à remplir'!$F$31:$F$400,'Étape 1 - à remplir'!$C$31:$C$400,$DA8,'Étape 1 - à remplir'!$M$31:$M$400,MASQ2!DK$4)=0,"",SUMIFS('Étape 1 - à remplir'!$F$31:$F$400,'Étape 1 - à remplir'!$C$31:$C$400,$DA8,'Étape 1 - à remplir'!$M$31:$M$400,MASQ2!DK$4)/INDEX('Étape 1 - à remplir'!$C$19:$L$28,MATCH(MASQ2!$DA8,'Étape 1 - à remplir'!$L$19:$L$28,0),4)),INDEX($DB$44:$DM$73,MATCH($DA8,$DA$44:$DA$73,0),DK$4))</f>
        <v/>
      </c>
      <c r="DL8" s="36" t="str" cm="1">
        <f t="array" aca="1" ref="DL8" ca="1">IF($DA$3="Catégorie",IF(SUMIFS('Étape 1 - à remplir'!$F$31:$F$400,'Étape 1 - à remplir'!$C$31:$C$400,$DA8,'Étape 1 - à remplir'!$M$31:$M$400,MASQ2!DL$4)=0,"",SUMIFS('Étape 1 - à remplir'!$F$31:$F$400,'Étape 1 - à remplir'!$C$31:$C$400,$DA8,'Étape 1 - à remplir'!$M$31:$M$400,MASQ2!DL$4)/INDEX('Étape 1 - à remplir'!$C$19:$L$28,MATCH(MASQ2!$DA8,'Étape 1 - à remplir'!$L$19:$L$28,0),4)),INDEX($DB$44:$DM$73,MATCH($DA8,$DA$44:$DA$73,0),DL$4))</f>
        <v/>
      </c>
      <c r="DM8" s="36" t="str" cm="1">
        <f t="array" aca="1" ref="DM8" ca="1">IF($DA$3="Catégorie",IF(SUMIFS('Étape 1 - à remplir'!$F$31:$F$400,'Étape 1 - à remplir'!$C$31:$C$400,$DA8,'Étape 1 - à remplir'!$M$31:$M$400,MASQ2!DM$4)=0,"",SUMIFS('Étape 1 - à remplir'!$F$31:$F$400,'Étape 1 - à remplir'!$C$31:$C$400,$DA8,'Étape 1 - à remplir'!$M$31:$M$400,MASQ2!DM$4)/INDEX('Étape 1 - à remplir'!$C$19:$L$28,MATCH(MASQ2!$DA8,'Étape 1 - à remplir'!$L$19:$L$28,0),4)),INDEX($DB$44:$DM$73,MATCH($DA8,$DA$44:$DA$73,0),DM$4))</f>
        <v/>
      </c>
      <c r="DO8" s="42" t="e">
        <f>IF(DR8="","",COUNTIF(DR$4:DR$13,"&gt;"&amp;DR8)+COUNTIF(DR$4:DR8,DR8))</f>
        <v>#N/A</v>
      </c>
      <c r="DP8" t="str">
        <f>'Étape 1 - à remplir'!L23</f>
        <v/>
      </c>
      <c r="DQ8" t="e">
        <f>IF(INDEX('Étape 1 - à remplir'!G$19:L$28,MATCH(DP8,'Étape 1 - à remplir'!L$19:L$28,0),1)="kg",SUMIF('Étape 1 - à remplir'!C$31:C$400,DP8,'Étape 1 - à remplir'!F$31:F$400),NA())</f>
        <v>#N/A</v>
      </c>
      <c r="DR8" s="63" t="e">
        <f>DQ8/INDEX('Étape 1 - à remplir'!F$19:L$28,MATCH(DP8,'Étape 1 - à remplir'!L$19:L$28,0),1)</f>
        <v>#N/A</v>
      </c>
      <c r="DT8" s="42" t="e">
        <f>IF(DV8="","",COUNTIF(DV$4:DV$23,"&gt;"&amp;DV8)+COUNTIF(DV$4:DV8,DV8))</f>
        <v>#N/A</v>
      </c>
      <c r="DU8" t="str">
        <f t="shared" si="17"/>
        <v>Infections de l’œil (conjonctivites)</v>
      </c>
      <c r="DV8" s="63" t="e">
        <f>IF(IF(EL$2="Catégorie",IF(EL$3="Toutes",SUMIFS('Étape 1 - à remplir'!$F$31:$F$400,'Étape 1 - à remplir'!$D$31:$D$400,MASQ2!DU8,'Étape 1 - à remplir'!$G$31:$G$400,"kg"),SUMIFS('Étape 1 - à remplir'!$F$31:$F$400,'Étape 1 - à remplir'!$D$31:$D$400,MASQ2!DU8,'Étape 1 - à remplir'!$C$31:$C$400,EL$3,'Étape 1 - à remplir'!$G$31:$G$400,"kg")),IF(EL$2="Âge",IF(EL$3="Tous",SUMIFS('Étape 1 - à remplir'!$F$31:$F$400,'Étape 1 - à remplir'!$D$31:$D$400,MASQ2!DU8,'Étape 1 - à remplir'!$G$31:$G$400,"kg"),SUMIFS('Étape 1 - à remplir'!$F$31:$F$400,'Étape 1 - à remplir'!$D$31:$D$400,MASQ2!DU8,'Étape 1 - à remplir'!$P$31:$P$400,EL$3,'Étape 1 - à remplir'!$G$31:$G$400,"kg")),IF(EL$2="Atelier",IF(EL$3="Tous",SUMIFS('Étape 1 - à remplir'!$F$31:$F$400,'Étape 1 - à remplir'!$D$31:$D$400,MASQ2!DU8,'Étape 1 - à remplir'!$G$31:$G$400,"kg"),SUMIFS('Étape 1 - à remplir'!$F$31:$F$400,'Étape 1 - à remplir'!$D$31:$D$400,MASQ2!DU8,'Étape 1 - à remplir'!$O$31:$O$400,EL$3,'Étape 1 - à remplir'!$G$31:$G$400,"kg")),IF(EL$2="Espèce",IF(EL$3="Toutes",SUMIFS('Étape 1 - à remplir'!$F$31:$F$400,'Étape 1 - à remplir'!$D$31:$D$400,MASQ2!DU8,'Étape 1 - à remplir'!$G$31:$G$400,"kg"),SUMIFS('Étape 1 - à remplir'!$F$31:$F$400,'Étape 1 - à remplir'!$D$31:$D$400,MASQ2!DU8,'Étape 1 - à remplir'!$N$31:$N$400,EL$3,'Étape 1 - à remplir'!$G$31:$G$400,"kg"))))))=0,NA(),IF(EL$2="Catégorie",IF(EL$3="Toutes",SUMIFS('Étape 1 - à remplir'!$F$31:$F$400,'Étape 1 - à remplir'!$D$31:$D$400,MASQ2!DU8,'Étape 1 - à remplir'!$G$31:$G$400,"kg"),SUMIFS('Étape 1 - à remplir'!$F$31:$F$400,'Étape 1 - à remplir'!$D$31:$D$400,MASQ2!DU8,'Étape 1 - à remplir'!$C$31:$C$400,EL$3,'Étape 1 - à remplir'!$G$31:$G$400,"kg")),IF(EL$2="Âge",IF(EL$3="Tous",SUMIFS('Étape 1 - à remplir'!$F$31:$F$400,'Étape 1 - à remplir'!$D$31:$D$400,MASQ2!DU8,'Étape 1 - à remplir'!$G$31:$G$400,"kg"),SUMIFS('Étape 1 - à remplir'!$F$31:$F$400,'Étape 1 - à remplir'!$D$31:$D$400,MASQ2!DU8,'Étape 1 - à remplir'!$P$31:$P$400,EL$3,'Étape 1 - à remplir'!$G$31:$G$400,"kg")),IF(EL$2="Atelier",IF(EL$3="Tous",SUMIFS('Étape 1 - à remplir'!$F$31:$F$400,'Étape 1 - à remplir'!$D$31:$D$400,MASQ2!DU8,'Étape 1 - à remplir'!$G$31:$G$400,"kg"),SUMIFS('Étape 1 - à remplir'!$F$31:$F$400,'Étape 1 - à remplir'!$D$31:$D$400,MASQ2!DU8,'Étape 1 - à remplir'!$O$31:$O$400,EL$3,'Étape 1 - à remplir'!$G$31:$G$400,"kg")),IF(EL$2="Espèce",IF(EL$3="Toutes",SUMIFS('Étape 1 - à remplir'!$F$31:$F$400,'Étape 1 - à remplir'!$D$31:$D$400,MASQ2!DU8,'Étape 1 - à remplir'!$G$31:$G$400,"kg"),SUMIFS('Étape 1 - à remplir'!$F$31:$F$400,'Étape 1 - à remplir'!$D$31:$D$400,MASQ2!DU8,'Étape 1 - à remplir'!$N$31:$N$400,EL$3,'Étape 1 - à remplir'!$G$31:$G$400,"kg")))))))</f>
        <v>#N/A</v>
      </c>
      <c r="DW8" s="42">
        <v>5</v>
      </c>
      <c r="DX8" t="e">
        <f t="shared" si="51"/>
        <v>#N/A</v>
      </c>
      <c r="DY8" s="63" t="e">
        <f t="shared" si="52"/>
        <v>#N/A</v>
      </c>
      <c r="EA8" s="194" t="str">
        <f t="shared" ca="1" si="18"/>
        <v/>
      </c>
      <c r="EB8" s="226" t="str">
        <f>IFERROR(IF(ED8=0,"",COUNTIF(ED$4:ED$600,"&gt;"&amp;ED8)+COUNTIF(ED$4:ED8,ED8)),"")</f>
        <v/>
      </c>
      <c r="EC8" t="str">
        <f t="shared" si="19"/>
        <v>ACTI DOXY 5</v>
      </c>
      <c r="ED8" t="e">
        <f>IF(IF(EL$2="Catégorie",IF(EL$3="Toutes",SUMIFS('Étape 1 - à remplir'!$F$31:$F$400,'Étape 1 - à remplir'!$E$31:$E$400,MASQ2!EC8,'Étape 1 - à remplir'!$G$31:$G$400,"kg"),SUMIFS('Étape 1 - à remplir'!$F$31:$F$400,'Étape 1 - à remplir'!$E$31:$E$400,MASQ2!EC8,'Étape 1 - à remplir'!$C$31:$C$400,EL$3)),IF(EL$2="Âge",IF(EL$3="Tous",SUMIFS('Étape 1 - à remplir'!$F$31:$F$400,'Étape 1 - à remplir'!$E$31:$E$400,MASQ2!EC8,'Étape 1 - à remplir'!$G$31:$G$400,"kg"),SUMIFS('Étape 1 - à remplir'!$F$31:$F$400,'Étape 1 - à remplir'!$E$31:$E$400,MASQ2!EC8,'Étape 1 - à remplir'!$P$31:$P$400,EL$3,'Étape 1 - à remplir'!$G$31:$G$400,"kg")),IF(EL$2="Atelier",IF(EL$3="Tous",SUMIFS('Étape 1 - à remplir'!$F$31:$F$400,'Étape 1 - à remplir'!$E$31:$E$400,MASQ2!EC8,'Étape 1 - à remplir'!$G$31:$G$400,"kg"),SUMIFS('Étape 1 - à remplir'!$F$31:$F$400,'Étape 1 - à remplir'!$E$31:$E$400,MASQ2!EC8,'Étape 1 - à remplir'!$O$31:$O$400,EL$3,'Étape 1 - à remplir'!$G$31:$G$400,"kg")),IF(EL$2="Espèce",IF(EL$3="Toutes",SUMIFS('Étape 1 - à remplir'!$F$31:$F$400,'Étape 1 - à remplir'!$E$31:$E$400,MASQ2!EC8,'Étape 1 - à remplir'!$G$31:$G$400,"kg"),SUMIFS('Étape 1 - à remplir'!$F$31:$F$400,'Étape 1 - à remplir'!$E$31:$E$400,MASQ2!EC8,'Étape 1 - à remplir'!$N$31:$N$400,EL$3,'Étape 1 - à remplir'!$G$31:$G$400,"kg"))))))=0,NA(),IF(EL$2="Catégorie",IF(EL$3="Toutes",SUMIFS('Étape 1 - à remplir'!$F$31:$F$400,'Étape 1 - à remplir'!$E$31:$E$400,MASQ2!EC8,'Étape 1 - à remplir'!$G$31:$G$400,"kg"),SUMIFS('Étape 1 - à remplir'!$F$31:$F$400,'Étape 1 - à remplir'!$E$31:$E$400,MASQ2!EC8,'Étape 1 - à remplir'!$C$31:$C$400,EL$3)),IF(EL$2="Âge",IF(EL$3="Tous",SUMIFS('Étape 1 - à remplir'!$F$31:$F$400,'Étape 1 - à remplir'!$E$31:$E$400,MASQ2!EC8,'Étape 1 - à remplir'!$G$31:$G$400,"kg"),SUMIFS('Étape 1 - à remplir'!$F$31:$F$400,'Étape 1 - à remplir'!$E$31:$E$400,MASQ2!EC8,'Étape 1 - à remplir'!$P$31:$P$400,EL$3,'Étape 1 - à remplir'!$G$31:$G$400,"kg")),IF(EL$2="Atelier",IF(EL$3="Tous",SUMIFS('Étape 1 - à remplir'!$F$31:$F$400,'Étape 1 - à remplir'!$E$31:$E$400,MASQ2!EC8,'Étape 1 - à remplir'!$G$31:$G$400,"kg"),SUMIFS('Étape 1 - à remplir'!$F$31:$F$400,'Étape 1 - à remplir'!$E$31:$E$400,MASQ2!EC8,'Étape 1 - à remplir'!$O$31:$O$400,EL$3,'Étape 1 - à remplir'!$G$31:$G$400,"kg")),IF(EL$2="Espèce",IF(EL$3="Toutes",SUMIFS('Étape 1 - à remplir'!$F$31:$F$400,'Étape 1 - à remplir'!$E$31:$E$400,MASQ2!EC8,'Étape 1 - à remplir'!$G$31:$G$400,"kg"),SUMIFS('Étape 1 - à remplir'!$F$31:$F$400,'Étape 1 - à remplir'!$E$31:$E$400,MASQ2!EC8,'Étape 1 - à remplir'!$N$31:$N$400,EL$3,'Étape 1 - à remplir'!$G$31:$G$400,"kg")))))))</f>
        <v>#N/A</v>
      </c>
      <c r="EE8" s="76">
        <f t="shared" si="53"/>
        <v>0</v>
      </c>
      <c r="EF8" t="str">
        <f t="shared" si="20"/>
        <v>Doxycycline</v>
      </c>
      <c r="EG8" t="str">
        <f t="shared" si="21"/>
        <v/>
      </c>
      <c r="EH8" t="str">
        <f t="shared" si="22"/>
        <v/>
      </c>
      <c r="EI8" t="str">
        <f t="shared" si="23"/>
        <v>Tetracyclines</v>
      </c>
      <c r="EJ8" t="str">
        <f t="shared" si="24"/>
        <v/>
      </c>
      <c r="EK8" s="63" t="str">
        <f t="shared" si="25"/>
        <v/>
      </c>
      <c r="EN8" s="42">
        <v>5</v>
      </c>
      <c r="EO8" t="e">
        <f t="shared" si="54"/>
        <v>#N/A</v>
      </c>
      <c r="EP8" s="63" t="e">
        <f t="shared" si="55"/>
        <v>#N/A</v>
      </c>
      <c r="ER8" s="194" t="str">
        <f t="shared" si="26"/>
        <v/>
      </c>
      <c r="ES8" s="226" t="str">
        <f>IFERROR(IF(EU8=0,"",COUNTIF(EU$4:EU$64,"&gt;"&amp;EU8)+COUNTIF(EU$4:EU8,EU8)),"")</f>
        <v/>
      </c>
      <c r="ET8" t="str">
        <f t="shared" si="27"/>
        <v>Benzylpénicilline</v>
      </c>
      <c r="EU8" s="76" t="e">
        <f t="shared" si="56"/>
        <v>#N/A</v>
      </c>
      <c r="EV8">
        <v>5</v>
      </c>
      <c r="EW8" t="e">
        <f t="shared" si="57"/>
        <v>#N/A</v>
      </c>
      <c r="EX8" s="63" t="e">
        <f t="shared" si="58"/>
        <v>#N/A</v>
      </c>
      <c r="EZ8" s="194" t="str">
        <f t="shared" si="28"/>
        <v>x</v>
      </c>
      <c r="FA8" s="226" t="str">
        <f>IFERROR(IF(FC8=0,"",COUNTIF(FC$4:FC$19,"&gt;"&amp;FC8)+COUNTIF(FC$4:FC8,FC8)),"")</f>
        <v/>
      </c>
      <c r="FB8" t="str">
        <f t="shared" si="29"/>
        <v>Cephalosporines 3&amp;4G</v>
      </c>
      <c r="FC8" s="76" t="e">
        <f t="shared" si="59"/>
        <v>#N/A</v>
      </c>
      <c r="FD8">
        <v>5</v>
      </c>
      <c r="FE8" t="e">
        <f t="shared" si="60"/>
        <v>#N/A</v>
      </c>
      <c r="FF8" s="63" t="e">
        <f t="shared" si="61"/>
        <v>#N/A</v>
      </c>
      <c r="FH8" s="36" t="str">
        <f t="shared" si="65"/>
        <v/>
      </c>
      <c r="FI8" s="35" t="str" cm="1">
        <f t="array" ref="FI8">IF($FH$3="Catégorie",IF(SUMIFS('Étape 1 - à remplir'!$F$31:$F$400,'Étape 1 - à remplir'!$C$31:$C$400,$FH8,'Étape 1 - à remplir'!$M$31:$M$400,MASQ2!FI$4)=0,"",SUMIFS('Étape 1 - à remplir'!$F$31:$F$400,'Étape 1 - à remplir'!$C$31:$C$400,$FH8,'Étape 1 - à remplir'!$M$31:$M$400,MASQ2!FI$4)/INDEX('Étape 1 - à remplir'!$C$19:$L$28,MATCH(MASQ2!$FH8,'Étape 1 - à remplir'!$L$19:$L$28,0),4)),INDEX($FI$44:$FT$73,MATCH($FH8,$FH$44:$FH$73,0),FI$4))</f>
        <v/>
      </c>
      <c r="FJ8" s="35" t="str" cm="1">
        <f t="array" aca="1" ref="FJ8" ca="1">IF($FH$3="Catégorie",IF(SUMIFS('Étape 1 - à remplir'!$F$31:$F$400,'Étape 1 - à remplir'!$C$31:$C$400,$FH8,'Étape 1 - à remplir'!$M$31:$M$400,MASQ2!FJ$4)=0,"",SUMIFS('Étape 1 - à remplir'!$F$31:$F$400,'Étape 1 - à remplir'!$C$31:$C$400,$FH8,'Étape 1 - à remplir'!$M$31:$M$400,MASQ2!FJ$4)/INDEX('Étape 1 - à remplir'!$C$19:$L$28,MATCH(MASQ2!$FH8,'Étape 1 - à remplir'!$L$19:$L$28,0),4)),INDEX($FI$44:$FT$73,MATCH($FH8,$FH$44:$FH$73,0),FJ$4))</f>
        <v/>
      </c>
      <c r="FK8" s="35" t="str" cm="1">
        <f t="array" aca="1" ref="FK8" ca="1">IF($FH$3="Catégorie",IF(SUMIFS('Étape 1 - à remplir'!$F$31:$F$400,'Étape 1 - à remplir'!$C$31:$C$400,$FH8,'Étape 1 - à remplir'!$M$31:$M$400,MASQ2!FK$4)=0,"",SUMIFS('Étape 1 - à remplir'!$F$31:$F$400,'Étape 1 - à remplir'!$C$31:$C$400,$FH8,'Étape 1 - à remplir'!$M$31:$M$400,MASQ2!FK$4)/INDEX('Étape 1 - à remplir'!$C$19:$L$28,MATCH(MASQ2!$FH8,'Étape 1 - à remplir'!$L$19:$L$28,0),4)),INDEX($FI$44:$FT$73,MATCH($FH8,$FH$44:$FH$73,0),FK$4))</f>
        <v/>
      </c>
      <c r="FL8" s="35" t="str" cm="1">
        <f t="array" aca="1" ref="FL8" ca="1">IF($FH$3="Catégorie",IF(SUMIFS('Étape 1 - à remplir'!$F$31:$F$400,'Étape 1 - à remplir'!$C$31:$C$400,$FH8,'Étape 1 - à remplir'!$M$31:$M$400,MASQ2!FL$4)=0,"",SUMIFS('Étape 1 - à remplir'!$F$31:$F$400,'Étape 1 - à remplir'!$C$31:$C$400,$FH8,'Étape 1 - à remplir'!$M$31:$M$400,MASQ2!FL$4)/INDEX('Étape 1 - à remplir'!$C$19:$L$28,MATCH(MASQ2!$FH8,'Étape 1 - à remplir'!$L$19:$L$28,0),4)),INDEX($FI$44:$FT$73,MATCH($FH8,$FH$44:$FH$73,0),FL$4))</f>
        <v/>
      </c>
      <c r="FM8" s="35" t="str" cm="1">
        <f t="array" aca="1" ref="FM8" ca="1">IF($FH$3="Catégorie",IF(SUMIFS('Étape 1 - à remplir'!$F$31:$F$400,'Étape 1 - à remplir'!$C$31:$C$400,$FH8,'Étape 1 - à remplir'!$M$31:$M$400,MASQ2!FM$4)=0,"",SUMIFS('Étape 1 - à remplir'!$F$31:$F$400,'Étape 1 - à remplir'!$C$31:$C$400,$FH8,'Étape 1 - à remplir'!$M$31:$M$400,MASQ2!FM$4)/INDEX('Étape 1 - à remplir'!$C$19:$L$28,MATCH(MASQ2!$FH8,'Étape 1 - à remplir'!$L$19:$L$28,0),4)),INDEX($FI$44:$FT$73,MATCH($FH8,$FH$44:$FH$73,0),FM$4))</f>
        <v/>
      </c>
      <c r="FN8" s="35" t="str" cm="1">
        <f t="array" aca="1" ref="FN8" ca="1">IF($FH$3="Catégorie",IF(SUMIFS('Étape 1 - à remplir'!$F$31:$F$400,'Étape 1 - à remplir'!$C$31:$C$400,$FH8,'Étape 1 - à remplir'!$M$31:$M$400,MASQ2!FN$4)=0,"",SUMIFS('Étape 1 - à remplir'!$F$31:$F$400,'Étape 1 - à remplir'!$C$31:$C$400,$FH8,'Étape 1 - à remplir'!$M$31:$M$400,MASQ2!FN$4)/INDEX('Étape 1 - à remplir'!$C$19:$L$28,MATCH(MASQ2!$FH8,'Étape 1 - à remplir'!$L$19:$L$28,0),4)),INDEX($FI$44:$FT$73,MATCH($FH8,$FH$44:$FH$73,0),FN$4))</f>
        <v/>
      </c>
      <c r="FO8" s="35" t="str" cm="1">
        <f t="array" aca="1" ref="FO8" ca="1">IF($FH$3="Catégorie",IF(SUMIFS('Étape 1 - à remplir'!$F$31:$F$400,'Étape 1 - à remplir'!$C$31:$C$400,$FH8,'Étape 1 - à remplir'!$M$31:$M$400,MASQ2!FO$4)=0,"",SUMIFS('Étape 1 - à remplir'!$F$31:$F$400,'Étape 1 - à remplir'!$C$31:$C$400,$FH8,'Étape 1 - à remplir'!$M$31:$M$400,MASQ2!FO$4)/INDEX('Étape 1 - à remplir'!$C$19:$L$28,MATCH(MASQ2!$FH8,'Étape 1 - à remplir'!$L$19:$L$28,0),4)),INDEX($FI$44:$FT$73,MATCH($FH8,$FH$44:$FH$73,0),FO$4))</f>
        <v/>
      </c>
      <c r="FP8" s="35" t="str" cm="1">
        <f t="array" aca="1" ref="FP8" ca="1">IF($FH$3="Catégorie",IF(SUMIFS('Étape 1 - à remplir'!$F$31:$F$400,'Étape 1 - à remplir'!$C$31:$C$400,$FH8,'Étape 1 - à remplir'!$M$31:$M$400,MASQ2!FP$4)=0,"",SUMIFS('Étape 1 - à remplir'!$F$31:$F$400,'Étape 1 - à remplir'!$C$31:$C$400,$FH8,'Étape 1 - à remplir'!$M$31:$M$400,MASQ2!FP$4)/INDEX('Étape 1 - à remplir'!$C$19:$L$28,MATCH(MASQ2!$FH8,'Étape 1 - à remplir'!$L$19:$L$28,0),4)),INDEX($FI$44:$FT$73,MATCH($FH8,$FH$44:$FH$73,0),FP$4))</f>
        <v/>
      </c>
      <c r="FQ8" s="35" t="str" cm="1">
        <f t="array" aca="1" ref="FQ8" ca="1">IF($FH$3="Catégorie",IF(SUMIFS('Étape 1 - à remplir'!$F$31:$F$400,'Étape 1 - à remplir'!$C$31:$C$400,$FH8,'Étape 1 - à remplir'!$M$31:$M$400,MASQ2!FQ$4)=0,"",SUMIFS('Étape 1 - à remplir'!$F$31:$F$400,'Étape 1 - à remplir'!$C$31:$C$400,$FH8,'Étape 1 - à remplir'!$M$31:$M$400,MASQ2!FQ$4)/INDEX('Étape 1 - à remplir'!$C$19:$L$28,MATCH(MASQ2!$FH8,'Étape 1 - à remplir'!$L$19:$L$28,0),4)),INDEX($FI$44:$FT$73,MATCH($FH8,$FH$44:$FH$73,0),FQ$4))</f>
        <v/>
      </c>
      <c r="FR8" s="35" t="str" cm="1">
        <f t="array" aca="1" ref="FR8" ca="1">IF($FH$3="Catégorie",IF(SUMIFS('Étape 1 - à remplir'!$F$31:$F$400,'Étape 1 - à remplir'!$C$31:$C$400,$FH8,'Étape 1 - à remplir'!$M$31:$M$400,MASQ2!FR$4)=0,"",SUMIFS('Étape 1 - à remplir'!$F$31:$F$400,'Étape 1 - à remplir'!$C$31:$C$400,$FH8,'Étape 1 - à remplir'!$M$31:$M$400,MASQ2!FR$4)/INDEX('Étape 1 - à remplir'!$C$19:$L$28,MATCH(MASQ2!$FH8,'Étape 1 - à remplir'!$L$19:$L$28,0),4)),INDEX($FI$44:$FT$73,MATCH($FH8,$FH$44:$FH$73,0),FR$4))</f>
        <v/>
      </c>
      <c r="FS8" s="35" t="str" cm="1">
        <f t="array" aca="1" ref="FS8" ca="1">IF($FH$3="Catégorie",IF(SUMIFS('Étape 1 - à remplir'!$F$31:$F$400,'Étape 1 - à remplir'!$C$31:$C$400,$FH8,'Étape 1 - à remplir'!$M$31:$M$400,MASQ2!FS$4)=0,"",SUMIFS('Étape 1 - à remplir'!$F$31:$F$400,'Étape 1 - à remplir'!$C$31:$C$400,$FH8,'Étape 1 - à remplir'!$M$31:$M$400,MASQ2!FS$4)/INDEX('Étape 1 - à remplir'!$C$19:$L$28,MATCH(MASQ2!$FH8,'Étape 1 - à remplir'!$L$19:$L$28,0),4)),INDEX($FI$44:$FT$73,MATCH($FH8,$FH$44:$FH$73,0),FS$4))</f>
        <v/>
      </c>
      <c r="FT8" s="35" t="str" cm="1">
        <f t="array" aca="1" ref="FT8" ca="1">IF($FH$3="Catégorie",IF(SUMIFS('Étape 1 - à remplir'!$F$31:$F$400,'Étape 1 - à remplir'!$C$31:$C$400,$FH8,'Étape 1 - à remplir'!$M$31:$M$400,MASQ2!FT$4)=0,"",SUMIFS('Étape 1 - à remplir'!$F$31:$F$400,'Étape 1 - à remplir'!$C$31:$C$400,$FH8,'Étape 1 - à remplir'!$M$31:$M$400,MASQ2!FT$4)/INDEX('Étape 1 - à remplir'!$C$19:$L$28,MATCH(MASQ2!$FH8,'Étape 1 - à remplir'!$L$19:$L$28,0),4)),INDEX($FI$44:$FT$73,MATCH($FH8,$FH$44:$FH$73,0),FT$4))</f>
        <v/>
      </c>
    </row>
    <row r="9" spans="1:176" x14ac:dyDescent="0.3">
      <c r="A9" s="42" t="str">
        <f>IF(D9="","",COUNTIF(D$4:D$13,"&gt;"&amp;D9)+COUNTIF(D$4:D9,D9))</f>
        <v/>
      </c>
      <c r="B9" t="str">
        <f>IF('Étape 1 - à remplir'!L24="","",'Étape 1 - à remplir'!L24)</f>
        <v/>
      </c>
      <c r="C9" t="str">
        <f>IFERROR(IF(INDEX('Étape 1 - à remplir'!G$19:L$28,MATCH(MASQ2!B9,'Étape 1 - à remplir'!L$19:L$28,0),1)="animaux",SUMIF('Étape 1 - à remplir'!C$31:C$400,MASQ2!B9,'Étape 1 - à remplir'!F$31:F$400),NA()),"")</f>
        <v/>
      </c>
      <c r="D9" s="63" t="str">
        <f>IFERROR(C9/INDEX('Étape 1 - à remplir'!F$19:L$28,MATCH(MASQ2!B9,'Étape 1 - à remplir'!L$19:L$28,0),1),"")</f>
        <v/>
      </c>
      <c r="E9" t="str">
        <f>IF(D9="","",COUNTIF(D$4:D$13,"&gt;"&amp;D9)+COUNTIF(D$4:D9,D9))</f>
        <v/>
      </c>
      <c r="F9" s="118" t="str">
        <f>IFERROR(IF(H9="","",COUNTIF(H$4:H$23,"&gt;"&amp;H9)+COUNTIF(H$4:H9,H9)),"")</f>
        <v/>
      </c>
      <c r="G9" t="str">
        <f>Données_ATB!CG8</f>
        <v>Infections de la mamelle (mammite)</v>
      </c>
      <c r="H9" s="76" t="e">
        <f>IF(IF(X$2="Catégorie",IF(X$3="Toutes",SUMIFS('Étape 1 - à remplir'!F$31:F$400,'Étape 1 - à remplir'!D$31:D$400,MASQ2!G9,'Étape 1 - à remplir'!G$31:G$400,"animaux"),SUMIFS('Étape 1 - à remplir'!F$31:F$400,'Étape 1 - à remplir'!D$31:D$400,MASQ2!G9,'Étape 1 - à remplir'!C$31:C$400,X$3)),IF(X$2="Âge",IF(X$3="Tous",SUMIFS('Étape 1 - à remplir'!F$31:F$400,'Étape 1 - à remplir'!D$31:D$400,MASQ2!G9,'Étape 1 - à remplir'!G$31:G$400,"animaux"),SUMIFS('Étape 1 - à remplir'!F$31:F$400,'Étape 1 - à remplir'!D$31:D$400,MASQ2!G9,'Étape 1 - à remplir'!P$31:P$400,X$3)),IF(X$2="Atelier",IF(X$3="Tous",SUMIFS('Étape 1 - à remplir'!F$31:F$400,'Étape 1 - à remplir'!D$31:D$400,MASQ2!G9,'Étape 1 - à remplir'!G$31:G$400,"animaux"),SUMIFS('Étape 1 - à remplir'!F$31:F$400,'Étape 1 - à remplir'!D$31:D$400,MASQ2!G9,'Étape 1 - à remplir'!O$31:O$400,X$3)),IF(X$2="Espèce",IF(X$3="Toutes",SUMIFS('Étape 1 - à remplir'!F$31:F$400,'Étape 1 - à remplir'!D$31:D$400,MASQ2!G9,'Étape 1 - à remplir'!G$31:G$400,"animaux"),SUMIFS('Étape 1 - à remplir'!F$31:F$400,'Étape 1 - à remplir'!D$31:D$400,MASQ2!G9,'Étape 1 - à remplir'!N$31:N$400,X$3))))))=0,NA(),IF(X$2="Catégorie",IF(X$3="Toutes",SUMIFS('Étape 1 - à remplir'!F$31:F$400,'Étape 1 - à remplir'!D$31:D$400,MASQ2!G9,'Étape 1 - à remplir'!G$31:G$400,"animaux"),SUMIFS('Étape 1 - à remplir'!F$31:F$400,'Étape 1 - à remplir'!D$31:D$400,MASQ2!G9,'Étape 1 - à remplir'!C$31:C$400,X$3)),IF(X$2="Âge",IF(X$3="Tous",SUMIFS('Étape 1 - à remplir'!F$31:F$400,'Étape 1 - à remplir'!D$31:D$400,MASQ2!G9,'Étape 1 - à remplir'!G$31:G$400,"animaux"),SUMIFS('Étape 1 - à remplir'!F$31:F$400,'Étape 1 - à remplir'!D$31:D$400,MASQ2!G9,'Étape 1 - à remplir'!P$31:P$400,X$3)),IF(X$2="Atelier",IF(X$3="Tous",SUMIFS('Étape 1 - à remplir'!F$31:F$400,'Étape 1 - à remplir'!D$31:D$400,MASQ2!G9,'Étape 1 - à remplir'!G$31:G$400,"animaux"),SUMIFS('Étape 1 - à remplir'!F$31:F$400,'Étape 1 - à remplir'!D$31:D$400,MASQ2!G9,'Étape 1 - à remplir'!O$31:O$400,X$3)),IF(X$2="Espèce",IF(X$3="Tous",SUMIFS('Étape 1 - à remplir'!F$31:F$400,'Étape 1 - à remplir'!D$31:D$400,MASQ2!G9,'Étape 1 - à remplir'!G$31:G$400,"animaux"),SUMIFS('Étape 1 - à remplir'!F$31:F$400,'Étape 1 - à remplir'!D$31:D$400,MASQ2!G9,'Étape 1 - à remplir'!N$31:N$400,X$3)))))))</f>
        <v>#N/A</v>
      </c>
      <c r="I9" s="118">
        <v>6</v>
      </c>
      <c r="J9" t="e">
        <f>INDEX(F$4:H$23,MATCH(I9,F$4:F$23,0),2)</f>
        <v>#N/A</v>
      </c>
      <c r="K9" s="76" t="e">
        <f>INDEX(F$4:H$23,MATCH(I9,F$4:F$23,0),3)</f>
        <v>#N/A</v>
      </c>
      <c r="M9" s="194" t="str">
        <f ca="1">INDEX(Données_ATB!BD:BU,MATCH(MASQ2!O9,Données_ATB!BD:BD,0),18)</f>
        <v/>
      </c>
      <c r="N9" s="14" t="str">
        <f>IFERROR(IF(Q9=0,"",COUNTIF(Q$4:Q$600,"&gt;"&amp;Q9)+COUNTIF(Q$4:Q9,Q9)),"")</f>
        <v/>
      </c>
      <c r="O9" t="str">
        <f>Données_ATB!BD8</f>
        <v>ACTI-METHOXINE</v>
      </c>
      <c r="P9" t="e">
        <f>IF(IF(X$2="Catégorie",IF(X$3="Toutes",SUMIFS('Étape 1 - à remplir'!$F$31:$F$400,'Étape 1 - à remplir'!$E$31:$E$400,MASQ2!O9,'Étape 1 - à remplir'!$G$31:$G$400,"animaux"),SUMIFS('Étape 1 - à remplir'!$F$31:$F$400,'Étape 1 - à remplir'!$E$31:$E$400,MASQ2!O9,'Étape 1 - à remplir'!$C$31:$C$400,X$3)),IF(X$2="Âge",IF(X$3="Tous",SUMIFS('Étape 1 - à remplir'!$F$31:$F$400,'Étape 1 - à remplir'!$E$31:$E$400,MASQ2!O9,'Étape 1 - à remplir'!$G$31:$G$400,"animaux"),SUMIFS('Étape 1 - à remplir'!$F$31:$F$400,'Étape 1 - à remplir'!$E$31:$E$400,MASQ2!O9,'Étape 1 - à remplir'!$P$31:$P$400,X$3)),IF(X$2="Atelier",IF(X$3="Tous",SUMIFS('Étape 1 - à remplir'!$F$31:$F$400,'Étape 1 - à remplir'!$E$31:$E$400,MASQ2!O9,'Étape 1 - à remplir'!$G$31:$G$400,"animaux"),SUMIFS('Étape 1 - à remplir'!$F$31:$F$400,'Étape 1 - à remplir'!$E$31:$E$400,MASQ2!O9,'Étape 1 - à remplir'!$O$31:$O$400,X$3)),IF(X$2="Espèce",IF(X$3="Toutes",SUMIFS('Étape 1 - à remplir'!$F$31:$F$400,'Étape 1 - à remplir'!$E$31:$E$400,MASQ2!O9,'Étape 1 - à remplir'!$G$31:$G$400,"animaux"),SUMIFS('Étape 1 - à remplir'!$F$31:$F$400,'Étape 1 - à remplir'!$E$31:$E$400,MASQ2!O9,'Étape 1 - à remplir'!$N$31:$N$400,X$3))))))=0,NA(),IF(X$2="Catégorie",IF(X$3="Toutes",SUMIFS('Étape 1 - à remplir'!$F$31:$F$400,'Étape 1 - à remplir'!$E$31:$E$400,MASQ2!O9,'Étape 1 - à remplir'!$G$31:$G$400,"animaux"),SUMIFS('Étape 1 - à remplir'!$F$31:$F$400,'Étape 1 - à remplir'!$E$31:$E$400,MASQ2!O9,'Étape 1 - à remplir'!$C$31:$C$400,X$3)),IF(X$2="Âge",IF(X$3="Tous",SUMIFS('Étape 1 - à remplir'!$F$31:$F$400,'Étape 1 - à remplir'!$E$31:$E$400,MASQ2!O9,'Étape 1 - à remplir'!$G$31:$G$400,"animaux"),SUMIFS('Étape 1 - à remplir'!$F$31:$F$400,'Étape 1 - à remplir'!$E$31:$E$400,MASQ2!O9,'Étape 1 - à remplir'!$P$31:$P$400,X$3)),IF(X$2="Atelier",IF(X$3="Tous",SUMIFS('Étape 1 - à remplir'!$F$31:$F$400,'Étape 1 - à remplir'!$E$31:$E$400,MASQ2!O9,'Étape 1 - à remplir'!$G$31:$G$400,"animaux"),SUMIFS('Étape 1 - à remplir'!$F$31:$F$400,'Étape 1 - à remplir'!$E$31:$E$400,MASQ2!O9,'Étape 1 - à remplir'!$O$31:$O$400,X$3)),IF(X$2="Espèce",IF(X$3="Toutes",SUMIFS('Étape 1 - à remplir'!$F$31:$F$400,'Étape 1 - à remplir'!$E$31:$E$400,MASQ2!O9,'Étape 1 - à remplir'!$G$31:$G$400,"animaux"),SUMIFS('Étape 1 - à remplir'!$F$31:$F$400,'Étape 1 - à remplir'!$E$31:$E$400,MASQ2!O9,'Étape 1 - à remplir'!$N$31:$N$400,X$3)))))))</f>
        <v>#N/A</v>
      </c>
      <c r="Q9" s="63">
        <f t="shared" si="62"/>
        <v>0</v>
      </c>
      <c r="R9" t="str">
        <f>Données_ATB!BM8</f>
        <v>Sulfadiméthoxine</v>
      </c>
      <c r="S9" t="str">
        <f>Données_ATB!BN8</f>
        <v/>
      </c>
      <c r="T9" s="63" t="str">
        <f>Données_ATB!BO8</f>
        <v/>
      </c>
      <c r="U9" s="42" t="str">
        <f>Données_ATB!BQ8</f>
        <v>Sulfamides</v>
      </c>
      <c r="V9" t="str">
        <f>Données_ATB!BR8</f>
        <v/>
      </c>
      <c r="W9" s="63" t="str">
        <f>Données_ATB!BS8</f>
        <v/>
      </c>
      <c r="Z9" s="42">
        <v>6</v>
      </c>
      <c r="AA9" t="e">
        <f t="shared" si="32"/>
        <v>#N/A</v>
      </c>
      <c r="AB9" s="63" t="e">
        <f t="shared" si="33"/>
        <v>#N/A</v>
      </c>
      <c r="AD9" s="194" t="str">
        <f>IF(AF9="Colistine","x",IF(INDEX(Données_ATB!CA$3:CB$63,MATCH(AF9,Données_ATB!CA$3:CA$63,0),2)="Fluoroquinolones","x",IF(INDEX(Données_ATB!CA$3:CB$63,MATCH(AF9,Données_ATB!CA$3:CA$63,0),2)="Cephalosporines 3&amp;4G","x","")))</f>
        <v/>
      </c>
      <c r="AE9" s="219" t="str">
        <f>IFERROR(IF(AG9=0,"",COUNTIF(AG$4:AG$64,"&gt;"&amp;AG9)+COUNTIF(AG$4:AG9,AG9)),"")</f>
        <v/>
      </c>
      <c r="AF9" s="42" t="str">
        <f>Données_ATB!CA8</f>
        <v>Céfalexine</v>
      </c>
      <c r="AG9" s="63" t="e">
        <f t="shared" si="34"/>
        <v>#N/A</v>
      </c>
      <c r="AH9" s="42">
        <v>6</v>
      </c>
      <c r="AI9" t="e">
        <f t="shared" si="35"/>
        <v>#N/A</v>
      </c>
      <c r="AJ9" s="63" t="e">
        <f t="shared" si="36"/>
        <v>#N/A</v>
      </c>
      <c r="AL9" s="194" t="str">
        <f t="shared" si="37"/>
        <v>x</v>
      </c>
      <c r="AM9" s="14" t="str">
        <f>IFERROR(IF(AO9=0,"",COUNTIF(AO$4:AO$19,"&gt;"&amp;AO9)+COUNTIF(AO$4:AO9,AO9)),"")</f>
        <v/>
      </c>
      <c r="AN9" t="str">
        <f>Données_ATB!BX8</f>
        <v>Fluoroquinolones</v>
      </c>
      <c r="AO9" s="76" t="e">
        <f t="shared" si="3"/>
        <v>#N/A</v>
      </c>
      <c r="AP9">
        <v>6</v>
      </c>
      <c r="AQ9" t="e">
        <f t="shared" si="38"/>
        <v>#N/A</v>
      </c>
      <c r="AR9" s="63" t="e">
        <f t="shared" si="39"/>
        <v>#N/A</v>
      </c>
      <c r="AT9" s="36" t="str">
        <f t="shared" si="63"/>
        <v/>
      </c>
      <c r="AU9" s="36" t="str" cm="1">
        <f t="array" ref="AU9">IF($AT$3="Catégorie",IF(SUMIFS('Étape 1 - à remplir'!$F$31:$F$400,'Étape 1 - à remplir'!$C$31:$C$400,$AT9,'Étape 1 - à remplir'!$M$31:$M$400,MASQ2!AU$4)=0,"",SUMIFS('Étape 1 - à remplir'!$F$31:$F$400,'Étape 1 - à remplir'!$C$31:$C$400,$AT9,'Étape 1 - à remplir'!$M$31:$M$400,MASQ2!AU$4)/INDEX('Étape 1 - à remplir'!$C$19:$L$28,MATCH(MASQ2!$AT9,'Étape 1 - à remplir'!$L$19:$L$28,0),4)),INDEX($AU$44:$BF$73,MATCH($AT9,$AT$44:$AT$73,0),AU$4))</f>
        <v/>
      </c>
      <c r="AV9" s="36" t="str" cm="1">
        <f t="array" aca="1" ref="AV9" ca="1">IF($AT$3="Catégorie",IF(SUMIFS('Étape 1 - à remplir'!$F$31:$F$400,'Étape 1 - à remplir'!$C$31:$C$400,$AT9,'Étape 1 - à remplir'!$M$31:$M$400,MASQ2!AV$4)=0,"",SUMIFS('Étape 1 - à remplir'!$F$31:$F$400,'Étape 1 - à remplir'!$C$31:$C$400,$AT9,'Étape 1 - à remplir'!$M$31:$M$400,MASQ2!AV$4)/INDEX('Étape 1 - à remplir'!$C$19:$L$28,MATCH(MASQ2!$AT9,'Étape 1 - à remplir'!$L$19:$L$28,0),4)),INDEX($AU$44:$BF$73,MATCH($AT9,$AT$44:$AT$73,0),AV$4))</f>
        <v/>
      </c>
      <c r="AW9" s="36" t="str" cm="1">
        <f t="array" aca="1" ref="AW9" ca="1">IF($AT$3="Catégorie",IF(SUMIFS('Étape 1 - à remplir'!$F$31:$F$400,'Étape 1 - à remplir'!$C$31:$C$400,$AT9,'Étape 1 - à remplir'!$M$31:$M$400,MASQ2!AW$4)=0,"",SUMIFS('Étape 1 - à remplir'!$F$31:$F$400,'Étape 1 - à remplir'!$C$31:$C$400,$AT9,'Étape 1 - à remplir'!$M$31:$M$400,MASQ2!AW$4)/INDEX('Étape 1 - à remplir'!$C$19:$L$28,MATCH(MASQ2!$AT9,'Étape 1 - à remplir'!$L$19:$L$28,0),4)),INDEX($AU$44:$BF$73,MATCH($AT9,$AT$44:$AT$73,0),AW$4))</f>
        <v/>
      </c>
      <c r="AX9" s="36" t="str" cm="1">
        <f t="array" aca="1" ref="AX9" ca="1">IF($AT$3="Catégorie",IF(SUMIFS('Étape 1 - à remplir'!$F$31:$F$400,'Étape 1 - à remplir'!$C$31:$C$400,$AT9,'Étape 1 - à remplir'!$M$31:$M$400,MASQ2!AX$4)=0,"",SUMIFS('Étape 1 - à remplir'!$F$31:$F$400,'Étape 1 - à remplir'!$C$31:$C$400,$AT9,'Étape 1 - à remplir'!$M$31:$M$400,MASQ2!AX$4)/INDEX('Étape 1 - à remplir'!$C$19:$L$28,MATCH(MASQ2!$AT9,'Étape 1 - à remplir'!$L$19:$L$28,0),4)),INDEX($AU$44:$BF$73,MATCH($AT9,$AT$44:$AT$73,0),AX$4))</f>
        <v/>
      </c>
      <c r="AY9" s="36" t="str" cm="1">
        <f t="array" aca="1" ref="AY9" ca="1">IF($AT$3="Catégorie",IF(SUMIFS('Étape 1 - à remplir'!$F$31:$F$400,'Étape 1 - à remplir'!$C$31:$C$400,$AT9,'Étape 1 - à remplir'!$M$31:$M$400,MASQ2!AY$4)=0,"",SUMIFS('Étape 1 - à remplir'!$F$31:$F$400,'Étape 1 - à remplir'!$C$31:$C$400,$AT9,'Étape 1 - à remplir'!$M$31:$M$400,MASQ2!AY$4)/INDEX('Étape 1 - à remplir'!$C$19:$L$28,MATCH(MASQ2!$AT9,'Étape 1 - à remplir'!$L$19:$L$28,0),4)),INDEX($AU$44:$BF$73,MATCH($AT9,$AT$44:$AT$73,0),AY$4))</f>
        <v/>
      </c>
      <c r="AZ9" s="36" t="str" cm="1">
        <f t="array" aca="1" ref="AZ9" ca="1">IF($AT$3="Catégorie",IF(SUMIFS('Étape 1 - à remplir'!$F$31:$F$400,'Étape 1 - à remplir'!$C$31:$C$400,$AT9,'Étape 1 - à remplir'!$M$31:$M$400,MASQ2!AZ$4)=0,"",SUMIFS('Étape 1 - à remplir'!$F$31:$F$400,'Étape 1 - à remplir'!$C$31:$C$400,$AT9,'Étape 1 - à remplir'!$M$31:$M$400,MASQ2!AZ$4)/INDEX('Étape 1 - à remplir'!$C$19:$L$28,MATCH(MASQ2!$AT9,'Étape 1 - à remplir'!$L$19:$L$28,0),4)),INDEX($AU$44:$BF$73,MATCH($AT9,$AT$44:$AT$73,0),AZ$4))</f>
        <v/>
      </c>
      <c r="BA9" s="36" t="str" cm="1">
        <f t="array" aca="1" ref="BA9" ca="1">IF($AT$3="Catégorie",IF(SUMIFS('Étape 1 - à remplir'!$F$31:$F$400,'Étape 1 - à remplir'!$C$31:$C$400,$AT9,'Étape 1 - à remplir'!$M$31:$M$400,MASQ2!BA$4)=0,"",SUMIFS('Étape 1 - à remplir'!$F$31:$F$400,'Étape 1 - à remplir'!$C$31:$C$400,$AT9,'Étape 1 - à remplir'!$M$31:$M$400,MASQ2!BA$4)/INDEX('Étape 1 - à remplir'!$C$19:$L$28,MATCH(MASQ2!$AT9,'Étape 1 - à remplir'!$L$19:$L$28,0),4)),INDEX($AU$44:$BF$73,MATCH($AT9,$AT$44:$AT$73,0),BA$4))</f>
        <v/>
      </c>
      <c r="BB9" s="36" t="str" cm="1">
        <f t="array" aca="1" ref="BB9" ca="1">IF($AT$3="Catégorie",IF(SUMIFS('Étape 1 - à remplir'!$F$31:$F$400,'Étape 1 - à remplir'!$C$31:$C$400,$AT9,'Étape 1 - à remplir'!$M$31:$M$400,MASQ2!BB$4)=0,"",SUMIFS('Étape 1 - à remplir'!$F$31:$F$400,'Étape 1 - à remplir'!$C$31:$C$400,$AT9,'Étape 1 - à remplir'!$M$31:$M$400,MASQ2!BB$4)/INDEX('Étape 1 - à remplir'!$C$19:$L$28,MATCH(MASQ2!$AT9,'Étape 1 - à remplir'!$L$19:$L$28,0),4)),INDEX($AU$44:$BF$73,MATCH($AT9,$AT$44:$AT$73,0),BB$4))</f>
        <v/>
      </c>
      <c r="BC9" s="36" t="str" cm="1">
        <f t="array" aca="1" ref="BC9" ca="1">IF($AT$3="Catégorie",IF(SUMIFS('Étape 1 - à remplir'!$F$31:$F$400,'Étape 1 - à remplir'!$C$31:$C$400,$AT9,'Étape 1 - à remplir'!$M$31:$M$400,MASQ2!BC$4)=0,"",SUMIFS('Étape 1 - à remplir'!$F$31:$F$400,'Étape 1 - à remplir'!$C$31:$C$400,$AT9,'Étape 1 - à remplir'!$M$31:$M$400,MASQ2!BC$4)/INDEX('Étape 1 - à remplir'!$C$19:$L$28,MATCH(MASQ2!$AT9,'Étape 1 - à remplir'!$L$19:$L$28,0),4)),INDEX($AU$44:$BF$73,MATCH($AT9,$AT$44:$AT$73,0),BC$4))</f>
        <v/>
      </c>
      <c r="BD9" s="36" t="str" cm="1">
        <f t="array" aca="1" ref="BD9" ca="1">IF($AT$3="Catégorie",IF(SUMIFS('Étape 1 - à remplir'!$F$31:$F$400,'Étape 1 - à remplir'!$C$31:$C$400,$AT9,'Étape 1 - à remplir'!$M$31:$M$400,MASQ2!BD$4)=0,"",SUMIFS('Étape 1 - à remplir'!$F$31:$F$400,'Étape 1 - à remplir'!$C$31:$C$400,$AT9,'Étape 1 - à remplir'!$M$31:$M$400,MASQ2!BD$4)/INDEX('Étape 1 - à remplir'!$C$19:$L$28,MATCH(MASQ2!$AT9,'Étape 1 - à remplir'!$L$19:$L$28,0),4)),INDEX($AU$44:$BF$73,MATCH($AT9,$AT$44:$AT$73,0),BD$4))</f>
        <v/>
      </c>
      <c r="BE9" s="36" t="str" cm="1">
        <f t="array" aca="1" ref="BE9" ca="1">IF($AT$3="Catégorie",IF(SUMIFS('Étape 1 - à remplir'!$F$31:$F$400,'Étape 1 - à remplir'!$C$31:$C$400,$AT9,'Étape 1 - à remplir'!$M$31:$M$400,MASQ2!BE$4)=0,"",SUMIFS('Étape 1 - à remplir'!$F$31:$F$400,'Étape 1 - à remplir'!$C$31:$C$400,$AT9,'Étape 1 - à remplir'!$M$31:$M$400,MASQ2!BE$4)/INDEX('Étape 1 - à remplir'!$C$19:$L$28,MATCH(MASQ2!$AT9,'Étape 1 - à remplir'!$L$19:$L$28,0),4)),INDEX($AU$44:$BF$73,MATCH($AT9,$AT$44:$AT$73,0),BE$4))</f>
        <v/>
      </c>
      <c r="BF9" s="36" t="str" cm="1">
        <f t="array" aca="1" ref="BF9" ca="1">IF($AT$3="Catégorie",IF(SUMIFS('Étape 1 - à remplir'!$F$31:$F$400,'Étape 1 - à remplir'!$C$31:$C$400,$AT9,'Étape 1 - à remplir'!$M$31:$M$400,MASQ2!BF$4)=0,"",SUMIFS('Étape 1 - à remplir'!$F$31:$F$400,'Étape 1 - à remplir'!$C$31:$C$400,$AT9,'Étape 1 - à remplir'!$M$31:$M$400,MASQ2!BF$4)/INDEX('Étape 1 - à remplir'!$C$19:$L$28,MATCH(MASQ2!$AT9,'Étape 1 - à remplir'!$L$19:$L$28,0),4)),INDEX($AU$44:$BF$73,MATCH($AT9,$AT$44:$AT$73,0),BF$4))</f>
        <v/>
      </c>
      <c r="BH9" s="42" t="e">
        <f>IF(BK9="","",COUNTIF(BK$4:BK$13,"&gt;"&amp;BK9)+COUNTIF(BK$4:BK9,BK9))</f>
        <v>#N/A</v>
      </c>
      <c r="BI9" t="str">
        <f>'Étape 1 - à remplir'!L24</f>
        <v/>
      </c>
      <c r="BJ9" t="e">
        <f>IF(INDEX('Étape 1 - à remplir'!G$19:L$28,MATCH(BI9,'Étape 1 - à remplir'!L$19:L$28,0),1)="lots",SUMIF('Étape 1 - à remplir'!C$31:C$400,BI9,'Étape 1 - à remplir'!F$31:F$400),NA())</f>
        <v>#N/A</v>
      </c>
      <c r="BK9" s="76" t="e">
        <f>BJ9/INDEX('Étape 1 - à remplir'!F$19:L$28,MATCH(BI9,'Étape 1 - à remplir'!L$19:L$28,0),1)</f>
        <v>#N/A</v>
      </c>
      <c r="BM9" s="42" t="e">
        <f>IF(BO9="","",COUNTIF(BO$4:BO$23,"&gt;"&amp;BO9)+COUNTIF(BO$4:BO9,BO9))</f>
        <v>#N/A</v>
      </c>
      <c r="BN9" t="str">
        <f t="shared" si="4"/>
        <v>Infections de la mamelle (mammite)</v>
      </c>
      <c r="BO9" s="76" t="e">
        <f>IF(IF(CE$2="Catégorie",IF(CE$3="Toutes",SUMIFS('Étape 1 - à remplir'!$F$31:$F$400,'Étape 1 - à remplir'!$D$31:$D$400,MASQ2!BN9,'Étape 1 - à remplir'!$G$31:$G$400,"lots"),SUMIFS('Étape 1 - à remplir'!$F$31:$F$400,'Étape 1 - à remplir'!$D$31:$D$400,MASQ2!BN9,'Étape 1 - à remplir'!$C$31:$C$400,CE$3,'Étape 1 - à remplir'!$G$31:$G$400,"lots")),IF(CE$2="Âge",IF(CE$3="Tous",SUMIFS('Étape 1 - à remplir'!$F$31:$F$400,'Étape 1 - à remplir'!$D$31:$D$400,MASQ2!BN9,'Étape 1 - à remplir'!$G$31:$G$400,"lots"),SUMIFS('Étape 1 - à remplir'!$F$31:$F$400,'Étape 1 - à remplir'!$D$31:$D$400,MASQ2!BN9,'Étape 1 - à remplir'!$P$31:$P$400,CE$3,'Étape 1 - à remplir'!$G$31:$G$400,"lots")),IF(CE$2="Atelier",IF(CE$3="Tous",SUMIFS('Étape 1 - à remplir'!$F$31:$F$400,'Étape 1 - à remplir'!$D$31:$D$400,MASQ2!BN9,'Étape 1 - à remplir'!$G$31:$G$400,"lots"),SUMIFS('Étape 1 - à remplir'!$F$31:$F$400,'Étape 1 - à remplir'!$D$31:$D$400,MASQ2!BN9,'Étape 1 - à remplir'!$O$31:$O$400,CE$3,'Étape 1 - à remplir'!$G$31:$G$400,"lots")),IF(CE$2="Espèce",IF(CE$3="Toutes",SUMIFS('Étape 1 - à remplir'!$F$31:$F$400,'Étape 1 - à remplir'!$D$31:$D$400,MASQ2!BN9,'Étape 1 - à remplir'!$G$31:$G$400,"lots"),SUMIFS('Étape 1 - à remplir'!$F$31:$F$400,'Étape 1 - à remplir'!$D$31:$D$400,MASQ2!BN9,'Étape 1 - à remplir'!$N$31:$N$400,CE$3,'Étape 1 - à remplir'!$G$31:$G$400,"lots"))))))=0,NA(),IF(CE$2="Catégorie",IF(CE$3="Toutes",SUMIFS('Étape 1 - à remplir'!$F$31:$F$400,'Étape 1 - à remplir'!$D$31:$D$400,MASQ2!BN9,'Étape 1 - à remplir'!$G$31:$G$400,"lots"),SUMIFS('Étape 1 - à remplir'!$F$31:$F$400,'Étape 1 - à remplir'!$D$31:$D$400,MASQ2!BN9,'Étape 1 - à remplir'!$C$31:$C$400,CE$3,'Étape 1 - à remplir'!$G$31:$G$400,"lots")),IF(CE$2="Âge",IF(CE$3="Tous",SUMIFS('Étape 1 - à remplir'!$F$31:$F$400,'Étape 1 - à remplir'!$D$31:$D$400,MASQ2!BN9,'Étape 1 - à remplir'!$G$31:$G$400,"lots"),SUMIFS('Étape 1 - à remplir'!$F$31:$F$400,'Étape 1 - à remplir'!$D$31:$D$400,MASQ2!BN9,'Étape 1 - à remplir'!$P$31:$P$400,CE$3,'Étape 1 - à remplir'!$G$31:$G$400,"lots")),IF(CE$2="Atelier",IF(CE$3="Tous",SUMIFS('Étape 1 - à remplir'!$F$31:$F$400,'Étape 1 - à remplir'!$D$31:$D$400,MASQ2!BN9,'Étape 1 - à remplir'!$G$31:$G$400,"lots"),SUMIFS('Étape 1 - à remplir'!$F$31:$F$400,'Étape 1 - à remplir'!$D$31:$D$400,MASQ2!BN9,'Étape 1 - à remplir'!$O$31:$O$400,CE$3,'Étape 1 - à remplir'!$G$31:$G$400,"lots")),IF(CE$2="Espèce",IF(CE$3="Toutes",SUMIFS('Étape 1 - à remplir'!$F$31:$F$400,'Étape 1 - à remplir'!$D$31:$D$400,MASQ2!BN9,'Étape 1 - à remplir'!$G$31:$G$400,"lots"),SUMIFS('Étape 1 - à remplir'!$F$31:$F$400,'Étape 1 - à remplir'!$D$31:$D$400,MASQ2!BN9,'Étape 1 - à remplir'!$N$31:$N$400,CE$3,'Étape 1 - à remplir'!$G$31:$G$400,"lots")))))))</f>
        <v>#N/A</v>
      </c>
      <c r="BP9">
        <v>6</v>
      </c>
      <c r="BQ9" t="e">
        <f t="shared" si="40"/>
        <v>#N/A</v>
      </c>
      <c r="BR9" s="63" t="e">
        <f t="shared" si="41"/>
        <v>#N/A</v>
      </c>
      <c r="BT9" s="194" t="str">
        <f t="shared" ca="1" si="5"/>
        <v/>
      </c>
      <c r="BU9" s="219" t="str">
        <f>IFERROR(IF(BX9=0,"",COUNTIF(BX$4:BX$600,"&gt;"&amp;BX9)+COUNTIF(BX$4:BX9,BX9)),"")</f>
        <v/>
      </c>
      <c r="BV9" s="42" t="str">
        <f t="shared" si="6"/>
        <v>ACTI-METHOXINE</v>
      </c>
      <c r="BW9" t="e">
        <f>IF(IF(CE$2="Catégorie",IF(CE$3="Toutes",SUMIFS('Étape 1 - à remplir'!$F$31:$F$400,'Étape 1 - à remplir'!$E$31:$E$400,MASQ2!BV9,'Étape 1 - à remplir'!$G$31:$G$400,"lots"),SUMIFS('Étape 1 - à remplir'!$F$31:$F$400,'Étape 1 - à remplir'!$E$31:$E$400,MASQ2!BV9,'Étape 1 - à remplir'!$C$31:$C$400,CE$3)),IF(CE$2="Âge",IF(CE$3="Tous",SUMIFS('Étape 1 - à remplir'!$F$31:$F$400,'Étape 1 - à remplir'!$E$31:$E$400,MASQ2!BV9,'Étape 1 - à remplir'!$G$31:$G$400,"lots"),SUMIFS('Étape 1 - à remplir'!$F$31:$F$400,'Étape 1 - à remplir'!$E$31:$E$400,MASQ2!BV9,'Étape 1 - à remplir'!$P$31:$P$400,CE$3,'Étape 1 - à remplir'!$G$31:$G$400,"lots")),IF(CE$2="Atelier",IF(CE$3="Tous",SUMIFS('Étape 1 - à remplir'!$F$31:$F$400,'Étape 1 - à remplir'!$E$31:$E$400,MASQ2!BV9,'Étape 1 - à remplir'!$G$31:$G$400,"lots"),SUMIFS('Étape 1 - à remplir'!$F$31:$F$400,'Étape 1 - à remplir'!$E$31:$E$400,MASQ2!BV9,'Étape 1 - à remplir'!$O$31:$O$400,CE$3,'Étape 1 - à remplir'!$G$31:$G$400,"lots")),IF(CE$2="Espèce",IF(CE$3="Toutes",SUMIFS('Étape 1 - à remplir'!$F$31:$F$400,'Étape 1 - à remplir'!$E$31:$E$400,MASQ2!BV9,'Étape 1 - à remplir'!$G$31:$G$400,"lots"),SUMIFS('Étape 1 - à remplir'!$F$31:$F$400,'Étape 1 - à remplir'!$E$31:$E$400,MASQ2!BV9,'Étape 1 - à remplir'!$N$31:$N$400,CE$3,'Étape 1 - à remplir'!$G$31:$G$400,"lots"))))))=0,NA(),IF(CE$2="Catégorie",IF(CE$3="Toutes",SUMIFS('Étape 1 - à remplir'!$F$31:$F$400,'Étape 1 - à remplir'!$E$31:$E$400,MASQ2!BV9,'Étape 1 - à remplir'!$G$31:$G$400,"lots"),SUMIFS('Étape 1 - à remplir'!$F$31:$F$400,'Étape 1 - à remplir'!$E$31:$E$400,MASQ2!BV9,'Étape 1 - à remplir'!$C$31:$C$400,CE$3)),IF(CE$2="Âge",IF(CE$3="Tous",SUMIFS('Étape 1 - à remplir'!$F$31:$F$400,'Étape 1 - à remplir'!$E$31:$E$400,MASQ2!BV9,'Étape 1 - à remplir'!$G$31:$G$400,"lots"),SUMIFS('Étape 1 - à remplir'!$F$31:$F$400,'Étape 1 - à remplir'!$E$31:$E$400,MASQ2!BV9,'Étape 1 - à remplir'!$P$31:$P$400,CE$3,'Étape 1 - à remplir'!$G$31:$G$400,"lots")),IF(CE$2="Atelier",IF(CE$3="Tous",SUMIFS('Étape 1 - à remplir'!$F$31:$F$400,'Étape 1 - à remplir'!$E$31:$E$400,MASQ2!BV9,'Étape 1 - à remplir'!$G$31:$G$400,"lots"),SUMIFS('Étape 1 - à remplir'!$F$31:$F$400,'Étape 1 - à remplir'!$E$31:$E$400,MASQ2!BV9,'Étape 1 - à remplir'!$O$31:$O$400,CE$3,'Étape 1 - à remplir'!$G$31:$G$400,"lots")),IF(CE$2="Espèce",IF(CE$3="Toutes",SUMIFS('Étape 1 - à remplir'!$F$31:$F$400,'Étape 1 - à remplir'!$E$31:$E$400,MASQ2!BV9,'Étape 1 - à remplir'!$G$31:$G$400,"lots"),SUMIFS('Étape 1 - à remplir'!$F$31:$F$400,'Étape 1 - à remplir'!$E$31:$E$400,MASQ2!BV9,'Étape 1 - à remplir'!$N$31:$N$400,CE$3,'Étape 1 - à remplir'!$G$31:$G$400,"lots")))))))</f>
        <v>#N/A</v>
      </c>
      <c r="BX9">
        <f t="shared" si="42"/>
        <v>0</v>
      </c>
      <c r="BY9" t="str">
        <f t="shared" si="7"/>
        <v>Sulfadiméthoxine</v>
      </c>
      <c r="BZ9" t="str">
        <f t="shared" si="8"/>
        <v/>
      </c>
      <c r="CA9" t="str">
        <f t="shared" si="9"/>
        <v/>
      </c>
      <c r="CB9" t="str">
        <f t="shared" si="10"/>
        <v>Sulfamides</v>
      </c>
      <c r="CC9" t="str">
        <f t="shared" si="11"/>
        <v/>
      </c>
      <c r="CD9" s="63" t="str">
        <f t="shared" si="12"/>
        <v/>
      </c>
      <c r="CG9" s="42">
        <v>6</v>
      </c>
      <c r="CH9" s="42" t="e">
        <f t="shared" si="43"/>
        <v>#N/A</v>
      </c>
      <c r="CI9" s="63" t="e">
        <f t="shared" si="44"/>
        <v>#N/A</v>
      </c>
      <c r="CK9" s="194" t="str">
        <f t="shared" si="13"/>
        <v/>
      </c>
      <c r="CL9" s="226" t="str">
        <f>IFERROR(IF(CN9=0,"",COUNTIF(CN$4:CN$64,"&gt;"&amp;CN9)+COUNTIF(CN$4:CN9,CN9)),"")</f>
        <v/>
      </c>
      <c r="CM9" t="str">
        <f t="shared" si="14"/>
        <v>Céfalexine</v>
      </c>
      <c r="CN9" s="76" t="e">
        <f t="shared" si="45"/>
        <v>#N/A</v>
      </c>
      <c r="CO9">
        <v>6</v>
      </c>
      <c r="CP9" t="e">
        <f t="shared" si="46"/>
        <v>#N/A</v>
      </c>
      <c r="CQ9" s="63" t="e">
        <f t="shared" si="47"/>
        <v>#N/A</v>
      </c>
      <c r="CS9" s="194" t="str">
        <f t="shared" si="15"/>
        <v>x</v>
      </c>
      <c r="CT9" s="14" t="str">
        <f>IFERROR(IF(CV9=0,"",COUNTIF(CV$4:CV$19,"&gt;"&amp;CV9)+COUNTIF(CV$4:CV9,CV9)),"")</f>
        <v/>
      </c>
      <c r="CU9" s="230" t="str">
        <f t="shared" si="16"/>
        <v>Fluoroquinolones</v>
      </c>
      <c r="CV9" s="76" t="e">
        <f t="shared" si="48"/>
        <v>#N/A</v>
      </c>
      <c r="CW9">
        <v>6</v>
      </c>
      <c r="CX9" t="e">
        <f t="shared" si="49"/>
        <v>#N/A</v>
      </c>
      <c r="CY9" s="63" t="e">
        <f t="shared" si="50"/>
        <v>#N/A</v>
      </c>
      <c r="DA9" s="36" t="str">
        <f t="shared" si="64"/>
        <v/>
      </c>
      <c r="DB9" s="36" t="str" cm="1">
        <f t="array" ref="DB9">IF($DA$3="Catégorie",IF(SUMIFS('Étape 1 - à remplir'!$F$31:$F$400,'Étape 1 - à remplir'!$C$31:$C$400,$DA9,'Étape 1 - à remplir'!$M$31:$M$400,MASQ2!DB$4)=0,"",SUMIFS('Étape 1 - à remplir'!$F$31:$F$400,'Étape 1 - à remplir'!$C$31:$C$400,$DA9,'Étape 1 - à remplir'!$M$31:$M$400,MASQ2!DB$4)/INDEX('Étape 1 - à remplir'!$C$19:$L$28,MATCH(MASQ2!$DA9,'Étape 1 - à remplir'!$L$19:$L$28,0),4)),INDEX($DB$44:$DM$73,MATCH($DA9,$DA$44:$DA$73,0),DB$4))</f>
        <v/>
      </c>
      <c r="DC9" s="36" t="str" cm="1">
        <f t="array" aca="1" ref="DC9" ca="1">IF($DA$3="Catégorie",IF(SUMIFS('Étape 1 - à remplir'!$F$31:$F$400,'Étape 1 - à remplir'!$C$31:$C$400,$DA9,'Étape 1 - à remplir'!$M$31:$M$400,MASQ2!DC$4)=0,"",SUMIFS('Étape 1 - à remplir'!$F$31:$F$400,'Étape 1 - à remplir'!$C$31:$C$400,$DA9,'Étape 1 - à remplir'!$M$31:$M$400,MASQ2!DC$4)/INDEX('Étape 1 - à remplir'!$C$19:$L$28,MATCH(MASQ2!$DA9,'Étape 1 - à remplir'!$L$19:$L$28,0),4)),INDEX($DB$44:$DM$73,MATCH($DA9,$DA$44:$DA$73,0),DC$4))</f>
        <v/>
      </c>
      <c r="DD9" s="36" t="str" cm="1">
        <f t="array" aca="1" ref="DD9" ca="1">IF($DA$3="Catégorie",IF(SUMIFS('Étape 1 - à remplir'!$F$31:$F$400,'Étape 1 - à remplir'!$C$31:$C$400,$DA9,'Étape 1 - à remplir'!$M$31:$M$400,MASQ2!DD$4)=0,"",SUMIFS('Étape 1 - à remplir'!$F$31:$F$400,'Étape 1 - à remplir'!$C$31:$C$400,$DA9,'Étape 1 - à remplir'!$M$31:$M$400,MASQ2!DD$4)/INDEX('Étape 1 - à remplir'!$C$19:$L$28,MATCH(MASQ2!$DA9,'Étape 1 - à remplir'!$L$19:$L$28,0),4)),INDEX($DB$44:$DM$73,MATCH($DA9,$DA$44:$DA$73,0),DD$4))</f>
        <v/>
      </c>
      <c r="DE9" s="36" t="str" cm="1">
        <f t="array" aca="1" ref="DE9" ca="1">IF($DA$3="Catégorie",IF(SUMIFS('Étape 1 - à remplir'!$F$31:$F$400,'Étape 1 - à remplir'!$C$31:$C$400,$DA9,'Étape 1 - à remplir'!$M$31:$M$400,MASQ2!DE$4)=0,"",SUMIFS('Étape 1 - à remplir'!$F$31:$F$400,'Étape 1 - à remplir'!$C$31:$C$400,$DA9,'Étape 1 - à remplir'!$M$31:$M$400,MASQ2!DE$4)/INDEX('Étape 1 - à remplir'!$C$19:$L$28,MATCH(MASQ2!$DA9,'Étape 1 - à remplir'!$L$19:$L$28,0),4)),INDEX($DB$44:$DM$73,MATCH($DA9,$DA$44:$DA$73,0),DE$4))</f>
        <v/>
      </c>
      <c r="DF9" s="36" t="str" cm="1">
        <f t="array" aca="1" ref="DF9" ca="1">IF($DA$3="Catégorie",IF(SUMIFS('Étape 1 - à remplir'!$F$31:$F$400,'Étape 1 - à remplir'!$C$31:$C$400,$DA9,'Étape 1 - à remplir'!$M$31:$M$400,MASQ2!DF$4)=0,"",SUMIFS('Étape 1 - à remplir'!$F$31:$F$400,'Étape 1 - à remplir'!$C$31:$C$400,$DA9,'Étape 1 - à remplir'!$M$31:$M$400,MASQ2!DF$4)/INDEX('Étape 1 - à remplir'!$C$19:$L$28,MATCH(MASQ2!$DA9,'Étape 1 - à remplir'!$L$19:$L$28,0),4)),INDEX($DB$44:$DM$73,MATCH($DA9,$DA$44:$DA$73,0),DF$4))</f>
        <v/>
      </c>
      <c r="DG9" s="36" t="str" cm="1">
        <f t="array" aca="1" ref="DG9" ca="1">IF($DA$3="Catégorie",IF(SUMIFS('Étape 1 - à remplir'!$F$31:$F$400,'Étape 1 - à remplir'!$C$31:$C$400,$DA9,'Étape 1 - à remplir'!$M$31:$M$400,MASQ2!DG$4)=0,"",SUMIFS('Étape 1 - à remplir'!$F$31:$F$400,'Étape 1 - à remplir'!$C$31:$C$400,$DA9,'Étape 1 - à remplir'!$M$31:$M$400,MASQ2!DG$4)/INDEX('Étape 1 - à remplir'!$C$19:$L$28,MATCH(MASQ2!$DA9,'Étape 1 - à remplir'!$L$19:$L$28,0),4)),INDEX($DB$44:$DM$73,MATCH($DA9,$DA$44:$DA$73,0),DG$4))</f>
        <v/>
      </c>
      <c r="DH9" s="36" t="str" cm="1">
        <f t="array" aca="1" ref="DH9" ca="1">IF($DA$3="Catégorie",IF(SUMIFS('Étape 1 - à remplir'!$F$31:$F$400,'Étape 1 - à remplir'!$C$31:$C$400,$DA9,'Étape 1 - à remplir'!$M$31:$M$400,MASQ2!DH$4)=0,"",SUMIFS('Étape 1 - à remplir'!$F$31:$F$400,'Étape 1 - à remplir'!$C$31:$C$400,$DA9,'Étape 1 - à remplir'!$M$31:$M$400,MASQ2!DH$4)/INDEX('Étape 1 - à remplir'!$C$19:$L$28,MATCH(MASQ2!$DA9,'Étape 1 - à remplir'!$L$19:$L$28,0),4)),INDEX($DB$44:$DM$73,MATCH($DA9,$DA$44:$DA$73,0),DH$4))</f>
        <v/>
      </c>
      <c r="DI9" s="36" t="str" cm="1">
        <f t="array" aca="1" ref="DI9" ca="1">IF($DA$3="Catégorie",IF(SUMIFS('Étape 1 - à remplir'!$F$31:$F$400,'Étape 1 - à remplir'!$C$31:$C$400,$DA9,'Étape 1 - à remplir'!$M$31:$M$400,MASQ2!DI$4)=0,"",SUMIFS('Étape 1 - à remplir'!$F$31:$F$400,'Étape 1 - à remplir'!$C$31:$C$400,$DA9,'Étape 1 - à remplir'!$M$31:$M$400,MASQ2!DI$4)/INDEX('Étape 1 - à remplir'!$C$19:$L$28,MATCH(MASQ2!$DA9,'Étape 1 - à remplir'!$L$19:$L$28,0),4)),INDEX($DB$44:$DM$73,MATCH($DA9,$DA$44:$DA$73,0),DI$4))</f>
        <v/>
      </c>
      <c r="DJ9" s="36" t="str" cm="1">
        <f t="array" aca="1" ref="DJ9" ca="1">IF($DA$3="Catégorie",IF(SUMIFS('Étape 1 - à remplir'!$F$31:$F$400,'Étape 1 - à remplir'!$C$31:$C$400,$DA9,'Étape 1 - à remplir'!$M$31:$M$400,MASQ2!DJ$4)=0,"",SUMIFS('Étape 1 - à remplir'!$F$31:$F$400,'Étape 1 - à remplir'!$C$31:$C$400,$DA9,'Étape 1 - à remplir'!$M$31:$M$400,MASQ2!DJ$4)/INDEX('Étape 1 - à remplir'!$C$19:$L$28,MATCH(MASQ2!$DA9,'Étape 1 - à remplir'!$L$19:$L$28,0),4)),INDEX($DB$44:$DM$73,MATCH($DA9,$DA$44:$DA$73,0),DJ$4))</f>
        <v/>
      </c>
      <c r="DK9" s="36" t="str" cm="1">
        <f t="array" aca="1" ref="DK9" ca="1">IF($DA$3="Catégorie",IF(SUMIFS('Étape 1 - à remplir'!$F$31:$F$400,'Étape 1 - à remplir'!$C$31:$C$400,$DA9,'Étape 1 - à remplir'!$M$31:$M$400,MASQ2!DK$4)=0,"",SUMIFS('Étape 1 - à remplir'!$F$31:$F$400,'Étape 1 - à remplir'!$C$31:$C$400,$DA9,'Étape 1 - à remplir'!$M$31:$M$400,MASQ2!DK$4)/INDEX('Étape 1 - à remplir'!$C$19:$L$28,MATCH(MASQ2!$DA9,'Étape 1 - à remplir'!$L$19:$L$28,0),4)),INDEX($DB$44:$DM$73,MATCH($DA9,$DA$44:$DA$73,0),DK$4))</f>
        <v/>
      </c>
      <c r="DL9" s="36" t="str" cm="1">
        <f t="array" aca="1" ref="DL9" ca="1">IF($DA$3="Catégorie",IF(SUMIFS('Étape 1 - à remplir'!$F$31:$F$400,'Étape 1 - à remplir'!$C$31:$C$400,$DA9,'Étape 1 - à remplir'!$M$31:$M$400,MASQ2!DL$4)=0,"",SUMIFS('Étape 1 - à remplir'!$F$31:$F$400,'Étape 1 - à remplir'!$C$31:$C$400,$DA9,'Étape 1 - à remplir'!$M$31:$M$400,MASQ2!DL$4)/INDEX('Étape 1 - à remplir'!$C$19:$L$28,MATCH(MASQ2!$DA9,'Étape 1 - à remplir'!$L$19:$L$28,0),4)),INDEX($DB$44:$DM$73,MATCH($DA9,$DA$44:$DA$73,0),DL$4))</f>
        <v/>
      </c>
      <c r="DM9" s="36" t="str" cm="1">
        <f t="array" aca="1" ref="DM9" ca="1">IF($DA$3="Catégorie",IF(SUMIFS('Étape 1 - à remplir'!$F$31:$F$400,'Étape 1 - à remplir'!$C$31:$C$400,$DA9,'Étape 1 - à remplir'!$M$31:$M$400,MASQ2!DM$4)=0,"",SUMIFS('Étape 1 - à remplir'!$F$31:$F$400,'Étape 1 - à remplir'!$C$31:$C$400,$DA9,'Étape 1 - à remplir'!$M$31:$M$400,MASQ2!DM$4)/INDEX('Étape 1 - à remplir'!$C$19:$L$28,MATCH(MASQ2!$DA9,'Étape 1 - à remplir'!$L$19:$L$28,0),4)),INDEX($DB$44:$DM$73,MATCH($DA9,$DA$44:$DA$73,0),DM$4))</f>
        <v/>
      </c>
      <c r="DO9" s="42" t="e">
        <f>IF(DR9="","",COUNTIF(DR$4:DR$13,"&gt;"&amp;DR9)+COUNTIF(DR$4:DR9,DR9))</f>
        <v>#N/A</v>
      </c>
      <c r="DP9" t="str">
        <f>'Étape 1 - à remplir'!L24</f>
        <v/>
      </c>
      <c r="DQ9" t="e">
        <f>IF(INDEX('Étape 1 - à remplir'!G$19:L$28,MATCH(DP9,'Étape 1 - à remplir'!L$19:L$28,0),1)="kg",SUMIF('Étape 1 - à remplir'!C$31:C$400,DP9,'Étape 1 - à remplir'!F$31:F$400),NA())</f>
        <v>#N/A</v>
      </c>
      <c r="DR9" s="63" t="e">
        <f>DQ9/INDEX('Étape 1 - à remplir'!F$19:L$28,MATCH(DP9,'Étape 1 - à remplir'!L$19:L$28,0),1)</f>
        <v>#N/A</v>
      </c>
      <c r="DT9" s="42" t="e">
        <f>IF(DV9="","",COUNTIF(DV$4:DV$23,"&gt;"&amp;DV9)+COUNTIF(DV$4:DV9,DV9))</f>
        <v>#N/A</v>
      </c>
      <c r="DU9" t="str">
        <f t="shared" si="17"/>
        <v>Infections de la mamelle (mammite)</v>
      </c>
      <c r="DV9" s="63" t="e">
        <f>IF(IF(EL$2="Catégorie",IF(EL$3="Toutes",SUMIFS('Étape 1 - à remplir'!$F$31:$F$400,'Étape 1 - à remplir'!$D$31:$D$400,MASQ2!DU9,'Étape 1 - à remplir'!$G$31:$G$400,"kg"),SUMIFS('Étape 1 - à remplir'!$F$31:$F$400,'Étape 1 - à remplir'!$D$31:$D$400,MASQ2!DU9,'Étape 1 - à remplir'!$C$31:$C$400,EL$3,'Étape 1 - à remplir'!$G$31:$G$400,"kg")),IF(EL$2="Âge",IF(EL$3="Tous",SUMIFS('Étape 1 - à remplir'!$F$31:$F$400,'Étape 1 - à remplir'!$D$31:$D$400,MASQ2!DU9,'Étape 1 - à remplir'!$G$31:$G$400,"kg"),SUMIFS('Étape 1 - à remplir'!$F$31:$F$400,'Étape 1 - à remplir'!$D$31:$D$400,MASQ2!DU9,'Étape 1 - à remplir'!$P$31:$P$400,EL$3,'Étape 1 - à remplir'!$G$31:$G$400,"kg")),IF(EL$2="Atelier",IF(EL$3="Tous",SUMIFS('Étape 1 - à remplir'!$F$31:$F$400,'Étape 1 - à remplir'!$D$31:$D$400,MASQ2!DU9,'Étape 1 - à remplir'!$G$31:$G$400,"kg"),SUMIFS('Étape 1 - à remplir'!$F$31:$F$400,'Étape 1 - à remplir'!$D$31:$D$400,MASQ2!DU9,'Étape 1 - à remplir'!$O$31:$O$400,EL$3,'Étape 1 - à remplir'!$G$31:$G$400,"kg")),IF(EL$2="Espèce",IF(EL$3="Toutes",SUMIFS('Étape 1 - à remplir'!$F$31:$F$400,'Étape 1 - à remplir'!$D$31:$D$400,MASQ2!DU9,'Étape 1 - à remplir'!$G$31:$G$400,"kg"),SUMIFS('Étape 1 - à remplir'!$F$31:$F$400,'Étape 1 - à remplir'!$D$31:$D$400,MASQ2!DU9,'Étape 1 - à remplir'!$N$31:$N$400,EL$3,'Étape 1 - à remplir'!$G$31:$G$400,"kg"))))))=0,NA(),IF(EL$2="Catégorie",IF(EL$3="Toutes",SUMIFS('Étape 1 - à remplir'!$F$31:$F$400,'Étape 1 - à remplir'!$D$31:$D$400,MASQ2!DU9,'Étape 1 - à remplir'!$G$31:$G$400,"kg"),SUMIFS('Étape 1 - à remplir'!$F$31:$F$400,'Étape 1 - à remplir'!$D$31:$D$400,MASQ2!DU9,'Étape 1 - à remplir'!$C$31:$C$400,EL$3,'Étape 1 - à remplir'!$G$31:$G$400,"kg")),IF(EL$2="Âge",IF(EL$3="Tous",SUMIFS('Étape 1 - à remplir'!$F$31:$F$400,'Étape 1 - à remplir'!$D$31:$D$400,MASQ2!DU9,'Étape 1 - à remplir'!$G$31:$G$400,"kg"),SUMIFS('Étape 1 - à remplir'!$F$31:$F$400,'Étape 1 - à remplir'!$D$31:$D$400,MASQ2!DU9,'Étape 1 - à remplir'!$P$31:$P$400,EL$3,'Étape 1 - à remplir'!$G$31:$G$400,"kg")),IF(EL$2="Atelier",IF(EL$3="Tous",SUMIFS('Étape 1 - à remplir'!$F$31:$F$400,'Étape 1 - à remplir'!$D$31:$D$400,MASQ2!DU9,'Étape 1 - à remplir'!$G$31:$G$400,"kg"),SUMIFS('Étape 1 - à remplir'!$F$31:$F$400,'Étape 1 - à remplir'!$D$31:$D$400,MASQ2!DU9,'Étape 1 - à remplir'!$O$31:$O$400,EL$3,'Étape 1 - à remplir'!$G$31:$G$400,"kg")),IF(EL$2="Espèce",IF(EL$3="Toutes",SUMIFS('Étape 1 - à remplir'!$F$31:$F$400,'Étape 1 - à remplir'!$D$31:$D$400,MASQ2!DU9,'Étape 1 - à remplir'!$G$31:$G$400,"kg"),SUMIFS('Étape 1 - à remplir'!$F$31:$F$400,'Étape 1 - à remplir'!$D$31:$D$400,MASQ2!DU9,'Étape 1 - à remplir'!$N$31:$N$400,EL$3,'Étape 1 - à remplir'!$G$31:$G$400,"kg")))))))</f>
        <v>#N/A</v>
      </c>
      <c r="DW9" s="42">
        <v>6</v>
      </c>
      <c r="DX9" t="e">
        <f t="shared" si="51"/>
        <v>#N/A</v>
      </c>
      <c r="DY9" s="63" t="e">
        <f t="shared" si="52"/>
        <v>#N/A</v>
      </c>
      <c r="EA9" s="194" t="str">
        <f t="shared" ca="1" si="18"/>
        <v/>
      </c>
      <c r="EB9" s="226" t="str">
        <f>IFERROR(IF(ED9=0,"",COUNTIF(ED$4:ED$600,"&gt;"&amp;ED9)+COUNTIF(ED$4:ED9,ED9)),"")</f>
        <v/>
      </c>
      <c r="EC9" t="str">
        <f t="shared" si="19"/>
        <v>ACTI-METHOXINE</v>
      </c>
      <c r="ED9" t="e">
        <f>IF(IF(EL$2="Catégorie",IF(EL$3="Toutes",SUMIFS('Étape 1 - à remplir'!$F$31:$F$400,'Étape 1 - à remplir'!$E$31:$E$400,MASQ2!EC9,'Étape 1 - à remplir'!$G$31:$G$400,"kg"),SUMIFS('Étape 1 - à remplir'!$F$31:$F$400,'Étape 1 - à remplir'!$E$31:$E$400,MASQ2!EC9,'Étape 1 - à remplir'!$C$31:$C$400,EL$3)),IF(EL$2="Âge",IF(EL$3="Tous",SUMIFS('Étape 1 - à remplir'!$F$31:$F$400,'Étape 1 - à remplir'!$E$31:$E$400,MASQ2!EC9,'Étape 1 - à remplir'!$G$31:$G$400,"kg"),SUMIFS('Étape 1 - à remplir'!$F$31:$F$400,'Étape 1 - à remplir'!$E$31:$E$400,MASQ2!EC9,'Étape 1 - à remplir'!$P$31:$P$400,EL$3,'Étape 1 - à remplir'!$G$31:$G$400,"kg")),IF(EL$2="Atelier",IF(EL$3="Tous",SUMIFS('Étape 1 - à remplir'!$F$31:$F$400,'Étape 1 - à remplir'!$E$31:$E$400,MASQ2!EC9,'Étape 1 - à remplir'!$G$31:$G$400,"kg"),SUMIFS('Étape 1 - à remplir'!$F$31:$F$400,'Étape 1 - à remplir'!$E$31:$E$400,MASQ2!EC9,'Étape 1 - à remplir'!$O$31:$O$400,EL$3,'Étape 1 - à remplir'!$G$31:$G$400,"kg")),IF(EL$2="Espèce",IF(EL$3="Toutes",SUMIFS('Étape 1 - à remplir'!$F$31:$F$400,'Étape 1 - à remplir'!$E$31:$E$400,MASQ2!EC9,'Étape 1 - à remplir'!$G$31:$G$400,"kg"),SUMIFS('Étape 1 - à remplir'!$F$31:$F$400,'Étape 1 - à remplir'!$E$31:$E$400,MASQ2!EC9,'Étape 1 - à remplir'!$N$31:$N$400,EL$3,'Étape 1 - à remplir'!$G$31:$G$400,"kg"))))))=0,NA(),IF(EL$2="Catégorie",IF(EL$3="Toutes",SUMIFS('Étape 1 - à remplir'!$F$31:$F$400,'Étape 1 - à remplir'!$E$31:$E$400,MASQ2!EC9,'Étape 1 - à remplir'!$G$31:$G$400,"kg"),SUMIFS('Étape 1 - à remplir'!$F$31:$F$400,'Étape 1 - à remplir'!$E$31:$E$400,MASQ2!EC9,'Étape 1 - à remplir'!$C$31:$C$400,EL$3)),IF(EL$2="Âge",IF(EL$3="Tous",SUMIFS('Étape 1 - à remplir'!$F$31:$F$400,'Étape 1 - à remplir'!$E$31:$E$400,MASQ2!EC9,'Étape 1 - à remplir'!$G$31:$G$400,"kg"),SUMIFS('Étape 1 - à remplir'!$F$31:$F$400,'Étape 1 - à remplir'!$E$31:$E$400,MASQ2!EC9,'Étape 1 - à remplir'!$P$31:$P$400,EL$3,'Étape 1 - à remplir'!$G$31:$G$400,"kg")),IF(EL$2="Atelier",IF(EL$3="Tous",SUMIFS('Étape 1 - à remplir'!$F$31:$F$400,'Étape 1 - à remplir'!$E$31:$E$400,MASQ2!EC9,'Étape 1 - à remplir'!$G$31:$G$400,"kg"),SUMIFS('Étape 1 - à remplir'!$F$31:$F$400,'Étape 1 - à remplir'!$E$31:$E$400,MASQ2!EC9,'Étape 1 - à remplir'!$O$31:$O$400,EL$3,'Étape 1 - à remplir'!$G$31:$G$400,"kg")),IF(EL$2="Espèce",IF(EL$3="Toutes",SUMIFS('Étape 1 - à remplir'!$F$31:$F$400,'Étape 1 - à remplir'!$E$31:$E$400,MASQ2!EC9,'Étape 1 - à remplir'!$G$31:$G$400,"kg"),SUMIFS('Étape 1 - à remplir'!$F$31:$F$400,'Étape 1 - à remplir'!$E$31:$E$400,MASQ2!EC9,'Étape 1 - à remplir'!$N$31:$N$400,EL$3,'Étape 1 - à remplir'!$G$31:$G$400,"kg")))))))</f>
        <v>#N/A</v>
      </c>
      <c r="EE9" s="76">
        <f t="shared" si="53"/>
        <v>0</v>
      </c>
      <c r="EF9" t="str">
        <f t="shared" si="20"/>
        <v>Sulfadiméthoxine</v>
      </c>
      <c r="EG9" t="str">
        <f t="shared" si="21"/>
        <v/>
      </c>
      <c r="EH9" t="str">
        <f t="shared" si="22"/>
        <v/>
      </c>
      <c r="EI9" t="str">
        <f t="shared" si="23"/>
        <v>Sulfamides</v>
      </c>
      <c r="EJ9" t="str">
        <f t="shared" si="24"/>
        <v/>
      </c>
      <c r="EK9" s="63" t="str">
        <f t="shared" si="25"/>
        <v/>
      </c>
      <c r="EN9" s="42">
        <v>6</v>
      </c>
      <c r="EO9" t="e">
        <f t="shared" si="54"/>
        <v>#N/A</v>
      </c>
      <c r="EP9" s="63" t="e">
        <f t="shared" si="55"/>
        <v>#N/A</v>
      </c>
      <c r="ER9" s="194" t="str">
        <f t="shared" si="26"/>
        <v/>
      </c>
      <c r="ES9" s="226" t="str">
        <f>IFERROR(IF(EU9=0,"",COUNTIF(EU$4:EU$64,"&gt;"&amp;EU9)+COUNTIF(EU$4:EU9,EU9)),"")</f>
        <v/>
      </c>
      <c r="ET9" t="str">
        <f t="shared" si="27"/>
        <v>Céfalexine</v>
      </c>
      <c r="EU9" s="76" t="e">
        <f t="shared" si="56"/>
        <v>#N/A</v>
      </c>
      <c r="EV9">
        <v>6</v>
      </c>
      <c r="EW9" t="e">
        <f t="shared" si="57"/>
        <v>#N/A</v>
      </c>
      <c r="EX9" s="63" t="e">
        <f t="shared" si="58"/>
        <v>#N/A</v>
      </c>
      <c r="EZ9" s="194" t="str">
        <f t="shared" si="28"/>
        <v>x</v>
      </c>
      <c r="FA9" s="226" t="str">
        <f>IFERROR(IF(FC9=0,"",COUNTIF(FC$4:FC$19,"&gt;"&amp;FC9)+COUNTIF(FC$4:FC9,FC9)),"")</f>
        <v/>
      </c>
      <c r="FB9" t="str">
        <f t="shared" si="29"/>
        <v>Fluoroquinolones</v>
      </c>
      <c r="FC9" s="76" t="e">
        <f t="shared" si="59"/>
        <v>#N/A</v>
      </c>
      <c r="FD9">
        <v>6</v>
      </c>
      <c r="FE9" t="e">
        <f t="shared" si="60"/>
        <v>#N/A</v>
      </c>
      <c r="FF9" s="63" t="e">
        <f t="shared" si="61"/>
        <v>#N/A</v>
      </c>
      <c r="FH9" s="36" t="str">
        <f t="shared" si="65"/>
        <v/>
      </c>
      <c r="FI9" s="35" t="str" cm="1">
        <f t="array" ref="FI9">IF($FH$3="Catégorie",IF(SUMIFS('Étape 1 - à remplir'!$F$31:$F$400,'Étape 1 - à remplir'!$C$31:$C$400,$FH9,'Étape 1 - à remplir'!$M$31:$M$400,MASQ2!FI$4)=0,"",SUMIFS('Étape 1 - à remplir'!$F$31:$F$400,'Étape 1 - à remplir'!$C$31:$C$400,$FH9,'Étape 1 - à remplir'!$M$31:$M$400,MASQ2!FI$4)/INDEX('Étape 1 - à remplir'!$C$19:$L$28,MATCH(MASQ2!$FH9,'Étape 1 - à remplir'!$L$19:$L$28,0),4)),INDEX($FI$44:$FT$73,MATCH($FH9,$FH$44:$FH$73,0),FI$4))</f>
        <v/>
      </c>
      <c r="FJ9" s="35" t="str" cm="1">
        <f t="array" aca="1" ref="FJ9" ca="1">IF($FH$3="Catégorie",IF(SUMIFS('Étape 1 - à remplir'!$F$31:$F$400,'Étape 1 - à remplir'!$C$31:$C$400,$FH9,'Étape 1 - à remplir'!$M$31:$M$400,MASQ2!FJ$4)=0,"",SUMIFS('Étape 1 - à remplir'!$F$31:$F$400,'Étape 1 - à remplir'!$C$31:$C$400,$FH9,'Étape 1 - à remplir'!$M$31:$M$400,MASQ2!FJ$4)/INDEX('Étape 1 - à remplir'!$C$19:$L$28,MATCH(MASQ2!$FH9,'Étape 1 - à remplir'!$L$19:$L$28,0),4)),INDEX($FI$44:$FT$73,MATCH($FH9,$FH$44:$FH$73,0),FJ$4))</f>
        <v/>
      </c>
      <c r="FK9" s="35" t="str" cm="1">
        <f t="array" aca="1" ref="FK9" ca="1">IF($FH$3="Catégorie",IF(SUMIFS('Étape 1 - à remplir'!$F$31:$F$400,'Étape 1 - à remplir'!$C$31:$C$400,$FH9,'Étape 1 - à remplir'!$M$31:$M$400,MASQ2!FK$4)=0,"",SUMIFS('Étape 1 - à remplir'!$F$31:$F$400,'Étape 1 - à remplir'!$C$31:$C$400,$FH9,'Étape 1 - à remplir'!$M$31:$M$400,MASQ2!FK$4)/INDEX('Étape 1 - à remplir'!$C$19:$L$28,MATCH(MASQ2!$FH9,'Étape 1 - à remplir'!$L$19:$L$28,0),4)),INDEX($FI$44:$FT$73,MATCH($FH9,$FH$44:$FH$73,0),FK$4))</f>
        <v/>
      </c>
      <c r="FL9" s="35" t="str" cm="1">
        <f t="array" aca="1" ref="FL9" ca="1">IF($FH$3="Catégorie",IF(SUMIFS('Étape 1 - à remplir'!$F$31:$F$400,'Étape 1 - à remplir'!$C$31:$C$400,$FH9,'Étape 1 - à remplir'!$M$31:$M$400,MASQ2!FL$4)=0,"",SUMIFS('Étape 1 - à remplir'!$F$31:$F$400,'Étape 1 - à remplir'!$C$31:$C$400,$FH9,'Étape 1 - à remplir'!$M$31:$M$400,MASQ2!FL$4)/INDEX('Étape 1 - à remplir'!$C$19:$L$28,MATCH(MASQ2!$FH9,'Étape 1 - à remplir'!$L$19:$L$28,0),4)),INDEX($FI$44:$FT$73,MATCH($FH9,$FH$44:$FH$73,0),FL$4))</f>
        <v/>
      </c>
      <c r="FM9" s="35" t="str" cm="1">
        <f t="array" aca="1" ref="FM9" ca="1">IF($FH$3="Catégorie",IF(SUMIFS('Étape 1 - à remplir'!$F$31:$F$400,'Étape 1 - à remplir'!$C$31:$C$400,$FH9,'Étape 1 - à remplir'!$M$31:$M$400,MASQ2!FM$4)=0,"",SUMIFS('Étape 1 - à remplir'!$F$31:$F$400,'Étape 1 - à remplir'!$C$31:$C$400,$FH9,'Étape 1 - à remplir'!$M$31:$M$400,MASQ2!FM$4)/INDEX('Étape 1 - à remplir'!$C$19:$L$28,MATCH(MASQ2!$FH9,'Étape 1 - à remplir'!$L$19:$L$28,0),4)),INDEX($FI$44:$FT$73,MATCH($FH9,$FH$44:$FH$73,0),FM$4))</f>
        <v/>
      </c>
      <c r="FN9" s="35" t="str" cm="1">
        <f t="array" aca="1" ref="FN9" ca="1">IF($FH$3="Catégorie",IF(SUMIFS('Étape 1 - à remplir'!$F$31:$F$400,'Étape 1 - à remplir'!$C$31:$C$400,$FH9,'Étape 1 - à remplir'!$M$31:$M$400,MASQ2!FN$4)=0,"",SUMIFS('Étape 1 - à remplir'!$F$31:$F$400,'Étape 1 - à remplir'!$C$31:$C$400,$FH9,'Étape 1 - à remplir'!$M$31:$M$400,MASQ2!FN$4)/INDEX('Étape 1 - à remplir'!$C$19:$L$28,MATCH(MASQ2!$FH9,'Étape 1 - à remplir'!$L$19:$L$28,0),4)),INDEX($FI$44:$FT$73,MATCH($FH9,$FH$44:$FH$73,0),FN$4))</f>
        <v/>
      </c>
      <c r="FO9" s="35" t="str" cm="1">
        <f t="array" aca="1" ref="FO9" ca="1">IF($FH$3="Catégorie",IF(SUMIFS('Étape 1 - à remplir'!$F$31:$F$400,'Étape 1 - à remplir'!$C$31:$C$400,$FH9,'Étape 1 - à remplir'!$M$31:$M$400,MASQ2!FO$4)=0,"",SUMIFS('Étape 1 - à remplir'!$F$31:$F$400,'Étape 1 - à remplir'!$C$31:$C$400,$FH9,'Étape 1 - à remplir'!$M$31:$M$400,MASQ2!FO$4)/INDEX('Étape 1 - à remplir'!$C$19:$L$28,MATCH(MASQ2!$FH9,'Étape 1 - à remplir'!$L$19:$L$28,0),4)),INDEX($FI$44:$FT$73,MATCH($FH9,$FH$44:$FH$73,0),FO$4))</f>
        <v/>
      </c>
      <c r="FP9" s="35" t="str" cm="1">
        <f t="array" aca="1" ref="FP9" ca="1">IF($FH$3="Catégorie",IF(SUMIFS('Étape 1 - à remplir'!$F$31:$F$400,'Étape 1 - à remplir'!$C$31:$C$400,$FH9,'Étape 1 - à remplir'!$M$31:$M$400,MASQ2!FP$4)=0,"",SUMIFS('Étape 1 - à remplir'!$F$31:$F$400,'Étape 1 - à remplir'!$C$31:$C$400,$FH9,'Étape 1 - à remplir'!$M$31:$M$400,MASQ2!FP$4)/INDEX('Étape 1 - à remplir'!$C$19:$L$28,MATCH(MASQ2!$FH9,'Étape 1 - à remplir'!$L$19:$L$28,0),4)),INDEX($FI$44:$FT$73,MATCH($FH9,$FH$44:$FH$73,0),FP$4))</f>
        <v/>
      </c>
      <c r="FQ9" s="35" t="str" cm="1">
        <f t="array" aca="1" ref="FQ9" ca="1">IF($FH$3="Catégorie",IF(SUMIFS('Étape 1 - à remplir'!$F$31:$F$400,'Étape 1 - à remplir'!$C$31:$C$400,$FH9,'Étape 1 - à remplir'!$M$31:$M$400,MASQ2!FQ$4)=0,"",SUMIFS('Étape 1 - à remplir'!$F$31:$F$400,'Étape 1 - à remplir'!$C$31:$C$400,$FH9,'Étape 1 - à remplir'!$M$31:$M$400,MASQ2!FQ$4)/INDEX('Étape 1 - à remplir'!$C$19:$L$28,MATCH(MASQ2!$FH9,'Étape 1 - à remplir'!$L$19:$L$28,0),4)),INDEX($FI$44:$FT$73,MATCH($FH9,$FH$44:$FH$73,0),FQ$4))</f>
        <v/>
      </c>
      <c r="FR9" s="35" t="str" cm="1">
        <f t="array" aca="1" ref="FR9" ca="1">IF($FH$3="Catégorie",IF(SUMIFS('Étape 1 - à remplir'!$F$31:$F$400,'Étape 1 - à remplir'!$C$31:$C$400,$FH9,'Étape 1 - à remplir'!$M$31:$M$400,MASQ2!FR$4)=0,"",SUMIFS('Étape 1 - à remplir'!$F$31:$F$400,'Étape 1 - à remplir'!$C$31:$C$400,$FH9,'Étape 1 - à remplir'!$M$31:$M$400,MASQ2!FR$4)/INDEX('Étape 1 - à remplir'!$C$19:$L$28,MATCH(MASQ2!$FH9,'Étape 1 - à remplir'!$L$19:$L$28,0),4)),INDEX($FI$44:$FT$73,MATCH($FH9,$FH$44:$FH$73,0),FR$4))</f>
        <v/>
      </c>
      <c r="FS9" s="35" t="str" cm="1">
        <f t="array" aca="1" ref="FS9" ca="1">IF($FH$3="Catégorie",IF(SUMIFS('Étape 1 - à remplir'!$F$31:$F$400,'Étape 1 - à remplir'!$C$31:$C$400,$FH9,'Étape 1 - à remplir'!$M$31:$M$400,MASQ2!FS$4)=0,"",SUMIFS('Étape 1 - à remplir'!$F$31:$F$400,'Étape 1 - à remplir'!$C$31:$C$400,$FH9,'Étape 1 - à remplir'!$M$31:$M$400,MASQ2!FS$4)/INDEX('Étape 1 - à remplir'!$C$19:$L$28,MATCH(MASQ2!$FH9,'Étape 1 - à remplir'!$L$19:$L$28,0),4)),INDEX($FI$44:$FT$73,MATCH($FH9,$FH$44:$FH$73,0),FS$4))</f>
        <v/>
      </c>
      <c r="FT9" s="35" t="str" cm="1">
        <f t="array" aca="1" ref="FT9" ca="1">IF($FH$3="Catégorie",IF(SUMIFS('Étape 1 - à remplir'!$F$31:$F$400,'Étape 1 - à remplir'!$C$31:$C$400,$FH9,'Étape 1 - à remplir'!$M$31:$M$400,MASQ2!FT$4)=0,"",SUMIFS('Étape 1 - à remplir'!$F$31:$F$400,'Étape 1 - à remplir'!$C$31:$C$400,$FH9,'Étape 1 - à remplir'!$M$31:$M$400,MASQ2!FT$4)/INDEX('Étape 1 - à remplir'!$C$19:$L$28,MATCH(MASQ2!$FH9,'Étape 1 - à remplir'!$L$19:$L$28,0),4)),INDEX($FI$44:$FT$73,MATCH($FH9,$FH$44:$FH$73,0),FT$4))</f>
        <v/>
      </c>
    </row>
    <row r="10" spans="1:176" x14ac:dyDescent="0.3">
      <c r="A10" s="42" t="str">
        <f>IF(D10="","",COUNTIF(D$4:D$13,"&gt;"&amp;D10)+COUNTIF(D$4:D10,D10))</f>
        <v/>
      </c>
      <c r="B10" t="str">
        <f>IF('Étape 1 - à remplir'!L25="","",'Étape 1 - à remplir'!L25)</f>
        <v/>
      </c>
      <c r="C10" t="str">
        <f>IFERROR(IF(INDEX('Étape 1 - à remplir'!G$19:L$28,MATCH(MASQ2!B10,'Étape 1 - à remplir'!L$19:L$28,0),1)="animaux",SUMIF('Étape 1 - à remplir'!C$31:C$400,MASQ2!B10,'Étape 1 - à remplir'!F$31:F$400),NA()),"")</f>
        <v/>
      </c>
      <c r="D10" s="63" t="str">
        <f>IFERROR(C10/INDEX('Étape 1 - à remplir'!F$19:L$28,MATCH(MASQ2!B10,'Étape 1 - à remplir'!L$19:L$28,0),1),"")</f>
        <v/>
      </c>
      <c r="E10" t="str">
        <f>IF(D10="","",COUNTIF(D$4:D$13,"&gt;"&amp;D10)+COUNTIF(D$4:D10,D10))</f>
        <v/>
      </c>
      <c r="F10" s="118" t="str">
        <f>IFERROR(IF(H10="","",COUNTIF(H$4:H$23,"&gt;"&amp;H10)+COUNTIF(H$4:H10,H10)),"")</f>
        <v/>
      </c>
      <c r="G10" t="str">
        <f>Données_ATB!CG9</f>
        <v>Infections de l'utérus (métrite, non-délivrance)</v>
      </c>
      <c r="H10" s="76" t="e">
        <f>IF(IF(X$2="Catégorie",IF(X$3="Toutes",SUMIFS('Étape 1 - à remplir'!F$31:F$400,'Étape 1 - à remplir'!D$31:D$400,MASQ2!G10,'Étape 1 - à remplir'!G$31:G$400,"animaux"),SUMIFS('Étape 1 - à remplir'!F$31:F$400,'Étape 1 - à remplir'!D$31:D$400,MASQ2!G10,'Étape 1 - à remplir'!C$31:C$400,X$3)),IF(X$2="Âge",IF(X$3="Tous",SUMIFS('Étape 1 - à remplir'!F$31:F$400,'Étape 1 - à remplir'!D$31:D$400,MASQ2!G10,'Étape 1 - à remplir'!G$31:G$400,"animaux"),SUMIFS('Étape 1 - à remplir'!F$31:F$400,'Étape 1 - à remplir'!D$31:D$400,MASQ2!G10,'Étape 1 - à remplir'!P$31:P$400,X$3)),IF(X$2="Atelier",IF(X$3="Tous",SUMIFS('Étape 1 - à remplir'!F$31:F$400,'Étape 1 - à remplir'!D$31:D$400,MASQ2!G10,'Étape 1 - à remplir'!G$31:G$400,"animaux"),SUMIFS('Étape 1 - à remplir'!F$31:F$400,'Étape 1 - à remplir'!D$31:D$400,MASQ2!G10,'Étape 1 - à remplir'!O$31:O$400,X$3)),IF(X$2="Espèce",IF(X$3="Toutes",SUMIFS('Étape 1 - à remplir'!F$31:F$400,'Étape 1 - à remplir'!D$31:D$400,MASQ2!G10,'Étape 1 - à remplir'!G$31:G$400,"animaux"),SUMIFS('Étape 1 - à remplir'!F$31:F$400,'Étape 1 - à remplir'!D$31:D$400,MASQ2!G10,'Étape 1 - à remplir'!N$31:N$400,X$3))))))=0,NA(),IF(X$2="Catégorie",IF(X$3="Toutes",SUMIFS('Étape 1 - à remplir'!F$31:F$400,'Étape 1 - à remplir'!D$31:D$400,MASQ2!G10,'Étape 1 - à remplir'!G$31:G$400,"animaux"),SUMIFS('Étape 1 - à remplir'!F$31:F$400,'Étape 1 - à remplir'!D$31:D$400,MASQ2!G10,'Étape 1 - à remplir'!C$31:C$400,X$3)),IF(X$2="Âge",IF(X$3="Tous",SUMIFS('Étape 1 - à remplir'!F$31:F$400,'Étape 1 - à remplir'!D$31:D$400,MASQ2!G10,'Étape 1 - à remplir'!G$31:G$400,"animaux"),SUMIFS('Étape 1 - à remplir'!F$31:F$400,'Étape 1 - à remplir'!D$31:D$400,MASQ2!G10,'Étape 1 - à remplir'!P$31:P$400,X$3)),IF(X$2="Atelier",IF(X$3="Tous",SUMIFS('Étape 1 - à remplir'!F$31:F$400,'Étape 1 - à remplir'!D$31:D$400,MASQ2!G10,'Étape 1 - à remplir'!G$31:G$400,"animaux"),SUMIFS('Étape 1 - à remplir'!F$31:F$400,'Étape 1 - à remplir'!D$31:D$400,MASQ2!G10,'Étape 1 - à remplir'!O$31:O$400,X$3)),IF(X$2="Espèce",IF(X$3="Tous",SUMIFS('Étape 1 - à remplir'!F$31:F$400,'Étape 1 - à remplir'!D$31:D$400,MASQ2!G10,'Étape 1 - à remplir'!G$31:G$400,"animaux"),SUMIFS('Étape 1 - à remplir'!F$31:F$400,'Étape 1 - à remplir'!D$31:D$400,MASQ2!G10,'Étape 1 - à remplir'!N$31:N$400,X$3)))))))</f>
        <v>#N/A</v>
      </c>
      <c r="I10" s="118">
        <v>7</v>
      </c>
      <c r="J10" t="e">
        <f t="shared" ref="J10:J18" si="66">INDEX(F$4:H$23,MATCH(I10,F$4:F$23,0),2)</f>
        <v>#N/A</v>
      </c>
      <c r="K10" s="76" t="e">
        <f t="shared" ref="K10:K18" si="67">INDEX(F$4:H$23,MATCH(I10,F$4:F$23,0),3)</f>
        <v>#N/A</v>
      </c>
      <c r="M10" s="194" t="str">
        <f ca="1">INDEX(Données_ATB!BD:BU,MATCH(MASQ2!O10,Données_ATB!BD:BD,0),18)</f>
        <v>x</v>
      </c>
      <c r="N10" s="14" t="str">
        <f>IFERROR(IF(Q10=0,"",COUNTIF(Q$4:Q$600,"&gt;"&amp;Q10)+COUNTIF(Q$4:Q10,Q10)),"")</f>
        <v/>
      </c>
      <c r="O10" t="str">
        <f>Données_ATB!BD9</f>
        <v>ACTIONIS 50 MG/ML SUSPENSION INJECTABLE POUR PORCINS ET BOVINS</v>
      </c>
      <c r="P10" t="e">
        <f>IF(IF(X$2="Catégorie",IF(X$3="Toutes",SUMIFS('Étape 1 - à remplir'!$F$31:$F$400,'Étape 1 - à remplir'!$E$31:$E$400,MASQ2!O10,'Étape 1 - à remplir'!$G$31:$G$400,"animaux"),SUMIFS('Étape 1 - à remplir'!$F$31:$F$400,'Étape 1 - à remplir'!$E$31:$E$400,MASQ2!O10,'Étape 1 - à remplir'!$C$31:$C$400,X$3)),IF(X$2="Âge",IF(X$3="Tous",SUMIFS('Étape 1 - à remplir'!$F$31:$F$400,'Étape 1 - à remplir'!$E$31:$E$400,MASQ2!O10,'Étape 1 - à remplir'!$G$31:$G$400,"animaux"),SUMIFS('Étape 1 - à remplir'!$F$31:$F$400,'Étape 1 - à remplir'!$E$31:$E$400,MASQ2!O10,'Étape 1 - à remplir'!$P$31:$P$400,X$3)),IF(X$2="Atelier",IF(X$3="Tous",SUMIFS('Étape 1 - à remplir'!$F$31:$F$400,'Étape 1 - à remplir'!$E$31:$E$400,MASQ2!O10,'Étape 1 - à remplir'!$G$31:$G$400,"animaux"),SUMIFS('Étape 1 - à remplir'!$F$31:$F$400,'Étape 1 - à remplir'!$E$31:$E$400,MASQ2!O10,'Étape 1 - à remplir'!$O$31:$O$400,X$3)),IF(X$2="Espèce",IF(X$3="Toutes",SUMIFS('Étape 1 - à remplir'!$F$31:$F$400,'Étape 1 - à remplir'!$E$31:$E$400,MASQ2!O10,'Étape 1 - à remplir'!$G$31:$G$400,"animaux"),SUMIFS('Étape 1 - à remplir'!$F$31:$F$400,'Étape 1 - à remplir'!$E$31:$E$400,MASQ2!O10,'Étape 1 - à remplir'!$N$31:$N$400,X$3))))))=0,NA(),IF(X$2="Catégorie",IF(X$3="Toutes",SUMIFS('Étape 1 - à remplir'!$F$31:$F$400,'Étape 1 - à remplir'!$E$31:$E$400,MASQ2!O10,'Étape 1 - à remplir'!$G$31:$G$400,"animaux"),SUMIFS('Étape 1 - à remplir'!$F$31:$F$400,'Étape 1 - à remplir'!$E$31:$E$400,MASQ2!O10,'Étape 1 - à remplir'!$C$31:$C$400,X$3)),IF(X$2="Âge",IF(X$3="Tous",SUMIFS('Étape 1 - à remplir'!$F$31:$F$400,'Étape 1 - à remplir'!$E$31:$E$400,MASQ2!O10,'Étape 1 - à remplir'!$G$31:$G$400,"animaux"),SUMIFS('Étape 1 - à remplir'!$F$31:$F$400,'Étape 1 - à remplir'!$E$31:$E$400,MASQ2!O10,'Étape 1 - à remplir'!$P$31:$P$400,X$3)),IF(X$2="Atelier",IF(X$3="Tous",SUMIFS('Étape 1 - à remplir'!$F$31:$F$400,'Étape 1 - à remplir'!$E$31:$E$400,MASQ2!O10,'Étape 1 - à remplir'!$G$31:$G$400,"animaux"),SUMIFS('Étape 1 - à remplir'!$F$31:$F$400,'Étape 1 - à remplir'!$E$31:$E$400,MASQ2!O10,'Étape 1 - à remplir'!$O$31:$O$400,X$3)),IF(X$2="Espèce",IF(X$3="Toutes",SUMIFS('Étape 1 - à remplir'!$F$31:$F$400,'Étape 1 - à remplir'!$E$31:$E$400,MASQ2!O10,'Étape 1 - à remplir'!$G$31:$G$400,"animaux"),SUMIFS('Étape 1 - à remplir'!$F$31:$F$400,'Étape 1 - à remplir'!$E$31:$E$400,MASQ2!O10,'Étape 1 - à remplir'!$N$31:$N$400,X$3)))))))</f>
        <v>#N/A</v>
      </c>
      <c r="Q10" s="63">
        <f t="shared" si="62"/>
        <v>0</v>
      </c>
      <c r="R10" t="str">
        <f>Données_ATB!BM9</f>
        <v>Ceftiofur</v>
      </c>
      <c r="S10" t="str">
        <f>Données_ATB!BN9</f>
        <v/>
      </c>
      <c r="T10" s="63" t="str">
        <f>Données_ATB!BO9</f>
        <v/>
      </c>
      <c r="U10" s="42" t="str">
        <f>Données_ATB!BQ9</f>
        <v>Cephalosporines 3&amp;4G</v>
      </c>
      <c r="V10" t="str">
        <f>Données_ATB!BR9</f>
        <v/>
      </c>
      <c r="W10" s="63" t="str">
        <f>Données_ATB!BS9</f>
        <v/>
      </c>
      <c r="Z10" s="42">
        <v>7</v>
      </c>
      <c r="AA10" t="e">
        <f t="shared" si="32"/>
        <v>#N/A</v>
      </c>
      <c r="AB10" s="63" t="e">
        <f t="shared" si="33"/>
        <v>#N/A</v>
      </c>
      <c r="AD10" s="194" t="str">
        <f>IF(AF10="Colistine","x",IF(INDEX(Données_ATB!CA$3:CB$63,MATCH(AF10,Données_ATB!CA$3:CA$63,0),2)="Fluoroquinolones","x",IF(INDEX(Données_ATB!CA$3:CB$63,MATCH(AF10,Données_ATB!CA$3:CA$63,0),2)="Cephalosporines 3&amp;4G","x","")))</f>
        <v/>
      </c>
      <c r="AE10" s="219" t="str">
        <f>IFERROR(IF(AG10=0,"",COUNTIF(AG$4:AG$64,"&gt;"&amp;AG10)+COUNTIF(AG$4:AG10,AG10)),"")</f>
        <v/>
      </c>
      <c r="AF10" s="42" t="str">
        <f>Données_ATB!CA9</f>
        <v>Céfalonium</v>
      </c>
      <c r="AG10" s="63" t="e">
        <f t="shared" si="34"/>
        <v>#N/A</v>
      </c>
      <c r="AH10" s="42">
        <v>7</v>
      </c>
      <c r="AI10" t="e">
        <f t="shared" si="35"/>
        <v>#N/A</v>
      </c>
      <c r="AJ10" s="63" t="e">
        <f t="shared" si="36"/>
        <v>#N/A</v>
      </c>
      <c r="AL10" s="194" t="str">
        <f t="shared" si="37"/>
        <v/>
      </c>
      <c r="AM10" s="14" t="str">
        <f>IFERROR(IF(AO10=0,"",COUNTIF(AO$4:AO$19,"&gt;"&amp;AO10)+COUNTIF(AO$4:AO10,AO10)),"")</f>
        <v/>
      </c>
      <c r="AN10" t="str">
        <f>Données_ATB!BX9</f>
        <v>Lincosamides</v>
      </c>
      <c r="AO10" s="76" t="e">
        <f t="shared" si="3"/>
        <v>#N/A</v>
      </c>
      <c r="AP10">
        <v>7</v>
      </c>
      <c r="AQ10" t="e">
        <f t="shared" si="38"/>
        <v>#N/A</v>
      </c>
      <c r="AR10" s="63" t="e">
        <f t="shared" si="39"/>
        <v>#N/A</v>
      </c>
      <c r="AT10" s="36" t="str">
        <f t="shared" si="63"/>
        <v/>
      </c>
      <c r="AU10" s="36" t="str" cm="1">
        <f t="array" ref="AU10">IF($AT$3="Catégorie",IF(SUMIFS('Étape 1 - à remplir'!$F$31:$F$400,'Étape 1 - à remplir'!$C$31:$C$400,$AT10,'Étape 1 - à remplir'!$M$31:$M$400,MASQ2!AU$4)=0,"",SUMIFS('Étape 1 - à remplir'!$F$31:$F$400,'Étape 1 - à remplir'!$C$31:$C$400,$AT10,'Étape 1 - à remplir'!$M$31:$M$400,MASQ2!AU$4)/INDEX('Étape 1 - à remplir'!$C$19:$L$28,MATCH(MASQ2!$AT10,'Étape 1 - à remplir'!$L$19:$L$28,0),4)),INDEX($AU$44:$BF$73,MATCH($AT10,$AT$44:$AT$73,0),AU$4))</f>
        <v/>
      </c>
      <c r="AV10" s="36" t="str" cm="1">
        <f t="array" aca="1" ref="AV10" ca="1">IF($AT$3="Catégorie",IF(SUMIFS('Étape 1 - à remplir'!$F$31:$F$400,'Étape 1 - à remplir'!$C$31:$C$400,$AT10,'Étape 1 - à remplir'!$M$31:$M$400,MASQ2!AV$4)=0,"",SUMIFS('Étape 1 - à remplir'!$F$31:$F$400,'Étape 1 - à remplir'!$C$31:$C$400,$AT10,'Étape 1 - à remplir'!$M$31:$M$400,MASQ2!AV$4)/INDEX('Étape 1 - à remplir'!$C$19:$L$28,MATCH(MASQ2!$AT10,'Étape 1 - à remplir'!$L$19:$L$28,0),4)),INDEX($AU$44:$BF$73,MATCH($AT10,$AT$44:$AT$73,0),AV$4))</f>
        <v/>
      </c>
      <c r="AW10" s="36" t="str" cm="1">
        <f t="array" aca="1" ref="AW10" ca="1">IF($AT$3="Catégorie",IF(SUMIFS('Étape 1 - à remplir'!$F$31:$F$400,'Étape 1 - à remplir'!$C$31:$C$400,$AT10,'Étape 1 - à remplir'!$M$31:$M$400,MASQ2!AW$4)=0,"",SUMIFS('Étape 1 - à remplir'!$F$31:$F$400,'Étape 1 - à remplir'!$C$31:$C$400,$AT10,'Étape 1 - à remplir'!$M$31:$M$400,MASQ2!AW$4)/INDEX('Étape 1 - à remplir'!$C$19:$L$28,MATCH(MASQ2!$AT10,'Étape 1 - à remplir'!$L$19:$L$28,0),4)),INDEX($AU$44:$BF$73,MATCH($AT10,$AT$44:$AT$73,0),AW$4))</f>
        <v/>
      </c>
      <c r="AX10" s="36" t="str" cm="1">
        <f t="array" aca="1" ref="AX10" ca="1">IF($AT$3="Catégorie",IF(SUMIFS('Étape 1 - à remplir'!$F$31:$F$400,'Étape 1 - à remplir'!$C$31:$C$400,$AT10,'Étape 1 - à remplir'!$M$31:$M$400,MASQ2!AX$4)=0,"",SUMIFS('Étape 1 - à remplir'!$F$31:$F$400,'Étape 1 - à remplir'!$C$31:$C$400,$AT10,'Étape 1 - à remplir'!$M$31:$M$400,MASQ2!AX$4)/INDEX('Étape 1 - à remplir'!$C$19:$L$28,MATCH(MASQ2!$AT10,'Étape 1 - à remplir'!$L$19:$L$28,0),4)),INDEX($AU$44:$BF$73,MATCH($AT10,$AT$44:$AT$73,0),AX$4))</f>
        <v/>
      </c>
      <c r="AY10" s="36" t="str" cm="1">
        <f t="array" aca="1" ref="AY10" ca="1">IF($AT$3="Catégorie",IF(SUMIFS('Étape 1 - à remplir'!$F$31:$F$400,'Étape 1 - à remplir'!$C$31:$C$400,$AT10,'Étape 1 - à remplir'!$M$31:$M$400,MASQ2!AY$4)=0,"",SUMIFS('Étape 1 - à remplir'!$F$31:$F$400,'Étape 1 - à remplir'!$C$31:$C$400,$AT10,'Étape 1 - à remplir'!$M$31:$M$400,MASQ2!AY$4)/INDEX('Étape 1 - à remplir'!$C$19:$L$28,MATCH(MASQ2!$AT10,'Étape 1 - à remplir'!$L$19:$L$28,0),4)),INDEX($AU$44:$BF$73,MATCH($AT10,$AT$44:$AT$73,0),AY$4))</f>
        <v/>
      </c>
      <c r="AZ10" s="36" t="str" cm="1">
        <f t="array" aca="1" ref="AZ10" ca="1">IF($AT$3="Catégorie",IF(SUMIFS('Étape 1 - à remplir'!$F$31:$F$400,'Étape 1 - à remplir'!$C$31:$C$400,$AT10,'Étape 1 - à remplir'!$M$31:$M$400,MASQ2!AZ$4)=0,"",SUMIFS('Étape 1 - à remplir'!$F$31:$F$400,'Étape 1 - à remplir'!$C$31:$C$400,$AT10,'Étape 1 - à remplir'!$M$31:$M$400,MASQ2!AZ$4)/INDEX('Étape 1 - à remplir'!$C$19:$L$28,MATCH(MASQ2!$AT10,'Étape 1 - à remplir'!$L$19:$L$28,0),4)),INDEX($AU$44:$BF$73,MATCH($AT10,$AT$44:$AT$73,0),AZ$4))</f>
        <v/>
      </c>
      <c r="BA10" s="36" t="str" cm="1">
        <f t="array" aca="1" ref="BA10" ca="1">IF($AT$3="Catégorie",IF(SUMIFS('Étape 1 - à remplir'!$F$31:$F$400,'Étape 1 - à remplir'!$C$31:$C$400,$AT10,'Étape 1 - à remplir'!$M$31:$M$400,MASQ2!BA$4)=0,"",SUMIFS('Étape 1 - à remplir'!$F$31:$F$400,'Étape 1 - à remplir'!$C$31:$C$400,$AT10,'Étape 1 - à remplir'!$M$31:$M$400,MASQ2!BA$4)/INDEX('Étape 1 - à remplir'!$C$19:$L$28,MATCH(MASQ2!$AT10,'Étape 1 - à remplir'!$L$19:$L$28,0),4)),INDEX($AU$44:$BF$73,MATCH($AT10,$AT$44:$AT$73,0),BA$4))</f>
        <v/>
      </c>
      <c r="BB10" s="36" t="str" cm="1">
        <f t="array" aca="1" ref="BB10" ca="1">IF($AT$3="Catégorie",IF(SUMIFS('Étape 1 - à remplir'!$F$31:$F$400,'Étape 1 - à remplir'!$C$31:$C$400,$AT10,'Étape 1 - à remplir'!$M$31:$M$400,MASQ2!BB$4)=0,"",SUMIFS('Étape 1 - à remplir'!$F$31:$F$400,'Étape 1 - à remplir'!$C$31:$C$400,$AT10,'Étape 1 - à remplir'!$M$31:$M$400,MASQ2!BB$4)/INDEX('Étape 1 - à remplir'!$C$19:$L$28,MATCH(MASQ2!$AT10,'Étape 1 - à remplir'!$L$19:$L$28,0),4)),INDEX($AU$44:$BF$73,MATCH($AT10,$AT$44:$AT$73,0),BB$4))</f>
        <v/>
      </c>
      <c r="BC10" s="36" t="str" cm="1">
        <f t="array" aca="1" ref="BC10" ca="1">IF($AT$3="Catégorie",IF(SUMIFS('Étape 1 - à remplir'!$F$31:$F$400,'Étape 1 - à remplir'!$C$31:$C$400,$AT10,'Étape 1 - à remplir'!$M$31:$M$400,MASQ2!BC$4)=0,"",SUMIFS('Étape 1 - à remplir'!$F$31:$F$400,'Étape 1 - à remplir'!$C$31:$C$400,$AT10,'Étape 1 - à remplir'!$M$31:$M$400,MASQ2!BC$4)/INDEX('Étape 1 - à remplir'!$C$19:$L$28,MATCH(MASQ2!$AT10,'Étape 1 - à remplir'!$L$19:$L$28,0),4)),INDEX($AU$44:$BF$73,MATCH($AT10,$AT$44:$AT$73,0),BC$4))</f>
        <v/>
      </c>
      <c r="BD10" s="36" t="str" cm="1">
        <f t="array" aca="1" ref="BD10" ca="1">IF($AT$3="Catégorie",IF(SUMIFS('Étape 1 - à remplir'!$F$31:$F$400,'Étape 1 - à remplir'!$C$31:$C$400,$AT10,'Étape 1 - à remplir'!$M$31:$M$400,MASQ2!BD$4)=0,"",SUMIFS('Étape 1 - à remplir'!$F$31:$F$400,'Étape 1 - à remplir'!$C$31:$C$400,$AT10,'Étape 1 - à remplir'!$M$31:$M$400,MASQ2!BD$4)/INDEX('Étape 1 - à remplir'!$C$19:$L$28,MATCH(MASQ2!$AT10,'Étape 1 - à remplir'!$L$19:$L$28,0),4)),INDEX($AU$44:$BF$73,MATCH($AT10,$AT$44:$AT$73,0),BD$4))</f>
        <v/>
      </c>
      <c r="BE10" s="36" t="str" cm="1">
        <f t="array" aca="1" ref="BE10" ca="1">IF($AT$3="Catégorie",IF(SUMIFS('Étape 1 - à remplir'!$F$31:$F$400,'Étape 1 - à remplir'!$C$31:$C$400,$AT10,'Étape 1 - à remplir'!$M$31:$M$400,MASQ2!BE$4)=0,"",SUMIFS('Étape 1 - à remplir'!$F$31:$F$400,'Étape 1 - à remplir'!$C$31:$C$400,$AT10,'Étape 1 - à remplir'!$M$31:$M$400,MASQ2!BE$4)/INDEX('Étape 1 - à remplir'!$C$19:$L$28,MATCH(MASQ2!$AT10,'Étape 1 - à remplir'!$L$19:$L$28,0),4)),INDEX($AU$44:$BF$73,MATCH($AT10,$AT$44:$AT$73,0),BE$4))</f>
        <v/>
      </c>
      <c r="BF10" s="36" t="str" cm="1">
        <f t="array" aca="1" ref="BF10" ca="1">IF($AT$3="Catégorie",IF(SUMIFS('Étape 1 - à remplir'!$F$31:$F$400,'Étape 1 - à remplir'!$C$31:$C$400,$AT10,'Étape 1 - à remplir'!$M$31:$M$400,MASQ2!BF$4)=0,"",SUMIFS('Étape 1 - à remplir'!$F$31:$F$400,'Étape 1 - à remplir'!$C$31:$C$400,$AT10,'Étape 1 - à remplir'!$M$31:$M$400,MASQ2!BF$4)/INDEX('Étape 1 - à remplir'!$C$19:$L$28,MATCH(MASQ2!$AT10,'Étape 1 - à remplir'!$L$19:$L$28,0),4)),INDEX($AU$44:$BF$73,MATCH($AT10,$AT$44:$AT$73,0),BF$4))</f>
        <v/>
      </c>
      <c r="BH10" s="42" t="e">
        <f>IF(BK10="","",COUNTIF(BK$4:BK$13,"&gt;"&amp;BK10)+COUNTIF(BK$4:BK10,BK10))</f>
        <v>#N/A</v>
      </c>
      <c r="BI10" t="str">
        <f>'Étape 1 - à remplir'!L25</f>
        <v/>
      </c>
      <c r="BJ10" t="e">
        <f>IF(INDEX('Étape 1 - à remplir'!G$19:L$28,MATCH(BI10,'Étape 1 - à remplir'!L$19:L$28,0),1)="lots",SUMIF('Étape 1 - à remplir'!C$31:C$400,BI10,'Étape 1 - à remplir'!F$31:F$400),NA())</f>
        <v>#N/A</v>
      </c>
      <c r="BK10" s="76" t="e">
        <f>BJ10/INDEX('Étape 1 - à remplir'!F$19:L$28,MATCH(BI10,'Étape 1 - à remplir'!L$19:L$28,0),1)</f>
        <v>#N/A</v>
      </c>
      <c r="BM10" s="42" t="e">
        <f>IF(BO10="","",COUNTIF(BO$4:BO$23,"&gt;"&amp;BO10)+COUNTIF(BO$4:BO10,BO10))</f>
        <v>#N/A</v>
      </c>
      <c r="BN10" t="str">
        <f t="shared" si="4"/>
        <v>Infections de l'utérus (métrite, non-délivrance)</v>
      </c>
      <c r="BO10" s="76" t="e">
        <f>IF(IF(CE$2="Catégorie",IF(CE$3="Toutes",SUMIFS('Étape 1 - à remplir'!$F$31:$F$400,'Étape 1 - à remplir'!$D$31:$D$400,MASQ2!BN10,'Étape 1 - à remplir'!$G$31:$G$400,"lots"),SUMIFS('Étape 1 - à remplir'!$F$31:$F$400,'Étape 1 - à remplir'!$D$31:$D$400,MASQ2!BN10,'Étape 1 - à remplir'!$C$31:$C$400,CE$3,'Étape 1 - à remplir'!$G$31:$G$400,"lots")),IF(CE$2="Âge",IF(CE$3="Tous",SUMIFS('Étape 1 - à remplir'!$F$31:$F$400,'Étape 1 - à remplir'!$D$31:$D$400,MASQ2!BN10,'Étape 1 - à remplir'!$G$31:$G$400,"lots"),SUMIFS('Étape 1 - à remplir'!$F$31:$F$400,'Étape 1 - à remplir'!$D$31:$D$400,MASQ2!BN10,'Étape 1 - à remplir'!$P$31:$P$400,CE$3,'Étape 1 - à remplir'!$G$31:$G$400,"lots")),IF(CE$2="Atelier",IF(CE$3="Tous",SUMIFS('Étape 1 - à remplir'!$F$31:$F$400,'Étape 1 - à remplir'!$D$31:$D$400,MASQ2!BN10,'Étape 1 - à remplir'!$G$31:$G$400,"lots"),SUMIFS('Étape 1 - à remplir'!$F$31:$F$400,'Étape 1 - à remplir'!$D$31:$D$400,MASQ2!BN10,'Étape 1 - à remplir'!$O$31:$O$400,CE$3,'Étape 1 - à remplir'!$G$31:$G$400,"lots")),IF(CE$2="Espèce",IF(CE$3="Toutes",SUMIFS('Étape 1 - à remplir'!$F$31:$F$400,'Étape 1 - à remplir'!$D$31:$D$400,MASQ2!BN10,'Étape 1 - à remplir'!$G$31:$G$400,"lots"),SUMIFS('Étape 1 - à remplir'!$F$31:$F$400,'Étape 1 - à remplir'!$D$31:$D$400,MASQ2!BN10,'Étape 1 - à remplir'!$N$31:$N$400,CE$3,'Étape 1 - à remplir'!$G$31:$G$400,"lots"))))))=0,NA(),IF(CE$2="Catégorie",IF(CE$3="Toutes",SUMIFS('Étape 1 - à remplir'!$F$31:$F$400,'Étape 1 - à remplir'!$D$31:$D$400,MASQ2!BN10,'Étape 1 - à remplir'!$G$31:$G$400,"lots"),SUMIFS('Étape 1 - à remplir'!$F$31:$F$400,'Étape 1 - à remplir'!$D$31:$D$400,MASQ2!BN10,'Étape 1 - à remplir'!$C$31:$C$400,CE$3,'Étape 1 - à remplir'!$G$31:$G$400,"lots")),IF(CE$2="Âge",IF(CE$3="Tous",SUMIFS('Étape 1 - à remplir'!$F$31:$F$400,'Étape 1 - à remplir'!$D$31:$D$400,MASQ2!BN10,'Étape 1 - à remplir'!$G$31:$G$400,"lots"),SUMIFS('Étape 1 - à remplir'!$F$31:$F$400,'Étape 1 - à remplir'!$D$31:$D$400,MASQ2!BN10,'Étape 1 - à remplir'!$P$31:$P$400,CE$3,'Étape 1 - à remplir'!$G$31:$G$400,"lots")),IF(CE$2="Atelier",IF(CE$3="Tous",SUMIFS('Étape 1 - à remplir'!$F$31:$F$400,'Étape 1 - à remplir'!$D$31:$D$400,MASQ2!BN10,'Étape 1 - à remplir'!$G$31:$G$400,"lots"),SUMIFS('Étape 1 - à remplir'!$F$31:$F$400,'Étape 1 - à remplir'!$D$31:$D$400,MASQ2!BN10,'Étape 1 - à remplir'!$O$31:$O$400,CE$3,'Étape 1 - à remplir'!$G$31:$G$400,"lots")),IF(CE$2="Espèce",IF(CE$3="Toutes",SUMIFS('Étape 1 - à remplir'!$F$31:$F$400,'Étape 1 - à remplir'!$D$31:$D$400,MASQ2!BN10,'Étape 1 - à remplir'!$G$31:$G$400,"lots"),SUMIFS('Étape 1 - à remplir'!$F$31:$F$400,'Étape 1 - à remplir'!$D$31:$D$400,MASQ2!BN10,'Étape 1 - à remplir'!$N$31:$N$400,CE$3,'Étape 1 - à remplir'!$G$31:$G$400,"lots")))))))</f>
        <v>#N/A</v>
      </c>
      <c r="BP10">
        <v>7</v>
      </c>
      <c r="BQ10" t="e">
        <f t="shared" si="40"/>
        <v>#N/A</v>
      </c>
      <c r="BR10" s="63" t="e">
        <f t="shared" si="41"/>
        <v>#N/A</v>
      </c>
      <c r="BT10" s="194" t="str">
        <f t="shared" ca="1" si="5"/>
        <v>x</v>
      </c>
      <c r="BU10" s="219" t="str">
        <f>IFERROR(IF(BX10=0,"",COUNTIF(BX$4:BX$600,"&gt;"&amp;BX10)+COUNTIF(BX$4:BX10,BX10)),"")</f>
        <v/>
      </c>
      <c r="BV10" s="42" t="str">
        <f t="shared" si="6"/>
        <v>ACTIONIS 50 MG/ML SUSPENSION INJECTABLE POUR PORCINS ET BOVINS</v>
      </c>
      <c r="BW10" t="e">
        <f>IF(IF(CE$2="Catégorie",IF(CE$3="Toutes",SUMIFS('Étape 1 - à remplir'!$F$31:$F$400,'Étape 1 - à remplir'!$E$31:$E$400,MASQ2!BV10,'Étape 1 - à remplir'!$G$31:$G$400,"lots"),SUMIFS('Étape 1 - à remplir'!$F$31:$F$400,'Étape 1 - à remplir'!$E$31:$E$400,MASQ2!BV10,'Étape 1 - à remplir'!$C$31:$C$400,CE$3)),IF(CE$2="Âge",IF(CE$3="Tous",SUMIFS('Étape 1 - à remplir'!$F$31:$F$400,'Étape 1 - à remplir'!$E$31:$E$400,MASQ2!BV10,'Étape 1 - à remplir'!$G$31:$G$400,"lots"),SUMIFS('Étape 1 - à remplir'!$F$31:$F$400,'Étape 1 - à remplir'!$E$31:$E$400,MASQ2!BV10,'Étape 1 - à remplir'!$P$31:$P$400,CE$3,'Étape 1 - à remplir'!$G$31:$G$400,"lots")),IF(CE$2="Atelier",IF(CE$3="Tous",SUMIFS('Étape 1 - à remplir'!$F$31:$F$400,'Étape 1 - à remplir'!$E$31:$E$400,MASQ2!BV10,'Étape 1 - à remplir'!$G$31:$G$400,"lots"),SUMIFS('Étape 1 - à remplir'!$F$31:$F$400,'Étape 1 - à remplir'!$E$31:$E$400,MASQ2!BV10,'Étape 1 - à remplir'!$O$31:$O$400,CE$3,'Étape 1 - à remplir'!$G$31:$G$400,"lots")),IF(CE$2="Espèce",IF(CE$3="Toutes",SUMIFS('Étape 1 - à remplir'!$F$31:$F$400,'Étape 1 - à remplir'!$E$31:$E$400,MASQ2!BV10,'Étape 1 - à remplir'!$G$31:$G$400,"lots"),SUMIFS('Étape 1 - à remplir'!$F$31:$F$400,'Étape 1 - à remplir'!$E$31:$E$400,MASQ2!BV10,'Étape 1 - à remplir'!$N$31:$N$400,CE$3,'Étape 1 - à remplir'!$G$31:$G$400,"lots"))))))=0,NA(),IF(CE$2="Catégorie",IF(CE$3="Toutes",SUMIFS('Étape 1 - à remplir'!$F$31:$F$400,'Étape 1 - à remplir'!$E$31:$E$400,MASQ2!BV10,'Étape 1 - à remplir'!$G$31:$G$400,"lots"),SUMIFS('Étape 1 - à remplir'!$F$31:$F$400,'Étape 1 - à remplir'!$E$31:$E$400,MASQ2!BV10,'Étape 1 - à remplir'!$C$31:$C$400,CE$3)),IF(CE$2="Âge",IF(CE$3="Tous",SUMIFS('Étape 1 - à remplir'!$F$31:$F$400,'Étape 1 - à remplir'!$E$31:$E$400,MASQ2!BV10,'Étape 1 - à remplir'!$G$31:$G$400,"lots"),SUMIFS('Étape 1 - à remplir'!$F$31:$F$400,'Étape 1 - à remplir'!$E$31:$E$400,MASQ2!BV10,'Étape 1 - à remplir'!$P$31:$P$400,CE$3,'Étape 1 - à remplir'!$G$31:$G$400,"lots")),IF(CE$2="Atelier",IF(CE$3="Tous",SUMIFS('Étape 1 - à remplir'!$F$31:$F$400,'Étape 1 - à remplir'!$E$31:$E$400,MASQ2!BV10,'Étape 1 - à remplir'!$G$31:$G$400,"lots"),SUMIFS('Étape 1 - à remplir'!$F$31:$F$400,'Étape 1 - à remplir'!$E$31:$E$400,MASQ2!BV10,'Étape 1 - à remplir'!$O$31:$O$400,CE$3,'Étape 1 - à remplir'!$G$31:$G$400,"lots")),IF(CE$2="Espèce",IF(CE$3="Toutes",SUMIFS('Étape 1 - à remplir'!$F$31:$F$400,'Étape 1 - à remplir'!$E$31:$E$400,MASQ2!BV10,'Étape 1 - à remplir'!$G$31:$G$400,"lots"),SUMIFS('Étape 1 - à remplir'!$F$31:$F$400,'Étape 1 - à remplir'!$E$31:$E$400,MASQ2!BV10,'Étape 1 - à remplir'!$N$31:$N$400,CE$3,'Étape 1 - à remplir'!$G$31:$G$400,"lots")))))))</f>
        <v>#N/A</v>
      </c>
      <c r="BX10">
        <f t="shared" si="42"/>
        <v>0</v>
      </c>
      <c r="BY10" t="str">
        <f t="shared" si="7"/>
        <v>Ceftiofur</v>
      </c>
      <c r="BZ10" t="str">
        <f t="shared" si="8"/>
        <v/>
      </c>
      <c r="CA10" t="str">
        <f t="shared" si="9"/>
        <v/>
      </c>
      <c r="CB10" t="str">
        <f t="shared" si="10"/>
        <v>Cephalosporines 3&amp;4G</v>
      </c>
      <c r="CC10" t="str">
        <f t="shared" si="11"/>
        <v/>
      </c>
      <c r="CD10" s="63" t="str">
        <f t="shared" si="12"/>
        <v/>
      </c>
      <c r="CG10" s="42">
        <v>7</v>
      </c>
      <c r="CH10" s="42" t="e">
        <f t="shared" si="43"/>
        <v>#N/A</v>
      </c>
      <c r="CI10" s="63" t="e">
        <f t="shared" si="44"/>
        <v>#N/A</v>
      </c>
      <c r="CK10" s="194" t="str">
        <f t="shared" si="13"/>
        <v/>
      </c>
      <c r="CL10" s="226" t="str">
        <f>IFERROR(IF(CN10=0,"",COUNTIF(CN$4:CN$64,"&gt;"&amp;CN10)+COUNTIF(CN$4:CN10,CN10)),"")</f>
        <v/>
      </c>
      <c r="CM10" t="str">
        <f t="shared" si="14"/>
        <v>Céfalonium</v>
      </c>
      <c r="CN10" s="76" t="e">
        <f t="shared" si="45"/>
        <v>#N/A</v>
      </c>
      <c r="CO10">
        <v>7</v>
      </c>
      <c r="CP10" t="e">
        <f t="shared" si="46"/>
        <v>#N/A</v>
      </c>
      <c r="CQ10" s="63" t="e">
        <f t="shared" si="47"/>
        <v>#N/A</v>
      </c>
      <c r="CS10" s="194" t="str">
        <f t="shared" si="15"/>
        <v/>
      </c>
      <c r="CT10" s="14" t="str">
        <f>IFERROR(IF(CV10=0,"",COUNTIF(CV$4:CV$19,"&gt;"&amp;CV10)+COUNTIF(CV$4:CV10,CV10)),"")</f>
        <v/>
      </c>
      <c r="CU10" s="230" t="str">
        <f t="shared" si="16"/>
        <v>Lincosamides</v>
      </c>
      <c r="CV10" s="76" t="e">
        <f t="shared" si="48"/>
        <v>#N/A</v>
      </c>
      <c r="CW10">
        <v>7</v>
      </c>
      <c r="CX10" t="e">
        <f t="shared" si="49"/>
        <v>#N/A</v>
      </c>
      <c r="CY10" s="63" t="e">
        <f t="shared" si="50"/>
        <v>#N/A</v>
      </c>
      <c r="DA10" s="36" t="str">
        <f t="shared" si="64"/>
        <v/>
      </c>
      <c r="DB10" s="36" t="str" cm="1">
        <f t="array" ref="DB10">IF($DA$3="Catégorie",IF(SUMIFS('Étape 1 - à remplir'!$F$31:$F$400,'Étape 1 - à remplir'!$C$31:$C$400,$DA10,'Étape 1 - à remplir'!$M$31:$M$400,MASQ2!DB$4)=0,"",SUMIFS('Étape 1 - à remplir'!$F$31:$F$400,'Étape 1 - à remplir'!$C$31:$C$400,$DA10,'Étape 1 - à remplir'!$M$31:$M$400,MASQ2!DB$4)/INDEX('Étape 1 - à remplir'!$C$19:$L$28,MATCH(MASQ2!$DA10,'Étape 1 - à remplir'!$L$19:$L$28,0),4)),INDEX($DB$44:$DM$73,MATCH($DA10,$DA$44:$DA$73,0),DB$4))</f>
        <v/>
      </c>
      <c r="DC10" s="36" t="str" cm="1">
        <f t="array" aca="1" ref="DC10" ca="1">IF($DA$3="Catégorie",IF(SUMIFS('Étape 1 - à remplir'!$F$31:$F$400,'Étape 1 - à remplir'!$C$31:$C$400,$DA10,'Étape 1 - à remplir'!$M$31:$M$400,MASQ2!DC$4)=0,"",SUMIFS('Étape 1 - à remplir'!$F$31:$F$400,'Étape 1 - à remplir'!$C$31:$C$400,$DA10,'Étape 1 - à remplir'!$M$31:$M$400,MASQ2!DC$4)/INDEX('Étape 1 - à remplir'!$C$19:$L$28,MATCH(MASQ2!$DA10,'Étape 1 - à remplir'!$L$19:$L$28,0),4)),INDEX($DB$44:$DM$73,MATCH($DA10,$DA$44:$DA$73,0),DC$4))</f>
        <v/>
      </c>
      <c r="DD10" s="36" t="str" cm="1">
        <f t="array" aca="1" ref="DD10" ca="1">IF($DA$3="Catégorie",IF(SUMIFS('Étape 1 - à remplir'!$F$31:$F$400,'Étape 1 - à remplir'!$C$31:$C$400,$DA10,'Étape 1 - à remplir'!$M$31:$M$400,MASQ2!DD$4)=0,"",SUMIFS('Étape 1 - à remplir'!$F$31:$F$400,'Étape 1 - à remplir'!$C$31:$C$400,$DA10,'Étape 1 - à remplir'!$M$31:$M$400,MASQ2!DD$4)/INDEX('Étape 1 - à remplir'!$C$19:$L$28,MATCH(MASQ2!$DA10,'Étape 1 - à remplir'!$L$19:$L$28,0),4)),INDEX($DB$44:$DM$73,MATCH($DA10,$DA$44:$DA$73,0),DD$4))</f>
        <v/>
      </c>
      <c r="DE10" s="36" t="str" cm="1">
        <f t="array" aca="1" ref="DE10" ca="1">IF($DA$3="Catégorie",IF(SUMIFS('Étape 1 - à remplir'!$F$31:$F$400,'Étape 1 - à remplir'!$C$31:$C$400,$DA10,'Étape 1 - à remplir'!$M$31:$M$400,MASQ2!DE$4)=0,"",SUMIFS('Étape 1 - à remplir'!$F$31:$F$400,'Étape 1 - à remplir'!$C$31:$C$400,$DA10,'Étape 1 - à remplir'!$M$31:$M$400,MASQ2!DE$4)/INDEX('Étape 1 - à remplir'!$C$19:$L$28,MATCH(MASQ2!$DA10,'Étape 1 - à remplir'!$L$19:$L$28,0),4)),INDEX($DB$44:$DM$73,MATCH($DA10,$DA$44:$DA$73,0),DE$4))</f>
        <v/>
      </c>
      <c r="DF10" s="36" t="str" cm="1">
        <f t="array" aca="1" ref="DF10" ca="1">IF($DA$3="Catégorie",IF(SUMIFS('Étape 1 - à remplir'!$F$31:$F$400,'Étape 1 - à remplir'!$C$31:$C$400,$DA10,'Étape 1 - à remplir'!$M$31:$M$400,MASQ2!DF$4)=0,"",SUMIFS('Étape 1 - à remplir'!$F$31:$F$400,'Étape 1 - à remplir'!$C$31:$C$400,$DA10,'Étape 1 - à remplir'!$M$31:$M$400,MASQ2!DF$4)/INDEX('Étape 1 - à remplir'!$C$19:$L$28,MATCH(MASQ2!$DA10,'Étape 1 - à remplir'!$L$19:$L$28,0),4)),INDEX($DB$44:$DM$73,MATCH($DA10,$DA$44:$DA$73,0),DF$4))</f>
        <v/>
      </c>
      <c r="DG10" s="36" t="str" cm="1">
        <f t="array" aca="1" ref="DG10" ca="1">IF($DA$3="Catégorie",IF(SUMIFS('Étape 1 - à remplir'!$F$31:$F$400,'Étape 1 - à remplir'!$C$31:$C$400,$DA10,'Étape 1 - à remplir'!$M$31:$M$400,MASQ2!DG$4)=0,"",SUMIFS('Étape 1 - à remplir'!$F$31:$F$400,'Étape 1 - à remplir'!$C$31:$C$400,$DA10,'Étape 1 - à remplir'!$M$31:$M$400,MASQ2!DG$4)/INDEX('Étape 1 - à remplir'!$C$19:$L$28,MATCH(MASQ2!$DA10,'Étape 1 - à remplir'!$L$19:$L$28,0),4)),INDEX($DB$44:$DM$73,MATCH($DA10,$DA$44:$DA$73,0),DG$4))</f>
        <v/>
      </c>
      <c r="DH10" s="36" t="str" cm="1">
        <f t="array" aca="1" ref="DH10" ca="1">IF($DA$3="Catégorie",IF(SUMIFS('Étape 1 - à remplir'!$F$31:$F$400,'Étape 1 - à remplir'!$C$31:$C$400,$DA10,'Étape 1 - à remplir'!$M$31:$M$400,MASQ2!DH$4)=0,"",SUMIFS('Étape 1 - à remplir'!$F$31:$F$400,'Étape 1 - à remplir'!$C$31:$C$400,$DA10,'Étape 1 - à remplir'!$M$31:$M$400,MASQ2!DH$4)/INDEX('Étape 1 - à remplir'!$C$19:$L$28,MATCH(MASQ2!$DA10,'Étape 1 - à remplir'!$L$19:$L$28,0),4)),INDEX($DB$44:$DM$73,MATCH($DA10,$DA$44:$DA$73,0),DH$4))</f>
        <v/>
      </c>
      <c r="DI10" s="36" t="str" cm="1">
        <f t="array" aca="1" ref="DI10" ca="1">IF($DA$3="Catégorie",IF(SUMIFS('Étape 1 - à remplir'!$F$31:$F$400,'Étape 1 - à remplir'!$C$31:$C$400,$DA10,'Étape 1 - à remplir'!$M$31:$M$400,MASQ2!DI$4)=0,"",SUMIFS('Étape 1 - à remplir'!$F$31:$F$400,'Étape 1 - à remplir'!$C$31:$C$400,$DA10,'Étape 1 - à remplir'!$M$31:$M$400,MASQ2!DI$4)/INDEX('Étape 1 - à remplir'!$C$19:$L$28,MATCH(MASQ2!$DA10,'Étape 1 - à remplir'!$L$19:$L$28,0),4)),INDEX($DB$44:$DM$73,MATCH($DA10,$DA$44:$DA$73,0),DI$4))</f>
        <v/>
      </c>
      <c r="DJ10" s="36" t="str" cm="1">
        <f t="array" aca="1" ref="DJ10" ca="1">IF($DA$3="Catégorie",IF(SUMIFS('Étape 1 - à remplir'!$F$31:$F$400,'Étape 1 - à remplir'!$C$31:$C$400,$DA10,'Étape 1 - à remplir'!$M$31:$M$400,MASQ2!DJ$4)=0,"",SUMIFS('Étape 1 - à remplir'!$F$31:$F$400,'Étape 1 - à remplir'!$C$31:$C$400,$DA10,'Étape 1 - à remplir'!$M$31:$M$400,MASQ2!DJ$4)/INDEX('Étape 1 - à remplir'!$C$19:$L$28,MATCH(MASQ2!$DA10,'Étape 1 - à remplir'!$L$19:$L$28,0),4)),INDEX($DB$44:$DM$73,MATCH($DA10,$DA$44:$DA$73,0),DJ$4))</f>
        <v/>
      </c>
      <c r="DK10" s="36" t="str" cm="1">
        <f t="array" aca="1" ref="DK10" ca="1">IF($DA$3="Catégorie",IF(SUMIFS('Étape 1 - à remplir'!$F$31:$F$400,'Étape 1 - à remplir'!$C$31:$C$400,$DA10,'Étape 1 - à remplir'!$M$31:$M$400,MASQ2!DK$4)=0,"",SUMIFS('Étape 1 - à remplir'!$F$31:$F$400,'Étape 1 - à remplir'!$C$31:$C$400,$DA10,'Étape 1 - à remplir'!$M$31:$M$400,MASQ2!DK$4)/INDEX('Étape 1 - à remplir'!$C$19:$L$28,MATCH(MASQ2!$DA10,'Étape 1 - à remplir'!$L$19:$L$28,0),4)),INDEX($DB$44:$DM$73,MATCH($DA10,$DA$44:$DA$73,0),DK$4))</f>
        <v/>
      </c>
      <c r="DL10" s="36" t="str" cm="1">
        <f t="array" aca="1" ref="DL10" ca="1">IF($DA$3="Catégorie",IF(SUMIFS('Étape 1 - à remplir'!$F$31:$F$400,'Étape 1 - à remplir'!$C$31:$C$400,$DA10,'Étape 1 - à remplir'!$M$31:$M$400,MASQ2!DL$4)=0,"",SUMIFS('Étape 1 - à remplir'!$F$31:$F$400,'Étape 1 - à remplir'!$C$31:$C$400,$DA10,'Étape 1 - à remplir'!$M$31:$M$400,MASQ2!DL$4)/INDEX('Étape 1 - à remplir'!$C$19:$L$28,MATCH(MASQ2!$DA10,'Étape 1 - à remplir'!$L$19:$L$28,0),4)),INDEX($DB$44:$DM$73,MATCH($DA10,$DA$44:$DA$73,0),DL$4))</f>
        <v/>
      </c>
      <c r="DM10" s="36" t="str" cm="1">
        <f t="array" aca="1" ref="DM10" ca="1">IF($DA$3="Catégorie",IF(SUMIFS('Étape 1 - à remplir'!$F$31:$F$400,'Étape 1 - à remplir'!$C$31:$C$400,$DA10,'Étape 1 - à remplir'!$M$31:$M$400,MASQ2!DM$4)=0,"",SUMIFS('Étape 1 - à remplir'!$F$31:$F$400,'Étape 1 - à remplir'!$C$31:$C$400,$DA10,'Étape 1 - à remplir'!$M$31:$M$400,MASQ2!DM$4)/INDEX('Étape 1 - à remplir'!$C$19:$L$28,MATCH(MASQ2!$DA10,'Étape 1 - à remplir'!$L$19:$L$28,0),4)),INDEX($DB$44:$DM$73,MATCH($DA10,$DA$44:$DA$73,0),DM$4))</f>
        <v/>
      </c>
      <c r="DO10" s="42" t="e">
        <f>IF(DR10="","",COUNTIF(DR$4:DR$13,"&gt;"&amp;DR10)+COUNTIF(DR$4:DR10,DR10))</f>
        <v>#N/A</v>
      </c>
      <c r="DP10" t="str">
        <f>'Étape 1 - à remplir'!L25</f>
        <v/>
      </c>
      <c r="DQ10" t="e">
        <f>IF(INDEX('Étape 1 - à remplir'!G$19:L$28,MATCH(DP10,'Étape 1 - à remplir'!L$19:L$28,0),1)="kg",SUMIF('Étape 1 - à remplir'!C$31:C$400,DP10,'Étape 1 - à remplir'!F$31:F$400),NA())</f>
        <v>#N/A</v>
      </c>
      <c r="DR10" s="63" t="e">
        <f>DQ10/INDEX('Étape 1 - à remplir'!F$19:L$28,MATCH(DP10,'Étape 1 - à remplir'!L$19:L$28,0),1)</f>
        <v>#N/A</v>
      </c>
      <c r="DT10" s="42" t="e">
        <f>IF(DV10="","",COUNTIF(DV$4:DV$23,"&gt;"&amp;DV10)+COUNTIF(DV$4:DV10,DV10))</f>
        <v>#N/A</v>
      </c>
      <c r="DU10" t="str">
        <f t="shared" si="17"/>
        <v>Infections de l'utérus (métrite, non-délivrance)</v>
      </c>
      <c r="DV10" s="63" t="e">
        <f>IF(IF(EL$2="Catégorie",IF(EL$3="Toutes",SUMIFS('Étape 1 - à remplir'!$F$31:$F$400,'Étape 1 - à remplir'!$D$31:$D$400,MASQ2!DU10,'Étape 1 - à remplir'!$G$31:$G$400,"kg"),SUMIFS('Étape 1 - à remplir'!$F$31:$F$400,'Étape 1 - à remplir'!$D$31:$D$400,MASQ2!DU10,'Étape 1 - à remplir'!$C$31:$C$400,EL$3,'Étape 1 - à remplir'!$G$31:$G$400,"kg")),IF(EL$2="Âge",IF(EL$3="Tous",SUMIFS('Étape 1 - à remplir'!$F$31:$F$400,'Étape 1 - à remplir'!$D$31:$D$400,MASQ2!DU10,'Étape 1 - à remplir'!$G$31:$G$400,"kg"),SUMIFS('Étape 1 - à remplir'!$F$31:$F$400,'Étape 1 - à remplir'!$D$31:$D$400,MASQ2!DU10,'Étape 1 - à remplir'!$P$31:$P$400,EL$3,'Étape 1 - à remplir'!$G$31:$G$400,"kg")),IF(EL$2="Atelier",IF(EL$3="Tous",SUMIFS('Étape 1 - à remplir'!$F$31:$F$400,'Étape 1 - à remplir'!$D$31:$D$400,MASQ2!DU10,'Étape 1 - à remplir'!$G$31:$G$400,"kg"),SUMIFS('Étape 1 - à remplir'!$F$31:$F$400,'Étape 1 - à remplir'!$D$31:$D$400,MASQ2!DU10,'Étape 1 - à remplir'!$O$31:$O$400,EL$3,'Étape 1 - à remplir'!$G$31:$G$400,"kg")),IF(EL$2="Espèce",IF(EL$3="Toutes",SUMIFS('Étape 1 - à remplir'!$F$31:$F$400,'Étape 1 - à remplir'!$D$31:$D$400,MASQ2!DU10,'Étape 1 - à remplir'!$G$31:$G$400,"kg"),SUMIFS('Étape 1 - à remplir'!$F$31:$F$400,'Étape 1 - à remplir'!$D$31:$D$400,MASQ2!DU10,'Étape 1 - à remplir'!$N$31:$N$400,EL$3,'Étape 1 - à remplir'!$G$31:$G$400,"kg"))))))=0,NA(),IF(EL$2="Catégorie",IF(EL$3="Toutes",SUMIFS('Étape 1 - à remplir'!$F$31:$F$400,'Étape 1 - à remplir'!$D$31:$D$400,MASQ2!DU10,'Étape 1 - à remplir'!$G$31:$G$400,"kg"),SUMIFS('Étape 1 - à remplir'!$F$31:$F$400,'Étape 1 - à remplir'!$D$31:$D$400,MASQ2!DU10,'Étape 1 - à remplir'!$C$31:$C$400,EL$3,'Étape 1 - à remplir'!$G$31:$G$400,"kg")),IF(EL$2="Âge",IF(EL$3="Tous",SUMIFS('Étape 1 - à remplir'!$F$31:$F$400,'Étape 1 - à remplir'!$D$31:$D$400,MASQ2!DU10,'Étape 1 - à remplir'!$G$31:$G$400,"kg"),SUMIFS('Étape 1 - à remplir'!$F$31:$F$400,'Étape 1 - à remplir'!$D$31:$D$400,MASQ2!DU10,'Étape 1 - à remplir'!$P$31:$P$400,EL$3,'Étape 1 - à remplir'!$G$31:$G$400,"kg")),IF(EL$2="Atelier",IF(EL$3="Tous",SUMIFS('Étape 1 - à remplir'!$F$31:$F$400,'Étape 1 - à remplir'!$D$31:$D$400,MASQ2!DU10,'Étape 1 - à remplir'!$G$31:$G$400,"kg"),SUMIFS('Étape 1 - à remplir'!$F$31:$F$400,'Étape 1 - à remplir'!$D$31:$D$400,MASQ2!DU10,'Étape 1 - à remplir'!$O$31:$O$400,EL$3,'Étape 1 - à remplir'!$G$31:$G$400,"kg")),IF(EL$2="Espèce",IF(EL$3="Toutes",SUMIFS('Étape 1 - à remplir'!$F$31:$F$400,'Étape 1 - à remplir'!$D$31:$D$400,MASQ2!DU10,'Étape 1 - à remplir'!$G$31:$G$400,"kg"),SUMIFS('Étape 1 - à remplir'!$F$31:$F$400,'Étape 1 - à remplir'!$D$31:$D$400,MASQ2!DU10,'Étape 1 - à remplir'!$N$31:$N$400,EL$3,'Étape 1 - à remplir'!$G$31:$G$400,"kg")))))))</f>
        <v>#N/A</v>
      </c>
      <c r="DW10" s="42">
        <v>7</v>
      </c>
      <c r="DX10" t="e">
        <f t="shared" si="51"/>
        <v>#N/A</v>
      </c>
      <c r="DY10" s="63" t="e">
        <f t="shared" si="52"/>
        <v>#N/A</v>
      </c>
      <c r="EA10" s="194" t="str">
        <f t="shared" ca="1" si="18"/>
        <v>x</v>
      </c>
      <c r="EB10" s="226" t="str">
        <f>IFERROR(IF(ED10=0,"",COUNTIF(ED$4:ED$600,"&gt;"&amp;ED10)+COUNTIF(ED$4:ED10,ED10)),"")</f>
        <v/>
      </c>
      <c r="EC10" t="str">
        <f t="shared" si="19"/>
        <v>ACTIONIS 50 MG/ML SUSPENSION INJECTABLE POUR PORCINS ET BOVINS</v>
      </c>
      <c r="ED10" t="e">
        <f>IF(IF(EL$2="Catégorie",IF(EL$3="Toutes",SUMIFS('Étape 1 - à remplir'!$F$31:$F$400,'Étape 1 - à remplir'!$E$31:$E$400,MASQ2!EC10,'Étape 1 - à remplir'!$G$31:$G$400,"kg"),SUMIFS('Étape 1 - à remplir'!$F$31:$F$400,'Étape 1 - à remplir'!$E$31:$E$400,MASQ2!EC10,'Étape 1 - à remplir'!$C$31:$C$400,EL$3)),IF(EL$2="Âge",IF(EL$3="Tous",SUMIFS('Étape 1 - à remplir'!$F$31:$F$400,'Étape 1 - à remplir'!$E$31:$E$400,MASQ2!EC10,'Étape 1 - à remplir'!$G$31:$G$400,"kg"),SUMIFS('Étape 1 - à remplir'!$F$31:$F$400,'Étape 1 - à remplir'!$E$31:$E$400,MASQ2!EC10,'Étape 1 - à remplir'!$P$31:$P$400,EL$3,'Étape 1 - à remplir'!$G$31:$G$400,"kg")),IF(EL$2="Atelier",IF(EL$3="Tous",SUMIFS('Étape 1 - à remplir'!$F$31:$F$400,'Étape 1 - à remplir'!$E$31:$E$400,MASQ2!EC10,'Étape 1 - à remplir'!$G$31:$G$400,"kg"),SUMIFS('Étape 1 - à remplir'!$F$31:$F$400,'Étape 1 - à remplir'!$E$31:$E$400,MASQ2!EC10,'Étape 1 - à remplir'!$O$31:$O$400,EL$3,'Étape 1 - à remplir'!$G$31:$G$400,"kg")),IF(EL$2="Espèce",IF(EL$3="Toutes",SUMIFS('Étape 1 - à remplir'!$F$31:$F$400,'Étape 1 - à remplir'!$E$31:$E$400,MASQ2!EC10,'Étape 1 - à remplir'!$G$31:$G$400,"kg"),SUMIFS('Étape 1 - à remplir'!$F$31:$F$400,'Étape 1 - à remplir'!$E$31:$E$400,MASQ2!EC10,'Étape 1 - à remplir'!$N$31:$N$400,EL$3,'Étape 1 - à remplir'!$G$31:$G$400,"kg"))))))=0,NA(),IF(EL$2="Catégorie",IF(EL$3="Toutes",SUMIFS('Étape 1 - à remplir'!$F$31:$F$400,'Étape 1 - à remplir'!$E$31:$E$400,MASQ2!EC10,'Étape 1 - à remplir'!$G$31:$G$400,"kg"),SUMIFS('Étape 1 - à remplir'!$F$31:$F$400,'Étape 1 - à remplir'!$E$31:$E$400,MASQ2!EC10,'Étape 1 - à remplir'!$C$31:$C$400,EL$3)),IF(EL$2="Âge",IF(EL$3="Tous",SUMIFS('Étape 1 - à remplir'!$F$31:$F$400,'Étape 1 - à remplir'!$E$31:$E$400,MASQ2!EC10,'Étape 1 - à remplir'!$G$31:$G$400,"kg"),SUMIFS('Étape 1 - à remplir'!$F$31:$F$400,'Étape 1 - à remplir'!$E$31:$E$400,MASQ2!EC10,'Étape 1 - à remplir'!$P$31:$P$400,EL$3,'Étape 1 - à remplir'!$G$31:$G$400,"kg")),IF(EL$2="Atelier",IF(EL$3="Tous",SUMIFS('Étape 1 - à remplir'!$F$31:$F$400,'Étape 1 - à remplir'!$E$31:$E$400,MASQ2!EC10,'Étape 1 - à remplir'!$G$31:$G$400,"kg"),SUMIFS('Étape 1 - à remplir'!$F$31:$F$400,'Étape 1 - à remplir'!$E$31:$E$400,MASQ2!EC10,'Étape 1 - à remplir'!$O$31:$O$400,EL$3,'Étape 1 - à remplir'!$G$31:$G$400,"kg")),IF(EL$2="Espèce",IF(EL$3="Toutes",SUMIFS('Étape 1 - à remplir'!$F$31:$F$400,'Étape 1 - à remplir'!$E$31:$E$400,MASQ2!EC10,'Étape 1 - à remplir'!$G$31:$G$400,"kg"),SUMIFS('Étape 1 - à remplir'!$F$31:$F$400,'Étape 1 - à remplir'!$E$31:$E$400,MASQ2!EC10,'Étape 1 - à remplir'!$N$31:$N$400,EL$3,'Étape 1 - à remplir'!$G$31:$G$400,"kg")))))))</f>
        <v>#N/A</v>
      </c>
      <c r="EE10" s="76">
        <f t="shared" si="53"/>
        <v>0</v>
      </c>
      <c r="EF10" t="str">
        <f t="shared" si="20"/>
        <v>Ceftiofur</v>
      </c>
      <c r="EG10" t="str">
        <f t="shared" si="21"/>
        <v/>
      </c>
      <c r="EH10" t="str">
        <f t="shared" si="22"/>
        <v/>
      </c>
      <c r="EI10" t="str">
        <f t="shared" si="23"/>
        <v>Cephalosporines 3&amp;4G</v>
      </c>
      <c r="EJ10" t="str">
        <f t="shared" si="24"/>
        <v/>
      </c>
      <c r="EK10" s="63" t="str">
        <f t="shared" si="25"/>
        <v/>
      </c>
      <c r="EN10" s="42">
        <v>7</v>
      </c>
      <c r="EO10" t="e">
        <f t="shared" ref="EO10:EO73" si="68">INDEX(EB$3:EE$600,MATCH(EN10,EB$3:EB$600,0),2)</f>
        <v>#N/A</v>
      </c>
      <c r="EP10" s="63" t="e">
        <f t="shared" ref="EP10:EP73" si="69">INDEX(EB$3:EE$600,MATCH(EN10,EB$3:EB$600,0),3)</f>
        <v>#N/A</v>
      </c>
      <c r="ER10" s="194" t="str">
        <f t="shared" si="26"/>
        <v/>
      </c>
      <c r="ES10" s="226" t="str">
        <f>IFERROR(IF(EU10=0,"",COUNTIF(EU$4:EU$64,"&gt;"&amp;EU10)+COUNTIF(EU$4:EU10,EU10)),"")</f>
        <v/>
      </c>
      <c r="ET10" t="str">
        <f t="shared" si="27"/>
        <v>Céfalonium</v>
      </c>
      <c r="EU10" s="76" t="e">
        <f t="shared" si="56"/>
        <v>#N/A</v>
      </c>
      <c r="EV10">
        <v>7</v>
      </c>
      <c r="EW10" t="e">
        <f t="shared" si="57"/>
        <v>#N/A</v>
      </c>
      <c r="EX10" s="63" t="e">
        <f t="shared" si="58"/>
        <v>#N/A</v>
      </c>
      <c r="EZ10" s="194" t="str">
        <f t="shared" si="28"/>
        <v/>
      </c>
      <c r="FA10" s="226" t="str">
        <f>IFERROR(IF(FC10=0,"",COUNTIF(FC$4:FC$19,"&gt;"&amp;FC10)+COUNTIF(FC$4:FC10,FC10)),"")</f>
        <v/>
      </c>
      <c r="FB10" t="str">
        <f t="shared" si="29"/>
        <v>Lincosamides</v>
      </c>
      <c r="FC10" s="76" t="e">
        <f t="shared" si="59"/>
        <v>#N/A</v>
      </c>
      <c r="FD10">
        <v>7</v>
      </c>
      <c r="FE10" t="e">
        <f t="shared" si="60"/>
        <v>#N/A</v>
      </c>
      <c r="FF10" s="63" t="e">
        <f t="shared" si="61"/>
        <v>#N/A</v>
      </c>
      <c r="FH10" s="36" t="str">
        <f t="shared" si="65"/>
        <v/>
      </c>
      <c r="FI10" s="35" t="str" cm="1">
        <f t="array" ref="FI10">IF($FH$3="Catégorie",IF(SUMIFS('Étape 1 - à remplir'!$F$31:$F$400,'Étape 1 - à remplir'!$C$31:$C$400,$FH10,'Étape 1 - à remplir'!$M$31:$M$400,MASQ2!FI$4)=0,"",SUMIFS('Étape 1 - à remplir'!$F$31:$F$400,'Étape 1 - à remplir'!$C$31:$C$400,$FH10,'Étape 1 - à remplir'!$M$31:$M$400,MASQ2!FI$4)/INDEX('Étape 1 - à remplir'!$C$19:$L$28,MATCH(MASQ2!$FH10,'Étape 1 - à remplir'!$L$19:$L$28,0),4)),INDEX($FI$44:$FT$73,MATCH($FH10,$FH$44:$FH$73,0),FI$4))</f>
        <v/>
      </c>
      <c r="FJ10" s="35" t="str" cm="1">
        <f t="array" aca="1" ref="FJ10" ca="1">IF($FH$3="Catégorie",IF(SUMIFS('Étape 1 - à remplir'!$F$31:$F$400,'Étape 1 - à remplir'!$C$31:$C$400,$FH10,'Étape 1 - à remplir'!$M$31:$M$400,MASQ2!FJ$4)=0,"",SUMIFS('Étape 1 - à remplir'!$F$31:$F$400,'Étape 1 - à remplir'!$C$31:$C$400,$FH10,'Étape 1 - à remplir'!$M$31:$M$400,MASQ2!FJ$4)/INDEX('Étape 1 - à remplir'!$C$19:$L$28,MATCH(MASQ2!$FH10,'Étape 1 - à remplir'!$L$19:$L$28,0),4)),INDEX($FI$44:$FT$73,MATCH($FH10,$FH$44:$FH$73,0),FJ$4))</f>
        <v/>
      </c>
      <c r="FK10" s="35" t="str" cm="1">
        <f t="array" aca="1" ref="FK10" ca="1">IF($FH$3="Catégorie",IF(SUMIFS('Étape 1 - à remplir'!$F$31:$F$400,'Étape 1 - à remplir'!$C$31:$C$400,$FH10,'Étape 1 - à remplir'!$M$31:$M$400,MASQ2!FK$4)=0,"",SUMIFS('Étape 1 - à remplir'!$F$31:$F$400,'Étape 1 - à remplir'!$C$31:$C$400,$FH10,'Étape 1 - à remplir'!$M$31:$M$400,MASQ2!FK$4)/INDEX('Étape 1 - à remplir'!$C$19:$L$28,MATCH(MASQ2!$FH10,'Étape 1 - à remplir'!$L$19:$L$28,0),4)),INDEX($FI$44:$FT$73,MATCH($FH10,$FH$44:$FH$73,0),FK$4))</f>
        <v/>
      </c>
      <c r="FL10" s="35" t="str" cm="1">
        <f t="array" aca="1" ref="FL10" ca="1">IF($FH$3="Catégorie",IF(SUMIFS('Étape 1 - à remplir'!$F$31:$F$400,'Étape 1 - à remplir'!$C$31:$C$400,$FH10,'Étape 1 - à remplir'!$M$31:$M$400,MASQ2!FL$4)=0,"",SUMIFS('Étape 1 - à remplir'!$F$31:$F$400,'Étape 1 - à remplir'!$C$31:$C$400,$FH10,'Étape 1 - à remplir'!$M$31:$M$400,MASQ2!FL$4)/INDEX('Étape 1 - à remplir'!$C$19:$L$28,MATCH(MASQ2!$FH10,'Étape 1 - à remplir'!$L$19:$L$28,0),4)),INDEX($FI$44:$FT$73,MATCH($FH10,$FH$44:$FH$73,0),FL$4))</f>
        <v/>
      </c>
      <c r="FM10" s="35" t="str" cm="1">
        <f t="array" aca="1" ref="FM10" ca="1">IF($FH$3="Catégorie",IF(SUMIFS('Étape 1 - à remplir'!$F$31:$F$400,'Étape 1 - à remplir'!$C$31:$C$400,$FH10,'Étape 1 - à remplir'!$M$31:$M$400,MASQ2!FM$4)=0,"",SUMIFS('Étape 1 - à remplir'!$F$31:$F$400,'Étape 1 - à remplir'!$C$31:$C$400,$FH10,'Étape 1 - à remplir'!$M$31:$M$400,MASQ2!FM$4)/INDEX('Étape 1 - à remplir'!$C$19:$L$28,MATCH(MASQ2!$FH10,'Étape 1 - à remplir'!$L$19:$L$28,0),4)),INDEX($FI$44:$FT$73,MATCH($FH10,$FH$44:$FH$73,0),FM$4))</f>
        <v/>
      </c>
      <c r="FN10" s="35" t="str" cm="1">
        <f t="array" aca="1" ref="FN10" ca="1">IF($FH$3="Catégorie",IF(SUMIFS('Étape 1 - à remplir'!$F$31:$F$400,'Étape 1 - à remplir'!$C$31:$C$400,$FH10,'Étape 1 - à remplir'!$M$31:$M$400,MASQ2!FN$4)=0,"",SUMIFS('Étape 1 - à remplir'!$F$31:$F$400,'Étape 1 - à remplir'!$C$31:$C$400,$FH10,'Étape 1 - à remplir'!$M$31:$M$400,MASQ2!FN$4)/INDEX('Étape 1 - à remplir'!$C$19:$L$28,MATCH(MASQ2!$FH10,'Étape 1 - à remplir'!$L$19:$L$28,0),4)),INDEX($FI$44:$FT$73,MATCH($FH10,$FH$44:$FH$73,0),FN$4))</f>
        <v/>
      </c>
      <c r="FO10" s="35" t="str" cm="1">
        <f t="array" aca="1" ref="FO10" ca="1">IF($FH$3="Catégorie",IF(SUMIFS('Étape 1 - à remplir'!$F$31:$F$400,'Étape 1 - à remplir'!$C$31:$C$400,$FH10,'Étape 1 - à remplir'!$M$31:$M$400,MASQ2!FO$4)=0,"",SUMIFS('Étape 1 - à remplir'!$F$31:$F$400,'Étape 1 - à remplir'!$C$31:$C$400,$FH10,'Étape 1 - à remplir'!$M$31:$M$400,MASQ2!FO$4)/INDEX('Étape 1 - à remplir'!$C$19:$L$28,MATCH(MASQ2!$FH10,'Étape 1 - à remplir'!$L$19:$L$28,0),4)),INDEX($FI$44:$FT$73,MATCH($FH10,$FH$44:$FH$73,0),FO$4))</f>
        <v/>
      </c>
      <c r="FP10" s="35" t="str" cm="1">
        <f t="array" aca="1" ref="FP10" ca="1">IF($FH$3="Catégorie",IF(SUMIFS('Étape 1 - à remplir'!$F$31:$F$400,'Étape 1 - à remplir'!$C$31:$C$400,$FH10,'Étape 1 - à remplir'!$M$31:$M$400,MASQ2!FP$4)=0,"",SUMIFS('Étape 1 - à remplir'!$F$31:$F$400,'Étape 1 - à remplir'!$C$31:$C$400,$FH10,'Étape 1 - à remplir'!$M$31:$M$400,MASQ2!FP$4)/INDEX('Étape 1 - à remplir'!$C$19:$L$28,MATCH(MASQ2!$FH10,'Étape 1 - à remplir'!$L$19:$L$28,0),4)),INDEX($FI$44:$FT$73,MATCH($FH10,$FH$44:$FH$73,0),FP$4))</f>
        <v/>
      </c>
      <c r="FQ10" s="35" t="str" cm="1">
        <f t="array" aca="1" ref="FQ10" ca="1">IF($FH$3="Catégorie",IF(SUMIFS('Étape 1 - à remplir'!$F$31:$F$400,'Étape 1 - à remplir'!$C$31:$C$400,$FH10,'Étape 1 - à remplir'!$M$31:$M$400,MASQ2!FQ$4)=0,"",SUMIFS('Étape 1 - à remplir'!$F$31:$F$400,'Étape 1 - à remplir'!$C$31:$C$400,$FH10,'Étape 1 - à remplir'!$M$31:$M$400,MASQ2!FQ$4)/INDEX('Étape 1 - à remplir'!$C$19:$L$28,MATCH(MASQ2!$FH10,'Étape 1 - à remplir'!$L$19:$L$28,0),4)),INDEX($FI$44:$FT$73,MATCH($FH10,$FH$44:$FH$73,0),FQ$4))</f>
        <v/>
      </c>
      <c r="FR10" s="35" t="str" cm="1">
        <f t="array" aca="1" ref="FR10" ca="1">IF($FH$3="Catégorie",IF(SUMIFS('Étape 1 - à remplir'!$F$31:$F$400,'Étape 1 - à remplir'!$C$31:$C$400,$FH10,'Étape 1 - à remplir'!$M$31:$M$400,MASQ2!FR$4)=0,"",SUMIFS('Étape 1 - à remplir'!$F$31:$F$400,'Étape 1 - à remplir'!$C$31:$C$400,$FH10,'Étape 1 - à remplir'!$M$31:$M$400,MASQ2!FR$4)/INDEX('Étape 1 - à remplir'!$C$19:$L$28,MATCH(MASQ2!$FH10,'Étape 1 - à remplir'!$L$19:$L$28,0),4)),INDEX($FI$44:$FT$73,MATCH($FH10,$FH$44:$FH$73,0),FR$4))</f>
        <v/>
      </c>
      <c r="FS10" s="35" t="str" cm="1">
        <f t="array" aca="1" ref="FS10" ca="1">IF($FH$3="Catégorie",IF(SUMIFS('Étape 1 - à remplir'!$F$31:$F$400,'Étape 1 - à remplir'!$C$31:$C$400,$FH10,'Étape 1 - à remplir'!$M$31:$M$400,MASQ2!FS$4)=0,"",SUMIFS('Étape 1 - à remplir'!$F$31:$F$400,'Étape 1 - à remplir'!$C$31:$C$400,$FH10,'Étape 1 - à remplir'!$M$31:$M$400,MASQ2!FS$4)/INDEX('Étape 1 - à remplir'!$C$19:$L$28,MATCH(MASQ2!$FH10,'Étape 1 - à remplir'!$L$19:$L$28,0),4)),INDEX($FI$44:$FT$73,MATCH($FH10,$FH$44:$FH$73,0),FS$4))</f>
        <v/>
      </c>
      <c r="FT10" s="35" t="str" cm="1">
        <f t="array" aca="1" ref="FT10" ca="1">IF($FH$3="Catégorie",IF(SUMIFS('Étape 1 - à remplir'!$F$31:$F$400,'Étape 1 - à remplir'!$C$31:$C$400,$FH10,'Étape 1 - à remplir'!$M$31:$M$400,MASQ2!FT$4)=0,"",SUMIFS('Étape 1 - à remplir'!$F$31:$F$400,'Étape 1 - à remplir'!$C$31:$C$400,$FH10,'Étape 1 - à remplir'!$M$31:$M$400,MASQ2!FT$4)/INDEX('Étape 1 - à remplir'!$C$19:$L$28,MATCH(MASQ2!$FH10,'Étape 1 - à remplir'!$L$19:$L$28,0),4)),INDEX($FI$44:$FT$73,MATCH($FH10,$FH$44:$FH$73,0),FT$4))</f>
        <v/>
      </c>
    </row>
    <row r="11" spans="1:176" x14ac:dyDescent="0.3">
      <c r="A11" s="42" t="str">
        <f>IF(D11="","",COUNTIF(D$4:D$13,"&gt;"&amp;D11)+COUNTIF(D$4:D11,D11))</f>
        <v/>
      </c>
      <c r="B11" t="str">
        <f>IF('Étape 1 - à remplir'!L26="","",'Étape 1 - à remplir'!L26)</f>
        <v/>
      </c>
      <c r="C11" t="str">
        <f>IFERROR(IF(INDEX('Étape 1 - à remplir'!G$19:L$28,MATCH(MASQ2!B11,'Étape 1 - à remplir'!L$19:L$28,0),1)="animaux",SUMIF('Étape 1 - à remplir'!C$31:C$400,MASQ2!B11,'Étape 1 - à remplir'!F$31:F$400),NA()),"")</f>
        <v/>
      </c>
      <c r="D11" s="63" t="str">
        <f>IFERROR(C11/INDEX('Étape 1 - à remplir'!F$19:L$28,MATCH(MASQ2!B11,'Étape 1 - à remplir'!L$19:L$28,0),1),"")</f>
        <v/>
      </c>
      <c r="E11" t="str">
        <f>IF(D11="","",COUNTIF(D$4:D$13,"&gt;"&amp;D11)+COUNTIF(D$4:D11,D11))</f>
        <v/>
      </c>
      <c r="F11" s="118" t="str">
        <f>IFERROR(IF(H11="","",COUNTIF(H$4:H$23,"&gt;"&amp;H11)+COUNTIF(H$4:H11,H11)),"")</f>
        <v/>
      </c>
      <c r="G11" t="str">
        <f>Données_ATB!CG10</f>
        <v>Infections du pied (panaris)</v>
      </c>
      <c r="H11" s="76" t="e">
        <f>IF(IF(X$2="Catégorie",IF(X$3="Toutes",SUMIFS('Étape 1 - à remplir'!F$31:F$400,'Étape 1 - à remplir'!D$31:D$400,MASQ2!G11,'Étape 1 - à remplir'!G$31:G$400,"animaux"),SUMIFS('Étape 1 - à remplir'!F$31:F$400,'Étape 1 - à remplir'!D$31:D$400,MASQ2!G11,'Étape 1 - à remplir'!C$31:C$400,X$3)),IF(X$2="Âge",IF(X$3="Tous",SUMIFS('Étape 1 - à remplir'!F$31:F$400,'Étape 1 - à remplir'!D$31:D$400,MASQ2!G11,'Étape 1 - à remplir'!G$31:G$400,"animaux"),SUMIFS('Étape 1 - à remplir'!F$31:F$400,'Étape 1 - à remplir'!D$31:D$400,MASQ2!G11,'Étape 1 - à remplir'!P$31:P$400,X$3)),IF(X$2="Atelier",IF(X$3="Tous",SUMIFS('Étape 1 - à remplir'!F$31:F$400,'Étape 1 - à remplir'!D$31:D$400,MASQ2!G11,'Étape 1 - à remplir'!G$31:G$400,"animaux"),SUMIFS('Étape 1 - à remplir'!F$31:F$400,'Étape 1 - à remplir'!D$31:D$400,MASQ2!G11,'Étape 1 - à remplir'!O$31:O$400,X$3)),IF(X$2="Espèce",IF(X$3="Toutes",SUMIFS('Étape 1 - à remplir'!F$31:F$400,'Étape 1 - à remplir'!D$31:D$400,MASQ2!G11,'Étape 1 - à remplir'!G$31:G$400,"animaux"),SUMIFS('Étape 1 - à remplir'!F$31:F$400,'Étape 1 - à remplir'!D$31:D$400,MASQ2!G11,'Étape 1 - à remplir'!N$31:N$400,X$3))))))=0,NA(),IF(X$2="Catégorie",IF(X$3="Toutes",SUMIFS('Étape 1 - à remplir'!F$31:F$400,'Étape 1 - à remplir'!D$31:D$400,MASQ2!G11,'Étape 1 - à remplir'!G$31:G$400,"animaux"),SUMIFS('Étape 1 - à remplir'!F$31:F$400,'Étape 1 - à remplir'!D$31:D$400,MASQ2!G11,'Étape 1 - à remplir'!C$31:C$400,X$3)),IF(X$2="Âge",IF(X$3="Tous",SUMIFS('Étape 1 - à remplir'!F$31:F$400,'Étape 1 - à remplir'!D$31:D$400,MASQ2!G11,'Étape 1 - à remplir'!G$31:G$400,"animaux"),SUMIFS('Étape 1 - à remplir'!F$31:F$400,'Étape 1 - à remplir'!D$31:D$400,MASQ2!G11,'Étape 1 - à remplir'!P$31:P$400,X$3)),IF(X$2="Atelier",IF(X$3="Tous",SUMIFS('Étape 1 - à remplir'!F$31:F$400,'Étape 1 - à remplir'!D$31:D$400,MASQ2!G11,'Étape 1 - à remplir'!G$31:G$400,"animaux"),SUMIFS('Étape 1 - à remplir'!F$31:F$400,'Étape 1 - à remplir'!D$31:D$400,MASQ2!G11,'Étape 1 - à remplir'!O$31:O$400,X$3)),IF(X$2="Espèce",IF(X$3="Tous",SUMIFS('Étape 1 - à remplir'!F$31:F$400,'Étape 1 - à remplir'!D$31:D$400,MASQ2!G11,'Étape 1 - à remplir'!G$31:G$400,"animaux"),SUMIFS('Étape 1 - à remplir'!F$31:F$400,'Étape 1 - à remplir'!D$31:D$400,MASQ2!G11,'Étape 1 - à remplir'!N$31:N$400,X$3)))))))</f>
        <v>#N/A</v>
      </c>
      <c r="I11" s="118">
        <v>8</v>
      </c>
      <c r="J11" t="e">
        <f t="shared" si="66"/>
        <v>#N/A</v>
      </c>
      <c r="K11" s="76" t="e">
        <f t="shared" si="67"/>
        <v>#N/A</v>
      </c>
      <c r="M11" s="194" t="str">
        <f ca="1">INDEX(Données_ATB!BD:BU,MATCH(MASQ2!O11,Données_ATB!BD:BD,0),18)</f>
        <v/>
      </c>
      <c r="N11" s="14" t="str">
        <f>IFERROR(IF(Q11=0,"",COUNTIF(Q$4:Q$600,"&gt;"&amp;Q11)+COUNTIF(Q$4:Q11,Q11)),"")</f>
        <v/>
      </c>
      <c r="O11" t="str">
        <f>Données_ATB!BD10</f>
        <v>ACTI-STREPTO</v>
      </c>
      <c r="P11" t="e">
        <f>IF(IF(X$2="Catégorie",IF(X$3="Toutes",SUMIFS('Étape 1 - à remplir'!$F$31:$F$400,'Étape 1 - à remplir'!$E$31:$E$400,MASQ2!O11,'Étape 1 - à remplir'!$G$31:$G$400,"animaux"),SUMIFS('Étape 1 - à remplir'!$F$31:$F$400,'Étape 1 - à remplir'!$E$31:$E$400,MASQ2!O11,'Étape 1 - à remplir'!$C$31:$C$400,X$3)),IF(X$2="Âge",IF(X$3="Tous",SUMIFS('Étape 1 - à remplir'!$F$31:$F$400,'Étape 1 - à remplir'!$E$31:$E$400,MASQ2!O11,'Étape 1 - à remplir'!$G$31:$G$400,"animaux"),SUMIFS('Étape 1 - à remplir'!$F$31:$F$400,'Étape 1 - à remplir'!$E$31:$E$400,MASQ2!O11,'Étape 1 - à remplir'!$P$31:$P$400,X$3)),IF(X$2="Atelier",IF(X$3="Tous",SUMIFS('Étape 1 - à remplir'!$F$31:$F$400,'Étape 1 - à remplir'!$E$31:$E$400,MASQ2!O11,'Étape 1 - à remplir'!$G$31:$G$400,"animaux"),SUMIFS('Étape 1 - à remplir'!$F$31:$F$400,'Étape 1 - à remplir'!$E$31:$E$400,MASQ2!O11,'Étape 1 - à remplir'!$O$31:$O$400,X$3)),IF(X$2="Espèce",IF(X$3="Toutes",SUMIFS('Étape 1 - à remplir'!$F$31:$F$400,'Étape 1 - à remplir'!$E$31:$E$400,MASQ2!O11,'Étape 1 - à remplir'!$G$31:$G$400,"animaux"),SUMIFS('Étape 1 - à remplir'!$F$31:$F$400,'Étape 1 - à remplir'!$E$31:$E$400,MASQ2!O11,'Étape 1 - à remplir'!$N$31:$N$400,X$3))))))=0,NA(),IF(X$2="Catégorie",IF(X$3="Toutes",SUMIFS('Étape 1 - à remplir'!$F$31:$F$400,'Étape 1 - à remplir'!$E$31:$E$400,MASQ2!O11,'Étape 1 - à remplir'!$G$31:$G$400,"animaux"),SUMIFS('Étape 1 - à remplir'!$F$31:$F$400,'Étape 1 - à remplir'!$E$31:$E$400,MASQ2!O11,'Étape 1 - à remplir'!$C$31:$C$400,X$3)),IF(X$2="Âge",IF(X$3="Tous",SUMIFS('Étape 1 - à remplir'!$F$31:$F$400,'Étape 1 - à remplir'!$E$31:$E$400,MASQ2!O11,'Étape 1 - à remplir'!$G$31:$G$400,"animaux"),SUMIFS('Étape 1 - à remplir'!$F$31:$F$400,'Étape 1 - à remplir'!$E$31:$E$400,MASQ2!O11,'Étape 1 - à remplir'!$P$31:$P$400,X$3)),IF(X$2="Atelier",IF(X$3="Tous",SUMIFS('Étape 1 - à remplir'!$F$31:$F$400,'Étape 1 - à remplir'!$E$31:$E$400,MASQ2!O11,'Étape 1 - à remplir'!$G$31:$G$400,"animaux"),SUMIFS('Étape 1 - à remplir'!$F$31:$F$400,'Étape 1 - à remplir'!$E$31:$E$400,MASQ2!O11,'Étape 1 - à remplir'!$O$31:$O$400,X$3)),IF(X$2="Espèce",IF(X$3="Toutes",SUMIFS('Étape 1 - à remplir'!$F$31:$F$400,'Étape 1 - à remplir'!$E$31:$E$400,MASQ2!O11,'Étape 1 - à remplir'!$G$31:$G$400,"animaux"),SUMIFS('Étape 1 - à remplir'!$F$31:$F$400,'Étape 1 - à remplir'!$E$31:$E$400,MASQ2!O11,'Étape 1 - à remplir'!$N$31:$N$400,X$3)))))))</f>
        <v>#N/A</v>
      </c>
      <c r="Q11" s="63">
        <f t="shared" si="62"/>
        <v>0</v>
      </c>
      <c r="R11" t="str">
        <f>Données_ATB!BM10</f>
        <v>Dihydrostreptomycine</v>
      </c>
      <c r="S11" t="str">
        <f>Données_ATB!BN10</f>
        <v/>
      </c>
      <c r="T11" s="63" t="str">
        <f>Données_ATB!BO10</f>
        <v/>
      </c>
      <c r="U11" s="42" t="str">
        <f>Données_ATB!BQ10</f>
        <v>Aminoglycosides</v>
      </c>
      <c r="V11" t="str">
        <f>Données_ATB!BR10</f>
        <v/>
      </c>
      <c r="W11" s="63" t="str">
        <f>Données_ATB!BS10</f>
        <v/>
      </c>
      <c r="Z11" s="42">
        <v>8</v>
      </c>
      <c r="AA11" t="e">
        <f t="shared" si="32"/>
        <v>#N/A</v>
      </c>
      <c r="AB11" s="63" t="e">
        <f t="shared" si="33"/>
        <v>#N/A</v>
      </c>
      <c r="AD11" s="194" t="str">
        <f>IF(AF11="Colistine","x",IF(INDEX(Données_ATB!CA$3:CB$63,MATCH(AF11,Données_ATB!CA$3:CA$63,0),2)="Fluoroquinolones","x",IF(INDEX(Données_ATB!CA$3:CB$63,MATCH(AF11,Données_ATB!CA$3:CA$63,0),2)="Cephalosporines 3&amp;4G","x","")))</f>
        <v/>
      </c>
      <c r="AE11" s="219" t="str">
        <f>IFERROR(IF(AG11=0,"",COUNTIF(AG$4:AG$64,"&gt;"&amp;AG11)+COUNTIF(AG$4:AG11,AG11)),"")</f>
        <v/>
      </c>
      <c r="AF11" s="42" t="str">
        <f>Données_ATB!CA10</f>
        <v>Céfapirine</v>
      </c>
      <c r="AG11" s="63" t="e">
        <f t="shared" si="34"/>
        <v>#N/A</v>
      </c>
      <c r="AH11" s="42">
        <v>8</v>
      </c>
      <c r="AI11" t="e">
        <f>INDEX(AE$4:AG$64,MATCH(AH11,AE$4:AE$64,0),2)</f>
        <v>#N/A</v>
      </c>
      <c r="AJ11" s="63" t="e">
        <f t="shared" si="36"/>
        <v>#N/A</v>
      </c>
      <c r="AL11" s="194" t="str">
        <f t="shared" si="37"/>
        <v/>
      </c>
      <c r="AM11" s="14" t="str">
        <f>IFERROR(IF(AO11=0,"",COUNTIF(AO$4:AO$19,"&gt;"&amp;AO11)+COUNTIF(AO$4:AO11,AO11)),"")</f>
        <v/>
      </c>
      <c r="AN11" t="str">
        <f>Données_ATB!BX10</f>
        <v>Macrolides</v>
      </c>
      <c r="AO11" s="76" t="e">
        <f t="shared" si="3"/>
        <v>#N/A</v>
      </c>
      <c r="AP11">
        <v>8</v>
      </c>
      <c r="AQ11" t="e">
        <f t="shared" si="38"/>
        <v>#N/A</v>
      </c>
      <c r="AR11" s="63" t="e">
        <f t="shared" si="39"/>
        <v>#N/A</v>
      </c>
      <c r="AT11" s="36" t="str">
        <f t="shared" si="63"/>
        <v/>
      </c>
      <c r="AU11" s="36" t="str" cm="1">
        <f t="array" ref="AU11">IF($AT$3="Catégorie",IF(SUMIFS('Étape 1 - à remplir'!$F$31:$F$400,'Étape 1 - à remplir'!$C$31:$C$400,$AT11,'Étape 1 - à remplir'!$M$31:$M$400,MASQ2!AU$4)=0,"",SUMIFS('Étape 1 - à remplir'!$F$31:$F$400,'Étape 1 - à remplir'!$C$31:$C$400,$AT11,'Étape 1 - à remplir'!$M$31:$M$400,MASQ2!AU$4)/INDEX('Étape 1 - à remplir'!$C$19:$L$28,MATCH(MASQ2!$AT11,'Étape 1 - à remplir'!$L$19:$L$28,0),4)),INDEX($AU$44:$BF$73,MATCH($AT11,$AT$44:$AT$73,0),AU$4))</f>
        <v/>
      </c>
      <c r="AV11" s="36" t="str" cm="1">
        <f t="array" aca="1" ref="AV11" ca="1">IF($AT$3="Catégorie",IF(SUMIFS('Étape 1 - à remplir'!$F$31:$F$400,'Étape 1 - à remplir'!$C$31:$C$400,$AT11,'Étape 1 - à remplir'!$M$31:$M$400,MASQ2!AV$4)=0,"",SUMIFS('Étape 1 - à remplir'!$F$31:$F$400,'Étape 1 - à remplir'!$C$31:$C$400,$AT11,'Étape 1 - à remplir'!$M$31:$M$400,MASQ2!AV$4)/INDEX('Étape 1 - à remplir'!$C$19:$L$28,MATCH(MASQ2!$AT11,'Étape 1 - à remplir'!$L$19:$L$28,0),4)),INDEX($AU$44:$BF$73,MATCH($AT11,$AT$44:$AT$73,0),AV$4))</f>
        <v/>
      </c>
      <c r="AW11" s="36" t="str" cm="1">
        <f t="array" aca="1" ref="AW11" ca="1">IF($AT$3="Catégorie",IF(SUMIFS('Étape 1 - à remplir'!$F$31:$F$400,'Étape 1 - à remplir'!$C$31:$C$400,$AT11,'Étape 1 - à remplir'!$M$31:$M$400,MASQ2!AW$4)=0,"",SUMIFS('Étape 1 - à remplir'!$F$31:$F$400,'Étape 1 - à remplir'!$C$31:$C$400,$AT11,'Étape 1 - à remplir'!$M$31:$M$400,MASQ2!AW$4)/INDEX('Étape 1 - à remplir'!$C$19:$L$28,MATCH(MASQ2!$AT11,'Étape 1 - à remplir'!$L$19:$L$28,0),4)),INDEX($AU$44:$BF$73,MATCH($AT11,$AT$44:$AT$73,0),AW$4))</f>
        <v/>
      </c>
      <c r="AX11" s="36" t="str" cm="1">
        <f t="array" aca="1" ref="AX11" ca="1">IF($AT$3="Catégorie",IF(SUMIFS('Étape 1 - à remplir'!$F$31:$F$400,'Étape 1 - à remplir'!$C$31:$C$400,$AT11,'Étape 1 - à remplir'!$M$31:$M$400,MASQ2!AX$4)=0,"",SUMIFS('Étape 1 - à remplir'!$F$31:$F$400,'Étape 1 - à remplir'!$C$31:$C$400,$AT11,'Étape 1 - à remplir'!$M$31:$M$400,MASQ2!AX$4)/INDEX('Étape 1 - à remplir'!$C$19:$L$28,MATCH(MASQ2!$AT11,'Étape 1 - à remplir'!$L$19:$L$28,0),4)),INDEX($AU$44:$BF$73,MATCH($AT11,$AT$44:$AT$73,0),AX$4))</f>
        <v/>
      </c>
      <c r="AY11" s="36" t="str" cm="1">
        <f t="array" aca="1" ref="AY11" ca="1">IF($AT$3="Catégorie",IF(SUMIFS('Étape 1 - à remplir'!$F$31:$F$400,'Étape 1 - à remplir'!$C$31:$C$400,$AT11,'Étape 1 - à remplir'!$M$31:$M$400,MASQ2!AY$4)=0,"",SUMIFS('Étape 1 - à remplir'!$F$31:$F$400,'Étape 1 - à remplir'!$C$31:$C$400,$AT11,'Étape 1 - à remplir'!$M$31:$M$400,MASQ2!AY$4)/INDEX('Étape 1 - à remplir'!$C$19:$L$28,MATCH(MASQ2!$AT11,'Étape 1 - à remplir'!$L$19:$L$28,0),4)),INDEX($AU$44:$BF$73,MATCH($AT11,$AT$44:$AT$73,0),AY$4))</f>
        <v/>
      </c>
      <c r="AZ11" s="36" t="str" cm="1">
        <f t="array" aca="1" ref="AZ11" ca="1">IF($AT$3="Catégorie",IF(SUMIFS('Étape 1 - à remplir'!$F$31:$F$400,'Étape 1 - à remplir'!$C$31:$C$400,$AT11,'Étape 1 - à remplir'!$M$31:$M$400,MASQ2!AZ$4)=0,"",SUMIFS('Étape 1 - à remplir'!$F$31:$F$400,'Étape 1 - à remplir'!$C$31:$C$400,$AT11,'Étape 1 - à remplir'!$M$31:$M$400,MASQ2!AZ$4)/INDEX('Étape 1 - à remplir'!$C$19:$L$28,MATCH(MASQ2!$AT11,'Étape 1 - à remplir'!$L$19:$L$28,0),4)),INDEX($AU$44:$BF$73,MATCH($AT11,$AT$44:$AT$73,0),AZ$4))</f>
        <v/>
      </c>
      <c r="BA11" s="36" t="str" cm="1">
        <f t="array" aca="1" ref="BA11" ca="1">IF($AT$3="Catégorie",IF(SUMIFS('Étape 1 - à remplir'!$F$31:$F$400,'Étape 1 - à remplir'!$C$31:$C$400,$AT11,'Étape 1 - à remplir'!$M$31:$M$400,MASQ2!BA$4)=0,"",SUMIFS('Étape 1 - à remplir'!$F$31:$F$400,'Étape 1 - à remplir'!$C$31:$C$400,$AT11,'Étape 1 - à remplir'!$M$31:$M$400,MASQ2!BA$4)/INDEX('Étape 1 - à remplir'!$C$19:$L$28,MATCH(MASQ2!$AT11,'Étape 1 - à remplir'!$L$19:$L$28,0),4)),INDEX($AU$44:$BF$73,MATCH($AT11,$AT$44:$AT$73,0),BA$4))</f>
        <v/>
      </c>
      <c r="BB11" s="36" t="str" cm="1">
        <f t="array" aca="1" ref="BB11" ca="1">IF($AT$3="Catégorie",IF(SUMIFS('Étape 1 - à remplir'!$F$31:$F$400,'Étape 1 - à remplir'!$C$31:$C$400,$AT11,'Étape 1 - à remplir'!$M$31:$M$400,MASQ2!BB$4)=0,"",SUMIFS('Étape 1 - à remplir'!$F$31:$F$400,'Étape 1 - à remplir'!$C$31:$C$400,$AT11,'Étape 1 - à remplir'!$M$31:$M$400,MASQ2!BB$4)/INDEX('Étape 1 - à remplir'!$C$19:$L$28,MATCH(MASQ2!$AT11,'Étape 1 - à remplir'!$L$19:$L$28,0),4)),INDEX($AU$44:$BF$73,MATCH($AT11,$AT$44:$AT$73,0),BB$4))</f>
        <v/>
      </c>
      <c r="BC11" s="36" t="str" cm="1">
        <f t="array" aca="1" ref="BC11" ca="1">IF($AT$3="Catégorie",IF(SUMIFS('Étape 1 - à remplir'!$F$31:$F$400,'Étape 1 - à remplir'!$C$31:$C$400,$AT11,'Étape 1 - à remplir'!$M$31:$M$400,MASQ2!BC$4)=0,"",SUMIFS('Étape 1 - à remplir'!$F$31:$F$400,'Étape 1 - à remplir'!$C$31:$C$400,$AT11,'Étape 1 - à remplir'!$M$31:$M$400,MASQ2!BC$4)/INDEX('Étape 1 - à remplir'!$C$19:$L$28,MATCH(MASQ2!$AT11,'Étape 1 - à remplir'!$L$19:$L$28,0),4)),INDEX($AU$44:$BF$73,MATCH($AT11,$AT$44:$AT$73,0),BC$4))</f>
        <v/>
      </c>
      <c r="BD11" s="36" t="str" cm="1">
        <f t="array" aca="1" ref="BD11" ca="1">IF($AT$3="Catégorie",IF(SUMIFS('Étape 1 - à remplir'!$F$31:$F$400,'Étape 1 - à remplir'!$C$31:$C$400,$AT11,'Étape 1 - à remplir'!$M$31:$M$400,MASQ2!BD$4)=0,"",SUMIFS('Étape 1 - à remplir'!$F$31:$F$400,'Étape 1 - à remplir'!$C$31:$C$400,$AT11,'Étape 1 - à remplir'!$M$31:$M$400,MASQ2!BD$4)/INDEX('Étape 1 - à remplir'!$C$19:$L$28,MATCH(MASQ2!$AT11,'Étape 1 - à remplir'!$L$19:$L$28,0),4)),INDEX($AU$44:$BF$73,MATCH($AT11,$AT$44:$AT$73,0),BD$4))</f>
        <v/>
      </c>
      <c r="BE11" s="36" t="str" cm="1">
        <f t="array" aca="1" ref="BE11" ca="1">IF($AT$3="Catégorie",IF(SUMIFS('Étape 1 - à remplir'!$F$31:$F$400,'Étape 1 - à remplir'!$C$31:$C$400,$AT11,'Étape 1 - à remplir'!$M$31:$M$400,MASQ2!BE$4)=0,"",SUMIFS('Étape 1 - à remplir'!$F$31:$F$400,'Étape 1 - à remplir'!$C$31:$C$400,$AT11,'Étape 1 - à remplir'!$M$31:$M$400,MASQ2!BE$4)/INDEX('Étape 1 - à remplir'!$C$19:$L$28,MATCH(MASQ2!$AT11,'Étape 1 - à remplir'!$L$19:$L$28,0),4)),INDEX($AU$44:$BF$73,MATCH($AT11,$AT$44:$AT$73,0),BE$4))</f>
        <v/>
      </c>
      <c r="BF11" s="36" t="str" cm="1">
        <f t="array" aca="1" ref="BF11" ca="1">IF($AT$3="Catégorie",IF(SUMIFS('Étape 1 - à remplir'!$F$31:$F$400,'Étape 1 - à remplir'!$C$31:$C$400,$AT11,'Étape 1 - à remplir'!$M$31:$M$400,MASQ2!BF$4)=0,"",SUMIFS('Étape 1 - à remplir'!$F$31:$F$400,'Étape 1 - à remplir'!$C$31:$C$400,$AT11,'Étape 1 - à remplir'!$M$31:$M$400,MASQ2!BF$4)/INDEX('Étape 1 - à remplir'!$C$19:$L$28,MATCH(MASQ2!$AT11,'Étape 1 - à remplir'!$L$19:$L$28,0),4)),INDEX($AU$44:$BF$73,MATCH($AT11,$AT$44:$AT$73,0),BF$4))</f>
        <v/>
      </c>
      <c r="BH11" s="42" t="e">
        <f>IF(BK11="","",COUNTIF(BK$4:BK$13,"&gt;"&amp;BK11)+COUNTIF(BK$4:BK11,BK11))</f>
        <v>#N/A</v>
      </c>
      <c r="BI11" t="str">
        <f>'Étape 1 - à remplir'!L26</f>
        <v/>
      </c>
      <c r="BJ11" t="e">
        <f>IF(INDEX('Étape 1 - à remplir'!G$19:L$28,MATCH(BI11,'Étape 1 - à remplir'!L$19:L$28,0),1)="lots",SUMIF('Étape 1 - à remplir'!C$31:C$400,BI11,'Étape 1 - à remplir'!F$31:F$400),NA())</f>
        <v>#N/A</v>
      </c>
      <c r="BK11" s="76" t="e">
        <f>BJ11/INDEX('Étape 1 - à remplir'!F$19:L$28,MATCH(BI11,'Étape 1 - à remplir'!L$19:L$28,0),1)</f>
        <v>#N/A</v>
      </c>
      <c r="BM11" s="42" t="e">
        <f>IF(BO11="","",COUNTIF(BO$4:BO$23,"&gt;"&amp;BO11)+COUNTIF(BO$4:BO11,BO11))</f>
        <v>#N/A</v>
      </c>
      <c r="BN11" t="str">
        <f t="shared" si="4"/>
        <v>Infections du pied (panaris)</v>
      </c>
      <c r="BO11" s="76" t="e">
        <f>IF(IF(CE$2="Catégorie",IF(CE$3="Toutes",SUMIFS('Étape 1 - à remplir'!$F$31:$F$400,'Étape 1 - à remplir'!$D$31:$D$400,MASQ2!BN11,'Étape 1 - à remplir'!$G$31:$G$400,"lots"),SUMIFS('Étape 1 - à remplir'!$F$31:$F$400,'Étape 1 - à remplir'!$D$31:$D$400,MASQ2!BN11,'Étape 1 - à remplir'!$C$31:$C$400,CE$3,'Étape 1 - à remplir'!$G$31:$G$400,"lots")),IF(CE$2="Âge",IF(CE$3="Tous",SUMIFS('Étape 1 - à remplir'!$F$31:$F$400,'Étape 1 - à remplir'!$D$31:$D$400,MASQ2!BN11,'Étape 1 - à remplir'!$G$31:$G$400,"lots"),SUMIFS('Étape 1 - à remplir'!$F$31:$F$400,'Étape 1 - à remplir'!$D$31:$D$400,MASQ2!BN11,'Étape 1 - à remplir'!$P$31:$P$400,CE$3,'Étape 1 - à remplir'!$G$31:$G$400,"lots")),IF(CE$2="Atelier",IF(CE$3="Tous",SUMIFS('Étape 1 - à remplir'!$F$31:$F$400,'Étape 1 - à remplir'!$D$31:$D$400,MASQ2!BN11,'Étape 1 - à remplir'!$G$31:$G$400,"lots"),SUMIFS('Étape 1 - à remplir'!$F$31:$F$400,'Étape 1 - à remplir'!$D$31:$D$400,MASQ2!BN11,'Étape 1 - à remplir'!$O$31:$O$400,CE$3,'Étape 1 - à remplir'!$G$31:$G$400,"lots")),IF(CE$2="Espèce",IF(CE$3="Toutes",SUMIFS('Étape 1 - à remplir'!$F$31:$F$400,'Étape 1 - à remplir'!$D$31:$D$400,MASQ2!BN11,'Étape 1 - à remplir'!$G$31:$G$400,"lots"),SUMIFS('Étape 1 - à remplir'!$F$31:$F$400,'Étape 1 - à remplir'!$D$31:$D$400,MASQ2!BN11,'Étape 1 - à remplir'!$N$31:$N$400,CE$3,'Étape 1 - à remplir'!$G$31:$G$400,"lots"))))))=0,NA(),IF(CE$2="Catégorie",IF(CE$3="Toutes",SUMIFS('Étape 1 - à remplir'!$F$31:$F$400,'Étape 1 - à remplir'!$D$31:$D$400,MASQ2!BN11,'Étape 1 - à remplir'!$G$31:$G$400,"lots"),SUMIFS('Étape 1 - à remplir'!$F$31:$F$400,'Étape 1 - à remplir'!$D$31:$D$400,MASQ2!BN11,'Étape 1 - à remplir'!$C$31:$C$400,CE$3,'Étape 1 - à remplir'!$G$31:$G$400,"lots")),IF(CE$2="Âge",IF(CE$3="Tous",SUMIFS('Étape 1 - à remplir'!$F$31:$F$400,'Étape 1 - à remplir'!$D$31:$D$400,MASQ2!BN11,'Étape 1 - à remplir'!$G$31:$G$400,"lots"),SUMIFS('Étape 1 - à remplir'!$F$31:$F$400,'Étape 1 - à remplir'!$D$31:$D$400,MASQ2!BN11,'Étape 1 - à remplir'!$P$31:$P$400,CE$3,'Étape 1 - à remplir'!$G$31:$G$400,"lots")),IF(CE$2="Atelier",IF(CE$3="Tous",SUMIFS('Étape 1 - à remplir'!$F$31:$F$400,'Étape 1 - à remplir'!$D$31:$D$400,MASQ2!BN11,'Étape 1 - à remplir'!$G$31:$G$400,"lots"),SUMIFS('Étape 1 - à remplir'!$F$31:$F$400,'Étape 1 - à remplir'!$D$31:$D$400,MASQ2!BN11,'Étape 1 - à remplir'!$O$31:$O$400,CE$3,'Étape 1 - à remplir'!$G$31:$G$400,"lots")),IF(CE$2="Espèce",IF(CE$3="Toutes",SUMIFS('Étape 1 - à remplir'!$F$31:$F$400,'Étape 1 - à remplir'!$D$31:$D$400,MASQ2!BN11,'Étape 1 - à remplir'!$G$31:$G$400,"lots"),SUMIFS('Étape 1 - à remplir'!$F$31:$F$400,'Étape 1 - à remplir'!$D$31:$D$400,MASQ2!BN11,'Étape 1 - à remplir'!$N$31:$N$400,CE$3,'Étape 1 - à remplir'!$G$31:$G$400,"lots")))))))</f>
        <v>#N/A</v>
      </c>
      <c r="BP11">
        <v>8</v>
      </c>
      <c r="BQ11" t="e">
        <f t="shared" si="40"/>
        <v>#N/A</v>
      </c>
      <c r="BR11" s="63" t="e">
        <f t="shared" si="41"/>
        <v>#N/A</v>
      </c>
      <c r="BT11" s="194" t="str">
        <f t="shared" ca="1" si="5"/>
        <v/>
      </c>
      <c r="BU11" s="219" t="str">
        <f>IFERROR(IF(BX11=0,"",COUNTIF(BX$4:BX$600,"&gt;"&amp;BX11)+COUNTIF(BX$4:BX11,BX11)),"")</f>
        <v/>
      </c>
      <c r="BV11" s="42" t="str">
        <f t="shared" si="6"/>
        <v>ACTI-STREPTO</v>
      </c>
      <c r="BW11" t="e">
        <f>IF(IF(CE$2="Catégorie",IF(CE$3="Toutes",SUMIFS('Étape 1 - à remplir'!$F$31:$F$400,'Étape 1 - à remplir'!$E$31:$E$400,MASQ2!BV11,'Étape 1 - à remplir'!$G$31:$G$400,"lots"),SUMIFS('Étape 1 - à remplir'!$F$31:$F$400,'Étape 1 - à remplir'!$E$31:$E$400,MASQ2!BV11,'Étape 1 - à remplir'!$C$31:$C$400,CE$3)),IF(CE$2="Âge",IF(CE$3="Tous",SUMIFS('Étape 1 - à remplir'!$F$31:$F$400,'Étape 1 - à remplir'!$E$31:$E$400,MASQ2!BV11,'Étape 1 - à remplir'!$G$31:$G$400,"lots"),SUMIFS('Étape 1 - à remplir'!$F$31:$F$400,'Étape 1 - à remplir'!$E$31:$E$400,MASQ2!BV11,'Étape 1 - à remplir'!$P$31:$P$400,CE$3,'Étape 1 - à remplir'!$G$31:$G$400,"lots")),IF(CE$2="Atelier",IF(CE$3="Tous",SUMIFS('Étape 1 - à remplir'!$F$31:$F$400,'Étape 1 - à remplir'!$E$31:$E$400,MASQ2!BV11,'Étape 1 - à remplir'!$G$31:$G$400,"lots"),SUMIFS('Étape 1 - à remplir'!$F$31:$F$400,'Étape 1 - à remplir'!$E$31:$E$400,MASQ2!BV11,'Étape 1 - à remplir'!$O$31:$O$400,CE$3,'Étape 1 - à remplir'!$G$31:$G$400,"lots")),IF(CE$2="Espèce",IF(CE$3="Toutes",SUMIFS('Étape 1 - à remplir'!$F$31:$F$400,'Étape 1 - à remplir'!$E$31:$E$400,MASQ2!BV11,'Étape 1 - à remplir'!$G$31:$G$400,"lots"),SUMIFS('Étape 1 - à remplir'!$F$31:$F$400,'Étape 1 - à remplir'!$E$31:$E$400,MASQ2!BV11,'Étape 1 - à remplir'!$N$31:$N$400,CE$3,'Étape 1 - à remplir'!$G$31:$G$400,"lots"))))))=0,NA(),IF(CE$2="Catégorie",IF(CE$3="Toutes",SUMIFS('Étape 1 - à remplir'!$F$31:$F$400,'Étape 1 - à remplir'!$E$31:$E$400,MASQ2!BV11,'Étape 1 - à remplir'!$G$31:$G$400,"lots"),SUMIFS('Étape 1 - à remplir'!$F$31:$F$400,'Étape 1 - à remplir'!$E$31:$E$400,MASQ2!BV11,'Étape 1 - à remplir'!$C$31:$C$400,CE$3)),IF(CE$2="Âge",IF(CE$3="Tous",SUMIFS('Étape 1 - à remplir'!$F$31:$F$400,'Étape 1 - à remplir'!$E$31:$E$400,MASQ2!BV11,'Étape 1 - à remplir'!$G$31:$G$400,"lots"),SUMIFS('Étape 1 - à remplir'!$F$31:$F$400,'Étape 1 - à remplir'!$E$31:$E$400,MASQ2!BV11,'Étape 1 - à remplir'!$P$31:$P$400,CE$3,'Étape 1 - à remplir'!$G$31:$G$400,"lots")),IF(CE$2="Atelier",IF(CE$3="Tous",SUMIFS('Étape 1 - à remplir'!$F$31:$F$400,'Étape 1 - à remplir'!$E$31:$E$400,MASQ2!BV11,'Étape 1 - à remplir'!$G$31:$G$400,"lots"),SUMIFS('Étape 1 - à remplir'!$F$31:$F$400,'Étape 1 - à remplir'!$E$31:$E$400,MASQ2!BV11,'Étape 1 - à remplir'!$O$31:$O$400,CE$3,'Étape 1 - à remplir'!$G$31:$G$400,"lots")),IF(CE$2="Espèce",IF(CE$3="Toutes",SUMIFS('Étape 1 - à remplir'!$F$31:$F$400,'Étape 1 - à remplir'!$E$31:$E$400,MASQ2!BV11,'Étape 1 - à remplir'!$G$31:$G$400,"lots"),SUMIFS('Étape 1 - à remplir'!$F$31:$F$400,'Étape 1 - à remplir'!$E$31:$E$400,MASQ2!BV11,'Étape 1 - à remplir'!$N$31:$N$400,CE$3,'Étape 1 - à remplir'!$G$31:$G$400,"lots")))))))</f>
        <v>#N/A</v>
      </c>
      <c r="BX11">
        <f t="shared" si="42"/>
        <v>0</v>
      </c>
      <c r="BY11" t="str">
        <f t="shared" si="7"/>
        <v>Dihydrostreptomycine</v>
      </c>
      <c r="BZ11" t="str">
        <f t="shared" si="8"/>
        <v/>
      </c>
      <c r="CA11" t="str">
        <f t="shared" si="9"/>
        <v/>
      </c>
      <c r="CB11" t="str">
        <f t="shared" si="10"/>
        <v>Aminoglycosides</v>
      </c>
      <c r="CC11" t="str">
        <f t="shared" si="11"/>
        <v/>
      </c>
      <c r="CD11" s="63" t="str">
        <f t="shared" si="12"/>
        <v/>
      </c>
      <c r="CG11" s="42">
        <v>8</v>
      </c>
      <c r="CH11" s="42" t="e">
        <f t="shared" si="43"/>
        <v>#N/A</v>
      </c>
      <c r="CI11" s="63" t="e">
        <f t="shared" si="44"/>
        <v>#N/A</v>
      </c>
      <c r="CK11" s="194" t="str">
        <f t="shared" si="13"/>
        <v/>
      </c>
      <c r="CL11" s="226" t="str">
        <f>IFERROR(IF(CN11=0,"",COUNTIF(CN$4:CN$64,"&gt;"&amp;CN11)+COUNTIF(CN$4:CN11,CN11)),"")</f>
        <v/>
      </c>
      <c r="CM11" t="str">
        <f t="shared" si="14"/>
        <v>Céfapirine</v>
      </c>
      <c r="CN11" s="76" t="e">
        <f t="shared" si="45"/>
        <v>#N/A</v>
      </c>
      <c r="CO11">
        <v>8</v>
      </c>
      <c r="CP11" t="e">
        <f t="shared" si="46"/>
        <v>#N/A</v>
      </c>
      <c r="CQ11" s="63" t="e">
        <f t="shared" si="47"/>
        <v>#N/A</v>
      </c>
      <c r="CS11" s="194" t="str">
        <f t="shared" si="15"/>
        <v/>
      </c>
      <c r="CT11" s="14" t="str">
        <f>IFERROR(IF(CV11=0,"",COUNTIF(CV$4:CV$19,"&gt;"&amp;CV11)+COUNTIF(CV$4:CV11,CV11)),"")</f>
        <v/>
      </c>
      <c r="CU11" s="230" t="str">
        <f t="shared" si="16"/>
        <v>Macrolides</v>
      </c>
      <c r="CV11" s="76" t="e">
        <f t="shared" si="48"/>
        <v>#N/A</v>
      </c>
      <c r="CW11">
        <v>8</v>
      </c>
      <c r="CX11" t="e">
        <f t="shared" si="49"/>
        <v>#N/A</v>
      </c>
      <c r="CY11" s="63" t="e">
        <f t="shared" si="50"/>
        <v>#N/A</v>
      </c>
      <c r="DA11" s="36" t="str">
        <f t="shared" si="64"/>
        <v/>
      </c>
      <c r="DB11" s="36" t="str" cm="1">
        <f t="array" ref="DB11">IF($DA$3="Catégorie",IF(SUMIFS('Étape 1 - à remplir'!$F$31:$F$400,'Étape 1 - à remplir'!$C$31:$C$400,$DA11,'Étape 1 - à remplir'!$M$31:$M$400,MASQ2!DB$4)=0,"",SUMIFS('Étape 1 - à remplir'!$F$31:$F$400,'Étape 1 - à remplir'!$C$31:$C$400,$DA11,'Étape 1 - à remplir'!$M$31:$M$400,MASQ2!DB$4)/INDEX('Étape 1 - à remplir'!$C$19:$L$28,MATCH(MASQ2!$DA11,'Étape 1 - à remplir'!$L$19:$L$28,0),4)),INDEX($DB$44:$DM$73,MATCH($DA11,$DA$44:$DA$73,0),DB$4))</f>
        <v/>
      </c>
      <c r="DC11" s="36" t="str" cm="1">
        <f t="array" aca="1" ref="DC11" ca="1">IF($DA$3="Catégorie",IF(SUMIFS('Étape 1 - à remplir'!$F$31:$F$400,'Étape 1 - à remplir'!$C$31:$C$400,$DA11,'Étape 1 - à remplir'!$M$31:$M$400,MASQ2!DC$4)=0,"",SUMIFS('Étape 1 - à remplir'!$F$31:$F$400,'Étape 1 - à remplir'!$C$31:$C$400,$DA11,'Étape 1 - à remplir'!$M$31:$M$400,MASQ2!DC$4)/INDEX('Étape 1 - à remplir'!$C$19:$L$28,MATCH(MASQ2!$DA11,'Étape 1 - à remplir'!$L$19:$L$28,0),4)),INDEX($DB$44:$DM$73,MATCH($DA11,$DA$44:$DA$73,0),DC$4))</f>
        <v/>
      </c>
      <c r="DD11" s="36" t="str" cm="1">
        <f t="array" aca="1" ref="DD11" ca="1">IF($DA$3="Catégorie",IF(SUMIFS('Étape 1 - à remplir'!$F$31:$F$400,'Étape 1 - à remplir'!$C$31:$C$400,$DA11,'Étape 1 - à remplir'!$M$31:$M$400,MASQ2!DD$4)=0,"",SUMIFS('Étape 1 - à remplir'!$F$31:$F$400,'Étape 1 - à remplir'!$C$31:$C$400,$DA11,'Étape 1 - à remplir'!$M$31:$M$400,MASQ2!DD$4)/INDEX('Étape 1 - à remplir'!$C$19:$L$28,MATCH(MASQ2!$DA11,'Étape 1 - à remplir'!$L$19:$L$28,0),4)),INDEX($DB$44:$DM$73,MATCH($DA11,$DA$44:$DA$73,0),DD$4))</f>
        <v/>
      </c>
      <c r="DE11" s="36" t="str" cm="1">
        <f t="array" aca="1" ref="DE11" ca="1">IF($DA$3="Catégorie",IF(SUMIFS('Étape 1 - à remplir'!$F$31:$F$400,'Étape 1 - à remplir'!$C$31:$C$400,$DA11,'Étape 1 - à remplir'!$M$31:$M$400,MASQ2!DE$4)=0,"",SUMIFS('Étape 1 - à remplir'!$F$31:$F$400,'Étape 1 - à remplir'!$C$31:$C$400,$DA11,'Étape 1 - à remplir'!$M$31:$M$400,MASQ2!DE$4)/INDEX('Étape 1 - à remplir'!$C$19:$L$28,MATCH(MASQ2!$DA11,'Étape 1 - à remplir'!$L$19:$L$28,0),4)),INDEX($DB$44:$DM$73,MATCH($DA11,$DA$44:$DA$73,0),DE$4))</f>
        <v/>
      </c>
      <c r="DF11" s="36" t="str" cm="1">
        <f t="array" aca="1" ref="DF11" ca="1">IF($DA$3="Catégorie",IF(SUMIFS('Étape 1 - à remplir'!$F$31:$F$400,'Étape 1 - à remplir'!$C$31:$C$400,$DA11,'Étape 1 - à remplir'!$M$31:$M$400,MASQ2!DF$4)=0,"",SUMIFS('Étape 1 - à remplir'!$F$31:$F$400,'Étape 1 - à remplir'!$C$31:$C$400,$DA11,'Étape 1 - à remplir'!$M$31:$M$400,MASQ2!DF$4)/INDEX('Étape 1 - à remplir'!$C$19:$L$28,MATCH(MASQ2!$DA11,'Étape 1 - à remplir'!$L$19:$L$28,0),4)),INDEX($DB$44:$DM$73,MATCH($DA11,$DA$44:$DA$73,0),DF$4))</f>
        <v/>
      </c>
      <c r="DG11" s="36" t="str" cm="1">
        <f t="array" aca="1" ref="DG11" ca="1">IF($DA$3="Catégorie",IF(SUMIFS('Étape 1 - à remplir'!$F$31:$F$400,'Étape 1 - à remplir'!$C$31:$C$400,$DA11,'Étape 1 - à remplir'!$M$31:$M$400,MASQ2!DG$4)=0,"",SUMIFS('Étape 1 - à remplir'!$F$31:$F$400,'Étape 1 - à remplir'!$C$31:$C$400,$DA11,'Étape 1 - à remplir'!$M$31:$M$400,MASQ2!DG$4)/INDEX('Étape 1 - à remplir'!$C$19:$L$28,MATCH(MASQ2!$DA11,'Étape 1 - à remplir'!$L$19:$L$28,0),4)),INDEX($DB$44:$DM$73,MATCH($DA11,$DA$44:$DA$73,0),DG$4))</f>
        <v/>
      </c>
      <c r="DH11" s="36" t="str" cm="1">
        <f t="array" aca="1" ref="DH11" ca="1">IF($DA$3="Catégorie",IF(SUMIFS('Étape 1 - à remplir'!$F$31:$F$400,'Étape 1 - à remplir'!$C$31:$C$400,$DA11,'Étape 1 - à remplir'!$M$31:$M$400,MASQ2!DH$4)=0,"",SUMIFS('Étape 1 - à remplir'!$F$31:$F$400,'Étape 1 - à remplir'!$C$31:$C$400,$DA11,'Étape 1 - à remplir'!$M$31:$M$400,MASQ2!DH$4)/INDEX('Étape 1 - à remplir'!$C$19:$L$28,MATCH(MASQ2!$DA11,'Étape 1 - à remplir'!$L$19:$L$28,0),4)),INDEX($DB$44:$DM$73,MATCH($DA11,$DA$44:$DA$73,0),DH$4))</f>
        <v/>
      </c>
      <c r="DI11" s="36" t="str" cm="1">
        <f t="array" aca="1" ref="DI11" ca="1">IF($DA$3="Catégorie",IF(SUMIFS('Étape 1 - à remplir'!$F$31:$F$400,'Étape 1 - à remplir'!$C$31:$C$400,$DA11,'Étape 1 - à remplir'!$M$31:$M$400,MASQ2!DI$4)=0,"",SUMIFS('Étape 1 - à remplir'!$F$31:$F$400,'Étape 1 - à remplir'!$C$31:$C$400,$DA11,'Étape 1 - à remplir'!$M$31:$M$400,MASQ2!DI$4)/INDEX('Étape 1 - à remplir'!$C$19:$L$28,MATCH(MASQ2!$DA11,'Étape 1 - à remplir'!$L$19:$L$28,0),4)),INDEX($DB$44:$DM$73,MATCH($DA11,$DA$44:$DA$73,0),DI$4))</f>
        <v/>
      </c>
      <c r="DJ11" s="36" t="str" cm="1">
        <f t="array" aca="1" ref="DJ11" ca="1">IF($DA$3="Catégorie",IF(SUMIFS('Étape 1 - à remplir'!$F$31:$F$400,'Étape 1 - à remplir'!$C$31:$C$400,$DA11,'Étape 1 - à remplir'!$M$31:$M$400,MASQ2!DJ$4)=0,"",SUMIFS('Étape 1 - à remplir'!$F$31:$F$400,'Étape 1 - à remplir'!$C$31:$C$400,$DA11,'Étape 1 - à remplir'!$M$31:$M$400,MASQ2!DJ$4)/INDEX('Étape 1 - à remplir'!$C$19:$L$28,MATCH(MASQ2!$DA11,'Étape 1 - à remplir'!$L$19:$L$28,0),4)),INDEX($DB$44:$DM$73,MATCH($DA11,$DA$44:$DA$73,0),DJ$4))</f>
        <v/>
      </c>
      <c r="DK11" s="36" t="str" cm="1">
        <f t="array" aca="1" ref="DK11" ca="1">IF($DA$3="Catégorie",IF(SUMIFS('Étape 1 - à remplir'!$F$31:$F$400,'Étape 1 - à remplir'!$C$31:$C$400,$DA11,'Étape 1 - à remplir'!$M$31:$M$400,MASQ2!DK$4)=0,"",SUMIFS('Étape 1 - à remplir'!$F$31:$F$400,'Étape 1 - à remplir'!$C$31:$C$400,$DA11,'Étape 1 - à remplir'!$M$31:$M$400,MASQ2!DK$4)/INDEX('Étape 1 - à remplir'!$C$19:$L$28,MATCH(MASQ2!$DA11,'Étape 1 - à remplir'!$L$19:$L$28,0),4)),INDEX($DB$44:$DM$73,MATCH($DA11,$DA$44:$DA$73,0),DK$4))</f>
        <v/>
      </c>
      <c r="DL11" s="36" t="str" cm="1">
        <f t="array" aca="1" ref="DL11" ca="1">IF($DA$3="Catégorie",IF(SUMIFS('Étape 1 - à remplir'!$F$31:$F$400,'Étape 1 - à remplir'!$C$31:$C$400,$DA11,'Étape 1 - à remplir'!$M$31:$M$400,MASQ2!DL$4)=0,"",SUMIFS('Étape 1 - à remplir'!$F$31:$F$400,'Étape 1 - à remplir'!$C$31:$C$400,$DA11,'Étape 1 - à remplir'!$M$31:$M$400,MASQ2!DL$4)/INDEX('Étape 1 - à remplir'!$C$19:$L$28,MATCH(MASQ2!$DA11,'Étape 1 - à remplir'!$L$19:$L$28,0),4)),INDEX($DB$44:$DM$73,MATCH($DA11,$DA$44:$DA$73,0),DL$4))</f>
        <v/>
      </c>
      <c r="DM11" s="36" t="str" cm="1">
        <f t="array" aca="1" ref="DM11" ca="1">IF($DA$3="Catégorie",IF(SUMIFS('Étape 1 - à remplir'!$F$31:$F$400,'Étape 1 - à remplir'!$C$31:$C$400,$DA11,'Étape 1 - à remplir'!$M$31:$M$400,MASQ2!DM$4)=0,"",SUMIFS('Étape 1 - à remplir'!$F$31:$F$400,'Étape 1 - à remplir'!$C$31:$C$400,$DA11,'Étape 1 - à remplir'!$M$31:$M$400,MASQ2!DM$4)/INDEX('Étape 1 - à remplir'!$C$19:$L$28,MATCH(MASQ2!$DA11,'Étape 1 - à remplir'!$L$19:$L$28,0),4)),INDEX($DB$44:$DM$73,MATCH($DA11,$DA$44:$DA$73,0),DM$4))</f>
        <v/>
      </c>
      <c r="DO11" s="42" t="e">
        <f>IF(DR11="","",COUNTIF(DR$4:DR$13,"&gt;"&amp;DR11)+COUNTIF(DR$4:DR11,DR11))</f>
        <v>#N/A</v>
      </c>
      <c r="DP11" t="str">
        <f>'Étape 1 - à remplir'!L26</f>
        <v/>
      </c>
      <c r="DQ11" t="e">
        <f>IF(INDEX('Étape 1 - à remplir'!G$19:L$28,MATCH(DP11,'Étape 1 - à remplir'!L$19:L$28,0),1)="kg",SUMIF('Étape 1 - à remplir'!C$31:C$400,DP11,'Étape 1 - à remplir'!F$31:F$400),NA())</f>
        <v>#N/A</v>
      </c>
      <c r="DR11" s="63" t="e">
        <f>DQ11/INDEX('Étape 1 - à remplir'!F$19:L$28,MATCH(DP11,'Étape 1 - à remplir'!L$19:L$28,0),1)</f>
        <v>#N/A</v>
      </c>
      <c r="DT11" s="42" t="e">
        <f>IF(DV11="","",COUNTIF(DV$4:DV$23,"&gt;"&amp;DV11)+COUNTIF(DV$4:DV11,DV11))</f>
        <v>#N/A</v>
      </c>
      <c r="DU11" t="str">
        <f t="shared" si="17"/>
        <v>Infections du pied (panaris)</v>
      </c>
      <c r="DV11" s="63" t="e">
        <f>IF(IF(EL$2="Catégorie",IF(EL$3="Toutes",SUMIFS('Étape 1 - à remplir'!$F$31:$F$400,'Étape 1 - à remplir'!$D$31:$D$400,MASQ2!DU11,'Étape 1 - à remplir'!$G$31:$G$400,"kg"),SUMIFS('Étape 1 - à remplir'!$F$31:$F$400,'Étape 1 - à remplir'!$D$31:$D$400,MASQ2!DU11,'Étape 1 - à remplir'!$C$31:$C$400,EL$3,'Étape 1 - à remplir'!$G$31:$G$400,"kg")),IF(EL$2="Âge",IF(EL$3="Tous",SUMIFS('Étape 1 - à remplir'!$F$31:$F$400,'Étape 1 - à remplir'!$D$31:$D$400,MASQ2!DU11,'Étape 1 - à remplir'!$G$31:$G$400,"kg"),SUMIFS('Étape 1 - à remplir'!$F$31:$F$400,'Étape 1 - à remplir'!$D$31:$D$400,MASQ2!DU11,'Étape 1 - à remplir'!$P$31:$P$400,EL$3,'Étape 1 - à remplir'!$G$31:$G$400,"kg")),IF(EL$2="Atelier",IF(EL$3="Tous",SUMIFS('Étape 1 - à remplir'!$F$31:$F$400,'Étape 1 - à remplir'!$D$31:$D$400,MASQ2!DU11,'Étape 1 - à remplir'!$G$31:$G$400,"kg"),SUMIFS('Étape 1 - à remplir'!$F$31:$F$400,'Étape 1 - à remplir'!$D$31:$D$400,MASQ2!DU11,'Étape 1 - à remplir'!$O$31:$O$400,EL$3,'Étape 1 - à remplir'!$G$31:$G$400,"kg")),IF(EL$2="Espèce",IF(EL$3="Toutes",SUMIFS('Étape 1 - à remplir'!$F$31:$F$400,'Étape 1 - à remplir'!$D$31:$D$400,MASQ2!DU11,'Étape 1 - à remplir'!$G$31:$G$400,"kg"),SUMIFS('Étape 1 - à remplir'!$F$31:$F$400,'Étape 1 - à remplir'!$D$31:$D$400,MASQ2!DU11,'Étape 1 - à remplir'!$N$31:$N$400,EL$3,'Étape 1 - à remplir'!$G$31:$G$400,"kg"))))))=0,NA(),IF(EL$2="Catégorie",IF(EL$3="Toutes",SUMIFS('Étape 1 - à remplir'!$F$31:$F$400,'Étape 1 - à remplir'!$D$31:$D$400,MASQ2!DU11,'Étape 1 - à remplir'!$G$31:$G$400,"kg"),SUMIFS('Étape 1 - à remplir'!$F$31:$F$400,'Étape 1 - à remplir'!$D$31:$D$400,MASQ2!DU11,'Étape 1 - à remplir'!$C$31:$C$400,EL$3,'Étape 1 - à remplir'!$G$31:$G$400,"kg")),IF(EL$2="Âge",IF(EL$3="Tous",SUMIFS('Étape 1 - à remplir'!$F$31:$F$400,'Étape 1 - à remplir'!$D$31:$D$400,MASQ2!DU11,'Étape 1 - à remplir'!$G$31:$G$400,"kg"),SUMIFS('Étape 1 - à remplir'!$F$31:$F$400,'Étape 1 - à remplir'!$D$31:$D$400,MASQ2!DU11,'Étape 1 - à remplir'!$P$31:$P$400,EL$3,'Étape 1 - à remplir'!$G$31:$G$400,"kg")),IF(EL$2="Atelier",IF(EL$3="Tous",SUMIFS('Étape 1 - à remplir'!$F$31:$F$400,'Étape 1 - à remplir'!$D$31:$D$400,MASQ2!DU11,'Étape 1 - à remplir'!$G$31:$G$400,"kg"),SUMIFS('Étape 1 - à remplir'!$F$31:$F$400,'Étape 1 - à remplir'!$D$31:$D$400,MASQ2!DU11,'Étape 1 - à remplir'!$O$31:$O$400,EL$3,'Étape 1 - à remplir'!$G$31:$G$400,"kg")),IF(EL$2="Espèce",IF(EL$3="Toutes",SUMIFS('Étape 1 - à remplir'!$F$31:$F$400,'Étape 1 - à remplir'!$D$31:$D$400,MASQ2!DU11,'Étape 1 - à remplir'!$G$31:$G$400,"kg"),SUMIFS('Étape 1 - à remplir'!$F$31:$F$400,'Étape 1 - à remplir'!$D$31:$D$400,MASQ2!DU11,'Étape 1 - à remplir'!$N$31:$N$400,EL$3,'Étape 1 - à remplir'!$G$31:$G$400,"kg")))))))</f>
        <v>#N/A</v>
      </c>
      <c r="DW11" s="42">
        <v>8</v>
      </c>
      <c r="DX11" t="e">
        <f t="shared" si="51"/>
        <v>#N/A</v>
      </c>
      <c r="DY11" s="63" t="e">
        <f t="shared" si="52"/>
        <v>#N/A</v>
      </c>
      <c r="EA11" s="194" t="str">
        <f t="shared" ca="1" si="18"/>
        <v/>
      </c>
      <c r="EB11" s="226" t="str">
        <f>IFERROR(IF(ED11=0,"",COUNTIF(ED$4:ED$600,"&gt;"&amp;ED11)+COUNTIF(ED$4:ED11,ED11)),"")</f>
        <v/>
      </c>
      <c r="EC11" t="str">
        <f t="shared" si="19"/>
        <v>ACTI-STREPTO</v>
      </c>
      <c r="ED11" t="e">
        <f>IF(IF(EL$2="Catégorie",IF(EL$3="Toutes",SUMIFS('Étape 1 - à remplir'!$F$31:$F$400,'Étape 1 - à remplir'!$E$31:$E$400,MASQ2!EC11,'Étape 1 - à remplir'!$G$31:$G$400,"kg"),SUMIFS('Étape 1 - à remplir'!$F$31:$F$400,'Étape 1 - à remplir'!$E$31:$E$400,MASQ2!EC11,'Étape 1 - à remplir'!$C$31:$C$400,EL$3)),IF(EL$2="Âge",IF(EL$3="Tous",SUMIFS('Étape 1 - à remplir'!$F$31:$F$400,'Étape 1 - à remplir'!$E$31:$E$400,MASQ2!EC11,'Étape 1 - à remplir'!$G$31:$G$400,"kg"),SUMIFS('Étape 1 - à remplir'!$F$31:$F$400,'Étape 1 - à remplir'!$E$31:$E$400,MASQ2!EC11,'Étape 1 - à remplir'!$P$31:$P$400,EL$3,'Étape 1 - à remplir'!$G$31:$G$400,"kg")),IF(EL$2="Atelier",IF(EL$3="Tous",SUMIFS('Étape 1 - à remplir'!$F$31:$F$400,'Étape 1 - à remplir'!$E$31:$E$400,MASQ2!EC11,'Étape 1 - à remplir'!$G$31:$G$400,"kg"),SUMIFS('Étape 1 - à remplir'!$F$31:$F$400,'Étape 1 - à remplir'!$E$31:$E$400,MASQ2!EC11,'Étape 1 - à remplir'!$O$31:$O$400,EL$3,'Étape 1 - à remplir'!$G$31:$G$400,"kg")),IF(EL$2="Espèce",IF(EL$3="Toutes",SUMIFS('Étape 1 - à remplir'!$F$31:$F$400,'Étape 1 - à remplir'!$E$31:$E$400,MASQ2!EC11,'Étape 1 - à remplir'!$G$31:$G$400,"kg"),SUMIFS('Étape 1 - à remplir'!$F$31:$F$400,'Étape 1 - à remplir'!$E$31:$E$400,MASQ2!EC11,'Étape 1 - à remplir'!$N$31:$N$400,EL$3,'Étape 1 - à remplir'!$G$31:$G$400,"kg"))))))=0,NA(),IF(EL$2="Catégorie",IF(EL$3="Toutes",SUMIFS('Étape 1 - à remplir'!$F$31:$F$400,'Étape 1 - à remplir'!$E$31:$E$400,MASQ2!EC11,'Étape 1 - à remplir'!$G$31:$G$400,"kg"),SUMIFS('Étape 1 - à remplir'!$F$31:$F$400,'Étape 1 - à remplir'!$E$31:$E$400,MASQ2!EC11,'Étape 1 - à remplir'!$C$31:$C$400,EL$3)),IF(EL$2="Âge",IF(EL$3="Tous",SUMIFS('Étape 1 - à remplir'!$F$31:$F$400,'Étape 1 - à remplir'!$E$31:$E$400,MASQ2!EC11,'Étape 1 - à remplir'!$G$31:$G$400,"kg"),SUMIFS('Étape 1 - à remplir'!$F$31:$F$400,'Étape 1 - à remplir'!$E$31:$E$400,MASQ2!EC11,'Étape 1 - à remplir'!$P$31:$P$400,EL$3,'Étape 1 - à remplir'!$G$31:$G$400,"kg")),IF(EL$2="Atelier",IF(EL$3="Tous",SUMIFS('Étape 1 - à remplir'!$F$31:$F$400,'Étape 1 - à remplir'!$E$31:$E$400,MASQ2!EC11,'Étape 1 - à remplir'!$G$31:$G$400,"kg"),SUMIFS('Étape 1 - à remplir'!$F$31:$F$400,'Étape 1 - à remplir'!$E$31:$E$400,MASQ2!EC11,'Étape 1 - à remplir'!$O$31:$O$400,EL$3,'Étape 1 - à remplir'!$G$31:$G$400,"kg")),IF(EL$2="Espèce",IF(EL$3="Toutes",SUMIFS('Étape 1 - à remplir'!$F$31:$F$400,'Étape 1 - à remplir'!$E$31:$E$400,MASQ2!EC11,'Étape 1 - à remplir'!$G$31:$G$400,"kg"),SUMIFS('Étape 1 - à remplir'!$F$31:$F$400,'Étape 1 - à remplir'!$E$31:$E$400,MASQ2!EC11,'Étape 1 - à remplir'!$N$31:$N$400,EL$3,'Étape 1 - à remplir'!$G$31:$G$400,"kg")))))))</f>
        <v>#N/A</v>
      </c>
      <c r="EE11" s="76">
        <f t="shared" si="53"/>
        <v>0</v>
      </c>
      <c r="EF11" t="str">
        <f t="shared" si="20"/>
        <v>Dihydrostreptomycine</v>
      </c>
      <c r="EG11" t="str">
        <f t="shared" si="21"/>
        <v/>
      </c>
      <c r="EH11" t="str">
        <f t="shared" si="22"/>
        <v/>
      </c>
      <c r="EI11" t="str">
        <f t="shared" si="23"/>
        <v>Aminoglycosides</v>
      </c>
      <c r="EJ11" t="str">
        <f t="shared" si="24"/>
        <v/>
      </c>
      <c r="EK11" s="63" t="str">
        <f t="shared" si="25"/>
        <v/>
      </c>
      <c r="EN11" s="42">
        <v>8</v>
      </c>
      <c r="EO11" t="e">
        <f t="shared" si="68"/>
        <v>#N/A</v>
      </c>
      <c r="EP11" s="63" t="e">
        <f t="shared" si="69"/>
        <v>#N/A</v>
      </c>
      <c r="ER11" s="194" t="str">
        <f t="shared" si="26"/>
        <v/>
      </c>
      <c r="ES11" s="226" t="str">
        <f>IFERROR(IF(EU11=0,"",COUNTIF(EU$4:EU$64,"&gt;"&amp;EU11)+COUNTIF(EU$4:EU11,EU11)),"")</f>
        <v/>
      </c>
      <c r="ET11" t="str">
        <f t="shared" si="27"/>
        <v>Céfapirine</v>
      </c>
      <c r="EU11" s="76" t="e">
        <f t="shared" si="56"/>
        <v>#N/A</v>
      </c>
      <c r="EV11">
        <v>8</v>
      </c>
      <c r="EW11" t="e">
        <f t="shared" si="57"/>
        <v>#N/A</v>
      </c>
      <c r="EX11" s="63" t="e">
        <f t="shared" si="58"/>
        <v>#N/A</v>
      </c>
      <c r="EZ11" s="194" t="str">
        <f t="shared" si="28"/>
        <v/>
      </c>
      <c r="FA11" s="226" t="str">
        <f>IFERROR(IF(FC11=0,"",COUNTIF(FC$4:FC$19,"&gt;"&amp;FC11)+COUNTIF(FC$4:FC11,FC11)),"")</f>
        <v/>
      </c>
      <c r="FB11" t="str">
        <f t="shared" si="29"/>
        <v>Macrolides</v>
      </c>
      <c r="FC11" s="76" t="e">
        <f t="shared" si="59"/>
        <v>#N/A</v>
      </c>
      <c r="FD11">
        <v>8</v>
      </c>
      <c r="FE11" t="e">
        <f t="shared" si="60"/>
        <v>#N/A</v>
      </c>
      <c r="FF11" s="63" t="e">
        <f t="shared" si="61"/>
        <v>#N/A</v>
      </c>
      <c r="FH11" s="36" t="str">
        <f t="shared" si="65"/>
        <v/>
      </c>
      <c r="FI11" s="35" t="str" cm="1">
        <f t="array" ref="FI11">IF($FH$3="Catégorie",IF(SUMIFS('Étape 1 - à remplir'!$F$31:$F$400,'Étape 1 - à remplir'!$C$31:$C$400,$FH11,'Étape 1 - à remplir'!$M$31:$M$400,MASQ2!FI$4)=0,"",SUMIFS('Étape 1 - à remplir'!$F$31:$F$400,'Étape 1 - à remplir'!$C$31:$C$400,$FH11,'Étape 1 - à remplir'!$M$31:$M$400,MASQ2!FI$4)/INDEX('Étape 1 - à remplir'!$C$19:$L$28,MATCH(MASQ2!$FH11,'Étape 1 - à remplir'!$L$19:$L$28,0),4)),INDEX($FI$44:$FT$73,MATCH($FH11,$FH$44:$FH$73,0),FI$4))</f>
        <v/>
      </c>
      <c r="FJ11" s="35" t="str" cm="1">
        <f t="array" aca="1" ref="FJ11" ca="1">IF($FH$3="Catégorie",IF(SUMIFS('Étape 1 - à remplir'!$F$31:$F$400,'Étape 1 - à remplir'!$C$31:$C$400,$FH11,'Étape 1 - à remplir'!$M$31:$M$400,MASQ2!FJ$4)=0,"",SUMIFS('Étape 1 - à remplir'!$F$31:$F$400,'Étape 1 - à remplir'!$C$31:$C$400,$FH11,'Étape 1 - à remplir'!$M$31:$M$400,MASQ2!FJ$4)/INDEX('Étape 1 - à remplir'!$C$19:$L$28,MATCH(MASQ2!$FH11,'Étape 1 - à remplir'!$L$19:$L$28,0),4)),INDEX($FI$44:$FT$73,MATCH($FH11,$FH$44:$FH$73,0),FJ$4))</f>
        <v/>
      </c>
      <c r="FK11" s="35" t="str" cm="1">
        <f t="array" aca="1" ref="FK11" ca="1">IF($FH$3="Catégorie",IF(SUMIFS('Étape 1 - à remplir'!$F$31:$F$400,'Étape 1 - à remplir'!$C$31:$C$400,$FH11,'Étape 1 - à remplir'!$M$31:$M$400,MASQ2!FK$4)=0,"",SUMIFS('Étape 1 - à remplir'!$F$31:$F$400,'Étape 1 - à remplir'!$C$31:$C$400,$FH11,'Étape 1 - à remplir'!$M$31:$M$400,MASQ2!FK$4)/INDEX('Étape 1 - à remplir'!$C$19:$L$28,MATCH(MASQ2!$FH11,'Étape 1 - à remplir'!$L$19:$L$28,0),4)),INDEX($FI$44:$FT$73,MATCH($FH11,$FH$44:$FH$73,0),FK$4))</f>
        <v/>
      </c>
      <c r="FL11" s="35" t="str" cm="1">
        <f t="array" aca="1" ref="FL11" ca="1">IF($FH$3="Catégorie",IF(SUMIFS('Étape 1 - à remplir'!$F$31:$F$400,'Étape 1 - à remplir'!$C$31:$C$400,$FH11,'Étape 1 - à remplir'!$M$31:$M$400,MASQ2!FL$4)=0,"",SUMIFS('Étape 1 - à remplir'!$F$31:$F$400,'Étape 1 - à remplir'!$C$31:$C$400,$FH11,'Étape 1 - à remplir'!$M$31:$M$400,MASQ2!FL$4)/INDEX('Étape 1 - à remplir'!$C$19:$L$28,MATCH(MASQ2!$FH11,'Étape 1 - à remplir'!$L$19:$L$28,0),4)),INDEX($FI$44:$FT$73,MATCH($FH11,$FH$44:$FH$73,0),FL$4))</f>
        <v/>
      </c>
      <c r="FM11" s="35" t="str" cm="1">
        <f t="array" aca="1" ref="FM11" ca="1">IF($FH$3="Catégorie",IF(SUMIFS('Étape 1 - à remplir'!$F$31:$F$400,'Étape 1 - à remplir'!$C$31:$C$400,$FH11,'Étape 1 - à remplir'!$M$31:$M$400,MASQ2!FM$4)=0,"",SUMIFS('Étape 1 - à remplir'!$F$31:$F$400,'Étape 1 - à remplir'!$C$31:$C$400,$FH11,'Étape 1 - à remplir'!$M$31:$M$400,MASQ2!FM$4)/INDEX('Étape 1 - à remplir'!$C$19:$L$28,MATCH(MASQ2!$FH11,'Étape 1 - à remplir'!$L$19:$L$28,0),4)),INDEX($FI$44:$FT$73,MATCH($FH11,$FH$44:$FH$73,0),FM$4))</f>
        <v/>
      </c>
      <c r="FN11" s="35" t="str" cm="1">
        <f t="array" aca="1" ref="FN11" ca="1">IF($FH$3="Catégorie",IF(SUMIFS('Étape 1 - à remplir'!$F$31:$F$400,'Étape 1 - à remplir'!$C$31:$C$400,$FH11,'Étape 1 - à remplir'!$M$31:$M$400,MASQ2!FN$4)=0,"",SUMIFS('Étape 1 - à remplir'!$F$31:$F$400,'Étape 1 - à remplir'!$C$31:$C$400,$FH11,'Étape 1 - à remplir'!$M$31:$M$400,MASQ2!FN$4)/INDEX('Étape 1 - à remplir'!$C$19:$L$28,MATCH(MASQ2!$FH11,'Étape 1 - à remplir'!$L$19:$L$28,0),4)),INDEX($FI$44:$FT$73,MATCH($FH11,$FH$44:$FH$73,0),FN$4))</f>
        <v/>
      </c>
      <c r="FO11" s="35" t="str" cm="1">
        <f t="array" aca="1" ref="FO11" ca="1">IF($FH$3="Catégorie",IF(SUMIFS('Étape 1 - à remplir'!$F$31:$F$400,'Étape 1 - à remplir'!$C$31:$C$400,$FH11,'Étape 1 - à remplir'!$M$31:$M$400,MASQ2!FO$4)=0,"",SUMIFS('Étape 1 - à remplir'!$F$31:$F$400,'Étape 1 - à remplir'!$C$31:$C$400,$FH11,'Étape 1 - à remplir'!$M$31:$M$400,MASQ2!FO$4)/INDEX('Étape 1 - à remplir'!$C$19:$L$28,MATCH(MASQ2!$FH11,'Étape 1 - à remplir'!$L$19:$L$28,0),4)),INDEX($FI$44:$FT$73,MATCH($FH11,$FH$44:$FH$73,0),FO$4))</f>
        <v/>
      </c>
      <c r="FP11" s="35" t="str" cm="1">
        <f t="array" aca="1" ref="FP11" ca="1">IF($FH$3="Catégorie",IF(SUMIFS('Étape 1 - à remplir'!$F$31:$F$400,'Étape 1 - à remplir'!$C$31:$C$400,$FH11,'Étape 1 - à remplir'!$M$31:$M$400,MASQ2!FP$4)=0,"",SUMIFS('Étape 1 - à remplir'!$F$31:$F$400,'Étape 1 - à remplir'!$C$31:$C$400,$FH11,'Étape 1 - à remplir'!$M$31:$M$400,MASQ2!FP$4)/INDEX('Étape 1 - à remplir'!$C$19:$L$28,MATCH(MASQ2!$FH11,'Étape 1 - à remplir'!$L$19:$L$28,0),4)),INDEX($FI$44:$FT$73,MATCH($FH11,$FH$44:$FH$73,0),FP$4))</f>
        <v/>
      </c>
      <c r="FQ11" s="35" t="str" cm="1">
        <f t="array" aca="1" ref="FQ11" ca="1">IF($FH$3="Catégorie",IF(SUMIFS('Étape 1 - à remplir'!$F$31:$F$400,'Étape 1 - à remplir'!$C$31:$C$400,$FH11,'Étape 1 - à remplir'!$M$31:$M$400,MASQ2!FQ$4)=0,"",SUMIFS('Étape 1 - à remplir'!$F$31:$F$400,'Étape 1 - à remplir'!$C$31:$C$400,$FH11,'Étape 1 - à remplir'!$M$31:$M$400,MASQ2!FQ$4)/INDEX('Étape 1 - à remplir'!$C$19:$L$28,MATCH(MASQ2!$FH11,'Étape 1 - à remplir'!$L$19:$L$28,0),4)),INDEX($FI$44:$FT$73,MATCH($FH11,$FH$44:$FH$73,0),FQ$4))</f>
        <v/>
      </c>
      <c r="FR11" s="35" t="str" cm="1">
        <f t="array" aca="1" ref="FR11" ca="1">IF($FH$3="Catégorie",IF(SUMIFS('Étape 1 - à remplir'!$F$31:$F$400,'Étape 1 - à remplir'!$C$31:$C$400,$FH11,'Étape 1 - à remplir'!$M$31:$M$400,MASQ2!FR$4)=0,"",SUMIFS('Étape 1 - à remplir'!$F$31:$F$400,'Étape 1 - à remplir'!$C$31:$C$400,$FH11,'Étape 1 - à remplir'!$M$31:$M$400,MASQ2!FR$4)/INDEX('Étape 1 - à remplir'!$C$19:$L$28,MATCH(MASQ2!$FH11,'Étape 1 - à remplir'!$L$19:$L$28,0),4)),INDEX($FI$44:$FT$73,MATCH($FH11,$FH$44:$FH$73,0),FR$4))</f>
        <v/>
      </c>
      <c r="FS11" s="35" t="str" cm="1">
        <f t="array" aca="1" ref="FS11" ca="1">IF($FH$3="Catégorie",IF(SUMIFS('Étape 1 - à remplir'!$F$31:$F$400,'Étape 1 - à remplir'!$C$31:$C$400,$FH11,'Étape 1 - à remplir'!$M$31:$M$400,MASQ2!FS$4)=0,"",SUMIFS('Étape 1 - à remplir'!$F$31:$F$400,'Étape 1 - à remplir'!$C$31:$C$400,$FH11,'Étape 1 - à remplir'!$M$31:$M$400,MASQ2!FS$4)/INDEX('Étape 1 - à remplir'!$C$19:$L$28,MATCH(MASQ2!$FH11,'Étape 1 - à remplir'!$L$19:$L$28,0),4)),INDEX($FI$44:$FT$73,MATCH($FH11,$FH$44:$FH$73,0),FS$4))</f>
        <v/>
      </c>
      <c r="FT11" s="35" t="str" cm="1">
        <f t="array" aca="1" ref="FT11" ca="1">IF($FH$3="Catégorie",IF(SUMIFS('Étape 1 - à remplir'!$F$31:$F$400,'Étape 1 - à remplir'!$C$31:$C$400,$FH11,'Étape 1 - à remplir'!$M$31:$M$400,MASQ2!FT$4)=0,"",SUMIFS('Étape 1 - à remplir'!$F$31:$F$400,'Étape 1 - à remplir'!$C$31:$C$400,$FH11,'Étape 1 - à remplir'!$M$31:$M$400,MASQ2!FT$4)/INDEX('Étape 1 - à remplir'!$C$19:$L$28,MATCH(MASQ2!$FH11,'Étape 1 - à remplir'!$L$19:$L$28,0),4)),INDEX($FI$44:$FT$73,MATCH($FH11,$FH$44:$FH$73,0),FT$4))</f>
        <v/>
      </c>
    </row>
    <row r="12" spans="1:176" x14ac:dyDescent="0.3">
      <c r="A12" s="42" t="str">
        <f>IF(D12="","",COUNTIF(D$4:D$13,"&gt;"&amp;D12)+COUNTIF(D$4:D12,D12))</f>
        <v/>
      </c>
      <c r="B12" t="str">
        <f>IF('Étape 1 - à remplir'!L27="","",'Étape 1 - à remplir'!L27)</f>
        <v/>
      </c>
      <c r="C12" t="str">
        <f>IFERROR(IF(INDEX('Étape 1 - à remplir'!G$19:L$28,MATCH(MASQ2!B12,'Étape 1 - à remplir'!L$19:L$28,0),1)="animaux",SUMIF('Étape 1 - à remplir'!C$31:C$400,MASQ2!B12,'Étape 1 - à remplir'!F$31:F$400),NA()),"")</f>
        <v/>
      </c>
      <c r="D12" s="63" t="str">
        <f>IFERROR(C12/INDEX('Étape 1 - à remplir'!F$19:L$28,MATCH(MASQ2!B12,'Étape 1 - à remplir'!L$19:L$28,0),1),"")</f>
        <v/>
      </c>
      <c r="E12" t="str">
        <f>IF(D12="","",COUNTIF(D$4:D$13,"&gt;"&amp;D12)+COUNTIF(D$4:D12,D12))</f>
        <v/>
      </c>
      <c r="F12" s="118" t="str">
        <f>IFERROR(IF(H12="","",COUNTIF(H$4:H$23,"&gt;"&amp;H12)+COUNTIF(H$4:H12,H12)),"")</f>
        <v/>
      </c>
      <c r="G12" t="str">
        <f>Données_ATB!CG11</f>
        <v>Infections produisant des tumeurs profondes</v>
      </c>
      <c r="H12" s="76" t="e">
        <f>IF(IF(X$2="Catégorie",IF(X$3="Toutes",SUMIFS('Étape 1 - à remplir'!F$31:F$400,'Étape 1 - à remplir'!D$31:D$400,MASQ2!G12,'Étape 1 - à remplir'!G$31:G$400,"animaux"),SUMIFS('Étape 1 - à remplir'!F$31:F$400,'Étape 1 - à remplir'!D$31:D$400,MASQ2!G12,'Étape 1 - à remplir'!C$31:C$400,X$3)),IF(X$2="Âge",IF(X$3="Tous",SUMIFS('Étape 1 - à remplir'!F$31:F$400,'Étape 1 - à remplir'!D$31:D$400,MASQ2!G12,'Étape 1 - à remplir'!G$31:G$400,"animaux"),SUMIFS('Étape 1 - à remplir'!F$31:F$400,'Étape 1 - à remplir'!D$31:D$400,MASQ2!G12,'Étape 1 - à remplir'!P$31:P$400,X$3)),IF(X$2="Atelier",IF(X$3="Tous",SUMIFS('Étape 1 - à remplir'!F$31:F$400,'Étape 1 - à remplir'!D$31:D$400,MASQ2!G12,'Étape 1 - à remplir'!G$31:G$400,"animaux"),SUMIFS('Étape 1 - à remplir'!F$31:F$400,'Étape 1 - à remplir'!D$31:D$400,MASQ2!G12,'Étape 1 - à remplir'!O$31:O$400,X$3)),IF(X$2="Espèce",IF(X$3="Toutes",SUMIFS('Étape 1 - à remplir'!F$31:F$400,'Étape 1 - à remplir'!D$31:D$400,MASQ2!G12,'Étape 1 - à remplir'!G$31:G$400,"animaux"),SUMIFS('Étape 1 - à remplir'!F$31:F$400,'Étape 1 - à remplir'!D$31:D$400,MASQ2!G12,'Étape 1 - à remplir'!N$31:N$400,X$3))))))=0,NA(),IF(X$2="Catégorie",IF(X$3="Toutes",SUMIFS('Étape 1 - à remplir'!F$31:F$400,'Étape 1 - à remplir'!D$31:D$400,MASQ2!G12,'Étape 1 - à remplir'!G$31:G$400,"animaux"),SUMIFS('Étape 1 - à remplir'!F$31:F$400,'Étape 1 - à remplir'!D$31:D$400,MASQ2!G12,'Étape 1 - à remplir'!C$31:C$400,X$3)),IF(X$2="Âge",IF(X$3="Tous",SUMIFS('Étape 1 - à remplir'!F$31:F$400,'Étape 1 - à remplir'!D$31:D$400,MASQ2!G12,'Étape 1 - à remplir'!G$31:G$400,"animaux"),SUMIFS('Étape 1 - à remplir'!F$31:F$400,'Étape 1 - à remplir'!D$31:D$400,MASQ2!G12,'Étape 1 - à remplir'!P$31:P$400,X$3)),IF(X$2="Atelier",IF(X$3="Tous",SUMIFS('Étape 1 - à remplir'!F$31:F$400,'Étape 1 - à remplir'!D$31:D$400,MASQ2!G12,'Étape 1 - à remplir'!G$31:G$400,"animaux"),SUMIFS('Étape 1 - à remplir'!F$31:F$400,'Étape 1 - à remplir'!D$31:D$400,MASQ2!G12,'Étape 1 - à remplir'!O$31:O$400,X$3)),IF(X$2="Espèce",IF(X$3="Tous",SUMIFS('Étape 1 - à remplir'!F$31:F$400,'Étape 1 - à remplir'!D$31:D$400,MASQ2!G12,'Étape 1 - à remplir'!G$31:G$400,"animaux"),SUMIFS('Étape 1 - à remplir'!F$31:F$400,'Étape 1 - à remplir'!D$31:D$400,MASQ2!G12,'Étape 1 - à remplir'!N$31:N$400,X$3)))))))</f>
        <v>#N/A</v>
      </c>
      <c r="I12" s="118">
        <v>9</v>
      </c>
      <c r="J12" t="e">
        <f t="shared" si="66"/>
        <v>#N/A</v>
      </c>
      <c r="K12" s="76" t="e">
        <f t="shared" si="67"/>
        <v>#N/A</v>
      </c>
      <c r="M12" s="194" t="str">
        <f ca="1">INDEX(Données_ATB!BD:BU,MATCH(MASQ2!O12,Données_ATB!BD:BD,0),18)</f>
        <v/>
      </c>
      <c r="N12" s="14" t="str">
        <f>IFERROR(IF(Q12=0,"",COUNTIF(Q$4:Q$600,"&gt;"&amp;Q12)+COUNTIF(Q$4:Q12,Q12)),"")</f>
        <v/>
      </c>
      <c r="O12" t="str">
        <f>Données_ATB!BD11</f>
        <v>ACTI-TETRA B</v>
      </c>
      <c r="P12" t="e">
        <f>IF(IF(X$2="Catégorie",IF(X$3="Toutes",SUMIFS('Étape 1 - à remplir'!$F$31:$F$400,'Étape 1 - à remplir'!$E$31:$E$400,MASQ2!O12,'Étape 1 - à remplir'!$G$31:$G$400,"animaux"),SUMIFS('Étape 1 - à remplir'!$F$31:$F$400,'Étape 1 - à remplir'!$E$31:$E$400,MASQ2!O12,'Étape 1 - à remplir'!$C$31:$C$400,X$3)),IF(X$2="Âge",IF(X$3="Tous",SUMIFS('Étape 1 - à remplir'!$F$31:$F$400,'Étape 1 - à remplir'!$E$31:$E$400,MASQ2!O12,'Étape 1 - à remplir'!$G$31:$G$400,"animaux"),SUMIFS('Étape 1 - à remplir'!$F$31:$F$400,'Étape 1 - à remplir'!$E$31:$E$400,MASQ2!O12,'Étape 1 - à remplir'!$P$31:$P$400,X$3)),IF(X$2="Atelier",IF(X$3="Tous",SUMIFS('Étape 1 - à remplir'!$F$31:$F$400,'Étape 1 - à remplir'!$E$31:$E$400,MASQ2!O12,'Étape 1 - à remplir'!$G$31:$G$400,"animaux"),SUMIFS('Étape 1 - à remplir'!$F$31:$F$400,'Étape 1 - à remplir'!$E$31:$E$400,MASQ2!O12,'Étape 1 - à remplir'!$O$31:$O$400,X$3)),IF(X$2="Espèce",IF(X$3="Toutes",SUMIFS('Étape 1 - à remplir'!$F$31:$F$400,'Étape 1 - à remplir'!$E$31:$E$400,MASQ2!O12,'Étape 1 - à remplir'!$G$31:$G$400,"animaux"),SUMIFS('Étape 1 - à remplir'!$F$31:$F$400,'Étape 1 - à remplir'!$E$31:$E$400,MASQ2!O12,'Étape 1 - à remplir'!$N$31:$N$400,X$3))))))=0,NA(),IF(X$2="Catégorie",IF(X$3="Toutes",SUMIFS('Étape 1 - à remplir'!$F$31:$F$400,'Étape 1 - à remplir'!$E$31:$E$400,MASQ2!O12,'Étape 1 - à remplir'!$G$31:$G$400,"animaux"),SUMIFS('Étape 1 - à remplir'!$F$31:$F$400,'Étape 1 - à remplir'!$E$31:$E$400,MASQ2!O12,'Étape 1 - à remplir'!$C$31:$C$400,X$3)),IF(X$2="Âge",IF(X$3="Tous",SUMIFS('Étape 1 - à remplir'!$F$31:$F$400,'Étape 1 - à remplir'!$E$31:$E$400,MASQ2!O12,'Étape 1 - à remplir'!$G$31:$G$400,"animaux"),SUMIFS('Étape 1 - à remplir'!$F$31:$F$400,'Étape 1 - à remplir'!$E$31:$E$400,MASQ2!O12,'Étape 1 - à remplir'!$P$31:$P$400,X$3)),IF(X$2="Atelier",IF(X$3="Tous",SUMIFS('Étape 1 - à remplir'!$F$31:$F$400,'Étape 1 - à remplir'!$E$31:$E$400,MASQ2!O12,'Étape 1 - à remplir'!$G$31:$G$400,"animaux"),SUMIFS('Étape 1 - à remplir'!$F$31:$F$400,'Étape 1 - à remplir'!$E$31:$E$400,MASQ2!O12,'Étape 1 - à remplir'!$O$31:$O$400,X$3)),IF(X$2="Espèce",IF(X$3="Toutes",SUMIFS('Étape 1 - à remplir'!$F$31:$F$400,'Étape 1 - à remplir'!$E$31:$E$400,MASQ2!O12,'Étape 1 - à remplir'!$G$31:$G$400,"animaux"),SUMIFS('Étape 1 - à remplir'!$F$31:$F$400,'Étape 1 - à remplir'!$E$31:$E$400,MASQ2!O12,'Étape 1 - à remplir'!$N$31:$N$400,X$3)))))))</f>
        <v>#N/A</v>
      </c>
      <c r="Q12" s="63">
        <f t="shared" si="62"/>
        <v>0</v>
      </c>
      <c r="R12" t="str">
        <f>Données_ATB!BM11</f>
        <v>Oxytétracycline</v>
      </c>
      <c r="S12" t="str">
        <f>Données_ATB!BN11</f>
        <v/>
      </c>
      <c r="T12" s="63" t="str">
        <f>Données_ATB!BO11</f>
        <v/>
      </c>
      <c r="U12" s="42" t="str">
        <f>Données_ATB!BQ11</f>
        <v>Tetracyclines</v>
      </c>
      <c r="V12" t="str">
        <f>Données_ATB!BR11</f>
        <v/>
      </c>
      <c r="W12" s="63" t="str">
        <f>Données_ATB!BS11</f>
        <v/>
      </c>
      <c r="Z12" s="42">
        <v>9</v>
      </c>
      <c r="AA12" t="e">
        <f t="shared" si="32"/>
        <v>#N/A</v>
      </c>
      <c r="AB12" s="63" t="e">
        <f t="shared" si="33"/>
        <v>#N/A</v>
      </c>
      <c r="AD12" s="194" t="str">
        <f>IF(AF12="Colistine","x",IF(INDEX(Données_ATB!CA$3:CB$63,MATCH(AF12,Données_ATB!CA$3:CA$63,0),2)="Fluoroquinolones","x",IF(INDEX(Données_ATB!CA$3:CB$63,MATCH(AF12,Données_ATB!CA$3:CA$63,0),2)="Cephalosporines 3&amp;4G","x","")))</f>
        <v/>
      </c>
      <c r="AE12" s="219" t="str">
        <f>IFERROR(IF(AG12=0,"",COUNTIF(AG$4:AG$64,"&gt;"&amp;AG12)+COUNTIF(AG$4:AG12,AG12)),"")</f>
        <v/>
      </c>
      <c r="AF12" s="42" t="str">
        <f>Données_ATB!CA11</f>
        <v>Céfazoline</v>
      </c>
      <c r="AG12" s="63" t="e">
        <f t="shared" si="34"/>
        <v>#N/A</v>
      </c>
      <c r="AH12" s="42">
        <v>9</v>
      </c>
      <c r="AI12" t="e">
        <f t="shared" si="35"/>
        <v>#N/A</v>
      </c>
      <c r="AJ12" s="63" t="e">
        <f t="shared" si="36"/>
        <v>#N/A</v>
      </c>
      <c r="AL12" s="194" t="str">
        <f t="shared" si="37"/>
        <v/>
      </c>
      <c r="AM12" s="14" t="str">
        <f>IFERROR(IF(AO12=0,"",COUNTIF(AO$4:AO$19,"&gt;"&amp;AO12)+COUNTIF(AO$4:AO12,AO12)),"")</f>
        <v/>
      </c>
      <c r="AN12" t="str">
        <f>Données_ATB!BX11</f>
        <v>Penicillines</v>
      </c>
      <c r="AO12" s="76" t="e">
        <f t="shared" si="3"/>
        <v>#N/A</v>
      </c>
      <c r="AP12">
        <v>9</v>
      </c>
      <c r="AQ12" t="e">
        <f t="shared" si="38"/>
        <v>#N/A</v>
      </c>
      <c r="AR12" s="63" t="e">
        <f t="shared" si="39"/>
        <v>#N/A</v>
      </c>
      <c r="AT12" s="36" t="str">
        <f t="shared" si="63"/>
        <v/>
      </c>
      <c r="AU12" s="36" t="str" cm="1">
        <f t="array" ref="AU12">IF($AT$3="Catégorie",IF(SUMIFS('Étape 1 - à remplir'!$F$31:$F$400,'Étape 1 - à remplir'!$C$31:$C$400,$AT12,'Étape 1 - à remplir'!$M$31:$M$400,MASQ2!AU$4)=0,"",SUMIFS('Étape 1 - à remplir'!$F$31:$F$400,'Étape 1 - à remplir'!$C$31:$C$400,$AT12,'Étape 1 - à remplir'!$M$31:$M$400,MASQ2!AU$4)/INDEX('Étape 1 - à remplir'!$C$19:$L$28,MATCH(MASQ2!$AT12,'Étape 1 - à remplir'!$L$19:$L$28,0),4)),INDEX($AU$44:$BF$73,MATCH($AT12,$AT$44:$AT$73,0),AU$4))</f>
        <v/>
      </c>
      <c r="AV12" s="36" t="str" cm="1">
        <f t="array" aca="1" ref="AV12" ca="1">IF($AT$3="Catégorie",IF(SUMIFS('Étape 1 - à remplir'!$F$31:$F$400,'Étape 1 - à remplir'!$C$31:$C$400,$AT12,'Étape 1 - à remplir'!$M$31:$M$400,MASQ2!AV$4)=0,"",SUMIFS('Étape 1 - à remplir'!$F$31:$F$400,'Étape 1 - à remplir'!$C$31:$C$400,$AT12,'Étape 1 - à remplir'!$M$31:$M$400,MASQ2!AV$4)/INDEX('Étape 1 - à remplir'!$C$19:$L$28,MATCH(MASQ2!$AT12,'Étape 1 - à remplir'!$L$19:$L$28,0),4)),INDEX($AU$44:$BF$73,MATCH($AT12,$AT$44:$AT$73,0),AV$4))</f>
        <v/>
      </c>
      <c r="AW12" s="36" t="str" cm="1">
        <f t="array" aca="1" ref="AW12" ca="1">IF($AT$3="Catégorie",IF(SUMIFS('Étape 1 - à remplir'!$F$31:$F$400,'Étape 1 - à remplir'!$C$31:$C$400,$AT12,'Étape 1 - à remplir'!$M$31:$M$400,MASQ2!AW$4)=0,"",SUMIFS('Étape 1 - à remplir'!$F$31:$F$400,'Étape 1 - à remplir'!$C$31:$C$400,$AT12,'Étape 1 - à remplir'!$M$31:$M$400,MASQ2!AW$4)/INDEX('Étape 1 - à remplir'!$C$19:$L$28,MATCH(MASQ2!$AT12,'Étape 1 - à remplir'!$L$19:$L$28,0),4)),INDEX($AU$44:$BF$73,MATCH($AT12,$AT$44:$AT$73,0),AW$4))</f>
        <v/>
      </c>
      <c r="AX12" s="36" t="str" cm="1">
        <f t="array" aca="1" ref="AX12" ca="1">IF($AT$3="Catégorie",IF(SUMIFS('Étape 1 - à remplir'!$F$31:$F$400,'Étape 1 - à remplir'!$C$31:$C$400,$AT12,'Étape 1 - à remplir'!$M$31:$M$400,MASQ2!AX$4)=0,"",SUMIFS('Étape 1 - à remplir'!$F$31:$F$400,'Étape 1 - à remplir'!$C$31:$C$400,$AT12,'Étape 1 - à remplir'!$M$31:$M$400,MASQ2!AX$4)/INDEX('Étape 1 - à remplir'!$C$19:$L$28,MATCH(MASQ2!$AT12,'Étape 1 - à remplir'!$L$19:$L$28,0),4)),INDEX($AU$44:$BF$73,MATCH($AT12,$AT$44:$AT$73,0),AX$4))</f>
        <v/>
      </c>
      <c r="AY12" s="36" t="str" cm="1">
        <f t="array" aca="1" ref="AY12" ca="1">IF($AT$3="Catégorie",IF(SUMIFS('Étape 1 - à remplir'!$F$31:$F$400,'Étape 1 - à remplir'!$C$31:$C$400,$AT12,'Étape 1 - à remplir'!$M$31:$M$400,MASQ2!AY$4)=0,"",SUMIFS('Étape 1 - à remplir'!$F$31:$F$400,'Étape 1 - à remplir'!$C$31:$C$400,$AT12,'Étape 1 - à remplir'!$M$31:$M$400,MASQ2!AY$4)/INDEX('Étape 1 - à remplir'!$C$19:$L$28,MATCH(MASQ2!$AT12,'Étape 1 - à remplir'!$L$19:$L$28,0),4)),INDEX($AU$44:$BF$73,MATCH($AT12,$AT$44:$AT$73,0),AY$4))</f>
        <v/>
      </c>
      <c r="AZ12" s="36" t="str" cm="1">
        <f t="array" aca="1" ref="AZ12" ca="1">IF($AT$3="Catégorie",IF(SUMIFS('Étape 1 - à remplir'!$F$31:$F$400,'Étape 1 - à remplir'!$C$31:$C$400,$AT12,'Étape 1 - à remplir'!$M$31:$M$400,MASQ2!AZ$4)=0,"",SUMIFS('Étape 1 - à remplir'!$F$31:$F$400,'Étape 1 - à remplir'!$C$31:$C$400,$AT12,'Étape 1 - à remplir'!$M$31:$M$400,MASQ2!AZ$4)/INDEX('Étape 1 - à remplir'!$C$19:$L$28,MATCH(MASQ2!$AT12,'Étape 1 - à remplir'!$L$19:$L$28,0),4)),INDEX($AU$44:$BF$73,MATCH($AT12,$AT$44:$AT$73,0),AZ$4))</f>
        <v/>
      </c>
      <c r="BA12" s="36" t="str" cm="1">
        <f t="array" aca="1" ref="BA12" ca="1">IF($AT$3="Catégorie",IF(SUMIFS('Étape 1 - à remplir'!$F$31:$F$400,'Étape 1 - à remplir'!$C$31:$C$400,$AT12,'Étape 1 - à remplir'!$M$31:$M$400,MASQ2!BA$4)=0,"",SUMIFS('Étape 1 - à remplir'!$F$31:$F$400,'Étape 1 - à remplir'!$C$31:$C$400,$AT12,'Étape 1 - à remplir'!$M$31:$M$400,MASQ2!BA$4)/INDEX('Étape 1 - à remplir'!$C$19:$L$28,MATCH(MASQ2!$AT12,'Étape 1 - à remplir'!$L$19:$L$28,0),4)),INDEX($AU$44:$BF$73,MATCH($AT12,$AT$44:$AT$73,0),BA$4))</f>
        <v/>
      </c>
      <c r="BB12" s="36" t="str" cm="1">
        <f t="array" aca="1" ref="BB12" ca="1">IF($AT$3="Catégorie",IF(SUMIFS('Étape 1 - à remplir'!$F$31:$F$400,'Étape 1 - à remplir'!$C$31:$C$400,$AT12,'Étape 1 - à remplir'!$M$31:$M$400,MASQ2!BB$4)=0,"",SUMIFS('Étape 1 - à remplir'!$F$31:$F$400,'Étape 1 - à remplir'!$C$31:$C$400,$AT12,'Étape 1 - à remplir'!$M$31:$M$400,MASQ2!BB$4)/INDEX('Étape 1 - à remplir'!$C$19:$L$28,MATCH(MASQ2!$AT12,'Étape 1 - à remplir'!$L$19:$L$28,0),4)),INDEX($AU$44:$BF$73,MATCH($AT12,$AT$44:$AT$73,0),BB$4))</f>
        <v/>
      </c>
      <c r="BC12" s="36" t="str" cm="1">
        <f t="array" aca="1" ref="BC12" ca="1">IF($AT$3="Catégorie",IF(SUMIFS('Étape 1 - à remplir'!$F$31:$F$400,'Étape 1 - à remplir'!$C$31:$C$400,$AT12,'Étape 1 - à remplir'!$M$31:$M$400,MASQ2!BC$4)=0,"",SUMIFS('Étape 1 - à remplir'!$F$31:$F$400,'Étape 1 - à remplir'!$C$31:$C$400,$AT12,'Étape 1 - à remplir'!$M$31:$M$400,MASQ2!BC$4)/INDEX('Étape 1 - à remplir'!$C$19:$L$28,MATCH(MASQ2!$AT12,'Étape 1 - à remplir'!$L$19:$L$28,0),4)),INDEX($AU$44:$BF$73,MATCH($AT12,$AT$44:$AT$73,0),BC$4))</f>
        <v/>
      </c>
      <c r="BD12" s="36" t="str" cm="1">
        <f t="array" aca="1" ref="BD12" ca="1">IF($AT$3="Catégorie",IF(SUMIFS('Étape 1 - à remplir'!$F$31:$F$400,'Étape 1 - à remplir'!$C$31:$C$400,$AT12,'Étape 1 - à remplir'!$M$31:$M$400,MASQ2!BD$4)=0,"",SUMIFS('Étape 1 - à remplir'!$F$31:$F$400,'Étape 1 - à remplir'!$C$31:$C$400,$AT12,'Étape 1 - à remplir'!$M$31:$M$400,MASQ2!BD$4)/INDEX('Étape 1 - à remplir'!$C$19:$L$28,MATCH(MASQ2!$AT12,'Étape 1 - à remplir'!$L$19:$L$28,0),4)),INDEX($AU$44:$BF$73,MATCH($AT12,$AT$44:$AT$73,0),BD$4))</f>
        <v/>
      </c>
      <c r="BE12" s="36" t="str" cm="1">
        <f t="array" aca="1" ref="BE12" ca="1">IF($AT$3="Catégorie",IF(SUMIFS('Étape 1 - à remplir'!$F$31:$F$400,'Étape 1 - à remplir'!$C$31:$C$400,$AT12,'Étape 1 - à remplir'!$M$31:$M$400,MASQ2!BE$4)=0,"",SUMIFS('Étape 1 - à remplir'!$F$31:$F$400,'Étape 1 - à remplir'!$C$31:$C$400,$AT12,'Étape 1 - à remplir'!$M$31:$M$400,MASQ2!BE$4)/INDEX('Étape 1 - à remplir'!$C$19:$L$28,MATCH(MASQ2!$AT12,'Étape 1 - à remplir'!$L$19:$L$28,0),4)),INDEX($AU$44:$BF$73,MATCH($AT12,$AT$44:$AT$73,0),BE$4))</f>
        <v/>
      </c>
      <c r="BF12" s="36" t="str" cm="1">
        <f t="array" aca="1" ref="BF12" ca="1">IF($AT$3="Catégorie",IF(SUMIFS('Étape 1 - à remplir'!$F$31:$F$400,'Étape 1 - à remplir'!$C$31:$C$400,$AT12,'Étape 1 - à remplir'!$M$31:$M$400,MASQ2!BF$4)=0,"",SUMIFS('Étape 1 - à remplir'!$F$31:$F$400,'Étape 1 - à remplir'!$C$31:$C$400,$AT12,'Étape 1 - à remplir'!$M$31:$M$400,MASQ2!BF$4)/INDEX('Étape 1 - à remplir'!$C$19:$L$28,MATCH(MASQ2!$AT12,'Étape 1 - à remplir'!$L$19:$L$28,0),4)),INDEX($AU$44:$BF$73,MATCH($AT12,$AT$44:$AT$73,0),BF$4))</f>
        <v/>
      </c>
      <c r="BH12" s="42" t="e">
        <f>IF(BK12="","",COUNTIF(BK$4:BK$13,"&gt;"&amp;BK12)+COUNTIF(BK$4:BK12,BK12))</f>
        <v>#N/A</v>
      </c>
      <c r="BI12" t="str">
        <f>'Étape 1 - à remplir'!L27</f>
        <v/>
      </c>
      <c r="BJ12" t="e">
        <f>IF(INDEX('Étape 1 - à remplir'!G$19:L$28,MATCH(BI12,'Étape 1 - à remplir'!L$19:L$28,0),1)="lots",SUMIF('Étape 1 - à remplir'!C$31:C$400,BI12,'Étape 1 - à remplir'!F$31:F$400),NA())</f>
        <v>#N/A</v>
      </c>
      <c r="BK12" s="76" t="e">
        <f>BJ12/INDEX('Étape 1 - à remplir'!F$19:L$28,MATCH(BI12,'Étape 1 - à remplir'!L$19:L$28,0),1)</f>
        <v>#N/A</v>
      </c>
      <c r="BM12" s="42" t="e">
        <f>IF(BO12="","",COUNTIF(BO$4:BO$23,"&gt;"&amp;BO12)+COUNTIF(BO$4:BO12,BO12))</f>
        <v>#N/A</v>
      </c>
      <c r="BN12" t="str">
        <f t="shared" si="4"/>
        <v>Infections produisant des tumeurs profondes</v>
      </c>
      <c r="BO12" s="76" t="e">
        <f>IF(IF(CE$2="Catégorie",IF(CE$3="Toutes",SUMIFS('Étape 1 - à remplir'!$F$31:$F$400,'Étape 1 - à remplir'!$D$31:$D$400,MASQ2!BN12,'Étape 1 - à remplir'!$G$31:$G$400,"lots"),SUMIFS('Étape 1 - à remplir'!$F$31:$F$400,'Étape 1 - à remplir'!$D$31:$D$400,MASQ2!BN12,'Étape 1 - à remplir'!$C$31:$C$400,CE$3,'Étape 1 - à remplir'!$G$31:$G$400,"lots")),IF(CE$2="Âge",IF(CE$3="Tous",SUMIFS('Étape 1 - à remplir'!$F$31:$F$400,'Étape 1 - à remplir'!$D$31:$D$400,MASQ2!BN12,'Étape 1 - à remplir'!$G$31:$G$400,"lots"),SUMIFS('Étape 1 - à remplir'!$F$31:$F$400,'Étape 1 - à remplir'!$D$31:$D$400,MASQ2!BN12,'Étape 1 - à remplir'!$P$31:$P$400,CE$3,'Étape 1 - à remplir'!$G$31:$G$400,"lots")),IF(CE$2="Atelier",IF(CE$3="Tous",SUMIFS('Étape 1 - à remplir'!$F$31:$F$400,'Étape 1 - à remplir'!$D$31:$D$400,MASQ2!BN12,'Étape 1 - à remplir'!$G$31:$G$400,"lots"),SUMIFS('Étape 1 - à remplir'!$F$31:$F$400,'Étape 1 - à remplir'!$D$31:$D$400,MASQ2!BN12,'Étape 1 - à remplir'!$O$31:$O$400,CE$3,'Étape 1 - à remplir'!$G$31:$G$400,"lots")),IF(CE$2="Espèce",IF(CE$3="Toutes",SUMIFS('Étape 1 - à remplir'!$F$31:$F$400,'Étape 1 - à remplir'!$D$31:$D$400,MASQ2!BN12,'Étape 1 - à remplir'!$G$31:$G$400,"lots"),SUMIFS('Étape 1 - à remplir'!$F$31:$F$400,'Étape 1 - à remplir'!$D$31:$D$400,MASQ2!BN12,'Étape 1 - à remplir'!$N$31:$N$400,CE$3,'Étape 1 - à remplir'!$G$31:$G$400,"lots"))))))=0,NA(),IF(CE$2="Catégorie",IF(CE$3="Toutes",SUMIFS('Étape 1 - à remplir'!$F$31:$F$400,'Étape 1 - à remplir'!$D$31:$D$400,MASQ2!BN12,'Étape 1 - à remplir'!$G$31:$G$400,"lots"),SUMIFS('Étape 1 - à remplir'!$F$31:$F$400,'Étape 1 - à remplir'!$D$31:$D$400,MASQ2!BN12,'Étape 1 - à remplir'!$C$31:$C$400,CE$3,'Étape 1 - à remplir'!$G$31:$G$400,"lots")),IF(CE$2="Âge",IF(CE$3="Tous",SUMIFS('Étape 1 - à remplir'!$F$31:$F$400,'Étape 1 - à remplir'!$D$31:$D$400,MASQ2!BN12,'Étape 1 - à remplir'!$G$31:$G$400,"lots"),SUMIFS('Étape 1 - à remplir'!$F$31:$F$400,'Étape 1 - à remplir'!$D$31:$D$400,MASQ2!BN12,'Étape 1 - à remplir'!$P$31:$P$400,CE$3,'Étape 1 - à remplir'!$G$31:$G$400,"lots")),IF(CE$2="Atelier",IF(CE$3="Tous",SUMIFS('Étape 1 - à remplir'!$F$31:$F$400,'Étape 1 - à remplir'!$D$31:$D$400,MASQ2!BN12,'Étape 1 - à remplir'!$G$31:$G$400,"lots"),SUMIFS('Étape 1 - à remplir'!$F$31:$F$400,'Étape 1 - à remplir'!$D$31:$D$400,MASQ2!BN12,'Étape 1 - à remplir'!$O$31:$O$400,CE$3,'Étape 1 - à remplir'!$G$31:$G$400,"lots")),IF(CE$2="Espèce",IF(CE$3="Toutes",SUMIFS('Étape 1 - à remplir'!$F$31:$F$400,'Étape 1 - à remplir'!$D$31:$D$400,MASQ2!BN12,'Étape 1 - à remplir'!$G$31:$G$400,"lots"),SUMIFS('Étape 1 - à remplir'!$F$31:$F$400,'Étape 1 - à remplir'!$D$31:$D$400,MASQ2!BN12,'Étape 1 - à remplir'!$N$31:$N$400,CE$3,'Étape 1 - à remplir'!$G$31:$G$400,"lots")))))))</f>
        <v>#N/A</v>
      </c>
      <c r="BP12">
        <v>9</v>
      </c>
      <c r="BQ12" t="e">
        <f t="shared" si="40"/>
        <v>#N/A</v>
      </c>
      <c r="BR12" s="63" t="e">
        <f t="shared" si="41"/>
        <v>#N/A</v>
      </c>
      <c r="BT12" s="194" t="str">
        <f t="shared" ca="1" si="5"/>
        <v/>
      </c>
      <c r="BU12" s="219" t="str">
        <f>IFERROR(IF(BX12=0,"",COUNTIF(BX$4:BX$600,"&gt;"&amp;BX12)+COUNTIF(BX$4:BX12,BX12)),"")</f>
        <v/>
      </c>
      <c r="BV12" s="42" t="str">
        <f t="shared" si="6"/>
        <v>ACTI-TETRA B</v>
      </c>
      <c r="BW12" t="e">
        <f>IF(IF(CE$2="Catégorie",IF(CE$3="Toutes",SUMIFS('Étape 1 - à remplir'!$F$31:$F$400,'Étape 1 - à remplir'!$E$31:$E$400,MASQ2!BV12,'Étape 1 - à remplir'!$G$31:$G$400,"lots"),SUMIFS('Étape 1 - à remplir'!$F$31:$F$400,'Étape 1 - à remplir'!$E$31:$E$400,MASQ2!BV12,'Étape 1 - à remplir'!$C$31:$C$400,CE$3)),IF(CE$2="Âge",IF(CE$3="Tous",SUMIFS('Étape 1 - à remplir'!$F$31:$F$400,'Étape 1 - à remplir'!$E$31:$E$400,MASQ2!BV12,'Étape 1 - à remplir'!$G$31:$G$400,"lots"),SUMIFS('Étape 1 - à remplir'!$F$31:$F$400,'Étape 1 - à remplir'!$E$31:$E$400,MASQ2!BV12,'Étape 1 - à remplir'!$P$31:$P$400,CE$3,'Étape 1 - à remplir'!$G$31:$G$400,"lots")),IF(CE$2="Atelier",IF(CE$3="Tous",SUMIFS('Étape 1 - à remplir'!$F$31:$F$400,'Étape 1 - à remplir'!$E$31:$E$400,MASQ2!BV12,'Étape 1 - à remplir'!$G$31:$G$400,"lots"),SUMIFS('Étape 1 - à remplir'!$F$31:$F$400,'Étape 1 - à remplir'!$E$31:$E$400,MASQ2!BV12,'Étape 1 - à remplir'!$O$31:$O$400,CE$3,'Étape 1 - à remplir'!$G$31:$G$400,"lots")),IF(CE$2="Espèce",IF(CE$3="Toutes",SUMIFS('Étape 1 - à remplir'!$F$31:$F$400,'Étape 1 - à remplir'!$E$31:$E$400,MASQ2!BV12,'Étape 1 - à remplir'!$G$31:$G$400,"lots"),SUMIFS('Étape 1 - à remplir'!$F$31:$F$400,'Étape 1 - à remplir'!$E$31:$E$400,MASQ2!BV12,'Étape 1 - à remplir'!$N$31:$N$400,CE$3,'Étape 1 - à remplir'!$G$31:$G$400,"lots"))))))=0,NA(),IF(CE$2="Catégorie",IF(CE$3="Toutes",SUMIFS('Étape 1 - à remplir'!$F$31:$F$400,'Étape 1 - à remplir'!$E$31:$E$400,MASQ2!BV12,'Étape 1 - à remplir'!$G$31:$G$400,"lots"),SUMIFS('Étape 1 - à remplir'!$F$31:$F$400,'Étape 1 - à remplir'!$E$31:$E$400,MASQ2!BV12,'Étape 1 - à remplir'!$C$31:$C$400,CE$3)),IF(CE$2="Âge",IF(CE$3="Tous",SUMIFS('Étape 1 - à remplir'!$F$31:$F$400,'Étape 1 - à remplir'!$E$31:$E$400,MASQ2!BV12,'Étape 1 - à remplir'!$G$31:$G$400,"lots"),SUMIFS('Étape 1 - à remplir'!$F$31:$F$400,'Étape 1 - à remplir'!$E$31:$E$400,MASQ2!BV12,'Étape 1 - à remplir'!$P$31:$P$400,CE$3,'Étape 1 - à remplir'!$G$31:$G$400,"lots")),IF(CE$2="Atelier",IF(CE$3="Tous",SUMIFS('Étape 1 - à remplir'!$F$31:$F$400,'Étape 1 - à remplir'!$E$31:$E$400,MASQ2!BV12,'Étape 1 - à remplir'!$G$31:$G$400,"lots"),SUMIFS('Étape 1 - à remplir'!$F$31:$F$400,'Étape 1 - à remplir'!$E$31:$E$400,MASQ2!BV12,'Étape 1 - à remplir'!$O$31:$O$400,CE$3,'Étape 1 - à remplir'!$G$31:$G$400,"lots")),IF(CE$2="Espèce",IF(CE$3="Toutes",SUMIFS('Étape 1 - à remplir'!$F$31:$F$400,'Étape 1 - à remplir'!$E$31:$E$400,MASQ2!BV12,'Étape 1 - à remplir'!$G$31:$G$400,"lots"),SUMIFS('Étape 1 - à remplir'!$F$31:$F$400,'Étape 1 - à remplir'!$E$31:$E$400,MASQ2!BV12,'Étape 1 - à remplir'!$N$31:$N$400,CE$3,'Étape 1 - à remplir'!$G$31:$G$400,"lots")))))))</f>
        <v>#N/A</v>
      </c>
      <c r="BX12">
        <f t="shared" si="42"/>
        <v>0</v>
      </c>
      <c r="BY12" t="str">
        <f t="shared" si="7"/>
        <v>Oxytétracycline</v>
      </c>
      <c r="BZ12" t="str">
        <f t="shared" si="8"/>
        <v/>
      </c>
      <c r="CA12" t="str">
        <f t="shared" si="9"/>
        <v/>
      </c>
      <c r="CB12" t="str">
        <f t="shared" si="10"/>
        <v>Tetracyclines</v>
      </c>
      <c r="CC12" t="str">
        <f t="shared" si="11"/>
        <v/>
      </c>
      <c r="CD12" s="63" t="str">
        <f t="shared" si="12"/>
        <v/>
      </c>
      <c r="CG12" s="42">
        <v>9</v>
      </c>
      <c r="CH12" s="42" t="e">
        <f t="shared" si="43"/>
        <v>#N/A</v>
      </c>
      <c r="CI12" s="63" t="e">
        <f t="shared" si="44"/>
        <v>#N/A</v>
      </c>
      <c r="CK12" s="194" t="str">
        <f t="shared" si="13"/>
        <v/>
      </c>
      <c r="CL12" s="226" t="str">
        <f>IFERROR(IF(CN12=0,"",COUNTIF(CN$4:CN$64,"&gt;"&amp;CN12)+COUNTIF(CN$4:CN12,CN12)),"")</f>
        <v/>
      </c>
      <c r="CM12" t="str">
        <f t="shared" si="14"/>
        <v>Céfazoline</v>
      </c>
      <c r="CN12" s="76" t="e">
        <f t="shared" si="45"/>
        <v>#N/A</v>
      </c>
      <c r="CO12">
        <v>9</v>
      </c>
      <c r="CP12" t="e">
        <f t="shared" si="46"/>
        <v>#N/A</v>
      </c>
      <c r="CQ12" s="63" t="e">
        <f t="shared" si="47"/>
        <v>#N/A</v>
      </c>
      <c r="CS12" s="194" t="str">
        <f t="shared" si="15"/>
        <v/>
      </c>
      <c r="CT12" s="14" t="str">
        <f>IFERROR(IF(CV12=0,"",COUNTIF(CV$4:CV$19,"&gt;"&amp;CV12)+COUNTIF(CV$4:CV12,CV12)),"")</f>
        <v/>
      </c>
      <c r="CU12" s="230" t="str">
        <f t="shared" si="16"/>
        <v>Penicillines</v>
      </c>
      <c r="CV12" s="76" t="e">
        <f t="shared" si="48"/>
        <v>#N/A</v>
      </c>
      <c r="CW12">
        <v>9</v>
      </c>
      <c r="CX12" t="e">
        <f t="shared" si="49"/>
        <v>#N/A</v>
      </c>
      <c r="CY12" s="63" t="e">
        <f t="shared" si="50"/>
        <v>#N/A</v>
      </c>
      <c r="DA12" s="36" t="str">
        <f t="shared" si="64"/>
        <v/>
      </c>
      <c r="DB12" s="36" t="str" cm="1">
        <f t="array" ref="DB12">IF($DA$3="Catégorie",IF(SUMIFS('Étape 1 - à remplir'!$F$31:$F$400,'Étape 1 - à remplir'!$C$31:$C$400,$DA12,'Étape 1 - à remplir'!$M$31:$M$400,MASQ2!DB$4)=0,"",SUMIFS('Étape 1 - à remplir'!$F$31:$F$400,'Étape 1 - à remplir'!$C$31:$C$400,$DA12,'Étape 1 - à remplir'!$M$31:$M$400,MASQ2!DB$4)/INDEX('Étape 1 - à remplir'!$C$19:$L$28,MATCH(MASQ2!$DA12,'Étape 1 - à remplir'!$L$19:$L$28,0),4)),INDEX($DB$44:$DM$73,MATCH($DA12,$DA$44:$DA$73,0),DB$4))</f>
        <v/>
      </c>
      <c r="DC12" s="36" t="str" cm="1">
        <f t="array" aca="1" ref="DC12" ca="1">IF($DA$3="Catégorie",IF(SUMIFS('Étape 1 - à remplir'!$F$31:$F$400,'Étape 1 - à remplir'!$C$31:$C$400,$DA12,'Étape 1 - à remplir'!$M$31:$M$400,MASQ2!DC$4)=0,"",SUMIFS('Étape 1 - à remplir'!$F$31:$F$400,'Étape 1 - à remplir'!$C$31:$C$400,$DA12,'Étape 1 - à remplir'!$M$31:$M$400,MASQ2!DC$4)/INDEX('Étape 1 - à remplir'!$C$19:$L$28,MATCH(MASQ2!$DA12,'Étape 1 - à remplir'!$L$19:$L$28,0),4)),INDEX($DB$44:$DM$73,MATCH($DA12,$DA$44:$DA$73,0),DC$4))</f>
        <v/>
      </c>
      <c r="DD12" s="36" t="str" cm="1">
        <f t="array" aca="1" ref="DD12" ca="1">IF($DA$3="Catégorie",IF(SUMIFS('Étape 1 - à remplir'!$F$31:$F$400,'Étape 1 - à remplir'!$C$31:$C$400,$DA12,'Étape 1 - à remplir'!$M$31:$M$400,MASQ2!DD$4)=0,"",SUMIFS('Étape 1 - à remplir'!$F$31:$F$400,'Étape 1 - à remplir'!$C$31:$C$400,$DA12,'Étape 1 - à remplir'!$M$31:$M$400,MASQ2!DD$4)/INDEX('Étape 1 - à remplir'!$C$19:$L$28,MATCH(MASQ2!$DA12,'Étape 1 - à remplir'!$L$19:$L$28,0),4)),INDEX($DB$44:$DM$73,MATCH($DA12,$DA$44:$DA$73,0),DD$4))</f>
        <v/>
      </c>
      <c r="DE12" s="36" t="str" cm="1">
        <f t="array" aca="1" ref="DE12" ca="1">IF($DA$3="Catégorie",IF(SUMIFS('Étape 1 - à remplir'!$F$31:$F$400,'Étape 1 - à remplir'!$C$31:$C$400,$DA12,'Étape 1 - à remplir'!$M$31:$M$400,MASQ2!DE$4)=0,"",SUMIFS('Étape 1 - à remplir'!$F$31:$F$400,'Étape 1 - à remplir'!$C$31:$C$400,$DA12,'Étape 1 - à remplir'!$M$31:$M$400,MASQ2!DE$4)/INDEX('Étape 1 - à remplir'!$C$19:$L$28,MATCH(MASQ2!$DA12,'Étape 1 - à remplir'!$L$19:$L$28,0),4)),INDEX($DB$44:$DM$73,MATCH($DA12,$DA$44:$DA$73,0),DE$4))</f>
        <v/>
      </c>
      <c r="DF12" s="36" t="str" cm="1">
        <f t="array" aca="1" ref="DF12" ca="1">IF($DA$3="Catégorie",IF(SUMIFS('Étape 1 - à remplir'!$F$31:$F$400,'Étape 1 - à remplir'!$C$31:$C$400,$DA12,'Étape 1 - à remplir'!$M$31:$M$400,MASQ2!DF$4)=0,"",SUMIFS('Étape 1 - à remplir'!$F$31:$F$400,'Étape 1 - à remplir'!$C$31:$C$400,$DA12,'Étape 1 - à remplir'!$M$31:$M$400,MASQ2!DF$4)/INDEX('Étape 1 - à remplir'!$C$19:$L$28,MATCH(MASQ2!$DA12,'Étape 1 - à remplir'!$L$19:$L$28,0),4)),INDEX($DB$44:$DM$73,MATCH($DA12,$DA$44:$DA$73,0),DF$4))</f>
        <v/>
      </c>
      <c r="DG12" s="36" t="str" cm="1">
        <f t="array" aca="1" ref="DG12" ca="1">IF($DA$3="Catégorie",IF(SUMIFS('Étape 1 - à remplir'!$F$31:$F$400,'Étape 1 - à remplir'!$C$31:$C$400,$DA12,'Étape 1 - à remplir'!$M$31:$M$400,MASQ2!DG$4)=0,"",SUMIFS('Étape 1 - à remplir'!$F$31:$F$400,'Étape 1 - à remplir'!$C$31:$C$400,$DA12,'Étape 1 - à remplir'!$M$31:$M$400,MASQ2!DG$4)/INDEX('Étape 1 - à remplir'!$C$19:$L$28,MATCH(MASQ2!$DA12,'Étape 1 - à remplir'!$L$19:$L$28,0),4)),INDEX($DB$44:$DM$73,MATCH($DA12,$DA$44:$DA$73,0),DG$4))</f>
        <v/>
      </c>
      <c r="DH12" s="36" t="str" cm="1">
        <f t="array" aca="1" ref="DH12" ca="1">IF($DA$3="Catégorie",IF(SUMIFS('Étape 1 - à remplir'!$F$31:$F$400,'Étape 1 - à remplir'!$C$31:$C$400,$DA12,'Étape 1 - à remplir'!$M$31:$M$400,MASQ2!DH$4)=0,"",SUMIFS('Étape 1 - à remplir'!$F$31:$F$400,'Étape 1 - à remplir'!$C$31:$C$400,$DA12,'Étape 1 - à remplir'!$M$31:$M$400,MASQ2!DH$4)/INDEX('Étape 1 - à remplir'!$C$19:$L$28,MATCH(MASQ2!$DA12,'Étape 1 - à remplir'!$L$19:$L$28,0),4)),INDEX($DB$44:$DM$73,MATCH($DA12,$DA$44:$DA$73,0),DH$4))</f>
        <v/>
      </c>
      <c r="DI12" s="36" t="str" cm="1">
        <f t="array" aca="1" ref="DI12" ca="1">IF($DA$3="Catégorie",IF(SUMIFS('Étape 1 - à remplir'!$F$31:$F$400,'Étape 1 - à remplir'!$C$31:$C$400,$DA12,'Étape 1 - à remplir'!$M$31:$M$400,MASQ2!DI$4)=0,"",SUMIFS('Étape 1 - à remplir'!$F$31:$F$400,'Étape 1 - à remplir'!$C$31:$C$400,$DA12,'Étape 1 - à remplir'!$M$31:$M$400,MASQ2!DI$4)/INDEX('Étape 1 - à remplir'!$C$19:$L$28,MATCH(MASQ2!$DA12,'Étape 1 - à remplir'!$L$19:$L$28,0),4)),INDEX($DB$44:$DM$73,MATCH($DA12,$DA$44:$DA$73,0),DI$4))</f>
        <v/>
      </c>
      <c r="DJ12" s="36" t="str" cm="1">
        <f t="array" aca="1" ref="DJ12" ca="1">IF($DA$3="Catégorie",IF(SUMIFS('Étape 1 - à remplir'!$F$31:$F$400,'Étape 1 - à remplir'!$C$31:$C$400,$DA12,'Étape 1 - à remplir'!$M$31:$M$400,MASQ2!DJ$4)=0,"",SUMIFS('Étape 1 - à remplir'!$F$31:$F$400,'Étape 1 - à remplir'!$C$31:$C$400,$DA12,'Étape 1 - à remplir'!$M$31:$M$400,MASQ2!DJ$4)/INDEX('Étape 1 - à remplir'!$C$19:$L$28,MATCH(MASQ2!$DA12,'Étape 1 - à remplir'!$L$19:$L$28,0),4)),INDEX($DB$44:$DM$73,MATCH($DA12,$DA$44:$DA$73,0),DJ$4))</f>
        <v/>
      </c>
      <c r="DK12" s="36" t="str" cm="1">
        <f t="array" aca="1" ref="DK12" ca="1">IF($DA$3="Catégorie",IF(SUMIFS('Étape 1 - à remplir'!$F$31:$F$400,'Étape 1 - à remplir'!$C$31:$C$400,$DA12,'Étape 1 - à remplir'!$M$31:$M$400,MASQ2!DK$4)=0,"",SUMIFS('Étape 1 - à remplir'!$F$31:$F$400,'Étape 1 - à remplir'!$C$31:$C$400,$DA12,'Étape 1 - à remplir'!$M$31:$M$400,MASQ2!DK$4)/INDEX('Étape 1 - à remplir'!$C$19:$L$28,MATCH(MASQ2!$DA12,'Étape 1 - à remplir'!$L$19:$L$28,0),4)),INDEX($DB$44:$DM$73,MATCH($DA12,$DA$44:$DA$73,0),DK$4))</f>
        <v/>
      </c>
      <c r="DL12" s="36" t="str" cm="1">
        <f t="array" aca="1" ref="DL12" ca="1">IF($DA$3="Catégorie",IF(SUMIFS('Étape 1 - à remplir'!$F$31:$F$400,'Étape 1 - à remplir'!$C$31:$C$400,$DA12,'Étape 1 - à remplir'!$M$31:$M$400,MASQ2!DL$4)=0,"",SUMIFS('Étape 1 - à remplir'!$F$31:$F$400,'Étape 1 - à remplir'!$C$31:$C$400,$DA12,'Étape 1 - à remplir'!$M$31:$M$400,MASQ2!DL$4)/INDEX('Étape 1 - à remplir'!$C$19:$L$28,MATCH(MASQ2!$DA12,'Étape 1 - à remplir'!$L$19:$L$28,0),4)),INDEX($DB$44:$DM$73,MATCH($DA12,$DA$44:$DA$73,0),DL$4))</f>
        <v/>
      </c>
      <c r="DM12" s="36" t="str" cm="1">
        <f t="array" aca="1" ref="DM12" ca="1">IF($DA$3="Catégorie",IF(SUMIFS('Étape 1 - à remplir'!$F$31:$F$400,'Étape 1 - à remplir'!$C$31:$C$400,$DA12,'Étape 1 - à remplir'!$M$31:$M$400,MASQ2!DM$4)=0,"",SUMIFS('Étape 1 - à remplir'!$F$31:$F$400,'Étape 1 - à remplir'!$C$31:$C$400,$DA12,'Étape 1 - à remplir'!$M$31:$M$400,MASQ2!DM$4)/INDEX('Étape 1 - à remplir'!$C$19:$L$28,MATCH(MASQ2!$DA12,'Étape 1 - à remplir'!$L$19:$L$28,0),4)),INDEX($DB$44:$DM$73,MATCH($DA12,$DA$44:$DA$73,0),DM$4))</f>
        <v/>
      </c>
      <c r="DO12" s="42" t="e">
        <f>IF(DR12="","",COUNTIF(DR$4:DR$13,"&gt;"&amp;DR12)+COUNTIF(DR$4:DR12,DR12))</f>
        <v>#N/A</v>
      </c>
      <c r="DP12" t="str">
        <f>'Étape 1 - à remplir'!L27</f>
        <v/>
      </c>
      <c r="DQ12" t="e">
        <f>IF(INDEX('Étape 1 - à remplir'!G$19:L$28,MATCH(DP12,'Étape 1 - à remplir'!L$19:L$28,0),1)="kg",SUMIF('Étape 1 - à remplir'!C$31:C$400,DP12,'Étape 1 - à remplir'!F$31:F$400),NA())</f>
        <v>#N/A</v>
      </c>
      <c r="DR12" s="63" t="e">
        <f>DQ12/INDEX('Étape 1 - à remplir'!F$19:L$28,MATCH(DP12,'Étape 1 - à remplir'!L$19:L$28,0),1)</f>
        <v>#N/A</v>
      </c>
      <c r="DT12" s="42" t="e">
        <f>IF(DV12="","",COUNTIF(DV$4:DV$23,"&gt;"&amp;DV12)+COUNTIF(DV$4:DV12,DV12))</f>
        <v>#N/A</v>
      </c>
      <c r="DU12" t="str">
        <f t="shared" si="17"/>
        <v>Infections produisant des tumeurs profondes</v>
      </c>
      <c r="DV12" s="63" t="e">
        <f>IF(IF(EL$2="Catégorie",IF(EL$3="Toutes",SUMIFS('Étape 1 - à remplir'!$F$31:$F$400,'Étape 1 - à remplir'!$D$31:$D$400,MASQ2!DU12,'Étape 1 - à remplir'!$G$31:$G$400,"kg"),SUMIFS('Étape 1 - à remplir'!$F$31:$F$400,'Étape 1 - à remplir'!$D$31:$D$400,MASQ2!DU12,'Étape 1 - à remplir'!$C$31:$C$400,EL$3,'Étape 1 - à remplir'!$G$31:$G$400,"kg")),IF(EL$2="Âge",IF(EL$3="Tous",SUMIFS('Étape 1 - à remplir'!$F$31:$F$400,'Étape 1 - à remplir'!$D$31:$D$400,MASQ2!DU12,'Étape 1 - à remplir'!$G$31:$G$400,"kg"),SUMIFS('Étape 1 - à remplir'!$F$31:$F$400,'Étape 1 - à remplir'!$D$31:$D$400,MASQ2!DU12,'Étape 1 - à remplir'!$P$31:$P$400,EL$3,'Étape 1 - à remplir'!$G$31:$G$400,"kg")),IF(EL$2="Atelier",IF(EL$3="Tous",SUMIFS('Étape 1 - à remplir'!$F$31:$F$400,'Étape 1 - à remplir'!$D$31:$D$400,MASQ2!DU12,'Étape 1 - à remplir'!$G$31:$G$400,"kg"),SUMIFS('Étape 1 - à remplir'!$F$31:$F$400,'Étape 1 - à remplir'!$D$31:$D$400,MASQ2!DU12,'Étape 1 - à remplir'!$O$31:$O$400,EL$3,'Étape 1 - à remplir'!$G$31:$G$400,"kg")),IF(EL$2="Espèce",IF(EL$3="Toutes",SUMIFS('Étape 1 - à remplir'!$F$31:$F$400,'Étape 1 - à remplir'!$D$31:$D$400,MASQ2!DU12,'Étape 1 - à remplir'!$G$31:$G$400,"kg"),SUMIFS('Étape 1 - à remplir'!$F$31:$F$400,'Étape 1 - à remplir'!$D$31:$D$400,MASQ2!DU12,'Étape 1 - à remplir'!$N$31:$N$400,EL$3,'Étape 1 - à remplir'!$G$31:$G$400,"kg"))))))=0,NA(),IF(EL$2="Catégorie",IF(EL$3="Toutes",SUMIFS('Étape 1 - à remplir'!$F$31:$F$400,'Étape 1 - à remplir'!$D$31:$D$400,MASQ2!DU12,'Étape 1 - à remplir'!$G$31:$G$400,"kg"),SUMIFS('Étape 1 - à remplir'!$F$31:$F$400,'Étape 1 - à remplir'!$D$31:$D$400,MASQ2!DU12,'Étape 1 - à remplir'!$C$31:$C$400,EL$3,'Étape 1 - à remplir'!$G$31:$G$400,"kg")),IF(EL$2="Âge",IF(EL$3="Tous",SUMIFS('Étape 1 - à remplir'!$F$31:$F$400,'Étape 1 - à remplir'!$D$31:$D$400,MASQ2!DU12,'Étape 1 - à remplir'!$G$31:$G$400,"kg"),SUMIFS('Étape 1 - à remplir'!$F$31:$F$400,'Étape 1 - à remplir'!$D$31:$D$400,MASQ2!DU12,'Étape 1 - à remplir'!$P$31:$P$400,EL$3,'Étape 1 - à remplir'!$G$31:$G$400,"kg")),IF(EL$2="Atelier",IF(EL$3="Tous",SUMIFS('Étape 1 - à remplir'!$F$31:$F$400,'Étape 1 - à remplir'!$D$31:$D$400,MASQ2!DU12,'Étape 1 - à remplir'!$G$31:$G$400,"kg"),SUMIFS('Étape 1 - à remplir'!$F$31:$F$400,'Étape 1 - à remplir'!$D$31:$D$400,MASQ2!DU12,'Étape 1 - à remplir'!$O$31:$O$400,EL$3,'Étape 1 - à remplir'!$G$31:$G$400,"kg")),IF(EL$2="Espèce",IF(EL$3="Toutes",SUMIFS('Étape 1 - à remplir'!$F$31:$F$400,'Étape 1 - à remplir'!$D$31:$D$400,MASQ2!DU12,'Étape 1 - à remplir'!$G$31:$G$400,"kg"),SUMIFS('Étape 1 - à remplir'!$F$31:$F$400,'Étape 1 - à remplir'!$D$31:$D$400,MASQ2!DU12,'Étape 1 - à remplir'!$N$31:$N$400,EL$3,'Étape 1 - à remplir'!$G$31:$G$400,"kg")))))))</f>
        <v>#N/A</v>
      </c>
      <c r="DW12" s="42">
        <v>9</v>
      </c>
      <c r="DX12" t="e">
        <f t="shared" si="51"/>
        <v>#N/A</v>
      </c>
      <c r="DY12" s="63" t="e">
        <f t="shared" si="52"/>
        <v>#N/A</v>
      </c>
      <c r="EA12" s="194" t="str">
        <f t="shared" ca="1" si="18"/>
        <v/>
      </c>
      <c r="EB12" s="226" t="str">
        <f>IFERROR(IF(ED12=0,"",COUNTIF(ED$4:ED$600,"&gt;"&amp;ED12)+COUNTIF(ED$4:ED12,ED12)),"")</f>
        <v/>
      </c>
      <c r="EC12" t="str">
        <f t="shared" si="19"/>
        <v>ACTI-TETRA B</v>
      </c>
      <c r="ED12" t="e">
        <f>IF(IF(EL$2="Catégorie",IF(EL$3="Toutes",SUMIFS('Étape 1 - à remplir'!$F$31:$F$400,'Étape 1 - à remplir'!$E$31:$E$400,MASQ2!EC12,'Étape 1 - à remplir'!$G$31:$G$400,"kg"),SUMIFS('Étape 1 - à remplir'!$F$31:$F$400,'Étape 1 - à remplir'!$E$31:$E$400,MASQ2!EC12,'Étape 1 - à remplir'!$C$31:$C$400,EL$3)),IF(EL$2="Âge",IF(EL$3="Tous",SUMIFS('Étape 1 - à remplir'!$F$31:$F$400,'Étape 1 - à remplir'!$E$31:$E$400,MASQ2!EC12,'Étape 1 - à remplir'!$G$31:$G$400,"kg"),SUMIFS('Étape 1 - à remplir'!$F$31:$F$400,'Étape 1 - à remplir'!$E$31:$E$400,MASQ2!EC12,'Étape 1 - à remplir'!$P$31:$P$400,EL$3,'Étape 1 - à remplir'!$G$31:$G$400,"kg")),IF(EL$2="Atelier",IF(EL$3="Tous",SUMIFS('Étape 1 - à remplir'!$F$31:$F$400,'Étape 1 - à remplir'!$E$31:$E$400,MASQ2!EC12,'Étape 1 - à remplir'!$G$31:$G$400,"kg"),SUMIFS('Étape 1 - à remplir'!$F$31:$F$400,'Étape 1 - à remplir'!$E$31:$E$400,MASQ2!EC12,'Étape 1 - à remplir'!$O$31:$O$400,EL$3,'Étape 1 - à remplir'!$G$31:$G$400,"kg")),IF(EL$2="Espèce",IF(EL$3="Toutes",SUMIFS('Étape 1 - à remplir'!$F$31:$F$400,'Étape 1 - à remplir'!$E$31:$E$400,MASQ2!EC12,'Étape 1 - à remplir'!$G$31:$G$400,"kg"),SUMIFS('Étape 1 - à remplir'!$F$31:$F$400,'Étape 1 - à remplir'!$E$31:$E$400,MASQ2!EC12,'Étape 1 - à remplir'!$N$31:$N$400,EL$3,'Étape 1 - à remplir'!$G$31:$G$400,"kg"))))))=0,NA(),IF(EL$2="Catégorie",IF(EL$3="Toutes",SUMIFS('Étape 1 - à remplir'!$F$31:$F$400,'Étape 1 - à remplir'!$E$31:$E$400,MASQ2!EC12,'Étape 1 - à remplir'!$G$31:$G$400,"kg"),SUMIFS('Étape 1 - à remplir'!$F$31:$F$400,'Étape 1 - à remplir'!$E$31:$E$400,MASQ2!EC12,'Étape 1 - à remplir'!$C$31:$C$400,EL$3)),IF(EL$2="Âge",IF(EL$3="Tous",SUMIFS('Étape 1 - à remplir'!$F$31:$F$400,'Étape 1 - à remplir'!$E$31:$E$400,MASQ2!EC12,'Étape 1 - à remplir'!$G$31:$G$400,"kg"),SUMIFS('Étape 1 - à remplir'!$F$31:$F$400,'Étape 1 - à remplir'!$E$31:$E$400,MASQ2!EC12,'Étape 1 - à remplir'!$P$31:$P$400,EL$3,'Étape 1 - à remplir'!$G$31:$G$400,"kg")),IF(EL$2="Atelier",IF(EL$3="Tous",SUMIFS('Étape 1 - à remplir'!$F$31:$F$400,'Étape 1 - à remplir'!$E$31:$E$400,MASQ2!EC12,'Étape 1 - à remplir'!$G$31:$G$400,"kg"),SUMIFS('Étape 1 - à remplir'!$F$31:$F$400,'Étape 1 - à remplir'!$E$31:$E$400,MASQ2!EC12,'Étape 1 - à remplir'!$O$31:$O$400,EL$3,'Étape 1 - à remplir'!$G$31:$G$400,"kg")),IF(EL$2="Espèce",IF(EL$3="Toutes",SUMIFS('Étape 1 - à remplir'!$F$31:$F$400,'Étape 1 - à remplir'!$E$31:$E$400,MASQ2!EC12,'Étape 1 - à remplir'!$G$31:$G$400,"kg"),SUMIFS('Étape 1 - à remplir'!$F$31:$F$400,'Étape 1 - à remplir'!$E$31:$E$400,MASQ2!EC12,'Étape 1 - à remplir'!$N$31:$N$400,EL$3,'Étape 1 - à remplir'!$G$31:$G$400,"kg")))))))</f>
        <v>#N/A</v>
      </c>
      <c r="EE12" s="76">
        <f t="shared" si="53"/>
        <v>0</v>
      </c>
      <c r="EF12" t="str">
        <f t="shared" si="20"/>
        <v>Oxytétracycline</v>
      </c>
      <c r="EG12" t="str">
        <f t="shared" si="21"/>
        <v/>
      </c>
      <c r="EH12" t="str">
        <f t="shared" si="22"/>
        <v/>
      </c>
      <c r="EI12" t="str">
        <f t="shared" si="23"/>
        <v>Tetracyclines</v>
      </c>
      <c r="EJ12" t="str">
        <f t="shared" si="24"/>
        <v/>
      </c>
      <c r="EK12" s="63" t="str">
        <f t="shared" si="25"/>
        <v/>
      </c>
      <c r="EN12" s="42">
        <v>9</v>
      </c>
      <c r="EO12" t="e">
        <f t="shared" si="68"/>
        <v>#N/A</v>
      </c>
      <c r="EP12" s="63" t="e">
        <f t="shared" si="69"/>
        <v>#N/A</v>
      </c>
      <c r="ER12" s="194" t="str">
        <f t="shared" si="26"/>
        <v/>
      </c>
      <c r="ES12" s="226" t="str">
        <f>IFERROR(IF(EU12=0,"",COUNTIF(EU$4:EU$64,"&gt;"&amp;EU12)+COUNTIF(EU$4:EU12,EU12)),"")</f>
        <v/>
      </c>
      <c r="ET12" t="str">
        <f t="shared" si="27"/>
        <v>Céfazoline</v>
      </c>
      <c r="EU12" s="76" t="e">
        <f t="shared" si="56"/>
        <v>#N/A</v>
      </c>
      <c r="EV12">
        <v>9</v>
      </c>
      <c r="EW12" t="e">
        <f t="shared" si="57"/>
        <v>#N/A</v>
      </c>
      <c r="EX12" s="63" t="e">
        <f t="shared" si="58"/>
        <v>#N/A</v>
      </c>
      <c r="EZ12" s="194" t="str">
        <f t="shared" si="28"/>
        <v/>
      </c>
      <c r="FA12" s="226" t="str">
        <f>IFERROR(IF(FC12=0,"",COUNTIF(FC$4:FC$19,"&gt;"&amp;FC12)+COUNTIF(FC$4:FC12,FC12)),"")</f>
        <v/>
      </c>
      <c r="FB12" t="str">
        <f t="shared" si="29"/>
        <v>Penicillines</v>
      </c>
      <c r="FC12" s="76" t="e">
        <f t="shared" si="59"/>
        <v>#N/A</v>
      </c>
      <c r="FD12">
        <v>9</v>
      </c>
      <c r="FE12" t="e">
        <f t="shared" si="60"/>
        <v>#N/A</v>
      </c>
      <c r="FF12" s="63" t="e">
        <f t="shared" si="61"/>
        <v>#N/A</v>
      </c>
      <c r="FH12" s="36" t="str">
        <f t="shared" si="65"/>
        <v/>
      </c>
      <c r="FI12" s="35" t="str" cm="1">
        <f t="array" ref="FI12">IF($FH$3="Catégorie",IF(SUMIFS('Étape 1 - à remplir'!$F$31:$F$400,'Étape 1 - à remplir'!$C$31:$C$400,$FH12,'Étape 1 - à remplir'!$M$31:$M$400,MASQ2!FI$4)=0,"",SUMIFS('Étape 1 - à remplir'!$F$31:$F$400,'Étape 1 - à remplir'!$C$31:$C$400,$FH12,'Étape 1 - à remplir'!$M$31:$M$400,MASQ2!FI$4)/INDEX('Étape 1 - à remplir'!$C$19:$L$28,MATCH(MASQ2!$FH12,'Étape 1 - à remplir'!$L$19:$L$28,0),4)),INDEX($FI$44:$FT$73,MATCH($FH12,$FH$44:$FH$73,0),FI$4))</f>
        <v/>
      </c>
      <c r="FJ12" s="35" t="str" cm="1">
        <f t="array" aca="1" ref="FJ12" ca="1">IF($FH$3="Catégorie",IF(SUMIFS('Étape 1 - à remplir'!$F$31:$F$400,'Étape 1 - à remplir'!$C$31:$C$400,$FH12,'Étape 1 - à remplir'!$M$31:$M$400,MASQ2!FJ$4)=0,"",SUMIFS('Étape 1 - à remplir'!$F$31:$F$400,'Étape 1 - à remplir'!$C$31:$C$400,$FH12,'Étape 1 - à remplir'!$M$31:$M$400,MASQ2!FJ$4)/INDEX('Étape 1 - à remplir'!$C$19:$L$28,MATCH(MASQ2!$FH12,'Étape 1 - à remplir'!$L$19:$L$28,0),4)),INDEX($FI$44:$FT$73,MATCH($FH12,$FH$44:$FH$73,0),FJ$4))</f>
        <v/>
      </c>
      <c r="FK12" s="35" t="str" cm="1">
        <f t="array" aca="1" ref="FK12" ca="1">IF($FH$3="Catégorie",IF(SUMIFS('Étape 1 - à remplir'!$F$31:$F$400,'Étape 1 - à remplir'!$C$31:$C$400,$FH12,'Étape 1 - à remplir'!$M$31:$M$400,MASQ2!FK$4)=0,"",SUMIFS('Étape 1 - à remplir'!$F$31:$F$400,'Étape 1 - à remplir'!$C$31:$C$400,$FH12,'Étape 1 - à remplir'!$M$31:$M$400,MASQ2!FK$4)/INDEX('Étape 1 - à remplir'!$C$19:$L$28,MATCH(MASQ2!$FH12,'Étape 1 - à remplir'!$L$19:$L$28,0),4)),INDEX($FI$44:$FT$73,MATCH($FH12,$FH$44:$FH$73,0),FK$4))</f>
        <v/>
      </c>
      <c r="FL12" s="35" t="str" cm="1">
        <f t="array" aca="1" ref="FL12" ca="1">IF($FH$3="Catégorie",IF(SUMIFS('Étape 1 - à remplir'!$F$31:$F$400,'Étape 1 - à remplir'!$C$31:$C$400,$FH12,'Étape 1 - à remplir'!$M$31:$M$400,MASQ2!FL$4)=0,"",SUMIFS('Étape 1 - à remplir'!$F$31:$F$400,'Étape 1 - à remplir'!$C$31:$C$400,$FH12,'Étape 1 - à remplir'!$M$31:$M$400,MASQ2!FL$4)/INDEX('Étape 1 - à remplir'!$C$19:$L$28,MATCH(MASQ2!$FH12,'Étape 1 - à remplir'!$L$19:$L$28,0),4)),INDEX($FI$44:$FT$73,MATCH($FH12,$FH$44:$FH$73,0),FL$4))</f>
        <v/>
      </c>
      <c r="FM12" s="35" t="str" cm="1">
        <f t="array" aca="1" ref="FM12" ca="1">IF($FH$3="Catégorie",IF(SUMIFS('Étape 1 - à remplir'!$F$31:$F$400,'Étape 1 - à remplir'!$C$31:$C$400,$FH12,'Étape 1 - à remplir'!$M$31:$M$400,MASQ2!FM$4)=0,"",SUMIFS('Étape 1 - à remplir'!$F$31:$F$400,'Étape 1 - à remplir'!$C$31:$C$400,$FH12,'Étape 1 - à remplir'!$M$31:$M$400,MASQ2!FM$4)/INDEX('Étape 1 - à remplir'!$C$19:$L$28,MATCH(MASQ2!$FH12,'Étape 1 - à remplir'!$L$19:$L$28,0),4)),INDEX($FI$44:$FT$73,MATCH($FH12,$FH$44:$FH$73,0),FM$4))</f>
        <v/>
      </c>
      <c r="FN12" s="35" t="str" cm="1">
        <f t="array" aca="1" ref="FN12" ca="1">IF($FH$3="Catégorie",IF(SUMIFS('Étape 1 - à remplir'!$F$31:$F$400,'Étape 1 - à remplir'!$C$31:$C$400,$FH12,'Étape 1 - à remplir'!$M$31:$M$400,MASQ2!FN$4)=0,"",SUMIFS('Étape 1 - à remplir'!$F$31:$F$400,'Étape 1 - à remplir'!$C$31:$C$400,$FH12,'Étape 1 - à remplir'!$M$31:$M$400,MASQ2!FN$4)/INDEX('Étape 1 - à remplir'!$C$19:$L$28,MATCH(MASQ2!$FH12,'Étape 1 - à remplir'!$L$19:$L$28,0),4)),INDEX($FI$44:$FT$73,MATCH($FH12,$FH$44:$FH$73,0),FN$4))</f>
        <v/>
      </c>
      <c r="FO12" s="35" t="str" cm="1">
        <f t="array" aca="1" ref="FO12" ca="1">IF($FH$3="Catégorie",IF(SUMIFS('Étape 1 - à remplir'!$F$31:$F$400,'Étape 1 - à remplir'!$C$31:$C$400,$FH12,'Étape 1 - à remplir'!$M$31:$M$400,MASQ2!FO$4)=0,"",SUMIFS('Étape 1 - à remplir'!$F$31:$F$400,'Étape 1 - à remplir'!$C$31:$C$400,$FH12,'Étape 1 - à remplir'!$M$31:$M$400,MASQ2!FO$4)/INDEX('Étape 1 - à remplir'!$C$19:$L$28,MATCH(MASQ2!$FH12,'Étape 1 - à remplir'!$L$19:$L$28,0),4)),INDEX($FI$44:$FT$73,MATCH($FH12,$FH$44:$FH$73,0),FO$4))</f>
        <v/>
      </c>
      <c r="FP12" s="35" t="str" cm="1">
        <f t="array" aca="1" ref="FP12" ca="1">IF($FH$3="Catégorie",IF(SUMIFS('Étape 1 - à remplir'!$F$31:$F$400,'Étape 1 - à remplir'!$C$31:$C$400,$FH12,'Étape 1 - à remplir'!$M$31:$M$400,MASQ2!FP$4)=0,"",SUMIFS('Étape 1 - à remplir'!$F$31:$F$400,'Étape 1 - à remplir'!$C$31:$C$400,$FH12,'Étape 1 - à remplir'!$M$31:$M$400,MASQ2!FP$4)/INDEX('Étape 1 - à remplir'!$C$19:$L$28,MATCH(MASQ2!$FH12,'Étape 1 - à remplir'!$L$19:$L$28,0),4)),INDEX($FI$44:$FT$73,MATCH($FH12,$FH$44:$FH$73,0),FP$4))</f>
        <v/>
      </c>
      <c r="FQ12" s="35" t="str" cm="1">
        <f t="array" aca="1" ref="FQ12" ca="1">IF($FH$3="Catégorie",IF(SUMIFS('Étape 1 - à remplir'!$F$31:$F$400,'Étape 1 - à remplir'!$C$31:$C$400,$FH12,'Étape 1 - à remplir'!$M$31:$M$400,MASQ2!FQ$4)=0,"",SUMIFS('Étape 1 - à remplir'!$F$31:$F$400,'Étape 1 - à remplir'!$C$31:$C$400,$FH12,'Étape 1 - à remplir'!$M$31:$M$400,MASQ2!FQ$4)/INDEX('Étape 1 - à remplir'!$C$19:$L$28,MATCH(MASQ2!$FH12,'Étape 1 - à remplir'!$L$19:$L$28,0),4)),INDEX($FI$44:$FT$73,MATCH($FH12,$FH$44:$FH$73,0),FQ$4))</f>
        <v/>
      </c>
      <c r="FR12" s="35" t="str" cm="1">
        <f t="array" aca="1" ref="FR12" ca="1">IF($FH$3="Catégorie",IF(SUMIFS('Étape 1 - à remplir'!$F$31:$F$400,'Étape 1 - à remplir'!$C$31:$C$400,$FH12,'Étape 1 - à remplir'!$M$31:$M$400,MASQ2!FR$4)=0,"",SUMIFS('Étape 1 - à remplir'!$F$31:$F$400,'Étape 1 - à remplir'!$C$31:$C$400,$FH12,'Étape 1 - à remplir'!$M$31:$M$400,MASQ2!FR$4)/INDEX('Étape 1 - à remplir'!$C$19:$L$28,MATCH(MASQ2!$FH12,'Étape 1 - à remplir'!$L$19:$L$28,0),4)),INDEX($FI$44:$FT$73,MATCH($FH12,$FH$44:$FH$73,0),FR$4))</f>
        <v/>
      </c>
      <c r="FS12" s="35" t="str" cm="1">
        <f t="array" aca="1" ref="FS12" ca="1">IF($FH$3="Catégorie",IF(SUMIFS('Étape 1 - à remplir'!$F$31:$F$400,'Étape 1 - à remplir'!$C$31:$C$400,$FH12,'Étape 1 - à remplir'!$M$31:$M$400,MASQ2!FS$4)=0,"",SUMIFS('Étape 1 - à remplir'!$F$31:$F$400,'Étape 1 - à remplir'!$C$31:$C$400,$FH12,'Étape 1 - à remplir'!$M$31:$M$400,MASQ2!FS$4)/INDEX('Étape 1 - à remplir'!$C$19:$L$28,MATCH(MASQ2!$FH12,'Étape 1 - à remplir'!$L$19:$L$28,0),4)),INDEX($FI$44:$FT$73,MATCH($FH12,$FH$44:$FH$73,0),FS$4))</f>
        <v/>
      </c>
      <c r="FT12" s="35" t="str" cm="1">
        <f t="array" aca="1" ref="FT12" ca="1">IF($FH$3="Catégorie",IF(SUMIFS('Étape 1 - à remplir'!$F$31:$F$400,'Étape 1 - à remplir'!$C$31:$C$400,$FH12,'Étape 1 - à remplir'!$M$31:$M$400,MASQ2!FT$4)=0,"",SUMIFS('Étape 1 - à remplir'!$F$31:$F$400,'Étape 1 - à remplir'!$C$31:$C$400,$FH12,'Étape 1 - à remplir'!$M$31:$M$400,MASQ2!FT$4)/INDEX('Étape 1 - à remplir'!$C$19:$L$28,MATCH(MASQ2!$FH12,'Étape 1 - à remplir'!$L$19:$L$28,0),4)),INDEX($FI$44:$FT$73,MATCH($FH12,$FH$44:$FH$73,0),FT$4))</f>
        <v/>
      </c>
    </row>
    <row r="13" spans="1:176" x14ac:dyDescent="0.3">
      <c r="A13" s="223" t="str">
        <f>IF(D13="","",COUNTIF(D$4:D$13,"&gt;"&amp;D13)+COUNTIF(D$4:D13,D13))</f>
        <v/>
      </c>
      <c r="B13" s="111" t="str">
        <f>IF('Étape 1 - à remplir'!L28="","",'Étape 1 - à remplir'!L28)</f>
        <v/>
      </c>
      <c r="C13" s="111" t="str">
        <f>IFERROR(IF(INDEX('Étape 1 - à remplir'!G$19:L$28,MATCH(MASQ2!B13,'Étape 1 - à remplir'!L$19:L$28,0),1)="animaux",SUMIF('Étape 1 - à remplir'!C$31:C$400,MASQ2!B13,'Étape 1 - à remplir'!F$31:F$400),NA()),"")</f>
        <v/>
      </c>
      <c r="D13" s="135" t="str">
        <f>IFERROR(C13/INDEX('Étape 1 - à remplir'!F$19:L$28,MATCH(MASQ2!B13,'Étape 1 - à remplir'!L$19:L$28,0),1),"")</f>
        <v/>
      </c>
      <c r="E13" t="str">
        <f>IF(D13="","",COUNTIF(D$4:D$13,"&gt;"&amp;D13)+COUNTIF(D$4:D13,D13))</f>
        <v/>
      </c>
      <c r="F13" s="118" t="str">
        <f>IFERROR(IF(H13="","",COUNTIF(H$4:H$23,"&gt;"&amp;H13)+COUNTIF(H$4:H13,H13)),"")</f>
        <v/>
      </c>
      <c r="G13" t="str">
        <f>Données_ATB!CG12</f>
        <v>Lésions (cutanées et/ou au niveau des branchies)</v>
      </c>
      <c r="H13" s="76" t="e">
        <f>IF(IF(X$2="Catégorie",IF(X$3="Toutes",SUMIFS('Étape 1 - à remplir'!F$31:F$400,'Étape 1 - à remplir'!D$31:D$400,MASQ2!G13,'Étape 1 - à remplir'!G$31:G$400,"animaux"),SUMIFS('Étape 1 - à remplir'!F$31:F$400,'Étape 1 - à remplir'!D$31:D$400,MASQ2!G13,'Étape 1 - à remplir'!C$31:C$400,X$3)),IF(X$2="Âge",IF(X$3="Tous",SUMIFS('Étape 1 - à remplir'!F$31:F$400,'Étape 1 - à remplir'!D$31:D$400,MASQ2!G13,'Étape 1 - à remplir'!G$31:G$400,"animaux"),SUMIFS('Étape 1 - à remplir'!F$31:F$400,'Étape 1 - à remplir'!D$31:D$400,MASQ2!G13,'Étape 1 - à remplir'!P$31:P$400,X$3)),IF(X$2="Atelier",IF(X$3="Tous",SUMIFS('Étape 1 - à remplir'!F$31:F$400,'Étape 1 - à remplir'!D$31:D$400,MASQ2!G13,'Étape 1 - à remplir'!G$31:G$400,"animaux"),SUMIFS('Étape 1 - à remplir'!F$31:F$400,'Étape 1 - à remplir'!D$31:D$400,MASQ2!G13,'Étape 1 - à remplir'!O$31:O$400,X$3)),IF(X$2="Espèce",IF(X$3="Toutes",SUMIFS('Étape 1 - à remplir'!F$31:F$400,'Étape 1 - à remplir'!D$31:D$400,MASQ2!G13,'Étape 1 - à remplir'!G$31:G$400,"animaux"),SUMIFS('Étape 1 - à remplir'!F$31:F$400,'Étape 1 - à remplir'!D$31:D$400,MASQ2!G13,'Étape 1 - à remplir'!N$31:N$400,X$3))))))=0,NA(),IF(X$2="Catégorie",IF(X$3="Toutes",SUMIFS('Étape 1 - à remplir'!F$31:F$400,'Étape 1 - à remplir'!D$31:D$400,MASQ2!G13,'Étape 1 - à remplir'!G$31:G$400,"animaux"),SUMIFS('Étape 1 - à remplir'!F$31:F$400,'Étape 1 - à remplir'!D$31:D$400,MASQ2!G13,'Étape 1 - à remplir'!C$31:C$400,X$3)),IF(X$2="Âge",IF(X$3="Tous",SUMIFS('Étape 1 - à remplir'!F$31:F$400,'Étape 1 - à remplir'!D$31:D$400,MASQ2!G13,'Étape 1 - à remplir'!G$31:G$400,"animaux"),SUMIFS('Étape 1 - à remplir'!F$31:F$400,'Étape 1 - à remplir'!D$31:D$400,MASQ2!G13,'Étape 1 - à remplir'!P$31:P$400,X$3)),IF(X$2="Atelier",IF(X$3="Tous",SUMIFS('Étape 1 - à remplir'!F$31:F$400,'Étape 1 - à remplir'!D$31:D$400,MASQ2!G13,'Étape 1 - à remplir'!G$31:G$400,"animaux"),SUMIFS('Étape 1 - à remplir'!F$31:F$400,'Étape 1 - à remplir'!D$31:D$400,MASQ2!G13,'Étape 1 - à remplir'!O$31:O$400,X$3)),IF(X$2="Espèce",IF(X$3="Tous",SUMIFS('Étape 1 - à remplir'!F$31:F$400,'Étape 1 - à remplir'!D$31:D$400,MASQ2!G13,'Étape 1 - à remplir'!G$31:G$400,"animaux"),SUMIFS('Étape 1 - à remplir'!F$31:F$400,'Étape 1 - à remplir'!D$31:D$400,MASQ2!G13,'Étape 1 - à remplir'!N$31:N$400,X$3)))))))</f>
        <v>#N/A</v>
      </c>
      <c r="I13" s="118">
        <v>10</v>
      </c>
      <c r="J13" t="e">
        <f t="shared" si="66"/>
        <v>#N/A</v>
      </c>
      <c r="K13" s="76" t="e">
        <f t="shared" si="67"/>
        <v>#N/A</v>
      </c>
      <c r="M13" s="194" t="str">
        <f ca="1">INDEX(Données_ATB!BD:BU,MATCH(MASQ2!O13,Données_ATB!BD:BD,0),18)</f>
        <v/>
      </c>
      <c r="N13" s="14" t="str">
        <f>IFERROR(IF(Q13=0,"",COUNTIF(Q$4:Q$600,"&gt;"&amp;Q13)+COUNTIF(Q$4:Q13,Q13)),"")</f>
        <v/>
      </c>
      <c r="O13" t="str">
        <f>Données_ATB!BD12</f>
        <v>ACTI-TETRA I</v>
      </c>
      <c r="P13" t="e">
        <f>IF(IF(X$2="Catégorie",IF(X$3="Toutes",SUMIFS('Étape 1 - à remplir'!$F$31:$F$400,'Étape 1 - à remplir'!$E$31:$E$400,MASQ2!O13,'Étape 1 - à remplir'!$G$31:$G$400,"animaux"),SUMIFS('Étape 1 - à remplir'!$F$31:$F$400,'Étape 1 - à remplir'!$E$31:$E$400,MASQ2!O13,'Étape 1 - à remplir'!$C$31:$C$400,X$3)),IF(X$2="Âge",IF(X$3="Tous",SUMIFS('Étape 1 - à remplir'!$F$31:$F$400,'Étape 1 - à remplir'!$E$31:$E$400,MASQ2!O13,'Étape 1 - à remplir'!$G$31:$G$400,"animaux"),SUMIFS('Étape 1 - à remplir'!$F$31:$F$400,'Étape 1 - à remplir'!$E$31:$E$400,MASQ2!O13,'Étape 1 - à remplir'!$P$31:$P$400,X$3)),IF(X$2="Atelier",IF(X$3="Tous",SUMIFS('Étape 1 - à remplir'!$F$31:$F$400,'Étape 1 - à remplir'!$E$31:$E$400,MASQ2!O13,'Étape 1 - à remplir'!$G$31:$G$400,"animaux"),SUMIFS('Étape 1 - à remplir'!$F$31:$F$400,'Étape 1 - à remplir'!$E$31:$E$400,MASQ2!O13,'Étape 1 - à remplir'!$O$31:$O$400,X$3)),IF(X$2="Espèce",IF(X$3="Toutes",SUMIFS('Étape 1 - à remplir'!$F$31:$F$400,'Étape 1 - à remplir'!$E$31:$E$400,MASQ2!O13,'Étape 1 - à remplir'!$G$31:$G$400,"animaux"),SUMIFS('Étape 1 - à remplir'!$F$31:$F$400,'Étape 1 - à remplir'!$E$31:$E$400,MASQ2!O13,'Étape 1 - à remplir'!$N$31:$N$400,X$3))))))=0,NA(),IF(X$2="Catégorie",IF(X$3="Toutes",SUMIFS('Étape 1 - à remplir'!$F$31:$F$400,'Étape 1 - à remplir'!$E$31:$E$400,MASQ2!O13,'Étape 1 - à remplir'!$G$31:$G$400,"animaux"),SUMIFS('Étape 1 - à remplir'!$F$31:$F$400,'Étape 1 - à remplir'!$E$31:$E$400,MASQ2!O13,'Étape 1 - à remplir'!$C$31:$C$400,X$3)),IF(X$2="Âge",IF(X$3="Tous",SUMIFS('Étape 1 - à remplir'!$F$31:$F$400,'Étape 1 - à remplir'!$E$31:$E$400,MASQ2!O13,'Étape 1 - à remplir'!$G$31:$G$400,"animaux"),SUMIFS('Étape 1 - à remplir'!$F$31:$F$400,'Étape 1 - à remplir'!$E$31:$E$400,MASQ2!O13,'Étape 1 - à remplir'!$P$31:$P$400,X$3)),IF(X$2="Atelier",IF(X$3="Tous",SUMIFS('Étape 1 - à remplir'!$F$31:$F$400,'Étape 1 - à remplir'!$E$31:$E$400,MASQ2!O13,'Étape 1 - à remplir'!$G$31:$G$400,"animaux"),SUMIFS('Étape 1 - à remplir'!$F$31:$F$400,'Étape 1 - à remplir'!$E$31:$E$400,MASQ2!O13,'Étape 1 - à remplir'!$O$31:$O$400,X$3)),IF(X$2="Espèce",IF(X$3="Toutes",SUMIFS('Étape 1 - à remplir'!$F$31:$F$400,'Étape 1 - à remplir'!$E$31:$E$400,MASQ2!O13,'Étape 1 - à remplir'!$G$31:$G$400,"animaux"),SUMIFS('Étape 1 - à remplir'!$F$31:$F$400,'Étape 1 - à remplir'!$E$31:$E$400,MASQ2!O13,'Étape 1 - à remplir'!$N$31:$N$400,X$3)))))))</f>
        <v>#N/A</v>
      </c>
      <c r="Q13" s="63">
        <f t="shared" si="62"/>
        <v>0</v>
      </c>
      <c r="R13" t="str">
        <f>Données_ATB!BM12</f>
        <v>Oxytétracycline</v>
      </c>
      <c r="S13" t="str">
        <f>Données_ATB!BN12</f>
        <v/>
      </c>
      <c r="T13" s="63" t="str">
        <f>Données_ATB!BO12</f>
        <v/>
      </c>
      <c r="U13" s="42" t="str">
        <f>Données_ATB!BQ12</f>
        <v>Tetracyclines</v>
      </c>
      <c r="V13" t="str">
        <f>Données_ATB!BR12</f>
        <v/>
      </c>
      <c r="W13" s="63" t="str">
        <f>Données_ATB!BS12</f>
        <v/>
      </c>
      <c r="Z13" s="42">
        <v>10</v>
      </c>
      <c r="AA13" t="e">
        <f t="shared" si="32"/>
        <v>#N/A</v>
      </c>
      <c r="AB13" s="63" t="e">
        <f t="shared" si="33"/>
        <v>#N/A</v>
      </c>
      <c r="AD13" s="194" t="str">
        <f>IF(AF13="Colistine","x",IF(INDEX(Données_ATB!CA$3:CB$63,MATCH(AF13,Données_ATB!CA$3:CA$63,0),2)="Fluoroquinolones","x",IF(INDEX(Données_ATB!CA$3:CB$63,MATCH(AF13,Données_ATB!CA$3:CA$63,0),2)="Cephalosporines 3&amp;4G","x","")))</f>
        <v>x</v>
      </c>
      <c r="AE13" s="219" t="str">
        <f>IFERROR(IF(AG13=0,"",COUNTIF(AG$4:AG$64,"&gt;"&amp;AG13)+COUNTIF(AG$4:AG13,AG13)),"")</f>
        <v/>
      </c>
      <c r="AF13" s="42" t="str">
        <f>Données_ATB!CA12</f>
        <v>Céfopérazone</v>
      </c>
      <c r="AG13" s="63" t="e">
        <f t="shared" si="34"/>
        <v>#N/A</v>
      </c>
      <c r="AH13" s="42">
        <v>10</v>
      </c>
      <c r="AI13" t="e">
        <f t="shared" si="35"/>
        <v>#N/A</v>
      </c>
      <c r="AJ13" s="63" t="e">
        <f t="shared" si="36"/>
        <v>#N/A</v>
      </c>
      <c r="AL13" s="194" t="str">
        <f t="shared" si="37"/>
        <v/>
      </c>
      <c r="AM13" s="14" t="str">
        <f>IFERROR(IF(AO13=0,"",COUNTIF(AO$4:AO$19,"&gt;"&amp;AO13)+COUNTIF(AO$4:AO13,AO13)),"")</f>
        <v/>
      </c>
      <c r="AN13" t="str">
        <f>Données_ATB!BX12</f>
        <v>Phenicoles</v>
      </c>
      <c r="AO13" s="76" t="e">
        <f t="shared" si="3"/>
        <v>#N/A</v>
      </c>
      <c r="AP13">
        <v>10</v>
      </c>
      <c r="AQ13" t="e">
        <f t="shared" si="38"/>
        <v>#N/A</v>
      </c>
      <c r="AR13" s="63" t="e">
        <f t="shared" si="39"/>
        <v>#N/A</v>
      </c>
      <c r="AT13" s="36" t="str">
        <f t="shared" si="63"/>
        <v/>
      </c>
      <c r="AU13" s="36" t="str" cm="1">
        <f t="array" ref="AU13">IF($AT$3="Catégorie",IF(SUMIFS('Étape 1 - à remplir'!$F$31:$F$400,'Étape 1 - à remplir'!$C$31:$C$400,$AT13,'Étape 1 - à remplir'!$M$31:$M$400,MASQ2!AU$4)=0,"",SUMIFS('Étape 1 - à remplir'!$F$31:$F$400,'Étape 1 - à remplir'!$C$31:$C$400,$AT13,'Étape 1 - à remplir'!$M$31:$M$400,MASQ2!AU$4)/INDEX('Étape 1 - à remplir'!$C$19:$L$28,MATCH(MASQ2!$AT13,'Étape 1 - à remplir'!$L$19:$L$28,0),4)),INDEX($AU$44:$BF$73,MATCH($AT13,$AT$44:$AT$73,0),AU$4))</f>
        <v/>
      </c>
      <c r="AV13" s="36" t="str" cm="1">
        <f t="array" aca="1" ref="AV13" ca="1">IF($AT$3="Catégorie",IF(SUMIFS('Étape 1 - à remplir'!$F$31:$F$400,'Étape 1 - à remplir'!$C$31:$C$400,$AT13,'Étape 1 - à remplir'!$M$31:$M$400,MASQ2!AV$4)=0,"",SUMIFS('Étape 1 - à remplir'!$F$31:$F$400,'Étape 1 - à remplir'!$C$31:$C$400,$AT13,'Étape 1 - à remplir'!$M$31:$M$400,MASQ2!AV$4)/INDEX('Étape 1 - à remplir'!$C$19:$L$28,MATCH(MASQ2!$AT13,'Étape 1 - à remplir'!$L$19:$L$28,0),4)),INDEX($AU$44:$BF$73,MATCH($AT13,$AT$44:$AT$73,0),AV$4))</f>
        <v/>
      </c>
      <c r="AW13" s="36" t="str" cm="1">
        <f t="array" aca="1" ref="AW13" ca="1">IF($AT$3="Catégorie",IF(SUMIFS('Étape 1 - à remplir'!$F$31:$F$400,'Étape 1 - à remplir'!$C$31:$C$400,$AT13,'Étape 1 - à remplir'!$M$31:$M$400,MASQ2!AW$4)=0,"",SUMIFS('Étape 1 - à remplir'!$F$31:$F$400,'Étape 1 - à remplir'!$C$31:$C$400,$AT13,'Étape 1 - à remplir'!$M$31:$M$400,MASQ2!AW$4)/INDEX('Étape 1 - à remplir'!$C$19:$L$28,MATCH(MASQ2!$AT13,'Étape 1 - à remplir'!$L$19:$L$28,0),4)),INDEX($AU$44:$BF$73,MATCH($AT13,$AT$44:$AT$73,0),AW$4))</f>
        <v/>
      </c>
      <c r="AX13" s="36" t="str" cm="1">
        <f t="array" aca="1" ref="AX13" ca="1">IF($AT$3="Catégorie",IF(SUMIFS('Étape 1 - à remplir'!$F$31:$F$400,'Étape 1 - à remplir'!$C$31:$C$400,$AT13,'Étape 1 - à remplir'!$M$31:$M$400,MASQ2!AX$4)=0,"",SUMIFS('Étape 1 - à remplir'!$F$31:$F$400,'Étape 1 - à remplir'!$C$31:$C$400,$AT13,'Étape 1 - à remplir'!$M$31:$M$400,MASQ2!AX$4)/INDEX('Étape 1 - à remplir'!$C$19:$L$28,MATCH(MASQ2!$AT13,'Étape 1 - à remplir'!$L$19:$L$28,0),4)),INDEX($AU$44:$BF$73,MATCH($AT13,$AT$44:$AT$73,0),AX$4))</f>
        <v/>
      </c>
      <c r="AY13" s="36" t="str" cm="1">
        <f t="array" aca="1" ref="AY13" ca="1">IF($AT$3="Catégorie",IF(SUMIFS('Étape 1 - à remplir'!$F$31:$F$400,'Étape 1 - à remplir'!$C$31:$C$400,$AT13,'Étape 1 - à remplir'!$M$31:$M$400,MASQ2!AY$4)=0,"",SUMIFS('Étape 1 - à remplir'!$F$31:$F$400,'Étape 1 - à remplir'!$C$31:$C$400,$AT13,'Étape 1 - à remplir'!$M$31:$M$400,MASQ2!AY$4)/INDEX('Étape 1 - à remplir'!$C$19:$L$28,MATCH(MASQ2!$AT13,'Étape 1 - à remplir'!$L$19:$L$28,0),4)),INDEX($AU$44:$BF$73,MATCH($AT13,$AT$44:$AT$73,0),AY$4))</f>
        <v/>
      </c>
      <c r="AZ13" s="36" t="str" cm="1">
        <f t="array" aca="1" ref="AZ13" ca="1">IF($AT$3="Catégorie",IF(SUMIFS('Étape 1 - à remplir'!$F$31:$F$400,'Étape 1 - à remplir'!$C$31:$C$400,$AT13,'Étape 1 - à remplir'!$M$31:$M$400,MASQ2!AZ$4)=0,"",SUMIFS('Étape 1 - à remplir'!$F$31:$F$400,'Étape 1 - à remplir'!$C$31:$C$400,$AT13,'Étape 1 - à remplir'!$M$31:$M$400,MASQ2!AZ$4)/INDEX('Étape 1 - à remplir'!$C$19:$L$28,MATCH(MASQ2!$AT13,'Étape 1 - à remplir'!$L$19:$L$28,0),4)),INDEX($AU$44:$BF$73,MATCH($AT13,$AT$44:$AT$73,0),AZ$4))</f>
        <v/>
      </c>
      <c r="BA13" s="36" t="str" cm="1">
        <f t="array" aca="1" ref="BA13" ca="1">IF($AT$3="Catégorie",IF(SUMIFS('Étape 1 - à remplir'!$F$31:$F$400,'Étape 1 - à remplir'!$C$31:$C$400,$AT13,'Étape 1 - à remplir'!$M$31:$M$400,MASQ2!BA$4)=0,"",SUMIFS('Étape 1 - à remplir'!$F$31:$F$400,'Étape 1 - à remplir'!$C$31:$C$400,$AT13,'Étape 1 - à remplir'!$M$31:$M$400,MASQ2!BA$4)/INDEX('Étape 1 - à remplir'!$C$19:$L$28,MATCH(MASQ2!$AT13,'Étape 1 - à remplir'!$L$19:$L$28,0),4)),INDEX($AU$44:$BF$73,MATCH($AT13,$AT$44:$AT$73,0),BA$4))</f>
        <v/>
      </c>
      <c r="BB13" s="36" t="str" cm="1">
        <f t="array" aca="1" ref="BB13" ca="1">IF($AT$3="Catégorie",IF(SUMIFS('Étape 1 - à remplir'!$F$31:$F$400,'Étape 1 - à remplir'!$C$31:$C$400,$AT13,'Étape 1 - à remplir'!$M$31:$M$400,MASQ2!BB$4)=0,"",SUMIFS('Étape 1 - à remplir'!$F$31:$F$400,'Étape 1 - à remplir'!$C$31:$C$400,$AT13,'Étape 1 - à remplir'!$M$31:$M$400,MASQ2!BB$4)/INDEX('Étape 1 - à remplir'!$C$19:$L$28,MATCH(MASQ2!$AT13,'Étape 1 - à remplir'!$L$19:$L$28,0),4)),INDEX($AU$44:$BF$73,MATCH($AT13,$AT$44:$AT$73,0),BB$4))</f>
        <v/>
      </c>
      <c r="BC13" s="36" t="str" cm="1">
        <f t="array" aca="1" ref="BC13" ca="1">IF($AT$3="Catégorie",IF(SUMIFS('Étape 1 - à remplir'!$F$31:$F$400,'Étape 1 - à remplir'!$C$31:$C$400,$AT13,'Étape 1 - à remplir'!$M$31:$M$400,MASQ2!BC$4)=0,"",SUMIFS('Étape 1 - à remplir'!$F$31:$F$400,'Étape 1 - à remplir'!$C$31:$C$400,$AT13,'Étape 1 - à remplir'!$M$31:$M$400,MASQ2!BC$4)/INDEX('Étape 1 - à remplir'!$C$19:$L$28,MATCH(MASQ2!$AT13,'Étape 1 - à remplir'!$L$19:$L$28,0),4)),INDEX($AU$44:$BF$73,MATCH($AT13,$AT$44:$AT$73,0),BC$4))</f>
        <v/>
      </c>
      <c r="BD13" s="36" t="str" cm="1">
        <f t="array" aca="1" ref="BD13" ca="1">IF($AT$3="Catégorie",IF(SUMIFS('Étape 1 - à remplir'!$F$31:$F$400,'Étape 1 - à remplir'!$C$31:$C$400,$AT13,'Étape 1 - à remplir'!$M$31:$M$400,MASQ2!BD$4)=0,"",SUMIFS('Étape 1 - à remplir'!$F$31:$F$400,'Étape 1 - à remplir'!$C$31:$C$400,$AT13,'Étape 1 - à remplir'!$M$31:$M$400,MASQ2!BD$4)/INDEX('Étape 1 - à remplir'!$C$19:$L$28,MATCH(MASQ2!$AT13,'Étape 1 - à remplir'!$L$19:$L$28,0),4)),INDEX($AU$44:$BF$73,MATCH($AT13,$AT$44:$AT$73,0),BD$4))</f>
        <v/>
      </c>
      <c r="BE13" s="36" t="str" cm="1">
        <f t="array" aca="1" ref="BE13" ca="1">IF($AT$3="Catégorie",IF(SUMIFS('Étape 1 - à remplir'!$F$31:$F$400,'Étape 1 - à remplir'!$C$31:$C$400,$AT13,'Étape 1 - à remplir'!$M$31:$M$400,MASQ2!BE$4)=0,"",SUMIFS('Étape 1 - à remplir'!$F$31:$F$400,'Étape 1 - à remplir'!$C$31:$C$400,$AT13,'Étape 1 - à remplir'!$M$31:$M$400,MASQ2!BE$4)/INDEX('Étape 1 - à remplir'!$C$19:$L$28,MATCH(MASQ2!$AT13,'Étape 1 - à remplir'!$L$19:$L$28,0),4)),INDEX($AU$44:$BF$73,MATCH($AT13,$AT$44:$AT$73,0),BE$4))</f>
        <v/>
      </c>
      <c r="BF13" s="36" t="str" cm="1">
        <f t="array" aca="1" ref="BF13" ca="1">IF($AT$3="Catégorie",IF(SUMIFS('Étape 1 - à remplir'!$F$31:$F$400,'Étape 1 - à remplir'!$C$31:$C$400,$AT13,'Étape 1 - à remplir'!$M$31:$M$400,MASQ2!BF$4)=0,"",SUMIFS('Étape 1 - à remplir'!$F$31:$F$400,'Étape 1 - à remplir'!$C$31:$C$400,$AT13,'Étape 1 - à remplir'!$M$31:$M$400,MASQ2!BF$4)/INDEX('Étape 1 - à remplir'!$C$19:$L$28,MATCH(MASQ2!$AT13,'Étape 1 - à remplir'!$L$19:$L$28,0),4)),INDEX($AU$44:$BF$73,MATCH($AT13,$AT$44:$AT$73,0),BF$4))</f>
        <v/>
      </c>
      <c r="BH13" s="223" t="e">
        <f>IF(BK13="","",COUNTIF(BK$4:BK$13,"&gt;"&amp;BK13)+COUNTIF(BK$4:BK13,BK13))</f>
        <v>#N/A</v>
      </c>
      <c r="BI13" s="111" t="str">
        <f>'Étape 1 - à remplir'!L28</f>
        <v/>
      </c>
      <c r="BJ13" s="111" t="e">
        <f>IF(INDEX('Étape 1 - à remplir'!G$19:L$28,MATCH(BI13,'Étape 1 - à remplir'!L$19:L$28,0),1)="lots",SUMIF('Étape 1 - à remplir'!C$31:C$400,BI13,'Étape 1 - à remplir'!F$31:F$400),NA())</f>
        <v>#N/A</v>
      </c>
      <c r="BK13" s="111" t="e">
        <f>BJ13/INDEX('Étape 1 - à remplir'!F$19:L$28,MATCH(BI13,'Étape 1 - à remplir'!L$19:L$28,0),1)</f>
        <v>#N/A</v>
      </c>
      <c r="BL13" s="118"/>
      <c r="BM13" s="42" t="e">
        <f>IF(BO13="","",COUNTIF(BO$4:BO$23,"&gt;"&amp;BO13)+COUNTIF(BO$4:BO13,BO13))</f>
        <v>#N/A</v>
      </c>
      <c r="BN13" t="str">
        <f t="shared" si="4"/>
        <v>Lésions (cutanées et/ou au niveau des branchies)</v>
      </c>
      <c r="BO13" s="76" t="e">
        <f>IF(IF(CE$2="Catégorie",IF(CE$3="Toutes",SUMIFS('Étape 1 - à remplir'!$F$31:$F$400,'Étape 1 - à remplir'!$D$31:$D$400,MASQ2!BN13,'Étape 1 - à remplir'!$G$31:$G$400,"lots"),SUMIFS('Étape 1 - à remplir'!$F$31:$F$400,'Étape 1 - à remplir'!$D$31:$D$400,MASQ2!BN13,'Étape 1 - à remplir'!$C$31:$C$400,CE$3,'Étape 1 - à remplir'!$G$31:$G$400,"lots")),IF(CE$2="Âge",IF(CE$3="Tous",SUMIFS('Étape 1 - à remplir'!$F$31:$F$400,'Étape 1 - à remplir'!$D$31:$D$400,MASQ2!BN13,'Étape 1 - à remplir'!$G$31:$G$400,"lots"),SUMIFS('Étape 1 - à remplir'!$F$31:$F$400,'Étape 1 - à remplir'!$D$31:$D$400,MASQ2!BN13,'Étape 1 - à remplir'!$P$31:$P$400,CE$3,'Étape 1 - à remplir'!$G$31:$G$400,"lots")),IF(CE$2="Atelier",IF(CE$3="Tous",SUMIFS('Étape 1 - à remplir'!$F$31:$F$400,'Étape 1 - à remplir'!$D$31:$D$400,MASQ2!BN13,'Étape 1 - à remplir'!$G$31:$G$400,"lots"),SUMIFS('Étape 1 - à remplir'!$F$31:$F$400,'Étape 1 - à remplir'!$D$31:$D$400,MASQ2!BN13,'Étape 1 - à remplir'!$O$31:$O$400,CE$3,'Étape 1 - à remplir'!$G$31:$G$400,"lots")),IF(CE$2="Espèce",IF(CE$3="Toutes",SUMIFS('Étape 1 - à remplir'!$F$31:$F$400,'Étape 1 - à remplir'!$D$31:$D$400,MASQ2!BN13,'Étape 1 - à remplir'!$G$31:$G$400,"lots"),SUMIFS('Étape 1 - à remplir'!$F$31:$F$400,'Étape 1 - à remplir'!$D$31:$D$400,MASQ2!BN13,'Étape 1 - à remplir'!$N$31:$N$400,CE$3,'Étape 1 - à remplir'!$G$31:$G$400,"lots"))))))=0,NA(),IF(CE$2="Catégorie",IF(CE$3="Toutes",SUMIFS('Étape 1 - à remplir'!$F$31:$F$400,'Étape 1 - à remplir'!$D$31:$D$400,MASQ2!BN13,'Étape 1 - à remplir'!$G$31:$G$400,"lots"),SUMIFS('Étape 1 - à remplir'!$F$31:$F$400,'Étape 1 - à remplir'!$D$31:$D$400,MASQ2!BN13,'Étape 1 - à remplir'!$C$31:$C$400,CE$3,'Étape 1 - à remplir'!$G$31:$G$400,"lots")),IF(CE$2="Âge",IF(CE$3="Tous",SUMIFS('Étape 1 - à remplir'!$F$31:$F$400,'Étape 1 - à remplir'!$D$31:$D$400,MASQ2!BN13,'Étape 1 - à remplir'!$G$31:$G$400,"lots"),SUMIFS('Étape 1 - à remplir'!$F$31:$F$400,'Étape 1 - à remplir'!$D$31:$D$400,MASQ2!BN13,'Étape 1 - à remplir'!$P$31:$P$400,CE$3,'Étape 1 - à remplir'!$G$31:$G$400,"lots")),IF(CE$2="Atelier",IF(CE$3="Tous",SUMIFS('Étape 1 - à remplir'!$F$31:$F$400,'Étape 1 - à remplir'!$D$31:$D$400,MASQ2!BN13,'Étape 1 - à remplir'!$G$31:$G$400,"lots"),SUMIFS('Étape 1 - à remplir'!$F$31:$F$400,'Étape 1 - à remplir'!$D$31:$D$400,MASQ2!BN13,'Étape 1 - à remplir'!$O$31:$O$400,CE$3,'Étape 1 - à remplir'!$G$31:$G$400,"lots")),IF(CE$2="Espèce",IF(CE$3="Toutes",SUMIFS('Étape 1 - à remplir'!$F$31:$F$400,'Étape 1 - à remplir'!$D$31:$D$400,MASQ2!BN13,'Étape 1 - à remplir'!$G$31:$G$400,"lots"),SUMIFS('Étape 1 - à remplir'!$F$31:$F$400,'Étape 1 - à remplir'!$D$31:$D$400,MASQ2!BN13,'Étape 1 - à remplir'!$N$31:$N$400,CE$3,'Étape 1 - à remplir'!$G$31:$G$400,"lots")))))))</f>
        <v>#N/A</v>
      </c>
      <c r="BP13">
        <v>10</v>
      </c>
      <c r="BQ13" t="e">
        <f t="shared" si="40"/>
        <v>#N/A</v>
      </c>
      <c r="BR13" s="63" t="e">
        <f t="shared" si="41"/>
        <v>#N/A</v>
      </c>
      <c r="BT13" s="194" t="str">
        <f t="shared" ca="1" si="5"/>
        <v/>
      </c>
      <c r="BU13" s="219" t="str">
        <f>IFERROR(IF(BX13=0,"",COUNTIF(BX$4:BX$600,"&gt;"&amp;BX13)+COUNTIF(BX$4:BX13,BX13)),"")</f>
        <v/>
      </c>
      <c r="BV13" s="42" t="str">
        <f t="shared" si="6"/>
        <v>ACTI-TETRA I</v>
      </c>
      <c r="BW13" t="e">
        <f>IF(IF(CE$2="Catégorie",IF(CE$3="Toutes",SUMIFS('Étape 1 - à remplir'!$F$31:$F$400,'Étape 1 - à remplir'!$E$31:$E$400,MASQ2!BV13,'Étape 1 - à remplir'!$G$31:$G$400,"lots"),SUMIFS('Étape 1 - à remplir'!$F$31:$F$400,'Étape 1 - à remplir'!$E$31:$E$400,MASQ2!BV13,'Étape 1 - à remplir'!$C$31:$C$400,CE$3)),IF(CE$2="Âge",IF(CE$3="Tous",SUMIFS('Étape 1 - à remplir'!$F$31:$F$400,'Étape 1 - à remplir'!$E$31:$E$400,MASQ2!BV13,'Étape 1 - à remplir'!$G$31:$G$400,"lots"),SUMIFS('Étape 1 - à remplir'!$F$31:$F$400,'Étape 1 - à remplir'!$E$31:$E$400,MASQ2!BV13,'Étape 1 - à remplir'!$P$31:$P$400,CE$3,'Étape 1 - à remplir'!$G$31:$G$400,"lots")),IF(CE$2="Atelier",IF(CE$3="Tous",SUMIFS('Étape 1 - à remplir'!$F$31:$F$400,'Étape 1 - à remplir'!$E$31:$E$400,MASQ2!BV13,'Étape 1 - à remplir'!$G$31:$G$400,"lots"),SUMIFS('Étape 1 - à remplir'!$F$31:$F$400,'Étape 1 - à remplir'!$E$31:$E$400,MASQ2!BV13,'Étape 1 - à remplir'!$O$31:$O$400,CE$3,'Étape 1 - à remplir'!$G$31:$G$400,"lots")),IF(CE$2="Espèce",IF(CE$3="Toutes",SUMIFS('Étape 1 - à remplir'!$F$31:$F$400,'Étape 1 - à remplir'!$E$31:$E$400,MASQ2!BV13,'Étape 1 - à remplir'!$G$31:$G$400,"lots"),SUMIFS('Étape 1 - à remplir'!$F$31:$F$400,'Étape 1 - à remplir'!$E$31:$E$400,MASQ2!BV13,'Étape 1 - à remplir'!$N$31:$N$400,CE$3,'Étape 1 - à remplir'!$G$31:$G$400,"lots"))))))=0,NA(),IF(CE$2="Catégorie",IF(CE$3="Toutes",SUMIFS('Étape 1 - à remplir'!$F$31:$F$400,'Étape 1 - à remplir'!$E$31:$E$400,MASQ2!BV13,'Étape 1 - à remplir'!$G$31:$G$400,"lots"),SUMIFS('Étape 1 - à remplir'!$F$31:$F$400,'Étape 1 - à remplir'!$E$31:$E$400,MASQ2!BV13,'Étape 1 - à remplir'!$C$31:$C$400,CE$3)),IF(CE$2="Âge",IF(CE$3="Tous",SUMIFS('Étape 1 - à remplir'!$F$31:$F$400,'Étape 1 - à remplir'!$E$31:$E$400,MASQ2!BV13,'Étape 1 - à remplir'!$G$31:$G$400,"lots"),SUMIFS('Étape 1 - à remplir'!$F$31:$F$400,'Étape 1 - à remplir'!$E$31:$E$400,MASQ2!BV13,'Étape 1 - à remplir'!$P$31:$P$400,CE$3,'Étape 1 - à remplir'!$G$31:$G$400,"lots")),IF(CE$2="Atelier",IF(CE$3="Tous",SUMIFS('Étape 1 - à remplir'!$F$31:$F$400,'Étape 1 - à remplir'!$E$31:$E$400,MASQ2!BV13,'Étape 1 - à remplir'!$G$31:$G$400,"lots"),SUMIFS('Étape 1 - à remplir'!$F$31:$F$400,'Étape 1 - à remplir'!$E$31:$E$400,MASQ2!BV13,'Étape 1 - à remplir'!$O$31:$O$400,CE$3,'Étape 1 - à remplir'!$G$31:$G$400,"lots")),IF(CE$2="Espèce",IF(CE$3="Toutes",SUMIFS('Étape 1 - à remplir'!$F$31:$F$400,'Étape 1 - à remplir'!$E$31:$E$400,MASQ2!BV13,'Étape 1 - à remplir'!$G$31:$G$400,"lots"),SUMIFS('Étape 1 - à remplir'!$F$31:$F$400,'Étape 1 - à remplir'!$E$31:$E$400,MASQ2!BV13,'Étape 1 - à remplir'!$N$31:$N$400,CE$3,'Étape 1 - à remplir'!$G$31:$G$400,"lots")))))))</f>
        <v>#N/A</v>
      </c>
      <c r="BX13">
        <f t="shared" si="42"/>
        <v>0</v>
      </c>
      <c r="BY13" t="str">
        <f t="shared" si="7"/>
        <v>Oxytétracycline</v>
      </c>
      <c r="BZ13" t="str">
        <f t="shared" si="8"/>
        <v/>
      </c>
      <c r="CA13" t="str">
        <f t="shared" si="9"/>
        <v/>
      </c>
      <c r="CB13" t="str">
        <f t="shared" si="10"/>
        <v>Tetracyclines</v>
      </c>
      <c r="CC13" t="str">
        <f t="shared" si="11"/>
        <v/>
      </c>
      <c r="CD13" s="63" t="str">
        <f t="shared" si="12"/>
        <v/>
      </c>
      <c r="CG13" s="42">
        <v>10</v>
      </c>
      <c r="CH13" s="42" t="e">
        <f t="shared" si="43"/>
        <v>#N/A</v>
      </c>
      <c r="CI13" s="63" t="e">
        <f t="shared" si="44"/>
        <v>#N/A</v>
      </c>
      <c r="CK13" s="194" t="str">
        <f t="shared" si="13"/>
        <v>x</v>
      </c>
      <c r="CL13" s="226" t="str">
        <f>IFERROR(IF(CN13=0,"",COUNTIF(CN$4:CN$64,"&gt;"&amp;CN13)+COUNTIF(CN$4:CN13,CN13)),"")</f>
        <v/>
      </c>
      <c r="CM13" t="str">
        <f t="shared" si="14"/>
        <v>Céfopérazone</v>
      </c>
      <c r="CN13" s="76" t="e">
        <f t="shared" si="45"/>
        <v>#N/A</v>
      </c>
      <c r="CO13">
        <v>10</v>
      </c>
      <c r="CP13" t="e">
        <f t="shared" si="46"/>
        <v>#N/A</v>
      </c>
      <c r="CQ13" s="63" t="e">
        <f t="shared" si="47"/>
        <v>#N/A</v>
      </c>
      <c r="CS13" s="194" t="str">
        <f t="shared" si="15"/>
        <v/>
      </c>
      <c r="CT13" s="14" t="str">
        <f>IFERROR(IF(CV13=0,"",COUNTIF(CV$4:CV$19,"&gt;"&amp;CV13)+COUNTIF(CV$4:CV13,CV13)),"")</f>
        <v/>
      </c>
      <c r="CU13" s="230" t="str">
        <f t="shared" si="16"/>
        <v>Phenicoles</v>
      </c>
      <c r="CV13" s="76" t="e">
        <f t="shared" si="48"/>
        <v>#N/A</v>
      </c>
      <c r="CW13">
        <v>10</v>
      </c>
      <c r="CX13" t="e">
        <f t="shared" si="49"/>
        <v>#N/A</v>
      </c>
      <c r="CY13" s="63" t="e">
        <f t="shared" si="50"/>
        <v>#N/A</v>
      </c>
      <c r="DA13" s="36" t="str">
        <f t="shared" si="64"/>
        <v/>
      </c>
      <c r="DB13" s="36" t="str" cm="1">
        <f t="array" ref="DB13">IF($DA$3="Catégorie",IF(SUMIFS('Étape 1 - à remplir'!$F$31:$F$400,'Étape 1 - à remplir'!$C$31:$C$400,$DA13,'Étape 1 - à remplir'!$M$31:$M$400,MASQ2!DB$4)=0,"",SUMIFS('Étape 1 - à remplir'!$F$31:$F$400,'Étape 1 - à remplir'!$C$31:$C$400,$DA13,'Étape 1 - à remplir'!$M$31:$M$400,MASQ2!DB$4)/INDEX('Étape 1 - à remplir'!$C$19:$L$28,MATCH(MASQ2!$DA13,'Étape 1 - à remplir'!$L$19:$L$28,0),4)),INDEX($DB$44:$DM$73,MATCH($DA13,$DA$44:$DA$73,0),DB$4))</f>
        <v/>
      </c>
      <c r="DC13" s="36" t="str" cm="1">
        <f t="array" aca="1" ref="DC13" ca="1">IF($DA$3="Catégorie",IF(SUMIFS('Étape 1 - à remplir'!$F$31:$F$400,'Étape 1 - à remplir'!$C$31:$C$400,$DA13,'Étape 1 - à remplir'!$M$31:$M$400,MASQ2!DC$4)=0,"",SUMIFS('Étape 1 - à remplir'!$F$31:$F$400,'Étape 1 - à remplir'!$C$31:$C$400,$DA13,'Étape 1 - à remplir'!$M$31:$M$400,MASQ2!DC$4)/INDEX('Étape 1 - à remplir'!$C$19:$L$28,MATCH(MASQ2!$DA13,'Étape 1 - à remplir'!$L$19:$L$28,0),4)),INDEX($DB$44:$DM$73,MATCH($DA13,$DA$44:$DA$73,0),DC$4))</f>
        <v/>
      </c>
      <c r="DD13" s="36" t="str" cm="1">
        <f t="array" aca="1" ref="DD13" ca="1">IF($DA$3="Catégorie",IF(SUMIFS('Étape 1 - à remplir'!$F$31:$F$400,'Étape 1 - à remplir'!$C$31:$C$400,$DA13,'Étape 1 - à remplir'!$M$31:$M$400,MASQ2!DD$4)=0,"",SUMIFS('Étape 1 - à remplir'!$F$31:$F$400,'Étape 1 - à remplir'!$C$31:$C$400,$DA13,'Étape 1 - à remplir'!$M$31:$M$400,MASQ2!DD$4)/INDEX('Étape 1 - à remplir'!$C$19:$L$28,MATCH(MASQ2!$DA13,'Étape 1 - à remplir'!$L$19:$L$28,0),4)),INDEX($DB$44:$DM$73,MATCH($DA13,$DA$44:$DA$73,0),DD$4))</f>
        <v/>
      </c>
      <c r="DE13" s="36" t="str" cm="1">
        <f t="array" aca="1" ref="DE13" ca="1">IF($DA$3="Catégorie",IF(SUMIFS('Étape 1 - à remplir'!$F$31:$F$400,'Étape 1 - à remplir'!$C$31:$C$400,$DA13,'Étape 1 - à remplir'!$M$31:$M$400,MASQ2!DE$4)=0,"",SUMIFS('Étape 1 - à remplir'!$F$31:$F$400,'Étape 1 - à remplir'!$C$31:$C$400,$DA13,'Étape 1 - à remplir'!$M$31:$M$400,MASQ2!DE$4)/INDEX('Étape 1 - à remplir'!$C$19:$L$28,MATCH(MASQ2!$DA13,'Étape 1 - à remplir'!$L$19:$L$28,0),4)),INDEX($DB$44:$DM$73,MATCH($DA13,$DA$44:$DA$73,0),DE$4))</f>
        <v/>
      </c>
      <c r="DF13" s="36" t="str" cm="1">
        <f t="array" aca="1" ref="DF13" ca="1">IF($DA$3="Catégorie",IF(SUMIFS('Étape 1 - à remplir'!$F$31:$F$400,'Étape 1 - à remplir'!$C$31:$C$400,$DA13,'Étape 1 - à remplir'!$M$31:$M$400,MASQ2!DF$4)=0,"",SUMIFS('Étape 1 - à remplir'!$F$31:$F$400,'Étape 1 - à remplir'!$C$31:$C$400,$DA13,'Étape 1 - à remplir'!$M$31:$M$400,MASQ2!DF$4)/INDEX('Étape 1 - à remplir'!$C$19:$L$28,MATCH(MASQ2!$DA13,'Étape 1 - à remplir'!$L$19:$L$28,0),4)),INDEX($DB$44:$DM$73,MATCH($DA13,$DA$44:$DA$73,0),DF$4))</f>
        <v/>
      </c>
      <c r="DG13" s="36" t="str" cm="1">
        <f t="array" aca="1" ref="DG13" ca="1">IF($DA$3="Catégorie",IF(SUMIFS('Étape 1 - à remplir'!$F$31:$F$400,'Étape 1 - à remplir'!$C$31:$C$400,$DA13,'Étape 1 - à remplir'!$M$31:$M$400,MASQ2!DG$4)=0,"",SUMIFS('Étape 1 - à remplir'!$F$31:$F$400,'Étape 1 - à remplir'!$C$31:$C$400,$DA13,'Étape 1 - à remplir'!$M$31:$M$400,MASQ2!DG$4)/INDEX('Étape 1 - à remplir'!$C$19:$L$28,MATCH(MASQ2!$DA13,'Étape 1 - à remplir'!$L$19:$L$28,0),4)),INDEX($DB$44:$DM$73,MATCH($DA13,$DA$44:$DA$73,0),DG$4))</f>
        <v/>
      </c>
      <c r="DH13" s="36" t="str" cm="1">
        <f t="array" aca="1" ref="DH13" ca="1">IF($DA$3="Catégorie",IF(SUMIFS('Étape 1 - à remplir'!$F$31:$F$400,'Étape 1 - à remplir'!$C$31:$C$400,$DA13,'Étape 1 - à remplir'!$M$31:$M$400,MASQ2!DH$4)=0,"",SUMIFS('Étape 1 - à remplir'!$F$31:$F$400,'Étape 1 - à remplir'!$C$31:$C$400,$DA13,'Étape 1 - à remplir'!$M$31:$M$400,MASQ2!DH$4)/INDEX('Étape 1 - à remplir'!$C$19:$L$28,MATCH(MASQ2!$DA13,'Étape 1 - à remplir'!$L$19:$L$28,0),4)),INDEX($DB$44:$DM$73,MATCH($DA13,$DA$44:$DA$73,0),DH$4))</f>
        <v/>
      </c>
      <c r="DI13" s="36" t="str" cm="1">
        <f t="array" aca="1" ref="DI13" ca="1">IF($DA$3="Catégorie",IF(SUMIFS('Étape 1 - à remplir'!$F$31:$F$400,'Étape 1 - à remplir'!$C$31:$C$400,$DA13,'Étape 1 - à remplir'!$M$31:$M$400,MASQ2!DI$4)=0,"",SUMIFS('Étape 1 - à remplir'!$F$31:$F$400,'Étape 1 - à remplir'!$C$31:$C$400,$DA13,'Étape 1 - à remplir'!$M$31:$M$400,MASQ2!DI$4)/INDEX('Étape 1 - à remplir'!$C$19:$L$28,MATCH(MASQ2!$DA13,'Étape 1 - à remplir'!$L$19:$L$28,0),4)),INDEX($DB$44:$DM$73,MATCH($DA13,$DA$44:$DA$73,0),DI$4))</f>
        <v/>
      </c>
      <c r="DJ13" s="36" t="str" cm="1">
        <f t="array" aca="1" ref="DJ13" ca="1">IF($DA$3="Catégorie",IF(SUMIFS('Étape 1 - à remplir'!$F$31:$F$400,'Étape 1 - à remplir'!$C$31:$C$400,$DA13,'Étape 1 - à remplir'!$M$31:$M$400,MASQ2!DJ$4)=0,"",SUMIFS('Étape 1 - à remplir'!$F$31:$F$400,'Étape 1 - à remplir'!$C$31:$C$400,$DA13,'Étape 1 - à remplir'!$M$31:$M$400,MASQ2!DJ$4)/INDEX('Étape 1 - à remplir'!$C$19:$L$28,MATCH(MASQ2!$DA13,'Étape 1 - à remplir'!$L$19:$L$28,0),4)),INDEX($DB$44:$DM$73,MATCH($DA13,$DA$44:$DA$73,0),DJ$4))</f>
        <v/>
      </c>
      <c r="DK13" s="36" t="str" cm="1">
        <f t="array" aca="1" ref="DK13" ca="1">IF($DA$3="Catégorie",IF(SUMIFS('Étape 1 - à remplir'!$F$31:$F$400,'Étape 1 - à remplir'!$C$31:$C$400,$DA13,'Étape 1 - à remplir'!$M$31:$M$400,MASQ2!DK$4)=0,"",SUMIFS('Étape 1 - à remplir'!$F$31:$F$400,'Étape 1 - à remplir'!$C$31:$C$400,$DA13,'Étape 1 - à remplir'!$M$31:$M$400,MASQ2!DK$4)/INDEX('Étape 1 - à remplir'!$C$19:$L$28,MATCH(MASQ2!$DA13,'Étape 1 - à remplir'!$L$19:$L$28,0),4)),INDEX($DB$44:$DM$73,MATCH($DA13,$DA$44:$DA$73,0),DK$4))</f>
        <v/>
      </c>
      <c r="DL13" s="36" t="str" cm="1">
        <f t="array" aca="1" ref="DL13" ca="1">IF($DA$3="Catégorie",IF(SUMIFS('Étape 1 - à remplir'!$F$31:$F$400,'Étape 1 - à remplir'!$C$31:$C$400,$DA13,'Étape 1 - à remplir'!$M$31:$M$400,MASQ2!DL$4)=0,"",SUMIFS('Étape 1 - à remplir'!$F$31:$F$400,'Étape 1 - à remplir'!$C$31:$C$400,$DA13,'Étape 1 - à remplir'!$M$31:$M$400,MASQ2!DL$4)/INDEX('Étape 1 - à remplir'!$C$19:$L$28,MATCH(MASQ2!$DA13,'Étape 1 - à remplir'!$L$19:$L$28,0),4)),INDEX($DB$44:$DM$73,MATCH($DA13,$DA$44:$DA$73,0),DL$4))</f>
        <v/>
      </c>
      <c r="DM13" s="36" t="str" cm="1">
        <f t="array" aca="1" ref="DM13" ca="1">IF($DA$3="Catégorie",IF(SUMIFS('Étape 1 - à remplir'!$F$31:$F$400,'Étape 1 - à remplir'!$C$31:$C$400,$DA13,'Étape 1 - à remplir'!$M$31:$M$400,MASQ2!DM$4)=0,"",SUMIFS('Étape 1 - à remplir'!$F$31:$F$400,'Étape 1 - à remplir'!$C$31:$C$400,$DA13,'Étape 1 - à remplir'!$M$31:$M$400,MASQ2!DM$4)/INDEX('Étape 1 - à remplir'!$C$19:$L$28,MATCH(MASQ2!$DA13,'Étape 1 - à remplir'!$L$19:$L$28,0),4)),INDEX($DB$44:$DM$73,MATCH($DA13,$DA$44:$DA$73,0),DM$4))</f>
        <v/>
      </c>
      <c r="DO13" s="223" t="e">
        <f>IF(DR13="","",COUNTIF(DR$4:DR$13,"&gt;"&amp;DR13)+COUNTIF(DR$4:DR13,DR13))</f>
        <v>#N/A</v>
      </c>
      <c r="DP13" s="111" t="str">
        <f>'Étape 1 - à remplir'!L28</f>
        <v/>
      </c>
      <c r="DQ13" s="111" t="e">
        <f>IF(INDEX('Étape 1 - à remplir'!G$19:L$28,MATCH(DP13,'Étape 1 - à remplir'!L$19:L$28,0),1)="kg",SUMIF('Étape 1 - à remplir'!C$31:C$400,DP13,'Étape 1 - à remplir'!F$31:F$400),NA())</f>
        <v>#N/A</v>
      </c>
      <c r="DR13" s="135" t="e">
        <f>DQ13/INDEX('Étape 1 - à remplir'!F$19:L$28,MATCH(DP13,'Étape 1 - à remplir'!L$19:L$28,0),1)</f>
        <v>#N/A</v>
      </c>
      <c r="DT13" s="42" t="e">
        <f>IF(DV13="","",COUNTIF(DV$4:DV$23,"&gt;"&amp;DV13)+COUNTIF(DV$4:DV13,DV13))</f>
        <v>#N/A</v>
      </c>
      <c r="DU13" t="str">
        <f t="shared" si="17"/>
        <v>Lésions (cutanées et/ou au niveau des branchies)</v>
      </c>
      <c r="DV13" s="63" t="e">
        <f>IF(IF(EL$2="Catégorie",IF(EL$3="Toutes",SUMIFS('Étape 1 - à remplir'!$F$31:$F$400,'Étape 1 - à remplir'!$D$31:$D$400,MASQ2!DU13,'Étape 1 - à remplir'!$G$31:$G$400,"kg"),SUMIFS('Étape 1 - à remplir'!$F$31:$F$400,'Étape 1 - à remplir'!$D$31:$D$400,MASQ2!DU13,'Étape 1 - à remplir'!$C$31:$C$400,EL$3,'Étape 1 - à remplir'!$G$31:$G$400,"kg")),IF(EL$2="Âge",IF(EL$3="Tous",SUMIFS('Étape 1 - à remplir'!$F$31:$F$400,'Étape 1 - à remplir'!$D$31:$D$400,MASQ2!DU13,'Étape 1 - à remplir'!$G$31:$G$400,"kg"),SUMIFS('Étape 1 - à remplir'!$F$31:$F$400,'Étape 1 - à remplir'!$D$31:$D$400,MASQ2!DU13,'Étape 1 - à remplir'!$P$31:$P$400,EL$3,'Étape 1 - à remplir'!$G$31:$G$400,"kg")),IF(EL$2="Atelier",IF(EL$3="Tous",SUMIFS('Étape 1 - à remplir'!$F$31:$F$400,'Étape 1 - à remplir'!$D$31:$D$400,MASQ2!DU13,'Étape 1 - à remplir'!$G$31:$G$400,"kg"),SUMIFS('Étape 1 - à remplir'!$F$31:$F$400,'Étape 1 - à remplir'!$D$31:$D$400,MASQ2!DU13,'Étape 1 - à remplir'!$O$31:$O$400,EL$3,'Étape 1 - à remplir'!$G$31:$G$400,"kg")),IF(EL$2="Espèce",IF(EL$3="Toutes",SUMIFS('Étape 1 - à remplir'!$F$31:$F$400,'Étape 1 - à remplir'!$D$31:$D$400,MASQ2!DU13,'Étape 1 - à remplir'!$G$31:$G$400,"kg"),SUMIFS('Étape 1 - à remplir'!$F$31:$F$400,'Étape 1 - à remplir'!$D$31:$D$400,MASQ2!DU13,'Étape 1 - à remplir'!$N$31:$N$400,EL$3,'Étape 1 - à remplir'!$G$31:$G$400,"kg"))))))=0,NA(),IF(EL$2="Catégorie",IF(EL$3="Toutes",SUMIFS('Étape 1 - à remplir'!$F$31:$F$400,'Étape 1 - à remplir'!$D$31:$D$400,MASQ2!DU13,'Étape 1 - à remplir'!$G$31:$G$400,"kg"),SUMIFS('Étape 1 - à remplir'!$F$31:$F$400,'Étape 1 - à remplir'!$D$31:$D$400,MASQ2!DU13,'Étape 1 - à remplir'!$C$31:$C$400,EL$3,'Étape 1 - à remplir'!$G$31:$G$400,"kg")),IF(EL$2="Âge",IF(EL$3="Tous",SUMIFS('Étape 1 - à remplir'!$F$31:$F$400,'Étape 1 - à remplir'!$D$31:$D$400,MASQ2!DU13,'Étape 1 - à remplir'!$G$31:$G$400,"kg"),SUMIFS('Étape 1 - à remplir'!$F$31:$F$400,'Étape 1 - à remplir'!$D$31:$D$400,MASQ2!DU13,'Étape 1 - à remplir'!$P$31:$P$400,EL$3,'Étape 1 - à remplir'!$G$31:$G$400,"kg")),IF(EL$2="Atelier",IF(EL$3="Tous",SUMIFS('Étape 1 - à remplir'!$F$31:$F$400,'Étape 1 - à remplir'!$D$31:$D$400,MASQ2!DU13,'Étape 1 - à remplir'!$G$31:$G$400,"kg"),SUMIFS('Étape 1 - à remplir'!$F$31:$F$400,'Étape 1 - à remplir'!$D$31:$D$400,MASQ2!DU13,'Étape 1 - à remplir'!$O$31:$O$400,EL$3,'Étape 1 - à remplir'!$G$31:$G$400,"kg")),IF(EL$2="Espèce",IF(EL$3="Toutes",SUMIFS('Étape 1 - à remplir'!$F$31:$F$400,'Étape 1 - à remplir'!$D$31:$D$400,MASQ2!DU13,'Étape 1 - à remplir'!$G$31:$G$400,"kg"),SUMIFS('Étape 1 - à remplir'!$F$31:$F$400,'Étape 1 - à remplir'!$D$31:$D$400,MASQ2!DU13,'Étape 1 - à remplir'!$N$31:$N$400,EL$3,'Étape 1 - à remplir'!$G$31:$G$400,"kg")))))))</f>
        <v>#N/A</v>
      </c>
      <c r="DW13" s="42">
        <v>10</v>
      </c>
      <c r="DX13" t="e">
        <f t="shared" si="51"/>
        <v>#N/A</v>
      </c>
      <c r="DY13" s="63" t="e">
        <f t="shared" si="52"/>
        <v>#N/A</v>
      </c>
      <c r="EA13" s="194" t="str">
        <f t="shared" ca="1" si="18"/>
        <v/>
      </c>
      <c r="EB13" s="226" t="str">
        <f>IFERROR(IF(ED13=0,"",COUNTIF(ED$4:ED$600,"&gt;"&amp;ED13)+COUNTIF(ED$4:ED13,ED13)),"")</f>
        <v/>
      </c>
      <c r="EC13" t="str">
        <f t="shared" si="19"/>
        <v>ACTI-TETRA I</v>
      </c>
      <c r="ED13" t="e">
        <f>IF(IF(EL$2="Catégorie",IF(EL$3="Toutes",SUMIFS('Étape 1 - à remplir'!$F$31:$F$400,'Étape 1 - à remplir'!$E$31:$E$400,MASQ2!EC13,'Étape 1 - à remplir'!$G$31:$G$400,"kg"),SUMIFS('Étape 1 - à remplir'!$F$31:$F$400,'Étape 1 - à remplir'!$E$31:$E$400,MASQ2!EC13,'Étape 1 - à remplir'!$C$31:$C$400,EL$3)),IF(EL$2="Âge",IF(EL$3="Tous",SUMIFS('Étape 1 - à remplir'!$F$31:$F$400,'Étape 1 - à remplir'!$E$31:$E$400,MASQ2!EC13,'Étape 1 - à remplir'!$G$31:$G$400,"kg"),SUMIFS('Étape 1 - à remplir'!$F$31:$F$400,'Étape 1 - à remplir'!$E$31:$E$400,MASQ2!EC13,'Étape 1 - à remplir'!$P$31:$P$400,EL$3,'Étape 1 - à remplir'!$G$31:$G$400,"kg")),IF(EL$2="Atelier",IF(EL$3="Tous",SUMIFS('Étape 1 - à remplir'!$F$31:$F$400,'Étape 1 - à remplir'!$E$31:$E$400,MASQ2!EC13,'Étape 1 - à remplir'!$G$31:$G$400,"kg"),SUMIFS('Étape 1 - à remplir'!$F$31:$F$400,'Étape 1 - à remplir'!$E$31:$E$400,MASQ2!EC13,'Étape 1 - à remplir'!$O$31:$O$400,EL$3,'Étape 1 - à remplir'!$G$31:$G$400,"kg")),IF(EL$2="Espèce",IF(EL$3="Toutes",SUMIFS('Étape 1 - à remplir'!$F$31:$F$400,'Étape 1 - à remplir'!$E$31:$E$400,MASQ2!EC13,'Étape 1 - à remplir'!$G$31:$G$400,"kg"),SUMIFS('Étape 1 - à remplir'!$F$31:$F$400,'Étape 1 - à remplir'!$E$31:$E$400,MASQ2!EC13,'Étape 1 - à remplir'!$N$31:$N$400,EL$3,'Étape 1 - à remplir'!$G$31:$G$400,"kg"))))))=0,NA(),IF(EL$2="Catégorie",IF(EL$3="Toutes",SUMIFS('Étape 1 - à remplir'!$F$31:$F$400,'Étape 1 - à remplir'!$E$31:$E$400,MASQ2!EC13,'Étape 1 - à remplir'!$G$31:$G$400,"kg"),SUMIFS('Étape 1 - à remplir'!$F$31:$F$400,'Étape 1 - à remplir'!$E$31:$E$400,MASQ2!EC13,'Étape 1 - à remplir'!$C$31:$C$400,EL$3)),IF(EL$2="Âge",IF(EL$3="Tous",SUMIFS('Étape 1 - à remplir'!$F$31:$F$400,'Étape 1 - à remplir'!$E$31:$E$400,MASQ2!EC13,'Étape 1 - à remplir'!$G$31:$G$400,"kg"),SUMIFS('Étape 1 - à remplir'!$F$31:$F$400,'Étape 1 - à remplir'!$E$31:$E$400,MASQ2!EC13,'Étape 1 - à remplir'!$P$31:$P$400,EL$3,'Étape 1 - à remplir'!$G$31:$G$400,"kg")),IF(EL$2="Atelier",IF(EL$3="Tous",SUMIFS('Étape 1 - à remplir'!$F$31:$F$400,'Étape 1 - à remplir'!$E$31:$E$400,MASQ2!EC13,'Étape 1 - à remplir'!$G$31:$G$400,"kg"),SUMIFS('Étape 1 - à remplir'!$F$31:$F$400,'Étape 1 - à remplir'!$E$31:$E$400,MASQ2!EC13,'Étape 1 - à remplir'!$O$31:$O$400,EL$3,'Étape 1 - à remplir'!$G$31:$G$400,"kg")),IF(EL$2="Espèce",IF(EL$3="Toutes",SUMIFS('Étape 1 - à remplir'!$F$31:$F$400,'Étape 1 - à remplir'!$E$31:$E$400,MASQ2!EC13,'Étape 1 - à remplir'!$G$31:$G$400,"kg"),SUMIFS('Étape 1 - à remplir'!$F$31:$F$400,'Étape 1 - à remplir'!$E$31:$E$400,MASQ2!EC13,'Étape 1 - à remplir'!$N$31:$N$400,EL$3,'Étape 1 - à remplir'!$G$31:$G$400,"kg")))))))</f>
        <v>#N/A</v>
      </c>
      <c r="EE13" s="76">
        <f t="shared" si="53"/>
        <v>0</v>
      </c>
      <c r="EF13" t="str">
        <f t="shared" si="20"/>
        <v>Oxytétracycline</v>
      </c>
      <c r="EG13" t="str">
        <f t="shared" si="21"/>
        <v/>
      </c>
      <c r="EH13" t="str">
        <f t="shared" si="22"/>
        <v/>
      </c>
      <c r="EI13" t="str">
        <f t="shared" si="23"/>
        <v>Tetracyclines</v>
      </c>
      <c r="EJ13" t="str">
        <f t="shared" si="24"/>
        <v/>
      </c>
      <c r="EK13" s="63" t="str">
        <f t="shared" si="25"/>
        <v/>
      </c>
      <c r="EN13" s="42">
        <v>10</v>
      </c>
      <c r="EO13" t="e">
        <f t="shared" si="68"/>
        <v>#N/A</v>
      </c>
      <c r="EP13" s="63" t="e">
        <f t="shared" si="69"/>
        <v>#N/A</v>
      </c>
      <c r="ER13" s="194" t="str">
        <f t="shared" si="26"/>
        <v>x</v>
      </c>
      <c r="ES13" s="226" t="str">
        <f>IFERROR(IF(EU13=0,"",COUNTIF(EU$4:EU$64,"&gt;"&amp;EU13)+COUNTIF(EU$4:EU13,EU13)),"")</f>
        <v/>
      </c>
      <c r="ET13" t="str">
        <f t="shared" si="27"/>
        <v>Céfopérazone</v>
      </c>
      <c r="EU13" s="76" t="e">
        <f t="shared" si="56"/>
        <v>#N/A</v>
      </c>
      <c r="EV13">
        <v>10</v>
      </c>
      <c r="EW13" t="e">
        <f t="shared" si="57"/>
        <v>#N/A</v>
      </c>
      <c r="EX13" s="63" t="e">
        <f t="shared" si="58"/>
        <v>#N/A</v>
      </c>
      <c r="EZ13" s="194" t="str">
        <f t="shared" si="28"/>
        <v/>
      </c>
      <c r="FA13" s="226" t="str">
        <f>IFERROR(IF(FC13=0,"",COUNTIF(FC$4:FC$19,"&gt;"&amp;FC13)+COUNTIF(FC$4:FC13,FC13)),"")</f>
        <v/>
      </c>
      <c r="FB13" t="str">
        <f t="shared" si="29"/>
        <v>Phenicoles</v>
      </c>
      <c r="FC13" s="76" t="e">
        <f t="shared" si="59"/>
        <v>#N/A</v>
      </c>
      <c r="FD13">
        <v>10</v>
      </c>
      <c r="FE13" t="e">
        <f t="shared" si="60"/>
        <v>#N/A</v>
      </c>
      <c r="FF13" s="63" t="e">
        <f t="shared" si="61"/>
        <v>#N/A</v>
      </c>
      <c r="FH13" s="36" t="str">
        <f t="shared" si="65"/>
        <v/>
      </c>
      <c r="FI13" s="35" t="str" cm="1">
        <f t="array" ref="FI13">IF($FH$3="Catégorie",IF(SUMIFS('Étape 1 - à remplir'!$F$31:$F$400,'Étape 1 - à remplir'!$C$31:$C$400,$FH13,'Étape 1 - à remplir'!$M$31:$M$400,MASQ2!FI$4)=0,"",SUMIFS('Étape 1 - à remplir'!$F$31:$F$400,'Étape 1 - à remplir'!$C$31:$C$400,$FH13,'Étape 1 - à remplir'!$M$31:$M$400,MASQ2!FI$4)/INDEX('Étape 1 - à remplir'!$C$19:$L$28,MATCH(MASQ2!$FH13,'Étape 1 - à remplir'!$L$19:$L$28,0),4)),INDEX($FI$44:$FT$73,MATCH($FH13,$FH$44:$FH$73,0),FI$4))</f>
        <v/>
      </c>
      <c r="FJ13" s="35" t="str" cm="1">
        <f t="array" aca="1" ref="FJ13" ca="1">IF($FH$3="Catégorie",IF(SUMIFS('Étape 1 - à remplir'!$F$31:$F$400,'Étape 1 - à remplir'!$C$31:$C$400,$FH13,'Étape 1 - à remplir'!$M$31:$M$400,MASQ2!FJ$4)=0,"",SUMIFS('Étape 1 - à remplir'!$F$31:$F$400,'Étape 1 - à remplir'!$C$31:$C$400,$FH13,'Étape 1 - à remplir'!$M$31:$M$400,MASQ2!FJ$4)/INDEX('Étape 1 - à remplir'!$C$19:$L$28,MATCH(MASQ2!$FH13,'Étape 1 - à remplir'!$L$19:$L$28,0),4)),INDEX($FI$44:$FT$73,MATCH($FH13,$FH$44:$FH$73,0),FJ$4))</f>
        <v/>
      </c>
      <c r="FK13" s="35" t="str" cm="1">
        <f t="array" aca="1" ref="FK13" ca="1">IF($FH$3="Catégorie",IF(SUMIFS('Étape 1 - à remplir'!$F$31:$F$400,'Étape 1 - à remplir'!$C$31:$C$400,$FH13,'Étape 1 - à remplir'!$M$31:$M$400,MASQ2!FK$4)=0,"",SUMIFS('Étape 1 - à remplir'!$F$31:$F$400,'Étape 1 - à remplir'!$C$31:$C$400,$FH13,'Étape 1 - à remplir'!$M$31:$M$400,MASQ2!FK$4)/INDEX('Étape 1 - à remplir'!$C$19:$L$28,MATCH(MASQ2!$FH13,'Étape 1 - à remplir'!$L$19:$L$28,0),4)),INDEX($FI$44:$FT$73,MATCH($FH13,$FH$44:$FH$73,0),FK$4))</f>
        <v/>
      </c>
      <c r="FL13" s="35" t="str" cm="1">
        <f t="array" aca="1" ref="FL13" ca="1">IF($FH$3="Catégorie",IF(SUMIFS('Étape 1 - à remplir'!$F$31:$F$400,'Étape 1 - à remplir'!$C$31:$C$400,$FH13,'Étape 1 - à remplir'!$M$31:$M$400,MASQ2!FL$4)=0,"",SUMIFS('Étape 1 - à remplir'!$F$31:$F$400,'Étape 1 - à remplir'!$C$31:$C$400,$FH13,'Étape 1 - à remplir'!$M$31:$M$400,MASQ2!FL$4)/INDEX('Étape 1 - à remplir'!$C$19:$L$28,MATCH(MASQ2!$FH13,'Étape 1 - à remplir'!$L$19:$L$28,0),4)),INDEX($FI$44:$FT$73,MATCH($FH13,$FH$44:$FH$73,0),FL$4))</f>
        <v/>
      </c>
      <c r="FM13" s="35" t="str" cm="1">
        <f t="array" aca="1" ref="FM13" ca="1">IF($FH$3="Catégorie",IF(SUMIFS('Étape 1 - à remplir'!$F$31:$F$400,'Étape 1 - à remplir'!$C$31:$C$400,$FH13,'Étape 1 - à remplir'!$M$31:$M$400,MASQ2!FM$4)=0,"",SUMIFS('Étape 1 - à remplir'!$F$31:$F$400,'Étape 1 - à remplir'!$C$31:$C$400,$FH13,'Étape 1 - à remplir'!$M$31:$M$400,MASQ2!FM$4)/INDEX('Étape 1 - à remplir'!$C$19:$L$28,MATCH(MASQ2!$FH13,'Étape 1 - à remplir'!$L$19:$L$28,0),4)),INDEX($FI$44:$FT$73,MATCH($FH13,$FH$44:$FH$73,0),FM$4))</f>
        <v/>
      </c>
      <c r="FN13" s="35" t="str" cm="1">
        <f t="array" aca="1" ref="FN13" ca="1">IF($FH$3="Catégorie",IF(SUMIFS('Étape 1 - à remplir'!$F$31:$F$400,'Étape 1 - à remplir'!$C$31:$C$400,$FH13,'Étape 1 - à remplir'!$M$31:$M$400,MASQ2!FN$4)=0,"",SUMIFS('Étape 1 - à remplir'!$F$31:$F$400,'Étape 1 - à remplir'!$C$31:$C$400,$FH13,'Étape 1 - à remplir'!$M$31:$M$400,MASQ2!FN$4)/INDEX('Étape 1 - à remplir'!$C$19:$L$28,MATCH(MASQ2!$FH13,'Étape 1 - à remplir'!$L$19:$L$28,0),4)),INDEX($FI$44:$FT$73,MATCH($FH13,$FH$44:$FH$73,0),FN$4))</f>
        <v/>
      </c>
      <c r="FO13" s="35" t="str" cm="1">
        <f t="array" aca="1" ref="FO13" ca="1">IF($FH$3="Catégorie",IF(SUMIFS('Étape 1 - à remplir'!$F$31:$F$400,'Étape 1 - à remplir'!$C$31:$C$400,$FH13,'Étape 1 - à remplir'!$M$31:$M$400,MASQ2!FO$4)=0,"",SUMIFS('Étape 1 - à remplir'!$F$31:$F$400,'Étape 1 - à remplir'!$C$31:$C$400,$FH13,'Étape 1 - à remplir'!$M$31:$M$400,MASQ2!FO$4)/INDEX('Étape 1 - à remplir'!$C$19:$L$28,MATCH(MASQ2!$FH13,'Étape 1 - à remplir'!$L$19:$L$28,0),4)),INDEX($FI$44:$FT$73,MATCH($FH13,$FH$44:$FH$73,0),FO$4))</f>
        <v/>
      </c>
      <c r="FP13" s="35" t="str" cm="1">
        <f t="array" aca="1" ref="FP13" ca="1">IF($FH$3="Catégorie",IF(SUMIFS('Étape 1 - à remplir'!$F$31:$F$400,'Étape 1 - à remplir'!$C$31:$C$400,$FH13,'Étape 1 - à remplir'!$M$31:$M$400,MASQ2!FP$4)=0,"",SUMIFS('Étape 1 - à remplir'!$F$31:$F$400,'Étape 1 - à remplir'!$C$31:$C$400,$FH13,'Étape 1 - à remplir'!$M$31:$M$400,MASQ2!FP$4)/INDEX('Étape 1 - à remplir'!$C$19:$L$28,MATCH(MASQ2!$FH13,'Étape 1 - à remplir'!$L$19:$L$28,0),4)),INDEX($FI$44:$FT$73,MATCH($FH13,$FH$44:$FH$73,0),FP$4))</f>
        <v/>
      </c>
      <c r="FQ13" s="35" t="str" cm="1">
        <f t="array" aca="1" ref="FQ13" ca="1">IF($FH$3="Catégorie",IF(SUMIFS('Étape 1 - à remplir'!$F$31:$F$400,'Étape 1 - à remplir'!$C$31:$C$400,$FH13,'Étape 1 - à remplir'!$M$31:$M$400,MASQ2!FQ$4)=0,"",SUMIFS('Étape 1 - à remplir'!$F$31:$F$400,'Étape 1 - à remplir'!$C$31:$C$400,$FH13,'Étape 1 - à remplir'!$M$31:$M$400,MASQ2!FQ$4)/INDEX('Étape 1 - à remplir'!$C$19:$L$28,MATCH(MASQ2!$FH13,'Étape 1 - à remplir'!$L$19:$L$28,0),4)),INDEX($FI$44:$FT$73,MATCH($FH13,$FH$44:$FH$73,0),FQ$4))</f>
        <v/>
      </c>
      <c r="FR13" s="35" t="str" cm="1">
        <f t="array" aca="1" ref="FR13" ca="1">IF($FH$3="Catégorie",IF(SUMIFS('Étape 1 - à remplir'!$F$31:$F$400,'Étape 1 - à remplir'!$C$31:$C$400,$FH13,'Étape 1 - à remplir'!$M$31:$M$400,MASQ2!FR$4)=0,"",SUMIFS('Étape 1 - à remplir'!$F$31:$F$400,'Étape 1 - à remplir'!$C$31:$C$400,$FH13,'Étape 1 - à remplir'!$M$31:$M$400,MASQ2!FR$4)/INDEX('Étape 1 - à remplir'!$C$19:$L$28,MATCH(MASQ2!$FH13,'Étape 1 - à remplir'!$L$19:$L$28,0),4)),INDEX($FI$44:$FT$73,MATCH($FH13,$FH$44:$FH$73,0),FR$4))</f>
        <v/>
      </c>
      <c r="FS13" s="35" t="str" cm="1">
        <f t="array" aca="1" ref="FS13" ca="1">IF($FH$3="Catégorie",IF(SUMIFS('Étape 1 - à remplir'!$F$31:$F$400,'Étape 1 - à remplir'!$C$31:$C$400,$FH13,'Étape 1 - à remplir'!$M$31:$M$400,MASQ2!FS$4)=0,"",SUMIFS('Étape 1 - à remplir'!$F$31:$F$400,'Étape 1 - à remplir'!$C$31:$C$400,$FH13,'Étape 1 - à remplir'!$M$31:$M$400,MASQ2!FS$4)/INDEX('Étape 1 - à remplir'!$C$19:$L$28,MATCH(MASQ2!$FH13,'Étape 1 - à remplir'!$L$19:$L$28,0),4)),INDEX($FI$44:$FT$73,MATCH($FH13,$FH$44:$FH$73,0),FS$4))</f>
        <v/>
      </c>
      <c r="FT13" s="35" t="str" cm="1">
        <f t="array" aca="1" ref="FT13" ca="1">IF($FH$3="Catégorie",IF(SUMIFS('Étape 1 - à remplir'!$F$31:$F$400,'Étape 1 - à remplir'!$C$31:$C$400,$FH13,'Étape 1 - à remplir'!$M$31:$M$400,MASQ2!FT$4)=0,"",SUMIFS('Étape 1 - à remplir'!$F$31:$F$400,'Étape 1 - à remplir'!$C$31:$C$400,$FH13,'Étape 1 - à remplir'!$M$31:$M$400,MASQ2!FT$4)/INDEX('Étape 1 - à remplir'!$C$19:$L$28,MATCH(MASQ2!$FH13,'Étape 1 - à remplir'!$L$19:$L$28,0),4)),INDEX($FI$44:$FT$73,MATCH($FH13,$FH$44:$FH$73,0),FT$4))</f>
        <v/>
      </c>
    </row>
    <row r="14" spans="1:176" x14ac:dyDescent="0.3">
      <c r="A14" s="42"/>
      <c r="D14" s="63"/>
      <c r="F14" s="118" t="str">
        <f>IFERROR(IF(H14="","",COUNTIF(H$4:H$23,"&gt;"&amp;H14)+COUNTIF(H$4:H14,H14)),"")</f>
        <v/>
      </c>
      <c r="G14" t="str">
        <f>Données_ATB!CG13</f>
        <v>Omphalite (gros nombril)</v>
      </c>
      <c r="H14" s="76" t="e">
        <f>IF(IF(X$2="Catégorie",IF(X$3="Toutes",SUMIFS('Étape 1 - à remplir'!F$31:F$400,'Étape 1 - à remplir'!D$31:D$400,MASQ2!G14,'Étape 1 - à remplir'!G$31:G$400,"animaux"),SUMIFS('Étape 1 - à remplir'!F$31:F$400,'Étape 1 - à remplir'!D$31:D$400,MASQ2!G14,'Étape 1 - à remplir'!C$31:C$400,X$3)),IF(X$2="Âge",IF(X$3="Tous",SUMIFS('Étape 1 - à remplir'!F$31:F$400,'Étape 1 - à remplir'!D$31:D$400,MASQ2!G14,'Étape 1 - à remplir'!G$31:G$400,"animaux"),SUMIFS('Étape 1 - à remplir'!F$31:F$400,'Étape 1 - à remplir'!D$31:D$400,MASQ2!G14,'Étape 1 - à remplir'!P$31:P$400,X$3)),IF(X$2="Atelier",IF(X$3="Tous",SUMIFS('Étape 1 - à remplir'!F$31:F$400,'Étape 1 - à remplir'!D$31:D$400,MASQ2!G14,'Étape 1 - à remplir'!G$31:G$400,"animaux"),SUMIFS('Étape 1 - à remplir'!F$31:F$400,'Étape 1 - à remplir'!D$31:D$400,MASQ2!G14,'Étape 1 - à remplir'!O$31:O$400,X$3)),IF(X$2="Espèce",IF(X$3="Toutes",SUMIFS('Étape 1 - à remplir'!F$31:F$400,'Étape 1 - à remplir'!D$31:D$400,MASQ2!G14,'Étape 1 - à remplir'!G$31:G$400,"animaux"),SUMIFS('Étape 1 - à remplir'!F$31:F$400,'Étape 1 - à remplir'!D$31:D$400,MASQ2!G14,'Étape 1 - à remplir'!N$31:N$400,X$3))))))=0,NA(),IF(X$2="Catégorie",IF(X$3="Toutes",SUMIFS('Étape 1 - à remplir'!F$31:F$400,'Étape 1 - à remplir'!D$31:D$400,MASQ2!G14,'Étape 1 - à remplir'!G$31:G$400,"animaux"),SUMIFS('Étape 1 - à remplir'!F$31:F$400,'Étape 1 - à remplir'!D$31:D$400,MASQ2!G14,'Étape 1 - à remplir'!C$31:C$400,X$3)),IF(X$2="Âge",IF(X$3="Tous",SUMIFS('Étape 1 - à remplir'!F$31:F$400,'Étape 1 - à remplir'!D$31:D$400,MASQ2!G14,'Étape 1 - à remplir'!G$31:G$400,"animaux"),SUMIFS('Étape 1 - à remplir'!F$31:F$400,'Étape 1 - à remplir'!D$31:D$400,MASQ2!G14,'Étape 1 - à remplir'!P$31:P$400,X$3)),IF(X$2="Atelier",IF(X$3="Tous",SUMIFS('Étape 1 - à remplir'!F$31:F$400,'Étape 1 - à remplir'!D$31:D$400,MASQ2!G14,'Étape 1 - à remplir'!G$31:G$400,"animaux"),SUMIFS('Étape 1 - à remplir'!F$31:F$400,'Étape 1 - à remplir'!D$31:D$400,MASQ2!G14,'Étape 1 - à remplir'!O$31:O$400,X$3)),IF(X$2="Espèce",IF(X$3="Tous",SUMIFS('Étape 1 - à remplir'!F$31:F$400,'Étape 1 - à remplir'!D$31:D$400,MASQ2!G14,'Étape 1 - à remplir'!G$31:G$400,"animaux"),SUMIFS('Étape 1 - à remplir'!F$31:F$400,'Étape 1 - à remplir'!D$31:D$400,MASQ2!G14,'Étape 1 - à remplir'!N$31:N$400,X$3)))))))</f>
        <v>#N/A</v>
      </c>
      <c r="I14" s="118">
        <v>11</v>
      </c>
      <c r="J14" t="e">
        <f t="shared" si="66"/>
        <v>#N/A</v>
      </c>
      <c r="K14" s="76" t="e">
        <f t="shared" si="67"/>
        <v>#N/A</v>
      </c>
      <c r="M14" s="194" t="str">
        <f ca="1">INDEX(Données_ATB!BD:BU,MATCH(MASQ2!O14,Données_ATB!BD:BD,0),18)</f>
        <v/>
      </c>
      <c r="N14" s="14" t="str">
        <f>IFERROR(IF(Q14=0,"",COUNTIF(Q$4:Q$600,"&gt;"&amp;Q14)+COUNTIF(Q$4:Q14,Q14)),"")</f>
        <v/>
      </c>
      <c r="O14" t="str">
        <f>Données_ATB!BD13</f>
        <v>ADJUSOL TMP SULFA LIQUIDE 16,65 MG/ML + 83,35 MG/ML SOLUTION POUR ADMINISTRATION DANS L’EAU DE BOISSON/LAIT</v>
      </c>
      <c r="P14" t="e">
        <f>IF(IF(X$2="Catégorie",IF(X$3="Toutes",SUMIFS('Étape 1 - à remplir'!$F$31:$F$400,'Étape 1 - à remplir'!$E$31:$E$400,MASQ2!O14,'Étape 1 - à remplir'!$G$31:$G$400,"animaux"),SUMIFS('Étape 1 - à remplir'!$F$31:$F$400,'Étape 1 - à remplir'!$E$31:$E$400,MASQ2!O14,'Étape 1 - à remplir'!$C$31:$C$400,X$3)),IF(X$2="Âge",IF(X$3="Tous",SUMIFS('Étape 1 - à remplir'!$F$31:$F$400,'Étape 1 - à remplir'!$E$31:$E$400,MASQ2!O14,'Étape 1 - à remplir'!$G$31:$G$400,"animaux"),SUMIFS('Étape 1 - à remplir'!$F$31:$F$400,'Étape 1 - à remplir'!$E$31:$E$400,MASQ2!O14,'Étape 1 - à remplir'!$P$31:$P$400,X$3)),IF(X$2="Atelier",IF(X$3="Tous",SUMIFS('Étape 1 - à remplir'!$F$31:$F$400,'Étape 1 - à remplir'!$E$31:$E$400,MASQ2!O14,'Étape 1 - à remplir'!$G$31:$G$400,"animaux"),SUMIFS('Étape 1 - à remplir'!$F$31:$F$400,'Étape 1 - à remplir'!$E$31:$E$400,MASQ2!O14,'Étape 1 - à remplir'!$O$31:$O$400,X$3)),IF(X$2="Espèce",IF(X$3="Toutes",SUMIFS('Étape 1 - à remplir'!$F$31:$F$400,'Étape 1 - à remplir'!$E$31:$E$400,MASQ2!O14,'Étape 1 - à remplir'!$G$31:$G$400,"animaux"),SUMIFS('Étape 1 - à remplir'!$F$31:$F$400,'Étape 1 - à remplir'!$E$31:$E$400,MASQ2!O14,'Étape 1 - à remplir'!$N$31:$N$400,X$3))))))=0,NA(),IF(X$2="Catégorie",IF(X$3="Toutes",SUMIFS('Étape 1 - à remplir'!$F$31:$F$400,'Étape 1 - à remplir'!$E$31:$E$400,MASQ2!O14,'Étape 1 - à remplir'!$G$31:$G$400,"animaux"),SUMIFS('Étape 1 - à remplir'!$F$31:$F$400,'Étape 1 - à remplir'!$E$31:$E$400,MASQ2!O14,'Étape 1 - à remplir'!$C$31:$C$400,X$3)),IF(X$2="Âge",IF(X$3="Tous",SUMIFS('Étape 1 - à remplir'!$F$31:$F$400,'Étape 1 - à remplir'!$E$31:$E$400,MASQ2!O14,'Étape 1 - à remplir'!$G$31:$G$400,"animaux"),SUMIFS('Étape 1 - à remplir'!$F$31:$F$400,'Étape 1 - à remplir'!$E$31:$E$400,MASQ2!O14,'Étape 1 - à remplir'!$P$31:$P$400,X$3)),IF(X$2="Atelier",IF(X$3="Tous",SUMIFS('Étape 1 - à remplir'!$F$31:$F$400,'Étape 1 - à remplir'!$E$31:$E$400,MASQ2!O14,'Étape 1 - à remplir'!$G$31:$G$400,"animaux"),SUMIFS('Étape 1 - à remplir'!$F$31:$F$400,'Étape 1 - à remplir'!$E$31:$E$400,MASQ2!O14,'Étape 1 - à remplir'!$O$31:$O$400,X$3)),IF(X$2="Espèce",IF(X$3="Toutes",SUMIFS('Étape 1 - à remplir'!$F$31:$F$400,'Étape 1 - à remplir'!$E$31:$E$400,MASQ2!O14,'Étape 1 - à remplir'!$G$31:$G$400,"animaux"),SUMIFS('Étape 1 - à remplir'!$F$31:$F$400,'Étape 1 - à remplir'!$E$31:$E$400,MASQ2!O14,'Étape 1 - à remplir'!$N$31:$N$400,X$3)))))))</f>
        <v>#N/A</v>
      </c>
      <c r="Q14" s="63">
        <f t="shared" si="62"/>
        <v>0</v>
      </c>
      <c r="R14" t="str">
        <f>Données_ATB!BM13</f>
        <v>Sulfadiazine</v>
      </c>
      <c r="S14" t="str">
        <f>Données_ATB!BN13</f>
        <v>Triméthoprime</v>
      </c>
      <c r="T14" s="63" t="str">
        <f>Données_ATB!BO13</f>
        <v/>
      </c>
      <c r="U14" s="42" t="str">
        <f>Données_ATB!BQ13</f>
        <v>Sulfamides</v>
      </c>
      <c r="V14" t="str">
        <f>Données_ATB!BR13</f>
        <v>Trimethoprime</v>
      </c>
      <c r="W14" s="63" t="str">
        <f>Données_ATB!BS13</f>
        <v/>
      </c>
      <c r="Z14" s="42">
        <v>11</v>
      </c>
      <c r="AA14" t="e">
        <f t="shared" si="32"/>
        <v>#N/A</v>
      </c>
      <c r="AB14" s="63" t="e">
        <f t="shared" si="33"/>
        <v>#N/A</v>
      </c>
      <c r="AD14" s="194" t="str">
        <f>IF(AF14="Colistine","x",IF(INDEX(Données_ATB!CA$3:CB$63,MATCH(AF14,Données_ATB!CA$3:CA$63,0),2)="Fluoroquinolones","x",IF(INDEX(Données_ATB!CA$3:CB$63,MATCH(AF14,Données_ATB!CA$3:CA$63,0),2)="Cephalosporines 3&amp;4G","x","")))</f>
        <v>x</v>
      </c>
      <c r="AE14" s="219" t="str">
        <f>IFERROR(IF(AG14=0,"",COUNTIF(AG$4:AG$64,"&gt;"&amp;AG14)+COUNTIF(AG$4:AG14,AG14)),"")</f>
        <v/>
      </c>
      <c r="AF14" s="42" t="str">
        <f>Données_ATB!CA13</f>
        <v>Cefquinome</v>
      </c>
      <c r="AG14" s="63" t="e">
        <f t="shared" si="34"/>
        <v>#N/A</v>
      </c>
      <c r="AH14" s="42">
        <v>11</v>
      </c>
      <c r="AI14" t="e">
        <f t="shared" si="35"/>
        <v>#N/A</v>
      </c>
      <c r="AJ14" s="63" t="e">
        <f t="shared" si="36"/>
        <v>#N/A</v>
      </c>
      <c r="AL14" s="194" t="str">
        <f t="shared" si="37"/>
        <v/>
      </c>
      <c r="AM14" s="14" t="str">
        <f>IFERROR(IF(AO14=0,"",COUNTIF(AO$4:AO$19,"&gt;"&amp;AO14)+COUNTIF(AO$4:AO14,AO14)),"")</f>
        <v/>
      </c>
      <c r="AN14" t="str">
        <f>Données_ATB!BX13</f>
        <v>Pleuromutilines</v>
      </c>
      <c r="AO14" s="76" t="e">
        <f t="shared" si="3"/>
        <v>#N/A</v>
      </c>
      <c r="AP14">
        <v>11</v>
      </c>
      <c r="AQ14" t="e">
        <f t="shared" si="38"/>
        <v>#N/A</v>
      </c>
      <c r="AR14" s="63" t="e">
        <f t="shared" si="39"/>
        <v>#N/A</v>
      </c>
      <c r="AT14" s="36" t="str">
        <f t="shared" si="63"/>
        <v/>
      </c>
      <c r="AU14" s="36" t="str" cm="1">
        <f t="array" ref="AU14">IF($AT$3="Catégorie",IF(SUMIFS('Étape 1 - à remplir'!$F$31:$F$400,'Étape 1 - à remplir'!$C$31:$C$400,$AT14,'Étape 1 - à remplir'!$M$31:$M$400,MASQ2!AU$4)=0,"",SUMIFS('Étape 1 - à remplir'!$F$31:$F$400,'Étape 1 - à remplir'!$C$31:$C$400,$AT14,'Étape 1 - à remplir'!$M$31:$M$400,MASQ2!AU$4)/INDEX('Étape 1 - à remplir'!$C$19:$L$28,MATCH(MASQ2!$AT14,'Étape 1 - à remplir'!$L$19:$L$28,0),4)),INDEX($AU$44:$BF$73,MATCH($AT14,$AT$44:$AT$73,0),AU$4))</f>
        <v/>
      </c>
      <c r="AV14" s="36" t="str" cm="1">
        <f t="array" aca="1" ref="AV14" ca="1">IF($AT$3="Catégorie",IF(SUMIFS('Étape 1 - à remplir'!$F$31:$F$400,'Étape 1 - à remplir'!$C$31:$C$400,$AT14,'Étape 1 - à remplir'!$M$31:$M$400,MASQ2!AV$4)=0,"",SUMIFS('Étape 1 - à remplir'!$F$31:$F$400,'Étape 1 - à remplir'!$C$31:$C$400,$AT14,'Étape 1 - à remplir'!$M$31:$M$400,MASQ2!AV$4)/INDEX('Étape 1 - à remplir'!$C$19:$L$28,MATCH(MASQ2!$AT14,'Étape 1 - à remplir'!$L$19:$L$28,0),4)),INDEX($AU$44:$BF$73,MATCH($AT14,$AT$44:$AT$73,0),AV$4))</f>
        <v/>
      </c>
      <c r="AW14" s="36" t="str" cm="1">
        <f t="array" aca="1" ref="AW14" ca="1">IF($AT$3="Catégorie",IF(SUMIFS('Étape 1 - à remplir'!$F$31:$F$400,'Étape 1 - à remplir'!$C$31:$C$400,$AT14,'Étape 1 - à remplir'!$M$31:$M$400,MASQ2!AW$4)=0,"",SUMIFS('Étape 1 - à remplir'!$F$31:$F$400,'Étape 1 - à remplir'!$C$31:$C$400,$AT14,'Étape 1 - à remplir'!$M$31:$M$400,MASQ2!AW$4)/INDEX('Étape 1 - à remplir'!$C$19:$L$28,MATCH(MASQ2!$AT14,'Étape 1 - à remplir'!$L$19:$L$28,0),4)),INDEX($AU$44:$BF$73,MATCH($AT14,$AT$44:$AT$73,0),AW$4))</f>
        <v/>
      </c>
      <c r="AX14" s="36" t="str" cm="1">
        <f t="array" aca="1" ref="AX14" ca="1">IF($AT$3="Catégorie",IF(SUMIFS('Étape 1 - à remplir'!$F$31:$F$400,'Étape 1 - à remplir'!$C$31:$C$400,$AT14,'Étape 1 - à remplir'!$M$31:$M$400,MASQ2!AX$4)=0,"",SUMIFS('Étape 1 - à remplir'!$F$31:$F$400,'Étape 1 - à remplir'!$C$31:$C$400,$AT14,'Étape 1 - à remplir'!$M$31:$M$400,MASQ2!AX$4)/INDEX('Étape 1 - à remplir'!$C$19:$L$28,MATCH(MASQ2!$AT14,'Étape 1 - à remplir'!$L$19:$L$28,0),4)),INDEX($AU$44:$BF$73,MATCH($AT14,$AT$44:$AT$73,0),AX$4))</f>
        <v/>
      </c>
      <c r="AY14" s="36" t="str" cm="1">
        <f t="array" aca="1" ref="AY14" ca="1">IF($AT$3="Catégorie",IF(SUMIFS('Étape 1 - à remplir'!$F$31:$F$400,'Étape 1 - à remplir'!$C$31:$C$400,$AT14,'Étape 1 - à remplir'!$M$31:$M$400,MASQ2!AY$4)=0,"",SUMIFS('Étape 1 - à remplir'!$F$31:$F$400,'Étape 1 - à remplir'!$C$31:$C$400,$AT14,'Étape 1 - à remplir'!$M$31:$M$400,MASQ2!AY$4)/INDEX('Étape 1 - à remplir'!$C$19:$L$28,MATCH(MASQ2!$AT14,'Étape 1 - à remplir'!$L$19:$L$28,0),4)),INDEX($AU$44:$BF$73,MATCH($AT14,$AT$44:$AT$73,0),AY$4))</f>
        <v/>
      </c>
      <c r="AZ14" s="36" t="str" cm="1">
        <f t="array" aca="1" ref="AZ14" ca="1">IF($AT$3="Catégorie",IF(SUMIFS('Étape 1 - à remplir'!$F$31:$F$400,'Étape 1 - à remplir'!$C$31:$C$400,$AT14,'Étape 1 - à remplir'!$M$31:$M$400,MASQ2!AZ$4)=0,"",SUMIFS('Étape 1 - à remplir'!$F$31:$F$400,'Étape 1 - à remplir'!$C$31:$C$400,$AT14,'Étape 1 - à remplir'!$M$31:$M$400,MASQ2!AZ$4)/INDEX('Étape 1 - à remplir'!$C$19:$L$28,MATCH(MASQ2!$AT14,'Étape 1 - à remplir'!$L$19:$L$28,0),4)),INDEX($AU$44:$BF$73,MATCH($AT14,$AT$44:$AT$73,0),AZ$4))</f>
        <v/>
      </c>
      <c r="BA14" s="36" t="str" cm="1">
        <f t="array" aca="1" ref="BA14" ca="1">IF($AT$3="Catégorie",IF(SUMIFS('Étape 1 - à remplir'!$F$31:$F$400,'Étape 1 - à remplir'!$C$31:$C$400,$AT14,'Étape 1 - à remplir'!$M$31:$M$400,MASQ2!BA$4)=0,"",SUMIFS('Étape 1 - à remplir'!$F$31:$F$400,'Étape 1 - à remplir'!$C$31:$C$400,$AT14,'Étape 1 - à remplir'!$M$31:$M$400,MASQ2!BA$4)/INDEX('Étape 1 - à remplir'!$C$19:$L$28,MATCH(MASQ2!$AT14,'Étape 1 - à remplir'!$L$19:$L$28,0),4)),INDEX($AU$44:$BF$73,MATCH($AT14,$AT$44:$AT$73,0),BA$4))</f>
        <v/>
      </c>
      <c r="BB14" s="36" t="str" cm="1">
        <f t="array" aca="1" ref="BB14" ca="1">IF($AT$3="Catégorie",IF(SUMIFS('Étape 1 - à remplir'!$F$31:$F$400,'Étape 1 - à remplir'!$C$31:$C$400,$AT14,'Étape 1 - à remplir'!$M$31:$M$400,MASQ2!BB$4)=0,"",SUMIFS('Étape 1 - à remplir'!$F$31:$F$400,'Étape 1 - à remplir'!$C$31:$C$400,$AT14,'Étape 1 - à remplir'!$M$31:$M$400,MASQ2!BB$4)/INDEX('Étape 1 - à remplir'!$C$19:$L$28,MATCH(MASQ2!$AT14,'Étape 1 - à remplir'!$L$19:$L$28,0),4)),INDEX($AU$44:$BF$73,MATCH($AT14,$AT$44:$AT$73,0),BB$4))</f>
        <v/>
      </c>
      <c r="BC14" s="36" t="str" cm="1">
        <f t="array" aca="1" ref="BC14" ca="1">IF($AT$3="Catégorie",IF(SUMIFS('Étape 1 - à remplir'!$F$31:$F$400,'Étape 1 - à remplir'!$C$31:$C$400,$AT14,'Étape 1 - à remplir'!$M$31:$M$400,MASQ2!BC$4)=0,"",SUMIFS('Étape 1 - à remplir'!$F$31:$F$400,'Étape 1 - à remplir'!$C$31:$C$400,$AT14,'Étape 1 - à remplir'!$M$31:$M$400,MASQ2!BC$4)/INDEX('Étape 1 - à remplir'!$C$19:$L$28,MATCH(MASQ2!$AT14,'Étape 1 - à remplir'!$L$19:$L$28,0),4)),INDEX($AU$44:$BF$73,MATCH($AT14,$AT$44:$AT$73,0),BC$4))</f>
        <v/>
      </c>
      <c r="BD14" s="36" t="str" cm="1">
        <f t="array" aca="1" ref="BD14" ca="1">IF($AT$3="Catégorie",IF(SUMIFS('Étape 1 - à remplir'!$F$31:$F$400,'Étape 1 - à remplir'!$C$31:$C$400,$AT14,'Étape 1 - à remplir'!$M$31:$M$400,MASQ2!BD$4)=0,"",SUMIFS('Étape 1 - à remplir'!$F$31:$F$400,'Étape 1 - à remplir'!$C$31:$C$400,$AT14,'Étape 1 - à remplir'!$M$31:$M$400,MASQ2!BD$4)/INDEX('Étape 1 - à remplir'!$C$19:$L$28,MATCH(MASQ2!$AT14,'Étape 1 - à remplir'!$L$19:$L$28,0),4)),INDEX($AU$44:$BF$73,MATCH($AT14,$AT$44:$AT$73,0),BD$4))</f>
        <v/>
      </c>
      <c r="BE14" s="36" t="str" cm="1">
        <f t="array" aca="1" ref="BE14" ca="1">IF($AT$3="Catégorie",IF(SUMIFS('Étape 1 - à remplir'!$F$31:$F$400,'Étape 1 - à remplir'!$C$31:$C$400,$AT14,'Étape 1 - à remplir'!$M$31:$M$400,MASQ2!BE$4)=0,"",SUMIFS('Étape 1 - à remplir'!$F$31:$F$400,'Étape 1 - à remplir'!$C$31:$C$400,$AT14,'Étape 1 - à remplir'!$M$31:$M$400,MASQ2!BE$4)/INDEX('Étape 1 - à remplir'!$C$19:$L$28,MATCH(MASQ2!$AT14,'Étape 1 - à remplir'!$L$19:$L$28,0),4)),INDEX($AU$44:$BF$73,MATCH($AT14,$AT$44:$AT$73,0),BE$4))</f>
        <v/>
      </c>
      <c r="BF14" s="36" t="str" cm="1">
        <f t="array" aca="1" ref="BF14" ca="1">IF($AT$3="Catégorie",IF(SUMIFS('Étape 1 - à remplir'!$F$31:$F$400,'Étape 1 - à remplir'!$C$31:$C$400,$AT14,'Étape 1 - à remplir'!$M$31:$M$400,MASQ2!BF$4)=0,"",SUMIFS('Étape 1 - à remplir'!$F$31:$F$400,'Étape 1 - à remplir'!$C$31:$C$400,$AT14,'Étape 1 - à remplir'!$M$31:$M$400,MASQ2!BF$4)/INDEX('Étape 1 - à remplir'!$C$19:$L$28,MATCH(MASQ2!$AT14,'Étape 1 - à remplir'!$L$19:$L$28,0),4)),INDEX($AU$44:$BF$73,MATCH($AT14,$AT$44:$AT$73,0),BF$4))</f>
        <v/>
      </c>
      <c r="BM14" s="42" t="e">
        <f>IF(BO14="","",COUNTIF(BO$4:BO$23,"&gt;"&amp;BO14)+COUNTIF(BO$4:BO14,BO14))</f>
        <v>#N/A</v>
      </c>
      <c r="BN14" t="str">
        <f t="shared" si="4"/>
        <v>Omphalite (gros nombril)</v>
      </c>
      <c r="BO14" s="76" t="e">
        <f>IF(IF(CE$2="Catégorie",IF(CE$3="Toutes",SUMIFS('Étape 1 - à remplir'!$F$31:$F$400,'Étape 1 - à remplir'!$D$31:$D$400,MASQ2!BN14,'Étape 1 - à remplir'!$G$31:$G$400,"lots"),SUMIFS('Étape 1 - à remplir'!$F$31:$F$400,'Étape 1 - à remplir'!$D$31:$D$400,MASQ2!BN14,'Étape 1 - à remplir'!$C$31:$C$400,CE$3,'Étape 1 - à remplir'!$G$31:$G$400,"lots")),IF(CE$2="Âge",IF(CE$3="Tous",SUMIFS('Étape 1 - à remplir'!$F$31:$F$400,'Étape 1 - à remplir'!$D$31:$D$400,MASQ2!BN14,'Étape 1 - à remplir'!$G$31:$G$400,"lots"),SUMIFS('Étape 1 - à remplir'!$F$31:$F$400,'Étape 1 - à remplir'!$D$31:$D$400,MASQ2!BN14,'Étape 1 - à remplir'!$P$31:$P$400,CE$3,'Étape 1 - à remplir'!$G$31:$G$400,"lots")),IF(CE$2="Atelier",IF(CE$3="Tous",SUMIFS('Étape 1 - à remplir'!$F$31:$F$400,'Étape 1 - à remplir'!$D$31:$D$400,MASQ2!BN14,'Étape 1 - à remplir'!$G$31:$G$400,"lots"),SUMIFS('Étape 1 - à remplir'!$F$31:$F$400,'Étape 1 - à remplir'!$D$31:$D$400,MASQ2!BN14,'Étape 1 - à remplir'!$O$31:$O$400,CE$3,'Étape 1 - à remplir'!$G$31:$G$400,"lots")),IF(CE$2="Espèce",IF(CE$3="Toutes",SUMIFS('Étape 1 - à remplir'!$F$31:$F$400,'Étape 1 - à remplir'!$D$31:$D$400,MASQ2!BN14,'Étape 1 - à remplir'!$G$31:$G$400,"lots"),SUMIFS('Étape 1 - à remplir'!$F$31:$F$400,'Étape 1 - à remplir'!$D$31:$D$400,MASQ2!BN14,'Étape 1 - à remplir'!$N$31:$N$400,CE$3,'Étape 1 - à remplir'!$G$31:$G$400,"lots"))))))=0,NA(),IF(CE$2="Catégorie",IF(CE$3="Toutes",SUMIFS('Étape 1 - à remplir'!$F$31:$F$400,'Étape 1 - à remplir'!$D$31:$D$400,MASQ2!BN14,'Étape 1 - à remplir'!$G$31:$G$400,"lots"),SUMIFS('Étape 1 - à remplir'!$F$31:$F$400,'Étape 1 - à remplir'!$D$31:$D$400,MASQ2!BN14,'Étape 1 - à remplir'!$C$31:$C$400,CE$3,'Étape 1 - à remplir'!$G$31:$G$400,"lots")),IF(CE$2="Âge",IF(CE$3="Tous",SUMIFS('Étape 1 - à remplir'!$F$31:$F$400,'Étape 1 - à remplir'!$D$31:$D$400,MASQ2!BN14,'Étape 1 - à remplir'!$G$31:$G$400,"lots"),SUMIFS('Étape 1 - à remplir'!$F$31:$F$400,'Étape 1 - à remplir'!$D$31:$D$400,MASQ2!BN14,'Étape 1 - à remplir'!$P$31:$P$400,CE$3,'Étape 1 - à remplir'!$G$31:$G$400,"lots")),IF(CE$2="Atelier",IF(CE$3="Tous",SUMIFS('Étape 1 - à remplir'!$F$31:$F$400,'Étape 1 - à remplir'!$D$31:$D$400,MASQ2!BN14,'Étape 1 - à remplir'!$G$31:$G$400,"lots"),SUMIFS('Étape 1 - à remplir'!$F$31:$F$400,'Étape 1 - à remplir'!$D$31:$D$400,MASQ2!BN14,'Étape 1 - à remplir'!$O$31:$O$400,CE$3,'Étape 1 - à remplir'!$G$31:$G$400,"lots")),IF(CE$2="Espèce",IF(CE$3="Toutes",SUMIFS('Étape 1 - à remplir'!$F$31:$F$400,'Étape 1 - à remplir'!$D$31:$D$400,MASQ2!BN14,'Étape 1 - à remplir'!$G$31:$G$400,"lots"),SUMIFS('Étape 1 - à remplir'!$F$31:$F$400,'Étape 1 - à remplir'!$D$31:$D$400,MASQ2!BN14,'Étape 1 - à remplir'!$N$31:$N$400,CE$3,'Étape 1 - à remplir'!$G$31:$G$400,"lots")))))))</f>
        <v>#N/A</v>
      </c>
      <c r="BP14">
        <v>11</v>
      </c>
      <c r="BQ14" t="e">
        <f t="shared" si="40"/>
        <v>#N/A</v>
      </c>
      <c r="BR14" s="63" t="e">
        <f t="shared" si="41"/>
        <v>#N/A</v>
      </c>
      <c r="BT14" s="194" t="str">
        <f t="shared" ca="1" si="5"/>
        <v/>
      </c>
      <c r="BU14" s="219" t="str">
        <f>IFERROR(IF(BX14=0,"",COUNTIF(BX$4:BX$600,"&gt;"&amp;BX14)+COUNTIF(BX$4:BX14,BX14)),"")</f>
        <v/>
      </c>
      <c r="BV14" s="42" t="str">
        <f t="shared" si="6"/>
        <v>ADJUSOL TMP SULFA LIQUIDE 16,65 MG/ML + 83,35 MG/ML SOLUTION POUR ADMINISTRATION DANS L’EAU DE BOISSON/LAIT</v>
      </c>
      <c r="BW14" t="e">
        <f>IF(IF(CE$2="Catégorie",IF(CE$3="Toutes",SUMIFS('Étape 1 - à remplir'!$F$31:$F$400,'Étape 1 - à remplir'!$E$31:$E$400,MASQ2!BV14,'Étape 1 - à remplir'!$G$31:$G$400,"lots"),SUMIFS('Étape 1 - à remplir'!$F$31:$F$400,'Étape 1 - à remplir'!$E$31:$E$400,MASQ2!BV14,'Étape 1 - à remplir'!$C$31:$C$400,CE$3)),IF(CE$2="Âge",IF(CE$3="Tous",SUMIFS('Étape 1 - à remplir'!$F$31:$F$400,'Étape 1 - à remplir'!$E$31:$E$400,MASQ2!BV14,'Étape 1 - à remplir'!$G$31:$G$400,"lots"),SUMIFS('Étape 1 - à remplir'!$F$31:$F$400,'Étape 1 - à remplir'!$E$31:$E$400,MASQ2!BV14,'Étape 1 - à remplir'!$P$31:$P$400,CE$3,'Étape 1 - à remplir'!$G$31:$G$400,"lots")),IF(CE$2="Atelier",IF(CE$3="Tous",SUMIFS('Étape 1 - à remplir'!$F$31:$F$400,'Étape 1 - à remplir'!$E$31:$E$400,MASQ2!BV14,'Étape 1 - à remplir'!$G$31:$G$400,"lots"),SUMIFS('Étape 1 - à remplir'!$F$31:$F$400,'Étape 1 - à remplir'!$E$31:$E$400,MASQ2!BV14,'Étape 1 - à remplir'!$O$31:$O$400,CE$3,'Étape 1 - à remplir'!$G$31:$G$400,"lots")),IF(CE$2="Espèce",IF(CE$3="Toutes",SUMIFS('Étape 1 - à remplir'!$F$31:$F$400,'Étape 1 - à remplir'!$E$31:$E$400,MASQ2!BV14,'Étape 1 - à remplir'!$G$31:$G$400,"lots"),SUMIFS('Étape 1 - à remplir'!$F$31:$F$400,'Étape 1 - à remplir'!$E$31:$E$400,MASQ2!BV14,'Étape 1 - à remplir'!$N$31:$N$400,CE$3,'Étape 1 - à remplir'!$G$31:$G$400,"lots"))))))=0,NA(),IF(CE$2="Catégorie",IF(CE$3="Toutes",SUMIFS('Étape 1 - à remplir'!$F$31:$F$400,'Étape 1 - à remplir'!$E$31:$E$400,MASQ2!BV14,'Étape 1 - à remplir'!$G$31:$G$400,"lots"),SUMIFS('Étape 1 - à remplir'!$F$31:$F$400,'Étape 1 - à remplir'!$E$31:$E$400,MASQ2!BV14,'Étape 1 - à remplir'!$C$31:$C$400,CE$3)),IF(CE$2="Âge",IF(CE$3="Tous",SUMIFS('Étape 1 - à remplir'!$F$31:$F$400,'Étape 1 - à remplir'!$E$31:$E$400,MASQ2!BV14,'Étape 1 - à remplir'!$G$31:$G$400,"lots"),SUMIFS('Étape 1 - à remplir'!$F$31:$F$400,'Étape 1 - à remplir'!$E$31:$E$400,MASQ2!BV14,'Étape 1 - à remplir'!$P$31:$P$400,CE$3,'Étape 1 - à remplir'!$G$31:$G$400,"lots")),IF(CE$2="Atelier",IF(CE$3="Tous",SUMIFS('Étape 1 - à remplir'!$F$31:$F$400,'Étape 1 - à remplir'!$E$31:$E$400,MASQ2!BV14,'Étape 1 - à remplir'!$G$31:$G$400,"lots"),SUMIFS('Étape 1 - à remplir'!$F$31:$F$400,'Étape 1 - à remplir'!$E$31:$E$400,MASQ2!BV14,'Étape 1 - à remplir'!$O$31:$O$400,CE$3,'Étape 1 - à remplir'!$G$31:$G$400,"lots")),IF(CE$2="Espèce",IF(CE$3="Toutes",SUMIFS('Étape 1 - à remplir'!$F$31:$F$400,'Étape 1 - à remplir'!$E$31:$E$400,MASQ2!BV14,'Étape 1 - à remplir'!$G$31:$G$400,"lots"),SUMIFS('Étape 1 - à remplir'!$F$31:$F$400,'Étape 1 - à remplir'!$E$31:$E$400,MASQ2!BV14,'Étape 1 - à remplir'!$N$31:$N$400,CE$3,'Étape 1 - à remplir'!$G$31:$G$400,"lots")))))))</f>
        <v>#N/A</v>
      </c>
      <c r="BX14">
        <f t="shared" si="42"/>
        <v>0</v>
      </c>
      <c r="BY14" t="str">
        <f t="shared" si="7"/>
        <v>Sulfadiazine</v>
      </c>
      <c r="BZ14" t="str">
        <f t="shared" si="8"/>
        <v>Triméthoprime</v>
      </c>
      <c r="CA14" t="str">
        <f t="shared" si="9"/>
        <v/>
      </c>
      <c r="CB14" t="str">
        <f t="shared" si="10"/>
        <v>Sulfamides</v>
      </c>
      <c r="CC14" t="str">
        <f t="shared" si="11"/>
        <v>Trimethoprime</v>
      </c>
      <c r="CD14" s="63" t="str">
        <f t="shared" si="12"/>
        <v/>
      </c>
      <c r="CG14" s="42">
        <v>11</v>
      </c>
      <c r="CH14" s="42" t="e">
        <f t="shared" si="43"/>
        <v>#N/A</v>
      </c>
      <c r="CI14" s="63" t="e">
        <f t="shared" si="44"/>
        <v>#N/A</v>
      </c>
      <c r="CK14" s="194" t="str">
        <f t="shared" si="13"/>
        <v>x</v>
      </c>
      <c r="CL14" s="226" t="str">
        <f>IFERROR(IF(CN14=0,"",COUNTIF(CN$4:CN$64,"&gt;"&amp;CN14)+COUNTIF(CN$4:CN14,CN14)),"")</f>
        <v/>
      </c>
      <c r="CM14" t="str">
        <f t="shared" si="14"/>
        <v>Cefquinome</v>
      </c>
      <c r="CN14" s="76" t="e">
        <f t="shared" si="45"/>
        <v>#N/A</v>
      </c>
      <c r="CO14">
        <v>11</v>
      </c>
      <c r="CP14" t="e">
        <f t="shared" si="46"/>
        <v>#N/A</v>
      </c>
      <c r="CQ14" s="63" t="e">
        <f t="shared" si="47"/>
        <v>#N/A</v>
      </c>
      <c r="CS14" s="194" t="str">
        <f t="shared" si="15"/>
        <v/>
      </c>
      <c r="CT14" s="14" t="str">
        <f>IFERROR(IF(CV14=0,"",COUNTIF(CV$4:CV$19,"&gt;"&amp;CV14)+COUNTIF(CV$4:CV14,CV14)),"")</f>
        <v/>
      </c>
      <c r="CU14" s="230" t="str">
        <f t="shared" si="16"/>
        <v>Pleuromutilines</v>
      </c>
      <c r="CV14" s="76" t="e">
        <f t="shared" si="48"/>
        <v>#N/A</v>
      </c>
      <c r="CW14">
        <v>11</v>
      </c>
      <c r="CX14" t="e">
        <f t="shared" si="49"/>
        <v>#N/A</v>
      </c>
      <c r="CY14" s="63" t="e">
        <f t="shared" si="50"/>
        <v>#N/A</v>
      </c>
      <c r="DA14" s="36" t="str">
        <f t="shared" si="64"/>
        <v/>
      </c>
      <c r="DB14" s="36" t="str" cm="1">
        <f t="array" ref="DB14">IF($DA$3="Catégorie",IF(SUMIFS('Étape 1 - à remplir'!$F$31:$F$400,'Étape 1 - à remplir'!$C$31:$C$400,$DA14,'Étape 1 - à remplir'!$M$31:$M$400,MASQ2!DB$4)=0,"",SUMIFS('Étape 1 - à remplir'!$F$31:$F$400,'Étape 1 - à remplir'!$C$31:$C$400,$DA14,'Étape 1 - à remplir'!$M$31:$M$400,MASQ2!DB$4)/INDEX('Étape 1 - à remplir'!$C$19:$L$28,MATCH(MASQ2!$DA14,'Étape 1 - à remplir'!$L$19:$L$28,0),4)),INDEX($DB$44:$DM$73,MATCH($DA14,$DA$44:$DA$73,0),DB$4))</f>
        <v/>
      </c>
      <c r="DC14" s="36" t="str" cm="1">
        <f t="array" aca="1" ref="DC14" ca="1">IF($DA$3="Catégorie",IF(SUMIFS('Étape 1 - à remplir'!$F$31:$F$400,'Étape 1 - à remplir'!$C$31:$C$400,$DA14,'Étape 1 - à remplir'!$M$31:$M$400,MASQ2!DC$4)=0,"",SUMIFS('Étape 1 - à remplir'!$F$31:$F$400,'Étape 1 - à remplir'!$C$31:$C$400,$DA14,'Étape 1 - à remplir'!$M$31:$M$400,MASQ2!DC$4)/INDEX('Étape 1 - à remplir'!$C$19:$L$28,MATCH(MASQ2!$DA14,'Étape 1 - à remplir'!$L$19:$L$28,0),4)),INDEX($DB$44:$DM$73,MATCH($DA14,$DA$44:$DA$73,0),DC$4))</f>
        <v/>
      </c>
      <c r="DD14" s="36" t="str" cm="1">
        <f t="array" aca="1" ref="DD14" ca="1">IF($DA$3="Catégorie",IF(SUMIFS('Étape 1 - à remplir'!$F$31:$F$400,'Étape 1 - à remplir'!$C$31:$C$400,$DA14,'Étape 1 - à remplir'!$M$31:$M$400,MASQ2!DD$4)=0,"",SUMIFS('Étape 1 - à remplir'!$F$31:$F$400,'Étape 1 - à remplir'!$C$31:$C$400,$DA14,'Étape 1 - à remplir'!$M$31:$M$400,MASQ2!DD$4)/INDEX('Étape 1 - à remplir'!$C$19:$L$28,MATCH(MASQ2!$DA14,'Étape 1 - à remplir'!$L$19:$L$28,0),4)),INDEX($DB$44:$DM$73,MATCH($DA14,$DA$44:$DA$73,0),DD$4))</f>
        <v/>
      </c>
      <c r="DE14" s="36" t="str" cm="1">
        <f t="array" aca="1" ref="DE14" ca="1">IF($DA$3="Catégorie",IF(SUMIFS('Étape 1 - à remplir'!$F$31:$F$400,'Étape 1 - à remplir'!$C$31:$C$400,$DA14,'Étape 1 - à remplir'!$M$31:$M$400,MASQ2!DE$4)=0,"",SUMIFS('Étape 1 - à remplir'!$F$31:$F$400,'Étape 1 - à remplir'!$C$31:$C$400,$DA14,'Étape 1 - à remplir'!$M$31:$M$400,MASQ2!DE$4)/INDEX('Étape 1 - à remplir'!$C$19:$L$28,MATCH(MASQ2!$DA14,'Étape 1 - à remplir'!$L$19:$L$28,0),4)),INDEX($DB$44:$DM$73,MATCH($DA14,$DA$44:$DA$73,0),DE$4))</f>
        <v/>
      </c>
      <c r="DF14" s="36" t="str" cm="1">
        <f t="array" aca="1" ref="DF14" ca="1">IF($DA$3="Catégorie",IF(SUMIFS('Étape 1 - à remplir'!$F$31:$F$400,'Étape 1 - à remplir'!$C$31:$C$400,$DA14,'Étape 1 - à remplir'!$M$31:$M$400,MASQ2!DF$4)=0,"",SUMIFS('Étape 1 - à remplir'!$F$31:$F$400,'Étape 1 - à remplir'!$C$31:$C$400,$DA14,'Étape 1 - à remplir'!$M$31:$M$400,MASQ2!DF$4)/INDEX('Étape 1 - à remplir'!$C$19:$L$28,MATCH(MASQ2!$DA14,'Étape 1 - à remplir'!$L$19:$L$28,0),4)),INDEX($DB$44:$DM$73,MATCH($DA14,$DA$44:$DA$73,0),DF$4))</f>
        <v/>
      </c>
      <c r="DG14" s="36" t="str" cm="1">
        <f t="array" aca="1" ref="DG14" ca="1">IF($DA$3="Catégorie",IF(SUMIFS('Étape 1 - à remplir'!$F$31:$F$400,'Étape 1 - à remplir'!$C$31:$C$400,$DA14,'Étape 1 - à remplir'!$M$31:$M$400,MASQ2!DG$4)=0,"",SUMIFS('Étape 1 - à remplir'!$F$31:$F$400,'Étape 1 - à remplir'!$C$31:$C$400,$DA14,'Étape 1 - à remplir'!$M$31:$M$400,MASQ2!DG$4)/INDEX('Étape 1 - à remplir'!$C$19:$L$28,MATCH(MASQ2!$DA14,'Étape 1 - à remplir'!$L$19:$L$28,0),4)),INDEX($DB$44:$DM$73,MATCH($DA14,$DA$44:$DA$73,0),DG$4))</f>
        <v/>
      </c>
      <c r="DH14" s="36" t="str" cm="1">
        <f t="array" aca="1" ref="DH14" ca="1">IF($DA$3="Catégorie",IF(SUMIFS('Étape 1 - à remplir'!$F$31:$F$400,'Étape 1 - à remplir'!$C$31:$C$400,$DA14,'Étape 1 - à remplir'!$M$31:$M$400,MASQ2!DH$4)=0,"",SUMIFS('Étape 1 - à remplir'!$F$31:$F$400,'Étape 1 - à remplir'!$C$31:$C$400,$DA14,'Étape 1 - à remplir'!$M$31:$M$400,MASQ2!DH$4)/INDEX('Étape 1 - à remplir'!$C$19:$L$28,MATCH(MASQ2!$DA14,'Étape 1 - à remplir'!$L$19:$L$28,0),4)),INDEX($DB$44:$DM$73,MATCH($DA14,$DA$44:$DA$73,0),DH$4))</f>
        <v/>
      </c>
      <c r="DI14" s="36" t="str" cm="1">
        <f t="array" aca="1" ref="DI14" ca="1">IF($DA$3="Catégorie",IF(SUMIFS('Étape 1 - à remplir'!$F$31:$F$400,'Étape 1 - à remplir'!$C$31:$C$400,$DA14,'Étape 1 - à remplir'!$M$31:$M$400,MASQ2!DI$4)=0,"",SUMIFS('Étape 1 - à remplir'!$F$31:$F$400,'Étape 1 - à remplir'!$C$31:$C$400,$DA14,'Étape 1 - à remplir'!$M$31:$M$400,MASQ2!DI$4)/INDEX('Étape 1 - à remplir'!$C$19:$L$28,MATCH(MASQ2!$DA14,'Étape 1 - à remplir'!$L$19:$L$28,0),4)),INDEX($DB$44:$DM$73,MATCH($DA14,$DA$44:$DA$73,0),DI$4))</f>
        <v/>
      </c>
      <c r="DJ14" s="36" t="str" cm="1">
        <f t="array" aca="1" ref="DJ14" ca="1">IF($DA$3="Catégorie",IF(SUMIFS('Étape 1 - à remplir'!$F$31:$F$400,'Étape 1 - à remplir'!$C$31:$C$400,$DA14,'Étape 1 - à remplir'!$M$31:$M$400,MASQ2!DJ$4)=0,"",SUMIFS('Étape 1 - à remplir'!$F$31:$F$400,'Étape 1 - à remplir'!$C$31:$C$400,$DA14,'Étape 1 - à remplir'!$M$31:$M$400,MASQ2!DJ$4)/INDEX('Étape 1 - à remplir'!$C$19:$L$28,MATCH(MASQ2!$DA14,'Étape 1 - à remplir'!$L$19:$L$28,0),4)),INDEX($DB$44:$DM$73,MATCH($DA14,$DA$44:$DA$73,0),DJ$4))</f>
        <v/>
      </c>
      <c r="DK14" s="36" t="str" cm="1">
        <f t="array" aca="1" ref="DK14" ca="1">IF($DA$3="Catégorie",IF(SUMIFS('Étape 1 - à remplir'!$F$31:$F$400,'Étape 1 - à remplir'!$C$31:$C$400,$DA14,'Étape 1 - à remplir'!$M$31:$M$400,MASQ2!DK$4)=0,"",SUMIFS('Étape 1 - à remplir'!$F$31:$F$400,'Étape 1 - à remplir'!$C$31:$C$400,$DA14,'Étape 1 - à remplir'!$M$31:$M$400,MASQ2!DK$4)/INDEX('Étape 1 - à remplir'!$C$19:$L$28,MATCH(MASQ2!$DA14,'Étape 1 - à remplir'!$L$19:$L$28,0),4)),INDEX($DB$44:$DM$73,MATCH($DA14,$DA$44:$DA$73,0),DK$4))</f>
        <v/>
      </c>
      <c r="DL14" s="36" t="str" cm="1">
        <f t="array" aca="1" ref="DL14" ca="1">IF($DA$3="Catégorie",IF(SUMIFS('Étape 1 - à remplir'!$F$31:$F$400,'Étape 1 - à remplir'!$C$31:$C$400,$DA14,'Étape 1 - à remplir'!$M$31:$M$400,MASQ2!DL$4)=0,"",SUMIFS('Étape 1 - à remplir'!$F$31:$F$400,'Étape 1 - à remplir'!$C$31:$C$400,$DA14,'Étape 1 - à remplir'!$M$31:$M$400,MASQ2!DL$4)/INDEX('Étape 1 - à remplir'!$C$19:$L$28,MATCH(MASQ2!$DA14,'Étape 1 - à remplir'!$L$19:$L$28,0),4)),INDEX($DB$44:$DM$73,MATCH($DA14,$DA$44:$DA$73,0),DL$4))</f>
        <v/>
      </c>
      <c r="DM14" s="36" t="str" cm="1">
        <f t="array" aca="1" ref="DM14" ca="1">IF($DA$3="Catégorie",IF(SUMIFS('Étape 1 - à remplir'!$F$31:$F$400,'Étape 1 - à remplir'!$C$31:$C$400,$DA14,'Étape 1 - à remplir'!$M$31:$M$400,MASQ2!DM$4)=0,"",SUMIFS('Étape 1 - à remplir'!$F$31:$F$400,'Étape 1 - à remplir'!$C$31:$C$400,$DA14,'Étape 1 - à remplir'!$M$31:$M$400,MASQ2!DM$4)/INDEX('Étape 1 - à remplir'!$C$19:$L$28,MATCH(MASQ2!$DA14,'Étape 1 - à remplir'!$L$19:$L$28,0),4)),INDEX($DB$44:$DM$73,MATCH($DA14,$DA$44:$DA$73,0),DM$4))</f>
        <v/>
      </c>
      <c r="DO14" s="42"/>
      <c r="DR14" s="63"/>
      <c r="DT14" s="42" t="e">
        <f>IF(DV14="","",COUNTIF(DV$4:DV$23,"&gt;"&amp;DV14)+COUNTIF(DV$4:DV14,DV14))</f>
        <v>#N/A</v>
      </c>
      <c r="DU14" t="str">
        <f t="shared" si="17"/>
        <v>Omphalite (gros nombril)</v>
      </c>
      <c r="DV14" s="63" t="e">
        <f>IF(IF(EL$2="Catégorie",IF(EL$3="Toutes",SUMIFS('Étape 1 - à remplir'!$F$31:$F$400,'Étape 1 - à remplir'!$D$31:$D$400,MASQ2!DU14,'Étape 1 - à remplir'!$G$31:$G$400,"kg"),SUMIFS('Étape 1 - à remplir'!$F$31:$F$400,'Étape 1 - à remplir'!$D$31:$D$400,MASQ2!DU14,'Étape 1 - à remplir'!$C$31:$C$400,EL$3,'Étape 1 - à remplir'!$G$31:$G$400,"kg")),IF(EL$2="Âge",IF(EL$3="Tous",SUMIFS('Étape 1 - à remplir'!$F$31:$F$400,'Étape 1 - à remplir'!$D$31:$D$400,MASQ2!DU14,'Étape 1 - à remplir'!$G$31:$G$400,"kg"),SUMIFS('Étape 1 - à remplir'!$F$31:$F$400,'Étape 1 - à remplir'!$D$31:$D$400,MASQ2!DU14,'Étape 1 - à remplir'!$P$31:$P$400,EL$3,'Étape 1 - à remplir'!$G$31:$G$400,"kg")),IF(EL$2="Atelier",IF(EL$3="Tous",SUMIFS('Étape 1 - à remplir'!$F$31:$F$400,'Étape 1 - à remplir'!$D$31:$D$400,MASQ2!DU14,'Étape 1 - à remplir'!$G$31:$G$400,"kg"),SUMIFS('Étape 1 - à remplir'!$F$31:$F$400,'Étape 1 - à remplir'!$D$31:$D$400,MASQ2!DU14,'Étape 1 - à remplir'!$O$31:$O$400,EL$3,'Étape 1 - à remplir'!$G$31:$G$400,"kg")),IF(EL$2="Espèce",IF(EL$3="Toutes",SUMIFS('Étape 1 - à remplir'!$F$31:$F$400,'Étape 1 - à remplir'!$D$31:$D$400,MASQ2!DU14,'Étape 1 - à remplir'!$G$31:$G$400,"kg"),SUMIFS('Étape 1 - à remplir'!$F$31:$F$400,'Étape 1 - à remplir'!$D$31:$D$400,MASQ2!DU14,'Étape 1 - à remplir'!$N$31:$N$400,EL$3,'Étape 1 - à remplir'!$G$31:$G$400,"kg"))))))=0,NA(),IF(EL$2="Catégorie",IF(EL$3="Toutes",SUMIFS('Étape 1 - à remplir'!$F$31:$F$400,'Étape 1 - à remplir'!$D$31:$D$400,MASQ2!DU14,'Étape 1 - à remplir'!$G$31:$G$400,"kg"),SUMIFS('Étape 1 - à remplir'!$F$31:$F$400,'Étape 1 - à remplir'!$D$31:$D$400,MASQ2!DU14,'Étape 1 - à remplir'!$C$31:$C$400,EL$3,'Étape 1 - à remplir'!$G$31:$G$400,"kg")),IF(EL$2="Âge",IF(EL$3="Tous",SUMIFS('Étape 1 - à remplir'!$F$31:$F$400,'Étape 1 - à remplir'!$D$31:$D$400,MASQ2!DU14,'Étape 1 - à remplir'!$G$31:$G$400,"kg"),SUMIFS('Étape 1 - à remplir'!$F$31:$F$400,'Étape 1 - à remplir'!$D$31:$D$400,MASQ2!DU14,'Étape 1 - à remplir'!$P$31:$P$400,EL$3,'Étape 1 - à remplir'!$G$31:$G$400,"kg")),IF(EL$2="Atelier",IF(EL$3="Tous",SUMIFS('Étape 1 - à remplir'!$F$31:$F$400,'Étape 1 - à remplir'!$D$31:$D$400,MASQ2!DU14,'Étape 1 - à remplir'!$G$31:$G$400,"kg"),SUMIFS('Étape 1 - à remplir'!$F$31:$F$400,'Étape 1 - à remplir'!$D$31:$D$400,MASQ2!DU14,'Étape 1 - à remplir'!$O$31:$O$400,EL$3,'Étape 1 - à remplir'!$G$31:$G$400,"kg")),IF(EL$2="Espèce",IF(EL$3="Toutes",SUMIFS('Étape 1 - à remplir'!$F$31:$F$400,'Étape 1 - à remplir'!$D$31:$D$400,MASQ2!DU14,'Étape 1 - à remplir'!$G$31:$G$400,"kg"),SUMIFS('Étape 1 - à remplir'!$F$31:$F$400,'Étape 1 - à remplir'!$D$31:$D$400,MASQ2!DU14,'Étape 1 - à remplir'!$N$31:$N$400,EL$3,'Étape 1 - à remplir'!$G$31:$G$400,"kg")))))))</f>
        <v>#N/A</v>
      </c>
      <c r="DW14" s="42">
        <v>11</v>
      </c>
      <c r="DX14" t="e">
        <f t="shared" si="51"/>
        <v>#N/A</v>
      </c>
      <c r="DY14" s="63" t="e">
        <f t="shared" si="52"/>
        <v>#N/A</v>
      </c>
      <c r="EA14" s="194" t="str">
        <f t="shared" ca="1" si="18"/>
        <v/>
      </c>
      <c r="EB14" s="226" t="str">
        <f>IFERROR(IF(ED14=0,"",COUNTIF(ED$4:ED$600,"&gt;"&amp;ED14)+COUNTIF(ED$4:ED14,ED14)),"")</f>
        <v/>
      </c>
      <c r="EC14" t="str">
        <f t="shared" si="19"/>
        <v>ADJUSOL TMP SULFA LIQUIDE 16,65 MG/ML + 83,35 MG/ML SOLUTION POUR ADMINISTRATION DANS L’EAU DE BOISSON/LAIT</v>
      </c>
      <c r="ED14" t="e">
        <f>IF(IF(EL$2="Catégorie",IF(EL$3="Toutes",SUMIFS('Étape 1 - à remplir'!$F$31:$F$400,'Étape 1 - à remplir'!$E$31:$E$400,MASQ2!EC14,'Étape 1 - à remplir'!$G$31:$G$400,"kg"),SUMIFS('Étape 1 - à remplir'!$F$31:$F$400,'Étape 1 - à remplir'!$E$31:$E$400,MASQ2!EC14,'Étape 1 - à remplir'!$C$31:$C$400,EL$3)),IF(EL$2="Âge",IF(EL$3="Tous",SUMIFS('Étape 1 - à remplir'!$F$31:$F$400,'Étape 1 - à remplir'!$E$31:$E$400,MASQ2!EC14,'Étape 1 - à remplir'!$G$31:$G$400,"kg"),SUMIFS('Étape 1 - à remplir'!$F$31:$F$400,'Étape 1 - à remplir'!$E$31:$E$400,MASQ2!EC14,'Étape 1 - à remplir'!$P$31:$P$400,EL$3,'Étape 1 - à remplir'!$G$31:$G$400,"kg")),IF(EL$2="Atelier",IF(EL$3="Tous",SUMIFS('Étape 1 - à remplir'!$F$31:$F$400,'Étape 1 - à remplir'!$E$31:$E$400,MASQ2!EC14,'Étape 1 - à remplir'!$G$31:$G$400,"kg"),SUMIFS('Étape 1 - à remplir'!$F$31:$F$400,'Étape 1 - à remplir'!$E$31:$E$400,MASQ2!EC14,'Étape 1 - à remplir'!$O$31:$O$400,EL$3,'Étape 1 - à remplir'!$G$31:$G$400,"kg")),IF(EL$2="Espèce",IF(EL$3="Toutes",SUMIFS('Étape 1 - à remplir'!$F$31:$F$400,'Étape 1 - à remplir'!$E$31:$E$400,MASQ2!EC14,'Étape 1 - à remplir'!$G$31:$G$400,"kg"),SUMIFS('Étape 1 - à remplir'!$F$31:$F$400,'Étape 1 - à remplir'!$E$31:$E$400,MASQ2!EC14,'Étape 1 - à remplir'!$N$31:$N$400,EL$3,'Étape 1 - à remplir'!$G$31:$G$400,"kg"))))))=0,NA(),IF(EL$2="Catégorie",IF(EL$3="Toutes",SUMIFS('Étape 1 - à remplir'!$F$31:$F$400,'Étape 1 - à remplir'!$E$31:$E$400,MASQ2!EC14,'Étape 1 - à remplir'!$G$31:$G$400,"kg"),SUMIFS('Étape 1 - à remplir'!$F$31:$F$400,'Étape 1 - à remplir'!$E$31:$E$400,MASQ2!EC14,'Étape 1 - à remplir'!$C$31:$C$400,EL$3)),IF(EL$2="Âge",IF(EL$3="Tous",SUMIFS('Étape 1 - à remplir'!$F$31:$F$400,'Étape 1 - à remplir'!$E$31:$E$400,MASQ2!EC14,'Étape 1 - à remplir'!$G$31:$G$400,"kg"),SUMIFS('Étape 1 - à remplir'!$F$31:$F$400,'Étape 1 - à remplir'!$E$31:$E$400,MASQ2!EC14,'Étape 1 - à remplir'!$P$31:$P$400,EL$3,'Étape 1 - à remplir'!$G$31:$G$400,"kg")),IF(EL$2="Atelier",IF(EL$3="Tous",SUMIFS('Étape 1 - à remplir'!$F$31:$F$400,'Étape 1 - à remplir'!$E$31:$E$400,MASQ2!EC14,'Étape 1 - à remplir'!$G$31:$G$400,"kg"),SUMIFS('Étape 1 - à remplir'!$F$31:$F$400,'Étape 1 - à remplir'!$E$31:$E$400,MASQ2!EC14,'Étape 1 - à remplir'!$O$31:$O$400,EL$3,'Étape 1 - à remplir'!$G$31:$G$400,"kg")),IF(EL$2="Espèce",IF(EL$3="Toutes",SUMIFS('Étape 1 - à remplir'!$F$31:$F$400,'Étape 1 - à remplir'!$E$31:$E$400,MASQ2!EC14,'Étape 1 - à remplir'!$G$31:$G$400,"kg"),SUMIFS('Étape 1 - à remplir'!$F$31:$F$400,'Étape 1 - à remplir'!$E$31:$E$400,MASQ2!EC14,'Étape 1 - à remplir'!$N$31:$N$400,EL$3,'Étape 1 - à remplir'!$G$31:$G$400,"kg")))))))</f>
        <v>#N/A</v>
      </c>
      <c r="EE14" s="76">
        <f t="shared" si="53"/>
        <v>0</v>
      </c>
      <c r="EF14" t="str">
        <f t="shared" si="20"/>
        <v>Sulfadiazine</v>
      </c>
      <c r="EG14" t="str">
        <f t="shared" si="21"/>
        <v>Triméthoprime</v>
      </c>
      <c r="EH14" t="str">
        <f t="shared" si="22"/>
        <v/>
      </c>
      <c r="EI14" t="str">
        <f t="shared" si="23"/>
        <v>Sulfamides</v>
      </c>
      <c r="EJ14" t="str">
        <f t="shared" si="24"/>
        <v>Trimethoprime</v>
      </c>
      <c r="EK14" s="63" t="str">
        <f t="shared" si="25"/>
        <v/>
      </c>
      <c r="EN14" s="42">
        <v>11</v>
      </c>
      <c r="EO14" t="e">
        <f t="shared" si="68"/>
        <v>#N/A</v>
      </c>
      <c r="EP14" s="63" t="e">
        <f t="shared" si="69"/>
        <v>#N/A</v>
      </c>
      <c r="ER14" s="194" t="str">
        <f t="shared" si="26"/>
        <v>x</v>
      </c>
      <c r="ES14" s="226" t="str">
        <f>IFERROR(IF(EU14=0,"",COUNTIF(EU$4:EU$64,"&gt;"&amp;EU14)+COUNTIF(EU$4:EU14,EU14)),"")</f>
        <v/>
      </c>
      <c r="ET14" t="str">
        <f t="shared" si="27"/>
        <v>Cefquinome</v>
      </c>
      <c r="EU14" s="76" t="e">
        <f t="shared" si="56"/>
        <v>#N/A</v>
      </c>
      <c r="EV14">
        <v>11</v>
      </c>
      <c r="EW14" t="e">
        <f t="shared" si="57"/>
        <v>#N/A</v>
      </c>
      <c r="EX14" s="63" t="e">
        <f t="shared" si="58"/>
        <v>#N/A</v>
      </c>
      <c r="EZ14" s="194" t="str">
        <f t="shared" si="28"/>
        <v/>
      </c>
      <c r="FA14" s="226" t="str">
        <f>IFERROR(IF(FC14=0,"",COUNTIF(FC$4:FC$19,"&gt;"&amp;FC14)+COUNTIF(FC$4:FC14,FC14)),"")</f>
        <v/>
      </c>
      <c r="FB14" t="str">
        <f t="shared" si="29"/>
        <v>Pleuromutilines</v>
      </c>
      <c r="FC14" s="76" t="e">
        <f t="shared" si="59"/>
        <v>#N/A</v>
      </c>
      <c r="FD14">
        <v>11</v>
      </c>
      <c r="FE14" t="e">
        <f t="shared" si="60"/>
        <v>#N/A</v>
      </c>
      <c r="FF14" s="63" t="e">
        <f t="shared" si="61"/>
        <v>#N/A</v>
      </c>
      <c r="FH14" s="36" t="str">
        <f t="shared" si="65"/>
        <v/>
      </c>
      <c r="FI14" s="35" t="str" cm="1">
        <f t="array" ref="FI14">IF($FH$3="Catégorie",IF(SUMIFS('Étape 1 - à remplir'!$F$31:$F$400,'Étape 1 - à remplir'!$C$31:$C$400,$FH14,'Étape 1 - à remplir'!$M$31:$M$400,MASQ2!FI$4)=0,"",SUMIFS('Étape 1 - à remplir'!$F$31:$F$400,'Étape 1 - à remplir'!$C$31:$C$400,$FH14,'Étape 1 - à remplir'!$M$31:$M$400,MASQ2!FI$4)/INDEX('Étape 1 - à remplir'!$C$19:$L$28,MATCH(MASQ2!$FH14,'Étape 1 - à remplir'!$L$19:$L$28,0),4)),INDEX($FI$44:$FT$73,MATCH($FH14,$FH$44:$FH$73,0),FI$4))</f>
        <v/>
      </c>
      <c r="FJ14" s="35" t="str" cm="1">
        <f t="array" aca="1" ref="FJ14" ca="1">IF($FH$3="Catégorie",IF(SUMIFS('Étape 1 - à remplir'!$F$31:$F$400,'Étape 1 - à remplir'!$C$31:$C$400,$FH14,'Étape 1 - à remplir'!$M$31:$M$400,MASQ2!FJ$4)=0,"",SUMIFS('Étape 1 - à remplir'!$F$31:$F$400,'Étape 1 - à remplir'!$C$31:$C$400,$FH14,'Étape 1 - à remplir'!$M$31:$M$400,MASQ2!FJ$4)/INDEX('Étape 1 - à remplir'!$C$19:$L$28,MATCH(MASQ2!$FH14,'Étape 1 - à remplir'!$L$19:$L$28,0),4)),INDEX($FI$44:$FT$73,MATCH($FH14,$FH$44:$FH$73,0),FJ$4))</f>
        <v/>
      </c>
      <c r="FK14" s="35" t="str" cm="1">
        <f t="array" aca="1" ref="FK14" ca="1">IF($FH$3="Catégorie",IF(SUMIFS('Étape 1 - à remplir'!$F$31:$F$400,'Étape 1 - à remplir'!$C$31:$C$400,$FH14,'Étape 1 - à remplir'!$M$31:$M$400,MASQ2!FK$4)=0,"",SUMIFS('Étape 1 - à remplir'!$F$31:$F$400,'Étape 1 - à remplir'!$C$31:$C$400,$FH14,'Étape 1 - à remplir'!$M$31:$M$400,MASQ2!FK$4)/INDEX('Étape 1 - à remplir'!$C$19:$L$28,MATCH(MASQ2!$FH14,'Étape 1 - à remplir'!$L$19:$L$28,0),4)),INDEX($FI$44:$FT$73,MATCH($FH14,$FH$44:$FH$73,0),FK$4))</f>
        <v/>
      </c>
      <c r="FL14" s="35" t="str" cm="1">
        <f t="array" aca="1" ref="FL14" ca="1">IF($FH$3="Catégorie",IF(SUMIFS('Étape 1 - à remplir'!$F$31:$F$400,'Étape 1 - à remplir'!$C$31:$C$400,$FH14,'Étape 1 - à remplir'!$M$31:$M$400,MASQ2!FL$4)=0,"",SUMIFS('Étape 1 - à remplir'!$F$31:$F$400,'Étape 1 - à remplir'!$C$31:$C$400,$FH14,'Étape 1 - à remplir'!$M$31:$M$400,MASQ2!FL$4)/INDEX('Étape 1 - à remplir'!$C$19:$L$28,MATCH(MASQ2!$FH14,'Étape 1 - à remplir'!$L$19:$L$28,0),4)),INDEX($FI$44:$FT$73,MATCH($FH14,$FH$44:$FH$73,0),FL$4))</f>
        <v/>
      </c>
      <c r="FM14" s="35" t="str" cm="1">
        <f t="array" aca="1" ref="FM14" ca="1">IF($FH$3="Catégorie",IF(SUMIFS('Étape 1 - à remplir'!$F$31:$F$400,'Étape 1 - à remplir'!$C$31:$C$400,$FH14,'Étape 1 - à remplir'!$M$31:$M$400,MASQ2!FM$4)=0,"",SUMIFS('Étape 1 - à remplir'!$F$31:$F$400,'Étape 1 - à remplir'!$C$31:$C$400,$FH14,'Étape 1 - à remplir'!$M$31:$M$400,MASQ2!FM$4)/INDEX('Étape 1 - à remplir'!$C$19:$L$28,MATCH(MASQ2!$FH14,'Étape 1 - à remplir'!$L$19:$L$28,0),4)),INDEX($FI$44:$FT$73,MATCH($FH14,$FH$44:$FH$73,0),FM$4))</f>
        <v/>
      </c>
      <c r="FN14" s="35" t="str" cm="1">
        <f t="array" aca="1" ref="FN14" ca="1">IF($FH$3="Catégorie",IF(SUMIFS('Étape 1 - à remplir'!$F$31:$F$400,'Étape 1 - à remplir'!$C$31:$C$400,$FH14,'Étape 1 - à remplir'!$M$31:$M$400,MASQ2!FN$4)=0,"",SUMIFS('Étape 1 - à remplir'!$F$31:$F$400,'Étape 1 - à remplir'!$C$31:$C$400,$FH14,'Étape 1 - à remplir'!$M$31:$M$400,MASQ2!FN$4)/INDEX('Étape 1 - à remplir'!$C$19:$L$28,MATCH(MASQ2!$FH14,'Étape 1 - à remplir'!$L$19:$L$28,0),4)),INDEX($FI$44:$FT$73,MATCH($FH14,$FH$44:$FH$73,0),FN$4))</f>
        <v/>
      </c>
      <c r="FO14" s="35" t="str" cm="1">
        <f t="array" aca="1" ref="FO14" ca="1">IF($FH$3="Catégorie",IF(SUMIFS('Étape 1 - à remplir'!$F$31:$F$400,'Étape 1 - à remplir'!$C$31:$C$400,$FH14,'Étape 1 - à remplir'!$M$31:$M$400,MASQ2!FO$4)=0,"",SUMIFS('Étape 1 - à remplir'!$F$31:$F$400,'Étape 1 - à remplir'!$C$31:$C$400,$FH14,'Étape 1 - à remplir'!$M$31:$M$400,MASQ2!FO$4)/INDEX('Étape 1 - à remplir'!$C$19:$L$28,MATCH(MASQ2!$FH14,'Étape 1 - à remplir'!$L$19:$L$28,0),4)),INDEX($FI$44:$FT$73,MATCH($FH14,$FH$44:$FH$73,0),FO$4))</f>
        <v/>
      </c>
      <c r="FP14" s="35" t="str" cm="1">
        <f t="array" aca="1" ref="FP14" ca="1">IF($FH$3="Catégorie",IF(SUMIFS('Étape 1 - à remplir'!$F$31:$F$400,'Étape 1 - à remplir'!$C$31:$C$400,$FH14,'Étape 1 - à remplir'!$M$31:$M$400,MASQ2!FP$4)=0,"",SUMIFS('Étape 1 - à remplir'!$F$31:$F$400,'Étape 1 - à remplir'!$C$31:$C$400,$FH14,'Étape 1 - à remplir'!$M$31:$M$400,MASQ2!FP$4)/INDEX('Étape 1 - à remplir'!$C$19:$L$28,MATCH(MASQ2!$FH14,'Étape 1 - à remplir'!$L$19:$L$28,0),4)),INDEX($FI$44:$FT$73,MATCH($FH14,$FH$44:$FH$73,0),FP$4))</f>
        <v/>
      </c>
      <c r="FQ14" s="35" t="str" cm="1">
        <f t="array" aca="1" ref="FQ14" ca="1">IF($FH$3="Catégorie",IF(SUMIFS('Étape 1 - à remplir'!$F$31:$F$400,'Étape 1 - à remplir'!$C$31:$C$400,$FH14,'Étape 1 - à remplir'!$M$31:$M$400,MASQ2!FQ$4)=0,"",SUMIFS('Étape 1 - à remplir'!$F$31:$F$400,'Étape 1 - à remplir'!$C$31:$C$400,$FH14,'Étape 1 - à remplir'!$M$31:$M$400,MASQ2!FQ$4)/INDEX('Étape 1 - à remplir'!$C$19:$L$28,MATCH(MASQ2!$FH14,'Étape 1 - à remplir'!$L$19:$L$28,0),4)),INDEX($FI$44:$FT$73,MATCH($FH14,$FH$44:$FH$73,0),FQ$4))</f>
        <v/>
      </c>
      <c r="FR14" s="35" t="str" cm="1">
        <f t="array" aca="1" ref="FR14" ca="1">IF($FH$3="Catégorie",IF(SUMIFS('Étape 1 - à remplir'!$F$31:$F$400,'Étape 1 - à remplir'!$C$31:$C$400,$FH14,'Étape 1 - à remplir'!$M$31:$M$400,MASQ2!FR$4)=0,"",SUMIFS('Étape 1 - à remplir'!$F$31:$F$400,'Étape 1 - à remplir'!$C$31:$C$400,$FH14,'Étape 1 - à remplir'!$M$31:$M$400,MASQ2!FR$4)/INDEX('Étape 1 - à remplir'!$C$19:$L$28,MATCH(MASQ2!$FH14,'Étape 1 - à remplir'!$L$19:$L$28,0),4)),INDEX($FI$44:$FT$73,MATCH($FH14,$FH$44:$FH$73,0),FR$4))</f>
        <v/>
      </c>
      <c r="FS14" s="35" t="str" cm="1">
        <f t="array" aca="1" ref="FS14" ca="1">IF($FH$3="Catégorie",IF(SUMIFS('Étape 1 - à remplir'!$F$31:$F$400,'Étape 1 - à remplir'!$C$31:$C$400,$FH14,'Étape 1 - à remplir'!$M$31:$M$400,MASQ2!FS$4)=0,"",SUMIFS('Étape 1 - à remplir'!$F$31:$F$400,'Étape 1 - à remplir'!$C$31:$C$400,$FH14,'Étape 1 - à remplir'!$M$31:$M$400,MASQ2!FS$4)/INDEX('Étape 1 - à remplir'!$C$19:$L$28,MATCH(MASQ2!$FH14,'Étape 1 - à remplir'!$L$19:$L$28,0),4)),INDEX($FI$44:$FT$73,MATCH($FH14,$FH$44:$FH$73,0),FS$4))</f>
        <v/>
      </c>
      <c r="FT14" s="35" t="str" cm="1">
        <f t="array" aca="1" ref="FT14" ca="1">IF($FH$3="Catégorie",IF(SUMIFS('Étape 1 - à remplir'!$F$31:$F$400,'Étape 1 - à remplir'!$C$31:$C$400,$FH14,'Étape 1 - à remplir'!$M$31:$M$400,MASQ2!FT$4)=0,"",SUMIFS('Étape 1 - à remplir'!$F$31:$F$400,'Étape 1 - à remplir'!$C$31:$C$400,$FH14,'Étape 1 - à remplir'!$M$31:$M$400,MASQ2!FT$4)/INDEX('Étape 1 - à remplir'!$C$19:$L$28,MATCH(MASQ2!$FH14,'Étape 1 - à remplir'!$L$19:$L$28,0),4)),INDEX($FI$44:$FT$73,MATCH($FH14,$FH$44:$FH$73,0),FT$4))</f>
        <v/>
      </c>
    </row>
    <row r="15" spans="1:176" ht="15" thickBot="1" x14ac:dyDescent="0.35">
      <c r="A15" s="334" t="s">
        <v>564</v>
      </c>
      <c r="B15" s="335"/>
      <c r="C15" s="335"/>
      <c r="D15" s="336"/>
      <c r="F15" s="118" t="str">
        <f>IFERROR(IF(H15="","",COUNTIF(H$4:H$23,"&gt;"&amp;H15)+COUNTIF(H$4:H15,H15)),"")</f>
        <v/>
      </c>
      <c r="G15" t="str">
        <f>Données_ATB!CG14</f>
        <v>Opération</v>
      </c>
      <c r="H15" s="76" t="e">
        <f>IF(IF(X$2="Catégorie",IF(X$3="Toutes",SUMIFS('Étape 1 - à remplir'!F$31:F$400,'Étape 1 - à remplir'!D$31:D$400,MASQ2!G15,'Étape 1 - à remplir'!G$31:G$400,"animaux"),SUMIFS('Étape 1 - à remplir'!F$31:F$400,'Étape 1 - à remplir'!D$31:D$400,MASQ2!G15,'Étape 1 - à remplir'!C$31:C$400,X$3)),IF(X$2="Âge",IF(X$3="Tous",SUMIFS('Étape 1 - à remplir'!F$31:F$400,'Étape 1 - à remplir'!D$31:D$400,MASQ2!G15,'Étape 1 - à remplir'!G$31:G$400,"animaux"),SUMIFS('Étape 1 - à remplir'!F$31:F$400,'Étape 1 - à remplir'!D$31:D$400,MASQ2!G15,'Étape 1 - à remplir'!P$31:P$400,X$3)),IF(X$2="Atelier",IF(X$3="Tous",SUMIFS('Étape 1 - à remplir'!F$31:F$400,'Étape 1 - à remplir'!D$31:D$400,MASQ2!G15,'Étape 1 - à remplir'!G$31:G$400,"animaux"),SUMIFS('Étape 1 - à remplir'!F$31:F$400,'Étape 1 - à remplir'!D$31:D$400,MASQ2!G15,'Étape 1 - à remplir'!O$31:O$400,X$3)),IF(X$2="Espèce",IF(X$3="Toutes",SUMIFS('Étape 1 - à remplir'!F$31:F$400,'Étape 1 - à remplir'!D$31:D$400,MASQ2!G15,'Étape 1 - à remplir'!G$31:G$400,"animaux"),SUMIFS('Étape 1 - à remplir'!F$31:F$400,'Étape 1 - à remplir'!D$31:D$400,MASQ2!G15,'Étape 1 - à remplir'!N$31:N$400,X$3))))))=0,NA(),IF(X$2="Catégorie",IF(X$3="Toutes",SUMIFS('Étape 1 - à remplir'!F$31:F$400,'Étape 1 - à remplir'!D$31:D$400,MASQ2!G15,'Étape 1 - à remplir'!G$31:G$400,"animaux"),SUMIFS('Étape 1 - à remplir'!F$31:F$400,'Étape 1 - à remplir'!D$31:D$400,MASQ2!G15,'Étape 1 - à remplir'!C$31:C$400,X$3)),IF(X$2="Âge",IF(X$3="Tous",SUMIFS('Étape 1 - à remplir'!F$31:F$400,'Étape 1 - à remplir'!D$31:D$400,MASQ2!G15,'Étape 1 - à remplir'!G$31:G$400,"animaux"),SUMIFS('Étape 1 - à remplir'!F$31:F$400,'Étape 1 - à remplir'!D$31:D$400,MASQ2!G15,'Étape 1 - à remplir'!P$31:P$400,X$3)),IF(X$2="Atelier",IF(X$3="Tous",SUMIFS('Étape 1 - à remplir'!F$31:F$400,'Étape 1 - à remplir'!D$31:D$400,MASQ2!G15,'Étape 1 - à remplir'!G$31:G$400,"animaux"),SUMIFS('Étape 1 - à remplir'!F$31:F$400,'Étape 1 - à remplir'!D$31:D$400,MASQ2!G15,'Étape 1 - à remplir'!O$31:O$400,X$3)),IF(X$2="Espèce",IF(X$3="Tous",SUMIFS('Étape 1 - à remplir'!F$31:F$400,'Étape 1 - à remplir'!D$31:D$400,MASQ2!G15,'Étape 1 - à remplir'!G$31:G$400,"animaux"),SUMIFS('Étape 1 - à remplir'!F$31:F$400,'Étape 1 - à remplir'!D$31:D$400,MASQ2!G15,'Étape 1 - à remplir'!N$31:N$400,X$3)))))))</f>
        <v>#N/A</v>
      </c>
      <c r="I15" s="118">
        <v>12</v>
      </c>
      <c r="J15" t="e">
        <f t="shared" si="66"/>
        <v>#N/A</v>
      </c>
      <c r="K15" s="76" t="e">
        <f t="shared" si="67"/>
        <v>#N/A</v>
      </c>
      <c r="M15" s="194" t="str">
        <f ca="1">INDEX(Données_ATB!BD:BU,MATCH(MASQ2!O15,Données_ATB!BD:BD,0),18)</f>
        <v>x</v>
      </c>
      <c r="N15" s="14" t="str">
        <f>IFERROR(IF(Q15=0,"",COUNTIF(Q$4:Q$600,"&gt;"&amp;Q15)+COUNTIF(Q$4:Q15,Q15)),"")</f>
        <v/>
      </c>
      <c r="O15" t="str">
        <f>Données_ATB!BD14</f>
        <v>ADVOCINE 180, 180 MG/ML, SOLUTION INJECTABLE POUR BOVINS</v>
      </c>
      <c r="P15" t="e">
        <f>IF(IF(X$2="Catégorie",IF(X$3="Toutes",SUMIFS('Étape 1 - à remplir'!$F$31:$F$400,'Étape 1 - à remplir'!$E$31:$E$400,MASQ2!O15,'Étape 1 - à remplir'!$G$31:$G$400,"animaux"),SUMIFS('Étape 1 - à remplir'!$F$31:$F$400,'Étape 1 - à remplir'!$E$31:$E$400,MASQ2!O15,'Étape 1 - à remplir'!$C$31:$C$400,X$3)),IF(X$2="Âge",IF(X$3="Tous",SUMIFS('Étape 1 - à remplir'!$F$31:$F$400,'Étape 1 - à remplir'!$E$31:$E$400,MASQ2!O15,'Étape 1 - à remplir'!$G$31:$G$400,"animaux"),SUMIFS('Étape 1 - à remplir'!$F$31:$F$400,'Étape 1 - à remplir'!$E$31:$E$400,MASQ2!O15,'Étape 1 - à remplir'!$P$31:$P$400,X$3)),IF(X$2="Atelier",IF(X$3="Tous",SUMIFS('Étape 1 - à remplir'!$F$31:$F$400,'Étape 1 - à remplir'!$E$31:$E$400,MASQ2!O15,'Étape 1 - à remplir'!$G$31:$G$400,"animaux"),SUMIFS('Étape 1 - à remplir'!$F$31:$F$400,'Étape 1 - à remplir'!$E$31:$E$400,MASQ2!O15,'Étape 1 - à remplir'!$O$31:$O$400,X$3)),IF(X$2="Espèce",IF(X$3="Toutes",SUMIFS('Étape 1 - à remplir'!$F$31:$F$400,'Étape 1 - à remplir'!$E$31:$E$400,MASQ2!O15,'Étape 1 - à remplir'!$G$31:$G$400,"animaux"),SUMIFS('Étape 1 - à remplir'!$F$31:$F$400,'Étape 1 - à remplir'!$E$31:$E$400,MASQ2!O15,'Étape 1 - à remplir'!$N$31:$N$400,X$3))))))=0,NA(),IF(X$2="Catégorie",IF(X$3="Toutes",SUMIFS('Étape 1 - à remplir'!$F$31:$F$400,'Étape 1 - à remplir'!$E$31:$E$400,MASQ2!O15,'Étape 1 - à remplir'!$G$31:$G$400,"animaux"),SUMIFS('Étape 1 - à remplir'!$F$31:$F$400,'Étape 1 - à remplir'!$E$31:$E$400,MASQ2!O15,'Étape 1 - à remplir'!$C$31:$C$400,X$3)),IF(X$2="Âge",IF(X$3="Tous",SUMIFS('Étape 1 - à remplir'!$F$31:$F$400,'Étape 1 - à remplir'!$E$31:$E$400,MASQ2!O15,'Étape 1 - à remplir'!$G$31:$G$400,"animaux"),SUMIFS('Étape 1 - à remplir'!$F$31:$F$400,'Étape 1 - à remplir'!$E$31:$E$400,MASQ2!O15,'Étape 1 - à remplir'!$P$31:$P$400,X$3)),IF(X$2="Atelier",IF(X$3="Tous",SUMIFS('Étape 1 - à remplir'!$F$31:$F$400,'Étape 1 - à remplir'!$E$31:$E$400,MASQ2!O15,'Étape 1 - à remplir'!$G$31:$G$400,"animaux"),SUMIFS('Étape 1 - à remplir'!$F$31:$F$400,'Étape 1 - à remplir'!$E$31:$E$400,MASQ2!O15,'Étape 1 - à remplir'!$O$31:$O$400,X$3)),IF(X$2="Espèce",IF(X$3="Toutes",SUMIFS('Étape 1 - à remplir'!$F$31:$F$400,'Étape 1 - à remplir'!$E$31:$E$400,MASQ2!O15,'Étape 1 - à remplir'!$G$31:$G$400,"animaux"),SUMIFS('Étape 1 - à remplir'!$F$31:$F$400,'Étape 1 - à remplir'!$E$31:$E$400,MASQ2!O15,'Étape 1 - à remplir'!$N$31:$N$400,X$3)))))))</f>
        <v>#N/A</v>
      </c>
      <c r="Q15" s="63">
        <f t="shared" si="62"/>
        <v>0</v>
      </c>
      <c r="R15" t="str">
        <f>Données_ATB!BM14</f>
        <v>Danofloxacine</v>
      </c>
      <c r="S15" t="str">
        <f>Données_ATB!BN14</f>
        <v/>
      </c>
      <c r="T15" s="63" t="str">
        <f>Données_ATB!BO14</f>
        <v/>
      </c>
      <c r="U15" s="42" t="str">
        <f>Données_ATB!BQ14</f>
        <v>Fluoroquinolones</v>
      </c>
      <c r="V15" t="str">
        <f>Données_ATB!BR14</f>
        <v/>
      </c>
      <c r="W15" s="63" t="str">
        <f>Données_ATB!BS14</f>
        <v/>
      </c>
      <c r="Z15" s="42">
        <v>12</v>
      </c>
      <c r="AA15" t="e">
        <f t="shared" si="32"/>
        <v>#N/A</v>
      </c>
      <c r="AB15" s="63" t="e">
        <f t="shared" si="33"/>
        <v>#N/A</v>
      </c>
      <c r="AD15" s="194" t="str">
        <f>IF(AF15="Colistine","x",IF(INDEX(Données_ATB!CA$3:CB$63,MATCH(AF15,Données_ATB!CA$3:CA$63,0),2)="Fluoroquinolones","x",IF(INDEX(Données_ATB!CA$3:CB$63,MATCH(AF15,Données_ATB!CA$3:CA$63,0),2)="Cephalosporines 3&amp;4G","x","")))</f>
        <v>x</v>
      </c>
      <c r="AE15" s="219" t="str">
        <f>IFERROR(IF(AG15=0,"",COUNTIF(AG$4:AG$64,"&gt;"&amp;AG15)+COUNTIF(AG$4:AG15,AG15)),"")</f>
        <v/>
      </c>
      <c r="AF15" s="42" t="str">
        <f>Données_ATB!CA14</f>
        <v>Ceftiofur</v>
      </c>
      <c r="AG15" s="63" t="e">
        <f t="shared" si="34"/>
        <v>#N/A</v>
      </c>
      <c r="AH15" s="42">
        <v>12</v>
      </c>
      <c r="AI15" t="e">
        <f t="shared" si="35"/>
        <v>#N/A</v>
      </c>
      <c r="AJ15" s="63" t="e">
        <f t="shared" si="36"/>
        <v>#N/A</v>
      </c>
      <c r="AL15" s="194" t="str">
        <f t="shared" si="37"/>
        <v/>
      </c>
      <c r="AM15" s="14" t="str">
        <f>IFERROR(IF(AO15=0,"",COUNTIF(AO$4:AO$19,"&gt;"&amp;AO15)+COUNTIF(AO$4:AO15,AO15)),"")</f>
        <v/>
      </c>
      <c r="AN15" t="str">
        <f>Données_ATB!BX14</f>
        <v>Polypeptides</v>
      </c>
      <c r="AO15" s="76" t="e">
        <f t="shared" si="3"/>
        <v>#N/A</v>
      </c>
      <c r="AP15">
        <v>12</v>
      </c>
      <c r="AQ15" t="e">
        <f t="shared" si="38"/>
        <v>#N/A</v>
      </c>
      <c r="AR15" s="63" t="e">
        <f t="shared" si="39"/>
        <v>#N/A</v>
      </c>
      <c r="BF15" s="63"/>
      <c r="BH15" s="339" t="s">
        <v>564</v>
      </c>
      <c r="BI15" s="340"/>
      <c r="BJ15" s="340"/>
      <c r="BK15" s="341"/>
      <c r="BL15" s="73"/>
      <c r="BM15" s="42" t="e">
        <f>IF(BO15="","",COUNTIF(BO$4:BO$23,"&gt;"&amp;BO15)+COUNTIF(BO$4:BO15,BO15))</f>
        <v>#N/A</v>
      </c>
      <c r="BN15" t="str">
        <f t="shared" si="4"/>
        <v>Opération</v>
      </c>
      <c r="BO15" s="76" t="e">
        <f>IF(IF(CE$2="Catégorie",IF(CE$3="Toutes",SUMIFS('Étape 1 - à remplir'!$F$31:$F$400,'Étape 1 - à remplir'!$D$31:$D$400,MASQ2!BN15,'Étape 1 - à remplir'!$G$31:$G$400,"lots"),SUMIFS('Étape 1 - à remplir'!$F$31:$F$400,'Étape 1 - à remplir'!$D$31:$D$400,MASQ2!BN15,'Étape 1 - à remplir'!$C$31:$C$400,CE$3,'Étape 1 - à remplir'!$G$31:$G$400,"lots")),IF(CE$2="Âge",IF(CE$3="Tous",SUMIFS('Étape 1 - à remplir'!$F$31:$F$400,'Étape 1 - à remplir'!$D$31:$D$400,MASQ2!BN15,'Étape 1 - à remplir'!$G$31:$G$400,"lots"),SUMIFS('Étape 1 - à remplir'!$F$31:$F$400,'Étape 1 - à remplir'!$D$31:$D$400,MASQ2!BN15,'Étape 1 - à remplir'!$P$31:$P$400,CE$3,'Étape 1 - à remplir'!$G$31:$G$400,"lots")),IF(CE$2="Atelier",IF(CE$3="Tous",SUMIFS('Étape 1 - à remplir'!$F$31:$F$400,'Étape 1 - à remplir'!$D$31:$D$400,MASQ2!BN15,'Étape 1 - à remplir'!$G$31:$G$400,"lots"),SUMIFS('Étape 1 - à remplir'!$F$31:$F$400,'Étape 1 - à remplir'!$D$31:$D$400,MASQ2!BN15,'Étape 1 - à remplir'!$O$31:$O$400,CE$3,'Étape 1 - à remplir'!$G$31:$G$400,"lots")),IF(CE$2="Espèce",IF(CE$3="Toutes",SUMIFS('Étape 1 - à remplir'!$F$31:$F$400,'Étape 1 - à remplir'!$D$31:$D$400,MASQ2!BN15,'Étape 1 - à remplir'!$G$31:$G$400,"lots"),SUMIFS('Étape 1 - à remplir'!$F$31:$F$400,'Étape 1 - à remplir'!$D$31:$D$400,MASQ2!BN15,'Étape 1 - à remplir'!$N$31:$N$400,CE$3,'Étape 1 - à remplir'!$G$31:$G$400,"lots"))))))=0,NA(),IF(CE$2="Catégorie",IF(CE$3="Toutes",SUMIFS('Étape 1 - à remplir'!$F$31:$F$400,'Étape 1 - à remplir'!$D$31:$D$400,MASQ2!BN15,'Étape 1 - à remplir'!$G$31:$G$400,"lots"),SUMIFS('Étape 1 - à remplir'!$F$31:$F$400,'Étape 1 - à remplir'!$D$31:$D$400,MASQ2!BN15,'Étape 1 - à remplir'!$C$31:$C$400,CE$3,'Étape 1 - à remplir'!$G$31:$G$400,"lots")),IF(CE$2="Âge",IF(CE$3="Tous",SUMIFS('Étape 1 - à remplir'!$F$31:$F$400,'Étape 1 - à remplir'!$D$31:$D$400,MASQ2!BN15,'Étape 1 - à remplir'!$G$31:$G$400,"lots"),SUMIFS('Étape 1 - à remplir'!$F$31:$F$400,'Étape 1 - à remplir'!$D$31:$D$400,MASQ2!BN15,'Étape 1 - à remplir'!$P$31:$P$400,CE$3,'Étape 1 - à remplir'!$G$31:$G$400,"lots")),IF(CE$2="Atelier",IF(CE$3="Tous",SUMIFS('Étape 1 - à remplir'!$F$31:$F$400,'Étape 1 - à remplir'!$D$31:$D$400,MASQ2!BN15,'Étape 1 - à remplir'!$G$31:$G$400,"lots"),SUMIFS('Étape 1 - à remplir'!$F$31:$F$400,'Étape 1 - à remplir'!$D$31:$D$400,MASQ2!BN15,'Étape 1 - à remplir'!$O$31:$O$400,CE$3,'Étape 1 - à remplir'!$G$31:$G$400,"lots")),IF(CE$2="Espèce",IF(CE$3="Toutes",SUMIFS('Étape 1 - à remplir'!$F$31:$F$400,'Étape 1 - à remplir'!$D$31:$D$400,MASQ2!BN15,'Étape 1 - à remplir'!$G$31:$G$400,"lots"),SUMIFS('Étape 1 - à remplir'!$F$31:$F$400,'Étape 1 - à remplir'!$D$31:$D$400,MASQ2!BN15,'Étape 1 - à remplir'!$N$31:$N$400,CE$3,'Étape 1 - à remplir'!$G$31:$G$400,"lots")))))))</f>
        <v>#N/A</v>
      </c>
      <c r="BP15">
        <v>12</v>
      </c>
      <c r="BQ15" t="e">
        <f t="shared" si="40"/>
        <v>#N/A</v>
      </c>
      <c r="BR15" s="63" t="e">
        <f t="shared" si="41"/>
        <v>#N/A</v>
      </c>
      <c r="BT15" s="194" t="str">
        <f t="shared" ca="1" si="5"/>
        <v>x</v>
      </c>
      <c r="BU15" s="219" t="str">
        <f>IFERROR(IF(BX15=0,"",COUNTIF(BX$4:BX$600,"&gt;"&amp;BX15)+COUNTIF(BX$4:BX15,BX15)),"")</f>
        <v/>
      </c>
      <c r="BV15" s="42" t="str">
        <f t="shared" si="6"/>
        <v>ADVOCINE 180, 180 MG/ML, SOLUTION INJECTABLE POUR BOVINS</v>
      </c>
      <c r="BW15" t="e">
        <f>IF(IF(CE$2="Catégorie",IF(CE$3="Toutes",SUMIFS('Étape 1 - à remplir'!$F$31:$F$400,'Étape 1 - à remplir'!$E$31:$E$400,MASQ2!BV15,'Étape 1 - à remplir'!$G$31:$G$400,"lots"),SUMIFS('Étape 1 - à remplir'!$F$31:$F$400,'Étape 1 - à remplir'!$E$31:$E$400,MASQ2!BV15,'Étape 1 - à remplir'!$C$31:$C$400,CE$3)),IF(CE$2="Âge",IF(CE$3="Tous",SUMIFS('Étape 1 - à remplir'!$F$31:$F$400,'Étape 1 - à remplir'!$E$31:$E$400,MASQ2!BV15,'Étape 1 - à remplir'!$G$31:$G$400,"lots"),SUMIFS('Étape 1 - à remplir'!$F$31:$F$400,'Étape 1 - à remplir'!$E$31:$E$400,MASQ2!BV15,'Étape 1 - à remplir'!$P$31:$P$400,CE$3,'Étape 1 - à remplir'!$G$31:$G$400,"lots")),IF(CE$2="Atelier",IF(CE$3="Tous",SUMIFS('Étape 1 - à remplir'!$F$31:$F$400,'Étape 1 - à remplir'!$E$31:$E$400,MASQ2!BV15,'Étape 1 - à remplir'!$G$31:$G$400,"lots"),SUMIFS('Étape 1 - à remplir'!$F$31:$F$400,'Étape 1 - à remplir'!$E$31:$E$400,MASQ2!BV15,'Étape 1 - à remplir'!$O$31:$O$400,CE$3,'Étape 1 - à remplir'!$G$31:$G$400,"lots")),IF(CE$2="Espèce",IF(CE$3="Toutes",SUMIFS('Étape 1 - à remplir'!$F$31:$F$400,'Étape 1 - à remplir'!$E$31:$E$400,MASQ2!BV15,'Étape 1 - à remplir'!$G$31:$G$400,"lots"),SUMIFS('Étape 1 - à remplir'!$F$31:$F$400,'Étape 1 - à remplir'!$E$31:$E$400,MASQ2!BV15,'Étape 1 - à remplir'!$N$31:$N$400,CE$3,'Étape 1 - à remplir'!$G$31:$G$400,"lots"))))))=0,NA(),IF(CE$2="Catégorie",IF(CE$3="Toutes",SUMIFS('Étape 1 - à remplir'!$F$31:$F$400,'Étape 1 - à remplir'!$E$31:$E$400,MASQ2!BV15,'Étape 1 - à remplir'!$G$31:$G$400,"lots"),SUMIFS('Étape 1 - à remplir'!$F$31:$F$400,'Étape 1 - à remplir'!$E$31:$E$400,MASQ2!BV15,'Étape 1 - à remplir'!$C$31:$C$400,CE$3)),IF(CE$2="Âge",IF(CE$3="Tous",SUMIFS('Étape 1 - à remplir'!$F$31:$F$400,'Étape 1 - à remplir'!$E$31:$E$400,MASQ2!BV15,'Étape 1 - à remplir'!$G$31:$G$400,"lots"),SUMIFS('Étape 1 - à remplir'!$F$31:$F$400,'Étape 1 - à remplir'!$E$31:$E$400,MASQ2!BV15,'Étape 1 - à remplir'!$P$31:$P$400,CE$3,'Étape 1 - à remplir'!$G$31:$G$400,"lots")),IF(CE$2="Atelier",IF(CE$3="Tous",SUMIFS('Étape 1 - à remplir'!$F$31:$F$400,'Étape 1 - à remplir'!$E$31:$E$400,MASQ2!BV15,'Étape 1 - à remplir'!$G$31:$G$400,"lots"),SUMIFS('Étape 1 - à remplir'!$F$31:$F$400,'Étape 1 - à remplir'!$E$31:$E$400,MASQ2!BV15,'Étape 1 - à remplir'!$O$31:$O$400,CE$3,'Étape 1 - à remplir'!$G$31:$G$400,"lots")),IF(CE$2="Espèce",IF(CE$3="Toutes",SUMIFS('Étape 1 - à remplir'!$F$31:$F$400,'Étape 1 - à remplir'!$E$31:$E$400,MASQ2!BV15,'Étape 1 - à remplir'!$G$31:$G$400,"lots"),SUMIFS('Étape 1 - à remplir'!$F$31:$F$400,'Étape 1 - à remplir'!$E$31:$E$400,MASQ2!BV15,'Étape 1 - à remplir'!$N$31:$N$400,CE$3,'Étape 1 - à remplir'!$G$31:$G$400,"lots")))))))</f>
        <v>#N/A</v>
      </c>
      <c r="BX15">
        <f t="shared" si="42"/>
        <v>0</v>
      </c>
      <c r="BY15" t="str">
        <f t="shared" si="7"/>
        <v>Danofloxacine</v>
      </c>
      <c r="BZ15" t="str">
        <f t="shared" si="8"/>
        <v/>
      </c>
      <c r="CA15" t="str">
        <f t="shared" si="9"/>
        <v/>
      </c>
      <c r="CB15" t="str">
        <f t="shared" si="10"/>
        <v>Fluoroquinolones</v>
      </c>
      <c r="CC15" t="str">
        <f t="shared" si="11"/>
        <v/>
      </c>
      <c r="CD15" s="63" t="str">
        <f t="shared" si="12"/>
        <v/>
      </c>
      <c r="CG15" s="42">
        <v>12</v>
      </c>
      <c r="CH15" s="42" t="e">
        <f t="shared" si="43"/>
        <v>#N/A</v>
      </c>
      <c r="CI15" s="63" t="e">
        <f t="shared" si="44"/>
        <v>#N/A</v>
      </c>
      <c r="CK15" s="194" t="str">
        <f t="shared" si="13"/>
        <v>x</v>
      </c>
      <c r="CL15" s="226" t="str">
        <f>IFERROR(IF(CN15=0,"",COUNTIF(CN$4:CN$64,"&gt;"&amp;CN15)+COUNTIF(CN$4:CN15,CN15)),"")</f>
        <v/>
      </c>
      <c r="CM15" t="str">
        <f t="shared" si="14"/>
        <v>Ceftiofur</v>
      </c>
      <c r="CN15" s="76" t="e">
        <f t="shared" si="45"/>
        <v>#N/A</v>
      </c>
      <c r="CO15">
        <v>12</v>
      </c>
      <c r="CP15" t="e">
        <f t="shared" si="46"/>
        <v>#N/A</v>
      </c>
      <c r="CQ15" s="63" t="e">
        <f t="shared" si="47"/>
        <v>#N/A</v>
      </c>
      <c r="CS15" s="194" t="str">
        <f t="shared" si="15"/>
        <v/>
      </c>
      <c r="CT15" s="14" t="str">
        <f>IFERROR(IF(CV15=0,"",COUNTIF(CV$4:CV$19,"&gt;"&amp;CV15)+COUNTIF(CV$4:CV15,CV15)),"")</f>
        <v/>
      </c>
      <c r="CU15" s="230" t="str">
        <f t="shared" si="16"/>
        <v>Polypeptides</v>
      </c>
      <c r="CV15" s="76" t="e">
        <f t="shared" si="48"/>
        <v>#N/A</v>
      </c>
      <c r="CW15">
        <v>12</v>
      </c>
      <c r="CX15" t="e">
        <f t="shared" si="49"/>
        <v>#N/A</v>
      </c>
      <c r="CY15" s="63" t="e">
        <f t="shared" si="50"/>
        <v>#N/A</v>
      </c>
      <c r="DM15" s="63"/>
      <c r="DO15" s="377" t="s">
        <v>564</v>
      </c>
      <c r="DP15" s="378"/>
      <c r="DQ15" s="378"/>
      <c r="DR15" s="379"/>
      <c r="DT15" s="42" t="e">
        <f>IF(DV15="","",COUNTIF(DV$4:DV$23,"&gt;"&amp;DV15)+COUNTIF(DV$4:DV15,DV15))</f>
        <v>#N/A</v>
      </c>
      <c r="DU15" t="str">
        <f t="shared" si="17"/>
        <v>Opération</v>
      </c>
      <c r="DV15" s="63" t="e">
        <f>IF(IF(EL$2="Catégorie",IF(EL$3="Toutes",SUMIFS('Étape 1 - à remplir'!$F$31:$F$400,'Étape 1 - à remplir'!$D$31:$D$400,MASQ2!DU15,'Étape 1 - à remplir'!$G$31:$G$400,"kg"),SUMIFS('Étape 1 - à remplir'!$F$31:$F$400,'Étape 1 - à remplir'!$D$31:$D$400,MASQ2!DU15,'Étape 1 - à remplir'!$C$31:$C$400,EL$3,'Étape 1 - à remplir'!$G$31:$G$400,"kg")),IF(EL$2="Âge",IF(EL$3="Tous",SUMIFS('Étape 1 - à remplir'!$F$31:$F$400,'Étape 1 - à remplir'!$D$31:$D$400,MASQ2!DU15,'Étape 1 - à remplir'!$G$31:$G$400,"kg"),SUMIFS('Étape 1 - à remplir'!$F$31:$F$400,'Étape 1 - à remplir'!$D$31:$D$400,MASQ2!DU15,'Étape 1 - à remplir'!$P$31:$P$400,EL$3,'Étape 1 - à remplir'!$G$31:$G$400,"kg")),IF(EL$2="Atelier",IF(EL$3="Tous",SUMIFS('Étape 1 - à remplir'!$F$31:$F$400,'Étape 1 - à remplir'!$D$31:$D$400,MASQ2!DU15,'Étape 1 - à remplir'!$G$31:$G$400,"kg"),SUMIFS('Étape 1 - à remplir'!$F$31:$F$400,'Étape 1 - à remplir'!$D$31:$D$400,MASQ2!DU15,'Étape 1 - à remplir'!$O$31:$O$400,EL$3,'Étape 1 - à remplir'!$G$31:$G$400,"kg")),IF(EL$2="Espèce",IF(EL$3="Toutes",SUMIFS('Étape 1 - à remplir'!$F$31:$F$400,'Étape 1 - à remplir'!$D$31:$D$400,MASQ2!DU15,'Étape 1 - à remplir'!$G$31:$G$400,"kg"),SUMIFS('Étape 1 - à remplir'!$F$31:$F$400,'Étape 1 - à remplir'!$D$31:$D$400,MASQ2!DU15,'Étape 1 - à remplir'!$N$31:$N$400,EL$3,'Étape 1 - à remplir'!$G$31:$G$400,"kg"))))))=0,NA(),IF(EL$2="Catégorie",IF(EL$3="Toutes",SUMIFS('Étape 1 - à remplir'!$F$31:$F$400,'Étape 1 - à remplir'!$D$31:$D$400,MASQ2!DU15,'Étape 1 - à remplir'!$G$31:$G$400,"kg"),SUMIFS('Étape 1 - à remplir'!$F$31:$F$400,'Étape 1 - à remplir'!$D$31:$D$400,MASQ2!DU15,'Étape 1 - à remplir'!$C$31:$C$400,EL$3,'Étape 1 - à remplir'!$G$31:$G$400,"kg")),IF(EL$2="Âge",IF(EL$3="Tous",SUMIFS('Étape 1 - à remplir'!$F$31:$F$400,'Étape 1 - à remplir'!$D$31:$D$400,MASQ2!DU15,'Étape 1 - à remplir'!$G$31:$G$400,"kg"),SUMIFS('Étape 1 - à remplir'!$F$31:$F$400,'Étape 1 - à remplir'!$D$31:$D$400,MASQ2!DU15,'Étape 1 - à remplir'!$P$31:$P$400,EL$3,'Étape 1 - à remplir'!$G$31:$G$400,"kg")),IF(EL$2="Atelier",IF(EL$3="Tous",SUMIFS('Étape 1 - à remplir'!$F$31:$F$400,'Étape 1 - à remplir'!$D$31:$D$400,MASQ2!DU15,'Étape 1 - à remplir'!$G$31:$G$400,"kg"),SUMIFS('Étape 1 - à remplir'!$F$31:$F$400,'Étape 1 - à remplir'!$D$31:$D$400,MASQ2!DU15,'Étape 1 - à remplir'!$O$31:$O$400,EL$3,'Étape 1 - à remplir'!$G$31:$G$400,"kg")),IF(EL$2="Espèce",IF(EL$3="Toutes",SUMIFS('Étape 1 - à remplir'!$F$31:$F$400,'Étape 1 - à remplir'!$D$31:$D$400,MASQ2!DU15,'Étape 1 - à remplir'!$G$31:$G$400,"kg"),SUMIFS('Étape 1 - à remplir'!$F$31:$F$400,'Étape 1 - à remplir'!$D$31:$D$400,MASQ2!DU15,'Étape 1 - à remplir'!$N$31:$N$400,EL$3,'Étape 1 - à remplir'!$G$31:$G$400,"kg")))))))</f>
        <v>#N/A</v>
      </c>
      <c r="DW15" s="42">
        <v>12</v>
      </c>
      <c r="DX15" t="e">
        <f t="shared" si="51"/>
        <v>#N/A</v>
      </c>
      <c r="DY15" s="63" t="e">
        <f t="shared" si="52"/>
        <v>#N/A</v>
      </c>
      <c r="EA15" s="194" t="str">
        <f t="shared" ca="1" si="18"/>
        <v>x</v>
      </c>
      <c r="EB15" s="226" t="str">
        <f>IFERROR(IF(ED15=0,"",COUNTIF(ED$4:ED$600,"&gt;"&amp;ED15)+COUNTIF(ED$4:ED15,ED15)),"")</f>
        <v/>
      </c>
      <c r="EC15" t="str">
        <f t="shared" si="19"/>
        <v>ADVOCINE 180, 180 MG/ML, SOLUTION INJECTABLE POUR BOVINS</v>
      </c>
      <c r="ED15" t="e">
        <f>IF(IF(EL$2="Catégorie",IF(EL$3="Toutes",SUMIFS('Étape 1 - à remplir'!$F$31:$F$400,'Étape 1 - à remplir'!$E$31:$E$400,MASQ2!EC15,'Étape 1 - à remplir'!$G$31:$G$400,"kg"),SUMIFS('Étape 1 - à remplir'!$F$31:$F$400,'Étape 1 - à remplir'!$E$31:$E$400,MASQ2!EC15,'Étape 1 - à remplir'!$C$31:$C$400,EL$3)),IF(EL$2="Âge",IF(EL$3="Tous",SUMIFS('Étape 1 - à remplir'!$F$31:$F$400,'Étape 1 - à remplir'!$E$31:$E$400,MASQ2!EC15,'Étape 1 - à remplir'!$G$31:$G$400,"kg"),SUMIFS('Étape 1 - à remplir'!$F$31:$F$400,'Étape 1 - à remplir'!$E$31:$E$400,MASQ2!EC15,'Étape 1 - à remplir'!$P$31:$P$400,EL$3,'Étape 1 - à remplir'!$G$31:$G$400,"kg")),IF(EL$2="Atelier",IF(EL$3="Tous",SUMIFS('Étape 1 - à remplir'!$F$31:$F$400,'Étape 1 - à remplir'!$E$31:$E$400,MASQ2!EC15,'Étape 1 - à remplir'!$G$31:$G$400,"kg"),SUMIFS('Étape 1 - à remplir'!$F$31:$F$400,'Étape 1 - à remplir'!$E$31:$E$400,MASQ2!EC15,'Étape 1 - à remplir'!$O$31:$O$400,EL$3,'Étape 1 - à remplir'!$G$31:$G$400,"kg")),IF(EL$2="Espèce",IF(EL$3="Toutes",SUMIFS('Étape 1 - à remplir'!$F$31:$F$400,'Étape 1 - à remplir'!$E$31:$E$400,MASQ2!EC15,'Étape 1 - à remplir'!$G$31:$G$400,"kg"),SUMIFS('Étape 1 - à remplir'!$F$31:$F$400,'Étape 1 - à remplir'!$E$31:$E$400,MASQ2!EC15,'Étape 1 - à remplir'!$N$31:$N$400,EL$3,'Étape 1 - à remplir'!$G$31:$G$400,"kg"))))))=0,NA(),IF(EL$2="Catégorie",IF(EL$3="Toutes",SUMIFS('Étape 1 - à remplir'!$F$31:$F$400,'Étape 1 - à remplir'!$E$31:$E$400,MASQ2!EC15,'Étape 1 - à remplir'!$G$31:$G$400,"kg"),SUMIFS('Étape 1 - à remplir'!$F$31:$F$400,'Étape 1 - à remplir'!$E$31:$E$400,MASQ2!EC15,'Étape 1 - à remplir'!$C$31:$C$400,EL$3)),IF(EL$2="Âge",IF(EL$3="Tous",SUMIFS('Étape 1 - à remplir'!$F$31:$F$400,'Étape 1 - à remplir'!$E$31:$E$400,MASQ2!EC15,'Étape 1 - à remplir'!$G$31:$G$400,"kg"),SUMIFS('Étape 1 - à remplir'!$F$31:$F$400,'Étape 1 - à remplir'!$E$31:$E$400,MASQ2!EC15,'Étape 1 - à remplir'!$P$31:$P$400,EL$3,'Étape 1 - à remplir'!$G$31:$G$400,"kg")),IF(EL$2="Atelier",IF(EL$3="Tous",SUMIFS('Étape 1 - à remplir'!$F$31:$F$400,'Étape 1 - à remplir'!$E$31:$E$400,MASQ2!EC15,'Étape 1 - à remplir'!$G$31:$G$400,"kg"),SUMIFS('Étape 1 - à remplir'!$F$31:$F$400,'Étape 1 - à remplir'!$E$31:$E$400,MASQ2!EC15,'Étape 1 - à remplir'!$O$31:$O$400,EL$3,'Étape 1 - à remplir'!$G$31:$G$400,"kg")),IF(EL$2="Espèce",IF(EL$3="Toutes",SUMIFS('Étape 1 - à remplir'!$F$31:$F$400,'Étape 1 - à remplir'!$E$31:$E$400,MASQ2!EC15,'Étape 1 - à remplir'!$G$31:$G$400,"kg"),SUMIFS('Étape 1 - à remplir'!$F$31:$F$400,'Étape 1 - à remplir'!$E$31:$E$400,MASQ2!EC15,'Étape 1 - à remplir'!$N$31:$N$400,EL$3,'Étape 1 - à remplir'!$G$31:$G$400,"kg")))))))</f>
        <v>#N/A</v>
      </c>
      <c r="EE15" s="76">
        <f t="shared" si="53"/>
        <v>0</v>
      </c>
      <c r="EF15" t="str">
        <f t="shared" si="20"/>
        <v>Danofloxacine</v>
      </c>
      <c r="EG15" t="str">
        <f t="shared" si="21"/>
        <v/>
      </c>
      <c r="EH15" t="str">
        <f t="shared" si="22"/>
        <v/>
      </c>
      <c r="EI15" t="str">
        <f t="shared" si="23"/>
        <v>Fluoroquinolones</v>
      </c>
      <c r="EJ15" t="str">
        <f t="shared" si="24"/>
        <v/>
      </c>
      <c r="EK15" s="63" t="str">
        <f t="shared" si="25"/>
        <v/>
      </c>
      <c r="EN15" s="42">
        <v>12</v>
      </c>
      <c r="EO15" t="e">
        <f t="shared" si="68"/>
        <v>#N/A</v>
      </c>
      <c r="EP15" s="63" t="e">
        <f t="shared" si="69"/>
        <v>#N/A</v>
      </c>
      <c r="ER15" s="194" t="str">
        <f t="shared" si="26"/>
        <v>x</v>
      </c>
      <c r="ES15" s="226" t="str">
        <f>IFERROR(IF(EU15=0,"",COUNTIF(EU$4:EU$64,"&gt;"&amp;EU15)+COUNTIF(EU$4:EU15,EU15)),"")</f>
        <v/>
      </c>
      <c r="ET15" t="str">
        <f t="shared" si="27"/>
        <v>Ceftiofur</v>
      </c>
      <c r="EU15" s="76" t="e">
        <f t="shared" si="56"/>
        <v>#N/A</v>
      </c>
      <c r="EV15">
        <v>12</v>
      </c>
      <c r="EW15" t="e">
        <f t="shared" si="57"/>
        <v>#N/A</v>
      </c>
      <c r="EX15" s="63" t="e">
        <f t="shared" si="58"/>
        <v>#N/A</v>
      </c>
      <c r="EZ15" s="194" t="str">
        <f t="shared" si="28"/>
        <v/>
      </c>
      <c r="FA15" s="226" t="str">
        <f>IFERROR(IF(FC15=0,"",COUNTIF(FC$4:FC$19,"&gt;"&amp;FC15)+COUNTIF(FC$4:FC15,FC15)),"")</f>
        <v/>
      </c>
      <c r="FB15" t="str">
        <f t="shared" si="29"/>
        <v>Polypeptides</v>
      </c>
      <c r="FC15" s="76" t="e">
        <f t="shared" si="59"/>
        <v>#N/A</v>
      </c>
      <c r="FD15">
        <v>12</v>
      </c>
      <c r="FE15" t="e">
        <f t="shared" si="60"/>
        <v>#N/A</v>
      </c>
      <c r="FF15" s="63" t="e">
        <f t="shared" si="61"/>
        <v>#N/A</v>
      </c>
      <c r="FT15" s="63"/>
    </row>
    <row r="16" spans="1:176" x14ac:dyDescent="0.3">
      <c r="A16" s="42">
        <v>1</v>
      </c>
      <c r="B16" t="e">
        <f>INDEX(A$4:D$13,MATCH(A16,A$4:A$13,0),2)</f>
        <v>#N/A</v>
      </c>
      <c r="C16" t="e">
        <f>INDEX(A$4:D$13,MATCH(A16,A$4:A$13,0),3)</f>
        <v>#N/A</v>
      </c>
      <c r="D16" s="63" t="e">
        <f>INDEX(A$4:D$13,MATCH(A16,A$4:A$13,0),4)</f>
        <v>#N/A</v>
      </c>
      <c r="E16" s="188"/>
      <c r="F16" s="118" t="str">
        <f>IFERROR(IF(H16="","",COUNTIF(H$4:H$23,"&gt;"&amp;H16)+COUNTIF(H$4:H16,H16)),"")</f>
        <v/>
      </c>
      <c r="G16" t="str">
        <f>Données_ATB!CG15</f>
        <v>Pathologie de l’appareil urinaire</v>
      </c>
      <c r="H16" s="76" t="e">
        <f>IF(IF(X$2="Catégorie",IF(X$3="Toutes",SUMIFS('Étape 1 - à remplir'!F$31:F$400,'Étape 1 - à remplir'!D$31:D$400,MASQ2!G16,'Étape 1 - à remplir'!G$31:G$400,"animaux"),SUMIFS('Étape 1 - à remplir'!F$31:F$400,'Étape 1 - à remplir'!D$31:D$400,MASQ2!G16,'Étape 1 - à remplir'!C$31:C$400,X$3)),IF(X$2="Âge",IF(X$3="Tous",SUMIFS('Étape 1 - à remplir'!F$31:F$400,'Étape 1 - à remplir'!D$31:D$400,MASQ2!G16,'Étape 1 - à remplir'!G$31:G$400,"animaux"),SUMIFS('Étape 1 - à remplir'!F$31:F$400,'Étape 1 - à remplir'!D$31:D$400,MASQ2!G16,'Étape 1 - à remplir'!P$31:P$400,X$3)),IF(X$2="Atelier",IF(X$3="Tous",SUMIFS('Étape 1 - à remplir'!F$31:F$400,'Étape 1 - à remplir'!D$31:D$400,MASQ2!G16,'Étape 1 - à remplir'!G$31:G$400,"animaux"),SUMIFS('Étape 1 - à remplir'!F$31:F$400,'Étape 1 - à remplir'!D$31:D$400,MASQ2!G16,'Étape 1 - à remplir'!O$31:O$400,X$3)),IF(X$2="Espèce",IF(X$3="Toutes",SUMIFS('Étape 1 - à remplir'!F$31:F$400,'Étape 1 - à remplir'!D$31:D$400,MASQ2!G16,'Étape 1 - à remplir'!G$31:G$400,"animaux"),SUMIFS('Étape 1 - à remplir'!F$31:F$400,'Étape 1 - à remplir'!D$31:D$400,MASQ2!G16,'Étape 1 - à remplir'!N$31:N$400,X$3))))))=0,NA(),IF(X$2="Catégorie",IF(X$3="Toutes",SUMIFS('Étape 1 - à remplir'!F$31:F$400,'Étape 1 - à remplir'!D$31:D$400,MASQ2!G16,'Étape 1 - à remplir'!G$31:G$400,"animaux"),SUMIFS('Étape 1 - à remplir'!F$31:F$400,'Étape 1 - à remplir'!D$31:D$400,MASQ2!G16,'Étape 1 - à remplir'!C$31:C$400,X$3)),IF(X$2="Âge",IF(X$3="Tous",SUMIFS('Étape 1 - à remplir'!F$31:F$400,'Étape 1 - à remplir'!D$31:D$400,MASQ2!G16,'Étape 1 - à remplir'!G$31:G$400,"animaux"),SUMIFS('Étape 1 - à remplir'!F$31:F$400,'Étape 1 - à remplir'!D$31:D$400,MASQ2!G16,'Étape 1 - à remplir'!P$31:P$400,X$3)),IF(X$2="Atelier",IF(X$3="Tous",SUMIFS('Étape 1 - à remplir'!F$31:F$400,'Étape 1 - à remplir'!D$31:D$400,MASQ2!G16,'Étape 1 - à remplir'!G$31:G$400,"animaux"),SUMIFS('Étape 1 - à remplir'!F$31:F$400,'Étape 1 - à remplir'!D$31:D$400,MASQ2!G16,'Étape 1 - à remplir'!O$31:O$400,X$3)),IF(X$2="Espèce",IF(X$3="Tous",SUMIFS('Étape 1 - à remplir'!F$31:F$400,'Étape 1 - à remplir'!D$31:D$400,MASQ2!G16,'Étape 1 - à remplir'!G$31:G$400,"animaux"),SUMIFS('Étape 1 - à remplir'!F$31:F$400,'Étape 1 - à remplir'!D$31:D$400,MASQ2!G16,'Étape 1 - à remplir'!N$31:N$400,X$3)))))))</f>
        <v>#N/A</v>
      </c>
      <c r="I16" s="118">
        <v>13</v>
      </c>
      <c r="J16" t="e">
        <f t="shared" si="66"/>
        <v>#N/A</v>
      </c>
      <c r="K16" s="76" t="e">
        <f t="shared" si="67"/>
        <v>#N/A</v>
      </c>
      <c r="M16" s="194" t="str">
        <f ca="1">INDEX(Données_ATB!BD:BU,MATCH(MASQ2!O16,Données_ATB!BD:BD,0),18)</f>
        <v>x</v>
      </c>
      <c r="N16" s="14" t="str">
        <f>IFERROR(IF(Q16=0,"",COUNTIF(Q$4:Q$600,"&gt;"&amp;Q16)+COUNTIF(Q$4:Q16,Q16)),"")</f>
        <v/>
      </c>
      <c r="O16" t="str">
        <f>Données_ATB!BD15</f>
        <v>ADVOCINE 25</v>
      </c>
      <c r="P16" t="e">
        <f>IF(IF(X$2="Catégorie",IF(X$3="Toutes",SUMIFS('Étape 1 - à remplir'!$F$31:$F$400,'Étape 1 - à remplir'!$E$31:$E$400,MASQ2!O16,'Étape 1 - à remplir'!$G$31:$G$400,"animaux"),SUMIFS('Étape 1 - à remplir'!$F$31:$F$400,'Étape 1 - à remplir'!$E$31:$E$400,MASQ2!O16,'Étape 1 - à remplir'!$C$31:$C$400,X$3)),IF(X$2="Âge",IF(X$3="Tous",SUMIFS('Étape 1 - à remplir'!$F$31:$F$400,'Étape 1 - à remplir'!$E$31:$E$400,MASQ2!O16,'Étape 1 - à remplir'!$G$31:$G$400,"animaux"),SUMIFS('Étape 1 - à remplir'!$F$31:$F$400,'Étape 1 - à remplir'!$E$31:$E$400,MASQ2!O16,'Étape 1 - à remplir'!$P$31:$P$400,X$3)),IF(X$2="Atelier",IF(X$3="Tous",SUMIFS('Étape 1 - à remplir'!$F$31:$F$400,'Étape 1 - à remplir'!$E$31:$E$400,MASQ2!O16,'Étape 1 - à remplir'!$G$31:$G$400,"animaux"),SUMIFS('Étape 1 - à remplir'!$F$31:$F$400,'Étape 1 - à remplir'!$E$31:$E$400,MASQ2!O16,'Étape 1 - à remplir'!$O$31:$O$400,X$3)),IF(X$2="Espèce",IF(X$3="Toutes",SUMIFS('Étape 1 - à remplir'!$F$31:$F$400,'Étape 1 - à remplir'!$E$31:$E$400,MASQ2!O16,'Étape 1 - à remplir'!$G$31:$G$400,"animaux"),SUMIFS('Étape 1 - à remplir'!$F$31:$F$400,'Étape 1 - à remplir'!$E$31:$E$400,MASQ2!O16,'Étape 1 - à remplir'!$N$31:$N$400,X$3))))))=0,NA(),IF(X$2="Catégorie",IF(X$3="Toutes",SUMIFS('Étape 1 - à remplir'!$F$31:$F$400,'Étape 1 - à remplir'!$E$31:$E$400,MASQ2!O16,'Étape 1 - à remplir'!$G$31:$G$400,"animaux"),SUMIFS('Étape 1 - à remplir'!$F$31:$F$400,'Étape 1 - à remplir'!$E$31:$E$400,MASQ2!O16,'Étape 1 - à remplir'!$C$31:$C$400,X$3)),IF(X$2="Âge",IF(X$3="Tous",SUMIFS('Étape 1 - à remplir'!$F$31:$F$400,'Étape 1 - à remplir'!$E$31:$E$400,MASQ2!O16,'Étape 1 - à remplir'!$G$31:$G$400,"animaux"),SUMIFS('Étape 1 - à remplir'!$F$31:$F$400,'Étape 1 - à remplir'!$E$31:$E$400,MASQ2!O16,'Étape 1 - à remplir'!$P$31:$P$400,X$3)),IF(X$2="Atelier",IF(X$3="Tous",SUMIFS('Étape 1 - à remplir'!$F$31:$F$400,'Étape 1 - à remplir'!$E$31:$E$400,MASQ2!O16,'Étape 1 - à remplir'!$G$31:$G$400,"animaux"),SUMIFS('Étape 1 - à remplir'!$F$31:$F$400,'Étape 1 - à remplir'!$E$31:$E$400,MASQ2!O16,'Étape 1 - à remplir'!$O$31:$O$400,X$3)),IF(X$2="Espèce",IF(X$3="Toutes",SUMIFS('Étape 1 - à remplir'!$F$31:$F$400,'Étape 1 - à remplir'!$E$31:$E$400,MASQ2!O16,'Étape 1 - à remplir'!$G$31:$G$400,"animaux"),SUMIFS('Étape 1 - à remplir'!$F$31:$F$400,'Étape 1 - à remplir'!$E$31:$E$400,MASQ2!O16,'Étape 1 - à remplir'!$N$31:$N$400,X$3)))))))</f>
        <v>#N/A</v>
      </c>
      <c r="Q16" s="63">
        <f t="shared" si="62"/>
        <v>0</v>
      </c>
      <c r="R16" t="str">
        <f>Données_ATB!BM15</f>
        <v>Danofloxacine</v>
      </c>
      <c r="S16" t="str">
        <f>Données_ATB!BN15</f>
        <v/>
      </c>
      <c r="T16" s="63" t="str">
        <f>Données_ATB!BO15</f>
        <v/>
      </c>
      <c r="U16" s="42" t="str">
        <f>Données_ATB!BQ15</f>
        <v>Fluoroquinolones</v>
      </c>
      <c r="V16" t="str">
        <f>Données_ATB!BR15</f>
        <v/>
      </c>
      <c r="W16" s="63" t="str">
        <f>Données_ATB!BS15</f>
        <v/>
      </c>
      <c r="Z16" s="42">
        <v>13</v>
      </c>
      <c r="AA16" t="e">
        <f t="shared" si="32"/>
        <v>#N/A</v>
      </c>
      <c r="AB16" s="63" t="e">
        <f t="shared" si="33"/>
        <v>#N/A</v>
      </c>
      <c r="AD16" s="194" t="str">
        <f>IF(AF16="Colistine","x",IF(INDEX(Données_ATB!CA$3:CB$63,MATCH(AF16,Données_ATB!CA$3:CA$63,0),2)="Fluoroquinolones","x",IF(INDEX(Données_ATB!CA$3:CB$63,MATCH(AF16,Données_ATB!CA$3:CA$63,0),2)="Cephalosporines 3&amp;4G","x","")))</f>
        <v/>
      </c>
      <c r="AE16" s="219" t="str">
        <f>IFERROR(IF(AG16=0,"",COUNTIF(AG$4:AG$64,"&gt;"&amp;AG16)+COUNTIF(AG$4:AG16,AG16)),"")</f>
        <v/>
      </c>
      <c r="AF16" s="42" t="str">
        <f>Données_ATB!CA15</f>
        <v>Chlortétracycline</v>
      </c>
      <c r="AG16" s="63" t="e">
        <f t="shared" si="34"/>
        <v>#N/A</v>
      </c>
      <c r="AH16" s="42">
        <v>13</v>
      </c>
      <c r="AI16" t="e">
        <f t="shared" si="35"/>
        <v>#N/A</v>
      </c>
      <c r="AJ16" s="63" t="e">
        <f t="shared" si="36"/>
        <v>#N/A</v>
      </c>
      <c r="AL16" s="194" t="str">
        <f t="shared" si="37"/>
        <v/>
      </c>
      <c r="AM16" s="14" t="str">
        <f>IFERROR(IF(AO16=0,"",COUNTIF(AO$4:AO$19,"&gt;"&amp;AO16)+COUNTIF(AO$4:AO16,AO16)),"")</f>
        <v/>
      </c>
      <c r="AN16" t="str">
        <f>Données_ATB!BX15</f>
        <v>Quinolones</v>
      </c>
      <c r="AO16" s="76" t="e">
        <f t="shared" si="3"/>
        <v>#N/A</v>
      </c>
      <c r="AP16">
        <v>13</v>
      </c>
      <c r="AQ16" t="e">
        <f t="shared" si="38"/>
        <v>#N/A</v>
      </c>
      <c r="AR16" s="63" t="e">
        <f t="shared" si="39"/>
        <v>#N/A</v>
      </c>
      <c r="AT16" s="126" t="s">
        <v>4343</v>
      </c>
      <c r="AV16" s="346" t="s">
        <v>586</v>
      </c>
      <c r="AW16" s="347"/>
      <c r="AX16" s="347"/>
      <c r="AY16" s="347"/>
      <c r="AZ16" s="348"/>
      <c r="BB16" s="349" t="s">
        <v>587</v>
      </c>
      <c r="BC16" s="350"/>
      <c r="BD16" s="350"/>
      <c r="BE16" s="350"/>
      <c r="BF16" s="351"/>
      <c r="BH16" s="42">
        <v>1</v>
      </c>
      <c r="BI16" t="e">
        <f>INDEX(BH$4:BK$13,MATCH(BH16,BH$4:BH$13,0),2)</f>
        <v>#N/A</v>
      </c>
      <c r="BJ16" t="e">
        <f>INDEX(BH$4:BK$13,MATCH(BH16,BH$4:BH$13,0),3)</f>
        <v>#N/A</v>
      </c>
      <c r="BK16" s="76" t="e">
        <f>INDEX(BH$4:BK$13,MATCH(BH16,BH$4:BH$13,0),4)</f>
        <v>#N/A</v>
      </c>
      <c r="BM16" s="42" t="e">
        <f>IF(BO16="","",COUNTIF(BO$4:BO$23,"&gt;"&amp;BO16)+COUNTIF(BO$4:BO16,BO16))</f>
        <v>#N/A</v>
      </c>
      <c r="BN16" t="str">
        <f t="shared" si="4"/>
        <v>Pathologie de l’appareil urinaire</v>
      </c>
      <c r="BO16" s="76" t="e">
        <f>IF(IF(CE$2="Catégorie",IF(CE$3="Toutes",SUMIFS('Étape 1 - à remplir'!$F$31:$F$400,'Étape 1 - à remplir'!$D$31:$D$400,MASQ2!BN16,'Étape 1 - à remplir'!$G$31:$G$400,"lots"),SUMIFS('Étape 1 - à remplir'!$F$31:$F$400,'Étape 1 - à remplir'!$D$31:$D$400,MASQ2!BN16,'Étape 1 - à remplir'!$C$31:$C$400,CE$3,'Étape 1 - à remplir'!$G$31:$G$400,"lots")),IF(CE$2="Âge",IF(CE$3="Tous",SUMIFS('Étape 1 - à remplir'!$F$31:$F$400,'Étape 1 - à remplir'!$D$31:$D$400,MASQ2!BN16,'Étape 1 - à remplir'!$G$31:$G$400,"lots"),SUMIFS('Étape 1 - à remplir'!$F$31:$F$400,'Étape 1 - à remplir'!$D$31:$D$400,MASQ2!BN16,'Étape 1 - à remplir'!$P$31:$P$400,CE$3,'Étape 1 - à remplir'!$G$31:$G$400,"lots")),IF(CE$2="Atelier",IF(CE$3="Tous",SUMIFS('Étape 1 - à remplir'!$F$31:$F$400,'Étape 1 - à remplir'!$D$31:$D$400,MASQ2!BN16,'Étape 1 - à remplir'!$G$31:$G$400,"lots"),SUMIFS('Étape 1 - à remplir'!$F$31:$F$400,'Étape 1 - à remplir'!$D$31:$D$400,MASQ2!BN16,'Étape 1 - à remplir'!$O$31:$O$400,CE$3,'Étape 1 - à remplir'!$G$31:$G$400,"lots")),IF(CE$2="Espèce",IF(CE$3="Toutes",SUMIFS('Étape 1 - à remplir'!$F$31:$F$400,'Étape 1 - à remplir'!$D$31:$D$400,MASQ2!BN16,'Étape 1 - à remplir'!$G$31:$G$400,"lots"),SUMIFS('Étape 1 - à remplir'!$F$31:$F$400,'Étape 1 - à remplir'!$D$31:$D$400,MASQ2!BN16,'Étape 1 - à remplir'!$N$31:$N$400,CE$3,'Étape 1 - à remplir'!$G$31:$G$400,"lots"))))))=0,NA(),IF(CE$2="Catégorie",IF(CE$3="Toutes",SUMIFS('Étape 1 - à remplir'!$F$31:$F$400,'Étape 1 - à remplir'!$D$31:$D$400,MASQ2!BN16,'Étape 1 - à remplir'!$G$31:$G$400,"lots"),SUMIFS('Étape 1 - à remplir'!$F$31:$F$400,'Étape 1 - à remplir'!$D$31:$D$400,MASQ2!BN16,'Étape 1 - à remplir'!$C$31:$C$400,CE$3,'Étape 1 - à remplir'!$G$31:$G$400,"lots")),IF(CE$2="Âge",IF(CE$3="Tous",SUMIFS('Étape 1 - à remplir'!$F$31:$F$400,'Étape 1 - à remplir'!$D$31:$D$400,MASQ2!BN16,'Étape 1 - à remplir'!$G$31:$G$400,"lots"),SUMIFS('Étape 1 - à remplir'!$F$31:$F$400,'Étape 1 - à remplir'!$D$31:$D$400,MASQ2!BN16,'Étape 1 - à remplir'!$P$31:$P$400,CE$3,'Étape 1 - à remplir'!$G$31:$G$400,"lots")),IF(CE$2="Atelier",IF(CE$3="Tous",SUMIFS('Étape 1 - à remplir'!$F$31:$F$400,'Étape 1 - à remplir'!$D$31:$D$400,MASQ2!BN16,'Étape 1 - à remplir'!$G$31:$G$400,"lots"),SUMIFS('Étape 1 - à remplir'!$F$31:$F$400,'Étape 1 - à remplir'!$D$31:$D$400,MASQ2!BN16,'Étape 1 - à remplir'!$O$31:$O$400,CE$3,'Étape 1 - à remplir'!$G$31:$G$400,"lots")),IF(CE$2="Espèce",IF(CE$3="Toutes",SUMIFS('Étape 1 - à remplir'!$F$31:$F$400,'Étape 1 - à remplir'!$D$31:$D$400,MASQ2!BN16,'Étape 1 - à remplir'!$G$31:$G$400,"lots"),SUMIFS('Étape 1 - à remplir'!$F$31:$F$400,'Étape 1 - à remplir'!$D$31:$D$400,MASQ2!BN16,'Étape 1 - à remplir'!$N$31:$N$400,CE$3,'Étape 1 - à remplir'!$G$31:$G$400,"lots")))))))</f>
        <v>#N/A</v>
      </c>
      <c r="BP16">
        <v>13</v>
      </c>
      <c r="BQ16" t="e">
        <f t="shared" si="40"/>
        <v>#N/A</v>
      </c>
      <c r="BR16" s="63" t="e">
        <f t="shared" si="41"/>
        <v>#N/A</v>
      </c>
      <c r="BT16" s="194" t="str">
        <f t="shared" ca="1" si="5"/>
        <v>x</v>
      </c>
      <c r="BU16" s="219" t="str">
        <f>IFERROR(IF(BX16=0,"",COUNTIF(BX$4:BX$600,"&gt;"&amp;BX16)+COUNTIF(BX$4:BX16,BX16)),"")</f>
        <v/>
      </c>
      <c r="BV16" s="42" t="str">
        <f t="shared" si="6"/>
        <v>ADVOCINE 25</v>
      </c>
      <c r="BW16" t="e">
        <f>IF(IF(CE$2="Catégorie",IF(CE$3="Toutes",SUMIFS('Étape 1 - à remplir'!$F$31:$F$400,'Étape 1 - à remplir'!$E$31:$E$400,MASQ2!BV16,'Étape 1 - à remplir'!$G$31:$G$400,"lots"),SUMIFS('Étape 1 - à remplir'!$F$31:$F$400,'Étape 1 - à remplir'!$E$31:$E$400,MASQ2!BV16,'Étape 1 - à remplir'!$C$31:$C$400,CE$3)),IF(CE$2="Âge",IF(CE$3="Tous",SUMIFS('Étape 1 - à remplir'!$F$31:$F$400,'Étape 1 - à remplir'!$E$31:$E$400,MASQ2!BV16,'Étape 1 - à remplir'!$G$31:$G$400,"lots"),SUMIFS('Étape 1 - à remplir'!$F$31:$F$400,'Étape 1 - à remplir'!$E$31:$E$400,MASQ2!BV16,'Étape 1 - à remplir'!$P$31:$P$400,CE$3,'Étape 1 - à remplir'!$G$31:$G$400,"lots")),IF(CE$2="Atelier",IF(CE$3="Tous",SUMIFS('Étape 1 - à remplir'!$F$31:$F$400,'Étape 1 - à remplir'!$E$31:$E$400,MASQ2!BV16,'Étape 1 - à remplir'!$G$31:$G$400,"lots"),SUMIFS('Étape 1 - à remplir'!$F$31:$F$400,'Étape 1 - à remplir'!$E$31:$E$400,MASQ2!BV16,'Étape 1 - à remplir'!$O$31:$O$400,CE$3,'Étape 1 - à remplir'!$G$31:$G$400,"lots")),IF(CE$2="Espèce",IF(CE$3="Toutes",SUMIFS('Étape 1 - à remplir'!$F$31:$F$400,'Étape 1 - à remplir'!$E$31:$E$400,MASQ2!BV16,'Étape 1 - à remplir'!$G$31:$G$400,"lots"),SUMIFS('Étape 1 - à remplir'!$F$31:$F$400,'Étape 1 - à remplir'!$E$31:$E$400,MASQ2!BV16,'Étape 1 - à remplir'!$N$31:$N$400,CE$3,'Étape 1 - à remplir'!$G$31:$G$400,"lots"))))))=0,NA(),IF(CE$2="Catégorie",IF(CE$3="Toutes",SUMIFS('Étape 1 - à remplir'!$F$31:$F$400,'Étape 1 - à remplir'!$E$31:$E$400,MASQ2!BV16,'Étape 1 - à remplir'!$G$31:$G$400,"lots"),SUMIFS('Étape 1 - à remplir'!$F$31:$F$400,'Étape 1 - à remplir'!$E$31:$E$400,MASQ2!BV16,'Étape 1 - à remplir'!$C$31:$C$400,CE$3)),IF(CE$2="Âge",IF(CE$3="Tous",SUMIFS('Étape 1 - à remplir'!$F$31:$F$400,'Étape 1 - à remplir'!$E$31:$E$400,MASQ2!BV16,'Étape 1 - à remplir'!$G$31:$G$400,"lots"),SUMIFS('Étape 1 - à remplir'!$F$31:$F$400,'Étape 1 - à remplir'!$E$31:$E$400,MASQ2!BV16,'Étape 1 - à remplir'!$P$31:$P$400,CE$3,'Étape 1 - à remplir'!$G$31:$G$400,"lots")),IF(CE$2="Atelier",IF(CE$3="Tous",SUMIFS('Étape 1 - à remplir'!$F$31:$F$400,'Étape 1 - à remplir'!$E$31:$E$400,MASQ2!BV16,'Étape 1 - à remplir'!$G$31:$G$400,"lots"),SUMIFS('Étape 1 - à remplir'!$F$31:$F$400,'Étape 1 - à remplir'!$E$31:$E$400,MASQ2!BV16,'Étape 1 - à remplir'!$O$31:$O$400,CE$3,'Étape 1 - à remplir'!$G$31:$G$400,"lots")),IF(CE$2="Espèce",IF(CE$3="Toutes",SUMIFS('Étape 1 - à remplir'!$F$31:$F$400,'Étape 1 - à remplir'!$E$31:$E$400,MASQ2!BV16,'Étape 1 - à remplir'!$G$31:$G$400,"lots"),SUMIFS('Étape 1 - à remplir'!$F$31:$F$400,'Étape 1 - à remplir'!$E$31:$E$400,MASQ2!BV16,'Étape 1 - à remplir'!$N$31:$N$400,CE$3,'Étape 1 - à remplir'!$G$31:$G$400,"lots")))))))</f>
        <v>#N/A</v>
      </c>
      <c r="BX16">
        <f t="shared" si="42"/>
        <v>0</v>
      </c>
      <c r="BY16" t="str">
        <f t="shared" si="7"/>
        <v>Danofloxacine</v>
      </c>
      <c r="BZ16" t="str">
        <f t="shared" si="8"/>
        <v/>
      </c>
      <c r="CA16" t="str">
        <f t="shared" si="9"/>
        <v/>
      </c>
      <c r="CB16" t="str">
        <f t="shared" si="10"/>
        <v>Fluoroquinolones</v>
      </c>
      <c r="CC16" t="str">
        <f t="shared" si="11"/>
        <v/>
      </c>
      <c r="CD16" s="63" t="str">
        <f t="shared" si="12"/>
        <v/>
      </c>
      <c r="CG16" s="42">
        <v>13</v>
      </c>
      <c r="CH16" s="42" t="e">
        <f t="shared" si="43"/>
        <v>#N/A</v>
      </c>
      <c r="CI16" s="63" t="e">
        <f t="shared" si="44"/>
        <v>#N/A</v>
      </c>
      <c r="CK16" s="194" t="str">
        <f t="shared" si="13"/>
        <v/>
      </c>
      <c r="CL16" s="226" t="str">
        <f>IFERROR(IF(CN16=0,"",COUNTIF(CN$4:CN$64,"&gt;"&amp;CN16)+COUNTIF(CN$4:CN16,CN16)),"")</f>
        <v/>
      </c>
      <c r="CM16" t="str">
        <f t="shared" si="14"/>
        <v>Chlortétracycline</v>
      </c>
      <c r="CN16" s="76" t="e">
        <f t="shared" si="45"/>
        <v>#N/A</v>
      </c>
      <c r="CO16">
        <v>13</v>
      </c>
      <c r="CP16" t="e">
        <f t="shared" si="46"/>
        <v>#N/A</v>
      </c>
      <c r="CQ16" s="63" t="e">
        <f t="shared" si="47"/>
        <v>#N/A</v>
      </c>
      <c r="CS16" s="194" t="str">
        <f t="shared" si="15"/>
        <v/>
      </c>
      <c r="CT16" s="14" t="str">
        <f>IFERROR(IF(CV16=0,"",COUNTIF(CV$4:CV$19,"&gt;"&amp;CV16)+COUNTIF(CV$4:CV16,CV16)),"")</f>
        <v/>
      </c>
      <c r="CU16" s="230" t="str">
        <f t="shared" si="16"/>
        <v>Quinolones</v>
      </c>
      <c r="CV16" s="76" t="e">
        <f t="shared" si="48"/>
        <v>#N/A</v>
      </c>
      <c r="CW16">
        <v>13</v>
      </c>
      <c r="CX16" t="e">
        <f t="shared" si="49"/>
        <v>#N/A</v>
      </c>
      <c r="CY16" s="63" t="e">
        <f t="shared" si="50"/>
        <v>#N/A</v>
      </c>
      <c r="DA16" s="126" t="s">
        <v>4343</v>
      </c>
      <c r="DB16" s="113"/>
      <c r="DC16" s="328" t="s">
        <v>586</v>
      </c>
      <c r="DD16" s="329"/>
      <c r="DE16" s="329"/>
      <c r="DF16" s="329"/>
      <c r="DG16" s="330"/>
      <c r="DI16" s="328" t="s">
        <v>587</v>
      </c>
      <c r="DJ16" s="329"/>
      <c r="DK16" s="329"/>
      <c r="DL16" s="329"/>
      <c r="DM16" s="330"/>
      <c r="DO16" s="42">
        <v>1</v>
      </c>
      <c r="DP16" t="e">
        <f>INDEX(DO$4:DR$13,MATCH(DO16,DO$4:DO$13,0),2)</f>
        <v>#N/A</v>
      </c>
      <c r="DQ16" t="e">
        <f>INDEX(DO$4:DR$13,MATCH(DO16,DO$4:DO$13,0),3)</f>
        <v>#N/A</v>
      </c>
      <c r="DR16" s="63" t="e">
        <f>INDEX(DO$4:DR$13,MATCH(DO16,DO$4:DO$13,0),4)</f>
        <v>#N/A</v>
      </c>
      <c r="DT16" s="42" t="e">
        <f>IF(DV16="","",COUNTIF(DV$4:DV$23,"&gt;"&amp;DV16)+COUNTIF(DV$4:DV16,DV16))</f>
        <v>#N/A</v>
      </c>
      <c r="DU16" t="str">
        <f t="shared" si="17"/>
        <v>Pathologie de l’appareil urinaire</v>
      </c>
      <c r="DV16" s="63" t="e">
        <f>IF(IF(EL$2="Catégorie",IF(EL$3="Toutes",SUMIFS('Étape 1 - à remplir'!$F$31:$F$400,'Étape 1 - à remplir'!$D$31:$D$400,MASQ2!DU16,'Étape 1 - à remplir'!$G$31:$G$400,"kg"),SUMIFS('Étape 1 - à remplir'!$F$31:$F$400,'Étape 1 - à remplir'!$D$31:$D$400,MASQ2!DU16,'Étape 1 - à remplir'!$C$31:$C$400,EL$3,'Étape 1 - à remplir'!$G$31:$G$400,"kg")),IF(EL$2="Âge",IF(EL$3="Tous",SUMIFS('Étape 1 - à remplir'!$F$31:$F$400,'Étape 1 - à remplir'!$D$31:$D$400,MASQ2!DU16,'Étape 1 - à remplir'!$G$31:$G$400,"kg"),SUMIFS('Étape 1 - à remplir'!$F$31:$F$400,'Étape 1 - à remplir'!$D$31:$D$400,MASQ2!DU16,'Étape 1 - à remplir'!$P$31:$P$400,EL$3,'Étape 1 - à remplir'!$G$31:$G$400,"kg")),IF(EL$2="Atelier",IF(EL$3="Tous",SUMIFS('Étape 1 - à remplir'!$F$31:$F$400,'Étape 1 - à remplir'!$D$31:$D$400,MASQ2!DU16,'Étape 1 - à remplir'!$G$31:$G$400,"kg"),SUMIFS('Étape 1 - à remplir'!$F$31:$F$400,'Étape 1 - à remplir'!$D$31:$D$400,MASQ2!DU16,'Étape 1 - à remplir'!$O$31:$O$400,EL$3,'Étape 1 - à remplir'!$G$31:$G$400,"kg")),IF(EL$2="Espèce",IF(EL$3="Toutes",SUMIFS('Étape 1 - à remplir'!$F$31:$F$400,'Étape 1 - à remplir'!$D$31:$D$400,MASQ2!DU16,'Étape 1 - à remplir'!$G$31:$G$400,"kg"),SUMIFS('Étape 1 - à remplir'!$F$31:$F$400,'Étape 1 - à remplir'!$D$31:$D$400,MASQ2!DU16,'Étape 1 - à remplir'!$N$31:$N$400,EL$3,'Étape 1 - à remplir'!$G$31:$G$400,"kg"))))))=0,NA(),IF(EL$2="Catégorie",IF(EL$3="Toutes",SUMIFS('Étape 1 - à remplir'!$F$31:$F$400,'Étape 1 - à remplir'!$D$31:$D$400,MASQ2!DU16,'Étape 1 - à remplir'!$G$31:$G$400,"kg"),SUMIFS('Étape 1 - à remplir'!$F$31:$F$400,'Étape 1 - à remplir'!$D$31:$D$400,MASQ2!DU16,'Étape 1 - à remplir'!$C$31:$C$400,EL$3,'Étape 1 - à remplir'!$G$31:$G$400,"kg")),IF(EL$2="Âge",IF(EL$3="Tous",SUMIFS('Étape 1 - à remplir'!$F$31:$F$400,'Étape 1 - à remplir'!$D$31:$D$400,MASQ2!DU16,'Étape 1 - à remplir'!$G$31:$G$400,"kg"),SUMIFS('Étape 1 - à remplir'!$F$31:$F$400,'Étape 1 - à remplir'!$D$31:$D$400,MASQ2!DU16,'Étape 1 - à remplir'!$P$31:$P$400,EL$3,'Étape 1 - à remplir'!$G$31:$G$400,"kg")),IF(EL$2="Atelier",IF(EL$3="Tous",SUMIFS('Étape 1 - à remplir'!$F$31:$F$400,'Étape 1 - à remplir'!$D$31:$D$400,MASQ2!DU16,'Étape 1 - à remplir'!$G$31:$G$400,"kg"),SUMIFS('Étape 1 - à remplir'!$F$31:$F$400,'Étape 1 - à remplir'!$D$31:$D$400,MASQ2!DU16,'Étape 1 - à remplir'!$O$31:$O$400,EL$3,'Étape 1 - à remplir'!$G$31:$G$400,"kg")),IF(EL$2="Espèce",IF(EL$3="Toutes",SUMIFS('Étape 1 - à remplir'!$F$31:$F$400,'Étape 1 - à remplir'!$D$31:$D$400,MASQ2!DU16,'Étape 1 - à remplir'!$G$31:$G$400,"kg"),SUMIFS('Étape 1 - à remplir'!$F$31:$F$400,'Étape 1 - à remplir'!$D$31:$D$400,MASQ2!DU16,'Étape 1 - à remplir'!$N$31:$N$400,EL$3,'Étape 1 - à remplir'!$G$31:$G$400,"kg")))))))</f>
        <v>#N/A</v>
      </c>
      <c r="DW16" s="42">
        <v>13</v>
      </c>
      <c r="DX16" t="e">
        <f t="shared" si="51"/>
        <v>#N/A</v>
      </c>
      <c r="DY16" s="63" t="e">
        <f t="shared" si="52"/>
        <v>#N/A</v>
      </c>
      <c r="EA16" s="194" t="str">
        <f t="shared" ca="1" si="18"/>
        <v>x</v>
      </c>
      <c r="EB16" s="226" t="str">
        <f>IFERROR(IF(ED16=0,"",COUNTIF(ED$4:ED$600,"&gt;"&amp;ED16)+COUNTIF(ED$4:ED16,ED16)),"")</f>
        <v/>
      </c>
      <c r="EC16" t="str">
        <f t="shared" si="19"/>
        <v>ADVOCINE 25</v>
      </c>
      <c r="ED16" t="e">
        <f>IF(IF(EL$2="Catégorie",IF(EL$3="Toutes",SUMIFS('Étape 1 - à remplir'!$F$31:$F$400,'Étape 1 - à remplir'!$E$31:$E$400,MASQ2!EC16,'Étape 1 - à remplir'!$G$31:$G$400,"kg"),SUMIFS('Étape 1 - à remplir'!$F$31:$F$400,'Étape 1 - à remplir'!$E$31:$E$400,MASQ2!EC16,'Étape 1 - à remplir'!$C$31:$C$400,EL$3)),IF(EL$2="Âge",IF(EL$3="Tous",SUMIFS('Étape 1 - à remplir'!$F$31:$F$400,'Étape 1 - à remplir'!$E$31:$E$400,MASQ2!EC16,'Étape 1 - à remplir'!$G$31:$G$400,"kg"),SUMIFS('Étape 1 - à remplir'!$F$31:$F$400,'Étape 1 - à remplir'!$E$31:$E$400,MASQ2!EC16,'Étape 1 - à remplir'!$P$31:$P$400,EL$3,'Étape 1 - à remplir'!$G$31:$G$400,"kg")),IF(EL$2="Atelier",IF(EL$3="Tous",SUMIFS('Étape 1 - à remplir'!$F$31:$F$400,'Étape 1 - à remplir'!$E$31:$E$400,MASQ2!EC16,'Étape 1 - à remplir'!$G$31:$G$400,"kg"),SUMIFS('Étape 1 - à remplir'!$F$31:$F$400,'Étape 1 - à remplir'!$E$31:$E$400,MASQ2!EC16,'Étape 1 - à remplir'!$O$31:$O$400,EL$3,'Étape 1 - à remplir'!$G$31:$G$400,"kg")),IF(EL$2="Espèce",IF(EL$3="Toutes",SUMIFS('Étape 1 - à remplir'!$F$31:$F$400,'Étape 1 - à remplir'!$E$31:$E$400,MASQ2!EC16,'Étape 1 - à remplir'!$G$31:$G$400,"kg"),SUMIFS('Étape 1 - à remplir'!$F$31:$F$400,'Étape 1 - à remplir'!$E$31:$E$400,MASQ2!EC16,'Étape 1 - à remplir'!$N$31:$N$400,EL$3,'Étape 1 - à remplir'!$G$31:$G$400,"kg"))))))=0,NA(),IF(EL$2="Catégorie",IF(EL$3="Toutes",SUMIFS('Étape 1 - à remplir'!$F$31:$F$400,'Étape 1 - à remplir'!$E$31:$E$400,MASQ2!EC16,'Étape 1 - à remplir'!$G$31:$G$400,"kg"),SUMIFS('Étape 1 - à remplir'!$F$31:$F$400,'Étape 1 - à remplir'!$E$31:$E$400,MASQ2!EC16,'Étape 1 - à remplir'!$C$31:$C$400,EL$3)),IF(EL$2="Âge",IF(EL$3="Tous",SUMIFS('Étape 1 - à remplir'!$F$31:$F$400,'Étape 1 - à remplir'!$E$31:$E$400,MASQ2!EC16,'Étape 1 - à remplir'!$G$31:$G$400,"kg"),SUMIFS('Étape 1 - à remplir'!$F$31:$F$400,'Étape 1 - à remplir'!$E$31:$E$400,MASQ2!EC16,'Étape 1 - à remplir'!$P$31:$P$400,EL$3,'Étape 1 - à remplir'!$G$31:$G$400,"kg")),IF(EL$2="Atelier",IF(EL$3="Tous",SUMIFS('Étape 1 - à remplir'!$F$31:$F$400,'Étape 1 - à remplir'!$E$31:$E$400,MASQ2!EC16,'Étape 1 - à remplir'!$G$31:$G$400,"kg"),SUMIFS('Étape 1 - à remplir'!$F$31:$F$400,'Étape 1 - à remplir'!$E$31:$E$400,MASQ2!EC16,'Étape 1 - à remplir'!$O$31:$O$400,EL$3,'Étape 1 - à remplir'!$G$31:$G$400,"kg")),IF(EL$2="Espèce",IF(EL$3="Toutes",SUMIFS('Étape 1 - à remplir'!$F$31:$F$400,'Étape 1 - à remplir'!$E$31:$E$400,MASQ2!EC16,'Étape 1 - à remplir'!$G$31:$G$400,"kg"),SUMIFS('Étape 1 - à remplir'!$F$31:$F$400,'Étape 1 - à remplir'!$E$31:$E$400,MASQ2!EC16,'Étape 1 - à remplir'!$N$31:$N$400,EL$3,'Étape 1 - à remplir'!$G$31:$G$400,"kg")))))))</f>
        <v>#N/A</v>
      </c>
      <c r="EE16" s="76">
        <f t="shared" si="53"/>
        <v>0</v>
      </c>
      <c r="EF16" t="str">
        <f t="shared" si="20"/>
        <v>Danofloxacine</v>
      </c>
      <c r="EG16" t="str">
        <f t="shared" si="21"/>
        <v/>
      </c>
      <c r="EH16" t="str">
        <f t="shared" si="22"/>
        <v/>
      </c>
      <c r="EI16" t="str">
        <f t="shared" si="23"/>
        <v>Fluoroquinolones</v>
      </c>
      <c r="EJ16" t="str">
        <f t="shared" si="24"/>
        <v/>
      </c>
      <c r="EK16" s="63" t="str">
        <f t="shared" si="25"/>
        <v/>
      </c>
      <c r="EN16" s="42">
        <v>13</v>
      </c>
      <c r="EO16" t="e">
        <f t="shared" si="68"/>
        <v>#N/A</v>
      </c>
      <c r="EP16" s="63" t="e">
        <f t="shared" si="69"/>
        <v>#N/A</v>
      </c>
      <c r="ER16" s="194" t="str">
        <f t="shared" si="26"/>
        <v/>
      </c>
      <c r="ES16" s="226" t="str">
        <f>IFERROR(IF(EU16=0,"",COUNTIF(EU$4:EU$64,"&gt;"&amp;EU16)+COUNTIF(EU$4:EU16,EU16)),"")</f>
        <v/>
      </c>
      <c r="ET16" t="str">
        <f t="shared" si="27"/>
        <v>Chlortétracycline</v>
      </c>
      <c r="EU16" s="76" t="e">
        <f t="shared" si="56"/>
        <v>#N/A</v>
      </c>
      <c r="EV16">
        <v>13</v>
      </c>
      <c r="EW16" t="e">
        <f t="shared" si="57"/>
        <v>#N/A</v>
      </c>
      <c r="EX16" s="63" t="e">
        <f t="shared" si="58"/>
        <v>#N/A</v>
      </c>
      <c r="EZ16" s="194" t="str">
        <f t="shared" si="28"/>
        <v/>
      </c>
      <c r="FA16" s="226" t="str">
        <f>IFERROR(IF(FC16=0,"",COUNTIF(FC$4:FC$19,"&gt;"&amp;FC16)+COUNTIF(FC$4:FC16,FC16)),"")</f>
        <v/>
      </c>
      <c r="FB16" t="str">
        <f t="shared" si="29"/>
        <v>Quinolones</v>
      </c>
      <c r="FC16" s="76" t="e">
        <f t="shared" si="59"/>
        <v>#N/A</v>
      </c>
      <c r="FD16">
        <v>13</v>
      </c>
      <c r="FE16" t="e">
        <f t="shared" si="60"/>
        <v>#N/A</v>
      </c>
      <c r="FF16" s="63" t="e">
        <f t="shared" si="61"/>
        <v>#N/A</v>
      </c>
      <c r="FH16" s="126" t="s">
        <v>4343</v>
      </c>
      <c r="FI16" s="113"/>
      <c r="FJ16" s="328" t="s">
        <v>586</v>
      </c>
      <c r="FK16" s="329"/>
      <c r="FL16" s="329"/>
      <c r="FM16" s="329"/>
      <c r="FN16" s="330"/>
      <c r="FP16" s="328" t="s">
        <v>587</v>
      </c>
      <c r="FQ16" s="329"/>
      <c r="FR16" s="329"/>
      <c r="FS16" s="329"/>
      <c r="FT16" s="330"/>
    </row>
    <row r="17" spans="1:177" x14ac:dyDescent="0.3">
      <c r="A17" s="42">
        <v>2</v>
      </c>
      <c r="B17" t="e">
        <f t="shared" ref="B17:B25" si="70">INDEX(A$4:D$13,MATCH(A17,A$4:A$13,0),2)</f>
        <v>#N/A</v>
      </c>
      <c r="C17" t="e">
        <f t="shared" ref="C17:C25" si="71">INDEX(A$4:D$13,MATCH(A17,A$4:A$13,0),3)</f>
        <v>#N/A</v>
      </c>
      <c r="D17" s="63" t="e">
        <f t="shared" ref="D17:D25" si="72">INDEX(A$4:D$13,MATCH(A17,A$4:A$13,0),4)</f>
        <v>#N/A</v>
      </c>
      <c r="E17" s="188"/>
      <c r="F17" s="118" t="str">
        <f>IFERROR(IF(H17="","",COUNTIF(H$4:H$23,"&gt;"&amp;H17)+COUNTIF(H$4:H17,H17)),"")</f>
        <v/>
      </c>
      <c r="G17" t="str">
        <f>Données_ATB!CG16</f>
        <v>Pathologie digestive (diarrhées)</v>
      </c>
      <c r="H17" s="76" t="e">
        <f>IF(IF(X$2="Catégorie",IF(X$3="Toutes",SUMIFS('Étape 1 - à remplir'!F$31:F$400,'Étape 1 - à remplir'!D$31:D$400,MASQ2!G17,'Étape 1 - à remplir'!G$31:G$400,"animaux"),SUMIFS('Étape 1 - à remplir'!F$31:F$400,'Étape 1 - à remplir'!D$31:D$400,MASQ2!G17,'Étape 1 - à remplir'!C$31:C$400,X$3)),IF(X$2="Âge",IF(X$3="Tous",SUMIFS('Étape 1 - à remplir'!F$31:F$400,'Étape 1 - à remplir'!D$31:D$400,MASQ2!G17,'Étape 1 - à remplir'!G$31:G$400,"animaux"),SUMIFS('Étape 1 - à remplir'!F$31:F$400,'Étape 1 - à remplir'!D$31:D$400,MASQ2!G17,'Étape 1 - à remplir'!P$31:P$400,X$3)),IF(X$2="Atelier",IF(X$3="Tous",SUMIFS('Étape 1 - à remplir'!F$31:F$400,'Étape 1 - à remplir'!D$31:D$400,MASQ2!G17,'Étape 1 - à remplir'!G$31:G$400,"animaux"),SUMIFS('Étape 1 - à remplir'!F$31:F$400,'Étape 1 - à remplir'!D$31:D$400,MASQ2!G17,'Étape 1 - à remplir'!O$31:O$400,X$3)),IF(X$2="Espèce",IF(X$3="Toutes",SUMIFS('Étape 1 - à remplir'!F$31:F$400,'Étape 1 - à remplir'!D$31:D$400,MASQ2!G17,'Étape 1 - à remplir'!G$31:G$400,"animaux"),SUMIFS('Étape 1 - à remplir'!F$31:F$400,'Étape 1 - à remplir'!D$31:D$400,MASQ2!G17,'Étape 1 - à remplir'!N$31:N$400,X$3))))))=0,NA(),IF(X$2="Catégorie",IF(X$3="Toutes",SUMIFS('Étape 1 - à remplir'!F$31:F$400,'Étape 1 - à remplir'!D$31:D$400,MASQ2!G17,'Étape 1 - à remplir'!G$31:G$400,"animaux"),SUMIFS('Étape 1 - à remplir'!F$31:F$400,'Étape 1 - à remplir'!D$31:D$400,MASQ2!G17,'Étape 1 - à remplir'!C$31:C$400,X$3)),IF(X$2="Âge",IF(X$3="Tous",SUMIFS('Étape 1 - à remplir'!F$31:F$400,'Étape 1 - à remplir'!D$31:D$400,MASQ2!G17,'Étape 1 - à remplir'!G$31:G$400,"animaux"),SUMIFS('Étape 1 - à remplir'!F$31:F$400,'Étape 1 - à remplir'!D$31:D$400,MASQ2!G17,'Étape 1 - à remplir'!P$31:P$400,X$3)),IF(X$2="Atelier",IF(X$3="Tous",SUMIFS('Étape 1 - à remplir'!F$31:F$400,'Étape 1 - à remplir'!D$31:D$400,MASQ2!G17,'Étape 1 - à remplir'!G$31:G$400,"animaux"),SUMIFS('Étape 1 - à remplir'!F$31:F$400,'Étape 1 - à remplir'!D$31:D$400,MASQ2!G17,'Étape 1 - à remplir'!O$31:O$400,X$3)),IF(X$2="Espèce",IF(X$3="Tous",SUMIFS('Étape 1 - à remplir'!F$31:F$400,'Étape 1 - à remplir'!D$31:D$400,MASQ2!G17,'Étape 1 - à remplir'!G$31:G$400,"animaux"),SUMIFS('Étape 1 - à remplir'!F$31:F$400,'Étape 1 - à remplir'!D$31:D$400,MASQ2!G17,'Étape 1 - à remplir'!N$31:N$400,X$3)))))))</f>
        <v>#N/A</v>
      </c>
      <c r="I17" s="118">
        <v>14</v>
      </c>
      <c r="J17" t="e">
        <f t="shared" si="66"/>
        <v>#N/A</v>
      </c>
      <c r="K17" s="76" t="e">
        <f t="shared" si="67"/>
        <v>#N/A</v>
      </c>
      <c r="M17" s="194" t="str">
        <f ca="1">INDEX(Données_ATB!BD:BU,MATCH(MASQ2!O17,Données_ATB!BD:BD,0),18)</f>
        <v/>
      </c>
      <c r="N17" s="14" t="str">
        <f>IFERROR(IF(Q17=0,"",COUNTIF(Q$4:Q$600,"&gt;"&amp;Q17)+COUNTIF(Q$4:Q17,Q17)),"")</f>
        <v/>
      </c>
      <c r="O17" t="str">
        <f>Données_ATB!BD16</f>
        <v>AIVLOSIN 42,5 MG/G POUDRE ORALE POUR PORCS</v>
      </c>
      <c r="P17" t="e">
        <f>IF(IF(X$2="Catégorie",IF(X$3="Toutes",SUMIFS('Étape 1 - à remplir'!$F$31:$F$400,'Étape 1 - à remplir'!$E$31:$E$400,MASQ2!O17,'Étape 1 - à remplir'!$G$31:$G$400,"animaux"),SUMIFS('Étape 1 - à remplir'!$F$31:$F$400,'Étape 1 - à remplir'!$E$31:$E$400,MASQ2!O17,'Étape 1 - à remplir'!$C$31:$C$400,X$3)),IF(X$2="Âge",IF(X$3="Tous",SUMIFS('Étape 1 - à remplir'!$F$31:$F$400,'Étape 1 - à remplir'!$E$31:$E$400,MASQ2!O17,'Étape 1 - à remplir'!$G$31:$G$400,"animaux"),SUMIFS('Étape 1 - à remplir'!$F$31:$F$400,'Étape 1 - à remplir'!$E$31:$E$400,MASQ2!O17,'Étape 1 - à remplir'!$P$31:$P$400,X$3)),IF(X$2="Atelier",IF(X$3="Tous",SUMIFS('Étape 1 - à remplir'!$F$31:$F$400,'Étape 1 - à remplir'!$E$31:$E$400,MASQ2!O17,'Étape 1 - à remplir'!$G$31:$G$400,"animaux"),SUMIFS('Étape 1 - à remplir'!$F$31:$F$400,'Étape 1 - à remplir'!$E$31:$E$400,MASQ2!O17,'Étape 1 - à remplir'!$O$31:$O$400,X$3)),IF(X$2="Espèce",IF(X$3="Toutes",SUMIFS('Étape 1 - à remplir'!$F$31:$F$400,'Étape 1 - à remplir'!$E$31:$E$400,MASQ2!O17,'Étape 1 - à remplir'!$G$31:$G$400,"animaux"),SUMIFS('Étape 1 - à remplir'!$F$31:$F$400,'Étape 1 - à remplir'!$E$31:$E$400,MASQ2!O17,'Étape 1 - à remplir'!$N$31:$N$400,X$3))))))=0,NA(),IF(X$2="Catégorie",IF(X$3="Toutes",SUMIFS('Étape 1 - à remplir'!$F$31:$F$400,'Étape 1 - à remplir'!$E$31:$E$400,MASQ2!O17,'Étape 1 - à remplir'!$G$31:$G$400,"animaux"),SUMIFS('Étape 1 - à remplir'!$F$31:$F$400,'Étape 1 - à remplir'!$E$31:$E$400,MASQ2!O17,'Étape 1 - à remplir'!$C$31:$C$400,X$3)),IF(X$2="Âge",IF(X$3="Tous",SUMIFS('Étape 1 - à remplir'!$F$31:$F$400,'Étape 1 - à remplir'!$E$31:$E$400,MASQ2!O17,'Étape 1 - à remplir'!$G$31:$G$400,"animaux"),SUMIFS('Étape 1 - à remplir'!$F$31:$F$400,'Étape 1 - à remplir'!$E$31:$E$400,MASQ2!O17,'Étape 1 - à remplir'!$P$31:$P$400,X$3)),IF(X$2="Atelier",IF(X$3="Tous",SUMIFS('Étape 1 - à remplir'!$F$31:$F$400,'Étape 1 - à remplir'!$E$31:$E$400,MASQ2!O17,'Étape 1 - à remplir'!$G$31:$G$400,"animaux"),SUMIFS('Étape 1 - à remplir'!$F$31:$F$400,'Étape 1 - à remplir'!$E$31:$E$400,MASQ2!O17,'Étape 1 - à remplir'!$O$31:$O$400,X$3)),IF(X$2="Espèce",IF(X$3="Toutes",SUMIFS('Étape 1 - à remplir'!$F$31:$F$400,'Étape 1 - à remplir'!$E$31:$E$400,MASQ2!O17,'Étape 1 - à remplir'!$G$31:$G$400,"animaux"),SUMIFS('Étape 1 - à remplir'!$F$31:$F$400,'Étape 1 - à remplir'!$E$31:$E$400,MASQ2!O17,'Étape 1 - à remplir'!$N$31:$N$400,X$3)))))))</f>
        <v>#N/A</v>
      </c>
      <c r="Q17" s="63">
        <f t="shared" si="62"/>
        <v>0</v>
      </c>
      <c r="R17" t="str">
        <f>Données_ATB!BM16</f>
        <v>Tylvalosine</v>
      </c>
      <c r="S17" t="str">
        <f>Données_ATB!BN16</f>
        <v/>
      </c>
      <c r="T17" s="63" t="str">
        <f>Données_ATB!BO16</f>
        <v/>
      </c>
      <c r="U17" s="42" t="str">
        <f>Données_ATB!BQ16</f>
        <v>Macrolides</v>
      </c>
      <c r="V17" t="str">
        <f>Données_ATB!BR16</f>
        <v/>
      </c>
      <c r="W17" s="63" t="str">
        <f>Données_ATB!BS16</f>
        <v/>
      </c>
      <c r="Z17" s="42">
        <v>14</v>
      </c>
      <c r="AA17" t="e">
        <f t="shared" si="32"/>
        <v>#N/A</v>
      </c>
      <c r="AB17" s="63" t="e">
        <f t="shared" si="33"/>
        <v>#N/A</v>
      </c>
      <c r="AD17" s="194" t="str">
        <f>IF(AF17="Colistine","x",IF(INDEX(Données_ATB!CA$3:CB$63,MATCH(AF17,Données_ATB!CA$3:CA$63,0),2)="Fluoroquinolones","x",IF(INDEX(Données_ATB!CA$3:CB$63,MATCH(AF17,Données_ATB!CA$3:CA$63,0),2)="Cephalosporines 3&amp;4G","x","")))</f>
        <v/>
      </c>
      <c r="AE17" s="219" t="str">
        <f>IFERROR(IF(AG17=0,"",COUNTIF(AG$4:AG$64,"&gt;"&amp;AG17)+COUNTIF(AG$4:AG17,AG17)),"")</f>
        <v/>
      </c>
      <c r="AF17" s="42" t="str">
        <f>Données_ATB!CA16</f>
        <v>Acide clavulanique</v>
      </c>
      <c r="AG17" s="63" t="e">
        <f t="shared" si="34"/>
        <v>#N/A</v>
      </c>
      <c r="AH17" s="42">
        <v>14</v>
      </c>
      <c r="AI17" t="e">
        <f t="shared" si="35"/>
        <v>#N/A</v>
      </c>
      <c r="AJ17" s="63" t="e">
        <f t="shared" si="36"/>
        <v>#N/A</v>
      </c>
      <c r="AL17" s="194" t="str">
        <f t="shared" si="37"/>
        <v/>
      </c>
      <c r="AM17" s="14" t="str">
        <f>IFERROR(IF(AO17=0,"",COUNTIF(AO$4:AO$19,"&gt;"&amp;AO17)+COUNTIF(AO$4:AO17,AO17)),"")</f>
        <v/>
      </c>
      <c r="AN17" t="str">
        <f>Données_ATB!BX16</f>
        <v>Sulfamides</v>
      </c>
      <c r="AO17" s="76" t="e">
        <f t="shared" si="3"/>
        <v>#N/A</v>
      </c>
      <c r="AP17">
        <v>14</v>
      </c>
      <c r="AQ17" t="e">
        <f t="shared" si="38"/>
        <v>#N/A</v>
      </c>
      <c r="AR17" s="63" t="e">
        <f t="shared" si="39"/>
        <v>#N/A</v>
      </c>
      <c r="AT17" s="127" t="s">
        <v>584</v>
      </c>
      <c r="AV17" s="122" t="s">
        <v>4349</v>
      </c>
      <c r="AW17" t="s">
        <v>582</v>
      </c>
      <c r="AX17" s="109" t="s">
        <v>582</v>
      </c>
      <c r="AY17" t="s">
        <v>582</v>
      </c>
      <c r="AZ17" s="123" t="s">
        <v>4351</v>
      </c>
      <c r="BB17" s="120" t="s">
        <v>4349</v>
      </c>
      <c r="BC17" s="114" t="s">
        <v>582</v>
      </c>
      <c r="BD17" s="108" t="s">
        <v>582</v>
      </c>
      <c r="BE17" s="117" t="s">
        <v>582</v>
      </c>
      <c r="BF17" s="121" t="s">
        <v>4351</v>
      </c>
      <c r="BH17" s="42">
        <v>2</v>
      </c>
      <c r="BI17" t="e">
        <f t="shared" ref="BI17:BI25" si="73">INDEX(BH$4:BK$13,MATCH(BH17,BH$4:BH$13,0),2)</f>
        <v>#N/A</v>
      </c>
      <c r="BJ17" t="e">
        <f t="shared" ref="BJ17:BJ25" si="74">INDEX(BH$4:BK$13,MATCH(BH17,BH$4:BH$13,0),3)</f>
        <v>#N/A</v>
      </c>
      <c r="BK17" s="76" t="e">
        <f t="shared" ref="BK17:BK25" si="75">INDEX(BH$4:BK$13,MATCH(BH17,BH$4:BH$13,0),4)</f>
        <v>#N/A</v>
      </c>
      <c r="BM17" s="42" t="e">
        <f>IF(BO17="","",COUNTIF(BO$4:BO$23,"&gt;"&amp;BO17)+COUNTIF(BO$4:BO17,BO17))</f>
        <v>#N/A</v>
      </c>
      <c r="BN17" t="str">
        <f t="shared" si="4"/>
        <v>Pathologie digestive (diarrhées)</v>
      </c>
      <c r="BO17" s="76" t="e">
        <f>IF(IF(CE$2="Catégorie",IF(CE$3="Toutes",SUMIFS('Étape 1 - à remplir'!$F$31:$F$400,'Étape 1 - à remplir'!$D$31:$D$400,MASQ2!BN17,'Étape 1 - à remplir'!$G$31:$G$400,"lots"),SUMIFS('Étape 1 - à remplir'!$F$31:$F$400,'Étape 1 - à remplir'!$D$31:$D$400,MASQ2!BN17,'Étape 1 - à remplir'!$C$31:$C$400,CE$3,'Étape 1 - à remplir'!$G$31:$G$400,"lots")),IF(CE$2="Âge",IF(CE$3="Tous",SUMIFS('Étape 1 - à remplir'!$F$31:$F$400,'Étape 1 - à remplir'!$D$31:$D$400,MASQ2!BN17,'Étape 1 - à remplir'!$G$31:$G$400,"lots"),SUMIFS('Étape 1 - à remplir'!$F$31:$F$400,'Étape 1 - à remplir'!$D$31:$D$400,MASQ2!BN17,'Étape 1 - à remplir'!$P$31:$P$400,CE$3,'Étape 1 - à remplir'!$G$31:$G$400,"lots")),IF(CE$2="Atelier",IF(CE$3="Tous",SUMIFS('Étape 1 - à remplir'!$F$31:$F$400,'Étape 1 - à remplir'!$D$31:$D$400,MASQ2!BN17,'Étape 1 - à remplir'!$G$31:$G$400,"lots"),SUMIFS('Étape 1 - à remplir'!$F$31:$F$400,'Étape 1 - à remplir'!$D$31:$D$400,MASQ2!BN17,'Étape 1 - à remplir'!$O$31:$O$400,CE$3,'Étape 1 - à remplir'!$G$31:$G$400,"lots")),IF(CE$2="Espèce",IF(CE$3="Toutes",SUMIFS('Étape 1 - à remplir'!$F$31:$F$400,'Étape 1 - à remplir'!$D$31:$D$400,MASQ2!BN17,'Étape 1 - à remplir'!$G$31:$G$400,"lots"),SUMIFS('Étape 1 - à remplir'!$F$31:$F$400,'Étape 1 - à remplir'!$D$31:$D$400,MASQ2!BN17,'Étape 1 - à remplir'!$N$31:$N$400,CE$3,'Étape 1 - à remplir'!$G$31:$G$400,"lots"))))))=0,NA(),IF(CE$2="Catégorie",IF(CE$3="Toutes",SUMIFS('Étape 1 - à remplir'!$F$31:$F$400,'Étape 1 - à remplir'!$D$31:$D$400,MASQ2!BN17,'Étape 1 - à remplir'!$G$31:$G$400,"lots"),SUMIFS('Étape 1 - à remplir'!$F$31:$F$400,'Étape 1 - à remplir'!$D$31:$D$400,MASQ2!BN17,'Étape 1 - à remplir'!$C$31:$C$400,CE$3,'Étape 1 - à remplir'!$G$31:$G$400,"lots")),IF(CE$2="Âge",IF(CE$3="Tous",SUMIFS('Étape 1 - à remplir'!$F$31:$F$400,'Étape 1 - à remplir'!$D$31:$D$400,MASQ2!BN17,'Étape 1 - à remplir'!$G$31:$G$400,"lots"),SUMIFS('Étape 1 - à remplir'!$F$31:$F$400,'Étape 1 - à remplir'!$D$31:$D$400,MASQ2!BN17,'Étape 1 - à remplir'!$P$31:$P$400,CE$3,'Étape 1 - à remplir'!$G$31:$G$400,"lots")),IF(CE$2="Atelier",IF(CE$3="Tous",SUMIFS('Étape 1 - à remplir'!$F$31:$F$400,'Étape 1 - à remplir'!$D$31:$D$400,MASQ2!BN17,'Étape 1 - à remplir'!$G$31:$G$400,"lots"),SUMIFS('Étape 1 - à remplir'!$F$31:$F$400,'Étape 1 - à remplir'!$D$31:$D$400,MASQ2!BN17,'Étape 1 - à remplir'!$O$31:$O$400,CE$3,'Étape 1 - à remplir'!$G$31:$G$400,"lots")),IF(CE$2="Espèce",IF(CE$3="Toutes",SUMIFS('Étape 1 - à remplir'!$F$31:$F$400,'Étape 1 - à remplir'!$D$31:$D$400,MASQ2!BN17,'Étape 1 - à remplir'!$G$31:$G$400,"lots"),SUMIFS('Étape 1 - à remplir'!$F$31:$F$400,'Étape 1 - à remplir'!$D$31:$D$400,MASQ2!BN17,'Étape 1 - à remplir'!$N$31:$N$400,CE$3,'Étape 1 - à remplir'!$G$31:$G$400,"lots")))))))</f>
        <v>#N/A</v>
      </c>
      <c r="BP17">
        <v>14</v>
      </c>
      <c r="BQ17" t="e">
        <f t="shared" si="40"/>
        <v>#N/A</v>
      </c>
      <c r="BR17" s="63" t="e">
        <f t="shared" si="41"/>
        <v>#N/A</v>
      </c>
      <c r="BT17" s="194" t="str">
        <f t="shared" ca="1" si="5"/>
        <v/>
      </c>
      <c r="BU17" s="219" t="str">
        <f>IFERROR(IF(BX17=0,"",COUNTIF(BX$4:BX$600,"&gt;"&amp;BX17)+COUNTIF(BX$4:BX17,BX17)),"")</f>
        <v/>
      </c>
      <c r="BV17" s="42" t="str">
        <f t="shared" si="6"/>
        <v>AIVLOSIN 42,5 MG/G POUDRE ORALE POUR PORCS</v>
      </c>
      <c r="BW17" t="e">
        <f>IF(IF(CE$2="Catégorie",IF(CE$3="Toutes",SUMIFS('Étape 1 - à remplir'!$F$31:$F$400,'Étape 1 - à remplir'!$E$31:$E$400,MASQ2!BV17,'Étape 1 - à remplir'!$G$31:$G$400,"lots"),SUMIFS('Étape 1 - à remplir'!$F$31:$F$400,'Étape 1 - à remplir'!$E$31:$E$400,MASQ2!BV17,'Étape 1 - à remplir'!$C$31:$C$400,CE$3)),IF(CE$2="Âge",IF(CE$3="Tous",SUMIFS('Étape 1 - à remplir'!$F$31:$F$400,'Étape 1 - à remplir'!$E$31:$E$400,MASQ2!BV17,'Étape 1 - à remplir'!$G$31:$G$400,"lots"),SUMIFS('Étape 1 - à remplir'!$F$31:$F$400,'Étape 1 - à remplir'!$E$31:$E$400,MASQ2!BV17,'Étape 1 - à remplir'!$P$31:$P$400,CE$3,'Étape 1 - à remplir'!$G$31:$G$400,"lots")),IF(CE$2="Atelier",IF(CE$3="Tous",SUMIFS('Étape 1 - à remplir'!$F$31:$F$400,'Étape 1 - à remplir'!$E$31:$E$400,MASQ2!BV17,'Étape 1 - à remplir'!$G$31:$G$400,"lots"),SUMIFS('Étape 1 - à remplir'!$F$31:$F$400,'Étape 1 - à remplir'!$E$31:$E$400,MASQ2!BV17,'Étape 1 - à remplir'!$O$31:$O$400,CE$3,'Étape 1 - à remplir'!$G$31:$G$400,"lots")),IF(CE$2="Espèce",IF(CE$3="Toutes",SUMIFS('Étape 1 - à remplir'!$F$31:$F$400,'Étape 1 - à remplir'!$E$31:$E$400,MASQ2!BV17,'Étape 1 - à remplir'!$G$31:$G$400,"lots"),SUMIFS('Étape 1 - à remplir'!$F$31:$F$400,'Étape 1 - à remplir'!$E$31:$E$400,MASQ2!BV17,'Étape 1 - à remplir'!$N$31:$N$400,CE$3,'Étape 1 - à remplir'!$G$31:$G$400,"lots"))))))=0,NA(),IF(CE$2="Catégorie",IF(CE$3="Toutes",SUMIFS('Étape 1 - à remplir'!$F$31:$F$400,'Étape 1 - à remplir'!$E$31:$E$400,MASQ2!BV17,'Étape 1 - à remplir'!$G$31:$G$400,"lots"),SUMIFS('Étape 1 - à remplir'!$F$31:$F$400,'Étape 1 - à remplir'!$E$31:$E$400,MASQ2!BV17,'Étape 1 - à remplir'!$C$31:$C$400,CE$3)),IF(CE$2="Âge",IF(CE$3="Tous",SUMIFS('Étape 1 - à remplir'!$F$31:$F$400,'Étape 1 - à remplir'!$E$31:$E$400,MASQ2!BV17,'Étape 1 - à remplir'!$G$31:$G$400,"lots"),SUMIFS('Étape 1 - à remplir'!$F$31:$F$400,'Étape 1 - à remplir'!$E$31:$E$400,MASQ2!BV17,'Étape 1 - à remplir'!$P$31:$P$400,CE$3,'Étape 1 - à remplir'!$G$31:$G$400,"lots")),IF(CE$2="Atelier",IF(CE$3="Tous",SUMIFS('Étape 1 - à remplir'!$F$31:$F$400,'Étape 1 - à remplir'!$E$31:$E$400,MASQ2!BV17,'Étape 1 - à remplir'!$G$31:$G$400,"lots"),SUMIFS('Étape 1 - à remplir'!$F$31:$F$400,'Étape 1 - à remplir'!$E$31:$E$400,MASQ2!BV17,'Étape 1 - à remplir'!$O$31:$O$400,CE$3,'Étape 1 - à remplir'!$G$31:$G$400,"lots")),IF(CE$2="Espèce",IF(CE$3="Toutes",SUMIFS('Étape 1 - à remplir'!$F$31:$F$400,'Étape 1 - à remplir'!$E$31:$E$400,MASQ2!BV17,'Étape 1 - à remplir'!$G$31:$G$400,"lots"),SUMIFS('Étape 1 - à remplir'!$F$31:$F$400,'Étape 1 - à remplir'!$E$31:$E$400,MASQ2!BV17,'Étape 1 - à remplir'!$N$31:$N$400,CE$3,'Étape 1 - à remplir'!$G$31:$G$400,"lots")))))))</f>
        <v>#N/A</v>
      </c>
      <c r="BX17">
        <f t="shared" si="42"/>
        <v>0</v>
      </c>
      <c r="BY17" t="str">
        <f t="shared" si="7"/>
        <v>Tylvalosine</v>
      </c>
      <c r="BZ17" t="str">
        <f t="shared" si="8"/>
        <v/>
      </c>
      <c r="CA17" t="str">
        <f t="shared" si="9"/>
        <v/>
      </c>
      <c r="CB17" t="str">
        <f t="shared" si="10"/>
        <v>Macrolides</v>
      </c>
      <c r="CC17" t="str">
        <f t="shared" si="11"/>
        <v/>
      </c>
      <c r="CD17" s="63" t="str">
        <f t="shared" si="12"/>
        <v/>
      </c>
      <c r="CG17" s="42">
        <v>14</v>
      </c>
      <c r="CH17" s="42" t="e">
        <f t="shared" si="43"/>
        <v>#N/A</v>
      </c>
      <c r="CI17" s="63" t="e">
        <f t="shared" si="44"/>
        <v>#N/A</v>
      </c>
      <c r="CK17" s="194" t="str">
        <f t="shared" si="13"/>
        <v/>
      </c>
      <c r="CL17" s="226" t="str">
        <f>IFERROR(IF(CN17=0,"",COUNTIF(CN$4:CN$64,"&gt;"&amp;CN17)+COUNTIF(CN$4:CN17,CN17)),"")</f>
        <v/>
      </c>
      <c r="CM17" t="str">
        <f t="shared" si="14"/>
        <v>Acide clavulanique</v>
      </c>
      <c r="CN17" s="76" t="e">
        <f t="shared" si="45"/>
        <v>#N/A</v>
      </c>
      <c r="CO17">
        <v>14</v>
      </c>
      <c r="CP17" t="e">
        <f t="shared" si="46"/>
        <v>#N/A</v>
      </c>
      <c r="CQ17" s="63" t="e">
        <f t="shared" si="47"/>
        <v>#N/A</v>
      </c>
      <c r="CS17" s="194" t="str">
        <f t="shared" si="15"/>
        <v/>
      </c>
      <c r="CT17" s="14" t="str">
        <f>IFERROR(IF(CV17=0,"",COUNTIF(CV$4:CV$19,"&gt;"&amp;CV17)+COUNTIF(CV$4:CV17,CV17)),"")</f>
        <v/>
      </c>
      <c r="CU17" s="230" t="str">
        <f t="shared" si="16"/>
        <v>Sulfamides</v>
      </c>
      <c r="CV17" s="76" t="e">
        <f t="shared" si="48"/>
        <v>#N/A</v>
      </c>
      <c r="CW17">
        <v>14</v>
      </c>
      <c r="CX17" t="e">
        <f t="shared" si="49"/>
        <v>#N/A</v>
      </c>
      <c r="CY17" s="63" t="e">
        <f t="shared" si="50"/>
        <v>#N/A</v>
      </c>
      <c r="DA17" s="127" t="s">
        <v>584</v>
      </c>
      <c r="DC17" s="122" t="s">
        <v>4349</v>
      </c>
      <c r="DD17" s="109" t="s">
        <v>582</v>
      </c>
      <c r="DE17" s="109" t="s">
        <v>582</v>
      </c>
      <c r="DF17" s="109" t="s">
        <v>582</v>
      </c>
      <c r="DG17" s="123" t="s">
        <v>4351</v>
      </c>
      <c r="DI17" s="122" t="s">
        <v>4349</v>
      </c>
      <c r="DJ17" s="109" t="s">
        <v>582</v>
      </c>
      <c r="DK17" s="109" t="s">
        <v>582</v>
      </c>
      <c r="DL17" s="109" t="s">
        <v>582</v>
      </c>
      <c r="DM17" s="123" t="s">
        <v>4351</v>
      </c>
      <c r="DO17" s="42">
        <v>2</v>
      </c>
      <c r="DP17" t="e">
        <f t="shared" ref="DP17:DP25" si="76">INDEX(DO$4:DR$13,MATCH(DO17,DO$4:DO$13,0),2)</f>
        <v>#N/A</v>
      </c>
      <c r="DQ17" t="e">
        <f t="shared" ref="DQ17:DQ25" si="77">INDEX(DO$4:DR$13,MATCH(DO17,DO$4:DO$13,0),3)</f>
        <v>#N/A</v>
      </c>
      <c r="DR17" s="63" t="e">
        <f t="shared" ref="DR17:DR25" si="78">INDEX(DO$4:DR$13,MATCH(DO17,DO$4:DO$13,0),4)</f>
        <v>#N/A</v>
      </c>
      <c r="DT17" s="42" t="e">
        <f>IF(DV17="","",COUNTIF(DV$4:DV$23,"&gt;"&amp;DV17)+COUNTIF(DV$4:DV17,DV17))</f>
        <v>#N/A</v>
      </c>
      <c r="DU17" t="str">
        <f t="shared" si="17"/>
        <v>Pathologie digestive (diarrhées)</v>
      </c>
      <c r="DV17" s="63" t="e">
        <f>IF(IF(EL$2="Catégorie",IF(EL$3="Toutes",SUMIFS('Étape 1 - à remplir'!$F$31:$F$400,'Étape 1 - à remplir'!$D$31:$D$400,MASQ2!DU17,'Étape 1 - à remplir'!$G$31:$G$400,"kg"),SUMIFS('Étape 1 - à remplir'!$F$31:$F$400,'Étape 1 - à remplir'!$D$31:$D$400,MASQ2!DU17,'Étape 1 - à remplir'!$C$31:$C$400,EL$3,'Étape 1 - à remplir'!$G$31:$G$400,"kg")),IF(EL$2="Âge",IF(EL$3="Tous",SUMIFS('Étape 1 - à remplir'!$F$31:$F$400,'Étape 1 - à remplir'!$D$31:$D$400,MASQ2!DU17,'Étape 1 - à remplir'!$G$31:$G$400,"kg"),SUMIFS('Étape 1 - à remplir'!$F$31:$F$400,'Étape 1 - à remplir'!$D$31:$D$400,MASQ2!DU17,'Étape 1 - à remplir'!$P$31:$P$400,EL$3,'Étape 1 - à remplir'!$G$31:$G$400,"kg")),IF(EL$2="Atelier",IF(EL$3="Tous",SUMIFS('Étape 1 - à remplir'!$F$31:$F$400,'Étape 1 - à remplir'!$D$31:$D$400,MASQ2!DU17,'Étape 1 - à remplir'!$G$31:$G$400,"kg"),SUMIFS('Étape 1 - à remplir'!$F$31:$F$400,'Étape 1 - à remplir'!$D$31:$D$400,MASQ2!DU17,'Étape 1 - à remplir'!$O$31:$O$400,EL$3,'Étape 1 - à remplir'!$G$31:$G$400,"kg")),IF(EL$2="Espèce",IF(EL$3="Toutes",SUMIFS('Étape 1 - à remplir'!$F$31:$F$400,'Étape 1 - à remplir'!$D$31:$D$400,MASQ2!DU17,'Étape 1 - à remplir'!$G$31:$G$400,"kg"),SUMIFS('Étape 1 - à remplir'!$F$31:$F$400,'Étape 1 - à remplir'!$D$31:$D$400,MASQ2!DU17,'Étape 1 - à remplir'!$N$31:$N$400,EL$3,'Étape 1 - à remplir'!$G$31:$G$400,"kg"))))))=0,NA(),IF(EL$2="Catégorie",IF(EL$3="Toutes",SUMIFS('Étape 1 - à remplir'!$F$31:$F$400,'Étape 1 - à remplir'!$D$31:$D$400,MASQ2!DU17,'Étape 1 - à remplir'!$G$31:$G$400,"kg"),SUMIFS('Étape 1 - à remplir'!$F$31:$F$400,'Étape 1 - à remplir'!$D$31:$D$400,MASQ2!DU17,'Étape 1 - à remplir'!$C$31:$C$400,EL$3,'Étape 1 - à remplir'!$G$31:$G$400,"kg")),IF(EL$2="Âge",IF(EL$3="Tous",SUMIFS('Étape 1 - à remplir'!$F$31:$F$400,'Étape 1 - à remplir'!$D$31:$D$400,MASQ2!DU17,'Étape 1 - à remplir'!$G$31:$G$400,"kg"),SUMIFS('Étape 1 - à remplir'!$F$31:$F$400,'Étape 1 - à remplir'!$D$31:$D$400,MASQ2!DU17,'Étape 1 - à remplir'!$P$31:$P$400,EL$3,'Étape 1 - à remplir'!$G$31:$G$400,"kg")),IF(EL$2="Atelier",IF(EL$3="Tous",SUMIFS('Étape 1 - à remplir'!$F$31:$F$400,'Étape 1 - à remplir'!$D$31:$D$400,MASQ2!DU17,'Étape 1 - à remplir'!$G$31:$G$400,"kg"),SUMIFS('Étape 1 - à remplir'!$F$31:$F$400,'Étape 1 - à remplir'!$D$31:$D$400,MASQ2!DU17,'Étape 1 - à remplir'!$O$31:$O$400,EL$3,'Étape 1 - à remplir'!$G$31:$G$400,"kg")),IF(EL$2="Espèce",IF(EL$3="Toutes",SUMIFS('Étape 1 - à remplir'!$F$31:$F$400,'Étape 1 - à remplir'!$D$31:$D$400,MASQ2!DU17,'Étape 1 - à remplir'!$G$31:$G$400,"kg"),SUMIFS('Étape 1 - à remplir'!$F$31:$F$400,'Étape 1 - à remplir'!$D$31:$D$400,MASQ2!DU17,'Étape 1 - à remplir'!$N$31:$N$400,EL$3,'Étape 1 - à remplir'!$G$31:$G$400,"kg")))))))</f>
        <v>#N/A</v>
      </c>
      <c r="DW17" s="42">
        <v>14</v>
      </c>
      <c r="DX17" t="e">
        <f t="shared" si="51"/>
        <v>#N/A</v>
      </c>
      <c r="DY17" s="63" t="e">
        <f t="shared" si="52"/>
        <v>#N/A</v>
      </c>
      <c r="EA17" s="194" t="str">
        <f t="shared" ca="1" si="18"/>
        <v/>
      </c>
      <c r="EB17" s="226" t="str">
        <f>IFERROR(IF(ED17=0,"",COUNTIF(ED$4:ED$600,"&gt;"&amp;ED17)+COUNTIF(ED$4:ED17,ED17)),"")</f>
        <v/>
      </c>
      <c r="EC17" t="str">
        <f t="shared" si="19"/>
        <v>AIVLOSIN 42,5 MG/G POUDRE ORALE POUR PORCS</v>
      </c>
      <c r="ED17" t="e">
        <f>IF(IF(EL$2="Catégorie",IF(EL$3="Toutes",SUMIFS('Étape 1 - à remplir'!$F$31:$F$400,'Étape 1 - à remplir'!$E$31:$E$400,MASQ2!EC17,'Étape 1 - à remplir'!$G$31:$G$400,"kg"),SUMIFS('Étape 1 - à remplir'!$F$31:$F$400,'Étape 1 - à remplir'!$E$31:$E$400,MASQ2!EC17,'Étape 1 - à remplir'!$C$31:$C$400,EL$3)),IF(EL$2="Âge",IF(EL$3="Tous",SUMIFS('Étape 1 - à remplir'!$F$31:$F$400,'Étape 1 - à remplir'!$E$31:$E$400,MASQ2!EC17,'Étape 1 - à remplir'!$G$31:$G$400,"kg"),SUMIFS('Étape 1 - à remplir'!$F$31:$F$400,'Étape 1 - à remplir'!$E$31:$E$400,MASQ2!EC17,'Étape 1 - à remplir'!$P$31:$P$400,EL$3,'Étape 1 - à remplir'!$G$31:$G$400,"kg")),IF(EL$2="Atelier",IF(EL$3="Tous",SUMIFS('Étape 1 - à remplir'!$F$31:$F$400,'Étape 1 - à remplir'!$E$31:$E$400,MASQ2!EC17,'Étape 1 - à remplir'!$G$31:$G$400,"kg"),SUMIFS('Étape 1 - à remplir'!$F$31:$F$400,'Étape 1 - à remplir'!$E$31:$E$400,MASQ2!EC17,'Étape 1 - à remplir'!$O$31:$O$400,EL$3,'Étape 1 - à remplir'!$G$31:$G$400,"kg")),IF(EL$2="Espèce",IF(EL$3="Toutes",SUMIFS('Étape 1 - à remplir'!$F$31:$F$400,'Étape 1 - à remplir'!$E$31:$E$400,MASQ2!EC17,'Étape 1 - à remplir'!$G$31:$G$400,"kg"),SUMIFS('Étape 1 - à remplir'!$F$31:$F$400,'Étape 1 - à remplir'!$E$31:$E$400,MASQ2!EC17,'Étape 1 - à remplir'!$N$31:$N$400,EL$3,'Étape 1 - à remplir'!$G$31:$G$400,"kg"))))))=0,NA(),IF(EL$2="Catégorie",IF(EL$3="Toutes",SUMIFS('Étape 1 - à remplir'!$F$31:$F$400,'Étape 1 - à remplir'!$E$31:$E$400,MASQ2!EC17,'Étape 1 - à remplir'!$G$31:$G$400,"kg"),SUMIFS('Étape 1 - à remplir'!$F$31:$F$400,'Étape 1 - à remplir'!$E$31:$E$400,MASQ2!EC17,'Étape 1 - à remplir'!$C$31:$C$400,EL$3)),IF(EL$2="Âge",IF(EL$3="Tous",SUMIFS('Étape 1 - à remplir'!$F$31:$F$400,'Étape 1 - à remplir'!$E$31:$E$400,MASQ2!EC17,'Étape 1 - à remplir'!$G$31:$G$400,"kg"),SUMIFS('Étape 1 - à remplir'!$F$31:$F$400,'Étape 1 - à remplir'!$E$31:$E$400,MASQ2!EC17,'Étape 1 - à remplir'!$P$31:$P$400,EL$3,'Étape 1 - à remplir'!$G$31:$G$400,"kg")),IF(EL$2="Atelier",IF(EL$3="Tous",SUMIFS('Étape 1 - à remplir'!$F$31:$F$400,'Étape 1 - à remplir'!$E$31:$E$400,MASQ2!EC17,'Étape 1 - à remplir'!$G$31:$G$400,"kg"),SUMIFS('Étape 1 - à remplir'!$F$31:$F$400,'Étape 1 - à remplir'!$E$31:$E$400,MASQ2!EC17,'Étape 1 - à remplir'!$O$31:$O$400,EL$3,'Étape 1 - à remplir'!$G$31:$G$400,"kg")),IF(EL$2="Espèce",IF(EL$3="Toutes",SUMIFS('Étape 1 - à remplir'!$F$31:$F$400,'Étape 1 - à remplir'!$E$31:$E$400,MASQ2!EC17,'Étape 1 - à remplir'!$G$31:$G$400,"kg"),SUMIFS('Étape 1 - à remplir'!$F$31:$F$400,'Étape 1 - à remplir'!$E$31:$E$400,MASQ2!EC17,'Étape 1 - à remplir'!$N$31:$N$400,EL$3,'Étape 1 - à remplir'!$G$31:$G$400,"kg")))))))</f>
        <v>#N/A</v>
      </c>
      <c r="EE17" s="76">
        <f t="shared" si="53"/>
        <v>0</v>
      </c>
      <c r="EF17" t="str">
        <f t="shared" si="20"/>
        <v>Tylvalosine</v>
      </c>
      <c r="EG17" t="str">
        <f t="shared" si="21"/>
        <v/>
      </c>
      <c r="EH17" t="str">
        <f t="shared" si="22"/>
        <v/>
      </c>
      <c r="EI17" t="str">
        <f t="shared" si="23"/>
        <v>Macrolides</v>
      </c>
      <c r="EJ17" t="str">
        <f t="shared" si="24"/>
        <v/>
      </c>
      <c r="EK17" s="63" t="str">
        <f t="shared" si="25"/>
        <v/>
      </c>
      <c r="EN17" s="42">
        <v>14</v>
      </c>
      <c r="EO17" t="e">
        <f t="shared" si="68"/>
        <v>#N/A</v>
      </c>
      <c r="EP17" s="63" t="e">
        <f t="shared" si="69"/>
        <v>#N/A</v>
      </c>
      <c r="ER17" s="194" t="str">
        <f t="shared" si="26"/>
        <v/>
      </c>
      <c r="ES17" s="226" t="str">
        <f>IFERROR(IF(EU17=0,"",COUNTIF(EU$4:EU$64,"&gt;"&amp;EU17)+COUNTIF(EU$4:EU17,EU17)),"")</f>
        <v/>
      </c>
      <c r="ET17" t="str">
        <f t="shared" si="27"/>
        <v>Acide clavulanique</v>
      </c>
      <c r="EU17" s="76" t="e">
        <f t="shared" si="56"/>
        <v>#N/A</v>
      </c>
      <c r="EV17">
        <v>14</v>
      </c>
      <c r="EW17" t="e">
        <f t="shared" si="57"/>
        <v>#N/A</v>
      </c>
      <c r="EX17" s="63" t="e">
        <f t="shared" si="58"/>
        <v>#N/A</v>
      </c>
      <c r="EZ17" s="194" t="str">
        <f t="shared" si="28"/>
        <v/>
      </c>
      <c r="FA17" s="226" t="str">
        <f>IFERROR(IF(FC17=0,"",COUNTIF(FC$4:FC$19,"&gt;"&amp;FC17)+COUNTIF(FC$4:FC17,FC17)),"")</f>
        <v/>
      </c>
      <c r="FB17" t="str">
        <f t="shared" si="29"/>
        <v>Sulfamides</v>
      </c>
      <c r="FC17" s="76" t="e">
        <f t="shared" si="59"/>
        <v>#N/A</v>
      </c>
      <c r="FD17">
        <v>14</v>
      </c>
      <c r="FE17" t="e">
        <f t="shared" si="60"/>
        <v>#N/A</v>
      </c>
      <c r="FF17" s="63" t="e">
        <f t="shared" si="61"/>
        <v>#N/A</v>
      </c>
      <c r="FH17" s="127" t="s">
        <v>584</v>
      </c>
      <c r="FJ17" s="122" t="s">
        <v>4349</v>
      </c>
      <c r="FK17" s="109" t="s">
        <v>582</v>
      </c>
      <c r="FL17" s="109" t="s">
        <v>582</v>
      </c>
      <c r="FM17" s="109" t="s">
        <v>582</v>
      </c>
      <c r="FN17" s="123" t="s">
        <v>4351</v>
      </c>
      <c r="FP17" s="122" t="s">
        <v>4349</v>
      </c>
      <c r="FQ17" s="109" t="s">
        <v>582</v>
      </c>
      <c r="FR17" s="109" t="s">
        <v>582</v>
      </c>
      <c r="FS17" s="109" t="s">
        <v>582</v>
      </c>
      <c r="FT17" s="123" t="s">
        <v>4351</v>
      </c>
    </row>
    <row r="18" spans="1:177" x14ac:dyDescent="0.3">
      <c r="A18" s="42">
        <v>3</v>
      </c>
      <c r="B18" t="e">
        <f t="shared" si="70"/>
        <v>#N/A</v>
      </c>
      <c r="C18" t="e">
        <f t="shared" si="71"/>
        <v>#N/A</v>
      </c>
      <c r="D18" s="63" t="e">
        <f t="shared" si="72"/>
        <v>#N/A</v>
      </c>
      <c r="E18" s="188"/>
      <c r="F18" s="118" t="str">
        <f>IFERROR(IF(H18="","",COUNTIF(H$4:H$23,"&gt;"&amp;H18)+COUNTIF(H$4:H18,H18)),"")</f>
        <v/>
      </c>
      <c r="G18" t="str">
        <f>Données_ATB!CG17</f>
        <v>Pathologie respiratoire (pneumonie)</v>
      </c>
      <c r="H18" s="76" t="e">
        <f>IF(IF(X$2="Catégorie",IF(X$3="Toutes",SUMIFS('Étape 1 - à remplir'!F$31:F$400,'Étape 1 - à remplir'!D$31:D$400,MASQ2!G18,'Étape 1 - à remplir'!G$31:G$400,"animaux"),SUMIFS('Étape 1 - à remplir'!F$31:F$400,'Étape 1 - à remplir'!D$31:D$400,MASQ2!G18,'Étape 1 - à remplir'!C$31:C$400,X$3)),IF(X$2="Âge",IF(X$3="Tous",SUMIFS('Étape 1 - à remplir'!F$31:F$400,'Étape 1 - à remplir'!D$31:D$400,MASQ2!G18,'Étape 1 - à remplir'!G$31:G$400,"animaux"),SUMIFS('Étape 1 - à remplir'!F$31:F$400,'Étape 1 - à remplir'!D$31:D$400,MASQ2!G18,'Étape 1 - à remplir'!P$31:P$400,X$3)),IF(X$2="Atelier",IF(X$3="Tous",SUMIFS('Étape 1 - à remplir'!F$31:F$400,'Étape 1 - à remplir'!D$31:D$400,MASQ2!G18,'Étape 1 - à remplir'!G$31:G$400,"animaux"),SUMIFS('Étape 1 - à remplir'!F$31:F$400,'Étape 1 - à remplir'!D$31:D$400,MASQ2!G18,'Étape 1 - à remplir'!O$31:O$400,X$3)),IF(X$2="Espèce",IF(X$3="Toutes",SUMIFS('Étape 1 - à remplir'!F$31:F$400,'Étape 1 - à remplir'!D$31:D$400,MASQ2!G18,'Étape 1 - à remplir'!G$31:G$400,"animaux"),SUMIFS('Étape 1 - à remplir'!F$31:F$400,'Étape 1 - à remplir'!D$31:D$400,MASQ2!G18,'Étape 1 - à remplir'!N$31:N$400,X$3))))))=0,NA(),IF(X$2="Catégorie",IF(X$3="Toutes",SUMIFS('Étape 1 - à remplir'!F$31:F$400,'Étape 1 - à remplir'!D$31:D$400,MASQ2!G18,'Étape 1 - à remplir'!G$31:G$400,"animaux"),SUMIFS('Étape 1 - à remplir'!F$31:F$400,'Étape 1 - à remplir'!D$31:D$400,MASQ2!G18,'Étape 1 - à remplir'!C$31:C$400,X$3)),IF(X$2="Âge",IF(X$3="Tous",SUMIFS('Étape 1 - à remplir'!F$31:F$400,'Étape 1 - à remplir'!D$31:D$400,MASQ2!G18,'Étape 1 - à remplir'!G$31:G$400,"animaux"),SUMIFS('Étape 1 - à remplir'!F$31:F$400,'Étape 1 - à remplir'!D$31:D$400,MASQ2!G18,'Étape 1 - à remplir'!P$31:P$400,X$3)),IF(X$2="Atelier",IF(X$3="Tous",SUMIFS('Étape 1 - à remplir'!F$31:F$400,'Étape 1 - à remplir'!D$31:D$400,MASQ2!G18,'Étape 1 - à remplir'!G$31:G$400,"animaux"),SUMIFS('Étape 1 - à remplir'!F$31:F$400,'Étape 1 - à remplir'!D$31:D$400,MASQ2!G18,'Étape 1 - à remplir'!O$31:O$400,X$3)),IF(X$2="Espèce",IF(X$3="Tous",SUMIFS('Étape 1 - à remplir'!F$31:F$400,'Étape 1 - à remplir'!D$31:D$400,MASQ2!G18,'Étape 1 - à remplir'!G$31:G$400,"animaux"),SUMIFS('Étape 1 - à remplir'!F$31:F$400,'Étape 1 - à remplir'!D$31:D$400,MASQ2!G18,'Étape 1 - à remplir'!N$31:N$400,X$3)))))))</f>
        <v>#N/A</v>
      </c>
      <c r="I18" s="118">
        <v>15</v>
      </c>
      <c r="J18" t="e">
        <f t="shared" si="66"/>
        <v>#N/A</v>
      </c>
      <c r="K18" s="76" t="e">
        <f t="shared" si="67"/>
        <v>#N/A</v>
      </c>
      <c r="M18" s="194" t="str">
        <f ca="1">INDEX(Données_ATB!BD:BU,MATCH(MASQ2!O18,Données_ATB!BD:BD,0),18)</f>
        <v/>
      </c>
      <c r="N18" s="14" t="str">
        <f>IFERROR(IF(Q18=0,"",COUNTIF(Q$4:Q$600,"&gt;"&amp;Q18)+COUNTIF(Q$4:Q18,Q18)),"")</f>
        <v/>
      </c>
      <c r="O18" t="str">
        <f>Données_ATB!BD17</f>
        <v>AIVLOSIN 42,5 MG/G PREMELANGE MEDICAMENTEUX POUR PORCS</v>
      </c>
      <c r="P18" t="e">
        <f>IF(IF(X$2="Catégorie",IF(X$3="Toutes",SUMIFS('Étape 1 - à remplir'!$F$31:$F$400,'Étape 1 - à remplir'!$E$31:$E$400,MASQ2!O18,'Étape 1 - à remplir'!$G$31:$G$400,"animaux"),SUMIFS('Étape 1 - à remplir'!$F$31:$F$400,'Étape 1 - à remplir'!$E$31:$E$400,MASQ2!O18,'Étape 1 - à remplir'!$C$31:$C$400,X$3)),IF(X$2="Âge",IF(X$3="Tous",SUMIFS('Étape 1 - à remplir'!$F$31:$F$400,'Étape 1 - à remplir'!$E$31:$E$400,MASQ2!O18,'Étape 1 - à remplir'!$G$31:$G$400,"animaux"),SUMIFS('Étape 1 - à remplir'!$F$31:$F$400,'Étape 1 - à remplir'!$E$31:$E$400,MASQ2!O18,'Étape 1 - à remplir'!$P$31:$P$400,X$3)),IF(X$2="Atelier",IF(X$3="Tous",SUMIFS('Étape 1 - à remplir'!$F$31:$F$400,'Étape 1 - à remplir'!$E$31:$E$400,MASQ2!O18,'Étape 1 - à remplir'!$G$31:$G$400,"animaux"),SUMIFS('Étape 1 - à remplir'!$F$31:$F$400,'Étape 1 - à remplir'!$E$31:$E$400,MASQ2!O18,'Étape 1 - à remplir'!$O$31:$O$400,X$3)),IF(X$2="Espèce",IF(X$3="Toutes",SUMIFS('Étape 1 - à remplir'!$F$31:$F$400,'Étape 1 - à remplir'!$E$31:$E$400,MASQ2!O18,'Étape 1 - à remplir'!$G$31:$G$400,"animaux"),SUMIFS('Étape 1 - à remplir'!$F$31:$F$400,'Étape 1 - à remplir'!$E$31:$E$400,MASQ2!O18,'Étape 1 - à remplir'!$N$31:$N$400,X$3))))))=0,NA(),IF(X$2="Catégorie",IF(X$3="Toutes",SUMIFS('Étape 1 - à remplir'!$F$31:$F$400,'Étape 1 - à remplir'!$E$31:$E$400,MASQ2!O18,'Étape 1 - à remplir'!$G$31:$G$400,"animaux"),SUMIFS('Étape 1 - à remplir'!$F$31:$F$400,'Étape 1 - à remplir'!$E$31:$E$400,MASQ2!O18,'Étape 1 - à remplir'!$C$31:$C$400,X$3)),IF(X$2="Âge",IF(X$3="Tous",SUMIFS('Étape 1 - à remplir'!$F$31:$F$400,'Étape 1 - à remplir'!$E$31:$E$400,MASQ2!O18,'Étape 1 - à remplir'!$G$31:$G$400,"animaux"),SUMIFS('Étape 1 - à remplir'!$F$31:$F$400,'Étape 1 - à remplir'!$E$31:$E$400,MASQ2!O18,'Étape 1 - à remplir'!$P$31:$P$400,X$3)),IF(X$2="Atelier",IF(X$3="Tous",SUMIFS('Étape 1 - à remplir'!$F$31:$F$400,'Étape 1 - à remplir'!$E$31:$E$400,MASQ2!O18,'Étape 1 - à remplir'!$G$31:$G$400,"animaux"),SUMIFS('Étape 1 - à remplir'!$F$31:$F$400,'Étape 1 - à remplir'!$E$31:$E$400,MASQ2!O18,'Étape 1 - à remplir'!$O$31:$O$400,X$3)),IF(X$2="Espèce",IF(X$3="Toutes",SUMIFS('Étape 1 - à remplir'!$F$31:$F$400,'Étape 1 - à remplir'!$E$31:$E$400,MASQ2!O18,'Étape 1 - à remplir'!$G$31:$G$400,"animaux"),SUMIFS('Étape 1 - à remplir'!$F$31:$F$400,'Étape 1 - à remplir'!$E$31:$E$400,MASQ2!O18,'Étape 1 - à remplir'!$N$31:$N$400,X$3)))))))</f>
        <v>#N/A</v>
      </c>
      <c r="Q18" s="63">
        <f t="shared" si="62"/>
        <v>0</v>
      </c>
      <c r="R18" t="str">
        <f>Données_ATB!BM17</f>
        <v>Tylvalosine</v>
      </c>
      <c r="S18" t="str">
        <f>Données_ATB!BN17</f>
        <v/>
      </c>
      <c r="T18" s="63" t="str">
        <f>Données_ATB!BO17</f>
        <v/>
      </c>
      <c r="U18" s="42" t="str">
        <f>Données_ATB!BQ17</f>
        <v>Macrolides</v>
      </c>
      <c r="V18" t="str">
        <f>Données_ATB!BR17</f>
        <v/>
      </c>
      <c r="W18" s="63" t="str">
        <f>Données_ATB!BS17</f>
        <v/>
      </c>
      <c r="Z18" s="42">
        <v>15</v>
      </c>
      <c r="AA18" t="e">
        <f t="shared" si="32"/>
        <v>#N/A</v>
      </c>
      <c r="AB18" s="63" t="e">
        <f t="shared" si="33"/>
        <v>#N/A</v>
      </c>
      <c r="AD18" s="194" t="str">
        <f>IF(AF18="Colistine","x",IF(INDEX(Données_ATB!CA$3:CB$63,MATCH(AF18,Données_ATB!CA$3:CA$63,0),2)="Fluoroquinolones","x",IF(INDEX(Données_ATB!CA$3:CB$63,MATCH(AF18,Données_ATB!CA$3:CA$63,0),2)="Cephalosporines 3&amp;4G","x","")))</f>
        <v/>
      </c>
      <c r="AE18" s="219" t="str">
        <f>IFERROR(IF(AG18=0,"",COUNTIF(AG$4:AG$64,"&gt;"&amp;AG18)+COUNTIF(AG$4:AG18,AG18)),"")</f>
        <v/>
      </c>
      <c r="AF18" s="42" t="str">
        <f>Données_ATB!CA17</f>
        <v>Cloxacilline</v>
      </c>
      <c r="AG18" s="63" t="e">
        <f t="shared" si="34"/>
        <v>#N/A</v>
      </c>
      <c r="AH18" s="42">
        <v>15</v>
      </c>
      <c r="AI18" t="e">
        <f t="shared" si="35"/>
        <v>#N/A</v>
      </c>
      <c r="AJ18" s="63" t="e">
        <f t="shared" si="36"/>
        <v>#N/A</v>
      </c>
      <c r="AL18" s="194" t="str">
        <f t="shared" si="37"/>
        <v/>
      </c>
      <c r="AM18" s="14" t="str">
        <f>IFERROR(IF(AO18=0,"",COUNTIF(AO$4:AO$19,"&gt;"&amp;AO18)+COUNTIF(AO$4:AO18,AO18)),"")</f>
        <v/>
      </c>
      <c r="AN18" t="str">
        <f>Données_ATB!BX17</f>
        <v>Tetracyclines</v>
      </c>
      <c r="AO18" s="76" t="e">
        <f t="shared" si="3"/>
        <v>#N/A</v>
      </c>
      <c r="AP18">
        <v>15</v>
      </c>
      <c r="AQ18" t="e">
        <f t="shared" si="38"/>
        <v>#N/A</v>
      </c>
      <c r="AR18" s="63" t="e">
        <f t="shared" si="39"/>
        <v>#N/A</v>
      </c>
      <c r="AS18" s="76" t="str">
        <f>IFERROR(IF(AT18="","",COUNTIF(AT$18:AT$27,"&lt;"&amp;AT18)+COUNTIF(AT$18:AT18,AT18))-COUNTBLANK(AT$18:AT$27),"")</f>
        <v/>
      </c>
      <c r="AT18" s="128" t="str">
        <f t="shared" ref="AT18:AT27" si="79">IFERROR(IF(C16="","",B16),"")</f>
        <v/>
      </c>
      <c r="AV18" s="122" t="str">
        <f>IFERROR(IF(AW18="","",COUNTIF(AW$18:AW$27,"&lt;"&amp;AW18)+COUNTIF(AW$18:AW18,AW18))-COUNTBLANK(AW$18:AW$27),"")</f>
        <v/>
      </c>
      <c r="AW18" t="str">
        <f>IF('Étape 1 - à remplir'!G19="animaux",'Étape 1 - à remplir'!E19,"")</f>
        <v/>
      </c>
      <c r="AX18" s="109" t="e">
        <f>INDEX(AV$18:AW$27,MATCH(1,AV$18:AV$27,0),2)</f>
        <v>#N/A</v>
      </c>
      <c r="AY18" t="e">
        <f>AX18</f>
        <v>#N/A</v>
      </c>
      <c r="AZ18" s="123" t="e">
        <f>IF(AY18="","",MAX(AZ$17:AZ17)+1)</f>
        <v>#N/A</v>
      </c>
      <c r="BB18" s="122" t="str">
        <f>IFERROR(IF(BC18="","",COUNTIF(BC$18:BC$27,"&lt;"&amp;BC18)+COUNTIF(BC$18:BC18,BC18))-COUNTBLANK(BC$18:BC$27),"")</f>
        <v/>
      </c>
      <c r="BC18" s="76" t="str">
        <f>IF('Étape 1 - à remplir'!G19="animaux",'Étape 1 - à remplir'!D19,"")</f>
        <v/>
      </c>
      <c r="BD18" t="e">
        <f>INDEX(BB$18:BC$27,MATCH(1,BB$18:BB$27,0),2)</f>
        <v>#N/A</v>
      </c>
      <c r="BE18" s="118" t="e">
        <f>BD18</f>
        <v>#N/A</v>
      </c>
      <c r="BF18" s="123" t="e">
        <f>IF(BE18="","",MAX(BF$17:BF17)+1)</f>
        <v>#N/A</v>
      </c>
      <c r="BH18" s="42">
        <v>3</v>
      </c>
      <c r="BI18" t="e">
        <f t="shared" si="73"/>
        <v>#N/A</v>
      </c>
      <c r="BJ18" t="e">
        <f t="shared" si="74"/>
        <v>#N/A</v>
      </c>
      <c r="BK18" s="76" t="e">
        <f t="shared" si="75"/>
        <v>#N/A</v>
      </c>
      <c r="BM18" s="42" t="e">
        <f>IF(BO18="","",COUNTIF(BO$4:BO$23,"&gt;"&amp;BO18)+COUNTIF(BO$4:BO18,BO18))</f>
        <v>#N/A</v>
      </c>
      <c r="BN18" t="str">
        <f t="shared" si="4"/>
        <v>Pathologie respiratoire (pneumonie)</v>
      </c>
      <c r="BO18" s="76" t="e">
        <f>IF(IF(CE$2="Catégorie",IF(CE$3="Toutes",SUMIFS('Étape 1 - à remplir'!$F$31:$F$400,'Étape 1 - à remplir'!$D$31:$D$400,MASQ2!BN18,'Étape 1 - à remplir'!$G$31:$G$400,"lots"),SUMIFS('Étape 1 - à remplir'!$F$31:$F$400,'Étape 1 - à remplir'!$D$31:$D$400,MASQ2!BN18,'Étape 1 - à remplir'!$C$31:$C$400,CE$3,'Étape 1 - à remplir'!$G$31:$G$400,"lots")),IF(CE$2="Âge",IF(CE$3="Tous",SUMIFS('Étape 1 - à remplir'!$F$31:$F$400,'Étape 1 - à remplir'!$D$31:$D$400,MASQ2!BN18,'Étape 1 - à remplir'!$G$31:$G$400,"lots"),SUMIFS('Étape 1 - à remplir'!$F$31:$F$400,'Étape 1 - à remplir'!$D$31:$D$400,MASQ2!BN18,'Étape 1 - à remplir'!$P$31:$P$400,CE$3,'Étape 1 - à remplir'!$G$31:$G$400,"lots")),IF(CE$2="Atelier",IF(CE$3="Tous",SUMIFS('Étape 1 - à remplir'!$F$31:$F$400,'Étape 1 - à remplir'!$D$31:$D$400,MASQ2!BN18,'Étape 1 - à remplir'!$G$31:$G$400,"lots"),SUMIFS('Étape 1 - à remplir'!$F$31:$F$400,'Étape 1 - à remplir'!$D$31:$D$400,MASQ2!BN18,'Étape 1 - à remplir'!$O$31:$O$400,CE$3,'Étape 1 - à remplir'!$G$31:$G$400,"lots")),IF(CE$2="Espèce",IF(CE$3="Toutes",SUMIFS('Étape 1 - à remplir'!$F$31:$F$400,'Étape 1 - à remplir'!$D$31:$D$400,MASQ2!BN18,'Étape 1 - à remplir'!$G$31:$G$400,"lots"),SUMIFS('Étape 1 - à remplir'!$F$31:$F$400,'Étape 1 - à remplir'!$D$31:$D$400,MASQ2!BN18,'Étape 1 - à remplir'!$N$31:$N$400,CE$3,'Étape 1 - à remplir'!$G$31:$G$400,"lots"))))))=0,NA(),IF(CE$2="Catégorie",IF(CE$3="Toutes",SUMIFS('Étape 1 - à remplir'!$F$31:$F$400,'Étape 1 - à remplir'!$D$31:$D$400,MASQ2!BN18,'Étape 1 - à remplir'!$G$31:$G$400,"lots"),SUMIFS('Étape 1 - à remplir'!$F$31:$F$400,'Étape 1 - à remplir'!$D$31:$D$400,MASQ2!BN18,'Étape 1 - à remplir'!$C$31:$C$400,CE$3,'Étape 1 - à remplir'!$G$31:$G$400,"lots")),IF(CE$2="Âge",IF(CE$3="Tous",SUMIFS('Étape 1 - à remplir'!$F$31:$F$400,'Étape 1 - à remplir'!$D$31:$D$400,MASQ2!BN18,'Étape 1 - à remplir'!$G$31:$G$400,"lots"),SUMIFS('Étape 1 - à remplir'!$F$31:$F$400,'Étape 1 - à remplir'!$D$31:$D$400,MASQ2!BN18,'Étape 1 - à remplir'!$P$31:$P$400,CE$3,'Étape 1 - à remplir'!$G$31:$G$400,"lots")),IF(CE$2="Atelier",IF(CE$3="Tous",SUMIFS('Étape 1 - à remplir'!$F$31:$F$400,'Étape 1 - à remplir'!$D$31:$D$400,MASQ2!BN18,'Étape 1 - à remplir'!$G$31:$G$400,"lots"),SUMIFS('Étape 1 - à remplir'!$F$31:$F$400,'Étape 1 - à remplir'!$D$31:$D$400,MASQ2!BN18,'Étape 1 - à remplir'!$O$31:$O$400,CE$3,'Étape 1 - à remplir'!$G$31:$G$400,"lots")),IF(CE$2="Espèce",IF(CE$3="Toutes",SUMIFS('Étape 1 - à remplir'!$F$31:$F$400,'Étape 1 - à remplir'!$D$31:$D$400,MASQ2!BN18,'Étape 1 - à remplir'!$G$31:$G$400,"lots"),SUMIFS('Étape 1 - à remplir'!$F$31:$F$400,'Étape 1 - à remplir'!$D$31:$D$400,MASQ2!BN18,'Étape 1 - à remplir'!$N$31:$N$400,CE$3,'Étape 1 - à remplir'!$G$31:$G$400,"lots")))))))</f>
        <v>#N/A</v>
      </c>
      <c r="BP18">
        <v>15</v>
      </c>
      <c r="BQ18" t="e">
        <f t="shared" si="40"/>
        <v>#N/A</v>
      </c>
      <c r="BR18" s="63" t="e">
        <f t="shared" si="41"/>
        <v>#N/A</v>
      </c>
      <c r="BT18" s="194" t="str">
        <f t="shared" ca="1" si="5"/>
        <v/>
      </c>
      <c r="BU18" s="219" t="str">
        <f>IFERROR(IF(BX18=0,"",COUNTIF(BX$4:BX$600,"&gt;"&amp;BX18)+COUNTIF(BX$4:BX18,BX18)),"")</f>
        <v/>
      </c>
      <c r="BV18" s="42" t="str">
        <f t="shared" si="6"/>
        <v>AIVLOSIN 42,5 MG/G PREMELANGE MEDICAMENTEUX POUR PORCS</v>
      </c>
      <c r="BW18" t="e">
        <f>IF(IF(CE$2="Catégorie",IF(CE$3="Toutes",SUMIFS('Étape 1 - à remplir'!$F$31:$F$400,'Étape 1 - à remplir'!$E$31:$E$400,MASQ2!BV18,'Étape 1 - à remplir'!$G$31:$G$400,"lots"),SUMIFS('Étape 1 - à remplir'!$F$31:$F$400,'Étape 1 - à remplir'!$E$31:$E$400,MASQ2!BV18,'Étape 1 - à remplir'!$C$31:$C$400,CE$3)),IF(CE$2="Âge",IF(CE$3="Tous",SUMIFS('Étape 1 - à remplir'!$F$31:$F$400,'Étape 1 - à remplir'!$E$31:$E$400,MASQ2!BV18,'Étape 1 - à remplir'!$G$31:$G$400,"lots"),SUMIFS('Étape 1 - à remplir'!$F$31:$F$400,'Étape 1 - à remplir'!$E$31:$E$400,MASQ2!BV18,'Étape 1 - à remplir'!$P$31:$P$400,CE$3,'Étape 1 - à remplir'!$G$31:$G$400,"lots")),IF(CE$2="Atelier",IF(CE$3="Tous",SUMIFS('Étape 1 - à remplir'!$F$31:$F$400,'Étape 1 - à remplir'!$E$31:$E$400,MASQ2!BV18,'Étape 1 - à remplir'!$G$31:$G$400,"lots"),SUMIFS('Étape 1 - à remplir'!$F$31:$F$400,'Étape 1 - à remplir'!$E$31:$E$400,MASQ2!BV18,'Étape 1 - à remplir'!$O$31:$O$400,CE$3,'Étape 1 - à remplir'!$G$31:$G$400,"lots")),IF(CE$2="Espèce",IF(CE$3="Toutes",SUMIFS('Étape 1 - à remplir'!$F$31:$F$400,'Étape 1 - à remplir'!$E$31:$E$400,MASQ2!BV18,'Étape 1 - à remplir'!$G$31:$G$400,"lots"),SUMIFS('Étape 1 - à remplir'!$F$31:$F$400,'Étape 1 - à remplir'!$E$31:$E$400,MASQ2!BV18,'Étape 1 - à remplir'!$N$31:$N$400,CE$3,'Étape 1 - à remplir'!$G$31:$G$400,"lots"))))))=0,NA(),IF(CE$2="Catégorie",IF(CE$3="Toutes",SUMIFS('Étape 1 - à remplir'!$F$31:$F$400,'Étape 1 - à remplir'!$E$31:$E$400,MASQ2!BV18,'Étape 1 - à remplir'!$G$31:$G$400,"lots"),SUMIFS('Étape 1 - à remplir'!$F$31:$F$400,'Étape 1 - à remplir'!$E$31:$E$400,MASQ2!BV18,'Étape 1 - à remplir'!$C$31:$C$400,CE$3)),IF(CE$2="Âge",IF(CE$3="Tous",SUMIFS('Étape 1 - à remplir'!$F$31:$F$400,'Étape 1 - à remplir'!$E$31:$E$400,MASQ2!BV18,'Étape 1 - à remplir'!$G$31:$G$400,"lots"),SUMIFS('Étape 1 - à remplir'!$F$31:$F$400,'Étape 1 - à remplir'!$E$31:$E$400,MASQ2!BV18,'Étape 1 - à remplir'!$P$31:$P$400,CE$3,'Étape 1 - à remplir'!$G$31:$G$400,"lots")),IF(CE$2="Atelier",IF(CE$3="Tous",SUMIFS('Étape 1 - à remplir'!$F$31:$F$400,'Étape 1 - à remplir'!$E$31:$E$400,MASQ2!BV18,'Étape 1 - à remplir'!$G$31:$G$400,"lots"),SUMIFS('Étape 1 - à remplir'!$F$31:$F$400,'Étape 1 - à remplir'!$E$31:$E$400,MASQ2!BV18,'Étape 1 - à remplir'!$O$31:$O$400,CE$3,'Étape 1 - à remplir'!$G$31:$G$400,"lots")),IF(CE$2="Espèce",IF(CE$3="Toutes",SUMIFS('Étape 1 - à remplir'!$F$31:$F$400,'Étape 1 - à remplir'!$E$31:$E$400,MASQ2!BV18,'Étape 1 - à remplir'!$G$31:$G$400,"lots"),SUMIFS('Étape 1 - à remplir'!$F$31:$F$400,'Étape 1 - à remplir'!$E$31:$E$400,MASQ2!BV18,'Étape 1 - à remplir'!$N$31:$N$400,CE$3,'Étape 1 - à remplir'!$G$31:$G$400,"lots")))))))</f>
        <v>#N/A</v>
      </c>
      <c r="BX18">
        <f t="shared" si="42"/>
        <v>0</v>
      </c>
      <c r="BY18" t="str">
        <f t="shared" si="7"/>
        <v>Tylvalosine</v>
      </c>
      <c r="BZ18" t="str">
        <f t="shared" si="8"/>
        <v/>
      </c>
      <c r="CA18" t="str">
        <f t="shared" si="9"/>
        <v/>
      </c>
      <c r="CB18" t="str">
        <f t="shared" si="10"/>
        <v>Macrolides</v>
      </c>
      <c r="CC18" t="str">
        <f t="shared" si="11"/>
        <v/>
      </c>
      <c r="CD18" s="63" t="str">
        <f t="shared" si="12"/>
        <v/>
      </c>
      <c r="CG18" s="42">
        <v>15</v>
      </c>
      <c r="CH18" s="42" t="e">
        <f t="shared" ref="CH18:CH81" si="80">INDEX(BU$3:BX$600,MATCH(CG18,BU$3:BU$600,0),2)</f>
        <v>#N/A</v>
      </c>
      <c r="CI18" s="63" t="e">
        <f t="shared" ref="CI18:CI81" si="81">INDEX(BU$3:BX$600,MATCH(CG18,BU$3:BU$600,0),3)</f>
        <v>#N/A</v>
      </c>
      <c r="CK18" s="194" t="str">
        <f t="shared" si="13"/>
        <v/>
      </c>
      <c r="CL18" s="226" t="str">
        <f>IFERROR(IF(CN18=0,"",COUNTIF(CN$4:CN$64,"&gt;"&amp;CN18)+COUNTIF(CN$4:CN18,CN18)),"")</f>
        <v/>
      </c>
      <c r="CM18" t="str">
        <f t="shared" si="14"/>
        <v>Cloxacilline</v>
      </c>
      <c r="CN18" s="76" t="e">
        <f t="shared" si="45"/>
        <v>#N/A</v>
      </c>
      <c r="CO18">
        <v>15</v>
      </c>
      <c r="CP18" t="e">
        <f t="shared" si="46"/>
        <v>#N/A</v>
      </c>
      <c r="CQ18" s="63" t="e">
        <f t="shared" si="47"/>
        <v>#N/A</v>
      </c>
      <c r="CS18" s="194" t="str">
        <f t="shared" si="15"/>
        <v/>
      </c>
      <c r="CT18" s="14" t="str">
        <f>IFERROR(IF(CV18=0,"",COUNTIF(CV$4:CV$19,"&gt;"&amp;CV18)+COUNTIF(CV$4:CV18,CV18)),"")</f>
        <v/>
      </c>
      <c r="CU18" s="230" t="str">
        <f t="shared" si="16"/>
        <v>Tetracyclines</v>
      </c>
      <c r="CV18" s="76" t="e">
        <f t="shared" si="48"/>
        <v>#N/A</v>
      </c>
      <c r="CW18">
        <v>15</v>
      </c>
      <c r="CX18" t="e">
        <f t="shared" si="49"/>
        <v>#N/A</v>
      </c>
      <c r="CY18" s="63" t="e">
        <f t="shared" si="50"/>
        <v>#N/A</v>
      </c>
      <c r="CZ18" s="76" t="str">
        <f>IFERROR(IF(DA18="","",COUNTIF(DA$18:DA$27,"&lt;"&amp;DA18)+COUNTIF(DA$18:DA18,DA18))-COUNTBLANK(DA$18:DA$27),"")</f>
        <v/>
      </c>
      <c r="DA18" s="128" t="str">
        <f t="shared" ref="DA18:DA27" si="82">IFERROR(IF(BJ16="","",BI16),"")</f>
        <v/>
      </c>
      <c r="DC18" s="122" t="str">
        <f>IFERROR(IF(DD18="","",COUNTIF(DD$18:DD$27,"&lt;"&amp;DD18)+COUNTIF(DD$18:DD18,DD18))-COUNTBLANK(DD$18:DD$27),"")</f>
        <v/>
      </c>
      <c r="DD18" s="109" t="str">
        <f>IF('Étape 1 - à remplir'!G19="lots",'Étape 1 - à remplir'!E19,"")</f>
        <v/>
      </c>
      <c r="DE18" s="109" t="e">
        <f>INDEX(DC$18:DD$27,MATCH(1,DC$18:DC$27,0),2)</f>
        <v>#N/A</v>
      </c>
      <c r="DF18" s="109" t="e">
        <f>DE18</f>
        <v>#N/A</v>
      </c>
      <c r="DG18" s="123" t="e">
        <f>IF(DF18="","",MAX(DG$17:DG17)+1)</f>
        <v>#N/A</v>
      </c>
      <c r="DI18" s="122" t="str">
        <f>IFERROR(IF(DJ18="","",COUNTIF(DJ$18:DJ$27,"&lt;"&amp;DJ18)+COUNTIF(DJ$18:DJ18,DJ18))-COUNTBLANK(DJ$18:DJ$27),"")</f>
        <v/>
      </c>
      <c r="DJ18" s="109" t="str">
        <f>IF('Étape 1 - à remplir'!G19="lots",'Étape 1 - à remplir'!D19,"")</f>
        <v/>
      </c>
      <c r="DK18" s="109" t="e">
        <f>INDEX(DI$18:DJ$27,MATCH(1,DI$18:DI$27,0),2)</f>
        <v>#N/A</v>
      </c>
      <c r="DL18" s="109" t="e">
        <f>DK18</f>
        <v>#N/A</v>
      </c>
      <c r="DM18" s="123" t="e">
        <f>IF(DL18="","",MAX(DM$17:DM17)+1)</f>
        <v>#N/A</v>
      </c>
      <c r="DO18" s="42">
        <v>3</v>
      </c>
      <c r="DP18" t="e">
        <f t="shared" si="76"/>
        <v>#N/A</v>
      </c>
      <c r="DQ18" t="e">
        <f t="shared" si="77"/>
        <v>#N/A</v>
      </c>
      <c r="DR18" s="63" t="e">
        <f t="shared" si="78"/>
        <v>#N/A</v>
      </c>
      <c r="DT18" s="42" t="e">
        <f>IF(DV18="","",COUNTIF(DV$4:DV$23,"&gt;"&amp;DV18)+COUNTIF(DV$4:DV18,DV18))</f>
        <v>#N/A</v>
      </c>
      <c r="DU18" t="str">
        <f t="shared" si="17"/>
        <v>Pathologie respiratoire (pneumonie)</v>
      </c>
      <c r="DV18" s="63" t="e">
        <f>IF(IF(EL$2="Catégorie",IF(EL$3="Toutes",SUMIFS('Étape 1 - à remplir'!$F$31:$F$400,'Étape 1 - à remplir'!$D$31:$D$400,MASQ2!DU18,'Étape 1 - à remplir'!$G$31:$G$400,"kg"),SUMIFS('Étape 1 - à remplir'!$F$31:$F$400,'Étape 1 - à remplir'!$D$31:$D$400,MASQ2!DU18,'Étape 1 - à remplir'!$C$31:$C$400,EL$3,'Étape 1 - à remplir'!$G$31:$G$400,"kg")),IF(EL$2="Âge",IF(EL$3="Tous",SUMIFS('Étape 1 - à remplir'!$F$31:$F$400,'Étape 1 - à remplir'!$D$31:$D$400,MASQ2!DU18,'Étape 1 - à remplir'!$G$31:$G$400,"kg"),SUMIFS('Étape 1 - à remplir'!$F$31:$F$400,'Étape 1 - à remplir'!$D$31:$D$400,MASQ2!DU18,'Étape 1 - à remplir'!$P$31:$P$400,EL$3,'Étape 1 - à remplir'!$G$31:$G$400,"kg")),IF(EL$2="Atelier",IF(EL$3="Tous",SUMIFS('Étape 1 - à remplir'!$F$31:$F$400,'Étape 1 - à remplir'!$D$31:$D$400,MASQ2!DU18,'Étape 1 - à remplir'!$G$31:$G$400,"kg"),SUMIFS('Étape 1 - à remplir'!$F$31:$F$400,'Étape 1 - à remplir'!$D$31:$D$400,MASQ2!DU18,'Étape 1 - à remplir'!$O$31:$O$400,EL$3,'Étape 1 - à remplir'!$G$31:$G$400,"kg")),IF(EL$2="Espèce",IF(EL$3="Toutes",SUMIFS('Étape 1 - à remplir'!$F$31:$F$400,'Étape 1 - à remplir'!$D$31:$D$400,MASQ2!DU18,'Étape 1 - à remplir'!$G$31:$G$400,"kg"),SUMIFS('Étape 1 - à remplir'!$F$31:$F$400,'Étape 1 - à remplir'!$D$31:$D$400,MASQ2!DU18,'Étape 1 - à remplir'!$N$31:$N$400,EL$3,'Étape 1 - à remplir'!$G$31:$G$400,"kg"))))))=0,NA(),IF(EL$2="Catégorie",IF(EL$3="Toutes",SUMIFS('Étape 1 - à remplir'!$F$31:$F$400,'Étape 1 - à remplir'!$D$31:$D$400,MASQ2!DU18,'Étape 1 - à remplir'!$G$31:$G$400,"kg"),SUMIFS('Étape 1 - à remplir'!$F$31:$F$400,'Étape 1 - à remplir'!$D$31:$D$400,MASQ2!DU18,'Étape 1 - à remplir'!$C$31:$C$400,EL$3,'Étape 1 - à remplir'!$G$31:$G$400,"kg")),IF(EL$2="Âge",IF(EL$3="Tous",SUMIFS('Étape 1 - à remplir'!$F$31:$F$400,'Étape 1 - à remplir'!$D$31:$D$400,MASQ2!DU18,'Étape 1 - à remplir'!$G$31:$G$400,"kg"),SUMIFS('Étape 1 - à remplir'!$F$31:$F$400,'Étape 1 - à remplir'!$D$31:$D$400,MASQ2!DU18,'Étape 1 - à remplir'!$P$31:$P$400,EL$3,'Étape 1 - à remplir'!$G$31:$G$400,"kg")),IF(EL$2="Atelier",IF(EL$3="Tous",SUMIFS('Étape 1 - à remplir'!$F$31:$F$400,'Étape 1 - à remplir'!$D$31:$D$400,MASQ2!DU18,'Étape 1 - à remplir'!$G$31:$G$400,"kg"),SUMIFS('Étape 1 - à remplir'!$F$31:$F$400,'Étape 1 - à remplir'!$D$31:$D$400,MASQ2!DU18,'Étape 1 - à remplir'!$O$31:$O$400,EL$3,'Étape 1 - à remplir'!$G$31:$G$400,"kg")),IF(EL$2="Espèce",IF(EL$3="Toutes",SUMIFS('Étape 1 - à remplir'!$F$31:$F$400,'Étape 1 - à remplir'!$D$31:$D$400,MASQ2!DU18,'Étape 1 - à remplir'!$G$31:$G$400,"kg"),SUMIFS('Étape 1 - à remplir'!$F$31:$F$400,'Étape 1 - à remplir'!$D$31:$D$400,MASQ2!DU18,'Étape 1 - à remplir'!$N$31:$N$400,EL$3,'Étape 1 - à remplir'!$G$31:$G$400,"kg")))))))</f>
        <v>#N/A</v>
      </c>
      <c r="DW18" s="42">
        <v>15</v>
      </c>
      <c r="DX18" t="e">
        <f t="shared" si="51"/>
        <v>#N/A</v>
      </c>
      <c r="DY18" s="63" t="e">
        <f t="shared" si="52"/>
        <v>#N/A</v>
      </c>
      <c r="EA18" s="194" t="str">
        <f t="shared" ca="1" si="18"/>
        <v/>
      </c>
      <c r="EB18" s="226" t="str">
        <f>IFERROR(IF(ED18=0,"",COUNTIF(ED$4:ED$600,"&gt;"&amp;ED18)+COUNTIF(ED$4:ED18,ED18)),"")</f>
        <v/>
      </c>
      <c r="EC18" t="str">
        <f t="shared" si="19"/>
        <v>AIVLOSIN 42,5 MG/G PREMELANGE MEDICAMENTEUX POUR PORCS</v>
      </c>
      <c r="ED18" t="e">
        <f>IF(IF(EL$2="Catégorie",IF(EL$3="Toutes",SUMIFS('Étape 1 - à remplir'!$F$31:$F$400,'Étape 1 - à remplir'!$E$31:$E$400,MASQ2!EC18,'Étape 1 - à remplir'!$G$31:$G$400,"kg"),SUMIFS('Étape 1 - à remplir'!$F$31:$F$400,'Étape 1 - à remplir'!$E$31:$E$400,MASQ2!EC18,'Étape 1 - à remplir'!$C$31:$C$400,EL$3)),IF(EL$2="Âge",IF(EL$3="Tous",SUMIFS('Étape 1 - à remplir'!$F$31:$F$400,'Étape 1 - à remplir'!$E$31:$E$400,MASQ2!EC18,'Étape 1 - à remplir'!$G$31:$G$400,"kg"),SUMIFS('Étape 1 - à remplir'!$F$31:$F$400,'Étape 1 - à remplir'!$E$31:$E$400,MASQ2!EC18,'Étape 1 - à remplir'!$P$31:$P$400,EL$3,'Étape 1 - à remplir'!$G$31:$G$400,"kg")),IF(EL$2="Atelier",IF(EL$3="Tous",SUMIFS('Étape 1 - à remplir'!$F$31:$F$400,'Étape 1 - à remplir'!$E$31:$E$400,MASQ2!EC18,'Étape 1 - à remplir'!$G$31:$G$400,"kg"),SUMIFS('Étape 1 - à remplir'!$F$31:$F$400,'Étape 1 - à remplir'!$E$31:$E$400,MASQ2!EC18,'Étape 1 - à remplir'!$O$31:$O$400,EL$3,'Étape 1 - à remplir'!$G$31:$G$400,"kg")),IF(EL$2="Espèce",IF(EL$3="Toutes",SUMIFS('Étape 1 - à remplir'!$F$31:$F$400,'Étape 1 - à remplir'!$E$31:$E$400,MASQ2!EC18,'Étape 1 - à remplir'!$G$31:$G$400,"kg"),SUMIFS('Étape 1 - à remplir'!$F$31:$F$400,'Étape 1 - à remplir'!$E$31:$E$400,MASQ2!EC18,'Étape 1 - à remplir'!$N$31:$N$400,EL$3,'Étape 1 - à remplir'!$G$31:$G$400,"kg"))))))=0,NA(),IF(EL$2="Catégorie",IF(EL$3="Toutes",SUMIFS('Étape 1 - à remplir'!$F$31:$F$400,'Étape 1 - à remplir'!$E$31:$E$400,MASQ2!EC18,'Étape 1 - à remplir'!$G$31:$G$400,"kg"),SUMIFS('Étape 1 - à remplir'!$F$31:$F$400,'Étape 1 - à remplir'!$E$31:$E$400,MASQ2!EC18,'Étape 1 - à remplir'!$C$31:$C$400,EL$3)),IF(EL$2="Âge",IF(EL$3="Tous",SUMIFS('Étape 1 - à remplir'!$F$31:$F$400,'Étape 1 - à remplir'!$E$31:$E$400,MASQ2!EC18,'Étape 1 - à remplir'!$G$31:$G$400,"kg"),SUMIFS('Étape 1 - à remplir'!$F$31:$F$400,'Étape 1 - à remplir'!$E$31:$E$400,MASQ2!EC18,'Étape 1 - à remplir'!$P$31:$P$400,EL$3,'Étape 1 - à remplir'!$G$31:$G$400,"kg")),IF(EL$2="Atelier",IF(EL$3="Tous",SUMIFS('Étape 1 - à remplir'!$F$31:$F$400,'Étape 1 - à remplir'!$E$31:$E$400,MASQ2!EC18,'Étape 1 - à remplir'!$G$31:$G$400,"kg"),SUMIFS('Étape 1 - à remplir'!$F$31:$F$400,'Étape 1 - à remplir'!$E$31:$E$400,MASQ2!EC18,'Étape 1 - à remplir'!$O$31:$O$400,EL$3,'Étape 1 - à remplir'!$G$31:$G$400,"kg")),IF(EL$2="Espèce",IF(EL$3="Toutes",SUMIFS('Étape 1 - à remplir'!$F$31:$F$400,'Étape 1 - à remplir'!$E$31:$E$400,MASQ2!EC18,'Étape 1 - à remplir'!$G$31:$G$400,"kg"),SUMIFS('Étape 1 - à remplir'!$F$31:$F$400,'Étape 1 - à remplir'!$E$31:$E$400,MASQ2!EC18,'Étape 1 - à remplir'!$N$31:$N$400,EL$3,'Étape 1 - à remplir'!$G$31:$G$400,"kg")))))))</f>
        <v>#N/A</v>
      </c>
      <c r="EE18" s="76">
        <f t="shared" si="53"/>
        <v>0</v>
      </c>
      <c r="EF18" t="str">
        <f t="shared" si="20"/>
        <v>Tylvalosine</v>
      </c>
      <c r="EG18" t="str">
        <f t="shared" si="21"/>
        <v/>
      </c>
      <c r="EH18" t="str">
        <f t="shared" si="22"/>
        <v/>
      </c>
      <c r="EI18" t="str">
        <f t="shared" si="23"/>
        <v>Macrolides</v>
      </c>
      <c r="EJ18" t="str">
        <f t="shared" si="24"/>
        <v/>
      </c>
      <c r="EK18" s="63" t="str">
        <f t="shared" si="25"/>
        <v/>
      </c>
      <c r="EN18" s="42">
        <v>15</v>
      </c>
      <c r="EO18" t="e">
        <f t="shared" si="68"/>
        <v>#N/A</v>
      </c>
      <c r="EP18" s="63" t="e">
        <f t="shared" si="69"/>
        <v>#N/A</v>
      </c>
      <c r="ER18" s="194" t="str">
        <f t="shared" si="26"/>
        <v/>
      </c>
      <c r="ES18" s="226" t="str">
        <f>IFERROR(IF(EU18=0,"",COUNTIF(EU$4:EU$64,"&gt;"&amp;EU18)+COUNTIF(EU$4:EU18,EU18)),"")</f>
        <v/>
      </c>
      <c r="ET18" t="str">
        <f t="shared" si="27"/>
        <v>Cloxacilline</v>
      </c>
      <c r="EU18" s="76" t="e">
        <f t="shared" si="56"/>
        <v>#N/A</v>
      </c>
      <c r="EV18">
        <v>15</v>
      </c>
      <c r="EW18" t="e">
        <f t="shared" si="57"/>
        <v>#N/A</v>
      </c>
      <c r="EX18" s="63" t="e">
        <f t="shared" si="58"/>
        <v>#N/A</v>
      </c>
      <c r="EZ18" s="194" t="str">
        <f t="shared" si="28"/>
        <v/>
      </c>
      <c r="FA18" s="226" t="str">
        <f>IFERROR(IF(FC18=0,"",COUNTIF(FC$4:FC$19,"&gt;"&amp;FC18)+COUNTIF(FC$4:FC18,FC18)),"")</f>
        <v/>
      </c>
      <c r="FB18" t="str">
        <f t="shared" si="29"/>
        <v>Tetracyclines</v>
      </c>
      <c r="FC18" s="76" t="e">
        <f t="shared" si="59"/>
        <v>#N/A</v>
      </c>
      <c r="FD18">
        <v>15</v>
      </c>
      <c r="FE18" t="e">
        <f t="shared" si="60"/>
        <v>#N/A</v>
      </c>
      <c r="FF18" s="63" t="e">
        <f t="shared" si="61"/>
        <v>#N/A</v>
      </c>
      <c r="FG18" s="76" t="str">
        <f>IFERROR(IF(FH18="","",COUNTIF(FH$18:FH$27,"&lt;"&amp;FH18)+COUNTIF(FH$18:FH18,FH18))-COUNTBLANK(FH$18:FH$27),"")</f>
        <v/>
      </c>
      <c r="FH18" s="128" t="str">
        <f t="shared" ref="FH18:FH27" si="83">IFERROR(IF(DQ16="","",DP16),"")</f>
        <v/>
      </c>
      <c r="FJ18" s="122" t="str">
        <f>IFERROR(IF(FK18="","",COUNTIF(FK$18:FK$27,"&lt;"&amp;FK18)+COUNTIF(FK$18:FK18,FK18))-COUNTBLANK(FK$18:FK$27),"")</f>
        <v/>
      </c>
      <c r="FK18" s="109" t="str">
        <f>IF('Étape 1 - à remplir'!G19="kg",'Étape 1 - à remplir'!E19,"")</f>
        <v/>
      </c>
      <c r="FL18" s="109" t="e">
        <f>INDEX(FJ$18:FK$27,MATCH(1,FJ$18:FJ$27,0),2)</f>
        <v>#N/A</v>
      </c>
      <c r="FM18" s="109" t="e">
        <f>FL18</f>
        <v>#N/A</v>
      </c>
      <c r="FN18" s="123" t="e">
        <f>IF(FM18="","",MAX(FN$17:FN17)+1)</f>
        <v>#N/A</v>
      </c>
      <c r="FP18" s="122" t="str">
        <f>IFERROR(IF(FQ18="","",COUNTIF(FQ$18:FQ$27,"&lt;"&amp;FQ18)+COUNTIF(FQ$18:FQ18,FQ18))-COUNTBLANK(FQ$18:FQ$27),"")</f>
        <v/>
      </c>
      <c r="FQ18" s="109" t="str">
        <f>IF('Étape 1 - à remplir'!G19="kg",'Étape 1 - à remplir'!D19,"")</f>
        <v/>
      </c>
      <c r="FR18" s="109" t="e">
        <f>INDEX(FP$18:FQ$27,MATCH(1,FP$18:FP$27,0),2)</f>
        <v>#N/A</v>
      </c>
      <c r="FS18" s="109" t="e">
        <f>FR18</f>
        <v>#N/A</v>
      </c>
      <c r="FT18" s="123" t="e">
        <f>IF(FS18="","",MAX(FT$17:FT17)+1)</f>
        <v>#N/A</v>
      </c>
    </row>
    <row r="19" spans="1:177" ht="15" thickBot="1" x14ac:dyDescent="0.35">
      <c r="A19" s="42">
        <v>4</v>
      </c>
      <c r="B19" t="e">
        <f t="shared" si="70"/>
        <v>#N/A</v>
      </c>
      <c r="C19" t="e">
        <f t="shared" si="71"/>
        <v>#N/A</v>
      </c>
      <c r="D19" s="63" t="e">
        <f t="shared" si="72"/>
        <v>#N/A</v>
      </c>
      <c r="E19" s="188"/>
      <c r="F19" s="118" t="str">
        <f>IFERROR(IF(H19="","",COUNTIF(H$4:H$23,"&gt;"&amp;H19)+COUNTIF(H$4:H19,H19)),"")</f>
        <v/>
      </c>
      <c r="G19" t="str">
        <f>Données_ATB!CG18</f>
        <v>Préventif</v>
      </c>
      <c r="H19" s="76" t="e">
        <f>IF(IF(X$2="Catégorie",IF(X$3="Toutes",SUMIFS('Étape 1 - à remplir'!F$31:F$400,'Étape 1 - à remplir'!D$31:D$400,MASQ2!G19,'Étape 1 - à remplir'!G$31:G$400,"animaux"),SUMIFS('Étape 1 - à remplir'!F$31:F$400,'Étape 1 - à remplir'!D$31:D$400,MASQ2!G19,'Étape 1 - à remplir'!C$31:C$400,X$3)),IF(X$2="Âge",IF(X$3="Tous",SUMIFS('Étape 1 - à remplir'!F$31:F$400,'Étape 1 - à remplir'!D$31:D$400,MASQ2!G19,'Étape 1 - à remplir'!G$31:G$400,"animaux"),SUMIFS('Étape 1 - à remplir'!F$31:F$400,'Étape 1 - à remplir'!D$31:D$400,MASQ2!G19,'Étape 1 - à remplir'!P$31:P$400,X$3)),IF(X$2="Atelier",IF(X$3="Tous",SUMIFS('Étape 1 - à remplir'!F$31:F$400,'Étape 1 - à remplir'!D$31:D$400,MASQ2!G19,'Étape 1 - à remplir'!G$31:G$400,"animaux"),SUMIFS('Étape 1 - à remplir'!F$31:F$400,'Étape 1 - à remplir'!D$31:D$400,MASQ2!G19,'Étape 1 - à remplir'!O$31:O$400,X$3)),IF(X$2="Espèce",IF(X$3="Toutes",SUMIFS('Étape 1 - à remplir'!F$31:F$400,'Étape 1 - à remplir'!D$31:D$400,MASQ2!G19,'Étape 1 - à remplir'!G$31:G$400,"animaux"),SUMIFS('Étape 1 - à remplir'!F$31:F$400,'Étape 1 - à remplir'!D$31:D$400,MASQ2!G19,'Étape 1 - à remplir'!N$31:N$400,X$3))))))=0,NA(),IF(X$2="Catégorie",IF(X$3="Toutes",SUMIFS('Étape 1 - à remplir'!F$31:F$400,'Étape 1 - à remplir'!D$31:D$400,MASQ2!G19,'Étape 1 - à remplir'!G$31:G$400,"animaux"),SUMIFS('Étape 1 - à remplir'!F$31:F$400,'Étape 1 - à remplir'!D$31:D$400,MASQ2!G19,'Étape 1 - à remplir'!C$31:C$400,X$3)),IF(X$2="Âge",IF(X$3="Tous",SUMIFS('Étape 1 - à remplir'!F$31:F$400,'Étape 1 - à remplir'!D$31:D$400,MASQ2!G19,'Étape 1 - à remplir'!G$31:G$400,"animaux"),SUMIFS('Étape 1 - à remplir'!F$31:F$400,'Étape 1 - à remplir'!D$31:D$400,MASQ2!G19,'Étape 1 - à remplir'!P$31:P$400,X$3)),IF(X$2="Atelier",IF(X$3="Tous",SUMIFS('Étape 1 - à remplir'!F$31:F$400,'Étape 1 - à remplir'!D$31:D$400,MASQ2!G19,'Étape 1 - à remplir'!G$31:G$400,"animaux"),SUMIFS('Étape 1 - à remplir'!F$31:F$400,'Étape 1 - à remplir'!D$31:D$400,MASQ2!G19,'Étape 1 - à remplir'!O$31:O$400,X$3)),IF(X$2="Espèce",IF(X$3="Tous",SUMIFS('Étape 1 - à remplir'!F$31:F$400,'Étape 1 - à remplir'!D$31:D$400,MASQ2!G19,'Étape 1 - à remplir'!G$31:G$400,"animaux"),SUMIFS('Étape 1 - à remplir'!F$31:F$400,'Étape 1 - à remplir'!D$31:D$400,MASQ2!G19,'Étape 1 - à remplir'!N$31:N$400,X$3)))))))</f>
        <v>#N/A</v>
      </c>
      <c r="I19" s="118">
        <v>16</v>
      </c>
      <c r="J19" t="e">
        <f t="shared" ref="J19:J23" si="84">INDEX(F$4:H$23,MATCH(I19,F$4:F$23,0),2)</f>
        <v>#N/A</v>
      </c>
      <c r="K19" s="76" t="e">
        <f t="shared" ref="K19:K23" si="85">INDEX(F$4:H$23,MATCH(I19,F$4:F$23,0),3)</f>
        <v>#N/A</v>
      </c>
      <c r="M19" s="194" t="str">
        <f ca="1">INDEX(Données_ATB!BD:BU,MATCH(MASQ2!O19,Données_ATB!BD:BD,0),18)</f>
        <v/>
      </c>
      <c r="N19" s="14" t="str">
        <f>IFERROR(IF(Q19=0,"",COUNTIF(Q$4:Q$600,"&gt;"&amp;Q19)+COUNTIF(Q$4:Q19,Q19)),"")</f>
        <v/>
      </c>
      <c r="O19" t="str">
        <f>Données_ATB!BD18</f>
        <v>AIVLOSIN 625 MG/G GRANULES POUR ADMINISTRATION DANS L'EAU DE BOISSON POUR FAISANS</v>
      </c>
      <c r="P19" t="e">
        <f>IF(IF(X$2="Catégorie",IF(X$3="Toutes",SUMIFS('Étape 1 - à remplir'!$F$31:$F$400,'Étape 1 - à remplir'!$E$31:$E$400,MASQ2!O19,'Étape 1 - à remplir'!$G$31:$G$400,"animaux"),SUMIFS('Étape 1 - à remplir'!$F$31:$F$400,'Étape 1 - à remplir'!$E$31:$E$400,MASQ2!O19,'Étape 1 - à remplir'!$C$31:$C$400,X$3)),IF(X$2="Âge",IF(X$3="Tous",SUMIFS('Étape 1 - à remplir'!$F$31:$F$400,'Étape 1 - à remplir'!$E$31:$E$400,MASQ2!O19,'Étape 1 - à remplir'!$G$31:$G$400,"animaux"),SUMIFS('Étape 1 - à remplir'!$F$31:$F$400,'Étape 1 - à remplir'!$E$31:$E$400,MASQ2!O19,'Étape 1 - à remplir'!$P$31:$P$400,X$3)),IF(X$2="Atelier",IF(X$3="Tous",SUMIFS('Étape 1 - à remplir'!$F$31:$F$400,'Étape 1 - à remplir'!$E$31:$E$400,MASQ2!O19,'Étape 1 - à remplir'!$G$31:$G$400,"animaux"),SUMIFS('Étape 1 - à remplir'!$F$31:$F$400,'Étape 1 - à remplir'!$E$31:$E$400,MASQ2!O19,'Étape 1 - à remplir'!$O$31:$O$400,X$3)),IF(X$2="Espèce",IF(X$3="Toutes",SUMIFS('Étape 1 - à remplir'!$F$31:$F$400,'Étape 1 - à remplir'!$E$31:$E$400,MASQ2!O19,'Étape 1 - à remplir'!$G$31:$G$400,"animaux"),SUMIFS('Étape 1 - à remplir'!$F$31:$F$400,'Étape 1 - à remplir'!$E$31:$E$400,MASQ2!O19,'Étape 1 - à remplir'!$N$31:$N$400,X$3))))))=0,NA(),IF(X$2="Catégorie",IF(X$3="Toutes",SUMIFS('Étape 1 - à remplir'!$F$31:$F$400,'Étape 1 - à remplir'!$E$31:$E$400,MASQ2!O19,'Étape 1 - à remplir'!$G$31:$G$400,"animaux"),SUMIFS('Étape 1 - à remplir'!$F$31:$F$400,'Étape 1 - à remplir'!$E$31:$E$400,MASQ2!O19,'Étape 1 - à remplir'!$C$31:$C$400,X$3)),IF(X$2="Âge",IF(X$3="Tous",SUMIFS('Étape 1 - à remplir'!$F$31:$F$400,'Étape 1 - à remplir'!$E$31:$E$400,MASQ2!O19,'Étape 1 - à remplir'!$G$31:$G$400,"animaux"),SUMIFS('Étape 1 - à remplir'!$F$31:$F$400,'Étape 1 - à remplir'!$E$31:$E$400,MASQ2!O19,'Étape 1 - à remplir'!$P$31:$P$400,X$3)),IF(X$2="Atelier",IF(X$3="Tous",SUMIFS('Étape 1 - à remplir'!$F$31:$F$400,'Étape 1 - à remplir'!$E$31:$E$400,MASQ2!O19,'Étape 1 - à remplir'!$G$31:$G$400,"animaux"),SUMIFS('Étape 1 - à remplir'!$F$31:$F$400,'Étape 1 - à remplir'!$E$31:$E$400,MASQ2!O19,'Étape 1 - à remplir'!$O$31:$O$400,X$3)),IF(X$2="Espèce",IF(X$3="Toutes",SUMIFS('Étape 1 - à remplir'!$F$31:$F$400,'Étape 1 - à remplir'!$E$31:$E$400,MASQ2!O19,'Étape 1 - à remplir'!$G$31:$G$400,"animaux"),SUMIFS('Étape 1 - à remplir'!$F$31:$F$400,'Étape 1 - à remplir'!$E$31:$E$400,MASQ2!O19,'Étape 1 - à remplir'!$N$31:$N$400,X$3)))))))</f>
        <v>#N/A</v>
      </c>
      <c r="Q19" s="63">
        <f t="shared" si="62"/>
        <v>0</v>
      </c>
      <c r="R19" t="str">
        <f>Données_ATB!BM18</f>
        <v>Tylvalosine</v>
      </c>
      <c r="S19" t="str">
        <f>Données_ATB!BN18</f>
        <v/>
      </c>
      <c r="T19" s="63" t="str">
        <f>Données_ATB!BO18</f>
        <v/>
      </c>
      <c r="U19" s="42" t="str">
        <f>Données_ATB!BQ18</f>
        <v>Macrolides</v>
      </c>
      <c r="V19" t="str">
        <f>Données_ATB!BR18</f>
        <v/>
      </c>
      <c r="W19" s="63" t="str">
        <f>Données_ATB!BS18</f>
        <v/>
      </c>
      <c r="Z19" s="42">
        <v>16</v>
      </c>
      <c r="AA19" t="e">
        <f t="shared" si="32"/>
        <v>#N/A</v>
      </c>
      <c r="AB19" s="63" t="e">
        <f t="shared" si="33"/>
        <v>#N/A</v>
      </c>
      <c r="AD19" s="194" t="str">
        <f>IF(AF19="Colistine","x",IF(INDEX(Données_ATB!CA$3:CB$63,MATCH(AF19,Données_ATB!CA$3:CA$63,0),2)="Fluoroquinolones","x",IF(INDEX(Données_ATB!CA$3:CB$63,MATCH(AF19,Données_ATB!CA$3:CA$63,0),2)="Cephalosporines 3&amp;4G","x","")))</f>
        <v>x</v>
      </c>
      <c r="AE19" s="219" t="str">
        <f>IFERROR(IF(AG19=0,"",COUNTIF(AG$4:AG$64,"&gt;"&amp;AG19)+COUNTIF(AG$4:AG19,AG19)),"")</f>
        <v/>
      </c>
      <c r="AF19" s="42" t="str">
        <f>Données_ATB!CA18</f>
        <v>Colistine</v>
      </c>
      <c r="AG19" s="63" t="e">
        <f t="shared" si="34"/>
        <v>#N/A</v>
      </c>
      <c r="AH19" s="42">
        <v>16</v>
      </c>
      <c r="AI19" t="e">
        <f t="shared" si="35"/>
        <v>#N/A</v>
      </c>
      <c r="AJ19" s="63" t="e">
        <f t="shared" si="36"/>
        <v>#N/A</v>
      </c>
      <c r="AL19" s="195" t="str">
        <f t="shared" si="37"/>
        <v/>
      </c>
      <c r="AM19" s="75" t="str">
        <f>IFERROR(IF(AO19=0,"",COUNTIF(AO$4:AO$19,"&gt;"&amp;AO19)+COUNTIF(AO$4:AO19,AO19)),"")</f>
        <v/>
      </c>
      <c r="AN19" s="64" t="str">
        <f>Données_ATB!BX18</f>
        <v>Trimethoprime</v>
      </c>
      <c r="AO19" s="77" t="e">
        <f t="shared" si="3"/>
        <v>#N/A</v>
      </c>
      <c r="AP19" s="64">
        <v>16</v>
      </c>
      <c r="AQ19" s="64" t="e">
        <f t="shared" si="38"/>
        <v>#N/A</v>
      </c>
      <c r="AR19" s="65" t="e">
        <f t="shared" si="39"/>
        <v>#N/A</v>
      </c>
      <c r="AS19" s="76" t="str">
        <f>IFERROR(IF(AT19="","",COUNTIF(AT$18:AT$27,"&lt;"&amp;AT19)+COUNTIF(AT$18:AT19,AT19))-COUNTBLANK(AT$18:AT$27),"")</f>
        <v/>
      </c>
      <c r="AT19" s="128" t="str">
        <f t="shared" si="79"/>
        <v/>
      </c>
      <c r="AV19" s="122" t="str">
        <f>IFERROR(IF(AW19="","",COUNTIF(AW$18:AW$27,"&lt;"&amp;AW19)+COUNTIF(AW$18:AW19,AW19))-COUNTBLANK(AW$18:AW$27),"")</f>
        <v/>
      </c>
      <c r="AW19" t="str">
        <f>IF('Étape 1 - à remplir'!G20="animaux",'Étape 1 - à remplir'!E20,"")</f>
        <v/>
      </c>
      <c r="AX19" s="109" t="e">
        <f>INDEX(AV$18:AW$27,MATCH(2,AV$18:AV$27,0),2)</f>
        <v>#N/A</v>
      </c>
      <c r="AY19" t="e">
        <f>IF(AX19=AX18,"",AX19)</f>
        <v>#N/A</v>
      </c>
      <c r="AZ19" s="123" t="e">
        <f>IF(AY19="","",MAX(AZ$17:AZ18)+1)</f>
        <v>#N/A</v>
      </c>
      <c r="BB19" s="122" t="str">
        <f>IFERROR(IF(BC19="","",COUNTIF(BC$18:BC$27,"&lt;"&amp;BC19)+COUNTIF(BC$18:BC19,BC19))-COUNTBLANK(BC$18:BC$27),"")</f>
        <v/>
      </c>
      <c r="BC19" s="76" t="str">
        <f>IF('Étape 1 - à remplir'!G20="animaux",'Étape 1 - à remplir'!D20,"")</f>
        <v/>
      </c>
      <c r="BD19" t="e">
        <f>INDEX(BB$18:BC$27,MATCH(2,BB$18:BB$27,0),2)</f>
        <v>#N/A</v>
      </c>
      <c r="BE19" s="118" t="e">
        <f>IF(BD19=BD18,"",BD19)</f>
        <v>#N/A</v>
      </c>
      <c r="BF19" s="123" t="e">
        <f>IF(BE19="","",MAX(BF$17:BF18)+1)</f>
        <v>#N/A</v>
      </c>
      <c r="BH19" s="42">
        <v>4</v>
      </c>
      <c r="BI19" t="e">
        <f t="shared" si="73"/>
        <v>#N/A</v>
      </c>
      <c r="BJ19" t="e">
        <f t="shared" si="74"/>
        <v>#N/A</v>
      </c>
      <c r="BK19" s="76" t="e">
        <f t="shared" si="75"/>
        <v>#N/A</v>
      </c>
      <c r="BM19" s="42" t="e">
        <f>IF(BO19="","",COUNTIF(BO$4:BO$23,"&gt;"&amp;BO19)+COUNTIF(BO$4:BO19,BO19))</f>
        <v>#N/A</v>
      </c>
      <c r="BN19" t="str">
        <f t="shared" si="4"/>
        <v>Préventif</v>
      </c>
      <c r="BO19" s="76" t="e">
        <f>IF(IF(CE$2="Catégorie",IF(CE$3="Toutes",SUMIFS('Étape 1 - à remplir'!$F$31:$F$400,'Étape 1 - à remplir'!$D$31:$D$400,MASQ2!BN19,'Étape 1 - à remplir'!$G$31:$G$400,"lots"),SUMIFS('Étape 1 - à remplir'!$F$31:$F$400,'Étape 1 - à remplir'!$D$31:$D$400,MASQ2!BN19,'Étape 1 - à remplir'!$C$31:$C$400,CE$3,'Étape 1 - à remplir'!$G$31:$G$400,"lots")),IF(CE$2="Âge",IF(CE$3="Tous",SUMIFS('Étape 1 - à remplir'!$F$31:$F$400,'Étape 1 - à remplir'!$D$31:$D$400,MASQ2!BN19,'Étape 1 - à remplir'!$G$31:$G$400,"lots"),SUMIFS('Étape 1 - à remplir'!$F$31:$F$400,'Étape 1 - à remplir'!$D$31:$D$400,MASQ2!BN19,'Étape 1 - à remplir'!$P$31:$P$400,CE$3,'Étape 1 - à remplir'!$G$31:$G$400,"lots")),IF(CE$2="Atelier",IF(CE$3="Tous",SUMIFS('Étape 1 - à remplir'!$F$31:$F$400,'Étape 1 - à remplir'!$D$31:$D$400,MASQ2!BN19,'Étape 1 - à remplir'!$G$31:$G$400,"lots"),SUMIFS('Étape 1 - à remplir'!$F$31:$F$400,'Étape 1 - à remplir'!$D$31:$D$400,MASQ2!BN19,'Étape 1 - à remplir'!$O$31:$O$400,CE$3,'Étape 1 - à remplir'!$G$31:$G$400,"lots")),IF(CE$2="Espèce",IF(CE$3="Toutes",SUMIFS('Étape 1 - à remplir'!$F$31:$F$400,'Étape 1 - à remplir'!$D$31:$D$400,MASQ2!BN19,'Étape 1 - à remplir'!$G$31:$G$400,"lots"),SUMIFS('Étape 1 - à remplir'!$F$31:$F$400,'Étape 1 - à remplir'!$D$31:$D$400,MASQ2!BN19,'Étape 1 - à remplir'!$N$31:$N$400,CE$3,'Étape 1 - à remplir'!$G$31:$G$400,"lots"))))))=0,NA(),IF(CE$2="Catégorie",IF(CE$3="Toutes",SUMIFS('Étape 1 - à remplir'!$F$31:$F$400,'Étape 1 - à remplir'!$D$31:$D$400,MASQ2!BN19,'Étape 1 - à remplir'!$G$31:$G$400,"lots"),SUMIFS('Étape 1 - à remplir'!$F$31:$F$400,'Étape 1 - à remplir'!$D$31:$D$400,MASQ2!BN19,'Étape 1 - à remplir'!$C$31:$C$400,CE$3,'Étape 1 - à remplir'!$G$31:$G$400,"lots")),IF(CE$2="Âge",IF(CE$3="Tous",SUMIFS('Étape 1 - à remplir'!$F$31:$F$400,'Étape 1 - à remplir'!$D$31:$D$400,MASQ2!BN19,'Étape 1 - à remplir'!$G$31:$G$400,"lots"),SUMIFS('Étape 1 - à remplir'!$F$31:$F$400,'Étape 1 - à remplir'!$D$31:$D$400,MASQ2!BN19,'Étape 1 - à remplir'!$P$31:$P$400,CE$3,'Étape 1 - à remplir'!$G$31:$G$400,"lots")),IF(CE$2="Atelier",IF(CE$3="Tous",SUMIFS('Étape 1 - à remplir'!$F$31:$F$400,'Étape 1 - à remplir'!$D$31:$D$400,MASQ2!BN19,'Étape 1 - à remplir'!$G$31:$G$400,"lots"),SUMIFS('Étape 1 - à remplir'!$F$31:$F$400,'Étape 1 - à remplir'!$D$31:$D$400,MASQ2!BN19,'Étape 1 - à remplir'!$O$31:$O$400,CE$3,'Étape 1 - à remplir'!$G$31:$G$400,"lots")),IF(CE$2="Espèce",IF(CE$3="Toutes",SUMIFS('Étape 1 - à remplir'!$F$31:$F$400,'Étape 1 - à remplir'!$D$31:$D$400,MASQ2!BN19,'Étape 1 - à remplir'!$G$31:$G$400,"lots"),SUMIFS('Étape 1 - à remplir'!$F$31:$F$400,'Étape 1 - à remplir'!$D$31:$D$400,MASQ2!BN19,'Étape 1 - à remplir'!$N$31:$N$400,CE$3,'Étape 1 - à remplir'!$G$31:$G$400,"lots")))))))</f>
        <v>#N/A</v>
      </c>
      <c r="BP19">
        <v>16</v>
      </c>
      <c r="BQ19" t="e">
        <f t="shared" si="40"/>
        <v>#N/A</v>
      </c>
      <c r="BR19" s="63" t="e">
        <f t="shared" si="41"/>
        <v>#N/A</v>
      </c>
      <c r="BT19" s="194" t="str">
        <f t="shared" ca="1" si="5"/>
        <v/>
      </c>
      <c r="BU19" s="219" t="str">
        <f>IFERROR(IF(BX19=0,"",COUNTIF(BX$4:BX$600,"&gt;"&amp;BX19)+COUNTIF(BX$4:BX19,BX19)),"")</f>
        <v/>
      </c>
      <c r="BV19" s="42" t="str">
        <f t="shared" si="6"/>
        <v>AIVLOSIN 625 MG/G GRANULES POUR ADMINISTRATION DANS L'EAU DE BOISSON POUR FAISANS</v>
      </c>
      <c r="BW19" t="e">
        <f>IF(IF(CE$2="Catégorie",IF(CE$3="Toutes",SUMIFS('Étape 1 - à remplir'!$F$31:$F$400,'Étape 1 - à remplir'!$E$31:$E$400,MASQ2!BV19,'Étape 1 - à remplir'!$G$31:$G$400,"lots"),SUMIFS('Étape 1 - à remplir'!$F$31:$F$400,'Étape 1 - à remplir'!$E$31:$E$400,MASQ2!BV19,'Étape 1 - à remplir'!$C$31:$C$400,CE$3)),IF(CE$2="Âge",IF(CE$3="Tous",SUMIFS('Étape 1 - à remplir'!$F$31:$F$400,'Étape 1 - à remplir'!$E$31:$E$400,MASQ2!BV19,'Étape 1 - à remplir'!$G$31:$G$400,"lots"),SUMIFS('Étape 1 - à remplir'!$F$31:$F$400,'Étape 1 - à remplir'!$E$31:$E$400,MASQ2!BV19,'Étape 1 - à remplir'!$P$31:$P$400,CE$3,'Étape 1 - à remplir'!$G$31:$G$400,"lots")),IF(CE$2="Atelier",IF(CE$3="Tous",SUMIFS('Étape 1 - à remplir'!$F$31:$F$400,'Étape 1 - à remplir'!$E$31:$E$400,MASQ2!BV19,'Étape 1 - à remplir'!$G$31:$G$400,"lots"),SUMIFS('Étape 1 - à remplir'!$F$31:$F$400,'Étape 1 - à remplir'!$E$31:$E$400,MASQ2!BV19,'Étape 1 - à remplir'!$O$31:$O$400,CE$3,'Étape 1 - à remplir'!$G$31:$G$400,"lots")),IF(CE$2="Espèce",IF(CE$3="Toutes",SUMIFS('Étape 1 - à remplir'!$F$31:$F$400,'Étape 1 - à remplir'!$E$31:$E$400,MASQ2!BV19,'Étape 1 - à remplir'!$G$31:$G$400,"lots"),SUMIFS('Étape 1 - à remplir'!$F$31:$F$400,'Étape 1 - à remplir'!$E$31:$E$400,MASQ2!BV19,'Étape 1 - à remplir'!$N$31:$N$400,CE$3,'Étape 1 - à remplir'!$G$31:$G$400,"lots"))))))=0,NA(),IF(CE$2="Catégorie",IF(CE$3="Toutes",SUMIFS('Étape 1 - à remplir'!$F$31:$F$400,'Étape 1 - à remplir'!$E$31:$E$400,MASQ2!BV19,'Étape 1 - à remplir'!$G$31:$G$400,"lots"),SUMIFS('Étape 1 - à remplir'!$F$31:$F$400,'Étape 1 - à remplir'!$E$31:$E$400,MASQ2!BV19,'Étape 1 - à remplir'!$C$31:$C$400,CE$3)),IF(CE$2="Âge",IF(CE$3="Tous",SUMIFS('Étape 1 - à remplir'!$F$31:$F$400,'Étape 1 - à remplir'!$E$31:$E$400,MASQ2!BV19,'Étape 1 - à remplir'!$G$31:$G$400,"lots"),SUMIFS('Étape 1 - à remplir'!$F$31:$F$400,'Étape 1 - à remplir'!$E$31:$E$400,MASQ2!BV19,'Étape 1 - à remplir'!$P$31:$P$400,CE$3,'Étape 1 - à remplir'!$G$31:$G$400,"lots")),IF(CE$2="Atelier",IF(CE$3="Tous",SUMIFS('Étape 1 - à remplir'!$F$31:$F$400,'Étape 1 - à remplir'!$E$31:$E$400,MASQ2!BV19,'Étape 1 - à remplir'!$G$31:$G$400,"lots"),SUMIFS('Étape 1 - à remplir'!$F$31:$F$400,'Étape 1 - à remplir'!$E$31:$E$400,MASQ2!BV19,'Étape 1 - à remplir'!$O$31:$O$400,CE$3,'Étape 1 - à remplir'!$G$31:$G$400,"lots")),IF(CE$2="Espèce",IF(CE$3="Toutes",SUMIFS('Étape 1 - à remplir'!$F$31:$F$400,'Étape 1 - à remplir'!$E$31:$E$400,MASQ2!BV19,'Étape 1 - à remplir'!$G$31:$G$400,"lots"),SUMIFS('Étape 1 - à remplir'!$F$31:$F$400,'Étape 1 - à remplir'!$E$31:$E$400,MASQ2!BV19,'Étape 1 - à remplir'!$N$31:$N$400,CE$3,'Étape 1 - à remplir'!$G$31:$G$400,"lots")))))))</f>
        <v>#N/A</v>
      </c>
      <c r="BX19">
        <f t="shared" si="42"/>
        <v>0</v>
      </c>
      <c r="BY19" t="str">
        <f t="shared" si="7"/>
        <v>Tylvalosine</v>
      </c>
      <c r="BZ19" t="str">
        <f t="shared" si="8"/>
        <v/>
      </c>
      <c r="CA19" t="str">
        <f t="shared" si="9"/>
        <v/>
      </c>
      <c r="CB19" t="str">
        <f t="shared" si="10"/>
        <v>Macrolides</v>
      </c>
      <c r="CC19" t="str">
        <f t="shared" si="11"/>
        <v/>
      </c>
      <c r="CD19" s="63" t="str">
        <f t="shared" si="12"/>
        <v/>
      </c>
      <c r="CG19" s="42">
        <v>16</v>
      </c>
      <c r="CH19" s="42" t="e">
        <f t="shared" si="80"/>
        <v>#N/A</v>
      </c>
      <c r="CI19" s="63" t="e">
        <f t="shared" si="81"/>
        <v>#N/A</v>
      </c>
      <c r="CK19" s="194" t="str">
        <f t="shared" si="13"/>
        <v>x</v>
      </c>
      <c r="CL19" s="226" t="str">
        <f>IFERROR(IF(CN19=0,"",COUNTIF(CN$4:CN$64,"&gt;"&amp;CN19)+COUNTIF(CN$4:CN19,CN19)),"")</f>
        <v/>
      </c>
      <c r="CM19" t="str">
        <f t="shared" si="14"/>
        <v>Colistine</v>
      </c>
      <c r="CN19" s="76" t="e">
        <f t="shared" si="45"/>
        <v>#N/A</v>
      </c>
      <c r="CO19">
        <v>16</v>
      </c>
      <c r="CP19" t="e">
        <f t="shared" si="46"/>
        <v>#N/A</v>
      </c>
      <c r="CQ19" s="63" t="e">
        <f t="shared" si="47"/>
        <v>#N/A</v>
      </c>
      <c r="CS19" s="195" t="str">
        <f t="shared" si="15"/>
        <v/>
      </c>
      <c r="CT19" s="75" t="str">
        <f>IFERROR(IF(CV19=0,"",COUNTIF(CV$4:CV$19,"&gt;"&amp;CV19)+COUNTIF(CV$4:CV19,CV19)),"")</f>
        <v/>
      </c>
      <c r="CU19" s="231" t="str">
        <f t="shared" si="16"/>
        <v>Trimethoprime</v>
      </c>
      <c r="CV19" s="77" t="e">
        <f t="shared" si="48"/>
        <v>#N/A</v>
      </c>
      <c r="CW19" s="64">
        <v>16</v>
      </c>
      <c r="CX19" s="64" t="e">
        <f t="shared" si="49"/>
        <v>#N/A</v>
      </c>
      <c r="CY19" s="65" t="e">
        <f t="shared" si="50"/>
        <v>#N/A</v>
      </c>
      <c r="CZ19" s="76" t="str">
        <f>IFERROR(IF(DA19="","",COUNTIF(DA$18:DA$27,"&lt;"&amp;DA19)+COUNTIF(DA$18:DA19,DA19))-COUNTBLANK(DA$18:DA$27),"")</f>
        <v/>
      </c>
      <c r="DA19" s="128" t="str">
        <f t="shared" si="82"/>
        <v/>
      </c>
      <c r="DC19" s="122" t="str">
        <f>IFERROR(IF(DD19="","",COUNTIF(DD$18:DD$27,"&lt;"&amp;DD19)+COUNTIF(DD$18:DD19,DD19))-COUNTBLANK(DD$18:DD$27),"")</f>
        <v/>
      </c>
      <c r="DD19" s="109" t="str">
        <f>IF('Étape 1 - à remplir'!G20="lots",'Étape 1 - à remplir'!E20,"")</f>
        <v/>
      </c>
      <c r="DE19" s="109" t="e">
        <f>INDEX(DC$18:DD$27,MATCH(2,DC$18:DC$27,0),2)</f>
        <v>#N/A</v>
      </c>
      <c r="DF19" s="109" t="e">
        <f>IF(DE19=DE18,"",DE19)</f>
        <v>#N/A</v>
      </c>
      <c r="DG19" s="123" t="e">
        <f>IF(DF19="","",MAX(DG$17:DG18)+1)</f>
        <v>#N/A</v>
      </c>
      <c r="DI19" s="122" t="str">
        <f>IFERROR(IF(DJ19="","",COUNTIF(DJ$18:DJ$27,"&lt;"&amp;DJ19)+COUNTIF(DJ$18:DJ19,DJ19))-COUNTBLANK(DJ$18:DJ$27),"")</f>
        <v/>
      </c>
      <c r="DJ19" s="109" t="str">
        <f>IF('Étape 1 - à remplir'!G20="lots",'Étape 1 - à remplir'!D20,"")</f>
        <v/>
      </c>
      <c r="DK19" s="109" t="e">
        <f>INDEX(DI$18:DJ$27,MATCH(2,DI$18:DI$27,0),2)</f>
        <v>#N/A</v>
      </c>
      <c r="DL19" s="109" t="e">
        <f>IF(DK19=DK18,"",DK19)</f>
        <v>#N/A</v>
      </c>
      <c r="DM19" s="123" t="e">
        <f>IF(DL19="","",MAX(DM$17:DM18)+1)</f>
        <v>#N/A</v>
      </c>
      <c r="DO19" s="42">
        <v>4</v>
      </c>
      <c r="DP19" t="e">
        <f t="shared" si="76"/>
        <v>#N/A</v>
      </c>
      <c r="DQ19" t="e">
        <f t="shared" si="77"/>
        <v>#N/A</v>
      </c>
      <c r="DR19" s="63" t="e">
        <f t="shared" si="78"/>
        <v>#N/A</v>
      </c>
      <c r="DT19" s="42" t="e">
        <f>IF(DV19="","",COUNTIF(DV$4:DV$23,"&gt;"&amp;DV19)+COUNTIF(DV$4:DV19,DV19))</f>
        <v>#N/A</v>
      </c>
      <c r="DU19" t="str">
        <f t="shared" si="17"/>
        <v>Préventif</v>
      </c>
      <c r="DV19" s="63" t="e">
        <f>IF(IF(EL$2="Catégorie",IF(EL$3="Toutes",SUMIFS('Étape 1 - à remplir'!$F$31:$F$400,'Étape 1 - à remplir'!$D$31:$D$400,MASQ2!DU19,'Étape 1 - à remplir'!$G$31:$G$400,"kg"),SUMIFS('Étape 1 - à remplir'!$F$31:$F$400,'Étape 1 - à remplir'!$D$31:$D$400,MASQ2!DU19,'Étape 1 - à remplir'!$C$31:$C$400,EL$3,'Étape 1 - à remplir'!$G$31:$G$400,"kg")),IF(EL$2="Âge",IF(EL$3="Tous",SUMIFS('Étape 1 - à remplir'!$F$31:$F$400,'Étape 1 - à remplir'!$D$31:$D$400,MASQ2!DU19,'Étape 1 - à remplir'!$G$31:$G$400,"kg"),SUMIFS('Étape 1 - à remplir'!$F$31:$F$400,'Étape 1 - à remplir'!$D$31:$D$400,MASQ2!DU19,'Étape 1 - à remplir'!$P$31:$P$400,EL$3,'Étape 1 - à remplir'!$G$31:$G$400,"kg")),IF(EL$2="Atelier",IF(EL$3="Tous",SUMIFS('Étape 1 - à remplir'!$F$31:$F$400,'Étape 1 - à remplir'!$D$31:$D$400,MASQ2!DU19,'Étape 1 - à remplir'!$G$31:$G$400,"kg"),SUMIFS('Étape 1 - à remplir'!$F$31:$F$400,'Étape 1 - à remplir'!$D$31:$D$400,MASQ2!DU19,'Étape 1 - à remplir'!$O$31:$O$400,EL$3,'Étape 1 - à remplir'!$G$31:$G$400,"kg")),IF(EL$2="Espèce",IF(EL$3="Toutes",SUMIFS('Étape 1 - à remplir'!$F$31:$F$400,'Étape 1 - à remplir'!$D$31:$D$400,MASQ2!DU19,'Étape 1 - à remplir'!$G$31:$G$400,"kg"),SUMIFS('Étape 1 - à remplir'!$F$31:$F$400,'Étape 1 - à remplir'!$D$31:$D$400,MASQ2!DU19,'Étape 1 - à remplir'!$N$31:$N$400,EL$3,'Étape 1 - à remplir'!$G$31:$G$400,"kg"))))))=0,NA(),IF(EL$2="Catégorie",IF(EL$3="Toutes",SUMIFS('Étape 1 - à remplir'!$F$31:$F$400,'Étape 1 - à remplir'!$D$31:$D$400,MASQ2!DU19,'Étape 1 - à remplir'!$G$31:$G$400,"kg"),SUMIFS('Étape 1 - à remplir'!$F$31:$F$400,'Étape 1 - à remplir'!$D$31:$D$400,MASQ2!DU19,'Étape 1 - à remplir'!$C$31:$C$400,EL$3,'Étape 1 - à remplir'!$G$31:$G$400,"kg")),IF(EL$2="Âge",IF(EL$3="Tous",SUMIFS('Étape 1 - à remplir'!$F$31:$F$400,'Étape 1 - à remplir'!$D$31:$D$400,MASQ2!DU19,'Étape 1 - à remplir'!$G$31:$G$400,"kg"),SUMIFS('Étape 1 - à remplir'!$F$31:$F$400,'Étape 1 - à remplir'!$D$31:$D$400,MASQ2!DU19,'Étape 1 - à remplir'!$P$31:$P$400,EL$3,'Étape 1 - à remplir'!$G$31:$G$400,"kg")),IF(EL$2="Atelier",IF(EL$3="Tous",SUMIFS('Étape 1 - à remplir'!$F$31:$F$400,'Étape 1 - à remplir'!$D$31:$D$400,MASQ2!DU19,'Étape 1 - à remplir'!$G$31:$G$400,"kg"),SUMIFS('Étape 1 - à remplir'!$F$31:$F$400,'Étape 1 - à remplir'!$D$31:$D$400,MASQ2!DU19,'Étape 1 - à remplir'!$O$31:$O$400,EL$3,'Étape 1 - à remplir'!$G$31:$G$400,"kg")),IF(EL$2="Espèce",IF(EL$3="Toutes",SUMIFS('Étape 1 - à remplir'!$F$31:$F$400,'Étape 1 - à remplir'!$D$31:$D$400,MASQ2!DU19,'Étape 1 - à remplir'!$G$31:$G$400,"kg"),SUMIFS('Étape 1 - à remplir'!$F$31:$F$400,'Étape 1 - à remplir'!$D$31:$D$400,MASQ2!DU19,'Étape 1 - à remplir'!$N$31:$N$400,EL$3,'Étape 1 - à remplir'!$G$31:$G$400,"kg")))))))</f>
        <v>#N/A</v>
      </c>
      <c r="DW19" s="42">
        <v>16</v>
      </c>
      <c r="DX19" t="e">
        <f t="shared" si="51"/>
        <v>#N/A</v>
      </c>
      <c r="DY19" s="63" t="e">
        <f t="shared" si="52"/>
        <v>#N/A</v>
      </c>
      <c r="EA19" s="194" t="str">
        <f t="shared" ca="1" si="18"/>
        <v/>
      </c>
      <c r="EB19" s="226" t="str">
        <f>IFERROR(IF(ED19=0,"",COUNTIF(ED$4:ED$600,"&gt;"&amp;ED19)+COUNTIF(ED$4:ED19,ED19)),"")</f>
        <v/>
      </c>
      <c r="EC19" t="str">
        <f t="shared" si="19"/>
        <v>AIVLOSIN 625 MG/G GRANULES POUR ADMINISTRATION DANS L'EAU DE BOISSON POUR FAISANS</v>
      </c>
      <c r="ED19" t="e">
        <f>IF(IF(EL$2="Catégorie",IF(EL$3="Toutes",SUMIFS('Étape 1 - à remplir'!$F$31:$F$400,'Étape 1 - à remplir'!$E$31:$E$400,MASQ2!EC19,'Étape 1 - à remplir'!$G$31:$G$400,"kg"),SUMIFS('Étape 1 - à remplir'!$F$31:$F$400,'Étape 1 - à remplir'!$E$31:$E$400,MASQ2!EC19,'Étape 1 - à remplir'!$C$31:$C$400,EL$3)),IF(EL$2="Âge",IF(EL$3="Tous",SUMIFS('Étape 1 - à remplir'!$F$31:$F$400,'Étape 1 - à remplir'!$E$31:$E$400,MASQ2!EC19,'Étape 1 - à remplir'!$G$31:$G$400,"kg"),SUMIFS('Étape 1 - à remplir'!$F$31:$F$400,'Étape 1 - à remplir'!$E$31:$E$400,MASQ2!EC19,'Étape 1 - à remplir'!$P$31:$P$400,EL$3,'Étape 1 - à remplir'!$G$31:$G$400,"kg")),IF(EL$2="Atelier",IF(EL$3="Tous",SUMIFS('Étape 1 - à remplir'!$F$31:$F$400,'Étape 1 - à remplir'!$E$31:$E$400,MASQ2!EC19,'Étape 1 - à remplir'!$G$31:$G$400,"kg"),SUMIFS('Étape 1 - à remplir'!$F$31:$F$400,'Étape 1 - à remplir'!$E$31:$E$400,MASQ2!EC19,'Étape 1 - à remplir'!$O$31:$O$400,EL$3,'Étape 1 - à remplir'!$G$31:$G$400,"kg")),IF(EL$2="Espèce",IF(EL$3="Toutes",SUMIFS('Étape 1 - à remplir'!$F$31:$F$400,'Étape 1 - à remplir'!$E$31:$E$400,MASQ2!EC19,'Étape 1 - à remplir'!$G$31:$G$400,"kg"),SUMIFS('Étape 1 - à remplir'!$F$31:$F$400,'Étape 1 - à remplir'!$E$31:$E$400,MASQ2!EC19,'Étape 1 - à remplir'!$N$31:$N$400,EL$3,'Étape 1 - à remplir'!$G$31:$G$400,"kg"))))))=0,NA(),IF(EL$2="Catégorie",IF(EL$3="Toutes",SUMIFS('Étape 1 - à remplir'!$F$31:$F$400,'Étape 1 - à remplir'!$E$31:$E$400,MASQ2!EC19,'Étape 1 - à remplir'!$G$31:$G$400,"kg"),SUMIFS('Étape 1 - à remplir'!$F$31:$F$400,'Étape 1 - à remplir'!$E$31:$E$400,MASQ2!EC19,'Étape 1 - à remplir'!$C$31:$C$400,EL$3)),IF(EL$2="Âge",IF(EL$3="Tous",SUMIFS('Étape 1 - à remplir'!$F$31:$F$400,'Étape 1 - à remplir'!$E$31:$E$400,MASQ2!EC19,'Étape 1 - à remplir'!$G$31:$G$400,"kg"),SUMIFS('Étape 1 - à remplir'!$F$31:$F$400,'Étape 1 - à remplir'!$E$31:$E$400,MASQ2!EC19,'Étape 1 - à remplir'!$P$31:$P$400,EL$3,'Étape 1 - à remplir'!$G$31:$G$400,"kg")),IF(EL$2="Atelier",IF(EL$3="Tous",SUMIFS('Étape 1 - à remplir'!$F$31:$F$400,'Étape 1 - à remplir'!$E$31:$E$400,MASQ2!EC19,'Étape 1 - à remplir'!$G$31:$G$400,"kg"),SUMIFS('Étape 1 - à remplir'!$F$31:$F$400,'Étape 1 - à remplir'!$E$31:$E$400,MASQ2!EC19,'Étape 1 - à remplir'!$O$31:$O$400,EL$3,'Étape 1 - à remplir'!$G$31:$G$400,"kg")),IF(EL$2="Espèce",IF(EL$3="Toutes",SUMIFS('Étape 1 - à remplir'!$F$31:$F$400,'Étape 1 - à remplir'!$E$31:$E$400,MASQ2!EC19,'Étape 1 - à remplir'!$G$31:$G$400,"kg"),SUMIFS('Étape 1 - à remplir'!$F$31:$F$400,'Étape 1 - à remplir'!$E$31:$E$400,MASQ2!EC19,'Étape 1 - à remplir'!$N$31:$N$400,EL$3,'Étape 1 - à remplir'!$G$31:$G$400,"kg")))))))</f>
        <v>#N/A</v>
      </c>
      <c r="EE19" s="76">
        <f t="shared" si="53"/>
        <v>0</v>
      </c>
      <c r="EF19" t="str">
        <f t="shared" si="20"/>
        <v>Tylvalosine</v>
      </c>
      <c r="EG19" t="str">
        <f t="shared" si="21"/>
        <v/>
      </c>
      <c r="EH19" t="str">
        <f t="shared" si="22"/>
        <v/>
      </c>
      <c r="EI19" t="str">
        <f t="shared" si="23"/>
        <v>Macrolides</v>
      </c>
      <c r="EJ19" t="str">
        <f t="shared" si="24"/>
        <v/>
      </c>
      <c r="EK19" s="63" t="str">
        <f t="shared" si="25"/>
        <v/>
      </c>
      <c r="EN19" s="42">
        <v>16</v>
      </c>
      <c r="EO19" t="e">
        <f t="shared" si="68"/>
        <v>#N/A</v>
      </c>
      <c r="EP19" s="63" t="e">
        <f t="shared" si="69"/>
        <v>#N/A</v>
      </c>
      <c r="ER19" s="194" t="str">
        <f t="shared" si="26"/>
        <v>x</v>
      </c>
      <c r="ES19" s="226" t="str">
        <f>IFERROR(IF(EU19=0,"",COUNTIF(EU$4:EU$64,"&gt;"&amp;EU19)+COUNTIF(EU$4:EU19,EU19)),"")</f>
        <v/>
      </c>
      <c r="ET19" t="str">
        <f t="shared" si="27"/>
        <v>Colistine</v>
      </c>
      <c r="EU19" s="76" t="e">
        <f t="shared" si="56"/>
        <v>#N/A</v>
      </c>
      <c r="EV19">
        <v>16</v>
      </c>
      <c r="EW19" t="e">
        <f t="shared" si="57"/>
        <v>#N/A</v>
      </c>
      <c r="EX19" s="63" t="e">
        <f t="shared" si="58"/>
        <v>#N/A</v>
      </c>
      <c r="EZ19" s="195" t="str">
        <f t="shared" si="28"/>
        <v/>
      </c>
      <c r="FA19" s="228" t="str">
        <f>IFERROR(IF(FC19=0,"",COUNTIF(FC$4:FC$19,"&gt;"&amp;FC19)+COUNTIF(FC$4:FC19,FC19)),"")</f>
        <v/>
      </c>
      <c r="FB19" s="64" t="str">
        <f t="shared" si="29"/>
        <v>Trimethoprime</v>
      </c>
      <c r="FC19" s="77" t="e">
        <f t="shared" si="59"/>
        <v>#N/A</v>
      </c>
      <c r="FD19" s="64">
        <v>16</v>
      </c>
      <c r="FE19" s="64" t="e">
        <f t="shared" si="60"/>
        <v>#N/A</v>
      </c>
      <c r="FF19" s="65" t="e">
        <f t="shared" si="61"/>
        <v>#N/A</v>
      </c>
      <c r="FG19" s="76" t="str">
        <f>IFERROR(IF(FH19="","",COUNTIF(FH$18:FH$27,"&lt;"&amp;FH19)+COUNTIF(FH$18:FH19,FH19))-COUNTBLANK(FH$18:FH$27),"")</f>
        <v/>
      </c>
      <c r="FH19" s="128" t="str">
        <f t="shared" si="83"/>
        <v/>
      </c>
      <c r="FJ19" s="122" t="str">
        <f>IFERROR(IF(FK19="","",COUNTIF(FK$18:FK$27,"&lt;"&amp;FK19)+COUNTIF(FK$18:FK19,FK19))-COUNTBLANK(FK$18:FK$27),"")</f>
        <v/>
      </c>
      <c r="FK19" s="109" t="str">
        <f>IF('Étape 1 - à remplir'!G20="kg",'Étape 1 - à remplir'!E20,"")</f>
        <v/>
      </c>
      <c r="FL19" s="109" t="e">
        <f>INDEX(FJ$18:FK$27,MATCH(2,FJ$18:FJ$27,0),2)</f>
        <v>#N/A</v>
      </c>
      <c r="FM19" s="109" t="e">
        <f>IF(FL19=FL18,"",FL19)</f>
        <v>#N/A</v>
      </c>
      <c r="FN19" s="123" t="e">
        <f>IF(FM19="","",MAX(FN$17:FN18)+1)</f>
        <v>#N/A</v>
      </c>
      <c r="FP19" s="122" t="str">
        <f>IFERROR(IF(FQ19="","",COUNTIF(FQ$18:FQ$27,"&lt;"&amp;FQ19)+COUNTIF(FQ$18:FQ19,FQ19))-COUNTBLANK(FQ$18:FQ$27),"")</f>
        <v/>
      </c>
      <c r="FQ19" s="109" t="str">
        <f>IF('Étape 1 - à remplir'!G20="kg",'Étape 1 - à remplir'!D20,"")</f>
        <v/>
      </c>
      <c r="FR19" s="109" t="e">
        <f>INDEX(FP$18:FQ$27,MATCH(2,FP$18:FP$27,0),2)</f>
        <v>#N/A</v>
      </c>
      <c r="FS19" s="109" t="e">
        <f>IF(FR19=FR18,"",FR19)</f>
        <v>#N/A</v>
      </c>
      <c r="FT19" s="123" t="e">
        <f>IF(FS19="","",MAX(FT$17:FT18)+1)</f>
        <v>#N/A</v>
      </c>
    </row>
    <row r="20" spans="1:177" x14ac:dyDescent="0.3">
      <c r="A20" s="42">
        <v>5</v>
      </c>
      <c r="B20" t="e">
        <f t="shared" si="70"/>
        <v>#N/A</v>
      </c>
      <c r="C20" t="e">
        <f t="shared" si="71"/>
        <v>#N/A</v>
      </c>
      <c r="D20" s="63" t="e">
        <f t="shared" si="72"/>
        <v>#N/A</v>
      </c>
      <c r="E20" s="188"/>
      <c r="F20" s="118" t="str">
        <f>IFERROR(IF(H20="","",COUNTIF(H$4:H$23,"&gt;"&amp;H20)+COUNTIF(H$4:H20,H20)),"")</f>
        <v/>
      </c>
      <c r="G20" t="str">
        <f>Données_ATB!CG19</f>
        <v>Rouget</v>
      </c>
      <c r="H20" s="76" t="e">
        <f>IF(IF(X$2="Catégorie",IF(X$3="Toutes",SUMIFS('Étape 1 - à remplir'!F$31:F$400,'Étape 1 - à remplir'!D$31:D$400,MASQ2!G20,'Étape 1 - à remplir'!G$31:G$400,"animaux"),SUMIFS('Étape 1 - à remplir'!F$31:F$400,'Étape 1 - à remplir'!D$31:D$400,MASQ2!G20,'Étape 1 - à remplir'!C$31:C$400,X$3)),IF(X$2="Âge",IF(X$3="Tous",SUMIFS('Étape 1 - à remplir'!F$31:F$400,'Étape 1 - à remplir'!D$31:D$400,MASQ2!G20,'Étape 1 - à remplir'!G$31:G$400,"animaux"),SUMIFS('Étape 1 - à remplir'!F$31:F$400,'Étape 1 - à remplir'!D$31:D$400,MASQ2!G20,'Étape 1 - à remplir'!P$31:P$400,X$3)),IF(X$2="Atelier",IF(X$3="Tous",SUMIFS('Étape 1 - à remplir'!F$31:F$400,'Étape 1 - à remplir'!D$31:D$400,MASQ2!G20,'Étape 1 - à remplir'!G$31:G$400,"animaux"),SUMIFS('Étape 1 - à remplir'!F$31:F$400,'Étape 1 - à remplir'!D$31:D$400,MASQ2!G20,'Étape 1 - à remplir'!O$31:O$400,X$3)),IF(X$2="Espèce",IF(X$3="Toutes",SUMIFS('Étape 1 - à remplir'!F$31:F$400,'Étape 1 - à remplir'!D$31:D$400,MASQ2!G20,'Étape 1 - à remplir'!G$31:G$400,"animaux"),SUMIFS('Étape 1 - à remplir'!F$31:F$400,'Étape 1 - à remplir'!D$31:D$400,MASQ2!G20,'Étape 1 - à remplir'!N$31:N$400,X$3))))))=0,NA(),IF(X$2="Catégorie",IF(X$3="Toutes",SUMIFS('Étape 1 - à remplir'!F$31:F$400,'Étape 1 - à remplir'!D$31:D$400,MASQ2!G20,'Étape 1 - à remplir'!G$31:G$400,"animaux"),SUMIFS('Étape 1 - à remplir'!F$31:F$400,'Étape 1 - à remplir'!D$31:D$400,MASQ2!G20,'Étape 1 - à remplir'!C$31:C$400,X$3)),IF(X$2="Âge",IF(X$3="Tous",SUMIFS('Étape 1 - à remplir'!F$31:F$400,'Étape 1 - à remplir'!D$31:D$400,MASQ2!G20,'Étape 1 - à remplir'!G$31:G$400,"animaux"),SUMIFS('Étape 1 - à remplir'!F$31:F$400,'Étape 1 - à remplir'!D$31:D$400,MASQ2!G20,'Étape 1 - à remplir'!P$31:P$400,X$3)),IF(X$2="Atelier",IF(X$3="Tous",SUMIFS('Étape 1 - à remplir'!F$31:F$400,'Étape 1 - à remplir'!D$31:D$400,MASQ2!G20,'Étape 1 - à remplir'!G$31:G$400,"animaux"),SUMIFS('Étape 1 - à remplir'!F$31:F$400,'Étape 1 - à remplir'!D$31:D$400,MASQ2!G20,'Étape 1 - à remplir'!O$31:O$400,X$3)),IF(X$2="Espèce",IF(X$3="Tous",SUMIFS('Étape 1 - à remplir'!F$31:F$400,'Étape 1 - à remplir'!D$31:D$400,MASQ2!G20,'Étape 1 - à remplir'!G$31:G$400,"animaux"),SUMIFS('Étape 1 - à remplir'!F$31:F$400,'Étape 1 - à remplir'!D$31:D$400,MASQ2!G20,'Étape 1 - à remplir'!N$31:N$400,X$3)))))))</f>
        <v>#N/A</v>
      </c>
      <c r="I20" s="118">
        <v>17</v>
      </c>
      <c r="J20" t="e">
        <f t="shared" si="84"/>
        <v>#N/A</v>
      </c>
      <c r="K20" s="76" t="e">
        <f t="shared" si="85"/>
        <v>#N/A</v>
      </c>
      <c r="M20" s="194" t="str">
        <f ca="1">INDEX(Données_ATB!BD:BU,MATCH(MASQ2!O20,Données_ATB!BD:BD,0),18)</f>
        <v/>
      </c>
      <c r="N20" s="14" t="str">
        <f>IFERROR(IF(Q20=0,"",COUNTIF(Q$4:Q$600,"&gt;"&amp;Q20)+COUNTIF(Q$4:Q20,Q20)),"")</f>
        <v/>
      </c>
      <c r="O20" t="str">
        <f>Données_ATB!BD19</f>
        <v>AIVLOSIN 625 MG/G GRANULES POUR EAU DE BOISSON POUR POULETS/DINDONS</v>
      </c>
      <c r="P20" t="e">
        <f>IF(IF(X$2="Catégorie",IF(X$3="Toutes",SUMIFS('Étape 1 - à remplir'!$F$31:$F$400,'Étape 1 - à remplir'!$E$31:$E$400,MASQ2!O20,'Étape 1 - à remplir'!$G$31:$G$400,"animaux"),SUMIFS('Étape 1 - à remplir'!$F$31:$F$400,'Étape 1 - à remplir'!$E$31:$E$400,MASQ2!O20,'Étape 1 - à remplir'!$C$31:$C$400,X$3)),IF(X$2="Âge",IF(X$3="Tous",SUMIFS('Étape 1 - à remplir'!$F$31:$F$400,'Étape 1 - à remplir'!$E$31:$E$400,MASQ2!O20,'Étape 1 - à remplir'!$G$31:$G$400,"animaux"),SUMIFS('Étape 1 - à remplir'!$F$31:$F$400,'Étape 1 - à remplir'!$E$31:$E$400,MASQ2!O20,'Étape 1 - à remplir'!$P$31:$P$400,X$3)),IF(X$2="Atelier",IF(X$3="Tous",SUMIFS('Étape 1 - à remplir'!$F$31:$F$400,'Étape 1 - à remplir'!$E$31:$E$400,MASQ2!O20,'Étape 1 - à remplir'!$G$31:$G$400,"animaux"),SUMIFS('Étape 1 - à remplir'!$F$31:$F$400,'Étape 1 - à remplir'!$E$31:$E$400,MASQ2!O20,'Étape 1 - à remplir'!$O$31:$O$400,X$3)),IF(X$2="Espèce",IF(X$3="Toutes",SUMIFS('Étape 1 - à remplir'!$F$31:$F$400,'Étape 1 - à remplir'!$E$31:$E$400,MASQ2!O20,'Étape 1 - à remplir'!$G$31:$G$400,"animaux"),SUMIFS('Étape 1 - à remplir'!$F$31:$F$400,'Étape 1 - à remplir'!$E$31:$E$400,MASQ2!O20,'Étape 1 - à remplir'!$N$31:$N$400,X$3))))))=0,NA(),IF(X$2="Catégorie",IF(X$3="Toutes",SUMIFS('Étape 1 - à remplir'!$F$31:$F$400,'Étape 1 - à remplir'!$E$31:$E$400,MASQ2!O20,'Étape 1 - à remplir'!$G$31:$G$400,"animaux"),SUMIFS('Étape 1 - à remplir'!$F$31:$F$400,'Étape 1 - à remplir'!$E$31:$E$400,MASQ2!O20,'Étape 1 - à remplir'!$C$31:$C$400,X$3)),IF(X$2="Âge",IF(X$3="Tous",SUMIFS('Étape 1 - à remplir'!$F$31:$F$400,'Étape 1 - à remplir'!$E$31:$E$400,MASQ2!O20,'Étape 1 - à remplir'!$G$31:$G$400,"animaux"),SUMIFS('Étape 1 - à remplir'!$F$31:$F$400,'Étape 1 - à remplir'!$E$31:$E$400,MASQ2!O20,'Étape 1 - à remplir'!$P$31:$P$400,X$3)),IF(X$2="Atelier",IF(X$3="Tous",SUMIFS('Étape 1 - à remplir'!$F$31:$F$400,'Étape 1 - à remplir'!$E$31:$E$400,MASQ2!O20,'Étape 1 - à remplir'!$G$31:$G$400,"animaux"),SUMIFS('Étape 1 - à remplir'!$F$31:$F$400,'Étape 1 - à remplir'!$E$31:$E$400,MASQ2!O20,'Étape 1 - à remplir'!$O$31:$O$400,X$3)),IF(X$2="Espèce",IF(X$3="Toutes",SUMIFS('Étape 1 - à remplir'!$F$31:$F$400,'Étape 1 - à remplir'!$E$31:$E$400,MASQ2!O20,'Étape 1 - à remplir'!$G$31:$G$400,"animaux"),SUMIFS('Étape 1 - à remplir'!$F$31:$F$400,'Étape 1 - à remplir'!$E$31:$E$400,MASQ2!O20,'Étape 1 - à remplir'!$N$31:$N$400,X$3)))))))</f>
        <v>#N/A</v>
      </c>
      <c r="Q20" s="63">
        <f t="shared" si="62"/>
        <v>0</v>
      </c>
      <c r="R20" t="str">
        <f>Données_ATB!BM19</f>
        <v>Tylvalosine</v>
      </c>
      <c r="S20" t="str">
        <f>Données_ATB!BN19</f>
        <v/>
      </c>
      <c r="T20" s="63" t="str">
        <f>Données_ATB!BO19</f>
        <v/>
      </c>
      <c r="U20" s="42" t="str">
        <f>Données_ATB!BQ19</f>
        <v>Macrolides</v>
      </c>
      <c r="V20" t="str">
        <f>Données_ATB!BR19</f>
        <v/>
      </c>
      <c r="W20" s="63" t="str">
        <f>Données_ATB!BS19</f>
        <v/>
      </c>
      <c r="Z20" s="42">
        <v>17</v>
      </c>
      <c r="AA20" t="e">
        <f t="shared" si="32"/>
        <v>#N/A</v>
      </c>
      <c r="AB20" s="63" t="e">
        <f t="shared" si="33"/>
        <v>#N/A</v>
      </c>
      <c r="AD20" s="194" t="str">
        <f>IF(AF20="Colistine","x",IF(INDEX(Données_ATB!CA$3:CB$63,MATCH(AF20,Données_ATB!CA$3:CA$63,0),2)="Fluoroquinolones","x",IF(INDEX(Données_ATB!CA$3:CB$63,MATCH(AF20,Données_ATB!CA$3:CA$63,0),2)="Cephalosporines 3&amp;4G","x","")))</f>
        <v>x</v>
      </c>
      <c r="AE20" s="219" t="str">
        <f>IFERROR(IF(AG20=0,"",COUNTIF(AG$4:AG$64,"&gt;"&amp;AG20)+COUNTIF(AG$4:AG20,AG20)),"")</f>
        <v/>
      </c>
      <c r="AF20" s="42" t="str">
        <f>Données_ATB!CA19</f>
        <v>Danofloxacine</v>
      </c>
      <c r="AG20" s="63" t="e">
        <f t="shared" si="34"/>
        <v>#N/A</v>
      </c>
      <c r="AH20" s="42">
        <v>17</v>
      </c>
      <c r="AI20" t="e">
        <f t="shared" si="35"/>
        <v>#N/A</v>
      </c>
      <c r="AJ20" s="63" t="e">
        <f t="shared" si="36"/>
        <v>#N/A</v>
      </c>
      <c r="AL20" s="14" t="str">
        <f t="shared" ref="AL20:AL27" si="86">IF(AN20="Colistine","x",IF(AN20="Fluoroquinolones","x",IF(AN20="Céphalosporines de 3G","x",IF(AN20="Céphalosporines de 4G","x",""))))</f>
        <v/>
      </c>
      <c r="AS20" s="76" t="str">
        <f>IFERROR(IF(AT20="","",COUNTIF(AT$18:AT$27,"&lt;"&amp;AT20)+COUNTIF(AT$18:AT20,AT20))-COUNTBLANK(AT$18:AT$27),"")</f>
        <v/>
      </c>
      <c r="AT20" s="128" t="str">
        <f t="shared" si="79"/>
        <v/>
      </c>
      <c r="AV20" s="122" t="str">
        <f>IFERROR(IF(AW20="","",COUNTIF(AW$18:AW$27,"&lt;"&amp;AW20)+COUNTIF(AW$18:AW20,AW20))-COUNTBLANK(AW$18:AW$27),"")</f>
        <v/>
      </c>
      <c r="AW20" t="str">
        <f>IF('Étape 1 - à remplir'!G21="animaux",'Étape 1 - à remplir'!E21,"")</f>
        <v/>
      </c>
      <c r="AX20" s="109" t="e">
        <f>INDEX(AV$18:AW$27,MATCH(3,AV$18:AV$27,0),2)</f>
        <v>#N/A</v>
      </c>
      <c r="AY20" t="e">
        <f t="shared" ref="AY20:AY27" si="87">IF(AX20=AX19,"",AX20)</f>
        <v>#N/A</v>
      </c>
      <c r="AZ20" s="123" t="e">
        <f>IF(AY20="","",MAX(AZ$17:AZ19)+1)</f>
        <v>#N/A</v>
      </c>
      <c r="BB20" s="122" t="str">
        <f>IFERROR(IF(BC20="","",COUNTIF(BC$18:BC$27,"&lt;"&amp;BC20)+COUNTIF(BC$18:BC20,BC20))-COUNTBLANK(BC$18:BC$27),"")</f>
        <v/>
      </c>
      <c r="BC20" s="76" t="str">
        <f>IF('Étape 1 - à remplir'!G21="animaux",'Étape 1 - à remplir'!D21,"")</f>
        <v/>
      </c>
      <c r="BD20" t="e">
        <f>INDEX(BB$18:BC$27,MATCH(3,BB$18:BB$27,0),2)</f>
        <v>#N/A</v>
      </c>
      <c r="BE20" s="118" t="e">
        <f t="shared" ref="BE20:BE27" si="88">IF(BD20=BD19,"",BD20)</f>
        <v>#N/A</v>
      </c>
      <c r="BF20" s="123" t="e">
        <f>IF(BE20="","",MAX(BF$17:BF19)+1)</f>
        <v>#N/A</v>
      </c>
      <c r="BH20" s="42">
        <v>5</v>
      </c>
      <c r="BI20" t="e">
        <f t="shared" si="73"/>
        <v>#N/A</v>
      </c>
      <c r="BJ20" t="e">
        <f t="shared" si="74"/>
        <v>#N/A</v>
      </c>
      <c r="BK20" s="76" t="e">
        <f t="shared" si="75"/>
        <v>#N/A</v>
      </c>
      <c r="BM20" s="42" t="e">
        <f>IF(BO20="","",COUNTIF(BO$4:BO$23,"&gt;"&amp;BO20)+COUNTIF(BO$4:BO20,BO20))</f>
        <v>#N/A</v>
      </c>
      <c r="BN20" t="str">
        <f t="shared" si="4"/>
        <v>Rouget</v>
      </c>
      <c r="BO20" s="76" t="e">
        <f>IF(IF(CE$2="Catégorie",IF(CE$3="Toutes",SUMIFS('Étape 1 - à remplir'!$F$31:$F$400,'Étape 1 - à remplir'!$D$31:$D$400,MASQ2!BN20,'Étape 1 - à remplir'!$G$31:$G$400,"lots"),SUMIFS('Étape 1 - à remplir'!$F$31:$F$400,'Étape 1 - à remplir'!$D$31:$D$400,MASQ2!BN20,'Étape 1 - à remplir'!$C$31:$C$400,CE$3,'Étape 1 - à remplir'!$G$31:$G$400,"lots")),IF(CE$2="Âge",IF(CE$3="Tous",SUMIFS('Étape 1 - à remplir'!$F$31:$F$400,'Étape 1 - à remplir'!$D$31:$D$400,MASQ2!BN20,'Étape 1 - à remplir'!$G$31:$G$400,"lots"),SUMIFS('Étape 1 - à remplir'!$F$31:$F$400,'Étape 1 - à remplir'!$D$31:$D$400,MASQ2!BN20,'Étape 1 - à remplir'!$P$31:$P$400,CE$3,'Étape 1 - à remplir'!$G$31:$G$400,"lots")),IF(CE$2="Atelier",IF(CE$3="Tous",SUMIFS('Étape 1 - à remplir'!$F$31:$F$400,'Étape 1 - à remplir'!$D$31:$D$400,MASQ2!BN20,'Étape 1 - à remplir'!$G$31:$G$400,"lots"),SUMIFS('Étape 1 - à remplir'!$F$31:$F$400,'Étape 1 - à remplir'!$D$31:$D$400,MASQ2!BN20,'Étape 1 - à remplir'!$O$31:$O$400,CE$3,'Étape 1 - à remplir'!$G$31:$G$400,"lots")),IF(CE$2="Espèce",IF(CE$3="Toutes",SUMIFS('Étape 1 - à remplir'!$F$31:$F$400,'Étape 1 - à remplir'!$D$31:$D$400,MASQ2!BN20,'Étape 1 - à remplir'!$G$31:$G$400,"lots"),SUMIFS('Étape 1 - à remplir'!$F$31:$F$400,'Étape 1 - à remplir'!$D$31:$D$400,MASQ2!BN20,'Étape 1 - à remplir'!$N$31:$N$400,CE$3,'Étape 1 - à remplir'!$G$31:$G$400,"lots"))))))=0,NA(),IF(CE$2="Catégorie",IF(CE$3="Toutes",SUMIFS('Étape 1 - à remplir'!$F$31:$F$400,'Étape 1 - à remplir'!$D$31:$D$400,MASQ2!BN20,'Étape 1 - à remplir'!$G$31:$G$400,"lots"),SUMIFS('Étape 1 - à remplir'!$F$31:$F$400,'Étape 1 - à remplir'!$D$31:$D$400,MASQ2!BN20,'Étape 1 - à remplir'!$C$31:$C$400,CE$3,'Étape 1 - à remplir'!$G$31:$G$400,"lots")),IF(CE$2="Âge",IF(CE$3="Tous",SUMIFS('Étape 1 - à remplir'!$F$31:$F$400,'Étape 1 - à remplir'!$D$31:$D$400,MASQ2!BN20,'Étape 1 - à remplir'!$G$31:$G$400,"lots"),SUMIFS('Étape 1 - à remplir'!$F$31:$F$400,'Étape 1 - à remplir'!$D$31:$D$400,MASQ2!BN20,'Étape 1 - à remplir'!$P$31:$P$400,CE$3,'Étape 1 - à remplir'!$G$31:$G$400,"lots")),IF(CE$2="Atelier",IF(CE$3="Tous",SUMIFS('Étape 1 - à remplir'!$F$31:$F$400,'Étape 1 - à remplir'!$D$31:$D$400,MASQ2!BN20,'Étape 1 - à remplir'!$G$31:$G$400,"lots"),SUMIFS('Étape 1 - à remplir'!$F$31:$F$400,'Étape 1 - à remplir'!$D$31:$D$400,MASQ2!BN20,'Étape 1 - à remplir'!$O$31:$O$400,CE$3,'Étape 1 - à remplir'!$G$31:$G$400,"lots")),IF(CE$2="Espèce",IF(CE$3="Toutes",SUMIFS('Étape 1 - à remplir'!$F$31:$F$400,'Étape 1 - à remplir'!$D$31:$D$400,MASQ2!BN20,'Étape 1 - à remplir'!$G$31:$G$400,"lots"),SUMIFS('Étape 1 - à remplir'!$F$31:$F$400,'Étape 1 - à remplir'!$D$31:$D$400,MASQ2!BN20,'Étape 1 - à remplir'!$N$31:$N$400,CE$3,'Étape 1 - à remplir'!$G$31:$G$400,"lots")))))))</f>
        <v>#N/A</v>
      </c>
      <c r="BP20">
        <v>17</v>
      </c>
      <c r="BQ20" t="e">
        <f t="shared" si="40"/>
        <v>#N/A</v>
      </c>
      <c r="BR20" s="63" t="e">
        <f t="shared" si="41"/>
        <v>#N/A</v>
      </c>
      <c r="BT20" s="194" t="str">
        <f t="shared" ca="1" si="5"/>
        <v/>
      </c>
      <c r="BU20" s="219" t="str">
        <f>IFERROR(IF(BX20=0,"",COUNTIF(BX$4:BX$600,"&gt;"&amp;BX20)+COUNTIF(BX$4:BX20,BX20)),"")</f>
        <v/>
      </c>
      <c r="BV20" s="42" t="str">
        <f t="shared" si="6"/>
        <v>AIVLOSIN 625 MG/G GRANULES POUR EAU DE BOISSON POUR POULETS/DINDONS</v>
      </c>
      <c r="BW20" t="e">
        <f>IF(IF(CE$2="Catégorie",IF(CE$3="Toutes",SUMIFS('Étape 1 - à remplir'!$F$31:$F$400,'Étape 1 - à remplir'!$E$31:$E$400,MASQ2!BV20,'Étape 1 - à remplir'!$G$31:$G$400,"lots"),SUMIFS('Étape 1 - à remplir'!$F$31:$F$400,'Étape 1 - à remplir'!$E$31:$E$400,MASQ2!BV20,'Étape 1 - à remplir'!$C$31:$C$400,CE$3)),IF(CE$2="Âge",IF(CE$3="Tous",SUMIFS('Étape 1 - à remplir'!$F$31:$F$400,'Étape 1 - à remplir'!$E$31:$E$400,MASQ2!BV20,'Étape 1 - à remplir'!$G$31:$G$400,"lots"),SUMIFS('Étape 1 - à remplir'!$F$31:$F$400,'Étape 1 - à remplir'!$E$31:$E$400,MASQ2!BV20,'Étape 1 - à remplir'!$P$31:$P$400,CE$3,'Étape 1 - à remplir'!$G$31:$G$400,"lots")),IF(CE$2="Atelier",IF(CE$3="Tous",SUMIFS('Étape 1 - à remplir'!$F$31:$F$400,'Étape 1 - à remplir'!$E$31:$E$400,MASQ2!BV20,'Étape 1 - à remplir'!$G$31:$G$400,"lots"),SUMIFS('Étape 1 - à remplir'!$F$31:$F$400,'Étape 1 - à remplir'!$E$31:$E$400,MASQ2!BV20,'Étape 1 - à remplir'!$O$31:$O$400,CE$3,'Étape 1 - à remplir'!$G$31:$G$400,"lots")),IF(CE$2="Espèce",IF(CE$3="Toutes",SUMIFS('Étape 1 - à remplir'!$F$31:$F$400,'Étape 1 - à remplir'!$E$31:$E$400,MASQ2!BV20,'Étape 1 - à remplir'!$G$31:$G$400,"lots"),SUMIFS('Étape 1 - à remplir'!$F$31:$F$400,'Étape 1 - à remplir'!$E$31:$E$400,MASQ2!BV20,'Étape 1 - à remplir'!$N$31:$N$400,CE$3,'Étape 1 - à remplir'!$G$31:$G$400,"lots"))))))=0,NA(),IF(CE$2="Catégorie",IF(CE$3="Toutes",SUMIFS('Étape 1 - à remplir'!$F$31:$F$400,'Étape 1 - à remplir'!$E$31:$E$400,MASQ2!BV20,'Étape 1 - à remplir'!$G$31:$G$400,"lots"),SUMIFS('Étape 1 - à remplir'!$F$31:$F$400,'Étape 1 - à remplir'!$E$31:$E$400,MASQ2!BV20,'Étape 1 - à remplir'!$C$31:$C$400,CE$3)),IF(CE$2="Âge",IF(CE$3="Tous",SUMIFS('Étape 1 - à remplir'!$F$31:$F$400,'Étape 1 - à remplir'!$E$31:$E$400,MASQ2!BV20,'Étape 1 - à remplir'!$G$31:$G$400,"lots"),SUMIFS('Étape 1 - à remplir'!$F$31:$F$400,'Étape 1 - à remplir'!$E$31:$E$400,MASQ2!BV20,'Étape 1 - à remplir'!$P$31:$P$400,CE$3,'Étape 1 - à remplir'!$G$31:$G$400,"lots")),IF(CE$2="Atelier",IF(CE$3="Tous",SUMIFS('Étape 1 - à remplir'!$F$31:$F$400,'Étape 1 - à remplir'!$E$31:$E$400,MASQ2!BV20,'Étape 1 - à remplir'!$G$31:$G$400,"lots"),SUMIFS('Étape 1 - à remplir'!$F$31:$F$400,'Étape 1 - à remplir'!$E$31:$E$400,MASQ2!BV20,'Étape 1 - à remplir'!$O$31:$O$400,CE$3,'Étape 1 - à remplir'!$G$31:$G$400,"lots")),IF(CE$2="Espèce",IF(CE$3="Toutes",SUMIFS('Étape 1 - à remplir'!$F$31:$F$400,'Étape 1 - à remplir'!$E$31:$E$400,MASQ2!BV20,'Étape 1 - à remplir'!$G$31:$G$400,"lots"),SUMIFS('Étape 1 - à remplir'!$F$31:$F$400,'Étape 1 - à remplir'!$E$31:$E$400,MASQ2!BV20,'Étape 1 - à remplir'!$N$31:$N$400,CE$3,'Étape 1 - à remplir'!$G$31:$G$400,"lots")))))))</f>
        <v>#N/A</v>
      </c>
      <c r="BX20">
        <f t="shared" si="42"/>
        <v>0</v>
      </c>
      <c r="BY20" t="str">
        <f t="shared" si="7"/>
        <v>Tylvalosine</v>
      </c>
      <c r="BZ20" t="str">
        <f t="shared" si="8"/>
        <v/>
      </c>
      <c r="CA20" t="str">
        <f t="shared" si="9"/>
        <v/>
      </c>
      <c r="CB20" t="str">
        <f t="shared" si="10"/>
        <v>Macrolides</v>
      </c>
      <c r="CC20" t="str">
        <f t="shared" si="11"/>
        <v/>
      </c>
      <c r="CD20" s="63" t="str">
        <f t="shared" si="12"/>
        <v/>
      </c>
      <c r="CG20" s="42">
        <v>17</v>
      </c>
      <c r="CH20" s="42" t="e">
        <f t="shared" si="80"/>
        <v>#N/A</v>
      </c>
      <c r="CI20" s="63" t="e">
        <f t="shared" si="81"/>
        <v>#N/A</v>
      </c>
      <c r="CK20" s="194" t="str">
        <f t="shared" si="13"/>
        <v>x</v>
      </c>
      <c r="CL20" s="226" t="str">
        <f>IFERROR(IF(CN20=0,"",COUNTIF(CN$4:CN$64,"&gt;"&amp;CN20)+COUNTIF(CN$4:CN20,CN20)),"")</f>
        <v/>
      </c>
      <c r="CM20" t="str">
        <f t="shared" si="14"/>
        <v>Danofloxacine</v>
      </c>
      <c r="CN20" s="76" t="e">
        <f t="shared" si="45"/>
        <v>#N/A</v>
      </c>
      <c r="CO20">
        <v>17</v>
      </c>
      <c r="CP20" t="e">
        <f t="shared" si="46"/>
        <v>#N/A</v>
      </c>
      <c r="CQ20" s="63" t="e">
        <f t="shared" si="47"/>
        <v>#N/A</v>
      </c>
      <c r="CS20" s="14" t="str">
        <f t="shared" si="15"/>
        <v/>
      </c>
      <c r="CT20" s="14"/>
      <c r="CU20" s="14"/>
      <c r="CZ20" s="76" t="str">
        <f>IFERROR(IF(DA20="","",COUNTIF(DA$18:DA$27,"&lt;"&amp;DA20)+COUNTIF(DA$18:DA20,DA20))-COUNTBLANK(DA$18:DA$27),"")</f>
        <v/>
      </c>
      <c r="DA20" s="128" t="str">
        <f t="shared" si="82"/>
        <v/>
      </c>
      <c r="DC20" s="122" t="str">
        <f>IFERROR(IF(DD20="","",COUNTIF(DD$18:DD$27,"&lt;"&amp;DD20)+COUNTIF(DD$18:DD20,DD20))-COUNTBLANK(DD$18:DD$27),"")</f>
        <v/>
      </c>
      <c r="DD20" s="109" t="str">
        <f>IF('Étape 1 - à remplir'!G21="lots",'Étape 1 - à remplir'!E21,"")</f>
        <v/>
      </c>
      <c r="DE20" s="109" t="e">
        <f>INDEX(DC$18:DD$27,MATCH(3,DC$18:DC$27,0),2)</f>
        <v>#N/A</v>
      </c>
      <c r="DF20" s="109" t="e">
        <f t="shared" ref="DF20:DF27" si="89">IF(DE20=DE19,"",DE20)</f>
        <v>#N/A</v>
      </c>
      <c r="DG20" s="123" t="e">
        <f>IF(DF20="","",MAX(DG$17:DG19)+1)</f>
        <v>#N/A</v>
      </c>
      <c r="DI20" s="122" t="str">
        <f>IFERROR(IF(DJ20="","",COUNTIF(DJ$18:DJ$27,"&lt;"&amp;DJ20)+COUNTIF(DJ$18:DJ20,DJ20))-COUNTBLANK(DJ$18:DJ$27),"")</f>
        <v/>
      </c>
      <c r="DJ20" s="109" t="str">
        <f>IF('Étape 1 - à remplir'!G21="lots",'Étape 1 - à remplir'!D21,"")</f>
        <v/>
      </c>
      <c r="DK20" s="109" t="e">
        <f>INDEX(DI$18:DJ$27,MATCH(3,DI$18:DI$27,0),2)</f>
        <v>#N/A</v>
      </c>
      <c r="DL20" s="109" t="e">
        <f t="shared" ref="DL20:DL27" si="90">IF(DK20=DK19,"",DK20)</f>
        <v>#N/A</v>
      </c>
      <c r="DM20" s="123" t="e">
        <f>IF(DL20="","",MAX(DM$17:DM19)+1)</f>
        <v>#N/A</v>
      </c>
      <c r="DO20" s="42">
        <v>5</v>
      </c>
      <c r="DP20" t="e">
        <f t="shared" si="76"/>
        <v>#N/A</v>
      </c>
      <c r="DQ20" t="e">
        <f t="shared" si="77"/>
        <v>#N/A</v>
      </c>
      <c r="DR20" s="63" t="e">
        <f t="shared" si="78"/>
        <v>#N/A</v>
      </c>
      <c r="DT20" s="42" t="e">
        <f>IF(DV20="","",COUNTIF(DV$4:DV$23,"&gt;"&amp;DV20)+COUNTIF(DV$4:DV20,DV20))</f>
        <v>#N/A</v>
      </c>
      <c r="DU20" t="str">
        <f t="shared" si="17"/>
        <v>Rouget</v>
      </c>
      <c r="DV20" s="63" t="e">
        <f>IF(IF(EL$2="Catégorie",IF(EL$3="Toutes",SUMIFS('Étape 1 - à remplir'!$F$31:$F$400,'Étape 1 - à remplir'!$D$31:$D$400,MASQ2!DU20,'Étape 1 - à remplir'!$G$31:$G$400,"kg"),SUMIFS('Étape 1 - à remplir'!$F$31:$F$400,'Étape 1 - à remplir'!$D$31:$D$400,MASQ2!DU20,'Étape 1 - à remplir'!$C$31:$C$400,EL$3,'Étape 1 - à remplir'!$G$31:$G$400,"kg")),IF(EL$2="Âge",IF(EL$3="Tous",SUMIFS('Étape 1 - à remplir'!$F$31:$F$400,'Étape 1 - à remplir'!$D$31:$D$400,MASQ2!DU20,'Étape 1 - à remplir'!$G$31:$G$400,"kg"),SUMIFS('Étape 1 - à remplir'!$F$31:$F$400,'Étape 1 - à remplir'!$D$31:$D$400,MASQ2!DU20,'Étape 1 - à remplir'!$P$31:$P$400,EL$3,'Étape 1 - à remplir'!$G$31:$G$400,"kg")),IF(EL$2="Atelier",IF(EL$3="Tous",SUMIFS('Étape 1 - à remplir'!$F$31:$F$400,'Étape 1 - à remplir'!$D$31:$D$400,MASQ2!DU20,'Étape 1 - à remplir'!$G$31:$G$400,"kg"),SUMIFS('Étape 1 - à remplir'!$F$31:$F$400,'Étape 1 - à remplir'!$D$31:$D$400,MASQ2!DU20,'Étape 1 - à remplir'!$O$31:$O$400,EL$3,'Étape 1 - à remplir'!$G$31:$G$400,"kg")),IF(EL$2="Espèce",IF(EL$3="Toutes",SUMIFS('Étape 1 - à remplir'!$F$31:$F$400,'Étape 1 - à remplir'!$D$31:$D$400,MASQ2!DU20,'Étape 1 - à remplir'!$G$31:$G$400,"kg"),SUMIFS('Étape 1 - à remplir'!$F$31:$F$400,'Étape 1 - à remplir'!$D$31:$D$400,MASQ2!DU20,'Étape 1 - à remplir'!$N$31:$N$400,EL$3,'Étape 1 - à remplir'!$G$31:$G$400,"kg"))))))=0,NA(),IF(EL$2="Catégorie",IF(EL$3="Toutes",SUMIFS('Étape 1 - à remplir'!$F$31:$F$400,'Étape 1 - à remplir'!$D$31:$D$400,MASQ2!DU20,'Étape 1 - à remplir'!$G$31:$G$400,"kg"),SUMIFS('Étape 1 - à remplir'!$F$31:$F$400,'Étape 1 - à remplir'!$D$31:$D$400,MASQ2!DU20,'Étape 1 - à remplir'!$C$31:$C$400,EL$3,'Étape 1 - à remplir'!$G$31:$G$400,"kg")),IF(EL$2="Âge",IF(EL$3="Tous",SUMIFS('Étape 1 - à remplir'!$F$31:$F$400,'Étape 1 - à remplir'!$D$31:$D$400,MASQ2!DU20,'Étape 1 - à remplir'!$G$31:$G$400,"kg"),SUMIFS('Étape 1 - à remplir'!$F$31:$F$400,'Étape 1 - à remplir'!$D$31:$D$400,MASQ2!DU20,'Étape 1 - à remplir'!$P$31:$P$400,EL$3,'Étape 1 - à remplir'!$G$31:$G$400,"kg")),IF(EL$2="Atelier",IF(EL$3="Tous",SUMIFS('Étape 1 - à remplir'!$F$31:$F$400,'Étape 1 - à remplir'!$D$31:$D$400,MASQ2!DU20,'Étape 1 - à remplir'!$G$31:$G$400,"kg"),SUMIFS('Étape 1 - à remplir'!$F$31:$F$400,'Étape 1 - à remplir'!$D$31:$D$400,MASQ2!DU20,'Étape 1 - à remplir'!$O$31:$O$400,EL$3,'Étape 1 - à remplir'!$G$31:$G$400,"kg")),IF(EL$2="Espèce",IF(EL$3="Toutes",SUMIFS('Étape 1 - à remplir'!$F$31:$F$400,'Étape 1 - à remplir'!$D$31:$D$400,MASQ2!DU20,'Étape 1 - à remplir'!$G$31:$G$400,"kg"),SUMIFS('Étape 1 - à remplir'!$F$31:$F$400,'Étape 1 - à remplir'!$D$31:$D$400,MASQ2!DU20,'Étape 1 - à remplir'!$N$31:$N$400,EL$3,'Étape 1 - à remplir'!$G$31:$G$400,"kg")))))))</f>
        <v>#N/A</v>
      </c>
      <c r="DW20" s="42">
        <v>17</v>
      </c>
      <c r="DX20" t="e">
        <f t="shared" si="51"/>
        <v>#N/A</v>
      </c>
      <c r="DY20" s="63" t="e">
        <f t="shared" si="52"/>
        <v>#N/A</v>
      </c>
      <c r="EA20" s="194" t="str">
        <f t="shared" ca="1" si="18"/>
        <v/>
      </c>
      <c r="EB20" s="226" t="str">
        <f>IFERROR(IF(ED20=0,"",COUNTIF(ED$4:ED$600,"&gt;"&amp;ED20)+COUNTIF(ED$4:ED20,ED20)),"")</f>
        <v/>
      </c>
      <c r="EC20" t="str">
        <f t="shared" si="19"/>
        <v>AIVLOSIN 625 MG/G GRANULES POUR EAU DE BOISSON POUR POULETS/DINDONS</v>
      </c>
      <c r="ED20" t="e">
        <f>IF(IF(EL$2="Catégorie",IF(EL$3="Toutes",SUMIFS('Étape 1 - à remplir'!$F$31:$F$400,'Étape 1 - à remplir'!$E$31:$E$400,MASQ2!EC20,'Étape 1 - à remplir'!$G$31:$G$400,"kg"),SUMIFS('Étape 1 - à remplir'!$F$31:$F$400,'Étape 1 - à remplir'!$E$31:$E$400,MASQ2!EC20,'Étape 1 - à remplir'!$C$31:$C$400,EL$3)),IF(EL$2="Âge",IF(EL$3="Tous",SUMIFS('Étape 1 - à remplir'!$F$31:$F$400,'Étape 1 - à remplir'!$E$31:$E$400,MASQ2!EC20,'Étape 1 - à remplir'!$G$31:$G$400,"kg"),SUMIFS('Étape 1 - à remplir'!$F$31:$F$400,'Étape 1 - à remplir'!$E$31:$E$400,MASQ2!EC20,'Étape 1 - à remplir'!$P$31:$P$400,EL$3,'Étape 1 - à remplir'!$G$31:$G$400,"kg")),IF(EL$2="Atelier",IF(EL$3="Tous",SUMIFS('Étape 1 - à remplir'!$F$31:$F$400,'Étape 1 - à remplir'!$E$31:$E$400,MASQ2!EC20,'Étape 1 - à remplir'!$G$31:$G$400,"kg"),SUMIFS('Étape 1 - à remplir'!$F$31:$F$400,'Étape 1 - à remplir'!$E$31:$E$400,MASQ2!EC20,'Étape 1 - à remplir'!$O$31:$O$400,EL$3,'Étape 1 - à remplir'!$G$31:$G$400,"kg")),IF(EL$2="Espèce",IF(EL$3="Toutes",SUMIFS('Étape 1 - à remplir'!$F$31:$F$400,'Étape 1 - à remplir'!$E$31:$E$400,MASQ2!EC20,'Étape 1 - à remplir'!$G$31:$G$400,"kg"),SUMIFS('Étape 1 - à remplir'!$F$31:$F$400,'Étape 1 - à remplir'!$E$31:$E$400,MASQ2!EC20,'Étape 1 - à remplir'!$N$31:$N$400,EL$3,'Étape 1 - à remplir'!$G$31:$G$400,"kg"))))))=0,NA(),IF(EL$2="Catégorie",IF(EL$3="Toutes",SUMIFS('Étape 1 - à remplir'!$F$31:$F$400,'Étape 1 - à remplir'!$E$31:$E$400,MASQ2!EC20,'Étape 1 - à remplir'!$G$31:$G$400,"kg"),SUMIFS('Étape 1 - à remplir'!$F$31:$F$400,'Étape 1 - à remplir'!$E$31:$E$400,MASQ2!EC20,'Étape 1 - à remplir'!$C$31:$C$400,EL$3)),IF(EL$2="Âge",IF(EL$3="Tous",SUMIFS('Étape 1 - à remplir'!$F$31:$F$400,'Étape 1 - à remplir'!$E$31:$E$400,MASQ2!EC20,'Étape 1 - à remplir'!$G$31:$G$400,"kg"),SUMIFS('Étape 1 - à remplir'!$F$31:$F$400,'Étape 1 - à remplir'!$E$31:$E$400,MASQ2!EC20,'Étape 1 - à remplir'!$P$31:$P$400,EL$3,'Étape 1 - à remplir'!$G$31:$G$400,"kg")),IF(EL$2="Atelier",IF(EL$3="Tous",SUMIFS('Étape 1 - à remplir'!$F$31:$F$400,'Étape 1 - à remplir'!$E$31:$E$400,MASQ2!EC20,'Étape 1 - à remplir'!$G$31:$G$400,"kg"),SUMIFS('Étape 1 - à remplir'!$F$31:$F$400,'Étape 1 - à remplir'!$E$31:$E$400,MASQ2!EC20,'Étape 1 - à remplir'!$O$31:$O$400,EL$3,'Étape 1 - à remplir'!$G$31:$G$400,"kg")),IF(EL$2="Espèce",IF(EL$3="Toutes",SUMIFS('Étape 1 - à remplir'!$F$31:$F$400,'Étape 1 - à remplir'!$E$31:$E$400,MASQ2!EC20,'Étape 1 - à remplir'!$G$31:$G$400,"kg"),SUMIFS('Étape 1 - à remplir'!$F$31:$F$400,'Étape 1 - à remplir'!$E$31:$E$400,MASQ2!EC20,'Étape 1 - à remplir'!$N$31:$N$400,EL$3,'Étape 1 - à remplir'!$G$31:$G$400,"kg")))))))</f>
        <v>#N/A</v>
      </c>
      <c r="EE20" s="76">
        <f t="shared" si="53"/>
        <v>0</v>
      </c>
      <c r="EF20" t="str">
        <f t="shared" si="20"/>
        <v>Tylvalosine</v>
      </c>
      <c r="EG20" t="str">
        <f t="shared" si="21"/>
        <v/>
      </c>
      <c r="EH20" t="str">
        <f t="shared" si="22"/>
        <v/>
      </c>
      <c r="EI20" t="str">
        <f t="shared" si="23"/>
        <v>Macrolides</v>
      </c>
      <c r="EJ20" t="str">
        <f t="shared" si="24"/>
        <v/>
      </c>
      <c r="EK20" s="63" t="str">
        <f t="shared" si="25"/>
        <v/>
      </c>
      <c r="EN20" s="42">
        <v>17</v>
      </c>
      <c r="EO20" t="e">
        <f t="shared" si="68"/>
        <v>#N/A</v>
      </c>
      <c r="EP20" s="63" t="e">
        <f t="shared" si="69"/>
        <v>#N/A</v>
      </c>
      <c r="ER20" s="194" t="str">
        <f t="shared" si="26"/>
        <v>x</v>
      </c>
      <c r="ES20" s="226" t="str">
        <f>IFERROR(IF(EU20=0,"",COUNTIF(EU$4:EU$64,"&gt;"&amp;EU20)+COUNTIF(EU$4:EU20,EU20)),"")</f>
        <v/>
      </c>
      <c r="ET20" t="str">
        <f t="shared" si="27"/>
        <v>Danofloxacine</v>
      </c>
      <c r="EU20" s="76" t="e">
        <f t="shared" si="56"/>
        <v>#N/A</v>
      </c>
      <c r="EV20">
        <v>17</v>
      </c>
      <c r="EW20" t="e">
        <f t="shared" si="57"/>
        <v>#N/A</v>
      </c>
      <c r="EX20" s="63" t="e">
        <f t="shared" si="58"/>
        <v>#N/A</v>
      </c>
      <c r="EZ20" s="14" t="str">
        <f t="shared" si="28"/>
        <v/>
      </c>
      <c r="FA20" s="14"/>
      <c r="FG20" s="76" t="str">
        <f>IFERROR(IF(FH20="","",COUNTIF(FH$18:FH$27,"&lt;"&amp;FH20)+COUNTIF(FH$18:FH20,FH20))-COUNTBLANK(FH$18:FH$27),"")</f>
        <v/>
      </c>
      <c r="FH20" s="128" t="str">
        <f t="shared" si="83"/>
        <v/>
      </c>
      <c r="FJ20" s="122" t="str">
        <f>IFERROR(IF(FK20="","",COUNTIF(FK$18:FK$27,"&lt;"&amp;FK20)+COUNTIF(FK$18:FK20,FK20))-COUNTBLANK(FK$18:FK$27),"")</f>
        <v/>
      </c>
      <c r="FK20" s="109" t="str">
        <f>IF('Étape 1 - à remplir'!G21="kg",'Étape 1 - à remplir'!E21,"")</f>
        <v/>
      </c>
      <c r="FL20" s="109" t="e">
        <f>INDEX(FJ$18:FK$27,MATCH(3,FJ$18:FJ$27,0),2)</f>
        <v>#N/A</v>
      </c>
      <c r="FM20" s="109" t="e">
        <f t="shared" ref="FM20:FM27" si="91">IF(FL20=FL19,"",FL20)</f>
        <v>#N/A</v>
      </c>
      <c r="FN20" s="123" t="e">
        <f>IF(FM20="","",MAX(FN$17:FN19)+1)</f>
        <v>#N/A</v>
      </c>
      <c r="FP20" s="122" t="str">
        <f>IFERROR(IF(FQ20="","",COUNTIF(FQ$18:FQ$27,"&lt;"&amp;FQ20)+COUNTIF(FQ$18:FQ20,FQ20))-COUNTBLANK(FQ$18:FQ$27),"")</f>
        <v/>
      </c>
      <c r="FQ20" s="109" t="str">
        <f>IF('Étape 1 - à remplir'!G21="kg",'Étape 1 - à remplir'!D21,"")</f>
        <v/>
      </c>
      <c r="FR20" s="109" t="e">
        <f>INDEX(FP$18:FQ$27,MATCH(3,FP$18:FP$27,0),2)</f>
        <v>#N/A</v>
      </c>
      <c r="FS20" s="109" t="e">
        <f t="shared" ref="FS20:FS27" si="92">IF(FR20=FR19,"",FR20)</f>
        <v>#N/A</v>
      </c>
      <c r="FT20" s="123" t="e">
        <f>IF(FS20="","",MAX(FT$17:FT19)+1)</f>
        <v>#N/A</v>
      </c>
    </row>
    <row r="21" spans="1:177" x14ac:dyDescent="0.3">
      <c r="A21" s="42">
        <v>6</v>
      </c>
      <c r="B21" t="e">
        <f t="shared" si="70"/>
        <v>#N/A</v>
      </c>
      <c r="C21" t="e">
        <f t="shared" si="71"/>
        <v>#N/A</v>
      </c>
      <c r="D21" s="63" t="e">
        <f t="shared" si="72"/>
        <v>#N/A</v>
      </c>
      <c r="E21" s="188"/>
      <c r="F21" s="118" t="str">
        <f>IFERROR(IF(H21="","",COUNTIF(H$4:H$23,"&gt;"&amp;H21)+COUNTIF(H$4:H21,H21)),"")</f>
        <v/>
      </c>
      <c r="G21" t="str">
        <f>Données_ATB!CG20</f>
        <v>Septicémie hémorragiques</v>
      </c>
      <c r="H21" s="76" t="e">
        <f>IF(IF(X$2="Catégorie",IF(X$3="Toutes",SUMIFS('Étape 1 - à remplir'!F$31:F$400,'Étape 1 - à remplir'!D$31:D$400,MASQ2!G21,'Étape 1 - à remplir'!G$31:G$400,"animaux"),SUMIFS('Étape 1 - à remplir'!F$31:F$400,'Étape 1 - à remplir'!D$31:D$400,MASQ2!G21,'Étape 1 - à remplir'!C$31:C$400,X$3)),IF(X$2="Âge",IF(X$3="Tous",SUMIFS('Étape 1 - à remplir'!F$31:F$400,'Étape 1 - à remplir'!D$31:D$400,MASQ2!G21,'Étape 1 - à remplir'!G$31:G$400,"animaux"),SUMIFS('Étape 1 - à remplir'!F$31:F$400,'Étape 1 - à remplir'!D$31:D$400,MASQ2!G21,'Étape 1 - à remplir'!P$31:P$400,X$3)),IF(X$2="Atelier",IF(X$3="Tous",SUMIFS('Étape 1 - à remplir'!F$31:F$400,'Étape 1 - à remplir'!D$31:D$400,MASQ2!G21,'Étape 1 - à remplir'!G$31:G$400,"animaux"),SUMIFS('Étape 1 - à remplir'!F$31:F$400,'Étape 1 - à remplir'!D$31:D$400,MASQ2!G21,'Étape 1 - à remplir'!O$31:O$400,X$3)),IF(X$2="Espèce",IF(X$3="Toutes",SUMIFS('Étape 1 - à remplir'!F$31:F$400,'Étape 1 - à remplir'!D$31:D$400,MASQ2!G21,'Étape 1 - à remplir'!G$31:G$400,"animaux"),SUMIFS('Étape 1 - à remplir'!F$31:F$400,'Étape 1 - à remplir'!D$31:D$400,MASQ2!G21,'Étape 1 - à remplir'!N$31:N$400,X$3))))))=0,NA(),IF(X$2="Catégorie",IF(X$3="Toutes",SUMIFS('Étape 1 - à remplir'!F$31:F$400,'Étape 1 - à remplir'!D$31:D$400,MASQ2!G21,'Étape 1 - à remplir'!G$31:G$400,"animaux"),SUMIFS('Étape 1 - à remplir'!F$31:F$400,'Étape 1 - à remplir'!D$31:D$400,MASQ2!G21,'Étape 1 - à remplir'!C$31:C$400,X$3)),IF(X$2="Âge",IF(X$3="Tous",SUMIFS('Étape 1 - à remplir'!F$31:F$400,'Étape 1 - à remplir'!D$31:D$400,MASQ2!G21,'Étape 1 - à remplir'!G$31:G$400,"animaux"),SUMIFS('Étape 1 - à remplir'!F$31:F$400,'Étape 1 - à remplir'!D$31:D$400,MASQ2!G21,'Étape 1 - à remplir'!P$31:P$400,X$3)),IF(X$2="Atelier",IF(X$3="Tous",SUMIFS('Étape 1 - à remplir'!F$31:F$400,'Étape 1 - à remplir'!D$31:D$400,MASQ2!G21,'Étape 1 - à remplir'!G$31:G$400,"animaux"),SUMIFS('Étape 1 - à remplir'!F$31:F$400,'Étape 1 - à remplir'!D$31:D$400,MASQ2!G21,'Étape 1 - à remplir'!O$31:O$400,X$3)),IF(X$2="Espèce",IF(X$3="Tous",SUMIFS('Étape 1 - à remplir'!F$31:F$400,'Étape 1 - à remplir'!D$31:D$400,MASQ2!G21,'Étape 1 - à remplir'!G$31:G$400,"animaux"),SUMIFS('Étape 1 - à remplir'!F$31:F$400,'Étape 1 - à remplir'!D$31:D$400,MASQ2!G21,'Étape 1 - à remplir'!N$31:N$400,X$3)))))))</f>
        <v>#N/A</v>
      </c>
      <c r="I21" s="118">
        <v>18</v>
      </c>
      <c r="J21" t="e">
        <f t="shared" si="84"/>
        <v>#N/A</v>
      </c>
      <c r="K21" s="76" t="e">
        <f t="shared" si="85"/>
        <v>#N/A</v>
      </c>
      <c r="M21" s="194" t="str">
        <f ca="1">INDEX(Données_ATB!BD:BU,MATCH(MASQ2!O21,Données_ATB!BD:BD,0),18)</f>
        <v/>
      </c>
      <c r="N21" s="14" t="str">
        <f>IFERROR(IF(Q21=0,"",COUNTIF(Q$4:Q$600,"&gt;"&amp;Q21)+COUNTIF(Q$4:Q21,Q21)),"")</f>
        <v/>
      </c>
      <c r="O21" t="str">
        <f>Données_ATB!BD20</f>
        <v>AIVLOSIN 625 MG/G GRANULES POUR L'EAU DE BOISSON POUR PORCS</v>
      </c>
      <c r="P21" t="e">
        <f>IF(IF(X$2="Catégorie",IF(X$3="Toutes",SUMIFS('Étape 1 - à remplir'!$F$31:$F$400,'Étape 1 - à remplir'!$E$31:$E$400,MASQ2!O21,'Étape 1 - à remplir'!$G$31:$G$400,"animaux"),SUMIFS('Étape 1 - à remplir'!$F$31:$F$400,'Étape 1 - à remplir'!$E$31:$E$400,MASQ2!O21,'Étape 1 - à remplir'!$C$31:$C$400,X$3)),IF(X$2="Âge",IF(X$3="Tous",SUMIFS('Étape 1 - à remplir'!$F$31:$F$400,'Étape 1 - à remplir'!$E$31:$E$400,MASQ2!O21,'Étape 1 - à remplir'!$G$31:$G$400,"animaux"),SUMIFS('Étape 1 - à remplir'!$F$31:$F$400,'Étape 1 - à remplir'!$E$31:$E$400,MASQ2!O21,'Étape 1 - à remplir'!$P$31:$P$400,X$3)),IF(X$2="Atelier",IF(X$3="Tous",SUMIFS('Étape 1 - à remplir'!$F$31:$F$400,'Étape 1 - à remplir'!$E$31:$E$400,MASQ2!O21,'Étape 1 - à remplir'!$G$31:$G$400,"animaux"),SUMIFS('Étape 1 - à remplir'!$F$31:$F$400,'Étape 1 - à remplir'!$E$31:$E$400,MASQ2!O21,'Étape 1 - à remplir'!$O$31:$O$400,X$3)),IF(X$2="Espèce",IF(X$3="Toutes",SUMIFS('Étape 1 - à remplir'!$F$31:$F$400,'Étape 1 - à remplir'!$E$31:$E$400,MASQ2!O21,'Étape 1 - à remplir'!$G$31:$G$400,"animaux"),SUMIFS('Étape 1 - à remplir'!$F$31:$F$400,'Étape 1 - à remplir'!$E$31:$E$400,MASQ2!O21,'Étape 1 - à remplir'!$N$31:$N$400,X$3))))))=0,NA(),IF(X$2="Catégorie",IF(X$3="Toutes",SUMIFS('Étape 1 - à remplir'!$F$31:$F$400,'Étape 1 - à remplir'!$E$31:$E$400,MASQ2!O21,'Étape 1 - à remplir'!$G$31:$G$400,"animaux"),SUMIFS('Étape 1 - à remplir'!$F$31:$F$400,'Étape 1 - à remplir'!$E$31:$E$400,MASQ2!O21,'Étape 1 - à remplir'!$C$31:$C$400,X$3)),IF(X$2="Âge",IF(X$3="Tous",SUMIFS('Étape 1 - à remplir'!$F$31:$F$400,'Étape 1 - à remplir'!$E$31:$E$400,MASQ2!O21,'Étape 1 - à remplir'!$G$31:$G$400,"animaux"),SUMIFS('Étape 1 - à remplir'!$F$31:$F$400,'Étape 1 - à remplir'!$E$31:$E$400,MASQ2!O21,'Étape 1 - à remplir'!$P$31:$P$400,X$3)),IF(X$2="Atelier",IF(X$3="Tous",SUMIFS('Étape 1 - à remplir'!$F$31:$F$400,'Étape 1 - à remplir'!$E$31:$E$400,MASQ2!O21,'Étape 1 - à remplir'!$G$31:$G$400,"animaux"),SUMIFS('Étape 1 - à remplir'!$F$31:$F$400,'Étape 1 - à remplir'!$E$31:$E$400,MASQ2!O21,'Étape 1 - à remplir'!$O$31:$O$400,X$3)),IF(X$2="Espèce",IF(X$3="Toutes",SUMIFS('Étape 1 - à remplir'!$F$31:$F$400,'Étape 1 - à remplir'!$E$31:$E$400,MASQ2!O21,'Étape 1 - à remplir'!$G$31:$G$400,"animaux"),SUMIFS('Étape 1 - à remplir'!$F$31:$F$400,'Étape 1 - à remplir'!$E$31:$E$400,MASQ2!O21,'Étape 1 - à remplir'!$N$31:$N$400,X$3)))))))</f>
        <v>#N/A</v>
      </c>
      <c r="Q21" s="63">
        <f t="shared" si="62"/>
        <v>0</v>
      </c>
      <c r="R21" t="str">
        <f>Données_ATB!BM20</f>
        <v>Tylvalosine</v>
      </c>
      <c r="S21" t="str">
        <f>Données_ATB!BN20</f>
        <v/>
      </c>
      <c r="T21" s="63" t="str">
        <f>Données_ATB!BO20</f>
        <v/>
      </c>
      <c r="U21" s="42" t="str">
        <f>Données_ATB!BQ20</f>
        <v>Macrolides</v>
      </c>
      <c r="V21" t="str">
        <f>Données_ATB!BR20</f>
        <v/>
      </c>
      <c r="W21" s="63" t="str">
        <f>Données_ATB!BS20</f>
        <v/>
      </c>
      <c r="Z21" s="42">
        <v>18</v>
      </c>
      <c r="AA21" t="e">
        <f t="shared" si="32"/>
        <v>#N/A</v>
      </c>
      <c r="AB21" s="63" t="e">
        <f t="shared" si="33"/>
        <v>#N/A</v>
      </c>
      <c r="AD21" s="194" t="str">
        <f>IF(AF21="Colistine","x",IF(INDEX(Données_ATB!CA$3:CB$63,MATCH(AF21,Données_ATB!CA$3:CA$63,0),2)="Fluoroquinolones","x",IF(INDEX(Données_ATB!CA$3:CB$63,MATCH(AF21,Données_ATB!CA$3:CA$63,0),2)="Cephalosporines 3&amp;4G","x","")))</f>
        <v>x</v>
      </c>
      <c r="AE21" s="219" t="str">
        <f>IFERROR(IF(AG21=0,"",COUNTIF(AG$4:AG$64,"&gt;"&amp;AG21)+COUNTIF(AG$4:AG21,AG21)),"")</f>
        <v/>
      </c>
      <c r="AF21" s="42" t="str">
        <f>Données_ATB!CA20</f>
        <v>Difloxacine</v>
      </c>
      <c r="AG21" s="63" t="e">
        <f t="shared" si="34"/>
        <v>#N/A</v>
      </c>
      <c r="AH21" s="42">
        <v>18</v>
      </c>
      <c r="AI21" t="e">
        <f t="shared" si="35"/>
        <v>#N/A</v>
      </c>
      <c r="AJ21" s="63" t="e">
        <f t="shared" si="36"/>
        <v>#N/A</v>
      </c>
      <c r="AL21" s="14" t="str">
        <f t="shared" si="86"/>
        <v/>
      </c>
      <c r="AS21" s="76" t="str">
        <f>IFERROR(IF(AT21="","",COUNTIF(AT$18:AT$27,"&lt;"&amp;AT21)+COUNTIF(AT$18:AT21,AT21))-COUNTBLANK(AT$18:AT$27),"")</f>
        <v/>
      </c>
      <c r="AT21" s="128" t="str">
        <f t="shared" si="79"/>
        <v/>
      </c>
      <c r="AV21" s="122" t="str">
        <f>IFERROR(IF(AW21="","",COUNTIF(AW$18:AW$27,"&lt;"&amp;AW21)+COUNTIF(AW$18:AW21,AW21))-COUNTBLANK(AW$18:AW$27),"")</f>
        <v/>
      </c>
      <c r="AW21" t="str">
        <f>IF('Étape 1 - à remplir'!G22="animaux",'Étape 1 - à remplir'!E22,"")</f>
        <v/>
      </c>
      <c r="AX21" s="109" t="e">
        <f>INDEX(AV$18:AW$27,MATCH(4,AV$18:AV$27,0),2)</f>
        <v>#N/A</v>
      </c>
      <c r="AY21" t="e">
        <f t="shared" si="87"/>
        <v>#N/A</v>
      </c>
      <c r="AZ21" s="123" t="e">
        <f>IF(AY21="","",MAX(AZ$17:AZ20)+1)</f>
        <v>#N/A</v>
      </c>
      <c r="BB21" s="122" t="str">
        <f>IFERROR(IF(BC21="","",COUNTIF(BC$18:BC$27,"&lt;"&amp;BC21)+COUNTIF(BC$18:BC21,BC21))-COUNTBLANK(BC$18:BC$27),"")</f>
        <v/>
      </c>
      <c r="BC21" s="76" t="str">
        <f>IF('Étape 1 - à remplir'!G22="animaux",'Étape 1 - à remplir'!D22,"")</f>
        <v/>
      </c>
      <c r="BD21" t="e">
        <f>INDEX(BB$18:BC$27,MATCH(4,BB$18:BB$27,0),2)</f>
        <v>#N/A</v>
      </c>
      <c r="BE21" s="118" t="e">
        <f t="shared" si="88"/>
        <v>#N/A</v>
      </c>
      <c r="BF21" s="123" t="e">
        <f>IF(BE21="","",MAX(BF$17:BF20)+1)</f>
        <v>#N/A</v>
      </c>
      <c r="BH21" s="42">
        <v>6</v>
      </c>
      <c r="BI21" t="e">
        <f t="shared" si="73"/>
        <v>#N/A</v>
      </c>
      <c r="BJ21" t="e">
        <f t="shared" si="74"/>
        <v>#N/A</v>
      </c>
      <c r="BK21" s="76" t="e">
        <f t="shared" si="75"/>
        <v>#N/A</v>
      </c>
      <c r="BM21" s="42" t="e">
        <f>IF(BO21="","",COUNTIF(BO$4:BO$23,"&gt;"&amp;BO21)+COUNTIF(BO$4:BO21,BO21))</f>
        <v>#N/A</v>
      </c>
      <c r="BN21" t="str">
        <f t="shared" si="4"/>
        <v>Septicémie hémorragiques</v>
      </c>
      <c r="BO21" s="76" t="e">
        <f>IF(IF(CE$2="Catégorie",IF(CE$3="Toutes",SUMIFS('Étape 1 - à remplir'!$F$31:$F$400,'Étape 1 - à remplir'!$D$31:$D$400,MASQ2!BN21,'Étape 1 - à remplir'!$G$31:$G$400,"lots"),SUMIFS('Étape 1 - à remplir'!$F$31:$F$400,'Étape 1 - à remplir'!$D$31:$D$400,MASQ2!BN21,'Étape 1 - à remplir'!$C$31:$C$400,CE$3,'Étape 1 - à remplir'!$G$31:$G$400,"lots")),IF(CE$2="Âge",IF(CE$3="Tous",SUMIFS('Étape 1 - à remplir'!$F$31:$F$400,'Étape 1 - à remplir'!$D$31:$D$400,MASQ2!BN21,'Étape 1 - à remplir'!$G$31:$G$400,"lots"),SUMIFS('Étape 1 - à remplir'!$F$31:$F$400,'Étape 1 - à remplir'!$D$31:$D$400,MASQ2!BN21,'Étape 1 - à remplir'!$P$31:$P$400,CE$3,'Étape 1 - à remplir'!$G$31:$G$400,"lots")),IF(CE$2="Atelier",IF(CE$3="Tous",SUMIFS('Étape 1 - à remplir'!$F$31:$F$400,'Étape 1 - à remplir'!$D$31:$D$400,MASQ2!BN21,'Étape 1 - à remplir'!$G$31:$G$400,"lots"),SUMIFS('Étape 1 - à remplir'!$F$31:$F$400,'Étape 1 - à remplir'!$D$31:$D$400,MASQ2!BN21,'Étape 1 - à remplir'!$O$31:$O$400,CE$3,'Étape 1 - à remplir'!$G$31:$G$400,"lots")),IF(CE$2="Espèce",IF(CE$3="Toutes",SUMIFS('Étape 1 - à remplir'!$F$31:$F$400,'Étape 1 - à remplir'!$D$31:$D$400,MASQ2!BN21,'Étape 1 - à remplir'!$G$31:$G$400,"lots"),SUMIFS('Étape 1 - à remplir'!$F$31:$F$400,'Étape 1 - à remplir'!$D$31:$D$400,MASQ2!BN21,'Étape 1 - à remplir'!$N$31:$N$400,CE$3,'Étape 1 - à remplir'!$G$31:$G$400,"lots"))))))=0,NA(),IF(CE$2="Catégorie",IF(CE$3="Toutes",SUMIFS('Étape 1 - à remplir'!$F$31:$F$400,'Étape 1 - à remplir'!$D$31:$D$400,MASQ2!BN21,'Étape 1 - à remplir'!$G$31:$G$400,"lots"),SUMIFS('Étape 1 - à remplir'!$F$31:$F$400,'Étape 1 - à remplir'!$D$31:$D$400,MASQ2!BN21,'Étape 1 - à remplir'!$C$31:$C$400,CE$3,'Étape 1 - à remplir'!$G$31:$G$400,"lots")),IF(CE$2="Âge",IF(CE$3="Tous",SUMIFS('Étape 1 - à remplir'!$F$31:$F$400,'Étape 1 - à remplir'!$D$31:$D$400,MASQ2!BN21,'Étape 1 - à remplir'!$G$31:$G$400,"lots"),SUMIFS('Étape 1 - à remplir'!$F$31:$F$400,'Étape 1 - à remplir'!$D$31:$D$400,MASQ2!BN21,'Étape 1 - à remplir'!$P$31:$P$400,CE$3,'Étape 1 - à remplir'!$G$31:$G$400,"lots")),IF(CE$2="Atelier",IF(CE$3="Tous",SUMIFS('Étape 1 - à remplir'!$F$31:$F$400,'Étape 1 - à remplir'!$D$31:$D$400,MASQ2!BN21,'Étape 1 - à remplir'!$G$31:$G$400,"lots"),SUMIFS('Étape 1 - à remplir'!$F$31:$F$400,'Étape 1 - à remplir'!$D$31:$D$400,MASQ2!BN21,'Étape 1 - à remplir'!$O$31:$O$400,CE$3,'Étape 1 - à remplir'!$G$31:$G$400,"lots")),IF(CE$2="Espèce",IF(CE$3="Toutes",SUMIFS('Étape 1 - à remplir'!$F$31:$F$400,'Étape 1 - à remplir'!$D$31:$D$400,MASQ2!BN21,'Étape 1 - à remplir'!$G$31:$G$400,"lots"),SUMIFS('Étape 1 - à remplir'!$F$31:$F$400,'Étape 1 - à remplir'!$D$31:$D$400,MASQ2!BN21,'Étape 1 - à remplir'!$N$31:$N$400,CE$3,'Étape 1 - à remplir'!$G$31:$G$400,"lots")))))))</f>
        <v>#N/A</v>
      </c>
      <c r="BP21">
        <v>18</v>
      </c>
      <c r="BQ21" t="e">
        <f t="shared" si="40"/>
        <v>#N/A</v>
      </c>
      <c r="BR21" s="63" t="e">
        <f t="shared" si="41"/>
        <v>#N/A</v>
      </c>
      <c r="BT21" s="194" t="str">
        <f t="shared" ca="1" si="5"/>
        <v/>
      </c>
      <c r="BU21" s="219" t="str">
        <f>IFERROR(IF(BX21=0,"",COUNTIF(BX$4:BX$600,"&gt;"&amp;BX21)+COUNTIF(BX$4:BX21,BX21)),"")</f>
        <v/>
      </c>
      <c r="BV21" s="42" t="str">
        <f t="shared" si="6"/>
        <v>AIVLOSIN 625 MG/G GRANULES POUR L'EAU DE BOISSON POUR PORCS</v>
      </c>
      <c r="BW21" t="e">
        <f>IF(IF(CE$2="Catégorie",IF(CE$3="Toutes",SUMIFS('Étape 1 - à remplir'!$F$31:$F$400,'Étape 1 - à remplir'!$E$31:$E$400,MASQ2!BV21,'Étape 1 - à remplir'!$G$31:$G$400,"lots"),SUMIFS('Étape 1 - à remplir'!$F$31:$F$400,'Étape 1 - à remplir'!$E$31:$E$400,MASQ2!BV21,'Étape 1 - à remplir'!$C$31:$C$400,CE$3)),IF(CE$2="Âge",IF(CE$3="Tous",SUMIFS('Étape 1 - à remplir'!$F$31:$F$400,'Étape 1 - à remplir'!$E$31:$E$400,MASQ2!BV21,'Étape 1 - à remplir'!$G$31:$G$400,"lots"),SUMIFS('Étape 1 - à remplir'!$F$31:$F$400,'Étape 1 - à remplir'!$E$31:$E$400,MASQ2!BV21,'Étape 1 - à remplir'!$P$31:$P$400,CE$3,'Étape 1 - à remplir'!$G$31:$G$400,"lots")),IF(CE$2="Atelier",IF(CE$3="Tous",SUMIFS('Étape 1 - à remplir'!$F$31:$F$400,'Étape 1 - à remplir'!$E$31:$E$400,MASQ2!BV21,'Étape 1 - à remplir'!$G$31:$G$400,"lots"),SUMIFS('Étape 1 - à remplir'!$F$31:$F$400,'Étape 1 - à remplir'!$E$31:$E$400,MASQ2!BV21,'Étape 1 - à remplir'!$O$31:$O$400,CE$3,'Étape 1 - à remplir'!$G$31:$G$400,"lots")),IF(CE$2="Espèce",IF(CE$3="Toutes",SUMIFS('Étape 1 - à remplir'!$F$31:$F$400,'Étape 1 - à remplir'!$E$31:$E$400,MASQ2!BV21,'Étape 1 - à remplir'!$G$31:$G$400,"lots"),SUMIFS('Étape 1 - à remplir'!$F$31:$F$400,'Étape 1 - à remplir'!$E$31:$E$400,MASQ2!BV21,'Étape 1 - à remplir'!$N$31:$N$400,CE$3,'Étape 1 - à remplir'!$G$31:$G$400,"lots"))))))=0,NA(),IF(CE$2="Catégorie",IF(CE$3="Toutes",SUMIFS('Étape 1 - à remplir'!$F$31:$F$400,'Étape 1 - à remplir'!$E$31:$E$400,MASQ2!BV21,'Étape 1 - à remplir'!$G$31:$G$400,"lots"),SUMIFS('Étape 1 - à remplir'!$F$31:$F$400,'Étape 1 - à remplir'!$E$31:$E$400,MASQ2!BV21,'Étape 1 - à remplir'!$C$31:$C$400,CE$3)),IF(CE$2="Âge",IF(CE$3="Tous",SUMIFS('Étape 1 - à remplir'!$F$31:$F$400,'Étape 1 - à remplir'!$E$31:$E$400,MASQ2!BV21,'Étape 1 - à remplir'!$G$31:$G$400,"lots"),SUMIFS('Étape 1 - à remplir'!$F$31:$F$400,'Étape 1 - à remplir'!$E$31:$E$400,MASQ2!BV21,'Étape 1 - à remplir'!$P$31:$P$400,CE$3,'Étape 1 - à remplir'!$G$31:$G$400,"lots")),IF(CE$2="Atelier",IF(CE$3="Tous",SUMIFS('Étape 1 - à remplir'!$F$31:$F$400,'Étape 1 - à remplir'!$E$31:$E$400,MASQ2!BV21,'Étape 1 - à remplir'!$G$31:$G$400,"lots"),SUMIFS('Étape 1 - à remplir'!$F$31:$F$400,'Étape 1 - à remplir'!$E$31:$E$400,MASQ2!BV21,'Étape 1 - à remplir'!$O$31:$O$400,CE$3,'Étape 1 - à remplir'!$G$31:$G$400,"lots")),IF(CE$2="Espèce",IF(CE$3="Toutes",SUMIFS('Étape 1 - à remplir'!$F$31:$F$400,'Étape 1 - à remplir'!$E$31:$E$400,MASQ2!BV21,'Étape 1 - à remplir'!$G$31:$G$400,"lots"),SUMIFS('Étape 1 - à remplir'!$F$31:$F$400,'Étape 1 - à remplir'!$E$31:$E$400,MASQ2!BV21,'Étape 1 - à remplir'!$N$31:$N$400,CE$3,'Étape 1 - à remplir'!$G$31:$G$400,"lots")))))))</f>
        <v>#N/A</v>
      </c>
      <c r="BX21">
        <f t="shared" si="42"/>
        <v>0</v>
      </c>
      <c r="BY21" t="str">
        <f t="shared" si="7"/>
        <v>Tylvalosine</v>
      </c>
      <c r="BZ21" t="str">
        <f t="shared" si="8"/>
        <v/>
      </c>
      <c r="CA21" t="str">
        <f t="shared" si="9"/>
        <v/>
      </c>
      <c r="CB21" t="str">
        <f t="shared" si="10"/>
        <v>Macrolides</v>
      </c>
      <c r="CC21" t="str">
        <f t="shared" si="11"/>
        <v/>
      </c>
      <c r="CD21" s="63" t="str">
        <f t="shared" si="12"/>
        <v/>
      </c>
      <c r="CG21" s="42">
        <v>18</v>
      </c>
      <c r="CH21" s="42" t="e">
        <f t="shared" si="80"/>
        <v>#N/A</v>
      </c>
      <c r="CI21" s="63" t="e">
        <f t="shared" si="81"/>
        <v>#N/A</v>
      </c>
      <c r="CK21" s="194" t="str">
        <f t="shared" si="13"/>
        <v>x</v>
      </c>
      <c r="CL21" s="226" t="str">
        <f>IFERROR(IF(CN21=0,"",COUNTIF(CN$4:CN$64,"&gt;"&amp;CN21)+COUNTIF(CN$4:CN21,CN21)),"")</f>
        <v/>
      </c>
      <c r="CM21" t="str">
        <f t="shared" si="14"/>
        <v>Difloxacine</v>
      </c>
      <c r="CN21" s="76" t="e">
        <f t="shared" si="45"/>
        <v>#N/A</v>
      </c>
      <c r="CO21">
        <v>18</v>
      </c>
      <c r="CP21" t="e">
        <f t="shared" si="46"/>
        <v>#N/A</v>
      </c>
      <c r="CQ21" s="63" t="e">
        <f t="shared" si="47"/>
        <v>#N/A</v>
      </c>
      <c r="CS21" s="14" t="str">
        <f t="shared" si="15"/>
        <v/>
      </c>
      <c r="CT21" s="14"/>
      <c r="CU21" s="14"/>
      <c r="CZ21" s="76" t="str">
        <f>IFERROR(IF(DA21="","",COUNTIF(DA$18:DA$27,"&lt;"&amp;DA21)+COUNTIF(DA$18:DA21,DA21))-COUNTBLANK(DA$18:DA$27),"")</f>
        <v/>
      </c>
      <c r="DA21" s="128" t="str">
        <f t="shared" si="82"/>
        <v/>
      </c>
      <c r="DC21" s="122" t="str">
        <f>IFERROR(IF(DD21="","",COUNTIF(DD$18:DD$27,"&lt;"&amp;DD21)+COUNTIF(DD$18:DD21,DD21))-COUNTBLANK(DD$18:DD$27),"")</f>
        <v/>
      </c>
      <c r="DD21" s="109" t="str">
        <f>IF('Étape 1 - à remplir'!G22="lots",'Étape 1 - à remplir'!E22,"")</f>
        <v/>
      </c>
      <c r="DE21" s="109" t="e">
        <f>INDEX(DC$18:DD$27,MATCH(4,DC$18:DC$27,0),2)</f>
        <v>#N/A</v>
      </c>
      <c r="DF21" s="109" t="e">
        <f t="shared" si="89"/>
        <v>#N/A</v>
      </c>
      <c r="DG21" s="123" t="e">
        <f>IF(DF21="","",MAX(DG$17:DG20)+1)</f>
        <v>#N/A</v>
      </c>
      <c r="DI21" s="122" t="str">
        <f>IFERROR(IF(DJ21="","",COUNTIF(DJ$18:DJ$27,"&lt;"&amp;DJ21)+COUNTIF(DJ$18:DJ21,DJ21))-COUNTBLANK(DJ$18:DJ$27),"")</f>
        <v/>
      </c>
      <c r="DJ21" s="109" t="str">
        <f>IF('Étape 1 - à remplir'!G22="lots",'Étape 1 - à remplir'!D22,"")</f>
        <v/>
      </c>
      <c r="DK21" s="109" t="e">
        <f>INDEX(DI$18:DJ$27,MATCH(4,DI$18:DI$27,0),2)</f>
        <v>#N/A</v>
      </c>
      <c r="DL21" s="109" t="e">
        <f t="shared" si="90"/>
        <v>#N/A</v>
      </c>
      <c r="DM21" s="123" t="e">
        <f>IF(DL21="","",MAX(DM$17:DM20)+1)</f>
        <v>#N/A</v>
      </c>
      <c r="DO21" s="42">
        <v>6</v>
      </c>
      <c r="DP21" t="e">
        <f t="shared" si="76"/>
        <v>#N/A</v>
      </c>
      <c r="DQ21" t="e">
        <f t="shared" si="77"/>
        <v>#N/A</v>
      </c>
      <c r="DR21" s="63" t="e">
        <f t="shared" si="78"/>
        <v>#N/A</v>
      </c>
      <c r="DT21" s="42" t="e">
        <f>IF(DV21="","",COUNTIF(DV$4:DV$23,"&gt;"&amp;DV21)+COUNTIF(DV$4:DV21,DV21))</f>
        <v>#N/A</v>
      </c>
      <c r="DU21" t="str">
        <f t="shared" si="17"/>
        <v>Septicémie hémorragiques</v>
      </c>
      <c r="DV21" s="63" t="e">
        <f>IF(IF(EL$2="Catégorie",IF(EL$3="Toutes",SUMIFS('Étape 1 - à remplir'!$F$31:$F$400,'Étape 1 - à remplir'!$D$31:$D$400,MASQ2!DU21,'Étape 1 - à remplir'!$G$31:$G$400,"kg"),SUMIFS('Étape 1 - à remplir'!$F$31:$F$400,'Étape 1 - à remplir'!$D$31:$D$400,MASQ2!DU21,'Étape 1 - à remplir'!$C$31:$C$400,EL$3,'Étape 1 - à remplir'!$G$31:$G$400,"kg")),IF(EL$2="Âge",IF(EL$3="Tous",SUMIFS('Étape 1 - à remplir'!$F$31:$F$400,'Étape 1 - à remplir'!$D$31:$D$400,MASQ2!DU21,'Étape 1 - à remplir'!$G$31:$G$400,"kg"),SUMIFS('Étape 1 - à remplir'!$F$31:$F$400,'Étape 1 - à remplir'!$D$31:$D$400,MASQ2!DU21,'Étape 1 - à remplir'!$P$31:$P$400,EL$3,'Étape 1 - à remplir'!$G$31:$G$400,"kg")),IF(EL$2="Atelier",IF(EL$3="Tous",SUMIFS('Étape 1 - à remplir'!$F$31:$F$400,'Étape 1 - à remplir'!$D$31:$D$400,MASQ2!DU21,'Étape 1 - à remplir'!$G$31:$G$400,"kg"),SUMIFS('Étape 1 - à remplir'!$F$31:$F$400,'Étape 1 - à remplir'!$D$31:$D$400,MASQ2!DU21,'Étape 1 - à remplir'!$O$31:$O$400,EL$3,'Étape 1 - à remplir'!$G$31:$G$400,"kg")),IF(EL$2="Espèce",IF(EL$3="Toutes",SUMIFS('Étape 1 - à remplir'!$F$31:$F$400,'Étape 1 - à remplir'!$D$31:$D$400,MASQ2!DU21,'Étape 1 - à remplir'!$G$31:$G$400,"kg"),SUMIFS('Étape 1 - à remplir'!$F$31:$F$400,'Étape 1 - à remplir'!$D$31:$D$400,MASQ2!DU21,'Étape 1 - à remplir'!$N$31:$N$400,EL$3,'Étape 1 - à remplir'!$G$31:$G$400,"kg"))))))=0,NA(),IF(EL$2="Catégorie",IF(EL$3="Toutes",SUMIFS('Étape 1 - à remplir'!$F$31:$F$400,'Étape 1 - à remplir'!$D$31:$D$400,MASQ2!DU21,'Étape 1 - à remplir'!$G$31:$G$400,"kg"),SUMIFS('Étape 1 - à remplir'!$F$31:$F$400,'Étape 1 - à remplir'!$D$31:$D$400,MASQ2!DU21,'Étape 1 - à remplir'!$C$31:$C$400,EL$3,'Étape 1 - à remplir'!$G$31:$G$400,"kg")),IF(EL$2="Âge",IF(EL$3="Tous",SUMIFS('Étape 1 - à remplir'!$F$31:$F$400,'Étape 1 - à remplir'!$D$31:$D$400,MASQ2!DU21,'Étape 1 - à remplir'!$G$31:$G$400,"kg"),SUMIFS('Étape 1 - à remplir'!$F$31:$F$400,'Étape 1 - à remplir'!$D$31:$D$400,MASQ2!DU21,'Étape 1 - à remplir'!$P$31:$P$400,EL$3,'Étape 1 - à remplir'!$G$31:$G$400,"kg")),IF(EL$2="Atelier",IF(EL$3="Tous",SUMIFS('Étape 1 - à remplir'!$F$31:$F$400,'Étape 1 - à remplir'!$D$31:$D$400,MASQ2!DU21,'Étape 1 - à remplir'!$G$31:$G$400,"kg"),SUMIFS('Étape 1 - à remplir'!$F$31:$F$400,'Étape 1 - à remplir'!$D$31:$D$400,MASQ2!DU21,'Étape 1 - à remplir'!$O$31:$O$400,EL$3,'Étape 1 - à remplir'!$G$31:$G$400,"kg")),IF(EL$2="Espèce",IF(EL$3="Toutes",SUMIFS('Étape 1 - à remplir'!$F$31:$F$400,'Étape 1 - à remplir'!$D$31:$D$400,MASQ2!DU21,'Étape 1 - à remplir'!$G$31:$G$400,"kg"),SUMIFS('Étape 1 - à remplir'!$F$31:$F$400,'Étape 1 - à remplir'!$D$31:$D$400,MASQ2!DU21,'Étape 1 - à remplir'!$N$31:$N$400,EL$3,'Étape 1 - à remplir'!$G$31:$G$400,"kg")))))))</f>
        <v>#N/A</v>
      </c>
      <c r="DW21" s="42">
        <v>18</v>
      </c>
      <c r="DX21" t="e">
        <f t="shared" si="51"/>
        <v>#N/A</v>
      </c>
      <c r="DY21" s="63" t="e">
        <f t="shared" si="52"/>
        <v>#N/A</v>
      </c>
      <c r="EA21" s="194" t="str">
        <f t="shared" ca="1" si="18"/>
        <v/>
      </c>
      <c r="EB21" s="226" t="str">
        <f>IFERROR(IF(ED21=0,"",COUNTIF(ED$4:ED$600,"&gt;"&amp;ED21)+COUNTIF(ED$4:ED21,ED21)),"")</f>
        <v/>
      </c>
      <c r="EC21" t="str">
        <f t="shared" si="19"/>
        <v>AIVLOSIN 625 MG/G GRANULES POUR L'EAU DE BOISSON POUR PORCS</v>
      </c>
      <c r="ED21" t="e">
        <f>IF(IF(EL$2="Catégorie",IF(EL$3="Toutes",SUMIFS('Étape 1 - à remplir'!$F$31:$F$400,'Étape 1 - à remplir'!$E$31:$E$400,MASQ2!EC21,'Étape 1 - à remplir'!$G$31:$G$400,"kg"),SUMIFS('Étape 1 - à remplir'!$F$31:$F$400,'Étape 1 - à remplir'!$E$31:$E$400,MASQ2!EC21,'Étape 1 - à remplir'!$C$31:$C$400,EL$3)),IF(EL$2="Âge",IF(EL$3="Tous",SUMIFS('Étape 1 - à remplir'!$F$31:$F$400,'Étape 1 - à remplir'!$E$31:$E$400,MASQ2!EC21,'Étape 1 - à remplir'!$G$31:$G$400,"kg"),SUMIFS('Étape 1 - à remplir'!$F$31:$F$400,'Étape 1 - à remplir'!$E$31:$E$400,MASQ2!EC21,'Étape 1 - à remplir'!$P$31:$P$400,EL$3,'Étape 1 - à remplir'!$G$31:$G$400,"kg")),IF(EL$2="Atelier",IF(EL$3="Tous",SUMIFS('Étape 1 - à remplir'!$F$31:$F$400,'Étape 1 - à remplir'!$E$31:$E$400,MASQ2!EC21,'Étape 1 - à remplir'!$G$31:$G$400,"kg"),SUMIFS('Étape 1 - à remplir'!$F$31:$F$400,'Étape 1 - à remplir'!$E$31:$E$400,MASQ2!EC21,'Étape 1 - à remplir'!$O$31:$O$400,EL$3,'Étape 1 - à remplir'!$G$31:$G$400,"kg")),IF(EL$2="Espèce",IF(EL$3="Toutes",SUMIFS('Étape 1 - à remplir'!$F$31:$F$400,'Étape 1 - à remplir'!$E$31:$E$400,MASQ2!EC21,'Étape 1 - à remplir'!$G$31:$G$400,"kg"),SUMIFS('Étape 1 - à remplir'!$F$31:$F$400,'Étape 1 - à remplir'!$E$31:$E$400,MASQ2!EC21,'Étape 1 - à remplir'!$N$31:$N$400,EL$3,'Étape 1 - à remplir'!$G$31:$G$400,"kg"))))))=0,NA(),IF(EL$2="Catégorie",IF(EL$3="Toutes",SUMIFS('Étape 1 - à remplir'!$F$31:$F$400,'Étape 1 - à remplir'!$E$31:$E$400,MASQ2!EC21,'Étape 1 - à remplir'!$G$31:$G$400,"kg"),SUMIFS('Étape 1 - à remplir'!$F$31:$F$400,'Étape 1 - à remplir'!$E$31:$E$400,MASQ2!EC21,'Étape 1 - à remplir'!$C$31:$C$400,EL$3)),IF(EL$2="Âge",IF(EL$3="Tous",SUMIFS('Étape 1 - à remplir'!$F$31:$F$400,'Étape 1 - à remplir'!$E$31:$E$400,MASQ2!EC21,'Étape 1 - à remplir'!$G$31:$G$400,"kg"),SUMIFS('Étape 1 - à remplir'!$F$31:$F$400,'Étape 1 - à remplir'!$E$31:$E$400,MASQ2!EC21,'Étape 1 - à remplir'!$P$31:$P$400,EL$3,'Étape 1 - à remplir'!$G$31:$G$400,"kg")),IF(EL$2="Atelier",IF(EL$3="Tous",SUMIFS('Étape 1 - à remplir'!$F$31:$F$400,'Étape 1 - à remplir'!$E$31:$E$400,MASQ2!EC21,'Étape 1 - à remplir'!$G$31:$G$400,"kg"),SUMIFS('Étape 1 - à remplir'!$F$31:$F$400,'Étape 1 - à remplir'!$E$31:$E$400,MASQ2!EC21,'Étape 1 - à remplir'!$O$31:$O$400,EL$3,'Étape 1 - à remplir'!$G$31:$G$400,"kg")),IF(EL$2="Espèce",IF(EL$3="Toutes",SUMIFS('Étape 1 - à remplir'!$F$31:$F$400,'Étape 1 - à remplir'!$E$31:$E$400,MASQ2!EC21,'Étape 1 - à remplir'!$G$31:$G$400,"kg"),SUMIFS('Étape 1 - à remplir'!$F$31:$F$400,'Étape 1 - à remplir'!$E$31:$E$400,MASQ2!EC21,'Étape 1 - à remplir'!$N$31:$N$400,EL$3,'Étape 1 - à remplir'!$G$31:$G$400,"kg")))))))</f>
        <v>#N/A</v>
      </c>
      <c r="EE21" s="76">
        <f t="shared" si="53"/>
        <v>0</v>
      </c>
      <c r="EF21" t="str">
        <f t="shared" si="20"/>
        <v>Tylvalosine</v>
      </c>
      <c r="EG21" t="str">
        <f t="shared" si="21"/>
        <v/>
      </c>
      <c r="EH21" t="str">
        <f t="shared" si="22"/>
        <v/>
      </c>
      <c r="EI21" t="str">
        <f t="shared" si="23"/>
        <v>Macrolides</v>
      </c>
      <c r="EJ21" t="str">
        <f t="shared" si="24"/>
        <v/>
      </c>
      <c r="EK21" s="63" t="str">
        <f t="shared" si="25"/>
        <v/>
      </c>
      <c r="EN21" s="42">
        <v>18</v>
      </c>
      <c r="EO21" t="e">
        <f t="shared" si="68"/>
        <v>#N/A</v>
      </c>
      <c r="EP21" s="63" t="e">
        <f t="shared" si="69"/>
        <v>#N/A</v>
      </c>
      <c r="ER21" s="194" t="str">
        <f t="shared" si="26"/>
        <v>x</v>
      </c>
      <c r="ES21" s="226" t="str">
        <f>IFERROR(IF(EU21=0,"",COUNTIF(EU$4:EU$64,"&gt;"&amp;EU21)+COUNTIF(EU$4:EU21,EU21)),"")</f>
        <v/>
      </c>
      <c r="ET21" t="str">
        <f t="shared" si="27"/>
        <v>Difloxacine</v>
      </c>
      <c r="EU21" s="76" t="e">
        <f t="shared" si="56"/>
        <v>#N/A</v>
      </c>
      <c r="EV21">
        <v>18</v>
      </c>
      <c r="EW21" t="e">
        <f t="shared" si="57"/>
        <v>#N/A</v>
      </c>
      <c r="EX21" s="63" t="e">
        <f t="shared" si="58"/>
        <v>#N/A</v>
      </c>
      <c r="EZ21" s="14" t="str">
        <f t="shared" si="28"/>
        <v/>
      </c>
      <c r="FA21" s="14"/>
      <c r="FG21" s="76" t="str">
        <f>IFERROR(IF(FH21="","",COUNTIF(FH$18:FH$27,"&lt;"&amp;FH21)+COUNTIF(FH$18:FH21,FH21))-COUNTBLANK(FH$18:FH$27),"")</f>
        <v/>
      </c>
      <c r="FH21" s="128" t="str">
        <f t="shared" si="83"/>
        <v/>
      </c>
      <c r="FJ21" s="122" t="str">
        <f>IFERROR(IF(FK21="","",COUNTIF(FK$18:FK$27,"&lt;"&amp;FK21)+COUNTIF(FK$18:FK21,FK21))-COUNTBLANK(FK$18:FK$27),"")</f>
        <v/>
      </c>
      <c r="FK21" s="109" t="str">
        <f>IF('Étape 1 - à remplir'!G22="kg",'Étape 1 - à remplir'!E22,"")</f>
        <v/>
      </c>
      <c r="FL21" s="109" t="e">
        <f>INDEX(FJ$18:FK$27,MATCH(4,FJ$18:FJ$27,0),2)</f>
        <v>#N/A</v>
      </c>
      <c r="FM21" s="109" t="e">
        <f t="shared" si="91"/>
        <v>#N/A</v>
      </c>
      <c r="FN21" s="123" t="e">
        <f>IF(FM21="","",MAX(FN$17:FN20)+1)</f>
        <v>#N/A</v>
      </c>
      <c r="FP21" s="122" t="str">
        <f>IFERROR(IF(FQ21="","",COUNTIF(FQ$18:FQ$27,"&lt;"&amp;FQ21)+COUNTIF(FQ$18:FQ21,FQ21))-COUNTBLANK(FQ$18:FQ$27),"")</f>
        <v/>
      </c>
      <c r="FQ21" s="109" t="str">
        <f>IF('Étape 1 - à remplir'!G22="kg",'Étape 1 - à remplir'!D22,"")</f>
        <v/>
      </c>
      <c r="FR21" s="109" t="e">
        <f>INDEX(FP$18:FQ$27,MATCH(4,FP$18:FP$27,0),2)</f>
        <v>#N/A</v>
      </c>
      <c r="FS21" s="109" t="e">
        <f t="shared" si="92"/>
        <v>#N/A</v>
      </c>
      <c r="FT21" s="123" t="e">
        <f>IF(FS21="","",MAX(FT$17:FT20)+1)</f>
        <v>#N/A</v>
      </c>
    </row>
    <row r="22" spans="1:177" x14ac:dyDescent="0.3">
      <c r="A22" s="42">
        <v>7</v>
      </c>
      <c r="B22" t="e">
        <f t="shared" si="70"/>
        <v>#N/A</v>
      </c>
      <c r="C22" t="e">
        <f t="shared" si="71"/>
        <v>#N/A</v>
      </c>
      <c r="D22" s="63" t="e">
        <f t="shared" si="72"/>
        <v>#N/A</v>
      </c>
      <c r="E22" s="188"/>
      <c r="F22" s="118" t="str">
        <f>IFERROR(IF(H22="","",COUNTIF(H$4:H$23,"&gt;"&amp;H22)+COUNTIF(H$4:H22,H22)),"")</f>
        <v/>
      </c>
      <c r="G22" t="str">
        <f>Données_ATB!CG21</f>
        <v>Tarissement</v>
      </c>
      <c r="H22" s="76" t="e">
        <f>IF(IF(X$2="Catégorie",IF(X$3="Toutes",SUMIFS('Étape 1 - à remplir'!F$31:F$400,'Étape 1 - à remplir'!D$31:D$400,MASQ2!G22,'Étape 1 - à remplir'!G$31:G$400,"animaux"),SUMIFS('Étape 1 - à remplir'!F$31:F$400,'Étape 1 - à remplir'!D$31:D$400,MASQ2!G22,'Étape 1 - à remplir'!C$31:C$400,X$3)),IF(X$2="Âge",IF(X$3="Tous",SUMIFS('Étape 1 - à remplir'!F$31:F$400,'Étape 1 - à remplir'!D$31:D$400,MASQ2!G22,'Étape 1 - à remplir'!G$31:G$400,"animaux"),SUMIFS('Étape 1 - à remplir'!F$31:F$400,'Étape 1 - à remplir'!D$31:D$400,MASQ2!G22,'Étape 1 - à remplir'!P$31:P$400,X$3)),IF(X$2="Atelier",IF(X$3="Tous",SUMIFS('Étape 1 - à remplir'!F$31:F$400,'Étape 1 - à remplir'!D$31:D$400,MASQ2!G22,'Étape 1 - à remplir'!G$31:G$400,"animaux"),SUMIFS('Étape 1 - à remplir'!F$31:F$400,'Étape 1 - à remplir'!D$31:D$400,MASQ2!G22,'Étape 1 - à remplir'!O$31:O$400,X$3)),IF(X$2="Espèce",IF(X$3="Toutes",SUMIFS('Étape 1 - à remplir'!F$31:F$400,'Étape 1 - à remplir'!D$31:D$400,MASQ2!G22,'Étape 1 - à remplir'!G$31:G$400,"animaux"),SUMIFS('Étape 1 - à remplir'!F$31:F$400,'Étape 1 - à remplir'!D$31:D$400,MASQ2!G22,'Étape 1 - à remplir'!N$31:N$400,X$3))))))=0,NA(),IF(X$2="Catégorie",IF(X$3="Toutes",SUMIFS('Étape 1 - à remplir'!F$31:F$400,'Étape 1 - à remplir'!D$31:D$400,MASQ2!G22,'Étape 1 - à remplir'!G$31:G$400,"animaux"),SUMIFS('Étape 1 - à remplir'!F$31:F$400,'Étape 1 - à remplir'!D$31:D$400,MASQ2!G22,'Étape 1 - à remplir'!C$31:C$400,X$3)),IF(X$2="Âge",IF(X$3="Tous",SUMIFS('Étape 1 - à remplir'!F$31:F$400,'Étape 1 - à remplir'!D$31:D$400,MASQ2!G22,'Étape 1 - à remplir'!G$31:G$400,"animaux"),SUMIFS('Étape 1 - à remplir'!F$31:F$400,'Étape 1 - à remplir'!D$31:D$400,MASQ2!G22,'Étape 1 - à remplir'!P$31:P$400,X$3)),IF(X$2="Atelier",IF(X$3="Tous",SUMIFS('Étape 1 - à remplir'!F$31:F$400,'Étape 1 - à remplir'!D$31:D$400,MASQ2!G22,'Étape 1 - à remplir'!G$31:G$400,"animaux"),SUMIFS('Étape 1 - à remplir'!F$31:F$400,'Étape 1 - à remplir'!D$31:D$400,MASQ2!G22,'Étape 1 - à remplir'!O$31:O$400,X$3)),IF(X$2="Espèce",IF(X$3="Tous",SUMIFS('Étape 1 - à remplir'!F$31:F$400,'Étape 1 - à remplir'!D$31:D$400,MASQ2!G22,'Étape 1 - à remplir'!G$31:G$400,"animaux"),SUMIFS('Étape 1 - à remplir'!F$31:F$400,'Étape 1 - à remplir'!D$31:D$400,MASQ2!G22,'Étape 1 - à remplir'!N$31:N$400,X$3)))))))</f>
        <v>#N/A</v>
      </c>
      <c r="I22" s="118">
        <v>19</v>
      </c>
      <c r="J22" t="e">
        <f t="shared" si="84"/>
        <v>#N/A</v>
      </c>
      <c r="K22" s="76" t="e">
        <f t="shared" si="85"/>
        <v>#N/A</v>
      </c>
      <c r="M22" s="194" t="str">
        <f ca="1">INDEX(Données_ATB!BD:BU,MATCH(MASQ2!O22,Données_ATB!BD:BD,0),18)</f>
        <v/>
      </c>
      <c r="N22" s="14" t="str">
        <f>IFERROR(IF(Q22=0,"",COUNTIF(Q$4:Q$600,"&gt;"&amp;Q22)+COUNTIF(Q$4:Q22,Q22)),"")</f>
        <v/>
      </c>
      <c r="O22" t="str">
        <f>Données_ATB!BD21</f>
        <v>AIVLOSIN 8,5 MG/G PREMELANGE MEDICAMENTEUX POUR PORCS</v>
      </c>
      <c r="P22" t="e">
        <f>IF(IF(X$2="Catégorie",IF(X$3="Toutes",SUMIFS('Étape 1 - à remplir'!$F$31:$F$400,'Étape 1 - à remplir'!$E$31:$E$400,MASQ2!O22,'Étape 1 - à remplir'!$G$31:$G$400,"animaux"),SUMIFS('Étape 1 - à remplir'!$F$31:$F$400,'Étape 1 - à remplir'!$E$31:$E$400,MASQ2!O22,'Étape 1 - à remplir'!$C$31:$C$400,X$3)),IF(X$2="Âge",IF(X$3="Tous",SUMIFS('Étape 1 - à remplir'!$F$31:$F$400,'Étape 1 - à remplir'!$E$31:$E$400,MASQ2!O22,'Étape 1 - à remplir'!$G$31:$G$400,"animaux"),SUMIFS('Étape 1 - à remplir'!$F$31:$F$400,'Étape 1 - à remplir'!$E$31:$E$400,MASQ2!O22,'Étape 1 - à remplir'!$P$31:$P$400,X$3)),IF(X$2="Atelier",IF(X$3="Tous",SUMIFS('Étape 1 - à remplir'!$F$31:$F$400,'Étape 1 - à remplir'!$E$31:$E$400,MASQ2!O22,'Étape 1 - à remplir'!$G$31:$G$400,"animaux"),SUMIFS('Étape 1 - à remplir'!$F$31:$F$400,'Étape 1 - à remplir'!$E$31:$E$400,MASQ2!O22,'Étape 1 - à remplir'!$O$31:$O$400,X$3)),IF(X$2="Espèce",IF(X$3="Toutes",SUMIFS('Étape 1 - à remplir'!$F$31:$F$400,'Étape 1 - à remplir'!$E$31:$E$400,MASQ2!O22,'Étape 1 - à remplir'!$G$31:$G$400,"animaux"),SUMIFS('Étape 1 - à remplir'!$F$31:$F$400,'Étape 1 - à remplir'!$E$31:$E$400,MASQ2!O22,'Étape 1 - à remplir'!$N$31:$N$400,X$3))))))=0,NA(),IF(X$2="Catégorie",IF(X$3="Toutes",SUMIFS('Étape 1 - à remplir'!$F$31:$F$400,'Étape 1 - à remplir'!$E$31:$E$400,MASQ2!O22,'Étape 1 - à remplir'!$G$31:$G$400,"animaux"),SUMIFS('Étape 1 - à remplir'!$F$31:$F$400,'Étape 1 - à remplir'!$E$31:$E$400,MASQ2!O22,'Étape 1 - à remplir'!$C$31:$C$400,X$3)),IF(X$2="Âge",IF(X$3="Tous",SUMIFS('Étape 1 - à remplir'!$F$31:$F$400,'Étape 1 - à remplir'!$E$31:$E$400,MASQ2!O22,'Étape 1 - à remplir'!$G$31:$G$400,"animaux"),SUMIFS('Étape 1 - à remplir'!$F$31:$F$400,'Étape 1 - à remplir'!$E$31:$E$400,MASQ2!O22,'Étape 1 - à remplir'!$P$31:$P$400,X$3)),IF(X$2="Atelier",IF(X$3="Tous",SUMIFS('Étape 1 - à remplir'!$F$31:$F$400,'Étape 1 - à remplir'!$E$31:$E$400,MASQ2!O22,'Étape 1 - à remplir'!$G$31:$G$400,"animaux"),SUMIFS('Étape 1 - à remplir'!$F$31:$F$400,'Étape 1 - à remplir'!$E$31:$E$400,MASQ2!O22,'Étape 1 - à remplir'!$O$31:$O$400,X$3)),IF(X$2="Espèce",IF(X$3="Toutes",SUMIFS('Étape 1 - à remplir'!$F$31:$F$400,'Étape 1 - à remplir'!$E$31:$E$400,MASQ2!O22,'Étape 1 - à remplir'!$G$31:$G$400,"animaux"),SUMIFS('Étape 1 - à remplir'!$F$31:$F$400,'Étape 1 - à remplir'!$E$31:$E$400,MASQ2!O22,'Étape 1 - à remplir'!$N$31:$N$400,X$3)))))))</f>
        <v>#N/A</v>
      </c>
      <c r="Q22" s="63">
        <f t="shared" si="62"/>
        <v>0</v>
      </c>
      <c r="R22" t="str">
        <f>Données_ATB!BM21</f>
        <v>Tylvalosine</v>
      </c>
      <c r="S22" t="str">
        <f>Données_ATB!BN21</f>
        <v/>
      </c>
      <c r="T22" s="63" t="str">
        <f>Données_ATB!BO21</f>
        <v/>
      </c>
      <c r="U22" s="42" t="str">
        <f>Données_ATB!BQ21</f>
        <v>Macrolides</v>
      </c>
      <c r="V22" t="str">
        <f>Données_ATB!BR21</f>
        <v/>
      </c>
      <c r="W22" s="63" t="str">
        <f>Données_ATB!BS21</f>
        <v/>
      </c>
      <c r="Z22" s="42">
        <v>19</v>
      </c>
      <c r="AA22" t="e">
        <f t="shared" si="32"/>
        <v>#N/A</v>
      </c>
      <c r="AB22" s="63" t="e">
        <f t="shared" si="33"/>
        <v>#N/A</v>
      </c>
      <c r="AD22" s="194" t="str">
        <f>IF(AF22="Colistine","x",IF(INDEX(Données_ATB!CA$3:CB$63,MATCH(AF22,Données_ATB!CA$3:CA$63,0),2)="Fluoroquinolones","x",IF(INDEX(Données_ATB!CA$3:CB$63,MATCH(AF22,Données_ATB!CA$3:CA$63,0),2)="Cephalosporines 3&amp;4G","x","")))</f>
        <v/>
      </c>
      <c r="AE22" s="219" t="str">
        <f>IFERROR(IF(AG22=0,"",COUNTIF(AG$4:AG$64,"&gt;"&amp;AG22)+COUNTIF(AG$4:AG22,AG22)),"")</f>
        <v/>
      </c>
      <c r="AF22" s="42" t="str">
        <f>Données_ATB!CA21</f>
        <v>Dihydrostreptomycine</v>
      </c>
      <c r="AG22" s="63" t="e">
        <f t="shared" si="34"/>
        <v>#N/A</v>
      </c>
      <c r="AH22" s="42">
        <v>19</v>
      </c>
      <c r="AI22" t="e">
        <f t="shared" si="35"/>
        <v>#N/A</v>
      </c>
      <c r="AJ22" s="63" t="e">
        <f t="shared" si="36"/>
        <v>#N/A</v>
      </c>
      <c r="AL22" s="14" t="str">
        <f t="shared" si="86"/>
        <v/>
      </c>
      <c r="AS22" s="76" t="str">
        <f>IFERROR(IF(AT22="","",COUNTIF(AT$18:AT$27,"&lt;"&amp;AT22)+COUNTIF(AT$18:AT22,AT22))-COUNTBLANK(AT$18:AT$27),"")</f>
        <v/>
      </c>
      <c r="AT22" s="128" t="str">
        <f t="shared" si="79"/>
        <v/>
      </c>
      <c r="AV22" s="122" t="str">
        <f>IFERROR(IF(AW22="","",COUNTIF(AW$18:AW$27,"&lt;"&amp;AW22)+COUNTIF(AW$18:AW22,AW22))-COUNTBLANK(AW$18:AW$27),"")</f>
        <v/>
      </c>
      <c r="AW22" t="str">
        <f>IF('Étape 1 - à remplir'!G23="animaux",'Étape 1 - à remplir'!E23,"")</f>
        <v/>
      </c>
      <c r="AX22" s="109" t="e">
        <f>INDEX(AV$18:AW$27,MATCH(5,AV$18:AV$27,0),2)</f>
        <v>#N/A</v>
      </c>
      <c r="AY22" t="e">
        <f t="shared" si="87"/>
        <v>#N/A</v>
      </c>
      <c r="AZ22" s="123" t="e">
        <f>IF(AY22="","",MAX(AZ$17:AZ21)+1)</f>
        <v>#N/A</v>
      </c>
      <c r="BB22" s="122" t="str">
        <f>IFERROR(IF(BC22="","",COUNTIF(BC$18:BC$27,"&lt;"&amp;BC22)+COUNTIF(BC$18:BC22,BC22))-COUNTBLANK(BC$18:BC$27),"")</f>
        <v/>
      </c>
      <c r="BC22" s="76" t="str">
        <f>IF('Étape 1 - à remplir'!G23="animaux",'Étape 1 - à remplir'!D23,"")</f>
        <v/>
      </c>
      <c r="BD22" t="e">
        <f>INDEX(BB$18:BC$27,MATCH(5,BB$18:BB$27,0),2)</f>
        <v>#N/A</v>
      </c>
      <c r="BE22" s="118" t="e">
        <f t="shared" si="88"/>
        <v>#N/A</v>
      </c>
      <c r="BF22" s="123" t="e">
        <f>IF(BE22="","",MAX(BF$17:BF21)+1)</f>
        <v>#N/A</v>
      </c>
      <c r="BH22" s="42">
        <v>7</v>
      </c>
      <c r="BI22" t="e">
        <f t="shared" si="73"/>
        <v>#N/A</v>
      </c>
      <c r="BJ22" t="e">
        <f t="shared" si="74"/>
        <v>#N/A</v>
      </c>
      <c r="BK22" s="76" t="e">
        <f t="shared" si="75"/>
        <v>#N/A</v>
      </c>
      <c r="BM22" s="42" t="e">
        <f>IF(BO22="","",COUNTIF(BO$4:BO$23,"&gt;"&amp;BO22)+COUNTIF(BO$4:BO22,BO22))</f>
        <v>#N/A</v>
      </c>
      <c r="BN22" t="str">
        <f t="shared" si="4"/>
        <v>Tarissement</v>
      </c>
      <c r="BO22" s="76" t="e">
        <f>IF(IF(CE$2="Catégorie",IF(CE$3="Toutes",SUMIFS('Étape 1 - à remplir'!$F$31:$F$400,'Étape 1 - à remplir'!$D$31:$D$400,MASQ2!BN22,'Étape 1 - à remplir'!$G$31:$G$400,"lots"),SUMIFS('Étape 1 - à remplir'!$F$31:$F$400,'Étape 1 - à remplir'!$D$31:$D$400,MASQ2!BN22,'Étape 1 - à remplir'!$C$31:$C$400,CE$3,'Étape 1 - à remplir'!$G$31:$G$400,"lots")),IF(CE$2="Âge",IF(CE$3="Tous",SUMIFS('Étape 1 - à remplir'!$F$31:$F$400,'Étape 1 - à remplir'!$D$31:$D$400,MASQ2!BN22,'Étape 1 - à remplir'!$G$31:$G$400,"lots"),SUMIFS('Étape 1 - à remplir'!$F$31:$F$400,'Étape 1 - à remplir'!$D$31:$D$400,MASQ2!BN22,'Étape 1 - à remplir'!$P$31:$P$400,CE$3,'Étape 1 - à remplir'!$G$31:$G$400,"lots")),IF(CE$2="Atelier",IF(CE$3="Tous",SUMIFS('Étape 1 - à remplir'!$F$31:$F$400,'Étape 1 - à remplir'!$D$31:$D$400,MASQ2!BN22,'Étape 1 - à remplir'!$G$31:$G$400,"lots"),SUMIFS('Étape 1 - à remplir'!$F$31:$F$400,'Étape 1 - à remplir'!$D$31:$D$400,MASQ2!BN22,'Étape 1 - à remplir'!$O$31:$O$400,CE$3,'Étape 1 - à remplir'!$G$31:$G$400,"lots")),IF(CE$2="Espèce",IF(CE$3="Toutes",SUMIFS('Étape 1 - à remplir'!$F$31:$F$400,'Étape 1 - à remplir'!$D$31:$D$400,MASQ2!BN22,'Étape 1 - à remplir'!$G$31:$G$400,"lots"),SUMIFS('Étape 1 - à remplir'!$F$31:$F$400,'Étape 1 - à remplir'!$D$31:$D$400,MASQ2!BN22,'Étape 1 - à remplir'!$N$31:$N$400,CE$3,'Étape 1 - à remplir'!$G$31:$G$400,"lots"))))))=0,NA(),IF(CE$2="Catégorie",IF(CE$3="Toutes",SUMIFS('Étape 1 - à remplir'!$F$31:$F$400,'Étape 1 - à remplir'!$D$31:$D$400,MASQ2!BN22,'Étape 1 - à remplir'!$G$31:$G$400,"lots"),SUMIFS('Étape 1 - à remplir'!$F$31:$F$400,'Étape 1 - à remplir'!$D$31:$D$400,MASQ2!BN22,'Étape 1 - à remplir'!$C$31:$C$400,CE$3,'Étape 1 - à remplir'!$G$31:$G$400,"lots")),IF(CE$2="Âge",IF(CE$3="Tous",SUMIFS('Étape 1 - à remplir'!$F$31:$F$400,'Étape 1 - à remplir'!$D$31:$D$400,MASQ2!BN22,'Étape 1 - à remplir'!$G$31:$G$400,"lots"),SUMIFS('Étape 1 - à remplir'!$F$31:$F$400,'Étape 1 - à remplir'!$D$31:$D$400,MASQ2!BN22,'Étape 1 - à remplir'!$P$31:$P$400,CE$3,'Étape 1 - à remplir'!$G$31:$G$400,"lots")),IF(CE$2="Atelier",IF(CE$3="Tous",SUMIFS('Étape 1 - à remplir'!$F$31:$F$400,'Étape 1 - à remplir'!$D$31:$D$400,MASQ2!BN22,'Étape 1 - à remplir'!$G$31:$G$400,"lots"),SUMIFS('Étape 1 - à remplir'!$F$31:$F$400,'Étape 1 - à remplir'!$D$31:$D$400,MASQ2!BN22,'Étape 1 - à remplir'!$O$31:$O$400,CE$3,'Étape 1 - à remplir'!$G$31:$G$400,"lots")),IF(CE$2="Espèce",IF(CE$3="Toutes",SUMIFS('Étape 1 - à remplir'!$F$31:$F$400,'Étape 1 - à remplir'!$D$31:$D$400,MASQ2!BN22,'Étape 1 - à remplir'!$G$31:$G$400,"lots"),SUMIFS('Étape 1 - à remplir'!$F$31:$F$400,'Étape 1 - à remplir'!$D$31:$D$400,MASQ2!BN22,'Étape 1 - à remplir'!$N$31:$N$400,CE$3,'Étape 1 - à remplir'!$G$31:$G$400,"lots")))))))</f>
        <v>#N/A</v>
      </c>
      <c r="BP22">
        <v>19</v>
      </c>
      <c r="BQ22" t="e">
        <f t="shared" si="40"/>
        <v>#N/A</v>
      </c>
      <c r="BR22" s="63" t="e">
        <f t="shared" si="41"/>
        <v>#N/A</v>
      </c>
      <c r="BT22" s="194" t="str">
        <f t="shared" ca="1" si="5"/>
        <v/>
      </c>
      <c r="BU22" s="219" t="str">
        <f>IFERROR(IF(BX22=0,"",COUNTIF(BX$4:BX$600,"&gt;"&amp;BX22)+COUNTIF(BX$4:BX22,BX22)),"")</f>
        <v/>
      </c>
      <c r="BV22" s="42" t="str">
        <f t="shared" si="6"/>
        <v>AIVLOSIN 8,5 MG/G PREMELANGE MEDICAMENTEUX POUR PORCS</v>
      </c>
      <c r="BW22" t="e">
        <f>IF(IF(CE$2="Catégorie",IF(CE$3="Toutes",SUMIFS('Étape 1 - à remplir'!$F$31:$F$400,'Étape 1 - à remplir'!$E$31:$E$400,MASQ2!BV22,'Étape 1 - à remplir'!$G$31:$G$400,"lots"),SUMIFS('Étape 1 - à remplir'!$F$31:$F$400,'Étape 1 - à remplir'!$E$31:$E$400,MASQ2!BV22,'Étape 1 - à remplir'!$C$31:$C$400,CE$3)),IF(CE$2="Âge",IF(CE$3="Tous",SUMIFS('Étape 1 - à remplir'!$F$31:$F$400,'Étape 1 - à remplir'!$E$31:$E$400,MASQ2!BV22,'Étape 1 - à remplir'!$G$31:$G$400,"lots"),SUMIFS('Étape 1 - à remplir'!$F$31:$F$400,'Étape 1 - à remplir'!$E$31:$E$400,MASQ2!BV22,'Étape 1 - à remplir'!$P$31:$P$400,CE$3,'Étape 1 - à remplir'!$G$31:$G$400,"lots")),IF(CE$2="Atelier",IF(CE$3="Tous",SUMIFS('Étape 1 - à remplir'!$F$31:$F$400,'Étape 1 - à remplir'!$E$31:$E$400,MASQ2!BV22,'Étape 1 - à remplir'!$G$31:$G$400,"lots"),SUMIFS('Étape 1 - à remplir'!$F$31:$F$400,'Étape 1 - à remplir'!$E$31:$E$400,MASQ2!BV22,'Étape 1 - à remplir'!$O$31:$O$400,CE$3,'Étape 1 - à remplir'!$G$31:$G$400,"lots")),IF(CE$2="Espèce",IF(CE$3="Toutes",SUMIFS('Étape 1 - à remplir'!$F$31:$F$400,'Étape 1 - à remplir'!$E$31:$E$400,MASQ2!BV22,'Étape 1 - à remplir'!$G$31:$G$400,"lots"),SUMIFS('Étape 1 - à remplir'!$F$31:$F$400,'Étape 1 - à remplir'!$E$31:$E$400,MASQ2!BV22,'Étape 1 - à remplir'!$N$31:$N$400,CE$3,'Étape 1 - à remplir'!$G$31:$G$400,"lots"))))))=0,NA(),IF(CE$2="Catégorie",IF(CE$3="Toutes",SUMIFS('Étape 1 - à remplir'!$F$31:$F$400,'Étape 1 - à remplir'!$E$31:$E$400,MASQ2!BV22,'Étape 1 - à remplir'!$G$31:$G$400,"lots"),SUMIFS('Étape 1 - à remplir'!$F$31:$F$400,'Étape 1 - à remplir'!$E$31:$E$400,MASQ2!BV22,'Étape 1 - à remplir'!$C$31:$C$400,CE$3)),IF(CE$2="Âge",IF(CE$3="Tous",SUMIFS('Étape 1 - à remplir'!$F$31:$F$400,'Étape 1 - à remplir'!$E$31:$E$400,MASQ2!BV22,'Étape 1 - à remplir'!$G$31:$G$400,"lots"),SUMIFS('Étape 1 - à remplir'!$F$31:$F$400,'Étape 1 - à remplir'!$E$31:$E$400,MASQ2!BV22,'Étape 1 - à remplir'!$P$31:$P$400,CE$3,'Étape 1 - à remplir'!$G$31:$G$400,"lots")),IF(CE$2="Atelier",IF(CE$3="Tous",SUMIFS('Étape 1 - à remplir'!$F$31:$F$400,'Étape 1 - à remplir'!$E$31:$E$400,MASQ2!BV22,'Étape 1 - à remplir'!$G$31:$G$400,"lots"),SUMIFS('Étape 1 - à remplir'!$F$31:$F$400,'Étape 1 - à remplir'!$E$31:$E$400,MASQ2!BV22,'Étape 1 - à remplir'!$O$31:$O$400,CE$3,'Étape 1 - à remplir'!$G$31:$G$400,"lots")),IF(CE$2="Espèce",IF(CE$3="Toutes",SUMIFS('Étape 1 - à remplir'!$F$31:$F$400,'Étape 1 - à remplir'!$E$31:$E$400,MASQ2!BV22,'Étape 1 - à remplir'!$G$31:$G$400,"lots"),SUMIFS('Étape 1 - à remplir'!$F$31:$F$400,'Étape 1 - à remplir'!$E$31:$E$400,MASQ2!BV22,'Étape 1 - à remplir'!$N$31:$N$400,CE$3,'Étape 1 - à remplir'!$G$31:$G$400,"lots")))))))</f>
        <v>#N/A</v>
      </c>
      <c r="BX22">
        <f t="shared" si="42"/>
        <v>0</v>
      </c>
      <c r="BY22" t="str">
        <f t="shared" si="7"/>
        <v>Tylvalosine</v>
      </c>
      <c r="BZ22" t="str">
        <f t="shared" si="8"/>
        <v/>
      </c>
      <c r="CA22" t="str">
        <f t="shared" si="9"/>
        <v/>
      </c>
      <c r="CB22" t="str">
        <f t="shared" si="10"/>
        <v>Macrolides</v>
      </c>
      <c r="CC22" t="str">
        <f t="shared" si="11"/>
        <v/>
      </c>
      <c r="CD22" s="63" t="str">
        <f t="shared" si="12"/>
        <v/>
      </c>
      <c r="CG22" s="42">
        <v>19</v>
      </c>
      <c r="CH22" s="42" t="e">
        <f t="shared" si="80"/>
        <v>#N/A</v>
      </c>
      <c r="CI22" s="63" t="e">
        <f t="shared" si="81"/>
        <v>#N/A</v>
      </c>
      <c r="CK22" s="194" t="str">
        <f t="shared" si="13"/>
        <v/>
      </c>
      <c r="CL22" s="226" t="str">
        <f>IFERROR(IF(CN22=0,"",COUNTIF(CN$4:CN$64,"&gt;"&amp;CN22)+COUNTIF(CN$4:CN22,CN22)),"")</f>
        <v/>
      </c>
      <c r="CM22" t="str">
        <f t="shared" si="14"/>
        <v>Dihydrostreptomycine</v>
      </c>
      <c r="CN22" s="76" t="e">
        <f t="shared" si="45"/>
        <v>#N/A</v>
      </c>
      <c r="CO22">
        <v>19</v>
      </c>
      <c r="CP22" t="e">
        <f t="shared" si="46"/>
        <v>#N/A</v>
      </c>
      <c r="CQ22" s="63" t="e">
        <f t="shared" si="47"/>
        <v>#N/A</v>
      </c>
      <c r="CS22" s="14" t="str">
        <f t="shared" si="15"/>
        <v/>
      </c>
      <c r="CT22" s="14"/>
      <c r="CU22" s="14"/>
      <c r="CZ22" s="76" t="str">
        <f>IFERROR(IF(DA22="","",COUNTIF(DA$18:DA$27,"&lt;"&amp;DA22)+COUNTIF(DA$18:DA22,DA22))-COUNTBLANK(DA$18:DA$27),"")</f>
        <v/>
      </c>
      <c r="DA22" s="128" t="str">
        <f t="shared" si="82"/>
        <v/>
      </c>
      <c r="DC22" s="122" t="str">
        <f>IFERROR(IF(DD22="","",COUNTIF(DD$18:DD$27,"&lt;"&amp;DD22)+COUNTIF(DD$18:DD22,DD22))-COUNTBLANK(DD$18:DD$27),"")</f>
        <v/>
      </c>
      <c r="DD22" s="109" t="str">
        <f>IF('Étape 1 - à remplir'!G23="lots",'Étape 1 - à remplir'!E23,"")</f>
        <v/>
      </c>
      <c r="DE22" s="109" t="e">
        <f>INDEX(DC$18:DD$27,MATCH(5,DC$18:DC$27,0),2)</f>
        <v>#N/A</v>
      </c>
      <c r="DF22" s="109" t="e">
        <f t="shared" si="89"/>
        <v>#N/A</v>
      </c>
      <c r="DG22" s="123" t="e">
        <f>IF(DF22="","",MAX(DG$17:DG21)+1)</f>
        <v>#N/A</v>
      </c>
      <c r="DI22" s="122" t="str">
        <f>IFERROR(IF(DJ22="","",COUNTIF(DJ$18:DJ$27,"&lt;"&amp;DJ22)+COUNTIF(DJ$18:DJ22,DJ22))-COUNTBLANK(DJ$18:DJ$27),"")</f>
        <v/>
      </c>
      <c r="DJ22" s="109" t="str">
        <f>IF('Étape 1 - à remplir'!G23="lots",'Étape 1 - à remplir'!D23,"")</f>
        <v/>
      </c>
      <c r="DK22" s="109" t="e">
        <f>INDEX(DI$18:DJ$27,MATCH(5,DI$18:DI$27,0),2)</f>
        <v>#N/A</v>
      </c>
      <c r="DL22" s="109" t="e">
        <f t="shared" si="90"/>
        <v>#N/A</v>
      </c>
      <c r="DM22" s="123" t="e">
        <f>IF(DL22="","",MAX(DM$17:DM21)+1)</f>
        <v>#N/A</v>
      </c>
      <c r="DO22" s="42">
        <v>7</v>
      </c>
      <c r="DP22" t="e">
        <f t="shared" si="76"/>
        <v>#N/A</v>
      </c>
      <c r="DQ22" t="e">
        <f t="shared" si="77"/>
        <v>#N/A</v>
      </c>
      <c r="DR22" s="63" t="e">
        <f t="shared" si="78"/>
        <v>#N/A</v>
      </c>
      <c r="DT22" s="42" t="e">
        <f>IF(DV22="","",COUNTIF(DV$4:DV$23,"&gt;"&amp;DV22)+COUNTIF(DV$4:DV22,DV22))</f>
        <v>#N/A</v>
      </c>
      <c r="DU22" t="str">
        <f t="shared" si="17"/>
        <v>Tarissement</v>
      </c>
      <c r="DV22" s="63" t="e">
        <f>IF(IF(EL$2="Catégorie",IF(EL$3="Toutes",SUMIFS('Étape 1 - à remplir'!$F$31:$F$400,'Étape 1 - à remplir'!$D$31:$D$400,MASQ2!DU22,'Étape 1 - à remplir'!$G$31:$G$400,"kg"),SUMIFS('Étape 1 - à remplir'!$F$31:$F$400,'Étape 1 - à remplir'!$D$31:$D$400,MASQ2!DU22,'Étape 1 - à remplir'!$C$31:$C$400,EL$3,'Étape 1 - à remplir'!$G$31:$G$400,"kg")),IF(EL$2="Âge",IF(EL$3="Tous",SUMIFS('Étape 1 - à remplir'!$F$31:$F$400,'Étape 1 - à remplir'!$D$31:$D$400,MASQ2!DU22,'Étape 1 - à remplir'!$G$31:$G$400,"kg"),SUMIFS('Étape 1 - à remplir'!$F$31:$F$400,'Étape 1 - à remplir'!$D$31:$D$400,MASQ2!DU22,'Étape 1 - à remplir'!$P$31:$P$400,EL$3,'Étape 1 - à remplir'!$G$31:$G$400,"kg")),IF(EL$2="Atelier",IF(EL$3="Tous",SUMIFS('Étape 1 - à remplir'!$F$31:$F$400,'Étape 1 - à remplir'!$D$31:$D$400,MASQ2!DU22,'Étape 1 - à remplir'!$G$31:$G$400,"kg"),SUMIFS('Étape 1 - à remplir'!$F$31:$F$400,'Étape 1 - à remplir'!$D$31:$D$400,MASQ2!DU22,'Étape 1 - à remplir'!$O$31:$O$400,EL$3,'Étape 1 - à remplir'!$G$31:$G$400,"kg")),IF(EL$2="Espèce",IF(EL$3="Toutes",SUMIFS('Étape 1 - à remplir'!$F$31:$F$400,'Étape 1 - à remplir'!$D$31:$D$400,MASQ2!DU22,'Étape 1 - à remplir'!$G$31:$G$400,"kg"),SUMIFS('Étape 1 - à remplir'!$F$31:$F$400,'Étape 1 - à remplir'!$D$31:$D$400,MASQ2!DU22,'Étape 1 - à remplir'!$N$31:$N$400,EL$3,'Étape 1 - à remplir'!$G$31:$G$400,"kg"))))))=0,NA(),IF(EL$2="Catégorie",IF(EL$3="Toutes",SUMIFS('Étape 1 - à remplir'!$F$31:$F$400,'Étape 1 - à remplir'!$D$31:$D$400,MASQ2!DU22,'Étape 1 - à remplir'!$G$31:$G$400,"kg"),SUMIFS('Étape 1 - à remplir'!$F$31:$F$400,'Étape 1 - à remplir'!$D$31:$D$400,MASQ2!DU22,'Étape 1 - à remplir'!$C$31:$C$400,EL$3,'Étape 1 - à remplir'!$G$31:$G$400,"kg")),IF(EL$2="Âge",IF(EL$3="Tous",SUMIFS('Étape 1 - à remplir'!$F$31:$F$400,'Étape 1 - à remplir'!$D$31:$D$400,MASQ2!DU22,'Étape 1 - à remplir'!$G$31:$G$400,"kg"),SUMIFS('Étape 1 - à remplir'!$F$31:$F$400,'Étape 1 - à remplir'!$D$31:$D$400,MASQ2!DU22,'Étape 1 - à remplir'!$P$31:$P$400,EL$3,'Étape 1 - à remplir'!$G$31:$G$400,"kg")),IF(EL$2="Atelier",IF(EL$3="Tous",SUMIFS('Étape 1 - à remplir'!$F$31:$F$400,'Étape 1 - à remplir'!$D$31:$D$400,MASQ2!DU22,'Étape 1 - à remplir'!$G$31:$G$400,"kg"),SUMIFS('Étape 1 - à remplir'!$F$31:$F$400,'Étape 1 - à remplir'!$D$31:$D$400,MASQ2!DU22,'Étape 1 - à remplir'!$O$31:$O$400,EL$3,'Étape 1 - à remplir'!$G$31:$G$400,"kg")),IF(EL$2="Espèce",IF(EL$3="Toutes",SUMIFS('Étape 1 - à remplir'!$F$31:$F$400,'Étape 1 - à remplir'!$D$31:$D$400,MASQ2!DU22,'Étape 1 - à remplir'!$G$31:$G$400,"kg"),SUMIFS('Étape 1 - à remplir'!$F$31:$F$400,'Étape 1 - à remplir'!$D$31:$D$400,MASQ2!DU22,'Étape 1 - à remplir'!$N$31:$N$400,EL$3,'Étape 1 - à remplir'!$G$31:$G$400,"kg")))))))</f>
        <v>#N/A</v>
      </c>
      <c r="DW22" s="42">
        <v>19</v>
      </c>
      <c r="DX22" t="e">
        <f t="shared" si="51"/>
        <v>#N/A</v>
      </c>
      <c r="DY22" s="63" t="e">
        <f t="shared" si="52"/>
        <v>#N/A</v>
      </c>
      <c r="EA22" s="194" t="str">
        <f t="shared" ca="1" si="18"/>
        <v/>
      </c>
      <c r="EB22" s="226" t="str">
        <f>IFERROR(IF(ED22=0,"",COUNTIF(ED$4:ED$600,"&gt;"&amp;ED22)+COUNTIF(ED$4:ED22,ED22)),"")</f>
        <v/>
      </c>
      <c r="EC22" t="str">
        <f t="shared" si="19"/>
        <v>AIVLOSIN 8,5 MG/G PREMELANGE MEDICAMENTEUX POUR PORCS</v>
      </c>
      <c r="ED22" t="e">
        <f>IF(IF(EL$2="Catégorie",IF(EL$3="Toutes",SUMIFS('Étape 1 - à remplir'!$F$31:$F$400,'Étape 1 - à remplir'!$E$31:$E$400,MASQ2!EC22,'Étape 1 - à remplir'!$G$31:$G$400,"kg"),SUMIFS('Étape 1 - à remplir'!$F$31:$F$400,'Étape 1 - à remplir'!$E$31:$E$400,MASQ2!EC22,'Étape 1 - à remplir'!$C$31:$C$400,EL$3)),IF(EL$2="Âge",IF(EL$3="Tous",SUMIFS('Étape 1 - à remplir'!$F$31:$F$400,'Étape 1 - à remplir'!$E$31:$E$400,MASQ2!EC22,'Étape 1 - à remplir'!$G$31:$G$400,"kg"),SUMIFS('Étape 1 - à remplir'!$F$31:$F$400,'Étape 1 - à remplir'!$E$31:$E$400,MASQ2!EC22,'Étape 1 - à remplir'!$P$31:$P$400,EL$3,'Étape 1 - à remplir'!$G$31:$G$400,"kg")),IF(EL$2="Atelier",IF(EL$3="Tous",SUMIFS('Étape 1 - à remplir'!$F$31:$F$400,'Étape 1 - à remplir'!$E$31:$E$400,MASQ2!EC22,'Étape 1 - à remplir'!$G$31:$G$400,"kg"),SUMIFS('Étape 1 - à remplir'!$F$31:$F$400,'Étape 1 - à remplir'!$E$31:$E$400,MASQ2!EC22,'Étape 1 - à remplir'!$O$31:$O$400,EL$3,'Étape 1 - à remplir'!$G$31:$G$400,"kg")),IF(EL$2="Espèce",IF(EL$3="Toutes",SUMIFS('Étape 1 - à remplir'!$F$31:$F$400,'Étape 1 - à remplir'!$E$31:$E$400,MASQ2!EC22,'Étape 1 - à remplir'!$G$31:$G$400,"kg"),SUMIFS('Étape 1 - à remplir'!$F$31:$F$400,'Étape 1 - à remplir'!$E$31:$E$400,MASQ2!EC22,'Étape 1 - à remplir'!$N$31:$N$400,EL$3,'Étape 1 - à remplir'!$G$31:$G$400,"kg"))))))=0,NA(),IF(EL$2="Catégorie",IF(EL$3="Toutes",SUMIFS('Étape 1 - à remplir'!$F$31:$F$400,'Étape 1 - à remplir'!$E$31:$E$400,MASQ2!EC22,'Étape 1 - à remplir'!$G$31:$G$400,"kg"),SUMIFS('Étape 1 - à remplir'!$F$31:$F$400,'Étape 1 - à remplir'!$E$31:$E$400,MASQ2!EC22,'Étape 1 - à remplir'!$C$31:$C$400,EL$3)),IF(EL$2="Âge",IF(EL$3="Tous",SUMIFS('Étape 1 - à remplir'!$F$31:$F$400,'Étape 1 - à remplir'!$E$31:$E$400,MASQ2!EC22,'Étape 1 - à remplir'!$G$31:$G$400,"kg"),SUMIFS('Étape 1 - à remplir'!$F$31:$F$400,'Étape 1 - à remplir'!$E$31:$E$400,MASQ2!EC22,'Étape 1 - à remplir'!$P$31:$P$400,EL$3,'Étape 1 - à remplir'!$G$31:$G$400,"kg")),IF(EL$2="Atelier",IF(EL$3="Tous",SUMIFS('Étape 1 - à remplir'!$F$31:$F$400,'Étape 1 - à remplir'!$E$31:$E$400,MASQ2!EC22,'Étape 1 - à remplir'!$G$31:$G$400,"kg"),SUMIFS('Étape 1 - à remplir'!$F$31:$F$400,'Étape 1 - à remplir'!$E$31:$E$400,MASQ2!EC22,'Étape 1 - à remplir'!$O$31:$O$400,EL$3,'Étape 1 - à remplir'!$G$31:$G$400,"kg")),IF(EL$2="Espèce",IF(EL$3="Toutes",SUMIFS('Étape 1 - à remplir'!$F$31:$F$400,'Étape 1 - à remplir'!$E$31:$E$400,MASQ2!EC22,'Étape 1 - à remplir'!$G$31:$G$400,"kg"),SUMIFS('Étape 1 - à remplir'!$F$31:$F$400,'Étape 1 - à remplir'!$E$31:$E$400,MASQ2!EC22,'Étape 1 - à remplir'!$N$31:$N$400,EL$3,'Étape 1 - à remplir'!$G$31:$G$400,"kg")))))))</f>
        <v>#N/A</v>
      </c>
      <c r="EE22" s="76">
        <f t="shared" si="53"/>
        <v>0</v>
      </c>
      <c r="EF22" t="str">
        <f t="shared" si="20"/>
        <v>Tylvalosine</v>
      </c>
      <c r="EG22" t="str">
        <f t="shared" si="21"/>
        <v/>
      </c>
      <c r="EH22" t="str">
        <f t="shared" si="22"/>
        <v/>
      </c>
      <c r="EI22" t="str">
        <f t="shared" si="23"/>
        <v>Macrolides</v>
      </c>
      <c r="EJ22" t="str">
        <f t="shared" si="24"/>
        <v/>
      </c>
      <c r="EK22" s="63" t="str">
        <f t="shared" si="25"/>
        <v/>
      </c>
      <c r="EN22" s="42">
        <v>19</v>
      </c>
      <c r="EO22" t="e">
        <f t="shared" si="68"/>
        <v>#N/A</v>
      </c>
      <c r="EP22" s="63" t="e">
        <f t="shared" si="69"/>
        <v>#N/A</v>
      </c>
      <c r="ER22" s="194" t="str">
        <f t="shared" si="26"/>
        <v/>
      </c>
      <c r="ES22" s="226" t="str">
        <f>IFERROR(IF(EU22=0,"",COUNTIF(EU$4:EU$64,"&gt;"&amp;EU22)+COUNTIF(EU$4:EU22,EU22)),"")</f>
        <v/>
      </c>
      <c r="ET22" t="str">
        <f t="shared" si="27"/>
        <v>Dihydrostreptomycine</v>
      </c>
      <c r="EU22" s="76" t="e">
        <f t="shared" si="56"/>
        <v>#N/A</v>
      </c>
      <c r="EV22">
        <v>19</v>
      </c>
      <c r="EW22" t="e">
        <f t="shared" si="57"/>
        <v>#N/A</v>
      </c>
      <c r="EX22" s="63" t="e">
        <f t="shared" si="58"/>
        <v>#N/A</v>
      </c>
      <c r="EZ22" s="14" t="str">
        <f t="shared" si="28"/>
        <v/>
      </c>
      <c r="FA22" s="14"/>
      <c r="FG22" s="76" t="str">
        <f>IFERROR(IF(FH22="","",COUNTIF(FH$18:FH$27,"&lt;"&amp;FH22)+COUNTIF(FH$18:FH22,FH22))-COUNTBLANK(FH$18:FH$27),"")</f>
        <v/>
      </c>
      <c r="FH22" s="128" t="str">
        <f t="shared" si="83"/>
        <v/>
      </c>
      <c r="FJ22" s="122" t="str">
        <f>IFERROR(IF(FK22="","",COUNTIF(FK$18:FK$27,"&lt;"&amp;FK22)+COUNTIF(FK$18:FK22,FK22))-COUNTBLANK(FK$18:FK$27),"")</f>
        <v/>
      </c>
      <c r="FK22" s="109" t="str">
        <f>IF('Étape 1 - à remplir'!G23="kg",'Étape 1 - à remplir'!E23,"")</f>
        <v/>
      </c>
      <c r="FL22" s="109" t="e">
        <f>INDEX(FJ$18:FK$27,MATCH(5,FJ$18:FJ$27,0),2)</f>
        <v>#N/A</v>
      </c>
      <c r="FM22" s="109" t="e">
        <f t="shared" si="91"/>
        <v>#N/A</v>
      </c>
      <c r="FN22" s="123" t="e">
        <f>IF(FM22="","",MAX(FN$17:FN21)+1)</f>
        <v>#N/A</v>
      </c>
      <c r="FP22" s="122" t="str">
        <f>IFERROR(IF(FQ22="","",COUNTIF(FQ$18:FQ$27,"&lt;"&amp;FQ22)+COUNTIF(FQ$18:FQ22,FQ22))-COUNTBLANK(FQ$18:FQ$27),"")</f>
        <v/>
      </c>
      <c r="FQ22" s="109" t="str">
        <f>IF('Étape 1 - à remplir'!G23="kg",'Étape 1 - à remplir'!D23,"")</f>
        <v/>
      </c>
      <c r="FR22" s="109" t="e">
        <f>INDEX(FP$18:FQ$27,MATCH(5,FP$18:FP$27,0),2)</f>
        <v>#N/A</v>
      </c>
      <c r="FS22" s="109" t="e">
        <f t="shared" si="92"/>
        <v>#N/A</v>
      </c>
      <c r="FT22" s="123" t="e">
        <f>IF(FS22="","",MAX(FT$17:FT21)+1)</f>
        <v>#N/A</v>
      </c>
    </row>
    <row r="23" spans="1:177" ht="15" thickBot="1" x14ac:dyDescent="0.35">
      <c r="A23" s="42">
        <v>8</v>
      </c>
      <c r="B23" t="e">
        <f t="shared" si="70"/>
        <v>#N/A</v>
      </c>
      <c r="C23" t="e">
        <f t="shared" si="71"/>
        <v>#N/A</v>
      </c>
      <c r="D23" s="63" t="e">
        <f t="shared" si="72"/>
        <v>#N/A</v>
      </c>
      <c r="E23" s="188"/>
      <c r="F23" s="119" t="str">
        <f>IFERROR(IF(H23="","",COUNTIF(H$4:H$23,"&gt;"&amp;H23)+COUNTIF(H$4:H23,H23)),"")</f>
        <v/>
      </c>
      <c r="G23" s="111" t="str">
        <f>Données_ATB!CG22</f>
        <v>Autres</v>
      </c>
      <c r="H23" s="115" t="e">
        <f>IF(IF(X$2="Catégorie",IF(X$3="Toutes",SUMIFS('Étape 1 - à remplir'!F$31:F$400,'Étape 1 - à remplir'!D$31:D$400,MASQ2!G23,'Étape 1 - à remplir'!G$31:G$400,"animaux"),SUMIFS('Étape 1 - à remplir'!F$31:F$400,'Étape 1 - à remplir'!D$31:D$400,MASQ2!G23,'Étape 1 - à remplir'!C$31:C$400,X$3)),IF(X$2="Âge",IF(X$3="Tous",SUMIFS('Étape 1 - à remplir'!F$31:F$400,'Étape 1 - à remplir'!D$31:D$400,MASQ2!G23,'Étape 1 - à remplir'!G$31:G$400,"animaux"),SUMIFS('Étape 1 - à remplir'!F$31:F$400,'Étape 1 - à remplir'!D$31:D$400,MASQ2!G23,'Étape 1 - à remplir'!P$31:P$400,X$3)),IF(X$2="Atelier",IF(X$3="Tous",SUMIFS('Étape 1 - à remplir'!F$31:F$400,'Étape 1 - à remplir'!D$31:D$400,MASQ2!G23,'Étape 1 - à remplir'!G$31:G$400,"animaux"),SUMIFS('Étape 1 - à remplir'!F$31:F$400,'Étape 1 - à remplir'!D$31:D$400,MASQ2!G23,'Étape 1 - à remplir'!O$31:O$400,X$3)),IF(X$2="Espèce",IF(X$3="Toutes",SUMIFS('Étape 1 - à remplir'!F$31:F$400,'Étape 1 - à remplir'!D$31:D$400,MASQ2!G23,'Étape 1 - à remplir'!G$31:G$400,"animaux"),SUMIFS('Étape 1 - à remplir'!F$31:F$400,'Étape 1 - à remplir'!D$31:D$400,MASQ2!G23,'Étape 1 - à remplir'!N$31:N$400,X$3))))))=0,NA(),IF(X$2="Catégorie",IF(X$3="Toutes",SUMIFS('Étape 1 - à remplir'!F$31:F$400,'Étape 1 - à remplir'!D$31:D$400,MASQ2!G23,'Étape 1 - à remplir'!G$31:G$400,"animaux"),SUMIFS('Étape 1 - à remplir'!F$31:F$400,'Étape 1 - à remplir'!D$31:D$400,MASQ2!G23,'Étape 1 - à remplir'!C$31:C$400,X$3)),IF(X$2="Âge",IF(X$3="Tous",SUMIFS('Étape 1 - à remplir'!F$31:F$400,'Étape 1 - à remplir'!D$31:D$400,MASQ2!G23,'Étape 1 - à remplir'!G$31:G$400,"animaux"),SUMIFS('Étape 1 - à remplir'!F$31:F$400,'Étape 1 - à remplir'!D$31:D$400,MASQ2!G23,'Étape 1 - à remplir'!P$31:P$400,X$3)),IF(X$2="Atelier",IF(X$3="Tous",SUMIFS('Étape 1 - à remplir'!F$31:F$400,'Étape 1 - à remplir'!D$31:D$400,MASQ2!G23,'Étape 1 - à remplir'!G$31:G$400,"animaux"),SUMIFS('Étape 1 - à remplir'!F$31:F$400,'Étape 1 - à remplir'!D$31:D$400,MASQ2!G23,'Étape 1 - à remplir'!O$31:O$400,X$3)),IF(X$2="Espèce",IF(X$3="Tous",SUMIFS('Étape 1 - à remplir'!F$31:F$400,'Étape 1 - à remplir'!D$31:D$400,MASQ2!G23,'Étape 1 - à remplir'!G$31:G$400,"animaux"),SUMIFS('Étape 1 - à remplir'!F$31:F$400,'Étape 1 - à remplir'!D$31:D$400,MASQ2!G23,'Étape 1 - à remplir'!N$31:N$400,X$3)))))))</f>
        <v>#N/A</v>
      </c>
      <c r="I23" s="119">
        <v>20</v>
      </c>
      <c r="J23" s="111" t="e">
        <f t="shared" si="84"/>
        <v>#N/A</v>
      </c>
      <c r="K23" s="115" t="e">
        <f t="shared" si="85"/>
        <v>#N/A</v>
      </c>
      <c r="M23" s="194" t="str">
        <f ca="1">INDEX(Données_ATB!BD:BU,MATCH(MASQ2!O23,Données_ATB!BD:BD,0),18)</f>
        <v/>
      </c>
      <c r="N23" s="14" t="str">
        <f>IFERROR(IF(Q23=0,"",COUNTIF(Q$4:Q$600,"&gt;"&amp;Q23)+COUNTIF(Q$4:Q23,Q23)),"")</f>
        <v/>
      </c>
      <c r="O23" t="str">
        <f>Données_ATB!BD22</f>
        <v>ALBIOTIC 330 MG /100 MG SOLUTION INTRAMAMMAIRE</v>
      </c>
      <c r="P23" t="e">
        <f>IF(IF(X$2="Catégorie",IF(X$3="Toutes",SUMIFS('Étape 1 - à remplir'!$F$31:$F$400,'Étape 1 - à remplir'!$E$31:$E$400,MASQ2!O23,'Étape 1 - à remplir'!$G$31:$G$400,"animaux"),SUMIFS('Étape 1 - à remplir'!$F$31:$F$400,'Étape 1 - à remplir'!$E$31:$E$400,MASQ2!O23,'Étape 1 - à remplir'!$C$31:$C$400,X$3)),IF(X$2="Âge",IF(X$3="Tous",SUMIFS('Étape 1 - à remplir'!$F$31:$F$400,'Étape 1 - à remplir'!$E$31:$E$400,MASQ2!O23,'Étape 1 - à remplir'!$G$31:$G$400,"animaux"),SUMIFS('Étape 1 - à remplir'!$F$31:$F$400,'Étape 1 - à remplir'!$E$31:$E$400,MASQ2!O23,'Étape 1 - à remplir'!$P$31:$P$400,X$3)),IF(X$2="Atelier",IF(X$3="Tous",SUMIFS('Étape 1 - à remplir'!$F$31:$F$400,'Étape 1 - à remplir'!$E$31:$E$400,MASQ2!O23,'Étape 1 - à remplir'!$G$31:$G$400,"animaux"),SUMIFS('Étape 1 - à remplir'!$F$31:$F$400,'Étape 1 - à remplir'!$E$31:$E$400,MASQ2!O23,'Étape 1 - à remplir'!$O$31:$O$400,X$3)),IF(X$2="Espèce",IF(X$3="Toutes",SUMIFS('Étape 1 - à remplir'!$F$31:$F$400,'Étape 1 - à remplir'!$E$31:$E$400,MASQ2!O23,'Étape 1 - à remplir'!$G$31:$G$400,"animaux"),SUMIFS('Étape 1 - à remplir'!$F$31:$F$400,'Étape 1 - à remplir'!$E$31:$E$400,MASQ2!O23,'Étape 1 - à remplir'!$N$31:$N$400,X$3))))))=0,NA(),IF(X$2="Catégorie",IF(X$3="Toutes",SUMIFS('Étape 1 - à remplir'!$F$31:$F$400,'Étape 1 - à remplir'!$E$31:$E$400,MASQ2!O23,'Étape 1 - à remplir'!$G$31:$G$400,"animaux"),SUMIFS('Étape 1 - à remplir'!$F$31:$F$400,'Étape 1 - à remplir'!$E$31:$E$400,MASQ2!O23,'Étape 1 - à remplir'!$C$31:$C$400,X$3)),IF(X$2="Âge",IF(X$3="Tous",SUMIFS('Étape 1 - à remplir'!$F$31:$F$400,'Étape 1 - à remplir'!$E$31:$E$400,MASQ2!O23,'Étape 1 - à remplir'!$G$31:$G$400,"animaux"),SUMIFS('Étape 1 - à remplir'!$F$31:$F$400,'Étape 1 - à remplir'!$E$31:$E$400,MASQ2!O23,'Étape 1 - à remplir'!$P$31:$P$400,X$3)),IF(X$2="Atelier",IF(X$3="Tous",SUMIFS('Étape 1 - à remplir'!$F$31:$F$400,'Étape 1 - à remplir'!$E$31:$E$400,MASQ2!O23,'Étape 1 - à remplir'!$G$31:$G$400,"animaux"),SUMIFS('Étape 1 - à remplir'!$F$31:$F$400,'Étape 1 - à remplir'!$E$31:$E$400,MASQ2!O23,'Étape 1 - à remplir'!$O$31:$O$400,X$3)),IF(X$2="Espèce",IF(X$3="Toutes",SUMIFS('Étape 1 - à remplir'!$F$31:$F$400,'Étape 1 - à remplir'!$E$31:$E$400,MASQ2!O23,'Étape 1 - à remplir'!$G$31:$G$400,"animaux"),SUMIFS('Étape 1 - à remplir'!$F$31:$F$400,'Étape 1 - à remplir'!$E$31:$E$400,MASQ2!O23,'Étape 1 - à remplir'!$N$31:$N$400,X$3)))))))</f>
        <v>#N/A</v>
      </c>
      <c r="Q23" s="63">
        <f t="shared" si="62"/>
        <v>0</v>
      </c>
      <c r="R23" t="str">
        <f>Données_ATB!BM22</f>
        <v>Lincomycine</v>
      </c>
      <c r="S23" t="str">
        <f>Données_ATB!BN22</f>
        <v>Néomycine</v>
      </c>
      <c r="T23" s="63" t="str">
        <f>Données_ATB!BO22</f>
        <v/>
      </c>
      <c r="U23" s="42" t="str">
        <f>Données_ATB!BQ22</f>
        <v>Lincosamides</v>
      </c>
      <c r="V23" t="str">
        <f>Données_ATB!BR22</f>
        <v>Aminoglycosides</v>
      </c>
      <c r="W23" s="63" t="str">
        <f>Données_ATB!BS22</f>
        <v/>
      </c>
      <c r="Z23" s="42">
        <v>20</v>
      </c>
      <c r="AA23" t="e">
        <f t="shared" si="32"/>
        <v>#N/A</v>
      </c>
      <c r="AB23" s="63" t="e">
        <f t="shared" si="33"/>
        <v>#N/A</v>
      </c>
      <c r="AD23" s="194" t="str">
        <f>IF(AF23="Colistine","x",IF(INDEX(Données_ATB!CA$3:CB$63,MATCH(AF23,Données_ATB!CA$3:CA$63,0),2)="Fluoroquinolones","x",IF(INDEX(Données_ATB!CA$3:CB$63,MATCH(AF23,Données_ATB!CA$3:CA$63,0),2)="Cephalosporines 3&amp;4G","x","")))</f>
        <v/>
      </c>
      <c r="AE23" s="219" t="str">
        <f>IFERROR(IF(AG23=0,"",COUNTIF(AG$4:AG$64,"&gt;"&amp;AG23)+COUNTIF(AG$4:AG23,AG23)),"")</f>
        <v/>
      </c>
      <c r="AF23" s="42" t="str">
        <f>Données_ATB!CA22</f>
        <v>Doxycycline</v>
      </c>
      <c r="AG23" s="63" t="e">
        <f t="shared" si="34"/>
        <v>#N/A</v>
      </c>
      <c r="AH23" s="42">
        <v>20</v>
      </c>
      <c r="AI23" t="e">
        <f t="shared" si="35"/>
        <v>#N/A</v>
      </c>
      <c r="AJ23" s="63" t="e">
        <f t="shared" si="36"/>
        <v>#N/A</v>
      </c>
      <c r="AL23" s="14" t="str">
        <f t="shared" si="86"/>
        <v/>
      </c>
      <c r="AS23" s="76" t="str">
        <f>IFERROR(IF(AT23="","",COUNTIF(AT$18:AT$27,"&lt;"&amp;AT23)+COUNTIF(AT$18:AT23,AT23))-COUNTBLANK(AT$18:AT$27),"")</f>
        <v/>
      </c>
      <c r="AT23" s="128" t="str">
        <f t="shared" si="79"/>
        <v/>
      </c>
      <c r="AV23" s="122" t="str">
        <f>IFERROR(IF(AW23="","",COUNTIF(AW$18:AW$27,"&lt;"&amp;AW23)+COUNTIF(AW$18:AW23,AW23))-COUNTBLANK(AW$18:AW$27),"")</f>
        <v/>
      </c>
      <c r="AW23" t="str">
        <f>IF('Étape 1 - à remplir'!G24="animaux",'Étape 1 - à remplir'!E24,"")</f>
        <v/>
      </c>
      <c r="AX23" s="109" t="e">
        <f>INDEX(AV$18:AW$27,MATCH(6,AV$18:AV$27,0),2)</f>
        <v>#N/A</v>
      </c>
      <c r="AY23" t="e">
        <f t="shared" si="87"/>
        <v>#N/A</v>
      </c>
      <c r="AZ23" s="123" t="e">
        <f>IF(AY23="","",MAX(AZ$17:AZ22)+1)</f>
        <v>#N/A</v>
      </c>
      <c r="BB23" s="122" t="str">
        <f>IFERROR(IF(BC23="","",COUNTIF(BC$18:BC$27,"&lt;"&amp;BC23)+COUNTIF(BC$18:BC23,BC23))-COUNTBLANK(BC$18:BC$27),"")</f>
        <v/>
      </c>
      <c r="BC23" s="76" t="str">
        <f>IF('Étape 1 - à remplir'!G24="animaux",'Étape 1 - à remplir'!D24,"")</f>
        <v/>
      </c>
      <c r="BD23" t="e">
        <f>INDEX(BB$18:BC$27,MATCH(6,BB$18:BB$27,0),2)</f>
        <v>#N/A</v>
      </c>
      <c r="BE23" s="118" t="e">
        <f t="shared" si="88"/>
        <v>#N/A</v>
      </c>
      <c r="BF23" s="123" t="e">
        <f>IF(BE23="","",MAX(BF$17:BF22)+1)</f>
        <v>#N/A</v>
      </c>
      <c r="BH23" s="42">
        <v>8</v>
      </c>
      <c r="BI23" t="e">
        <f t="shared" si="73"/>
        <v>#N/A</v>
      </c>
      <c r="BJ23" t="e">
        <f t="shared" si="74"/>
        <v>#N/A</v>
      </c>
      <c r="BK23" s="76" t="e">
        <f t="shared" si="75"/>
        <v>#N/A</v>
      </c>
      <c r="BM23" s="74" t="e">
        <f>IF(BO23="","",COUNTIF(BO$4:BO$23,"&gt;"&amp;BO23)+COUNTIF(BO$4:BO23,BO23))</f>
        <v>#N/A</v>
      </c>
      <c r="BN23" s="64" t="str">
        <f t="shared" si="4"/>
        <v>Autres</v>
      </c>
      <c r="BO23" s="77" t="e">
        <f>IF(IF(CE$2="Catégorie",IF(CE$3="Toutes",SUMIFS('Étape 1 - à remplir'!$F$31:$F$400,'Étape 1 - à remplir'!$D$31:$D$400,MASQ2!BN23,'Étape 1 - à remplir'!$G$31:$G$400,"lots"),SUMIFS('Étape 1 - à remplir'!$F$31:$F$400,'Étape 1 - à remplir'!$D$31:$D$400,MASQ2!BN23,'Étape 1 - à remplir'!$C$31:$C$400,CE$3,'Étape 1 - à remplir'!$G$31:$G$400,"lots")),IF(CE$2="Âge",IF(CE$3="Tous",SUMIFS('Étape 1 - à remplir'!$F$31:$F$400,'Étape 1 - à remplir'!$D$31:$D$400,MASQ2!BN23,'Étape 1 - à remplir'!$G$31:$G$400,"lots"),SUMIFS('Étape 1 - à remplir'!$F$31:$F$400,'Étape 1 - à remplir'!$D$31:$D$400,MASQ2!BN23,'Étape 1 - à remplir'!$P$31:$P$400,CE$3,'Étape 1 - à remplir'!$G$31:$G$400,"lots")),IF(CE$2="Atelier",IF(CE$3="Tous",SUMIFS('Étape 1 - à remplir'!$F$31:$F$400,'Étape 1 - à remplir'!$D$31:$D$400,MASQ2!BN23,'Étape 1 - à remplir'!$G$31:$G$400,"lots"),SUMIFS('Étape 1 - à remplir'!$F$31:$F$400,'Étape 1 - à remplir'!$D$31:$D$400,MASQ2!BN23,'Étape 1 - à remplir'!$O$31:$O$400,CE$3,'Étape 1 - à remplir'!$G$31:$G$400,"lots")),IF(CE$2="Espèce",IF(CE$3="Toutes",SUMIFS('Étape 1 - à remplir'!$F$31:$F$400,'Étape 1 - à remplir'!$D$31:$D$400,MASQ2!BN23,'Étape 1 - à remplir'!$G$31:$G$400,"lots"),SUMIFS('Étape 1 - à remplir'!$F$31:$F$400,'Étape 1 - à remplir'!$D$31:$D$400,MASQ2!BN23,'Étape 1 - à remplir'!$N$31:$N$400,CE$3,'Étape 1 - à remplir'!$G$31:$G$400,"lots"))))))=0,NA(),IF(CE$2="Catégorie",IF(CE$3="Toutes",SUMIFS('Étape 1 - à remplir'!$F$31:$F$400,'Étape 1 - à remplir'!$D$31:$D$400,MASQ2!BN23,'Étape 1 - à remplir'!$G$31:$G$400,"lots"),SUMIFS('Étape 1 - à remplir'!$F$31:$F$400,'Étape 1 - à remplir'!$D$31:$D$400,MASQ2!BN23,'Étape 1 - à remplir'!$C$31:$C$400,CE$3,'Étape 1 - à remplir'!$G$31:$G$400,"lots")),IF(CE$2="Âge",IF(CE$3="Tous",SUMIFS('Étape 1 - à remplir'!$F$31:$F$400,'Étape 1 - à remplir'!$D$31:$D$400,MASQ2!BN23,'Étape 1 - à remplir'!$G$31:$G$400,"lots"),SUMIFS('Étape 1 - à remplir'!$F$31:$F$400,'Étape 1 - à remplir'!$D$31:$D$400,MASQ2!BN23,'Étape 1 - à remplir'!$P$31:$P$400,CE$3,'Étape 1 - à remplir'!$G$31:$G$400,"lots")),IF(CE$2="Atelier",IF(CE$3="Tous",SUMIFS('Étape 1 - à remplir'!$F$31:$F$400,'Étape 1 - à remplir'!$D$31:$D$400,MASQ2!BN23,'Étape 1 - à remplir'!$G$31:$G$400,"lots"),SUMIFS('Étape 1 - à remplir'!$F$31:$F$400,'Étape 1 - à remplir'!$D$31:$D$400,MASQ2!BN23,'Étape 1 - à remplir'!$O$31:$O$400,CE$3,'Étape 1 - à remplir'!$G$31:$G$400,"lots")),IF(CE$2="Espèce",IF(CE$3="Toutes",SUMIFS('Étape 1 - à remplir'!$F$31:$F$400,'Étape 1 - à remplir'!$D$31:$D$400,MASQ2!BN23,'Étape 1 - à remplir'!$G$31:$G$400,"lots"),SUMIFS('Étape 1 - à remplir'!$F$31:$F$400,'Étape 1 - à remplir'!$D$31:$D$400,MASQ2!BN23,'Étape 1 - à remplir'!$N$31:$N$400,CE$3,'Étape 1 - à remplir'!$G$31:$G$400,"lots")))))))</f>
        <v>#N/A</v>
      </c>
      <c r="BP23" s="64">
        <v>20</v>
      </c>
      <c r="BQ23" s="64" t="e">
        <f>INDEX(BM$4:BO$23,MATCH(BP23,BM$4:BM$23,0),2)</f>
        <v>#N/A</v>
      </c>
      <c r="BR23" s="65" t="e">
        <f>INDEX(BM$4:BO$23,MATCH(BP23,BM$4:BM$23,0),3)</f>
        <v>#N/A</v>
      </c>
      <c r="BT23" s="194" t="str">
        <f t="shared" ca="1" si="5"/>
        <v/>
      </c>
      <c r="BU23" s="219" t="str">
        <f>IFERROR(IF(BX23=0,"",COUNTIF(BX$4:BX$600,"&gt;"&amp;BX23)+COUNTIF(BX$4:BX23,BX23)),"")</f>
        <v/>
      </c>
      <c r="BV23" s="42" t="str">
        <f t="shared" si="6"/>
        <v>ALBIOTIC 330 MG /100 MG SOLUTION INTRAMAMMAIRE</v>
      </c>
      <c r="BW23" t="e">
        <f>IF(IF(CE$2="Catégorie",IF(CE$3="Toutes",SUMIFS('Étape 1 - à remplir'!$F$31:$F$400,'Étape 1 - à remplir'!$E$31:$E$400,MASQ2!BV23,'Étape 1 - à remplir'!$G$31:$G$400,"lots"),SUMIFS('Étape 1 - à remplir'!$F$31:$F$400,'Étape 1 - à remplir'!$E$31:$E$400,MASQ2!BV23,'Étape 1 - à remplir'!$C$31:$C$400,CE$3)),IF(CE$2="Âge",IF(CE$3="Tous",SUMIFS('Étape 1 - à remplir'!$F$31:$F$400,'Étape 1 - à remplir'!$E$31:$E$400,MASQ2!BV23,'Étape 1 - à remplir'!$G$31:$G$400,"lots"),SUMIFS('Étape 1 - à remplir'!$F$31:$F$400,'Étape 1 - à remplir'!$E$31:$E$400,MASQ2!BV23,'Étape 1 - à remplir'!$P$31:$P$400,CE$3,'Étape 1 - à remplir'!$G$31:$G$400,"lots")),IF(CE$2="Atelier",IF(CE$3="Tous",SUMIFS('Étape 1 - à remplir'!$F$31:$F$400,'Étape 1 - à remplir'!$E$31:$E$400,MASQ2!BV23,'Étape 1 - à remplir'!$G$31:$G$400,"lots"),SUMIFS('Étape 1 - à remplir'!$F$31:$F$400,'Étape 1 - à remplir'!$E$31:$E$400,MASQ2!BV23,'Étape 1 - à remplir'!$O$31:$O$400,CE$3,'Étape 1 - à remplir'!$G$31:$G$400,"lots")),IF(CE$2="Espèce",IF(CE$3="Toutes",SUMIFS('Étape 1 - à remplir'!$F$31:$F$400,'Étape 1 - à remplir'!$E$31:$E$400,MASQ2!BV23,'Étape 1 - à remplir'!$G$31:$G$400,"lots"),SUMIFS('Étape 1 - à remplir'!$F$31:$F$400,'Étape 1 - à remplir'!$E$31:$E$400,MASQ2!BV23,'Étape 1 - à remplir'!$N$31:$N$400,CE$3,'Étape 1 - à remplir'!$G$31:$G$400,"lots"))))))=0,NA(),IF(CE$2="Catégorie",IF(CE$3="Toutes",SUMIFS('Étape 1 - à remplir'!$F$31:$F$400,'Étape 1 - à remplir'!$E$31:$E$400,MASQ2!BV23,'Étape 1 - à remplir'!$G$31:$G$400,"lots"),SUMIFS('Étape 1 - à remplir'!$F$31:$F$400,'Étape 1 - à remplir'!$E$31:$E$400,MASQ2!BV23,'Étape 1 - à remplir'!$C$31:$C$400,CE$3)),IF(CE$2="Âge",IF(CE$3="Tous",SUMIFS('Étape 1 - à remplir'!$F$31:$F$400,'Étape 1 - à remplir'!$E$31:$E$400,MASQ2!BV23,'Étape 1 - à remplir'!$G$31:$G$400,"lots"),SUMIFS('Étape 1 - à remplir'!$F$31:$F$400,'Étape 1 - à remplir'!$E$31:$E$400,MASQ2!BV23,'Étape 1 - à remplir'!$P$31:$P$400,CE$3,'Étape 1 - à remplir'!$G$31:$G$400,"lots")),IF(CE$2="Atelier",IF(CE$3="Tous",SUMIFS('Étape 1 - à remplir'!$F$31:$F$400,'Étape 1 - à remplir'!$E$31:$E$400,MASQ2!BV23,'Étape 1 - à remplir'!$G$31:$G$400,"lots"),SUMIFS('Étape 1 - à remplir'!$F$31:$F$400,'Étape 1 - à remplir'!$E$31:$E$400,MASQ2!BV23,'Étape 1 - à remplir'!$O$31:$O$400,CE$3,'Étape 1 - à remplir'!$G$31:$G$400,"lots")),IF(CE$2="Espèce",IF(CE$3="Toutes",SUMIFS('Étape 1 - à remplir'!$F$31:$F$400,'Étape 1 - à remplir'!$E$31:$E$400,MASQ2!BV23,'Étape 1 - à remplir'!$G$31:$G$400,"lots"),SUMIFS('Étape 1 - à remplir'!$F$31:$F$400,'Étape 1 - à remplir'!$E$31:$E$400,MASQ2!BV23,'Étape 1 - à remplir'!$N$31:$N$400,CE$3,'Étape 1 - à remplir'!$G$31:$G$400,"lots")))))))</f>
        <v>#N/A</v>
      </c>
      <c r="BX23">
        <f t="shared" si="42"/>
        <v>0</v>
      </c>
      <c r="BY23" t="str">
        <f t="shared" si="7"/>
        <v>Lincomycine</v>
      </c>
      <c r="BZ23" t="str">
        <f t="shared" si="8"/>
        <v>Néomycine</v>
      </c>
      <c r="CA23" t="str">
        <f t="shared" si="9"/>
        <v/>
      </c>
      <c r="CB23" t="str">
        <f t="shared" si="10"/>
        <v>Lincosamides</v>
      </c>
      <c r="CC23" t="str">
        <f t="shared" si="11"/>
        <v>Aminoglycosides</v>
      </c>
      <c r="CD23" s="63" t="str">
        <f t="shared" si="12"/>
        <v/>
      </c>
      <c r="CG23" s="42">
        <v>20</v>
      </c>
      <c r="CH23" s="42" t="e">
        <f t="shared" si="80"/>
        <v>#N/A</v>
      </c>
      <c r="CI23" s="63" t="e">
        <f t="shared" si="81"/>
        <v>#N/A</v>
      </c>
      <c r="CK23" s="194" t="str">
        <f t="shared" si="13"/>
        <v/>
      </c>
      <c r="CL23" s="226" t="str">
        <f>IFERROR(IF(CN23=0,"",COUNTIF(CN$4:CN$64,"&gt;"&amp;CN23)+COUNTIF(CN$4:CN23,CN23)),"")</f>
        <v/>
      </c>
      <c r="CM23" t="str">
        <f t="shared" si="14"/>
        <v>Doxycycline</v>
      </c>
      <c r="CN23" s="76" t="e">
        <f t="shared" si="45"/>
        <v>#N/A</v>
      </c>
      <c r="CO23">
        <v>20</v>
      </c>
      <c r="CP23" t="e">
        <f t="shared" si="46"/>
        <v>#N/A</v>
      </c>
      <c r="CQ23" s="63" t="e">
        <f t="shared" si="47"/>
        <v>#N/A</v>
      </c>
      <c r="CS23" s="14" t="str">
        <f t="shared" si="15"/>
        <v/>
      </c>
      <c r="CT23" s="14"/>
      <c r="CU23" s="14"/>
      <c r="CZ23" s="76" t="str">
        <f>IFERROR(IF(DA23="","",COUNTIF(DA$18:DA$27,"&lt;"&amp;DA23)+COUNTIF(DA$18:DA23,DA23))-COUNTBLANK(DA$18:DA$27),"")</f>
        <v/>
      </c>
      <c r="DA23" s="128" t="str">
        <f t="shared" si="82"/>
        <v/>
      </c>
      <c r="DC23" s="122" t="str">
        <f>IFERROR(IF(DD23="","",COUNTIF(DD$18:DD$27,"&lt;"&amp;DD23)+COUNTIF(DD$18:DD23,DD23))-COUNTBLANK(DD$18:DD$27),"")</f>
        <v/>
      </c>
      <c r="DD23" s="109" t="str">
        <f>IF('Étape 1 - à remplir'!G24="lots",'Étape 1 - à remplir'!E24,"")</f>
        <v/>
      </c>
      <c r="DE23" s="109" t="e">
        <f>INDEX(DC$18:DD$27,MATCH(6,DC$18:DC$27,0),2)</f>
        <v>#N/A</v>
      </c>
      <c r="DF23" s="109" t="e">
        <f t="shared" si="89"/>
        <v>#N/A</v>
      </c>
      <c r="DG23" s="123" t="e">
        <f>IF(DF23="","",MAX(DG$17:DG22)+1)</f>
        <v>#N/A</v>
      </c>
      <c r="DI23" s="122" t="str">
        <f>IFERROR(IF(DJ23="","",COUNTIF(DJ$18:DJ$27,"&lt;"&amp;DJ23)+COUNTIF(DJ$18:DJ23,DJ23))-COUNTBLANK(DJ$18:DJ$27),"")</f>
        <v/>
      </c>
      <c r="DJ23" s="109" t="str">
        <f>IF('Étape 1 - à remplir'!G24="lots",'Étape 1 - à remplir'!D24,"")</f>
        <v/>
      </c>
      <c r="DK23" s="109" t="e">
        <f>INDEX(DI$18:DJ$27,MATCH(6,DI$18:DI$27,0),2)</f>
        <v>#N/A</v>
      </c>
      <c r="DL23" s="109" t="e">
        <f t="shared" si="90"/>
        <v>#N/A</v>
      </c>
      <c r="DM23" s="123" t="e">
        <f>IF(DL23="","",MAX(DM$17:DM22)+1)</f>
        <v>#N/A</v>
      </c>
      <c r="DO23" s="42">
        <v>8</v>
      </c>
      <c r="DP23" t="e">
        <f t="shared" si="76"/>
        <v>#N/A</v>
      </c>
      <c r="DQ23" t="e">
        <f t="shared" si="77"/>
        <v>#N/A</v>
      </c>
      <c r="DR23" s="63" t="e">
        <f t="shared" si="78"/>
        <v>#N/A</v>
      </c>
      <c r="DT23" s="74" t="e">
        <f>IF(DV23="","",COUNTIF(DV$4:DV$23,"&gt;"&amp;DV23)+COUNTIF(DV$4:DV23,DV23))</f>
        <v>#N/A</v>
      </c>
      <c r="DU23" s="64" t="str">
        <f t="shared" si="17"/>
        <v>Autres</v>
      </c>
      <c r="DV23" s="65" t="e">
        <f>IF(IF(EL$2="Catégorie",IF(EL$3="Toutes",SUMIFS('Étape 1 - à remplir'!$F$31:$F$400,'Étape 1 - à remplir'!$D$31:$D$400,MASQ2!DU23,'Étape 1 - à remplir'!$G$31:$G$400,"kg"),SUMIFS('Étape 1 - à remplir'!$F$31:$F$400,'Étape 1 - à remplir'!$D$31:$D$400,MASQ2!DU23,'Étape 1 - à remplir'!$C$31:$C$400,EL$3,'Étape 1 - à remplir'!$G$31:$G$400,"kg")),IF(EL$2="Âge",IF(EL$3="Tous",SUMIFS('Étape 1 - à remplir'!$F$31:$F$400,'Étape 1 - à remplir'!$D$31:$D$400,MASQ2!DU23,'Étape 1 - à remplir'!$G$31:$G$400,"kg"),SUMIFS('Étape 1 - à remplir'!$F$31:$F$400,'Étape 1 - à remplir'!$D$31:$D$400,MASQ2!DU23,'Étape 1 - à remplir'!$P$31:$P$400,EL$3,'Étape 1 - à remplir'!$G$31:$G$400,"kg")),IF(EL$2="Atelier",IF(EL$3="Tous",SUMIFS('Étape 1 - à remplir'!$F$31:$F$400,'Étape 1 - à remplir'!$D$31:$D$400,MASQ2!DU23,'Étape 1 - à remplir'!$G$31:$G$400,"kg"),SUMIFS('Étape 1 - à remplir'!$F$31:$F$400,'Étape 1 - à remplir'!$D$31:$D$400,MASQ2!DU23,'Étape 1 - à remplir'!$O$31:$O$400,EL$3,'Étape 1 - à remplir'!$G$31:$G$400,"kg")),IF(EL$2="Espèce",IF(EL$3="Toutes",SUMIFS('Étape 1 - à remplir'!$F$31:$F$400,'Étape 1 - à remplir'!$D$31:$D$400,MASQ2!DU23,'Étape 1 - à remplir'!$G$31:$G$400,"kg"),SUMIFS('Étape 1 - à remplir'!$F$31:$F$400,'Étape 1 - à remplir'!$D$31:$D$400,MASQ2!DU23,'Étape 1 - à remplir'!$N$31:$N$400,EL$3,'Étape 1 - à remplir'!$G$31:$G$400,"kg"))))))=0,NA(),IF(EL$2="Catégorie",IF(EL$3="Toutes",SUMIFS('Étape 1 - à remplir'!$F$31:$F$400,'Étape 1 - à remplir'!$D$31:$D$400,MASQ2!DU23,'Étape 1 - à remplir'!$G$31:$G$400,"kg"),SUMIFS('Étape 1 - à remplir'!$F$31:$F$400,'Étape 1 - à remplir'!$D$31:$D$400,MASQ2!DU23,'Étape 1 - à remplir'!$C$31:$C$400,EL$3,'Étape 1 - à remplir'!$G$31:$G$400,"kg")),IF(EL$2="Âge",IF(EL$3="Tous",SUMIFS('Étape 1 - à remplir'!$F$31:$F$400,'Étape 1 - à remplir'!$D$31:$D$400,MASQ2!DU23,'Étape 1 - à remplir'!$G$31:$G$400,"kg"),SUMIFS('Étape 1 - à remplir'!$F$31:$F$400,'Étape 1 - à remplir'!$D$31:$D$400,MASQ2!DU23,'Étape 1 - à remplir'!$P$31:$P$400,EL$3,'Étape 1 - à remplir'!$G$31:$G$400,"kg")),IF(EL$2="Atelier",IF(EL$3="Tous",SUMIFS('Étape 1 - à remplir'!$F$31:$F$400,'Étape 1 - à remplir'!$D$31:$D$400,MASQ2!DU23,'Étape 1 - à remplir'!$G$31:$G$400,"kg"),SUMIFS('Étape 1 - à remplir'!$F$31:$F$400,'Étape 1 - à remplir'!$D$31:$D$400,MASQ2!DU23,'Étape 1 - à remplir'!$O$31:$O$400,EL$3,'Étape 1 - à remplir'!$G$31:$G$400,"kg")),IF(EL$2="Espèce",IF(EL$3="Toutes",SUMIFS('Étape 1 - à remplir'!$F$31:$F$400,'Étape 1 - à remplir'!$D$31:$D$400,MASQ2!DU23,'Étape 1 - à remplir'!$G$31:$G$400,"kg"),SUMIFS('Étape 1 - à remplir'!$F$31:$F$400,'Étape 1 - à remplir'!$D$31:$D$400,MASQ2!DU23,'Étape 1 - à remplir'!$N$31:$N$400,EL$3,'Étape 1 - à remplir'!$G$31:$G$400,"kg")))))))</f>
        <v>#N/A</v>
      </c>
      <c r="DW23" s="74">
        <v>20</v>
      </c>
      <c r="DX23" s="64" t="e">
        <f t="shared" si="51"/>
        <v>#N/A</v>
      </c>
      <c r="DY23" s="65" t="e">
        <f t="shared" si="52"/>
        <v>#N/A</v>
      </c>
      <c r="EA23" s="194" t="str">
        <f t="shared" ca="1" si="18"/>
        <v/>
      </c>
      <c r="EB23" s="226" t="str">
        <f>IFERROR(IF(ED23=0,"",COUNTIF(ED$4:ED$600,"&gt;"&amp;ED23)+COUNTIF(ED$4:ED23,ED23)),"")</f>
        <v/>
      </c>
      <c r="EC23" t="str">
        <f t="shared" si="19"/>
        <v>ALBIOTIC 330 MG /100 MG SOLUTION INTRAMAMMAIRE</v>
      </c>
      <c r="ED23" t="e">
        <f>IF(IF(EL$2="Catégorie",IF(EL$3="Toutes",SUMIFS('Étape 1 - à remplir'!$F$31:$F$400,'Étape 1 - à remplir'!$E$31:$E$400,MASQ2!EC23,'Étape 1 - à remplir'!$G$31:$G$400,"kg"),SUMIFS('Étape 1 - à remplir'!$F$31:$F$400,'Étape 1 - à remplir'!$E$31:$E$400,MASQ2!EC23,'Étape 1 - à remplir'!$C$31:$C$400,EL$3)),IF(EL$2="Âge",IF(EL$3="Tous",SUMIFS('Étape 1 - à remplir'!$F$31:$F$400,'Étape 1 - à remplir'!$E$31:$E$400,MASQ2!EC23,'Étape 1 - à remplir'!$G$31:$G$400,"kg"),SUMIFS('Étape 1 - à remplir'!$F$31:$F$400,'Étape 1 - à remplir'!$E$31:$E$400,MASQ2!EC23,'Étape 1 - à remplir'!$P$31:$P$400,EL$3,'Étape 1 - à remplir'!$G$31:$G$400,"kg")),IF(EL$2="Atelier",IF(EL$3="Tous",SUMIFS('Étape 1 - à remplir'!$F$31:$F$400,'Étape 1 - à remplir'!$E$31:$E$400,MASQ2!EC23,'Étape 1 - à remplir'!$G$31:$G$400,"kg"),SUMIFS('Étape 1 - à remplir'!$F$31:$F$400,'Étape 1 - à remplir'!$E$31:$E$400,MASQ2!EC23,'Étape 1 - à remplir'!$O$31:$O$400,EL$3,'Étape 1 - à remplir'!$G$31:$G$400,"kg")),IF(EL$2="Espèce",IF(EL$3="Toutes",SUMIFS('Étape 1 - à remplir'!$F$31:$F$400,'Étape 1 - à remplir'!$E$31:$E$400,MASQ2!EC23,'Étape 1 - à remplir'!$G$31:$G$400,"kg"),SUMIFS('Étape 1 - à remplir'!$F$31:$F$400,'Étape 1 - à remplir'!$E$31:$E$400,MASQ2!EC23,'Étape 1 - à remplir'!$N$31:$N$400,EL$3,'Étape 1 - à remplir'!$G$31:$G$400,"kg"))))))=0,NA(),IF(EL$2="Catégorie",IF(EL$3="Toutes",SUMIFS('Étape 1 - à remplir'!$F$31:$F$400,'Étape 1 - à remplir'!$E$31:$E$400,MASQ2!EC23,'Étape 1 - à remplir'!$G$31:$G$400,"kg"),SUMIFS('Étape 1 - à remplir'!$F$31:$F$400,'Étape 1 - à remplir'!$E$31:$E$400,MASQ2!EC23,'Étape 1 - à remplir'!$C$31:$C$400,EL$3)),IF(EL$2="Âge",IF(EL$3="Tous",SUMIFS('Étape 1 - à remplir'!$F$31:$F$400,'Étape 1 - à remplir'!$E$31:$E$400,MASQ2!EC23,'Étape 1 - à remplir'!$G$31:$G$400,"kg"),SUMIFS('Étape 1 - à remplir'!$F$31:$F$400,'Étape 1 - à remplir'!$E$31:$E$400,MASQ2!EC23,'Étape 1 - à remplir'!$P$31:$P$400,EL$3,'Étape 1 - à remplir'!$G$31:$G$400,"kg")),IF(EL$2="Atelier",IF(EL$3="Tous",SUMIFS('Étape 1 - à remplir'!$F$31:$F$400,'Étape 1 - à remplir'!$E$31:$E$400,MASQ2!EC23,'Étape 1 - à remplir'!$G$31:$G$400,"kg"),SUMIFS('Étape 1 - à remplir'!$F$31:$F$400,'Étape 1 - à remplir'!$E$31:$E$400,MASQ2!EC23,'Étape 1 - à remplir'!$O$31:$O$400,EL$3,'Étape 1 - à remplir'!$G$31:$G$400,"kg")),IF(EL$2="Espèce",IF(EL$3="Toutes",SUMIFS('Étape 1 - à remplir'!$F$31:$F$400,'Étape 1 - à remplir'!$E$31:$E$400,MASQ2!EC23,'Étape 1 - à remplir'!$G$31:$G$400,"kg"),SUMIFS('Étape 1 - à remplir'!$F$31:$F$400,'Étape 1 - à remplir'!$E$31:$E$400,MASQ2!EC23,'Étape 1 - à remplir'!$N$31:$N$400,EL$3,'Étape 1 - à remplir'!$G$31:$G$400,"kg")))))))</f>
        <v>#N/A</v>
      </c>
      <c r="EE23" s="76">
        <f t="shared" si="53"/>
        <v>0</v>
      </c>
      <c r="EF23" t="str">
        <f t="shared" si="20"/>
        <v>Lincomycine</v>
      </c>
      <c r="EG23" t="str">
        <f t="shared" si="21"/>
        <v>Néomycine</v>
      </c>
      <c r="EH23" t="str">
        <f t="shared" si="22"/>
        <v/>
      </c>
      <c r="EI23" t="str">
        <f t="shared" si="23"/>
        <v>Lincosamides</v>
      </c>
      <c r="EJ23" t="str">
        <f t="shared" si="24"/>
        <v>Aminoglycosides</v>
      </c>
      <c r="EK23" s="63" t="str">
        <f t="shared" si="25"/>
        <v/>
      </c>
      <c r="EN23" s="42">
        <v>20</v>
      </c>
      <c r="EO23" t="e">
        <f t="shared" si="68"/>
        <v>#N/A</v>
      </c>
      <c r="EP23" s="63" t="e">
        <f t="shared" si="69"/>
        <v>#N/A</v>
      </c>
      <c r="ER23" s="194" t="str">
        <f t="shared" si="26"/>
        <v/>
      </c>
      <c r="ES23" s="226" t="str">
        <f>IFERROR(IF(EU23=0,"",COUNTIF(EU$4:EU$64,"&gt;"&amp;EU23)+COUNTIF(EU$4:EU23,EU23)),"")</f>
        <v/>
      </c>
      <c r="ET23" t="str">
        <f t="shared" si="27"/>
        <v>Doxycycline</v>
      </c>
      <c r="EU23" s="76" t="e">
        <f t="shared" si="56"/>
        <v>#N/A</v>
      </c>
      <c r="EV23">
        <v>20</v>
      </c>
      <c r="EW23" t="e">
        <f t="shared" si="57"/>
        <v>#N/A</v>
      </c>
      <c r="EX23" s="63" t="e">
        <f t="shared" si="58"/>
        <v>#N/A</v>
      </c>
      <c r="EZ23" s="14" t="str">
        <f t="shared" si="28"/>
        <v/>
      </c>
      <c r="FA23" s="14"/>
      <c r="FG23" s="76" t="str">
        <f>IFERROR(IF(FH23="","",COUNTIF(FH$18:FH$27,"&lt;"&amp;FH23)+COUNTIF(FH$18:FH23,FH23))-COUNTBLANK(FH$18:FH$27),"")</f>
        <v/>
      </c>
      <c r="FH23" s="128" t="str">
        <f t="shared" si="83"/>
        <v/>
      </c>
      <c r="FJ23" s="122" t="str">
        <f>IFERROR(IF(FK23="","",COUNTIF(FK$18:FK$27,"&lt;"&amp;FK23)+COUNTIF(FK$18:FK23,FK23))-COUNTBLANK(FK$18:FK$27),"")</f>
        <v/>
      </c>
      <c r="FK23" s="109" t="str">
        <f>IF('Étape 1 - à remplir'!G24="kg",'Étape 1 - à remplir'!E24,"")</f>
        <v/>
      </c>
      <c r="FL23" s="109" t="e">
        <f>INDEX(FJ$18:FK$27,MATCH(6,FJ$18:FJ$27,0),2)</f>
        <v>#N/A</v>
      </c>
      <c r="FM23" s="109" t="e">
        <f t="shared" si="91"/>
        <v>#N/A</v>
      </c>
      <c r="FN23" s="123" t="e">
        <f>IF(FM23="","",MAX(FN$17:FN22)+1)</f>
        <v>#N/A</v>
      </c>
      <c r="FP23" s="122" t="str">
        <f>IFERROR(IF(FQ23="","",COUNTIF(FQ$18:FQ$27,"&lt;"&amp;FQ23)+COUNTIF(FQ$18:FQ23,FQ23))-COUNTBLANK(FQ$18:FQ$27),"")</f>
        <v/>
      </c>
      <c r="FQ23" s="109" t="str">
        <f>IF('Étape 1 - à remplir'!G24="kg",'Étape 1 - à remplir'!D24,"")</f>
        <v/>
      </c>
      <c r="FR23" s="109" t="e">
        <f>INDEX(FP$18:FQ$27,MATCH(6,FP$18:FP$27,0),2)</f>
        <v>#N/A</v>
      </c>
      <c r="FS23" s="109" t="e">
        <f t="shared" si="92"/>
        <v>#N/A</v>
      </c>
      <c r="FT23" s="123" t="e">
        <f>IF(FS23="","",MAX(FT$17:FT22)+1)</f>
        <v>#N/A</v>
      </c>
    </row>
    <row r="24" spans="1:177" x14ac:dyDescent="0.3">
      <c r="A24" s="42">
        <v>9</v>
      </c>
      <c r="B24" t="e">
        <f t="shared" si="70"/>
        <v>#N/A</v>
      </c>
      <c r="C24" t="e">
        <f t="shared" si="71"/>
        <v>#N/A</v>
      </c>
      <c r="D24" s="63" t="e">
        <f t="shared" si="72"/>
        <v>#N/A</v>
      </c>
      <c r="E24" s="188"/>
      <c r="F24" s="188"/>
      <c r="M24" s="194" t="str">
        <f ca="1">INDEX(Données_ATB!BD:BU,MATCH(MASQ2!O24,Données_ATB!BD:BD,0),18)</f>
        <v>x</v>
      </c>
      <c r="N24" s="14" t="str">
        <f>IFERROR(IF(Q24=0,"",COUNTIF(Q$4:Q$600,"&gt;"&amp;Q24)+COUNTIF(Q$4:Q24,Q24)),"")</f>
        <v/>
      </c>
      <c r="O24" t="str">
        <f>Données_ATB!BD23</f>
        <v>ALLEGROCINE</v>
      </c>
      <c r="P24" t="e">
        <f>IF(IF(X$2="Catégorie",IF(X$3="Toutes",SUMIFS('Étape 1 - à remplir'!$F$31:$F$400,'Étape 1 - à remplir'!$E$31:$E$400,MASQ2!O24,'Étape 1 - à remplir'!$G$31:$G$400,"animaux"),SUMIFS('Étape 1 - à remplir'!$F$31:$F$400,'Étape 1 - à remplir'!$E$31:$E$400,MASQ2!O24,'Étape 1 - à remplir'!$C$31:$C$400,X$3)),IF(X$2="Âge",IF(X$3="Tous",SUMIFS('Étape 1 - à remplir'!$F$31:$F$400,'Étape 1 - à remplir'!$E$31:$E$400,MASQ2!O24,'Étape 1 - à remplir'!$G$31:$G$400,"animaux"),SUMIFS('Étape 1 - à remplir'!$F$31:$F$400,'Étape 1 - à remplir'!$E$31:$E$400,MASQ2!O24,'Étape 1 - à remplir'!$P$31:$P$400,X$3)),IF(X$2="Atelier",IF(X$3="Tous",SUMIFS('Étape 1 - à remplir'!$F$31:$F$400,'Étape 1 - à remplir'!$E$31:$E$400,MASQ2!O24,'Étape 1 - à remplir'!$G$31:$G$400,"animaux"),SUMIFS('Étape 1 - à remplir'!$F$31:$F$400,'Étape 1 - à remplir'!$E$31:$E$400,MASQ2!O24,'Étape 1 - à remplir'!$O$31:$O$400,X$3)),IF(X$2="Espèce",IF(X$3="Toutes",SUMIFS('Étape 1 - à remplir'!$F$31:$F$400,'Étape 1 - à remplir'!$E$31:$E$400,MASQ2!O24,'Étape 1 - à remplir'!$G$31:$G$400,"animaux"),SUMIFS('Étape 1 - à remplir'!$F$31:$F$400,'Étape 1 - à remplir'!$E$31:$E$400,MASQ2!O24,'Étape 1 - à remplir'!$N$31:$N$400,X$3))))))=0,NA(),IF(X$2="Catégorie",IF(X$3="Toutes",SUMIFS('Étape 1 - à remplir'!$F$31:$F$400,'Étape 1 - à remplir'!$E$31:$E$400,MASQ2!O24,'Étape 1 - à remplir'!$G$31:$G$400,"animaux"),SUMIFS('Étape 1 - à remplir'!$F$31:$F$400,'Étape 1 - à remplir'!$E$31:$E$400,MASQ2!O24,'Étape 1 - à remplir'!$C$31:$C$400,X$3)),IF(X$2="Âge",IF(X$3="Tous",SUMIFS('Étape 1 - à remplir'!$F$31:$F$400,'Étape 1 - à remplir'!$E$31:$E$400,MASQ2!O24,'Étape 1 - à remplir'!$G$31:$G$400,"animaux"),SUMIFS('Étape 1 - à remplir'!$F$31:$F$400,'Étape 1 - à remplir'!$E$31:$E$400,MASQ2!O24,'Étape 1 - à remplir'!$P$31:$P$400,X$3)),IF(X$2="Atelier",IF(X$3="Tous",SUMIFS('Étape 1 - à remplir'!$F$31:$F$400,'Étape 1 - à remplir'!$E$31:$E$400,MASQ2!O24,'Étape 1 - à remplir'!$G$31:$G$400,"animaux"),SUMIFS('Étape 1 - à remplir'!$F$31:$F$400,'Étape 1 - à remplir'!$E$31:$E$400,MASQ2!O24,'Étape 1 - à remplir'!$O$31:$O$400,X$3)),IF(X$2="Espèce",IF(X$3="Toutes",SUMIFS('Étape 1 - à remplir'!$F$31:$F$400,'Étape 1 - à remplir'!$E$31:$E$400,MASQ2!O24,'Étape 1 - à remplir'!$G$31:$G$400,"animaux"),SUMIFS('Étape 1 - à remplir'!$F$31:$F$400,'Étape 1 - à remplir'!$E$31:$E$400,MASQ2!O24,'Étape 1 - à remplir'!$N$31:$N$400,X$3)))))))</f>
        <v>#N/A</v>
      </c>
      <c r="Q24" s="63">
        <f t="shared" si="62"/>
        <v>0</v>
      </c>
      <c r="R24" t="str">
        <f>Données_ATB!BM23</f>
        <v>Ampicilline</v>
      </c>
      <c r="S24" t="str">
        <f>Données_ATB!BN23</f>
        <v>Colistine</v>
      </c>
      <c r="T24" s="63" t="str">
        <f>Données_ATB!BO23</f>
        <v/>
      </c>
      <c r="U24" s="42" t="str">
        <f>Données_ATB!BQ23</f>
        <v>Penicillines</v>
      </c>
      <c r="V24" t="str">
        <f>Données_ATB!BR23</f>
        <v>Polypeptides</v>
      </c>
      <c r="W24" s="63" t="str">
        <f>Données_ATB!BS23</f>
        <v/>
      </c>
      <c r="Z24" s="42">
        <v>21</v>
      </c>
      <c r="AA24" t="e">
        <f t="shared" si="32"/>
        <v>#N/A</v>
      </c>
      <c r="AB24" s="63" t="e">
        <f t="shared" si="33"/>
        <v>#N/A</v>
      </c>
      <c r="AD24" s="194" t="str">
        <f>IF(AF24="Colistine","x",IF(INDEX(Données_ATB!CA$3:CB$63,MATCH(AF24,Données_ATB!CA$3:CA$63,0),2)="Fluoroquinolones","x",IF(INDEX(Données_ATB!CA$3:CB$63,MATCH(AF24,Données_ATB!CA$3:CA$63,0),2)="Cephalosporines 3&amp;4G","x","")))</f>
        <v>x</v>
      </c>
      <c r="AE24" s="219" t="str">
        <f>IFERROR(IF(AG24=0,"",COUNTIF(AG$4:AG$64,"&gt;"&amp;AG24)+COUNTIF(AG$4:AG24,AG24)),"")</f>
        <v/>
      </c>
      <c r="AF24" s="42" t="str">
        <f>Données_ATB!CA23</f>
        <v>Enrofloxacine</v>
      </c>
      <c r="AG24" s="63" t="e">
        <f t="shared" si="34"/>
        <v>#N/A</v>
      </c>
      <c r="AH24" s="42">
        <v>21</v>
      </c>
      <c r="AI24" t="e">
        <f t="shared" si="35"/>
        <v>#N/A</v>
      </c>
      <c r="AJ24" s="63" t="e">
        <f t="shared" si="36"/>
        <v>#N/A</v>
      </c>
      <c r="AL24" s="14" t="str">
        <f t="shared" si="86"/>
        <v/>
      </c>
      <c r="AS24" s="76" t="str">
        <f>IFERROR(IF(AT24="","",COUNTIF(AT$18:AT$27,"&lt;"&amp;AT24)+COUNTIF(AT$18:AT24,AT24))-COUNTBLANK(AT$18:AT$27),"")</f>
        <v/>
      </c>
      <c r="AT24" s="128" t="str">
        <f t="shared" si="79"/>
        <v/>
      </c>
      <c r="AV24" s="122" t="str">
        <f>IFERROR(IF(AW24="","",COUNTIF(AW$18:AW$27,"&lt;"&amp;AW24)+COUNTIF(AW$18:AW24,AW24))-COUNTBLANK(AW$18:AW$27),"")</f>
        <v/>
      </c>
      <c r="AW24" t="str">
        <f>IF('Étape 1 - à remplir'!G25="animaux",'Étape 1 - à remplir'!E25,"")</f>
        <v/>
      </c>
      <c r="AX24" s="109" t="e">
        <f>INDEX(AV$18:AW$27,MATCH(7,AV$18:AV$27,0),2)</f>
        <v>#N/A</v>
      </c>
      <c r="AY24" t="e">
        <f t="shared" si="87"/>
        <v>#N/A</v>
      </c>
      <c r="AZ24" s="123" t="e">
        <f>IF(AY24="","",MAX(AZ$17:AZ23)+1)</f>
        <v>#N/A</v>
      </c>
      <c r="BB24" s="122" t="str">
        <f>IFERROR(IF(BC24="","",COUNTIF(BC$18:BC$27,"&lt;"&amp;BC24)+COUNTIF(BC$18:BC24,BC24))-COUNTBLANK(BC$18:BC$27),"")</f>
        <v/>
      </c>
      <c r="BC24" s="76" t="str">
        <f>IF('Étape 1 - à remplir'!G25="animaux",'Étape 1 - à remplir'!D25,"")</f>
        <v/>
      </c>
      <c r="BD24" t="e">
        <f>INDEX(BB$18:BC$27,MATCH(7,BB$18:BB$27,0),2)</f>
        <v>#N/A</v>
      </c>
      <c r="BE24" s="118" t="e">
        <f t="shared" si="88"/>
        <v>#N/A</v>
      </c>
      <c r="BF24" s="123" t="e">
        <f>IF(BE24="","",MAX(BF$17:BF23)+1)</f>
        <v>#N/A</v>
      </c>
      <c r="BH24" s="42">
        <v>9</v>
      </c>
      <c r="BI24" t="e">
        <f t="shared" si="73"/>
        <v>#N/A</v>
      </c>
      <c r="BJ24" t="e">
        <f t="shared" si="74"/>
        <v>#N/A</v>
      </c>
      <c r="BK24" s="76" t="e">
        <f t="shared" si="75"/>
        <v>#N/A</v>
      </c>
      <c r="BT24" s="194" t="str">
        <f t="shared" ca="1" si="5"/>
        <v>x</v>
      </c>
      <c r="BU24" s="219" t="str">
        <f>IFERROR(IF(BX24=0,"",COUNTIF(BX$4:BX$600,"&gt;"&amp;BX24)+COUNTIF(BX$4:BX24,BX24)),"")</f>
        <v/>
      </c>
      <c r="BV24" s="42" t="str">
        <f t="shared" si="6"/>
        <v>ALLEGROCINE</v>
      </c>
      <c r="BW24" t="e">
        <f>IF(IF(CE$2="Catégorie",IF(CE$3="Toutes",SUMIFS('Étape 1 - à remplir'!$F$31:$F$400,'Étape 1 - à remplir'!$E$31:$E$400,MASQ2!BV24,'Étape 1 - à remplir'!$G$31:$G$400,"lots"),SUMIFS('Étape 1 - à remplir'!$F$31:$F$400,'Étape 1 - à remplir'!$E$31:$E$400,MASQ2!BV24,'Étape 1 - à remplir'!$C$31:$C$400,CE$3)),IF(CE$2="Âge",IF(CE$3="Tous",SUMIFS('Étape 1 - à remplir'!$F$31:$F$400,'Étape 1 - à remplir'!$E$31:$E$400,MASQ2!BV24,'Étape 1 - à remplir'!$G$31:$G$400,"lots"),SUMIFS('Étape 1 - à remplir'!$F$31:$F$400,'Étape 1 - à remplir'!$E$31:$E$400,MASQ2!BV24,'Étape 1 - à remplir'!$P$31:$P$400,CE$3,'Étape 1 - à remplir'!$G$31:$G$400,"lots")),IF(CE$2="Atelier",IF(CE$3="Tous",SUMIFS('Étape 1 - à remplir'!$F$31:$F$400,'Étape 1 - à remplir'!$E$31:$E$400,MASQ2!BV24,'Étape 1 - à remplir'!$G$31:$G$400,"lots"),SUMIFS('Étape 1 - à remplir'!$F$31:$F$400,'Étape 1 - à remplir'!$E$31:$E$400,MASQ2!BV24,'Étape 1 - à remplir'!$O$31:$O$400,CE$3,'Étape 1 - à remplir'!$G$31:$G$400,"lots")),IF(CE$2="Espèce",IF(CE$3="Toutes",SUMIFS('Étape 1 - à remplir'!$F$31:$F$400,'Étape 1 - à remplir'!$E$31:$E$400,MASQ2!BV24,'Étape 1 - à remplir'!$G$31:$G$400,"lots"),SUMIFS('Étape 1 - à remplir'!$F$31:$F$400,'Étape 1 - à remplir'!$E$31:$E$400,MASQ2!BV24,'Étape 1 - à remplir'!$N$31:$N$400,CE$3,'Étape 1 - à remplir'!$G$31:$G$400,"lots"))))))=0,NA(),IF(CE$2="Catégorie",IF(CE$3="Toutes",SUMIFS('Étape 1 - à remplir'!$F$31:$F$400,'Étape 1 - à remplir'!$E$31:$E$400,MASQ2!BV24,'Étape 1 - à remplir'!$G$31:$G$400,"lots"),SUMIFS('Étape 1 - à remplir'!$F$31:$F$400,'Étape 1 - à remplir'!$E$31:$E$400,MASQ2!BV24,'Étape 1 - à remplir'!$C$31:$C$400,CE$3)),IF(CE$2="Âge",IF(CE$3="Tous",SUMIFS('Étape 1 - à remplir'!$F$31:$F$400,'Étape 1 - à remplir'!$E$31:$E$400,MASQ2!BV24,'Étape 1 - à remplir'!$G$31:$G$400,"lots"),SUMIFS('Étape 1 - à remplir'!$F$31:$F$400,'Étape 1 - à remplir'!$E$31:$E$400,MASQ2!BV24,'Étape 1 - à remplir'!$P$31:$P$400,CE$3,'Étape 1 - à remplir'!$G$31:$G$400,"lots")),IF(CE$2="Atelier",IF(CE$3="Tous",SUMIFS('Étape 1 - à remplir'!$F$31:$F$400,'Étape 1 - à remplir'!$E$31:$E$400,MASQ2!BV24,'Étape 1 - à remplir'!$G$31:$G$400,"lots"),SUMIFS('Étape 1 - à remplir'!$F$31:$F$400,'Étape 1 - à remplir'!$E$31:$E$400,MASQ2!BV24,'Étape 1 - à remplir'!$O$31:$O$400,CE$3,'Étape 1 - à remplir'!$G$31:$G$400,"lots")),IF(CE$2="Espèce",IF(CE$3="Toutes",SUMIFS('Étape 1 - à remplir'!$F$31:$F$400,'Étape 1 - à remplir'!$E$31:$E$400,MASQ2!BV24,'Étape 1 - à remplir'!$G$31:$G$400,"lots"),SUMIFS('Étape 1 - à remplir'!$F$31:$F$400,'Étape 1 - à remplir'!$E$31:$E$400,MASQ2!BV24,'Étape 1 - à remplir'!$N$31:$N$400,CE$3,'Étape 1 - à remplir'!$G$31:$G$400,"lots")))))))</f>
        <v>#N/A</v>
      </c>
      <c r="BX24">
        <f t="shared" si="42"/>
        <v>0</v>
      </c>
      <c r="BY24" t="str">
        <f t="shared" si="7"/>
        <v>Ampicilline</v>
      </c>
      <c r="BZ24" t="str">
        <f t="shared" si="8"/>
        <v>Colistine</v>
      </c>
      <c r="CA24" t="str">
        <f t="shared" si="9"/>
        <v/>
      </c>
      <c r="CB24" t="str">
        <f t="shared" si="10"/>
        <v>Penicillines</v>
      </c>
      <c r="CC24" t="str">
        <f t="shared" si="11"/>
        <v>Polypeptides</v>
      </c>
      <c r="CD24" s="63" t="str">
        <f t="shared" si="12"/>
        <v/>
      </c>
      <c r="CG24" s="42">
        <v>21</v>
      </c>
      <c r="CH24" s="42" t="e">
        <f t="shared" si="80"/>
        <v>#N/A</v>
      </c>
      <c r="CI24" s="63" t="e">
        <f t="shared" si="81"/>
        <v>#N/A</v>
      </c>
      <c r="CK24" s="194" t="str">
        <f t="shared" si="13"/>
        <v>x</v>
      </c>
      <c r="CL24" s="226" t="str">
        <f>IFERROR(IF(CN24=0,"",COUNTIF(CN$4:CN$64,"&gt;"&amp;CN24)+COUNTIF(CN$4:CN24,CN24)),"")</f>
        <v/>
      </c>
      <c r="CM24" t="str">
        <f t="shared" si="14"/>
        <v>Enrofloxacine</v>
      </c>
      <c r="CN24" s="76" t="e">
        <f t="shared" si="45"/>
        <v>#N/A</v>
      </c>
      <c r="CO24">
        <v>21</v>
      </c>
      <c r="CP24" t="e">
        <f t="shared" si="46"/>
        <v>#N/A</v>
      </c>
      <c r="CQ24" s="63" t="e">
        <f t="shared" si="47"/>
        <v>#N/A</v>
      </c>
      <c r="CS24" s="14" t="str">
        <f t="shared" si="15"/>
        <v/>
      </c>
      <c r="CT24" s="14"/>
      <c r="CU24" s="14"/>
      <c r="CZ24" s="76" t="str">
        <f>IFERROR(IF(DA24="","",COUNTIF(DA$18:DA$27,"&lt;"&amp;DA24)+COUNTIF(DA$18:DA24,DA24))-COUNTBLANK(DA$18:DA$27),"")</f>
        <v/>
      </c>
      <c r="DA24" s="128" t="str">
        <f t="shared" si="82"/>
        <v/>
      </c>
      <c r="DC24" s="122" t="str">
        <f>IFERROR(IF(DD24="","",COUNTIF(DD$18:DD$27,"&lt;"&amp;DD24)+COUNTIF(DD$18:DD24,DD24))-COUNTBLANK(DD$18:DD$27),"")</f>
        <v/>
      </c>
      <c r="DD24" s="109" t="str">
        <f>IF('Étape 1 - à remplir'!G25="lots",'Étape 1 - à remplir'!E25,"")</f>
        <v/>
      </c>
      <c r="DE24" s="109" t="e">
        <f>INDEX(DC$18:DD$27,MATCH(7,DC$18:DC$27,0),2)</f>
        <v>#N/A</v>
      </c>
      <c r="DF24" s="109" t="e">
        <f t="shared" si="89"/>
        <v>#N/A</v>
      </c>
      <c r="DG24" s="123" t="e">
        <f>IF(DF24="","",MAX(DG$17:DG23)+1)</f>
        <v>#N/A</v>
      </c>
      <c r="DI24" s="122" t="str">
        <f>IFERROR(IF(DJ24="","",COUNTIF(DJ$18:DJ$27,"&lt;"&amp;DJ24)+COUNTIF(DJ$18:DJ24,DJ24))-COUNTBLANK(DJ$18:DJ$27),"")</f>
        <v/>
      </c>
      <c r="DJ24" s="109" t="str">
        <f>IF('Étape 1 - à remplir'!G25="lots",'Étape 1 - à remplir'!D25,"")</f>
        <v/>
      </c>
      <c r="DK24" s="109" t="e">
        <f>INDEX(DI$18:DJ$27,MATCH(7,DI$18:DI$27,0),2)</f>
        <v>#N/A</v>
      </c>
      <c r="DL24" s="109" t="e">
        <f t="shared" si="90"/>
        <v>#N/A</v>
      </c>
      <c r="DM24" s="123" t="e">
        <f>IF(DL24="","",MAX(DM$17:DM23)+1)</f>
        <v>#N/A</v>
      </c>
      <c r="DO24" s="42">
        <v>9</v>
      </c>
      <c r="DP24" t="e">
        <f t="shared" si="76"/>
        <v>#N/A</v>
      </c>
      <c r="DQ24" t="e">
        <f t="shared" si="77"/>
        <v>#N/A</v>
      </c>
      <c r="DR24" s="63" t="e">
        <f t="shared" si="78"/>
        <v>#N/A</v>
      </c>
      <c r="EA24" s="194" t="str">
        <f t="shared" ca="1" si="18"/>
        <v>x</v>
      </c>
      <c r="EB24" s="226" t="str">
        <f>IFERROR(IF(ED24=0,"",COUNTIF(ED$4:ED$600,"&gt;"&amp;ED24)+COUNTIF(ED$4:ED24,ED24)),"")</f>
        <v/>
      </c>
      <c r="EC24" t="str">
        <f t="shared" si="19"/>
        <v>ALLEGROCINE</v>
      </c>
      <c r="ED24" t="e">
        <f>IF(IF(EL$2="Catégorie",IF(EL$3="Toutes",SUMIFS('Étape 1 - à remplir'!$F$31:$F$400,'Étape 1 - à remplir'!$E$31:$E$400,MASQ2!EC24,'Étape 1 - à remplir'!$G$31:$G$400,"kg"),SUMIFS('Étape 1 - à remplir'!$F$31:$F$400,'Étape 1 - à remplir'!$E$31:$E$400,MASQ2!EC24,'Étape 1 - à remplir'!$C$31:$C$400,EL$3)),IF(EL$2="Âge",IF(EL$3="Tous",SUMIFS('Étape 1 - à remplir'!$F$31:$F$400,'Étape 1 - à remplir'!$E$31:$E$400,MASQ2!EC24,'Étape 1 - à remplir'!$G$31:$G$400,"kg"),SUMIFS('Étape 1 - à remplir'!$F$31:$F$400,'Étape 1 - à remplir'!$E$31:$E$400,MASQ2!EC24,'Étape 1 - à remplir'!$P$31:$P$400,EL$3,'Étape 1 - à remplir'!$G$31:$G$400,"kg")),IF(EL$2="Atelier",IF(EL$3="Tous",SUMIFS('Étape 1 - à remplir'!$F$31:$F$400,'Étape 1 - à remplir'!$E$31:$E$400,MASQ2!EC24,'Étape 1 - à remplir'!$G$31:$G$400,"kg"),SUMIFS('Étape 1 - à remplir'!$F$31:$F$400,'Étape 1 - à remplir'!$E$31:$E$400,MASQ2!EC24,'Étape 1 - à remplir'!$O$31:$O$400,EL$3,'Étape 1 - à remplir'!$G$31:$G$400,"kg")),IF(EL$2="Espèce",IF(EL$3="Toutes",SUMIFS('Étape 1 - à remplir'!$F$31:$F$400,'Étape 1 - à remplir'!$E$31:$E$400,MASQ2!EC24,'Étape 1 - à remplir'!$G$31:$G$400,"kg"),SUMIFS('Étape 1 - à remplir'!$F$31:$F$400,'Étape 1 - à remplir'!$E$31:$E$400,MASQ2!EC24,'Étape 1 - à remplir'!$N$31:$N$400,EL$3,'Étape 1 - à remplir'!$G$31:$G$400,"kg"))))))=0,NA(),IF(EL$2="Catégorie",IF(EL$3="Toutes",SUMIFS('Étape 1 - à remplir'!$F$31:$F$400,'Étape 1 - à remplir'!$E$31:$E$400,MASQ2!EC24,'Étape 1 - à remplir'!$G$31:$G$400,"kg"),SUMIFS('Étape 1 - à remplir'!$F$31:$F$400,'Étape 1 - à remplir'!$E$31:$E$400,MASQ2!EC24,'Étape 1 - à remplir'!$C$31:$C$400,EL$3)),IF(EL$2="Âge",IF(EL$3="Tous",SUMIFS('Étape 1 - à remplir'!$F$31:$F$400,'Étape 1 - à remplir'!$E$31:$E$400,MASQ2!EC24,'Étape 1 - à remplir'!$G$31:$G$400,"kg"),SUMIFS('Étape 1 - à remplir'!$F$31:$F$400,'Étape 1 - à remplir'!$E$31:$E$400,MASQ2!EC24,'Étape 1 - à remplir'!$P$31:$P$400,EL$3,'Étape 1 - à remplir'!$G$31:$G$400,"kg")),IF(EL$2="Atelier",IF(EL$3="Tous",SUMIFS('Étape 1 - à remplir'!$F$31:$F$400,'Étape 1 - à remplir'!$E$31:$E$400,MASQ2!EC24,'Étape 1 - à remplir'!$G$31:$G$400,"kg"),SUMIFS('Étape 1 - à remplir'!$F$31:$F$400,'Étape 1 - à remplir'!$E$31:$E$400,MASQ2!EC24,'Étape 1 - à remplir'!$O$31:$O$400,EL$3,'Étape 1 - à remplir'!$G$31:$G$400,"kg")),IF(EL$2="Espèce",IF(EL$3="Toutes",SUMIFS('Étape 1 - à remplir'!$F$31:$F$400,'Étape 1 - à remplir'!$E$31:$E$400,MASQ2!EC24,'Étape 1 - à remplir'!$G$31:$G$400,"kg"),SUMIFS('Étape 1 - à remplir'!$F$31:$F$400,'Étape 1 - à remplir'!$E$31:$E$400,MASQ2!EC24,'Étape 1 - à remplir'!$N$31:$N$400,EL$3,'Étape 1 - à remplir'!$G$31:$G$400,"kg")))))))</f>
        <v>#N/A</v>
      </c>
      <c r="EE24" s="76">
        <f t="shared" si="53"/>
        <v>0</v>
      </c>
      <c r="EF24" t="str">
        <f t="shared" si="20"/>
        <v>Ampicilline</v>
      </c>
      <c r="EG24" t="str">
        <f t="shared" si="21"/>
        <v>Colistine</v>
      </c>
      <c r="EH24" t="str">
        <f t="shared" si="22"/>
        <v/>
      </c>
      <c r="EI24" t="str">
        <f t="shared" si="23"/>
        <v>Penicillines</v>
      </c>
      <c r="EJ24" t="str">
        <f t="shared" si="24"/>
        <v>Polypeptides</v>
      </c>
      <c r="EK24" s="63" t="str">
        <f t="shared" si="25"/>
        <v/>
      </c>
      <c r="EN24" s="42">
        <v>21</v>
      </c>
      <c r="EO24" t="e">
        <f t="shared" si="68"/>
        <v>#N/A</v>
      </c>
      <c r="EP24" s="63" t="e">
        <f t="shared" si="69"/>
        <v>#N/A</v>
      </c>
      <c r="ER24" s="194" t="str">
        <f t="shared" si="26"/>
        <v>x</v>
      </c>
      <c r="ES24" s="226" t="str">
        <f>IFERROR(IF(EU24=0,"",COUNTIF(EU$4:EU$64,"&gt;"&amp;EU24)+COUNTIF(EU$4:EU24,EU24)),"")</f>
        <v/>
      </c>
      <c r="ET24" t="str">
        <f t="shared" si="27"/>
        <v>Enrofloxacine</v>
      </c>
      <c r="EU24" s="76" t="e">
        <f t="shared" si="56"/>
        <v>#N/A</v>
      </c>
      <c r="EV24">
        <v>21</v>
      </c>
      <c r="EW24" t="e">
        <f t="shared" si="57"/>
        <v>#N/A</v>
      </c>
      <c r="EX24" s="63" t="e">
        <f t="shared" si="58"/>
        <v>#N/A</v>
      </c>
      <c r="EZ24" s="14" t="str">
        <f t="shared" si="28"/>
        <v/>
      </c>
      <c r="FA24" s="14"/>
      <c r="FG24" s="76" t="str">
        <f>IFERROR(IF(FH24="","",COUNTIF(FH$18:FH$27,"&lt;"&amp;FH24)+COUNTIF(FH$18:FH24,FH24))-COUNTBLANK(FH$18:FH$27),"")</f>
        <v/>
      </c>
      <c r="FH24" s="128" t="str">
        <f t="shared" si="83"/>
        <v/>
      </c>
      <c r="FJ24" s="122" t="str">
        <f>IFERROR(IF(FK24="","",COUNTIF(FK$18:FK$27,"&lt;"&amp;FK24)+COUNTIF(FK$18:FK24,FK24))-COUNTBLANK(FK$18:FK$27),"")</f>
        <v/>
      </c>
      <c r="FK24" s="109" t="str">
        <f>IF('Étape 1 - à remplir'!G25="kg",'Étape 1 - à remplir'!E25,"")</f>
        <v/>
      </c>
      <c r="FL24" s="109" t="e">
        <f>INDEX(FJ$18:FK$27,MATCH(7,FJ$18:FJ$27,0),2)</f>
        <v>#N/A</v>
      </c>
      <c r="FM24" s="109" t="e">
        <f t="shared" si="91"/>
        <v>#N/A</v>
      </c>
      <c r="FN24" s="123" t="e">
        <f>IF(FM24="","",MAX(FN$17:FN23)+1)</f>
        <v>#N/A</v>
      </c>
      <c r="FP24" s="122" t="str">
        <f>IFERROR(IF(FQ24="","",COUNTIF(FQ$18:FQ$27,"&lt;"&amp;FQ24)+COUNTIF(FQ$18:FQ24,FQ24))-COUNTBLANK(FQ$18:FQ$27),"")</f>
        <v/>
      </c>
      <c r="FQ24" s="109" t="str">
        <f>IF('Étape 1 - à remplir'!G25="kg",'Étape 1 - à remplir'!D25,"")</f>
        <v/>
      </c>
      <c r="FR24" s="109" t="e">
        <f>INDEX(FP$18:FQ$27,MATCH(7,FP$18:FP$27,0),2)</f>
        <v>#N/A</v>
      </c>
      <c r="FS24" s="109" t="e">
        <f t="shared" si="92"/>
        <v>#N/A</v>
      </c>
      <c r="FT24" s="123" t="e">
        <f>IF(FS24="","",MAX(FT$17:FT23)+1)</f>
        <v>#N/A</v>
      </c>
    </row>
    <row r="25" spans="1:177" ht="15" thickBot="1" x14ac:dyDescent="0.35">
      <c r="A25" s="74">
        <v>10</v>
      </c>
      <c r="B25" s="64" t="e">
        <f t="shared" si="70"/>
        <v>#N/A</v>
      </c>
      <c r="C25" s="64" t="e">
        <f t="shared" si="71"/>
        <v>#N/A</v>
      </c>
      <c r="D25" s="65" t="e">
        <f t="shared" si="72"/>
        <v>#N/A</v>
      </c>
      <c r="E25" s="188"/>
      <c r="F25" s="188"/>
      <c r="M25" s="194" t="str">
        <f ca="1">INDEX(Données_ATB!BD:BU,MATCH(MASQ2!O25,Données_ATB!BD:BD,0),18)</f>
        <v/>
      </c>
      <c r="N25" s="14" t="str">
        <f>IFERROR(IF(Q25=0,"",COUNTIF(Q$4:Q$600,"&gt;"&amp;Q25)+COUNTIF(Q$4:Q25,Q25)),"")</f>
        <v/>
      </c>
      <c r="O25" t="str">
        <f>Données_ATB!BD24</f>
        <v>ALTIDOX 433 MG/G POUDRE POUR ADMINISTRATION DANS L'EAU DE BOISSON POUR PORCS, POULES ET DINDES</v>
      </c>
      <c r="P25" t="e">
        <f>IF(IF(X$2="Catégorie",IF(X$3="Toutes",SUMIFS('Étape 1 - à remplir'!$F$31:$F$400,'Étape 1 - à remplir'!$E$31:$E$400,MASQ2!O25,'Étape 1 - à remplir'!$G$31:$G$400,"animaux"),SUMIFS('Étape 1 - à remplir'!$F$31:$F$400,'Étape 1 - à remplir'!$E$31:$E$400,MASQ2!O25,'Étape 1 - à remplir'!$C$31:$C$400,X$3)),IF(X$2="Âge",IF(X$3="Tous",SUMIFS('Étape 1 - à remplir'!$F$31:$F$400,'Étape 1 - à remplir'!$E$31:$E$400,MASQ2!O25,'Étape 1 - à remplir'!$G$31:$G$400,"animaux"),SUMIFS('Étape 1 - à remplir'!$F$31:$F$400,'Étape 1 - à remplir'!$E$31:$E$400,MASQ2!O25,'Étape 1 - à remplir'!$P$31:$P$400,X$3)),IF(X$2="Atelier",IF(X$3="Tous",SUMIFS('Étape 1 - à remplir'!$F$31:$F$400,'Étape 1 - à remplir'!$E$31:$E$400,MASQ2!O25,'Étape 1 - à remplir'!$G$31:$G$400,"animaux"),SUMIFS('Étape 1 - à remplir'!$F$31:$F$400,'Étape 1 - à remplir'!$E$31:$E$400,MASQ2!O25,'Étape 1 - à remplir'!$O$31:$O$400,X$3)),IF(X$2="Espèce",IF(X$3="Toutes",SUMIFS('Étape 1 - à remplir'!$F$31:$F$400,'Étape 1 - à remplir'!$E$31:$E$400,MASQ2!O25,'Étape 1 - à remplir'!$G$31:$G$400,"animaux"),SUMIFS('Étape 1 - à remplir'!$F$31:$F$400,'Étape 1 - à remplir'!$E$31:$E$400,MASQ2!O25,'Étape 1 - à remplir'!$N$31:$N$400,X$3))))))=0,NA(),IF(X$2="Catégorie",IF(X$3="Toutes",SUMIFS('Étape 1 - à remplir'!$F$31:$F$400,'Étape 1 - à remplir'!$E$31:$E$400,MASQ2!O25,'Étape 1 - à remplir'!$G$31:$G$400,"animaux"),SUMIFS('Étape 1 - à remplir'!$F$31:$F$400,'Étape 1 - à remplir'!$E$31:$E$400,MASQ2!O25,'Étape 1 - à remplir'!$C$31:$C$400,X$3)),IF(X$2="Âge",IF(X$3="Tous",SUMIFS('Étape 1 - à remplir'!$F$31:$F$400,'Étape 1 - à remplir'!$E$31:$E$400,MASQ2!O25,'Étape 1 - à remplir'!$G$31:$G$400,"animaux"),SUMIFS('Étape 1 - à remplir'!$F$31:$F$400,'Étape 1 - à remplir'!$E$31:$E$400,MASQ2!O25,'Étape 1 - à remplir'!$P$31:$P$400,X$3)),IF(X$2="Atelier",IF(X$3="Tous",SUMIFS('Étape 1 - à remplir'!$F$31:$F$400,'Étape 1 - à remplir'!$E$31:$E$400,MASQ2!O25,'Étape 1 - à remplir'!$G$31:$G$400,"animaux"),SUMIFS('Étape 1 - à remplir'!$F$31:$F$400,'Étape 1 - à remplir'!$E$31:$E$400,MASQ2!O25,'Étape 1 - à remplir'!$O$31:$O$400,X$3)),IF(X$2="Espèce",IF(X$3="Toutes",SUMIFS('Étape 1 - à remplir'!$F$31:$F$400,'Étape 1 - à remplir'!$E$31:$E$400,MASQ2!O25,'Étape 1 - à remplir'!$G$31:$G$400,"animaux"),SUMIFS('Étape 1 - à remplir'!$F$31:$F$400,'Étape 1 - à remplir'!$E$31:$E$400,MASQ2!O25,'Étape 1 - à remplir'!$N$31:$N$400,X$3)))))))</f>
        <v>#N/A</v>
      </c>
      <c r="Q25" s="63">
        <f t="shared" si="62"/>
        <v>0</v>
      </c>
      <c r="R25" t="str">
        <f>Données_ATB!BM24</f>
        <v>Doxycycline</v>
      </c>
      <c r="S25" t="str">
        <f>Données_ATB!BN24</f>
        <v/>
      </c>
      <c r="T25" s="63" t="str">
        <f>Données_ATB!BO24</f>
        <v/>
      </c>
      <c r="U25" s="42" t="str">
        <f>Données_ATB!BQ24</f>
        <v>Tetracyclines</v>
      </c>
      <c r="V25" t="str">
        <f>Données_ATB!BR24</f>
        <v/>
      </c>
      <c r="W25" s="63" t="str">
        <f>Données_ATB!BS24</f>
        <v/>
      </c>
      <c r="Z25" s="42">
        <v>22</v>
      </c>
      <c r="AA25" t="e">
        <f t="shared" si="32"/>
        <v>#N/A</v>
      </c>
      <c r="AB25" s="63" t="e">
        <f t="shared" si="33"/>
        <v>#N/A</v>
      </c>
      <c r="AD25" s="194" t="str">
        <f>IF(AF25="Colistine","x",IF(INDEX(Données_ATB!CA$3:CB$63,MATCH(AF25,Données_ATB!CA$3:CA$63,0),2)="Fluoroquinolones","x",IF(INDEX(Données_ATB!CA$3:CB$63,MATCH(AF25,Données_ATB!CA$3:CA$63,0),2)="Cephalosporines 3&amp;4G","x","")))</f>
        <v/>
      </c>
      <c r="AE25" s="219" t="str">
        <f>IFERROR(IF(AG25=0,"",COUNTIF(AG$4:AG$64,"&gt;"&amp;AG25)+COUNTIF(AG$4:AG25,AG25)),"")</f>
        <v/>
      </c>
      <c r="AF25" s="42" t="str">
        <f>Données_ATB!CA24</f>
        <v>Erythromycine</v>
      </c>
      <c r="AG25" s="63" t="e">
        <f t="shared" si="34"/>
        <v>#N/A</v>
      </c>
      <c r="AH25" s="42">
        <v>22</v>
      </c>
      <c r="AI25" t="e">
        <f t="shared" si="35"/>
        <v>#N/A</v>
      </c>
      <c r="AJ25" s="63" t="e">
        <f t="shared" si="36"/>
        <v>#N/A</v>
      </c>
      <c r="AL25" s="14" t="str">
        <f t="shared" si="86"/>
        <v/>
      </c>
      <c r="AS25" s="76" t="str">
        <f>IFERROR(IF(AT25="","",COUNTIF(AT$18:AT$27,"&lt;"&amp;AT25)+COUNTIF(AT$18:AT25,AT25))-COUNTBLANK(AT$18:AT$27),"")</f>
        <v/>
      </c>
      <c r="AT25" s="128" t="str">
        <f t="shared" si="79"/>
        <v/>
      </c>
      <c r="AV25" s="122" t="str">
        <f>IFERROR(IF(AW25="","",COUNTIF(AW$18:AW$27,"&lt;"&amp;AW25)+COUNTIF(AW$18:AW25,AW25))-COUNTBLANK(AW$18:AW$27),"")</f>
        <v/>
      </c>
      <c r="AW25" t="str">
        <f>IF('Étape 1 - à remplir'!G26="animaux",'Étape 1 - à remplir'!E26,"")</f>
        <v/>
      </c>
      <c r="AX25" s="109" t="e">
        <f>INDEX(AV$18:AW$27,MATCH(8,AV$18:AV$27,0),2)</f>
        <v>#N/A</v>
      </c>
      <c r="AY25" t="e">
        <f t="shared" si="87"/>
        <v>#N/A</v>
      </c>
      <c r="AZ25" s="123" t="e">
        <f>IF(AY25="","",MAX(AZ$17:AZ24)+1)</f>
        <v>#N/A</v>
      </c>
      <c r="BB25" s="122" t="str">
        <f>IFERROR(IF(BC25="","",COUNTIF(BC$18:BC$27,"&lt;"&amp;BC25)+COUNTIF(BC$18:BC25,BC25))-COUNTBLANK(BC$18:BC$27),"")</f>
        <v/>
      </c>
      <c r="BC25" s="76" t="str">
        <f>IF('Étape 1 - à remplir'!G26="animaux",'Étape 1 - à remplir'!D26,"")</f>
        <v/>
      </c>
      <c r="BD25" t="e">
        <f>INDEX(BB$18:BC$27,MATCH(8,BB$18:BB$27,0),2)</f>
        <v>#N/A</v>
      </c>
      <c r="BE25" s="118" t="e">
        <f t="shared" si="88"/>
        <v>#N/A</v>
      </c>
      <c r="BF25" s="123" t="e">
        <f>IF(BE25="","",MAX(BF$17:BF24)+1)</f>
        <v>#N/A</v>
      </c>
      <c r="BH25" s="223">
        <v>10</v>
      </c>
      <c r="BI25" s="111" t="e">
        <f t="shared" si="73"/>
        <v>#N/A</v>
      </c>
      <c r="BJ25" s="111" t="e">
        <f t="shared" si="74"/>
        <v>#N/A</v>
      </c>
      <c r="BK25" s="115" t="e">
        <f t="shared" si="75"/>
        <v>#N/A</v>
      </c>
      <c r="BT25" s="194" t="str">
        <f t="shared" ca="1" si="5"/>
        <v/>
      </c>
      <c r="BU25" s="219" t="str">
        <f>IFERROR(IF(BX25=0,"",COUNTIF(BX$4:BX$600,"&gt;"&amp;BX25)+COUNTIF(BX$4:BX25,BX25)),"")</f>
        <v/>
      </c>
      <c r="BV25" s="42" t="str">
        <f t="shared" si="6"/>
        <v>ALTIDOX 433 MG/G POUDRE POUR ADMINISTRATION DANS L'EAU DE BOISSON POUR PORCS, POULES ET DINDES</v>
      </c>
      <c r="BW25" t="e">
        <f>IF(IF(CE$2="Catégorie",IF(CE$3="Toutes",SUMIFS('Étape 1 - à remplir'!$F$31:$F$400,'Étape 1 - à remplir'!$E$31:$E$400,MASQ2!BV25,'Étape 1 - à remplir'!$G$31:$G$400,"lots"),SUMIFS('Étape 1 - à remplir'!$F$31:$F$400,'Étape 1 - à remplir'!$E$31:$E$400,MASQ2!BV25,'Étape 1 - à remplir'!$C$31:$C$400,CE$3)),IF(CE$2="Âge",IF(CE$3="Tous",SUMIFS('Étape 1 - à remplir'!$F$31:$F$400,'Étape 1 - à remplir'!$E$31:$E$400,MASQ2!BV25,'Étape 1 - à remplir'!$G$31:$G$400,"lots"),SUMIFS('Étape 1 - à remplir'!$F$31:$F$400,'Étape 1 - à remplir'!$E$31:$E$400,MASQ2!BV25,'Étape 1 - à remplir'!$P$31:$P$400,CE$3,'Étape 1 - à remplir'!$G$31:$G$400,"lots")),IF(CE$2="Atelier",IF(CE$3="Tous",SUMIFS('Étape 1 - à remplir'!$F$31:$F$400,'Étape 1 - à remplir'!$E$31:$E$400,MASQ2!BV25,'Étape 1 - à remplir'!$G$31:$G$400,"lots"),SUMIFS('Étape 1 - à remplir'!$F$31:$F$400,'Étape 1 - à remplir'!$E$31:$E$400,MASQ2!BV25,'Étape 1 - à remplir'!$O$31:$O$400,CE$3,'Étape 1 - à remplir'!$G$31:$G$400,"lots")),IF(CE$2="Espèce",IF(CE$3="Toutes",SUMIFS('Étape 1 - à remplir'!$F$31:$F$400,'Étape 1 - à remplir'!$E$31:$E$400,MASQ2!BV25,'Étape 1 - à remplir'!$G$31:$G$400,"lots"),SUMIFS('Étape 1 - à remplir'!$F$31:$F$400,'Étape 1 - à remplir'!$E$31:$E$400,MASQ2!BV25,'Étape 1 - à remplir'!$N$31:$N$400,CE$3,'Étape 1 - à remplir'!$G$31:$G$400,"lots"))))))=0,NA(),IF(CE$2="Catégorie",IF(CE$3="Toutes",SUMIFS('Étape 1 - à remplir'!$F$31:$F$400,'Étape 1 - à remplir'!$E$31:$E$400,MASQ2!BV25,'Étape 1 - à remplir'!$G$31:$G$400,"lots"),SUMIFS('Étape 1 - à remplir'!$F$31:$F$400,'Étape 1 - à remplir'!$E$31:$E$400,MASQ2!BV25,'Étape 1 - à remplir'!$C$31:$C$400,CE$3)),IF(CE$2="Âge",IF(CE$3="Tous",SUMIFS('Étape 1 - à remplir'!$F$31:$F$400,'Étape 1 - à remplir'!$E$31:$E$400,MASQ2!BV25,'Étape 1 - à remplir'!$G$31:$G$400,"lots"),SUMIFS('Étape 1 - à remplir'!$F$31:$F$400,'Étape 1 - à remplir'!$E$31:$E$400,MASQ2!BV25,'Étape 1 - à remplir'!$P$31:$P$400,CE$3,'Étape 1 - à remplir'!$G$31:$G$400,"lots")),IF(CE$2="Atelier",IF(CE$3="Tous",SUMIFS('Étape 1 - à remplir'!$F$31:$F$400,'Étape 1 - à remplir'!$E$31:$E$400,MASQ2!BV25,'Étape 1 - à remplir'!$G$31:$G$400,"lots"),SUMIFS('Étape 1 - à remplir'!$F$31:$F$400,'Étape 1 - à remplir'!$E$31:$E$400,MASQ2!BV25,'Étape 1 - à remplir'!$O$31:$O$400,CE$3,'Étape 1 - à remplir'!$G$31:$G$400,"lots")),IF(CE$2="Espèce",IF(CE$3="Toutes",SUMIFS('Étape 1 - à remplir'!$F$31:$F$400,'Étape 1 - à remplir'!$E$31:$E$400,MASQ2!BV25,'Étape 1 - à remplir'!$G$31:$G$400,"lots"),SUMIFS('Étape 1 - à remplir'!$F$31:$F$400,'Étape 1 - à remplir'!$E$31:$E$400,MASQ2!BV25,'Étape 1 - à remplir'!$N$31:$N$400,CE$3,'Étape 1 - à remplir'!$G$31:$G$400,"lots")))))))</f>
        <v>#N/A</v>
      </c>
      <c r="BX25">
        <f t="shared" si="42"/>
        <v>0</v>
      </c>
      <c r="BY25" t="str">
        <f t="shared" si="7"/>
        <v>Doxycycline</v>
      </c>
      <c r="BZ25" t="str">
        <f t="shared" si="8"/>
        <v/>
      </c>
      <c r="CA25" t="str">
        <f t="shared" si="9"/>
        <v/>
      </c>
      <c r="CB25" t="str">
        <f t="shared" si="10"/>
        <v>Tetracyclines</v>
      </c>
      <c r="CC25" t="str">
        <f t="shared" si="11"/>
        <v/>
      </c>
      <c r="CD25" s="63" t="str">
        <f t="shared" si="12"/>
        <v/>
      </c>
      <c r="CG25" s="42">
        <v>22</v>
      </c>
      <c r="CH25" s="42" t="e">
        <f t="shared" si="80"/>
        <v>#N/A</v>
      </c>
      <c r="CI25" s="63" t="e">
        <f t="shared" si="81"/>
        <v>#N/A</v>
      </c>
      <c r="CK25" s="194" t="str">
        <f t="shared" si="13"/>
        <v/>
      </c>
      <c r="CL25" s="226" t="str">
        <f>IFERROR(IF(CN25=0,"",COUNTIF(CN$4:CN$64,"&gt;"&amp;CN25)+COUNTIF(CN$4:CN25,CN25)),"")</f>
        <v/>
      </c>
      <c r="CM25" t="str">
        <f t="shared" si="14"/>
        <v>Erythromycine</v>
      </c>
      <c r="CN25" s="76" t="e">
        <f t="shared" si="45"/>
        <v>#N/A</v>
      </c>
      <c r="CO25">
        <v>22</v>
      </c>
      <c r="CP25" t="e">
        <f t="shared" si="46"/>
        <v>#N/A</v>
      </c>
      <c r="CQ25" s="63" t="e">
        <f t="shared" si="47"/>
        <v>#N/A</v>
      </c>
      <c r="CS25" s="14" t="str">
        <f t="shared" si="15"/>
        <v/>
      </c>
      <c r="CT25" s="14"/>
      <c r="CU25" s="14"/>
      <c r="CZ25" s="76" t="str">
        <f>IFERROR(IF(DA25="","",COUNTIF(DA$18:DA$27,"&lt;"&amp;DA25)+COUNTIF(DA$18:DA25,DA25))-COUNTBLANK(DA$18:DA$27),"")</f>
        <v/>
      </c>
      <c r="DA25" s="128" t="str">
        <f t="shared" si="82"/>
        <v/>
      </c>
      <c r="DC25" s="122" t="str">
        <f>IFERROR(IF(DD25="","",COUNTIF(DD$18:DD$27,"&lt;"&amp;DD25)+COUNTIF(DD$18:DD25,DD25))-COUNTBLANK(DD$18:DD$27),"")</f>
        <v/>
      </c>
      <c r="DD25" s="109" t="str">
        <f>IF('Étape 1 - à remplir'!G26="lots",'Étape 1 - à remplir'!E26,"")</f>
        <v/>
      </c>
      <c r="DE25" s="109" t="e">
        <f>INDEX(DC$18:DD$27,MATCH(8,DC$18:DC$27,0),2)</f>
        <v>#N/A</v>
      </c>
      <c r="DF25" s="109" t="e">
        <f t="shared" si="89"/>
        <v>#N/A</v>
      </c>
      <c r="DG25" s="123" t="e">
        <f>IF(DF25="","",MAX(DG$17:DG24)+1)</f>
        <v>#N/A</v>
      </c>
      <c r="DI25" s="122" t="str">
        <f>IFERROR(IF(DJ25="","",COUNTIF(DJ$18:DJ$27,"&lt;"&amp;DJ25)+COUNTIF(DJ$18:DJ25,DJ25))-COUNTBLANK(DJ$18:DJ$27),"")</f>
        <v/>
      </c>
      <c r="DJ25" s="109" t="str">
        <f>IF('Étape 1 - à remplir'!G26="lots",'Étape 1 - à remplir'!D26,"")</f>
        <v/>
      </c>
      <c r="DK25" s="109" t="e">
        <f>INDEX(DI$18:DJ$27,MATCH(8,DI$18:DI$27,0),2)</f>
        <v>#N/A</v>
      </c>
      <c r="DL25" s="109" t="e">
        <f t="shared" si="90"/>
        <v>#N/A</v>
      </c>
      <c r="DM25" s="123" t="e">
        <f>IF(DL25="","",MAX(DM$17:DM24)+1)</f>
        <v>#N/A</v>
      </c>
      <c r="DO25" s="74">
        <v>10</v>
      </c>
      <c r="DP25" s="64" t="e">
        <f t="shared" si="76"/>
        <v>#N/A</v>
      </c>
      <c r="DQ25" s="64" t="e">
        <f t="shared" si="77"/>
        <v>#N/A</v>
      </c>
      <c r="DR25" s="65" t="e">
        <f t="shared" si="78"/>
        <v>#N/A</v>
      </c>
      <c r="EA25" s="194" t="str">
        <f t="shared" ca="1" si="18"/>
        <v/>
      </c>
      <c r="EB25" s="226" t="str">
        <f>IFERROR(IF(ED25=0,"",COUNTIF(ED$4:ED$600,"&gt;"&amp;ED25)+COUNTIF(ED$4:ED25,ED25)),"")</f>
        <v/>
      </c>
      <c r="EC25" t="str">
        <f t="shared" si="19"/>
        <v>ALTIDOX 433 MG/G POUDRE POUR ADMINISTRATION DANS L'EAU DE BOISSON POUR PORCS, POULES ET DINDES</v>
      </c>
      <c r="ED25" t="e">
        <f>IF(IF(EL$2="Catégorie",IF(EL$3="Toutes",SUMIFS('Étape 1 - à remplir'!$F$31:$F$400,'Étape 1 - à remplir'!$E$31:$E$400,MASQ2!EC25,'Étape 1 - à remplir'!$G$31:$G$400,"kg"),SUMIFS('Étape 1 - à remplir'!$F$31:$F$400,'Étape 1 - à remplir'!$E$31:$E$400,MASQ2!EC25,'Étape 1 - à remplir'!$C$31:$C$400,EL$3)),IF(EL$2="Âge",IF(EL$3="Tous",SUMIFS('Étape 1 - à remplir'!$F$31:$F$400,'Étape 1 - à remplir'!$E$31:$E$400,MASQ2!EC25,'Étape 1 - à remplir'!$G$31:$G$400,"kg"),SUMIFS('Étape 1 - à remplir'!$F$31:$F$400,'Étape 1 - à remplir'!$E$31:$E$400,MASQ2!EC25,'Étape 1 - à remplir'!$P$31:$P$400,EL$3,'Étape 1 - à remplir'!$G$31:$G$400,"kg")),IF(EL$2="Atelier",IF(EL$3="Tous",SUMIFS('Étape 1 - à remplir'!$F$31:$F$400,'Étape 1 - à remplir'!$E$31:$E$400,MASQ2!EC25,'Étape 1 - à remplir'!$G$31:$G$400,"kg"),SUMIFS('Étape 1 - à remplir'!$F$31:$F$400,'Étape 1 - à remplir'!$E$31:$E$400,MASQ2!EC25,'Étape 1 - à remplir'!$O$31:$O$400,EL$3,'Étape 1 - à remplir'!$G$31:$G$400,"kg")),IF(EL$2="Espèce",IF(EL$3="Toutes",SUMIFS('Étape 1 - à remplir'!$F$31:$F$400,'Étape 1 - à remplir'!$E$31:$E$400,MASQ2!EC25,'Étape 1 - à remplir'!$G$31:$G$400,"kg"),SUMIFS('Étape 1 - à remplir'!$F$31:$F$400,'Étape 1 - à remplir'!$E$31:$E$400,MASQ2!EC25,'Étape 1 - à remplir'!$N$31:$N$400,EL$3,'Étape 1 - à remplir'!$G$31:$G$400,"kg"))))))=0,NA(),IF(EL$2="Catégorie",IF(EL$3="Toutes",SUMIFS('Étape 1 - à remplir'!$F$31:$F$400,'Étape 1 - à remplir'!$E$31:$E$400,MASQ2!EC25,'Étape 1 - à remplir'!$G$31:$G$400,"kg"),SUMIFS('Étape 1 - à remplir'!$F$31:$F$400,'Étape 1 - à remplir'!$E$31:$E$400,MASQ2!EC25,'Étape 1 - à remplir'!$C$31:$C$400,EL$3)),IF(EL$2="Âge",IF(EL$3="Tous",SUMIFS('Étape 1 - à remplir'!$F$31:$F$400,'Étape 1 - à remplir'!$E$31:$E$400,MASQ2!EC25,'Étape 1 - à remplir'!$G$31:$G$400,"kg"),SUMIFS('Étape 1 - à remplir'!$F$31:$F$400,'Étape 1 - à remplir'!$E$31:$E$400,MASQ2!EC25,'Étape 1 - à remplir'!$P$31:$P$400,EL$3,'Étape 1 - à remplir'!$G$31:$G$400,"kg")),IF(EL$2="Atelier",IF(EL$3="Tous",SUMIFS('Étape 1 - à remplir'!$F$31:$F$400,'Étape 1 - à remplir'!$E$31:$E$400,MASQ2!EC25,'Étape 1 - à remplir'!$G$31:$G$400,"kg"),SUMIFS('Étape 1 - à remplir'!$F$31:$F$400,'Étape 1 - à remplir'!$E$31:$E$400,MASQ2!EC25,'Étape 1 - à remplir'!$O$31:$O$400,EL$3,'Étape 1 - à remplir'!$G$31:$G$400,"kg")),IF(EL$2="Espèce",IF(EL$3="Toutes",SUMIFS('Étape 1 - à remplir'!$F$31:$F$400,'Étape 1 - à remplir'!$E$31:$E$400,MASQ2!EC25,'Étape 1 - à remplir'!$G$31:$G$400,"kg"),SUMIFS('Étape 1 - à remplir'!$F$31:$F$400,'Étape 1 - à remplir'!$E$31:$E$400,MASQ2!EC25,'Étape 1 - à remplir'!$N$31:$N$400,EL$3,'Étape 1 - à remplir'!$G$31:$G$400,"kg")))))))</f>
        <v>#N/A</v>
      </c>
      <c r="EE25" s="76">
        <f t="shared" si="53"/>
        <v>0</v>
      </c>
      <c r="EF25" t="str">
        <f t="shared" si="20"/>
        <v>Doxycycline</v>
      </c>
      <c r="EG25" t="str">
        <f t="shared" si="21"/>
        <v/>
      </c>
      <c r="EH25" t="str">
        <f t="shared" si="22"/>
        <v/>
      </c>
      <c r="EI25" t="str">
        <f t="shared" si="23"/>
        <v>Tetracyclines</v>
      </c>
      <c r="EJ25" t="str">
        <f t="shared" si="24"/>
        <v/>
      </c>
      <c r="EK25" s="63" t="str">
        <f t="shared" si="25"/>
        <v/>
      </c>
      <c r="EN25" s="42">
        <v>22</v>
      </c>
      <c r="EO25" t="e">
        <f t="shared" si="68"/>
        <v>#N/A</v>
      </c>
      <c r="EP25" s="63" t="e">
        <f t="shared" si="69"/>
        <v>#N/A</v>
      </c>
      <c r="ER25" s="194" t="str">
        <f t="shared" si="26"/>
        <v/>
      </c>
      <c r="ES25" s="226" t="str">
        <f>IFERROR(IF(EU25=0,"",COUNTIF(EU$4:EU$64,"&gt;"&amp;EU25)+COUNTIF(EU$4:EU25,EU25)),"")</f>
        <v/>
      </c>
      <c r="ET25" t="str">
        <f t="shared" si="27"/>
        <v>Erythromycine</v>
      </c>
      <c r="EU25" s="76" t="e">
        <f t="shared" si="56"/>
        <v>#N/A</v>
      </c>
      <c r="EV25">
        <v>22</v>
      </c>
      <c r="EW25" t="e">
        <f t="shared" si="57"/>
        <v>#N/A</v>
      </c>
      <c r="EX25" s="63" t="e">
        <f t="shared" si="58"/>
        <v>#N/A</v>
      </c>
      <c r="EZ25" s="14" t="str">
        <f t="shared" si="28"/>
        <v/>
      </c>
      <c r="FA25" s="14"/>
      <c r="FG25" s="76" t="str">
        <f>IFERROR(IF(FH25="","",COUNTIF(FH$18:FH$27,"&lt;"&amp;FH25)+COUNTIF(FH$18:FH25,FH25))-COUNTBLANK(FH$18:FH$27),"")</f>
        <v/>
      </c>
      <c r="FH25" s="128" t="str">
        <f t="shared" si="83"/>
        <v/>
      </c>
      <c r="FJ25" s="122" t="str">
        <f>IFERROR(IF(FK25="","",COUNTIF(FK$18:FK$27,"&lt;"&amp;FK25)+COUNTIF(FK$18:FK25,FK25))-COUNTBLANK(FK$18:FK$27),"")</f>
        <v/>
      </c>
      <c r="FK25" s="109" t="str">
        <f>IF('Étape 1 - à remplir'!G26="kg",'Étape 1 - à remplir'!E26,"")</f>
        <v/>
      </c>
      <c r="FL25" s="109" t="e">
        <f>INDEX(FJ$18:FK$27,MATCH(8,FJ$18:FJ$27,0),2)</f>
        <v>#N/A</v>
      </c>
      <c r="FM25" s="109" t="e">
        <f t="shared" si="91"/>
        <v>#N/A</v>
      </c>
      <c r="FN25" s="123" t="e">
        <f>IF(FM25="","",MAX(FN$17:FN24)+1)</f>
        <v>#N/A</v>
      </c>
      <c r="FP25" s="122" t="str">
        <f>IFERROR(IF(FQ25="","",COUNTIF(FQ$18:FQ$27,"&lt;"&amp;FQ25)+COUNTIF(FQ$18:FQ25,FQ25))-COUNTBLANK(FQ$18:FQ$27),"")</f>
        <v/>
      </c>
      <c r="FQ25" s="109" t="str">
        <f>IF('Étape 1 - à remplir'!G26="kg",'Étape 1 - à remplir'!D26,"")</f>
        <v/>
      </c>
      <c r="FR25" s="109" t="e">
        <f>INDEX(FP$18:FQ$27,MATCH(8,FP$18:FP$27,0),2)</f>
        <v>#N/A</v>
      </c>
      <c r="FS25" s="109" t="e">
        <f t="shared" si="92"/>
        <v>#N/A</v>
      </c>
      <c r="FT25" s="123" t="e">
        <f>IF(FS25="","",MAX(FT$17:FT24)+1)</f>
        <v>#N/A</v>
      </c>
    </row>
    <row r="26" spans="1:177" x14ac:dyDescent="0.3">
      <c r="B26" s="42"/>
      <c r="M26" s="194" t="str">
        <f ca="1">INDEX(Données_ATB!BD:BU,MATCH(MASQ2!O26,Données_ATB!BD:BD,0),18)</f>
        <v/>
      </c>
      <c r="N26" s="14" t="str">
        <f>IFERROR(IF(Q26=0,"",COUNTIF(Q$4:Q$600,"&gt;"&amp;Q26)+COUNTIF(Q$4:Q26,Q26)),"")</f>
        <v/>
      </c>
      <c r="O26" t="str">
        <f>Données_ATB!BD25</f>
        <v>AMATIB 697 MG/G POUDRE ORALE POUR PORCS ET POULES</v>
      </c>
      <c r="P26" t="e">
        <f>IF(IF(X$2="Catégorie",IF(X$3="Toutes",SUMIFS('Étape 1 - à remplir'!$F$31:$F$400,'Étape 1 - à remplir'!$E$31:$E$400,MASQ2!O26,'Étape 1 - à remplir'!$G$31:$G$400,"animaux"),SUMIFS('Étape 1 - à remplir'!$F$31:$F$400,'Étape 1 - à remplir'!$E$31:$E$400,MASQ2!O26,'Étape 1 - à remplir'!$C$31:$C$400,X$3)),IF(X$2="Âge",IF(X$3="Tous",SUMIFS('Étape 1 - à remplir'!$F$31:$F$400,'Étape 1 - à remplir'!$E$31:$E$400,MASQ2!O26,'Étape 1 - à remplir'!$G$31:$G$400,"animaux"),SUMIFS('Étape 1 - à remplir'!$F$31:$F$400,'Étape 1 - à remplir'!$E$31:$E$400,MASQ2!O26,'Étape 1 - à remplir'!$P$31:$P$400,X$3)),IF(X$2="Atelier",IF(X$3="Tous",SUMIFS('Étape 1 - à remplir'!$F$31:$F$400,'Étape 1 - à remplir'!$E$31:$E$400,MASQ2!O26,'Étape 1 - à remplir'!$G$31:$G$400,"animaux"),SUMIFS('Étape 1 - à remplir'!$F$31:$F$400,'Étape 1 - à remplir'!$E$31:$E$400,MASQ2!O26,'Étape 1 - à remplir'!$O$31:$O$400,X$3)),IF(X$2="Espèce",IF(X$3="Toutes",SUMIFS('Étape 1 - à remplir'!$F$31:$F$400,'Étape 1 - à remplir'!$E$31:$E$400,MASQ2!O26,'Étape 1 - à remplir'!$G$31:$G$400,"animaux"),SUMIFS('Étape 1 - à remplir'!$F$31:$F$400,'Étape 1 - à remplir'!$E$31:$E$400,MASQ2!O26,'Étape 1 - à remplir'!$N$31:$N$400,X$3))))))=0,NA(),IF(X$2="Catégorie",IF(X$3="Toutes",SUMIFS('Étape 1 - à remplir'!$F$31:$F$400,'Étape 1 - à remplir'!$E$31:$E$400,MASQ2!O26,'Étape 1 - à remplir'!$G$31:$G$400,"animaux"),SUMIFS('Étape 1 - à remplir'!$F$31:$F$400,'Étape 1 - à remplir'!$E$31:$E$400,MASQ2!O26,'Étape 1 - à remplir'!$C$31:$C$400,X$3)),IF(X$2="Âge",IF(X$3="Tous",SUMIFS('Étape 1 - à remplir'!$F$31:$F$400,'Étape 1 - à remplir'!$E$31:$E$400,MASQ2!O26,'Étape 1 - à remplir'!$G$31:$G$400,"animaux"),SUMIFS('Étape 1 - à remplir'!$F$31:$F$400,'Étape 1 - à remplir'!$E$31:$E$400,MASQ2!O26,'Étape 1 - à remplir'!$P$31:$P$400,X$3)),IF(X$2="Atelier",IF(X$3="Tous",SUMIFS('Étape 1 - à remplir'!$F$31:$F$400,'Étape 1 - à remplir'!$E$31:$E$400,MASQ2!O26,'Étape 1 - à remplir'!$G$31:$G$400,"animaux"),SUMIFS('Étape 1 - à remplir'!$F$31:$F$400,'Étape 1 - à remplir'!$E$31:$E$400,MASQ2!O26,'Étape 1 - à remplir'!$O$31:$O$400,X$3)),IF(X$2="Espèce",IF(X$3="Toutes",SUMIFS('Étape 1 - à remplir'!$F$31:$F$400,'Étape 1 - à remplir'!$E$31:$E$400,MASQ2!O26,'Étape 1 - à remplir'!$G$31:$G$400,"animaux"),SUMIFS('Étape 1 - à remplir'!$F$31:$F$400,'Étape 1 - à remplir'!$E$31:$E$400,MASQ2!O26,'Étape 1 - à remplir'!$N$31:$N$400,X$3)))))))</f>
        <v>#N/A</v>
      </c>
      <c r="Q26" s="63">
        <f t="shared" si="62"/>
        <v>0</v>
      </c>
      <c r="R26" t="str">
        <f>Données_ATB!BM25</f>
        <v>Amoxicilline</v>
      </c>
      <c r="S26" t="str">
        <f>Données_ATB!BN25</f>
        <v/>
      </c>
      <c r="T26" s="63" t="str">
        <f>Données_ATB!BO25</f>
        <v/>
      </c>
      <c r="U26" s="42" t="str">
        <f>Données_ATB!BQ25</f>
        <v>Penicillines</v>
      </c>
      <c r="V26" t="str">
        <f>Données_ATB!BR25</f>
        <v/>
      </c>
      <c r="W26" s="63" t="str">
        <f>Données_ATB!BS25</f>
        <v/>
      </c>
      <c r="Z26" s="42">
        <v>23</v>
      </c>
      <c r="AA26" t="e">
        <f t="shared" si="32"/>
        <v>#N/A</v>
      </c>
      <c r="AB26" s="63" t="e">
        <f t="shared" si="33"/>
        <v>#N/A</v>
      </c>
      <c r="AD26" s="194" t="str">
        <f>IF(AF26="Colistine","x",IF(INDEX(Données_ATB!CA$3:CB$63,MATCH(AF26,Données_ATB!CA$3:CA$63,0),2)="Fluoroquinolones","x",IF(INDEX(Données_ATB!CA$3:CB$63,MATCH(AF26,Données_ATB!CA$3:CA$63,0),2)="Cephalosporines 3&amp;4G","x","")))</f>
        <v/>
      </c>
      <c r="AE26" s="219" t="str">
        <f>IFERROR(IF(AG26=0,"",COUNTIF(AG$4:AG$64,"&gt;"&amp;AG26)+COUNTIF(AG$4:AG26,AG26)),"")</f>
        <v/>
      </c>
      <c r="AF26" s="42" t="str">
        <f>Données_ATB!CA25</f>
        <v>Florfénicol</v>
      </c>
      <c r="AG26" s="63" t="e">
        <f t="shared" si="34"/>
        <v>#N/A</v>
      </c>
      <c r="AH26" s="42">
        <v>23</v>
      </c>
      <c r="AI26" t="e">
        <f t="shared" si="35"/>
        <v>#N/A</v>
      </c>
      <c r="AJ26" s="63" t="e">
        <f t="shared" si="36"/>
        <v>#N/A</v>
      </c>
      <c r="AL26" s="14" t="str">
        <f t="shared" si="86"/>
        <v/>
      </c>
      <c r="AS26" s="76" t="str">
        <f>IFERROR(IF(AT26="","",COUNTIF(AT$18:AT$27,"&lt;"&amp;AT26)+COUNTIF(AT$18:AT26,AT26))-COUNTBLANK(AT$18:AT$27),"")</f>
        <v/>
      </c>
      <c r="AT26" s="128" t="str">
        <f t="shared" si="79"/>
        <v/>
      </c>
      <c r="AV26" s="122" t="str">
        <f>IFERROR(IF(AW26="","",COUNTIF(AW$18:AW$27,"&lt;"&amp;AW26)+COUNTIF(AW$18:AW26,AW26))-COUNTBLANK(AW$18:AW$27),"")</f>
        <v/>
      </c>
      <c r="AW26" t="str">
        <f>IF('Étape 1 - à remplir'!G27="animaux",'Étape 1 - à remplir'!E27,"")</f>
        <v/>
      </c>
      <c r="AX26" s="109" t="e">
        <f>INDEX(AV$18:AW$27,MATCH(9,AV$18:AV$27,0),2)</f>
        <v>#N/A</v>
      </c>
      <c r="AY26" t="e">
        <f t="shared" si="87"/>
        <v>#N/A</v>
      </c>
      <c r="AZ26" s="123" t="e">
        <f>IF(AY26="","",MAX(AZ$17:AZ25)+1)</f>
        <v>#N/A</v>
      </c>
      <c r="BB26" s="122" t="str">
        <f>IFERROR(IF(BC26="","",COUNTIF(BC$18:BC$27,"&lt;"&amp;BC26)+COUNTIF(BC$18:BC26,BC26))-COUNTBLANK(BC$18:BC$27),"")</f>
        <v/>
      </c>
      <c r="BC26" s="76" t="str">
        <f>IF('Étape 1 - à remplir'!G27="animaux",'Étape 1 - à remplir'!D27,"")</f>
        <v/>
      </c>
      <c r="BD26" t="e">
        <f>INDEX(BB$18:BC$27,MATCH(9,BB$18:BB$27,0),2)</f>
        <v>#N/A</v>
      </c>
      <c r="BE26" s="118" t="e">
        <f t="shared" si="88"/>
        <v>#N/A</v>
      </c>
      <c r="BF26" s="123" t="e">
        <f>IF(BE26="","",MAX(BF$17:BF25)+1)</f>
        <v>#N/A</v>
      </c>
      <c r="BT26" s="194" t="str">
        <f t="shared" ca="1" si="5"/>
        <v/>
      </c>
      <c r="BU26" s="219" t="str">
        <f>IFERROR(IF(BX26=0,"",COUNTIF(BX$4:BX$600,"&gt;"&amp;BX26)+COUNTIF(BX$4:BX26,BX26)),"")</f>
        <v/>
      </c>
      <c r="BV26" s="42" t="str">
        <f t="shared" si="6"/>
        <v>AMATIB 697 MG/G POUDRE ORALE POUR PORCS ET POULES</v>
      </c>
      <c r="BW26" t="e">
        <f>IF(IF(CE$2="Catégorie",IF(CE$3="Toutes",SUMIFS('Étape 1 - à remplir'!$F$31:$F$400,'Étape 1 - à remplir'!$E$31:$E$400,MASQ2!BV26,'Étape 1 - à remplir'!$G$31:$G$400,"lots"),SUMIFS('Étape 1 - à remplir'!$F$31:$F$400,'Étape 1 - à remplir'!$E$31:$E$400,MASQ2!BV26,'Étape 1 - à remplir'!$C$31:$C$400,CE$3)),IF(CE$2="Âge",IF(CE$3="Tous",SUMIFS('Étape 1 - à remplir'!$F$31:$F$400,'Étape 1 - à remplir'!$E$31:$E$400,MASQ2!BV26,'Étape 1 - à remplir'!$G$31:$G$400,"lots"),SUMIFS('Étape 1 - à remplir'!$F$31:$F$400,'Étape 1 - à remplir'!$E$31:$E$400,MASQ2!BV26,'Étape 1 - à remplir'!$P$31:$P$400,CE$3,'Étape 1 - à remplir'!$G$31:$G$400,"lots")),IF(CE$2="Atelier",IF(CE$3="Tous",SUMIFS('Étape 1 - à remplir'!$F$31:$F$400,'Étape 1 - à remplir'!$E$31:$E$400,MASQ2!BV26,'Étape 1 - à remplir'!$G$31:$G$400,"lots"),SUMIFS('Étape 1 - à remplir'!$F$31:$F$400,'Étape 1 - à remplir'!$E$31:$E$400,MASQ2!BV26,'Étape 1 - à remplir'!$O$31:$O$400,CE$3,'Étape 1 - à remplir'!$G$31:$G$400,"lots")),IF(CE$2="Espèce",IF(CE$3="Toutes",SUMIFS('Étape 1 - à remplir'!$F$31:$F$400,'Étape 1 - à remplir'!$E$31:$E$400,MASQ2!BV26,'Étape 1 - à remplir'!$G$31:$G$400,"lots"),SUMIFS('Étape 1 - à remplir'!$F$31:$F$400,'Étape 1 - à remplir'!$E$31:$E$400,MASQ2!BV26,'Étape 1 - à remplir'!$N$31:$N$400,CE$3,'Étape 1 - à remplir'!$G$31:$G$400,"lots"))))))=0,NA(),IF(CE$2="Catégorie",IF(CE$3="Toutes",SUMIFS('Étape 1 - à remplir'!$F$31:$F$400,'Étape 1 - à remplir'!$E$31:$E$400,MASQ2!BV26,'Étape 1 - à remplir'!$G$31:$G$400,"lots"),SUMIFS('Étape 1 - à remplir'!$F$31:$F$400,'Étape 1 - à remplir'!$E$31:$E$400,MASQ2!BV26,'Étape 1 - à remplir'!$C$31:$C$400,CE$3)),IF(CE$2="Âge",IF(CE$3="Tous",SUMIFS('Étape 1 - à remplir'!$F$31:$F$400,'Étape 1 - à remplir'!$E$31:$E$400,MASQ2!BV26,'Étape 1 - à remplir'!$G$31:$G$400,"lots"),SUMIFS('Étape 1 - à remplir'!$F$31:$F$400,'Étape 1 - à remplir'!$E$31:$E$400,MASQ2!BV26,'Étape 1 - à remplir'!$P$31:$P$400,CE$3,'Étape 1 - à remplir'!$G$31:$G$400,"lots")),IF(CE$2="Atelier",IF(CE$3="Tous",SUMIFS('Étape 1 - à remplir'!$F$31:$F$400,'Étape 1 - à remplir'!$E$31:$E$400,MASQ2!BV26,'Étape 1 - à remplir'!$G$31:$G$400,"lots"),SUMIFS('Étape 1 - à remplir'!$F$31:$F$400,'Étape 1 - à remplir'!$E$31:$E$400,MASQ2!BV26,'Étape 1 - à remplir'!$O$31:$O$400,CE$3,'Étape 1 - à remplir'!$G$31:$G$400,"lots")),IF(CE$2="Espèce",IF(CE$3="Toutes",SUMIFS('Étape 1 - à remplir'!$F$31:$F$400,'Étape 1 - à remplir'!$E$31:$E$400,MASQ2!BV26,'Étape 1 - à remplir'!$G$31:$G$400,"lots"),SUMIFS('Étape 1 - à remplir'!$F$31:$F$400,'Étape 1 - à remplir'!$E$31:$E$400,MASQ2!BV26,'Étape 1 - à remplir'!$N$31:$N$400,CE$3,'Étape 1 - à remplir'!$G$31:$G$400,"lots")))))))</f>
        <v>#N/A</v>
      </c>
      <c r="BX26">
        <f t="shared" si="42"/>
        <v>0</v>
      </c>
      <c r="BY26" t="str">
        <f t="shared" si="7"/>
        <v>Amoxicilline</v>
      </c>
      <c r="BZ26" t="str">
        <f t="shared" si="8"/>
        <v/>
      </c>
      <c r="CA26" t="str">
        <f t="shared" si="9"/>
        <v/>
      </c>
      <c r="CB26" t="str">
        <f t="shared" si="10"/>
        <v>Penicillines</v>
      </c>
      <c r="CC26" t="str">
        <f t="shared" si="11"/>
        <v/>
      </c>
      <c r="CD26" s="63" t="str">
        <f t="shared" si="12"/>
        <v/>
      </c>
      <c r="CG26" s="42">
        <v>23</v>
      </c>
      <c r="CH26" s="42" t="e">
        <f t="shared" si="80"/>
        <v>#N/A</v>
      </c>
      <c r="CI26" s="63" t="e">
        <f t="shared" si="81"/>
        <v>#N/A</v>
      </c>
      <c r="CK26" s="194" t="str">
        <f t="shared" si="13"/>
        <v/>
      </c>
      <c r="CL26" s="226" t="str">
        <f>IFERROR(IF(CN26=0,"",COUNTIF(CN$4:CN$64,"&gt;"&amp;CN26)+COUNTIF(CN$4:CN26,CN26)),"")</f>
        <v/>
      </c>
      <c r="CM26" t="str">
        <f t="shared" si="14"/>
        <v>Florfénicol</v>
      </c>
      <c r="CN26" s="76" t="e">
        <f t="shared" si="45"/>
        <v>#N/A</v>
      </c>
      <c r="CO26">
        <v>23</v>
      </c>
      <c r="CP26" t="e">
        <f t="shared" si="46"/>
        <v>#N/A</v>
      </c>
      <c r="CQ26" s="63" t="e">
        <f t="shared" si="47"/>
        <v>#N/A</v>
      </c>
      <c r="CS26" s="14" t="str">
        <f t="shared" ref="CS26:CS27" si="93">IF(CU26="Colistine","x",IF(CU26="Fluoroquinolones","x",IF(CU26="Céphalosporines de 3G","x",IF(CU26="Céphalosporines de 4G","x",""))))</f>
        <v/>
      </c>
      <c r="CT26" s="14"/>
      <c r="CZ26" s="76" t="str">
        <f>IFERROR(IF(DA26="","",COUNTIF(DA$18:DA$27,"&lt;"&amp;DA26)+COUNTIF(DA$18:DA26,DA26))-COUNTBLANK(DA$18:DA$27),"")</f>
        <v/>
      </c>
      <c r="DA26" s="128" t="str">
        <f t="shared" si="82"/>
        <v/>
      </c>
      <c r="DC26" s="122" t="str">
        <f>IFERROR(IF(DD26="","",COUNTIF(DD$18:DD$27,"&lt;"&amp;DD26)+COUNTIF(DD$18:DD26,DD26))-COUNTBLANK(DD$18:DD$27),"")</f>
        <v/>
      </c>
      <c r="DD26" s="109" t="str">
        <f>IF('Étape 1 - à remplir'!G27="lots",'Étape 1 - à remplir'!E27,"")</f>
        <v/>
      </c>
      <c r="DE26" s="109" t="e">
        <f>INDEX(DC$18:DD$27,MATCH(9,DC$18:DC$27,0),2)</f>
        <v>#N/A</v>
      </c>
      <c r="DF26" s="109" t="e">
        <f t="shared" si="89"/>
        <v>#N/A</v>
      </c>
      <c r="DG26" s="123" t="e">
        <f>IF(DF26="","",MAX(DG$17:DG25)+1)</f>
        <v>#N/A</v>
      </c>
      <c r="DI26" s="122" t="str">
        <f>IFERROR(IF(DJ26="","",COUNTIF(DJ$18:DJ$27,"&lt;"&amp;DJ26)+COUNTIF(DJ$18:DJ26,DJ26))-COUNTBLANK(DJ$18:DJ$27),"")</f>
        <v/>
      </c>
      <c r="DJ26" s="109" t="str">
        <f>IF('Étape 1 - à remplir'!G27="lots",'Étape 1 - à remplir'!D27,"")</f>
        <v/>
      </c>
      <c r="DK26" s="109" t="e">
        <f>INDEX(DI$18:DJ$27,MATCH(9,DI$18:DI$27,0),2)</f>
        <v>#N/A</v>
      </c>
      <c r="DL26" s="109" t="e">
        <f t="shared" si="90"/>
        <v>#N/A</v>
      </c>
      <c r="DM26" s="123" t="e">
        <f>IF(DL26="","",MAX(DM$17:DM25)+1)</f>
        <v>#N/A</v>
      </c>
      <c r="EA26" s="194" t="str">
        <f t="shared" ca="1" si="18"/>
        <v/>
      </c>
      <c r="EB26" s="226" t="str">
        <f>IFERROR(IF(ED26=0,"",COUNTIF(ED$4:ED$600,"&gt;"&amp;ED26)+COUNTIF(ED$4:ED26,ED26)),"")</f>
        <v/>
      </c>
      <c r="EC26" t="str">
        <f t="shared" si="19"/>
        <v>AMATIB 697 MG/G POUDRE ORALE POUR PORCS ET POULES</v>
      </c>
      <c r="ED26" t="e">
        <f>IF(IF(EL$2="Catégorie",IF(EL$3="Toutes",SUMIFS('Étape 1 - à remplir'!$F$31:$F$400,'Étape 1 - à remplir'!$E$31:$E$400,MASQ2!EC26,'Étape 1 - à remplir'!$G$31:$G$400,"kg"),SUMIFS('Étape 1 - à remplir'!$F$31:$F$400,'Étape 1 - à remplir'!$E$31:$E$400,MASQ2!EC26,'Étape 1 - à remplir'!$C$31:$C$400,EL$3)),IF(EL$2="Âge",IF(EL$3="Tous",SUMIFS('Étape 1 - à remplir'!$F$31:$F$400,'Étape 1 - à remplir'!$E$31:$E$400,MASQ2!EC26,'Étape 1 - à remplir'!$G$31:$G$400,"kg"),SUMIFS('Étape 1 - à remplir'!$F$31:$F$400,'Étape 1 - à remplir'!$E$31:$E$400,MASQ2!EC26,'Étape 1 - à remplir'!$P$31:$P$400,EL$3,'Étape 1 - à remplir'!$G$31:$G$400,"kg")),IF(EL$2="Atelier",IF(EL$3="Tous",SUMIFS('Étape 1 - à remplir'!$F$31:$F$400,'Étape 1 - à remplir'!$E$31:$E$400,MASQ2!EC26,'Étape 1 - à remplir'!$G$31:$G$400,"kg"),SUMIFS('Étape 1 - à remplir'!$F$31:$F$400,'Étape 1 - à remplir'!$E$31:$E$400,MASQ2!EC26,'Étape 1 - à remplir'!$O$31:$O$400,EL$3,'Étape 1 - à remplir'!$G$31:$G$400,"kg")),IF(EL$2="Espèce",IF(EL$3="Toutes",SUMIFS('Étape 1 - à remplir'!$F$31:$F$400,'Étape 1 - à remplir'!$E$31:$E$400,MASQ2!EC26,'Étape 1 - à remplir'!$G$31:$G$400,"kg"),SUMIFS('Étape 1 - à remplir'!$F$31:$F$400,'Étape 1 - à remplir'!$E$31:$E$400,MASQ2!EC26,'Étape 1 - à remplir'!$N$31:$N$400,EL$3,'Étape 1 - à remplir'!$G$31:$G$400,"kg"))))))=0,NA(),IF(EL$2="Catégorie",IF(EL$3="Toutes",SUMIFS('Étape 1 - à remplir'!$F$31:$F$400,'Étape 1 - à remplir'!$E$31:$E$400,MASQ2!EC26,'Étape 1 - à remplir'!$G$31:$G$400,"kg"),SUMIFS('Étape 1 - à remplir'!$F$31:$F$400,'Étape 1 - à remplir'!$E$31:$E$400,MASQ2!EC26,'Étape 1 - à remplir'!$C$31:$C$400,EL$3)),IF(EL$2="Âge",IF(EL$3="Tous",SUMIFS('Étape 1 - à remplir'!$F$31:$F$400,'Étape 1 - à remplir'!$E$31:$E$400,MASQ2!EC26,'Étape 1 - à remplir'!$G$31:$G$400,"kg"),SUMIFS('Étape 1 - à remplir'!$F$31:$F$400,'Étape 1 - à remplir'!$E$31:$E$400,MASQ2!EC26,'Étape 1 - à remplir'!$P$31:$P$400,EL$3,'Étape 1 - à remplir'!$G$31:$G$400,"kg")),IF(EL$2="Atelier",IF(EL$3="Tous",SUMIFS('Étape 1 - à remplir'!$F$31:$F$400,'Étape 1 - à remplir'!$E$31:$E$400,MASQ2!EC26,'Étape 1 - à remplir'!$G$31:$G$400,"kg"),SUMIFS('Étape 1 - à remplir'!$F$31:$F$400,'Étape 1 - à remplir'!$E$31:$E$400,MASQ2!EC26,'Étape 1 - à remplir'!$O$31:$O$400,EL$3,'Étape 1 - à remplir'!$G$31:$G$400,"kg")),IF(EL$2="Espèce",IF(EL$3="Toutes",SUMIFS('Étape 1 - à remplir'!$F$31:$F$400,'Étape 1 - à remplir'!$E$31:$E$400,MASQ2!EC26,'Étape 1 - à remplir'!$G$31:$G$400,"kg"),SUMIFS('Étape 1 - à remplir'!$F$31:$F$400,'Étape 1 - à remplir'!$E$31:$E$400,MASQ2!EC26,'Étape 1 - à remplir'!$N$31:$N$400,EL$3,'Étape 1 - à remplir'!$G$31:$G$400,"kg")))))))</f>
        <v>#N/A</v>
      </c>
      <c r="EE26" s="76">
        <f t="shared" si="53"/>
        <v>0</v>
      </c>
      <c r="EF26" t="str">
        <f t="shared" si="20"/>
        <v>Amoxicilline</v>
      </c>
      <c r="EG26" t="str">
        <f t="shared" si="21"/>
        <v/>
      </c>
      <c r="EH26" t="str">
        <f t="shared" si="22"/>
        <v/>
      </c>
      <c r="EI26" t="str">
        <f t="shared" si="23"/>
        <v>Penicillines</v>
      </c>
      <c r="EJ26" t="str">
        <f t="shared" si="24"/>
        <v/>
      </c>
      <c r="EK26" s="63" t="str">
        <f t="shared" si="25"/>
        <v/>
      </c>
      <c r="EN26" s="42">
        <v>23</v>
      </c>
      <c r="EO26" t="e">
        <f t="shared" si="68"/>
        <v>#N/A</v>
      </c>
      <c r="EP26" s="63" t="e">
        <f t="shared" si="69"/>
        <v>#N/A</v>
      </c>
      <c r="ER26" s="194" t="str">
        <f t="shared" si="26"/>
        <v/>
      </c>
      <c r="ES26" s="226" t="str">
        <f>IFERROR(IF(EU26=0,"",COUNTIF(EU$4:EU$64,"&gt;"&amp;EU26)+COUNTIF(EU$4:EU26,EU26)),"")</f>
        <v/>
      </c>
      <c r="ET26" t="str">
        <f t="shared" si="27"/>
        <v>Florfénicol</v>
      </c>
      <c r="EU26" s="76" t="e">
        <f t="shared" si="56"/>
        <v>#N/A</v>
      </c>
      <c r="EV26">
        <v>23</v>
      </c>
      <c r="EW26" t="e">
        <f t="shared" si="57"/>
        <v>#N/A</v>
      </c>
      <c r="EX26" s="63" t="e">
        <f t="shared" si="58"/>
        <v>#N/A</v>
      </c>
      <c r="EZ26" s="14" t="str">
        <f t="shared" ref="EZ26:EZ27" si="94">IF(FB26="Colistine","x",IF(FB26="Fluoroquinolones","x",IF(FB26="Céphalosporines de 3G","x",IF(FB26="Céphalosporines de 4G","x",""))))</f>
        <v/>
      </c>
      <c r="FA26" s="14"/>
      <c r="FG26" s="76" t="str">
        <f>IFERROR(IF(FH26="","",COUNTIF(FH$18:FH$27,"&lt;"&amp;FH26)+COUNTIF(FH$18:FH26,FH26))-COUNTBLANK(FH$18:FH$27),"")</f>
        <v/>
      </c>
      <c r="FH26" s="128" t="str">
        <f t="shared" si="83"/>
        <v/>
      </c>
      <c r="FJ26" s="122" t="str">
        <f>IFERROR(IF(FK26="","",COUNTIF(FK$18:FK$27,"&lt;"&amp;FK26)+COUNTIF(FK$18:FK26,FK26))-COUNTBLANK(FK$18:FK$27),"")</f>
        <v/>
      </c>
      <c r="FK26" s="109" t="str">
        <f>IF('Étape 1 - à remplir'!G27="kg",'Étape 1 - à remplir'!E27,"")</f>
        <v/>
      </c>
      <c r="FL26" s="109" t="e">
        <f>INDEX(FJ$18:FK$27,MATCH(9,FJ$18:FJ$27,0),2)</f>
        <v>#N/A</v>
      </c>
      <c r="FM26" s="109" t="e">
        <f t="shared" si="91"/>
        <v>#N/A</v>
      </c>
      <c r="FN26" s="123" t="e">
        <f>IF(FM26="","",MAX(FN$17:FN25)+1)</f>
        <v>#N/A</v>
      </c>
      <c r="FP26" s="122" t="str">
        <f>IFERROR(IF(FQ26="","",COUNTIF(FQ$18:FQ$27,"&lt;"&amp;FQ26)+COUNTIF(FQ$18:FQ26,FQ26))-COUNTBLANK(FQ$18:FQ$27),"")</f>
        <v/>
      </c>
      <c r="FQ26" s="109" t="str">
        <f>IF('Étape 1 - à remplir'!G27="kg",'Étape 1 - à remplir'!D27,"")</f>
        <v/>
      </c>
      <c r="FR26" s="109" t="e">
        <f>INDEX(FP$18:FQ$27,MATCH(9,FP$18:FP$27,0),2)</f>
        <v>#N/A</v>
      </c>
      <c r="FS26" s="109" t="e">
        <f t="shared" si="92"/>
        <v>#N/A</v>
      </c>
      <c r="FT26" s="123" t="e">
        <f>IF(FS26="","",MAX(FT$17:FT25)+1)</f>
        <v>#N/A</v>
      </c>
    </row>
    <row r="27" spans="1:177" ht="15" thickBot="1" x14ac:dyDescent="0.35">
      <c r="B27" s="42"/>
      <c r="M27" s="194" t="str">
        <f ca="1">INDEX(Données_ATB!BD:BU,MATCH(MASQ2!O27,Données_ATB!BD:BD,0),18)</f>
        <v/>
      </c>
      <c r="N27" s="14" t="str">
        <f>IFERROR(IF(Q27=0,"",COUNTIF(Q$4:Q$600,"&gt;"&amp;Q27)+COUNTIF(Q$4:Q27,Q27)),"")</f>
        <v/>
      </c>
      <c r="O27" t="str">
        <f>Données_ATB!BD26</f>
        <v>AMDOCYL 697 MG/G POUDRE ORALE POUR PORCS ET POULETS</v>
      </c>
      <c r="P27" t="e">
        <f>IF(IF(X$2="Catégorie",IF(X$3="Toutes",SUMIFS('Étape 1 - à remplir'!$F$31:$F$400,'Étape 1 - à remplir'!$E$31:$E$400,MASQ2!O27,'Étape 1 - à remplir'!$G$31:$G$400,"animaux"),SUMIFS('Étape 1 - à remplir'!$F$31:$F$400,'Étape 1 - à remplir'!$E$31:$E$400,MASQ2!O27,'Étape 1 - à remplir'!$C$31:$C$400,X$3)),IF(X$2="Âge",IF(X$3="Tous",SUMIFS('Étape 1 - à remplir'!$F$31:$F$400,'Étape 1 - à remplir'!$E$31:$E$400,MASQ2!O27,'Étape 1 - à remplir'!$G$31:$G$400,"animaux"),SUMIFS('Étape 1 - à remplir'!$F$31:$F$400,'Étape 1 - à remplir'!$E$31:$E$400,MASQ2!O27,'Étape 1 - à remplir'!$P$31:$P$400,X$3)),IF(X$2="Atelier",IF(X$3="Tous",SUMIFS('Étape 1 - à remplir'!$F$31:$F$400,'Étape 1 - à remplir'!$E$31:$E$400,MASQ2!O27,'Étape 1 - à remplir'!$G$31:$G$400,"animaux"),SUMIFS('Étape 1 - à remplir'!$F$31:$F$400,'Étape 1 - à remplir'!$E$31:$E$400,MASQ2!O27,'Étape 1 - à remplir'!$O$31:$O$400,X$3)),IF(X$2="Espèce",IF(X$3="Toutes",SUMIFS('Étape 1 - à remplir'!$F$31:$F$400,'Étape 1 - à remplir'!$E$31:$E$400,MASQ2!O27,'Étape 1 - à remplir'!$G$31:$G$400,"animaux"),SUMIFS('Étape 1 - à remplir'!$F$31:$F$400,'Étape 1 - à remplir'!$E$31:$E$400,MASQ2!O27,'Étape 1 - à remplir'!$N$31:$N$400,X$3))))))=0,NA(),IF(X$2="Catégorie",IF(X$3="Toutes",SUMIFS('Étape 1 - à remplir'!$F$31:$F$400,'Étape 1 - à remplir'!$E$31:$E$400,MASQ2!O27,'Étape 1 - à remplir'!$G$31:$G$400,"animaux"),SUMIFS('Étape 1 - à remplir'!$F$31:$F$400,'Étape 1 - à remplir'!$E$31:$E$400,MASQ2!O27,'Étape 1 - à remplir'!$C$31:$C$400,X$3)),IF(X$2="Âge",IF(X$3="Tous",SUMIFS('Étape 1 - à remplir'!$F$31:$F$400,'Étape 1 - à remplir'!$E$31:$E$400,MASQ2!O27,'Étape 1 - à remplir'!$G$31:$G$400,"animaux"),SUMIFS('Étape 1 - à remplir'!$F$31:$F$400,'Étape 1 - à remplir'!$E$31:$E$400,MASQ2!O27,'Étape 1 - à remplir'!$P$31:$P$400,X$3)),IF(X$2="Atelier",IF(X$3="Tous",SUMIFS('Étape 1 - à remplir'!$F$31:$F$400,'Étape 1 - à remplir'!$E$31:$E$400,MASQ2!O27,'Étape 1 - à remplir'!$G$31:$G$400,"animaux"),SUMIFS('Étape 1 - à remplir'!$F$31:$F$400,'Étape 1 - à remplir'!$E$31:$E$400,MASQ2!O27,'Étape 1 - à remplir'!$O$31:$O$400,X$3)),IF(X$2="Espèce",IF(X$3="Toutes",SUMIFS('Étape 1 - à remplir'!$F$31:$F$400,'Étape 1 - à remplir'!$E$31:$E$400,MASQ2!O27,'Étape 1 - à remplir'!$G$31:$G$400,"animaux"),SUMIFS('Étape 1 - à remplir'!$F$31:$F$400,'Étape 1 - à remplir'!$E$31:$E$400,MASQ2!O27,'Étape 1 - à remplir'!$N$31:$N$400,X$3)))))))</f>
        <v>#N/A</v>
      </c>
      <c r="Q27" s="63">
        <f t="shared" si="62"/>
        <v>0</v>
      </c>
      <c r="R27" t="str">
        <f>Données_ATB!BM26</f>
        <v>Amoxicilline</v>
      </c>
      <c r="S27" t="str">
        <f>Données_ATB!BN26</f>
        <v/>
      </c>
      <c r="T27" s="63" t="str">
        <f>Données_ATB!BO26</f>
        <v/>
      </c>
      <c r="U27" s="42" t="str">
        <f>Données_ATB!BQ26</f>
        <v>Penicillines</v>
      </c>
      <c r="V27" t="str">
        <f>Données_ATB!BR26</f>
        <v/>
      </c>
      <c r="W27" s="63" t="str">
        <f>Données_ATB!BS26</f>
        <v/>
      </c>
      <c r="Z27" s="42">
        <v>24</v>
      </c>
      <c r="AA27" t="e">
        <f t="shared" si="32"/>
        <v>#N/A</v>
      </c>
      <c r="AB27" s="63" t="e">
        <f t="shared" si="33"/>
        <v>#N/A</v>
      </c>
      <c r="AD27" s="194" t="str">
        <f>IF(AF27="Colistine","x",IF(INDEX(Données_ATB!CA$3:CB$63,MATCH(AF27,Données_ATB!CA$3:CA$63,0),2)="Fluoroquinolones","x",IF(INDEX(Données_ATB!CA$3:CB$63,MATCH(AF27,Données_ATB!CA$3:CA$63,0),2)="Cephalosporines 3&amp;4G","x","")))</f>
        <v/>
      </c>
      <c r="AE27" s="219" t="str">
        <f>IFERROR(IF(AG27=0,"",COUNTIF(AG$4:AG$64,"&gt;"&amp;AG27)+COUNTIF(AG$4:AG27,AG27)),"")</f>
        <v/>
      </c>
      <c r="AF27" s="42" t="str">
        <f>Données_ATB!CA26</f>
        <v>Fluméquine</v>
      </c>
      <c r="AG27" s="63" t="e">
        <f t="shared" si="34"/>
        <v>#N/A</v>
      </c>
      <c r="AH27" s="42">
        <v>24</v>
      </c>
      <c r="AI27" t="e">
        <f t="shared" si="35"/>
        <v>#N/A</v>
      </c>
      <c r="AJ27" s="63" t="e">
        <f t="shared" si="36"/>
        <v>#N/A</v>
      </c>
      <c r="AL27" s="14" t="str">
        <f t="shared" si="86"/>
        <v/>
      </c>
      <c r="AS27" s="76" t="str">
        <f>IFERROR(IF(AT27="","",COUNTIF(AT$18:AT$27,"&lt;"&amp;AT27)+COUNTIF(AT$18:AT27,AT27))-COUNTBLANK(AT$18:AT$27),"")</f>
        <v/>
      </c>
      <c r="AT27" s="129" t="str">
        <f t="shared" si="79"/>
        <v/>
      </c>
      <c r="AV27" s="124" t="str">
        <f>IFERROR(IF(AW27="","",COUNTIF(AW$18:AW$27,"&lt;"&amp;AW27)+COUNTIF(AW$18:AW27,AW27))-COUNTBLANK(AW$18:AW$27),"")</f>
        <v/>
      </c>
      <c r="AW27" s="64" t="str">
        <f>IF('Étape 1 - à remplir'!G28="animaux",'Étape 1 - à remplir'!E28,"")</f>
        <v/>
      </c>
      <c r="AX27" s="222" t="e">
        <f>INDEX(AV$18:AW$27,MATCH(10,AV$18:AV$27,0),2)</f>
        <v>#N/A</v>
      </c>
      <c r="AY27" s="64" t="e">
        <f t="shared" si="87"/>
        <v>#N/A</v>
      </c>
      <c r="AZ27" s="125" t="e">
        <f>IF(AY27="","",MAX(AZ$17:AZ26)+1)</f>
        <v>#N/A</v>
      </c>
      <c r="BB27" s="124" t="str">
        <f>IFERROR(IF(BC27="","",COUNTIF(BC$18:BC$27,"&lt;"&amp;BC27)+COUNTIF(BC$18:BC27,BC27))-COUNTBLANK(BC$18:BC$27),"")</f>
        <v/>
      </c>
      <c r="BC27" s="77" t="str">
        <f>IF('Étape 1 - à remplir'!G28="animaux",'Étape 1 - à remplir'!D28,"")</f>
        <v/>
      </c>
      <c r="BD27" s="64" t="e">
        <f>INDEX(BB$18:BC$27,MATCH(10,BB$18:BB$27,0),2)</f>
        <v>#N/A</v>
      </c>
      <c r="BE27" s="136" t="e">
        <f t="shared" si="88"/>
        <v>#N/A</v>
      </c>
      <c r="BF27" s="125" t="e">
        <f>IF(BE27="","",MAX(BF$17:BF26)+1)</f>
        <v>#N/A</v>
      </c>
      <c r="BT27" s="194" t="str">
        <f t="shared" ca="1" si="5"/>
        <v/>
      </c>
      <c r="BU27" s="219" t="str">
        <f>IFERROR(IF(BX27=0,"",COUNTIF(BX$4:BX$600,"&gt;"&amp;BX27)+COUNTIF(BX$4:BX27,BX27)),"")</f>
        <v/>
      </c>
      <c r="BV27" s="42" t="str">
        <f t="shared" si="6"/>
        <v>AMDOCYL 697 MG/G POUDRE ORALE POUR PORCS ET POULETS</v>
      </c>
      <c r="BW27" t="e">
        <f>IF(IF(CE$2="Catégorie",IF(CE$3="Toutes",SUMIFS('Étape 1 - à remplir'!$F$31:$F$400,'Étape 1 - à remplir'!$E$31:$E$400,MASQ2!BV27,'Étape 1 - à remplir'!$G$31:$G$400,"lots"),SUMIFS('Étape 1 - à remplir'!$F$31:$F$400,'Étape 1 - à remplir'!$E$31:$E$400,MASQ2!BV27,'Étape 1 - à remplir'!$C$31:$C$400,CE$3)),IF(CE$2="Âge",IF(CE$3="Tous",SUMIFS('Étape 1 - à remplir'!$F$31:$F$400,'Étape 1 - à remplir'!$E$31:$E$400,MASQ2!BV27,'Étape 1 - à remplir'!$G$31:$G$400,"lots"),SUMIFS('Étape 1 - à remplir'!$F$31:$F$400,'Étape 1 - à remplir'!$E$31:$E$400,MASQ2!BV27,'Étape 1 - à remplir'!$P$31:$P$400,CE$3,'Étape 1 - à remplir'!$G$31:$G$400,"lots")),IF(CE$2="Atelier",IF(CE$3="Tous",SUMIFS('Étape 1 - à remplir'!$F$31:$F$400,'Étape 1 - à remplir'!$E$31:$E$400,MASQ2!BV27,'Étape 1 - à remplir'!$G$31:$G$400,"lots"),SUMIFS('Étape 1 - à remplir'!$F$31:$F$400,'Étape 1 - à remplir'!$E$31:$E$400,MASQ2!BV27,'Étape 1 - à remplir'!$O$31:$O$400,CE$3,'Étape 1 - à remplir'!$G$31:$G$400,"lots")),IF(CE$2="Espèce",IF(CE$3="Toutes",SUMIFS('Étape 1 - à remplir'!$F$31:$F$400,'Étape 1 - à remplir'!$E$31:$E$400,MASQ2!BV27,'Étape 1 - à remplir'!$G$31:$G$400,"lots"),SUMIFS('Étape 1 - à remplir'!$F$31:$F$400,'Étape 1 - à remplir'!$E$31:$E$400,MASQ2!BV27,'Étape 1 - à remplir'!$N$31:$N$400,CE$3,'Étape 1 - à remplir'!$G$31:$G$400,"lots"))))))=0,NA(),IF(CE$2="Catégorie",IF(CE$3="Toutes",SUMIFS('Étape 1 - à remplir'!$F$31:$F$400,'Étape 1 - à remplir'!$E$31:$E$400,MASQ2!BV27,'Étape 1 - à remplir'!$G$31:$G$400,"lots"),SUMIFS('Étape 1 - à remplir'!$F$31:$F$400,'Étape 1 - à remplir'!$E$31:$E$400,MASQ2!BV27,'Étape 1 - à remplir'!$C$31:$C$400,CE$3)),IF(CE$2="Âge",IF(CE$3="Tous",SUMIFS('Étape 1 - à remplir'!$F$31:$F$400,'Étape 1 - à remplir'!$E$31:$E$400,MASQ2!BV27,'Étape 1 - à remplir'!$G$31:$G$400,"lots"),SUMIFS('Étape 1 - à remplir'!$F$31:$F$400,'Étape 1 - à remplir'!$E$31:$E$400,MASQ2!BV27,'Étape 1 - à remplir'!$P$31:$P$400,CE$3,'Étape 1 - à remplir'!$G$31:$G$400,"lots")),IF(CE$2="Atelier",IF(CE$3="Tous",SUMIFS('Étape 1 - à remplir'!$F$31:$F$400,'Étape 1 - à remplir'!$E$31:$E$400,MASQ2!BV27,'Étape 1 - à remplir'!$G$31:$G$400,"lots"),SUMIFS('Étape 1 - à remplir'!$F$31:$F$400,'Étape 1 - à remplir'!$E$31:$E$400,MASQ2!BV27,'Étape 1 - à remplir'!$O$31:$O$400,CE$3,'Étape 1 - à remplir'!$G$31:$G$400,"lots")),IF(CE$2="Espèce",IF(CE$3="Toutes",SUMIFS('Étape 1 - à remplir'!$F$31:$F$400,'Étape 1 - à remplir'!$E$31:$E$400,MASQ2!BV27,'Étape 1 - à remplir'!$G$31:$G$400,"lots"),SUMIFS('Étape 1 - à remplir'!$F$31:$F$400,'Étape 1 - à remplir'!$E$31:$E$400,MASQ2!BV27,'Étape 1 - à remplir'!$N$31:$N$400,CE$3,'Étape 1 - à remplir'!$G$31:$G$400,"lots")))))))</f>
        <v>#N/A</v>
      </c>
      <c r="BX27">
        <f t="shared" si="42"/>
        <v>0</v>
      </c>
      <c r="BY27" t="str">
        <f t="shared" si="7"/>
        <v>Amoxicilline</v>
      </c>
      <c r="BZ27" t="str">
        <f t="shared" si="8"/>
        <v/>
      </c>
      <c r="CA27" t="str">
        <f t="shared" si="9"/>
        <v/>
      </c>
      <c r="CB27" t="str">
        <f t="shared" si="10"/>
        <v>Penicillines</v>
      </c>
      <c r="CC27" t="str">
        <f t="shared" si="11"/>
        <v/>
      </c>
      <c r="CD27" s="63" t="str">
        <f t="shared" si="12"/>
        <v/>
      </c>
      <c r="CG27" s="42">
        <v>24</v>
      </c>
      <c r="CH27" s="42" t="e">
        <f t="shared" si="80"/>
        <v>#N/A</v>
      </c>
      <c r="CI27" s="63" t="e">
        <f t="shared" si="81"/>
        <v>#N/A</v>
      </c>
      <c r="CK27" s="194" t="str">
        <f t="shared" si="13"/>
        <v/>
      </c>
      <c r="CL27" s="226" t="str">
        <f>IFERROR(IF(CN27=0,"",COUNTIF(CN$4:CN$64,"&gt;"&amp;CN27)+COUNTIF(CN$4:CN27,CN27)),"")</f>
        <v/>
      </c>
      <c r="CM27" t="str">
        <f t="shared" si="14"/>
        <v>Fluméquine</v>
      </c>
      <c r="CN27" s="76" t="e">
        <f t="shared" si="45"/>
        <v>#N/A</v>
      </c>
      <c r="CO27">
        <v>24</v>
      </c>
      <c r="CP27" t="e">
        <f t="shared" si="46"/>
        <v>#N/A</v>
      </c>
      <c r="CQ27" s="63" t="e">
        <f t="shared" si="47"/>
        <v>#N/A</v>
      </c>
      <c r="CS27" s="14" t="str">
        <f t="shared" si="93"/>
        <v/>
      </c>
      <c r="CT27" s="14"/>
      <c r="CZ27" s="76" t="str">
        <f>IFERROR(IF(DA27="","",COUNTIF(DA$18:DA$27,"&lt;"&amp;DA27)+COUNTIF(DA$18:DA27,DA27))-COUNTBLANK(DA$18:DA$27),"")</f>
        <v/>
      </c>
      <c r="DA27" s="129" t="str">
        <f t="shared" si="82"/>
        <v/>
      </c>
      <c r="DC27" s="124" t="str">
        <f>IFERROR(IF(DD27="","",COUNTIF(DD$18:DD$27,"&lt;"&amp;DD27)+COUNTIF(DD$18:DD27,DD27))-COUNTBLANK(DD$18:DD$27),"")</f>
        <v/>
      </c>
      <c r="DD27" s="222" t="str">
        <f>IF('Étape 1 - à remplir'!G28="lots",'Étape 1 - à remplir'!E28,"")</f>
        <v/>
      </c>
      <c r="DE27" s="222" t="e">
        <f>INDEX(DC$18:DD$27,MATCH(10,DC$18:DC$27,0),2)</f>
        <v>#N/A</v>
      </c>
      <c r="DF27" s="222" t="e">
        <f t="shared" si="89"/>
        <v>#N/A</v>
      </c>
      <c r="DG27" s="125" t="e">
        <f>IF(DF27="","",MAX(DG$17:DG26)+1)</f>
        <v>#N/A</v>
      </c>
      <c r="DI27" s="124" t="str">
        <f>IFERROR(IF(DJ27="","",COUNTIF(DJ$18:DJ$27,"&lt;"&amp;DJ27)+COUNTIF(DJ$18:DJ27,DJ27))-COUNTBLANK(DJ$18:DJ$27),"")</f>
        <v/>
      </c>
      <c r="DJ27" s="222" t="str">
        <f>IF('Étape 1 - à remplir'!G28="lots",'Étape 1 - à remplir'!D28,"")</f>
        <v/>
      </c>
      <c r="DK27" s="222" t="e">
        <f>INDEX(DI$18:DJ$27,MATCH(10,DI$18:DI$27,0),2)</f>
        <v>#N/A</v>
      </c>
      <c r="DL27" s="222" t="e">
        <f t="shared" si="90"/>
        <v>#N/A</v>
      </c>
      <c r="DM27" s="125" t="e">
        <f>IF(DL27="","",MAX(DM$17:DM26)+1)</f>
        <v>#N/A</v>
      </c>
      <c r="EA27" s="194" t="str">
        <f t="shared" ca="1" si="18"/>
        <v/>
      </c>
      <c r="EB27" s="226" t="str">
        <f>IFERROR(IF(ED27=0,"",COUNTIF(ED$4:ED$600,"&gt;"&amp;ED27)+COUNTIF(ED$4:ED27,ED27)),"")</f>
        <v/>
      </c>
      <c r="EC27" t="str">
        <f t="shared" si="19"/>
        <v>AMDOCYL 697 MG/G POUDRE ORALE POUR PORCS ET POULETS</v>
      </c>
      <c r="ED27" t="e">
        <f>IF(IF(EL$2="Catégorie",IF(EL$3="Toutes",SUMIFS('Étape 1 - à remplir'!$F$31:$F$400,'Étape 1 - à remplir'!$E$31:$E$400,MASQ2!EC27,'Étape 1 - à remplir'!$G$31:$G$400,"kg"),SUMIFS('Étape 1 - à remplir'!$F$31:$F$400,'Étape 1 - à remplir'!$E$31:$E$400,MASQ2!EC27,'Étape 1 - à remplir'!$C$31:$C$400,EL$3)),IF(EL$2="Âge",IF(EL$3="Tous",SUMIFS('Étape 1 - à remplir'!$F$31:$F$400,'Étape 1 - à remplir'!$E$31:$E$400,MASQ2!EC27,'Étape 1 - à remplir'!$G$31:$G$400,"kg"),SUMIFS('Étape 1 - à remplir'!$F$31:$F$400,'Étape 1 - à remplir'!$E$31:$E$400,MASQ2!EC27,'Étape 1 - à remplir'!$P$31:$P$400,EL$3,'Étape 1 - à remplir'!$G$31:$G$400,"kg")),IF(EL$2="Atelier",IF(EL$3="Tous",SUMIFS('Étape 1 - à remplir'!$F$31:$F$400,'Étape 1 - à remplir'!$E$31:$E$400,MASQ2!EC27,'Étape 1 - à remplir'!$G$31:$G$400,"kg"),SUMIFS('Étape 1 - à remplir'!$F$31:$F$400,'Étape 1 - à remplir'!$E$31:$E$400,MASQ2!EC27,'Étape 1 - à remplir'!$O$31:$O$400,EL$3,'Étape 1 - à remplir'!$G$31:$G$400,"kg")),IF(EL$2="Espèce",IF(EL$3="Toutes",SUMIFS('Étape 1 - à remplir'!$F$31:$F$400,'Étape 1 - à remplir'!$E$31:$E$400,MASQ2!EC27,'Étape 1 - à remplir'!$G$31:$G$400,"kg"),SUMIFS('Étape 1 - à remplir'!$F$31:$F$400,'Étape 1 - à remplir'!$E$31:$E$400,MASQ2!EC27,'Étape 1 - à remplir'!$N$31:$N$400,EL$3,'Étape 1 - à remplir'!$G$31:$G$400,"kg"))))))=0,NA(),IF(EL$2="Catégorie",IF(EL$3="Toutes",SUMIFS('Étape 1 - à remplir'!$F$31:$F$400,'Étape 1 - à remplir'!$E$31:$E$400,MASQ2!EC27,'Étape 1 - à remplir'!$G$31:$G$400,"kg"),SUMIFS('Étape 1 - à remplir'!$F$31:$F$400,'Étape 1 - à remplir'!$E$31:$E$400,MASQ2!EC27,'Étape 1 - à remplir'!$C$31:$C$400,EL$3)),IF(EL$2="Âge",IF(EL$3="Tous",SUMIFS('Étape 1 - à remplir'!$F$31:$F$400,'Étape 1 - à remplir'!$E$31:$E$400,MASQ2!EC27,'Étape 1 - à remplir'!$G$31:$G$400,"kg"),SUMIFS('Étape 1 - à remplir'!$F$31:$F$400,'Étape 1 - à remplir'!$E$31:$E$400,MASQ2!EC27,'Étape 1 - à remplir'!$P$31:$P$400,EL$3,'Étape 1 - à remplir'!$G$31:$G$400,"kg")),IF(EL$2="Atelier",IF(EL$3="Tous",SUMIFS('Étape 1 - à remplir'!$F$31:$F$400,'Étape 1 - à remplir'!$E$31:$E$400,MASQ2!EC27,'Étape 1 - à remplir'!$G$31:$G$400,"kg"),SUMIFS('Étape 1 - à remplir'!$F$31:$F$400,'Étape 1 - à remplir'!$E$31:$E$400,MASQ2!EC27,'Étape 1 - à remplir'!$O$31:$O$400,EL$3,'Étape 1 - à remplir'!$G$31:$G$400,"kg")),IF(EL$2="Espèce",IF(EL$3="Toutes",SUMIFS('Étape 1 - à remplir'!$F$31:$F$400,'Étape 1 - à remplir'!$E$31:$E$400,MASQ2!EC27,'Étape 1 - à remplir'!$G$31:$G$400,"kg"),SUMIFS('Étape 1 - à remplir'!$F$31:$F$400,'Étape 1 - à remplir'!$E$31:$E$400,MASQ2!EC27,'Étape 1 - à remplir'!$N$31:$N$400,EL$3,'Étape 1 - à remplir'!$G$31:$G$400,"kg")))))))</f>
        <v>#N/A</v>
      </c>
      <c r="EE27" s="76">
        <f t="shared" si="53"/>
        <v>0</v>
      </c>
      <c r="EF27" t="str">
        <f t="shared" si="20"/>
        <v>Amoxicilline</v>
      </c>
      <c r="EG27" t="str">
        <f t="shared" si="21"/>
        <v/>
      </c>
      <c r="EH27" t="str">
        <f t="shared" si="22"/>
        <v/>
      </c>
      <c r="EI27" t="str">
        <f t="shared" si="23"/>
        <v>Penicillines</v>
      </c>
      <c r="EJ27" t="str">
        <f t="shared" si="24"/>
        <v/>
      </c>
      <c r="EK27" s="63" t="str">
        <f t="shared" si="25"/>
        <v/>
      </c>
      <c r="EN27" s="42">
        <v>24</v>
      </c>
      <c r="EO27" t="e">
        <f t="shared" si="68"/>
        <v>#N/A</v>
      </c>
      <c r="EP27" s="63" t="e">
        <f t="shared" si="69"/>
        <v>#N/A</v>
      </c>
      <c r="ER27" s="194" t="str">
        <f t="shared" si="26"/>
        <v/>
      </c>
      <c r="ES27" s="226" t="str">
        <f>IFERROR(IF(EU27=0,"",COUNTIF(EU$4:EU$64,"&gt;"&amp;EU27)+COUNTIF(EU$4:EU27,EU27)),"")</f>
        <v/>
      </c>
      <c r="ET27" t="str">
        <f t="shared" si="27"/>
        <v>Fluméquine</v>
      </c>
      <c r="EU27" s="76" t="e">
        <f t="shared" si="56"/>
        <v>#N/A</v>
      </c>
      <c r="EV27">
        <v>24</v>
      </c>
      <c r="EW27" t="e">
        <f t="shared" si="57"/>
        <v>#N/A</v>
      </c>
      <c r="EX27" s="63" t="e">
        <f t="shared" si="58"/>
        <v>#N/A</v>
      </c>
      <c r="EZ27" s="14" t="str">
        <f t="shared" si="94"/>
        <v/>
      </c>
      <c r="FA27" s="14"/>
      <c r="FG27" s="76" t="str">
        <f>IFERROR(IF(FH27="","",COUNTIF(FH$18:FH$27,"&lt;"&amp;FH27)+COUNTIF(FH$18:FH27,FH27))-COUNTBLANK(FH$18:FH$27),"")</f>
        <v/>
      </c>
      <c r="FH27" s="129" t="str">
        <f t="shared" si="83"/>
        <v/>
      </c>
      <c r="FJ27" s="124" t="str">
        <f>IFERROR(IF(FK27="","",COUNTIF(FK$18:FK$27,"&lt;"&amp;FK27)+COUNTIF(FK$18:FK27,FK27))-COUNTBLANK(FK$18:FK$27),"")</f>
        <v/>
      </c>
      <c r="FK27" s="222" t="str">
        <f>IF('Étape 1 - à remplir'!G28="kg",'Étape 1 - à remplir'!E28,"")</f>
        <v/>
      </c>
      <c r="FL27" s="222" t="e">
        <f>INDEX(FJ$18:FK$27,MATCH(10,FJ$18:FJ$27,0),2)</f>
        <v>#N/A</v>
      </c>
      <c r="FM27" s="222" t="e">
        <f t="shared" si="91"/>
        <v>#N/A</v>
      </c>
      <c r="FN27" s="125" t="e">
        <f>IF(FM27="","",MAX(FN$17:FN26)+1)</f>
        <v>#N/A</v>
      </c>
      <c r="FP27" s="124" t="str">
        <f>IFERROR(IF(FQ27="","",COUNTIF(FQ$18:FQ$27,"&lt;"&amp;FQ27)+COUNTIF(FQ$18:FQ27,FQ27))-COUNTBLANK(FQ$18:FQ$27),"")</f>
        <v/>
      </c>
      <c r="FQ27" s="222" t="str">
        <f>IF('Étape 1 - à remplir'!G28="kg",'Étape 1 - à remplir'!D28,"")</f>
        <v/>
      </c>
      <c r="FR27" s="222" t="e">
        <f>INDEX(FP$18:FQ$27,MATCH(10,FP$18:FP$27,0),2)</f>
        <v>#N/A</v>
      </c>
      <c r="FS27" s="222" t="e">
        <f t="shared" si="92"/>
        <v>#N/A</v>
      </c>
      <c r="FT27" s="125" t="e">
        <f>IF(FS27="","",MAX(FT$17:FT26)+1)</f>
        <v>#N/A</v>
      </c>
    </row>
    <row r="28" spans="1:177" x14ac:dyDescent="0.3">
      <c r="B28" s="42"/>
      <c r="M28" s="194" t="str">
        <f ca="1">INDEX(Données_ATB!BD:BU,MATCH(MASQ2!O28,Données_ATB!BD:BD,0),18)</f>
        <v/>
      </c>
      <c r="N28" s="14" t="str">
        <f>IFERROR(IF(Q28=0,"",COUNTIF(Q$4:Q$600,"&gt;"&amp;Q28)+COUNTIF(Q$4:Q28,Q28)),"")</f>
        <v/>
      </c>
      <c r="O28" t="str">
        <f>Données_ATB!BD27</f>
        <v>AMDOCYL CTD 697 MG/G POUDRE POUR ADMINISTRATION DANS L'EAU DE BOISSON POUR POULES, DINDES ET CANARDS</v>
      </c>
      <c r="P28" t="e">
        <f>IF(IF(X$2="Catégorie",IF(X$3="Toutes",SUMIFS('Étape 1 - à remplir'!$F$31:$F$400,'Étape 1 - à remplir'!$E$31:$E$400,MASQ2!O28,'Étape 1 - à remplir'!$G$31:$G$400,"animaux"),SUMIFS('Étape 1 - à remplir'!$F$31:$F$400,'Étape 1 - à remplir'!$E$31:$E$400,MASQ2!O28,'Étape 1 - à remplir'!$C$31:$C$400,X$3)),IF(X$2="Âge",IF(X$3="Tous",SUMIFS('Étape 1 - à remplir'!$F$31:$F$400,'Étape 1 - à remplir'!$E$31:$E$400,MASQ2!O28,'Étape 1 - à remplir'!$G$31:$G$400,"animaux"),SUMIFS('Étape 1 - à remplir'!$F$31:$F$400,'Étape 1 - à remplir'!$E$31:$E$400,MASQ2!O28,'Étape 1 - à remplir'!$P$31:$P$400,X$3)),IF(X$2="Atelier",IF(X$3="Tous",SUMIFS('Étape 1 - à remplir'!$F$31:$F$400,'Étape 1 - à remplir'!$E$31:$E$400,MASQ2!O28,'Étape 1 - à remplir'!$G$31:$G$400,"animaux"),SUMIFS('Étape 1 - à remplir'!$F$31:$F$400,'Étape 1 - à remplir'!$E$31:$E$400,MASQ2!O28,'Étape 1 - à remplir'!$O$31:$O$400,X$3)),IF(X$2="Espèce",IF(X$3="Toutes",SUMIFS('Étape 1 - à remplir'!$F$31:$F$400,'Étape 1 - à remplir'!$E$31:$E$400,MASQ2!O28,'Étape 1 - à remplir'!$G$31:$G$400,"animaux"),SUMIFS('Étape 1 - à remplir'!$F$31:$F$400,'Étape 1 - à remplir'!$E$31:$E$400,MASQ2!O28,'Étape 1 - à remplir'!$N$31:$N$400,X$3))))))=0,NA(),IF(X$2="Catégorie",IF(X$3="Toutes",SUMIFS('Étape 1 - à remplir'!$F$31:$F$400,'Étape 1 - à remplir'!$E$31:$E$400,MASQ2!O28,'Étape 1 - à remplir'!$G$31:$G$400,"animaux"),SUMIFS('Étape 1 - à remplir'!$F$31:$F$400,'Étape 1 - à remplir'!$E$31:$E$400,MASQ2!O28,'Étape 1 - à remplir'!$C$31:$C$400,X$3)),IF(X$2="Âge",IF(X$3="Tous",SUMIFS('Étape 1 - à remplir'!$F$31:$F$400,'Étape 1 - à remplir'!$E$31:$E$400,MASQ2!O28,'Étape 1 - à remplir'!$G$31:$G$400,"animaux"),SUMIFS('Étape 1 - à remplir'!$F$31:$F$400,'Étape 1 - à remplir'!$E$31:$E$400,MASQ2!O28,'Étape 1 - à remplir'!$P$31:$P$400,X$3)),IF(X$2="Atelier",IF(X$3="Tous",SUMIFS('Étape 1 - à remplir'!$F$31:$F$400,'Étape 1 - à remplir'!$E$31:$E$400,MASQ2!O28,'Étape 1 - à remplir'!$G$31:$G$400,"animaux"),SUMIFS('Étape 1 - à remplir'!$F$31:$F$400,'Étape 1 - à remplir'!$E$31:$E$400,MASQ2!O28,'Étape 1 - à remplir'!$O$31:$O$400,X$3)),IF(X$2="Espèce",IF(X$3="Toutes",SUMIFS('Étape 1 - à remplir'!$F$31:$F$400,'Étape 1 - à remplir'!$E$31:$E$400,MASQ2!O28,'Étape 1 - à remplir'!$G$31:$G$400,"animaux"),SUMIFS('Étape 1 - à remplir'!$F$31:$F$400,'Étape 1 - à remplir'!$E$31:$E$400,MASQ2!O28,'Étape 1 - à remplir'!$N$31:$N$400,X$3)))))))</f>
        <v>#N/A</v>
      </c>
      <c r="Q28" s="63">
        <f t="shared" si="62"/>
        <v>0</v>
      </c>
      <c r="R28" t="str">
        <f>Données_ATB!BM27</f>
        <v>Amoxicilline</v>
      </c>
      <c r="S28" t="str">
        <f>Données_ATB!BN27</f>
        <v/>
      </c>
      <c r="T28" s="63" t="str">
        <f>Données_ATB!BO27</f>
        <v/>
      </c>
      <c r="U28" s="42" t="str">
        <f>Données_ATB!BQ27</f>
        <v>Penicillines</v>
      </c>
      <c r="V28" t="str">
        <f>Données_ATB!BR27</f>
        <v/>
      </c>
      <c r="W28" s="63" t="str">
        <f>Données_ATB!BS27</f>
        <v/>
      </c>
      <c r="Z28" s="42">
        <v>25</v>
      </c>
      <c r="AA28" t="e">
        <f t="shared" si="32"/>
        <v>#N/A</v>
      </c>
      <c r="AB28" s="63" t="e">
        <f t="shared" si="33"/>
        <v>#N/A</v>
      </c>
      <c r="AD28" s="194" t="str">
        <f>IF(AF28="Colistine","x",IF(INDEX(Données_ATB!CA$3:CB$63,MATCH(AF28,Données_ATB!CA$3:CA$63,0),2)="Fluoroquinolones","x",IF(INDEX(Données_ATB!CA$3:CB$63,MATCH(AF28,Données_ATB!CA$3:CA$63,0),2)="Cephalosporines 3&amp;4G","x","")))</f>
        <v/>
      </c>
      <c r="AE28" s="219" t="str">
        <f>IFERROR(IF(AG28=0,"",COUNTIF(AG$4:AG$64,"&gt;"&amp;AG28)+COUNTIF(AG$4:AG28,AG28)),"")</f>
        <v/>
      </c>
      <c r="AF28" s="42" t="str">
        <f>Données_ATB!CA27</f>
        <v>Framycétine</v>
      </c>
      <c r="AG28" s="63" t="e">
        <f t="shared" si="34"/>
        <v>#N/A</v>
      </c>
      <c r="AH28" s="42">
        <v>25</v>
      </c>
      <c r="AI28" t="e">
        <f t="shared" si="35"/>
        <v>#N/A</v>
      </c>
      <c r="AJ28" s="63" t="e">
        <f t="shared" si="36"/>
        <v>#N/A</v>
      </c>
      <c r="BF28" s="63"/>
      <c r="BT28" s="194" t="str">
        <f t="shared" ca="1" si="5"/>
        <v/>
      </c>
      <c r="BU28" s="219" t="str">
        <f>IFERROR(IF(BX28=0,"",COUNTIF(BX$4:BX$600,"&gt;"&amp;BX28)+COUNTIF(BX$4:BX28,BX28)),"")</f>
        <v/>
      </c>
      <c r="BV28" s="42" t="str">
        <f t="shared" si="6"/>
        <v>AMDOCYL CTD 697 MG/G POUDRE POUR ADMINISTRATION DANS L'EAU DE BOISSON POUR POULES, DINDES ET CANARDS</v>
      </c>
      <c r="BW28" t="e">
        <f>IF(IF(CE$2="Catégorie",IF(CE$3="Toutes",SUMIFS('Étape 1 - à remplir'!$F$31:$F$400,'Étape 1 - à remplir'!$E$31:$E$400,MASQ2!BV28,'Étape 1 - à remplir'!$G$31:$G$400,"lots"),SUMIFS('Étape 1 - à remplir'!$F$31:$F$400,'Étape 1 - à remplir'!$E$31:$E$400,MASQ2!BV28,'Étape 1 - à remplir'!$C$31:$C$400,CE$3)),IF(CE$2="Âge",IF(CE$3="Tous",SUMIFS('Étape 1 - à remplir'!$F$31:$F$400,'Étape 1 - à remplir'!$E$31:$E$400,MASQ2!BV28,'Étape 1 - à remplir'!$G$31:$G$400,"lots"),SUMIFS('Étape 1 - à remplir'!$F$31:$F$400,'Étape 1 - à remplir'!$E$31:$E$400,MASQ2!BV28,'Étape 1 - à remplir'!$P$31:$P$400,CE$3,'Étape 1 - à remplir'!$G$31:$G$400,"lots")),IF(CE$2="Atelier",IF(CE$3="Tous",SUMIFS('Étape 1 - à remplir'!$F$31:$F$400,'Étape 1 - à remplir'!$E$31:$E$400,MASQ2!BV28,'Étape 1 - à remplir'!$G$31:$G$400,"lots"),SUMIFS('Étape 1 - à remplir'!$F$31:$F$400,'Étape 1 - à remplir'!$E$31:$E$400,MASQ2!BV28,'Étape 1 - à remplir'!$O$31:$O$400,CE$3,'Étape 1 - à remplir'!$G$31:$G$400,"lots")),IF(CE$2="Espèce",IF(CE$3="Toutes",SUMIFS('Étape 1 - à remplir'!$F$31:$F$400,'Étape 1 - à remplir'!$E$31:$E$400,MASQ2!BV28,'Étape 1 - à remplir'!$G$31:$G$400,"lots"),SUMIFS('Étape 1 - à remplir'!$F$31:$F$400,'Étape 1 - à remplir'!$E$31:$E$400,MASQ2!BV28,'Étape 1 - à remplir'!$N$31:$N$400,CE$3,'Étape 1 - à remplir'!$G$31:$G$400,"lots"))))))=0,NA(),IF(CE$2="Catégorie",IF(CE$3="Toutes",SUMIFS('Étape 1 - à remplir'!$F$31:$F$400,'Étape 1 - à remplir'!$E$31:$E$400,MASQ2!BV28,'Étape 1 - à remplir'!$G$31:$G$400,"lots"),SUMIFS('Étape 1 - à remplir'!$F$31:$F$400,'Étape 1 - à remplir'!$E$31:$E$400,MASQ2!BV28,'Étape 1 - à remplir'!$C$31:$C$400,CE$3)),IF(CE$2="Âge",IF(CE$3="Tous",SUMIFS('Étape 1 - à remplir'!$F$31:$F$400,'Étape 1 - à remplir'!$E$31:$E$400,MASQ2!BV28,'Étape 1 - à remplir'!$G$31:$G$400,"lots"),SUMIFS('Étape 1 - à remplir'!$F$31:$F$400,'Étape 1 - à remplir'!$E$31:$E$400,MASQ2!BV28,'Étape 1 - à remplir'!$P$31:$P$400,CE$3,'Étape 1 - à remplir'!$G$31:$G$400,"lots")),IF(CE$2="Atelier",IF(CE$3="Tous",SUMIFS('Étape 1 - à remplir'!$F$31:$F$400,'Étape 1 - à remplir'!$E$31:$E$400,MASQ2!BV28,'Étape 1 - à remplir'!$G$31:$G$400,"lots"),SUMIFS('Étape 1 - à remplir'!$F$31:$F$400,'Étape 1 - à remplir'!$E$31:$E$400,MASQ2!BV28,'Étape 1 - à remplir'!$O$31:$O$400,CE$3,'Étape 1 - à remplir'!$G$31:$G$400,"lots")),IF(CE$2="Espèce",IF(CE$3="Toutes",SUMIFS('Étape 1 - à remplir'!$F$31:$F$400,'Étape 1 - à remplir'!$E$31:$E$400,MASQ2!BV28,'Étape 1 - à remplir'!$G$31:$G$400,"lots"),SUMIFS('Étape 1 - à remplir'!$F$31:$F$400,'Étape 1 - à remplir'!$E$31:$E$400,MASQ2!BV28,'Étape 1 - à remplir'!$N$31:$N$400,CE$3,'Étape 1 - à remplir'!$G$31:$G$400,"lots")))))))</f>
        <v>#N/A</v>
      </c>
      <c r="BX28">
        <f t="shared" si="42"/>
        <v>0</v>
      </c>
      <c r="BY28" t="str">
        <f t="shared" si="7"/>
        <v>Amoxicilline</v>
      </c>
      <c r="BZ28" t="str">
        <f t="shared" si="8"/>
        <v/>
      </c>
      <c r="CA28" t="str">
        <f t="shared" si="9"/>
        <v/>
      </c>
      <c r="CB28" t="str">
        <f t="shared" si="10"/>
        <v>Penicillines</v>
      </c>
      <c r="CC28" t="str">
        <f t="shared" si="11"/>
        <v/>
      </c>
      <c r="CD28" s="63" t="str">
        <f t="shared" si="12"/>
        <v/>
      </c>
      <c r="CG28" s="42">
        <v>25</v>
      </c>
      <c r="CH28" s="42" t="e">
        <f t="shared" si="80"/>
        <v>#N/A</v>
      </c>
      <c r="CI28" s="63" t="e">
        <f t="shared" si="81"/>
        <v>#N/A</v>
      </c>
      <c r="CK28" s="194" t="str">
        <f t="shared" si="13"/>
        <v/>
      </c>
      <c r="CL28" s="226" t="str">
        <f>IFERROR(IF(CN28=0,"",COUNTIF(CN$4:CN$64,"&gt;"&amp;CN28)+COUNTIF(CN$4:CN28,CN28)),"")</f>
        <v/>
      </c>
      <c r="CM28" t="str">
        <f t="shared" si="14"/>
        <v>Framycétine</v>
      </c>
      <c r="CN28" s="76" t="e">
        <f t="shared" si="45"/>
        <v>#N/A</v>
      </c>
      <c r="CO28">
        <v>25</v>
      </c>
      <c r="CP28" t="e">
        <f t="shared" si="46"/>
        <v>#N/A</v>
      </c>
      <c r="CQ28" s="63" t="e">
        <f t="shared" si="47"/>
        <v>#N/A</v>
      </c>
      <c r="DM28" s="63"/>
      <c r="EA28" s="194" t="str">
        <f t="shared" ca="1" si="18"/>
        <v/>
      </c>
      <c r="EB28" s="226" t="str">
        <f>IFERROR(IF(ED28=0,"",COUNTIF(ED$4:ED$600,"&gt;"&amp;ED28)+COUNTIF(ED$4:ED28,ED28)),"")</f>
        <v/>
      </c>
      <c r="EC28" t="str">
        <f t="shared" si="19"/>
        <v>AMDOCYL CTD 697 MG/G POUDRE POUR ADMINISTRATION DANS L'EAU DE BOISSON POUR POULES, DINDES ET CANARDS</v>
      </c>
      <c r="ED28" t="e">
        <f>IF(IF(EL$2="Catégorie",IF(EL$3="Toutes",SUMIFS('Étape 1 - à remplir'!$F$31:$F$400,'Étape 1 - à remplir'!$E$31:$E$400,MASQ2!EC28,'Étape 1 - à remplir'!$G$31:$G$400,"kg"),SUMIFS('Étape 1 - à remplir'!$F$31:$F$400,'Étape 1 - à remplir'!$E$31:$E$400,MASQ2!EC28,'Étape 1 - à remplir'!$C$31:$C$400,EL$3)),IF(EL$2="Âge",IF(EL$3="Tous",SUMIFS('Étape 1 - à remplir'!$F$31:$F$400,'Étape 1 - à remplir'!$E$31:$E$400,MASQ2!EC28,'Étape 1 - à remplir'!$G$31:$G$400,"kg"),SUMIFS('Étape 1 - à remplir'!$F$31:$F$400,'Étape 1 - à remplir'!$E$31:$E$400,MASQ2!EC28,'Étape 1 - à remplir'!$P$31:$P$400,EL$3,'Étape 1 - à remplir'!$G$31:$G$400,"kg")),IF(EL$2="Atelier",IF(EL$3="Tous",SUMIFS('Étape 1 - à remplir'!$F$31:$F$400,'Étape 1 - à remplir'!$E$31:$E$400,MASQ2!EC28,'Étape 1 - à remplir'!$G$31:$G$400,"kg"),SUMIFS('Étape 1 - à remplir'!$F$31:$F$400,'Étape 1 - à remplir'!$E$31:$E$400,MASQ2!EC28,'Étape 1 - à remplir'!$O$31:$O$400,EL$3,'Étape 1 - à remplir'!$G$31:$G$400,"kg")),IF(EL$2="Espèce",IF(EL$3="Toutes",SUMIFS('Étape 1 - à remplir'!$F$31:$F$400,'Étape 1 - à remplir'!$E$31:$E$400,MASQ2!EC28,'Étape 1 - à remplir'!$G$31:$G$400,"kg"),SUMIFS('Étape 1 - à remplir'!$F$31:$F$400,'Étape 1 - à remplir'!$E$31:$E$400,MASQ2!EC28,'Étape 1 - à remplir'!$N$31:$N$400,EL$3,'Étape 1 - à remplir'!$G$31:$G$400,"kg"))))))=0,NA(),IF(EL$2="Catégorie",IF(EL$3="Toutes",SUMIFS('Étape 1 - à remplir'!$F$31:$F$400,'Étape 1 - à remplir'!$E$31:$E$400,MASQ2!EC28,'Étape 1 - à remplir'!$G$31:$G$400,"kg"),SUMIFS('Étape 1 - à remplir'!$F$31:$F$400,'Étape 1 - à remplir'!$E$31:$E$400,MASQ2!EC28,'Étape 1 - à remplir'!$C$31:$C$400,EL$3)),IF(EL$2="Âge",IF(EL$3="Tous",SUMIFS('Étape 1 - à remplir'!$F$31:$F$400,'Étape 1 - à remplir'!$E$31:$E$400,MASQ2!EC28,'Étape 1 - à remplir'!$G$31:$G$400,"kg"),SUMIFS('Étape 1 - à remplir'!$F$31:$F$400,'Étape 1 - à remplir'!$E$31:$E$400,MASQ2!EC28,'Étape 1 - à remplir'!$P$31:$P$400,EL$3,'Étape 1 - à remplir'!$G$31:$G$400,"kg")),IF(EL$2="Atelier",IF(EL$3="Tous",SUMIFS('Étape 1 - à remplir'!$F$31:$F$400,'Étape 1 - à remplir'!$E$31:$E$400,MASQ2!EC28,'Étape 1 - à remplir'!$G$31:$G$400,"kg"),SUMIFS('Étape 1 - à remplir'!$F$31:$F$400,'Étape 1 - à remplir'!$E$31:$E$400,MASQ2!EC28,'Étape 1 - à remplir'!$O$31:$O$400,EL$3,'Étape 1 - à remplir'!$G$31:$G$400,"kg")),IF(EL$2="Espèce",IF(EL$3="Toutes",SUMIFS('Étape 1 - à remplir'!$F$31:$F$400,'Étape 1 - à remplir'!$E$31:$E$400,MASQ2!EC28,'Étape 1 - à remplir'!$G$31:$G$400,"kg"),SUMIFS('Étape 1 - à remplir'!$F$31:$F$400,'Étape 1 - à remplir'!$E$31:$E$400,MASQ2!EC28,'Étape 1 - à remplir'!$N$31:$N$400,EL$3,'Étape 1 - à remplir'!$G$31:$G$400,"kg")))))))</f>
        <v>#N/A</v>
      </c>
      <c r="EE28" s="76">
        <f t="shared" si="53"/>
        <v>0</v>
      </c>
      <c r="EF28" t="str">
        <f t="shared" si="20"/>
        <v>Amoxicilline</v>
      </c>
      <c r="EG28" t="str">
        <f t="shared" si="21"/>
        <v/>
      </c>
      <c r="EH28" t="str">
        <f t="shared" si="22"/>
        <v/>
      </c>
      <c r="EI28" t="str">
        <f t="shared" si="23"/>
        <v>Penicillines</v>
      </c>
      <c r="EJ28" t="str">
        <f t="shared" si="24"/>
        <v/>
      </c>
      <c r="EK28" s="63" t="str">
        <f t="shared" si="25"/>
        <v/>
      </c>
      <c r="EN28" s="42">
        <v>25</v>
      </c>
      <c r="EO28" t="e">
        <f t="shared" si="68"/>
        <v>#N/A</v>
      </c>
      <c r="EP28" s="63" t="e">
        <f t="shared" si="69"/>
        <v>#N/A</v>
      </c>
      <c r="ER28" s="194" t="str">
        <f t="shared" si="26"/>
        <v/>
      </c>
      <c r="ES28" s="226" t="str">
        <f>IFERROR(IF(EU28=0,"",COUNTIF(EU$4:EU$64,"&gt;"&amp;EU28)+COUNTIF(EU$4:EU28,EU28)),"")</f>
        <v/>
      </c>
      <c r="ET28" t="str">
        <f t="shared" si="27"/>
        <v>Framycétine</v>
      </c>
      <c r="EU28" s="76" t="e">
        <f t="shared" si="56"/>
        <v>#N/A</v>
      </c>
      <c r="EV28">
        <v>25</v>
      </c>
      <c r="EW28" t="e">
        <f t="shared" si="57"/>
        <v>#N/A</v>
      </c>
      <c r="EX28" s="63" t="e">
        <f t="shared" si="58"/>
        <v>#N/A</v>
      </c>
      <c r="FT28" s="63"/>
    </row>
    <row r="29" spans="1:177" ht="15" thickBot="1" x14ac:dyDescent="0.35">
      <c r="B29" s="42"/>
      <c r="M29" s="194" t="str">
        <f ca="1">INDEX(Données_ATB!BD:BU,MATCH(MASQ2!O29,Données_ATB!BD:BD,0),18)</f>
        <v/>
      </c>
      <c r="N29" s="14" t="str">
        <f>IFERROR(IF(Q29=0,"",COUNTIF(Q$4:Q$600,"&gt;"&amp;Q29)+COUNTIF(Q$4:Q29,Q29)),"")</f>
        <v/>
      </c>
      <c r="O29" t="str">
        <f>Données_ATB!BD28</f>
        <v>AMIDURENE</v>
      </c>
      <c r="P29" t="e">
        <f>IF(IF(X$2="Catégorie",IF(X$3="Toutes",SUMIFS('Étape 1 - à remplir'!$F$31:$F$400,'Étape 1 - à remplir'!$E$31:$E$400,MASQ2!O29,'Étape 1 - à remplir'!$G$31:$G$400,"animaux"),SUMIFS('Étape 1 - à remplir'!$F$31:$F$400,'Étape 1 - à remplir'!$E$31:$E$400,MASQ2!O29,'Étape 1 - à remplir'!$C$31:$C$400,X$3)),IF(X$2="Âge",IF(X$3="Tous",SUMIFS('Étape 1 - à remplir'!$F$31:$F$400,'Étape 1 - à remplir'!$E$31:$E$400,MASQ2!O29,'Étape 1 - à remplir'!$G$31:$G$400,"animaux"),SUMIFS('Étape 1 - à remplir'!$F$31:$F$400,'Étape 1 - à remplir'!$E$31:$E$400,MASQ2!O29,'Étape 1 - à remplir'!$P$31:$P$400,X$3)),IF(X$2="Atelier",IF(X$3="Tous",SUMIFS('Étape 1 - à remplir'!$F$31:$F$400,'Étape 1 - à remplir'!$E$31:$E$400,MASQ2!O29,'Étape 1 - à remplir'!$G$31:$G$400,"animaux"),SUMIFS('Étape 1 - à remplir'!$F$31:$F$400,'Étape 1 - à remplir'!$E$31:$E$400,MASQ2!O29,'Étape 1 - à remplir'!$O$31:$O$400,X$3)),IF(X$2="Espèce",IF(X$3="Toutes",SUMIFS('Étape 1 - à remplir'!$F$31:$F$400,'Étape 1 - à remplir'!$E$31:$E$400,MASQ2!O29,'Étape 1 - à remplir'!$G$31:$G$400,"animaux"),SUMIFS('Étape 1 - à remplir'!$F$31:$F$400,'Étape 1 - à remplir'!$E$31:$E$400,MASQ2!O29,'Étape 1 - à remplir'!$N$31:$N$400,X$3))))))=0,NA(),IF(X$2="Catégorie",IF(X$3="Toutes",SUMIFS('Étape 1 - à remplir'!$F$31:$F$400,'Étape 1 - à remplir'!$E$31:$E$400,MASQ2!O29,'Étape 1 - à remplir'!$G$31:$G$400,"animaux"),SUMIFS('Étape 1 - à remplir'!$F$31:$F$400,'Étape 1 - à remplir'!$E$31:$E$400,MASQ2!O29,'Étape 1 - à remplir'!$C$31:$C$400,X$3)),IF(X$2="Âge",IF(X$3="Tous",SUMIFS('Étape 1 - à remplir'!$F$31:$F$400,'Étape 1 - à remplir'!$E$31:$E$400,MASQ2!O29,'Étape 1 - à remplir'!$G$31:$G$400,"animaux"),SUMIFS('Étape 1 - à remplir'!$F$31:$F$400,'Étape 1 - à remplir'!$E$31:$E$400,MASQ2!O29,'Étape 1 - à remplir'!$P$31:$P$400,X$3)),IF(X$2="Atelier",IF(X$3="Tous",SUMIFS('Étape 1 - à remplir'!$F$31:$F$400,'Étape 1 - à remplir'!$E$31:$E$400,MASQ2!O29,'Étape 1 - à remplir'!$G$31:$G$400,"animaux"),SUMIFS('Étape 1 - à remplir'!$F$31:$F$400,'Étape 1 - à remplir'!$E$31:$E$400,MASQ2!O29,'Étape 1 - à remplir'!$O$31:$O$400,X$3)),IF(X$2="Espèce",IF(X$3="Toutes",SUMIFS('Étape 1 - à remplir'!$F$31:$F$400,'Étape 1 - à remplir'!$E$31:$E$400,MASQ2!O29,'Étape 1 - à remplir'!$G$31:$G$400,"animaux"),SUMIFS('Étape 1 - à remplir'!$F$31:$F$400,'Étape 1 - à remplir'!$E$31:$E$400,MASQ2!O29,'Étape 1 - à remplir'!$N$31:$N$400,X$3)))))))</f>
        <v>#N/A</v>
      </c>
      <c r="Q29" s="63">
        <f t="shared" si="62"/>
        <v>0</v>
      </c>
      <c r="R29" t="str">
        <f>Données_ATB!BM28</f>
        <v>Sulfadiméthoxine</v>
      </c>
      <c r="S29" t="str">
        <f>Données_ATB!BN28</f>
        <v/>
      </c>
      <c r="T29" s="63" t="str">
        <f>Données_ATB!BO28</f>
        <v/>
      </c>
      <c r="U29" s="42" t="str">
        <f>Données_ATB!BQ28</f>
        <v>Sulfamides</v>
      </c>
      <c r="V29" t="str">
        <f>Données_ATB!BR28</f>
        <v/>
      </c>
      <c r="W29" s="63" t="str">
        <f>Données_ATB!BS28</f>
        <v/>
      </c>
      <c r="Z29" s="42">
        <v>26</v>
      </c>
      <c r="AA29" t="e">
        <f t="shared" si="32"/>
        <v>#N/A</v>
      </c>
      <c r="AB29" s="63" t="e">
        <f t="shared" si="33"/>
        <v>#N/A</v>
      </c>
      <c r="AD29" s="194" t="str">
        <f>IF(AF29="Colistine","x",IF(INDEX(Données_ATB!CA$3:CB$63,MATCH(AF29,Données_ATB!CA$3:CA$63,0),2)="Fluoroquinolones","x",IF(INDEX(Données_ATB!CA$3:CB$63,MATCH(AF29,Données_ATB!CA$3:CA$63,0),2)="Cephalosporines 3&amp;4G","x","")))</f>
        <v/>
      </c>
      <c r="AE29" s="219" t="str">
        <f>IFERROR(IF(AG29=0,"",COUNTIF(AG$4:AG$64,"&gt;"&amp;AG29)+COUNTIF(AG$4:AG29,AG29)),"")</f>
        <v/>
      </c>
      <c r="AF29" s="42" t="str">
        <f>Données_ATB!CA28</f>
        <v>Gamithromycine</v>
      </c>
      <c r="AG29" s="63" t="e">
        <f t="shared" si="34"/>
        <v>#N/A</v>
      </c>
      <c r="AH29" s="42">
        <v>26</v>
      </c>
      <c r="AI29" t="e">
        <f t="shared" si="35"/>
        <v>#N/A</v>
      </c>
      <c r="AJ29" s="63" t="e">
        <f t="shared" si="36"/>
        <v>#N/A</v>
      </c>
      <c r="BT29" s="194" t="str">
        <f t="shared" ca="1" si="5"/>
        <v/>
      </c>
      <c r="BU29" s="219" t="str">
        <f>IFERROR(IF(BX29=0,"",COUNTIF(BX$4:BX$600,"&gt;"&amp;BX29)+COUNTIF(BX$4:BX29,BX29)),"")</f>
        <v/>
      </c>
      <c r="BV29" s="42" t="str">
        <f t="shared" si="6"/>
        <v>AMIDURENE</v>
      </c>
      <c r="BW29" t="e">
        <f>IF(IF(CE$2="Catégorie",IF(CE$3="Toutes",SUMIFS('Étape 1 - à remplir'!$F$31:$F$400,'Étape 1 - à remplir'!$E$31:$E$400,MASQ2!BV29,'Étape 1 - à remplir'!$G$31:$G$400,"lots"),SUMIFS('Étape 1 - à remplir'!$F$31:$F$400,'Étape 1 - à remplir'!$E$31:$E$400,MASQ2!BV29,'Étape 1 - à remplir'!$C$31:$C$400,CE$3)),IF(CE$2="Âge",IF(CE$3="Tous",SUMIFS('Étape 1 - à remplir'!$F$31:$F$400,'Étape 1 - à remplir'!$E$31:$E$400,MASQ2!BV29,'Étape 1 - à remplir'!$G$31:$G$400,"lots"),SUMIFS('Étape 1 - à remplir'!$F$31:$F$400,'Étape 1 - à remplir'!$E$31:$E$400,MASQ2!BV29,'Étape 1 - à remplir'!$P$31:$P$400,CE$3,'Étape 1 - à remplir'!$G$31:$G$400,"lots")),IF(CE$2="Atelier",IF(CE$3="Tous",SUMIFS('Étape 1 - à remplir'!$F$31:$F$400,'Étape 1 - à remplir'!$E$31:$E$400,MASQ2!BV29,'Étape 1 - à remplir'!$G$31:$G$400,"lots"),SUMIFS('Étape 1 - à remplir'!$F$31:$F$400,'Étape 1 - à remplir'!$E$31:$E$400,MASQ2!BV29,'Étape 1 - à remplir'!$O$31:$O$400,CE$3,'Étape 1 - à remplir'!$G$31:$G$400,"lots")),IF(CE$2="Espèce",IF(CE$3="Toutes",SUMIFS('Étape 1 - à remplir'!$F$31:$F$400,'Étape 1 - à remplir'!$E$31:$E$400,MASQ2!BV29,'Étape 1 - à remplir'!$G$31:$G$400,"lots"),SUMIFS('Étape 1 - à remplir'!$F$31:$F$400,'Étape 1 - à remplir'!$E$31:$E$400,MASQ2!BV29,'Étape 1 - à remplir'!$N$31:$N$400,CE$3,'Étape 1 - à remplir'!$G$31:$G$400,"lots"))))))=0,NA(),IF(CE$2="Catégorie",IF(CE$3="Toutes",SUMIFS('Étape 1 - à remplir'!$F$31:$F$400,'Étape 1 - à remplir'!$E$31:$E$400,MASQ2!BV29,'Étape 1 - à remplir'!$G$31:$G$400,"lots"),SUMIFS('Étape 1 - à remplir'!$F$31:$F$400,'Étape 1 - à remplir'!$E$31:$E$400,MASQ2!BV29,'Étape 1 - à remplir'!$C$31:$C$400,CE$3)),IF(CE$2="Âge",IF(CE$3="Tous",SUMIFS('Étape 1 - à remplir'!$F$31:$F$400,'Étape 1 - à remplir'!$E$31:$E$400,MASQ2!BV29,'Étape 1 - à remplir'!$G$31:$G$400,"lots"),SUMIFS('Étape 1 - à remplir'!$F$31:$F$400,'Étape 1 - à remplir'!$E$31:$E$400,MASQ2!BV29,'Étape 1 - à remplir'!$P$31:$P$400,CE$3,'Étape 1 - à remplir'!$G$31:$G$400,"lots")),IF(CE$2="Atelier",IF(CE$3="Tous",SUMIFS('Étape 1 - à remplir'!$F$31:$F$400,'Étape 1 - à remplir'!$E$31:$E$400,MASQ2!BV29,'Étape 1 - à remplir'!$G$31:$G$400,"lots"),SUMIFS('Étape 1 - à remplir'!$F$31:$F$400,'Étape 1 - à remplir'!$E$31:$E$400,MASQ2!BV29,'Étape 1 - à remplir'!$O$31:$O$400,CE$3,'Étape 1 - à remplir'!$G$31:$G$400,"lots")),IF(CE$2="Espèce",IF(CE$3="Toutes",SUMIFS('Étape 1 - à remplir'!$F$31:$F$400,'Étape 1 - à remplir'!$E$31:$E$400,MASQ2!BV29,'Étape 1 - à remplir'!$G$31:$G$400,"lots"),SUMIFS('Étape 1 - à remplir'!$F$31:$F$400,'Étape 1 - à remplir'!$E$31:$E$400,MASQ2!BV29,'Étape 1 - à remplir'!$N$31:$N$400,CE$3,'Étape 1 - à remplir'!$G$31:$G$400,"lots")))))))</f>
        <v>#N/A</v>
      </c>
      <c r="BX29">
        <f t="shared" si="42"/>
        <v>0</v>
      </c>
      <c r="BY29" t="str">
        <f t="shared" si="7"/>
        <v>Sulfadiméthoxine</v>
      </c>
      <c r="BZ29" t="str">
        <f t="shared" si="8"/>
        <v/>
      </c>
      <c r="CA29" t="str">
        <f t="shared" si="9"/>
        <v/>
      </c>
      <c r="CB29" t="str">
        <f t="shared" si="10"/>
        <v>Sulfamides</v>
      </c>
      <c r="CC29" t="str">
        <f t="shared" si="11"/>
        <v/>
      </c>
      <c r="CD29" s="63" t="str">
        <f t="shared" si="12"/>
        <v/>
      </c>
      <c r="CG29" s="42">
        <v>26</v>
      </c>
      <c r="CH29" s="42" t="e">
        <f t="shared" si="80"/>
        <v>#N/A</v>
      </c>
      <c r="CI29" s="63" t="e">
        <f t="shared" si="81"/>
        <v>#N/A</v>
      </c>
      <c r="CK29" s="194" t="str">
        <f t="shared" si="13"/>
        <v/>
      </c>
      <c r="CL29" s="226" t="str">
        <f>IFERROR(IF(CN29=0,"",COUNTIF(CN$4:CN$64,"&gt;"&amp;CN29)+COUNTIF(CN$4:CN29,CN29)),"")</f>
        <v/>
      </c>
      <c r="CM29" t="str">
        <f t="shared" si="14"/>
        <v>Gamithromycine</v>
      </c>
      <c r="CN29" s="76" t="e">
        <f t="shared" si="45"/>
        <v>#N/A</v>
      </c>
      <c r="CO29">
        <v>26</v>
      </c>
      <c r="CP29" t="e">
        <f t="shared" si="46"/>
        <v>#N/A</v>
      </c>
      <c r="CQ29" s="63" t="e">
        <f t="shared" si="47"/>
        <v>#N/A</v>
      </c>
      <c r="EA29" s="194" t="str">
        <f t="shared" ca="1" si="18"/>
        <v/>
      </c>
      <c r="EB29" s="226" t="str">
        <f>IFERROR(IF(ED29=0,"",COUNTIF(ED$4:ED$600,"&gt;"&amp;ED29)+COUNTIF(ED$4:ED29,ED29)),"")</f>
        <v/>
      </c>
      <c r="EC29" t="str">
        <f t="shared" si="19"/>
        <v>AMIDURENE</v>
      </c>
      <c r="ED29" t="e">
        <f>IF(IF(EL$2="Catégorie",IF(EL$3="Toutes",SUMIFS('Étape 1 - à remplir'!$F$31:$F$400,'Étape 1 - à remplir'!$E$31:$E$400,MASQ2!EC29,'Étape 1 - à remplir'!$G$31:$G$400,"kg"),SUMIFS('Étape 1 - à remplir'!$F$31:$F$400,'Étape 1 - à remplir'!$E$31:$E$400,MASQ2!EC29,'Étape 1 - à remplir'!$C$31:$C$400,EL$3)),IF(EL$2="Âge",IF(EL$3="Tous",SUMIFS('Étape 1 - à remplir'!$F$31:$F$400,'Étape 1 - à remplir'!$E$31:$E$400,MASQ2!EC29,'Étape 1 - à remplir'!$G$31:$G$400,"kg"),SUMIFS('Étape 1 - à remplir'!$F$31:$F$400,'Étape 1 - à remplir'!$E$31:$E$400,MASQ2!EC29,'Étape 1 - à remplir'!$P$31:$P$400,EL$3,'Étape 1 - à remplir'!$G$31:$G$400,"kg")),IF(EL$2="Atelier",IF(EL$3="Tous",SUMIFS('Étape 1 - à remplir'!$F$31:$F$400,'Étape 1 - à remplir'!$E$31:$E$400,MASQ2!EC29,'Étape 1 - à remplir'!$G$31:$G$400,"kg"),SUMIFS('Étape 1 - à remplir'!$F$31:$F$400,'Étape 1 - à remplir'!$E$31:$E$400,MASQ2!EC29,'Étape 1 - à remplir'!$O$31:$O$400,EL$3,'Étape 1 - à remplir'!$G$31:$G$400,"kg")),IF(EL$2="Espèce",IF(EL$3="Toutes",SUMIFS('Étape 1 - à remplir'!$F$31:$F$400,'Étape 1 - à remplir'!$E$31:$E$400,MASQ2!EC29,'Étape 1 - à remplir'!$G$31:$G$400,"kg"),SUMIFS('Étape 1 - à remplir'!$F$31:$F$400,'Étape 1 - à remplir'!$E$31:$E$400,MASQ2!EC29,'Étape 1 - à remplir'!$N$31:$N$400,EL$3,'Étape 1 - à remplir'!$G$31:$G$400,"kg"))))))=0,NA(),IF(EL$2="Catégorie",IF(EL$3="Toutes",SUMIFS('Étape 1 - à remplir'!$F$31:$F$400,'Étape 1 - à remplir'!$E$31:$E$400,MASQ2!EC29,'Étape 1 - à remplir'!$G$31:$G$400,"kg"),SUMIFS('Étape 1 - à remplir'!$F$31:$F$400,'Étape 1 - à remplir'!$E$31:$E$400,MASQ2!EC29,'Étape 1 - à remplir'!$C$31:$C$400,EL$3)),IF(EL$2="Âge",IF(EL$3="Tous",SUMIFS('Étape 1 - à remplir'!$F$31:$F$400,'Étape 1 - à remplir'!$E$31:$E$400,MASQ2!EC29,'Étape 1 - à remplir'!$G$31:$G$400,"kg"),SUMIFS('Étape 1 - à remplir'!$F$31:$F$400,'Étape 1 - à remplir'!$E$31:$E$400,MASQ2!EC29,'Étape 1 - à remplir'!$P$31:$P$400,EL$3,'Étape 1 - à remplir'!$G$31:$G$400,"kg")),IF(EL$2="Atelier",IF(EL$3="Tous",SUMIFS('Étape 1 - à remplir'!$F$31:$F$400,'Étape 1 - à remplir'!$E$31:$E$400,MASQ2!EC29,'Étape 1 - à remplir'!$G$31:$G$400,"kg"),SUMIFS('Étape 1 - à remplir'!$F$31:$F$400,'Étape 1 - à remplir'!$E$31:$E$400,MASQ2!EC29,'Étape 1 - à remplir'!$O$31:$O$400,EL$3,'Étape 1 - à remplir'!$G$31:$G$400,"kg")),IF(EL$2="Espèce",IF(EL$3="Toutes",SUMIFS('Étape 1 - à remplir'!$F$31:$F$400,'Étape 1 - à remplir'!$E$31:$E$400,MASQ2!EC29,'Étape 1 - à remplir'!$G$31:$G$400,"kg"),SUMIFS('Étape 1 - à remplir'!$F$31:$F$400,'Étape 1 - à remplir'!$E$31:$E$400,MASQ2!EC29,'Étape 1 - à remplir'!$N$31:$N$400,EL$3,'Étape 1 - à remplir'!$G$31:$G$400,"kg")))))))</f>
        <v>#N/A</v>
      </c>
      <c r="EE29" s="76">
        <f t="shared" si="53"/>
        <v>0</v>
      </c>
      <c r="EF29" t="str">
        <f t="shared" si="20"/>
        <v>Sulfadiméthoxine</v>
      </c>
      <c r="EG29" t="str">
        <f t="shared" si="21"/>
        <v/>
      </c>
      <c r="EH29" t="str">
        <f t="shared" si="22"/>
        <v/>
      </c>
      <c r="EI29" t="str">
        <f t="shared" si="23"/>
        <v>Sulfamides</v>
      </c>
      <c r="EJ29" t="str">
        <f t="shared" si="24"/>
        <v/>
      </c>
      <c r="EK29" s="63" t="str">
        <f t="shared" si="25"/>
        <v/>
      </c>
      <c r="EN29" s="42">
        <v>26</v>
      </c>
      <c r="EO29" t="e">
        <f t="shared" si="68"/>
        <v>#N/A</v>
      </c>
      <c r="EP29" s="63" t="e">
        <f t="shared" si="69"/>
        <v>#N/A</v>
      </c>
      <c r="ER29" s="194" t="str">
        <f t="shared" si="26"/>
        <v/>
      </c>
      <c r="ES29" s="226" t="str">
        <f>IFERROR(IF(EU29=0,"",COUNTIF(EU$4:EU$64,"&gt;"&amp;EU29)+COUNTIF(EU$4:EU29,EU29)),"")</f>
        <v/>
      </c>
      <c r="ET29" t="str">
        <f t="shared" si="27"/>
        <v>Gamithromycine</v>
      </c>
      <c r="EU29" s="76" t="e">
        <f t="shared" si="56"/>
        <v>#N/A</v>
      </c>
      <c r="EV29">
        <v>26</v>
      </c>
      <c r="EW29" t="e">
        <f t="shared" si="57"/>
        <v>#N/A</v>
      </c>
      <c r="EX29" s="63" t="e">
        <f t="shared" si="58"/>
        <v>#N/A</v>
      </c>
      <c r="FU29" s="42"/>
    </row>
    <row r="30" spans="1:177" ht="15" thickBot="1" x14ac:dyDescent="0.35">
      <c r="B30" s="42"/>
      <c r="M30" s="194" t="str">
        <f ca="1">INDEX(Données_ATB!BD:BU,MATCH(MASQ2!O30,Données_ATB!BD:BD,0),18)</f>
        <v/>
      </c>
      <c r="N30" s="14" t="str">
        <f>IFERROR(IF(Q30=0,"",COUNTIF(Q$4:Q$600,"&gt;"&amp;Q30)+COUNTIF(Q$4:Q30,Q30)),"")</f>
        <v/>
      </c>
      <c r="O30" t="str">
        <f>Données_ATB!BD29</f>
        <v>AMOXICILLINE CALIER GLOBULIT 50 MG/G PREMELANGE MEDICAMENTEUX</v>
      </c>
      <c r="P30" t="e">
        <f>IF(IF(X$2="Catégorie",IF(X$3="Toutes",SUMIFS('Étape 1 - à remplir'!$F$31:$F$400,'Étape 1 - à remplir'!$E$31:$E$400,MASQ2!O30,'Étape 1 - à remplir'!$G$31:$G$400,"animaux"),SUMIFS('Étape 1 - à remplir'!$F$31:$F$400,'Étape 1 - à remplir'!$E$31:$E$400,MASQ2!O30,'Étape 1 - à remplir'!$C$31:$C$400,X$3)),IF(X$2="Âge",IF(X$3="Tous",SUMIFS('Étape 1 - à remplir'!$F$31:$F$400,'Étape 1 - à remplir'!$E$31:$E$400,MASQ2!O30,'Étape 1 - à remplir'!$G$31:$G$400,"animaux"),SUMIFS('Étape 1 - à remplir'!$F$31:$F$400,'Étape 1 - à remplir'!$E$31:$E$400,MASQ2!O30,'Étape 1 - à remplir'!$P$31:$P$400,X$3)),IF(X$2="Atelier",IF(X$3="Tous",SUMIFS('Étape 1 - à remplir'!$F$31:$F$400,'Étape 1 - à remplir'!$E$31:$E$400,MASQ2!O30,'Étape 1 - à remplir'!$G$31:$G$400,"animaux"),SUMIFS('Étape 1 - à remplir'!$F$31:$F$400,'Étape 1 - à remplir'!$E$31:$E$400,MASQ2!O30,'Étape 1 - à remplir'!$O$31:$O$400,X$3)),IF(X$2="Espèce",IF(X$3="Toutes",SUMIFS('Étape 1 - à remplir'!$F$31:$F$400,'Étape 1 - à remplir'!$E$31:$E$400,MASQ2!O30,'Étape 1 - à remplir'!$G$31:$G$400,"animaux"),SUMIFS('Étape 1 - à remplir'!$F$31:$F$400,'Étape 1 - à remplir'!$E$31:$E$400,MASQ2!O30,'Étape 1 - à remplir'!$N$31:$N$400,X$3))))))=0,NA(),IF(X$2="Catégorie",IF(X$3="Toutes",SUMIFS('Étape 1 - à remplir'!$F$31:$F$400,'Étape 1 - à remplir'!$E$31:$E$400,MASQ2!O30,'Étape 1 - à remplir'!$G$31:$G$400,"animaux"),SUMIFS('Étape 1 - à remplir'!$F$31:$F$400,'Étape 1 - à remplir'!$E$31:$E$400,MASQ2!O30,'Étape 1 - à remplir'!$C$31:$C$400,X$3)),IF(X$2="Âge",IF(X$3="Tous",SUMIFS('Étape 1 - à remplir'!$F$31:$F$400,'Étape 1 - à remplir'!$E$31:$E$400,MASQ2!O30,'Étape 1 - à remplir'!$G$31:$G$400,"animaux"),SUMIFS('Étape 1 - à remplir'!$F$31:$F$400,'Étape 1 - à remplir'!$E$31:$E$400,MASQ2!O30,'Étape 1 - à remplir'!$P$31:$P$400,X$3)),IF(X$2="Atelier",IF(X$3="Tous",SUMIFS('Étape 1 - à remplir'!$F$31:$F$400,'Étape 1 - à remplir'!$E$31:$E$400,MASQ2!O30,'Étape 1 - à remplir'!$G$31:$G$400,"animaux"),SUMIFS('Étape 1 - à remplir'!$F$31:$F$400,'Étape 1 - à remplir'!$E$31:$E$400,MASQ2!O30,'Étape 1 - à remplir'!$O$31:$O$400,X$3)),IF(X$2="Espèce",IF(X$3="Toutes",SUMIFS('Étape 1 - à remplir'!$F$31:$F$400,'Étape 1 - à remplir'!$E$31:$E$400,MASQ2!O30,'Étape 1 - à remplir'!$G$31:$G$400,"animaux"),SUMIFS('Étape 1 - à remplir'!$F$31:$F$400,'Étape 1 - à remplir'!$E$31:$E$400,MASQ2!O30,'Étape 1 - à remplir'!$N$31:$N$400,X$3)))))))</f>
        <v>#N/A</v>
      </c>
      <c r="Q30" s="63">
        <f t="shared" si="62"/>
        <v>0</v>
      </c>
      <c r="R30" t="str">
        <f>Données_ATB!BM29</f>
        <v>Amoxicilline</v>
      </c>
      <c r="S30" t="str">
        <f>Données_ATB!BN29</f>
        <v/>
      </c>
      <c r="T30" s="63" t="str">
        <f>Données_ATB!BO29</f>
        <v/>
      </c>
      <c r="U30" s="42" t="str">
        <f>Données_ATB!BQ29</f>
        <v>Penicillines</v>
      </c>
      <c r="V30" t="str">
        <f>Données_ATB!BR29</f>
        <v/>
      </c>
      <c r="W30" s="63" t="str">
        <f>Données_ATB!BS29</f>
        <v/>
      </c>
      <c r="Z30" s="42">
        <v>27</v>
      </c>
      <c r="AA30" t="e">
        <f t="shared" si="32"/>
        <v>#N/A</v>
      </c>
      <c r="AB30" s="63" t="e">
        <f t="shared" si="33"/>
        <v>#N/A</v>
      </c>
      <c r="AD30" s="194" t="str">
        <f>IF(AF30="Colistine","x",IF(INDEX(Données_ATB!CA$3:CB$63,MATCH(AF30,Données_ATB!CA$3:CA$63,0),2)="Fluoroquinolones","x",IF(INDEX(Données_ATB!CA$3:CB$63,MATCH(AF30,Données_ATB!CA$3:CA$63,0),2)="Cephalosporines 3&amp;4G","x","")))</f>
        <v/>
      </c>
      <c r="AE30" s="219" t="str">
        <f>IFERROR(IF(AG30=0,"",COUNTIF(AG$4:AG$64,"&gt;"&amp;AG30)+COUNTIF(AG$4:AG30,AG30)),"")</f>
        <v/>
      </c>
      <c r="AF30" s="42" t="str">
        <f>Données_ATB!CA29</f>
        <v>Gentamicine</v>
      </c>
      <c r="AG30" s="63" t="e">
        <f t="shared" si="34"/>
        <v>#N/A</v>
      </c>
      <c r="AH30" s="42">
        <v>27</v>
      </c>
      <c r="AI30" t="e">
        <f t="shared" si="35"/>
        <v>#N/A</v>
      </c>
      <c r="AJ30" s="63" t="e">
        <f t="shared" si="36"/>
        <v>#N/A</v>
      </c>
      <c r="AM30" s="331" t="s">
        <v>581</v>
      </c>
      <c r="AN30" s="332"/>
      <c r="AO30" s="332"/>
      <c r="AP30" s="332"/>
      <c r="AQ30" s="332"/>
      <c r="AR30" s="333"/>
      <c r="AT30" s="130"/>
      <c r="AU30" s="131" t="s">
        <v>4343</v>
      </c>
      <c r="AV30" s="132" t="s">
        <v>586</v>
      </c>
      <c r="AW30" s="132" t="s">
        <v>587</v>
      </c>
      <c r="AX30" s="221" t="s">
        <v>588</v>
      </c>
      <c r="BB30" s="346" t="s">
        <v>588</v>
      </c>
      <c r="BC30" s="347"/>
      <c r="BD30" s="347"/>
      <c r="BE30" s="347"/>
      <c r="BF30" s="348"/>
      <c r="BT30" s="194" t="str">
        <f t="shared" ca="1" si="5"/>
        <v/>
      </c>
      <c r="BU30" s="219" t="str">
        <f>IFERROR(IF(BX30=0,"",COUNTIF(BX$4:BX$600,"&gt;"&amp;BX30)+COUNTIF(BX$4:BX30,BX30)),"")</f>
        <v/>
      </c>
      <c r="BV30" s="42" t="str">
        <f t="shared" si="6"/>
        <v>AMOXICILLINE CALIER GLOBULIT 50 MG/G PREMELANGE MEDICAMENTEUX</v>
      </c>
      <c r="BW30" t="e">
        <f>IF(IF(CE$2="Catégorie",IF(CE$3="Toutes",SUMIFS('Étape 1 - à remplir'!$F$31:$F$400,'Étape 1 - à remplir'!$E$31:$E$400,MASQ2!BV30,'Étape 1 - à remplir'!$G$31:$G$400,"lots"),SUMIFS('Étape 1 - à remplir'!$F$31:$F$400,'Étape 1 - à remplir'!$E$31:$E$400,MASQ2!BV30,'Étape 1 - à remplir'!$C$31:$C$400,CE$3)),IF(CE$2="Âge",IF(CE$3="Tous",SUMIFS('Étape 1 - à remplir'!$F$31:$F$400,'Étape 1 - à remplir'!$E$31:$E$400,MASQ2!BV30,'Étape 1 - à remplir'!$G$31:$G$400,"lots"),SUMIFS('Étape 1 - à remplir'!$F$31:$F$400,'Étape 1 - à remplir'!$E$31:$E$400,MASQ2!BV30,'Étape 1 - à remplir'!$P$31:$P$400,CE$3,'Étape 1 - à remplir'!$G$31:$G$400,"lots")),IF(CE$2="Atelier",IF(CE$3="Tous",SUMIFS('Étape 1 - à remplir'!$F$31:$F$400,'Étape 1 - à remplir'!$E$31:$E$400,MASQ2!BV30,'Étape 1 - à remplir'!$G$31:$G$400,"lots"),SUMIFS('Étape 1 - à remplir'!$F$31:$F$400,'Étape 1 - à remplir'!$E$31:$E$400,MASQ2!BV30,'Étape 1 - à remplir'!$O$31:$O$400,CE$3,'Étape 1 - à remplir'!$G$31:$G$400,"lots")),IF(CE$2="Espèce",IF(CE$3="Toutes",SUMIFS('Étape 1 - à remplir'!$F$31:$F$400,'Étape 1 - à remplir'!$E$31:$E$400,MASQ2!BV30,'Étape 1 - à remplir'!$G$31:$G$400,"lots"),SUMIFS('Étape 1 - à remplir'!$F$31:$F$400,'Étape 1 - à remplir'!$E$31:$E$400,MASQ2!BV30,'Étape 1 - à remplir'!$N$31:$N$400,CE$3,'Étape 1 - à remplir'!$G$31:$G$400,"lots"))))))=0,NA(),IF(CE$2="Catégorie",IF(CE$3="Toutes",SUMIFS('Étape 1 - à remplir'!$F$31:$F$400,'Étape 1 - à remplir'!$E$31:$E$400,MASQ2!BV30,'Étape 1 - à remplir'!$G$31:$G$400,"lots"),SUMIFS('Étape 1 - à remplir'!$F$31:$F$400,'Étape 1 - à remplir'!$E$31:$E$400,MASQ2!BV30,'Étape 1 - à remplir'!$C$31:$C$400,CE$3)),IF(CE$2="Âge",IF(CE$3="Tous",SUMIFS('Étape 1 - à remplir'!$F$31:$F$400,'Étape 1 - à remplir'!$E$31:$E$400,MASQ2!BV30,'Étape 1 - à remplir'!$G$31:$G$400,"lots"),SUMIFS('Étape 1 - à remplir'!$F$31:$F$400,'Étape 1 - à remplir'!$E$31:$E$400,MASQ2!BV30,'Étape 1 - à remplir'!$P$31:$P$400,CE$3,'Étape 1 - à remplir'!$G$31:$G$400,"lots")),IF(CE$2="Atelier",IF(CE$3="Tous",SUMIFS('Étape 1 - à remplir'!$F$31:$F$400,'Étape 1 - à remplir'!$E$31:$E$400,MASQ2!BV30,'Étape 1 - à remplir'!$G$31:$G$400,"lots"),SUMIFS('Étape 1 - à remplir'!$F$31:$F$400,'Étape 1 - à remplir'!$E$31:$E$400,MASQ2!BV30,'Étape 1 - à remplir'!$O$31:$O$400,CE$3,'Étape 1 - à remplir'!$G$31:$G$400,"lots")),IF(CE$2="Espèce",IF(CE$3="Toutes",SUMIFS('Étape 1 - à remplir'!$F$31:$F$400,'Étape 1 - à remplir'!$E$31:$E$400,MASQ2!BV30,'Étape 1 - à remplir'!$G$31:$G$400,"lots"),SUMIFS('Étape 1 - à remplir'!$F$31:$F$400,'Étape 1 - à remplir'!$E$31:$E$400,MASQ2!BV30,'Étape 1 - à remplir'!$N$31:$N$400,CE$3,'Étape 1 - à remplir'!$G$31:$G$400,"lots")))))))</f>
        <v>#N/A</v>
      </c>
      <c r="BX30">
        <f t="shared" si="42"/>
        <v>0</v>
      </c>
      <c r="BY30" t="str">
        <f t="shared" si="7"/>
        <v>Amoxicilline</v>
      </c>
      <c r="BZ30" t="str">
        <f t="shared" si="8"/>
        <v/>
      </c>
      <c r="CA30" t="str">
        <f t="shared" si="9"/>
        <v/>
      </c>
      <c r="CB30" t="str">
        <f t="shared" si="10"/>
        <v>Penicillines</v>
      </c>
      <c r="CC30" t="str">
        <f t="shared" si="11"/>
        <v/>
      </c>
      <c r="CD30" s="63" t="str">
        <f t="shared" si="12"/>
        <v/>
      </c>
      <c r="CG30" s="42">
        <v>27</v>
      </c>
      <c r="CH30" s="42" t="e">
        <f t="shared" si="80"/>
        <v>#N/A</v>
      </c>
      <c r="CI30" s="63" t="e">
        <f t="shared" si="81"/>
        <v>#N/A</v>
      </c>
      <c r="CK30" s="194" t="str">
        <f t="shared" si="13"/>
        <v/>
      </c>
      <c r="CL30" s="226" t="str">
        <f>IFERROR(IF(CN30=0,"",COUNTIF(CN$4:CN$64,"&gt;"&amp;CN30)+COUNTIF(CN$4:CN30,CN30)),"")</f>
        <v/>
      </c>
      <c r="CM30" t="str">
        <f t="shared" si="14"/>
        <v>Gentamicine</v>
      </c>
      <c r="CN30" s="76" t="e">
        <f t="shared" si="45"/>
        <v>#N/A</v>
      </c>
      <c r="CO30">
        <v>27</v>
      </c>
      <c r="CP30" t="e">
        <f t="shared" si="46"/>
        <v>#N/A</v>
      </c>
      <c r="CQ30" s="63" t="e">
        <f t="shared" si="47"/>
        <v>#N/A</v>
      </c>
      <c r="CT30" s="331" t="s">
        <v>581</v>
      </c>
      <c r="CU30" s="332"/>
      <c r="CV30" s="332"/>
      <c r="CW30" s="332"/>
      <c r="CX30" s="332"/>
      <c r="CY30" s="333"/>
      <c r="DA30" s="130"/>
      <c r="DB30" s="131" t="s">
        <v>585</v>
      </c>
      <c r="DC30" s="132" t="s">
        <v>586</v>
      </c>
      <c r="DD30" s="132" t="s">
        <v>587</v>
      </c>
      <c r="DE30" s="221" t="s">
        <v>588</v>
      </c>
      <c r="DI30" s="328" t="s">
        <v>588</v>
      </c>
      <c r="DJ30" s="329"/>
      <c r="DK30" s="329"/>
      <c r="DL30" s="329"/>
      <c r="DM30" s="330"/>
      <c r="EA30" s="194" t="str">
        <f t="shared" ca="1" si="18"/>
        <v/>
      </c>
      <c r="EB30" s="226" t="str">
        <f>IFERROR(IF(ED30=0,"",COUNTIF(ED$4:ED$600,"&gt;"&amp;ED30)+COUNTIF(ED$4:ED30,ED30)),"")</f>
        <v/>
      </c>
      <c r="EC30" t="str">
        <f t="shared" si="19"/>
        <v>AMOXICILLINE CALIER GLOBULIT 50 MG/G PREMELANGE MEDICAMENTEUX</v>
      </c>
      <c r="ED30" t="e">
        <f>IF(IF(EL$2="Catégorie",IF(EL$3="Toutes",SUMIFS('Étape 1 - à remplir'!$F$31:$F$400,'Étape 1 - à remplir'!$E$31:$E$400,MASQ2!EC30,'Étape 1 - à remplir'!$G$31:$G$400,"kg"),SUMIFS('Étape 1 - à remplir'!$F$31:$F$400,'Étape 1 - à remplir'!$E$31:$E$400,MASQ2!EC30,'Étape 1 - à remplir'!$C$31:$C$400,EL$3)),IF(EL$2="Âge",IF(EL$3="Tous",SUMIFS('Étape 1 - à remplir'!$F$31:$F$400,'Étape 1 - à remplir'!$E$31:$E$400,MASQ2!EC30,'Étape 1 - à remplir'!$G$31:$G$400,"kg"),SUMIFS('Étape 1 - à remplir'!$F$31:$F$400,'Étape 1 - à remplir'!$E$31:$E$400,MASQ2!EC30,'Étape 1 - à remplir'!$P$31:$P$400,EL$3,'Étape 1 - à remplir'!$G$31:$G$400,"kg")),IF(EL$2="Atelier",IF(EL$3="Tous",SUMIFS('Étape 1 - à remplir'!$F$31:$F$400,'Étape 1 - à remplir'!$E$31:$E$400,MASQ2!EC30,'Étape 1 - à remplir'!$G$31:$G$400,"kg"),SUMIFS('Étape 1 - à remplir'!$F$31:$F$400,'Étape 1 - à remplir'!$E$31:$E$400,MASQ2!EC30,'Étape 1 - à remplir'!$O$31:$O$400,EL$3,'Étape 1 - à remplir'!$G$31:$G$400,"kg")),IF(EL$2="Espèce",IF(EL$3="Toutes",SUMIFS('Étape 1 - à remplir'!$F$31:$F$400,'Étape 1 - à remplir'!$E$31:$E$400,MASQ2!EC30,'Étape 1 - à remplir'!$G$31:$G$400,"kg"),SUMIFS('Étape 1 - à remplir'!$F$31:$F$400,'Étape 1 - à remplir'!$E$31:$E$400,MASQ2!EC30,'Étape 1 - à remplir'!$N$31:$N$400,EL$3,'Étape 1 - à remplir'!$G$31:$G$400,"kg"))))))=0,NA(),IF(EL$2="Catégorie",IF(EL$3="Toutes",SUMIFS('Étape 1 - à remplir'!$F$31:$F$400,'Étape 1 - à remplir'!$E$31:$E$400,MASQ2!EC30,'Étape 1 - à remplir'!$G$31:$G$400,"kg"),SUMIFS('Étape 1 - à remplir'!$F$31:$F$400,'Étape 1 - à remplir'!$E$31:$E$400,MASQ2!EC30,'Étape 1 - à remplir'!$C$31:$C$400,EL$3)),IF(EL$2="Âge",IF(EL$3="Tous",SUMIFS('Étape 1 - à remplir'!$F$31:$F$400,'Étape 1 - à remplir'!$E$31:$E$400,MASQ2!EC30,'Étape 1 - à remplir'!$G$31:$G$400,"kg"),SUMIFS('Étape 1 - à remplir'!$F$31:$F$400,'Étape 1 - à remplir'!$E$31:$E$400,MASQ2!EC30,'Étape 1 - à remplir'!$P$31:$P$400,EL$3,'Étape 1 - à remplir'!$G$31:$G$400,"kg")),IF(EL$2="Atelier",IF(EL$3="Tous",SUMIFS('Étape 1 - à remplir'!$F$31:$F$400,'Étape 1 - à remplir'!$E$31:$E$400,MASQ2!EC30,'Étape 1 - à remplir'!$G$31:$G$400,"kg"),SUMIFS('Étape 1 - à remplir'!$F$31:$F$400,'Étape 1 - à remplir'!$E$31:$E$400,MASQ2!EC30,'Étape 1 - à remplir'!$O$31:$O$400,EL$3,'Étape 1 - à remplir'!$G$31:$G$400,"kg")),IF(EL$2="Espèce",IF(EL$3="Toutes",SUMIFS('Étape 1 - à remplir'!$F$31:$F$400,'Étape 1 - à remplir'!$E$31:$E$400,MASQ2!EC30,'Étape 1 - à remplir'!$G$31:$G$400,"kg"),SUMIFS('Étape 1 - à remplir'!$F$31:$F$400,'Étape 1 - à remplir'!$E$31:$E$400,MASQ2!EC30,'Étape 1 - à remplir'!$N$31:$N$400,EL$3,'Étape 1 - à remplir'!$G$31:$G$400,"kg")))))))</f>
        <v>#N/A</v>
      </c>
      <c r="EE30" s="76">
        <f t="shared" si="53"/>
        <v>0</v>
      </c>
      <c r="EF30" t="str">
        <f t="shared" si="20"/>
        <v>Amoxicilline</v>
      </c>
      <c r="EG30" t="str">
        <f t="shared" si="21"/>
        <v/>
      </c>
      <c r="EH30" t="str">
        <f t="shared" si="22"/>
        <v/>
      </c>
      <c r="EI30" t="str">
        <f t="shared" si="23"/>
        <v>Penicillines</v>
      </c>
      <c r="EJ30" t="str">
        <f t="shared" si="24"/>
        <v/>
      </c>
      <c r="EK30" s="63" t="str">
        <f t="shared" si="25"/>
        <v/>
      </c>
      <c r="EN30" s="42">
        <v>27</v>
      </c>
      <c r="EO30" t="e">
        <f t="shared" si="68"/>
        <v>#N/A</v>
      </c>
      <c r="EP30" s="63" t="e">
        <f t="shared" si="69"/>
        <v>#N/A</v>
      </c>
      <c r="ER30" s="194" t="str">
        <f t="shared" si="26"/>
        <v/>
      </c>
      <c r="ES30" s="226" t="str">
        <f>IFERROR(IF(EU30=0,"",COUNTIF(EU$4:EU$64,"&gt;"&amp;EU30)+COUNTIF(EU$4:EU30,EU30)),"")</f>
        <v/>
      </c>
      <c r="ET30" t="str">
        <f t="shared" si="27"/>
        <v>Gentamicine</v>
      </c>
      <c r="EU30" s="76" t="e">
        <f t="shared" si="56"/>
        <v>#N/A</v>
      </c>
      <c r="EV30">
        <v>27</v>
      </c>
      <c r="EW30" t="e">
        <f t="shared" si="57"/>
        <v>#N/A</v>
      </c>
      <c r="EX30" s="63" t="e">
        <f t="shared" si="58"/>
        <v>#N/A</v>
      </c>
      <c r="FA30" s="331" t="s">
        <v>581</v>
      </c>
      <c r="FB30" s="332"/>
      <c r="FC30" s="332"/>
      <c r="FD30" s="332"/>
      <c r="FE30" s="332"/>
      <c r="FF30" s="333"/>
      <c r="FH30" s="130"/>
      <c r="FI30" s="131" t="s">
        <v>4343</v>
      </c>
      <c r="FJ30" s="132" t="s">
        <v>586</v>
      </c>
      <c r="FK30" s="132" t="s">
        <v>587</v>
      </c>
      <c r="FL30" s="132" t="s">
        <v>588</v>
      </c>
      <c r="FM30" s="42"/>
      <c r="FP30" s="328" t="s">
        <v>588</v>
      </c>
      <c r="FQ30" s="329"/>
      <c r="FR30" s="329"/>
      <c r="FS30" s="329"/>
      <c r="FT30" s="330"/>
    </row>
    <row r="31" spans="1:177" x14ac:dyDescent="0.3">
      <c r="B31" s="42"/>
      <c r="M31" s="194" t="str">
        <f ca="1">INDEX(Données_ATB!BD:BU,MATCH(MASQ2!O31,Données_ATB!BD:BD,0),18)</f>
        <v/>
      </c>
      <c r="N31" s="14" t="str">
        <f>IFERROR(IF(Q31=0,"",COUNTIF(Q$4:Q$600,"&gt;"&amp;Q31)+COUNTIF(Q$4:Q31,Q31)),"")</f>
        <v/>
      </c>
      <c r="O31" t="str">
        <f>Données_ATB!BD30</f>
        <v>AMOXICILLINE GLOBAL VET HEALTH 436 MG/G POUDRE POUR ADMINISTRATION DANS L'EAU DE BOISSON POUR POULES DINDES CANARDS ET PORCINS</v>
      </c>
      <c r="P31" t="e">
        <f>IF(IF(X$2="Catégorie",IF(X$3="Toutes",SUMIFS('Étape 1 - à remplir'!$F$31:$F$400,'Étape 1 - à remplir'!$E$31:$E$400,MASQ2!O31,'Étape 1 - à remplir'!$G$31:$G$400,"animaux"),SUMIFS('Étape 1 - à remplir'!$F$31:$F$400,'Étape 1 - à remplir'!$E$31:$E$400,MASQ2!O31,'Étape 1 - à remplir'!$C$31:$C$400,X$3)),IF(X$2="Âge",IF(X$3="Tous",SUMIFS('Étape 1 - à remplir'!$F$31:$F$400,'Étape 1 - à remplir'!$E$31:$E$400,MASQ2!O31,'Étape 1 - à remplir'!$G$31:$G$400,"animaux"),SUMIFS('Étape 1 - à remplir'!$F$31:$F$400,'Étape 1 - à remplir'!$E$31:$E$400,MASQ2!O31,'Étape 1 - à remplir'!$P$31:$P$400,X$3)),IF(X$2="Atelier",IF(X$3="Tous",SUMIFS('Étape 1 - à remplir'!$F$31:$F$400,'Étape 1 - à remplir'!$E$31:$E$400,MASQ2!O31,'Étape 1 - à remplir'!$G$31:$G$400,"animaux"),SUMIFS('Étape 1 - à remplir'!$F$31:$F$400,'Étape 1 - à remplir'!$E$31:$E$400,MASQ2!O31,'Étape 1 - à remplir'!$O$31:$O$400,X$3)),IF(X$2="Espèce",IF(X$3="Toutes",SUMIFS('Étape 1 - à remplir'!$F$31:$F$400,'Étape 1 - à remplir'!$E$31:$E$400,MASQ2!O31,'Étape 1 - à remplir'!$G$31:$G$400,"animaux"),SUMIFS('Étape 1 - à remplir'!$F$31:$F$400,'Étape 1 - à remplir'!$E$31:$E$400,MASQ2!O31,'Étape 1 - à remplir'!$N$31:$N$400,X$3))))))=0,NA(),IF(X$2="Catégorie",IF(X$3="Toutes",SUMIFS('Étape 1 - à remplir'!$F$31:$F$400,'Étape 1 - à remplir'!$E$31:$E$400,MASQ2!O31,'Étape 1 - à remplir'!$G$31:$G$400,"animaux"),SUMIFS('Étape 1 - à remplir'!$F$31:$F$400,'Étape 1 - à remplir'!$E$31:$E$400,MASQ2!O31,'Étape 1 - à remplir'!$C$31:$C$400,X$3)),IF(X$2="Âge",IF(X$3="Tous",SUMIFS('Étape 1 - à remplir'!$F$31:$F$400,'Étape 1 - à remplir'!$E$31:$E$400,MASQ2!O31,'Étape 1 - à remplir'!$G$31:$G$400,"animaux"),SUMIFS('Étape 1 - à remplir'!$F$31:$F$400,'Étape 1 - à remplir'!$E$31:$E$400,MASQ2!O31,'Étape 1 - à remplir'!$P$31:$P$400,X$3)),IF(X$2="Atelier",IF(X$3="Tous",SUMIFS('Étape 1 - à remplir'!$F$31:$F$400,'Étape 1 - à remplir'!$E$31:$E$400,MASQ2!O31,'Étape 1 - à remplir'!$G$31:$G$400,"animaux"),SUMIFS('Étape 1 - à remplir'!$F$31:$F$400,'Étape 1 - à remplir'!$E$31:$E$400,MASQ2!O31,'Étape 1 - à remplir'!$O$31:$O$400,X$3)),IF(X$2="Espèce",IF(X$3="Toutes",SUMIFS('Étape 1 - à remplir'!$F$31:$F$400,'Étape 1 - à remplir'!$E$31:$E$400,MASQ2!O31,'Étape 1 - à remplir'!$G$31:$G$400,"animaux"),SUMIFS('Étape 1 - à remplir'!$F$31:$F$400,'Étape 1 - à remplir'!$E$31:$E$400,MASQ2!O31,'Étape 1 - à remplir'!$N$31:$N$400,X$3)))))))</f>
        <v>#N/A</v>
      </c>
      <c r="Q31" s="63">
        <f t="shared" si="62"/>
        <v>0</v>
      </c>
      <c r="R31" t="str">
        <f>Données_ATB!BM30</f>
        <v>Amoxicilline</v>
      </c>
      <c r="S31" t="str">
        <f>Données_ATB!BN30</f>
        <v/>
      </c>
      <c r="T31" s="63" t="str">
        <f>Données_ATB!BO30</f>
        <v/>
      </c>
      <c r="U31" s="42" t="str">
        <f>Données_ATB!BQ30</f>
        <v>Penicillines</v>
      </c>
      <c r="V31" t="str">
        <f>Données_ATB!BR30</f>
        <v/>
      </c>
      <c r="W31" s="63" t="str">
        <f>Données_ATB!BS30</f>
        <v/>
      </c>
      <c r="Z31" s="42">
        <v>28</v>
      </c>
      <c r="AA31" t="e">
        <f t="shared" si="32"/>
        <v>#N/A</v>
      </c>
      <c r="AB31" s="63" t="e">
        <f t="shared" si="33"/>
        <v>#N/A</v>
      </c>
      <c r="AD31" s="194" t="str">
        <f>IF(AF31="Colistine","x",IF(INDEX(Données_ATB!CA$3:CB$63,MATCH(AF31,Données_ATB!CA$3:CA$63,0),2)="Fluoroquinolones","x",IF(INDEX(Données_ATB!CA$3:CB$63,MATCH(AF31,Données_ATB!CA$3:CA$63,0),2)="Cephalosporines 3&amp;4G","x","")))</f>
        <v/>
      </c>
      <c r="AE31" s="219" t="str">
        <f>IFERROR(IF(AG31=0,"",COUNTIF(AG$4:AG$64,"&gt;"&amp;AG31)+COUNTIF(AG$4:AG31,AG31)),"")</f>
        <v/>
      </c>
      <c r="AF31" s="42" t="str">
        <f>Données_ATB!CA30</f>
        <v>Kanamycine</v>
      </c>
      <c r="AG31" s="63" t="e">
        <f t="shared" si="34"/>
        <v>#N/A</v>
      </c>
      <c r="AH31" s="42">
        <v>28</v>
      </c>
      <c r="AI31" t="e">
        <f t="shared" si="35"/>
        <v>#N/A</v>
      </c>
      <c r="AJ31" s="63" t="e">
        <f t="shared" si="36"/>
        <v>#N/A</v>
      </c>
      <c r="AM31" s="194" t="s">
        <v>4349</v>
      </c>
      <c r="AN31" s="353" t="s">
        <v>563</v>
      </c>
      <c r="AO31" s="354"/>
      <c r="AP31" s="73" t="s">
        <v>4349</v>
      </c>
      <c r="AQ31" s="353" t="s">
        <v>564</v>
      </c>
      <c r="AR31" s="355"/>
      <c r="AT31" s="42"/>
      <c r="AU31" s="118" t="str">
        <f>IF(AT17="","",AT17)</f>
        <v>Toutes</v>
      </c>
      <c r="AV31" t="s">
        <v>582</v>
      </c>
      <c r="AW31" t="s">
        <v>582</v>
      </c>
      <c r="AX31" s="63" t="s">
        <v>584</v>
      </c>
      <c r="BB31" s="120" t="s">
        <v>4349</v>
      </c>
      <c r="BC31" s="114" t="s">
        <v>584</v>
      </c>
      <c r="BD31" s="108" t="s">
        <v>584</v>
      </c>
      <c r="BE31" s="117" t="s">
        <v>584</v>
      </c>
      <c r="BF31" s="121" t="s">
        <v>4351</v>
      </c>
      <c r="BT31" s="194" t="str">
        <f t="shared" ca="1" si="5"/>
        <v/>
      </c>
      <c r="BU31" s="219" t="str">
        <f>IFERROR(IF(BX31=0,"",COUNTIF(BX$4:BX$600,"&gt;"&amp;BX31)+COUNTIF(BX$4:BX31,BX31)),"")</f>
        <v/>
      </c>
      <c r="BV31" s="42" t="str">
        <f t="shared" si="6"/>
        <v>AMOXICILLINE GLOBAL VET HEALTH 436 MG/G POUDRE POUR ADMINISTRATION DANS L'EAU DE BOISSON POUR POULES DINDES CANARDS ET PORCINS</v>
      </c>
      <c r="BW31" t="e">
        <f>IF(IF(CE$2="Catégorie",IF(CE$3="Toutes",SUMIFS('Étape 1 - à remplir'!$F$31:$F$400,'Étape 1 - à remplir'!$E$31:$E$400,MASQ2!BV31,'Étape 1 - à remplir'!$G$31:$G$400,"lots"),SUMIFS('Étape 1 - à remplir'!$F$31:$F$400,'Étape 1 - à remplir'!$E$31:$E$400,MASQ2!BV31,'Étape 1 - à remplir'!$C$31:$C$400,CE$3)),IF(CE$2="Âge",IF(CE$3="Tous",SUMIFS('Étape 1 - à remplir'!$F$31:$F$400,'Étape 1 - à remplir'!$E$31:$E$400,MASQ2!BV31,'Étape 1 - à remplir'!$G$31:$G$400,"lots"),SUMIFS('Étape 1 - à remplir'!$F$31:$F$400,'Étape 1 - à remplir'!$E$31:$E$400,MASQ2!BV31,'Étape 1 - à remplir'!$P$31:$P$400,CE$3,'Étape 1 - à remplir'!$G$31:$G$400,"lots")),IF(CE$2="Atelier",IF(CE$3="Tous",SUMIFS('Étape 1 - à remplir'!$F$31:$F$400,'Étape 1 - à remplir'!$E$31:$E$400,MASQ2!BV31,'Étape 1 - à remplir'!$G$31:$G$400,"lots"),SUMIFS('Étape 1 - à remplir'!$F$31:$F$400,'Étape 1 - à remplir'!$E$31:$E$400,MASQ2!BV31,'Étape 1 - à remplir'!$O$31:$O$400,CE$3,'Étape 1 - à remplir'!$G$31:$G$400,"lots")),IF(CE$2="Espèce",IF(CE$3="Toutes",SUMIFS('Étape 1 - à remplir'!$F$31:$F$400,'Étape 1 - à remplir'!$E$31:$E$400,MASQ2!BV31,'Étape 1 - à remplir'!$G$31:$G$400,"lots"),SUMIFS('Étape 1 - à remplir'!$F$31:$F$400,'Étape 1 - à remplir'!$E$31:$E$400,MASQ2!BV31,'Étape 1 - à remplir'!$N$31:$N$400,CE$3,'Étape 1 - à remplir'!$G$31:$G$400,"lots"))))))=0,NA(),IF(CE$2="Catégorie",IF(CE$3="Toutes",SUMIFS('Étape 1 - à remplir'!$F$31:$F$400,'Étape 1 - à remplir'!$E$31:$E$400,MASQ2!BV31,'Étape 1 - à remplir'!$G$31:$G$400,"lots"),SUMIFS('Étape 1 - à remplir'!$F$31:$F$400,'Étape 1 - à remplir'!$E$31:$E$400,MASQ2!BV31,'Étape 1 - à remplir'!$C$31:$C$400,CE$3)),IF(CE$2="Âge",IF(CE$3="Tous",SUMIFS('Étape 1 - à remplir'!$F$31:$F$400,'Étape 1 - à remplir'!$E$31:$E$400,MASQ2!BV31,'Étape 1 - à remplir'!$G$31:$G$400,"lots"),SUMIFS('Étape 1 - à remplir'!$F$31:$F$400,'Étape 1 - à remplir'!$E$31:$E$400,MASQ2!BV31,'Étape 1 - à remplir'!$P$31:$P$400,CE$3,'Étape 1 - à remplir'!$G$31:$G$400,"lots")),IF(CE$2="Atelier",IF(CE$3="Tous",SUMIFS('Étape 1 - à remplir'!$F$31:$F$400,'Étape 1 - à remplir'!$E$31:$E$400,MASQ2!BV31,'Étape 1 - à remplir'!$G$31:$G$400,"lots"),SUMIFS('Étape 1 - à remplir'!$F$31:$F$400,'Étape 1 - à remplir'!$E$31:$E$400,MASQ2!BV31,'Étape 1 - à remplir'!$O$31:$O$400,CE$3,'Étape 1 - à remplir'!$G$31:$G$400,"lots")),IF(CE$2="Espèce",IF(CE$3="Toutes",SUMIFS('Étape 1 - à remplir'!$F$31:$F$400,'Étape 1 - à remplir'!$E$31:$E$400,MASQ2!BV31,'Étape 1 - à remplir'!$G$31:$G$400,"lots"),SUMIFS('Étape 1 - à remplir'!$F$31:$F$400,'Étape 1 - à remplir'!$E$31:$E$400,MASQ2!BV31,'Étape 1 - à remplir'!$N$31:$N$400,CE$3,'Étape 1 - à remplir'!$G$31:$G$400,"lots")))))))</f>
        <v>#N/A</v>
      </c>
      <c r="BX31">
        <f t="shared" si="42"/>
        <v>0</v>
      </c>
      <c r="BY31" t="str">
        <f t="shared" si="7"/>
        <v>Amoxicilline</v>
      </c>
      <c r="BZ31" t="str">
        <f t="shared" si="8"/>
        <v/>
      </c>
      <c r="CA31" t="str">
        <f t="shared" si="9"/>
        <v/>
      </c>
      <c r="CB31" t="str">
        <f t="shared" si="10"/>
        <v>Penicillines</v>
      </c>
      <c r="CC31" t="str">
        <f t="shared" si="11"/>
        <v/>
      </c>
      <c r="CD31" s="63" t="str">
        <f t="shared" si="12"/>
        <v/>
      </c>
      <c r="CG31" s="42">
        <v>28</v>
      </c>
      <c r="CH31" s="42" t="e">
        <f t="shared" si="80"/>
        <v>#N/A</v>
      </c>
      <c r="CI31" s="63" t="e">
        <f t="shared" si="81"/>
        <v>#N/A</v>
      </c>
      <c r="CK31" s="194" t="str">
        <f t="shared" si="13"/>
        <v/>
      </c>
      <c r="CL31" s="226" t="str">
        <f>IFERROR(IF(CN31=0,"",COUNTIF(CN$4:CN$64,"&gt;"&amp;CN31)+COUNTIF(CN$4:CN31,CN31)),"")</f>
        <v/>
      </c>
      <c r="CM31" t="str">
        <f t="shared" si="14"/>
        <v>Kanamycine</v>
      </c>
      <c r="CN31" s="76" t="e">
        <f t="shared" si="45"/>
        <v>#N/A</v>
      </c>
      <c r="CO31">
        <v>28</v>
      </c>
      <c r="CP31" t="e">
        <f t="shared" si="46"/>
        <v>#N/A</v>
      </c>
      <c r="CQ31" s="63" t="e">
        <f t="shared" si="47"/>
        <v>#N/A</v>
      </c>
      <c r="CT31" s="42" t="s">
        <v>4349</v>
      </c>
      <c r="CU31" s="342" t="s">
        <v>563</v>
      </c>
      <c r="CV31" s="344"/>
      <c r="CW31" s="207" t="s">
        <v>4351</v>
      </c>
      <c r="CX31" s="342" t="s">
        <v>564</v>
      </c>
      <c r="CY31" s="343"/>
      <c r="DA31" s="42"/>
      <c r="DB31" s="118" t="str">
        <f>IF(DA17="","",DA17)</f>
        <v>Toutes</v>
      </c>
      <c r="DC31" t="s">
        <v>582</v>
      </c>
      <c r="DD31" t="s">
        <v>582</v>
      </c>
      <c r="DE31" s="63" t="s">
        <v>584</v>
      </c>
      <c r="DI31" s="122" t="s">
        <v>4349</v>
      </c>
      <c r="DJ31" s="109" t="s">
        <v>584</v>
      </c>
      <c r="DK31" s="109" t="s">
        <v>584</v>
      </c>
      <c r="DL31" s="109" t="s">
        <v>584</v>
      </c>
      <c r="DM31" s="123" t="s">
        <v>4351</v>
      </c>
      <c r="EA31" s="194" t="str">
        <f t="shared" ca="1" si="18"/>
        <v/>
      </c>
      <c r="EB31" s="226" t="str">
        <f>IFERROR(IF(ED31=0,"",COUNTIF(ED$4:ED$600,"&gt;"&amp;ED31)+COUNTIF(ED$4:ED31,ED31)),"")</f>
        <v/>
      </c>
      <c r="EC31" t="str">
        <f t="shared" si="19"/>
        <v>AMOXICILLINE GLOBAL VET HEALTH 436 MG/G POUDRE POUR ADMINISTRATION DANS L'EAU DE BOISSON POUR POULES DINDES CANARDS ET PORCINS</v>
      </c>
      <c r="ED31" t="e">
        <f>IF(IF(EL$2="Catégorie",IF(EL$3="Toutes",SUMIFS('Étape 1 - à remplir'!$F$31:$F$400,'Étape 1 - à remplir'!$E$31:$E$400,MASQ2!EC31,'Étape 1 - à remplir'!$G$31:$G$400,"kg"),SUMIFS('Étape 1 - à remplir'!$F$31:$F$400,'Étape 1 - à remplir'!$E$31:$E$400,MASQ2!EC31,'Étape 1 - à remplir'!$C$31:$C$400,EL$3)),IF(EL$2="Âge",IF(EL$3="Tous",SUMIFS('Étape 1 - à remplir'!$F$31:$F$400,'Étape 1 - à remplir'!$E$31:$E$400,MASQ2!EC31,'Étape 1 - à remplir'!$G$31:$G$400,"kg"),SUMIFS('Étape 1 - à remplir'!$F$31:$F$400,'Étape 1 - à remplir'!$E$31:$E$400,MASQ2!EC31,'Étape 1 - à remplir'!$P$31:$P$400,EL$3,'Étape 1 - à remplir'!$G$31:$G$400,"kg")),IF(EL$2="Atelier",IF(EL$3="Tous",SUMIFS('Étape 1 - à remplir'!$F$31:$F$400,'Étape 1 - à remplir'!$E$31:$E$400,MASQ2!EC31,'Étape 1 - à remplir'!$G$31:$G$400,"kg"),SUMIFS('Étape 1 - à remplir'!$F$31:$F$400,'Étape 1 - à remplir'!$E$31:$E$400,MASQ2!EC31,'Étape 1 - à remplir'!$O$31:$O$400,EL$3,'Étape 1 - à remplir'!$G$31:$G$400,"kg")),IF(EL$2="Espèce",IF(EL$3="Toutes",SUMIFS('Étape 1 - à remplir'!$F$31:$F$400,'Étape 1 - à remplir'!$E$31:$E$400,MASQ2!EC31,'Étape 1 - à remplir'!$G$31:$G$400,"kg"),SUMIFS('Étape 1 - à remplir'!$F$31:$F$400,'Étape 1 - à remplir'!$E$31:$E$400,MASQ2!EC31,'Étape 1 - à remplir'!$N$31:$N$400,EL$3,'Étape 1 - à remplir'!$G$31:$G$400,"kg"))))))=0,NA(),IF(EL$2="Catégorie",IF(EL$3="Toutes",SUMIFS('Étape 1 - à remplir'!$F$31:$F$400,'Étape 1 - à remplir'!$E$31:$E$400,MASQ2!EC31,'Étape 1 - à remplir'!$G$31:$G$400,"kg"),SUMIFS('Étape 1 - à remplir'!$F$31:$F$400,'Étape 1 - à remplir'!$E$31:$E$400,MASQ2!EC31,'Étape 1 - à remplir'!$C$31:$C$400,EL$3)),IF(EL$2="Âge",IF(EL$3="Tous",SUMIFS('Étape 1 - à remplir'!$F$31:$F$400,'Étape 1 - à remplir'!$E$31:$E$400,MASQ2!EC31,'Étape 1 - à remplir'!$G$31:$G$400,"kg"),SUMIFS('Étape 1 - à remplir'!$F$31:$F$400,'Étape 1 - à remplir'!$E$31:$E$400,MASQ2!EC31,'Étape 1 - à remplir'!$P$31:$P$400,EL$3,'Étape 1 - à remplir'!$G$31:$G$400,"kg")),IF(EL$2="Atelier",IF(EL$3="Tous",SUMIFS('Étape 1 - à remplir'!$F$31:$F$400,'Étape 1 - à remplir'!$E$31:$E$400,MASQ2!EC31,'Étape 1 - à remplir'!$G$31:$G$400,"kg"),SUMIFS('Étape 1 - à remplir'!$F$31:$F$400,'Étape 1 - à remplir'!$E$31:$E$400,MASQ2!EC31,'Étape 1 - à remplir'!$O$31:$O$400,EL$3,'Étape 1 - à remplir'!$G$31:$G$400,"kg")),IF(EL$2="Espèce",IF(EL$3="Toutes",SUMIFS('Étape 1 - à remplir'!$F$31:$F$400,'Étape 1 - à remplir'!$E$31:$E$400,MASQ2!EC31,'Étape 1 - à remplir'!$G$31:$G$400,"kg"),SUMIFS('Étape 1 - à remplir'!$F$31:$F$400,'Étape 1 - à remplir'!$E$31:$E$400,MASQ2!EC31,'Étape 1 - à remplir'!$N$31:$N$400,EL$3,'Étape 1 - à remplir'!$G$31:$G$400,"kg")))))))</f>
        <v>#N/A</v>
      </c>
      <c r="EE31" s="76">
        <f t="shared" si="53"/>
        <v>0</v>
      </c>
      <c r="EF31" t="str">
        <f t="shared" si="20"/>
        <v>Amoxicilline</v>
      </c>
      <c r="EG31" t="str">
        <f t="shared" si="21"/>
        <v/>
      </c>
      <c r="EH31" t="str">
        <f t="shared" si="22"/>
        <v/>
      </c>
      <c r="EI31" t="str">
        <f t="shared" si="23"/>
        <v>Penicillines</v>
      </c>
      <c r="EJ31" t="str">
        <f t="shared" si="24"/>
        <v/>
      </c>
      <c r="EK31" s="63" t="str">
        <f t="shared" si="25"/>
        <v/>
      </c>
      <c r="EN31" s="42">
        <v>28</v>
      </c>
      <c r="EO31" t="e">
        <f t="shared" si="68"/>
        <v>#N/A</v>
      </c>
      <c r="EP31" s="63" t="e">
        <f t="shared" si="69"/>
        <v>#N/A</v>
      </c>
      <c r="ER31" s="194" t="str">
        <f t="shared" si="26"/>
        <v/>
      </c>
      <c r="ES31" s="226" t="str">
        <f>IFERROR(IF(EU31=0,"",COUNTIF(EU$4:EU$64,"&gt;"&amp;EU31)+COUNTIF(EU$4:EU31,EU31)),"")</f>
        <v/>
      </c>
      <c r="ET31" t="str">
        <f t="shared" si="27"/>
        <v>Kanamycine</v>
      </c>
      <c r="EU31" s="76" t="e">
        <f t="shared" si="56"/>
        <v>#N/A</v>
      </c>
      <c r="EV31">
        <v>28</v>
      </c>
      <c r="EW31" t="e">
        <f t="shared" si="57"/>
        <v>#N/A</v>
      </c>
      <c r="EX31" s="63" t="e">
        <f t="shared" si="58"/>
        <v>#N/A</v>
      </c>
      <c r="FA31" s="42" t="s">
        <v>4349</v>
      </c>
      <c r="FB31" s="342" t="s">
        <v>563</v>
      </c>
      <c r="FC31" s="344"/>
      <c r="FD31" s="352" t="s">
        <v>564</v>
      </c>
      <c r="FE31" s="342"/>
      <c r="FF31" s="343"/>
      <c r="FH31" s="42"/>
      <c r="FI31" s="118" t="str">
        <f>IF(FH17="","",FH17)</f>
        <v>Toutes</v>
      </c>
      <c r="FJ31" t="s">
        <v>582</v>
      </c>
      <c r="FK31" t="s">
        <v>582</v>
      </c>
      <c r="FL31" t="s">
        <v>584</v>
      </c>
      <c r="FM31" s="42"/>
      <c r="FP31" s="122" t="s">
        <v>4349</v>
      </c>
      <c r="FQ31" s="109" t="s">
        <v>584</v>
      </c>
      <c r="FR31" s="109" t="s">
        <v>584</v>
      </c>
      <c r="FS31" s="109" t="s">
        <v>584</v>
      </c>
      <c r="FT31" s="123" t="s">
        <v>4351</v>
      </c>
    </row>
    <row r="32" spans="1:177" x14ac:dyDescent="0.3">
      <c r="B32" s="42"/>
      <c r="M32" s="194" t="str">
        <f ca="1">INDEX(Données_ATB!BD:BU,MATCH(MASQ2!O32,Données_ATB!BD:BD,0),18)</f>
        <v/>
      </c>
      <c r="N32" s="14" t="str">
        <f>IFERROR(IF(Q32=0,"",COUNTIF(Q$4:Q$600,"&gt;"&amp;Q32)+COUNTIF(Q$4:Q32,Q32)),"")</f>
        <v/>
      </c>
      <c r="O32" t="str">
        <f>Données_ATB!BD31</f>
        <v>AMOXIPRO 10 % POUDRE POUR ADMINISTRATION DANS L’EAU DE BOISSON/ LE LAIT VEAU PORC POULET CANARD DINDE</v>
      </c>
      <c r="P32" t="e">
        <f>IF(IF(X$2="Catégorie",IF(X$3="Toutes",SUMIFS('Étape 1 - à remplir'!$F$31:$F$400,'Étape 1 - à remplir'!$E$31:$E$400,MASQ2!O32,'Étape 1 - à remplir'!$G$31:$G$400,"animaux"),SUMIFS('Étape 1 - à remplir'!$F$31:$F$400,'Étape 1 - à remplir'!$E$31:$E$400,MASQ2!O32,'Étape 1 - à remplir'!$C$31:$C$400,X$3)),IF(X$2="Âge",IF(X$3="Tous",SUMIFS('Étape 1 - à remplir'!$F$31:$F$400,'Étape 1 - à remplir'!$E$31:$E$400,MASQ2!O32,'Étape 1 - à remplir'!$G$31:$G$400,"animaux"),SUMIFS('Étape 1 - à remplir'!$F$31:$F$400,'Étape 1 - à remplir'!$E$31:$E$400,MASQ2!O32,'Étape 1 - à remplir'!$P$31:$P$400,X$3)),IF(X$2="Atelier",IF(X$3="Tous",SUMIFS('Étape 1 - à remplir'!$F$31:$F$400,'Étape 1 - à remplir'!$E$31:$E$400,MASQ2!O32,'Étape 1 - à remplir'!$G$31:$G$400,"animaux"),SUMIFS('Étape 1 - à remplir'!$F$31:$F$400,'Étape 1 - à remplir'!$E$31:$E$400,MASQ2!O32,'Étape 1 - à remplir'!$O$31:$O$400,X$3)),IF(X$2="Espèce",IF(X$3="Toutes",SUMIFS('Étape 1 - à remplir'!$F$31:$F$400,'Étape 1 - à remplir'!$E$31:$E$400,MASQ2!O32,'Étape 1 - à remplir'!$G$31:$G$400,"animaux"),SUMIFS('Étape 1 - à remplir'!$F$31:$F$400,'Étape 1 - à remplir'!$E$31:$E$400,MASQ2!O32,'Étape 1 - à remplir'!$N$31:$N$400,X$3))))))=0,NA(),IF(X$2="Catégorie",IF(X$3="Toutes",SUMIFS('Étape 1 - à remplir'!$F$31:$F$400,'Étape 1 - à remplir'!$E$31:$E$400,MASQ2!O32,'Étape 1 - à remplir'!$G$31:$G$400,"animaux"),SUMIFS('Étape 1 - à remplir'!$F$31:$F$400,'Étape 1 - à remplir'!$E$31:$E$400,MASQ2!O32,'Étape 1 - à remplir'!$C$31:$C$400,X$3)),IF(X$2="Âge",IF(X$3="Tous",SUMIFS('Étape 1 - à remplir'!$F$31:$F$400,'Étape 1 - à remplir'!$E$31:$E$400,MASQ2!O32,'Étape 1 - à remplir'!$G$31:$G$400,"animaux"),SUMIFS('Étape 1 - à remplir'!$F$31:$F$400,'Étape 1 - à remplir'!$E$31:$E$400,MASQ2!O32,'Étape 1 - à remplir'!$P$31:$P$400,X$3)),IF(X$2="Atelier",IF(X$3="Tous",SUMIFS('Étape 1 - à remplir'!$F$31:$F$400,'Étape 1 - à remplir'!$E$31:$E$400,MASQ2!O32,'Étape 1 - à remplir'!$G$31:$G$400,"animaux"),SUMIFS('Étape 1 - à remplir'!$F$31:$F$400,'Étape 1 - à remplir'!$E$31:$E$400,MASQ2!O32,'Étape 1 - à remplir'!$O$31:$O$400,X$3)),IF(X$2="Espèce",IF(X$3="Toutes",SUMIFS('Étape 1 - à remplir'!$F$31:$F$400,'Étape 1 - à remplir'!$E$31:$E$400,MASQ2!O32,'Étape 1 - à remplir'!$G$31:$G$400,"animaux"),SUMIFS('Étape 1 - à remplir'!$F$31:$F$400,'Étape 1 - à remplir'!$E$31:$E$400,MASQ2!O32,'Étape 1 - à remplir'!$N$31:$N$400,X$3)))))))</f>
        <v>#N/A</v>
      </c>
      <c r="Q32" s="63">
        <f t="shared" si="62"/>
        <v>0</v>
      </c>
      <c r="R32" t="str">
        <f>Données_ATB!BM31</f>
        <v>Amoxicilline</v>
      </c>
      <c r="S32" t="str">
        <f>Données_ATB!BN31</f>
        <v/>
      </c>
      <c r="T32" s="63" t="str">
        <f>Données_ATB!BO31</f>
        <v/>
      </c>
      <c r="U32" s="42" t="str">
        <f>Données_ATB!BQ31</f>
        <v>Penicillines</v>
      </c>
      <c r="V32" t="str">
        <f>Données_ATB!BR31</f>
        <v/>
      </c>
      <c r="W32" s="63" t="str">
        <f>Données_ATB!BS31</f>
        <v/>
      </c>
      <c r="Z32" s="42">
        <v>29</v>
      </c>
      <c r="AA32" t="e">
        <f t="shared" si="32"/>
        <v>#N/A</v>
      </c>
      <c r="AB32" s="63" t="e">
        <f t="shared" si="33"/>
        <v>#N/A</v>
      </c>
      <c r="AD32" s="194" t="str">
        <f>IF(AF32="Colistine","x",IF(INDEX(Données_ATB!CA$3:CB$63,MATCH(AF32,Données_ATB!CA$3:CA$63,0),2)="Fluoroquinolones","x",IF(INDEX(Données_ATB!CA$3:CB$63,MATCH(AF32,Données_ATB!CA$3:CA$63,0),2)="Cephalosporines 3&amp;4G","x","")))</f>
        <v/>
      </c>
      <c r="AE32" s="219" t="str">
        <f>IFERROR(IF(AG32=0,"",COUNTIF(AG$4:AG$64,"&gt;"&amp;AG32)+COUNTIF(AG$4:AG32,AG32)),"")</f>
        <v/>
      </c>
      <c r="AF32" s="42" t="str">
        <f>Données_ATB!CA31</f>
        <v>Lincomycine</v>
      </c>
      <c r="AG32" s="63" t="e">
        <f t="shared" si="34"/>
        <v>#N/A</v>
      </c>
      <c r="AH32" s="42">
        <v>29</v>
      </c>
      <c r="AI32" t="e">
        <f t="shared" si="35"/>
        <v>#N/A</v>
      </c>
      <c r="AJ32" s="63" t="e">
        <f t="shared" si="36"/>
        <v>#N/A</v>
      </c>
      <c r="AM32" s="194" t="str">
        <f>IFERROR(IF(AO32=0,"",COUNTIF(AO$32:AO$38,"&gt;"&amp;AO32)+COUNTIF(AO$32:AO32,AO32)),"")</f>
        <v/>
      </c>
      <c r="AN32" t="str">
        <f>Données_ATB!CE3</f>
        <v>Voie parentérale</v>
      </c>
      <c r="AO32" s="76" t="e">
        <f>IF(IF(X$2="Catégorie",IF(X$3="Toutes",SUMIFS('Étape 1 - à remplir'!F$31:F$400,'Étape 1 - à remplir'!H$31:H$400,MASQ2!AN32,'Étape 1 - à remplir'!G$31:G$400,"animaux"),SUMIFS('Étape 1 - à remplir'!F$31:F$400,'Étape 1 - à remplir'!H$31:H$400,MASQ2!AN32,'Étape 1 - à remplir'!C$31:C$400,X$3)),IF(X$2="Âge",IF(X$3="Tous",SUMIFS('Étape 1 - à remplir'!F$31:F$400,'Étape 1 - à remplir'!H$31:H$400,MASQ2!AN32,'Étape 1 - à remplir'!G$31:G$400,"animaux"),SUMIFS('Étape 1 - à remplir'!F$31:F$400,'Étape 1 - à remplir'!H$31:H$400,MASQ2!AN32,'Étape 1 - à remplir'!P$31:P$400,X$3)),IF(X$2="Atelier",IF(X$3="Tous",SUMIFS('Étape 1 - à remplir'!F$31:F$400,'Étape 1 - à remplir'!H$31:H$400,MASQ2!AN32,'Étape 1 - à remplir'!G$31:G$400,"animaux"),SUMIFS('Étape 1 - à remplir'!F$31:F$400,'Étape 1 - à remplir'!H$31:H$400,MASQ2!AN32,'Étape 1 - à remplir'!O$31:O$400,X$3)),IF(X$2="Espèce",IF(X$3="Toutes",SUMIFS('Étape 1 - à remplir'!F$31:F$400,'Étape 1 - à remplir'!H$31:H$400,MASQ2!AN32,'Étape 1 - à remplir'!G$31:G$400,"animaux"),SUMIFS('Étape 1 - à remplir'!F$31:F$400,'Étape 1 - à remplir'!H$31:H$400,MASQ2!AN32,'Étape 1 - à remplir'!N$31:N$400,X$3))))))=0,NA(),IF(X$2="Catégorie",IF(X$3="Toutes",SUMIFS('Étape 1 - à remplir'!F$31:F$400,'Étape 1 - à remplir'!H$31:H$400,MASQ2!AN32,'Étape 1 - à remplir'!G$31:G$400,"animaux"),SUMIFS('Étape 1 - à remplir'!F$31:F$400,'Étape 1 - à remplir'!H$31:H$400,MASQ2!AN32,'Étape 1 - à remplir'!C$31:C$400,X$3)),IF(X$2="Âge",IF(X$3="Tous",SUMIFS('Étape 1 - à remplir'!F$31:F$400,'Étape 1 - à remplir'!H$31:H$400,MASQ2!AN32,'Étape 1 - à remplir'!G$31:G$400,"animaux"),SUMIFS('Étape 1 - à remplir'!F$31:F$400,'Étape 1 - à remplir'!H$31:H$400,MASQ2!AN32,'Étape 1 - à remplir'!P$31:P$400,X$3)),IF(X$2="Atelier",IF(X$3="Tous",SUMIFS('Étape 1 - à remplir'!F$31:F$400,'Étape 1 - à remplir'!H$31:H$400,MASQ2!AN32,'Étape 1 - à remplir'!G$31:G$400,"animaux"),SUMIFS('Étape 1 - à remplir'!F$31:F$400,'Étape 1 - à remplir'!H$31:H$400,MASQ2!AN32,'Étape 1 - à remplir'!O$31:O$400,X$3)),IF(X$2="Espèce",IF(X$3="Toutes",SUMIFS('Étape 1 - à remplir'!F$31:F$400,'Étape 1 - à remplir'!H$31:H$400,MASQ2!AN32,'Étape 1 - à remplir'!G$31:G$400,"animaux"),SUMIFS('Étape 1 - à remplir'!F$31:F$400,'Étape 1 - à remplir'!H$31:H$400,MASQ2!AN32,'Étape 1 - à remplir'!N$31:N$400,X$3)))))))</f>
        <v>#N/A</v>
      </c>
      <c r="AP32">
        <v>1</v>
      </c>
      <c r="AQ32" t="e">
        <f>INDEX(AM$32:AO$38,MATCH(AP32,AM$32:AM$38,0),2)</f>
        <v>#N/A</v>
      </c>
      <c r="AR32" s="63" t="e">
        <f>INDEX(AM$32:AO$38,MATCH(AP32,AM$32:AM$38,0),3)</f>
        <v>#N/A</v>
      </c>
      <c r="AT32" s="42">
        <v>1</v>
      </c>
      <c r="AU32" s="118" t="str">
        <f>IFERROR(INDEX(AS$18:AT$27,MATCH(AT32,AS$18:AS$27,0),2),"")</f>
        <v/>
      </c>
      <c r="AV32" t="str">
        <f>IFERROR(INDEX(AY$18:AZ$27,MATCH(AT32,AZ$18:AZ$27,0),1),"")</f>
        <v/>
      </c>
      <c r="AW32" t="str">
        <f>IFERROR(INDEX(BE$18:BF$27,MATCH(AT32,BF$18:BF$27,0),1),"")</f>
        <v/>
      </c>
      <c r="AX32" s="63" t="str">
        <f t="shared" ref="AX32:AX41" si="95">IFERROR(INDEX(BE$32:BF$41,MATCH(AT32,BF$32:BF$41,0),1),"")</f>
        <v/>
      </c>
      <c r="BB32" s="122" t="str">
        <f>IFERROR(IF(BC32="","",COUNTIF(BC$32:BC$41,"&lt;"&amp;BC32)+COUNTIF(BC$32:BC32,BC32))-COUNTBLANK(BC$32:BC$41),"")</f>
        <v/>
      </c>
      <c r="BC32" s="76" t="str">
        <f>IF('Étape 1 - à remplir'!G19="animaux",'Étape 1 - à remplir'!C19,"")</f>
        <v/>
      </c>
      <c r="BD32" t="e">
        <f>INDEX(BB$32:BC$41,MATCH(1,BB$32:BB$41,0),2)</f>
        <v>#N/A</v>
      </c>
      <c r="BE32" t="e">
        <f>BD32</f>
        <v>#N/A</v>
      </c>
      <c r="BF32" s="123" t="e">
        <f>IF(BE32="","",MAX(BF$31:BF31)+1)</f>
        <v>#N/A</v>
      </c>
      <c r="BT32" s="194" t="str">
        <f t="shared" ca="1" si="5"/>
        <v/>
      </c>
      <c r="BU32" s="219" t="str">
        <f>IFERROR(IF(BX32=0,"",COUNTIF(BX$4:BX$600,"&gt;"&amp;BX32)+COUNTIF(BX$4:BX32,BX32)),"")</f>
        <v/>
      </c>
      <c r="BV32" s="42" t="str">
        <f t="shared" si="6"/>
        <v>AMOXIPRO 10 % POUDRE POUR ADMINISTRATION DANS L’EAU DE BOISSON/ LE LAIT VEAU PORC POULET CANARD DINDE</v>
      </c>
      <c r="BW32" t="e">
        <f>IF(IF(CE$2="Catégorie",IF(CE$3="Toutes",SUMIFS('Étape 1 - à remplir'!$F$31:$F$400,'Étape 1 - à remplir'!$E$31:$E$400,MASQ2!BV32,'Étape 1 - à remplir'!$G$31:$G$400,"lots"),SUMIFS('Étape 1 - à remplir'!$F$31:$F$400,'Étape 1 - à remplir'!$E$31:$E$400,MASQ2!BV32,'Étape 1 - à remplir'!$C$31:$C$400,CE$3)),IF(CE$2="Âge",IF(CE$3="Tous",SUMIFS('Étape 1 - à remplir'!$F$31:$F$400,'Étape 1 - à remplir'!$E$31:$E$400,MASQ2!BV32,'Étape 1 - à remplir'!$G$31:$G$400,"lots"),SUMIFS('Étape 1 - à remplir'!$F$31:$F$400,'Étape 1 - à remplir'!$E$31:$E$400,MASQ2!BV32,'Étape 1 - à remplir'!$P$31:$P$400,CE$3,'Étape 1 - à remplir'!$G$31:$G$400,"lots")),IF(CE$2="Atelier",IF(CE$3="Tous",SUMIFS('Étape 1 - à remplir'!$F$31:$F$400,'Étape 1 - à remplir'!$E$31:$E$400,MASQ2!BV32,'Étape 1 - à remplir'!$G$31:$G$400,"lots"),SUMIFS('Étape 1 - à remplir'!$F$31:$F$400,'Étape 1 - à remplir'!$E$31:$E$400,MASQ2!BV32,'Étape 1 - à remplir'!$O$31:$O$400,CE$3,'Étape 1 - à remplir'!$G$31:$G$400,"lots")),IF(CE$2="Espèce",IF(CE$3="Toutes",SUMIFS('Étape 1 - à remplir'!$F$31:$F$400,'Étape 1 - à remplir'!$E$31:$E$400,MASQ2!BV32,'Étape 1 - à remplir'!$G$31:$G$400,"lots"),SUMIFS('Étape 1 - à remplir'!$F$31:$F$400,'Étape 1 - à remplir'!$E$31:$E$400,MASQ2!BV32,'Étape 1 - à remplir'!$N$31:$N$400,CE$3,'Étape 1 - à remplir'!$G$31:$G$400,"lots"))))))=0,NA(),IF(CE$2="Catégorie",IF(CE$3="Toutes",SUMIFS('Étape 1 - à remplir'!$F$31:$F$400,'Étape 1 - à remplir'!$E$31:$E$400,MASQ2!BV32,'Étape 1 - à remplir'!$G$31:$G$400,"lots"),SUMIFS('Étape 1 - à remplir'!$F$31:$F$400,'Étape 1 - à remplir'!$E$31:$E$400,MASQ2!BV32,'Étape 1 - à remplir'!$C$31:$C$400,CE$3)),IF(CE$2="Âge",IF(CE$3="Tous",SUMIFS('Étape 1 - à remplir'!$F$31:$F$400,'Étape 1 - à remplir'!$E$31:$E$400,MASQ2!BV32,'Étape 1 - à remplir'!$G$31:$G$400,"lots"),SUMIFS('Étape 1 - à remplir'!$F$31:$F$400,'Étape 1 - à remplir'!$E$31:$E$400,MASQ2!BV32,'Étape 1 - à remplir'!$P$31:$P$400,CE$3,'Étape 1 - à remplir'!$G$31:$G$400,"lots")),IF(CE$2="Atelier",IF(CE$3="Tous",SUMIFS('Étape 1 - à remplir'!$F$31:$F$400,'Étape 1 - à remplir'!$E$31:$E$400,MASQ2!BV32,'Étape 1 - à remplir'!$G$31:$G$400,"lots"),SUMIFS('Étape 1 - à remplir'!$F$31:$F$400,'Étape 1 - à remplir'!$E$31:$E$400,MASQ2!BV32,'Étape 1 - à remplir'!$O$31:$O$400,CE$3,'Étape 1 - à remplir'!$G$31:$G$400,"lots")),IF(CE$2="Espèce",IF(CE$3="Toutes",SUMIFS('Étape 1 - à remplir'!$F$31:$F$400,'Étape 1 - à remplir'!$E$31:$E$400,MASQ2!BV32,'Étape 1 - à remplir'!$G$31:$G$400,"lots"),SUMIFS('Étape 1 - à remplir'!$F$31:$F$400,'Étape 1 - à remplir'!$E$31:$E$400,MASQ2!BV32,'Étape 1 - à remplir'!$N$31:$N$400,CE$3,'Étape 1 - à remplir'!$G$31:$G$400,"lots")))))))</f>
        <v>#N/A</v>
      </c>
      <c r="BX32">
        <f t="shared" si="42"/>
        <v>0</v>
      </c>
      <c r="BY32" t="str">
        <f t="shared" si="7"/>
        <v>Amoxicilline</v>
      </c>
      <c r="BZ32" t="str">
        <f t="shared" si="8"/>
        <v/>
      </c>
      <c r="CA32" t="str">
        <f t="shared" si="9"/>
        <v/>
      </c>
      <c r="CB32" t="str">
        <f t="shared" si="10"/>
        <v>Penicillines</v>
      </c>
      <c r="CC32" t="str">
        <f t="shared" si="11"/>
        <v/>
      </c>
      <c r="CD32" s="63" t="str">
        <f t="shared" si="12"/>
        <v/>
      </c>
      <c r="CG32" s="42">
        <v>29</v>
      </c>
      <c r="CH32" s="42" t="e">
        <f t="shared" si="80"/>
        <v>#N/A</v>
      </c>
      <c r="CI32" s="63" t="e">
        <f t="shared" si="81"/>
        <v>#N/A</v>
      </c>
      <c r="CK32" s="194" t="str">
        <f t="shared" si="13"/>
        <v/>
      </c>
      <c r="CL32" s="226" t="str">
        <f>IFERROR(IF(CN32=0,"",COUNTIF(CN$4:CN$64,"&gt;"&amp;CN32)+COUNTIF(CN$4:CN32,CN32)),"")</f>
        <v/>
      </c>
      <c r="CM32" t="str">
        <f t="shared" si="14"/>
        <v>Lincomycine</v>
      </c>
      <c r="CN32" s="76" t="e">
        <f t="shared" si="45"/>
        <v>#N/A</v>
      </c>
      <c r="CO32">
        <v>29</v>
      </c>
      <c r="CP32" t="e">
        <f t="shared" si="46"/>
        <v>#N/A</v>
      </c>
      <c r="CQ32" s="63" t="e">
        <f t="shared" si="47"/>
        <v>#N/A</v>
      </c>
      <c r="CT32" s="194" t="str">
        <f>IFERROR(IF(CV32=0,"",COUNTIF(CV$32:CV$38,"&gt;"&amp;CV32)+COUNTIF(CV$32:CV32,CV32)),"")</f>
        <v/>
      </c>
      <c r="CU32" t="str">
        <f t="shared" ref="CU32:CU38" si="96">AN32</f>
        <v>Voie parentérale</v>
      </c>
      <c r="CV32" s="76" t="e">
        <f>IF(IF(CE$2="Catégorie",IF(CE$3="Toutes",SUMIFS('Étape 1 - à remplir'!$F$31:$F$400,'Étape 1 - à remplir'!$H$31:$H$400,MASQ2!CU32,'Étape 1 - à remplir'!$G$31:$G$400,"lots"),SUMIFS('Étape 1 - à remplir'!$F$31:$F$400,'Étape 1 - à remplir'!$H$31:$H$400,MASQ2!CU32,'Étape 1 - à remplir'!$C$31:$C$400,CE$3,'Étape 1 - à remplir'!$G$31:$G$400,"lots")),IF(CE$2="Âge",IF(CE$3="Tous",SUMIFS('Étape 1 - à remplir'!$F$31:$F$400,'Étape 1 - à remplir'!$H$31:$H$400,MASQ2!CU32,'Étape 1 - à remplir'!$G$31:$G$400,"lots"),SUMIFS('Étape 1 - à remplir'!$F$31:$F$400,'Étape 1 - à remplir'!$H$31:$H$400,MASQ2!CU32,'Étape 1 - à remplir'!$P$31:$P$400,CE$3,'Étape 1 - à remplir'!$G$31:$G$400,"lots")),IF(CE$2="Atelier",IF(CE$3="Tous",SUMIFS('Étape 1 - à remplir'!$F$31:$F$400,'Étape 1 - à remplir'!$H$31:$H$400,MASQ2!CU32,'Étape 1 - à remplir'!$G$31:$G$400,"lots"),SUMIFS('Étape 1 - à remplir'!$F$31:$F$400,'Étape 1 - à remplir'!$H$31:$H$400,MASQ2!CU32,'Étape 1 - à remplir'!$O$31:$O$400,CE$3,'Étape 1 - à remplir'!$G$31:$G$400,"lots")),IF(CE$2="Espèce",IF(CE$3="Toutes",SUMIFS('Étape 1 - à remplir'!$F$31:$F$400,'Étape 1 - à remplir'!$H$31:$H$400,MASQ2!CU32,'Étape 1 - à remplir'!$G$31:$G$400,"lots"),SUMIFS('Étape 1 - à remplir'!$F$31:$F$400,'Étape 1 - à remplir'!$H$31:$H$400,MASQ2!CU32,'Étape 1 - à remplir'!$N$31:$N$400,CE$3,'Étape 1 - à remplir'!$G$31:$G$400,"lots"))))))=0,NA(),IF(CE$2="Catégorie",IF(CE$3="Toutes",SUMIFS('Étape 1 - à remplir'!$F$31:$F$400,'Étape 1 - à remplir'!$H$31:$H$400,MASQ2!CU32,'Étape 1 - à remplir'!$G$31:$G$400,"lots"),SUMIFS('Étape 1 - à remplir'!$F$31:$F$400,'Étape 1 - à remplir'!$H$31:$H$400,MASQ2!CU32,'Étape 1 - à remplir'!$C$31:$C$400,CE$3,'Étape 1 - à remplir'!$G$31:$G$400,"lots")),IF(CE$2="Âge",IF(CE$3="Tous",SUMIFS('Étape 1 - à remplir'!$F$31:$F$400,'Étape 1 - à remplir'!$H$31:$H$400,MASQ2!CU32,'Étape 1 - à remplir'!$G$31:$G$400,"lots"),SUMIFS('Étape 1 - à remplir'!$F$31:$F$400,'Étape 1 - à remplir'!$H$31:$H$400,MASQ2!CU32,'Étape 1 - à remplir'!$P$31:$P$400,CE$3,'Étape 1 - à remplir'!$G$31:$G$400,"lots")),IF(CE$2="Atelier",IF(CE$3="Tous",SUMIFS('Étape 1 - à remplir'!$F$31:$F$400,'Étape 1 - à remplir'!$H$31:$H$400,MASQ2!CU32,'Étape 1 - à remplir'!$G$31:$G$400,"lots"),SUMIFS('Étape 1 - à remplir'!$F$31:$F$400,'Étape 1 - à remplir'!$H$31:$H$400,MASQ2!CU32,'Étape 1 - à remplir'!$O$31:$O$400,CE$3,'Étape 1 - à remplir'!$G$31:$G$400,"lots")),IF(CE$2="Espèce",IF(CE$3="Toutes",SUMIFS('Étape 1 - à remplir'!$F$31:$F$400,'Étape 1 - à remplir'!$H$31:$H$400,MASQ2!CU32,'Étape 1 - à remplir'!$G$31:$G$400,"lots"),SUMIFS('Étape 1 - à remplir'!$F$31:$F$400,'Étape 1 - à remplir'!$H$31:$H$400,MASQ2!CU32,'Étape 1 - à remplir'!$N$31:$N$400,CE$3,'Étape 1 - à remplir'!$G$31:$G$400,"lots")))))))</f>
        <v>#N/A</v>
      </c>
      <c r="CW32">
        <v>1</v>
      </c>
      <c r="CX32" t="e">
        <f>INDEX(CT$32:CV$38,MATCH(CW32,CT$32:CT$38,0),2)</f>
        <v>#N/A</v>
      </c>
      <c r="CY32" s="63" t="e">
        <f>INDEX(CT$32:CV$38,MATCH(CW32,CT$32:CT$38,0),3)</f>
        <v>#N/A</v>
      </c>
      <c r="DA32" s="42">
        <v>1</v>
      </c>
      <c r="DB32" s="118" t="str">
        <f>IFERROR(INDEX(CZ$18:DA$27,MATCH(DA32,CZ$18:CZ$27,0),2),"")</f>
        <v/>
      </c>
      <c r="DC32" t="str">
        <f>IFERROR(INDEX(DF$18:DG$27,MATCH(DA32,DG$18:DG$27,0),1),"")</f>
        <v/>
      </c>
      <c r="DD32" t="str">
        <f>IFERROR(INDEX(DL$18:DM$27,MATCH(DA32,DM$18:DM$27,0),1),"")</f>
        <v/>
      </c>
      <c r="DE32" s="63" t="str">
        <f>IFERROR(INDEX(DL$32:DM$41,MATCH(DA32,DM$32:DM$41,0),1),"")</f>
        <v/>
      </c>
      <c r="DI32" s="122" t="str">
        <f>IFERROR(IF(DJ32="","",COUNTIF(DJ$32:DJ$41,"&lt;"&amp;DJ32)+COUNTIF(DJ$32:DJ32,DJ32))-COUNTBLANK(DJ$32:DJ$41),"")</f>
        <v/>
      </c>
      <c r="DJ32" s="109" t="str">
        <f>IF('Étape 1 - à remplir'!G19="lots",'Étape 1 - à remplir'!C19,"")</f>
        <v/>
      </c>
      <c r="DK32" s="109" t="e">
        <f>INDEX(DI$32:DJ$41,MATCH(1,DI$32:DI$41,0),2)</f>
        <v>#N/A</v>
      </c>
      <c r="DL32" s="109" t="e">
        <f>DK32</f>
        <v>#N/A</v>
      </c>
      <c r="DM32" s="123" t="e">
        <f>IF(DL32="","",MAX(DM$31:DM31)+1)</f>
        <v>#N/A</v>
      </c>
      <c r="EA32" s="194" t="str">
        <f t="shared" ca="1" si="18"/>
        <v/>
      </c>
      <c r="EB32" s="226" t="str">
        <f>IFERROR(IF(ED32=0,"",COUNTIF(ED$4:ED$600,"&gt;"&amp;ED32)+COUNTIF(ED$4:ED32,ED32)),"")</f>
        <v/>
      </c>
      <c r="EC32" t="str">
        <f t="shared" si="19"/>
        <v>AMOXIPRO 10 % POUDRE POUR ADMINISTRATION DANS L’EAU DE BOISSON/ LE LAIT VEAU PORC POULET CANARD DINDE</v>
      </c>
      <c r="ED32" t="e">
        <f>IF(IF(EL$2="Catégorie",IF(EL$3="Toutes",SUMIFS('Étape 1 - à remplir'!$F$31:$F$400,'Étape 1 - à remplir'!$E$31:$E$400,MASQ2!EC32,'Étape 1 - à remplir'!$G$31:$G$400,"kg"),SUMIFS('Étape 1 - à remplir'!$F$31:$F$400,'Étape 1 - à remplir'!$E$31:$E$400,MASQ2!EC32,'Étape 1 - à remplir'!$C$31:$C$400,EL$3)),IF(EL$2="Âge",IF(EL$3="Tous",SUMIFS('Étape 1 - à remplir'!$F$31:$F$400,'Étape 1 - à remplir'!$E$31:$E$400,MASQ2!EC32,'Étape 1 - à remplir'!$G$31:$G$400,"kg"),SUMIFS('Étape 1 - à remplir'!$F$31:$F$400,'Étape 1 - à remplir'!$E$31:$E$400,MASQ2!EC32,'Étape 1 - à remplir'!$P$31:$P$400,EL$3,'Étape 1 - à remplir'!$G$31:$G$400,"kg")),IF(EL$2="Atelier",IF(EL$3="Tous",SUMIFS('Étape 1 - à remplir'!$F$31:$F$400,'Étape 1 - à remplir'!$E$31:$E$400,MASQ2!EC32,'Étape 1 - à remplir'!$G$31:$G$400,"kg"),SUMIFS('Étape 1 - à remplir'!$F$31:$F$400,'Étape 1 - à remplir'!$E$31:$E$400,MASQ2!EC32,'Étape 1 - à remplir'!$O$31:$O$400,EL$3,'Étape 1 - à remplir'!$G$31:$G$400,"kg")),IF(EL$2="Espèce",IF(EL$3="Toutes",SUMIFS('Étape 1 - à remplir'!$F$31:$F$400,'Étape 1 - à remplir'!$E$31:$E$400,MASQ2!EC32,'Étape 1 - à remplir'!$G$31:$G$400,"kg"),SUMIFS('Étape 1 - à remplir'!$F$31:$F$400,'Étape 1 - à remplir'!$E$31:$E$400,MASQ2!EC32,'Étape 1 - à remplir'!$N$31:$N$400,EL$3,'Étape 1 - à remplir'!$G$31:$G$400,"kg"))))))=0,NA(),IF(EL$2="Catégorie",IF(EL$3="Toutes",SUMIFS('Étape 1 - à remplir'!$F$31:$F$400,'Étape 1 - à remplir'!$E$31:$E$400,MASQ2!EC32,'Étape 1 - à remplir'!$G$31:$G$400,"kg"),SUMIFS('Étape 1 - à remplir'!$F$31:$F$400,'Étape 1 - à remplir'!$E$31:$E$400,MASQ2!EC32,'Étape 1 - à remplir'!$C$31:$C$400,EL$3)),IF(EL$2="Âge",IF(EL$3="Tous",SUMIFS('Étape 1 - à remplir'!$F$31:$F$400,'Étape 1 - à remplir'!$E$31:$E$400,MASQ2!EC32,'Étape 1 - à remplir'!$G$31:$G$400,"kg"),SUMIFS('Étape 1 - à remplir'!$F$31:$F$400,'Étape 1 - à remplir'!$E$31:$E$400,MASQ2!EC32,'Étape 1 - à remplir'!$P$31:$P$400,EL$3,'Étape 1 - à remplir'!$G$31:$G$400,"kg")),IF(EL$2="Atelier",IF(EL$3="Tous",SUMIFS('Étape 1 - à remplir'!$F$31:$F$400,'Étape 1 - à remplir'!$E$31:$E$400,MASQ2!EC32,'Étape 1 - à remplir'!$G$31:$G$400,"kg"),SUMIFS('Étape 1 - à remplir'!$F$31:$F$400,'Étape 1 - à remplir'!$E$31:$E$400,MASQ2!EC32,'Étape 1 - à remplir'!$O$31:$O$400,EL$3,'Étape 1 - à remplir'!$G$31:$G$400,"kg")),IF(EL$2="Espèce",IF(EL$3="Toutes",SUMIFS('Étape 1 - à remplir'!$F$31:$F$400,'Étape 1 - à remplir'!$E$31:$E$400,MASQ2!EC32,'Étape 1 - à remplir'!$G$31:$G$400,"kg"),SUMIFS('Étape 1 - à remplir'!$F$31:$F$400,'Étape 1 - à remplir'!$E$31:$E$400,MASQ2!EC32,'Étape 1 - à remplir'!$N$31:$N$400,EL$3,'Étape 1 - à remplir'!$G$31:$G$400,"kg")))))))</f>
        <v>#N/A</v>
      </c>
      <c r="EE32" s="76">
        <f t="shared" si="53"/>
        <v>0</v>
      </c>
      <c r="EF32" t="str">
        <f t="shared" si="20"/>
        <v>Amoxicilline</v>
      </c>
      <c r="EG32" t="str">
        <f t="shared" si="21"/>
        <v/>
      </c>
      <c r="EH32" t="str">
        <f t="shared" si="22"/>
        <v/>
      </c>
      <c r="EI32" t="str">
        <f t="shared" si="23"/>
        <v>Penicillines</v>
      </c>
      <c r="EJ32" t="str">
        <f t="shared" si="24"/>
        <v/>
      </c>
      <c r="EK32" s="63" t="str">
        <f t="shared" si="25"/>
        <v/>
      </c>
      <c r="EN32" s="42">
        <v>29</v>
      </c>
      <c r="EO32" t="e">
        <f t="shared" si="68"/>
        <v>#N/A</v>
      </c>
      <c r="EP32" s="63" t="e">
        <f t="shared" si="69"/>
        <v>#N/A</v>
      </c>
      <c r="ER32" s="194" t="str">
        <f t="shared" si="26"/>
        <v/>
      </c>
      <c r="ES32" s="226" t="str">
        <f>IFERROR(IF(EU32=0,"",COUNTIF(EU$4:EU$64,"&gt;"&amp;EU32)+COUNTIF(EU$4:EU32,EU32)),"")</f>
        <v/>
      </c>
      <c r="ET32" t="str">
        <f t="shared" si="27"/>
        <v>Lincomycine</v>
      </c>
      <c r="EU32" s="76" t="e">
        <f t="shared" si="56"/>
        <v>#N/A</v>
      </c>
      <c r="EV32">
        <v>29</v>
      </c>
      <c r="EW32" t="e">
        <f t="shared" si="57"/>
        <v>#N/A</v>
      </c>
      <c r="EX32" s="63" t="e">
        <f t="shared" si="58"/>
        <v>#N/A</v>
      </c>
      <c r="FA32" s="194" t="str">
        <f>IFERROR(IF(FC32=0,"",COUNTIF(FC$32:FC$38,"&gt;"&amp;FC32)+COUNTIF(FC$32:FC32,FC32)),"")</f>
        <v/>
      </c>
      <c r="FB32" t="str">
        <f t="shared" ref="FB32:FB38" si="97">AN32</f>
        <v>Voie parentérale</v>
      </c>
      <c r="FC32" s="76" t="e">
        <f>IF(IF(EL$2="Catégorie",IF(EL$3="Toutes",SUMIFS('Étape 1 - à remplir'!$F$31:$F$400,'Étape 1 - à remplir'!$H$31:$H$400,MASQ2!FB32,'Étape 1 - à remplir'!$G$31:$G$400,"kg"),SUMIFS('Étape 1 - à remplir'!$F$31:$F$400,'Étape 1 - à remplir'!$H$31:$H$400,MASQ2!FB32,'Étape 1 - à remplir'!$C$31:$C$400,EL$3,'Étape 1 - à remplir'!$G$31:$G$400,"kg")),IF(EL$2="Âge",IF(EL$3="Tous",SUMIFS('Étape 1 - à remplir'!$F$31:$F$400,'Étape 1 - à remplir'!$H$31:$H$400,MASQ2!FB32,'Étape 1 - à remplir'!$G$31:$G$400,"kg"),SUMIFS('Étape 1 - à remplir'!$F$31:$F$400,'Étape 1 - à remplir'!$H$31:$H$400,MASQ2!FB32,'Étape 1 - à remplir'!$P$31:$P$400,EL$3,'Étape 1 - à remplir'!$G$31:$G$400,"kg")),IF(EL$2="Atelier",IF(EL$3="Tous",SUMIFS('Étape 1 - à remplir'!$F$31:$F$400,'Étape 1 - à remplir'!$H$31:$H$400,MASQ2!FB32,'Étape 1 - à remplir'!$G$31:$G$400,"kg"),SUMIFS('Étape 1 - à remplir'!$F$31:$F$400,'Étape 1 - à remplir'!$H$31:$H$400,MASQ2!FB32,'Étape 1 - à remplir'!$O$31:$O$400,EL$3,'Étape 1 - à remplir'!$G$31:$G$400,"kg")),IF(EL$2="Espèce",IF(EL$3="Toutes",SUMIFS('Étape 1 - à remplir'!$F$31:$F$400,'Étape 1 - à remplir'!$H$31:$H$400,MASQ2!FB32,'Étape 1 - à remplir'!$G$31:$G$400,"kg"),SUMIFS('Étape 1 - à remplir'!$F$31:$F$400,'Étape 1 - à remplir'!$H$31:$H$400,MASQ2!FB32,'Étape 1 - à remplir'!$N$31:$N$400,EL$3,'Étape 1 - à remplir'!$G$31:$G$400,"kg"))))))=0,NA(),IF(EL$2="Catégorie",IF(EL$3="Toutes",SUMIFS('Étape 1 - à remplir'!$F$31:$F$400,'Étape 1 - à remplir'!$H$31:$H$400,MASQ2!FB32,'Étape 1 - à remplir'!$G$31:$G$400,"kg"),SUMIFS('Étape 1 - à remplir'!$F$31:$F$400,'Étape 1 - à remplir'!$H$31:$H$400,MASQ2!FB32,'Étape 1 - à remplir'!$C$31:$C$400,EL$3,'Étape 1 - à remplir'!$G$31:$G$400,"kg")),IF(EL$2="Âge",IF(EL$3="Tous",SUMIFS('Étape 1 - à remplir'!$F$31:$F$400,'Étape 1 - à remplir'!$H$31:$H$400,MASQ2!FB32,'Étape 1 - à remplir'!$G$31:$G$400,"kg"),SUMIFS('Étape 1 - à remplir'!$F$31:$F$400,'Étape 1 - à remplir'!$H$31:$H$400,MASQ2!FB32,'Étape 1 - à remplir'!$P$31:$P$400,EL$3,'Étape 1 - à remplir'!$G$31:$G$400,"kg")),IF(EL$2="Atelier",IF(EL$3="Tous",SUMIFS('Étape 1 - à remplir'!$F$31:$F$400,'Étape 1 - à remplir'!$H$31:$H$400,MASQ2!FB32,'Étape 1 - à remplir'!$G$31:$G$400,"kg"),SUMIFS('Étape 1 - à remplir'!$F$31:$F$400,'Étape 1 - à remplir'!$H$31:$H$400,MASQ2!FB32,'Étape 1 - à remplir'!$O$31:$O$400,EL$3,'Étape 1 - à remplir'!$G$31:$G$400,"kg")),IF(EL$2="Espèce",IF(EL$3="Toutes",SUMIFS('Étape 1 - à remplir'!$F$31:$F$400,'Étape 1 - à remplir'!$H$31:$H$400,MASQ2!FB32,'Étape 1 - à remplir'!$G$31:$G$400,"kg"),SUMIFS('Étape 1 - à remplir'!$F$31:$F$400,'Étape 1 - à remplir'!$H$31:$H$400,MASQ2!FB32,'Étape 1 - à remplir'!$N$31:$N$400,EL$3,'Étape 1 - à remplir'!$G$31:$G$400,"kg")))))))</f>
        <v>#N/A</v>
      </c>
      <c r="FD32">
        <v>1</v>
      </c>
      <c r="FE32" t="e">
        <f>INDEX(FA$32:FC$38,MATCH(FD32,FA$32:FA$38,0),2)</f>
        <v>#N/A</v>
      </c>
      <c r="FF32" s="63" t="e">
        <f>INDEX(FA$32:FC$38,MATCH(FD32,FA$32:FA$38,0),3)</f>
        <v>#N/A</v>
      </c>
      <c r="FH32" s="42">
        <v>1</v>
      </c>
      <c r="FI32" s="118" t="str">
        <f>IFERROR(INDEX(FG$18:FH$27,MATCH(FH32,FG$18:FG$27,0),2),"")</f>
        <v/>
      </c>
      <c r="FJ32" t="str">
        <f>IFERROR(INDEX(FM$18:FN$27,MATCH(FH32,FN$18:FN$27,0),1),"")</f>
        <v/>
      </c>
      <c r="FK32" t="str">
        <f>IFERROR(INDEX(FS$18:FT$27,MATCH(FH32,FT$18:FT$27,0),1),"")</f>
        <v/>
      </c>
      <c r="FL32" s="63" t="str">
        <f>IFERROR(INDEX(FS$32:FT$41,MATCH(FH32,FT$32:FT$41,0),1),"")</f>
        <v/>
      </c>
      <c r="FM32" s="42"/>
      <c r="FP32" s="122" t="str">
        <f>IFERROR(IF(FQ32="","",COUNTIF(FQ$32:FQ$41,"&lt;"&amp;FQ32)+COUNTIF(FQ$32:FQ32,FQ32))-COUNTBLANK(FQ$32:FQ$41),"")</f>
        <v/>
      </c>
      <c r="FQ32" s="109" t="str">
        <f>IF('Étape 1 - à remplir'!G19="kg",'Étape 1 - à remplir'!C19,"")</f>
        <v/>
      </c>
      <c r="FR32" s="109" t="e">
        <f>INDEX(FP$32:FQ$41,MATCH(1,FP$32:FP$41,0),2)</f>
        <v>#N/A</v>
      </c>
      <c r="FS32" s="109" t="e">
        <f>FR32</f>
        <v>#N/A</v>
      </c>
      <c r="FT32" s="123" t="e">
        <f>IF(FS32="","",MAX(FT$31:FT31)+1)</f>
        <v>#N/A</v>
      </c>
    </row>
    <row r="33" spans="2:176" x14ac:dyDescent="0.3">
      <c r="B33" s="42"/>
      <c r="M33" s="194" t="str">
        <f ca="1">INDEX(Données_ATB!BD:BU,MATCH(MASQ2!O33,Données_ATB!BD:BD,0),18)</f>
        <v/>
      </c>
      <c r="N33" s="14" t="str">
        <f>IFERROR(IF(Q33=0,"",COUNTIF(Q$4:Q$600,"&gt;"&amp;Q33)+COUNTIF(Q$4:Q33,Q33)),"")</f>
        <v/>
      </c>
      <c r="O33" t="str">
        <f>Données_ATB!BD32</f>
        <v>AMOXIPRO INJECTABLE</v>
      </c>
      <c r="P33" t="e">
        <f>IF(IF(X$2="Catégorie",IF(X$3="Toutes",SUMIFS('Étape 1 - à remplir'!$F$31:$F$400,'Étape 1 - à remplir'!$E$31:$E$400,MASQ2!O33,'Étape 1 - à remplir'!$G$31:$G$400,"animaux"),SUMIFS('Étape 1 - à remplir'!$F$31:$F$400,'Étape 1 - à remplir'!$E$31:$E$400,MASQ2!O33,'Étape 1 - à remplir'!$C$31:$C$400,X$3)),IF(X$2="Âge",IF(X$3="Tous",SUMIFS('Étape 1 - à remplir'!$F$31:$F$400,'Étape 1 - à remplir'!$E$31:$E$400,MASQ2!O33,'Étape 1 - à remplir'!$G$31:$G$400,"animaux"),SUMIFS('Étape 1 - à remplir'!$F$31:$F$400,'Étape 1 - à remplir'!$E$31:$E$400,MASQ2!O33,'Étape 1 - à remplir'!$P$31:$P$400,X$3)),IF(X$2="Atelier",IF(X$3="Tous",SUMIFS('Étape 1 - à remplir'!$F$31:$F$400,'Étape 1 - à remplir'!$E$31:$E$400,MASQ2!O33,'Étape 1 - à remplir'!$G$31:$G$400,"animaux"),SUMIFS('Étape 1 - à remplir'!$F$31:$F$400,'Étape 1 - à remplir'!$E$31:$E$400,MASQ2!O33,'Étape 1 - à remplir'!$O$31:$O$400,X$3)),IF(X$2="Espèce",IF(X$3="Toutes",SUMIFS('Étape 1 - à remplir'!$F$31:$F$400,'Étape 1 - à remplir'!$E$31:$E$400,MASQ2!O33,'Étape 1 - à remplir'!$G$31:$G$400,"animaux"),SUMIFS('Étape 1 - à remplir'!$F$31:$F$400,'Étape 1 - à remplir'!$E$31:$E$400,MASQ2!O33,'Étape 1 - à remplir'!$N$31:$N$400,X$3))))))=0,NA(),IF(X$2="Catégorie",IF(X$3="Toutes",SUMIFS('Étape 1 - à remplir'!$F$31:$F$400,'Étape 1 - à remplir'!$E$31:$E$400,MASQ2!O33,'Étape 1 - à remplir'!$G$31:$G$400,"animaux"),SUMIFS('Étape 1 - à remplir'!$F$31:$F$400,'Étape 1 - à remplir'!$E$31:$E$400,MASQ2!O33,'Étape 1 - à remplir'!$C$31:$C$400,X$3)),IF(X$2="Âge",IF(X$3="Tous",SUMIFS('Étape 1 - à remplir'!$F$31:$F$400,'Étape 1 - à remplir'!$E$31:$E$400,MASQ2!O33,'Étape 1 - à remplir'!$G$31:$G$400,"animaux"),SUMIFS('Étape 1 - à remplir'!$F$31:$F$400,'Étape 1 - à remplir'!$E$31:$E$400,MASQ2!O33,'Étape 1 - à remplir'!$P$31:$P$400,X$3)),IF(X$2="Atelier",IF(X$3="Tous",SUMIFS('Étape 1 - à remplir'!$F$31:$F$400,'Étape 1 - à remplir'!$E$31:$E$400,MASQ2!O33,'Étape 1 - à remplir'!$G$31:$G$400,"animaux"),SUMIFS('Étape 1 - à remplir'!$F$31:$F$400,'Étape 1 - à remplir'!$E$31:$E$400,MASQ2!O33,'Étape 1 - à remplir'!$O$31:$O$400,X$3)),IF(X$2="Espèce",IF(X$3="Toutes",SUMIFS('Étape 1 - à remplir'!$F$31:$F$400,'Étape 1 - à remplir'!$E$31:$E$400,MASQ2!O33,'Étape 1 - à remplir'!$G$31:$G$400,"animaux"),SUMIFS('Étape 1 - à remplir'!$F$31:$F$400,'Étape 1 - à remplir'!$E$31:$E$400,MASQ2!O33,'Étape 1 - à remplir'!$N$31:$N$400,X$3)))))))</f>
        <v>#N/A</v>
      </c>
      <c r="Q33" s="63">
        <f t="shared" si="62"/>
        <v>0</v>
      </c>
      <c r="R33" t="str">
        <f>Données_ATB!BM32</f>
        <v>Amoxicilline</v>
      </c>
      <c r="S33" t="str">
        <f>Données_ATB!BN32</f>
        <v/>
      </c>
      <c r="T33" s="63" t="str">
        <f>Données_ATB!BO32</f>
        <v/>
      </c>
      <c r="U33" s="42" t="str">
        <f>Données_ATB!BQ32</f>
        <v>Penicillines</v>
      </c>
      <c r="V33" t="str">
        <f>Données_ATB!BR32</f>
        <v/>
      </c>
      <c r="W33" s="63" t="str">
        <f>Données_ATB!BS32</f>
        <v/>
      </c>
      <c r="Z33" s="42">
        <v>30</v>
      </c>
      <c r="AA33" t="e">
        <f t="shared" si="32"/>
        <v>#N/A</v>
      </c>
      <c r="AB33" s="63" t="e">
        <f t="shared" si="33"/>
        <v>#N/A</v>
      </c>
      <c r="AD33" s="194" t="str">
        <f>IF(AF33="Colistine","x",IF(INDEX(Données_ATB!CA$3:CB$63,MATCH(AF33,Données_ATB!CA$3:CA$63,0),2)="Fluoroquinolones","x",IF(INDEX(Données_ATB!CA$3:CB$63,MATCH(AF33,Données_ATB!CA$3:CA$63,0),2)="Cephalosporines 3&amp;4G","x","")))</f>
        <v>x</v>
      </c>
      <c r="AE33" s="219" t="str">
        <f>IFERROR(IF(AG33=0,"",COUNTIF(AG$4:AG$64,"&gt;"&amp;AG33)+COUNTIF(AG$4:AG33,AG33)),"")</f>
        <v/>
      </c>
      <c r="AF33" s="42" t="str">
        <f>Données_ATB!CA32</f>
        <v>Marbofloxacine</v>
      </c>
      <c r="AG33" s="63" t="e">
        <f t="shared" si="34"/>
        <v>#N/A</v>
      </c>
      <c r="AH33" s="42">
        <v>30</v>
      </c>
      <c r="AI33" t="e">
        <f t="shared" si="35"/>
        <v>#N/A</v>
      </c>
      <c r="AJ33" s="63" t="e">
        <f t="shared" si="36"/>
        <v>#N/A</v>
      </c>
      <c r="AM33" s="194" t="str">
        <f>IFERROR(IF(AO33=0,"",COUNTIF(AO$32:AO$38,"&gt;"&amp;AO33)+COUNTIF(AO$32:AO33,AO33)),"")</f>
        <v/>
      </c>
      <c r="AN33" t="str">
        <f>Données_ATB!CE4</f>
        <v>Voie orale  hors prémélanges médicamenteux</v>
      </c>
      <c r="AO33" s="76" t="e">
        <f>IF(IF(X$2="Catégorie",IF(X$3="Toutes",SUMIFS('Étape 1 - à remplir'!F$31:F$400,'Étape 1 - à remplir'!H$31:H$400,MASQ2!AN33,'Étape 1 - à remplir'!G$31:G$400,"animaux"),SUMIFS('Étape 1 - à remplir'!F$31:F$400,'Étape 1 - à remplir'!H$31:H$400,MASQ2!AN33,'Étape 1 - à remplir'!C$31:C$400,X$3)),IF(X$2="Âge",IF(X$3="Tous",SUMIFS('Étape 1 - à remplir'!F$31:F$400,'Étape 1 - à remplir'!H$31:H$400,MASQ2!AN33,'Étape 1 - à remplir'!G$31:G$400,"animaux"),SUMIFS('Étape 1 - à remplir'!F$31:F$400,'Étape 1 - à remplir'!H$31:H$400,MASQ2!AN33,'Étape 1 - à remplir'!P$31:P$400,X$3)),IF(X$2="Atelier",IF(X$3="Tous",SUMIFS('Étape 1 - à remplir'!F$31:F$400,'Étape 1 - à remplir'!H$31:H$400,MASQ2!AN33,'Étape 1 - à remplir'!G$31:G$400,"animaux"),SUMIFS('Étape 1 - à remplir'!F$31:F$400,'Étape 1 - à remplir'!H$31:H$400,MASQ2!AN33,'Étape 1 - à remplir'!O$31:O$400,X$3)),IF(X$2="Espèce",IF(X$3="Toutes",SUMIFS('Étape 1 - à remplir'!F$31:F$400,'Étape 1 - à remplir'!H$31:H$400,MASQ2!AN33,'Étape 1 - à remplir'!G$31:G$400,"animaux"),SUMIFS('Étape 1 - à remplir'!F$31:F$400,'Étape 1 - à remplir'!H$31:H$400,MASQ2!AN33,'Étape 1 - à remplir'!N$31:N$400,X$3))))))=0,NA(),IF(X$2="Catégorie",IF(X$3="Toutes",SUMIFS('Étape 1 - à remplir'!F$31:F$400,'Étape 1 - à remplir'!H$31:H$400,MASQ2!AN33,'Étape 1 - à remplir'!G$31:G$400,"animaux"),SUMIFS('Étape 1 - à remplir'!F$31:F$400,'Étape 1 - à remplir'!H$31:H$400,MASQ2!AN33,'Étape 1 - à remplir'!C$31:C$400,X$3)),IF(X$2="Âge",IF(X$3="Tous",SUMIFS('Étape 1 - à remplir'!F$31:F$400,'Étape 1 - à remplir'!H$31:H$400,MASQ2!AN33,'Étape 1 - à remplir'!G$31:G$400,"animaux"),SUMIFS('Étape 1 - à remplir'!F$31:F$400,'Étape 1 - à remplir'!H$31:H$400,MASQ2!AN33,'Étape 1 - à remplir'!P$31:P$400,X$3)),IF(X$2="Atelier",IF(X$3="Tous",SUMIFS('Étape 1 - à remplir'!F$31:F$400,'Étape 1 - à remplir'!H$31:H$400,MASQ2!AN33,'Étape 1 - à remplir'!G$31:G$400,"animaux"),SUMIFS('Étape 1 - à remplir'!F$31:F$400,'Étape 1 - à remplir'!H$31:H$400,MASQ2!AN33,'Étape 1 - à remplir'!O$31:O$400,X$3)),IF(X$2="Espèce",IF(X$3="Toutes",SUMIFS('Étape 1 - à remplir'!F$31:F$400,'Étape 1 - à remplir'!H$31:H$400,MASQ2!AN33,'Étape 1 - à remplir'!G$31:G$400,"animaux"),SUMIFS('Étape 1 - à remplir'!F$31:F$400,'Étape 1 - à remplir'!H$31:H$400,MASQ2!AN33,'Étape 1 - à remplir'!N$31:N$400,X$3)))))))</f>
        <v>#N/A</v>
      </c>
      <c r="AP33">
        <v>2</v>
      </c>
      <c r="AQ33" t="e">
        <f t="shared" ref="AQ33:AQ38" si="98">INDEX(AM$32:AO$38,MATCH(AP33,AM$32:AM$38,0),2)</f>
        <v>#N/A</v>
      </c>
      <c r="AR33" s="63" t="e">
        <f t="shared" ref="AR33:AR38" si="99">INDEX(AM$32:AO$38,MATCH(AP33,AM$32:AM$38,0),3)</f>
        <v>#N/A</v>
      </c>
      <c r="AT33" s="42">
        <v>2</v>
      </c>
      <c r="AU33" s="118" t="str">
        <f t="shared" ref="AU33:AU41" si="100">IFERROR(INDEX(AS$18:AT$27,MATCH(AT33,AS$18:AS$27,0),2),"")</f>
        <v/>
      </c>
      <c r="AV33" t="str">
        <f t="shared" ref="AV33:AV41" si="101">IFERROR(INDEX(AY$18:AZ$27,MATCH(AT33,AZ$18:AZ$27,0),1),"")</f>
        <v/>
      </c>
      <c r="AW33" t="str">
        <f t="shared" ref="AW33:AW41" si="102">IFERROR(INDEX(BE$18:BF$27,MATCH(AT33,BF$18:BF$27,0),1),"")</f>
        <v/>
      </c>
      <c r="AX33" s="63" t="str">
        <f t="shared" si="95"/>
        <v/>
      </c>
      <c r="BB33" s="122" t="str">
        <f>IFERROR(IF(BC33="","",COUNTIF(BC$32:BC$41,"&lt;"&amp;BC33)+COUNTIF(BC$32:BC33,BC33))-COUNTBLANK(BC$32:BC$41),"")</f>
        <v/>
      </c>
      <c r="BC33" s="76" t="str">
        <f>IF('Étape 1 - à remplir'!G20="animaux",'Étape 1 - à remplir'!C20,"")</f>
        <v/>
      </c>
      <c r="BD33" t="e">
        <f>INDEX(BB$32:BC$41,MATCH(2,BB$32:BB$41,0),2)</f>
        <v>#N/A</v>
      </c>
      <c r="BE33" t="e">
        <f>IF(BD33=BD32,"",BD33)</f>
        <v>#N/A</v>
      </c>
      <c r="BF33" s="123" t="e">
        <f>IF(BE33="","",MAX(BF$31:BF32)+1)</f>
        <v>#N/A</v>
      </c>
      <c r="BT33" s="194" t="str">
        <f t="shared" ca="1" si="5"/>
        <v/>
      </c>
      <c r="BU33" s="219" t="str">
        <f>IFERROR(IF(BX33=0,"",COUNTIF(BX$4:BX$600,"&gt;"&amp;BX33)+COUNTIF(BX$4:BX33,BX33)),"")</f>
        <v/>
      </c>
      <c r="BV33" s="42" t="str">
        <f t="shared" si="6"/>
        <v>AMOXIPRO INJECTABLE</v>
      </c>
      <c r="BW33" t="e">
        <f>IF(IF(CE$2="Catégorie",IF(CE$3="Toutes",SUMIFS('Étape 1 - à remplir'!$F$31:$F$400,'Étape 1 - à remplir'!$E$31:$E$400,MASQ2!BV33,'Étape 1 - à remplir'!$G$31:$G$400,"lots"),SUMIFS('Étape 1 - à remplir'!$F$31:$F$400,'Étape 1 - à remplir'!$E$31:$E$400,MASQ2!BV33,'Étape 1 - à remplir'!$C$31:$C$400,CE$3)),IF(CE$2="Âge",IF(CE$3="Tous",SUMIFS('Étape 1 - à remplir'!$F$31:$F$400,'Étape 1 - à remplir'!$E$31:$E$400,MASQ2!BV33,'Étape 1 - à remplir'!$G$31:$G$400,"lots"),SUMIFS('Étape 1 - à remplir'!$F$31:$F$400,'Étape 1 - à remplir'!$E$31:$E$400,MASQ2!BV33,'Étape 1 - à remplir'!$P$31:$P$400,CE$3,'Étape 1 - à remplir'!$G$31:$G$400,"lots")),IF(CE$2="Atelier",IF(CE$3="Tous",SUMIFS('Étape 1 - à remplir'!$F$31:$F$400,'Étape 1 - à remplir'!$E$31:$E$400,MASQ2!BV33,'Étape 1 - à remplir'!$G$31:$G$400,"lots"),SUMIFS('Étape 1 - à remplir'!$F$31:$F$400,'Étape 1 - à remplir'!$E$31:$E$400,MASQ2!BV33,'Étape 1 - à remplir'!$O$31:$O$400,CE$3,'Étape 1 - à remplir'!$G$31:$G$400,"lots")),IF(CE$2="Espèce",IF(CE$3="Toutes",SUMIFS('Étape 1 - à remplir'!$F$31:$F$400,'Étape 1 - à remplir'!$E$31:$E$400,MASQ2!BV33,'Étape 1 - à remplir'!$G$31:$G$400,"lots"),SUMIFS('Étape 1 - à remplir'!$F$31:$F$400,'Étape 1 - à remplir'!$E$31:$E$400,MASQ2!BV33,'Étape 1 - à remplir'!$N$31:$N$400,CE$3,'Étape 1 - à remplir'!$G$31:$G$400,"lots"))))))=0,NA(),IF(CE$2="Catégorie",IF(CE$3="Toutes",SUMIFS('Étape 1 - à remplir'!$F$31:$F$400,'Étape 1 - à remplir'!$E$31:$E$400,MASQ2!BV33,'Étape 1 - à remplir'!$G$31:$G$400,"lots"),SUMIFS('Étape 1 - à remplir'!$F$31:$F$400,'Étape 1 - à remplir'!$E$31:$E$400,MASQ2!BV33,'Étape 1 - à remplir'!$C$31:$C$400,CE$3)),IF(CE$2="Âge",IF(CE$3="Tous",SUMIFS('Étape 1 - à remplir'!$F$31:$F$400,'Étape 1 - à remplir'!$E$31:$E$400,MASQ2!BV33,'Étape 1 - à remplir'!$G$31:$G$400,"lots"),SUMIFS('Étape 1 - à remplir'!$F$31:$F$400,'Étape 1 - à remplir'!$E$31:$E$400,MASQ2!BV33,'Étape 1 - à remplir'!$P$31:$P$400,CE$3,'Étape 1 - à remplir'!$G$31:$G$400,"lots")),IF(CE$2="Atelier",IF(CE$3="Tous",SUMIFS('Étape 1 - à remplir'!$F$31:$F$400,'Étape 1 - à remplir'!$E$31:$E$400,MASQ2!BV33,'Étape 1 - à remplir'!$G$31:$G$400,"lots"),SUMIFS('Étape 1 - à remplir'!$F$31:$F$400,'Étape 1 - à remplir'!$E$31:$E$400,MASQ2!BV33,'Étape 1 - à remplir'!$O$31:$O$400,CE$3,'Étape 1 - à remplir'!$G$31:$G$400,"lots")),IF(CE$2="Espèce",IF(CE$3="Toutes",SUMIFS('Étape 1 - à remplir'!$F$31:$F$400,'Étape 1 - à remplir'!$E$31:$E$400,MASQ2!BV33,'Étape 1 - à remplir'!$G$31:$G$400,"lots"),SUMIFS('Étape 1 - à remplir'!$F$31:$F$400,'Étape 1 - à remplir'!$E$31:$E$400,MASQ2!BV33,'Étape 1 - à remplir'!$N$31:$N$400,CE$3,'Étape 1 - à remplir'!$G$31:$G$400,"lots")))))))</f>
        <v>#N/A</v>
      </c>
      <c r="BX33">
        <f t="shared" si="42"/>
        <v>0</v>
      </c>
      <c r="BY33" t="str">
        <f t="shared" si="7"/>
        <v>Amoxicilline</v>
      </c>
      <c r="BZ33" t="str">
        <f t="shared" si="8"/>
        <v/>
      </c>
      <c r="CA33" t="str">
        <f t="shared" si="9"/>
        <v/>
      </c>
      <c r="CB33" t="str">
        <f t="shared" si="10"/>
        <v>Penicillines</v>
      </c>
      <c r="CC33" t="str">
        <f t="shared" si="11"/>
        <v/>
      </c>
      <c r="CD33" s="63" t="str">
        <f t="shared" si="12"/>
        <v/>
      </c>
      <c r="CG33" s="42">
        <v>30</v>
      </c>
      <c r="CH33" s="42" t="e">
        <f t="shared" si="80"/>
        <v>#N/A</v>
      </c>
      <c r="CI33" s="63" t="e">
        <f t="shared" si="81"/>
        <v>#N/A</v>
      </c>
      <c r="CK33" s="194" t="str">
        <f t="shared" si="13"/>
        <v>x</v>
      </c>
      <c r="CL33" s="226" t="str">
        <f>IFERROR(IF(CN33=0,"",COUNTIF(CN$4:CN$64,"&gt;"&amp;CN33)+COUNTIF(CN$4:CN33,CN33)),"")</f>
        <v/>
      </c>
      <c r="CM33" t="str">
        <f t="shared" si="14"/>
        <v>Marbofloxacine</v>
      </c>
      <c r="CN33" s="76" t="e">
        <f t="shared" si="45"/>
        <v>#N/A</v>
      </c>
      <c r="CO33">
        <v>30</v>
      </c>
      <c r="CP33" t="e">
        <f t="shared" si="46"/>
        <v>#N/A</v>
      </c>
      <c r="CQ33" s="63" t="e">
        <f t="shared" si="47"/>
        <v>#N/A</v>
      </c>
      <c r="CT33" s="194" t="str">
        <f>IFERROR(IF(CV33=0,"",COUNTIF(CV$32:CV$38,"&gt;"&amp;CV33)+COUNTIF(CV$32:CV33,CV33)),"")</f>
        <v/>
      </c>
      <c r="CU33" t="str">
        <f t="shared" si="96"/>
        <v>Voie orale  hors prémélanges médicamenteux</v>
      </c>
      <c r="CV33" s="76" t="e">
        <f>IF(IF(CE$2="Catégorie",IF(CE$3="Toutes",SUMIFS('Étape 1 - à remplir'!$F$31:$F$400,'Étape 1 - à remplir'!$H$31:$H$400,MASQ2!CU33,'Étape 1 - à remplir'!$G$31:$G$400,"lots"),SUMIFS('Étape 1 - à remplir'!$F$31:$F$400,'Étape 1 - à remplir'!$H$31:$H$400,MASQ2!CU33,'Étape 1 - à remplir'!$C$31:$C$400,CE$3,'Étape 1 - à remplir'!$G$31:$G$400,"lots")),IF(CE$2="Âge",IF(CE$3="Tous",SUMIFS('Étape 1 - à remplir'!$F$31:$F$400,'Étape 1 - à remplir'!$H$31:$H$400,MASQ2!CU33,'Étape 1 - à remplir'!$G$31:$G$400,"lots"),SUMIFS('Étape 1 - à remplir'!$F$31:$F$400,'Étape 1 - à remplir'!$H$31:$H$400,MASQ2!CU33,'Étape 1 - à remplir'!$P$31:$P$400,CE$3,'Étape 1 - à remplir'!$G$31:$G$400,"lots")),IF(CE$2="Atelier",IF(CE$3="Tous",SUMIFS('Étape 1 - à remplir'!$F$31:$F$400,'Étape 1 - à remplir'!$H$31:$H$400,MASQ2!CU33,'Étape 1 - à remplir'!$G$31:$G$400,"lots"),SUMIFS('Étape 1 - à remplir'!$F$31:$F$400,'Étape 1 - à remplir'!$H$31:$H$400,MASQ2!CU33,'Étape 1 - à remplir'!$O$31:$O$400,CE$3,'Étape 1 - à remplir'!$G$31:$G$400,"lots")),IF(CE$2="Espèce",IF(CE$3="Toutes",SUMIFS('Étape 1 - à remplir'!$F$31:$F$400,'Étape 1 - à remplir'!$H$31:$H$400,MASQ2!CU33,'Étape 1 - à remplir'!$G$31:$G$400,"lots"),SUMIFS('Étape 1 - à remplir'!$F$31:$F$400,'Étape 1 - à remplir'!$H$31:$H$400,MASQ2!CU33,'Étape 1 - à remplir'!$N$31:$N$400,CE$3,'Étape 1 - à remplir'!$G$31:$G$400,"lots"))))))=0,NA(),IF(CE$2="Catégorie",IF(CE$3="Toutes",SUMIFS('Étape 1 - à remplir'!$F$31:$F$400,'Étape 1 - à remplir'!$H$31:$H$400,MASQ2!CU33,'Étape 1 - à remplir'!$G$31:$G$400,"lots"),SUMIFS('Étape 1 - à remplir'!$F$31:$F$400,'Étape 1 - à remplir'!$H$31:$H$400,MASQ2!CU33,'Étape 1 - à remplir'!$C$31:$C$400,CE$3,'Étape 1 - à remplir'!$G$31:$G$400,"lots")),IF(CE$2="Âge",IF(CE$3="Tous",SUMIFS('Étape 1 - à remplir'!$F$31:$F$400,'Étape 1 - à remplir'!$H$31:$H$400,MASQ2!CU33,'Étape 1 - à remplir'!$G$31:$G$400,"lots"),SUMIFS('Étape 1 - à remplir'!$F$31:$F$400,'Étape 1 - à remplir'!$H$31:$H$400,MASQ2!CU33,'Étape 1 - à remplir'!$P$31:$P$400,CE$3,'Étape 1 - à remplir'!$G$31:$G$400,"lots")),IF(CE$2="Atelier",IF(CE$3="Tous",SUMIFS('Étape 1 - à remplir'!$F$31:$F$400,'Étape 1 - à remplir'!$H$31:$H$400,MASQ2!CU33,'Étape 1 - à remplir'!$G$31:$G$400,"lots"),SUMIFS('Étape 1 - à remplir'!$F$31:$F$400,'Étape 1 - à remplir'!$H$31:$H$400,MASQ2!CU33,'Étape 1 - à remplir'!$O$31:$O$400,CE$3,'Étape 1 - à remplir'!$G$31:$G$400,"lots")),IF(CE$2="Espèce",IF(CE$3="Toutes",SUMIFS('Étape 1 - à remplir'!$F$31:$F$400,'Étape 1 - à remplir'!$H$31:$H$400,MASQ2!CU33,'Étape 1 - à remplir'!$G$31:$G$400,"lots"),SUMIFS('Étape 1 - à remplir'!$F$31:$F$400,'Étape 1 - à remplir'!$H$31:$H$400,MASQ2!CU33,'Étape 1 - à remplir'!$N$31:$N$400,CE$3,'Étape 1 - à remplir'!$G$31:$G$400,"lots")))))))</f>
        <v>#N/A</v>
      </c>
      <c r="CW33">
        <v>2</v>
      </c>
      <c r="CX33" t="e">
        <f t="shared" ref="CX33:CX38" si="103">INDEX(CT$32:CV$38,MATCH(CW33,CT$32:CT$38,0),2)</f>
        <v>#N/A</v>
      </c>
      <c r="CY33" s="63" t="e">
        <f t="shared" ref="CY33:CY38" si="104">INDEX(CT$32:CV$38,MATCH(CW33,CT$32:CT$38,0),3)</f>
        <v>#N/A</v>
      </c>
      <c r="DA33" s="42">
        <v>2</v>
      </c>
      <c r="DB33" s="118" t="str">
        <f t="shared" ref="DB33:DB41" si="105">IFERROR(INDEX(CZ$18:DA$27,MATCH(DA33,CZ$18:CZ$27,0),2),"")</f>
        <v/>
      </c>
      <c r="DC33" t="str">
        <f t="shared" ref="DC33:DC41" si="106">IFERROR(INDEX(DF$18:DG$27,MATCH(DA33,DG$18:DG$27,0),1),"")</f>
        <v/>
      </c>
      <c r="DD33" t="str">
        <f t="shared" ref="DD33:DD41" si="107">IFERROR(INDEX(DL$18:DM$27,MATCH(DA33,DM$18:DM$27,0),1),"")</f>
        <v/>
      </c>
      <c r="DE33" s="63" t="str">
        <f t="shared" ref="DE33:DE41" si="108">IFERROR(INDEX(DL$32:DM$41,MATCH(DA33,DM$32:DM$41,0),1),"")</f>
        <v/>
      </c>
      <c r="DI33" s="122" t="str">
        <f>IFERROR(IF(DJ33="","",COUNTIF(DJ$32:DJ$41,"&lt;"&amp;DJ33)+COUNTIF(DJ$32:DJ33,DJ33))-COUNTBLANK(DJ$32:DJ$41),"")</f>
        <v/>
      </c>
      <c r="DJ33" s="109" t="str">
        <f>IF('Étape 1 - à remplir'!G20="lots",'Étape 1 - à remplir'!C20,"")</f>
        <v/>
      </c>
      <c r="DK33" s="109" t="e">
        <f>INDEX(DI$32:DJ$41,MATCH(2,DI$32:DI$41,0),2)</f>
        <v>#N/A</v>
      </c>
      <c r="DL33" s="109" t="e">
        <f>IF(DK33=DK32,"",DK33)</f>
        <v>#N/A</v>
      </c>
      <c r="DM33" s="123" t="e">
        <f>IF(DL33="","",MAX(DM$31:DM32)+1)</f>
        <v>#N/A</v>
      </c>
      <c r="EA33" s="194" t="str">
        <f t="shared" ca="1" si="18"/>
        <v/>
      </c>
      <c r="EB33" s="226" t="str">
        <f>IFERROR(IF(ED33=0,"",COUNTIF(ED$4:ED$600,"&gt;"&amp;ED33)+COUNTIF(ED$4:ED33,ED33)),"")</f>
        <v/>
      </c>
      <c r="EC33" t="str">
        <f t="shared" si="19"/>
        <v>AMOXIPRO INJECTABLE</v>
      </c>
      <c r="ED33" t="e">
        <f>IF(IF(EL$2="Catégorie",IF(EL$3="Toutes",SUMIFS('Étape 1 - à remplir'!$F$31:$F$400,'Étape 1 - à remplir'!$E$31:$E$400,MASQ2!EC33,'Étape 1 - à remplir'!$G$31:$G$400,"kg"),SUMIFS('Étape 1 - à remplir'!$F$31:$F$400,'Étape 1 - à remplir'!$E$31:$E$400,MASQ2!EC33,'Étape 1 - à remplir'!$C$31:$C$400,EL$3)),IF(EL$2="Âge",IF(EL$3="Tous",SUMIFS('Étape 1 - à remplir'!$F$31:$F$400,'Étape 1 - à remplir'!$E$31:$E$400,MASQ2!EC33,'Étape 1 - à remplir'!$G$31:$G$400,"kg"),SUMIFS('Étape 1 - à remplir'!$F$31:$F$400,'Étape 1 - à remplir'!$E$31:$E$400,MASQ2!EC33,'Étape 1 - à remplir'!$P$31:$P$400,EL$3,'Étape 1 - à remplir'!$G$31:$G$400,"kg")),IF(EL$2="Atelier",IF(EL$3="Tous",SUMIFS('Étape 1 - à remplir'!$F$31:$F$400,'Étape 1 - à remplir'!$E$31:$E$400,MASQ2!EC33,'Étape 1 - à remplir'!$G$31:$G$400,"kg"),SUMIFS('Étape 1 - à remplir'!$F$31:$F$400,'Étape 1 - à remplir'!$E$31:$E$400,MASQ2!EC33,'Étape 1 - à remplir'!$O$31:$O$400,EL$3,'Étape 1 - à remplir'!$G$31:$G$400,"kg")),IF(EL$2="Espèce",IF(EL$3="Toutes",SUMIFS('Étape 1 - à remplir'!$F$31:$F$400,'Étape 1 - à remplir'!$E$31:$E$400,MASQ2!EC33,'Étape 1 - à remplir'!$G$31:$G$400,"kg"),SUMIFS('Étape 1 - à remplir'!$F$31:$F$400,'Étape 1 - à remplir'!$E$31:$E$400,MASQ2!EC33,'Étape 1 - à remplir'!$N$31:$N$400,EL$3,'Étape 1 - à remplir'!$G$31:$G$400,"kg"))))))=0,NA(),IF(EL$2="Catégorie",IF(EL$3="Toutes",SUMIFS('Étape 1 - à remplir'!$F$31:$F$400,'Étape 1 - à remplir'!$E$31:$E$400,MASQ2!EC33,'Étape 1 - à remplir'!$G$31:$G$400,"kg"),SUMIFS('Étape 1 - à remplir'!$F$31:$F$400,'Étape 1 - à remplir'!$E$31:$E$400,MASQ2!EC33,'Étape 1 - à remplir'!$C$31:$C$400,EL$3)),IF(EL$2="Âge",IF(EL$3="Tous",SUMIFS('Étape 1 - à remplir'!$F$31:$F$400,'Étape 1 - à remplir'!$E$31:$E$400,MASQ2!EC33,'Étape 1 - à remplir'!$G$31:$G$400,"kg"),SUMIFS('Étape 1 - à remplir'!$F$31:$F$400,'Étape 1 - à remplir'!$E$31:$E$400,MASQ2!EC33,'Étape 1 - à remplir'!$P$31:$P$400,EL$3,'Étape 1 - à remplir'!$G$31:$G$400,"kg")),IF(EL$2="Atelier",IF(EL$3="Tous",SUMIFS('Étape 1 - à remplir'!$F$31:$F$400,'Étape 1 - à remplir'!$E$31:$E$400,MASQ2!EC33,'Étape 1 - à remplir'!$G$31:$G$400,"kg"),SUMIFS('Étape 1 - à remplir'!$F$31:$F$400,'Étape 1 - à remplir'!$E$31:$E$400,MASQ2!EC33,'Étape 1 - à remplir'!$O$31:$O$400,EL$3,'Étape 1 - à remplir'!$G$31:$G$400,"kg")),IF(EL$2="Espèce",IF(EL$3="Toutes",SUMIFS('Étape 1 - à remplir'!$F$31:$F$400,'Étape 1 - à remplir'!$E$31:$E$400,MASQ2!EC33,'Étape 1 - à remplir'!$G$31:$G$400,"kg"),SUMIFS('Étape 1 - à remplir'!$F$31:$F$400,'Étape 1 - à remplir'!$E$31:$E$400,MASQ2!EC33,'Étape 1 - à remplir'!$N$31:$N$400,EL$3,'Étape 1 - à remplir'!$G$31:$G$400,"kg")))))))</f>
        <v>#N/A</v>
      </c>
      <c r="EE33" s="76">
        <f t="shared" si="53"/>
        <v>0</v>
      </c>
      <c r="EF33" t="str">
        <f t="shared" si="20"/>
        <v>Amoxicilline</v>
      </c>
      <c r="EG33" t="str">
        <f t="shared" si="21"/>
        <v/>
      </c>
      <c r="EH33" t="str">
        <f t="shared" si="22"/>
        <v/>
      </c>
      <c r="EI33" t="str">
        <f t="shared" si="23"/>
        <v>Penicillines</v>
      </c>
      <c r="EJ33" t="str">
        <f t="shared" si="24"/>
        <v/>
      </c>
      <c r="EK33" s="63" t="str">
        <f t="shared" si="25"/>
        <v/>
      </c>
      <c r="EN33" s="42">
        <v>30</v>
      </c>
      <c r="EO33" t="e">
        <f t="shared" si="68"/>
        <v>#N/A</v>
      </c>
      <c r="EP33" s="63" t="e">
        <f t="shared" si="69"/>
        <v>#N/A</v>
      </c>
      <c r="ER33" s="194" t="str">
        <f t="shared" si="26"/>
        <v>x</v>
      </c>
      <c r="ES33" s="226" t="str">
        <f>IFERROR(IF(EU33=0,"",COUNTIF(EU$4:EU$64,"&gt;"&amp;EU33)+COUNTIF(EU$4:EU33,EU33)),"")</f>
        <v/>
      </c>
      <c r="ET33" t="str">
        <f t="shared" si="27"/>
        <v>Marbofloxacine</v>
      </c>
      <c r="EU33" s="76" t="e">
        <f t="shared" si="56"/>
        <v>#N/A</v>
      </c>
      <c r="EV33">
        <v>30</v>
      </c>
      <c r="EW33" t="e">
        <f t="shared" si="57"/>
        <v>#N/A</v>
      </c>
      <c r="EX33" s="63" t="e">
        <f t="shared" si="58"/>
        <v>#N/A</v>
      </c>
      <c r="FA33" s="194" t="str">
        <f>IFERROR(IF(FC33=0,"",COUNTIF(FC$32:FC$38,"&gt;"&amp;FC33)+COUNTIF(FC$32:FC33,FC33)),"")</f>
        <v/>
      </c>
      <c r="FB33" t="str">
        <f t="shared" si="97"/>
        <v>Voie orale  hors prémélanges médicamenteux</v>
      </c>
      <c r="FC33" s="76" t="e">
        <f>IF(IF(EL$2="Catégorie",IF(EL$3="Toutes",SUMIFS('Étape 1 - à remplir'!$F$31:$F$400,'Étape 1 - à remplir'!$H$31:$H$400,MASQ2!FB33,'Étape 1 - à remplir'!$G$31:$G$400,"kg"),SUMIFS('Étape 1 - à remplir'!$F$31:$F$400,'Étape 1 - à remplir'!$H$31:$H$400,MASQ2!FB33,'Étape 1 - à remplir'!$C$31:$C$400,EL$3,'Étape 1 - à remplir'!$G$31:$G$400,"kg")),IF(EL$2="Âge",IF(EL$3="Tous",SUMIFS('Étape 1 - à remplir'!$F$31:$F$400,'Étape 1 - à remplir'!$H$31:$H$400,MASQ2!FB33,'Étape 1 - à remplir'!$G$31:$G$400,"kg"),SUMIFS('Étape 1 - à remplir'!$F$31:$F$400,'Étape 1 - à remplir'!$H$31:$H$400,MASQ2!FB33,'Étape 1 - à remplir'!$P$31:$P$400,EL$3,'Étape 1 - à remplir'!$G$31:$G$400,"kg")),IF(EL$2="Atelier",IF(EL$3="Tous",SUMIFS('Étape 1 - à remplir'!$F$31:$F$400,'Étape 1 - à remplir'!$H$31:$H$400,MASQ2!FB33,'Étape 1 - à remplir'!$G$31:$G$400,"kg"),SUMIFS('Étape 1 - à remplir'!$F$31:$F$400,'Étape 1 - à remplir'!$H$31:$H$400,MASQ2!FB33,'Étape 1 - à remplir'!$O$31:$O$400,EL$3,'Étape 1 - à remplir'!$G$31:$G$400,"kg")),IF(EL$2="Espèce",IF(EL$3="Toutes",SUMIFS('Étape 1 - à remplir'!$F$31:$F$400,'Étape 1 - à remplir'!$H$31:$H$400,MASQ2!FB33,'Étape 1 - à remplir'!$G$31:$G$400,"kg"),SUMIFS('Étape 1 - à remplir'!$F$31:$F$400,'Étape 1 - à remplir'!$H$31:$H$400,MASQ2!FB33,'Étape 1 - à remplir'!$N$31:$N$400,EL$3,'Étape 1 - à remplir'!$G$31:$G$400,"kg"))))))=0,NA(),IF(EL$2="Catégorie",IF(EL$3="Toutes",SUMIFS('Étape 1 - à remplir'!$F$31:$F$400,'Étape 1 - à remplir'!$H$31:$H$400,MASQ2!FB33,'Étape 1 - à remplir'!$G$31:$G$400,"kg"),SUMIFS('Étape 1 - à remplir'!$F$31:$F$400,'Étape 1 - à remplir'!$H$31:$H$400,MASQ2!FB33,'Étape 1 - à remplir'!$C$31:$C$400,EL$3,'Étape 1 - à remplir'!$G$31:$G$400,"kg")),IF(EL$2="Âge",IF(EL$3="Tous",SUMIFS('Étape 1 - à remplir'!$F$31:$F$400,'Étape 1 - à remplir'!$H$31:$H$400,MASQ2!FB33,'Étape 1 - à remplir'!$G$31:$G$400,"kg"),SUMIFS('Étape 1 - à remplir'!$F$31:$F$400,'Étape 1 - à remplir'!$H$31:$H$400,MASQ2!FB33,'Étape 1 - à remplir'!$P$31:$P$400,EL$3,'Étape 1 - à remplir'!$G$31:$G$400,"kg")),IF(EL$2="Atelier",IF(EL$3="Tous",SUMIFS('Étape 1 - à remplir'!$F$31:$F$400,'Étape 1 - à remplir'!$H$31:$H$400,MASQ2!FB33,'Étape 1 - à remplir'!$G$31:$G$400,"kg"),SUMIFS('Étape 1 - à remplir'!$F$31:$F$400,'Étape 1 - à remplir'!$H$31:$H$400,MASQ2!FB33,'Étape 1 - à remplir'!$O$31:$O$400,EL$3,'Étape 1 - à remplir'!$G$31:$G$400,"kg")),IF(EL$2="Espèce",IF(EL$3="Toutes",SUMIFS('Étape 1 - à remplir'!$F$31:$F$400,'Étape 1 - à remplir'!$H$31:$H$400,MASQ2!FB33,'Étape 1 - à remplir'!$G$31:$G$400,"kg"),SUMIFS('Étape 1 - à remplir'!$F$31:$F$400,'Étape 1 - à remplir'!$H$31:$H$400,MASQ2!FB33,'Étape 1 - à remplir'!$N$31:$N$400,EL$3,'Étape 1 - à remplir'!$G$31:$G$400,"kg")))))))</f>
        <v>#N/A</v>
      </c>
      <c r="FD33">
        <v>2</v>
      </c>
      <c r="FE33" t="e">
        <f t="shared" ref="FE33:FE38" si="109">INDEX(FA$32:FC$38,MATCH(FD33,FA$32:FA$38,0),2)</f>
        <v>#N/A</v>
      </c>
      <c r="FF33" s="63" t="e">
        <f t="shared" ref="FF33:FF38" si="110">INDEX(FA$32:FC$38,MATCH(FD33,FA$32:FA$38,0),3)</f>
        <v>#N/A</v>
      </c>
      <c r="FH33" s="42">
        <v>2</v>
      </c>
      <c r="FI33" s="118" t="str">
        <f t="shared" ref="FI33:FI41" si="111">IFERROR(INDEX(FG$18:FH$27,MATCH(FH33,FG$18:FG$27,0),2),"")</f>
        <v/>
      </c>
      <c r="FJ33" t="str">
        <f t="shared" ref="FJ33:FJ41" si="112">IFERROR(INDEX(FM$18:FN$27,MATCH(FH33,FN$18:FN$27,0),1),"")</f>
        <v/>
      </c>
      <c r="FK33" t="str">
        <f t="shared" ref="FK33:FK41" si="113">IFERROR(INDEX(FS$18:FT$27,MATCH(FH33,FT$18:FT$27,0),1),"")</f>
        <v/>
      </c>
      <c r="FL33" s="63" t="str">
        <f t="shared" ref="FL33:FL41" si="114">IFERROR(INDEX(FS$32:FT$41,MATCH(FH33,FT$32:FT$41,0),1),"")</f>
        <v/>
      </c>
      <c r="FM33" s="42"/>
      <c r="FP33" s="122" t="str">
        <f>IFERROR(IF(FQ33="","",COUNTIF(FQ$32:FQ$41,"&lt;"&amp;FQ33)+COUNTIF(FQ$32:FQ33,FQ33))-COUNTBLANK(FQ$32:FQ$41),"")</f>
        <v/>
      </c>
      <c r="FQ33" s="109" t="str">
        <f>IF('Étape 1 - à remplir'!G20="kg",'Étape 1 - à remplir'!C20,"")</f>
        <v/>
      </c>
      <c r="FR33" s="109" t="e">
        <f>INDEX(FP$32:FQ$41,MATCH(2,FP$32:FP$41,0),2)</f>
        <v>#N/A</v>
      </c>
      <c r="FS33" s="109" t="e">
        <f>IF(FR33=FR32,"",FR33)</f>
        <v>#N/A</v>
      </c>
      <c r="FT33" s="123" t="e">
        <f>IF(FS33="","",MAX(FT$31:FT32)+1)</f>
        <v>#N/A</v>
      </c>
    </row>
    <row r="34" spans="2:176" x14ac:dyDescent="0.3">
      <c r="B34" s="42"/>
      <c r="M34" s="194" t="str">
        <f ca="1">INDEX(Données_ATB!BD:BU,MATCH(MASQ2!O34,Données_ATB!BD:BD,0),18)</f>
        <v/>
      </c>
      <c r="N34" s="14" t="str">
        <f>IFERROR(IF(Q34=0,"",COUNTIF(Q$4:Q$600,"&gt;"&amp;Q34)+COUNTIF(Q$4:Q34,Q34)),"")</f>
        <v/>
      </c>
      <c r="O34" t="str">
        <f>Données_ATB!BD33</f>
        <v>AMOXIVAL 20 % POUDRE ORALE VOLAILLE</v>
      </c>
      <c r="P34" t="e">
        <f>IF(IF(X$2="Catégorie",IF(X$3="Toutes",SUMIFS('Étape 1 - à remplir'!$F$31:$F$400,'Étape 1 - à remplir'!$E$31:$E$400,MASQ2!O34,'Étape 1 - à remplir'!$G$31:$G$400,"animaux"),SUMIFS('Étape 1 - à remplir'!$F$31:$F$400,'Étape 1 - à remplir'!$E$31:$E$400,MASQ2!O34,'Étape 1 - à remplir'!$C$31:$C$400,X$3)),IF(X$2="Âge",IF(X$3="Tous",SUMIFS('Étape 1 - à remplir'!$F$31:$F$400,'Étape 1 - à remplir'!$E$31:$E$400,MASQ2!O34,'Étape 1 - à remplir'!$G$31:$G$400,"animaux"),SUMIFS('Étape 1 - à remplir'!$F$31:$F$400,'Étape 1 - à remplir'!$E$31:$E$400,MASQ2!O34,'Étape 1 - à remplir'!$P$31:$P$400,X$3)),IF(X$2="Atelier",IF(X$3="Tous",SUMIFS('Étape 1 - à remplir'!$F$31:$F$400,'Étape 1 - à remplir'!$E$31:$E$400,MASQ2!O34,'Étape 1 - à remplir'!$G$31:$G$400,"animaux"),SUMIFS('Étape 1 - à remplir'!$F$31:$F$400,'Étape 1 - à remplir'!$E$31:$E$400,MASQ2!O34,'Étape 1 - à remplir'!$O$31:$O$400,X$3)),IF(X$2="Espèce",IF(X$3="Toutes",SUMIFS('Étape 1 - à remplir'!$F$31:$F$400,'Étape 1 - à remplir'!$E$31:$E$400,MASQ2!O34,'Étape 1 - à remplir'!$G$31:$G$400,"animaux"),SUMIFS('Étape 1 - à remplir'!$F$31:$F$400,'Étape 1 - à remplir'!$E$31:$E$400,MASQ2!O34,'Étape 1 - à remplir'!$N$31:$N$400,X$3))))))=0,NA(),IF(X$2="Catégorie",IF(X$3="Toutes",SUMIFS('Étape 1 - à remplir'!$F$31:$F$400,'Étape 1 - à remplir'!$E$31:$E$400,MASQ2!O34,'Étape 1 - à remplir'!$G$31:$G$400,"animaux"),SUMIFS('Étape 1 - à remplir'!$F$31:$F$400,'Étape 1 - à remplir'!$E$31:$E$400,MASQ2!O34,'Étape 1 - à remplir'!$C$31:$C$400,X$3)),IF(X$2="Âge",IF(X$3="Tous",SUMIFS('Étape 1 - à remplir'!$F$31:$F$400,'Étape 1 - à remplir'!$E$31:$E$400,MASQ2!O34,'Étape 1 - à remplir'!$G$31:$G$400,"animaux"),SUMIFS('Étape 1 - à remplir'!$F$31:$F$400,'Étape 1 - à remplir'!$E$31:$E$400,MASQ2!O34,'Étape 1 - à remplir'!$P$31:$P$400,X$3)),IF(X$2="Atelier",IF(X$3="Tous",SUMIFS('Étape 1 - à remplir'!$F$31:$F$400,'Étape 1 - à remplir'!$E$31:$E$400,MASQ2!O34,'Étape 1 - à remplir'!$G$31:$G$400,"animaux"),SUMIFS('Étape 1 - à remplir'!$F$31:$F$400,'Étape 1 - à remplir'!$E$31:$E$400,MASQ2!O34,'Étape 1 - à remplir'!$O$31:$O$400,X$3)),IF(X$2="Espèce",IF(X$3="Toutes",SUMIFS('Étape 1 - à remplir'!$F$31:$F$400,'Étape 1 - à remplir'!$E$31:$E$400,MASQ2!O34,'Étape 1 - à remplir'!$G$31:$G$400,"animaux"),SUMIFS('Étape 1 - à remplir'!$F$31:$F$400,'Étape 1 - à remplir'!$E$31:$E$400,MASQ2!O34,'Étape 1 - à remplir'!$N$31:$N$400,X$3)))))))</f>
        <v>#N/A</v>
      </c>
      <c r="Q34" s="63">
        <f t="shared" si="62"/>
        <v>0</v>
      </c>
      <c r="R34" t="str">
        <f>Données_ATB!BM33</f>
        <v>Amoxicilline</v>
      </c>
      <c r="S34" t="str">
        <f>Données_ATB!BN33</f>
        <v/>
      </c>
      <c r="T34" s="63" t="str">
        <f>Données_ATB!BO33</f>
        <v/>
      </c>
      <c r="U34" s="42" t="str">
        <f>Données_ATB!BQ33</f>
        <v>Penicillines</v>
      </c>
      <c r="V34" t="str">
        <f>Données_ATB!BR33</f>
        <v/>
      </c>
      <c r="W34" s="63" t="str">
        <f>Données_ATB!BS33</f>
        <v/>
      </c>
      <c r="Z34" s="42">
        <v>31</v>
      </c>
      <c r="AA34" t="e">
        <f t="shared" si="32"/>
        <v>#N/A</v>
      </c>
      <c r="AB34" s="63" t="e">
        <f t="shared" si="33"/>
        <v>#N/A</v>
      </c>
      <c r="AD34" s="194" t="str">
        <f>IF(AF34="Colistine","x",IF(INDEX(Données_ATB!CA$3:CB$63,MATCH(AF34,Données_ATB!CA$3:CA$63,0),2)="Fluoroquinolones","x",IF(INDEX(Données_ATB!CA$3:CB$63,MATCH(AF34,Données_ATB!CA$3:CA$63,0),2)="Cephalosporines 3&amp;4G","x","")))</f>
        <v/>
      </c>
      <c r="AE34" s="219" t="str">
        <f>IFERROR(IF(AG34=0,"",COUNTIF(AG$4:AG$64,"&gt;"&amp;AG34)+COUNTIF(AG$4:AG34,AG34)),"")</f>
        <v/>
      </c>
      <c r="AF34" s="42" t="str">
        <f>Données_ATB!CA33</f>
        <v>Monensin</v>
      </c>
      <c r="AG34" s="63" t="e">
        <f t="shared" si="34"/>
        <v>#N/A</v>
      </c>
      <c r="AH34" s="42">
        <v>31</v>
      </c>
      <c r="AI34" t="e">
        <f t="shared" si="35"/>
        <v>#N/A</v>
      </c>
      <c r="AJ34" s="63" t="e">
        <f t="shared" si="36"/>
        <v>#N/A</v>
      </c>
      <c r="AM34" s="194" t="str">
        <f>IFERROR(IF(AO34=0,"",COUNTIF(AO$32:AO$38,"&gt;"&amp;AO34)+COUNTIF(AO$32:AO34,AO34)),"")</f>
        <v/>
      </c>
      <c r="AN34" t="str">
        <f>Données_ATB!CE5</f>
        <v>Voie externe</v>
      </c>
      <c r="AO34" s="76" t="e">
        <f>IF(IF(X$2="Catégorie",IF(X$3="Toutes",SUMIFS('Étape 1 - à remplir'!F$31:F$400,'Étape 1 - à remplir'!H$31:H$400,MASQ2!AN34,'Étape 1 - à remplir'!G$31:G$400,"animaux"),SUMIFS('Étape 1 - à remplir'!F$31:F$400,'Étape 1 - à remplir'!H$31:H$400,MASQ2!AN34,'Étape 1 - à remplir'!C$31:C$400,X$3)),IF(X$2="Âge",IF(X$3="Tous",SUMIFS('Étape 1 - à remplir'!F$31:F$400,'Étape 1 - à remplir'!H$31:H$400,MASQ2!AN34,'Étape 1 - à remplir'!G$31:G$400,"animaux"),SUMIFS('Étape 1 - à remplir'!F$31:F$400,'Étape 1 - à remplir'!H$31:H$400,MASQ2!AN34,'Étape 1 - à remplir'!P$31:P$400,X$3)),IF(X$2="Atelier",IF(X$3="Tous",SUMIFS('Étape 1 - à remplir'!F$31:F$400,'Étape 1 - à remplir'!H$31:H$400,MASQ2!AN34,'Étape 1 - à remplir'!G$31:G$400,"animaux"),SUMIFS('Étape 1 - à remplir'!F$31:F$400,'Étape 1 - à remplir'!H$31:H$400,MASQ2!AN34,'Étape 1 - à remplir'!O$31:O$400,X$3)),IF(X$2="Espèce",IF(X$3="Toutes",SUMIFS('Étape 1 - à remplir'!F$31:F$400,'Étape 1 - à remplir'!H$31:H$400,MASQ2!AN34,'Étape 1 - à remplir'!G$31:G$400,"animaux"),SUMIFS('Étape 1 - à remplir'!F$31:F$400,'Étape 1 - à remplir'!H$31:H$400,MASQ2!AN34,'Étape 1 - à remplir'!N$31:N$400,X$3))))))=0,NA(),IF(X$2="Catégorie",IF(X$3="Toutes",SUMIFS('Étape 1 - à remplir'!F$31:F$400,'Étape 1 - à remplir'!H$31:H$400,MASQ2!AN34,'Étape 1 - à remplir'!G$31:G$400,"animaux"),SUMIFS('Étape 1 - à remplir'!F$31:F$400,'Étape 1 - à remplir'!H$31:H$400,MASQ2!AN34,'Étape 1 - à remplir'!C$31:C$400,X$3)),IF(X$2="Âge",IF(X$3="Tous",SUMIFS('Étape 1 - à remplir'!F$31:F$400,'Étape 1 - à remplir'!H$31:H$400,MASQ2!AN34,'Étape 1 - à remplir'!G$31:G$400,"animaux"),SUMIFS('Étape 1 - à remplir'!F$31:F$400,'Étape 1 - à remplir'!H$31:H$400,MASQ2!AN34,'Étape 1 - à remplir'!P$31:P$400,X$3)),IF(X$2="Atelier",IF(X$3="Tous",SUMIFS('Étape 1 - à remplir'!F$31:F$400,'Étape 1 - à remplir'!H$31:H$400,MASQ2!AN34,'Étape 1 - à remplir'!G$31:G$400,"animaux"),SUMIFS('Étape 1 - à remplir'!F$31:F$400,'Étape 1 - à remplir'!H$31:H$400,MASQ2!AN34,'Étape 1 - à remplir'!O$31:O$400,X$3)),IF(X$2="Espèce",IF(X$3="Toutes",SUMIFS('Étape 1 - à remplir'!F$31:F$400,'Étape 1 - à remplir'!H$31:H$400,MASQ2!AN34,'Étape 1 - à remplir'!G$31:G$400,"animaux"),SUMIFS('Étape 1 - à remplir'!F$31:F$400,'Étape 1 - à remplir'!H$31:H$400,MASQ2!AN34,'Étape 1 - à remplir'!N$31:N$400,X$3)))))))</f>
        <v>#N/A</v>
      </c>
      <c r="AP34">
        <v>3</v>
      </c>
      <c r="AQ34" t="e">
        <f t="shared" si="98"/>
        <v>#N/A</v>
      </c>
      <c r="AR34" s="63" t="e">
        <f t="shared" si="99"/>
        <v>#N/A</v>
      </c>
      <c r="AT34" s="42">
        <v>3</v>
      </c>
      <c r="AU34" s="118" t="str">
        <f t="shared" si="100"/>
        <v/>
      </c>
      <c r="AV34" t="str">
        <f t="shared" si="101"/>
        <v/>
      </c>
      <c r="AW34" t="str">
        <f t="shared" si="102"/>
        <v/>
      </c>
      <c r="AX34" s="63" t="str">
        <f t="shared" si="95"/>
        <v/>
      </c>
      <c r="BB34" s="122" t="str">
        <f>IFERROR(IF(BC34="","",COUNTIF(BC$32:BC$41,"&lt;"&amp;BC34)+COUNTIF(BC$32:BC34,BC34))-COUNTBLANK(BC$32:BC$41),"")</f>
        <v/>
      </c>
      <c r="BC34" s="76" t="str">
        <f>IF('Étape 1 - à remplir'!G21="animaux",'Étape 1 - à remplir'!C21,"")</f>
        <v/>
      </c>
      <c r="BD34" t="e">
        <f>INDEX(BB$32:BC$41,MATCH(3,BB$32:BB$41,0),2)</f>
        <v>#N/A</v>
      </c>
      <c r="BE34" t="e">
        <f t="shared" ref="BE34:BE41" si="115">IF(BD34=BD33,"",BD34)</f>
        <v>#N/A</v>
      </c>
      <c r="BF34" s="123" t="e">
        <f>IF(BE34="","",MAX(BF$31:BF33)+1)</f>
        <v>#N/A</v>
      </c>
      <c r="BT34" s="194" t="str">
        <f t="shared" ca="1" si="5"/>
        <v/>
      </c>
      <c r="BU34" s="219" t="str">
        <f>IFERROR(IF(BX34=0,"",COUNTIF(BX$4:BX$600,"&gt;"&amp;BX34)+COUNTIF(BX$4:BX34,BX34)),"")</f>
        <v/>
      </c>
      <c r="BV34" s="42" t="str">
        <f t="shared" si="6"/>
        <v>AMOXIVAL 20 % POUDRE ORALE VOLAILLE</v>
      </c>
      <c r="BW34" t="e">
        <f>IF(IF(CE$2="Catégorie",IF(CE$3="Toutes",SUMIFS('Étape 1 - à remplir'!$F$31:$F$400,'Étape 1 - à remplir'!$E$31:$E$400,MASQ2!BV34,'Étape 1 - à remplir'!$G$31:$G$400,"lots"),SUMIFS('Étape 1 - à remplir'!$F$31:$F$400,'Étape 1 - à remplir'!$E$31:$E$400,MASQ2!BV34,'Étape 1 - à remplir'!$C$31:$C$400,CE$3)),IF(CE$2="Âge",IF(CE$3="Tous",SUMIFS('Étape 1 - à remplir'!$F$31:$F$400,'Étape 1 - à remplir'!$E$31:$E$400,MASQ2!BV34,'Étape 1 - à remplir'!$G$31:$G$400,"lots"),SUMIFS('Étape 1 - à remplir'!$F$31:$F$400,'Étape 1 - à remplir'!$E$31:$E$400,MASQ2!BV34,'Étape 1 - à remplir'!$P$31:$P$400,CE$3,'Étape 1 - à remplir'!$G$31:$G$400,"lots")),IF(CE$2="Atelier",IF(CE$3="Tous",SUMIFS('Étape 1 - à remplir'!$F$31:$F$400,'Étape 1 - à remplir'!$E$31:$E$400,MASQ2!BV34,'Étape 1 - à remplir'!$G$31:$G$400,"lots"),SUMIFS('Étape 1 - à remplir'!$F$31:$F$400,'Étape 1 - à remplir'!$E$31:$E$400,MASQ2!BV34,'Étape 1 - à remplir'!$O$31:$O$400,CE$3,'Étape 1 - à remplir'!$G$31:$G$400,"lots")),IF(CE$2="Espèce",IF(CE$3="Toutes",SUMIFS('Étape 1 - à remplir'!$F$31:$F$400,'Étape 1 - à remplir'!$E$31:$E$400,MASQ2!BV34,'Étape 1 - à remplir'!$G$31:$G$400,"lots"),SUMIFS('Étape 1 - à remplir'!$F$31:$F$400,'Étape 1 - à remplir'!$E$31:$E$400,MASQ2!BV34,'Étape 1 - à remplir'!$N$31:$N$400,CE$3,'Étape 1 - à remplir'!$G$31:$G$400,"lots"))))))=0,NA(),IF(CE$2="Catégorie",IF(CE$3="Toutes",SUMIFS('Étape 1 - à remplir'!$F$31:$F$400,'Étape 1 - à remplir'!$E$31:$E$400,MASQ2!BV34,'Étape 1 - à remplir'!$G$31:$G$400,"lots"),SUMIFS('Étape 1 - à remplir'!$F$31:$F$400,'Étape 1 - à remplir'!$E$31:$E$400,MASQ2!BV34,'Étape 1 - à remplir'!$C$31:$C$400,CE$3)),IF(CE$2="Âge",IF(CE$3="Tous",SUMIFS('Étape 1 - à remplir'!$F$31:$F$400,'Étape 1 - à remplir'!$E$31:$E$400,MASQ2!BV34,'Étape 1 - à remplir'!$G$31:$G$400,"lots"),SUMIFS('Étape 1 - à remplir'!$F$31:$F$400,'Étape 1 - à remplir'!$E$31:$E$400,MASQ2!BV34,'Étape 1 - à remplir'!$P$31:$P$400,CE$3,'Étape 1 - à remplir'!$G$31:$G$400,"lots")),IF(CE$2="Atelier",IF(CE$3="Tous",SUMIFS('Étape 1 - à remplir'!$F$31:$F$400,'Étape 1 - à remplir'!$E$31:$E$400,MASQ2!BV34,'Étape 1 - à remplir'!$G$31:$G$400,"lots"),SUMIFS('Étape 1 - à remplir'!$F$31:$F$400,'Étape 1 - à remplir'!$E$31:$E$400,MASQ2!BV34,'Étape 1 - à remplir'!$O$31:$O$400,CE$3,'Étape 1 - à remplir'!$G$31:$G$400,"lots")),IF(CE$2="Espèce",IF(CE$3="Toutes",SUMIFS('Étape 1 - à remplir'!$F$31:$F$400,'Étape 1 - à remplir'!$E$31:$E$400,MASQ2!BV34,'Étape 1 - à remplir'!$G$31:$G$400,"lots"),SUMIFS('Étape 1 - à remplir'!$F$31:$F$400,'Étape 1 - à remplir'!$E$31:$E$400,MASQ2!BV34,'Étape 1 - à remplir'!$N$31:$N$400,CE$3,'Étape 1 - à remplir'!$G$31:$G$400,"lots")))))))</f>
        <v>#N/A</v>
      </c>
      <c r="BX34">
        <f t="shared" si="42"/>
        <v>0</v>
      </c>
      <c r="BY34" t="str">
        <f t="shared" si="7"/>
        <v>Amoxicilline</v>
      </c>
      <c r="BZ34" t="str">
        <f t="shared" si="8"/>
        <v/>
      </c>
      <c r="CA34" t="str">
        <f t="shared" si="9"/>
        <v/>
      </c>
      <c r="CB34" t="str">
        <f t="shared" si="10"/>
        <v>Penicillines</v>
      </c>
      <c r="CC34" t="str">
        <f t="shared" si="11"/>
        <v/>
      </c>
      <c r="CD34" s="63" t="str">
        <f t="shared" si="12"/>
        <v/>
      </c>
      <c r="CG34" s="42">
        <v>31</v>
      </c>
      <c r="CH34" s="42" t="e">
        <f t="shared" si="80"/>
        <v>#N/A</v>
      </c>
      <c r="CI34" s="63" t="e">
        <f t="shared" si="81"/>
        <v>#N/A</v>
      </c>
      <c r="CK34" s="194" t="str">
        <f t="shared" si="13"/>
        <v/>
      </c>
      <c r="CL34" s="226" t="str">
        <f>IFERROR(IF(CN34=0,"",COUNTIF(CN$4:CN$64,"&gt;"&amp;CN34)+COUNTIF(CN$4:CN34,CN34)),"")</f>
        <v/>
      </c>
      <c r="CM34" t="str">
        <f t="shared" si="14"/>
        <v>Monensin</v>
      </c>
      <c r="CN34" s="76" t="e">
        <f t="shared" si="45"/>
        <v>#N/A</v>
      </c>
      <c r="CO34">
        <v>31</v>
      </c>
      <c r="CP34" t="e">
        <f t="shared" si="46"/>
        <v>#N/A</v>
      </c>
      <c r="CQ34" s="63" t="e">
        <f t="shared" si="47"/>
        <v>#N/A</v>
      </c>
      <c r="CT34" s="194" t="str">
        <f>IFERROR(IF(CV34=0,"",COUNTIF(CV$32:CV$38,"&gt;"&amp;CV34)+COUNTIF(CV$32:CV34,CV34)),"")</f>
        <v/>
      </c>
      <c r="CU34" t="str">
        <f t="shared" si="96"/>
        <v>Voie externe</v>
      </c>
      <c r="CV34" s="76" t="e">
        <f>IF(IF(CE$2="Catégorie",IF(CE$3="Toutes",SUMIFS('Étape 1 - à remplir'!$F$31:$F$400,'Étape 1 - à remplir'!$H$31:$H$400,MASQ2!CU34,'Étape 1 - à remplir'!$G$31:$G$400,"lots"),SUMIFS('Étape 1 - à remplir'!$F$31:$F$400,'Étape 1 - à remplir'!$H$31:$H$400,MASQ2!CU34,'Étape 1 - à remplir'!$C$31:$C$400,CE$3,'Étape 1 - à remplir'!$G$31:$G$400,"lots")),IF(CE$2="Âge",IF(CE$3="Tous",SUMIFS('Étape 1 - à remplir'!$F$31:$F$400,'Étape 1 - à remplir'!$H$31:$H$400,MASQ2!CU34,'Étape 1 - à remplir'!$G$31:$G$400,"lots"),SUMIFS('Étape 1 - à remplir'!$F$31:$F$400,'Étape 1 - à remplir'!$H$31:$H$400,MASQ2!CU34,'Étape 1 - à remplir'!$P$31:$P$400,CE$3,'Étape 1 - à remplir'!$G$31:$G$400,"lots")),IF(CE$2="Atelier",IF(CE$3="Tous",SUMIFS('Étape 1 - à remplir'!$F$31:$F$400,'Étape 1 - à remplir'!$H$31:$H$400,MASQ2!CU34,'Étape 1 - à remplir'!$G$31:$G$400,"lots"),SUMIFS('Étape 1 - à remplir'!$F$31:$F$400,'Étape 1 - à remplir'!$H$31:$H$400,MASQ2!CU34,'Étape 1 - à remplir'!$O$31:$O$400,CE$3,'Étape 1 - à remplir'!$G$31:$G$400,"lots")),IF(CE$2="Espèce",IF(CE$3="Toutes",SUMIFS('Étape 1 - à remplir'!$F$31:$F$400,'Étape 1 - à remplir'!$H$31:$H$400,MASQ2!CU34,'Étape 1 - à remplir'!$G$31:$G$400,"lots"),SUMIFS('Étape 1 - à remplir'!$F$31:$F$400,'Étape 1 - à remplir'!$H$31:$H$400,MASQ2!CU34,'Étape 1 - à remplir'!$N$31:$N$400,CE$3,'Étape 1 - à remplir'!$G$31:$G$400,"lots"))))))=0,NA(),IF(CE$2="Catégorie",IF(CE$3="Toutes",SUMIFS('Étape 1 - à remplir'!$F$31:$F$400,'Étape 1 - à remplir'!$H$31:$H$400,MASQ2!CU34,'Étape 1 - à remplir'!$G$31:$G$400,"lots"),SUMIFS('Étape 1 - à remplir'!$F$31:$F$400,'Étape 1 - à remplir'!$H$31:$H$400,MASQ2!CU34,'Étape 1 - à remplir'!$C$31:$C$400,CE$3,'Étape 1 - à remplir'!$G$31:$G$400,"lots")),IF(CE$2="Âge",IF(CE$3="Tous",SUMIFS('Étape 1 - à remplir'!$F$31:$F$400,'Étape 1 - à remplir'!$H$31:$H$400,MASQ2!CU34,'Étape 1 - à remplir'!$G$31:$G$400,"lots"),SUMIFS('Étape 1 - à remplir'!$F$31:$F$400,'Étape 1 - à remplir'!$H$31:$H$400,MASQ2!CU34,'Étape 1 - à remplir'!$P$31:$P$400,CE$3,'Étape 1 - à remplir'!$G$31:$G$400,"lots")),IF(CE$2="Atelier",IF(CE$3="Tous",SUMIFS('Étape 1 - à remplir'!$F$31:$F$400,'Étape 1 - à remplir'!$H$31:$H$400,MASQ2!CU34,'Étape 1 - à remplir'!$G$31:$G$400,"lots"),SUMIFS('Étape 1 - à remplir'!$F$31:$F$400,'Étape 1 - à remplir'!$H$31:$H$400,MASQ2!CU34,'Étape 1 - à remplir'!$O$31:$O$400,CE$3,'Étape 1 - à remplir'!$G$31:$G$400,"lots")),IF(CE$2="Espèce",IF(CE$3="Toutes",SUMIFS('Étape 1 - à remplir'!$F$31:$F$400,'Étape 1 - à remplir'!$H$31:$H$400,MASQ2!CU34,'Étape 1 - à remplir'!$G$31:$G$400,"lots"),SUMIFS('Étape 1 - à remplir'!$F$31:$F$400,'Étape 1 - à remplir'!$H$31:$H$400,MASQ2!CU34,'Étape 1 - à remplir'!$N$31:$N$400,CE$3,'Étape 1 - à remplir'!$G$31:$G$400,"lots")))))))</f>
        <v>#N/A</v>
      </c>
      <c r="CW34">
        <v>3</v>
      </c>
      <c r="CX34" t="e">
        <f t="shared" si="103"/>
        <v>#N/A</v>
      </c>
      <c r="CY34" s="63" t="e">
        <f t="shared" si="104"/>
        <v>#N/A</v>
      </c>
      <c r="DA34" s="42">
        <v>3</v>
      </c>
      <c r="DB34" s="118" t="str">
        <f t="shared" si="105"/>
        <v/>
      </c>
      <c r="DC34" t="str">
        <f t="shared" si="106"/>
        <v/>
      </c>
      <c r="DD34" t="str">
        <f t="shared" si="107"/>
        <v/>
      </c>
      <c r="DE34" s="63" t="str">
        <f t="shared" si="108"/>
        <v/>
      </c>
      <c r="DI34" s="122" t="str">
        <f>IFERROR(IF(DJ34="","",COUNTIF(DJ$32:DJ$41,"&lt;"&amp;DJ34)+COUNTIF(DJ$32:DJ34,DJ34))-COUNTBLANK(DJ$32:DJ$41),"")</f>
        <v/>
      </c>
      <c r="DJ34" s="109" t="str">
        <f>IF('Étape 1 - à remplir'!G21="lots",'Étape 1 - à remplir'!C21,"")</f>
        <v/>
      </c>
      <c r="DK34" s="109" t="e">
        <f>INDEX(DI$32:DJ$41,MATCH(3,DI$32:DI$41,0),2)</f>
        <v>#N/A</v>
      </c>
      <c r="DL34" s="109" t="e">
        <f t="shared" ref="DL34:DL41" si="116">IF(DK34=DK33,"",DK34)</f>
        <v>#N/A</v>
      </c>
      <c r="DM34" s="123" t="e">
        <f>IF(DL34="","",MAX(DM$31:DM33)+1)</f>
        <v>#N/A</v>
      </c>
      <c r="EA34" s="194" t="str">
        <f t="shared" ca="1" si="18"/>
        <v/>
      </c>
      <c r="EB34" s="226" t="str">
        <f>IFERROR(IF(ED34=0,"",COUNTIF(ED$4:ED$600,"&gt;"&amp;ED34)+COUNTIF(ED$4:ED34,ED34)),"")</f>
        <v/>
      </c>
      <c r="EC34" t="str">
        <f t="shared" si="19"/>
        <v>AMOXIVAL 20 % POUDRE ORALE VOLAILLE</v>
      </c>
      <c r="ED34" t="e">
        <f>IF(IF(EL$2="Catégorie",IF(EL$3="Toutes",SUMIFS('Étape 1 - à remplir'!$F$31:$F$400,'Étape 1 - à remplir'!$E$31:$E$400,MASQ2!EC34,'Étape 1 - à remplir'!$G$31:$G$400,"kg"),SUMIFS('Étape 1 - à remplir'!$F$31:$F$400,'Étape 1 - à remplir'!$E$31:$E$400,MASQ2!EC34,'Étape 1 - à remplir'!$C$31:$C$400,EL$3)),IF(EL$2="Âge",IF(EL$3="Tous",SUMIFS('Étape 1 - à remplir'!$F$31:$F$400,'Étape 1 - à remplir'!$E$31:$E$400,MASQ2!EC34,'Étape 1 - à remplir'!$G$31:$G$400,"kg"),SUMIFS('Étape 1 - à remplir'!$F$31:$F$400,'Étape 1 - à remplir'!$E$31:$E$400,MASQ2!EC34,'Étape 1 - à remplir'!$P$31:$P$400,EL$3,'Étape 1 - à remplir'!$G$31:$G$400,"kg")),IF(EL$2="Atelier",IF(EL$3="Tous",SUMIFS('Étape 1 - à remplir'!$F$31:$F$400,'Étape 1 - à remplir'!$E$31:$E$400,MASQ2!EC34,'Étape 1 - à remplir'!$G$31:$G$400,"kg"),SUMIFS('Étape 1 - à remplir'!$F$31:$F$400,'Étape 1 - à remplir'!$E$31:$E$400,MASQ2!EC34,'Étape 1 - à remplir'!$O$31:$O$400,EL$3,'Étape 1 - à remplir'!$G$31:$G$400,"kg")),IF(EL$2="Espèce",IF(EL$3="Toutes",SUMIFS('Étape 1 - à remplir'!$F$31:$F$400,'Étape 1 - à remplir'!$E$31:$E$400,MASQ2!EC34,'Étape 1 - à remplir'!$G$31:$G$400,"kg"),SUMIFS('Étape 1 - à remplir'!$F$31:$F$400,'Étape 1 - à remplir'!$E$31:$E$400,MASQ2!EC34,'Étape 1 - à remplir'!$N$31:$N$400,EL$3,'Étape 1 - à remplir'!$G$31:$G$400,"kg"))))))=0,NA(),IF(EL$2="Catégorie",IF(EL$3="Toutes",SUMIFS('Étape 1 - à remplir'!$F$31:$F$400,'Étape 1 - à remplir'!$E$31:$E$400,MASQ2!EC34,'Étape 1 - à remplir'!$G$31:$G$400,"kg"),SUMIFS('Étape 1 - à remplir'!$F$31:$F$400,'Étape 1 - à remplir'!$E$31:$E$400,MASQ2!EC34,'Étape 1 - à remplir'!$C$31:$C$400,EL$3)),IF(EL$2="Âge",IF(EL$3="Tous",SUMIFS('Étape 1 - à remplir'!$F$31:$F$400,'Étape 1 - à remplir'!$E$31:$E$400,MASQ2!EC34,'Étape 1 - à remplir'!$G$31:$G$400,"kg"),SUMIFS('Étape 1 - à remplir'!$F$31:$F$400,'Étape 1 - à remplir'!$E$31:$E$400,MASQ2!EC34,'Étape 1 - à remplir'!$P$31:$P$400,EL$3,'Étape 1 - à remplir'!$G$31:$G$400,"kg")),IF(EL$2="Atelier",IF(EL$3="Tous",SUMIFS('Étape 1 - à remplir'!$F$31:$F$400,'Étape 1 - à remplir'!$E$31:$E$400,MASQ2!EC34,'Étape 1 - à remplir'!$G$31:$G$400,"kg"),SUMIFS('Étape 1 - à remplir'!$F$31:$F$400,'Étape 1 - à remplir'!$E$31:$E$400,MASQ2!EC34,'Étape 1 - à remplir'!$O$31:$O$400,EL$3,'Étape 1 - à remplir'!$G$31:$G$400,"kg")),IF(EL$2="Espèce",IF(EL$3="Toutes",SUMIFS('Étape 1 - à remplir'!$F$31:$F$400,'Étape 1 - à remplir'!$E$31:$E$400,MASQ2!EC34,'Étape 1 - à remplir'!$G$31:$G$400,"kg"),SUMIFS('Étape 1 - à remplir'!$F$31:$F$400,'Étape 1 - à remplir'!$E$31:$E$400,MASQ2!EC34,'Étape 1 - à remplir'!$N$31:$N$400,EL$3,'Étape 1 - à remplir'!$G$31:$G$400,"kg")))))))</f>
        <v>#N/A</v>
      </c>
      <c r="EE34" s="76">
        <f t="shared" si="53"/>
        <v>0</v>
      </c>
      <c r="EF34" t="str">
        <f t="shared" si="20"/>
        <v>Amoxicilline</v>
      </c>
      <c r="EG34" t="str">
        <f t="shared" si="21"/>
        <v/>
      </c>
      <c r="EH34" t="str">
        <f t="shared" si="22"/>
        <v/>
      </c>
      <c r="EI34" t="str">
        <f t="shared" si="23"/>
        <v>Penicillines</v>
      </c>
      <c r="EJ34" t="str">
        <f t="shared" si="24"/>
        <v/>
      </c>
      <c r="EK34" s="63" t="str">
        <f t="shared" si="25"/>
        <v/>
      </c>
      <c r="EN34" s="42">
        <v>31</v>
      </c>
      <c r="EO34" t="e">
        <f t="shared" si="68"/>
        <v>#N/A</v>
      </c>
      <c r="EP34" s="63" t="e">
        <f t="shared" si="69"/>
        <v>#N/A</v>
      </c>
      <c r="ER34" s="194" t="str">
        <f t="shared" si="26"/>
        <v/>
      </c>
      <c r="ES34" s="226" t="str">
        <f>IFERROR(IF(EU34=0,"",COUNTIF(EU$4:EU$64,"&gt;"&amp;EU34)+COUNTIF(EU$4:EU34,EU34)),"")</f>
        <v/>
      </c>
      <c r="ET34" t="str">
        <f t="shared" si="27"/>
        <v>Monensin</v>
      </c>
      <c r="EU34" s="76" t="e">
        <f t="shared" si="56"/>
        <v>#N/A</v>
      </c>
      <c r="EV34">
        <v>31</v>
      </c>
      <c r="EW34" t="e">
        <f t="shared" si="57"/>
        <v>#N/A</v>
      </c>
      <c r="EX34" s="63" t="e">
        <f t="shared" si="58"/>
        <v>#N/A</v>
      </c>
      <c r="FA34" s="194" t="str">
        <f>IFERROR(IF(FC34=0,"",COUNTIF(FC$32:FC$38,"&gt;"&amp;FC34)+COUNTIF(FC$32:FC34,FC34)),"")</f>
        <v/>
      </c>
      <c r="FB34" t="str">
        <f t="shared" si="97"/>
        <v>Voie externe</v>
      </c>
      <c r="FC34" s="76" t="e">
        <f>IF(IF(EL$2="Catégorie",IF(EL$3="Toutes",SUMIFS('Étape 1 - à remplir'!$F$31:$F$400,'Étape 1 - à remplir'!$H$31:$H$400,MASQ2!FB34,'Étape 1 - à remplir'!$G$31:$G$400,"kg"),SUMIFS('Étape 1 - à remplir'!$F$31:$F$400,'Étape 1 - à remplir'!$H$31:$H$400,MASQ2!FB34,'Étape 1 - à remplir'!$C$31:$C$400,EL$3,'Étape 1 - à remplir'!$G$31:$G$400,"kg")),IF(EL$2="Âge",IF(EL$3="Tous",SUMIFS('Étape 1 - à remplir'!$F$31:$F$400,'Étape 1 - à remplir'!$H$31:$H$400,MASQ2!FB34,'Étape 1 - à remplir'!$G$31:$G$400,"kg"),SUMIFS('Étape 1 - à remplir'!$F$31:$F$400,'Étape 1 - à remplir'!$H$31:$H$400,MASQ2!FB34,'Étape 1 - à remplir'!$P$31:$P$400,EL$3,'Étape 1 - à remplir'!$G$31:$G$400,"kg")),IF(EL$2="Atelier",IF(EL$3="Tous",SUMIFS('Étape 1 - à remplir'!$F$31:$F$400,'Étape 1 - à remplir'!$H$31:$H$400,MASQ2!FB34,'Étape 1 - à remplir'!$G$31:$G$400,"kg"),SUMIFS('Étape 1 - à remplir'!$F$31:$F$400,'Étape 1 - à remplir'!$H$31:$H$400,MASQ2!FB34,'Étape 1 - à remplir'!$O$31:$O$400,EL$3,'Étape 1 - à remplir'!$G$31:$G$400,"kg")),IF(EL$2="Espèce",IF(EL$3="Toutes",SUMIFS('Étape 1 - à remplir'!$F$31:$F$400,'Étape 1 - à remplir'!$H$31:$H$400,MASQ2!FB34,'Étape 1 - à remplir'!$G$31:$G$400,"kg"),SUMIFS('Étape 1 - à remplir'!$F$31:$F$400,'Étape 1 - à remplir'!$H$31:$H$400,MASQ2!FB34,'Étape 1 - à remplir'!$N$31:$N$400,EL$3,'Étape 1 - à remplir'!$G$31:$G$400,"kg"))))))=0,NA(),IF(EL$2="Catégorie",IF(EL$3="Toutes",SUMIFS('Étape 1 - à remplir'!$F$31:$F$400,'Étape 1 - à remplir'!$H$31:$H$400,MASQ2!FB34,'Étape 1 - à remplir'!$G$31:$G$400,"kg"),SUMIFS('Étape 1 - à remplir'!$F$31:$F$400,'Étape 1 - à remplir'!$H$31:$H$400,MASQ2!FB34,'Étape 1 - à remplir'!$C$31:$C$400,EL$3,'Étape 1 - à remplir'!$G$31:$G$400,"kg")),IF(EL$2="Âge",IF(EL$3="Tous",SUMIFS('Étape 1 - à remplir'!$F$31:$F$400,'Étape 1 - à remplir'!$H$31:$H$400,MASQ2!FB34,'Étape 1 - à remplir'!$G$31:$G$400,"kg"),SUMIFS('Étape 1 - à remplir'!$F$31:$F$400,'Étape 1 - à remplir'!$H$31:$H$400,MASQ2!FB34,'Étape 1 - à remplir'!$P$31:$P$400,EL$3,'Étape 1 - à remplir'!$G$31:$G$400,"kg")),IF(EL$2="Atelier",IF(EL$3="Tous",SUMIFS('Étape 1 - à remplir'!$F$31:$F$400,'Étape 1 - à remplir'!$H$31:$H$400,MASQ2!FB34,'Étape 1 - à remplir'!$G$31:$G$400,"kg"),SUMIFS('Étape 1 - à remplir'!$F$31:$F$400,'Étape 1 - à remplir'!$H$31:$H$400,MASQ2!FB34,'Étape 1 - à remplir'!$O$31:$O$400,EL$3,'Étape 1 - à remplir'!$G$31:$G$400,"kg")),IF(EL$2="Espèce",IF(EL$3="Toutes",SUMIFS('Étape 1 - à remplir'!$F$31:$F$400,'Étape 1 - à remplir'!$H$31:$H$400,MASQ2!FB34,'Étape 1 - à remplir'!$G$31:$G$400,"kg"),SUMIFS('Étape 1 - à remplir'!$F$31:$F$400,'Étape 1 - à remplir'!$H$31:$H$400,MASQ2!FB34,'Étape 1 - à remplir'!$N$31:$N$400,EL$3,'Étape 1 - à remplir'!$G$31:$G$400,"kg")))))))</f>
        <v>#N/A</v>
      </c>
      <c r="FD34">
        <v>3</v>
      </c>
      <c r="FE34" t="e">
        <f t="shared" si="109"/>
        <v>#N/A</v>
      </c>
      <c r="FF34" s="63" t="e">
        <f t="shared" si="110"/>
        <v>#N/A</v>
      </c>
      <c r="FH34" s="42">
        <v>3</v>
      </c>
      <c r="FI34" s="118" t="str">
        <f t="shared" si="111"/>
        <v/>
      </c>
      <c r="FJ34" t="str">
        <f t="shared" si="112"/>
        <v/>
      </c>
      <c r="FK34" t="str">
        <f t="shared" si="113"/>
        <v/>
      </c>
      <c r="FL34" s="63" t="str">
        <f t="shared" si="114"/>
        <v/>
      </c>
      <c r="FM34" s="42"/>
      <c r="FP34" s="122" t="str">
        <f>IFERROR(IF(FQ34="","",COUNTIF(FQ$32:FQ$41,"&lt;"&amp;FQ34)+COUNTIF(FQ$32:FQ34,FQ34))-COUNTBLANK(FQ$32:FQ$41),"")</f>
        <v/>
      </c>
      <c r="FQ34" s="109" t="str">
        <f>IF('Étape 1 - à remplir'!G21="kg",'Étape 1 - à remplir'!C21,"")</f>
        <v/>
      </c>
      <c r="FR34" s="109" t="e">
        <f>INDEX(FP$32:FQ$41,MATCH(3,FP$32:FP$41,0),2)</f>
        <v>#N/A</v>
      </c>
      <c r="FS34" s="109" t="e">
        <f t="shared" ref="FS34:FS41" si="117">IF(FR34=FR33,"",FR34)</f>
        <v>#N/A</v>
      </c>
      <c r="FT34" s="123" t="e">
        <f>IF(FS34="","",MAX(FT$31:FT33)+1)</f>
        <v>#N/A</v>
      </c>
    </row>
    <row r="35" spans="2:176" x14ac:dyDescent="0.3">
      <c r="B35" s="42"/>
      <c r="M35" s="194" t="str">
        <f ca="1">INDEX(Données_ATB!BD:BU,MATCH(MASQ2!O35,Données_ATB!BD:BD,0),18)</f>
        <v/>
      </c>
      <c r="N35" s="14" t="str">
        <f>IFERROR(IF(Q35=0,"",COUNTIF(Q$4:Q$600,"&gt;"&amp;Q35)+COUNTIF(Q$4:Q35,Q35)),"")</f>
        <v/>
      </c>
      <c r="O35" t="str">
        <f>Données_ATB!BD34</f>
        <v>AMOXIVAL AMOXICILLINE 40 PREMELANGE MEDICAMENTEUX VOLAILLES</v>
      </c>
      <c r="P35" t="e">
        <f>IF(IF(X$2="Catégorie",IF(X$3="Toutes",SUMIFS('Étape 1 - à remplir'!$F$31:$F$400,'Étape 1 - à remplir'!$E$31:$E$400,MASQ2!O35,'Étape 1 - à remplir'!$G$31:$G$400,"animaux"),SUMIFS('Étape 1 - à remplir'!$F$31:$F$400,'Étape 1 - à remplir'!$E$31:$E$400,MASQ2!O35,'Étape 1 - à remplir'!$C$31:$C$400,X$3)),IF(X$2="Âge",IF(X$3="Tous",SUMIFS('Étape 1 - à remplir'!$F$31:$F$400,'Étape 1 - à remplir'!$E$31:$E$400,MASQ2!O35,'Étape 1 - à remplir'!$G$31:$G$400,"animaux"),SUMIFS('Étape 1 - à remplir'!$F$31:$F$400,'Étape 1 - à remplir'!$E$31:$E$400,MASQ2!O35,'Étape 1 - à remplir'!$P$31:$P$400,X$3)),IF(X$2="Atelier",IF(X$3="Tous",SUMIFS('Étape 1 - à remplir'!$F$31:$F$400,'Étape 1 - à remplir'!$E$31:$E$400,MASQ2!O35,'Étape 1 - à remplir'!$G$31:$G$400,"animaux"),SUMIFS('Étape 1 - à remplir'!$F$31:$F$400,'Étape 1 - à remplir'!$E$31:$E$400,MASQ2!O35,'Étape 1 - à remplir'!$O$31:$O$400,X$3)),IF(X$2="Espèce",IF(X$3="Toutes",SUMIFS('Étape 1 - à remplir'!$F$31:$F$400,'Étape 1 - à remplir'!$E$31:$E$400,MASQ2!O35,'Étape 1 - à remplir'!$G$31:$G$400,"animaux"),SUMIFS('Étape 1 - à remplir'!$F$31:$F$400,'Étape 1 - à remplir'!$E$31:$E$400,MASQ2!O35,'Étape 1 - à remplir'!$N$31:$N$400,X$3))))))=0,NA(),IF(X$2="Catégorie",IF(X$3="Toutes",SUMIFS('Étape 1 - à remplir'!$F$31:$F$400,'Étape 1 - à remplir'!$E$31:$E$400,MASQ2!O35,'Étape 1 - à remplir'!$G$31:$G$400,"animaux"),SUMIFS('Étape 1 - à remplir'!$F$31:$F$400,'Étape 1 - à remplir'!$E$31:$E$400,MASQ2!O35,'Étape 1 - à remplir'!$C$31:$C$400,X$3)),IF(X$2="Âge",IF(X$3="Tous",SUMIFS('Étape 1 - à remplir'!$F$31:$F$400,'Étape 1 - à remplir'!$E$31:$E$400,MASQ2!O35,'Étape 1 - à remplir'!$G$31:$G$400,"animaux"),SUMIFS('Étape 1 - à remplir'!$F$31:$F$400,'Étape 1 - à remplir'!$E$31:$E$400,MASQ2!O35,'Étape 1 - à remplir'!$P$31:$P$400,X$3)),IF(X$2="Atelier",IF(X$3="Tous",SUMIFS('Étape 1 - à remplir'!$F$31:$F$400,'Étape 1 - à remplir'!$E$31:$E$400,MASQ2!O35,'Étape 1 - à remplir'!$G$31:$G$400,"animaux"),SUMIFS('Étape 1 - à remplir'!$F$31:$F$400,'Étape 1 - à remplir'!$E$31:$E$400,MASQ2!O35,'Étape 1 - à remplir'!$O$31:$O$400,X$3)),IF(X$2="Espèce",IF(X$3="Toutes",SUMIFS('Étape 1 - à remplir'!$F$31:$F$400,'Étape 1 - à remplir'!$E$31:$E$400,MASQ2!O35,'Étape 1 - à remplir'!$G$31:$G$400,"animaux"),SUMIFS('Étape 1 - à remplir'!$F$31:$F$400,'Étape 1 - à remplir'!$E$31:$E$400,MASQ2!O35,'Étape 1 - à remplir'!$N$31:$N$400,X$3)))))))</f>
        <v>#N/A</v>
      </c>
      <c r="Q35" s="63">
        <f t="shared" si="62"/>
        <v>0</v>
      </c>
      <c r="R35" t="str">
        <f>Données_ATB!BM34</f>
        <v>Amoxicilline</v>
      </c>
      <c r="S35" t="str">
        <f>Données_ATB!BN34</f>
        <v/>
      </c>
      <c r="T35" s="63" t="str">
        <f>Données_ATB!BO34</f>
        <v/>
      </c>
      <c r="U35" s="42" t="str">
        <f>Données_ATB!BQ34</f>
        <v>Penicillines</v>
      </c>
      <c r="V35" t="str">
        <f>Données_ATB!BR34</f>
        <v/>
      </c>
      <c r="W35" s="63" t="str">
        <f>Données_ATB!BS34</f>
        <v/>
      </c>
      <c r="Z35" s="42">
        <v>32</v>
      </c>
      <c r="AA35" t="e">
        <f t="shared" si="32"/>
        <v>#N/A</v>
      </c>
      <c r="AB35" s="63" t="e">
        <f t="shared" si="33"/>
        <v>#N/A</v>
      </c>
      <c r="AD35" s="194" t="str">
        <f>IF(AF35="Colistine","x",IF(INDEX(Données_ATB!CA$3:CB$63,MATCH(AF35,Données_ATB!CA$3:CA$63,0),2)="Fluoroquinolones","x",IF(INDEX(Données_ATB!CA$3:CB$63,MATCH(AF35,Données_ATB!CA$3:CA$63,0),2)="Cephalosporines 3&amp;4G","x","")))</f>
        <v/>
      </c>
      <c r="AE35" s="219" t="str">
        <f>IFERROR(IF(AG35=0,"",COUNTIF(AG$4:AG$64,"&gt;"&amp;AG35)+COUNTIF(AG$4:AG35,AG35)),"")</f>
        <v/>
      </c>
      <c r="AF35" s="42" t="str">
        <f>Données_ATB!CA34</f>
        <v>Nafcilline</v>
      </c>
      <c r="AG35" s="63" t="e">
        <f t="shared" si="34"/>
        <v>#N/A</v>
      </c>
      <c r="AH35" s="42">
        <v>32</v>
      </c>
      <c r="AI35" t="e">
        <f t="shared" si="35"/>
        <v>#N/A</v>
      </c>
      <c r="AJ35" s="63" t="e">
        <f t="shared" si="36"/>
        <v>#N/A</v>
      </c>
      <c r="AM35" s="194" t="str">
        <f>IFERROR(IF(AO35=0,"",COUNTIF(AO$32:AO$38,"&gt;"&amp;AO35)+COUNTIF(AO$32:AO35,AO35)),"")</f>
        <v/>
      </c>
      <c r="AN35" t="str">
        <f>Données_ATB!CE6</f>
        <v>Voie intramammaire</v>
      </c>
      <c r="AO35" s="76" t="e">
        <f>IF(IF(X$2="Catégorie",IF(X$3="Toutes",SUMIFS('Étape 1 - à remplir'!F$31:F$400,'Étape 1 - à remplir'!H$31:H$400,MASQ2!AN35,'Étape 1 - à remplir'!G$31:G$400,"animaux"),SUMIFS('Étape 1 - à remplir'!F$31:F$400,'Étape 1 - à remplir'!H$31:H$400,MASQ2!AN35,'Étape 1 - à remplir'!C$31:C$400,X$3)),IF(X$2="Âge",IF(X$3="Tous",SUMIFS('Étape 1 - à remplir'!F$31:F$400,'Étape 1 - à remplir'!H$31:H$400,MASQ2!AN35,'Étape 1 - à remplir'!G$31:G$400,"animaux"),SUMIFS('Étape 1 - à remplir'!F$31:F$400,'Étape 1 - à remplir'!H$31:H$400,MASQ2!AN35,'Étape 1 - à remplir'!P$31:P$400,X$3)),IF(X$2="Atelier",IF(X$3="Tous",SUMIFS('Étape 1 - à remplir'!F$31:F$400,'Étape 1 - à remplir'!H$31:H$400,MASQ2!AN35,'Étape 1 - à remplir'!G$31:G$400,"animaux"),SUMIFS('Étape 1 - à remplir'!F$31:F$400,'Étape 1 - à remplir'!H$31:H$400,MASQ2!AN35,'Étape 1 - à remplir'!O$31:O$400,X$3)),IF(X$2="Espèce",IF(X$3="Toutes",SUMIFS('Étape 1 - à remplir'!F$31:F$400,'Étape 1 - à remplir'!H$31:H$400,MASQ2!AN35,'Étape 1 - à remplir'!G$31:G$400,"animaux"),SUMIFS('Étape 1 - à remplir'!F$31:F$400,'Étape 1 - à remplir'!H$31:H$400,MASQ2!AN35,'Étape 1 - à remplir'!N$31:N$400,X$3))))))=0,NA(),IF(X$2="Catégorie",IF(X$3="Toutes",SUMIFS('Étape 1 - à remplir'!F$31:F$400,'Étape 1 - à remplir'!H$31:H$400,MASQ2!AN35,'Étape 1 - à remplir'!G$31:G$400,"animaux"),SUMIFS('Étape 1 - à remplir'!F$31:F$400,'Étape 1 - à remplir'!H$31:H$400,MASQ2!AN35,'Étape 1 - à remplir'!C$31:C$400,X$3)),IF(X$2="Âge",IF(X$3="Tous",SUMIFS('Étape 1 - à remplir'!F$31:F$400,'Étape 1 - à remplir'!H$31:H$400,MASQ2!AN35,'Étape 1 - à remplir'!G$31:G$400,"animaux"),SUMIFS('Étape 1 - à remplir'!F$31:F$400,'Étape 1 - à remplir'!H$31:H$400,MASQ2!AN35,'Étape 1 - à remplir'!P$31:P$400,X$3)),IF(X$2="Atelier",IF(X$3="Tous",SUMIFS('Étape 1 - à remplir'!F$31:F$400,'Étape 1 - à remplir'!H$31:H$400,MASQ2!AN35,'Étape 1 - à remplir'!G$31:G$400,"animaux"),SUMIFS('Étape 1 - à remplir'!F$31:F$400,'Étape 1 - à remplir'!H$31:H$400,MASQ2!AN35,'Étape 1 - à remplir'!O$31:O$400,X$3)),IF(X$2="Espèce",IF(X$3="Toutes",SUMIFS('Étape 1 - à remplir'!F$31:F$400,'Étape 1 - à remplir'!H$31:H$400,MASQ2!AN35,'Étape 1 - à remplir'!G$31:G$400,"animaux"),SUMIFS('Étape 1 - à remplir'!F$31:F$400,'Étape 1 - à remplir'!H$31:H$400,MASQ2!AN35,'Étape 1 - à remplir'!N$31:N$400,X$3)))))))</f>
        <v>#N/A</v>
      </c>
      <c r="AP35">
        <v>4</v>
      </c>
      <c r="AQ35" t="e">
        <f t="shared" si="98"/>
        <v>#N/A</v>
      </c>
      <c r="AR35" s="63" t="e">
        <f t="shared" si="99"/>
        <v>#N/A</v>
      </c>
      <c r="AT35" s="42">
        <v>4</v>
      </c>
      <c r="AU35" s="118" t="str">
        <f t="shared" si="100"/>
        <v/>
      </c>
      <c r="AV35" t="str">
        <f t="shared" si="101"/>
        <v/>
      </c>
      <c r="AW35" t="str">
        <f t="shared" si="102"/>
        <v/>
      </c>
      <c r="AX35" s="63" t="str">
        <f t="shared" si="95"/>
        <v/>
      </c>
      <c r="BB35" s="122" t="str">
        <f>IFERROR(IF(BC35="","",COUNTIF(BC$32:BC$41,"&lt;"&amp;BC35)+COUNTIF(BC$32:BC35,BC35))-COUNTBLANK(BC$32:BC$41),"")</f>
        <v/>
      </c>
      <c r="BC35" s="76" t="str">
        <f>IF('Étape 1 - à remplir'!G22="animaux",'Étape 1 - à remplir'!C22,"")</f>
        <v/>
      </c>
      <c r="BD35" t="e">
        <f>INDEX(BB$32:BC$41,MATCH(4,BB$32:BB$41,0),2)</f>
        <v>#N/A</v>
      </c>
      <c r="BE35" t="e">
        <f t="shared" si="115"/>
        <v>#N/A</v>
      </c>
      <c r="BF35" s="123" t="e">
        <f>IF(BE35="","",MAX(BF$31:BF34)+1)</f>
        <v>#N/A</v>
      </c>
      <c r="BT35" s="194" t="str">
        <f t="shared" ca="1" si="5"/>
        <v/>
      </c>
      <c r="BU35" s="219" t="str">
        <f>IFERROR(IF(BX35=0,"",COUNTIF(BX$4:BX$600,"&gt;"&amp;BX35)+COUNTIF(BX$4:BX35,BX35)),"")</f>
        <v/>
      </c>
      <c r="BV35" s="42" t="str">
        <f t="shared" si="6"/>
        <v>AMOXIVAL AMOXICILLINE 40 PREMELANGE MEDICAMENTEUX VOLAILLES</v>
      </c>
      <c r="BW35" t="e">
        <f>IF(IF(CE$2="Catégorie",IF(CE$3="Toutes",SUMIFS('Étape 1 - à remplir'!$F$31:$F$400,'Étape 1 - à remplir'!$E$31:$E$400,MASQ2!BV35,'Étape 1 - à remplir'!$G$31:$G$400,"lots"),SUMIFS('Étape 1 - à remplir'!$F$31:$F$400,'Étape 1 - à remplir'!$E$31:$E$400,MASQ2!BV35,'Étape 1 - à remplir'!$C$31:$C$400,CE$3)),IF(CE$2="Âge",IF(CE$3="Tous",SUMIFS('Étape 1 - à remplir'!$F$31:$F$400,'Étape 1 - à remplir'!$E$31:$E$400,MASQ2!BV35,'Étape 1 - à remplir'!$G$31:$G$400,"lots"),SUMIFS('Étape 1 - à remplir'!$F$31:$F$400,'Étape 1 - à remplir'!$E$31:$E$400,MASQ2!BV35,'Étape 1 - à remplir'!$P$31:$P$400,CE$3,'Étape 1 - à remplir'!$G$31:$G$400,"lots")),IF(CE$2="Atelier",IF(CE$3="Tous",SUMIFS('Étape 1 - à remplir'!$F$31:$F$400,'Étape 1 - à remplir'!$E$31:$E$400,MASQ2!BV35,'Étape 1 - à remplir'!$G$31:$G$400,"lots"),SUMIFS('Étape 1 - à remplir'!$F$31:$F$400,'Étape 1 - à remplir'!$E$31:$E$400,MASQ2!BV35,'Étape 1 - à remplir'!$O$31:$O$400,CE$3,'Étape 1 - à remplir'!$G$31:$G$400,"lots")),IF(CE$2="Espèce",IF(CE$3="Toutes",SUMIFS('Étape 1 - à remplir'!$F$31:$F$400,'Étape 1 - à remplir'!$E$31:$E$400,MASQ2!BV35,'Étape 1 - à remplir'!$G$31:$G$400,"lots"),SUMIFS('Étape 1 - à remplir'!$F$31:$F$400,'Étape 1 - à remplir'!$E$31:$E$400,MASQ2!BV35,'Étape 1 - à remplir'!$N$31:$N$400,CE$3,'Étape 1 - à remplir'!$G$31:$G$400,"lots"))))))=0,NA(),IF(CE$2="Catégorie",IF(CE$3="Toutes",SUMIFS('Étape 1 - à remplir'!$F$31:$F$400,'Étape 1 - à remplir'!$E$31:$E$400,MASQ2!BV35,'Étape 1 - à remplir'!$G$31:$G$400,"lots"),SUMIFS('Étape 1 - à remplir'!$F$31:$F$400,'Étape 1 - à remplir'!$E$31:$E$400,MASQ2!BV35,'Étape 1 - à remplir'!$C$31:$C$400,CE$3)),IF(CE$2="Âge",IF(CE$3="Tous",SUMIFS('Étape 1 - à remplir'!$F$31:$F$400,'Étape 1 - à remplir'!$E$31:$E$400,MASQ2!BV35,'Étape 1 - à remplir'!$G$31:$G$400,"lots"),SUMIFS('Étape 1 - à remplir'!$F$31:$F$400,'Étape 1 - à remplir'!$E$31:$E$400,MASQ2!BV35,'Étape 1 - à remplir'!$P$31:$P$400,CE$3,'Étape 1 - à remplir'!$G$31:$G$400,"lots")),IF(CE$2="Atelier",IF(CE$3="Tous",SUMIFS('Étape 1 - à remplir'!$F$31:$F$400,'Étape 1 - à remplir'!$E$31:$E$400,MASQ2!BV35,'Étape 1 - à remplir'!$G$31:$G$400,"lots"),SUMIFS('Étape 1 - à remplir'!$F$31:$F$400,'Étape 1 - à remplir'!$E$31:$E$400,MASQ2!BV35,'Étape 1 - à remplir'!$O$31:$O$400,CE$3,'Étape 1 - à remplir'!$G$31:$G$400,"lots")),IF(CE$2="Espèce",IF(CE$3="Toutes",SUMIFS('Étape 1 - à remplir'!$F$31:$F$400,'Étape 1 - à remplir'!$E$31:$E$400,MASQ2!BV35,'Étape 1 - à remplir'!$G$31:$G$400,"lots"),SUMIFS('Étape 1 - à remplir'!$F$31:$F$400,'Étape 1 - à remplir'!$E$31:$E$400,MASQ2!BV35,'Étape 1 - à remplir'!$N$31:$N$400,CE$3,'Étape 1 - à remplir'!$G$31:$G$400,"lots")))))))</f>
        <v>#N/A</v>
      </c>
      <c r="BX35">
        <f t="shared" si="42"/>
        <v>0</v>
      </c>
      <c r="BY35" t="str">
        <f t="shared" si="7"/>
        <v>Amoxicilline</v>
      </c>
      <c r="BZ35" t="str">
        <f t="shared" si="8"/>
        <v/>
      </c>
      <c r="CA35" t="str">
        <f t="shared" si="9"/>
        <v/>
      </c>
      <c r="CB35" t="str">
        <f t="shared" si="10"/>
        <v>Penicillines</v>
      </c>
      <c r="CC35" t="str">
        <f t="shared" si="11"/>
        <v/>
      </c>
      <c r="CD35" s="63" t="str">
        <f t="shared" si="12"/>
        <v/>
      </c>
      <c r="CG35" s="42">
        <v>32</v>
      </c>
      <c r="CH35" s="42" t="e">
        <f t="shared" si="80"/>
        <v>#N/A</v>
      </c>
      <c r="CI35" s="63" t="e">
        <f t="shared" si="81"/>
        <v>#N/A</v>
      </c>
      <c r="CK35" s="194" t="str">
        <f t="shared" si="13"/>
        <v/>
      </c>
      <c r="CL35" s="226" t="str">
        <f>IFERROR(IF(CN35=0,"",COUNTIF(CN$4:CN$64,"&gt;"&amp;CN35)+COUNTIF(CN$4:CN35,CN35)),"")</f>
        <v/>
      </c>
      <c r="CM35" t="str">
        <f t="shared" si="14"/>
        <v>Nafcilline</v>
      </c>
      <c r="CN35" s="76" t="e">
        <f t="shared" si="45"/>
        <v>#N/A</v>
      </c>
      <c r="CO35">
        <v>32</v>
      </c>
      <c r="CP35" t="e">
        <f t="shared" si="46"/>
        <v>#N/A</v>
      </c>
      <c r="CQ35" s="63" t="e">
        <f t="shared" si="47"/>
        <v>#N/A</v>
      </c>
      <c r="CT35" s="194" t="str">
        <f>IFERROR(IF(CV35=0,"",COUNTIF(CV$32:CV$38,"&gt;"&amp;CV35)+COUNTIF(CV$32:CV35,CV35)),"")</f>
        <v/>
      </c>
      <c r="CU35" t="str">
        <f t="shared" si="96"/>
        <v>Voie intramammaire</v>
      </c>
      <c r="CV35" s="76" t="e">
        <f>IF(IF(CE$2="Catégorie",IF(CE$3="Toutes",SUMIFS('Étape 1 - à remplir'!$F$31:$F$400,'Étape 1 - à remplir'!$H$31:$H$400,MASQ2!CU35,'Étape 1 - à remplir'!$G$31:$G$400,"lots"),SUMIFS('Étape 1 - à remplir'!$F$31:$F$400,'Étape 1 - à remplir'!$H$31:$H$400,MASQ2!CU35,'Étape 1 - à remplir'!$C$31:$C$400,CE$3,'Étape 1 - à remplir'!$G$31:$G$400,"lots")),IF(CE$2="Âge",IF(CE$3="Tous",SUMIFS('Étape 1 - à remplir'!$F$31:$F$400,'Étape 1 - à remplir'!$H$31:$H$400,MASQ2!CU35,'Étape 1 - à remplir'!$G$31:$G$400,"lots"),SUMIFS('Étape 1 - à remplir'!$F$31:$F$400,'Étape 1 - à remplir'!$H$31:$H$400,MASQ2!CU35,'Étape 1 - à remplir'!$P$31:$P$400,CE$3,'Étape 1 - à remplir'!$G$31:$G$400,"lots")),IF(CE$2="Atelier",IF(CE$3="Tous",SUMIFS('Étape 1 - à remplir'!$F$31:$F$400,'Étape 1 - à remplir'!$H$31:$H$400,MASQ2!CU35,'Étape 1 - à remplir'!$G$31:$G$400,"lots"),SUMIFS('Étape 1 - à remplir'!$F$31:$F$400,'Étape 1 - à remplir'!$H$31:$H$400,MASQ2!CU35,'Étape 1 - à remplir'!$O$31:$O$400,CE$3,'Étape 1 - à remplir'!$G$31:$G$400,"lots")),IF(CE$2="Espèce",IF(CE$3="Toutes",SUMIFS('Étape 1 - à remplir'!$F$31:$F$400,'Étape 1 - à remplir'!$H$31:$H$400,MASQ2!CU35,'Étape 1 - à remplir'!$G$31:$G$400,"lots"),SUMIFS('Étape 1 - à remplir'!$F$31:$F$400,'Étape 1 - à remplir'!$H$31:$H$400,MASQ2!CU35,'Étape 1 - à remplir'!$N$31:$N$400,CE$3,'Étape 1 - à remplir'!$G$31:$G$400,"lots"))))))=0,NA(),IF(CE$2="Catégorie",IF(CE$3="Toutes",SUMIFS('Étape 1 - à remplir'!$F$31:$F$400,'Étape 1 - à remplir'!$H$31:$H$400,MASQ2!CU35,'Étape 1 - à remplir'!$G$31:$G$400,"lots"),SUMIFS('Étape 1 - à remplir'!$F$31:$F$400,'Étape 1 - à remplir'!$H$31:$H$400,MASQ2!CU35,'Étape 1 - à remplir'!$C$31:$C$400,CE$3,'Étape 1 - à remplir'!$G$31:$G$400,"lots")),IF(CE$2="Âge",IF(CE$3="Tous",SUMIFS('Étape 1 - à remplir'!$F$31:$F$400,'Étape 1 - à remplir'!$H$31:$H$400,MASQ2!CU35,'Étape 1 - à remplir'!$G$31:$G$400,"lots"),SUMIFS('Étape 1 - à remplir'!$F$31:$F$400,'Étape 1 - à remplir'!$H$31:$H$400,MASQ2!CU35,'Étape 1 - à remplir'!$P$31:$P$400,CE$3,'Étape 1 - à remplir'!$G$31:$G$400,"lots")),IF(CE$2="Atelier",IF(CE$3="Tous",SUMIFS('Étape 1 - à remplir'!$F$31:$F$400,'Étape 1 - à remplir'!$H$31:$H$400,MASQ2!CU35,'Étape 1 - à remplir'!$G$31:$G$400,"lots"),SUMIFS('Étape 1 - à remplir'!$F$31:$F$400,'Étape 1 - à remplir'!$H$31:$H$400,MASQ2!CU35,'Étape 1 - à remplir'!$O$31:$O$400,CE$3,'Étape 1 - à remplir'!$G$31:$G$400,"lots")),IF(CE$2="Espèce",IF(CE$3="Toutes",SUMIFS('Étape 1 - à remplir'!$F$31:$F$400,'Étape 1 - à remplir'!$H$31:$H$400,MASQ2!CU35,'Étape 1 - à remplir'!$G$31:$G$400,"lots"),SUMIFS('Étape 1 - à remplir'!$F$31:$F$400,'Étape 1 - à remplir'!$H$31:$H$400,MASQ2!CU35,'Étape 1 - à remplir'!$N$31:$N$400,CE$3,'Étape 1 - à remplir'!$G$31:$G$400,"lots")))))))</f>
        <v>#N/A</v>
      </c>
      <c r="CW35">
        <v>4</v>
      </c>
      <c r="CX35" t="e">
        <f t="shared" si="103"/>
        <v>#N/A</v>
      </c>
      <c r="CY35" s="63" t="e">
        <f t="shared" si="104"/>
        <v>#N/A</v>
      </c>
      <c r="DA35" s="42">
        <v>4</v>
      </c>
      <c r="DB35" s="118" t="str">
        <f t="shared" si="105"/>
        <v/>
      </c>
      <c r="DC35" t="str">
        <f t="shared" si="106"/>
        <v/>
      </c>
      <c r="DD35" t="str">
        <f t="shared" si="107"/>
        <v/>
      </c>
      <c r="DE35" s="63" t="str">
        <f t="shared" si="108"/>
        <v/>
      </c>
      <c r="DI35" s="122" t="str">
        <f>IFERROR(IF(DJ35="","",COUNTIF(DJ$32:DJ$41,"&lt;"&amp;DJ35)+COUNTIF(DJ$32:DJ35,DJ35))-COUNTBLANK(DJ$32:DJ$41),"")</f>
        <v/>
      </c>
      <c r="DJ35" s="109" t="str">
        <f>IF('Étape 1 - à remplir'!G22="lots",'Étape 1 - à remplir'!C22,"")</f>
        <v/>
      </c>
      <c r="DK35" s="109" t="e">
        <f>INDEX(DI$32:DJ$41,MATCH(4,DI$32:DI$41,0),2)</f>
        <v>#N/A</v>
      </c>
      <c r="DL35" s="109" t="e">
        <f t="shared" si="116"/>
        <v>#N/A</v>
      </c>
      <c r="DM35" s="123" t="e">
        <f>IF(DL35="","",MAX(DM$31:DM34)+1)</f>
        <v>#N/A</v>
      </c>
      <c r="EA35" s="194" t="str">
        <f t="shared" ca="1" si="18"/>
        <v/>
      </c>
      <c r="EB35" s="226" t="str">
        <f>IFERROR(IF(ED35=0,"",COUNTIF(ED$4:ED$600,"&gt;"&amp;ED35)+COUNTIF(ED$4:ED35,ED35)),"")</f>
        <v/>
      </c>
      <c r="EC35" t="str">
        <f t="shared" si="19"/>
        <v>AMOXIVAL AMOXICILLINE 40 PREMELANGE MEDICAMENTEUX VOLAILLES</v>
      </c>
      <c r="ED35" t="e">
        <f>IF(IF(EL$2="Catégorie",IF(EL$3="Toutes",SUMIFS('Étape 1 - à remplir'!$F$31:$F$400,'Étape 1 - à remplir'!$E$31:$E$400,MASQ2!EC35,'Étape 1 - à remplir'!$G$31:$G$400,"kg"),SUMIFS('Étape 1 - à remplir'!$F$31:$F$400,'Étape 1 - à remplir'!$E$31:$E$400,MASQ2!EC35,'Étape 1 - à remplir'!$C$31:$C$400,EL$3)),IF(EL$2="Âge",IF(EL$3="Tous",SUMIFS('Étape 1 - à remplir'!$F$31:$F$400,'Étape 1 - à remplir'!$E$31:$E$400,MASQ2!EC35,'Étape 1 - à remplir'!$G$31:$G$400,"kg"),SUMIFS('Étape 1 - à remplir'!$F$31:$F$400,'Étape 1 - à remplir'!$E$31:$E$400,MASQ2!EC35,'Étape 1 - à remplir'!$P$31:$P$400,EL$3,'Étape 1 - à remplir'!$G$31:$G$400,"kg")),IF(EL$2="Atelier",IF(EL$3="Tous",SUMIFS('Étape 1 - à remplir'!$F$31:$F$400,'Étape 1 - à remplir'!$E$31:$E$400,MASQ2!EC35,'Étape 1 - à remplir'!$G$31:$G$400,"kg"),SUMIFS('Étape 1 - à remplir'!$F$31:$F$400,'Étape 1 - à remplir'!$E$31:$E$400,MASQ2!EC35,'Étape 1 - à remplir'!$O$31:$O$400,EL$3,'Étape 1 - à remplir'!$G$31:$G$400,"kg")),IF(EL$2="Espèce",IF(EL$3="Toutes",SUMIFS('Étape 1 - à remplir'!$F$31:$F$400,'Étape 1 - à remplir'!$E$31:$E$400,MASQ2!EC35,'Étape 1 - à remplir'!$G$31:$G$400,"kg"),SUMIFS('Étape 1 - à remplir'!$F$31:$F$400,'Étape 1 - à remplir'!$E$31:$E$400,MASQ2!EC35,'Étape 1 - à remplir'!$N$31:$N$400,EL$3,'Étape 1 - à remplir'!$G$31:$G$400,"kg"))))))=0,NA(),IF(EL$2="Catégorie",IF(EL$3="Toutes",SUMIFS('Étape 1 - à remplir'!$F$31:$F$400,'Étape 1 - à remplir'!$E$31:$E$400,MASQ2!EC35,'Étape 1 - à remplir'!$G$31:$G$400,"kg"),SUMIFS('Étape 1 - à remplir'!$F$31:$F$400,'Étape 1 - à remplir'!$E$31:$E$400,MASQ2!EC35,'Étape 1 - à remplir'!$C$31:$C$400,EL$3)),IF(EL$2="Âge",IF(EL$3="Tous",SUMIFS('Étape 1 - à remplir'!$F$31:$F$400,'Étape 1 - à remplir'!$E$31:$E$400,MASQ2!EC35,'Étape 1 - à remplir'!$G$31:$G$400,"kg"),SUMIFS('Étape 1 - à remplir'!$F$31:$F$400,'Étape 1 - à remplir'!$E$31:$E$400,MASQ2!EC35,'Étape 1 - à remplir'!$P$31:$P$400,EL$3,'Étape 1 - à remplir'!$G$31:$G$400,"kg")),IF(EL$2="Atelier",IF(EL$3="Tous",SUMIFS('Étape 1 - à remplir'!$F$31:$F$400,'Étape 1 - à remplir'!$E$31:$E$400,MASQ2!EC35,'Étape 1 - à remplir'!$G$31:$G$400,"kg"),SUMIFS('Étape 1 - à remplir'!$F$31:$F$400,'Étape 1 - à remplir'!$E$31:$E$400,MASQ2!EC35,'Étape 1 - à remplir'!$O$31:$O$400,EL$3,'Étape 1 - à remplir'!$G$31:$G$400,"kg")),IF(EL$2="Espèce",IF(EL$3="Toutes",SUMIFS('Étape 1 - à remplir'!$F$31:$F$400,'Étape 1 - à remplir'!$E$31:$E$400,MASQ2!EC35,'Étape 1 - à remplir'!$G$31:$G$400,"kg"),SUMIFS('Étape 1 - à remplir'!$F$31:$F$400,'Étape 1 - à remplir'!$E$31:$E$400,MASQ2!EC35,'Étape 1 - à remplir'!$N$31:$N$400,EL$3,'Étape 1 - à remplir'!$G$31:$G$400,"kg")))))))</f>
        <v>#N/A</v>
      </c>
      <c r="EE35" s="76">
        <f t="shared" si="53"/>
        <v>0</v>
      </c>
      <c r="EF35" t="str">
        <f t="shared" si="20"/>
        <v>Amoxicilline</v>
      </c>
      <c r="EG35" t="str">
        <f t="shared" si="21"/>
        <v/>
      </c>
      <c r="EH35" t="str">
        <f t="shared" si="22"/>
        <v/>
      </c>
      <c r="EI35" t="str">
        <f t="shared" si="23"/>
        <v>Penicillines</v>
      </c>
      <c r="EJ35" t="str">
        <f t="shared" si="24"/>
        <v/>
      </c>
      <c r="EK35" s="63" t="str">
        <f t="shared" si="25"/>
        <v/>
      </c>
      <c r="EN35" s="42">
        <v>32</v>
      </c>
      <c r="EO35" t="e">
        <f t="shared" si="68"/>
        <v>#N/A</v>
      </c>
      <c r="EP35" s="63" t="e">
        <f t="shared" si="69"/>
        <v>#N/A</v>
      </c>
      <c r="ER35" s="194" t="str">
        <f t="shared" si="26"/>
        <v/>
      </c>
      <c r="ES35" s="226" t="str">
        <f>IFERROR(IF(EU35=0,"",COUNTIF(EU$4:EU$64,"&gt;"&amp;EU35)+COUNTIF(EU$4:EU35,EU35)),"")</f>
        <v/>
      </c>
      <c r="ET35" t="str">
        <f t="shared" si="27"/>
        <v>Nafcilline</v>
      </c>
      <c r="EU35" s="76" t="e">
        <f t="shared" si="56"/>
        <v>#N/A</v>
      </c>
      <c r="EV35">
        <v>32</v>
      </c>
      <c r="EW35" t="e">
        <f t="shared" si="57"/>
        <v>#N/A</v>
      </c>
      <c r="EX35" s="63" t="e">
        <f t="shared" si="58"/>
        <v>#N/A</v>
      </c>
      <c r="FA35" s="194" t="str">
        <f>IFERROR(IF(FC35=0,"",COUNTIF(FC$32:FC$38,"&gt;"&amp;FC35)+COUNTIF(FC$32:FC35,FC35)),"")</f>
        <v/>
      </c>
      <c r="FB35" t="str">
        <f t="shared" si="97"/>
        <v>Voie intramammaire</v>
      </c>
      <c r="FC35" s="76" t="e">
        <f>IF(IF(EL$2="Catégorie",IF(EL$3="Toutes",SUMIFS('Étape 1 - à remplir'!$F$31:$F$400,'Étape 1 - à remplir'!$H$31:$H$400,MASQ2!FB35,'Étape 1 - à remplir'!$G$31:$G$400,"kg"),SUMIFS('Étape 1 - à remplir'!$F$31:$F$400,'Étape 1 - à remplir'!$H$31:$H$400,MASQ2!FB35,'Étape 1 - à remplir'!$C$31:$C$400,EL$3,'Étape 1 - à remplir'!$G$31:$G$400,"kg")),IF(EL$2="Âge",IF(EL$3="Tous",SUMIFS('Étape 1 - à remplir'!$F$31:$F$400,'Étape 1 - à remplir'!$H$31:$H$400,MASQ2!FB35,'Étape 1 - à remplir'!$G$31:$G$400,"kg"),SUMIFS('Étape 1 - à remplir'!$F$31:$F$400,'Étape 1 - à remplir'!$H$31:$H$400,MASQ2!FB35,'Étape 1 - à remplir'!$P$31:$P$400,EL$3,'Étape 1 - à remplir'!$G$31:$G$400,"kg")),IF(EL$2="Atelier",IF(EL$3="Tous",SUMIFS('Étape 1 - à remplir'!$F$31:$F$400,'Étape 1 - à remplir'!$H$31:$H$400,MASQ2!FB35,'Étape 1 - à remplir'!$G$31:$G$400,"kg"),SUMIFS('Étape 1 - à remplir'!$F$31:$F$400,'Étape 1 - à remplir'!$H$31:$H$400,MASQ2!FB35,'Étape 1 - à remplir'!$O$31:$O$400,EL$3,'Étape 1 - à remplir'!$G$31:$G$400,"kg")),IF(EL$2="Espèce",IF(EL$3="Toutes",SUMIFS('Étape 1 - à remplir'!$F$31:$F$400,'Étape 1 - à remplir'!$H$31:$H$400,MASQ2!FB35,'Étape 1 - à remplir'!$G$31:$G$400,"kg"),SUMIFS('Étape 1 - à remplir'!$F$31:$F$400,'Étape 1 - à remplir'!$H$31:$H$400,MASQ2!FB35,'Étape 1 - à remplir'!$N$31:$N$400,EL$3,'Étape 1 - à remplir'!$G$31:$G$400,"kg"))))))=0,NA(),IF(EL$2="Catégorie",IF(EL$3="Toutes",SUMIFS('Étape 1 - à remplir'!$F$31:$F$400,'Étape 1 - à remplir'!$H$31:$H$400,MASQ2!FB35,'Étape 1 - à remplir'!$G$31:$G$400,"kg"),SUMIFS('Étape 1 - à remplir'!$F$31:$F$400,'Étape 1 - à remplir'!$H$31:$H$400,MASQ2!FB35,'Étape 1 - à remplir'!$C$31:$C$400,EL$3,'Étape 1 - à remplir'!$G$31:$G$400,"kg")),IF(EL$2="Âge",IF(EL$3="Tous",SUMIFS('Étape 1 - à remplir'!$F$31:$F$400,'Étape 1 - à remplir'!$H$31:$H$400,MASQ2!FB35,'Étape 1 - à remplir'!$G$31:$G$400,"kg"),SUMIFS('Étape 1 - à remplir'!$F$31:$F$400,'Étape 1 - à remplir'!$H$31:$H$400,MASQ2!FB35,'Étape 1 - à remplir'!$P$31:$P$400,EL$3,'Étape 1 - à remplir'!$G$31:$G$400,"kg")),IF(EL$2="Atelier",IF(EL$3="Tous",SUMIFS('Étape 1 - à remplir'!$F$31:$F$400,'Étape 1 - à remplir'!$H$31:$H$400,MASQ2!FB35,'Étape 1 - à remplir'!$G$31:$G$400,"kg"),SUMIFS('Étape 1 - à remplir'!$F$31:$F$400,'Étape 1 - à remplir'!$H$31:$H$400,MASQ2!FB35,'Étape 1 - à remplir'!$O$31:$O$400,EL$3,'Étape 1 - à remplir'!$G$31:$G$400,"kg")),IF(EL$2="Espèce",IF(EL$3="Toutes",SUMIFS('Étape 1 - à remplir'!$F$31:$F$400,'Étape 1 - à remplir'!$H$31:$H$400,MASQ2!FB35,'Étape 1 - à remplir'!$G$31:$G$400,"kg"),SUMIFS('Étape 1 - à remplir'!$F$31:$F$400,'Étape 1 - à remplir'!$H$31:$H$400,MASQ2!FB35,'Étape 1 - à remplir'!$N$31:$N$400,EL$3,'Étape 1 - à remplir'!$G$31:$G$400,"kg")))))))</f>
        <v>#N/A</v>
      </c>
      <c r="FD35">
        <v>4</v>
      </c>
      <c r="FE35" t="e">
        <f t="shared" si="109"/>
        <v>#N/A</v>
      </c>
      <c r="FF35" s="63" t="e">
        <f t="shared" si="110"/>
        <v>#N/A</v>
      </c>
      <c r="FH35" s="42">
        <v>4</v>
      </c>
      <c r="FI35" s="118" t="str">
        <f t="shared" si="111"/>
        <v/>
      </c>
      <c r="FJ35" t="str">
        <f t="shared" si="112"/>
        <v/>
      </c>
      <c r="FK35" t="str">
        <f t="shared" si="113"/>
        <v/>
      </c>
      <c r="FL35" s="63" t="str">
        <f t="shared" si="114"/>
        <v/>
      </c>
      <c r="FM35" s="42"/>
      <c r="FP35" s="122" t="str">
        <f>IFERROR(IF(FQ35="","",COUNTIF(FQ$32:FQ$41,"&lt;"&amp;FQ35)+COUNTIF(FQ$32:FQ35,FQ35))-COUNTBLANK(FQ$32:FQ$41),"")</f>
        <v/>
      </c>
      <c r="FQ35" s="109" t="str">
        <f>IF('Étape 1 - à remplir'!G22="kg",'Étape 1 - à remplir'!C22,"")</f>
        <v/>
      </c>
      <c r="FR35" s="109" t="e">
        <f>INDEX(FP$32:FQ$41,MATCH(4,FP$32:FP$41,0),2)</f>
        <v>#N/A</v>
      </c>
      <c r="FS35" s="109" t="e">
        <f t="shared" si="117"/>
        <v>#N/A</v>
      </c>
      <c r="FT35" s="123" t="e">
        <f>IF(FS35="","",MAX(FT$31:FT34)+1)</f>
        <v>#N/A</v>
      </c>
    </row>
    <row r="36" spans="2:176" x14ac:dyDescent="0.3">
      <c r="B36" s="42"/>
      <c r="M36" s="194" t="str">
        <f ca="1">INDEX(Données_ATB!BD:BU,MATCH(MASQ2!O36,Données_ATB!BD:BD,0),18)</f>
        <v/>
      </c>
      <c r="N36" s="14" t="str">
        <f>IFERROR(IF(Q36=0,"",COUNTIF(Q$4:Q$600,"&gt;"&amp;Q36)+COUNTIF(Q$4:Q36,Q36)),"")</f>
        <v/>
      </c>
      <c r="O36" t="str">
        <f>Données_ATB!BD35</f>
        <v>AMPHEN 200 MG/G GRANULES POUR ADMINISTRATION DANS L'EAU DE BOISSON POUR PORCS</v>
      </c>
      <c r="P36" t="e">
        <f>IF(IF(X$2="Catégorie",IF(X$3="Toutes",SUMIFS('Étape 1 - à remplir'!$F$31:$F$400,'Étape 1 - à remplir'!$E$31:$E$400,MASQ2!O36,'Étape 1 - à remplir'!$G$31:$G$400,"animaux"),SUMIFS('Étape 1 - à remplir'!$F$31:$F$400,'Étape 1 - à remplir'!$E$31:$E$400,MASQ2!O36,'Étape 1 - à remplir'!$C$31:$C$400,X$3)),IF(X$2="Âge",IF(X$3="Tous",SUMIFS('Étape 1 - à remplir'!$F$31:$F$400,'Étape 1 - à remplir'!$E$31:$E$400,MASQ2!O36,'Étape 1 - à remplir'!$G$31:$G$400,"animaux"),SUMIFS('Étape 1 - à remplir'!$F$31:$F$400,'Étape 1 - à remplir'!$E$31:$E$400,MASQ2!O36,'Étape 1 - à remplir'!$P$31:$P$400,X$3)),IF(X$2="Atelier",IF(X$3="Tous",SUMIFS('Étape 1 - à remplir'!$F$31:$F$400,'Étape 1 - à remplir'!$E$31:$E$400,MASQ2!O36,'Étape 1 - à remplir'!$G$31:$G$400,"animaux"),SUMIFS('Étape 1 - à remplir'!$F$31:$F$400,'Étape 1 - à remplir'!$E$31:$E$400,MASQ2!O36,'Étape 1 - à remplir'!$O$31:$O$400,X$3)),IF(X$2="Espèce",IF(X$3="Toutes",SUMIFS('Étape 1 - à remplir'!$F$31:$F$400,'Étape 1 - à remplir'!$E$31:$E$400,MASQ2!O36,'Étape 1 - à remplir'!$G$31:$G$400,"animaux"),SUMIFS('Étape 1 - à remplir'!$F$31:$F$400,'Étape 1 - à remplir'!$E$31:$E$400,MASQ2!O36,'Étape 1 - à remplir'!$N$31:$N$400,X$3))))))=0,NA(),IF(X$2="Catégorie",IF(X$3="Toutes",SUMIFS('Étape 1 - à remplir'!$F$31:$F$400,'Étape 1 - à remplir'!$E$31:$E$400,MASQ2!O36,'Étape 1 - à remplir'!$G$31:$G$400,"animaux"),SUMIFS('Étape 1 - à remplir'!$F$31:$F$400,'Étape 1 - à remplir'!$E$31:$E$400,MASQ2!O36,'Étape 1 - à remplir'!$C$31:$C$400,X$3)),IF(X$2="Âge",IF(X$3="Tous",SUMIFS('Étape 1 - à remplir'!$F$31:$F$400,'Étape 1 - à remplir'!$E$31:$E$400,MASQ2!O36,'Étape 1 - à remplir'!$G$31:$G$400,"animaux"),SUMIFS('Étape 1 - à remplir'!$F$31:$F$400,'Étape 1 - à remplir'!$E$31:$E$400,MASQ2!O36,'Étape 1 - à remplir'!$P$31:$P$400,X$3)),IF(X$2="Atelier",IF(X$3="Tous",SUMIFS('Étape 1 - à remplir'!$F$31:$F$400,'Étape 1 - à remplir'!$E$31:$E$400,MASQ2!O36,'Étape 1 - à remplir'!$G$31:$G$400,"animaux"),SUMIFS('Étape 1 - à remplir'!$F$31:$F$400,'Étape 1 - à remplir'!$E$31:$E$400,MASQ2!O36,'Étape 1 - à remplir'!$O$31:$O$400,X$3)),IF(X$2="Espèce",IF(X$3="Toutes",SUMIFS('Étape 1 - à remplir'!$F$31:$F$400,'Étape 1 - à remplir'!$E$31:$E$400,MASQ2!O36,'Étape 1 - à remplir'!$G$31:$G$400,"animaux"),SUMIFS('Étape 1 - à remplir'!$F$31:$F$400,'Étape 1 - à remplir'!$E$31:$E$400,MASQ2!O36,'Étape 1 - à remplir'!$N$31:$N$400,X$3)))))))</f>
        <v>#N/A</v>
      </c>
      <c r="Q36" s="63">
        <f t="shared" si="62"/>
        <v>0</v>
      </c>
      <c r="R36" t="str">
        <f>Données_ATB!BM35</f>
        <v>Florfénicol</v>
      </c>
      <c r="S36" t="str">
        <f>Données_ATB!BN35</f>
        <v/>
      </c>
      <c r="T36" s="63" t="str">
        <f>Données_ATB!BO35</f>
        <v/>
      </c>
      <c r="U36" s="42" t="str">
        <f>Données_ATB!BQ35</f>
        <v>Phenicoles</v>
      </c>
      <c r="V36" t="str">
        <f>Données_ATB!BR35</f>
        <v/>
      </c>
      <c r="W36" s="63" t="str">
        <f>Données_ATB!BS35</f>
        <v/>
      </c>
      <c r="Z36" s="42">
        <v>33</v>
      </c>
      <c r="AA36" t="e">
        <f t="shared" si="32"/>
        <v>#N/A</v>
      </c>
      <c r="AB36" s="63" t="e">
        <f t="shared" si="33"/>
        <v>#N/A</v>
      </c>
      <c r="AD36" s="194" t="str">
        <f>IF(AF36="Colistine","x",IF(INDEX(Données_ATB!CA$3:CB$63,MATCH(AF36,Données_ATB!CA$3:CA$63,0),2)="Fluoroquinolones","x",IF(INDEX(Données_ATB!CA$3:CB$63,MATCH(AF36,Données_ATB!CA$3:CA$63,0),2)="Cephalosporines 3&amp;4G","x","")))</f>
        <v/>
      </c>
      <c r="AE36" s="219" t="str">
        <f>IFERROR(IF(AG36=0,"",COUNTIF(AG$4:AG$64,"&gt;"&amp;AG36)+COUNTIF(AG$4:AG36,AG36)),"")</f>
        <v/>
      </c>
      <c r="AF36" s="42" t="str">
        <f>Données_ATB!CA35</f>
        <v>Néomycine</v>
      </c>
      <c r="AG36" s="63" t="e">
        <f t="shared" si="34"/>
        <v>#N/A</v>
      </c>
      <c r="AH36" s="42">
        <v>33</v>
      </c>
      <c r="AI36" t="e">
        <f t="shared" si="35"/>
        <v>#N/A</v>
      </c>
      <c r="AJ36" s="63" t="e">
        <f t="shared" si="36"/>
        <v>#N/A</v>
      </c>
      <c r="AM36" s="194" t="str">
        <f>IFERROR(IF(AO36=0,"",COUNTIF(AO$32:AO$38,"&gt;"&amp;AO36)+COUNTIF(AO$32:AO36,AO36)),"")</f>
        <v/>
      </c>
      <c r="AN36" t="str">
        <f>Données_ATB!CE7</f>
        <v>Prémélanges médicamenteux</v>
      </c>
      <c r="AO36" s="76" t="e">
        <f>IF(IF(X$2="Catégorie",IF(X$3="Toutes",SUMIFS('Étape 1 - à remplir'!F$31:F$400,'Étape 1 - à remplir'!H$31:H$400,MASQ2!AN36,'Étape 1 - à remplir'!G$31:G$400,"animaux"),SUMIFS('Étape 1 - à remplir'!F$31:F$400,'Étape 1 - à remplir'!H$31:H$400,MASQ2!AN36,'Étape 1 - à remplir'!C$31:C$400,X$3)),IF(X$2="Âge",IF(X$3="Tous",SUMIFS('Étape 1 - à remplir'!F$31:F$400,'Étape 1 - à remplir'!H$31:H$400,MASQ2!AN36,'Étape 1 - à remplir'!G$31:G$400,"animaux"),SUMIFS('Étape 1 - à remplir'!F$31:F$400,'Étape 1 - à remplir'!H$31:H$400,MASQ2!AN36,'Étape 1 - à remplir'!P$31:P$400,X$3)),IF(X$2="Atelier",IF(X$3="Tous",SUMIFS('Étape 1 - à remplir'!F$31:F$400,'Étape 1 - à remplir'!H$31:H$400,MASQ2!AN36,'Étape 1 - à remplir'!G$31:G$400,"animaux"),SUMIFS('Étape 1 - à remplir'!F$31:F$400,'Étape 1 - à remplir'!H$31:H$400,MASQ2!AN36,'Étape 1 - à remplir'!O$31:O$400,X$3)),IF(X$2="Espèce",IF(X$3="Toutes",SUMIFS('Étape 1 - à remplir'!F$31:F$400,'Étape 1 - à remplir'!H$31:H$400,MASQ2!AN36,'Étape 1 - à remplir'!G$31:G$400,"animaux"),SUMIFS('Étape 1 - à remplir'!F$31:F$400,'Étape 1 - à remplir'!H$31:H$400,MASQ2!AN36,'Étape 1 - à remplir'!N$31:N$400,X$3))))))=0,NA(),IF(X$2="Catégorie",IF(X$3="Toutes",SUMIFS('Étape 1 - à remplir'!F$31:F$400,'Étape 1 - à remplir'!H$31:H$400,MASQ2!AN36,'Étape 1 - à remplir'!G$31:G$400,"animaux"),SUMIFS('Étape 1 - à remplir'!F$31:F$400,'Étape 1 - à remplir'!H$31:H$400,MASQ2!AN36,'Étape 1 - à remplir'!C$31:C$400,X$3)),IF(X$2="Âge",IF(X$3="Tous",SUMIFS('Étape 1 - à remplir'!F$31:F$400,'Étape 1 - à remplir'!H$31:H$400,MASQ2!AN36,'Étape 1 - à remplir'!G$31:G$400,"animaux"),SUMIFS('Étape 1 - à remplir'!F$31:F$400,'Étape 1 - à remplir'!H$31:H$400,MASQ2!AN36,'Étape 1 - à remplir'!P$31:P$400,X$3)),IF(X$2="Atelier",IF(X$3="Tous",SUMIFS('Étape 1 - à remplir'!F$31:F$400,'Étape 1 - à remplir'!H$31:H$400,MASQ2!AN36,'Étape 1 - à remplir'!G$31:G$400,"animaux"),SUMIFS('Étape 1 - à remplir'!F$31:F$400,'Étape 1 - à remplir'!H$31:H$400,MASQ2!AN36,'Étape 1 - à remplir'!O$31:O$400,X$3)),IF(X$2="Espèce",IF(X$3="Toutes",SUMIFS('Étape 1 - à remplir'!F$31:F$400,'Étape 1 - à remplir'!H$31:H$400,MASQ2!AN36,'Étape 1 - à remplir'!G$31:G$400,"animaux"),SUMIFS('Étape 1 - à remplir'!F$31:F$400,'Étape 1 - à remplir'!H$31:H$400,MASQ2!AN36,'Étape 1 - à remplir'!N$31:N$400,X$3)))))))</f>
        <v>#N/A</v>
      </c>
      <c r="AP36">
        <v>5</v>
      </c>
      <c r="AQ36" t="e">
        <f t="shared" si="98"/>
        <v>#N/A</v>
      </c>
      <c r="AR36" s="63" t="e">
        <f t="shared" si="99"/>
        <v>#N/A</v>
      </c>
      <c r="AT36" s="42">
        <v>5</v>
      </c>
      <c r="AU36" s="118" t="str">
        <f t="shared" si="100"/>
        <v/>
      </c>
      <c r="AV36" t="str">
        <f t="shared" si="101"/>
        <v/>
      </c>
      <c r="AW36" t="str">
        <f t="shared" si="102"/>
        <v/>
      </c>
      <c r="AX36" s="63" t="str">
        <f t="shared" si="95"/>
        <v/>
      </c>
      <c r="BB36" s="122" t="str">
        <f>IFERROR(IF(BC36="","",COUNTIF(BC$32:BC$41,"&lt;"&amp;BC36)+COUNTIF(BC$32:BC36,BC36))-COUNTBLANK(BC$32:BC$41),"")</f>
        <v/>
      </c>
      <c r="BC36" s="76" t="str">
        <f>IF('Étape 1 - à remplir'!G23="animaux",'Étape 1 - à remplir'!C23,"")</f>
        <v/>
      </c>
      <c r="BD36" t="e">
        <f>INDEX(BB$32:BC$41,MATCH(5,BB$32:BB$41,0),2)</f>
        <v>#N/A</v>
      </c>
      <c r="BE36" t="e">
        <f t="shared" si="115"/>
        <v>#N/A</v>
      </c>
      <c r="BF36" s="123" t="e">
        <f>IF(BE36="","",MAX(BF$31:BF35)+1)</f>
        <v>#N/A</v>
      </c>
      <c r="BT36" s="194" t="str">
        <f t="shared" ca="1" si="5"/>
        <v/>
      </c>
      <c r="BU36" s="219" t="str">
        <f>IFERROR(IF(BX36=0,"",COUNTIF(BX$4:BX$600,"&gt;"&amp;BX36)+COUNTIF(BX$4:BX36,BX36)),"")</f>
        <v/>
      </c>
      <c r="BV36" s="42" t="str">
        <f t="shared" si="6"/>
        <v>AMPHEN 200 MG/G GRANULES POUR ADMINISTRATION DANS L'EAU DE BOISSON POUR PORCS</v>
      </c>
      <c r="BW36" t="e">
        <f>IF(IF(CE$2="Catégorie",IF(CE$3="Toutes",SUMIFS('Étape 1 - à remplir'!$F$31:$F$400,'Étape 1 - à remplir'!$E$31:$E$400,MASQ2!BV36,'Étape 1 - à remplir'!$G$31:$G$400,"lots"),SUMIFS('Étape 1 - à remplir'!$F$31:$F$400,'Étape 1 - à remplir'!$E$31:$E$400,MASQ2!BV36,'Étape 1 - à remplir'!$C$31:$C$400,CE$3)),IF(CE$2="Âge",IF(CE$3="Tous",SUMIFS('Étape 1 - à remplir'!$F$31:$F$400,'Étape 1 - à remplir'!$E$31:$E$400,MASQ2!BV36,'Étape 1 - à remplir'!$G$31:$G$400,"lots"),SUMIFS('Étape 1 - à remplir'!$F$31:$F$400,'Étape 1 - à remplir'!$E$31:$E$400,MASQ2!BV36,'Étape 1 - à remplir'!$P$31:$P$400,CE$3,'Étape 1 - à remplir'!$G$31:$G$400,"lots")),IF(CE$2="Atelier",IF(CE$3="Tous",SUMIFS('Étape 1 - à remplir'!$F$31:$F$400,'Étape 1 - à remplir'!$E$31:$E$400,MASQ2!BV36,'Étape 1 - à remplir'!$G$31:$G$400,"lots"),SUMIFS('Étape 1 - à remplir'!$F$31:$F$400,'Étape 1 - à remplir'!$E$31:$E$400,MASQ2!BV36,'Étape 1 - à remplir'!$O$31:$O$400,CE$3,'Étape 1 - à remplir'!$G$31:$G$400,"lots")),IF(CE$2="Espèce",IF(CE$3="Toutes",SUMIFS('Étape 1 - à remplir'!$F$31:$F$400,'Étape 1 - à remplir'!$E$31:$E$400,MASQ2!BV36,'Étape 1 - à remplir'!$G$31:$G$400,"lots"),SUMIFS('Étape 1 - à remplir'!$F$31:$F$400,'Étape 1 - à remplir'!$E$31:$E$400,MASQ2!BV36,'Étape 1 - à remplir'!$N$31:$N$400,CE$3,'Étape 1 - à remplir'!$G$31:$G$400,"lots"))))))=0,NA(),IF(CE$2="Catégorie",IF(CE$3="Toutes",SUMIFS('Étape 1 - à remplir'!$F$31:$F$400,'Étape 1 - à remplir'!$E$31:$E$400,MASQ2!BV36,'Étape 1 - à remplir'!$G$31:$G$400,"lots"),SUMIFS('Étape 1 - à remplir'!$F$31:$F$400,'Étape 1 - à remplir'!$E$31:$E$400,MASQ2!BV36,'Étape 1 - à remplir'!$C$31:$C$400,CE$3)),IF(CE$2="Âge",IF(CE$3="Tous",SUMIFS('Étape 1 - à remplir'!$F$31:$F$400,'Étape 1 - à remplir'!$E$31:$E$400,MASQ2!BV36,'Étape 1 - à remplir'!$G$31:$G$400,"lots"),SUMIFS('Étape 1 - à remplir'!$F$31:$F$400,'Étape 1 - à remplir'!$E$31:$E$400,MASQ2!BV36,'Étape 1 - à remplir'!$P$31:$P$400,CE$3,'Étape 1 - à remplir'!$G$31:$G$400,"lots")),IF(CE$2="Atelier",IF(CE$3="Tous",SUMIFS('Étape 1 - à remplir'!$F$31:$F$400,'Étape 1 - à remplir'!$E$31:$E$400,MASQ2!BV36,'Étape 1 - à remplir'!$G$31:$G$400,"lots"),SUMIFS('Étape 1 - à remplir'!$F$31:$F$400,'Étape 1 - à remplir'!$E$31:$E$400,MASQ2!BV36,'Étape 1 - à remplir'!$O$31:$O$400,CE$3,'Étape 1 - à remplir'!$G$31:$G$400,"lots")),IF(CE$2="Espèce",IF(CE$3="Toutes",SUMIFS('Étape 1 - à remplir'!$F$31:$F$400,'Étape 1 - à remplir'!$E$31:$E$400,MASQ2!BV36,'Étape 1 - à remplir'!$G$31:$G$400,"lots"),SUMIFS('Étape 1 - à remplir'!$F$31:$F$400,'Étape 1 - à remplir'!$E$31:$E$400,MASQ2!BV36,'Étape 1 - à remplir'!$N$31:$N$400,CE$3,'Étape 1 - à remplir'!$G$31:$G$400,"lots")))))))</f>
        <v>#N/A</v>
      </c>
      <c r="BX36">
        <f t="shared" si="42"/>
        <v>0</v>
      </c>
      <c r="BY36" t="str">
        <f t="shared" si="7"/>
        <v>Florfénicol</v>
      </c>
      <c r="BZ36" t="str">
        <f t="shared" si="8"/>
        <v/>
      </c>
      <c r="CA36" t="str">
        <f t="shared" si="9"/>
        <v/>
      </c>
      <c r="CB36" t="str">
        <f t="shared" si="10"/>
        <v>Phenicoles</v>
      </c>
      <c r="CC36" t="str">
        <f t="shared" si="11"/>
        <v/>
      </c>
      <c r="CD36" s="63" t="str">
        <f t="shared" si="12"/>
        <v/>
      </c>
      <c r="CG36" s="42">
        <v>33</v>
      </c>
      <c r="CH36" s="42" t="e">
        <f t="shared" si="80"/>
        <v>#N/A</v>
      </c>
      <c r="CI36" s="63" t="e">
        <f t="shared" si="81"/>
        <v>#N/A</v>
      </c>
      <c r="CK36" s="194" t="str">
        <f t="shared" ref="CK36:CK64" si="118">AD36</f>
        <v/>
      </c>
      <c r="CL36" s="226" t="str">
        <f>IFERROR(IF(CN36=0,"",COUNTIF(CN$4:CN$64,"&gt;"&amp;CN36)+COUNTIF(CN$4:CN36,CN36)),"")</f>
        <v/>
      </c>
      <c r="CM36" t="str">
        <f t="shared" ref="CM36:CM64" si="119">AF36</f>
        <v>Néomycine</v>
      </c>
      <c r="CN36" s="76" t="e">
        <f t="shared" si="45"/>
        <v>#N/A</v>
      </c>
      <c r="CO36">
        <v>33</v>
      </c>
      <c r="CP36" t="e">
        <f t="shared" si="46"/>
        <v>#N/A</v>
      </c>
      <c r="CQ36" s="63" t="e">
        <f t="shared" si="47"/>
        <v>#N/A</v>
      </c>
      <c r="CT36" s="194" t="str">
        <f>IFERROR(IF(CV36=0,"",COUNTIF(CV$32:CV$38,"&gt;"&amp;CV36)+COUNTIF(CV$32:CV36,CV36)),"")</f>
        <v/>
      </c>
      <c r="CU36" t="str">
        <f t="shared" si="96"/>
        <v>Prémélanges médicamenteux</v>
      </c>
      <c r="CV36" s="76" t="e">
        <f>IF(IF(CE$2="Catégorie",IF(CE$3="Toutes",SUMIFS('Étape 1 - à remplir'!$F$31:$F$400,'Étape 1 - à remplir'!$H$31:$H$400,MASQ2!CU36,'Étape 1 - à remplir'!$G$31:$G$400,"lots"),SUMIFS('Étape 1 - à remplir'!$F$31:$F$400,'Étape 1 - à remplir'!$H$31:$H$400,MASQ2!CU36,'Étape 1 - à remplir'!$C$31:$C$400,CE$3,'Étape 1 - à remplir'!$G$31:$G$400,"lots")),IF(CE$2="Âge",IF(CE$3="Tous",SUMIFS('Étape 1 - à remplir'!$F$31:$F$400,'Étape 1 - à remplir'!$H$31:$H$400,MASQ2!CU36,'Étape 1 - à remplir'!$G$31:$G$400,"lots"),SUMIFS('Étape 1 - à remplir'!$F$31:$F$400,'Étape 1 - à remplir'!$H$31:$H$400,MASQ2!CU36,'Étape 1 - à remplir'!$P$31:$P$400,CE$3,'Étape 1 - à remplir'!$G$31:$G$400,"lots")),IF(CE$2="Atelier",IF(CE$3="Tous",SUMIFS('Étape 1 - à remplir'!$F$31:$F$400,'Étape 1 - à remplir'!$H$31:$H$400,MASQ2!CU36,'Étape 1 - à remplir'!$G$31:$G$400,"lots"),SUMIFS('Étape 1 - à remplir'!$F$31:$F$400,'Étape 1 - à remplir'!$H$31:$H$400,MASQ2!CU36,'Étape 1 - à remplir'!$O$31:$O$400,CE$3,'Étape 1 - à remplir'!$G$31:$G$400,"lots")),IF(CE$2="Espèce",IF(CE$3="Toutes",SUMIFS('Étape 1 - à remplir'!$F$31:$F$400,'Étape 1 - à remplir'!$H$31:$H$400,MASQ2!CU36,'Étape 1 - à remplir'!$G$31:$G$400,"lots"),SUMIFS('Étape 1 - à remplir'!$F$31:$F$400,'Étape 1 - à remplir'!$H$31:$H$400,MASQ2!CU36,'Étape 1 - à remplir'!$N$31:$N$400,CE$3,'Étape 1 - à remplir'!$G$31:$G$400,"lots"))))))=0,NA(),IF(CE$2="Catégorie",IF(CE$3="Toutes",SUMIFS('Étape 1 - à remplir'!$F$31:$F$400,'Étape 1 - à remplir'!$H$31:$H$400,MASQ2!CU36,'Étape 1 - à remplir'!$G$31:$G$400,"lots"),SUMIFS('Étape 1 - à remplir'!$F$31:$F$400,'Étape 1 - à remplir'!$H$31:$H$400,MASQ2!CU36,'Étape 1 - à remplir'!$C$31:$C$400,CE$3,'Étape 1 - à remplir'!$G$31:$G$400,"lots")),IF(CE$2="Âge",IF(CE$3="Tous",SUMIFS('Étape 1 - à remplir'!$F$31:$F$400,'Étape 1 - à remplir'!$H$31:$H$400,MASQ2!CU36,'Étape 1 - à remplir'!$G$31:$G$400,"lots"),SUMIFS('Étape 1 - à remplir'!$F$31:$F$400,'Étape 1 - à remplir'!$H$31:$H$400,MASQ2!CU36,'Étape 1 - à remplir'!$P$31:$P$400,CE$3,'Étape 1 - à remplir'!$G$31:$G$400,"lots")),IF(CE$2="Atelier",IF(CE$3="Tous",SUMIFS('Étape 1 - à remplir'!$F$31:$F$400,'Étape 1 - à remplir'!$H$31:$H$400,MASQ2!CU36,'Étape 1 - à remplir'!$G$31:$G$400,"lots"),SUMIFS('Étape 1 - à remplir'!$F$31:$F$400,'Étape 1 - à remplir'!$H$31:$H$400,MASQ2!CU36,'Étape 1 - à remplir'!$O$31:$O$400,CE$3,'Étape 1 - à remplir'!$G$31:$G$400,"lots")),IF(CE$2="Espèce",IF(CE$3="Toutes",SUMIFS('Étape 1 - à remplir'!$F$31:$F$400,'Étape 1 - à remplir'!$H$31:$H$400,MASQ2!CU36,'Étape 1 - à remplir'!$G$31:$G$400,"lots"),SUMIFS('Étape 1 - à remplir'!$F$31:$F$400,'Étape 1 - à remplir'!$H$31:$H$400,MASQ2!CU36,'Étape 1 - à remplir'!$N$31:$N$400,CE$3,'Étape 1 - à remplir'!$G$31:$G$400,"lots")))))))</f>
        <v>#N/A</v>
      </c>
      <c r="CW36">
        <v>5</v>
      </c>
      <c r="CX36" t="e">
        <f t="shared" si="103"/>
        <v>#N/A</v>
      </c>
      <c r="CY36" s="63" t="e">
        <f t="shared" si="104"/>
        <v>#N/A</v>
      </c>
      <c r="DA36" s="42">
        <v>5</v>
      </c>
      <c r="DB36" s="118" t="str">
        <f t="shared" si="105"/>
        <v/>
      </c>
      <c r="DC36" t="str">
        <f t="shared" si="106"/>
        <v/>
      </c>
      <c r="DD36" t="str">
        <f t="shared" si="107"/>
        <v/>
      </c>
      <c r="DE36" s="63" t="str">
        <f t="shared" si="108"/>
        <v/>
      </c>
      <c r="DI36" s="122" t="str">
        <f>IFERROR(IF(DJ36="","",COUNTIF(DJ$32:DJ$41,"&lt;"&amp;DJ36)+COUNTIF(DJ$32:DJ36,DJ36))-COUNTBLANK(DJ$32:DJ$41),"")</f>
        <v/>
      </c>
      <c r="DJ36" s="109" t="str">
        <f>IF('Étape 1 - à remplir'!G23="lots",'Étape 1 - à remplir'!C23,"")</f>
        <v/>
      </c>
      <c r="DK36" s="109" t="e">
        <f>INDEX(DI$32:DJ$41,MATCH(5,DI$32:DI$41,0),2)</f>
        <v>#N/A</v>
      </c>
      <c r="DL36" s="109" t="e">
        <f t="shared" si="116"/>
        <v>#N/A</v>
      </c>
      <c r="DM36" s="123" t="e">
        <f>IF(DL36="","",MAX(DM$31:DM35)+1)</f>
        <v>#N/A</v>
      </c>
      <c r="EA36" s="194" t="str">
        <f t="shared" ca="1" si="18"/>
        <v/>
      </c>
      <c r="EB36" s="226" t="str">
        <f>IFERROR(IF(ED36=0,"",COUNTIF(ED$4:ED$600,"&gt;"&amp;ED36)+COUNTIF(ED$4:ED36,ED36)),"")</f>
        <v/>
      </c>
      <c r="EC36" t="str">
        <f t="shared" si="19"/>
        <v>AMPHEN 200 MG/G GRANULES POUR ADMINISTRATION DANS L'EAU DE BOISSON POUR PORCS</v>
      </c>
      <c r="ED36" t="e">
        <f>IF(IF(EL$2="Catégorie",IF(EL$3="Toutes",SUMIFS('Étape 1 - à remplir'!$F$31:$F$400,'Étape 1 - à remplir'!$E$31:$E$400,MASQ2!EC36,'Étape 1 - à remplir'!$G$31:$G$400,"kg"),SUMIFS('Étape 1 - à remplir'!$F$31:$F$400,'Étape 1 - à remplir'!$E$31:$E$400,MASQ2!EC36,'Étape 1 - à remplir'!$C$31:$C$400,EL$3)),IF(EL$2="Âge",IF(EL$3="Tous",SUMIFS('Étape 1 - à remplir'!$F$31:$F$400,'Étape 1 - à remplir'!$E$31:$E$400,MASQ2!EC36,'Étape 1 - à remplir'!$G$31:$G$400,"kg"),SUMIFS('Étape 1 - à remplir'!$F$31:$F$400,'Étape 1 - à remplir'!$E$31:$E$400,MASQ2!EC36,'Étape 1 - à remplir'!$P$31:$P$400,EL$3,'Étape 1 - à remplir'!$G$31:$G$400,"kg")),IF(EL$2="Atelier",IF(EL$3="Tous",SUMIFS('Étape 1 - à remplir'!$F$31:$F$400,'Étape 1 - à remplir'!$E$31:$E$400,MASQ2!EC36,'Étape 1 - à remplir'!$G$31:$G$400,"kg"),SUMIFS('Étape 1 - à remplir'!$F$31:$F$400,'Étape 1 - à remplir'!$E$31:$E$400,MASQ2!EC36,'Étape 1 - à remplir'!$O$31:$O$400,EL$3,'Étape 1 - à remplir'!$G$31:$G$400,"kg")),IF(EL$2="Espèce",IF(EL$3="Toutes",SUMIFS('Étape 1 - à remplir'!$F$31:$F$400,'Étape 1 - à remplir'!$E$31:$E$400,MASQ2!EC36,'Étape 1 - à remplir'!$G$31:$G$400,"kg"),SUMIFS('Étape 1 - à remplir'!$F$31:$F$400,'Étape 1 - à remplir'!$E$31:$E$400,MASQ2!EC36,'Étape 1 - à remplir'!$N$31:$N$400,EL$3,'Étape 1 - à remplir'!$G$31:$G$400,"kg"))))))=0,NA(),IF(EL$2="Catégorie",IF(EL$3="Toutes",SUMIFS('Étape 1 - à remplir'!$F$31:$F$400,'Étape 1 - à remplir'!$E$31:$E$400,MASQ2!EC36,'Étape 1 - à remplir'!$G$31:$G$400,"kg"),SUMIFS('Étape 1 - à remplir'!$F$31:$F$400,'Étape 1 - à remplir'!$E$31:$E$400,MASQ2!EC36,'Étape 1 - à remplir'!$C$31:$C$400,EL$3)),IF(EL$2="Âge",IF(EL$3="Tous",SUMIFS('Étape 1 - à remplir'!$F$31:$F$400,'Étape 1 - à remplir'!$E$31:$E$400,MASQ2!EC36,'Étape 1 - à remplir'!$G$31:$G$400,"kg"),SUMIFS('Étape 1 - à remplir'!$F$31:$F$400,'Étape 1 - à remplir'!$E$31:$E$400,MASQ2!EC36,'Étape 1 - à remplir'!$P$31:$P$400,EL$3,'Étape 1 - à remplir'!$G$31:$G$400,"kg")),IF(EL$2="Atelier",IF(EL$3="Tous",SUMIFS('Étape 1 - à remplir'!$F$31:$F$400,'Étape 1 - à remplir'!$E$31:$E$400,MASQ2!EC36,'Étape 1 - à remplir'!$G$31:$G$400,"kg"),SUMIFS('Étape 1 - à remplir'!$F$31:$F$400,'Étape 1 - à remplir'!$E$31:$E$400,MASQ2!EC36,'Étape 1 - à remplir'!$O$31:$O$400,EL$3,'Étape 1 - à remplir'!$G$31:$G$400,"kg")),IF(EL$2="Espèce",IF(EL$3="Toutes",SUMIFS('Étape 1 - à remplir'!$F$31:$F$400,'Étape 1 - à remplir'!$E$31:$E$400,MASQ2!EC36,'Étape 1 - à remplir'!$G$31:$G$400,"kg"),SUMIFS('Étape 1 - à remplir'!$F$31:$F$400,'Étape 1 - à remplir'!$E$31:$E$400,MASQ2!EC36,'Étape 1 - à remplir'!$N$31:$N$400,EL$3,'Étape 1 - à remplir'!$G$31:$G$400,"kg")))))))</f>
        <v>#N/A</v>
      </c>
      <c r="EE36" s="76">
        <f t="shared" si="53"/>
        <v>0</v>
      </c>
      <c r="EF36" t="str">
        <f t="shared" si="20"/>
        <v>Florfénicol</v>
      </c>
      <c r="EG36" t="str">
        <f t="shared" si="21"/>
        <v/>
      </c>
      <c r="EH36" t="str">
        <f t="shared" si="22"/>
        <v/>
      </c>
      <c r="EI36" t="str">
        <f t="shared" si="23"/>
        <v>Phenicoles</v>
      </c>
      <c r="EJ36" t="str">
        <f t="shared" si="24"/>
        <v/>
      </c>
      <c r="EK36" s="63" t="str">
        <f t="shared" si="25"/>
        <v/>
      </c>
      <c r="EN36" s="42">
        <v>33</v>
      </c>
      <c r="EO36" t="e">
        <f t="shared" si="68"/>
        <v>#N/A</v>
      </c>
      <c r="EP36" s="63" t="e">
        <f t="shared" si="69"/>
        <v>#N/A</v>
      </c>
      <c r="ER36" s="194" t="str">
        <f t="shared" ref="ER36:ER64" si="120">AD36</f>
        <v/>
      </c>
      <c r="ES36" s="226" t="str">
        <f>IFERROR(IF(EU36=0,"",COUNTIF(EU$4:EU$64,"&gt;"&amp;EU36)+COUNTIF(EU$4:EU36,EU36)),"")</f>
        <v/>
      </c>
      <c r="ET36" t="str">
        <f t="shared" ref="ET36:ET64" si="121">AF36</f>
        <v>Néomycine</v>
      </c>
      <c r="EU36" s="76" t="e">
        <f t="shared" si="56"/>
        <v>#N/A</v>
      </c>
      <c r="EV36">
        <v>33</v>
      </c>
      <c r="EW36" t="e">
        <f t="shared" si="57"/>
        <v>#N/A</v>
      </c>
      <c r="EX36" s="63" t="e">
        <f t="shared" si="58"/>
        <v>#N/A</v>
      </c>
      <c r="FA36" s="194" t="str">
        <f>IFERROR(IF(FC36=0,"",COUNTIF(FC$32:FC$38,"&gt;"&amp;FC36)+COUNTIF(FC$32:FC36,FC36)),"")</f>
        <v/>
      </c>
      <c r="FB36" t="str">
        <f t="shared" si="97"/>
        <v>Prémélanges médicamenteux</v>
      </c>
      <c r="FC36" s="76" t="e">
        <f>IF(IF(EL$2="Catégorie",IF(EL$3="Toutes",SUMIFS('Étape 1 - à remplir'!$F$31:$F$400,'Étape 1 - à remplir'!$H$31:$H$400,MASQ2!FB36,'Étape 1 - à remplir'!$G$31:$G$400,"kg"),SUMIFS('Étape 1 - à remplir'!$F$31:$F$400,'Étape 1 - à remplir'!$H$31:$H$400,MASQ2!FB36,'Étape 1 - à remplir'!$C$31:$C$400,EL$3,'Étape 1 - à remplir'!$G$31:$G$400,"kg")),IF(EL$2="Âge",IF(EL$3="Tous",SUMIFS('Étape 1 - à remplir'!$F$31:$F$400,'Étape 1 - à remplir'!$H$31:$H$400,MASQ2!FB36,'Étape 1 - à remplir'!$G$31:$G$400,"kg"),SUMIFS('Étape 1 - à remplir'!$F$31:$F$400,'Étape 1 - à remplir'!$H$31:$H$400,MASQ2!FB36,'Étape 1 - à remplir'!$P$31:$P$400,EL$3,'Étape 1 - à remplir'!$G$31:$G$400,"kg")),IF(EL$2="Atelier",IF(EL$3="Tous",SUMIFS('Étape 1 - à remplir'!$F$31:$F$400,'Étape 1 - à remplir'!$H$31:$H$400,MASQ2!FB36,'Étape 1 - à remplir'!$G$31:$G$400,"kg"),SUMIFS('Étape 1 - à remplir'!$F$31:$F$400,'Étape 1 - à remplir'!$H$31:$H$400,MASQ2!FB36,'Étape 1 - à remplir'!$O$31:$O$400,EL$3,'Étape 1 - à remplir'!$G$31:$G$400,"kg")),IF(EL$2="Espèce",IF(EL$3="Toutes",SUMIFS('Étape 1 - à remplir'!$F$31:$F$400,'Étape 1 - à remplir'!$H$31:$H$400,MASQ2!FB36,'Étape 1 - à remplir'!$G$31:$G$400,"kg"),SUMIFS('Étape 1 - à remplir'!$F$31:$F$400,'Étape 1 - à remplir'!$H$31:$H$400,MASQ2!FB36,'Étape 1 - à remplir'!$N$31:$N$400,EL$3,'Étape 1 - à remplir'!$G$31:$G$400,"kg"))))))=0,NA(),IF(EL$2="Catégorie",IF(EL$3="Toutes",SUMIFS('Étape 1 - à remplir'!$F$31:$F$400,'Étape 1 - à remplir'!$H$31:$H$400,MASQ2!FB36,'Étape 1 - à remplir'!$G$31:$G$400,"kg"),SUMIFS('Étape 1 - à remplir'!$F$31:$F$400,'Étape 1 - à remplir'!$H$31:$H$400,MASQ2!FB36,'Étape 1 - à remplir'!$C$31:$C$400,EL$3,'Étape 1 - à remplir'!$G$31:$G$400,"kg")),IF(EL$2="Âge",IF(EL$3="Tous",SUMIFS('Étape 1 - à remplir'!$F$31:$F$400,'Étape 1 - à remplir'!$H$31:$H$400,MASQ2!FB36,'Étape 1 - à remplir'!$G$31:$G$400,"kg"),SUMIFS('Étape 1 - à remplir'!$F$31:$F$400,'Étape 1 - à remplir'!$H$31:$H$400,MASQ2!FB36,'Étape 1 - à remplir'!$P$31:$P$400,EL$3,'Étape 1 - à remplir'!$G$31:$G$400,"kg")),IF(EL$2="Atelier",IF(EL$3="Tous",SUMIFS('Étape 1 - à remplir'!$F$31:$F$400,'Étape 1 - à remplir'!$H$31:$H$400,MASQ2!FB36,'Étape 1 - à remplir'!$G$31:$G$400,"kg"),SUMIFS('Étape 1 - à remplir'!$F$31:$F$400,'Étape 1 - à remplir'!$H$31:$H$400,MASQ2!FB36,'Étape 1 - à remplir'!$O$31:$O$400,EL$3,'Étape 1 - à remplir'!$G$31:$G$400,"kg")),IF(EL$2="Espèce",IF(EL$3="Toutes",SUMIFS('Étape 1 - à remplir'!$F$31:$F$400,'Étape 1 - à remplir'!$H$31:$H$400,MASQ2!FB36,'Étape 1 - à remplir'!$G$31:$G$400,"kg"),SUMIFS('Étape 1 - à remplir'!$F$31:$F$400,'Étape 1 - à remplir'!$H$31:$H$400,MASQ2!FB36,'Étape 1 - à remplir'!$N$31:$N$400,EL$3,'Étape 1 - à remplir'!$G$31:$G$400,"kg")))))))</f>
        <v>#N/A</v>
      </c>
      <c r="FD36">
        <v>5</v>
      </c>
      <c r="FE36" t="e">
        <f t="shared" si="109"/>
        <v>#N/A</v>
      </c>
      <c r="FF36" s="63" t="e">
        <f t="shared" si="110"/>
        <v>#N/A</v>
      </c>
      <c r="FH36" s="42">
        <v>5</v>
      </c>
      <c r="FI36" s="118" t="str">
        <f t="shared" si="111"/>
        <v/>
      </c>
      <c r="FJ36" t="str">
        <f t="shared" si="112"/>
        <v/>
      </c>
      <c r="FK36" t="str">
        <f t="shared" si="113"/>
        <v/>
      </c>
      <c r="FL36" s="63" t="str">
        <f t="shared" si="114"/>
        <v/>
      </c>
      <c r="FM36" s="42"/>
      <c r="FP36" s="122" t="str">
        <f>IFERROR(IF(FQ36="","",COUNTIF(FQ$32:FQ$41,"&lt;"&amp;FQ36)+COUNTIF(FQ$32:FQ36,FQ36))-COUNTBLANK(FQ$32:FQ$41),"")</f>
        <v/>
      </c>
      <c r="FQ36" s="109" t="str">
        <f>IF('Étape 1 - à remplir'!G23="kg",'Étape 1 - à remplir'!C23,"")</f>
        <v/>
      </c>
      <c r="FR36" s="109" t="e">
        <f>INDEX(FP$32:FQ$41,MATCH(5,FP$32:FP$41,0),2)</f>
        <v>#N/A</v>
      </c>
      <c r="FS36" s="109" t="e">
        <f t="shared" si="117"/>
        <v>#N/A</v>
      </c>
      <c r="FT36" s="123" t="e">
        <f>IF(FS36="","",MAX(FT$31:FT35)+1)</f>
        <v>#N/A</v>
      </c>
    </row>
    <row r="37" spans="2:176" x14ac:dyDescent="0.3">
      <c r="B37" s="42"/>
      <c r="M37" s="194" t="str">
        <f ca="1">INDEX(Données_ATB!BD:BU,MATCH(MASQ2!O37,Données_ATB!BD:BD,0),18)</f>
        <v/>
      </c>
      <c r="N37" s="14" t="str">
        <f>IFERROR(IF(Q37=0,"",COUNTIF(Q$4:Q$600,"&gt;"&amp;Q37)+COUNTIF(Q$4:Q37,Q37)),"")</f>
        <v/>
      </c>
      <c r="O37" t="str">
        <f>Données_ATB!BD36</f>
        <v>AMPHEN 200 MG/G GRANULES POUR SOLUTION BUVABLE POUR PORCS</v>
      </c>
      <c r="P37" t="e">
        <f>IF(IF(X$2="Catégorie",IF(X$3="Toutes",SUMIFS('Étape 1 - à remplir'!$F$31:$F$400,'Étape 1 - à remplir'!$E$31:$E$400,MASQ2!O37,'Étape 1 - à remplir'!$G$31:$G$400,"animaux"),SUMIFS('Étape 1 - à remplir'!$F$31:$F$400,'Étape 1 - à remplir'!$E$31:$E$400,MASQ2!O37,'Étape 1 - à remplir'!$C$31:$C$400,X$3)),IF(X$2="Âge",IF(X$3="Tous",SUMIFS('Étape 1 - à remplir'!$F$31:$F$400,'Étape 1 - à remplir'!$E$31:$E$400,MASQ2!O37,'Étape 1 - à remplir'!$G$31:$G$400,"animaux"),SUMIFS('Étape 1 - à remplir'!$F$31:$F$400,'Étape 1 - à remplir'!$E$31:$E$400,MASQ2!O37,'Étape 1 - à remplir'!$P$31:$P$400,X$3)),IF(X$2="Atelier",IF(X$3="Tous",SUMIFS('Étape 1 - à remplir'!$F$31:$F$400,'Étape 1 - à remplir'!$E$31:$E$400,MASQ2!O37,'Étape 1 - à remplir'!$G$31:$G$400,"animaux"),SUMIFS('Étape 1 - à remplir'!$F$31:$F$400,'Étape 1 - à remplir'!$E$31:$E$400,MASQ2!O37,'Étape 1 - à remplir'!$O$31:$O$400,X$3)),IF(X$2="Espèce",IF(X$3="Toutes",SUMIFS('Étape 1 - à remplir'!$F$31:$F$400,'Étape 1 - à remplir'!$E$31:$E$400,MASQ2!O37,'Étape 1 - à remplir'!$G$31:$G$400,"animaux"),SUMIFS('Étape 1 - à remplir'!$F$31:$F$400,'Étape 1 - à remplir'!$E$31:$E$400,MASQ2!O37,'Étape 1 - à remplir'!$N$31:$N$400,X$3))))))=0,NA(),IF(X$2="Catégorie",IF(X$3="Toutes",SUMIFS('Étape 1 - à remplir'!$F$31:$F$400,'Étape 1 - à remplir'!$E$31:$E$400,MASQ2!O37,'Étape 1 - à remplir'!$G$31:$G$400,"animaux"),SUMIFS('Étape 1 - à remplir'!$F$31:$F$400,'Étape 1 - à remplir'!$E$31:$E$400,MASQ2!O37,'Étape 1 - à remplir'!$C$31:$C$400,X$3)),IF(X$2="Âge",IF(X$3="Tous",SUMIFS('Étape 1 - à remplir'!$F$31:$F$400,'Étape 1 - à remplir'!$E$31:$E$400,MASQ2!O37,'Étape 1 - à remplir'!$G$31:$G$400,"animaux"),SUMIFS('Étape 1 - à remplir'!$F$31:$F$400,'Étape 1 - à remplir'!$E$31:$E$400,MASQ2!O37,'Étape 1 - à remplir'!$P$31:$P$400,X$3)),IF(X$2="Atelier",IF(X$3="Tous",SUMIFS('Étape 1 - à remplir'!$F$31:$F$400,'Étape 1 - à remplir'!$E$31:$E$400,MASQ2!O37,'Étape 1 - à remplir'!$G$31:$G$400,"animaux"),SUMIFS('Étape 1 - à remplir'!$F$31:$F$400,'Étape 1 - à remplir'!$E$31:$E$400,MASQ2!O37,'Étape 1 - à remplir'!$O$31:$O$400,X$3)),IF(X$2="Espèce",IF(X$3="Toutes",SUMIFS('Étape 1 - à remplir'!$F$31:$F$400,'Étape 1 - à remplir'!$E$31:$E$400,MASQ2!O37,'Étape 1 - à remplir'!$G$31:$G$400,"animaux"),SUMIFS('Étape 1 - à remplir'!$F$31:$F$400,'Étape 1 - à remplir'!$E$31:$E$400,MASQ2!O37,'Étape 1 - à remplir'!$N$31:$N$400,X$3)))))))</f>
        <v>#N/A</v>
      </c>
      <c r="Q37" s="63">
        <f t="shared" si="62"/>
        <v>0</v>
      </c>
      <c r="R37" t="str">
        <f>Données_ATB!BM36</f>
        <v>Florfénicol</v>
      </c>
      <c r="S37" t="str">
        <f>Données_ATB!BN36</f>
        <v/>
      </c>
      <c r="T37" s="63" t="str">
        <f>Données_ATB!BO36</f>
        <v/>
      </c>
      <c r="U37" s="42" t="str">
        <f>Données_ATB!BQ36</f>
        <v>Phenicoles</v>
      </c>
      <c r="V37" t="str">
        <f>Données_ATB!BR36</f>
        <v/>
      </c>
      <c r="W37" s="63" t="str">
        <f>Données_ATB!BS36</f>
        <v/>
      </c>
      <c r="Z37" s="42">
        <v>34</v>
      </c>
      <c r="AA37" t="e">
        <f t="shared" si="32"/>
        <v>#N/A</v>
      </c>
      <c r="AB37" s="63" t="e">
        <f t="shared" si="33"/>
        <v>#N/A</v>
      </c>
      <c r="AD37" s="194" t="str">
        <f>IF(AF37="Colistine","x",IF(INDEX(Données_ATB!CA$3:CB$63,MATCH(AF37,Données_ATB!CA$3:CA$63,0),2)="Fluoroquinolones","x",IF(INDEX(Données_ATB!CA$3:CB$63,MATCH(AF37,Données_ATB!CA$3:CA$63,0),2)="Cephalosporines 3&amp;4G","x","")))</f>
        <v/>
      </c>
      <c r="AE37" s="219" t="str">
        <f>IFERROR(IF(AG37=0,"",COUNTIF(AG$4:AG$64,"&gt;"&amp;AG37)+COUNTIF(AG$4:AG37,AG37)),"")</f>
        <v/>
      </c>
      <c r="AF37" s="42" t="str">
        <f>Données_ATB!CA36</f>
        <v>Acide oxolinique</v>
      </c>
      <c r="AG37" s="63" t="e">
        <f t="shared" si="34"/>
        <v>#N/A</v>
      </c>
      <c r="AH37" s="42">
        <v>34</v>
      </c>
      <c r="AI37" t="e">
        <f t="shared" si="35"/>
        <v>#N/A</v>
      </c>
      <c r="AJ37" s="63" t="e">
        <f t="shared" si="36"/>
        <v>#N/A</v>
      </c>
      <c r="AM37" s="194" t="str">
        <f>IFERROR(IF(AO37=0,"",COUNTIF(AO$32:AO$38,"&gt;"&amp;AO37)+COUNTIF(AO$32:AO37,AO37)),"")</f>
        <v/>
      </c>
      <c r="AN37" t="str">
        <f>Données_ATB!CE8</f>
        <v>Voie intra-utérine</v>
      </c>
      <c r="AO37" s="76" t="e">
        <f>IF(IF(X$2="Catégorie",IF(X$3="Toutes",SUMIFS('Étape 1 - à remplir'!F$31:F$400,'Étape 1 - à remplir'!H$31:H$400,MASQ2!AN37,'Étape 1 - à remplir'!G$31:G$400,"animaux"),SUMIFS('Étape 1 - à remplir'!F$31:F$400,'Étape 1 - à remplir'!H$31:H$400,MASQ2!AN37,'Étape 1 - à remplir'!C$31:C$400,X$3)),IF(X$2="Âge",IF(X$3="Tous",SUMIFS('Étape 1 - à remplir'!F$31:F$400,'Étape 1 - à remplir'!H$31:H$400,MASQ2!AN37,'Étape 1 - à remplir'!G$31:G$400,"animaux"),SUMIFS('Étape 1 - à remplir'!F$31:F$400,'Étape 1 - à remplir'!H$31:H$400,MASQ2!AN37,'Étape 1 - à remplir'!P$31:P$400,X$3)),IF(X$2="Atelier",IF(X$3="Tous",SUMIFS('Étape 1 - à remplir'!F$31:F$400,'Étape 1 - à remplir'!H$31:H$400,MASQ2!AN37,'Étape 1 - à remplir'!G$31:G$400,"animaux"),SUMIFS('Étape 1 - à remplir'!F$31:F$400,'Étape 1 - à remplir'!H$31:H$400,MASQ2!AN37,'Étape 1 - à remplir'!O$31:O$400,X$3)),IF(X$2="Espèce",IF(X$3="Toutes",SUMIFS('Étape 1 - à remplir'!F$31:F$400,'Étape 1 - à remplir'!H$31:H$400,MASQ2!AN37,'Étape 1 - à remplir'!G$31:G$400,"animaux"),SUMIFS('Étape 1 - à remplir'!F$31:F$400,'Étape 1 - à remplir'!H$31:H$400,MASQ2!AN37,'Étape 1 - à remplir'!N$31:N$400,X$3))))))=0,NA(),IF(X$2="Catégorie",IF(X$3="Toutes",SUMIFS('Étape 1 - à remplir'!F$31:F$400,'Étape 1 - à remplir'!H$31:H$400,MASQ2!AN37,'Étape 1 - à remplir'!G$31:G$400,"animaux"),SUMIFS('Étape 1 - à remplir'!F$31:F$400,'Étape 1 - à remplir'!H$31:H$400,MASQ2!AN37,'Étape 1 - à remplir'!C$31:C$400,X$3)),IF(X$2="Âge",IF(X$3="Tous",SUMIFS('Étape 1 - à remplir'!F$31:F$400,'Étape 1 - à remplir'!H$31:H$400,MASQ2!AN37,'Étape 1 - à remplir'!G$31:G$400,"animaux"),SUMIFS('Étape 1 - à remplir'!F$31:F$400,'Étape 1 - à remplir'!H$31:H$400,MASQ2!AN37,'Étape 1 - à remplir'!P$31:P$400,X$3)),IF(X$2="Atelier",IF(X$3="Tous",SUMIFS('Étape 1 - à remplir'!F$31:F$400,'Étape 1 - à remplir'!H$31:H$400,MASQ2!AN37,'Étape 1 - à remplir'!G$31:G$400,"animaux"),SUMIFS('Étape 1 - à remplir'!F$31:F$400,'Étape 1 - à remplir'!H$31:H$400,MASQ2!AN37,'Étape 1 - à remplir'!O$31:O$400,X$3)),IF(X$2="Espèce",IF(X$3="Toutes",SUMIFS('Étape 1 - à remplir'!F$31:F$400,'Étape 1 - à remplir'!H$31:H$400,MASQ2!AN37,'Étape 1 - à remplir'!G$31:G$400,"animaux"),SUMIFS('Étape 1 - à remplir'!F$31:F$400,'Étape 1 - à remplir'!H$31:H$400,MASQ2!AN37,'Étape 1 - à remplir'!N$31:N$400,X$3)))))))</f>
        <v>#N/A</v>
      </c>
      <c r="AP37">
        <v>6</v>
      </c>
      <c r="AQ37" t="e">
        <f t="shared" si="98"/>
        <v>#N/A</v>
      </c>
      <c r="AR37" s="63" t="e">
        <f t="shared" si="99"/>
        <v>#N/A</v>
      </c>
      <c r="AT37" s="42">
        <v>6</v>
      </c>
      <c r="AU37" s="118" t="str">
        <f t="shared" si="100"/>
        <v/>
      </c>
      <c r="AV37" t="str">
        <f t="shared" si="101"/>
        <v/>
      </c>
      <c r="AW37" t="str">
        <f t="shared" si="102"/>
        <v/>
      </c>
      <c r="AX37" s="63" t="str">
        <f t="shared" si="95"/>
        <v/>
      </c>
      <c r="BB37" s="122" t="str">
        <f>IFERROR(IF(BC37="","",COUNTIF(BC$32:BC$41,"&lt;"&amp;BC37)+COUNTIF(BC$32:BC37,BC37))-COUNTBLANK(BC$32:BC$41),"")</f>
        <v/>
      </c>
      <c r="BC37" s="76" t="str">
        <f>IF('Étape 1 - à remplir'!G24="animaux",'Étape 1 - à remplir'!C24,"")</f>
        <v/>
      </c>
      <c r="BD37" t="e">
        <f>INDEX(BB$32:BC$41,MATCH(6,BB$32:BB$41,0),2)</f>
        <v>#N/A</v>
      </c>
      <c r="BE37" t="e">
        <f t="shared" si="115"/>
        <v>#N/A</v>
      </c>
      <c r="BF37" s="123" t="e">
        <f>IF(BE37="","",MAX(BF$31:BF36)+1)</f>
        <v>#N/A</v>
      </c>
      <c r="BT37" s="194" t="str">
        <f t="shared" ca="1" si="5"/>
        <v/>
      </c>
      <c r="BU37" s="219" t="str">
        <f>IFERROR(IF(BX37=0,"",COUNTIF(BX$4:BX$600,"&gt;"&amp;BX37)+COUNTIF(BX$4:BX37,BX37)),"")</f>
        <v/>
      </c>
      <c r="BV37" s="42" t="str">
        <f t="shared" si="6"/>
        <v>AMPHEN 200 MG/G GRANULES POUR SOLUTION BUVABLE POUR PORCS</v>
      </c>
      <c r="BW37" t="e">
        <f>IF(IF(CE$2="Catégorie",IF(CE$3="Toutes",SUMIFS('Étape 1 - à remplir'!$F$31:$F$400,'Étape 1 - à remplir'!$E$31:$E$400,MASQ2!BV37,'Étape 1 - à remplir'!$G$31:$G$400,"lots"),SUMIFS('Étape 1 - à remplir'!$F$31:$F$400,'Étape 1 - à remplir'!$E$31:$E$400,MASQ2!BV37,'Étape 1 - à remplir'!$C$31:$C$400,CE$3)),IF(CE$2="Âge",IF(CE$3="Tous",SUMIFS('Étape 1 - à remplir'!$F$31:$F$400,'Étape 1 - à remplir'!$E$31:$E$400,MASQ2!BV37,'Étape 1 - à remplir'!$G$31:$G$400,"lots"),SUMIFS('Étape 1 - à remplir'!$F$31:$F$400,'Étape 1 - à remplir'!$E$31:$E$400,MASQ2!BV37,'Étape 1 - à remplir'!$P$31:$P$400,CE$3,'Étape 1 - à remplir'!$G$31:$G$400,"lots")),IF(CE$2="Atelier",IF(CE$3="Tous",SUMIFS('Étape 1 - à remplir'!$F$31:$F$400,'Étape 1 - à remplir'!$E$31:$E$400,MASQ2!BV37,'Étape 1 - à remplir'!$G$31:$G$400,"lots"),SUMIFS('Étape 1 - à remplir'!$F$31:$F$400,'Étape 1 - à remplir'!$E$31:$E$400,MASQ2!BV37,'Étape 1 - à remplir'!$O$31:$O$400,CE$3,'Étape 1 - à remplir'!$G$31:$G$400,"lots")),IF(CE$2="Espèce",IF(CE$3="Toutes",SUMIFS('Étape 1 - à remplir'!$F$31:$F$400,'Étape 1 - à remplir'!$E$31:$E$400,MASQ2!BV37,'Étape 1 - à remplir'!$G$31:$G$400,"lots"),SUMIFS('Étape 1 - à remplir'!$F$31:$F$400,'Étape 1 - à remplir'!$E$31:$E$400,MASQ2!BV37,'Étape 1 - à remplir'!$N$31:$N$400,CE$3,'Étape 1 - à remplir'!$G$31:$G$400,"lots"))))))=0,NA(),IF(CE$2="Catégorie",IF(CE$3="Toutes",SUMIFS('Étape 1 - à remplir'!$F$31:$F$400,'Étape 1 - à remplir'!$E$31:$E$400,MASQ2!BV37,'Étape 1 - à remplir'!$G$31:$G$400,"lots"),SUMIFS('Étape 1 - à remplir'!$F$31:$F$400,'Étape 1 - à remplir'!$E$31:$E$400,MASQ2!BV37,'Étape 1 - à remplir'!$C$31:$C$400,CE$3)),IF(CE$2="Âge",IF(CE$3="Tous",SUMIFS('Étape 1 - à remplir'!$F$31:$F$400,'Étape 1 - à remplir'!$E$31:$E$400,MASQ2!BV37,'Étape 1 - à remplir'!$G$31:$G$400,"lots"),SUMIFS('Étape 1 - à remplir'!$F$31:$F$400,'Étape 1 - à remplir'!$E$31:$E$400,MASQ2!BV37,'Étape 1 - à remplir'!$P$31:$P$400,CE$3,'Étape 1 - à remplir'!$G$31:$G$400,"lots")),IF(CE$2="Atelier",IF(CE$3="Tous",SUMIFS('Étape 1 - à remplir'!$F$31:$F$400,'Étape 1 - à remplir'!$E$31:$E$400,MASQ2!BV37,'Étape 1 - à remplir'!$G$31:$G$400,"lots"),SUMIFS('Étape 1 - à remplir'!$F$31:$F$400,'Étape 1 - à remplir'!$E$31:$E$400,MASQ2!BV37,'Étape 1 - à remplir'!$O$31:$O$400,CE$3,'Étape 1 - à remplir'!$G$31:$G$400,"lots")),IF(CE$2="Espèce",IF(CE$3="Toutes",SUMIFS('Étape 1 - à remplir'!$F$31:$F$400,'Étape 1 - à remplir'!$E$31:$E$400,MASQ2!BV37,'Étape 1 - à remplir'!$G$31:$G$400,"lots"),SUMIFS('Étape 1 - à remplir'!$F$31:$F$400,'Étape 1 - à remplir'!$E$31:$E$400,MASQ2!BV37,'Étape 1 - à remplir'!$N$31:$N$400,CE$3,'Étape 1 - à remplir'!$G$31:$G$400,"lots")))))))</f>
        <v>#N/A</v>
      </c>
      <c r="BX37">
        <f t="shared" si="42"/>
        <v>0</v>
      </c>
      <c r="BY37" t="str">
        <f t="shared" si="7"/>
        <v>Florfénicol</v>
      </c>
      <c r="BZ37" t="str">
        <f t="shared" si="8"/>
        <v/>
      </c>
      <c r="CA37" t="str">
        <f t="shared" si="9"/>
        <v/>
      </c>
      <c r="CB37" t="str">
        <f t="shared" si="10"/>
        <v>Phenicoles</v>
      </c>
      <c r="CC37" t="str">
        <f t="shared" si="11"/>
        <v/>
      </c>
      <c r="CD37" s="63" t="str">
        <f t="shared" si="12"/>
        <v/>
      </c>
      <c r="CG37" s="42">
        <v>34</v>
      </c>
      <c r="CH37" s="42" t="e">
        <f t="shared" si="80"/>
        <v>#N/A</v>
      </c>
      <c r="CI37" s="63" t="e">
        <f t="shared" si="81"/>
        <v>#N/A</v>
      </c>
      <c r="CK37" s="194" t="str">
        <f t="shared" si="118"/>
        <v/>
      </c>
      <c r="CL37" s="226" t="str">
        <f>IFERROR(IF(CN37=0,"",COUNTIF(CN$4:CN$64,"&gt;"&amp;CN37)+COUNTIF(CN$4:CN37,CN37)),"")</f>
        <v/>
      </c>
      <c r="CM37" t="str">
        <f t="shared" si="119"/>
        <v>Acide oxolinique</v>
      </c>
      <c r="CN37" s="76" t="e">
        <f t="shared" si="45"/>
        <v>#N/A</v>
      </c>
      <c r="CO37">
        <v>34</v>
      </c>
      <c r="CP37" t="e">
        <f t="shared" si="46"/>
        <v>#N/A</v>
      </c>
      <c r="CQ37" s="63" t="e">
        <f t="shared" si="47"/>
        <v>#N/A</v>
      </c>
      <c r="CT37" s="194" t="str">
        <f>IFERROR(IF(CV37=0,"",COUNTIF(CV$32:CV$38,"&gt;"&amp;CV37)+COUNTIF(CV$32:CV37,CV37)),"")</f>
        <v/>
      </c>
      <c r="CU37" t="str">
        <f t="shared" si="96"/>
        <v>Voie intra-utérine</v>
      </c>
      <c r="CV37" s="76" t="e">
        <f>IF(IF(CE$2="Catégorie",IF(CE$3="Toutes",SUMIFS('Étape 1 - à remplir'!$F$31:$F$400,'Étape 1 - à remplir'!$H$31:$H$400,MASQ2!CU37,'Étape 1 - à remplir'!$G$31:$G$400,"lots"),SUMIFS('Étape 1 - à remplir'!$F$31:$F$400,'Étape 1 - à remplir'!$H$31:$H$400,MASQ2!CU37,'Étape 1 - à remplir'!$C$31:$C$400,CE$3,'Étape 1 - à remplir'!$G$31:$G$400,"lots")),IF(CE$2="Âge",IF(CE$3="Tous",SUMIFS('Étape 1 - à remplir'!$F$31:$F$400,'Étape 1 - à remplir'!$H$31:$H$400,MASQ2!CU37,'Étape 1 - à remplir'!$G$31:$G$400,"lots"),SUMIFS('Étape 1 - à remplir'!$F$31:$F$400,'Étape 1 - à remplir'!$H$31:$H$400,MASQ2!CU37,'Étape 1 - à remplir'!$P$31:$P$400,CE$3,'Étape 1 - à remplir'!$G$31:$G$400,"lots")),IF(CE$2="Atelier",IF(CE$3="Tous",SUMIFS('Étape 1 - à remplir'!$F$31:$F$400,'Étape 1 - à remplir'!$H$31:$H$400,MASQ2!CU37,'Étape 1 - à remplir'!$G$31:$G$400,"lots"),SUMIFS('Étape 1 - à remplir'!$F$31:$F$400,'Étape 1 - à remplir'!$H$31:$H$400,MASQ2!CU37,'Étape 1 - à remplir'!$O$31:$O$400,CE$3,'Étape 1 - à remplir'!$G$31:$G$400,"lots")),IF(CE$2="Espèce",IF(CE$3="Toutes",SUMIFS('Étape 1 - à remplir'!$F$31:$F$400,'Étape 1 - à remplir'!$H$31:$H$400,MASQ2!CU37,'Étape 1 - à remplir'!$G$31:$G$400,"lots"),SUMIFS('Étape 1 - à remplir'!$F$31:$F$400,'Étape 1 - à remplir'!$H$31:$H$400,MASQ2!CU37,'Étape 1 - à remplir'!$N$31:$N$400,CE$3,'Étape 1 - à remplir'!$G$31:$G$400,"lots"))))))=0,NA(),IF(CE$2="Catégorie",IF(CE$3="Toutes",SUMIFS('Étape 1 - à remplir'!$F$31:$F$400,'Étape 1 - à remplir'!$H$31:$H$400,MASQ2!CU37,'Étape 1 - à remplir'!$G$31:$G$400,"lots"),SUMIFS('Étape 1 - à remplir'!$F$31:$F$400,'Étape 1 - à remplir'!$H$31:$H$400,MASQ2!CU37,'Étape 1 - à remplir'!$C$31:$C$400,CE$3,'Étape 1 - à remplir'!$G$31:$G$400,"lots")),IF(CE$2="Âge",IF(CE$3="Tous",SUMIFS('Étape 1 - à remplir'!$F$31:$F$400,'Étape 1 - à remplir'!$H$31:$H$400,MASQ2!CU37,'Étape 1 - à remplir'!$G$31:$G$400,"lots"),SUMIFS('Étape 1 - à remplir'!$F$31:$F$400,'Étape 1 - à remplir'!$H$31:$H$400,MASQ2!CU37,'Étape 1 - à remplir'!$P$31:$P$400,CE$3,'Étape 1 - à remplir'!$G$31:$G$400,"lots")),IF(CE$2="Atelier",IF(CE$3="Tous",SUMIFS('Étape 1 - à remplir'!$F$31:$F$400,'Étape 1 - à remplir'!$H$31:$H$400,MASQ2!CU37,'Étape 1 - à remplir'!$G$31:$G$400,"lots"),SUMIFS('Étape 1 - à remplir'!$F$31:$F$400,'Étape 1 - à remplir'!$H$31:$H$400,MASQ2!CU37,'Étape 1 - à remplir'!$O$31:$O$400,CE$3,'Étape 1 - à remplir'!$G$31:$G$400,"lots")),IF(CE$2="Espèce",IF(CE$3="Toutes",SUMIFS('Étape 1 - à remplir'!$F$31:$F$400,'Étape 1 - à remplir'!$H$31:$H$400,MASQ2!CU37,'Étape 1 - à remplir'!$G$31:$G$400,"lots"),SUMIFS('Étape 1 - à remplir'!$F$31:$F$400,'Étape 1 - à remplir'!$H$31:$H$400,MASQ2!CU37,'Étape 1 - à remplir'!$N$31:$N$400,CE$3,'Étape 1 - à remplir'!$G$31:$G$400,"lots")))))))</f>
        <v>#N/A</v>
      </c>
      <c r="CW37">
        <v>6</v>
      </c>
      <c r="CX37" t="e">
        <f t="shared" si="103"/>
        <v>#N/A</v>
      </c>
      <c r="CY37" s="63" t="e">
        <f t="shared" si="104"/>
        <v>#N/A</v>
      </c>
      <c r="DA37" s="42">
        <v>6</v>
      </c>
      <c r="DB37" s="118" t="str">
        <f t="shared" si="105"/>
        <v/>
      </c>
      <c r="DC37" t="str">
        <f t="shared" si="106"/>
        <v/>
      </c>
      <c r="DD37" t="str">
        <f t="shared" si="107"/>
        <v/>
      </c>
      <c r="DE37" s="63" t="str">
        <f t="shared" si="108"/>
        <v/>
      </c>
      <c r="DI37" s="122" t="str">
        <f>IFERROR(IF(DJ37="","",COUNTIF(DJ$32:DJ$41,"&lt;"&amp;DJ37)+COUNTIF(DJ$32:DJ37,DJ37))-COUNTBLANK(DJ$32:DJ$41),"")</f>
        <v/>
      </c>
      <c r="DJ37" s="109" t="str">
        <f>IF('Étape 1 - à remplir'!G24="lots",'Étape 1 - à remplir'!C24,"")</f>
        <v/>
      </c>
      <c r="DK37" s="109" t="e">
        <f>INDEX(DI$32:DJ$41,MATCH(6,DI$32:DI$41,0),2)</f>
        <v>#N/A</v>
      </c>
      <c r="DL37" s="109" t="e">
        <f t="shared" si="116"/>
        <v>#N/A</v>
      </c>
      <c r="DM37" s="123" t="e">
        <f>IF(DL37="","",MAX(DM$31:DM36)+1)</f>
        <v>#N/A</v>
      </c>
      <c r="EA37" s="194" t="str">
        <f t="shared" ca="1" si="18"/>
        <v/>
      </c>
      <c r="EB37" s="226" t="str">
        <f>IFERROR(IF(ED37=0,"",COUNTIF(ED$4:ED$600,"&gt;"&amp;ED37)+COUNTIF(ED$4:ED37,ED37)),"")</f>
        <v/>
      </c>
      <c r="EC37" t="str">
        <f t="shared" si="19"/>
        <v>AMPHEN 200 MG/G GRANULES POUR SOLUTION BUVABLE POUR PORCS</v>
      </c>
      <c r="ED37" t="e">
        <f>IF(IF(EL$2="Catégorie",IF(EL$3="Toutes",SUMIFS('Étape 1 - à remplir'!$F$31:$F$400,'Étape 1 - à remplir'!$E$31:$E$400,MASQ2!EC37,'Étape 1 - à remplir'!$G$31:$G$400,"kg"),SUMIFS('Étape 1 - à remplir'!$F$31:$F$400,'Étape 1 - à remplir'!$E$31:$E$400,MASQ2!EC37,'Étape 1 - à remplir'!$C$31:$C$400,EL$3)),IF(EL$2="Âge",IF(EL$3="Tous",SUMIFS('Étape 1 - à remplir'!$F$31:$F$400,'Étape 1 - à remplir'!$E$31:$E$400,MASQ2!EC37,'Étape 1 - à remplir'!$G$31:$G$400,"kg"),SUMIFS('Étape 1 - à remplir'!$F$31:$F$400,'Étape 1 - à remplir'!$E$31:$E$400,MASQ2!EC37,'Étape 1 - à remplir'!$P$31:$P$400,EL$3,'Étape 1 - à remplir'!$G$31:$G$400,"kg")),IF(EL$2="Atelier",IF(EL$3="Tous",SUMIFS('Étape 1 - à remplir'!$F$31:$F$400,'Étape 1 - à remplir'!$E$31:$E$400,MASQ2!EC37,'Étape 1 - à remplir'!$G$31:$G$400,"kg"),SUMIFS('Étape 1 - à remplir'!$F$31:$F$400,'Étape 1 - à remplir'!$E$31:$E$400,MASQ2!EC37,'Étape 1 - à remplir'!$O$31:$O$400,EL$3,'Étape 1 - à remplir'!$G$31:$G$400,"kg")),IF(EL$2="Espèce",IF(EL$3="Toutes",SUMIFS('Étape 1 - à remplir'!$F$31:$F$400,'Étape 1 - à remplir'!$E$31:$E$400,MASQ2!EC37,'Étape 1 - à remplir'!$G$31:$G$400,"kg"),SUMIFS('Étape 1 - à remplir'!$F$31:$F$400,'Étape 1 - à remplir'!$E$31:$E$400,MASQ2!EC37,'Étape 1 - à remplir'!$N$31:$N$400,EL$3,'Étape 1 - à remplir'!$G$31:$G$400,"kg"))))))=0,NA(),IF(EL$2="Catégorie",IF(EL$3="Toutes",SUMIFS('Étape 1 - à remplir'!$F$31:$F$400,'Étape 1 - à remplir'!$E$31:$E$400,MASQ2!EC37,'Étape 1 - à remplir'!$G$31:$G$400,"kg"),SUMIFS('Étape 1 - à remplir'!$F$31:$F$400,'Étape 1 - à remplir'!$E$31:$E$400,MASQ2!EC37,'Étape 1 - à remplir'!$C$31:$C$400,EL$3)),IF(EL$2="Âge",IF(EL$3="Tous",SUMIFS('Étape 1 - à remplir'!$F$31:$F$400,'Étape 1 - à remplir'!$E$31:$E$400,MASQ2!EC37,'Étape 1 - à remplir'!$G$31:$G$400,"kg"),SUMIFS('Étape 1 - à remplir'!$F$31:$F$400,'Étape 1 - à remplir'!$E$31:$E$400,MASQ2!EC37,'Étape 1 - à remplir'!$P$31:$P$400,EL$3,'Étape 1 - à remplir'!$G$31:$G$400,"kg")),IF(EL$2="Atelier",IF(EL$3="Tous",SUMIFS('Étape 1 - à remplir'!$F$31:$F$400,'Étape 1 - à remplir'!$E$31:$E$400,MASQ2!EC37,'Étape 1 - à remplir'!$G$31:$G$400,"kg"),SUMIFS('Étape 1 - à remplir'!$F$31:$F$400,'Étape 1 - à remplir'!$E$31:$E$400,MASQ2!EC37,'Étape 1 - à remplir'!$O$31:$O$400,EL$3,'Étape 1 - à remplir'!$G$31:$G$400,"kg")),IF(EL$2="Espèce",IF(EL$3="Toutes",SUMIFS('Étape 1 - à remplir'!$F$31:$F$400,'Étape 1 - à remplir'!$E$31:$E$400,MASQ2!EC37,'Étape 1 - à remplir'!$G$31:$G$400,"kg"),SUMIFS('Étape 1 - à remplir'!$F$31:$F$400,'Étape 1 - à remplir'!$E$31:$E$400,MASQ2!EC37,'Étape 1 - à remplir'!$N$31:$N$400,EL$3,'Étape 1 - à remplir'!$G$31:$G$400,"kg")))))))</f>
        <v>#N/A</v>
      </c>
      <c r="EE37" s="76">
        <f t="shared" si="53"/>
        <v>0</v>
      </c>
      <c r="EF37" t="str">
        <f t="shared" si="20"/>
        <v>Florfénicol</v>
      </c>
      <c r="EG37" t="str">
        <f t="shared" si="21"/>
        <v/>
      </c>
      <c r="EH37" t="str">
        <f t="shared" si="22"/>
        <v/>
      </c>
      <c r="EI37" t="str">
        <f t="shared" si="23"/>
        <v>Phenicoles</v>
      </c>
      <c r="EJ37" t="str">
        <f t="shared" si="24"/>
        <v/>
      </c>
      <c r="EK37" s="63" t="str">
        <f t="shared" si="25"/>
        <v/>
      </c>
      <c r="EN37" s="42">
        <v>34</v>
      </c>
      <c r="EO37" t="e">
        <f t="shared" si="68"/>
        <v>#N/A</v>
      </c>
      <c r="EP37" s="63" t="e">
        <f t="shared" si="69"/>
        <v>#N/A</v>
      </c>
      <c r="ER37" s="194" t="str">
        <f t="shared" si="120"/>
        <v/>
      </c>
      <c r="ES37" s="226" t="str">
        <f>IFERROR(IF(EU37=0,"",COUNTIF(EU$4:EU$64,"&gt;"&amp;EU37)+COUNTIF(EU$4:EU37,EU37)),"")</f>
        <v/>
      </c>
      <c r="ET37" t="str">
        <f t="shared" si="121"/>
        <v>Acide oxolinique</v>
      </c>
      <c r="EU37" s="76" t="e">
        <f t="shared" si="56"/>
        <v>#N/A</v>
      </c>
      <c r="EV37">
        <v>34</v>
      </c>
      <c r="EW37" t="e">
        <f t="shared" si="57"/>
        <v>#N/A</v>
      </c>
      <c r="EX37" s="63" t="e">
        <f t="shared" si="58"/>
        <v>#N/A</v>
      </c>
      <c r="FA37" s="194" t="str">
        <f>IFERROR(IF(FC37=0,"",COUNTIF(FC$32:FC$38,"&gt;"&amp;FC37)+COUNTIF(FC$32:FC37,FC37)),"")</f>
        <v/>
      </c>
      <c r="FB37" t="str">
        <f t="shared" si="97"/>
        <v>Voie intra-utérine</v>
      </c>
      <c r="FC37" s="76" t="e">
        <f>IF(IF(EL$2="Catégorie",IF(EL$3="Toutes",SUMIFS('Étape 1 - à remplir'!$F$31:$F$400,'Étape 1 - à remplir'!$H$31:$H$400,MASQ2!FB37,'Étape 1 - à remplir'!$G$31:$G$400,"kg"),SUMIFS('Étape 1 - à remplir'!$F$31:$F$400,'Étape 1 - à remplir'!$H$31:$H$400,MASQ2!FB37,'Étape 1 - à remplir'!$C$31:$C$400,EL$3,'Étape 1 - à remplir'!$G$31:$G$400,"kg")),IF(EL$2="Âge",IF(EL$3="Tous",SUMIFS('Étape 1 - à remplir'!$F$31:$F$400,'Étape 1 - à remplir'!$H$31:$H$400,MASQ2!FB37,'Étape 1 - à remplir'!$G$31:$G$400,"kg"),SUMIFS('Étape 1 - à remplir'!$F$31:$F$400,'Étape 1 - à remplir'!$H$31:$H$400,MASQ2!FB37,'Étape 1 - à remplir'!$P$31:$P$400,EL$3,'Étape 1 - à remplir'!$G$31:$G$400,"kg")),IF(EL$2="Atelier",IF(EL$3="Tous",SUMIFS('Étape 1 - à remplir'!$F$31:$F$400,'Étape 1 - à remplir'!$H$31:$H$400,MASQ2!FB37,'Étape 1 - à remplir'!$G$31:$G$400,"kg"),SUMIFS('Étape 1 - à remplir'!$F$31:$F$400,'Étape 1 - à remplir'!$H$31:$H$400,MASQ2!FB37,'Étape 1 - à remplir'!$O$31:$O$400,EL$3,'Étape 1 - à remplir'!$G$31:$G$400,"kg")),IF(EL$2="Espèce",IF(EL$3="Toutes",SUMIFS('Étape 1 - à remplir'!$F$31:$F$400,'Étape 1 - à remplir'!$H$31:$H$400,MASQ2!FB37,'Étape 1 - à remplir'!$G$31:$G$400,"kg"),SUMIFS('Étape 1 - à remplir'!$F$31:$F$400,'Étape 1 - à remplir'!$H$31:$H$400,MASQ2!FB37,'Étape 1 - à remplir'!$N$31:$N$400,EL$3,'Étape 1 - à remplir'!$G$31:$G$400,"kg"))))))=0,NA(),IF(EL$2="Catégorie",IF(EL$3="Toutes",SUMIFS('Étape 1 - à remplir'!$F$31:$F$400,'Étape 1 - à remplir'!$H$31:$H$400,MASQ2!FB37,'Étape 1 - à remplir'!$G$31:$G$400,"kg"),SUMIFS('Étape 1 - à remplir'!$F$31:$F$400,'Étape 1 - à remplir'!$H$31:$H$400,MASQ2!FB37,'Étape 1 - à remplir'!$C$31:$C$400,EL$3,'Étape 1 - à remplir'!$G$31:$G$400,"kg")),IF(EL$2="Âge",IF(EL$3="Tous",SUMIFS('Étape 1 - à remplir'!$F$31:$F$400,'Étape 1 - à remplir'!$H$31:$H$400,MASQ2!FB37,'Étape 1 - à remplir'!$G$31:$G$400,"kg"),SUMIFS('Étape 1 - à remplir'!$F$31:$F$400,'Étape 1 - à remplir'!$H$31:$H$400,MASQ2!FB37,'Étape 1 - à remplir'!$P$31:$P$400,EL$3,'Étape 1 - à remplir'!$G$31:$G$400,"kg")),IF(EL$2="Atelier",IF(EL$3="Tous",SUMIFS('Étape 1 - à remplir'!$F$31:$F$400,'Étape 1 - à remplir'!$H$31:$H$400,MASQ2!FB37,'Étape 1 - à remplir'!$G$31:$G$400,"kg"),SUMIFS('Étape 1 - à remplir'!$F$31:$F$400,'Étape 1 - à remplir'!$H$31:$H$400,MASQ2!FB37,'Étape 1 - à remplir'!$O$31:$O$400,EL$3,'Étape 1 - à remplir'!$G$31:$G$400,"kg")),IF(EL$2="Espèce",IF(EL$3="Toutes",SUMIFS('Étape 1 - à remplir'!$F$31:$F$400,'Étape 1 - à remplir'!$H$31:$H$400,MASQ2!FB37,'Étape 1 - à remplir'!$G$31:$G$400,"kg"),SUMIFS('Étape 1 - à remplir'!$F$31:$F$400,'Étape 1 - à remplir'!$H$31:$H$400,MASQ2!FB37,'Étape 1 - à remplir'!$N$31:$N$400,EL$3,'Étape 1 - à remplir'!$G$31:$G$400,"kg")))))))</f>
        <v>#N/A</v>
      </c>
      <c r="FD37">
        <v>6</v>
      </c>
      <c r="FE37" t="e">
        <f t="shared" si="109"/>
        <v>#N/A</v>
      </c>
      <c r="FF37" s="63" t="e">
        <f t="shared" si="110"/>
        <v>#N/A</v>
      </c>
      <c r="FH37" s="42">
        <v>6</v>
      </c>
      <c r="FI37" s="118" t="str">
        <f t="shared" si="111"/>
        <v/>
      </c>
      <c r="FJ37" t="str">
        <f t="shared" si="112"/>
        <v/>
      </c>
      <c r="FK37" t="str">
        <f t="shared" si="113"/>
        <v/>
      </c>
      <c r="FL37" s="63" t="str">
        <f t="shared" si="114"/>
        <v/>
      </c>
      <c r="FM37" s="42"/>
      <c r="FP37" s="122" t="str">
        <f>IFERROR(IF(FQ37="","",COUNTIF(FQ$32:FQ$41,"&lt;"&amp;FQ37)+COUNTIF(FQ$32:FQ37,FQ37))-COUNTBLANK(FQ$32:FQ$41),"")</f>
        <v/>
      </c>
      <c r="FQ37" s="109" t="str">
        <f>IF('Étape 1 - à remplir'!G24="kg",'Étape 1 - à remplir'!C24,"")</f>
        <v/>
      </c>
      <c r="FR37" s="109" t="e">
        <f>INDEX(FP$32:FQ$41,MATCH(6,FP$32:FP$41,0),2)</f>
        <v>#N/A</v>
      </c>
      <c r="FS37" s="109" t="e">
        <f t="shared" si="117"/>
        <v>#N/A</v>
      </c>
      <c r="FT37" s="123" t="e">
        <f>IF(FS37="","",MAX(FT$31:FT36)+1)</f>
        <v>#N/A</v>
      </c>
    </row>
    <row r="38" spans="2:176" ht="15" thickBot="1" x14ac:dyDescent="0.35">
      <c r="B38" s="42"/>
      <c r="M38" s="194" t="str">
        <f ca="1">INDEX(Données_ATB!BD:BU,MATCH(MASQ2!O38,Données_ATB!BD:BD,0),18)</f>
        <v/>
      </c>
      <c r="N38" s="14" t="str">
        <f>IFERROR(IF(Q38=0,"",COUNTIF(Q$4:Q$600,"&gt;"&amp;Q38)+COUNTIF(Q$4:Q38,Q38)),"")</f>
        <v/>
      </c>
      <c r="O38" t="str">
        <f>Données_ATB!BD37</f>
        <v>AMPHOPRIM</v>
      </c>
      <c r="P38" t="e">
        <f>IF(IF(X$2="Catégorie",IF(X$3="Toutes",SUMIFS('Étape 1 - à remplir'!$F$31:$F$400,'Étape 1 - à remplir'!$E$31:$E$400,MASQ2!O38,'Étape 1 - à remplir'!$G$31:$G$400,"animaux"),SUMIFS('Étape 1 - à remplir'!$F$31:$F$400,'Étape 1 - à remplir'!$E$31:$E$400,MASQ2!O38,'Étape 1 - à remplir'!$C$31:$C$400,X$3)),IF(X$2="Âge",IF(X$3="Tous",SUMIFS('Étape 1 - à remplir'!$F$31:$F$400,'Étape 1 - à remplir'!$E$31:$E$400,MASQ2!O38,'Étape 1 - à remplir'!$G$31:$G$400,"animaux"),SUMIFS('Étape 1 - à remplir'!$F$31:$F$400,'Étape 1 - à remplir'!$E$31:$E$400,MASQ2!O38,'Étape 1 - à remplir'!$P$31:$P$400,X$3)),IF(X$2="Atelier",IF(X$3="Tous",SUMIFS('Étape 1 - à remplir'!$F$31:$F$400,'Étape 1 - à remplir'!$E$31:$E$400,MASQ2!O38,'Étape 1 - à remplir'!$G$31:$G$400,"animaux"),SUMIFS('Étape 1 - à remplir'!$F$31:$F$400,'Étape 1 - à remplir'!$E$31:$E$400,MASQ2!O38,'Étape 1 - à remplir'!$O$31:$O$400,X$3)),IF(X$2="Espèce",IF(X$3="Toutes",SUMIFS('Étape 1 - à remplir'!$F$31:$F$400,'Étape 1 - à remplir'!$E$31:$E$400,MASQ2!O38,'Étape 1 - à remplir'!$G$31:$G$400,"animaux"),SUMIFS('Étape 1 - à remplir'!$F$31:$F$400,'Étape 1 - à remplir'!$E$31:$E$400,MASQ2!O38,'Étape 1 - à remplir'!$N$31:$N$400,X$3))))))=0,NA(),IF(X$2="Catégorie",IF(X$3="Toutes",SUMIFS('Étape 1 - à remplir'!$F$31:$F$400,'Étape 1 - à remplir'!$E$31:$E$400,MASQ2!O38,'Étape 1 - à remplir'!$G$31:$G$400,"animaux"),SUMIFS('Étape 1 - à remplir'!$F$31:$F$400,'Étape 1 - à remplir'!$E$31:$E$400,MASQ2!O38,'Étape 1 - à remplir'!$C$31:$C$400,X$3)),IF(X$2="Âge",IF(X$3="Tous",SUMIFS('Étape 1 - à remplir'!$F$31:$F$400,'Étape 1 - à remplir'!$E$31:$E$400,MASQ2!O38,'Étape 1 - à remplir'!$G$31:$G$400,"animaux"),SUMIFS('Étape 1 - à remplir'!$F$31:$F$400,'Étape 1 - à remplir'!$E$31:$E$400,MASQ2!O38,'Étape 1 - à remplir'!$P$31:$P$400,X$3)),IF(X$2="Atelier",IF(X$3="Tous",SUMIFS('Étape 1 - à remplir'!$F$31:$F$400,'Étape 1 - à remplir'!$E$31:$E$400,MASQ2!O38,'Étape 1 - à remplir'!$G$31:$G$400,"animaux"),SUMIFS('Étape 1 - à remplir'!$F$31:$F$400,'Étape 1 - à remplir'!$E$31:$E$400,MASQ2!O38,'Étape 1 - à remplir'!$O$31:$O$400,X$3)),IF(X$2="Espèce",IF(X$3="Toutes",SUMIFS('Étape 1 - à remplir'!$F$31:$F$400,'Étape 1 - à remplir'!$E$31:$E$400,MASQ2!O38,'Étape 1 - à remplir'!$G$31:$G$400,"animaux"),SUMIFS('Étape 1 - à remplir'!$F$31:$F$400,'Étape 1 - à remplir'!$E$31:$E$400,MASQ2!O38,'Étape 1 - à remplir'!$N$31:$N$400,X$3)))))))</f>
        <v>#N/A</v>
      </c>
      <c r="Q38" s="63">
        <f t="shared" si="62"/>
        <v>0</v>
      </c>
      <c r="R38" t="str">
        <f>Données_ATB!BM37</f>
        <v>Sulfadimidine</v>
      </c>
      <c r="S38" t="str">
        <f>Données_ATB!BN37</f>
        <v>Triméthoprime</v>
      </c>
      <c r="T38" s="63" t="str">
        <f>Données_ATB!BO37</f>
        <v/>
      </c>
      <c r="U38" s="42" t="str">
        <f>Données_ATB!BQ37</f>
        <v>Sulfamides</v>
      </c>
      <c r="V38" t="str">
        <f>Données_ATB!BR37</f>
        <v>Trimethoprime</v>
      </c>
      <c r="W38" s="63" t="str">
        <f>Données_ATB!BS37</f>
        <v/>
      </c>
      <c r="Z38" s="42">
        <v>35</v>
      </c>
      <c r="AA38" t="e">
        <f t="shared" si="32"/>
        <v>#N/A</v>
      </c>
      <c r="AB38" s="63" t="e">
        <f t="shared" si="33"/>
        <v>#N/A</v>
      </c>
      <c r="AD38" s="194" t="str">
        <f>IF(AF38="Colistine","x",IF(INDEX(Données_ATB!CA$3:CB$63,MATCH(AF38,Données_ATB!CA$3:CA$63,0),2)="Fluoroquinolones","x",IF(INDEX(Données_ATB!CA$3:CB$63,MATCH(AF38,Données_ATB!CA$3:CA$63,0),2)="Cephalosporines 3&amp;4G","x","")))</f>
        <v/>
      </c>
      <c r="AE38" s="219" t="str">
        <f>IFERROR(IF(AG38=0,"",COUNTIF(AG$4:AG$64,"&gt;"&amp;AG38)+COUNTIF(AG$4:AG38,AG38)),"")</f>
        <v/>
      </c>
      <c r="AF38" s="42" t="str">
        <f>Données_ATB!CA37</f>
        <v>Oxytétracycline</v>
      </c>
      <c r="AG38" s="63" t="e">
        <f t="shared" si="34"/>
        <v>#N/A</v>
      </c>
      <c r="AH38" s="42">
        <v>35</v>
      </c>
      <c r="AI38" t="e">
        <f t="shared" si="35"/>
        <v>#N/A</v>
      </c>
      <c r="AJ38" s="63" t="e">
        <f t="shared" si="36"/>
        <v>#N/A</v>
      </c>
      <c r="AM38" s="195" t="str">
        <f>IFERROR(IF(AO38=0,"",COUNTIF(AO$32:AO$38,"&gt;"&amp;AO38)+COUNTIF(AO$32:AO38,AO38)),"")</f>
        <v/>
      </c>
      <c r="AN38" s="64" t="str">
        <f>Données_ATB!CE9</f>
        <v>Voies parentérale et orale</v>
      </c>
      <c r="AO38" s="77" t="e">
        <f>IF(IF(X$2="Catégorie",IF(X$3="Toutes",SUMIFS('Étape 1 - à remplir'!F$31:F$400,'Étape 1 - à remplir'!H$31:H$400,MASQ2!AN38,'Étape 1 - à remplir'!G$31:G$400,"animaux"),SUMIFS('Étape 1 - à remplir'!F$31:F$400,'Étape 1 - à remplir'!H$31:H$400,MASQ2!AN38,'Étape 1 - à remplir'!C$31:C$400,X$3)),IF(X$2="Âge",IF(X$3="Tous",SUMIFS('Étape 1 - à remplir'!F$31:F$400,'Étape 1 - à remplir'!H$31:H$400,MASQ2!AN38,'Étape 1 - à remplir'!G$31:G$400,"animaux"),SUMIFS('Étape 1 - à remplir'!F$31:F$400,'Étape 1 - à remplir'!H$31:H$400,MASQ2!AN38,'Étape 1 - à remplir'!P$31:P$400,X$3)),IF(X$2="Atelier",IF(X$3="Tous",SUMIFS('Étape 1 - à remplir'!F$31:F$400,'Étape 1 - à remplir'!H$31:H$400,MASQ2!AN38,'Étape 1 - à remplir'!G$31:G$400,"animaux"),SUMIFS('Étape 1 - à remplir'!F$31:F$400,'Étape 1 - à remplir'!H$31:H$400,MASQ2!AN38,'Étape 1 - à remplir'!O$31:O$400,X$3)),IF(X$2="Espèce",IF(X$3="Toutes",SUMIFS('Étape 1 - à remplir'!F$31:F$400,'Étape 1 - à remplir'!H$31:H$400,MASQ2!AN38,'Étape 1 - à remplir'!G$31:G$400,"animaux"),SUMIFS('Étape 1 - à remplir'!F$31:F$400,'Étape 1 - à remplir'!H$31:H$400,MASQ2!AN38,'Étape 1 - à remplir'!N$31:N$400,X$3))))))=0,NA(),IF(X$2="Catégorie",IF(X$3="Toutes",SUMIFS('Étape 1 - à remplir'!F$31:F$400,'Étape 1 - à remplir'!H$31:H$400,MASQ2!AN38,'Étape 1 - à remplir'!G$31:G$400,"animaux"),SUMIFS('Étape 1 - à remplir'!F$31:F$400,'Étape 1 - à remplir'!H$31:H$400,MASQ2!AN38,'Étape 1 - à remplir'!C$31:C$400,X$3)),IF(X$2="Âge",IF(X$3="Tous",SUMIFS('Étape 1 - à remplir'!F$31:F$400,'Étape 1 - à remplir'!H$31:H$400,MASQ2!AN38,'Étape 1 - à remplir'!G$31:G$400,"animaux"),SUMIFS('Étape 1 - à remplir'!F$31:F$400,'Étape 1 - à remplir'!H$31:H$400,MASQ2!AN38,'Étape 1 - à remplir'!P$31:P$400,X$3)),IF(X$2="Atelier",IF(X$3="Tous",SUMIFS('Étape 1 - à remplir'!F$31:F$400,'Étape 1 - à remplir'!H$31:H$400,MASQ2!AN38,'Étape 1 - à remplir'!G$31:G$400,"animaux"),SUMIFS('Étape 1 - à remplir'!F$31:F$400,'Étape 1 - à remplir'!H$31:H$400,MASQ2!AN38,'Étape 1 - à remplir'!O$31:O$400,X$3)),IF(X$2="Espèce",IF(X$3="Toutes",SUMIFS('Étape 1 - à remplir'!F$31:F$400,'Étape 1 - à remplir'!H$31:H$400,MASQ2!AN38,'Étape 1 - à remplir'!G$31:G$400,"animaux"),SUMIFS('Étape 1 - à remplir'!F$31:F$400,'Étape 1 - à remplir'!H$31:H$400,MASQ2!AN38,'Étape 1 - à remplir'!N$31:N$400,X$3)))))))</f>
        <v>#N/A</v>
      </c>
      <c r="AP38" s="64">
        <v>7</v>
      </c>
      <c r="AQ38" s="64" t="e">
        <f t="shared" si="98"/>
        <v>#N/A</v>
      </c>
      <c r="AR38" s="65" t="e">
        <f t="shared" si="99"/>
        <v>#N/A</v>
      </c>
      <c r="AT38" s="42">
        <v>7</v>
      </c>
      <c r="AU38" s="118" t="str">
        <f t="shared" si="100"/>
        <v/>
      </c>
      <c r="AV38" t="str">
        <f t="shared" si="101"/>
        <v/>
      </c>
      <c r="AW38" t="str">
        <f t="shared" si="102"/>
        <v/>
      </c>
      <c r="AX38" s="63" t="str">
        <f t="shared" si="95"/>
        <v/>
      </c>
      <c r="BB38" s="122" t="str">
        <f>IFERROR(IF(BC38="","",COUNTIF(BC$32:BC$41,"&lt;"&amp;BC38)+COUNTIF(BC$32:BC38,BC38))-COUNTBLANK(BC$32:BC$41),"")</f>
        <v/>
      </c>
      <c r="BC38" s="76" t="str">
        <f>IF('Étape 1 - à remplir'!G25="animaux",'Étape 1 - à remplir'!C25,"")</f>
        <v/>
      </c>
      <c r="BD38" t="e">
        <f>INDEX(BB$32:BC$41,MATCH(7,BB$32:BB$41,0),2)</f>
        <v>#N/A</v>
      </c>
      <c r="BE38" t="e">
        <f t="shared" si="115"/>
        <v>#N/A</v>
      </c>
      <c r="BF38" s="123" t="e">
        <f>IF(BE38="","",MAX(BF$31:BF37)+1)</f>
        <v>#N/A</v>
      </c>
      <c r="BT38" s="194" t="str">
        <f t="shared" ca="1" si="5"/>
        <v/>
      </c>
      <c r="BU38" s="219" t="str">
        <f>IFERROR(IF(BX38=0,"",COUNTIF(BX$4:BX$600,"&gt;"&amp;BX38)+COUNTIF(BX$4:BX38,BX38)),"")</f>
        <v/>
      </c>
      <c r="BV38" s="42" t="str">
        <f t="shared" si="6"/>
        <v>AMPHOPRIM</v>
      </c>
      <c r="BW38" t="e">
        <f>IF(IF(CE$2="Catégorie",IF(CE$3="Toutes",SUMIFS('Étape 1 - à remplir'!$F$31:$F$400,'Étape 1 - à remplir'!$E$31:$E$400,MASQ2!BV38,'Étape 1 - à remplir'!$G$31:$G$400,"lots"),SUMIFS('Étape 1 - à remplir'!$F$31:$F$400,'Étape 1 - à remplir'!$E$31:$E$400,MASQ2!BV38,'Étape 1 - à remplir'!$C$31:$C$400,CE$3)),IF(CE$2="Âge",IF(CE$3="Tous",SUMIFS('Étape 1 - à remplir'!$F$31:$F$400,'Étape 1 - à remplir'!$E$31:$E$400,MASQ2!BV38,'Étape 1 - à remplir'!$G$31:$G$400,"lots"),SUMIFS('Étape 1 - à remplir'!$F$31:$F$400,'Étape 1 - à remplir'!$E$31:$E$400,MASQ2!BV38,'Étape 1 - à remplir'!$P$31:$P$400,CE$3,'Étape 1 - à remplir'!$G$31:$G$400,"lots")),IF(CE$2="Atelier",IF(CE$3="Tous",SUMIFS('Étape 1 - à remplir'!$F$31:$F$400,'Étape 1 - à remplir'!$E$31:$E$400,MASQ2!BV38,'Étape 1 - à remplir'!$G$31:$G$400,"lots"),SUMIFS('Étape 1 - à remplir'!$F$31:$F$400,'Étape 1 - à remplir'!$E$31:$E$400,MASQ2!BV38,'Étape 1 - à remplir'!$O$31:$O$400,CE$3,'Étape 1 - à remplir'!$G$31:$G$400,"lots")),IF(CE$2="Espèce",IF(CE$3="Toutes",SUMIFS('Étape 1 - à remplir'!$F$31:$F$400,'Étape 1 - à remplir'!$E$31:$E$400,MASQ2!BV38,'Étape 1 - à remplir'!$G$31:$G$400,"lots"),SUMIFS('Étape 1 - à remplir'!$F$31:$F$400,'Étape 1 - à remplir'!$E$31:$E$400,MASQ2!BV38,'Étape 1 - à remplir'!$N$31:$N$400,CE$3,'Étape 1 - à remplir'!$G$31:$G$400,"lots"))))))=0,NA(),IF(CE$2="Catégorie",IF(CE$3="Toutes",SUMIFS('Étape 1 - à remplir'!$F$31:$F$400,'Étape 1 - à remplir'!$E$31:$E$400,MASQ2!BV38,'Étape 1 - à remplir'!$G$31:$G$400,"lots"),SUMIFS('Étape 1 - à remplir'!$F$31:$F$400,'Étape 1 - à remplir'!$E$31:$E$400,MASQ2!BV38,'Étape 1 - à remplir'!$C$31:$C$400,CE$3)),IF(CE$2="Âge",IF(CE$3="Tous",SUMIFS('Étape 1 - à remplir'!$F$31:$F$400,'Étape 1 - à remplir'!$E$31:$E$400,MASQ2!BV38,'Étape 1 - à remplir'!$G$31:$G$400,"lots"),SUMIFS('Étape 1 - à remplir'!$F$31:$F$400,'Étape 1 - à remplir'!$E$31:$E$400,MASQ2!BV38,'Étape 1 - à remplir'!$P$31:$P$400,CE$3,'Étape 1 - à remplir'!$G$31:$G$400,"lots")),IF(CE$2="Atelier",IF(CE$3="Tous",SUMIFS('Étape 1 - à remplir'!$F$31:$F$400,'Étape 1 - à remplir'!$E$31:$E$400,MASQ2!BV38,'Étape 1 - à remplir'!$G$31:$G$400,"lots"),SUMIFS('Étape 1 - à remplir'!$F$31:$F$400,'Étape 1 - à remplir'!$E$31:$E$400,MASQ2!BV38,'Étape 1 - à remplir'!$O$31:$O$400,CE$3,'Étape 1 - à remplir'!$G$31:$G$400,"lots")),IF(CE$2="Espèce",IF(CE$3="Toutes",SUMIFS('Étape 1 - à remplir'!$F$31:$F$400,'Étape 1 - à remplir'!$E$31:$E$400,MASQ2!BV38,'Étape 1 - à remplir'!$G$31:$G$400,"lots"),SUMIFS('Étape 1 - à remplir'!$F$31:$F$400,'Étape 1 - à remplir'!$E$31:$E$400,MASQ2!BV38,'Étape 1 - à remplir'!$N$31:$N$400,CE$3,'Étape 1 - à remplir'!$G$31:$G$400,"lots")))))))</f>
        <v>#N/A</v>
      </c>
      <c r="BX38">
        <f t="shared" si="42"/>
        <v>0</v>
      </c>
      <c r="BY38" t="str">
        <f t="shared" si="7"/>
        <v>Sulfadimidine</v>
      </c>
      <c r="BZ38" t="str">
        <f t="shared" si="8"/>
        <v>Triméthoprime</v>
      </c>
      <c r="CA38" t="str">
        <f t="shared" si="9"/>
        <v/>
      </c>
      <c r="CB38" t="str">
        <f t="shared" si="10"/>
        <v>Sulfamides</v>
      </c>
      <c r="CC38" t="str">
        <f t="shared" si="11"/>
        <v>Trimethoprime</v>
      </c>
      <c r="CD38" s="63" t="str">
        <f t="shared" si="12"/>
        <v/>
      </c>
      <c r="CG38" s="42">
        <v>35</v>
      </c>
      <c r="CH38" s="42" t="e">
        <f t="shared" si="80"/>
        <v>#N/A</v>
      </c>
      <c r="CI38" s="63" t="e">
        <f t="shared" si="81"/>
        <v>#N/A</v>
      </c>
      <c r="CK38" s="194" t="str">
        <f t="shared" si="118"/>
        <v/>
      </c>
      <c r="CL38" s="226" t="str">
        <f>IFERROR(IF(CN38=0,"",COUNTIF(CN$4:CN$64,"&gt;"&amp;CN38)+COUNTIF(CN$4:CN38,CN38)),"")</f>
        <v/>
      </c>
      <c r="CM38" t="str">
        <f t="shared" si="119"/>
        <v>Oxytétracycline</v>
      </c>
      <c r="CN38" s="76" t="e">
        <f t="shared" si="45"/>
        <v>#N/A</v>
      </c>
      <c r="CO38">
        <v>35</v>
      </c>
      <c r="CP38" t="e">
        <f t="shared" si="46"/>
        <v>#N/A</v>
      </c>
      <c r="CQ38" s="63" t="e">
        <f t="shared" si="47"/>
        <v>#N/A</v>
      </c>
      <c r="CT38" s="195" t="str">
        <f>IFERROR(IF(CV38=0,"",COUNTIF(CV$32:CV$38,"&gt;"&amp;CV38)+COUNTIF(CV$32:CV38,CV38)),"")</f>
        <v/>
      </c>
      <c r="CU38" s="64" t="str">
        <f t="shared" si="96"/>
        <v>Voies parentérale et orale</v>
      </c>
      <c r="CV38" s="77" t="e">
        <f>IF(IF(CE$2="Catégorie",IF(CE$3="Toutes",SUMIFS('Étape 1 - à remplir'!$F$31:$F$400,'Étape 1 - à remplir'!$H$31:$H$400,MASQ2!CU38,'Étape 1 - à remplir'!$G$31:$G$400,"lots"),SUMIFS('Étape 1 - à remplir'!$F$31:$F$400,'Étape 1 - à remplir'!$H$31:$H$400,MASQ2!CU38,'Étape 1 - à remplir'!$C$31:$C$400,CE$3,'Étape 1 - à remplir'!$G$31:$G$400,"lots")),IF(CE$2="Âge",IF(CE$3="Tous",SUMIFS('Étape 1 - à remplir'!$F$31:$F$400,'Étape 1 - à remplir'!$H$31:$H$400,MASQ2!CU38,'Étape 1 - à remplir'!$G$31:$G$400,"lots"),SUMIFS('Étape 1 - à remplir'!$F$31:$F$400,'Étape 1 - à remplir'!$H$31:$H$400,MASQ2!CU38,'Étape 1 - à remplir'!$P$31:$P$400,CE$3,'Étape 1 - à remplir'!$G$31:$G$400,"lots")),IF(CE$2="Atelier",IF(CE$3="Tous",SUMIFS('Étape 1 - à remplir'!$F$31:$F$400,'Étape 1 - à remplir'!$H$31:$H$400,MASQ2!CU38,'Étape 1 - à remplir'!$G$31:$G$400,"lots"),SUMIFS('Étape 1 - à remplir'!$F$31:$F$400,'Étape 1 - à remplir'!$H$31:$H$400,MASQ2!CU38,'Étape 1 - à remplir'!$O$31:$O$400,CE$3,'Étape 1 - à remplir'!$G$31:$G$400,"lots")),IF(CE$2="Espèce",IF(CE$3="Toutes",SUMIFS('Étape 1 - à remplir'!$F$31:$F$400,'Étape 1 - à remplir'!$H$31:$H$400,MASQ2!CU38,'Étape 1 - à remplir'!$G$31:$G$400,"lots"),SUMIFS('Étape 1 - à remplir'!$F$31:$F$400,'Étape 1 - à remplir'!$H$31:$H$400,MASQ2!CU38,'Étape 1 - à remplir'!$N$31:$N$400,CE$3,'Étape 1 - à remplir'!$G$31:$G$400,"lots"))))))=0,NA(),IF(CE$2="Catégorie",IF(CE$3="Toutes",SUMIFS('Étape 1 - à remplir'!$F$31:$F$400,'Étape 1 - à remplir'!$H$31:$H$400,MASQ2!CU38,'Étape 1 - à remplir'!$G$31:$G$400,"lots"),SUMIFS('Étape 1 - à remplir'!$F$31:$F$400,'Étape 1 - à remplir'!$H$31:$H$400,MASQ2!CU38,'Étape 1 - à remplir'!$C$31:$C$400,CE$3,'Étape 1 - à remplir'!$G$31:$G$400,"lots")),IF(CE$2="Âge",IF(CE$3="Tous",SUMIFS('Étape 1 - à remplir'!$F$31:$F$400,'Étape 1 - à remplir'!$H$31:$H$400,MASQ2!CU38,'Étape 1 - à remplir'!$G$31:$G$400,"lots"),SUMIFS('Étape 1 - à remplir'!$F$31:$F$400,'Étape 1 - à remplir'!$H$31:$H$400,MASQ2!CU38,'Étape 1 - à remplir'!$P$31:$P$400,CE$3,'Étape 1 - à remplir'!$G$31:$G$400,"lots")),IF(CE$2="Atelier",IF(CE$3="Tous",SUMIFS('Étape 1 - à remplir'!$F$31:$F$400,'Étape 1 - à remplir'!$H$31:$H$400,MASQ2!CU38,'Étape 1 - à remplir'!$G$31:$G$400,"lots"),SUMIFS('Étape 1 - à remplir'!$F$31:$F$400,'Étape 1 - à remplir'!$H$31:$H$400,MASQ2!CU38,'Étape 1 - à remplir'!$O$31:$O$400,CE$3,'Étape 1 - à remplir'!$G$31:$G$400,"lots")),IF(CE$2="Espèce",IF(CE$3="Toutes",SUMIFS('Étape 1 - à remplir'!$F$31:$F$400,'Étape 1 - à remplir'!$H$31:$H$400,MASQ2!CU38,'Étape 1 - à remplir'!$G$31:$G$400,"lots"),SUMIFS('Étape 1 - à remplir'!$F$31:$F$400,'Étape 1 - à remplir'!$H$31:$H$400,MASQ2!CU38,'Étape 1 - à remplir'!$N$31:$N$400,CE$3,'Étape 1 - à remplir'!$G$31:$G$400,"lots")))))))</f>
        <v>#N/A</v>
      </c>
      <c r="CW38" s="64">
        <v>7</v>
      </c>
      <c r="CX38" s="64" t="e">
        <f t="shared" si="103"/>
        <v>#N/A</v>
      </c>
      <c r="CY38" s="65" t="e">
        <f t="shared" si="104"/>
        <v>#N/A</v>
      </c>
      <c r="DA38" s="42">
        <v>7</v>
      </c>
      <c r="DB38" s="118" t="str">
        <f t="shared" si="105"/>
        <v/>
      </c>
      <c r="DC38" t="str">
        <f t="shared" si="106"/>
        <v/>
      </c>
      <c r="DD38" t="str">
        <f t="shared" si="107"/>
        <v/>
      </c>
      <c r="DE38" s="63" t="str">
        <f t="shared" si="108"/>
        <v/>
      </c>
      <c r="DI38" s="122" t="str">
        <f>IFERROR(IF(DJ38="","",COUNTIF(DJ$32:DJ$41,"&lt;"&amp;DJ38)+COUNTIF(DJ$32:DJ38,DJ38))-COUNTBLANK(DJ$32:DJ$41),"")</f>
        <v/>
      </c>
      <c r="DJ38" s="109" t="str">
        <f>IF('Étape 1 - à remplir'!G25="lots",'Étape 1 - à remplir'!C25,"")</f>
        <v/>
      </c>
      <c r="DK38" s="109" t="e">
        <f>INDEX(DI$32:DJ$41,MATCH(7,DI$32:DI$41,0),2)</f>
        <v>#N/A</v>
      </c>
      <c r="DL38" s="109" t="e">
        <f t="shared" si="116"/>
        <v>#N/A</v>
      </c>
      <c r="DM38" s="123" t="e">
        <f>IF(DL38="","",MAX(DM$31:DM37)+1)</f>
        <v>#N/A</v>
      </c>
      <c r="EA38" s="194" t="str">
        <f t="shared" ca="1" si="18"/>
        <v/>
      </c>
      <c r="EB38" s="226" t="str">
        <f>IFERROR(IF(ED38=0,"",COUNTIF(ED$4:ED$600,"&gt;"&amp;ED38)+COUNTIF(ED$4:ED38,ED38)),"")</f>
        <v/>
      </c>
      <c r="EC38" t="str">
        <f t="shared" si="19"/>
        <v>AMPHOPRIM</v>
      </c>
      <c r="ED38" t="e">
        <f>IF(IF(EL$2="Catégorie",IF(EL$3="Toutes",SUMIFS('Étape 1 - à remplir'!$F$31:$F$400,'Étape 1 - à remplir'!$E$31:$E$400,MASQ2!EC38,'Étape 1 - à remplir'!$G$31:$G$400,"kg"),SUMIFS('Étape 1 - à remplir'!$F$31:$F$400,'Étape 1 - à remplir'!$E$31:$E$400,MASQ2!EC38,'Étape 1 - à remplir'!$C$31:$C$400,EL$3)),IF(EL$2="Âge",IF(EL$3="Tous",SUMIFS('Étape 1 - à remplir'!$F$31:$F$400,'Étape 1 - à remplir'!$E$31:$E$400,MASQ2!EC38,'Étape 1 - à remplir'!$G$31:$G$400,"kg"),SUMIFS('Étape 1 - à remplir'!$F$31:$F$400,'Étape 1 - à remplir'!$E$31:$E$400,MASQ2!EC38,'Étape 1 - à remplir'!$P$31:$P$400,EL$3,'Étape 1 - à remplir'!$G$31:$G$400,"kg")),IF(EL$2="Atelier",IF(EL$3="Tous",SUMIFS('Étape 1 - à remplir'!$F$31:$F$400,'Étape 1 - à remplir'!$E$31:$E$400,MASQ2!EC38,'Étape 1 - à remplir'!$G$31:$G$400,"kg"),SUMIFS('Étape 1 - à remplir'!$F$31:$F$400,'Étape 1 - à remplir'!$E$31:$E$400,MASQ2!EC38,'Étape 1 - à remplir'!$O$31:$O$400,EL$3,'Étape 1 - à remplir'!$G$31:$G$400,"kg")),IF(EL$2="Espèce",IF(EL$3="Toutes",SUMIFS('Étape 1 - à remplir'!$F$31:$F$400,'Étape 1 - à remplir'!$E$31:$E$400,MASQ2!EC38,'Étape 1 - à remplir'!$G$31:$G$400,"kg"),SUMIFS('Étape 1 - à remplir'!$F$31:$F$400,'Étape 1 - à remplir'!$E$31:$E$400,MASQ2!EC38,'Étape 1 - à remplir'!$N$31:$N$400,EL$3,'Étape 1 - à remplir'!$G$31:$G$400,"kg"))))))=0,NA(),IF(EL$2="Catégorie",IF(EL$3="Toutes",SUMIFS('Étape 1 - à remplir'!$F$31:$F$400,'Étape 1 - à remplir'!$E$31:$E$400,MASQ2!EC38,'Étape 1 - à remplir'!$G$31:$G$400,"kg"),SUMIFS('Étape 1 - à remplir'!$F$31:$F$400,'Étape 1 - à remplir'!$E$31:$E$400,MASQ2!EC38,'Étape 1 - à remplir'!$C$31:$C$400,EL$3)),IF(EL$2="Âge",IF(EL$3="Tous",SUMIFS('Étape 1 - à remplir'!$F$31:$F$400,'Étape 1 - à remplir'!$E$31:$E$400,MASQ2!EC38,'Étape 1 - à remplir'!$G$31:$G$400,"kg"),SUMIFS('Étape 1 - à remplir'!$F$31:$F$400,'Étape 1 - à remplir'!$E$31:$E$400,MASQ2!EC38,'Étape 1 - à remplir'!$P$31:$P$400,EL$3,'Étape 1 - à remplir'!$G$31:$G$400,"kg")),IF(EL$2="Atelier",IF(EL$3="Tous",SUMIFS('Étape 1 - à remplir'!$F$31:$F$400,'Étape 1 - à remplir'!$E$31:$E$400,MASQ2!EC38,'Étape 1 - à remplir'!$G$31:$G$400,"kg"),SUMIFS('Étape 1 - à remplir'!$F$31:$F$400,'Étape 1 - à remplir'!$E$31:$E$400,MASQ2!EC38,'Étape 1 - à remplir'!$O$31:$O$400,EL$3,'Étape 1 - à remplir'!$G$31:$G$400,"kg")),IF(EL$2="Espèce",IF(EL$3="Toutes",SUMIFS('Étape 1 - à remplir'!$F$31:$F$400,'Étape 1 - à remplir'!$E$31:$E$400,MASQ2!EC38,'Étape 1 - à remplir'!$G$31:$G$400,"kg"),SUMIFS('Étape 1 - à remplir'!$F$31:$F$400,'Étape 1 - à remplir'!$E$31:$E$400,MASQ2!EC38,'Étape 1 - à remplir'!$N$31:$N$400,EL$3,'Étape 1 - à remplir'!$G$31:$G$400,"kg")))))))</f>
        <v>#N/A</v>
      </c>
      <c r="EE38" s="76">
        <f t="shared" si="53"/>
        <v>0</v>
      </c>
      <c r="EF38" t="str">
        <f t="shared" si="20"/>
        <v>Sulfadimidine</v>
      </c>
      <c r="EG38" t="str">
        <f t="shared" si="21"/>
        <v>Triméthoprime</v>
      </c>
      <c r="EH38" t="str">
        <f t="shared" si="22"/>
        <v/>
      </c>
      <c r="EI38" t="str">
        <f t="shared" si="23"/>
        <v>Sulfamides</v>
      </c>
      <c r="EJ38" t="str">
        <f t="shared" si="24"/>
        <v>Trimethoprime</v>
      </c>
      <c r="EK38" s="63" t="str">
        <f t="shared" si="25"/>
        <v/>
      </c>
      <c r="EN38" s="42">
        <v>35</v>
      </c>
      <c r="EO38" t="e">
        <f t="shared" si="68"/>
        <v>#N/A</v>
      </c>
      <c r="EP38" s="63" t="e">
        <f t="shared" si="69"/>
        <v>#N/A</v>
      </c>
      <c r="ER38" s="194" t="str">
        <f t="shared" si="120"/>
        <v/>
      </c>
      <c r="ES38" s="226" t="str">
        <f>IFERROR(IF(EU38=0,"",COUNTIF(EU$4:EU$64,"&gt;"&amp;EU38)+COUNTIF(EU$4:EU38,EU38)),"")</f>
        <v/>
      </c>
      <c r="ET38" t="str">
        <f t="shared" si="121"/>
        <v>Oxytétracycline</v>
      </c>
      <c r="EU38" s="76" t="e">
        <f t="shared" si="56"/>
        <v>#N/A</v>
      </c>
      <c r="EV38">
        <v>35</v>
      </c>
      <c r="EW38" t="e">
        <f t="shared" si="57"/>
        <v>#N/A</v>
      </c>
      <c r="EX38" s="63" t="e">
        <f t="shared" si="58"/>
        <v>#N/A</v>
      </c>
      <c r="FA38" s="195" t="str">
        <f>IFERROR(IF(FC38=0,"",COUNTIF(FC$32:FC$38,"&gt;"&amp;FC38)+COUNTIF(FC$32:FC38,FC38)),"")</f>
        <v/>
      </c>
      <c r="FB38" s="64" t="str">
        <f t="shared" si="97"/>
        <v>Voies parentérale et orale</v>
      </c>
      <c r="FC38" s="77" t="e">
        <f>IF(IF(EL$2="Catégorie",IF(EL$3="Toutes",SUMIFS('Étape 1 - à remplir'!$F$31:$F$400,'Étape 1 - à remplir'!$H$31:$H$400,MASQ2!FB38,'Étape 1 - à remplir'!$G$31:$G$400,"kg"),SUMIFS('Étape 1 - à remplir'!$F$31:$F$400,'Étape 1 - à remplir'!$H$31:$H$400,MASQ2!FB38,'Étape 1 - à remplir'!$C$31:$C$400,EL$3,'Étape 1 - à remplir'!$G$31:$G$400,"kg")),IF(EL$2="Âge",IF(EL$3="Tous",SUMIFS('Étape 1 - à remplir'!$F$31:$F$400,'Étape 1 - à remplir'!$H$31:$H$400,MASQ2!FB38,'Étape 1 - à remplir'!$G$31:$G$400,"kg"),SUMIFS('Étape 1 - à remplir'!$F$31:$F$400,'Étape 1 - à remplir'!$H$31:$H$400,MASQ2!FB38,'Étape 1 - à remplir'!$P$31:$P$400,EL$3,'Étape 1 - à remplir'!$G$31:$G$400,"kg")),IF(EL$2="Atelier",IF(EL$3="Tous",SUMIFS('Étape 1 - à remplir'!$F$31:$F$400,'Étape 1 - à remplir'!$H$31:$H$400,MASQ2!FB38,'Étape 1 - à remplir'!$G$31:$G$400,"kg"),SUMIFS('Étape 1 - à remplir'!$F$31:$F$400,'Étape 1 - à remplir'!$H$31:$H$400,MASQ2!FB38,'Étape 1 - à remplir'!$O$31:$O$400,EL$3,'Étape 1 - à remplir'!$G$31:$G$400,"kg")),IF(EL$2="Espèce",IF(EL$3="Toutes",SUMIFS('Étape 1 - à remplir'!$F$31:$F$400,'Étape 1 - à remplir'!$H$31:$H$400,MASQ2!FB38,'Étape 1 - à remplir'!$G$31:$G$400,"kg"),SUMIFS('Étape 1 - à remplir'!$F$31:$F$400,'Étape 1 - à remplir'!$H$31:$H$400,MASQ2!FB38,'Étape 1 - à remplir'!$N$31:$N$400,EL$3,'Étape 1 - à remplir'!$G$31:$G$400,"kg"))))))=0,NA(),IF(EL$2="Catégorie",IF(EL$3="Toutes",SUMIFS('Étape 1 - à remplir'!$F$31:$F$400,'Étape 1 - à remplir'!$H$31:$H$400,MASQ2!FB38,'Étape 1 - à remplir'!$G$31:$G$400,"kg"),SUMIFS('Étape 1 - à remplir'!$F$31:$F$400,'Étape 1 - à remplir'!$H$31:$H$400,MASQ2!FB38,'Étape 1 - à remplir'!$C$31:$C$400,EL$3,'Étape 1 - à remplir'!$G$31:$G$400,"kg")),IF(EL$2="Âge",IF(EL$3="Tous",SUMIFS('Étape 1 - à remplir'!$F$31:$F$400,'Étape 1 - à remplir'!$H$31:$H$400,MASQ2!FB38,'Étape 1 - à remplir'!$G$31:$G$400,"kg"),SUMIFS('Étape 1 - à remplir'!$F$31:$F$400,'Étape 1 - à remplir'!$H$31:$H$400,MASQ2!FB38,'Étape 1 - à remplir'!$P$31:$P$400,EL$3,'Étape 1 - à remplir'!$G$31:$G$400,"kg")),IF(EL$2="Atelier",IF(EL$3="Tous",SUMIFS('Étape 1 - à remplir'!$F$31:$F$400,'Étape 1 - à remplir'!$H$31:$H$400,MASQ2!FB38,'Étape 1 - à remplir'!$G$31:$G$400,"kg"),SUMIFS('Étape 1 - à remplir'!$F$31:$F$400,'Étape 1 - à remplir'!$H$31:$H$400,MASQ2!FB38,'Étape 1 - à remplir'!$O$31:$O$400,EL$3,'Étape 1 - à remplir'!$G$31:$G$400,"kg")),IF(EL$2="Espèce",IF(EL$3="Toutes",SUMIFS('Étape 1 - à remplir'!$F$31:$F$400,'Étape 1 - à remplir'!$H$31:$H$400,MASQ2!FB38,'Étape 1 - à remplir'!$G$31:$G$400,"kg"),SUMIFS('Étape 1 - à remplir'!$F$31:$F$400,'Étape 1 - à remplir'!$H$31:$H$400,MASQ2!FB38,'Étape 1 - à remplir'!$N$31:$N$400,EL$3,'Étape 1 - à remplir'!$G$31:$G$400,"kg")))))))</f>
        <v>#N/A</v>
      </c>
      <c r="FD38" s="64">
        <v>7</v>
      </c>
      <c r="FE38" s="64" t="e">
        <f t="shared" si="109"/>
        <v>#N/A</v>
      </c>
      <c r="FF38" s="65" t="e">
        <f t="shared" si="110"/>
        <v>#N/A</v>
      </c>
      <c r="FH38" s="42">
        <v>7</v>
      </c>
      <c r="FI38" s="118" t="str">
        <f t="shared" si="111"/>
        <v/>
      </c>
      <c r="FJ38" t="str">
        <f t="shared" si="112"/>
        <v/>
      </c>
      <c r="FK38" t="str">
        <f t="shared" si="113"/>
        <v/>
      </c>
      <c r="FL38" s="63" t="str">
        <f t="shared" si="114"/>
        <v/>
      </c>
      <c r="FM38" s="42"/>
      <c r="FP38" s="122" t="str">
        <f>IFERROR(IF(FQ38="","",COUNTIF(FQ$32:FQ$41,"&lt;"&amp;FQ38)+COUNTIF(FQ$32:FQ38,FQ38))-COUNTBLANK(FQ$32:FQ$41),"")</f>
        <v/>
      </c>
      <c r="FQ38" s="109" t="str">
        <f>IF('Étape 1 - à remplir'!G25="kg",'Étape 1 - à remplir'!C25,"")</f>
        <v/>
      </c>
      <c r="FR38" s="109" t="e">
        <f>INDEX(FP$32:FQ$41,MATCH(7,FP$32:FP$41,0),2)</f>
        <v>#N/A</v>
      </c>
      <c r="FS38" s="109" t="e">
        <f t="shared" si="117"/>
        <v>#N/A</v>
      </c>
      <c r="FT38" s="123" t="e">
        <f>IF(FS38="","",MAX(FT$31:FT37)+1)</f>
        <v>#N/A</v>
      </c>
    </row>
    <row r="39" spans="2:176" x14ac:dyDescent="0.3">
      <c r="B39" s="42"/>
      <c r="M39" s="194" t="str">
        <f ca="1">INDEX(Données_ATB!BD:BU,MATCH(MASQ2!O39,Données_ATB!BD:BD,0),18)</f>
        <v/>
      </c>
      <c r="N39" s="14" t="str">
        <f>IFERROR(IF(Q39=0,"",COUNTIF(Q$4:Q$600,"&gt;"&amp;Q39)+COUNTIF(Q$4:Q39,Q39)),"")</f>
        <v/>
      </c>
      <c r="O39" t="str">
        <f>Données_ATB!BD38</f>
        <v>AMPICLOX</v>
      </c>
      <c r="P39" t="e">
        <f>IF(IF(X$2="Catégorie",IF(X$3="Toutes",SUMIFS('Étape 1 - à remplir'!$F$31:$F$400,'Étape 1 - à remplir'!$E$31:$E$400,MASQ2!O39,'Étape 1 - à remplir'!$G$31:$G$400,"animaux"),SUMIFS('Étape 1 - à remplir'!$F$31:$F$400,'Étape 1 - à remplir'!$E$31:$E$400,MASQ2!O39,'Étape 1 - à remplir'!$C$31:$C$400,X$3)),IF(X$2="Âge",IF(X$3="Tous",SUMIFS('Étape 1 - à remplir'!$F$31:$F$400,'Étape 1 - à remplir'!$E$31:$E$400,MASQ2!O39,'Étape 1 - à remplir'!$G$31:$G$400,"animaux"),SUMIFS('Étape 1 - à remplir'!$F$31:$F$400,'Étape 1 - à remplir'!$E$31:$E$400,MASQ2!O39,'Étape 1 - à remplir'!$P$31:$P$400,X$3)),IF(X$2="Atelier",IF(X$3="Tous",SUMIFS('Étape 1 - à remplir'!$F$31:$F$400,'Étape 1 - à remplir'!$E$31:$E$400,MASQ2!O39,'Étape 1 - à remplir'!$G$31:$G$400,"animaux"),SUMIFS('Étape 1 - à remplir'!$F$31:$F$400,'Étape 1 - à remplir'!$E$31:$E$400,MASQ2!O39,'Étape 1 - à remplir'!$O$31:$O$400,X$3)),IF(X$2="Espèce",IF(X$3="Toutes",SUMIFS('Étape 1 - à remplir'!$F$31:$F$400,'Étape 1 - à remplir'!$E$31:$E$400,MASQ2!O39,'Étape 1 - à remplir'!$G$31:$G$400,"animaux"),SUMIFS('Étape 1 - à remplir'!$F$31:$F$400,'Étape 1 - à remplir'!$E$31:$E$400,MASQ2!O39,'Étape 1 - à remplir'!$N$31:$N$400,X$3))))))=0,NA(),IF(X$2="Catégorie",IF(X$3="Toutes",SUMIFS('Étape 1 - à remplir'!$F$31:$F$400,'Étape 1 - à remplir'!$E$31:$E$400,MASQ2!O39,'Étape 1 - à remplir'!$G$31:$G$400,"animaux"),SUMIFS('Étape 1 - à remplir'!$F$31:$F$400,'Étape 1 - à remplir'!$E$31:$E$400,MASQ2!O39,'Étape 1 - à remplir'!$C$31:$C$400,X$3)),IF(X$2="Âge",IF(X$3="Tous",SUMIFS('Étape 1 - à remplir'!$F$31:$F$400,'Étape 1 - à remplir'!$E$31:$E$400,MASQ2!O39,'Étape 1 - à remplir'!$G$31:$G$400,"animaux"),SUMIFS('Étape 1 - à remplir'!$F$31:$F$400,'Étape 1 - à remplir'!$E$31:$E$400,MASQ2!O39,'Étape 1 - à remplir'!$P$31:$P$400,X$3)),IF(X$2="Atelier",IF(X$3="Tous",SUMIFS('Étape 1 - à remplir'!$F$31:$F$400,'Étape 1 - à remplir'!$E$31:$E$400,MASQ2!O39,'Étape 1 - à remplir'!$G$31:$G$400,"animaux"),SUMIFS('Étape 1 - à remplir'!$F$31:$F$400,'Étape 1 - à remplir'!$E$31:$E$400,MASQ2!O39,'Étape 1 - à remplir'!$O$31:$O$400,X$3)),IF(X$2="Espèce",IF(X$3="Toutes",SUMIFS('Étape 1 - à remplir'!$F$31:$F$400,'Étape 1 - à remplir'!$E$31:$E$400,MASQ2!O39,'Étape 1 - à remplir'!$G$31:$G$400,"animaux"),SUMIFS('Étape 1 - à remplir'!$F$31:$F$400,'Étape 1 - à remplir'!$E$31:$E$400,MASQ2!O39,'Étape 1 - à remplir'!$N$31:$N$400,X$3)))))))</f>
        <v>#N/A</v>
      </c>
      <c r="Q39" s="63">
        <f t="shared" si="62"/>
        <v>0</v>
      </c>
      <c r="R39" t="str">
        <f>Données_ATB!BM38</f>
        <v>Cloxacilline</v>
      </c>
      <c r="S39" t="str">
        <f>Données_ATB!BN38</f>
        <v>Ampicilline</v>
      </c>
      <c r="T39" s="63" t="str">
        <f>Données_ATB!BO38</f>
        <v/>
      </c>
      <c r="U39" s="42" t="str">
        <f>Données_ATB!BQ38</f>
        <v>Penicillines</v>
      </c>
      <c r="V39" t="str">
        <f>Données_ATB!BR38</f>
        <v>Penicillines</v>
      </c>
      <c r="W39" s="63" t="str">
        <f>Données_ATB!BS38</f>
        <v/>
      </c>
      <c r="Z39" s="42">
        <v>36</v>
      </c>
      <c r="AA39" t="e">
        <f t="shared" si="32"/>
        <v>#N/A</v>
      </c>
      <c r="AB39" s="63" t="e">
        <f t="shared" si="33"/>
        <v>#N/A</v>
      </c>
      <c r="AD39" s="194" t="str">
        <f>IF(AF39="Colistine","x",IF(INDEX(Données_ATB!CA$3:CB$63,MATCH(AF39,Données_ATB!CA$3:CA$63,0),2)="Fluoroquinolones","x",IF(INDEX(Données_ATB!CA$3:CB$63,MATCH(AF39,Données_ATB!CA$3:CA$63,0),2)="Cephalosporines 3&amp;4G","x","")))</f>
        <v/>
      </c>
      <c r="AE39" s="219" t="str">
        <f>IFERROR(IF(AG39=0,"",COUNTIF(AG$4:AG$64,"&gt;"&amp;AG39)+COUNTIF(AG$4:AG39,AG39)),"")</f>
        <v/>
      </c>
      <c r="AF39" s="42" t="str">
        <f>Données_ATB!CA38</f>
        <v>Paromomycine</v>
      </c>
      <c r="AG39" s="63" t="e">
        <f t="shared" si="34"/>
        <v>#N/A</v>
      </c>
      <c r="AH39" s="42">
        <v>36</v>
      </c>
      <c r="AI39" t="e">
        <f t="shared" si="35"/>
        <v>#N/A</v>
      </c>
      <c r="AJ39" s="63" t="e">
        <f t="shared" si="36"/>
        <v>#N/A</v>
      </c>
      <c r="AT39" s="42">
        <v>8</v>
      </c>
      <c r="AU39" s="118" t="str">
        <f t="shared" si="100"/>
        <v/>
      </c>
      <c r="AV39" t="str">
        <f t="shared" si="101"/>
        <v/>
      </c>
      <c r="AW39" t="str">
        <f t="shared" si="102"/>
        <v/>
      </c>
      <c r="AX39" s="63" t="str">
        <f t="shared" si="95"/>
        <v/>
      </c>
      <c r="BB39" s="122" t="str">
        <f>IFERROR(IF(BC39="","",COUNTIF(BC$32:BC$41,"&lt;"&amp;BC39)+COUNTIF(BC$32:BC39,BC39))-COUNTBLANK(BC$32:BC$41),"")</f>
        <v/>
      </c>
      <c r="BC39" s="76" t="str">
        <f>IF('Étape 1 - à remplir'!G26="animaux",'Étape 1 - à remplir'!C26,"")</f>
        <v/>
      </c>
      <c r="BD39" t="e">
        <f>INDEX(BB$32:BC$41,MATCH(8,BB$32:BB$41,0),2)</f>
        <v>#N/A</v>
      </c>
      <c r="BE39" t="e">
        <f t="shared" si="115"/>
        <v>#N/A</v>
      </c>
      <c r="BF39" s="123" t="e">
        <f>IF(BE39="","",MAX(BF$31:BF38)+1)</f>
        <v>#N/A</v>
      </c>
      <c r="BT39" s="194" t="str">
        <f t="shared" ca="1" si="5"/>
        <v/>
      </c>
      <c r="BU39" s="219" t="str">
        <f>IFERROR(IF(BX39=0,"",COUNTIF(BX$4:BX$600,"&gt;"&amp;BX39)+COUNTIF(BX$4:BX39,BX39)),"")</f>
        <v/>
      </c>
      <c r="BV39" s="42" t="str">
        <f t="shared" si="6"/>
        <v>AMPICLOX</v>
      </c>
      <c r="BW39" t="e">
        <f>IF(IF(CE$2="Catégorie",IF(CE$3="Toutes",SUMIFS('Étape 1 - à remplir'!$F$31:$F$400,'Étape 1 - à remplir'!$E$31:$E$400,MASQ2!BV39,'Étape 1 - à remplir'!$G$31:$G$400,"lots"),SUMIFS('Étape 1 - à remplir'!$F$31:$F$400,'Étape 1 - à remplir'!$E$31:$E$400,MASQ2!BV39,'Étape 1 - à remplir'!$C$31:$C$400,CE$3)),IF(CE$2="Âge",IF(CE$3="Tous",SUMIFS('Étape 1 - à remplir'!$F$31:$F$400,'Étape 1 - à remplir'!$E$31:$E$400,MASQ2!BV39,'Étape 1 - à remplir'!$G$31:$G$400,"lots"),SUMIFS('Étape 1 - à remplir'!$F$31:$F$400,'Étape 1 - à remplir'!$E$31:$E$400,MASQ2!BV39,'Étape 1 - à remplir'!$P$31:$P$400,CE$3,'Étape 1 - à remplir'!$G$31:$G$400,"lots")),IF(CE$2="Atelier",IF(CE$3="Tous",SUMIFS('Étape 1 - à remplir'!$F$31:$F$400,'Étape 1 - à remplir'!$E$31:$E$400,MASQ2!BV39,'Étape 1 - à remplir'!$G$31:$G$400,"lots"),SUMIFS('Étape 1 - à remplir'!$F$31:$F$400,'Étape 1 - à remplir'!$E$31:$E$400,MASQ2!BV39,'Étape 1 - à remplir'!$O$31:$O$400,CE$3,'Étape 1 - à remplir'!$G$31:$G$400,"lots")),IF(CE$2="Espèce",IF(CE$3="Toutes",SUMIFS('Étape 1 - à remplir'!$F$31:$F$400,'Étape 1 - à remplir'!$E$31:$E$400,MASQ2!BV39,'Étape 1 - à remplir'!$G$31:$G$400,"lots"),SUMIFS('Étape 1 - à remplir'!$F$31:$F$400,'Étape 1 - à remplir'!$E$31:$E$400,MASQ2!BV39,'Étape 1 - à remplir'!$N$31:$N$400,CE$3,'Étape 1 - à remplir'!$G$31:$G$400,"lots"))))))=0,NA(),IF(CE$2="Catégorie",IF(CE$3="Toutes",SUMIFS('Étape 1 - à remplir'!$F$31:$F$400,'Étape 1 - à remplir'!$E$31:$E$400,MASQ2!BV39,'Étape 1 - à remplir'!$G$31:$G$400,"lots"),SUMIFS('Étape 1 - à remplir'!$F$31:$F$400,'Étape 1 - à remplir'!$E$31:$E$400,MASQ2!BV39,'Étape 1 - à remplir'!$C$31:$C$400,CE$3)),IF(CE$2="Âge",IF(CE$3="Tous",SUMIFS('Étape 1 - à remplir'!$F$31:$F$400,'Étape 1 - à remplir'!$E$31:$E$400,MASQ2!BV39,'Étape 1 - à remplir'!$G$31:$G$400,"lots"),SUMIFS('Étape 1 - à remplir'!$F$31:$F$400,'Étape 1 - à remplir'!$E$31:$E$400,MASQ2!BV39,'Étape 1 - à remplir'!$P$31:$P$400,CE$3,'Étape 1 - à remplir'!$G$31:$G$400,"lots")),IF(CE$2="Atelier",IF(CE$3="Tous",SUMIFS('Étape 1 - à remplir'!$F$31:$F$400,'Étape 1 - à remplir'!$E$31:$E$400,MASQ2!BV39,'Étape 1 - à remplir'!$G$31:$G$400,"lots"),SUMIFS('Étape 1 - à remplir'!$F$31:$F$400,'Étape 1 - à remplir'!$E$31:$E$400,MASQ2!BV39,'Étape 1 - à remplir'!$O$31:$O$400,CE$3,'Étape 1 - à remplir'!$G$31:$G$400,"lots")),IF(CE$2="Espèce",IF(CE$3="Toutes",SUMIFS('Étape 1 - à remplir'!$F$31:$F$400,'Étape 1 - à remplir'!$E$31:$E$400,MASQ2!BV39,'Étape 1 - à remplir'!$G$31:$G$400,"lots"),SUMIFS('Étape 1 - à remplir'!$F$31:$F$400,'Étape 1 - à remplir'!$E$31:$E$400,MASQ2!BV39,'Étape 1 - à remplir'!$N$31:$N$400,CE$3,'Étape 1 - à remplir'!$G$31:$G$400,"lots")))))))</f>
        <v>#N/A</v>
      </c>
      <c r="BX39">
        <f t="shared" si="42"/>
        <v>0</v>
      </c>
      <c r="BY39" t="str">
        <f t="shared" si="7"/>
        <v>Cloxacilline</v>
      </c>
      <c r="BZ39" t="str">
        <f t="shared" si="8"/>
        <v>Ampicilline</v>
      </c>
      <c r="CA39" t="str">
        <f t="shared" si="9"/>
        <v/>
      </c>
      <c r="CB39" t="str">
        <f t="shared" si="10"/>
        <v>Penicillines</v>
      </c>
      <c r="CC39" t="str">
        <f t="shared" si="11"/>
        <v>Penicillines</v>
      </c>
      <c r="CD39" s="63" t="str">
        <f t="shared" si="12"/>
        <v/>
      </c>
      <c r="CG39" s="42">
        <v>36</v>
      </c>
      <c r="CH39" s="42" t="e">
        <f t="shared" si="80"/>
        <v>#N/A</v>
      </c>
      <c r="CI39" s="63" t="e">
        <f t="shared" si="81"/>
        <v>#N/A</v>
      </c>
      <c r="CK39" s="194" t="str">
        <f t="shared" si="118"/>
        <v/>
      </c>
      <c r="CL39" s="226" t="str">
        <f>IFERROR(IF(CN39=0,"",COUNTIF(CN$4:CN$64,"&gt;"&amp;CN39)+COUNTIF(CN$4:CN39,CN39)),"")</f>
        <v/>
      </c>
      <c r="CM39" t="str">
        <f t="shared" si="119"/>
        <v>Paromomycine</v>
      </c>
      <c r="CN39" s="76" t="e">
        <f t="shared" si="45"/>
        <v>#N/A</v>
      </c>
      <c r="CO39">
        <v>36</v>
      </c>
      <c r="CP39" t="e">
        <f t="shared" si="46"/>
        <v>#N/A</v>
      </c>
      <c r="CQ39" s="63" t="e">
        <f t="shared" si="47"/>
        <v>#N/A</v>
      </c>
      <c r="DA39" s="42">
        <v>8</v>
      </c>
      <c r="DB39" s="118" t="str">
        <f t="shared" si="105"/>
        <v/>
      </c>
      <c r="DC39" t="str">
        <f t="shared" si="106"/>
        <v/>
      </c>
      <c r="DD39" t="str">
        <f t="shared" si="107"/>
        <v/>
      </c>
      <c r="DE39" s="63" t="str">
        <f t="shared" si="108"/>
        <v/>
      </c>
      <c r="DI39" s="122" t="str">
        <f>IFERROR(IF(DJ39="","",COUNTIF(DJ$32:DJ$41,"&lt;"&amp;DJ39)+COUNTIF(DJ$32:DJ39,DJ39))-COUNTBLANK(DJ$32:DJ$41),"")</f>
        <v/>
      </c>
      <c r="DJ39" s="109" t="str">
        <f>IF('Étape 1 - à remplir'!G26="lots",'Étape 1 - à remplir'!C26,"")</f>
        <v/>
      </c>
      <c r="DK39" s="109" t="e">
        <f>INDEX(DI$32:DJ$41,MATCH(8,DI$32:DI$41,0),2)</f>
        <v>#N/A</v>
      </c>
      <c r="DL39" s="109" t="e">
        <f t="shared" si="116"/>
        <v>#N/A</v>
      </c>
      <c r="DM39" s="123" t="e">
        <f>IF(DL39="","",MAX(DM$31:DM38)+1)</f>
        <v>#N/A</v>
      </c>
      <c r="EA39" s="194" t="str">
        <f t="shared" ca="1" si="18"/>
        <v/>
      </c>
      <c r="EB39" s="226" t="str">
        <f>IFERROR(IF(ED39=0,"",COUNTIF(ED$4:ED$600,"&gt;"&amp;ED39)+COUNTIF(ED$4:ED39,ED39)),"")</f>
        <v/>
      </c>
      <c r="EC39" t="str">
        <f t="shared" si="19"/>
        <v>AMPICLOX</v>
      </c>
      <c r="ED39" t="e">
        <f>IF(IF(EL$2="Catégorie",IF(EL$3="Toutes",SUMIFS('Étape 1 - à remplir'!$F$31:$F$400,'Étape 1 - à remplir'!$E$31:$E$400,MASQ2!EC39,'Étape 1 - à remplir'!$G$31:$G$400,"kg"),SUMIFS('Étape 1 - à remplir'!$F$31:$F$400,'Étape 1 - à remplir'!$E$31:$E$400,MASQ2!EC39,'Étape 1 - à remplir'!$C$31:$C$400,EL$3)),IF(EL$2="Âge",IF(EL$3="Tous",SUMIFS('Étape 1 - à remplir'!$F$31:$F$400,'Étape 1 - à remplir'!$E$31:$E$400,MASQ2!EC39,'Étape 1 - à remplir'!$G$31:$G$400,"kg"),SUMIFS('Étape 1 - à remplir'!$F$31:$F$400,'Étape 1 - à remplir'!$E$31:$E$400,MASQ2!EC39,'Étape 1 - à remplir'!$P$31:$P$400,EL$3,'Étape 1 - à remplir'!$G$31:$G$400,"kg")),IF(EL$2="Atelier",IF(EL$3="Tous",SUMIFS('Étape 1 - à remplir'!$F$31:$F$400,'Étape 1 - à remplir'!$E$31:$E$400,MASQ2!EC39,'Étape 1 - à remplir'!$G$31:$G$400,"kg"),SUMIFS('Étape 1 - à remplir'!$F$31:$F$400,'Étape 1 - à remplir'!$E$31:$E$400,MASQ2!EC39,'Étape 1 - à remplir'!$O$31:$O$400,EL$3,'Étape 1 - à remplir'!$G$31:$G$400,"kg")),IF(EL$2="Espèce",IF(EL$3="Toutes",SUMIFS('Étape 1 - à remplir'!$F$31:$F$400,'Étape 1 - à remplir'!$E$31:$E$400,MASQ2!EC39,'Étape 1 - à remplir'!$G$31:$G$400,"kg"),SUMIFS('Étape 1 - à remplir'!$F$31:$F$400,'Étape 1 - à remplir'!$E$31:$E$400,MASQ2!EC39,'Étape 1 - à remplir'!$N$31:$N$400,EL$3,'Étape 1 - à remplir'!$G$31:$G$400,"kg"))))))=0,NA(),IF(EL$2="Catégorie",IF(EL$3="Toutes",SUMIFS('Étape 1 - à remplir'!$F$31:$F$400,'Étape 1 - à remplir'!$E$31:$E$400,MASQ2!EC39,'Étape 1 - à remplir'!$G$31:$G$400,"kg"),SUMIFS('Étape 1 - à remplir'!$F$31:$F$400,'Étape 1 - à remplir'!$E$31:$E$400,MASQ2!EC39,'Étape 1 - à remplir'!$C$31:$C$400,EL$3)),IF(EL$2="Âge",IF(EL$3="Tous",SUMIFS('Étape 1 - à remplir'!$F$31:$F$400,'Étape 1 - à remplir'!$E$31:$E$400,MASQ2!EC39,'Étape 1 - à remplir'!$G$31:$G$400,"kg"),SUMIFS('Étape 1 - à remplir'!$F$31:$F$400,'Étape 1 - à remplir'!$E$31:$E$400,MASQ2!EC39,'Étape 1 - à remplir'!$P$31:$P$400,EL$3,'Étape 1 - à remplir'!$G$31:$G$400,"kg")),IF(EL$2="Atelier",IF(EL$3="Tous",SUMIFS('Étape 1 - à remplir'!$F$31:$F$400,'Étape 1 - à remplir'!$E$31:$E$400,MASQ2!EC39,'Étape 1 - à remplir'!$G$31:$G$400,"kg"),SUMIFS('Étape 1 - à remplir'!$F$31:$F$400,'Étape 1 - à remplir'!$E$31:$E$400,MASQ2!EC39,'Étape 1 - à remplir'!$O$31:$O$400,EL$3,'Étape 1 - à remplir'!$G$31:$G$400,"kg")),IF(EL$2="Espèce",IF(EL$3="Toutes",SUMIFS('Étape 1 - à remplir'!$F$31:$F$400,'Étape 1 - à remplir'!$E$31:$E$400,MASQ2!EC39,'Étape 1 - à remplir'!$G$31:$G$400,"kg"),SUMIFS('Étape 1 - à remplir'!$F$31:$F$400,'Étape 1 - à remplir'!$E$31:$E$400,MASQ2!EC39,'Étape 1 - à remplir'!$N$31:$N$400,EL$3,'Étape 1 - à remplir'!$G$31:$G$400,"kg")))))))</f>
        <v>#N/A</v>
      </c>
      <c r="EE39" s="76">
        <f t="shared" si="53"/>
        <v>0</v>
      </c>
      <c r="EF39" t="str">
        <f t="shared" si="20"/>
        <v>Cloxacilline</v>
      </c>
      <c r="EG39" t="str">
        <f t="shared" si="21"/>
        <v>Ampicilline</v>
      </c>
      <c r="EH39" t="str">
        <f t="shared" si="22"/>
        <v/>
      </c>
      <c r="EI39" t="str">
        <f t="shared" si="23"/>
        <v>Penicillines</v>
      </c>
      <c r="EJ39" t="str">
        <f t="shared" si="24"/>
        <v>Penicillines</v>
      </c>
      <c r="EK39" s="63" t="str">
        <f t="shared" si="25"/>
        <v/>
      </c>
      <c r="EN39" s="42">
        <v>36</v>
      </c>
      <c r="EO39" t="e">
        <f t="shared" si="68"/>
        <v>#N/A</v>
      </c>
      <c r="EP39" s="63" t="e">
        <f t="shared" si="69"/>
        <v>#N/A</v>
      </c>
      <c r="ER39" s="194" t="str">
        <f t="shared" si="120"/>
        <v/>
      </c>
      <c r="ES39" s="226" t="str">
        <f>IFERROR(IF(EU39=0,"",COUNTIF(EU$4:EU$64,"&gt;"&amp;EU39)+COUNTIF(EU$4:EU39,EU39)),"")</f>
        <v/>
      </c>
      <c r="ET39" t="str">
        <f t="shared" si="121"/>
        <v>Paromomycine</v>
      </c>
      <c r="EU39" s="76" t="e">
        <f t="shared" si="56"/>
        <v>#N/A</v>
      </c>
      <c r="EV39">
        <v>36</v>
      </c>
      <c r="EW39" t="e">
        <f t="shared" si="57"/>
        <v>#N/A</v>
      </c>
      <c r="EX39" s="63" t="e">
        <f t="shared" si="58"/>
        <v>#N/A</v>
      </c>
      <c r="FH39" s="42">
        <v>8</v>
      </c>
      <c r="FI39" s="118" t="str">
        <f t="shared" si="111"/>
        <v/>
      </c>
      <c r="FJ39" t="str">
        <f t="shared" si="112"/>
        <v/>
      </c>
      <c r="FK39" t="str">
        <f t="shared" si="113"/>
        <v/>
      </c>
      <c r="FL39" s="63" t="str">
        <f t="shared" si="114"/>
        <v/>
      </c>
      <c r="FM39" s="42"/>
      <c r="FP39" s="122" t="str">
        <f>IFERROR(IF(FQ39="","",COUNTIF(FQ$32:FQ$41,"&lt;"&amp;FQ39)+COUNTIF(FQ$32:FQ39,FQ39))-COUNTBLANK(FQ$32:FQ$41),"")</f>
        <v/>
      </c>
      <c r="FQ39" s="109" t="str">
        <f>IF('Étape 1 - à remplir'!G26="kg",'Étape 1 - à remplir'!C26,"")</f>
        <v/>
      </c>
      <c r="FR39" s="109" t="e">
        <f>INDEX(FP$32:FQ$41,MATCH(8,FP$32:FP$41,0),2)</f>
        <v>#N/A</v>
      </c>
      <c r="FS39" s="109" t="e">
        <f t="shared" si="117"/>
        <v>#N/A</v>
      </c>
      <c r="FT39" s="123" t="e">
        <f>IF(FS39="","",MAX(FT$31:FT38)+1)</f>
        <v>#N/A</v>
      </c>
    </row>
    <row r="40" spans="2:176" x14ac:dyDescent="0.3">
      <c r="B40" s="42"/>
      <c r="M40" s="194" t="str">
        <f ca="1">INDEX(Données_ATB!BD:BU,MATCH(MASQ2!O40,Données_ATB!BD:BD,0),18)</f>
        <v>x</v>
      </c>
      <c r="N40" s="14" t="str">
        <f>IFERROR(IF(Q40=0,"",COUNTIF(Q$4:Q$600,"&gt;"&amp;Q40)+COUNTIF(Q$4:Q40,Q40)),"")</f>
        <v/>
      </c>
      <c r="O40" t="str">
        <f>Données_ATB!BD39</f>
        <v>AMPICOLINE</v>
      </c>
      <c r="P40" t="e">
        <f>IF(IF(X$2="Catégorie",IF(X$3="Toutes",SUMIFS('Étape 1 - à remplir'!$F$31:$F$400,'Étape 1 - à remplir'!$E$31:$E$400,MASQ2!O40,'Étape 1 - à remplir'!$G$31:$G$400,"animaux"),SUMIFS('Étape 1 - à remplir'!$F$31:$F$400,'Étape 1 - à remplir'!$E$31:$E$400,MASQ2!O40,'Étape 1 - à remplir'!$C$31:$C$400,X$3)),IF(X$2="Âge",IF(X$3="Tous",SUMIFS('Étape 1 - à remplir'!$F$31:$F$400,'Étape 1 - à remplir'!$E$31:$E$400,MASQ2!O40,'Étape 1 - à remplir'!$G$31:$G$400,"animaux"),SUMIFS('Étape 1 - à remplir'!$F$31:$F$400,'Étape 1 - à remplir'!$E$31:$E$400,MASQ2!O40,'Étape 1 - à remplir'!$P$31:$P$400,X$3)),IF(X$2="Atelier",IF(X$3="Tous",SUMIFS('Étape 1 - à remplir'!$F$31:$F$400,'Étape 1 - à remplir'!$E$31:$E$400,MASQ2!O40,'Étape 1 - à remplir'!$G$31:$G$400,"animaux"),SUMIFS('Étape 1 - à remplir'!$F$31:$F$400,'Étape 1 - à remplir'!$E$31:$E$400,MASQ2!O40,'Étape 1 - à remplir'!$O$31:$O$400,X$3)),IF(X$2="Espèce",IF(X$3="Toutes",SUMIFS('Étape 1 - à remplir'!$F$31:$F$400,'Étape 1 - à remplir'!$E$31:$E$400,MASQ2!O40,'Étape 1 - à remplir'!$G$31:$G$400,"animaux"),SUMIFS('Étape 1 - à remplir'!$F$31:$F$400,'Étape 1 - à remplir'!$E$31:$E$400,MASQ2!O40,'Étape 1 - à remplir'!$N$31:$N$400,X$3))))))=0,NA(),IF(X$2="Catégorie",IF(X$3="Toutes",SUMIFS('Étape 1 - à remplir'!$F$31:$F$400,'Étape 1 - à remplir'!$E$31:$E$400,MASQ2!O40,'Étape 1 - à remplir'!$G$31:$G$400,"animaux"),SUMIFS('Étape 1 - à remplir'!$F$31:$F$400,'Étape 1 - à remplir'!$E$31:$E$400,MASQ2!O40,'Étape 1 - à remplir'!$C$31:$C$400,X$3)),IF(X$2="Âge",IF(X$3="Tous",SUMIFS('Étape 1 - à remplir'!$F$31:$F$400,'Étape 1 - à remplir'!$E$31:$E$400,MASQ2!O40,'Étape 1 - à remplir'!$G$31:$G$400,"animaux"),SUMIFS('Étape 1 - à remplir'!$F$31:$F$400,'Étape 1 - à remplir'!$E$31:$E$400,MASQ2!O40,'Étape 1 - à remplir'!$P$31:$P$400,X$3)),IF(X$2="Atelier",IF(X$3="Tous",SUMIFS('Étape 1 - à remplir'!$F$31:$F$400,'Étape 1 - à remplir'!$E$31:$E$400,MASQ2!O40,'Étape 1 - à remplir'!$G$31:$G$400,"animaux"),SUMIFS('Étape 1 - à remplir'!$F$31:$F$400,'Étape 1 - à remplir'!$E$31:$E$400,MASQ2!O40,'Étape 1 - à remplir'!$O$31:$O$400,X$3)),IF(X$2="Espèce",IF(X$3="Toutes",SUMIFS('Étape 1 - à remplir'!$F$31:$F$400,'Étape 1 - à remplir'!$E$31:$E$400,MASQ2!O40,'Étape 1 - à remplir'!$G$31:$G$400,"animaux"),SUMIFS('Étape 1 - à remplir'!$F$31:$F$400,'Étape 1 - à remplir'!$E$31:$E$400,MASQ2!O40,'Étape 1 - à remplir'!$N$31:$N$400,X$3)))))))</f>
        <v>#N/A</v>
      </c>
      <c r="Q40" s="63">
        <f t="shared" si="62"/>
        <v>0</v>
      </c>
      <c r="R40" t="str">
        <f>Données_ATB!BM39</f>
        <v>Ampicilline</v>
      </c>
      <c r="S40" t="str">
        <f>Données_ATB!BN39</f>
        <v>Colistine</v>
      </c>
      <c r="T40" s="63" t="str">
        <f>Données_ATB!BO39</f>
        <v/>
      </c>
      <c r="U40" s="42" t="str">
        <f>Données_ATB!BQ39</f>
        <v>Penicillines</v>
      </c>
      <c r="V40" t="str">
        <f>Données_ATB!BR39</f>
        <v>Polypeptides</v>
      </c>
      <c r="W40" s="63" t="str">
        <f>Données_ATB!BS39</f>
        <v/>
      </c>
      <c r="Z40" s="42">
        <v>37</v>
      </c>
      <c r="AA40" t="e">
        <f t="shared" si="32"/>
        <v>#N/A</v>
      </c>
      <c r="AB40" s="63" t="e">
        <f t="shared" si="33"/>
        <v>#N/A</v>
      </c>
      <c r="AD40" s="194" t="str">
        <f>IF(AF40="Colistine","x",IF(INDEX(Données_ATB!CA$3:CB$63,MATCH(AF40,Données_ATB!CA$3:CA$63,0),2)="Fluoroquinolones","x",IF(INDEX(Données_ATB!CA$3:CB$63,MATCH(AF40,Données_ATB!CA$3:CA$63,0),2)="Cephalosporines 3&amp;4G","x","")))</f>
        <v/>
      </c>
      <c r="AE40" s="219" t="str">
        <f>IFERROR(IF(AG40=0,"",COUNTIF(AG$4:AG$64,"&gt;"&amp;AG40)+COUNTIF(AG$4:AG40,AG40)),"")</f>
        <v/>
      </c>
      <c r="AF40" s="42" t="str">
        <f>Données_ATB!CA39</f>
        <v>Pénéthamate (ou pénéthacilline)</v>
      </c>
      <c r="AG40" s="63" t="e">
        <f t="shared" si="34"/>
        <v>#N/A</v>
      </c>
      <c r="AH40" s="42">
        <v>37</v>
      </c>
      <c r="AI40" t="e">
        <f t="shared" si="35"/>
        <v>#N/A</v>
      </c>
      <c r="AJ40" s="63" t="e">
        <f t="shared" si="36"/>
        <v>#N/A</v>
      </c>
      <c r="AT40" s="42">
        <v>9</v>
      </c>
      <c r="AU40" s="118" t="str">
        <f t="shared" si="100"/>
        <v/>
      </c>
      <c r="AV40" t="str">
        <f t="shared" si="101"/>
        <v/>
      </c>
      <c r="AW40" t="str">
        <f t="shared" si="102"/>
        <v/>
      </c>
      <c r="AX40" s="63" t="str">
        <f t="shared" si="95"/>
        <v/>
      </c>
      <c r="BB40" s="122" t="str">
        <f>IFERROR(IF(BC40="","",COUNTIF(BC$32:BC$41,"&lt;"&amp;BC40)+COUNTIF(BC$32:BC40,BC40))-COUNTBLANK(BC$32:BC$41),"")</f>
        <v/>
      </c>
      <c r="BC40" s="76" t="str">
        <f>IF('Étape 1 - à remplir'!G27="animaux",'Étape 1 - à remplir'!C27,"")</f>
        <v/>
      </c>
      <c r="BD40" t="e">
        <f>INDEX(BB$32:BC$41,MATCH(9,BB$32:BB$41,0),2)</f>
        <v>#N/A</v>
      </c>
      <c r="BE40" t="e">
        <f t="shared" si="115"/>
        <v>#N/A</v>
      </c>
      <c r="BF40" s="123" t="e">
        <f>IF(BE40="","",MAX(BF$31:BF39)+1)</f>
        <v>#N/A</v>
      </c>
      <c r="BT40" s="194" t="str">
        <f t="shared" ca="1" si="5"/>
        <v>x</v>
      </c>
      <c r="BU40" s="219" t="str">
        <f>IFERROR(IF(BX40=0,"",COUNTIF(BX$4:BX$600,"&gt;"&amp;BX40)+COUNTIF(BX$4:BX40,BX40)),"")</f>
        <v/>
      </c>
      <c r="BV40" s="42" t="str">
        <f t="shared" si="6"/>
        <v>AMPICOLINE</v>
      </c>
      <c r="BW40" t="e">
        <f>IF(IF(CE$2="Catégorie",IF(CE$3="Toutes",SUMIFS('Étape 1 - à remplir'!$F$31:$F$400,'Étape 1 - à remplir'!$E$31:$E$400,MASQ2!BV40,'Étape 1 - à remplir'!$G$31:$G$400,"lots"),SUMIFS('Étape 1 - à remplir'!$F$31:$F$400,'Étape 1 - à remplir'!$E$31:$E$400,MASQ2!BV40,'Étape 1 - à remplir'!$C$31:$C$400,CE$3)),IF(CE$2="Âge",IF(CE$3="Tous",SUMIFS('Étape 1 - à remplir'!$F$31:$F$400,'Étape 1 - à remplir'!$E$31:$E$400,MASQ2!BV40,'Étape 1 - à remplir'!$G$31:$G$400,"lots"),SUMIFS('Étape 1 - à remplir'!$F$31:$F$400,'Étape 1 - à remplir'!$E$31:$E$400,MASQ2!BV40,'Étape 1 - à remplir'!$P$31:$P$400,CE$3,'Étape 1 - à remplir'!$G$31:$G$400,"lots")),IF(CE$2="Atelier",IF(CE$3="Tous",SUMIFS('Étape 1 - à remplir'!$F$31:$F$400,'Étape 1 - à remplir'!$E$31:$E$400,MASQ2!BV40,'Étape 1 - à remplir'!$G$31:$G$400,"lots"),SUMIFS('Étape 1 - à remplir'!$F$31:$F$400,'Étape 1 - à remplir'!$E$31:$E$400,MASQ2!BV40,'Étape 1 - à remplir'!$O$31:$O$400,CE$3,'Étape 1 - à remplir'!$G$31:$G$400,"lots")),IF(CE$2="Espèce",IF(CE$3="Toutes",SUMIFS('Étape 1 - à remplir'!$F$31:$F$400,'Étape 1 - à remplir'!$E$31:$E$400,MASQ2!BV40,'Étape 1 - à remplir'!$G$31:$G$400,"lots"),SUMIFS('Étape 1 - à remplir'!$F$31:$F$400,'Étape 1 - à remplir'!$E$31:$E$400,MASQ2!BV40,'Étape 1 - à remplir'!$N$31:$N$400,CE$3,'Étape 1 - à remplir'!$G$31:$G$400,"lots"))))))=0,NA(),IF(CE$2="Catégorie",IF(CE$3="Toutes",SUMIFS('Étape 1 - à remplir'!$F$31:$F$400,'Étape 1 - à remplir'!$E$31:$E$400,MASQ2!BV40,'Étape 1 - à remplir'!$G$31:$G$400,"lots"),SUMIFS('Étape 1 - à remplir'!$F$31:$F$400,'Étape 1 - à remplir'!$E$31:$E$400,MASQ2!BV40,'Étape 1 - à remplir'!$C$31:$C$400,CE$3)),IF(CE$2="Âge",IF(CE$3="Tous",SUMIFS('Étape 1 - à remplir'!$F$31:$F$400,'Étape 1 - à remplir'!$E$31:$E$400,MASQ2!BV40,'Étape 1 - à remplir'!$G$31:$G$400,"lots"),SUMIFS('Étape 1 - à remplir'!$F$31:$F$400,'Étape 1 - à remplir'!$E$31:$E$400,MASQ2!BV40,'Étape 1 - à remplir'!$P$31:$P$400,CE$3,'Étape 1 - à remplir'!$G$31:$G$400,"lots")),IF(CE$2="Atelier",IF(CE$3="Tous",SUMIFS('Étape 1 - à remplir'!$F$31:$F$400,'Étape 1 - à remplir'!$E$31:$E$400,MASQ2!BV40,'Étape 1 - à remplir'!$G$31:$G$400,"lots"),SUMIFS('Étape 1 - à remplir'!$F$31:$F$400,'Étape 1 - à remplir'!$E$31:$E$400,MASQ2!BV40,'Étape 1 - à remplir'!$O$31:$O$400,CE$3,'Étape 1 - à remplir'!$G$31:$G$400,"lots")),IF(CE$2="Espèce",IF(CE$3="Toutes",SUMIFS('Étape 1 - à remplir'!$F$31:$F$400,'Étape 1 - à remplir'!$E$31:$E$400,MASQ2!BV40,'Étape 1 - à remplir'!$G$31:$G$400,"lots"),SUMIFS('Étape 1 - à remplir'!$F$31:$F$400,'Étape 1 - à remplir'!$E$31:$E$400,MASQ2!BV40,'Étape 1 - à remplir'!$N$31:$N$400,CE$3,'Étape 1 - à remplir'!$G$31:$G$400,"lots")))))))</f>
        <v>#N/A</v>
      </c>
      <c r="BX40">
        <f t="shared" si="42"/>
        <v>0</v>
      </c>
      <c r="BY40" t="str">
        <f t="shared" si="7"/>
        <v>Ampicilline</v>
      </c>
      <c r="BZ40" t="str">
        <f t="shared" si="8"/>
        <v>Colistine</v>
      </c>
      <c r="CA40" t="str">
        <f t="shared" si="9"/>
        <v/>
      </c>
      <c r="CB40" t="str">
        <f t="shared" si="10"/>
        <v>Penicillines</v>
      </c>
      <c r="CC40" t="str">
        <f t="shared" si="11"/>
        <v>Polypeptides</v>
      </c>
      <c r="CD40" s="63" t="str">
        <f t="shared" si="12"/>
        <v/>
      </c>
      <c r="CG40" s="42">
        <v>37</v>
      </c>
      <c r="CH40" s="42" t="e">
        <f t="shared" si="80"/>
        <v>#N/A</v>
      </c>
      <c r="CI40" s="63" t="e">
        <f t="shared" si="81"/>
        <v>#N/A</v>
      </c>
      <c r="CK40" s="194" t="str">
        <f t="shared" si="118"/>
        <v/>
      </c>
      <c r="CL40" s="226" t="str">
        <f>IFERROR(IF(CN40=0,"",COUNTIF(CN$4:CN$64,"&gt;"&amp;CN40)+COUNTIF(CN$4:CN40,CN40)),"")</f>
        <v/>
      </c>
      <c r="CM40" t="str">
        <f t="shared" si="119"/>
        <v>Pénéthamate (ou pénéthacilline)</v>
      </c>
      <c r="CN40" s="76" t="e">
        <f t="shared" si="45"/>
        <v>#N/A</v>
      </c>
      <c r="CO40">
        <v>37</v>
      </c>
      <c r="CP40" t="e">
        <f t="shared" si="46"/>
        <v>#N/A</v>
      </c>
      <c r="CQ40" s="63" t="e">
        <f t="shared" si="47"/>
        <v>#N/A</v>
      </c>
      <c r="DA40" s="42">
        <v>9</v>
      </c>
      <c r="DB40" s="118" t="str">
        <f t="shared" si="105"/>
        <v/>
      </c>
      <c r="DC40" t="str">
        <f t="shared" si="106"/>
        <v/>
      </c>
      <c r="DD40" t="str">
        <f t="shared" si="107"/>
        <v/>
      </c>
      <c r="DE40" s="63" t="str">
        <f t="shared" si="108"/>
        <v/>
      </c>
      <c r="DI40" s="122" t="str">
        <f>IFERROR(IF(DJ40="","",COUNTIF(DJ$32:DJ$41,"&lt;"&amp;DJ40)+COUNTIF(DJ$32:DJ40,DJ40))-COUNTBLANK(DJ$32:DJ$41),"")</f>
        <v/>
      </c>
      <c r="DJ40" s="109" t="str">
        <f>IF('Étape 1 - à remplir'!G27="lots",'Étape 1 - à remplir'!C27,"")</f>
        <v/>
      </c>
      <c r="DK40" s="109" t="e">
        <f>INDEX(DI$32:DJ$41,MATCH(9,DI$32:DI$41,0),2)</f>
        <v>#N/A</v>
      </c>
      <c r="DL40" s="109" t="e">
        <f t="shared" si="116"/>
        <v>#N/A</v>
      </c>
      <c r="DM40" s="123" t="e">
        <f>IF(DL40="","",MAX(DM$31:DM39)+1)</f>
        <v>#N/A</v>
      </c>
      <c r="EA40" s="194" t="str">
        <f t="shared" ca="1" si="18"/>
        <v>x</v>
      </c>
      <c r="EB40" s="226" t="str">
        <f>IFERROR(IF(ED40=0,"",COUNTIF(ED$4:ED$600,"&gt;"&amp;ED40)+COUNTIF(ED$4:ED40,ED40)),"")</f>
        <v/>
      </c>
      <c r="EC40" t="str">
        <f t="shared" si="19"/>
        <v>AMPICOLINE</v>
      </c>
      <c r="ED40" t="e">
        <f>IF(IF(EL$2="Catégorie",IF(EL$3="Toutes",SUMIFS('Étape 1 - à remplir'!$F$31:$F$400,'Étape 1 - à remplir'!$E$31:$E$400,MASQ2!EC40,'Étape 1 - à remplir'!$G$31:$G$400,"kg"),SUMIFS('Étape 1 - à remplir'!$F$31:$F$400,'Étape 1 - à remplir'!$E$31:$E$400,MASQ2!EC40,'Étape 1 - à remplir'!$C$31:$C$400,EL$3)),IF(EL$2="Âge",IF(EL$3="Tous",SUMIFS('Étape 1 - à remplir'!$F$31:$F$400,'Étape 1 - à remplir'!$E$31:$E$400,MASQ2!EC40,'Étape 1 - à remplir'!$G$31:$G$400,"kg"),SUMIFS('Étape 1 - à remplir'!$F$31:$F$400,'Étape 1 - à remplir'!$E$31:$E$400,MASQ2!EC40,'Étape 1 - à remplir'!$P$31:$P$400,EL$3,'Étape 1 - à remplir'!$G$31:$G$400,"kg")),IF(EL$2="Atelier",IF(EL$3="Tous",SUMIFS('Étape 1 - à remplir'!$F$31:$F$400,'Étape 1 - à remplir'!$E$31:$E$400,MASQ2!EC40,'Étape 1 - à remplir'!$G$31:$G$400,"kg"),SUMIFS('Étape 1 - à remplir'!$F$31:$F$400,'Étape 1 - à remplir'!$E$31:$E$400,MASQ2!EC40,'Étape 1 - à remplir'!$O$31:$O$400,EL$3,'Étape 1 - à remplir'!$G$31:$G$400,"kg")),IF(EL$2="Espèce",IF(EL$3="Toutes",SUMIFS('Étape 1 - à remplir'!$F$31:$F$400,'Étape 1 - à remplir'!$E$31:$E$400,MASQ2!EC40,'Étape 1 - à remplir'!$G$31:$G$400,"kg"),SUMIFS('Étape 1 - à remplir'!$F$31:$F$400,'Étape 1 - à remplir'!$E$31:$E$400,MASQ2!EC40,'Étape 1 - à remplir'!$N$31:$N$400,EL$3,'Étape 1 - à remplir'!$G$31:$G$400,"kg"))))))=0,NA(),IF(EL$2="Catégorie",IF(EL$3="Toutes",SUMIFS('Étape 1 - à remplir'!$F$31:$F$400,'Étape 1 - à remplir'!$E$31:$E$400,MASQ2!EC40,'Étape 1 - à remplir'!$G$31:$G$400,"kg"),SUMIFS('Étape 1 - à remplir'!$F$31:$F$400,'Étape 1 - à remplir'!$E$31:$E$400,MASQ2!EC40,'Étape 1 - à remplir'!$C$31:$C$400,EL$3)),IF(EL$2="Âge",IF(EL$3="Tous",SUMIFS('Étape 1 - à remplir'!$F$31:$F$400,'Étape 1 - à remplir'!$E$31:$E$400,MASQ2!EC40,'Étape 1 - à remplir'!$G$31:$G$400,"kg"),SUMIFS('Étape 1 - à remplir'!$F$31:$F$400,'Étape 1 - à remplir'!$E$31:$E$400,MASQ2!EC40,'Étape 1 - à remplir'!$P$31:$P$400,EL$3,'Étape 1 - à remplir'!$G$31:$G$400,"kg")),IF(EL$2="Atelier",IF(EL$3="Tous",SUMIFS('Étape 1 - à remplir'!$F$31:$F$400,'Étape 1 - à remplir'!$E$31:$E$400,MASQ2!EC40,'Étape 1 - à remplir'!$G$31:$G$400,"kg"),SUMIFS('Étape 1 - à remplir'!$F$31:$F$400,'Étape 1 - à remplir'!$E$31:$E$400,MASQ2!EC40,'Étape 1 - à remplir'!$O$31:$O$400,EL$3,'Étape 1 - à remplir'!$G$31:$G$400,"kg")),IF(EL$2="Espèce",IF(EL$3="Toutes",SUMIFS('Étape 1 - à remplir'!$F$31:$F$400,'Étape 1 - à remplir'!$E$31:$E$400,MASQ2!EC40,'Étape 1 - à remplir'!$G$31:$G$400,"kg"),SUMIFS('Étape 1 - à remplir'!$F$31:$F$400,'Étape 1 - à remplir'!$E$31:$E$400,MASQ2!EC40,'Étape 1 - à remplir'!$N$31:$N$400,EL$3,'Étape 1 - à remplir'!$G$31:$G$400,"kg")))))))</f>
        <v>#N/A</v>
      </c>
      <c r="EE40" s="76">
        <f t="shared" si="53"/>
        <v>0</v>
      </c>
      <c r="EF40" t="str">
        <f t="shared" si="20"/>
        <v>Ampicilline</v>
      </c>
      <c r="EG40" t="str">
        <f t="shared" si="21"/>
        <v>Colistine</v>
      </c>
      <c r="EH40" t="str">
        <f t="shared" si="22"/>
        <v/>
      </c>
      <c r="EI40" t="str">
        <f t="shared" si="23"/>
        <v>Penicillines</v>
      </c>
      <c r="EJ40" t="str">
        <f t="shared" si="24"/>
        <v>Polypeptides</v>
      </c>
      <c r="EK40" s="63" t="str">
        <f t="shared" si="25"/>
        <v/>
      </c>
      <c r="EN40" s="42">
        <v>37</v>
      </c>
      <c r="EO40" t="e">
        <f t="shared" si="68"/>
        <v>#N/A</v>
      </c>
      <c r="EP40" s="63" t="e">
        <f t="shared" si="69"/>
        <v>#N/A</v>
      </c>
      <c r="ER40" s="194" t="str">
        <f t="shared" si="120"/>
        <v/>
      </c>
      <c r="ES40" s="226" t="str">
        <f>IFERROR(IF(EU40=0,"",COUNTIF(EU$4:EU$64,"&gt;"&amp;EU40)+COUNTIF(EU$4:EU40,EU40)),"")</f>
        <v/>
      </c>
      <c r="ET40" t="str">
        <f t="shared" si="121"/>
        <v>Pénéthamate (ou pénéthacilline)</v>
      </c>
      <c r="EU40" s="76" t="e">
        <f t="shared" si="56"/>
        <v>#N/A</v>
      </c>
      <c r="EV40">
        <v>37</v>
      </c>
      <c r="EW40" t="e">
        <f t="shared" si="57"/>
        <v>#N/A</v>
      </c>
      <c r="EX40" s="63" t="e">
        <f t="shared" si="58"/>
        <v>#N/A</v>
      </c>
      <c r="FH40" s="42">
        <v>9</v>
      </c>
      <c r="FI40" s="118" t="str">
        <f t="shared" si="111"/>
        <v/>
      </c>
      <c r="FJ40" t="str">
        <f t="shared" si="112"/>
        <v/>
      </c>
      <c r="FK40" t="str">
        <f t="shared" si="113"/>
        <v/>
      </c>
      <c r="FL40" s="63" t="str">
        <f t="shared" si="114"/>
        <v/>
      </c>
      <c r="FM40" s="42"/>
      <c r="FP40" s="122" t="str">
        <f>IFERROR(IF(FQ40="","",COUNTIF(FQ$32:FQ$41,"&lt;"&amp;FQ40)+COUNTIF(FQ$32:FQ40,FQ40))-COUNTBLANK(FQ$32:FQ$41),"")</f>
        <v/>
      </c>
      <c r="FQ40" s="109" t="str">
        <f>IF('Étape 1 - à remplir'!G27="kg",'Étape 1 - à remplir'!C27,"")</f>
        <v/>
      </c>
      <c r="FR40" s="109" t="e">
        <f>INDEX(FP$32:FQ$41,MATCH(9,FP$32:FP$41,0),2)</f>
        <v>#N/A</v>
      </c>
      <c r="FS40" s="109" t="e">
        <f t="shared" si="117"/>
        <v>#N/A</v>
      </c>
      <c r="FT40" s="123" t="e">
        <f>IF(FS40="","",MAX(FT$31:FT39)+1)</f>
        <v>#N/A</v>
      </c>
    </row>
    <row r="41" spans="2:176" ht="15" thickBot="1" x14ac:dyDescent="0.35">
      <c r="B41" s="42"/>
      <c r="M41" s="194" t="str">
        <f ca="1">INDEX(Données_ATB!BD:BU,MATCH(MASQ2!O41,Données_ATB!BD:BD,0),18)</f>
        <v>x</v>
      </c>
      <c r="N41" s="14" t="str">
        <f>IFERROR(IF(Q41=0,"",COUNTIF(Q$4:Q$600,"&gt;"&amp;Q41)+COUNTIF(Q$4:Q41,Q41)),"")</f>
        <v/>
      </c>
      <c r="O41" t="str">
        <f>Données_ATB!BD40</f>
        <v>AMPIDEXALONE</v>
      </c>
      <c r="P41" t="e">
        <f>IF(IF(X$2="Catégorie",IF(X$3="Toutes",SUMIFS('Étape 1 - à remplir'!$F$31:$F$400,'Étape 1 - à remplir'!$E$31:$E$400,MASQ2!O41,'Étape 1 - à remplir'!$G$31:$G$400,"animaux"),SUMIFS('Étape 1 - à remplir'!$F$31:$F$400,'Étape 1 - à remplir'!$E$31:$E$400,MASQ2!O41,'Étape 1 - à remplir'!$C$31:$C$400,X$3)),IF(X$2="Âge",IF(X$3="Tous",SUMIFS('Étape 1 - à remplir'!$F$31:$F$400,'Étape 1 - à remplir'!$E$31:$E$400,MASQ2!O41,'Étape 1 - à remplir'!$G$31:$G$400,"animaux"),SUMIFS('Étape 1 - à remplir'!$F$31:$F$400,'Étape 1 - à remplir'!$E$31:$E$400,MASQ2!O41,'Étape 1 - à remplir'!$P$31:$P$400,X$3)),IF(X$2="Atelier",IF(X$3="Tous",SUMIFS('Étape 1 - à remplir'!$F$31:$F$400,'Étape 1 - à remplir'!$E$31:$E$400,MASQ2!O41,'Étape 1 - à remplir'!$G$31:$G$400,"animaux"),SUMIFS('Étape 1 - à remplir'!$F$31:$F$400,'Étape 1 - à remplir'!$E$31:$E$400,MASQ2!O41,'Étape 1 - à remplir'!$O$31:$O$400,X$3)),IF(X$2="Espèce",IF(X$3="Toutes",SUMIFS('Étape 1 - à remplir'!$F$31:$F$400,'Étape 1 - à remplir'!$E$31:$E$400,MASQ2!O41,'Étape 1 - à remplir'!$G$31:$G$400,"animaux"),SUMIFS('Étape 1 - à remplir'!$F$31:$F$400,'Étape 1 - à remplir'!$E$31:$E$400,MASQ2!O41,'Étape 1 - à remplir'!$N$31:$N$400,X$3))))))=0,NA(),IF(X$2="Catégorie",IF(X$3="Toutes",SUMIFS('Étape 1 - à remplir'!$F$31:$F$400,'Étape 1 - à remplir'!$E$31:$E$400,MASQ2!O41,'Étape 1 - à remplir'!$G$31:$G$400,"animaux"),SUMIFS('Étape 1 - à remplir'!$F$31:$F$400,'Étape 1 - à remplir'!$E$31:$E$400,MASQ2!O41,'Étape 1 - à remplir'!$C$31:$C$400,X$3)),IF(X$2="Âge",IF(X$3="Tous",SUMIFS('Étape 1 - à remplir'!$F$31:$F$400,'Étape 1 - à remplir'!$E$31:$E$400,MASQ2!O41,'Étape 1 - à remplir'!$G$31:$G$400,"animaux"),SUMIFS('Étape 1 - à remplir'!$F$31:$F$400,'Étape 1 - à remplir'!$E$31:$E$400,MASQ2!O41,'Étape 1 - à remplir'!$P$31:$P$400,X$3)),IF(X$2="Atelier",IF(X$3="Tous",SUMIFS('Étape 1 - à remplir'!$F$31:$F$400,'Étape 1 - à remplir'!$E$31:$E$400,MASQ2!O41,'Étape 1 - à remplir'!$G$31:$G$400,"animaux"),SUMIFS('Étape 1 - à remplir'!$F$31:$F$400,'Étape 1 - à remplir'!$E$31:$E$400,MASQ2!O41,'Étape 1 - à remplir'!$O$31:$O$400,X$3)),IF(X$2="Espèce",IF(X$3="Toutes",SUMIFS('Étape 1 - à remplir'!$F$31:$F$400,'Étape 1 - à remplir'!$E$31:$E$400,MASQ2!O41,'Étape 1 - à remplir'!$G$31:$G$400,"animaux"),SUMIFS('Étape 1 - à remplir'!$F$31:$F$400,'Étape 1 - à remplir'!$E$31:$E$400,MASQ2!O41,'Étape 1 - à remplir'!$N$31:$N$400,X$3)))))))</f>
        <v>#N/A</v>
      </c>
      <c r="Q41" s="63">
        <f t="shared" si="62"/>
        <v>0</v>
      </c>
      <c r="R41" t="str">
        <f>Données_ATB!BM40</f>
        <v>Ampicilline</v>
      </c>
      <c r="S41" t="str">
        <f>Données_ATB!BN40</f>
        <v>Colistine</v>
      </c>
      <c r="T41" s="63" t="str">
        <f>Données_ATB!BO40</f>
        <v/>
      </c>
      <c r="U41" s="42" t="str">
        <f>Données_ATB!BQ40</f>
        <v>Penicillines</v>
      </c>
      <c r="V41" t="str">
        <f>Données_ATB!BR40</f>
        <v>Polypeptides</v>
      </c>
      <c r="W41" s="63" t="str">
        <f>Données_ATB!BS40</f>
        <v/>
      </c>
      <c r="Z41" s="42">
        <v>38</v>
      </c>
      <c r="AA41" t="e">
        <f t="shared" si="32"/>
        <v>#N/A</v>
      </c>
      <c r="AB41" s="63" t="e">
        <f t="shared" si="33"/>
        <v>#N/A</v>
      </c>
      <c r="AD41" s="194" t="str">
        <f>IF(AF41="Colistine","x",IF(INDEX(Données_ATB!CA$3:CB$63,MATCH(AF41,Données_ATB!CA$3:CA$63,0),2)="Fluoroquinolones","x",IF(INDEX(Données_ATB!CA$3:CB$63,MATCH(AF41,Données_ATB!CA$3:CA$63,0),2)="Cephalosporines 3&amp;4G","x","")))</f>
        <v/>
      </c>
      <c r="AE41" s="219" t="str">
        <f>IFERROR(IF(AG41=0,"",COUNTIF(AG$4:AG$64,"&gt;"&amp;AG41)+COUNTIF(AG$4:AG41,AG41)),"")</f>
        <v/>
      </c>
      <c r="AF41" s="42" t="str">
        <f>Données_ATB!CA40</f>
        <v>Phénoxyméthylpénicilline</v>
      </c>
      <c r="AG41" s="63" t="e">
        <f t="shared" si="34"/>
        <v>#N/A</v>
      </c>
      <c r="AH41" s="42">
        <v>38</v>
      </c>
      <c r="AI41" t="e">
        <f t="shared" si="35"/>
        <v>#N/A</v>
      </c>
      <c r="AJ41" s="63" t="e">
        <f t="shared" si="36"/>
        <v>#N/A</v>
      </c>
      <c r="AT41" s="74">
        <v>10</v>
      </c>
      <c r="AU41" s="136" t="str">
        <f t="shared" si="100"/>
        <v/>
      </c>
      <c r="AV41" s="64" t="str">
        <f t="shared" si="101"/>
        <v/>
      </c>
      <c r="AW41" s="64" t="str">
        <f t="shared" si="102"/>
        <v/>
      </c>
      <c r="AX41" s="65" t="str">
        <f t="shared" si="95"/>
        <v/>
      </c>
      <c r="BB41" s="124" t="str">
        <f>IFERROR(IF(BC41="","",COUNTIF(BC$32:BC$41,"&lt;"&amp;BC41)+COUNTIF(BC$32:BC41,BC41))-COUNTBLANK(BC$32:BC$41),"")</f>
        <v/>
      </c>
      <c r="BC41" s="77" t="str">
        <f>IF('Étape 1 - à remplir'!G28="animaux",'Étape 1 - à remplir'!C28,"")</f>
        <v/>
      </c>
      <c r="BD41" s="64" t="e">
        <f>INDEX(BB$32:BC$41,MATCH(10,BB$32:BB$41,0),2)</f>
        <v>#N/A</v>
      </c>
      <c r="BE41" s="64" t="e">
        <f t="shared" si="115"/>
        <v>#N/A</v>
      </c>
      <c r="BF41" s="125" t="e">
        <f>IF(BE41="","",MAX(BF$31:BF40)+1)</f>
        <v>#N/A</v>
      </c>
      <c r="BT41" s="194" t="str">
        <f t="shared" ca="1" si="5"/>
        <v>x</v>
      </c>
      <c r="BU41" s="219" t="str">
        <f>IFERROR(IF(BX41=0,"",COUNTIF(BX$4:BX$600,"&gt;"&amp;BX41)+COUNTIF(BX$4:BX41,BX41)),"")</f>
        <v/>
      </c>
      <c r="BV41" s="42" t="str">
        <f t="shared" si="6"/>
        <v>AMPIDEXALONE</v>
      </c>
      <c r="BW41" t="e">
        <f>IF(IF(CE$2="Catégorie",IF(CE$3="Toutes",SUMIFS('Étape 1 - à remplir'!$F$31:$F$400,'Étape 1 - à remplir'!$E$31:$E$400,MASQ2!BV41,'Étape 1 - à remplir'!$G$31:$G$400,"lots"),SUMIFS('Étape 1 - à remplir'!$F$31:$F$400,'Étape 1 - à remplir'!$E$31:$E$400,MASQ2!BV41,'Étape 1 - à remplir'!$C$31:$C$400,CE$3)),IF(CE$2="Âge",IF(CE$3="Tous",SUMIFS('Étape 1 - à remplir'!$F$31:$F$400,'Étape 1 - à remplir'!$E$31:$E$400,MASQ2!BV41,'Étape 1 - à remplir'!$G$31:$G$400,"lots"),SUMIFS('Étape 1 - à remplir'!$F$31:$F$400,'Étape 1 - à remplir'!$E$31:$E$400,MASQ2!BV41,'Étape 1 - à remplir'!$P$31:$P$400,CE$3,'Étape 1 - à remplir'!$G$31:$G$400,"lots")),IF(CE$2="Atelier",IF(CE$3="Tous",SUMIFS('Étape 1 - à remplir'!$F$31:$F$400,'Étape 1 - à remplir'!$E$31:$E$400,MASQ2!BV41,'Étape 1 - à remplir'!$G$31:$G$400,"lots"),SUMIFS('Étape 1 - à remplir'!$F$31:$F$400,'Étape 1 - à remplir'!$E$31:$E$400,MASQ2!BV41,'Étape 1 - à remplir'!$O$31:$O$400,CE$3,'Étape 1 - à remplir'!$G$31:$G$400,"lots")),IF(CE$2="Espèce",IF(CE$3="Toutes",SUMIFS('Étape 1 - à remplir'!$F$31:$F$400,'Étape 1 - à remplir'!$E$31:$E$400,MASQ2!BV41,'Étape 1 - à remplir'!$G$31:$G$400,"lots"),SUMIFS('Étape 1 - à remplir'!$F$31:$F$400,'Étape 1 - à remplir'!$E$31:$E$400,MASQ2!BV41,'Étape 1 - à remplir'!$N$31:$N$400,CE$3,'Étape 1 - à remplir'!$G$31:$G$400,"lots"))))))=0,NA(),IF(CE$2="Catégorie",IF(CE$3="Toutes",SUMIFS('Étape 1 - à remplir'!$F$31:$F$400,'Étape 1 - à remplir'!$E$31:$E$400,MASQ2!BV41,'Étape 1 - à remplir'!$G$31:$G$400,"lots"),SUMIFS('Étape 1 - à remplir'!$F$31:$F$400,'Étape 1 - à remplir'!$E$31:$E$400,MASQ2!BV41,'Étape 1 - à remplir'!$C$31:$C$400,CE$3)),IF(CE$2="Âge",IF(CE$3="Tous",SUMIFS('Étape 1 - à remplir'!$F$31:$F$400,'Étape 1 - à remplir'!$E$31:$E$400,MASQ2!BV41,'Étape 1 - à remplir'!$G$31:$G$400,"lots"),SUMIFS('Étape 1 - à remplir'!$F$31:$F$400,'Étape 1 - à remplir'!$E$31:$E$400,MASQ2!BV41,'Étape 1 - à remplir'!$P$31:$P$400,CE$3,'Étape 1 - à remplir'!$G$31:$G$400,"lots")),IF(CE$2="Atelier",IF(CE$3="Tous",SUMIFS('Étape 1 - à remplir'!$F$31:$F$400,'Étape 1 - à remplir'!$E$31:$E$400,MASQ2!BV41,'Étape 1 - à remplir'!$G$31:$G$400,"lots"),SUMIFS('Étape 1 - à remplir'!$F$31:$F$400,'Étape 1 - à remplir'!$E$31:$E$400,MASQ2!BV41,'Étape 1 - à remplir'!$O$31:$O$400,CE$3,'Étape 1 - à remplir'!$G$31:$G$400,"lots")),IF(CE$2="Espèce",IF(CE$3="Toutes",SUMIFS('Étape 1 - à remplir'!$F$31:$F$400,'Étape 1 - à remplir'!$E$31:$E$400,MASQ2!BV41,'Étape 1 - à remplir'!$G$31:$G$400,"lots"),SUMIFS('Étape 1 - à remplir'!$F$31:$F$400,'Étape 1 - à remplir'!$E$31:$E$400,MASQ2!BV41,'Étape 1 - à remplir'!$N$31:$N$400,CE$3,'Étape 1 - à remplir'!$G$31:$G$400,"lots")))))))</f>
        <v>#N/A</v>
      </c>
      <c r="BX41">
        <f t="shared" si="42"/>
        <v>0</v>
      </c>
      <c r="BY41" t="str">
        <f t="shared" si="7"/>
        <v>Ampicilline</v>
      </c>
      <c r="BZ41" t="str">
        <f t="shared" si="8"/>
        <v>Colistine</v>
      </c>
      <c r="CA41" t="str">
        <f t="shared" si="9"/>
        <v/>
      </c>
      <c r="CB41" t="str">
        <f t="shared" si="10"/>
        <v>Penicillines</v>
      </c>
      <c r="CC41" t="str">
        <f t="shared" si="11"/>
        <v>Polypeptides</v>
      </c>
      <c r="CD41" s="63" t="str">
        <f t="shared" si="12"/>
        <v/>
      </c>
      <c r="CG41" s="42">
        <v>38</v>
      </c>
      <c r="CH41" s="42" t="e">
        <f t="shared" si="80"/>
        <v>#N/A</v>
      </c>
      <c r="CI41" s="63" t="e">
        <f t="shared" si="81"/>
        <v>#N/A</v>
      </c>
      <c r="CK41" s="194" t="str">
        <f t="shared" si="118"/>
        <v/>
      </c>
      <c r="CL41" s="226" t="str">
        <f>IFERROR(IF(CN41=0,"",COUNTIF(CN$4:CN$64,"&gt;"&amp;CN41)+COUNTIF(CN$4:CN41,CN41)),"")</f>
        <v/>
      </c>
      <c r="CM41" t="str">
        <f t="shared" si="119"/>
        <v>Phénoxyméthylpénicilline</v>
      </c>
      <c r="CN41" s="76" t="e">
        <f t="shared" si="45"/>
        <v>#N/A</v>
      </c>
      <c r="CO41">
        <v>38</v>
      </c>
      <c r="CP41" t="e">
        <f t="shared" si="46"/>
        <v>#N/A</v>
      </c>
      <c r="CQ41" s="63" t="e">
        <f t="shared" si="47"/>
        <v>#N/A</v>
      </c>
      <c r="DA41" s="74">
        <v>10</v>
      </c>
      <c r="DB41" s="136" t="str">
        <f t="shared" si="105"/>
        <v/>
      </c>
      <c r="DC41" s="64" t="str">
        <f t="shared" si="106"/>
        <v/>
      </c>
      <c r="DD41" s="64" t="str">
        <f t="shared" si="107"/>
        <v/>
      </c>
      <c r="DE41" s="65" t="str">
        <f t="shared" si="108"/>
        <v/>
      </c>
      <c r="DI41" s="124" t="str">
        <f>IFERROR(IF(DJ41="","",COUNTIF(DJ$32:DJ$41,"&lt;"&amp;DJ41)+COUNTIF(DJ$32:DJ41,DJ41))-COUNTBLANK(DJ$32:DJ$41),"")</f>
        <v/>
      </c>
      <c r="DJ41" s="222" t="str">
        <f>IF('Étape 1 - à remplir'!G28="lots",'Étape 1 - à remplir'!C28,"")</f>
        <v/>
      </c>
      <c r="DK41" s="222" t="e">
        <f>INDEX(DI$32:DJ$41,MATCH(10,DI$32:DI$41,0),2)</f>
        <v>#N/A</v>
      </c>
      <c r="DL41" s="222" t="e">
        <f t="shared" si="116"/>
        <v>#N/A</v>
      </c>
      <c r="DM41" s="125" t="e">
        <f>IF(DL41="","",MAX(DM$31:DM40)+1)</f>
        <v>#N/A</v>
      </c>
      <c r="EA41" s="194" t="str">
        <f t="shared" ca="1" si="18"/>
        <v>x</v>
      </c>
      <c r="EB41" s="226" t="str">
        <f>IFERROR(IF(ED41=0,"",COUNTIF(ED$4:ED$600,"&gt;"&amp;ED41)+COUNTIF(ED$4:ED41,ED41)),"")</f>
        <v/>
      </c>
      <c r="EC41" t="str">
        <f t="shared" si="19"/>
        <v>AMPIDEXALONE</v>
      </c>
      <c r="ED41" t="e">
        <f>IF(IF(EL$2="Catégorie",IF(EL$3="Toutes",SUMIFS('Étape 1 - à remplir'!$F$31:$F$400,'Étape 1 - à remplir'!$E$31:$E$400,MASQ2!EC41,'Étape 1 - à remplir'!$G$31:$G$400,"kg"),SUMIFS('Étape 1 - à remplir'!$F$31:$F$400,'Étape 1 - à remplir'!$E$31:$E$400,MASQ2!EC41,'Étape 1 - à remplir'!$C$31:$C$400,EL$3)),IF(EL$2="Âge",IF(EL$3="Tous",SUMIFS('Étape 1 - à remplir'!$F$31:$F$400,'Étape 1 - à remplir'!$E$31:$E$400,MASQ2!EC41,'Étape 1 - à remplir'!$G$31:$G$400,"kg"),SUMIFS('Étape 1 - à remplir'!$F$31:$F$400,'Étape 1 - à remplir'!$E$31:$E$400,MASQ2!EC41,'Étape 1 - à remplir'!$P$31:$P$400,EL$3,'Étape 1 - à remplir'!$G$31:$G$400,"kg")),IF(EL$2="Atelier",IF(EL$3="Tous",SUMIFS('Étape 1 - à remplir'!$F$31:$F$400,'Étape 1 - à remplir'!$E$31:$E$400,MASQ2!EC41,'Étape 1 - à remplir'!$G$31:$G$400,"kg"),SUMIFS('Étape 1 - à remplir'!$F$31:$F$400,'Étape 1 - à remplir'!$E$31:$E$400,MASQ2!EC41,'Étape 1 - à remplir'!$O$31:$O$400,EL$3,'Étape 1 - à remplir'!$G$31:$G$400,"kg")),IF(EL$2="Espèce",IF(EL$3="Toutes",SUMIFS('Étape 1 - à remplir'!$F$31:$F$400,'Étape 1 - à remplir'!$E$31:$E$400,MASQ2!EC41,'Étape 1 - à remplir'!$G$31:$G$400,"kg"),SUMIFS('Étape 1 - à remplir'!$F$31:$F$400,'Étape 1 - à remplir'!$E$31:$E$400,MASQ2!EC41,'Étape 1 - à remplir'!$N$31:$N$400,EL$3,'Étape 1 - à remplir'!$G$31:$G$400,"kg"))))))=0,NA(),IF(EL$2="Catégorie",IF(EL$3="Toutes",SUMIFS('Étape 1 - à remplir'!$F$31:$F$400,'Étape 1 - à remplir'!$E$31:$E$400,MASQ2!EC41,'Étape 1 - à remplir'!$G$31:$G$400,"kg"),SUMIFS('Étape 1 - à remplir'!$F$31:$F$400,'Étape 1 - à remplir'!$E$31:$E$400,MASQ2!EC41,'Étape 1 - à remplir'!$C$31:$C$400,EL$3)),IF(EL$2="Âge",IF(EL$3="Tous",SUMIFS('Étape 1 - à remplir'!$F$31:$F$400,'Étape 1 - à remplir'!$E$31:$E$400,MASQ2!EC41,'Étape 1 - à remplir'!$G$31:$G$400,"kg"),SUMIFS('Étape 1 - à remplir'!$F$31:$F$400,'Étape 1 - à remplir'!$E$31:$E$400,MASQ2!EC41,'Étape 1 - à remplir'!$P$31:$P$400,EL$3,'Étape 1 - à remplir'!$G$31:$G$400,"kg")),IF(EL$2="Atelier",IF(EL$3="Tous",SUMIFS('Étape 1 - à remplir'!$F$31:$F$400,'Étape 1 - à remplir'!$E$31:$E$400,MASQ2!EC41,'Étape 1 - à remplir'!$G$31:$G$400,"kg"),SUMIFS('Étape 1 - à remplir'!$F$31:$F$400,'Étape 1 - à remplir'!$E$31:$E$400,MASQ2!EC41,'Étape 1 - à remplir'!$O$31:$O$400,EL$3,'Étape 1 - à remplir'!$G$31:$G$400,"kg")),IF(EL$2="Espèce",IF(EL$3="Toutes",SUMIFS('Étape 1 - à remplir'!$F$31:$F$400,'Étape 1 - à remplir'!$E$31:$E$400,MASQ2!EC41,'Étape 1 - à remplir'!$G$31:$G$400,"kg"),SUMIFS('Étape 1 - à remplir'!$F$31:$F$400,'Étape 1 - à remplir'!$E$31:$E$400,MASQ2!EC41,'Étape 1 - à remplir'!$N$31:$N$400,EL$3,'Étape 1 - à remplir'!$G$31:$G$400,"kg")))))))</f>
        <v>#N/A</v>
      </c>
      <c r="EE41" s="76">
        <f t="shared" si="53"/>
        <v>0</v>
      </c>
      <c r="EF41" t="str">
        <f t="shared" si="20"/>
        <v>Ampicilline</v>
      </c>
      <c r="EG41" t="str">
        <f t="shared" si="21"/>
        <v>Colistine</v>
      </c>
      <c r="EH41" t="str">
        <f t="shared" si="22"/>
        <v/>
      </c>
      <c r="EI41" t="str">
        <f t="shared" si="23"/>
        <v>Penicillines</v>
      </c>
      <c r="EJ41" t="str">
        <f t="shared" si="24"/>
        <v>Polypeptides</v>
      </c>
      <c r="EK41" s="63" t="str">
        <f t="shared" si="25"/>
        <v/>
      </c>
      <c r="EN41" s="42">
        <v>38</v>
      </c>
      <c r="EO41" t="e">
        <f t="shared" si="68"/>
        <v>#N/A</v>
      </c>
      <c r="EP41" s="63" t="e">
        <f t="shared" si="69"/>
        <v>#N/A</v>
      </c>
      <c r="ER41" s="194" t="str">
        <f t="shared" si="120"/>
        <v/>
      </c>
      <c r="ES41" s="226" t="str">
        <f>IFERROR(IF(EU41=0,"",COUNTIF(EU$4:EU$64,"&gt;"&amp;EU41)+COUNTIF(EU$4:EU41,EU41)),"")</f>
        <v/>
      </c>
      <c r="ET41" t="str">
        <f t="shared" si="121"/>
        <v>Phénoxyméthylpénicilline</v>
      </c>
      <c r="EU41" s="76" t="e">
        <f t="shared" si="56"/>
        <v>#N/A</v>
      </c>
      <c r="EV41">
        <v>38</v>
      </c>
      <c r="EW41" t="e">
        <f t="shared" si="57"/>
        <v>#N/A</v>
      </c>
      <c r="EX41" s="63" t="e">
        <f t="shared" si="58"/>
        <v>#N/A</v>
      </c>
      <c r="FH41" s="74">
        <v>10</v>
      </c>
      <c r="FI41" s="136" t="str">
        <f t="shared" si="111"/>
        <v/>
      </c>
      <c r="FJ41" s="64" t="str">
        <f t="shared" si="112"/>
        <v/>
      </c>
      <c r="FK41" s="64" t="str">
        <f t="shared" si="113"/>
        <v/>
      </c>
      <c r="FL41" s="65" t="str">
        <f t="shared" si="114"/>
        <v/>
      </c>
      <c r="FM41" s="42"/>
      <c r="FP41" s="124" t="str">
        <f>IFERROR(IF(FQ41="","",COUNTIF(FQ$32:FQ$41,"&lt;"&amp;FQ41)+COUNTIF(FQ$32:FQ41,FQ41))-COUNTBLANK(FQ$32:FQ$41),"")</f>
        <v/>
      </c>
      <c r="FQ41" s="222" t="str">
        <f>IF('Étape 1 - à remplir'!G28="kg",'Étape 1 - à remplir'!C28,"")</f>
        <v/>
      </c>
      <c r="FR41" s="222" t="e">
        <f>INDEX(FP$32:FQ$41,MATCH(10,FP$32:FP$41,0),2)</f>
        <v>#N/A</v>
      </c>
      <c r="FS41" s="222" t="e">
        <f t="shared" si="117"/>
        <v>#N/A</v>
      </c>
      <c r="FT41" s="125" t="e">
        <f>IF(FS41="","",MAX(FT$31:FT40)+1)</f>
        <v>#N/A</v>
      </c>
    </row>
    <row r="42" spans="2:176" x14ac:dyDescent="0.3">
      <c r="B42" s="42"/>
      <c r="M42" s="194" t="str">
        <f ca="1">INDEX(Données_ATB!BD:BU,MATCH(MASQ2!O42,Données_ATB!BD:BD,0),18)</f>
        <v/>
      </c>
      <c r="N42" s="14" t="str">
        <f>IFERROR(IF(Q42=0,"",COUNTIF(Q$4:Q$600,"&gt;"&amp;Q42)+COUNTIF(Q$4:Q42,Q42)),"")</f>
        <v/>
      </c>
      <c r="O42" t="str">
        <f>Données_ATB!BD41</f>
        <v>AMPIDIAR</v>
      </c>
      <c r="P42" t="e">
        <f>IF(IF(X$2="Catégorie",IF(X$3="Toutes",SUMIFS('Étape 1 - à remplir'!$F$31:$F$400,'Étape 1 - à remplir'!$E$31:$E$400,MASQ2!O42,'Étape 1 - à remplir'!$G$31:$G$400,"animaux"),SUMIFS('Étape 1 - à remplir'!$F$31:$F$400,'Étape 1 - à remplir'!$E$31:$E$400,MASQ2!O42,'Étape 1 - à remplir'!$C$31:$C$400,X$3)),IF(X$2="Âge",IF(X$3="Tous",SUMIFS('Étape 1 - à remplir'!$F$31:$F$400,'Étape 1 - à remplir'!$E$31:$E$400,MASQ2!O42,'Étape 1 - à remplir'!$G$31:$G$400,"animaux"),SUMIFS('Étape 1 - à remplir'!$F$31:$F$400,'Étape 1 - à remplir'!$E$31:$E$400,MASQ2!O42,'Étape 1 - à remplir'!$P$31:$P$400,X$3)),IF(X$2="Atelier",IF(X$3="Tous",SUMIFS('Étape 1 - à remplir'!$F$31:$F$400,'Étape 1 - à remplir'!$E$31:$E$400,MASQ2!O42,'Étape 1 - à remplir'!$G$31:$G$400,"animaux"),SUMIFS('Étape 1 - à remplir'!$F$31:$F$400,'Étape 1 - à remplir'!$E$31:$E$400,MASQ2!O42,'Étape 1 - à remplir'!$O$31:$O$400,X$3)),IF(X$2="Espèce",IF(X$3="Toutes",SUMIFS('Étape 1 - à remplir'!$F$31:$F$400,'Étape 1 - à remplir'!$E$31:$E$400,MASQ2!O42,'Étape 1 - à remplir'!$G$31:$G$400,"animaux"),SUMIFS('Étape 1 - à remplir'!$F$31:$F$400,'Étape 1 - à remplir'!$E$31:$E$400,MASQ2!O42,'Étape 1 - à remplir'!$N$31:$N$400,X$3))))))=0,NA(),IF(X$2="Catégorie",IF(X$3="Toutes",SUMIFS('Étape 1 - à remplir'!$F$31:$F$400,'Étape 1 - à remplir'!$E$31:$E$400,MASQ2!O42,'Étape 1 - à remplir'!$G$31:$G$400,"animaux"),SUMIFS('Étape 1 - à remplir'!$F$31:$F$400,'Étape 1 - à remplir'!$E$31:$E$400,MASQ2!O42,'Étape 1 - à remplir'!$C$31:$C$400,X$3)),IF(X$2="Âge",IF(X$3="Tous",SUMIFS('Étape 1 - à remplir'!$F$31:$F$400,'Étape 1 - à remplir'!$E$31:$E$400,MASQ2!O42,'Étape 1 - à remplir'!$G$31:$G$400,"animaux"),SUMIFS('Étape 1 - à remplir'!$F$31:$F$400,'Étape 1 - à remplir'!$E$31:$E$400,MASQ2!O42,'Étape 1 - à remplir'!$P$31:$P$400,X$3)),IF(X$2="Atelier",IF(X$3="Tous",SUMIFS('Étape 1 - à remplir'!$F$31:$F$400,'Étape 1 - à remplir'!$E$31:$E$400,MASQ2!O42,'Étape 1 - à remplir'!$G$31:$G$400,"animaux"),SUMIFS('Étape 1 - à remplir'!$F$31:$F$400,'Étape 1 - à remplir'!$E$31:$E$400,MASQ2!O42,'Étape 1 - à remplir'!$O$31:$O$400,X$3)),IF(X$2="Espèce",IF(X$3="Toutes",SUMIFS('Étape 1 - à remplir'!$F$31:$F$400,'Étape 1 - à remplir'!$E$31:$E$400,MASQ2!O42,'Étape 1 - à remplir'!$G$31:$G$400,"animaux"),SUMIFS('Étape 1 - à remplir'!$F$31:$F$400,'Étape 1 - à remplir'!$E$31:$E$400,MASQ2!O42,'Étape 1 - à remplir'!$N$31:$N$400,X$3)))))))</f>
        <v>#N/A</v>
      </c>
      <c r="Q42" s="63">
        <f t="shared" si="62"/>
        <v>0</v>
      </c>
      <c r="R42" t="str">
        <f>Données_ATB!BM41</f>
        <v>Sulfadiméthoxine</v>
      </c>
      <c r="S42" t="str">
        <f>Données_ATB!BN41</f>
        <v>Ampicilline</v>
      </c>
      <c r="T42" s="63" t="str">
        <f>Données_ATB!BO41</f>
        <v/>
      </c>
      <c r="U42" s="42" t="str">
        <f>Données_ATB!BQ41</f>
        <v>Sulfamides</v>
      </c>
      <c r="V42" t="str">
        <f>Données_ATB!BR41</f>
        <v>Penicillines</v>
      </c>
      <c r="W42" s="63" t="str">
        <f>Données_ATB!BS41</f>
        <v/>
      </c>
      <c r="Z42" s="42">
        <v>39</v>
      </c>
      <c r="AA42" t="e">
        <f t="shared" si="32"/>
        <v>#N/A</v>
      </c>
      <c r="AB42" s="63" t="e">
        <f t="shared" si="33"/>
        <v>#N/A</v>
      </c>
      <c r="AD42" s="194" t="str">
        <f>IF(AF42="Colistine","x",IF(INDEX(Données_ATB!CA$3:CB$63,MATCH(AF42,Données_ATB!CA$3:CA$63,0),2)="Fluoroquinolones","x",IF(INDEX(Données_ATB!CA$3:CB$63,MATCH(AF42,Données_ATB!CA$3:CA$63,0),2)="Cephalosporines 3&amp;4G","x","")))</f>
        <v/>
      </c>
      <c r="AE42" s="219" t="str">
        <f>IFERROR(IF(AG42=0,"",COUNTIF(AG$4:AG$64,"&gt;"&amp;AG42)+COUNTIF(AG$4:AG42,AG42)),"")</f>
        <v/>
      </c>
      <c r="AF42" s="42" t="str">
        <f>Données_ATB!CA41</f>
        <v>Pirlimycine</v>
      </c>
      <c r="AG42" s="63" t="e">
        <f t="shared" si="34"/>
        <v>#N/A</v>
      </c>
      <c r="AH42" s="42">
        <v>39</v>
      </c>
      <c r="AI42" t="e">
        <f t="shared" si="35"/>
        <v>#N/A</v>
      </c>
      <c r="AJ42" s="63" t="e">
        <f t="shared" si="36"/>
        <v>#N/A</v>
      </c>
      <c r="BF42" s="63"/>
      <c r="BT42" s="194" t="str">
        <f t="shared" ca="1" si="5"/>
        <v/>
      </c>
      <c r="BU42" s="219" t="str">
        <f>IFERROR(IF(BX42=0,"",COUNTIF(BX$4:BX$600,"&gt;"&amp;BX42)+COUNTIF(BX$4:BX42,BX42)),"")</f>
        <v/>
      </c>
      <c r="BV42" s="42" t="str">
        <f t="shared" si="6"/>
        <v>AMPIDIAR</v>
      </c>
      <c r="BW42" t="e">
        <f>IF(IF(CE$2="Catégorie",IF(CE$3="Toutes",SUMIFS('Étape 1 - à remplir'!$F$31:$F$400,'Étape 1 - à remplir'!$E$31:$E$400,MASQ2!BV42,'Étape 1 - à remplir'!$G$31:$G$400,"lots"),SUMIFS('Étape 1 - à remplir'!$F$31:$F$400,'Étape 1 - à remplir'!$E$31:$E$400,MASQ2!BV42,'Étape 1 - à remplir'!$C$31:$C$400,CE$3)),IF(CE$2="Âge",IF(CE$3="Tous",SUMIFS('Étape 1 - à remplir'!$F$31:$F$400,'Étape 1 - à remplir'!$E$31:$E$400,MASQ2!BV42,'Étape 1 - à remplir'!$G$31:$G$400,"lots"),SUMIFS('Étape 1 - à remplir'!$F$31:$F$400,'Étape 1 - à remplir'!$E$31:$E$400,MASQ2!BV42,'Étape 1 - à remplir'!$P$31:$P$400,CE$3,'Étape 1 - à remplir'!$G$31:$G$400,"lots")),IF(CE$2="Atelier",IF(CE$3="Tous",SUMIFS('Étape 1 - à remplir'!$F$31:$F$400,'Étape 1 - à remplir'!$E$31:$E$400,MASQ2!BV42,'Étape 1 - à remplir'!$G$31:$G$400,"lots"),SUMIFS('Étape 1 - à remplir'!$F$31:$F$400,'Étape 1 - à remplir'!$E$31:$E$400,MASQ2!BV42,'Étape 1 - à remplir'!$O$31:$O$400,CE$3,'Étape 1 - à remplir'!$G$31:$G$400,"lots")),IF(CE$2="Espèce",IF(CE$3="Toutes",SUMIFS('Étape 1 - à remplir'!$F$31:$F$400,'Étape 1 - à remplir'!$E$31:$E$400,MASQ2!BV42,'Étape 1 - à remplir'!$G$31:$G$400,"lots"),SUMIFS('Étape 1 - à remplir'!$F$31:$F$400,'Étape 1 - à remplir'!$E$31:$E$400,MASQ2!BV42,'Étape 1 - à remplir'!$N$31:$N$400,CE$3,'Étape 1 - à remplir'!$G$31:$G$400,"lots"))))))=0,NA(),IF(CE$2="Catégorie",IF(CE$3="Toutes",SUMIFS('Étape 1 - à remplir'!$F$31:$F$400,'Étape 1 - à remplir'!$E$31:$E$400,MASQ2!BV42,'Étape 1 - à remplir'!$G$31:$G$400,"lots"),SUMIFS('Étape 1 - à remplir'!$F$31:$F$400,'Étape 1 - à remplir'!$E$31:$E$400,MASQ2!BV42,'Étape 1 - à remplir'!$C$31:$C$400,CE$3)),IF(CE$2="Âge",IF(CE$3="Tous",SUMIFS('Étape 1 - à remplir'!$F$31:$F$400,'Étape 1 - à remplir'!$E$31:$E$400,MASQ2!BV42,'Étape 1 - à remplir'!$G$31:$G$400,"lots"),SUMIFS('Étape 1 - à remplir'!$F$31:$F$400,'Étape 1 - à remplir'!$E$31:$E$400,MASQ2!BV42,'Étape 1 - à remplir'!$P$31:$P$400,CE$3,'Étape 1 - à remplir'!$G$31:$G$400,"lots")),IF(CE$2="Atelier",IF(CE$3="Tous",SUMIFS('Étape 1 - à remplir'!$F$31:$F$400,'Étape 1 - à remplir'!$E$31:$E$400,MASQ2!BV42,'Étape 1 - à remplir'!$G$31:$G$400,"lots"),SUMIFS('Étape 1 - à remplir'!$F$31:$F$400,'Étape 1 - à remplir'!$E$31:$E$400,MASQ2!BV42,'Étape 1 - à remplir'!$O$31:$O$400,CE$3,'Étape 1 - à remplir'!$G$31:$G$400,"lots")),IF(CE$2="Espèce",IF(CE$3="Toutes",SUMIFS('Étape 1 - à remplir'!$F$31:$F$400,'Étape 1 - à remplir'!$E$31:$E$400,MASQ2!BV42,'Étape 1 - à remplir'!$G$31:$G$400,"lots"),SUMIFS('Étape 1 - à remplir'!$F$31:$F$400,'Étape 1 - à remplir'!$E$31:$E$400,MASQ2!BV42,'Étape 1 - à remplir'!$N$31:$N$400,CE$3,'Étape 1 - à remplir'!$G$31:$G$400,"lots")))))))</f>
        <v>#N/A</v>
      </c>
      <c r="BX42">
        <f t="shared" si="42"/>
        <v>0</v>
      </c>
      <c r="BY42" t="str">
        <f t="shared" si="7"/>
        <v>Sulfadiméthoxine</v>
      </c>
      <c r="BZ42" t="str">
        <f t="shared" si="8"/>
        <v>Ampicilline</v>
      </c>
      <c r="CA42" t="str">
        <f t="shared" si="9"/>
        <v/>
      </c>
      <c r="CB42" t="str">
        <f t="shared" si="10"/>
        <v>Sulfamides</v>
      </c>
      <c r="CC42" t="str">
        <f t="shared" si="11"/>
        <v>Penicillines</v>
      </c>
      <c r="CD42" s="63" t="str">
        <f t="shared" si="12"/>
        <v/>
      </c>
      <c r="CG42" s="42">
        <v>39</v>
      </c>
      <c r="CH42" s="42" t="e">
        <f t="shared" si="80"/>
        <v>#N/A</v>
      </c>
      <c r="CI42" s="63" t="e">
        <f t="shared" si="81"/>
        <v>#N/A</v>
      </c>
      <c r="CK42" s="194" t="str">
        <f t="shared" si="118"/>
        <v/>
      </c>
      <c r="CL42" s="226" t="str">
        <f>IFERROR(IF(CN42=0,"",COUNTIF(CN$4:CN$64,"&gt;"&amp;CN42)+COUNTIF(CN$4:CN42,CN42)),"")</f>
        <v/>
      </c>
      <c r="CM42" t="str">
        <f t="shared" si="119"/>
        <v>Pirlimycine</v>
      </c>
      <c r="CN42" s="76" t="e">
        <f t="shared" si="45"/>
        <v>#N/A</v>
      </c>
      <c r="CO42">
        <v>39</v>
      </c>
      <c r="CP42" t="e">
        <f t="shared" si="46"/>
        <v>#N/A</v>
      </c>
      <c r="CQ42" s="63" t="e">
        <f t="shared" si="47"/>
        <v>#N/A</v>
      </c>
      <c r="DM42" s="63"/>
      <c r="EA42" s="194" t="str">
        <f t="shared" ca="1" si="18"/>
        <v/>
      </c>
      <c r="EB42" s="226" t="str">
        <f>IFERROR(IF(ED42=0,"",COUNTIF(ED$4:ED$600,"&gt;"&amp;ED42)+COUNTIF(ED$4:ED42,ED42)),"")</f>
        <v/>
      </c>
      <c r="EC42" t="str">
        <f t="shared" si="19"/>
        <v>AMPIDIAR</v>
      </c>
      <c r="ED42" t="e">
        <f>IF(IF(EL$2="Catégorie",IF(EL$3="Toutes",SUMIFS('Étape 1 - à remplir'!$F$31:$F$400,'Étape 1 - à remplir'!$E$31:$E$400,MASQ2!EC42,'Étape 1 - à remplir'!$G$31:$G$400,"kg"),SUMIFS('Étape 1 - à remplir'!$F$31:$F$400,'Étape 1 - à remplir'!$E$31:$E$400,MASQ2!EC42,'Étape 1 - à remplir'!$C$31:$C$400,EL$3)),IF(EL$2="Âge",IF(EL$3="Tous",SUMIFS('Étape 1 - à remplir'!$F$31:$F$400,'Étape 1 - à remplir'!$E$31:$E$400,MASQ2!EC42,'Étape 1 - à remplir'!$G$31:$G$400,"kg"),SUMIFS('Étape 1 - à remplir'!$F$31:$F$400,'Étape 1 - à remplir'!$E$31:$E$400,MASQ2!EC42,'Étape 1 - à remplir'!$P$31:$P$400,EL$3,'Étape 1 - à remplir'!$G$31:$G$400,"kg")),IF(EL$2="Atelier",IF(EL$3="Tous",SUMIFS('Étape 1 - à remplir'!$F$31:$F$400,'Étape 1 - à remplir'!$E$31:$E$400,MASQ2!EC42,'Étape 1 - à remplir'!$G$31:$G$400,"kg"),SUMIFS('Étape 1 - à remplir'!$F$31:$F$400,'Étape 1 - à remplir'!$E$31:$E$400,MASQ2!EC42,'Étape 1 - à remplir'!$O$31:$O$400,EL$3,'Étape 1 - à remplir'!$G$31:$G$400,"kg")),IF(EL$2="Espèce",IF(EL$3="Toutes",SUMIFS('Étape 1 - à remplir'!$F$31:$F$400,'Étape 1 - à remplir'!$E$31:$E$400,MASQ2!EC42,'Étape 1 - à remplir'!$G$31:$G$400,"kg"),SUMIFS('Étape 1 - à remplir'!$F$31:$F$400,'Étape 1 - à remplir'!$E$31:$E$400,MASQ2!EC42,'Étape 1 - à remplir'!$N$31:$N$400,EL$3,'Étape 1 - à remplir'!$G$31:$G$400,"kg"))))))=0,NA(),IF(EL$2="Catégorie",IF(EL$3="Toutes",SUMIFS('Étape 1 - à remplir'!$F$31:$F$400,'Étape 1 - à remplir'!$E$31:$E$400,MASQ2!EC42,'Étape 1 - à remplir'!$G$31:$G$400,"kg"),SUMIFS('Étape 1 - à remplir'!$F$31:$F$400,'Étape 1 - à remplir'!$E$31:$E$400,MASQ2!EC42,'Étape 1 - à remplir'!$C$31:$C$400,EL$3)),IF(EL$2="Âge",IF(EL$3="Tous",SUMIFS('Étape 1 - à remplir'!$F$31:$F$400,'Étape 1 - à remplir'!$E$31:$E$400,MASQ2!EC42,'Étape 1 - à remplir'!$G$31:$G$400,"kg"),SUMIFS('Étape 1 - à remplir'!$F$31:$F$400,'Étape 1 - à remplir'!$E$31:$E$400,MASQ2!EC42,'Étape 1 - à remplir'!$P$31:$P$400,EL$3,'Étape 1 - à remplir'!$G$31:$G$400,"kg")),IF(EL$2="Atelier",IF(EL$3="Tous",SUMIFS('Étape 1 - à remplir'!$F$31:$F$400,'Étape 1 - à remplir'!$E$31:$E$400,MASQ2!EC42,'Étape 1 - à remplir'!$G$31:$G$400,"kg"),SUMIFS('Étape 1 - à remplir'!$F$31:$F$400,'Étape 1 - à remplir'!$E$31:$E$400,MASQ2!EC42,'Étape 1 - à remplir'!$O$31:$O$400,EL$3,'Étape 1 - à remplir'!$G$31:$G$400,"kg")),IF(EL$2="Espèce",IF(EL$3="Toutes",SUMIFS('Étape 1 - à remplir'!$F$31:$F$400,'Étape 1 - à remplir'!$E$31:$E$400,MASQ2!EC42,'Étape 1 - à remplir'!$G$31:$G$400,"kg"),SUMIFS('Étape 1 - à remplir'!$F$31:$F$400,'Étape 1 - à remplir'!$E$31:$E$400,MASQ2!EC42,'Étape 1 - à remplir'!$N$31:$N$400,EL$3,'Étape 1 - à remplir'!$G$31:$G$400,"kg")))))))</f>
        <v>#N/A</v>
      </c>
      <c r="EE42" s="76">
        <f t="shared" si="53"/>
        <v>0</v>
      </c>
      <c r="EF42" t="str">
        <f t="shared" si="20"/>
        <v>Sulfadiméthoxine</v>
      </c>
      <c r="EG42" t="str">
        <f t="shared" si="21"/>
        <v>Ampicilline</v>
      </c>
      <c r="EH42" t="str">
        <f t="shared" si="22"/>
        <v/>
      </c>
      <c r="EI42" t="str">
        <f t="shared" si="23"/>
        <v>Sulfamides</v>
      </c>
      <c r="EJ42" t="str">
        <f t="shared" si="24"/>
        <v>Penicillines</v>
      </c>
      <c r="EK42" s="63" t="str">
        <f t="shared" si="25"/>
        <v/>
      </c>
      <c r="EN42" s="42">
        <v>39</v>
      </c>
      <c r="EO42" t="e">
        <f t="shared" si="68"/>
        <v>#N/A</v>
      </c>
      <c r="EP42" s="63" t="e">
        <f t="shared" si="69"/>
        <v>#N/A</v>
      </c>
      <c r="ER42" s="194" t="str">
        <f t="shared" si="120"/>
        <v/>
      </c>
      <c r="ES42" s="226" t="str">
        <f>IFERROR(IF(EU42=0,"",COUNTIF(EU$4:EU$64,"&gt;"&amp;EU42)+COUNTIF(EU$4:EU42,EU42)),"")</f>
        <v/>
      </c>
      <c r="ET42" t="str">
        <f t="shared" si="121"/>
        <v>Pirlimycine</v>
      </c>
      <c r="EU42" s="76" t="e">
        <f t="shared" si="56"/>
        <v>#N/A</v>
      </c>
      <c r="EV42">
        <v>39</v>
      </c>
      <c r="EW42" t="e">
        <f t="shared" si="57"/>
        <v>#N/A</v>
      </c>
      <c r="EX42" s="63" t="e">
        <f t="shared" si="58"/>
        <v>#N/A</v>
      </c>
      <c r="FT42" s="63"/>
    </row>
    <row r="43" spans="2:176" x14ac:dyDescent="0.3">
      <c r="B43" s="42"/>
      <c r="M43" s="194" t="str">
        <f ca="1">INDEX(Données_ATB!BD:BU,MATCH(MASQ2!O43,Données_ATB!BD:BD,0),18)</f>
        <v/>
      </c>
      <c r="N43" s="14" t="str">
        <f>IFERROR(IF(Q43=0,"",COUNTIF(Q$4:Q$600,"&gt;"&amp;Q43)+COUNTIF(Q$4:Q43,Q43)),"")</f>
        <v/>
      </c>
      <c r="O43" t="str">
        <f>Données_ATB!BD42</f>
        <v>AMPIJECT 10 G</v>
      </c>
      <c r="P43" t="e">
        <f>IF(IF(X$2="Catégorie",IF(X$3="Toutes",SUMIFS('Étape 1 - à remplir'!$F$31:$F$400,'Étape 1 - à remplir'!$E$31:$E$400,MASQ2!O43,'Étape 1 - à remplir'!$G$31:$G$400,"animaux"),SUMIFS('Étape 1 - à remplir'!$F$31:$F$400,'Étape 1 - à remplir'!$E$31:$E$400,MASQ2!O43,'Étape 1 - à remplir'!$C$31:$C$400,X$3)),IF(X$2="Âge",IF(X$3="Tous",SUMIFS('Étape 1 - à remplir'!$F$31:$F$400,'Étape 1 - à remplir'!$E$31:$E$400,MASQ2!O43,'Étape 1 - à remplir'!$G$31:$G$400,"animaux"),SUMIFS('Étape 1 - à remplir'!$F$31:$F$400,'Étape 1 - à remplir'!$E$31:$E$400,MASQ2!O43,'Étape 1 - à remplir'!$P$31:$P$400,X$3)),IF(X$2="Atelier",IF(X$3="Tous",SUMIFS('Étape 1 - à remplir'!$F$31:$F$400,'Étape 1 - à remplir'!$E$31:$E$400,MASQ2!O43,'Étape 1 - à remplir'!$G$31:$G$400,"animaux"),SUMIFS('Étape 1 - à remplir'!$F$31:$F$400,'Étape 1 - à remplir'!$E$31:$E$400,MASQ2!O43,'Étape 1 - à remplir'!$O$31:$O$400,X$3)),IF(X$2="Espèce",IF(X$3="Toutes",SUMIFS('Étape 1 - à remplir'!$F$31:$F$400,'Étape 1 - à remplir'!$E$31:$E$400,MASQ2!O43,'Étape 1 - à remplir'!$G$31:$G$400,"animaux"),SUMIFS('Étape 1 - à remplir'!$F$31:$F$400,'Étape 1 - à remplir'!$E$31:$E$400,MASQ2!O43,'Étape 1 - à remplir'!$N$31:$N$400,X$3))))))=0,NA(),IF(X$2="Catégorie",IF(X$3="Toutes",SUMIFS('Étape 1 - à remplir'!$F$31:$F$400,'Étape 1 - à remplir'!$E$31:$E$400,MASQ2!O43,'Étape 1 - à remplir'!$G$31:$G$400,"animaux"),SUMIFS('Étape 1 - à remplir'!$F$31:$F$400,'Étape 1 - à remplir'!$E$31:$E$400,MASQ2!O43,'Étape 1 - à remplir'!$C$31:$C$400,X$3)),IF(X$2="Âge",IF(X$3="Tous",SUMIFS('Étape 1 - à remplir'!$F$31:$F$400,'Étape 1 - à remplir'!$E$31:$E$400,MASQ2!O43,'Étape 1 - à remplir'!$G$31:$G$400,"animaux"),SUMIFS('Étape 1 - à remplir'!$F$31:$F$400,'Étape 1 - à remplir'!$E$31:$E$400,MASQ2!O43,'Étape 1 - à remplir'!$P$31:$P$400,X$3)),IF(X$2="Atelier",IF(X$3="Tous",SUMIFS('Étape 1 - à remplir'!$F$31:$F$400,'Étape 1 - à remplir'!$E$31:$E$400,MASQ2!O43,'Étape 1 - à remplir'!$G$31:$G$400,"animaux"),SUMIFS('Étape 1 - à remplir'!$F$31:$F$400,'Étape 1 - à remplir'!$E$31:$E$400,MASQ2!O43,'Étape 1 - à remplir'!$O$31:$O$400,X$3)),IF(X$2="Espèce",IF(X$3="Toutes",SUMIFS('Étape 1 - à remplir'!$F$31:$F$400,'Étape 1 - à remplir'!$E$31:$E$400,MASQ2!O43,'Étape 1 - à remplir'!$G$31:$G$400,"animaux"),SUMIFS('Étape 1 - à remplir'!$F$31:$F$400,'Étape 1 - à remplir'!$E$31:$E$400,MASQ2!O43,'Étape 1 - à remplir'!$N$31:$N$400,X$3)))))))</f>
        <v>#N/A</v>
      </c>
      <c r="Q43" s="63">
        <f t="shared" si="62"/>
        <v>0</v>
      </c>
      <c r="R43" t="str">
        <f>Données_ATB!BM42</f>
        <v>Ampicilline</v>
      </c>
      <c r="S43" t="str">
        <f>Données_ATB!BN42</f>
        <v/>
      </c>
      <c r="T43" s="63" t="str">
        <f>Données_ATB!BO42</f>
        <v/>
      </c>
      <c r="U43" s="42" t="str">
        <f>Données_ATB!BQ42</f>
        <v>Penicillines</v>
      </c>
      <c r="V43" t="str">
        <f>Données_ATB!BR42</f>
        <v/>
      </c>
      <c r="W43" s="63" t="str">
        <f>Données_ATB!BS42</f>
        <v/>
      </c>
      <c r="Z43" s="42">
        <v>40</v>
      </c>
      <c r="AA43" t="e">
        <f t="shared" si="32"/>
        <v>#N/A</v>
      </c>
      <c r="AB43" s="63" t="e">
        <f t="shared" si="33"/>
        <v>#N/A</v>
      </c>
      <c r="AD43" s="194" t="str">
        <f>IF(AF43="Colistine","x",IF(INDEX(Données_ATB!CA$3:CB$63,MATCH(AF43,Données_ATB!CA$3:CA$63,0),2)="Fluoroquinolones","x",IF(INDEX(Données_ATB!CA$3:CB$63,MATCH(AF43,Données_ATB!CA$3:CA$63,0),2)="Cephalosporines 3&amp;4G","x","")))</f>
        <v/>
      </c>
      <c r="AE43" s="219" t="str">
        <f>IFERROR(IF(AG43=0,"",COUNTIF(AG$4:AG$64,"&gt;"&amp;AG43)+COUNTIF(AG$4:AG43,AG43)),"")</f>
        <v/>
      </c>
      <c r="AF43" s="42" t="str">
        <f>Données_ATB!CA42</f>
        <v>Rifaximine</v>
      </c>
      <c r="AG43" s="63" t="e">
        <f t="shared" si="34"/>
        <v>#N/A</v>
      </c>
      <c r="AH43" s="42">
        <v>40</v>
      </c>
      <c r="AI43" t="e">
        <f t="shared" si="35"/>
        <v>#N/A</v>
      </c>
      <c r="AJ43" s="63" t="e">
        <f t="shared" si="36"/>
        <v>#N/A</v>
      </c>
      <c r="AU43" s="108">
        <v>1</v>
      </c>
      <c r="AV43" s="108">
        <v>2</v>
      </c>
      <c r="AW43" s="108">
        <v>3</v>
      </c>
      <c r="AX43" s="108">
        <v>4</v>
      </c>
      <c r="AY43" s="108">
        <v>5</v>
      </c>
      <c r="AZ43" s="108">
        <v>6</v>
      </c>
      <c r="BA43" s="108">
        <v>7</v>
      </c>
      <c r="BB43" s="108">
        <v>8</v>
      </c>
      <c r="BC43" s="108">
        <v>9</v>
      </c>
      <c r="BD43" s="108">
        <v>10</v>
      </c>
      <c r="BE43" s="108">
        <v>11</v>
      </c>
      <c r="BF43" s="108">
        <v>12</v>
      </c>
      <c r="BT43" s="194" t="str">
        <f t="shared" ca="1" si="5"/>
        <v/>
      </c>
      <c r="BU43" s="219" t="str">
        <f>IFERROR(IF(BX43=0,"",COUNTIF(BX$4:BX$600,"&gt;"&amp;BX43)+COUNTIF(BX$4:BX43,BX43)),"")</f>
        <v/>
      </c>
      <c r="BV43" s="42" t="str">
        <f t="shared" si="6"/>
        <v>AMPIJECT 10 G</v>
      </c>
      <c r="BW43" t="e">
        <f>IF(IF(CE$2="Catégorie",IF(CE$3="Toutes",SUMIFS('Étape 1 - à remplir'!$F$31:$F$400,'Étape 1 - à remplir'!$E$31:$E$400,MASQ2!BV43,'Étape 1 - à remplir'!$G$31:$G$400,"lots"),SUMIFS('Étape 1 - à remplir'!$F$31:$F$400,'Étape 1 - à remplir'!$E$31:$E$400,MASQ2!BV43,'Étape 1 - à remplir'!$C$31:$C$400,CE$3)),IF(CE$2="Âge",IF(CE$3="Tous",SUMIFS('Étape 1 - à remplir'!$F$31:$F$400,'Étape 1 - à remplir'!$E$31:$E$400,MASQ2!BV43,'Étape 1 - à remplir'!$G$31:$G$400,"lots"),SUMIFS('Étape 1 - à remplir'!$F$31:$F$400,'Étape 1 - à remplir'!$E$31:$E$400,MASQ2!BV43,'Étape 1 - à remplir'!$P$31:$P$400,CE$3,'Étape 1 - à remplir'!$G$31:$G$400,"lots")),IF(CE$2="Atelier",IF(CE$3="Tous",SUMIFS('Étape 1 - à remplir'!$F$31:$F$400,'Étape 1 - à remplir'!$E$31:$E$400,MASQ2!BV43,'Étape 1 - à remplir'!$G$31:$G$400,"lots"),SUMIFS('Étape 1 - à remplir'!$F$31:$F$400,'Étape 1 - à remplir'!$E$31:$E$400,MASQ2!BV43,'Étape 1 - à remplir'!$O$31:$O$400,CE$3,'Étape 1 - à remplir'!$G$31:$G$400,"lots")),IF(CE$2="Espèce",IF(CE$3="Toutes",SUMIFS('Étape 1 - à remplir'!$F$31:$F$400,'Étape 1 - à remplir'!$E$31:$E$400,MASQ2!BV43,'Étape 1 - à remplir'!$G$31:$G$400,"lots"),SUMIFS('Étape 1 - à remplir'!$F$31:$F$400,'Étape 1 - à remplir'!$E$31:$E$400,MASQ2!BV43,'Étape 1 - à remplir'!$N$31:$N$400,CE$3,'Étape 1 - à remplir'!$G$31:$G$400,"lots"))))))=0,NA(),IF(CE$2="Catégorie",IF(CE$3="Toutes",SUMIFS('Étape 1 - à remplir'!$F$31:$F$400,'Étape 1 - à remplir'!$E$31:$E$400,MASQ2!BV43,'Étape 1 - à remplir'!$G$31:$G$400,"lots"),SUMIFS('Étape 1 - à remplir'!$F$31:$F$400,'Étape 1 - à remplir'!$E$31:$E$400,MASQ2!BV43,'Étape 1 - à remplir'!$C$31:$C$400,CE$3)),IF(CE$2="Âge",IF(CE$3="Tous",SUMIFS('Étape 1 - à remplir'!$F$31:$F$400,'Étape 1 - à remplir'!$E$31:$E$400,MASQ2!BV43,'Étape 1 - à remplir'!$G$31:$G$400,"lots"),SUMIFS('Étape 1 - à remplir'!$F$31:$F$400,'Étape 1 - à remplir'!$E$31:$E$400,MASQ2!BV43,'Étape 1 - à remplir'!$P$31:$P$400,CE$3,'Étape 1 - à remplir'!$G$31:$G$400,"lots")),IF(CE$2="Atelier",IF(CE$3="Tous",SUMIFS('Étape 1 - à remplir'!$F$31:$F$400,'Étape 1 - à remplir'!$E$31:$E$400,MASQ2!BV43,'Étape 1 - à remplir'!$G$31:$G$400,"lots"),SUMIFS('Étape 1 - à remplir'!$F$31:$F$400,'Étape 1 - à remplir'!$E$31:$E$400,MASQ2!BV43,'Étape 1 - à remplir'!$O$31:$O$400,CE$3,'Étape 1 - à remplir'!$G$31:$G$400,"lots")),IF(CE$2="Espèce",IF(CE$3="Toutes",SUMIFS('Étape 1 - à remplir'!$F$31:$F$400,'Étape 1 - à remplir'!$E$31:$E$400,MASQ2!BV43,'Étape 1 - à remplir'!$G$31:$G$400,"lots"),SUMIFS('Étape 1 - à remplir'!$F$31:$F$400,'Étape 1 - à remplir'!$E$31:$E$400,MASQ2!BV43,'Étape 1 - à remplir'!$N$31:$N$400,CE$3,'Étape 1 - à remplir'!$G$31:$G$400,"lots")))))))</f>
        <v>#N/A</v>
      </c>
      <c r="BX43">
        <f t="shared" si="42"/>
        <v>0</v>
      </c>
      <c r="BY43" t="str">
        <f t="shared" si="7"/>
        <v>Ampicilline</v>
      </c>
      <c r="BZ43" t="str">
        <f t="shared" si="8"/>
        <v/>
      </c>
      <c r="CA43" t="str">
        <f t="shared" si="9"/>
        <v/>
      </c>
      <c r="CB43" t="str">
        <f t="shared" si="10"/>
        <v>Penicillines</v>
      </c>
      <c r="CC43" t="str">
        <f t="shared" si="11"/>
        <v/>
      </c>
      <c r="CD43" s="63" t="str">
        <f t="shared" si="12"/>
        <v/>
      </c>
      <c r="CG43" s="42">
        <v>40</v>
      </c>
      <c r="CH43" s="42" t="e">
        <f t="shared" si="80"/>
        <v>#N/A</v>
      </c>
      <c r="CI43" s="63" t="e">
        <f t="shared" si="81"/>
        <v>#N/A</v>
      </c>
      <c r="CK43" s="194" t="str">
        <f t="shared" si="118"/>
        <v/>
      </c>
      <c r="CL43" s="226" t="str">
        <f>IFERROR(IF(CN43=0,"",COUNTIF(CN$4:CN$64,"&gt;"&amp;CN43)+COUNTIF(CN$4:CN43,CN43)),"")</f>
        <v/>
      </c>
      <c r="CM43" t="str">
        <f t="shared" si="119"/>
        <v>Rifaximine</v>
      </c>
      <c r="CN43" s="76" t="e">
        <f t="shared" si="45"/>
        <v>#N/A</v>
      </c>
      <c r="CO43">
        <v>40</v>
      </c>
      <c r="CP43" t="e">
        <f t="shared" si="46"/>
        <v>#N/A</v>
      </c>
      <c r="CQ43" s="63" t="e">
        <f t="shared" si="47"/>
        <v>#N/A</v>
      </c>
      <c r="DB43" s="108">
        <v>1</v>
      </c>
      <c r="DC43" s="108">
        <v>2</v>
      </c>
      <c r="DD43" s="108">
        <v>3</v>
      </c>
      <c r="DE43" s="108">
        <v>4</v>
      </c>
      <c r="DF43" s="108">
        <v>5</v>
      </c>
      <c r="DG43" s="108">
        <v>6</v>
      </c>
      <c r="DH43" s="108">
        <v>7</v>
      </c>
      <c r="DI43" s="108">
        <v>8</v>
      </c>
      <c r="DJ43" s="108">
        <v>9</v>
      </c>
      <c r="DK43" s="108">
        <v>10</v>
      </c>
      <c r="DL43" s="108">
        <v>11</v>
      </c>
      <c r="DM43" s="108">
        <v>12</v>
      </c>
      <c r="EA43" s="194" t="str">
        <f t="shared" ca="1" si="18"/>
        <v/>
      </c>
      <c r="EB43" s="226" t="str">
        <f>IFERROR(IF(ED43=0,"",COUNTIF(ED$4:ED$600,"&gt;"&amp;ED43)+COUNTIF(ED$4:ED43,ED43)),"")</f>
        <v/>
      </c>
      <c r="EC43" t="str">
        <f t="shared" si="19"/>
        <v>AMPIJECT 10 G</v>
      </c>
      <c r="ED43" t="e">
        <f>IF(IF(EL$2="Catégorie",IF(EL$3="Toutes",SUMIFS('Étape 1 - à remplir'!$F$31:$F$400,'Étape 1 - à remplir'!$E$31:$E$400,MASQ2!EC43,'Étape 1 - à remplir'!$G$31:$G$400,"kg"),SUMIFS('Étape 1 - à remplir'!$F$31:$F$400,'Étape 1 - à remplir'!$E$31:$E$400,MASQ2!EC43,'Étape 1 - à remplir'!$C$31:$C$400,EL$3)),IF(EL$2="Âge",IF(EL$3="Tous",SUMIFS('Étape 1 - à remplir'!$F$31:$F$400,'Étape 1 - à remplir'!$E$31:$E$400,MASQ2!EC43,'Étape 1 - à remplir'!$G$31:$G$400,"kg"),SUMIFS('Étape 1 - à remplir'!$F$31:$F$400,'Étape 1 - à remplir'!$E$31:$E$400,MASQ2!EC43,'Étape 1 - à remplir'!$P$31:$P$400,EL$3,'Étape 1 - à remplir'!$G$31:$G$400,"kg")),IF(EL$2="Atelier",IF(EL$3="Tous",SUMIFS('Étape 1 - à remplir'!$F$31:$F$400,'Étape 1 - à remplir'!$E$31:$E$400,MASQ2!EC43,'Étape 1 - à remplir'!$G$31:$G$400,"kg"),SUMIFS('Étape 1 - à remplir'!$F$31:$F$400,'Étape 1 - à remplir'!$E$31:$E$400,MASQ2!EC43,'Étape 1 - à remplir'!$O$31:$O$400,EL$3,'Étape 1 - à remplir'!$G$31:$G$400,"kg")),IF(EL$2="Espèce",IF(EL$3="Toutes",SUMIFS('Étape 1 - à remplir'!$F$31:$F$400,'Étape 1 - à remplir'!$E$31:$E$400,MASQ2!EC43,'Étape 1 - à remplir'!$G$31:$G$400,"kg"),SUMIFS('Étape 1 - à remplir'!$F$31:$F$400,'Étape 1 - à remplir'!$E$31:$E$400,MASQ2!EC43,'Étape 1 - à remplir'!$N$31:$N$400,EL$3,'Étape 1 - à remplir'!$G$31:$G$400,"kg"))))))=0,NA(),IF(EL$2="Catégorie",IF(EL$3="Toutes",SUMIFS('Étape 1 - à remplir'!$F$31:$F$400,'Étape 1 - à remplir'!$E$31:$E$400,MASQ2!EC43,'Étape 1 - à remplir'!$G$31:$G$400,"kg"),SUMIFS('Étape 1 - à remplir'!$F$31:$F$400,'Étape 1 - à remplir'!$E$31:$E$400,MASQ2!EC43,'Étape 1 - à remplir'!$C$31:$C$400,EL$3)),IF(EL$2="Âge",IF(EL$3="Tous",SUMIFS('Étape 1 - à remplir'!$F$31:$F$400,'Étape 1 - à remplir'!$E$31:$E$400,MASQ2!EC43,'Étape 1 - à remplir'!$G$31:$G$400,"kg"),SUMIFS('Étape 1 - à remplir'!$F$31:$F$400,'Étape 1 - à remplir'!$E$31:$E$400,MASQ2!EC43,'Étape 1 - à remplir'!$P$31:$P$400,EL$3,'Étape 1 - à remplir'!$G$31:$G$400,"kg")),IF(EL$2="Atelier",IF(EL$3="Tous",SUMIFS('Étape 1 - à remplir'!$F$31:$F$400,'Étape 1 - à remplir'!$E$31:$E$400,MASQ2!EC43,'Étape 1 - à remplir'!$G$31:$G$400,"kg"),SUMIFS('Étape 1 - à remplir'!$F$31:$F$400,'Étape 1 - à remplir'!$E$31:$E$400,MASQ2!EC43,'Étape 1 - à remplir'!$O$31:$O$400,EL$3,'Étape 1 - à remplir'!$G$31:$G$400,"kg")),IF(EL$2="Espèce",IF(EL$3="Toutes",SUMIFS('Étape 1 - à remplir'!$F$31:$F$400,'Étape 1 - à remplir'!$E$31:$E$400,MASQ2!EC43,'Étape 1 - à remplir'!$G$31:$G$400,"kg"),SUMIFS('Étape 1 - à remplir'!$F$31:$F$400,'Étape 1 - à remplir'!$E$31:$E$400,MASQ2!EC43,'Étape 1 - à remplir'!$N$31:$N$400,EL$3,'Étape 1 - à remplir'!$G$31:$G$400,"kg")))))))</f>
        <v>#N/A</v>
      </c>
      <c r="EE43" s="76">
        <f t="shared" si="53"/>
        <v>0</v>
      </c>
      <c r="EF43" t="str">
        <f t="shared" si="20"/>
        <v>Ampicilline</v>
      </c>
      <c r="EG43" t="str">
        <f t="shared" si="21"/>
        <v/>
      </c>
      <c r="EH43" t="str">
        <f t="shared" si="22"/>
        <v/>
      </c>
      <c r="EI43" t="str">
        <f t="shared" si="23"/>
        <v>Penicillines</v>
      </c>
      <c r="EJ43" t="str">
        <f t="shared" si="24"/>
        <v/>
      </c>
      <c r="EK43" s="63" t="str">
        <f t="shared" si="25"/>
        <v/>
      </c>
      <c r="EN43" s="42">
        <v>40</v>
      </c>
      <c r="EO43" t="e">
        <f t="shared" si="68"/>
        <v>#N/A</v>
      </c>
      <c r="EP43" s="63" t="e">
        <f t="shared" si="69"/>
        <v>#N/A</v>
      </c>
      <c r="ER43" s="194" t="str">
        <f t="shared" si="120"/>
        <v/>
      </c>
      <c r="ES43" s="226" t="str">
        <f>IFERROR(IF(EU43=0,"",COUNTIF(EU$4:EU$64,"&gt;"&amp;EU43)+COUNTIF(EU$4:EU43,EU43)),"")</f>
        <v/>
      </c>
      <c r="ET43" t="str">
        <f t="shared" si="121"/>
        <v>Rifaximine</v>
      </c>
      <c r="EU43" s="76" t="e">
        <f t="shared" si="56"/>
        <v>#N/A</v>
      </c>
      <c r="EV43">
        <v>40</v>
      </c>
      <c r="EW43" t="e">
        <f t="shared" si="57"/>
        <v>#N/A</v>
      </c>
      <c r="EX43" s="63" t="e">
        <f t="shared" si="58"/>
        <v>#N/A</v>
      </c>
      <c r="FI43" s="108">
        <v>1</v>
      </c>
      <c r="FJ43" s="108">
        <v>2</v>
      </c>
      <c r="FK43" s="108">
        <v>3</v>
      </c>
      <c r="FL43" s="108">
        <v>4</v>
      </c>
      <c r="FM43" s="108">
        <v>5</v>
      </c>
      <c r="FN43" s="108">
        <v>6</v>
      </c>
      <c r="FO43" s="108">
        <v>7</v>
      </c>
      <c r="FP43" s="108">
        <v>8</v>
      </c>
      <c r="FQ43" s="108">
        <v>9</v>
      </c>
      <c r="FR43" s="108">
        <v>10</v>
      </c>
      <c r="FS43" s="108">
        <v>11</v>
      </c>
      <c r="FT43" s="108">
        <v>12</v>
      </c>
    </row>
    <row r="44" spans="2:176" x14ac:dyDescent="0.3">
      <c r="B44" s="42"/>
      <c r="M44" s="194" t="str">
        <f ca="1">INDEX(Données_ATB!BD:BU,MATCH(MASQ2!O44,Données_ATB!BD:BD,0),18)</f>
        <v>x</v>
      </c>
      <c r="N44" s="14" t="str">
        <f>IFERROR(IF(Q44=0,"",COUNTIF(Q$4:Q$600,"&gt;"&amp;Q44)+COUNTIF(Q$4:Q44,Q44)),"")</f>
        <v/>
      </c>
      <c r="O44" t="str">
        <f>Données_ATB!BD43</f>
        <v>AMPIMYCINE DEX</v>
      </c>
      <c r="P44" t="e">
        <f>IF(IF(X$2="Catégorie",IF(X$3="Toutes",SUMIFS('Étape 1 - à remplir'!$F$31:$F$400,'Étape 1 - à remplir'!$E$31:$E$400,MASQ2!O44,'Étape 1 - à remplir'!$G$31:$G$400,"animaux"),SUMIFS('Étape 1 - à remplir'!$F$31:$F$400,'Étape 1 - à remplir'!$E$31:$E$400,MASQ2!O44,'Étape 1 - à remplir'!$C$31:$C$400,X$3)),IF(X$2="Âge",IF(X$3="Tous",SUMIFS('Étape 1 - à remplir'!$F$31:$F$400,'Étape 1 - à remplir'!$E$31:$E$400,MASQ2!O44,'Étape 1 - à remplir'!$G$31:$G$400,"animaux"),SUMIFS('Étape 1 - à remplir'!$F$31:$F$400,'Étape 1 - à remplir'!$E$31:$E$400,MASQ2!O44,'Étape 1 - à remplir'!$P$31:$P$400,X$3)),IF(X$2="Atelier",IF(X$3="Tous",SUMIFS('Étape 1 - à remplir'!$F$31:$F$400,'Étape 1 - à remplir'!$E$31:$E$400,MASQ2!O44,'Étape 1 - à remplir'!$G$31:$G$400,"animaux"),SUMIFS('Étape 1 - à remplir'!$F$31:$F$400,'Étape 1 - à remplir'!$E$31:$E$400,MASQ2!O44,'Étape 1 - à remplir'!$O$31:$O$400,X$3)),IF(X$2="Espèce",IF(X$3="Toutes",SUMIFS('Étape 1 - à remplir'!$F$31:$F$400,'Étape 1 - à remplir'!$E$31:$E$400,MASQ2!O44,'Étape 1 - à remplir'!$G$31:$G$400,"animaux"),SUMIFS('Étape 1 - à remplir'!$F$31:$F$400,'Étape 1 - à remplir'!$E$31:$E$400,MASQ2!O44,'Étape 1 - à remplir'!$N$31:$N$400,X$3))))))=0,NA(),IF(X$2="Catégorie",IF(X$3="Toutes",SUMIFS('Étape 1 - à remplir'!$F$31:$F$400,'Étape 1 - à remplir'!$E$31:$E$400,MASQ2!O44,'Étape 1 - à remplir'!$G$31:$G$400,"animaux"),SUMIFS('Étape 1 - à remplir'!$F$31:$F$400,'Étape 1 - à remplir'!$E$31:$E$400,MASQ2!O44,'Étape 1 - à remplir'!$C$31:$C$400,X$3)),IF(X$2="Âge",IF(X$3="Tous",SUMIFS('Étape 1 - à remplir'!$F$31:$F$400,'Étape 1 - à remplir'!$E$31:$E$400,MASQ2!O44,'Étape 1 - à remplir'!$G$31:$G$400,"animaux"),SUMIFS('Étape 1 - à remplir'!$F$31:$F$400,'Étape 1 - à remplir'!$E$31:$E$400,MASQ2!O44,'Étape 1 - à remplir'!$P$31:$P$400,X$3)),IF(X$2="Atelier",IF(X$3="Tous",SUMIFS('Étape 1 - à remplir'!$F$31:$F$400,'Étape 1 - à remplir'!$E$31:$E$400,MASQ2!O44,'Étape 1 - à remplir'!$G$31:$G$400,"animaux"),SUMIFS('Étape 1 - à remplir'!$F$31:$F$400,'Étape 1 - à remplir'!$E$31:$E$400,MASQ2!O44,'Étape 1 - à remplir'!$O$31:$O$400,X$3)),IF(X$2="Espèce",IF(X$3="Toutes",SUMIFS('Étape 1 - à remplir'!$F$31:$F$400,'Étape 1 - à remplir'!$E$31:$E$400,MASQ2!O44,'Étape 1 - à remplir'!$G$31:$G$400,"animaux"),SUMIFS('Étape 1 - à remplir'!$F$31:$F$400,'Étape 1 - à remplir'!$E$31:$E$400,MASQ2!O44,'Étape 1 - à remplir'!$N$31:$N$400,X$3)))))))</f>
        <v>#N/A</v>
      </c>
      <c r="Q44" s="63">
        <f t="shared" si="62"/>
        <v>0</v>
      </c>
      <c r="R44" t="str">
        <f>Données_ATB!BM43</f>
        <v>Ampicilline</v>
      </c>
      <c r="S44" t="str">
        <f>Données_ATB!BN43</f>
        <v>Colistine</v>
      </c>
      <c r="T44" s="63" t="str">
        <f>Données_ATB!BO43</f>
        <v/>
      </c>
      <c r="U44" s="42" t="str">
        <f>Données_ATB!BQ43</f>
        <v>Penicillines</v>
      </c>
      <c r="V44" t="str">
        <f>Données_ATB!BR43</f>
        <v>Polypeptides</v>
      </c>
      <c r="W44" s="63" t="str">
        <f>Données_ATB!BS43</f>
        <v/>
      </c>
      <c r="Z44" s="42">
        <v>41</v>
      </c>
      <c r="AA44" t="e">
        <f t="shared" si="32"/>
        <v>#N/A</v>
      </c>
      <c r="AB44" s="63" t="e">
        <f t="shared" si="33"/>
        <v>#N/A</v>
      </c>
      <c r="AD44" s="194" t="str">
        <f>IF(AF44="Colistine","x",IF(INDEX(Données_ATB!CA$3:CB$63,MATCH(AF44,Données_ATB!CA$3:CA$63,0),2)="Fluoroquinolones","x",IF(INDEX(Données_ATB!CA$3:CB$63,MATCH(AF44,Données_ATB!CA$3:CA$63,0),2)="Cephalosporines 3&amp;4G","x","")))</f>
        <v/>
      </c>
      <c r="AE44" s="219" t="str">
        <f>IFERROR(IF(AG44=0,"",COUNTIF(AG$4:AG$64,"&gt;"&amp;AG44)+COUNTIF(AG$4:AG44,AG44)),"")</f>
        <v/>
      </c>
      <c r="AF44" s="42" t="str">
        <f>Données_ATB!CA43</f>
        <v>Spectinomycine</v>
      </c>
      <c r="AG44" s="63" t="e">
        <f t="shared" si="34"/>
        <v>#N/A</v>
      </c>
      <c r="AH44" s="42">
        <v>41</v>
      </c>
      <c r="AI44" t="e">
        <f t="shared" si="35"/>
        <v>#N/A</v>
      </c>
      <c r="AJ44" s="63" t="e">
        <f t="shared" si="36"/>
        <v>#N/A</v>
      </c>
      <c r="AT44" s="108" t="str">
        <f>AV32</f>
        <v/>
      </c>
      <c r="AU44" s="117" t="str">
        <f>IFERROR(SUMIFS('Étape 1 - à remplir'!$F$31:$F$400,'Étape 1 - à remplir'!$C$31:$C$400,IF($AT44="Croissance","*Croissance*",IF($AT44="Veau","*Veau*",IF($AT44="Adulte","*Adulte*",IF($AT44="Agneau","*Agneau*",IF($AT44="Chevreau","*Chevreau*",IF($AT44="Démarrage","*Démarrage*",IF($AT44="Engraissement","*Engraissement*",IF($AT44="Porcelet","*Porcelet*",IF($AT44="Post_sevrage","*Post_sevrage*",IF($AT44="Poulain","*Poulain*",IF($AT44="Poussin","*Poussin*",""))))))))))),'Étape 1 - à remplir'!$G$31:$G$400,"animaux",'Étape 1 - à remplir'!$M$31:$M$400,MASQ2!AU$43)/SUMIFS('Étape 1 - à remplir'!$F$19:$F$28,'Étape 1 - à remplir'!$E$19:$E$28,MASQ2!$AT44,'Étape 1 - à remplir'!$G$19:$G$28,"animaux"),"")</f>
        <v/>
      </c>
      <c r="AV44" s="116" t="str">
        <f>IFERROR(SUMIFS('Étape 1 - à remplir'!$F$31:$F$400,'Étape 1 - à remplir'!$C$31:$C$400,IF($AT44="Croissance","*Croissance*",IF($AT44="Veau","*Veau*",IF($AT44="Adulte","*Adulte*",IF($AT44="Agneau","*Agneau*",IF($AT44="Chevreau","*Chevreau*",IF($AT44="Démarrage","*Démarrage*",IF($AT44="Engraissement","*Engraissement*",IF($AT44="Porcelet","*Porcelet*",IF($AT44="Post_sevrage","*Post_sevrage*",IF($AT44="Poulain","*Poulain*",IF($AT44="Poussin","*Poussin*",""))))))))))),'Étape 1 - à remplir'!$G$31:$G$400,"animaux",'Étape 1 - à remplir'!$M$31:$M$400,MASQ2!AV$43)/SUMIFS('Étape 1 - à remplir'!$F$19:$F$28,'Étape 1 - à remplir'!$E$19:$E$28,MASQ2!$AT44,'Étape 1 - à remplir'!$G$19:$G$28,"animaux"),"")</f>
        <v/>
      </c>
      <c r="AW44" s="116" t="str">
        <f>IFERROR(SUMIFS('Étape 1 - à remplir'!$F$31:$F$400,'Étape 1 - à remplir'!$C$31:$C$400,IF($AT44="Croissance","*Croissance*",IF($AT44="Veau","*Veau*",IF($AT44="Adulte","*Adulte*",IF($AT44="Agneau","*Agneau*",IF($AT44="Chevreau","*Chevreau*",IF($AT44="Démarrage","*Démarrage*",IF($AT44="Engraissement","*Engraissement*",IF($AT44="Porcelet","*Porcelet*",IF($AT44="Post_sevrage","*Post_sevrage*",IF($AT44="Poulain","*Poulain*",IF($AT44="Poussin","*Poussin*",""))))))))))),'Étape 1 - à remplir'!$G$31:$G$400,"animaux",'Étape 1 - à remplir'!$M$31:$M$400,MASQ2!AW$43)/SUMIFS('Étape 1 - à remplir'!$F$19:$F$28,'Étape 1 - à remplir'!$E$19:$E$28,MASQ2!$AT44,'Étape 1 - à remplir'!$G$19:$G$28,"animaux"),"")</f>
        <v/>
      </c>
      <c r="AX44" s="116" t="str">
        <f>IFERROR(SUMIFS('Étape 1 - à remplir'!$F$31:$F$400,'Étape 1 - à remplir'!$C$31:$C$400,IF($AT44="Croissance","*Croissance*",IF($AT44="Veau","*Veau*",IF($AT44="Adulte","*Adulte*",IF($AT44="Agneau","*Agneau*",IF($AT44="Chevreau","*Chevreau*",IF($AT44="Démarrage","*Démarrage*",IF($AT44="Engraissement","*Engraissement*",IF($AT44="Porcelet","*Porcelet*",IF($AT44="Post_sevrage","*Post_sevrage*",IF($AT44="Poulain","*Poulain*",IF($AT44="Poussin","*Poussin*",""))))))))))),'Étape 1 - à remplir'!$G$31:$G$400,"animaux",'Étape 1 - à remplir'!$M$31:$M$400,MASQ2!AX$43)/SUMIFS('Étape 1 - à remplir'!$F$19:$F$28,'Étape 1 - à remplir'!$E$19:$E$28,MASQ2!$AT44,'Étape 1 - à remplir'!$G$19:$G$28,"animaux"),"")</f>
        <v/>
      </c>
      <c r="AY44" s="116" t="str">
        <f>IFERROR(SUMIFS('Étape 1 - à remplir'!$F$31:$F$400,'Étape 1 - à remplir'!$C$31:$C$400,IF($AT44="Croissance","*Croissance*",IF($AT44="Veau","*Veau*",IF($AT44="Adulte","*Adulte*",IF($AT44="Agneau","*Agneau*",IF($AT44="Chevreau","*Chevreau*",IF($AT44="Démarrage","*Démarrage*",IF($AT44="Engraissement","*Engraissement*",IF($AT44="Porcelet","*Porcelet*",IF($AT44="Post_sevrage","*Post_sevrage*",IF($AT44="Poulain","*Poulain*",IF($AT44="Poussin","*Poussin*",""))))))))))),'Étape 1 - à remplir'!$G$31:$G$400,"animaux",'Étape 1 - à remplir'!$M$31:$M$400,MASQ2!AY$43)/SUMIFS('Étape 1 - à remplir'!$F$19:$F$28,'Étape 1 - à remplir'!$E$19:$E$28,MASQ2!$AT44,'Étape 1 - à remplir'!$G$19:$G$28,"animaux"),"")</f>
        <v/>
      </c>
      <c r="AZ44" s="116" t="str">
        <f>IFERROR(SUMIFS('Étape 1 - à remplir'!$F$31:$F$400,'Étape 1 - à remplir'!$C$31:$C$400,IF($AT44="Croissance","*Croissance*",IF($AT44="Veau","*Veau*",IF($AT44="Adulte","*Adulte*",IF($AT44="Agneau","*Agneau*",IF($AT44="Chevreau","*Chevreau*",IF($AT44="Démarrage","*Démarrage*",IF($AT44="Engraissement","*Engraissement*",IF($AT44="Porcelet","*Porcelet*",IF($AT44="Post_sevrage","*Post_sevrage*",IF($AT44="Poulain","*Poulain*",IF($AT44="Poussin","*Poussin*",""))))))))))),'Étape 1 - à remplir'!$G$31:$G$400,"animaux",'Étape 1 - à remplir'!$M$31:$M$400,MASQ2!AZ$43)/SUMIFS('Étape 1 - à remplir'!$F$19:$F$28,'Étape 1 - à remplir'!$E$19:$E$28,MASQ2!$AT44,'Étape 1 - à remplir'!$G$19:$G$28,"animaux"),"")</f>
        <v/>
      </c>
      <c r="BA44" s="116" t="str">
        <f>IFERROR(SUMIFS('Étape 1 - à remplir'!$F$31:$F$400,'Étape 1 - à remplir'!$C$31:$C$400,IF($AT44="Croissance","*Croissance*",IF($AT44="Veau","*Veau*",IF($AT44="Adulte","*Adulte*",IF($AT44="Agneau","*Agneau*",IF($AT44="Chevreau","*Chevreau*",IF($AT44="Démarrage","*Démarrage*",IF($AT44="Engraissement","*Engraissement*",IF($AT44="Porcelet","*Porcelet*",IF($AT44="Post_sevrage","*Post_sevrage*",IF($AT44="Poulain","*Poulain*",IF($AT44="Poussin","*Poussin*",""))))))))))),'Étape 1 - à remplir'!$G$31:$G$400,"animaux",'Étape 1 - à remplir'!$M$31:$M$400,MASQ2!BA$43)/SUMIFS('Étape 1 - à remplir'!$F$19:$F$28,'Étape 1 - à remplir'!$E$19:$E$28,MASQ2!$AT44,'Étape 1 - à remplir'!$G$19:$G$28,"animaux"),"")</f>
        <v/>
      </c>
      <c r="BB44" s="116" t="str">
        <f>IFERROR(SUMIFS('Étape 1 - à remplir'!$F$31:$F$400,'Étape 1 - à remplir'!$C$31:$C$400,IF($AT44="Croissance","*Croissance*",IF($AT44="Veau","*Veau*",IF($AT44="Adulte","*Adulte*",IF($AT44="Agneau","*Agneau*",IF($AT44="Chevreau","*Chevreau*",IF($AT44="Démarrage","*Démarrage*",IF($AT44="Engraissement","*Engraissement*",IF($AT44="Porcelet","*Porcelet*",IF($AT44="Post_sevrage","*Post_sevrage*",IF($AT44="Poulain","*Poulain*",IF($AT44="Poussin","*Poussin*",""))))))))))),'Étape 1 - à remplir'!$G$31:$G$400,"animaux",'Étape 1 - à remplir'!$M$31:$M$400,MASQ2!BB$43)/SUMIFS('Étape 1 - à remplir'!$F$19:$F$28,'Étape 1 - à remplir'!$E$19:$E$28,MASQ2!$AT44,'Étape 1 - à remplir'!$G$19:$G$28,"animaux"),"")</f>
        <v/>
      </c>
      <c r="BC44" s="116" t="str">
        <f>IFERROR(SUMIFS('Étape 1 - à remplir'!$F$31:$F$400,'Étape 1 - à remplir'!$C$31:$C$400,IF($AT44="Croissance","*Croissance*",IF($AT44="Veau","*Veau*",IF($AT44="Adulte","*Adulte*",IF($AT44="Agneau","*Agneau*",IF($AT44="Chevreau","*Chevreau*",IF($AT44="Démarrage","*Démarrage*",IF($AT44="Engraissement","*Engraissement*",IF($AT44="Porcelet","*Porcelet*",IF($AT44="Post_sevrage","*Post_sevrage*",IF($AT44="Poulain","*Poulain*",IF($AT44="Poussin","*Poussin*",""))))))))))),'Étape 1 - à remplir'!$G$31:$G$400,"animaux",'Étape 1 - à remplir'!$M$31:$M$400,MASQ2!BC$43)/SUMIFS('Étape 1 - à remplir'!$F$19:$F$28,'Étape 1 - à remplir'!$E$19:$E$28,MASQ2!$AT44,'Étape 1 - à remplir'!$G$19:$G$28,"animaux"),"")</f>
        <v/>
      </c>
      <c r="BD44" s="116" t="str">
        <f>IFERROR(SUMIFS('Étape 1 - à remplir'!$F$31:$F$400,'Étape 1 - à remplir'!$C$31:$C$400,IF($AT44="Croissance","*Croissance*",IF($AT44="Veau","*Veau*",IF($AT44="Adulte","*Adulte*",IF($AT44="Agneau","*Agneau*",IF($AT44="Chevreau","*Chevreau*",IF($AT44="Démarrage","*Démarrage*",IF($AT44="Engraissement","*Engraissement*",IF($AT44="Porcelet","*Porcelet*",IF($AT44="Post_sevrage","*Post_sevrage*",IF($AT44="Poulain","*Poulain*",IF($AT44="Poussin","*Poussin*",""))))))))))),'Étape 1 - à remplir'!$G$31:$G$400,"animaux",'Étape 1 - à remplir'!$M$31:$M$400,MASQ2!BD$43)/SUMIFS('Étape 1 - à remplir'!$F$19:$F$28,'Étape 1 - à remplir'!$E$19:$E$28,MASQ2!$AT44,'Étape 1 - à remplir'!$G$19:$G$28,"animaux"),"")</f>
        <v/>
      </c>
      <c r="BE44" s="116" t="str">
        <f>IFERROR(SUMIFS('Étape 1 - à remplir'!$F$31:$F$400,'Étape 1 - à remplir'!$C$31:$C$400,IF($AT44="Croissance","*Croissance*",IF($AT44="Veau","*Veau*",IF($AT44="Adulte","*Adulte*",IF($AT44="Agneau","*Agneau*",IF($AT44="Chevreau","*Chevreau*",IF($AT44="Démarrage","*Démarrage*",IF($AT44="Engraissement","*Engraissement*",IF($AT44="Porcelet","*Porcelet*",IF($AT44="Post_sevrage","*Post_sevrage*",IF($AT44="Poulain","*Poulain*",IF($AT44="Poussin","*Poussin*",""))))))))))),'Étape 1 - à remplir'!$G$31:$G$400,"animaux",'Étape 1 - à remplir'!$M$31:$M$400,MASQ2!BE$43)/SUMIFS('Étape 1 - à remplir'!$F$19:$F$28,'Étape 1 - à remplir'!$E$19:$E$28,MASQ2!$AT44,'Étape 1 - à remplir'!$G$19:$G$28,"animaux"),"")</f>
        <v/>
      </c>
      <c r="BF44" s="114" t="str">
        <f>IFERROR(SUMIFS('Étape 1 - à remplir'!$F$31:$F$400,'Étape 1 - à remplir'!$C$31:$C$400,IF($AT44="Croissance","*Croissance*",IF($AT44="Veau","*Veau*",IF($AT44="Adulte","*Adulte*",IF($AT44="Agneau","*Agneau*",IF($AT44="Chevreau","*Chevreau*",IF($AT44="Démarrage","*Démarrage*",IF($AT44="Engraissement","*Engraissement*",IF($AT44="Porcelet","*Porcelet*",IF($AT44="Post_sevrage","*Post_sevrage*",IF($AT44="Poulain","*Poulain*",IF($AT44="Poussin","*Poussin*",""))))))))))),'Étape 1 - à remplir'!$G$31:$G$400,"animaux",'Étape 1 - à remplir'!$M$31:$M$400,MASQ2!BF$43)/SUMIFS('Étape 1 - à remplir'!$F$19:$F$28,'Étape 1 - à remplir'!$E$19:$E$28,MASQ2!$AT44,'Étape 1 - à remplir'!$G$19:$G$28,"animaux"),"")</f>
        <v/>
      </c>
      <c r="BT44" s="194" t="str">
        <f t="shared" ca="1" si="5"/>
        <v>x</v>
      </c>
      <c r="BU44" s="219" t="str">
        <f>IFERROR(IF(BX44=0,"",COUNTIF(BX$4:BX$600,"&gt;"&amp;BX44)+COUNTIF(BX$4:BX44,BX44)),"")</f>
        <v/>
      </c>
      <c r="BV44" s="42" t="str">
        <f t="shared" si="6"/>
        <v>AMPIMYCINE DEX</v>
      </c>
      <c r="BW44" t="e">
        <f>IF(IF(CE$2="Catégorie",IF(CE$3="Toutes",SUMIFS('Étape 1 - à remplir'!$F$31:$F$400,'Étape 1 - à remplir'!$E$31:$E$400,MASQ2!BV44,'Étape 1 - à remplir'!$G$31:$G$400,"lots"),SUMIFS('Étape 1 - à remplir'!$F$31:$F$400,'Étape 1 - à remplir'!$E$31:$E$400,MASQ2!BV44,'Étape 1 - à remplir'!$C$31:$C$400,CE$3)),IF(CE$2="Âge",IF(CE$3="Tous",SUMIFS('Étape 1 - à remplir'!$F$31:$F$400,'Étape 1 - à remplir'!$E$31:$E$400,MASQ2!BV44,'Étape 1 - à remplir'!$G$31:$G$400,"lots"),SUMIFS('Étape 1 - à remplir'!$F$31:$F$400,'Étape 1 - à remplir'!$E$31:$E$400,MASQ2!BV44,'Étape 1 - à remplir'!$P$31:$P$400,CE$3,'Étape 1 - à remplir'!$G$31:$G$400,"lots")),IF(CE$2="Atelier",IF(CE$3="Tous",SUMIFS('Étape 1 - à remplir'!$F$31:$F$400,'Étape 1 - à remplir'!$E$31:$E$400,MASQ2!BV44,'Étape 1 - à remplir'!$G$31:$G$400,"lots"),SUMIFS('Étape 1 - à remplir'!$F$31:$F$400,'Étape 1 - à remplir'!$E$31:$E$400,MASQ2!BV44,'Étape 1 - à remplir'!$O$31:$O$400,CE$3,'Étape 1 - à remplir'!$G$31:$G$400,"lots")),IF(CE$2="Espèce",IF(CE$3="Toutes",SUMIFS('Étape 1 - à remplir'!$F$31:$F$400,'Étape 1 - à remplir'!$E$31:$E$400,MASQ2!BV44,'Étape 1 - à remplir'!$G$31:$G$400,"lots"),SUMIFS('Étape 1 - à remplir'!$F$31:$F$400,'Étape 1 - à remplir'!$E$31:$E$400,MASQ2!BV44,'Étape 1 - à remplir'!$N$31:$N$400,CE$3,'Étape 1 - à remplir'!$G$31:$G$400,"lots"))))))=0,NA(),IF(CE$2="Catégorie",IF(CE$3="Toutes",SUMIFS('Étape 1 - à remplir'!$F$31:$F$400,'Étape 1 - à remplir'!$E$31:$E$400,MASQ2!BV44,'Étape 1 - à remplir'!$G$31:$G$400,"lots"),SUMIFS('Étape 1 - à remplir'!$F$31:$F$400,'Étape 1 - à remplir'!$E$31:$E$400,MASQ2!BV44,'Étape 1 - à remplir'!$C$31:$C$400,CE$3)),IF(CE$2="Âge",IF(CE$3="Tous",SUMIFS('Étape 1 - à remplir'!$F$31:$F$400,'Étape 1 - à remplir'!$E$31:$E$400,MASQ2!BV44,'Étape 1 - à remplir'!$G$31:$G$400,"lots"),SUMIFS('Étape 1 - à remplir'!$F$31:$F$400,'Étape 1 - à remplir'!$E$31:$E$400,MASQ2!BV44,'Étape 1 - à remplir'!$P$31:$P$400,CE$3,'Étape 1 - à remplir'!$G$31:$G$400,"lots")),IF(CE$2="Atelier",IF(CE$3="Tous",SUMIFS('Étape 1 - à remplir'!$F$31:$F$400,'Étape 1 - à remplir'!$E$31:$E$400,MASQ2!BV44,'Étape 1 - à remplir'!$G$31:$G$400,"lots"),SUMIFS('Étape 1 - à remplir'!$F$31:$F$400,'Étape 1 - à remplir'!$E$31:$E$400,MASQ2!BV44,'Étape 1 - à remplir'!$O$31:$O$400,CE$3,'Étape 1 - à remplir'!$G$31:$G$400,"lots")),IF(CE$2="Espèce",IF(CE$3="Toutes",SUMIFS('Étape 1 - à remplir'!$F$31:$F$400,'Étape 1 - à remplir'!$E$31:$E$400,MASQ2!BV44,'Étape 1 - à remplir'!$G$31:$G$400,"lots"),SUMIFS('Étape 1 - à remplir'!$F$31:$F$400,'Étape 1 - à remplir'!$E$31:$E$400,MASQ2!BV44,'Étape 1 - à remplir'!$N$31:$N$400,CE$3,'Étape 1 - à remplir'!$G$31:$G$400,"lots")))))))</f>
        <v>#N/A</v>
      </c>
      <c r="BX44">
        <f t="shared" si="42"/>
        <v>0</v>
      </c>
      <c r="BY44" t="str">
        <f t="shared" si="7"/>
        <v>Ampicilline</v>
      </c>
      <c r="BZ44" t="str">
        <f t="shared" si="8"/>
        <v>Colistine</v>
      </c>
      <c r="CA44" t="str">
        <f t="shared" si="9"/>
        <v/>
      </c>
      <c r="CB44" t="str">
        <f t="shared" si="10"/>
        <v>Penicillines</v>
      </c>
      <c r="CC44" t="str">
        <f t="shared" si="11"/>
        <v>Polypeptides</v>
      </c>
      <c r="CD44" s="63" t="str">
        <f t="shared" si="12"/>
        <v/>
      </c>
      <c r="CG44" s="42">
        <v>41</v>
      </c>
      <c r="CH44" s="42" t="e">
        <f t="shared" si="80"/>
        <v>#N/A</v>
      </c>
      <c r="CI44" s="63" t="e">
        <f t="shared" si="81"/>
        <v>#N/A</v>
      </c>
      <c r="CK44" s="194" t="str">
        <f t="shared" si="118"/>
        <v/>
      </c>
      <c r="CL44" s="226" t="str">
        <f>IFERROR(IF(CN44=0,"",COUNTIF(CN$4:CN$64,"&gt;"&amp;CN44)+COUNTIF(CN$4:CN44,CN44)),"")</f>
        <v/>
      </c>
      <c r="CM44" t="str">
        <f t="shared" si="119"/>
        <v>Spectinomycine</v>
      </c>
      <c r="CN44" s="76" t="e">
        <f t="shared" si="45"/>
        <v>#N/A</v>
      </c>
      <c r="CO44">
        <v>41</v>
      </c>
      <c r="CP44" t="e">
        <f t="shared" si="46"/>
        <v>#N/A</v>
      </c>
      <c r="CQ44" s="63" t="e">
        <f t="shared" si="47"/>
        <v>#N/A</v>
      </c>
      <c r="DA44" s="108" t="str">
        <f>DC32</f>
        <v/>
      </c>
      <c r="DB44" s="117" t="str">
        <f>IFERROR(SUMIFS('Étape 1 - à remplir'!$F$31:$F$400,'Étape 1 - à remplir'!$C$31:$C$400,IF($DA44="Croissance","*Croissance*",IF($DA44="Veau","*Veau*",IF($DA44="Adulte","*Adulte*",IF($DA44="Agneau","*Agneau*",IF($DA44="Chevreau","*Chevreau*",IF($DA44="Démarrage","*Démarrage*",IF($DA44="Engraissement","*Engraissement*",IF($DA44="Porcelet","*Porcelet*",IF($DA44="Post_sevrage","*Post_sevrage*",IF($DA44="Poulain","*Poulain*",IF($DA44="Poussin","*Poussin*",""))))))))))),'Étape 1 - à remplir'!$G$31:$G$400,"lots",'Étape 1 - à remplir'!$M$31:$M$400,MASQ2!DB$43)/SUMIFS('Étape 1 - à remplir'!$F$19:$F$28,'Étape 1 - à remplir'!$E$19:$E$28,MASQ2!$DA44,'Étape 1 - à remplir'!$G$19:$G$28,"lots"),"")</f>
        <v/>
      </c>
      <c r="DC44" s="117" t="str">
        <f>IFERROR(SUMIFS('Étape 1 - à remplir'!$F$31:$F$400,'Étape 1 - à remplir'!$C$31:$C$400,IF($DA44="Croissance","*Croissance*",IF($DA44="Veau","*Veau*",IF($DA44="Adulte","*Adulte*",IF($DA44="Agneau","*Agneau*",IF($DA44="Chevreau","*Chevreau*",IF($DA44="Démarrage","*Démarrage*",IF($DA44="Engraissement","*Engraissement*",IF($DA44="Porcelet","*Porcelet*",IF($DA44="Post_sevrage","*Post_sevrage*",IF($DA44="Poulain","*Poulain*",IF($DA44="Poussin","*Poussin*",""))))))))))),'Étape 1 - à remplir'!$G$31:$G$400,"lots",'Étape 1 - à remplir'!$M$31:$M$400,MASQ2!DC$43)/SUMIFS('Étape 1 - à remplir'!$F$19:$F$28,'Étape 1 - à remplir'!$E$19:$E$28,MASQ2!$DA44,'Étape 1 - à remplir'!$G$19:$G$28,"lots"),"")</f>
        <v/>
      </c>
      <c r="DD44" s="117" t="str">
        <f>IFERROR(SUMIFS('Étape 1 - à remplir'!$F$31:$F$400,'Étape 1 - à remplir'!$C$31:$C$400,IF($DA44="Croissance","*Croissance*",IF($DA44="Veau","*Veau*",IF($DA44="Adulte","*Adulte*",IF($DA44="Agneau","*Agneau*",IF($DA44="Chevreau","*Chevreau*",IF($DA44="Démarrage","*Démarrage*",IF($DA44="Engraissement","*Engraissement*",IF($DA44="Porcelet","*Porcelet*",IF($DA44="Post_sevrage","*Post_sevrage*",IF($DA44="Poulain","*Poulain*",IF($DA44="Poussin","*Poussin*",""))))))))))),'Étape 1 - à remplir'!$G$31:$G$400,"lots",'Étape 1 - à remplir'!$M$31:$M$400,MASQ2!DD$43)/SUMIFS('Étape 1 - à remplir'!$F$19:$F$28,'Étape 1 - à remplir'!$E$19:$E$28,MASQ2!$DA44,'Étape 1 - à remplir'!$G$19:$G$28,"lots"),"")</f>
        <v/>
      </c>
      <c r="DE44" s="117" t="str">
        <f>IFERROR(SUMIFS('Étape 1 - à remplir'!$F$31:$F$400,'Étape 1 - à remplir'!$C$31:$C$400,IF($DA44="Croissance","*Croissance*",IF($DA44="Veau","*Veau*",IF($DA44="Adulte","*Adulte*",IF($DA44="Agneau","*Agneau*",IF($DA44="Chevreau","*Chevreau*",IF($DA44="Démarrage","*Démarrage*",IF($DA44="Engraissement","*Engraissement*",IF($DA44="Porcelet","*Porcelet*",IF($DA44="Post_sevrage","*Post_sevrage*",IF($DA44="Poulain","*Poulain*",IF($DA44="Poussin","*Poussin*",""))))))))))),'Étape 1 - à remplir'!$G$31:$G$400,"lots",'Étape 1 - à remplir'!$M$31:$M$400,MASQ2!DE$43)/SUMIFS('Étape 1 - à remplir'!$F$19:$F$28,'Étape 1 - à remplir'!$E$19:$E$28,MASQ2!$DA44,'Étape 1 - à remplir'!$G$19:$G$28,"lots"),"")</f>
        <v/>
      </c>
      <c r="DF44" s="117" t="str">
        <f>IFERROR(SUMIFS('Étape 1 - à remplir'!$F$31:$F$400,'Étape 1 - à remplir'!$C$31:$C$400,IF($DA44="Croissance","*Croissance*",IF($DA44="Veau","*Veau*",IF($DA44="Adulte","*Adulte*",IF($DA44="Agneau","*Agneau*",IF($DA44="Chevreau","*Chevreau*",IF($DA44="Démarrage","*Démarrage*",IF($DA44="Engraissement","*Engraissement*",IF($DA44="Porcelet","*Porcelet*",IF($DA44="Post_sevrage","*Post_sevrage*",IF($DA44="Poulain","*Poulain*",IF($DA44="Poussin","*Poussin*",""))))))))))),'Étape 1 - à remplir'!$G$31:$G$400,"lots",'Étape 1 - à remplir'!$M$31:$M$400,MASQ2!DF$43)/SUMIFS('Étape 1 - à remplir'!$F$19:$F$28,'Étape 1 - à remplir'!$E$19:$E$28,MASQ2!$DA44,'Étape 1 - à remplir'!$G$19:$G$28,"lots"),"")</f>
        <v/>
      </c>
      <c r="DG44" s="117" t="str">
        <f>IFERROR(SUMIFS('Étape 1 - à remplir'!$F$31:$F$400,'Étape 1 - à remplir'!$C$31:$C$400,IF($DA44="Croissance","*Croissance*",IF($DA44="Veau","*Veau*",IF($DA44="Adulte","*Adulte*",IF($DA44="Agneau","*Agneau*",IF($DA44="Chevreau","*Chevreau*",IF($DA44="Démarrage","*Démarrage*",IF($DA44="Engraissement","*Engraissement*",IF($DA44="Porcelet","*Porcelet*",IF($DA44="Post_sevrage","*Post_sevrage*",IF($DA44="Poulain","*Poulain*",IF($DA44="Poussin","*Poussin*",""))))))))))),'Étape 1 - à remplir'!$G$31:$G$400,"lots",'Étape 1 - à remplir'!$M$31:$M$400,MASQ2!DG$43)/SUMIFS('Étape 1 - à remplir'!$F$19:$F$28,'Étape 1 - à remplir'!$E$19:$E$28,MASQ2!$DA44,'Étape 1 - à remplir'!$G$19:$G$28,"lots"),"")</f>
        <v/>
      </c>
      <c r="DH44" s="117" t="str">
        <f>IFERROR(SUMIFS('Étape 1 - à remplir'!$F$31:$F$400,'Étape 1 - à remplir'!$C$31:$C$400,IF($DA44="Croissance","*Croissance*",IF($DA44="Veau","*Veau*",IF($DA44="Adulte","*Adulte*",IF($DA44="Agneau","*Agneau*",IF($DA44="Chevreau","*Chevreau*",IF($DA44="Démarrage","*Démarrage*",IF($DA44="Engraissement","*Engraissement*",IF($DA44="Porcelet","*Porcelet*",IF($DA44="Post_sevrage","*Post_sevrage*",IF($DA44="Poulain","*Poulain*",IF($DA44="Poussin","*Poussin*",""))))))))))),'Étape 1 - à remplir'!$G$31:$G$400,"lots",'Étape 1 - à remplir'!$M$31:$M$400,MASQ2!DH$43)/SUMIFS('Étape 1 - à remplir'!$F$19:$F$28,'Étape 1 - à remplir'!$E$19:$E$28,MASQ2!$DA44,'Étape 1 - à remplir'!$G$19:$G$28,"lots"),"")</f>
        <v/>
      </c>
      <c r="DI44" s="117" t="str">
        <f>IFERROR(SUMIFS('Étape 1 - à remplir'!$F$31:$F$400,'Étape 1 - à remplir'!$C$31:$C$400,IF($DA44="Croissance","*Croissance*",IF($DA44="Veau","*Veau*",IF($DA44="Adulte","*Adulte*",IF($DA44="Agneau","*Agneau*",IF($DA44="Chevreau","*Chevreau*",IF($DA44="Démarrage","*Démarrage*",IF($DA44="Engraissement","*Engraissement*",IF($DA44="Porcelet","*Porcelet*",IF($DA44="Post_sevrage","*Post_sevrage*",IF($DA44="Poulain","*Poulain*",IF($DA44="Poussin","*Poussin*",""))))))))))),'Étape 1 - à remplir'!$G$31:$G$400,"lots",'Étape 1 - à remplir'!$M$31:$M$400,MASQ2!DI$43)/SUMIFS('Étape 1 - à remplir'!$F$19:$F$28,'Étape 1 - à remplir'!$E$19:$E$28,MASQ2!$DA44,'Étape 1 - à remplir'!$G$19:$G$28,"lots"),"")</f>
        <v/>
      </c>
      <c r="DJ44" s="117" t="str">
        <f>IFERROR(SUMIFS('Étape 1 - à remplir'!$F$31:$F$400,'Étape 1 - à remplir'!$C$31:$C$400,IF($DA44="Croissance","*Croissance*",IF($DA44="Veau","*Veau*",IF($DA44="Adulte","*Adulte*",IF($DA44="Agneau","*Agneau*",IF($DA44="Chevreau","*Chevreau*",IF($DA44="Démarrage","*Démarrage*",IF($DA44="Engraissement","*Engraissement*",IF($DA44="Porcelet","*Porcelet*",IF($DA44="Post_sevrage","*Post_sevrage*",IF($DA44="Poulain","*Poulain*",IF($DA44="Poussin","*Poussin*",""))))))))))),'Étape 1 - à remplir'!$G$31:$G$400,"lots",'Étape 1 - à remplir'!$M$31:$M$400,MASQ2!DJ$43)/SUMIFS('Étape 1 - à remplir'!$F$19:$F$28,'Étape 1 - à remplir'!$E$19:$E$28,MASQ2!$DA44,'Étape 1 - à remplir'!$G$19:$G$28,"lots"),"")</f>
        <v/>
      </c>
      <c r="DK44" s="117" t="str">
        <f>IFERROR(SUMIFS('Étape 1 - à remplir'!$F$31:$F$400,'Étape 1 - à remplir'!$C$31:$C$400,IF($DA44="Croissance","*Croissance*",IF($DA44="Veau","*Veau*",IF($DA44="Adulte","*Adulte*",IF($DA44="Agneau","*Agneau*",IF($DA44="Chevreau","*Chevreau*",IF($DA44="Démarrage","*Démarrage*",IF($DA44="Engraissement","*Engraissement*",IF($DA44="Porcelet","*Porcelet*",IF($DA44="Post_sevrage","*Post_sevrage*",IF($DA44="Poulain","*Poulain*",IF($DA44="Poussin","*Poussin*",""))))))))))),'Étape 1 - à remplir'!$G$31:$G$400,"lots",'Étape 1 - à remplir'!$M$31:$M$400,MASQ2!DK$43)/SUMIFS('Étape 1 - à remplir'!$F$19:$F$28,'Étape 1 - à remplir'!$E$19:$E$28,MASQ2!$DA44,'Étape 1 - à remplir'!$G$19:$G$28,"lots"),"")</f>
        <v/>
      </c>
      <c r="DL44" s="117" t="str">
        <f>IFERROR(SUMIFS('Étape 1 - à remplir'!$F$31:$F$400,'Étape 1 - à remplir'!$C$31:$C$400,IF($DA44="Croissance","*Croissance*",IF($DA44="Veau","*Veau*",IF($DA44="Adulte","*Adulte*",IF($DA44="Agneau","*Agneau*",IF($DA44="Chevreau","*Chevreau*",IF($DA44="Démarrage","*Démarrage*",IF($DA44="Engraissement","*Engraissement*",IF($DA44="Porcelet","*Porcelet*",IF($DA44="Post_sevrage","*Post_sevrage*",IF($DA44="Poulain","*Poulain*",IF($DA44="Poussin","*Poussin*",""))))))))))),'Étape 1 - à remplir'!$G$31:$G$400,"lots",'Étape 1 - à remplir'!$M$31:$M$400,MASQ2!DL$43)/SUMIFS('Étape 1 - à remplir'!$F$19:$F$28,'Étape 1 - à remplir'!$E$19:$E$28,MASQ2!$DA44,'Étape 1 - à remplir'!$G$19:$G$28,"lots"),"")</f>
        <v/>
      </c>
      <c r="DM44" s="108" t="str">
        <f>IFERROR(SUMIFS('Étape 1 - à remplir'!$F$31:$F$400,'Étape 1 - à remplir'!$C$31:$C$400,IF($DA44="Croissance","*Croissance*",IF($DA44="Veau","*Veau*",IF($DA44="Adulte","*Adulte*",IF($DA44="Agneau","*Agneau*",IF($DA44="Chevreau","*Chevreau*",IF($DA44="Démarrage","*Démarrage*",IF($DA44="Engraissement","*Engraissement*",IF($DA44="Porcelet","*Porcelet*",IF($DA44="Post_sevrage","*Post_sevrage*",IF($DA44="Poulain","*Poulain*",IF($DA44="Poussin","*Poussin*",""))))))))))),'Étape 1 - à remplir'!$G$31:$G$400,"lots",'Étape 1 - à remplir'!$M$31:$M$400,MASQ2!DM$43)/SUMIFS('Étape 1 - à remplir'!$F$19:$F$28,'Étape 1 - à remplir'!$E$19:$E$28,MASQ2!$DA44,'Étape 1 - à remplir'!$G$19:$G$28,"lots"),"")</f>
        <v/>
      </c>
      <c r="EA44" s="194" t="str">
        <f t="shared" ca="1" si="18"/>
        <v>x</v>
      </c>
      <c r="EB44" s="226" t="str">
        <f>IFERROR(IF(ED44=0,"",COUNTIF(ED$4:ED$600,"&gt;"&amp;ED44)+COUNTIF(ED$4:ED44,ED44)),"")</f>
        <v/>
      </c>
      <c r="EC44" t="str">
        <f t="shared" si="19"/>
        <v>AMPIMYCINE DEX</v>
      </c>
      <c r="ED44" t="e">
        <f>IF(IF(EL$2="Catégorie",IF(EL$3="Toutes",SUMIFS('Étape 1 - à remplir'!$F$31:$F$400,'Étape 1 - à remplir'!$E$31:$E$400,MASQ2!EC44,'Étape 1 - à remplir'!$G$31:$G$400,"kg"),SUMIFS('Étape 1 - à remplir'!$F$31:$F$400,'Étape 1 - à remplir'!$E$31:$E$400,MASQ2!EC44,'Étape 1 - à remplir'!$C$31:$C$400,EL$3)),IF(EL$2="Âge",IF(EL$3="Tous",SUMIFS('Étape 1 - à remplir'!$F$31:$F$400,'Étape 1 - à remplir'!$E$31:$E$400,MASQ2!EC44,'Étape 1 - à remplir'!$G$31:$G$400,"kg"),SUMIFS('Étape 1 - à remplir'!$F$31:$F$400,'Étape 1 - à remplir'!$E$31:$E$400,MASQ2!EC44,'Étape 1 - à remplir'!$P$31:$P$400,EL$3,'Étape 1 - à remplir'!$G$31:$G$400,"kg")),IF(EL$2="Atelier",IF(EL$3="Tous",SUMIFS('Étape 1 - à remplir'!$F$31:$F$400,'Étape 1 - à remplir'!$E$31:$E$400,MASQ2!EC44,'Étape 1 - à remplir'!$G$31:$G$400,"kg"),SUMIFS('Étape 1 - à remplir'!$F$31:$F$400,'Étape 1 - à remplir'!$E$31:$E$400,MASQ2!EC44,'Étape 1 - à remplir'!$O$31:$O$400,EL$3,'Étape 1 - à remplir'!$G$31:$G$400,"kg")),IF(EL$2="Espèce",IF(EL$3="Toutes",SUMIFS('Étape 1 - à remplir'!$F$31:$F$400,'Étape 1 - à remplir'!$E$31:$E$400,MASQ2!EC44,'Étape 1 - à remplir'!$G$31:$G$400,"kg"),SUMIFS('Étape 1 - à remplir'!$F$31:$F$400,'Étape 1 - à remplir'!$E$31:$E$400,MASQ2!EC44,'Étape 1 - à remplir'!$N$31:$N$400,EL$3,'Étape 1 - à remplir'!$G$31:$G$400,"kg"))))))=0,NA(),IF(EL$2="Catégorie",IF(EL$3="Toutes",SUMIFS('Étape 1 - à remplir'!$F$31:$F$400,'Étape 1 - à remplir'!$E$31:$E$400,MASQ2!EC44,'Étape 1 - à remplir'!$G$31:$G$400,"kg"),SUMIFS('Étape 1 - à remplir'!$F$31:$F$400,'Étape 1 - à remplir'!$E$31:$E$400,MASQ2!EC44,'Étape 1 - à remplir'!$C$31:$C$400,EL$3)),IF(EL$2="Âge",IF(EL$3="Tous",SUMIFS('Étape 1 - à remplir'!$F$31:$F$400,'Étape 1 - à remplir'!$E$31:$E$400,MASQ2!EC44,'Étape 1 - à remplir'!$G$31:$G$400,"kg"),SUMIFS('Étape 1 - à remplir'!$F$31:$F$400,'Étape 1 - à remplir'!$E$31:$E$400,MASQ2!EC44,'Étape 1 - à remplir'!$P$31:$P$400,EL$3,'Étape 1 - à remplir'!$G$31:$G$400,"kg")),IF(EL$2="Atelier",IF(EL$3="Tous",SUMIFS('Étape 1 - à remplir'!$F$31:$F$400,'Étape 1 - à remplir'!$E$31:$E$400,MASQ2!EC44,'Étape 1 - à remplir'!$G$31:$G$400,"kg"),SUMIFS('Étape 1 - à remplir'!$F$31:$F$400,'Étape 1 - à remplir'!$E$31:$E$400,MASQ2!EC44,'Étape 1 - à remplir'!$O$31:$O$400,EL$3,'Étape 1 - à remplir'!$G$31:$G$400,"kg")),IF(EL$2="Espèce",IF(EL$3="Toutes",SUMIFS('Étape 1 - à remplir'!$F$31:$F$400,'Étape 1 - à remplir'!$E$31:$E$400,MASQ2!EC44,'Étape 1 - à remplir'!$G$31:$G$400,"kg"),SUMIFS('Étape 1 - à remplir'!$F$31:$F$400,'Étape 1 - à remplir'!$E$31:$E$400,MASQ2!EC44,'Étape 1 - à remplir'!$N$31:$N$400,EL$3,'Étape 1 - à remplir'!$G$31:$G$400,"kg")))))))</f>
        <v>#N/A</v>
      </c>
      <c r="EE44" s="76">
        <f t="shared" si="53"/>
        <v>0</v>
      </c>
      <c r="EF44" t="str">
        <f t="shared" si="20"/>
        <v>Ampicilline</v>
      </c>
      <c r="EG44" t="str">
        <f t="shared" si="21"/>
        <v>Colistine</v>
      </c>
      <c r="EH44" t="str">
        <f t="shared" si="22"/>
        <v/>
      </c>
      <c r="EI44" t="str">
        <f t="shared" si="23"/>
        <v>Penicillines</v>
      </c>
      <c r="EJ44" t="str">
        <f t="shared" si="24"/>
        <v>Polypeptides</v>
      </c>
      <c r="EK44" s="63" t="str">
        <f t="shared" si="25"/>
        <v/>
      </c>
      <c r="EN44" s="42">
        <v>41</v>
      </c>
      <c r="EO44" t="e">
        <f t="shared" si="68"/>
        <v>#N/A</v>
      </c>
      <c r="EP44" s="63" t="e">
        <f t="shared" si="69"/>
        <v>#N/A</v>
      </c>
      <c r="ER44" s="194" t="str">
        <f t="shared" si="120"/>
        <v/>
      </c>
      <c r="ES44" s="226" t="str">
        <f>IFERROR(IF(EU44=0,"",COUNTIF(EU$4:EU$64,"&gt;"&amp;EU44)+COUNTIF(EU$4:EU44,EU44)),"")</f>
        <v/>
      </c>
      <c r="ET44" t="str">
        <f t="shared" si="121"/>
        <v>Spectinomycine</v>
      </c>
      <c r="EU44" s="76" t="e">
        <f t="shared" si="56"/>
        <v>#N/A</v>
      </c>
      <c r="EV44">
        <v>41</v>
      </c>
      <c r="EW44" t="e">
        <f t="shared" si="57"/>
        <v>#N/A</v>
      </c>
      <c r="EX44" s="63" t="e">
        <f t="shared" si="58"/>
        <v>#N/A</v>
      </c>
      <c r="FH44" s="117" t="str">
        <f>FJ32</f>
        <v/>
      </c>
      <c r="FI44" s="117" t="str">
        <f>IFERROR(SUMIFS('Étape 1 - à remplir'!$F$31:$F$400,'Étape 1 - à remplir'!$C$31:$C$400,IF($FH44="Croissance","*Croissance*",IF($FH44="Veau","*Veau*",IF($FH44="Adulte","*Adulte*",IF($FH44="Agneau","*Agneau*",IF($FH44="Chevreau","*Chevreau*",IF($FH44="Démarrage","*Démarrage*",IF($FH44="Engraissement","*Engraissement*",IF($FH44="Porcelet","*Porcelet*",IF($FH44="Post_sevrage","*Post_sevrage*",IF($FH44="Poulain","*Poulain*",IF($FH44="Poussin","*Poussin*",""))))))))))),'Étape 1 - à remplir'!$G$31:$G$400,"kg",'Étape 1 - à remplir'!$M$31:$M$400,MASQ2!FI$43)/SUMIFS('Étape 1 - à remplir'!$F$19:$F$28,'Étape 1 - à remplir'!$E$19:$E$28,MASQ2!$FH44,'Étape 1 - à remplir'!$G$19:$G$28,"kg"),"")</f>
        <v/>
      </c>
      <c r="FJ44" s="117" t="str">
        <f>IFERROR(SUMIFS('Étape 1 - à remplir'!$F$31:$F$400,'Étape 1 - à remplir'!$C$31:$C$400,IF($FH44="Croissance","*Croissance*",IF($FH44="Veau","*Veau*",IF($FH44="Adulte","*Adulte*",IF($FH44="Agneau","*Agneau*",IF($FH44="Chevreau","*Chevreau*",IF($FH44="Démarrage","*Démarrage*",IF($FH44="Engraissement","*Engraissement*",IF($FH44="Porcelet","*Porcelet*",IF($FH44="Post_sevrage","*Post_sevrage*",IF($FH44="Poulain","*Poulain*",IF($FH44="Poussin","*Poussin*",""))))))))))),'Étape 1 - à remplir'!$G$31:$G$400,"kg",'Étape 1 - à remplir'!$M$31:$M$400,MASQ2!FJ$43)/SUMIFS('Étape 1 - à remplir'!$F$19:$F$28,'Étape 1 - à remplir'!$E$19:$E$28,MASQ2!$FH44,'Étape 1 - à remplir'!$G$19:$G$28,"kg"),"")</f>
        <v/>
      </c>
      <c r="FK44" s="117" t="str">
        <f>IFERROR(SUMIFS('Étape 1 - à remplir'!$F$31:$F$400,'Étape 1 - à remplir'!$C$31:$C$400,IF($FH44="Croissance","*Croissance*",IF($FH44="Veau","*Veau*",IF($FH44="Adulte","*Adulte*",IF($FH44="Agneau","*Agneau*",IF($FH44="Chevreau","*Chevreau*",IF($FH44="Démarrage","*Démarrage*",IF($FH44="Engraissement","*Engraissement*",IF($FH44="Porcelet","*Porcelet*",IF($FH44="Post_sevrage","*Post_sevrage*",IF($FH44="Poulain","*Poulain*",IF($FH44="Poussin","*Poussin*",""))))))))))),'Étape 1 - à remplir'!$G$31:$G$400,"kg",'Étape 1 - à remplir'!$M$31:$M$400,MASQ2!FK$43)/SUMIFS('Étape 1 - à remplir'!$F$19:$F$28,'Étape 1 - à remplir'!$E$19:$E$28,MASQ2!$FH44,'Étape 1 - à remplir'!$G$19:$G$28,"kg"),"")</f>
        <v/>
      </c>
      <c r="FL44" s="117" t="str">
        <f>IFERROR(SUMIFS('Étape 1 - à remplir'!$F$31:$F$400,'Étape 1 - à remplir'!$C$31:$C$400,IF($FH44="Croissance","*Croissance*",IF($FH44="Veau","*Veau*",IF($FH44="Adulte","*Adulte*",IF($FH44="Agneau","*Agneau*",IF($FH44="Chevreau","*Chevreau*",IF($FH44="Démarrage","*Démarrage*",IF($FH44="Engraissement","*Engraissement*",IF($FH44="Porcelet","*Porcelet*",IF($FH44="Post_sevrage","*Post_sevrage*",IF($FH44="Poulain","*Poulain*",IF($FH44="Poussin","*Poussin*",""))))))))))),'Étape 1 - à remplir'!$G$31:$G$400,"kg",'Étape 1 - à remplir'!$M$31:$M$400,MASQ2!FL$43)/SUMIFS('Étape 1 - à remplir'!$F$19:$F$28,'Étape 1 - à remplir'!$E$19:$E$28,MASQ2!$FH44,'Étape 1 - à remplir'!$G$19:$G$28,"kg"),"")</f>
        <v/>
      </c>
      <c r="FM44" s="117" t="str">
        <f>IFERROR(SUMIFS('Étape 1 - à remplir'!$F$31:$F$400,'Étape 1 - à remplir'!$C$31:$C$400,IF($FH44="Croissance","*Croissance*",IF($FH44="Veau","*Veau*",IF($FH44="Adulte","*Adulte*",IF($FH44="Agneau","*Agneau*",IF($FH44="Chevreau","*Chevreau*",IF($FH44="Démarrage","*Démarrage*",IF($FH44="Engraissement","*Engraissement*",IF($FH44="Porcelet","*Porcelet*",IF($FH44="Post_sevrage","*Post_sevrage*",IF($FH44="Poulain","*Poulain*",IF($FH44="Poussin","*Poussin*",""))))))))))),'Étape 1 - à remplir'!$G$31:$G$400,"kg",'Étape 1 - à remplir'!$M$31:$M$400,MASQ2!FM$43)/SUMIFS('Étape 1 - à remplir'!$F$19:$F$28,'Étape 1 - à remplir'!$E$19:$E$28,MASQ2!$FH44,'Étape 1 - à remplir'!$G$19:$G$28,"kg"),"")</f>
        <v/>
      </c>
      <c r="FN44" s="117" t="str">
        <f>IFERROR(SUMIFS('Étape 1 - à remplir'!$F$31:$F$400,'Étape 1 - à remplir'!$C$31:$C$400,IF($FH44="Croissance","*Croissance*",IF($FH44="Veau","*Veau*",IF($FH44="Adulte","*Adulte*",IF($FH44="Agneau","*Agneau*",IF($FH44="Chevreau","*Chevreau*",IF($FH44="Démarrage","*Démarrage*",IF($FH44="Engraissement","*Engraissement*",IF($FH44="Porcelet","*Porcelet*",IF($FH44="Post_sevrage","*Post_sevrage*",IF($FH44="Poulain","*Poulain*",IF($FH44="Poussin","*Poussin*",""))))))))))),'Étape 1 - à remplir'!$G$31:$G$400,"kg",'Étape 1 - à remplir'!$M$31:$M$400,MASQ2!FN$43)/SUMIFS('Étape 1 - à remplir'!$F$19:$F$28,'Étape 1 - à remplir'!$E$19:$E$28,MASQ2!$FH44,'Étape 1 - à remplir'!$G$19:$G$28,"kg"),"")</f>
        <v/>
      </c>
      <c r="FO44" s="117" t="str">
        <f>IFERROR(SUMIFS('Étape 1 - à remplir'!$F$31:$F$400,'Étape 1 - à remplir'!$C$31:$C$400,IF($FH44="Croissance","*Croissance*",IF($FH44="Veau","*Veau*",IF($FH44="Adulte","*Adulte*",IF($FH44="Agneau","*Agneau*",IF($FH44="Chevreau","*Chevreau*",IF($FH44="Démarrage","*Démarrage*",IF($FH44="Engraissement","*Engraissement*",IF($FH44="Porcelet","*Porcelet*",IF($FH44="Post_sevrage","*Post_sevrage*",IF($FH44="Poulain","*Poulain*",IF($FH44="Poussin","*Poussin*",""))))))))))),'Étape 1 - à remplir'!$G$31:$G$400,"kg",'Étape 1 - à remplir'!$M$31:$M$400,MASQ2!FO$43)/SUMIFS('Étape 1 - à remplir'!$F$19:$F$28,'Étape 1 - à remplir'!$E$19:$E$28,MASQ2!$FH44,'Étape 1 - à remplir'!$G$19:$G$28,"kg"),"")</f>
        <v/>
      </c>
      <c r="FP44" s="117" t="str">
        <f>IFERROR(SUMIFS('Étape 1 - à remplir'!$F$31:$F$400,'Étape 1 - à remplir'!$C$31:$C$400,IF($FH44="Croissance","*Croissance*",IF($FH44="Veau","*Veau*",IF($FH44="Adulte","*Adulte*",IF($FH44="Agneau","*Agneau*",IF($FH44="Chevreau","*Chevreau*",IF($FH44="Démarrage","*Démarrage*",IF($FH44="Engraissement","*Engraissement*",IF($FH44="Porcelet","*Porcelet*",IF($FH44="Post_sevrage","*Post_sevrage*",IF($FH44="Poulain","*Poulain*",IF($FH44="Poussin","*Poussin*",""))))))))))),'Étape 1 - à remplir'!$G$31:$G$400,"kg",'Étape 1 - à remplir'!$M$31:$M$400,MASQ2!FP$43)/SUMIFS('Étape 1 - à remplir'!$F$19:$F$28,'Étape 1 - à remplir'!$E$19:$E$28,MASQ2!$FH44,'Étape 1 - à remplir'!$G$19:$G$28,"kg"),"")</f>
        <v/>
      </c>
      <c r="FQ44" s="117" t="str">
        <f>IFERROR(SUMIFS('Étape 1 - à remplir'!$F$31:$F$400,'Étape 1 - à remplir'!$C$31:$C$400,IF($FH44="Croissance","*Croissance*",IF($FH44="Veau","*Veau*",IF($FH44="Adulte","*Adulte*",IF($FH44="Agneau","*Agneau*",IF($FH44="Chevreau","*Chevreau*",IF($FH44="Démarrage","*Démarrage*",IF($FH44="Engraissement","*Engraissement*",IF($FH44="Porcelet","*Porcelet*",IF($FH44="Post_sevrage","*Post_sevrage*",IF($FH44="Poulain","*Poulain*",IF($FH44="Poussin","*Poussin*",""))))))))))),'Étape 1 - à remplir'!$G$31:$G$400,"kg",'Étape 1 - à remplir'!$M$31:$M$400,MASQ2!FQ$43)/SUMIFS('Étape 1 - à remplir'!$F$19:$F$28,'Étape 1 - à remplir'!$E$19:$E$28,MASQ2!$FH44,'Étape 1 - à remplir'!$G$19:$G$28,"kg"),"")</f>
        <v/>
      </c>
      <c r="FR44" s="117" t="str">
        <f>IFERROR(SUMIFS('Étape 1 - à remplir'!$F$31:$F$400,'Étape 1 - à remplir'!$C$31:$C$400,IF($FH44="Croissance","*Croissance*",IF($FH44="Veau","*Veau*",IF($FH44="Adulte","*Adulte*",IF($FH44="Agneau","*Agneau*",IF($FH44="Chevreau","*Chevreau*",IF($FH44="Démarrage","*Démarrage*",IF($FH44="Engraissement","*Engraissement*",IF($FH44="Porcelet","*Porcelet*",IF($FH44="Post_sevrage","*Post_sevrage*",IF($FH44="Poulain","*Poulain*",IF($FH44="Poussin","*Poussin*",""))))))))))),'Étape 1 - à remplir'!$G$31:$G$400,"kg",'Étape 1 - à remplir'!$M$31:$M$400,MASQ2!FR$43)/SUMIFS('Étape 1 - à remplir'!$F$19:$F$28,'Étape 1 - à remplir'!$E$19:$E$28,MASQ2!$FH44,'Étape 1 - à remplir'!$G$19:$G$28,"kg"),"")</f>
        <v/>
      </c>
      <c r="FS44" s="117" t="str">
        <f>IFERROR(SUMIFS('Étape 1 - à remplir'!$F$31:$F$400,'Étape 1 - à remplir'!$C$31:$C$400,IF($FH44="Croissance","*Croissance*",IF($FH44="Veau","*Veau*",IF($FH44="Adulte","*Adulte*",IF($FH44="Agneau","*Agneau*",IF($FH44="Chevreau","*Chevreau*",IF($FH44="Démarrage","*Démarrage*",IF($FH44="Engraissement","*Engraissement*",IF($FH44="Porcelet","*Porcelet*",IF($FH44="Post_sevrage","*Post_sevrage*",IF($FH44="Poulain","*Poulain*",IF($FH44="Poussin","*Poussin*",""))))))))))),'Étape 1 - à remplir'!$G$31:$G$400,"kg",'Étape 1 - à remplir'!$M$31:$M$400,MASQ2!FS$43)/SUMIFS('Étape 1 - à remplir'!$F$19:$F$28,'Étape 1 - à remplir'!$E$19:$E$28,MASQ2!$FH44,'Étape 1 - à remplir'!$G$19:$G$28,"kg"),"")</f>
        <v/>
      </c>
      <c r="FT44" s="117" t="str">
        <f>IFERROR(SUMIFS('Étape 1 - à remplir'!$F$31:$F$400,'Étape 1 - à remplir'!$C$31:$C$400,IF($FH44="Croissance","*Croissance*",IF($FH44="Veau","*Veau*",IF($FH44="Adulte","*Adulte*",IF($FH44="Agneau","*Agneau*",IF($FH44="Chevreau","*Chevreau*",IF($FH44="Démarrage","*Démarrage*",IF($FH44="Engraissement","*Engraissement*",IF($FH44="Porcelet","*Porcelet*",IF($FH44="Post_sevrage","*Post_sevrage*",IF($FH44="Poulain","*Poulain*",IF($FH44="Poussin","*Poussin*",""))))))))))),'Étape 1 - à remplir'!$G$31:$G$400,"kg",'Étape 1 - à remplir'!$M$31:$M$400,MASQ2!FT$43)/SUMIFS('Étape 1 - à remplir'!$F$19:$F$28,'Étape 1 - à remplir'!$E$19:$E$28,MASQ2!$FH44,'Étape 1 - à remplir'!$G$19:$G$28,"kg"),"")</f>
        <v/>
      </c>
    </row>
    <row r="45" spans="2:176" x14ac:dyDescent="0.3">
      <c r="B45" s="42"/>
      <c r="M45" s="194" t="str">
        <f ca="1">INDEX(Données_ATB!BD:BU,MATCH(MASQ2!O45,Données_ATB!BD:BD,0),18)</f>
        <v/>
      </c>
      <c r="N45" s="14" t="str">
        <f>IFERROR(IF(Q45=0,"",COUNTIF(Q$4:Q$600,"&gt;"&amp;Q45)+COUNTIF(Q$4:Q45,Q45)),"")</f>
        <v/>
      </c>
      <c r="O45" t="str">
        <f>Données_ATB!BD44</f>
        <v>AMPINA</v>
      </c>
      <c r="P45" t="e">
        <f>IF(IF(X$2="Catégorie",IF(X$3="Toutes",SUMIFS('Étape 1 - à remplir'!$F$31:$F$400,'Étape 1 - à remplir'!$E$31:$E$400,MASQ2!O45,'Étape 1 - à remplir'!$G$31:$G$400,"animaux"),SUMIFS('Étape 1 - à remplir'!$F$31:$F$400,'Étape 1 - à remplir'!$E$31:$E$400,MASQ2!O45,'Étape 1 - à remplir'!$C$31:$C$400,X$3)),IF(X$2="Âge",IF(X$3="Tous",SUMIFS('Étape 1 - à remplir'!$F$31:$F$400,'Étape 1 - à remplir'!$E$31:$E$400,MASQ2!O45,'Étape 1 - à remplir'!$G$31:$G$400,"animaux"),SUMIFS('Étape 1 - à remplir'!$F$31:$F$400,'Étape 1 - à remplir'!$E$31:$E$400,MASQ2!O45,'Étape 1 - à remplir'!$P$31:$P$400,X$3)),IF(X$2="Atelier",IF(X$3="Tous",SUMIFS('Étape 1 - à remplir'!$F$31:$F$400,'Étape 1 - à remplir'!$E$31:$E$400,MASQ2!O45,'Étape 1 - à remplir'!$G$31:$G$400,"animaux"),SUMIFS('Étape 1 - à remplir'!$F$31:$F$400,'Étape 1 - à remplir'!$E$31:$E$400,MASQ2!O45,'Étape 1 - à remplir'!$O$31:$O$400,X$3)),IF(X$2="Espèce",IF(X$3="Toutes",SUMIFS('Étape 1 - à remplir'!$F$31:$F$400,'Étape 1 - à remplir'!$E$31:$E$400,MASQ2!O45,'Étape 1 - à remplir'!$G$31:$G$400,"animaux"),SUMIFS('Étape 1 - à remplir'!$F$31:$F$400,'Étape 1 - à remplir'!$E$31:$E$400,MASQ2!O45,'Étape 1 - à remplir'!$N$31:$N$400,X$3))))))=0,NA(),IF(X$2="Catégorie",IF(X$3="Toutes",SUMIFS('Étape 1 - à remplir'!$F$31:$F$400,'Étape 1 - à remplir'!$E$31:$E$400,MASQ2!O45,'Étape 1 - à remplir'!$G$31:$G$400,"animaux"),SUMIFS('Étape 1 - à remplir'!$F$31:$F$400,'Étape 1 - à remplir'!$E$31:$E$400,MASQ2!O45,'Étape 1 - à remplir'!$C$31:$C$400,X$3)),IF(X$2="Âge",IF(X$3="Tous",SUMIFS('Étape 1 - à remplir'!$F$31:$F$400,'Étape 1 - à remplir'!$E$31:$E$400,MASQ2!O45,'Étape 1 - à remplir'!$G$31:$G$400,"animaux"),SUMIFS('Étape 1 - à remplir'!$F$31:$F$400,'Étape 1 - à remplir'!$E$31:$E$400,MASQ2!O45,'Étape 1 - à remplir'!$P$31:$P$400,X$3)),IF(X$2="Atelier",IF(X$3="Tous",SUMIFS('Étape 1 - à remplir'!$F$31:$F$400,'Étape 1 - à remplir'!$E$31:$E$400,MASQ2!O45,'Étape 1 - à remplir'!$G$31:$G$400,"animaux"),SUMIFS('Étape 1 - à remplir'!$F$31:$F$400,'Étape 1 - à remplir'!$E$31:$E$400,MASQ2!O45,'Étape 1 - à remplir'!$O$31:$O$400,X$3)),IF(X$2="Espèce",IF(X$3="Toutes",SUMIFS('Étape 1 - à remplir'!$F$31:$F$400,'Étape 1 - à remplir'!$E$31:$E$400,MASQ2!O45,'Étape 1 - à remplir'!$G$31:$G$400,"animaux"),SUMIFS('Étape 1 - à remplir'!$F$31:$F$400,'Étape 1 - à remplir'!$E$31:$E$400,MASQ2!O45,'Étape 1 - à remplir'!$N$31:$N$400,X$3)))))))</f>
        <v>#N/A</v>
      </c>
      <c r="Q45" s="63">
        <f t="shared" si="62"/>
        <v>0</v>
      </c>
      <c r="R45" t="str">
        <f>Données_ATB!BM44</f>
        <v>Ampicilline</v>
      </c>
      <c r="S45" t="str">
        <f>Données_ATB!BN44</f>
        <v/>
      </c>
      <c r="T45" s="63" t="str">
        <f>Données_ATB!BO44</f>
        <v/>
      </c>
      <c r="U45" s="42" t="str">
        <f>Données_ATB!BQ44</f>
        <v>Penicillines</v>
      </c>
      <c r="V45" t="str">
        <f>Données_ATB!BR44</f>
        <v/>
      </c>
      <c r="W45" s="63" t="str">
        <f>Données_ATB!BS44</f>
        <v/>
      </c>
      <c r="Z45" s="42">
        <v>42</v>
      </c>
      <c r="AA45" t="e">
        <f t="shared" si="32"/>
        <v>#N/A</v>
      </c>
      <c r="AB45" s="63" t="e">
        <f t="shared" si="33"/>
        <v>#N/A</v>
      </c>
      <c r="AD45" s="194" t="str">
        <f>IF(AF45="Colistine","x",IF(INDEX(Données_ATB!CA$3:CB$63,MATCH(AF45,Données_ATB!CA$3:CA$63,0),2)="Fluoroquinolones","x",IF(INDEX(Données_ATB!CA$3:CB$63,MATCH(AF45,Données_ATB!CA$3:CA$63,0),2)="Cephalosporines 3&amp;4G","x","")))</f>
        <v/>
      </c>
      <c r="AE45" s="219" t="str">
        <f>IFERROR(IF(AG45=0,"",COUNTIF(AG$4:AG$64,"&gt;"&amp;AG45)+COUNTIF(AG$4:AG45,AG45)),"")</f>
        <v/>
      </c>
      <c r="AF45" s="42" t="str">
        <f>Données_ATB!CA44</f>
        <v>Spiramycine</v>
      </c>
      <c r="AG45" s="63" t="e">
        <f t="shared" si="34"/>
        <v>#N/A</v>
      </c>
      <c r="AH45" s="42">
        <v>42</v>
      </c>
      <c r="AI45" t="e">
        <f t="shared" si="35"/>
        <v>#N/A</v>
      </c>
      <c r="AJ45" s="63" t="e">
        <f t="shared" si="36"/>
        <v>#N/A</v>
      </c>
      <c r="AT45" s="109" t="str">
        <f>AV33</f>
        <v/>
      </c>
      <c r="AU45" s="118" t="str">
        <f>IFERROR(SUMIFS('Étape 1 - à remplir'!$F$31:$F$400,'Étape 1 - à remplir'!$C$31:$C$400,IF($AT45="Croissance","*Croissance*",IF($AT45="Veau","*Veau*",IF($AT45="Adulte","*Adulte*",IF($AT45="Agneau","*Agneau*",IF($AT45="Chevreau","*Chevreau*",IF($AT45="Démarrage","*Démarrage*",IF($AT45="Engraissement","*Engraissement*",IF($AT45="Porcelet","*Porcelet*",IF($AT45="Post_sevrage","*Post_sevrage*",IF($AT45="Poulain","*Poulain*",IF($AT45="Poussin","*Poussin*",""))))))))))),'Étape 1 - à remplir'!$G$31:$G$400,"animaux",'Étape 1 - à remplir'!$M$31:$M$400,MASQ2!AU$43)/SUMIFS('Étape 1 - à remplir'!$F$19:$F$28,'Étape 1 - à remplir'!$E$19:$E$28,MASQ2!$AT45,'Étape 1 - à remplir'!$G$19:$G$28,"animaux"),"")</f>
        <v/>
      </c>
      <c r="AV45" t="str">
        <f>IFERROR(SUMIFS('Étape 1 - à remplir'!$F$31:$F$400,'Étape 1 - à remplir'!$C$31:$C$400,IF($AT45="Croissance","*Croissance*",IF($AT45="Veau","*Veau*",IF($AT45="Adulte","*Adulte*",IF($AT45="Agneau","*Agneau*",IF($AT45="Chevreau","*Chevreau*",IF($AT45="Démarrage","*Démarrage*",IF($AT45="Engraissement","*Engraissement*",IF($AT45="Porcelet","*Porcelet*",IF($AT45="Post_sevrage","*Post_sevrage*",IF($AT45="Poulain","*Poulain*",IF($AT45="Poussin","*Poussin*",""))))))))))),'Étape 1 - à remplir'!$G$31:$G$400,"animaux",'Étape 1 - à remplir'!$M$31:$M$400,MASQ2!AV$43)/SUMIFS('Étape 1 - à remplir'!$F$19:$F$28,'Étape 1 - à remplir'!$E$19:$E$28,MASQ2!$AT45,'Étape 1 - à remplir'!$G$19:$G$28,"animaux"),"")</f>
        <v/>
      </c>
      <c r="AW45" t="str">
        <f>IFERROR(SUMIFS('Étape 1 - à remplir'!$F$31:$F$400,'Étape 1 - à remplir'!$C$31:$C$400,IF($AT45="Croissance","*Croissance*",IF($AT45="Veau","*Veau*",IF($AT45="Adulte","*Adulte*",IF($AT45="Agneau","*Agneau*",IF($AT45="Chevreau","*Chevreau*",IF($AT45="Démarrage","*Démarrage*",IF($AT45="Engraissement","*Engraissement*",IF($AT45="Porcelet","*Porcelet*",IF($AT45="Post_sevrage","*Post_sevrage*",IF($AT45="Poulain","*Poulain*",IF($AT45="Poussin","*Poussin*",""))))))))))),'Étape 1 - à remplir'!$G$31:$G$400,"animaux",'Étape 1 - à remplir'!$M$31:$M$400,MASQ2!AW$43)/SUMIFS('Étape 1 - à remplir'!$F$19:$F$28,'Étape 1 - à remplir'!$E$19:$E$28,MASQ2!$AT45,'Étape 1 - à remplir'!$G$19:$G$28,"animaux"),"")</f>
        <v/>
      </c>
      <c r="AX45" t="str">
        <f>IFERROR(SUMIFS('Étape 1 - à remplir'!$F$31:$F$400,'Étape 1 - à remplir'!$C$31:$C$400,IF($AT45="Croissance","*Croissance*",IF($AT45="Veau","*Veau*",IF($AT45="Adulte","*Adulte*",IF($AT45="Agneau","*Agneau*",IF($AT45="Chevreau","*Chevreau*",IF($AT45="Démarrage","*Démarrage*",IF($AT45="Engraissement","*Engraissement*",IF($AT45="Porcelet","*Porcelet*",IF($AT45="Post_sevrage","*Post_sevrage*",IF($AT45="Poulain","*Poulain*",IF($AT45="Poussin","*Poussin*",""))))))))))),'Étape 1 - à remplir'!$G$31:$G$400,"animaux",'Étape 1 - à remplir'!$M$31:$M$400,MASQ2!AX$43)/SUMIFS('Étape 1 - à remplir'!$F$19:$F$28,'Étape 1 - à remplir'!$E$19:$E$28,MASQ2!$AT45,'Étape 1 - à remplir'!$G$19:$G$28,"animaux"),"")</f>
        <v/>
      </c>
      <c r="AY45" t="str">
        <f>IFERROR(SUMIFS('Étape 1 - à remplir'!$F$31:$F$400,'Étape 1 - à remplir'!$C$31:$C$400,IF($AT45="Croissance","*Croissance*",IF($AT45="Veau","*Veau*",IF($AT45="Adulte","*Adulte*",IF($AT45="Agneau","*Agneau*",IF($AT45="Chevreau","*Chevreau*",IF($AT45="Démarrage","*Démarrage*",IF($AT45="Engraissement","*Engraissement*",IF($AT45="Porcelet","*Porcelet*",IF($AT45="Post_sevrage","*Post_sevrage*",IF($AT45="Poulain","*Poulain*",IF($AT45="Poussin","*Poussin*",""))))))))))),'Étape 1 - à remplir'!$G$31:$G$400,"animaux",'Étape 1 - à remplir'!$M$31:$M$400,MASQ2!AY$43)/SUMIFS('Étape 1 - à remplir'!$F$19:$F$28,'Étape 1 - à remplir'!$E$19:$E$28,MASQ2!$AT45,'Étape 1 - à remplir'!$G$19:$G$28,"animaux"),"")</f>
        <v/>
      </c>
      <c r="AZ45" t="str">
        <f>IFERROR(SUMIFS('Étape 1 - à remplir'!$F$31:$F$400,'Étape 1 - à remplir'!$C$31:$C$400,IF($AT45="Croissance","*Croissance*",IF($AT45="Veau","*Veau*",IF($AT45="Adulte","*Adulte*",IF($AT45="Agneau","*Agneau*",IF($AT45="Chevreau","*Chevreau*",IF($AT45="Démarrage","*Démarrage*",IF($AT45="Engraissement","*Engraissement*",IF($AT45="Porcelet","*Porcelet*",IF($AT45="Post_sevrage","*Post_sevrage*",IF($AT45="Poulain","*Poulain*",IF($AT45="Poussin","*Poussin*",""))))))))))),'Étape 1 - à remplir'!$G$31:$G$400,"animaux",'Étape 1 - à remplir'!$M$31:$M$400,MASQ2!AZ$43)/SUMIFS('Étape 1 - à remplir'!$F$19:$F$28,'Étape 1 - à remplir'!$E$19:$E$28,MASQ2!$AT45,'Étape 1 - à remplir'!$G$19:$G$28,"animaux"),"")</f>
        <v/>
      </c>
      <c r="BA45" t="str">
        <f>IFERROR(SUMIFS('Étape 1 - à remplir'!$F$31:$F$400,'Étape 1 - à remplir'!$C$31:$C$400,IF($AT45="Croissance","*Croissance*",IF($AT45="Veau","*Veau*",IF($AT45="Adulte","*Adulte*",IF($AT45="Agneau","*Agneau*",IF($AT45="Chevreau","*Chevreau*",IF($AT45="Démarrage","*Démarrage*",IF($AT45="Engraissement","*Engraissement*",IF($AT45="Porcelet","*Porcelet*",IF($AT45="Post_sevrage","*Post_sevrage*",IF($AT45="Poulain","*Poulain*",IF($AT45="Poussin","*Poussin*",""))))))))))),'Étape 1 - à remplir'!$G$31:$G$400,"animaux",'Étape 1 - à remplir'!$M$31:$M$400,MASQ2!BA$43)/SUMIFS('Étape 1 - à remplir'!$F$19:$F$28,'Étape 1 - à remplir'!$E$19:$E$28,MASQ2!$AT45,'Étape 1 - à remplir'!$G$19:$G$28,"animaux"),"")</f>
        <v/>
      </c>
      <c r="BB45" t="str">
        <f>IFERROR(SUMIFS('Étape 1 - à remplir'!$F$31:$F$400,'Étape 1 - à remplir'!$C$31:$C$400,IF($AT45="Croissance","*Croissance*",IF($AT45="Veau","*Veau*",IF($AT45="Adulte","*Adulte*",IF($AT45="Agneau","*Agneau*",IF($AT45="Chevreau","*Chevreau*",IF($AT45="Démarrage","*Démarrage*",IF($AT45="Engraissement","*Engraissement*",IF($AT45="Porcelet","*Porcelet*",IF($AT45="Post_sevrage","*Post_sevrage*",IF($AT45="Poulain","*Poulain*",IF($AT45="Poussin","*Poussin*",""))))))))))),'Étape 1 - à remplir'!$G$31:$G$400,"animaux",'Étape 1 - à remplir'!$M$31:$M$400,MASQ2!BB$43)/SUMIFS('Étape 1 - à remplir'!$F$19:$F$28,'Étape 1 - à remplir'!$E$19:$E$28,MASQ2!$AT45,'Étape 1 - à remplir'!$G$19:$G$28,"animaux"),"")</f>
        <v/>
      </c>
      <c r="BC45" t="str">
        <f>IFERROR(SUMIFS('Étape 1 - à remplir'!$F$31:$F$400,'Étape 1 - à remplir'!$C$31:$C$400,IF($AT45="Croissance","*Croissance*",IF($AT45="Veau","*Veau*",IF($AT45="Adulte","*Adulte*",IF($AT45="Agneau","*Agneau*",IF($AT45="Chevreau","*Chevreau*",IF($AT45="Démarrage","*Démarrage*",IF($AT45="Engraissement","*Engraissement*",IF($AT45="Porcelet","*Porcelet*",IF($AT45="Post_sevrage","*Post_sevrage*",IF($AT45="Poulain","*Poulain*",IF($AT45="Poussin","*Poussin*",""))))))))))),'Étape 1 - à remplir'!$G$31:$G$400,"animaux",'Étape 1 - à remplir'!$M$31:$M$400,MASQ2!BC$43)/SUMIFS('Étape 1 - à remplir'!$F$19:$F$28,'Étape 1 - à remplir'!$E$19:$E$28,MASQ2!$AT45,'Étape 1 - à remplir'!$G$19:$G$28,"animaux"),"")</f>
        <v/>
      </c>
      <c r="BD45" t="str">
        <f>IFERROR(SUMIFS('Étape 1 - à remplir'!$F$31:$F$400,'Étape 1 - à remplir'!$C$31:$C$400,IF($AT45="Croissance","*Croissance*",IF($AT45="Veau","*Veau*",IF($AT45="Adulte","*Adulte*",IF($AT45="Agneau","*Agneau*",IF($AT45="Chevreau","*Chevreau*",IF($AT45="Démarrage","*Démarrage*",IF($AT45="Engraissement","*Engraissement*",IF($AT45="Porcelet","*Porcelet*",IF($AT45="Post_sevrage","*Post_sevrage*",IF($AT45="Poulain","*Poulain*",IF($AT45="Poussin","*Poussin*",""))))))))))),'Étape 1 - à remplir'!$G$31:$G$400,"animaux",'Étape 1 - à remplir'!$M$31:$M$400,MASQ2!BD$43)/SUMIFS('Étape 1 - à remplir'!$F$19:$F$28,'Étape 1 - à remplir'!$E$19:$E$28,MASQ2!$AT45,'Étape 1 - à remplir'!$G$19:$G$28,"animaux"),"")</f>
        <v/>
      </c>
      <c r="BE45" t="str">
        <f>IFERROR(SUMIFS('Étape 1 - à remplir'!$F$31:$F$400,'Étape 1 - à remplir'!$C$31:$C$400,IF($AT45="Croissance","*Croissance*",IF($AT45="Veau","*Veau*",IF($AT45="Adulte","*Adulte*",IF($AT45="Agneau","*Agneau*",IF($AT45="Chevreau","*Chevreau*",IF($AT45="Démarrage","*Démarrage*",IF($AT45="Engraissement","*Engraissement*",IF($AT45="Porcelet","*Porcelet*",IF($AT45="Post_sevrage","*Post_sevrage*",IF($AT45="Poulain","*Poulain*",IF($AT45="Poussin","*Poussin*",""))))))))))),'Étape 1 - à remplir'!$G$31:$G$400,"animaux",'Étape 1 - à remplir'!$M$31:$M$400,MASQ2!BE$43)/SUMIFS('Étape 1 - à remplir'!$F$19:$F$28,'Étape 1 - à remplir'!$E$19:$E$28,MASQ2!$AT45,'Étape 1 - à remplir'!$G$19:$G$28,"animaux"),"")</f>
        <v/>
      </c>
      <c r="BF45" s="76" t="str">
        <f>IFERROR(SUMIFS('Étape 1 - à remplir'!$F$31:$F$400,'Étape 1 - à remplir'!$C$31:$C$400,IF($AT45="Croissance","*Croissance*",IF($AT45="Veau","*Veau*",IF($AT45="Adulte","*Adulte*",IF($AT45="Agneau","*Agneau*",IF($AT45="Chevreau","*Chevreau*",IF($AT45="Démarrage","*Démarrage*",IF($AT45="Engraissement","*Engraissement*",IF($AT45="Porcelet","*Porcelet*",IF($AT45="Post_sevrage","*Post_sevrage*",IF($AT45="Poulain","*Poulain*",IF($AT45="Poussin","*Poussin*",""))))))))))),'Étape 1 - à remplir'!$G$31:$G$400,"animaux",'Étape 1 - à remplir'!$M$31:$M$400,MASQ2!BF$43)/SUMIFS('Étape 1 - à remplir'!$F$19:$F$28,'Étape 1 - à remplir'!$E$19:$E$28,MASQ2!$AT45,'Étape 1 - à remplir'!$G$19:$G$28,"animaux"),"")</f>
        <v/>
      </c>
      <c r="BT45" s="194" t="str">
        <f t="shared" ca="1" si="5"/>
        <v/>
      </c>
      <c r="BU45" s="219" t="str">
        <f>IFERROR(IF(BX45=0,"",COUNTIF(BX$4:BX$600,"&gt;"&amp;BX45)+COUNTIF(BX$4:BX45,BX45)),"")</f>
        <v/>
      </c>
      <c r="BV45" s="42" t="str">
        <f t="shared" si="6"/>
        <v>AMPINA</v>
      </c>
      <c r="BW45" t="e">
        <f>IF(IF(CE$2="Catégorie",IF(CE$3="Toutes",SUMIFS('Étape 1 - à remplir'!$F$31:$F$400,'Étape 1 - à remplir'!$E$31:$E$400,MASQ2!BV45,'Étape 1 - à remplir'!$G$31:$G$400,"lots"),SUMIFS('Étape 1 - à remplir'!$F$31:$F$400,'Étape 1 - à remplir'!$E$31:$E$400,MASQ2!BV45,'Étape 1 - à remplir'!$C$31:$C$400,CE$3)),IF(CE$2="Âge",IF(CE$3="Tous",SUMIFS('Étape 1 - à remplir'!$F$31:$F$400,'Étape 1 - à remplir'!$E$31:$E$400,MASQ2!BV45,'Étape 1 - à remplir'!$G$31:$G$400,"lots"),SUMIFS('Étape 1 - à remplir'!$F$31:$F$400,'Étape 1 - à remplir'!$E$31:$E$400,MASQ2!BV45,'Étape 1 - à remplir'!$P$31:$P$400,CE$3,'Étape 1 - à remplir'!$G$31:$G$400,"lots")),IF(CE$2="Atelier",IF(CE$3="Tous",SUMIFS('Étape 1 - à remplir'!$F$31:$F$400,'Étape 1 - à remplir'!$E$31:$E$400,MASQ2!BV45,'Étape 1 - à remplir'!$G$31:$G$400,"lots"),SUMIFS('Étape 1 - à remplir'!$F$31:$F$400,'Étape 1 - à remplir'!$E$31:$E$400,MASQ2!BV45,'Étape 1 - à remplir'!$O$31:$O$400,CE$3,'Étape 1 - à remplir'!$G$31:$G$400,"lots")),IF(CE$2="Espèce",IF(CE$3="Toutes",SUMIFS('Étape 1 - à remplir'!$F$31:$F$400,'Étape 1 - à remplir'!$E$31:$E$400,MASQ2!BV45,'Étape 1 - à remplir'!$G$31:$G$400,"lots"),SUMIFS('Étape 1 - à remplir'!$F$31:$F$400,'Étape 1 - à remplir'!$E$31:$E$400,MASQ2!BV45,'Étape 1 - à remplir'!$N$31:$N$400,CE$3,'Étape 1 - à remplir'!$G$31:$G$400,"lots"))))))=0,NA(),IF(CE$2="Catégorie",IF(CE$3="Toutes",SUMIFS('Étape 1 - à remplir'!$F$31:$F$400,'Étape 1 - à remplir'!$E$31:$E$400,MASQ2!BV45,'Étape 1 - à remplir'!$G$31:$G$400,"lots"),SUMIFS('Étape 1 - à remplir'!$F$31:$F$400,'Étape 1 - à remplir'!$E$31:$E$400,MASQ2!BV45,'Étape 1 - à remplir'!$C$31:$C$400,CE$3)),IF(CE$2="Âge",IF(CE$3="Tous",SUMIFS('Étape 1 - à remplir'!$F$31:$F$400,'Étape 1 - à remplir'!$E$31:$E$400,MASQ2!BV45,'Étape 1 - à remplir'!$G$31:$G$400,"lots"),SUMIFS('Étape 1 - à remplir'!$F$31:$F$400,'Étape 1 - à remplir'!$E$31:$E$400,MASQ2!BV45,'Étape 1 - à remplir'!$P$31:$P$400,CE$3,'Étape 1 - à remplir'!$G$31:$G$400,"lots")),IF(CE$2="Atelier",IF(CE$3="Tous",SUMIFS('Étape 1 - à remplir'!$F$31:$F$400,'Étape 1 - à remplir'!$E$31:$E$400,MASQ2!BV45,'Étape 1 - à remplir'!$G$31:$G$400,"lots"),SUMIFS('Étape 1 - à remplir'!$F$31:$F$400,'Étape 1 - à remplir'!$E$31:$E$400,MASQ2!BV45,'Étape 1 - à remplir'!$O$31:$O$400,CE$3,'Étape 1 - à remplir'!$G$31:$G$400,"lots")),IF(CE$2="Espèce",IF(CE$3="Toutes",SUMIFS('Étape 1 - à remplir'!$F$31:$F$400,'Étape 1 - à remplir'!$E$31:$E$400,MASQ2!BV45,'Étape 1 - à remplir'!$G$31:$G$400,"lots"),SUMIFS('Étape 1 - à remplir'!$F$31:$F$400,'Étape 1 - à remplir'!$E$31:$E$400,MASQ2!BV45,'Étape 1 - à remplir'!$N$31:$N$400,CE$3,'Étape 1 - à remplir'!$G$31:$G$400,"lots")))))))</f>
        <v>#N/A</v>
      </c>
      <c r="BX45">
        <f t="shared" si="42"/>
        <v>0</v>
      </c>
      <c r="BY45" t="str">
        <f t="shared" si="7"/>
        <v>Ampicilline</v>
      </c>
      <c r="BZ45" t="str">
        <f t="shared" si="8"/>
        <v/>
      </c>
      <c r="CA45" t="str">
        <f t="shared" si="9"/>
        <v/>
      </c>
      <c r="CB45" t="str">
        <f t="shared" si="10"/>
        <v>Penicillines</v>
      </c>
      <c r="CC45" t="str">
        <f t="shared" si="11"/>
        <v/>
      </c>
      <c r="CD45" s="63" t="str">
        <f t="shared" si="12"/>
        <v/>
      </c>
      <c r="CG45" s="42">
        <v>42</v>
      </c>
      <c r="CH45" s="42" t="e">
        <f t="shared" si="80"/>
        <v>#N/A</v>
      </c>
      <c r="CI45" s="63" t="e">
        <f t="shared" si="81"/>
        <v>#N/A</v>
      </c>
      <c r="CK45" s="194" t="str">
        <f t="shared" si="118"/>
        <v/>
      </c>
      <c r="CL45" s="226" t="str">
        <f>IFERROR(IF(CN45=0,"",COUNTIF(CN$4:CN$64,"&gt;"&amp;CN45)+COUNTIF(CN$4:CN45,CN45)),"")</f>
        <v/>
      </c>
      <c r="CM45" t="str">
        <f t="shared" si="119"/>
        <v>Spiramycine</v>
      </c>
      <c r="CN45" s="76" t="e">
        <f t="shared" si="45"/>
        <v>#N/A</v>
      </c>
      <c r="CO45">
        <v>42</v>
      </c>
      <c r="CP45" t="e">
        <f t="shared" si="46"/>
        <v>#N/A</v>
      </c>
      <c r="CQ45" s="63" t="e">
        <f t="shared" si="47"/>
        <v>#N/A</v>
      </c>
      <c r="DA45" s="118" t="str">
        <f>DC33</f>
        <v/>
      </c>
      <c r="DB45" s="117" t="str">
        <f>IFERROR(SUMIFS('Étape 1 - à remplir'!$F$31:$F$400,'Étape 1 - à remplir'!$C$31:$C$400,IF($DA45="Croissance","*Croissance*",IF($DA45="Veau","*Veau*",IF($DA45="Adulte","*Adulte*",IF($DA45="Agneau","*Agneau*",IF($DA45="Chevreau","*Chevreau*",IF($DA45="Démarrage","*Démarrage*",IF($DA45="Engraissement","*Engraissement*",IF($DA45="Porcelet","*Porcelet*",IF($DA45="Post_sevrage","*Post_sevrage*",IF($DA45="Poulain","*Poulain*",IF($DA45="Poussin","*Poussin*",""))))))))))),'Étape 1 - à remplir'!$G$31:$G$400,"lots",'Étape 1 - à remplir'!$M$31:$M$400,MASQ2!DB$43)/SUMIFS('Étape 1 - à remplir'!$F$19:$F$28,'Étape 1 - à remplir'!$E$19:$E$28,MASQ2!$DA45,'Étape 1 - à remplir'!$G$19:$G$28,"lots"),"")</f>
        <v/>
      </c>
      <c r="DC45" s="117" t="str">
        <f>IFERROR(SUMIFS('Étape 1 - à remplir'!$F$31:$F$400,'Étape 1 - à remplir'!$C$31:$C$400,IF($DA45="Croissance","*Croissance*",IF($DA45="Veau","*Veau*",IF($DA45="Adulte","*Adulte*",IF($DA45="Agneau","*Agneau*",IF($DA45="Chevreau","*Chevreau*",IF($DA45="Démarrage","*Démarrage*",IF($DA45="Engraissement","*Engraissement*",IF($DA45="Porcelet","*Porcelet*",IF($DA45="Post_sevrage","*Post_sevrage*",IF($DA45="Poulain","*Poulain*",IF($DA45="Poussin","*Poussin*",""))))))))))),'Étape 1 - à remplir'!$G$31:$G$400,"lots",'Étape 1 - à remplir'!$M$31:$M$400,MASQ2!DC$43)/SUMIFS('Étape 1 - à remplir'!$F$19:$F$28,'Étape 1 - à remplir'!$E$19:$E$28,MASQ2!$DA45,'Étape 1 - à remplir'!$G$19:$G$28,"lots"),"")</f>
        <v/>
      </c>
      <c r="DD45" s="117" t="str">
        <f>IFERROR(SUMIFS('Étape 1 - à remplir'!$F$31:$F$400,'Étape 1 - à remplir'!$C$31:$C$400,IF($DA45="Croissance","*Croissance*",IF($DA45="Veau","*Veau*",IF($DA45="Adulte","*Adulte*",IF($DA45="Agneau","*Agneau*",IF($DA45="Chevreau","*Chevreau*",IF($DA45="Démarrage","*Démarrage*",IF($DA45="Engraissement","*Engraissement*",IF($DA45="Porcelet","*Porcelet*",IF($DA45="Post_sevrage","*Post_sevrage*",IF($DA45="Poulain","*Poulain*",IF($DA45="Poussin","*Poussin*",""))))))))))),'Étape 1 - à remplir'!$G$31:$G$400,"lots",'Étape 1 - à remplir'!$M$31:$M$400,MASQ2!DD$43)/SUMIFS('Étape 1 - à remplir'!$F$19:$F$28,'Étape 1 - à remplir'!$E$19:$E$28,MASQ2!$DA45,'Étape 1 - à remplir'!$G$19:$G$28,"lots"),"")</f>
        <v/>
      </c>
      <c r="DE45" s="117" t="str">
        <f>IFERROR(SUMIFS('Étape 1 - à remplir'!$F$31:$F$400,'Étape 1 - à remplir'!$C$31:$C$400,IF($DA45="Croissance","*Croissance*",IF($DA45="Veau","*Veau*",IF($DA45="Adulte","*Adulte*",IF($DA45="Agneau","*Agneau*",IF($DA45="Chevreau","*Chevreau*",IF($DA45="Démarrage","*Démarrage*",IF($DA45="Engraissement","*Engraissement*",IF($DA45="Porcelet","*Porcelet*",IF($DA45="Post_sevrage","*Post_sevrage*",IF($DA45="Poulain","*Poulain*",IF($DA45="Poussin","*Poussin*",""))))))))))),'Étape 1 - à remplir'!$G$31:$G$400,"lots",'Étape 1 - à remplir'!$M$31:$M$400,MASQ2!DE$43)/SUMIFS('Étape 1 - à remplir'!$F$19:$F$28,'Étape 1 - à remplir'!$E$19:$E$28,MASQ2!$DA45,'Étape 1 - à remplir'!$G$19:$G$28,"lots"),"")</f>
        <v/>
      </c>
      <c r="DF45" s="117" t="str">
        <f>IFERROR(SUMIFS('Étape 1 - à remplir'!$F$31:$F$400,'Étape 1 - à remplir'!$C$31:$C$400,IF($DA45="Croissance","*Croissance*",IF($DA45="Veau","*Veau*",IF($DA45="Adulte","*Adulte*",IF($DA45="Agneau","*Agneau*",IF($DA45="Chevreau","*Chevreau*",IF($DA45="Démarrage","*Démarrage*",IF($DA45="Engraissement","*Engraissement*",IF($DA45="Porcelet","*Porcelet*",IF($DA45="Post_sevrage","*Post_sevrage*",IF($DA45="Poulain","*Poulain*",IF($DA45="Poussin","*Poussin*",""))))))))))),'Étape 1 - à remplir'!$G$31:$G$400,"lots",'Étape 1 - à remplir'!$M$31:$M$400,MASQ2!DF$43)/SUMIFS('Étape 1 - à remplir'!$F$19:$F$28,'Étape 1 - à remplir'!$E$19:$E$28,MASQ2!$DA45,'Étape 1 - à remplir'!$G$19:$G$28,"lots"),"")</f>
        <v/>
      </c>
      <c r="DG45" s="117" t="str">
        <f>IFERROR(SUMIFS('Étape 1 - à remplir'!$F$31:$F$400,'Étape 1 - à remplir'!$C$31:$C$400,IF($DA45="Croissance","*Croissance*",IF($DA45="Veau","*Veau*",IF($DA45="Adulte","*Adulte*",IF($DA45="Agneau","*Agneau*",IF($DA45="Chevreau","*Chevreau*",IF($DA45="Démarrage","*Démarrage*",IF($DA45="Engraissement","*Engraissement*",IF($DA45="Porcelet","*Porcelet*",IF($DA45="Post_sevrage","*Post_sevrage*",IF($DA45="Poulain","*Poulain*",IF($DA45="Poussin","*Poussin*",""))))))))))),'Étape 1 - à remplir'!$G$31:$G$400,"lots",'Étape 1 - à remplir'!$M$31:$M$400,MASQ2!DG$43)/SUMIFS('Étape 1 - à remplir'!$F$19:$F$28,'Étape 1 - à remplir'!$E$19:$E$28,MASQ2!$DA45,'Étape 1 - à remplir'!$G$19:$G$28,"lots"),"")</f>
        <v/>
      </c>
      <c r="DH45" s="117" t="str">
        <f>IFERROR(SUMIFS('Étape 1 - à remplir'!$F$31:$F$400,'Étape 1 - à remplir'!$C$31:$C$400,IF($DA45="Croissance","*Croissance*",IF($DA45="Veau","*Veau*",IF($DA45="Adulte","*Adulte*",IF($DA45="Agneau","*Agneau*",IF($DA45="Chevreau","*Chevreau*",IF($DA45="Démarrage","*Démarrage*",IF($DA45="Engraissement","*Engraissement*",IF($DA45="Porcelet","*Porcelet*",IF($DA45="Post_sevrage","*Post_sevrage*",IF($DA45="Poulain","*Poulain*",IF($DA45="Poussin","*Poussin*",""))))))))))),'Étape 1 - à remplir'!$G$31:$G$400,"lots",'Étape 1 - à remplir'!$M$31:$M$400,MASQ2!DH$43)/SUMIFS('Étape 1 - à remplir'!$F$19:$F$28,'Étape 1 - à remplir'!$E$19:$E$28,MASQ2!$DA45,'Étape 1 - à remplir'!$G$19:$G$28,"lots"),"")</f>
        <v/>
      </c>
      <c r="DI45" s="117" t="str">
        <f>IFERROR(SUMIFS('Étape 1 - à remplir'!$F$31:$F$400,'Étape 1 - à remplir'!$C$31:$C$400,IF($DA45="Croissance","*Croissance*",IF($DA45="Veau","*Veau*",IF($DA45="Adulte","*Adulte*",IF($DA45="Agneau","*Agneau*",IF($DA45="Chevreau","*Chevreau*",IF($DA45="Démarrage","*Démarrage*",IF($DA45="Engraissement","*Engraissement*",IF($DA45="Porcelet","*Porcelet*",IF($DA45="Post_sevrage","*Post_sevrage*",IF($DA45="Poulain","*Poulain*",IF($DA45="Poussin","*Poussin*",""))))))))))),'Étape 1 - à remplir'!$G$31:$G$400,"lots",'Étape 1 - à remplir'!$M$31:$M$400,MASQ2!DI$43)/SUMIFS('Étape 1 - à remplir'!$F$19:$F$28,'Étape 1 - à remplir'!$E$19:$E$28,MASQ2!$DA45,'Étape 1 - à remplir'!$G$19:$G$28,"lots"),"")</f>
        <v/>
      </c>
      <c r="DJ45" s="117" t="str">
        <f>IFERROR(SUMIFS('Étape 1 - à remplir'!$F$31:$F$400,'Étape 1 - à remplir'!$C$31:$C$400,IF($DA45="Croissance","*Croissance*",IF($DA45="Veau","*Veau*",IF($DA45="Adulte","*Adulte*",IF($DA45="Agneau","*Agneau*",IF($DA45="Chevreau","*Chevreau*",IF($DA45="Démarrage","*Démarrage*",IF($DA45="Engraissement","*Engraissement*",IF($DA45="Porcelet","*Porcelet*",IF($DA45="Post_sevrage","*Post_sevrage*",IF($DA45="Poulain","*Poulain*",IF($DA45="Poussin","*Poussin*",""))))))))))),'Étape 1 - à remplir'!$G$31:$G$400,"lots",'Étape 1 - à remplir'!$M$31:$M$400,MASQ2!DJ$43)/SUMIFS('Étape 1 - à remplir'!$F$19:$F$28,'Étape 1 - à remplir'!$E$19:$E$28,MASQ2!$DA45,'Étape 1 - à remplir'!$G$19:$G$28,"lots"),"")</f>
        <v/>
      </c>
      <c r="DK45" s="117" t="str">
        <f>IFERROR(SUMIFS('Étape 1 - à remplir'!$F$31:$F$400,'Étape 1 - à remplir'!$C$31:$C$400,IF($DA45="Croissance","*Croissance*",IF($DA45="Veau","*Veau*",IF($DA45="Adulte","*Adulte*",IF($DA45="Agneau","*Agneau*",IF($DA45="Chevreau","*Chevreau*",IF($DA45="Démarrage","*Démarrage*",IF($DA45="Engraissement","*Engraissement*",IF($DA45="Porcelet","*Porcelet*",IF($DA45="Post_sevrage","*Post_sevrage*",IF($DA45="Poulain","*Poulain*",IF($DA45="Poussin","*Poussin*",""))))))))))),'Étape 1 - à remplir'!$G$31:$G$400,"lots",'Étape 1 - à remplir'!$M$31:$M$400,MASQ2!DK$43)/SUMIFS('Étape 1 - à remplir'!$F$19:$F$28,'Étape 1 - à remplir'!$E$19:$E$28,MASQ2!$DA45,'Étape 1 - à remplir'!$G$19:$G$28,"lots"),"")</f>
        <v/>
      </c>
      <c r="DL45" s="117" t="str">
        <f>IFERROR(SUMIFS('Étape 1 - à remplir'!$F$31:$F$400,'Étape 1 - à remplir'!$C$31:$C$400,IF($DA45="Croissance","*Croissance*",IF($DA45="Veau","*Veau*",IF($DA45="Adulte","*Adulte*",IF($DA45="Agneau","*Agneau*",IF($DA45="Chevreau","*Chevreau*",IF($DA45="Démarrage","*Démarrage*",IF($DA45="Engraissement","*Engraissement*",IF($DA45="Porcelet","*Porcelet*",IF($DA45="Post_sevrage","*Post_sevrage*",IF($DA45="Poulain","*Poulain*",IF($DA45="Poussin","*Poussin*",""))))))))))),'Étape 1 - à remplir'!$G$31:$G$400,"lots",'Étape 1 - à remplir'!$M$31:$M$400,MASQ2!DL$43)/SUMIFS('Étape 1 - à remplir'!$F$19:$F$28,'Étape 1 - à remplir'!$E$19:$E$28,MASQ2!$DA45,'Étape 1 - à remplir'!$G$19:$G$28,"lots"),"")</f>
        <v/>
      </c>
      <c r="DM45" s="108" t="str">
        <f>IFERROR(SUMIFS('Étape 1 - à remplir'!$F$31:$F$400,'Étape 1 - à remplir'!$C$31:$C$400,IF($DA45="Croissance","*Croissance*",IF($DA45="Veau","*Veau*",IF($DA45="Adulte","*Adulte*",IF($DA45="Agneau","*Agneau*",IF($DA45="Chevreau","*Chevreau*",IF($DA45="Démarrage","*Démarrage*",IF($DA45="Engraissement","*Engraissement*",IF($DA45="Porcelet","*Porcelet*",IF($DA45="Post_sevrage","*Post_sevrage*",IF($DA45="Poulain","*Poulain*",IF($DA45="Poussin","*Poussin*",""))))))))))),'Étape 1 - à remplir'!$G$31:$G$400,"lots",'Étape 1 - à remplir'!$M$31:$M$400,MASQ2!DM$43)/SUMIFS('Étape 1 - à remplir'!$F$19:$F$28,'Étape 1 - à remplir'!$E$19:$E$28,MASQ2!$DA45,'Étape 1 - à remplir'!$G$19:$G$28,"lots"),"")</f>
        <v/>
      </c>
      <c r="EA45" s="194" t="str">
        <f t="shared" ca="1" si="18"/>
        <v/>
      </c>
      <c r="EB45" s="226" t="str">
        <f>IFERROR(IF(ED45=0,"",COUNTIF(ED$4:ED$600,"&gt;"&amp;ED45)+COUNTIF(ED$4:ED45,ED45)),"")</f>
        <v/>
      </c>
      <c r="EC45" t="str">
        <f t="shared" si="19"/>
        <v>AMPINA</v>
      </c>
      <c r="ED45" t="e">
        <f>IF(IF(EL$2="Catégorie",IF(EL$3="Toutes",SUMIFS('Étape 1 - à remplir'!$F$31:$F$400,'Étape 1 - à remplir'!$E$31:$E$400,MASQ2!EC45,'Étape 1 - à remplir'!$G$31:$G$400,"kg"),SUMIFS('Étape 1 - à remplir'!$F$31:$F$400,'Étape 1 - à remplir'!$E$31:$E$400,MASQ2!EC45,'Étape 1 - à remplir'!$C$31:$C$400,EL$3)),IF(EL$2="Âge",IF(EL$3="Tous",SUMIFS('Étape 1 - à remplir'!$F$31:$F$400,'Étape 1 - à remplir'!$E$31:$E$400,MASQ2!EC45,'Étape 1 - à remplir'!$G$31:$G$400,"kg"),SUMIFS('Étape 1 - à remplir'!$F$31:$F$400,'Étape 1 - à remplir'!$E$31:$E$400,MASQ2!EC45,'Étape 1 - à remplir'!$P$31:$P$400,EL$3,'Étape 1 - à remplir'!$G$31:$G$400,"kg")),IF(EL$2="Atelier",IF(EL$3="Tous",SUMIFS('Étape 1 - à remplir'!$F$31:$F$400,'Étape 1 - à remplir'!$E$31:$E$400,MASQ2!EC45,'Étape 1 - à remplir'!$G$31:$G$400,"kg"),SUMIFS('Étape 1 - à remplir'!$F$31:$F$400,'Étape 1 - à remplir'!$E$31:$E$400,MASQ2!EC45,'Étape 1 - à remplir'!$O$31:$O$400,EL$3,'Étape 1 - à remplir'!$G$31:$G$400,"kg")),IF(EL$2="Espèce",IF(EL$3="Toutes",SUMIFS('Étape 1 - à remplir'!$F$31:$F$400,'Étape 1 - à remplir'!$E$31:$E$400,MASQ2!EC45,'Étape 1 - à remplir'!$G$31:$G$400,"kg"),SUMIFS('Étape 1 - à remplir'!$F$31:$F$400,'Étape 1 - à remplir'!$E$31:$E$400,MASQ2!EC45,'Étape 1 - à remplir'!$N$31:$N$400,EL$3,'Étape 1 - à remplir'!$G$31:$G$400,"kg"))))))=0,NA(),IF(EL$2="Catégorie",IF(EL$3="Toutes",SUMIFS('Étape 1 - à remplir'!$F$31:$F$400,'Étape 1 - à remplir'!$E$31:$E$400,MASQ2!EC45,'Étape 1 - à remplir'!$G$31:$G$400,"kg"),SUMIFS('Étape 1 - à remplir'!$F$31:$F$400,'Étape 1 - à remplir'!$E$31:$E$400,MASQ2!EC45,'Étape 1 - à remplir'!$C$31:$C$400,EL$3)),IF(EL$2="Âge",IF(EL$3="Tous",SUMIFS('Étape 1 - à remplir'!$F$31:$F$400,'Étape 1 - à remplir'!$E$31:$E$400,MASQ2!EC45,'Étape 1 - à remplir'!$G$31:$G$400,"kg"),SUMIFS('Étape 1 - à remplir'!$F$31:$F$400,'Étape 1 - à remplir'!$E$31:$E$400,MASQ2!EC45,'Étape 1 - à remplir'!$P$31:$P$400,EL$3,'Étape 1 - à remplir'!$G$31:$G$400,"kg")),IF(EL$2="Atelier",IF(EL$3="Tous",SUMIFS('Étape 1 - à remplir'!$F$31:$F$400,'Étape 1 - à remplir'!$E$31:$E$400,MASQ2!EC45,'Étape 1 - à remplir'!$G$31:$G$400,"kg"),SUMIFS('Étape 1 - à remplir'!$F$31:$F$400,'Étape 1 - à remplir'!$E$31:$E$400,MASQ2!EC45,'Étape 1 - à remplir'!$O$31:$O$400,EL$3,'Étape 1 - à remplir'!$G$31:$G$400,"kg")),IF(EL$2="Espèce",IF(EL$3="Toutes",SUMIFS('Étape 1 - à remplir'!$F$31:$F$400,'Étape 1 - à remplir'!$E$31:$E$400,MASQ2!EC45,'Étape 1 - à remplir'!$G$31:$G$400,"kg"),SUMIFS('Étape 1 - à remplir'!$F$31:$F$400,'Étape 1 - à remplir'!$E$31:$E$400,MASQ2!EC45,'Étape 1 - à remplir'!$N$31:$N$400,EL$3,'Étape 1 - à remplir'!$G$31:$G$400,"kg")))))))</f>
        <v>#N/A</v>
      </c>
      <c r="EE45" s="76">
        <f t="shared" si="53"/>
        <v>0</v>
      </c>
      <c r="EF45" t="str">
        <f t="shared" si="20"/>
        <v>Ampicilline</v>
      </c>
      <c r="EG45" t="str">
        <f t="shared" si="21"/>
        <v/>
      </c>
      <c r="EH45" t="str">
        <f t="shared" si="22"/>
        <v/>
      </c>
      <c r="EI45" t="str">
        <f t="shared" si="23"/>
        <v>Penicillines</v>
      </c>
      <c r="EJ45" t="str">
        <f t="shared" si="24"/>
        <v/>
      </c>
      <c r="EK45" s="63" t="str">
        <f t="shared" si="25"/>
        <v/>
      </c>
      <c r="EN45" s="42">
        <v>42</v>
      </c>
      <c r="EO45" t="e">
        <f t="shared" si="68"/>
        <v>#N/A</v>
      </c>
      <c r="EP45" s="63" t="e">
        <f t="shared" si="69"/>
        <v>#N/A</v>
      </c>
      <c r="ER45" s="194" t="str">
        <f t="shared" si="120"/>
        <v/>
      </c>
      <c r="ES45" s="226" t="str">
        <f>IFERROR(IF(EU45=0,"",COUNTIF(EU$4:EU$64,"&gt;"&amp;EU45)+COUNTIF(EU$4:EU45,EU45)),"")</f>
        <v/>
      </c>
      <c r="ET45" t="str">
        <f t="shared" si="121"/>
        <v>Spiramycine</v>
      </c>
      <c r="EU45" s="76" t="e">
        <f t="shared" si="56"/>
        <v>#N/A</v>
      </c>
      <c r="EV45">
        <v>42</v>
      </c>
      <c r="EW45" t="e">
        <f t="shared" si="57"/>
        <v>#N/A</v>
      </c>
      <c r="EX45" s="63" t="e">
        <f t="shared" si="58"/>
        <v>#N/A</v>
      </c>
      <c r="FH45" s="118" t="str">
        <f>FJ33</f>
        <v/>
      </c>
      <c r="FI45" s="117" t="str">
        <f>IFERROR(SUMIFS('Étape 1 - à remplir'!$F$31:$F$400,'Étape 1 - à remplir'!$C$31:$C$400,IF($FH45="Croissance","*Croissance*",IF($FH45="Veau","*Veau*",IF($FH45="Adulte","*Adulte*",IF($FH45="Agneau","*Agneau*",IF($FH45="Chevreau","*Chevreau*",IF($FH45="Démarrage","*Démarrage*",IF($FH45="Engraissement","*Engraissement*",IF($FH45="Porcelet","*Porcelet*",IF($FH45="Post_sevrage","*Post_sevrage*",IF($FH45="Poulain","*Poulain*",IF($FH45="Poussin","*Poussin*",""))))))))))),'Étape 1 - à remplir'!$G$31:$G$400,"kg",'Étape 1 - à remplir'!$M$31:$M$400,MASQ2!FI$43)/SUMIFS('Étape 1 - à remplir'!$F$19:$F$28,'Étape 1 - à remplir'!$E$19:$E$28,MASQ2!$FH45,'Étape 1 - à remplir'!$G$19:$G$28,"kg"),"")</f>
        <v/>
      </c>
      <c r="FJ45" s="117" t="str">
        <f>IFERROR(SUMIFS('Étape 1 - à remplir'!$F$31:$F$400,'Étape 1 - à remplir'!$C$31:$C$400,IF($FH45="Croissance","*Croissance*",IF($FH45="Veau","*Veau*",IF($FH45="Adulte","*Adulte*",IF($FH45="Agneau","*Agneau*",IF($FH45="Chevreau","*Chevreau*",IF($FH45="Démarrage","*Démarrage*",IF($FH45="Engraissement","*Engraissement*",IF($FH45="Porcelet","*Porcelet*",IF($FH45="Post_sevrage","*Post_sevrage*",IF($FH45="Poulain","*Poulain*",IF($FH45="Poussin","*Poussin*",""))))))))))),'Étape 1 - à remplir'!$G$31:$G$400,"kg",'Étape 1 - à remplir'!$M$31:$M$400,MASQ2!FJ$43)/SUMIFS('Étape 1 - à remplir'!$F$19:$F$28,'Étape 1 - à remplir'!$E$19:$E$28,MASQ2!$FH45,'Étape 1 - à remplir'!$G$19:$G$28,"kg"),"")</f>
        <v/>
      </c>
      <c r="FK45" s="117" t="str">
        <f>IFERROR(SUMIFS('Étape 1 - à remplir'!$F$31:$F$400,'Étape 1 - à remplir'!$C$31:$C$400,IF($FH45="Croissance","*Croissance*",IF($FH45="Veau","*Veau*",IF($FH45="Adulte","*Adulte*",IF($FH45="Agneau","*Agneau*",IF($FH45="Chevreau","*Chevreau*",IF($FH45="Démarrage","*Démarrage*",IF($FH45="Engraissement","*Engraissement*",IF($FH45="Porcelet","*Porcelet*",IF($FH45="Post_sevrage","*Post_sevrage*",IF($FH45="Poulain","*Poulain*",IF($FH45="Poussin","*Poussin*",""))))))))))),'Étape 1 - à remplir'!$G$31:$G$400,"kg",'Étape 1 - à remplir'!$M$31:$M$400,MASQ2!FK$43)/SUMIFS('Étape 1 - à remplir'!$F$19:$F$28,'Étape 1 - à remplir'!$E$19:$E$28,MASQ2!$FH45,'Étape 1 - à remplir'!$G$19:$G$28,"kg"),"")</f>
        <v/>
      </c>
      <c r="FL45" s="117" t="str">
        <f>IFERROR(SUMIFS('Étape 1 - à remplir'!$F$31:$F$400,'Étape 1 - à remplir'!$C$31:$C$400,IF($FH45="Croissance","*Croissance*",IF($FH45="Veau","*Veau*",IF($FH45="Adulte","*Adulte*",IF($FH45="Agneau","*Agneau*",IF($FH45="Chevreau","*Chevreau*",IF($FH45="Démarrage","*Démarrage*",IF($FH45="Engraissement","*Engraissement*",IF($FH45="Porcelet","*Porcelet*",IF($FH45="Post_sevrage","*Post_sevrage*",IF($FH45="Poulain","*Poulain*",IF($FH45="Poussin","*Poussin*",""))))))))))),'Étape 1 - à remplir'!$G$31:$G$400,"kg",'Étape 1 - à remplir'!$M$31:$M$400,MASQ2!FL$43)/SUMIFS('Étape 1 - à remplir'!$F$19:$F$28,'Étape 1 - à remplir'!$E$19:$E$28,MASQ2!$FH45,'Étape 1 - à remplir'!$G$19:$G$28,"kg"),"")</f>
        <v/>
      </c>
      <c r="FM45" s="117" t="str">
        <f>IFERROR(SUMIFS('Étape 1 - à remplir'!$F$31:$F$400,'Étape 1 - à remplir'!$C$31:$C$400,IF($FH45="Croissance","*Croissance*",IF($FH45="Veau","*Veau*",IF($FH45="Adulte","*Adulte*",IF($FH45="Agneau","*Agneau*",IF($FH45="Chevreau","*Chevreau*",IF($FH45="Démarrage","*Démarrage*",IF($FH45="Engraissement","*Engraissement*",IF($FH45="Porcelet","*Porcelet*",IF($FH45="Post_sevrage","*Post_sevrage*",IF($FH45="Poulain","*Poulain*",IF($FH45="Poussin","*Poussin*",""))))))))))),'Étape 1 - à remplir'!$G$31:$G$400,"kg",'Étape 1 - à remplir'!$M$31:$M$400,MASQ2!FM$43)/SUMIFS('Étape 1 - à remplir'!$F$19:$F$28,'Étape 1 - à remplir'!$E$19:$E$28,MASQ2!$FH45,'Étape 1 - à remplir'!$G$19:$G$28,"kg"),"")</f>
        <v/>
      </c>
      <c r="FN45" s="117" t="str">
        <f>IFERROR(SUMIFS('Étape 1 - à remplir'!$F$31:$F$400,'Étape 1 - à remplir'!$C$31:$C$400,IF($FH45="Croissance","*Croissance*",IF($FH45="Veau","*Veau*",IF($FH45="Adulte","*Adulte*",IF($FH45="Agneau","*Agneau*",IF($FH45="Chevreau","*Chevreau*",IF($FH45="Démarrage","*Démarrage*",IF($FH45="Engraissement","*Engraissement*",IF($FH45="Porcelet","*Porcelet*",IF($FH45="Post_sevrage","*Post_sevrage*",IF($FH45="Poulain","*Poulain*",IF($FH45="Poussin","*Poussin*",""))))))))))),'Étape 1 - à remplir'!$G$31:$G$400,"kg",'Étape 1 - à remplir'!$M$31:$M$400,MASQ2!FN$43)/SUMIFS('Étape 1 - à remplir'!$F$19:$F$28,'Étape 1 - à remplir'!$E$19:$E$28,MASQ2!$FH45,'Étape 1 - à remplir'!$G$19:$G$28,"kg"),"")</f>
        <v/>
      </c>
      <c r="FO45" s="117" t="str">
        <f>IFERROR(SUMIFS('Étape 1 - à remplir'!$F$31:$F$400,'Étape 1 - à remplir'!$C$31:$C$400,IF($FH45="Croissance","*Croissance*",IF($FH45="Veau","*Veau*",IF($FH45="Adulte","*Adulte*",IF($FH45="Agneau","*Agneau*",IF($FH45="Chevreau","*Chevreau*",IF($FH45="Démarrage","*Démarrage*",IF($FH45="Engraissement","*Engraissement*",IF($FH45="Porcelet","*Porcelet*",IF($FH45="Post_sevrage","*Post_sevrage*",IF($FH45="Poulain","*Poulain*",IF($FH45="Poussin","*Poussin*",""))))))))))),'Étape 1 - à remplir'!$G$31:$G$400,"kg",'Étape 1 - à remplir'!$M$31:$M$400,MASQ2!FO$43)/SUMIFS('Étape 1 - à remplir'!$F$19:$F$28,'Étape 1 - à remplir'!$E$19:$E$28,MASQ2!$FH45,'Étape 1 - à remplir'!$G$19:$G$28,"kg"),"")</f>
        <v/>
      </c>
      <c r="FP45" s="117" t="str">
        <f>IFERROR(SUMIFS('Étape 1 - à remplir'!$F$31:$F$400,'Étape 1 - à remplir'!$C$31:$C$400,IF($FH45="Croissance","*Croissance*",IF($FH45="Veau","*Veau*",IF($FH45="Adulte","*Adulte*",IF($FH45="Agneau","*Agneau*",IF($FH45="Chevreau","*Chevreau*",IF($FH45="Démarrage","*Démarrage*",IF($FH45="Engraissement","*Engraissement*",IF($FH45="Porcelet","*Porcelet*",IF($FH45="Post_sevrage","*Post_sevrage*",IF($FH45="Poulain","*Poulain*",IF($FH45="Poussin","*Poussin*",""))))))))))),'Étape 1 - à remplir'!$G$31:$G$400,"kg",'Étape 1 - à remplir'!$M$31:$M$400,MASQ2!FP$43)/SUMIFS('Étape 1 - à remplir'!$F$19:$F$28,'Étape 1 - à remplir'!$E$19:$E$28,MASQ2!$FH45,'Étape 1 - à remplir'!$G$19:$G$28,"kg"),"")</f>
        <v/>
      </c>
      <c r="FQ45" s="117" t="str">
        <f>IFERROR(SUMIFS('Étape 1 - à remplir'!$F$31:$F$400,'Étape 1 - à remplir'!$C$31:$C$400,IF($FH45="Croissance","*Croissance*",IF($FH45="Veau","*Veau*",IF($FH45="Adulte","*Adulte*",IF($FH45="Agneau","*Agneau*",IF($FH45="Chevreau","*Chevreau*",IF($FH45="Démarrage","*Démarrage*",IF($FH45="Engraissement","*Engraissement*",IF($FH45="Porcelet","*Porcelet*",IF($FH45="Post_sevrage","*Post_sevrage*",IF($FH45="Poulain","*Poulain*",IF($FH45="Poussin","*Poussin*",""))))))))))),'Étape 1 - à remplir'!$G$31:$G$400,"kg",'Étape 1 - à remplir'!$M$31:$M$400,MASQ2!FQ$43)/SUMIFS('Étape 1 - à remplir'!$F$19:$F$28,'Étape 1 - à remplir'!$E$19:$E$28,MASQ2!$FH45,'Étape 1 - à remplir'!$G$19:$G$28,"kg"),"")</f>
        <v/>
      </c>
      <c r="FR45" s="117" t="str">
        <f>IFERROR(SUMIFS('Étape 1 - à remplir'!$F$31:$F$400,'Étape 1 - à remplir'!$C$31:$C$400,IF($FH45="Croissance","*Croissance*",IF($FH45="Veau","*Veau*",IF($FH45="Adulte","*Adulte*",IF($FH45="Agneau","*Agneau*",IF($FH45="Chevreau","*Chevreau*",IF($FH45="Démarrage","*Démarrage*",IF($FH45="Engraissement","*Engraissement*",IF($FH45="Porcelet","*Porcelet*",IF($FH45="Post_sevrage","*Post_sevrage*",IF($FH45="Poulain","*Poulain*",IF($FH45="Poussin","*Poussin*",""))))))))))),'Étape 1 - à remplir'!$G$31:$G$400,"kg",'Étape 1 - à remplir'!$M$31:$M$400,MASQ2!FR$43)/SUMIFS('Étape 1 - à remplir'!$F$19:$F$28,'Étape 1 - à remplir'!$E$19:$E$28,MASQ2!$FH45,'Étape 1 - à remplir'!$G$19:$G$28,"kg"),"")</f>
        <v/>
      </c>
      <c r="FS45" s="117" t="str">
        <f>IFERROR(SUMIFS('Étape 1 - à remplir'!$F$31:$F$400,'Étape 1 - à remplir'!$C$31:$C$400,IF($FH45="Croissance","*Croissance*",IF($FH45="Veau","*Veau*",IF($FH45="Adulte","*Adulte*",IF($FH45="Agneau","*Agneau*",IF($FH45="Chevreau","*Chevreau*",IF($FH45="Démarrage","*Démarrage*",IF($FH45="Engraissement","*Engraissement*",IF($FH45="Porcelet","*Porcelet*",IF($FH45="Post_sevrage","*Post_sevrage*",IF($FH45="Poulain","*Poulain*",IF($FH45="Poussin","*Poussin*",""))))))))))),'Étape 1 - à remplir'!$G$31:$G$400,"kg",'Étape 1 - à remplir'!$M$31:$M$400,MASQ2!FS$43)/SUMIFS('Étape 1 - à remplir'!$F$19:$F$28,'Étape 1 - à remplir'!$E$19:$E$28,MASQ2!$FH45,'Étape 1 - à remplir'!$G$19:$G$28,"kg"),"")</f>
        <v/>
      </c>
      <c r="FT45" s="117" t="str">
        <f>IFERROR(SUMIFS('Étape 1 - à remplir'!$F$31:$F$400,'Étape 1 - à remplir'!$C$31:$C$400,IF($FH45="Croissance","*Croissance*",IF($FH45="Veau","*Veau*",IF($FH45="Adulte","*Adulte*",IF($FH45="Agneau","*Agneau*",IF($FH45="Chevreau","*Chevreau*",IF($FH45="Démarrage","*Démarrage*",IF($FH45="Engraissement","*Engraissement*",IF($FH45="Porcelet","*Porcelet*",IF($FH45="Post_sevrage","*Post_sevrage*",IF($FH45="Poulain","*Poulain*",IF($FH45="Poussin","*Poussin*",""))))))))))),'Étape 1 - à remplir'!$G$31:$G$400,"kg",'Étape 1 - à remplir'!$M$31:$M$400,MASQ2!FT$43)/SUMIFS('Étape 1 - à remplir'!$F$19:$F$28,'Étape 1 - à remplir'!$E$19:$E$28,MASQ2!$FH45,'Étape 1 - à remplir'!$G$19:$G$28,"kg"),"")</f>
        <v/>
      </c>
    </row>
    <row r="46" spans="2:176" x14ac:dyDescent="0.3">
      <c r="B46" s="42"/>
      <c r="M46" s="194" t="str">
        <f ca="1">INDEX(Données_ATB!BD:BU,MATCH(MASQ2!O46,Données_ATB!BD:BD,0),18)</f>
        <v/>
      </c>
      <c r="N46" s="14" t="str">
        <f>IFERROR(IF(Q46=0,"",COUNTIF(Q$4:Q$600,"&gt;"&amp;Q46)+COUNTIF(Q$4:Q46,Q46)),"")</f>
        <v/>
      </c>
      <c r="O46" t="str">
        <f>Données_ATB!BD45</f>
        <v>AMPISOL</v>
      </c>
      <c r="P46" t="e">
        <f>IF(IF(X$2="Catégorie",IF(X$3="Toutes",SUMIFS('Étape 1 - à remplir'!$F$31:$F$400,'Étape 1 - à remplir'!$E$31:$E$400,MASQ2!O46,'Étape 1 - à remplir'!$G$31:$G$400,"animaux"),SUMIFS('Étape 1 - à remplir'!$F$31:$F$400,'Étape 1 - à remplir'!$E$31:$E$400,MASQ2!O46,'Étape 1 - à remplir'!$C$31:$C$400,X$3)),IF(X$2="Âge",IF(X$3="Tous",SUMIFS('Étape 1 - à remplir'!$F$31:$F$400,'Étape 1 - à remplir'!$E$31:$E$400,MASQ2!O46,'Étape 1 - à remplir'!$G$31:$G$400,"animaux"),SUMIFS('Étape 1 - à remplir'!$F$31:$F$400,'Étape 1 - à remplir'!$E$31:$E$400,MASQ2!O46,'Étape 1 - à remplir'!$P$31:$P$400,X$3)),IF(X$2="Atelier",IF(X$3="Tous",SUMIFS('Étape 1 - à remplir'!$F$31:$F$400,'Étape 1 - à remplir'!$E$31:$E$400,MASQ2!O46,'Étape 1 - à remplir'!$G$31:$G$400,"animaux"),SUMIFS('Étape 1 - à remplir'!$F$31:$F$400,'Étape 1 - à remplir'!$E$31:$E$400,MASQ2!O46,'Étape 1 - à remplir'!$O$31:$O$400,X$3)),IF(X$2="Espèce",IF(X$3="Toutes",SUMIFS('Étape 1 - à remplir'!$F$31:$F$400,'Étape 1 - à remplir'!$E$31:$E$400,MASQ2!O46,'Étape 1 - à remplir'!$G$31:$G$400,"animaux"),SUMIFS('Étape 1 - à remplir'!$F$31:$F$400,'Étape 1 - à remplir'!$E$31:$E$400,MASQ2!O46,'Étape 1 - à remplir'!$N$31:$N$400,X$3))))))=0,NA(),IF(X$2="Catégorie",IF(X$3="Toutes",SUMIFS('Étape 1 - à remplir'!$F$31:$F$400,'Étape 1 - à remplir'!$E$31:$E$400,MASQ2!O46,'Étape 1 - à remplir'!$G$31:$G$400,"animaux"),SUMIFS('Étape 1 - à remplir'!$F$31:$F$400,'Étape 1 - à remplir'!$E$31:$E$400,MASQ2!O46,'Étape 1 - à remplir'!$C$31:$C$400,X$3)),IF(X$2="Âge",IF(X$3="Tous",SUMIFS('Étape 1 - à remplir'!$F$31:$F$400,'Étape 1 - à remplir'!$E$31:$E$400,MASQ2!O46,'Étape 1 - à remplir'!$G$31:$G$400,"animaux"),SUMIFS('Étape 1 - à remplir'!$F$31:$F$400,'Étape 1 - à remplir'!$E$31:$E$400,MASQ2!O46,'Étape 1 - à remplir'!$P$31:$P$400,X$3)),IF(X$2="Atelier",IF(X$3="Tous",SUMIFS('Étape 1 - à remplir'!$F$31:$F$400,'Étape 1 - à remplir'!$E$31:$E$400,MASQ2!O46,'Étape 1 - à remplir'!$G$31:$G$400,"animaux"),SUMIFS('Étape 1 - à remplir'!$F$31:$F$400,'Étape 1 - à remplir'!$E$31:$E$400,MASQ2!O46,'Étape 1 - à remplir'!$O$31:$O$400,X$3)),IF(X$2="Espèce",IF(X$3="Toutes",SUMIFS('Étape 1 - à remplir'!$F$31:$F$400,'Étape 1 - à remplir'!$E$31:$E$400,MASQ2!O46,'Étape 1 - à remplir'!$G$31:$G$400,"animaux"),SUMIFS('Étape 1 - à remplir'!$F$31:$F$400,'Étape 1 - à remplir'!$E$31:$E$400,MASQ2!O46,'Étape 1 - à remplir'!$N$31:$N$400,X$3)))))))</f>
        <v>#N/A</v>
      </c>
      <c r="Q46" s="63">
        <f t="shared" si="62"/>
        <v>0</v>
      </c>
      <c r="R46" t="str">
        <f>Données_ATB!BM45</f>
        <v>Ampicilline</v>
      </c>
      <c r="S46" t="str">
        <f>Données_ATB!BN45</f>
        <v/>
      </c>
      <c r="T46" s="63" t="str">
        <f>Données_ATB!BO45</f>
        <v/>
      </c>
      <c r="U46" s="42" t="str">
        <f>Données_ATB!BQ45</f>
        <v>Penicillines</v>
      </c>
      <c r="V46" t="str">
        <f>Données_ATB!BR45</f>
        <v/>
      </c>
      <c r="W46" s="63" t="str">
        <f>Données_ATB!BS45</f>
        <v/>
      </c>
      <c r="Z46" s="42">
        <v>43</v>
      </c>
      <c r="AA46" t="e">
        <f t="shared" si="32"/>
        <v>#N/A</v>
      </c>
      <c r="AB46" s="63" t="e">
        <f t="shared" si="33"/>
        <v>#N/A</v>
      </c>
      <c r="AD46" s="194" t="str">
        <f>IF(AF46="Colistine","x",IF(INDEX(Données_ATB!CA$3:CB$63,MATCH(AF46,Données_ATB!CA$3:CA$63,0),2)="Fluoroquinolones","x",IF(INDEX(Données_ATB!CA$3:CB$63,MATCH(AF46,Données_ATB!CA$3:CA$63,0),2)="Cephalosporines 3&amp;4G","x","")))</f>
        <v/>
      </c>
      <c r="AE46" s="219" t="str">
        <f>IFERROR(IF(AG46=0,"",COUNTIF(AG$4:AG$64,"&gt;"&amp;AG46)+COUNTIF(AG$4:AG46,AG46)),"")</f>
        <v/>
      </c>
      <c r="AF46" s="42" t="str">
        <f>Données_ATB!CA45</f>
        <v>Sulfadiazine</v>
      </c>
      <c r="AG46" s="63" t="e">
        <f t="shared" si="34"/>
        <v>#N/A</v>
      </c>
      <c r="AH46" s="42">
        <v>43</v>
      </c>
      <c r="AI46" t="e">
        <f t="shared" si="35"/>
        <v>#N/A</v>
      </c>
      <c r="AJ46" s="63" t="e">
        <f t="shared" si="36"/>
        <v>#N/A</v>
      </c>
      <c r="AT46" s="109" t="str">
        <f t="shared" ref="AT46:AT53" si="122">AV34</f>
        <v/>
      </c>
      <c r="AU46" s="118" t="str">
        <f>IFERROR(SUMIFS('Étape 1 - à remplir'!$F$31:$F$400,'Étape 1 - à remplir'!$C$31:$C$400,IF($AT46="Croissance","*Croissance*",IF($AT46="Veau","*Veau*",IF($AT46="Adulte","*Adulte*",IF($AT46="Agneau","*Agneau*",IF($AT46="Chevreau","*Chevreau*",IF($AT46="Démarrage","*Démarrage*",IF($AT46="Engraissement","*Engraissement*",IF($AT46="Porcelet","*Porcelet*",IF($AT46="Post_sevrage","*Post_sevrage*",IF($AT46="Poulain","*Poulain*",IF($AT46="Poussin","*Poussin*",""))))))))))),'Étape 1 - à remplir'!$G$31:$G$400,"animaux",'Étape 1 - à remplir'!$M$31:$M$400,MASQ2!AU$43)/SUMIFS('Étape 1 - à remplir'!$F$19:$F$28,'Étape 1 - à remplir'!$E$19:$E$28,MASQ2!$AT46,'Étape 1 - à remplir'!$G$19:$G$28,"animaux"),"")</f>
        <v/>
      </c>
      <c r="AV46" t="str">
        <f>IFERROR(SUMIFS('Étape 1 - à remplir'!$F$31:$F$400,'Étape 1 - à remplir'!$C$31:$C$400,IF($AT46="Croissance","*Croissance*",IF($AT46="Veau","*Veau*",IF($AT46="Adulte","*Adulte*",IF($AT46="Agneau","*Agneau*",IF($AT46="Chevreau","*Chevreau*",IF($AT46="Démarrage","*Démarrage*",IF($AT46="Engraissement","*Engraissement*",IF($AT46="Porcelet","*Porcelet*",IF($AT46="Post_sevrage","*Post_sevrage*",IF($AT46="Poulain","*Poulain*",IF($AT46="Poussin","*Poussin*",""))))))))))),'Étape 1 - à remplir'!$G$31:$G$400,"animaux",'Étape 1 - à remplir'!$M$31:$M$400,MASQ2!AV$43)/SUMIFS('Étape 1 - à remplir'!$F$19:$F$28,'Étape 1 - à remplir'!$E$19:$E$28,MASQ2!$AT46,'Étape 1 - à remplir'!$G$19:$G$28,"animaux"),"")</f>
        <v/>
      </c>
      <c r="AW46" t="str">
        <f>IFERROR(SUMIFS('Étape 1 - à remplir'!$F$31:$F$400,'Étape 1 - à remplir'!$C$31:$C$400,IF($AT46="Croissance","*Croissance*",IF($AT46="Veau","*Veau*",IF($AT46="Adulte","*Adulte*",IF($AT46="Agneau","*Agneau*",IF($AT46="Chevreau","*Chevreau*",IF($AT46="Démarrage","*Démarrage*",IF($AT46="Engraissement","*Engraissement*",IF($AT46="Porcelet","*Porcelet*",IF($AT46="Post_sevrage","*Post_sevrage*",IF($AT46="Poulain","*Poulain*",IF($AT46="Poussin","*Poussin*",""))))))))))),'Étape 1 - à remplir'!$G$31:$G$400,"animaux",'Étape 1 - à remplir'!$M$31:$M$400,MASQ2!AW$43)/SUMIFS('Étape 1 - à remplir'!$F$19:$F$28,'Étape 1 - à remplir'!$E$19:$E$28,MASQ2!$AT46,'Étape 1 - à remplir'!$G$19:$G$28,"animaux"),"")</f>
        <v/>
      </c>
      <c r="AX46" t="str">
        <f>IFERROR(SUMIFS('Étape 1 - à remplir'!$F$31:$F$400,'Étape 1 - à remplir'!$C$31:$C$400,IF($AT46="Croissance","*Croissance*",IF($AT46="Veau","*Veau*",IF($AT46="Adulte","*Adulte*",IF($AT46="Agneau","*Agneau*",IF($AT46="Chevreau","*Chevreau*",IF($AT46="Démarrage","*Démarrage*",IF($AT46="Engraissement","*Engraissement*",IF($AT46="Porcelet","*Porcelet*",IF($AT46="Post_sevrage","*Post_sevrage*",IF($AT46="Poulain","*Poulain*",IF($AT46="Poussin","*Poussin*",""))))))))))),'Étape 1 - à remplir'!$G$31:$G$400,"animaux",'Étape 1 - à remplir'!$M$31:$M$400,MASQ2!AX$43)/SUMIFS('Étape 1 - à remplir'!$F$19:$F$28,'Étape 1 - à remplir'!$E$19:$E$28,MASQ2!$AT46,'Étape 1 - à remplir'!$G$19:$G$28,"animaux"),"")</f>
        <v/>
      </c>
      <c r="AY46" t="str">
        <f>IFERROR(SUMIFS('Étape 1 - à remplir'!$F$31:$F$400,'Étape 1 - à remplir'!$C$31:$C$400,IF($AT46="Croissance","*Croissance*",IF($AT46="Veau","*Veau*",IF($AT46="Adulte","*Adulte*",IF($AT46="Agneau","*Agneau*",IF($AT46="Chevreau","*Chevreau*",IF($AT46="Démarrage","*Démarrage*",IF($AT46="Engraissement","*Engraissement*",IF($AT46="Porcelet","*Porcelet*",IF($AT46="Post_sevrage","*Post_sevrage*",IF($AT46="Poulain","*Poulain*",IF($AT46="Poussin","*Poussin*",""))))))))))),'Étape 1 - à remplir'!$G$31:$G$400,"animaux",'Étape 1 - à remplir'!$M$31:$M$400,MASQ2!AY$43)/SUMIFS('Étape 1 - à remplir'!$F$19:$F$28,'Étape 1 - à remplir'!$E$19:$E$28,MASQ2!$AT46,'Étape 1 - à remplir'!$G$19:$G$28,"animaux"),"")</f>
        <v/>
      </c>
      <c r="AZ46" t="str">
        <f>IFERROR(SUMIFS('Étape 1 - à remplir'!$F$31:$F$400,'Étape 1 - à remplir'!$C$31:$C$400,IF($AT46="Croissance","*Croissance*",IF($AT46="Veau","*Veau*",IF($AT46="Adulte","*Adulte*",IF($AT46="Agneau","*Agneau*",IF($AT46="Chevreau","*Chevreau*",IF($AT46="Démarrage","*Démarrage*",IF($AT46="Engraissement","*Engraissement*",IF($AT46="Porcelet","*Porcelet*",IF($AT46="Post_sevrage","*Post_sevrage*",IF($AT46="Poulain","*Poulain*",IF($AT46="Poussin","*Poussin*",""))))))))))),'Étape 1 - à remplir'!$G$31:$G$400,"animaux",'Étape 1 - à remplir'!$M$31:$M$400,MASQ2!AZ$43)/SUMIFS('Étape 1 - à remplir'!$F$19:$F$28,'Étape 1 - à remplir'!$E$19:$E$28,MASQ2!$AT46,'Étape 1 - à remplir'!$G$19:$G$28,"animaux"),"")</f>
        <v/>
      </c>
      <c r="BA46" t="str">
        <f>IFERROR(SUMIFS('Étape 1 - à remplir'!$F$31:$F$400,'Étape 1 - à remplir'!$C$31:$C$400,IF($AT46="Croissance","*Croissance*",IF($AT46="Veau","*Veau*",IF($AT46="Adulte","*Adulte*",IF($AT46="Agneau","*Agneau*",IF($AT46="Chevreau","*Chevreau*",IF($AT46="Démarrage","*Démarrage*",IF($AT46="Engraissement","*Engraissement*",IF($AT46="Porcelet","*Porcelet*",IF($AT46="Post_sevrage","*Post_sevrage*",IF($AT46="Poulain","*Poulain*",IF($AT46="Poussin","*Poussin*",""))))))))))),'Étape 1 - à remplir'!$G$31:$G$400,"animaux",'Étape 1 - à remplir'!$M$31:$M$400,MASQ2!BA$43)/SUMIFS('Étape 1 - à remplir'!$F$19:$F$28,'Étape 1 - à remplir'!$E$19:$E$28,MASQ2!$AT46,'Étape 1 - à remplir'!$G$19:$G$28,"animaux"),"")</f>
        <v/>
      </c>
      <c r="BB46" t="str">
        <f>IFERROR(SUMIFS('Étape 1 - à remplir'!$F$31:$F$400,'Étape 1 - à remplir'!$C$31:$C$400,IF($AT46="Croissance","*Croissance*",IF($AT46="Veau","*Veau*",IF($AT46="Adulte","*Adulte*",IF($AT46="Agneau","*Agneau*",IF($AT46="Chevreau","*Chevreau*",IF($AT46="Démarrage","*Démarrage*",IF($AT46="Engraissement","*Engraissement*",IF($AT46="Porcelet","*Porcelet*",IF($AT46="Post_sevrage","*Post_sevrage*",IF($AT46="Poulain","*Poulain*",IF($AT46="Poussin","*Poussin*",""))))))))))),'Étape 1 - à remplir'!$G$31:$G$400,"animaux",'Étape 1 - à remplir'!$M$31:$M$400,MASQ2!BB$43)/SUMIFS('Étape 1 - à remplir'!$F$19:$F$28,'Étape 1 - à remplir'!$E$19:$E$28,MASQ2!$AT46,'Étape 1 - à remplir'!$G$19:$G$28,"animaux"),"")</f>
        <v/>
      </c>
      <c r="BC46" t="str">
        <f>IFERROR(SUMIFS('Étape 1 - à remplir'!$F$31:$F$400,'Étape 1 - à remplir'!$C$31:$C$400,IF($AT46="Croissance","*Croissance*",IF($AT46="Veau","*Veau*",IF($AT46="Adulte","*Adulte*",IF($AT46="Agneau","*Agneau*",IF($AT46="Chevreau","*Chevreau*",IF($AT46="Démarrage","*Démarrage*",IF($AT46="Engraissement","*Engraissement*",IF($AT46="Porcelet","*Porcelet*",IF($AT46="Post_sevrage","*Post_sevrage*",IF($AT46="Poulain","*Poulain*",IF($AT46="Poussin","*Poussin*",""))))))))))),'Étape 1 - à remplir'!$G$31:$G$400,"animaux",'Étape 1 - à remplir'!$M$31:$M$400,MASQ2!BC$43)/SUMIFS('Étape 1 - à remplir'!$F$19:$F$28,'Étape 1 - à remplir'!$E$19:$E$28,MASQ2!$AT46,'Étape 1 - à remplir'!$G$19:$G$28,"animaux"),"")</f>
        <v/>
      </c>
      <c r="BD46" t="str">
        <f>IFERROR(SUMIFS('Étape 1 - à remplir'!$F$31:$F$400,'Étape 1 - à remplir'!$C$31:$C$400,IF($AT46="Croissance","*Croissance*",IF($AT46="Veau","*Veau*",IF($AT46="Adulte","*Adulte*",IF($AT46="Agneau","*Agneau*",IF($AT46="Chevreau","*Chevreau*",IF($AT46="Démarrage","*Démarrage*",IF($AT46="Engraissement","*Engraissement*",IF($AT46="Porcelet","*Porcelet*",IF($AT46="Post_sevrage","*Post_sevrage*",IF($AT46="Poulain","*Poulain*",IF($AT46="Poussin","*Poussin*",""))))))))))),'Étape 1 - à remplir'!$G$31:$G$400,"animaux",'Étape 1 - à remplir'!$M$31:$M$400,MASQ2!BD$43)/SUMIFS('Étape 1 - à remplir'!$F$19:$F$28,'Étape 1 - à remplir'!$E$19:$E$28,MASQ2!$AT46,'Étape 1 - à remplir'!$G$19:$G$28,"animaux"),"")</f>
        <v/>
      </c>
      <c r="BE46" t="str">
        <f>IFERROR(SUMIFS('Étape 1 - à remplir'!$F$31:$F$400,'Étape 1 - à remplir'!$C$31:$C$400,IF($AT46="Croissance","*Croissance*",IF($AT46="Veau","*Veau*",IF($AT46="Adulte","*Adulte*",IF($AT46="Agneau","*Agneau*",IF($AT46="Chevreau","*Chevreau*",IF($AT46="Démarrage","*Démarrage*",IF($AT46="Engraissement","*Engraissement*",IF($AT46="Porcelet","*Porcelet*",IF($AT46="Post_sevrage","*Post_sevrage*",IF($AT46="Poulain","*Poulain*",IF($AT46="Poussin","*Poussin*",""))))))))))),'Étape 1 - à remplir'!$G$31:$G$400,"animaux",'Étape 1 - à remplir'!$M$31:$M$400,MASQ2!BE$43)/SUMIFS('Étape 1 - à remplir'!$F$19:$F$28,'Étape 1 - à remplir'!$E$19:$E$28,MASQ2!$AT46,'Étape 1 - à remplir'!$G$19:$G$28,"animaux"),"")</f>
        <v/>
      </c>
      <c r="BF46" s="76" t="str">
        <f>IFERROR(SUMIFS('Étape 1 - à remplir'!$F$31:$F$400,'Étape 1 - à remplir'!$C$31:$C$400,IF($AT46="Croissance","*Croissance*",IF($AT46="Veau","*Veau*",IF($AT46="Adulte","*Adulte*",IF($AT46="Agneau","*Agneau*",IF($AT46="Chevreau","*Chevreau*",IF($AT46="Démarrage","*Démarrage*",IF($AT46="Engraissement","*Engraissement*",IF($AT46="Porcelet","*Porcelet*",IF($AT46="Post_sevrage","*Post_sevrage*",IF($AT46="Poulain","*Poulain*",IF($AT46="Poussin","*Poussin*",""))))))))))),'Étape 1 - à remplir'!$G$31:$G$400,"animaux",'Étape 1 - à remplir'!$M$31:$M$400,MASQ2!BF$43)/SUMIFS('Étape 1 - à remplir'!$F$19:$F$28,'Étape 1 - à remplir'!$E$19:$E$28,MASQ2!$AT46,'Étape 1 - à remplir'!$G$19:$G$28,"animaux"),"")</f>
        <v/>
      </c>
      <c r="BT46" s="194" t="str">
        <f t="shared" ca="1" si="5"/>
        <v/>
      </c>
      <c r="BU46" s="219" t="str">
        <f>IFERROR(IF(BX46=0,"",COUNTIF(BX$4:BX$600,"&gt;"&amp;BX46)+COUNTIF(BX$4:BX46,BX46)),"")</f>
        <v/>
      </c>
      <c r="BV46" s="42" t="str">
        <f t="shared" si="6"/>
        <v>AMPISOL</v>
      </c>
      <c r="BW46" t="e">
        <f>IF(IF(CE$2="Catégorie",IF(CE$3="Toutes",SUMIFS('Étape 1 - à remplir'!$F$31:$F$400,'Étape 1 - à remplir'!$E$31:$E$400,MASQ2!BV46,'Étape 1 - à remplir'!$G$31:$G$400,"lots"),SUMIFS('Étape 1 - à remplir'!$F$31:$F$400,'Étape 1 - à remplir'!$E$31:$E$400,MASQ2!BV46,'Étape 1 - à remplir'!$C$31:$C$400,CE$3)),IF(CE$2="Âge",IF(CE$3="Tous",SUMIFS('Étape 1 - à remplir'!$F$31:$F$400,'Étape 1 - à remplir'!$E$31:$E$400,MASQ2!BV46,'Étape 1 - à remplir'!$G$31:$G$400,"lots"),SUMIFS('Étape 1 - à remplir'!$F$31:$F$400,'Étape 1 - à remplir'!$E$31:$E$400,MASQ2!BV46,'Étape 1 - à remplir'!$P$31:$P$400,CE$3,'Étape 1 - à remplir'!$G$31:$G$400,"lots")),IF(CE$2="Atelier",IF(CE$3="Tous",SUMIFS('Étape 1 - à remplir'!$F$31:$F$400,'Étape 1 - à remplir'!$E$31:$E$400,MASQ2!BV46,'Étape 1 - à remplir'!$G$31:$G$400,"lots"),SUMIFS('Étape 1 - à remplir'!$F$31:$F$400,'Étape 1 - à remplir'!$E$31:$E$400,MASQ2!BV46,'Étape 1 - à remplir'!$O$31:$O$400,CE$3,'Étape 1 - à remplir'!$G$31:$G$400,"lots")),IF(CE$2="Espèce",IF(CE$3="Toutes",SUMIFS('Étape 1 - à remplir'!$F$31:$F$400,'Étape 1 - à remplir'!$E$31:$E$400,MASQ2!BV46,'Étape 1 - à remplir'!$G$31:$G$400,"lots"),SUMIFS('Étape 1 - à remplir'!$F$31:$F$400,'Étape 1 - à remplir'!$E$31:$E$400,MASQ2!BV46,'Étape 1 - à remplir'!$N$31:$N$400,CE$3,'Étape 1 - à remplir'!$G$31:$G$400,"lots"))))))=0,NA(),IF(CE$2="Catégorie",IF(CE$3="Toutes",SUMIFS('Étape 1 - à remplir'!$F$31:$F$400,'Étape 1 - à remplir'!$E$31:$E$400,MASQ2!BV46,'Étape 1 - à remplir'!$G$31:$G$400,"lots"),SUMIFS('Étape 1 - à remplir'!$F$31:$F$400,'Étape 1 - à remplir'!$E$31:$E$400,MASQ2!BV46,'Étape 1 - à remplir'!$C$31:$C$400,CE$3)),IF(CE$2="Âge",IF(CE$3="Tous",SUMIFS('Étape 1 - à remplir'!$F$31:$F$400,'Étape 1 - à remplir'!$E$31:$E$400,MASQ2!BV46,'Étape 1 - à remplir'!$G$31:$G$400,"lots"),SUMIFS('Étape 1 - à remplir'!$F$31:$F$400,'Étape 1 - à remplir'!$E$31:$E$400,MASQ2!BV46,'Étape 1 - à remplir'!$P$31:$P$400,CE$3,'Étape 1 - à remplir'!$G$31:$G$400,"lots")),IF(CE$2="Atelier",IF(CE$3="Tous",SUMIFS('Étape 1 - à remplir'!$F$31:$F$400,'Étape 1 - à remplir'!$E$31:$E$400,MASQ2!BV46,'Étape 1 - à remplir'!$G$31:$G$400,"lots"),SUMIFS('Étape 1 - à remplir'!$F$31:$F$400,'Étape 1 - à remplir'!$E$31:$E$400,MASQ2!BV46,'Étape 1 - à remplir'!$O$31:$O$400,CE$3,'Étape 1 - à remplir'!$G$31:$G$400,"lots")),IF(CE$2="Espèce",IF(CE$3="Toutes",SUMIFS('Étape 1 - à remplir'!$F$31:$F$400,'Étape 1 - à remplir'!$E$31:$E$400,MASQ2!BV46,'Étape 1 - à remplir'!$G$31:$G$400,"lots"),SUMIFS('Étape 1 - à remplir'!$F$31:$F$400,'Étape 1 - à remplir'!$E$31:$E$400,MASQ2!BV46,'Étape 1 - à remplir'!$N$31:$N$400,CE$3,'Étape 1 - à remplir'!$G$31:$G$400,"lots")))))))</f>
        <v>#N/A</v>
      </c>
      <c r="BX46">
        <f t="shared" si="42"/>
        <v>0</v>
      </c>
      <c r="BY46" t="str">
        <f t="shared" si="7"/>
        <v>Ampicilline</v>
      </c>
      <c r="BZ46" t="str">
        <f t="shared" si="8"/>
        <v/>
      </c>
      <c r="CA46" t="str">
        <f t="shared" si="9"/>
        <v/>
      </c>
      <c r="CB46" t="str">
        <f t="shared" si="10"/>
        <v>Penicillines</v>
      </c>
      <c r="CC46" t="str">
        <f t="shared" si="11"/>
        <v/>
      </c>
      <c r="CD46" s="63" t="str">
        <f t="shared" si="12"/>
        <v/>
      </c>
      <c r="CG46" s="42">
        <v>43</v>
      </c>
      <c r="CH46" s="42" t="e">
        <f t="shared" si="80"/>
        <v>#N/A</v>
      </c>
      <c r="CI46" s="63" t="e">
        <f t="shared" si="81"/>
        <v>#N/A</v>
      </c>
      <c r="CK46" s="194" t="str">
        <f t="shared" si="118"/>
        <v/>
      </c>
      <c r="CL46" s="226" t="str">
        <f>IFERROR(IF(CN46=0,"",COUNTIF(CN$4:CN$64,"&gt;"&amp;CN46)+COUNTIF(CN$4:CN46,CN46)),"")</f>
        <v/>
      </c>
      <c r="CM46" t="str">
        <f t="shared" si="119"/>
        <v>Sulfadiazine</v>
      </c>
      <c r="CN46" s="76" t="e">
        <f t="shared" si="45"/>
        <v>#N/A</v>
      </c>
      <c r="CO46">
        <v>43</v>
      </c>
      <c r="CP46" t="e">
        <f t="shared" si="46"/>
        <v>#N/A</v>
      </c>
      <c r="CQ46" s="63" t="e">
        <f t="shared" si="47"/>
        <v>#N/A</v>
      </c>
      <c r="DA46" s="118" t="str">
        <f t="shared" ref="DA46:DA53" si="123">DC34</f>
        <v/>
      </c>
      <c r="DB46" s="117" t="str">
        <f>IFERROR(SUMIFS('Étape 1 - à remplir'!$F$31:$F$400,'Étape 1 - à remplir'!$C$31:$C$400,IF($DA46="Croissance","*Croissance*",IF($DA46="Veau","*Veau*",IF($DA46="Adulte","*Adulte*",IF($DA46="Agneau","*Agneau*",IF($DA46="Chevreau","*Chevreau*",IF($DA46="Démarrage","*Démarrage*",IF($DA46="Engraissement","*Engraissement*",IF($DA46="Porcelet","*Porcelet*",IF($DA46="Post_sevrage","*Post_sevrage*",IF($DA46="Poulain","*Poulain*",IF($DA46="Poussin","*Poussin*",""))))))))))),'Étape 1 - à remplir'!$G$31:$G$400,"lots",'Étape 1 - à remplir'!$M$31:$M$400,MASQ2!DB$43)/SUMIFS('Étape 1 - à remplir'!$F$19:$F$28,'Étape 1 - à remplir'!$E$19:$E$28,MASQ2!$DA46,'Étape 1 - à remplir'!$G$19:$G$28,"lots"),"")</f>
        <v/>
      </c>
      <c r="DC46" s="117" t="str">
        <f>IFERROR(SUMIFS('Étape 1 - à remplir'!$F$31:$F$400,'Étape 1 - à remplir'!$C$31:$C$400,IF($DA46="Croissance","*Croissance*",IF($DA46="Veau","*Veau*",IF($DA46="Adulte","*Adulte*",IF($DA46="Agneau","*Agneau*",IF($DA46="Chevreau","*Chevreau*",IF($DA46="Démarrage","*Démarrage*",IF($DA46="Engraissement","*Engraissement*",IF($DA46="Porcelet","*Porcelet*",IF($DA46="Post_sevrage","*Post_sevrage*",IF($DA46="Poulain","*Poulain*",IF($DA46="Poussin","*Poussin*",""))))))))))),'Étape 1 - à remplir'!$G$31:$G$400,"lots",'Étape 1 - à remplir'!$M$31:$M$400,MASQ2!DC$43)/SUMIFS('Étape 1 - à remplir'!$F$19:$F$28,'Étape 1 - à remplir'!$E$19:$E$28,MASQ2!$DA46,'Étape 1 - à remplir'!$G$19:$G$28,"lots"),"")</f>
        <v/>
      </c>
      <c r="DD46" s="117" t="str">
        <f>IFERROR(SUMIFS('Étape 1 - à remplir'!$F$31:$F$400,'Étape 1 - à remplir'!$C$31:$C$400,IF($DA46="Croissance","*Croissance*",IF($DA46="Veau","*Veau*",IF($DA46="Adulte","*Adulte*",IF($DA46="Agneau","*Agneau*",IF($DA46="Chevreau","*Chevreau*",IF($DA46="Démarrage","*Démarrage*",IF($DA46="Engraissement","*Engraissement*",IF($DA46="Porcelet","*Porcelet*",IF($DA46="Post_sevrage","*Post_sevrage*",IF($DA46="Poulain","*Poulain*",IF($DA46="Poussin","*Poussin*",""))))))))))),'Étape 1 - à remplir'!$G$31:$G$400,"lots",'Étape 1 - à remplir'!$M$31:$M$400,MASQ2!DD$43)/SUMIFS('Étape 1 - à remplir'!$F$19:$F$28,'Étape 1 - à remplir'!$E$19:$E$28,MASQ2!$DA46,'Étape 1 - à remplir'!$G$19:$G$28,"lots"),"")</f>
        <v/>
      </c>
      <c r="DE46" s="117" t="str">
        <f>IFERROR(SUMIFS('Étape 1 - à remplir'!$F$31:$F$400,'Étape 1 - à remplir'!$C$31:$C$400,IF($DA46="Croissance","*Croissance*",IF($DA46="Veau","*Veau*",IF($DA46="Adulte","*Adulte*",IF($DA46="Agneau","*Agneau*",IF($DA46="Chevreau","*Chevreau*",IF($DA46="Démarrage","*Démarrage*",IF($DA46="Engraissement","*Engraissement*",IF($DA46="Porcelet","*Porcelet*",IF($DA46="Post_sevrage","*Post_sevrage*",IF($DA46="Poulain","*Poulain*",IF($DA46="Poussin","*Poussin*",""))))))))))),'Étape 1 - à remplir'!$G$31:$G$400,"lots",'Étape 1 - à remplir'!$M$31:$M$400,MASQ2!DE$43)/SUMIFS('Étape 1 - à remplir'!$F$19:$F$28,'Étape 1 - à remplir'!$E$19:$E$28,MASQ2!$DA46,'Étape 1 - à remplir'!$G$19:$G$28,"lots"),"")</f>
        <v/>
      </c>
      <c r="DF46" s="117" t="str">
        <f>IFERROR(SUMIFS('Étape 1 - à remplir'!$F$31:$F$400,'Étape 1 - à remplir'!$C$31:$C$400,IF($DA46="Croissance","*Croissance*",IF($DA46="Veau","*Veau*",IF($DA46="Adulte","*Adulte*",IF($DA46="Agneau","*Agneau*",IF($DA46="Chevreau","*Chevreau*",IF($DA46="Démarrage","*Démarrage*",IF($DA46="Engraissement","*Engraissement*",IF($DA46="Porcelet","*Porcelet*",IF($DA46="Post_sevrage","*Post_sevrage*",IF($DA46="Poulain","*Poulain*",IF($DA46="Poussin","*Poussin*",""))))))))))),'Étape 1 - à remplir'!$G$31:$G$400,"lots",'Étape 1 - à remplir'!$M$31:$M$400,MASQ2!DF$43)/SUMIFS('Étape 1 - à remplir'!$F$19:$F$28,'Étape 1 - à remplir'!$E$19:$E$28,MASQ2!$DA46,'Étape 1 - à remplir'!$G$19:$G$28,"lots"),"")</f>
        <v/>
      </c>
      <c r="DG46" s="117" t="str">
        <f>IFERROR(SUMIFS('Étape 1 - à remplir'!$F$31:$F$400,'Étape 1 - à remplir'!$C$31:$C$400,IF($DA46="Croissance","*Croissance*",IF($DA46="Veau","*Veau*",IF($DA46="Adulte","*Adulte*",IF($DA46="Agneau","*Agneau*",IF($DA46="Chevreau","*Chevreau*",IF($DA46="Démarrage","*Démarrage*",IF($DA46="Engraissement","*Engraissement*",IF($DA46="Porcelet","*Porcelet*",IF($DA46="Post_sevrage","*Post_sevrage*",IF($DA46="Poulain","*Poulain*",IF($DA46="Poussin","*Poussin*",""))))))))))),'Étape 1 - à remplir'!$G$31:$G$400,"lots",'Étape 1 - à remplir'!$M$31:$M$400,MASQ2!DG$43)/SUMIFS('Étape 1 - à remplir'!$F$19:$F$28,'Étape 1 - à remplir'!$E$19:$E$28,MASQ2!$DA46,'Étape 1 - à remplir'!$G$19:$G$28,"lots"),"")</f>
        <v/>
      </c>
      <c r="DH46" s="117" t="str">
        <f>IFERROR(SUMIFS('Étape 1 - à remplir'!$F$31:$F$400,'Étape 1 - à remplir'!$C$31:$C$400,IF($DA46="Croissance","*Croissance*",IF($DA46="Veau","*Veau*",IF($DA46="Adulte","*Adulte*",IF($DA46="Agneau","*Agneau*",IF($DA46="Chevreau","*Chevreau*",IF($DA46="Démarrage","*Démarrage*",IF($DA46="Engraissement","*Engraissement*",IF($DA46="Porcelet","*Porcelet*",IF($DA46="Post_sevrage","*Post_sevrage*",IF($DA46="Poulain","*Poulain*",IF($DA46="Poussin","*Poussin*",""))))))))))),'Étape 1 - à remplir'!$G$31:$G$400,"lots",'Étape 1 - à remplir'!$M$31:$M$400,MASQ2!DH$43)/SUMIFS('Étape 1 - à remplir'!$F$19:$F$28,'Étape 1 - à remplir'!$E$19:$E$28,MASQ2!$DA46,'Étape 1 - à remplir'!$G$19:$G$28,"lots"),"")</f>
        <v/>
      </c>
      <c r="DI46" s="117" t="str">
        <f>IFERROR(SUMIFS('Étape 1 - à remplir'!$F$31:$F$400,'Étape 1 - à remplir'!$C$31:$C$400,IF($DA46="Croissance","*Croissance*",IF($DA46="Veau","*Veau*",IF($DA46="Adulte","*Adulte*",IF($DA46="Agneau","*Agneau*",IF($DA46="Chevreau","*Chevreau*",IF($DA46="Démarrage","*Démarrage*",IF($DA46="Engraissement","*Engraissement*",IF($DA46="Porcelet","*Porcelet*",IF($DA46="Post_sevrage","*Post_sevrage*",IF($DA46="Poulain","*Poulain*",IF($DA46="Poussin","*Poussin*",""))))))))))),'Étape 1 - à remplir'!$G$31:$G$400,"lots",'Étape 1 - à remplir'!$M$31:$M$400,MASQ2!DI$43)/SUMIFS('Étape 1 - à remplir'!$F$19:$F$28,'Étape 1 - à remplir'!$E$19:$E$28,MASQ2!$DA46,'Étape 1 - à remplir'!$G$19:$G$28,"lots"),"")</f>
        <v/>
      </c>
      <c r="DJ46" s="117" t="str">
        <f>IFERROR(SUMIFS('Étape 1 - à remplir'!$F$31:$F$400,'Étape 1 - à remplir'!$C$31:$C$400,IF($DA46="Croissance","*Croissance*",IF($DA46="Veau","*Veau*",IF($DA46="Adulte","*Adulte*",IF($DA46="Agneau","*Agneau*",IF($DA46="Chevreau","*Chevreau*",IF($DA46="Démarrage","*Démarrage*",IF($DA46="Engraissement","*Engraissement*",IF($DA46="Porcelet","*Porcelet*",IF($DA46="Post_sevrage","*Post_sevrage*",IF($DA46="Poulain","*Poulain*",IF($DA46="Poussin","*Poussin*",""))))))))))),'Étape 1 - à remplir'!$G$31:$G$400,"lots",'Étape 1 - à remplir'!$M$31:$M$400,MASQ2!DJ$43)/SUMIFS('Étape 1 - à remplir'!$F$19:$F$28,'Étape 1 - à remplir'!$E$19:$E$28,MASQ2!$DA46,'Étape 1 - à remplir'!$G$19:$G$28,"lots"),"")</f>
        <v/>
      </c>
      <c r="DK46" s="117" t="str">
        <f>IFERROR(SUMIFS('Étape 1 - à remplir'!$F$31:$F$400,'Étape 1 - à remplir'!$C$31:$C$400,IF($DA46="Croissance","*Croissance*",IF($DA46="Veau","*Veau*",IF($DA46="Adulte","*Adulte*",IF($DA46="Agneau","*Agneau*",IF($DA46="Chevreau","*Chevreau*",IF($DA46="Démarrage","*Démarrage*",IF($DA46="Engraissement","*Engraissement*",IF($DA46="Porcelet","*Porcelet*",IF($DA46="Post_sevrage","*Post_sevrage*",IF($DA46="Poulain","*Poulain*",IF($DA46="Poussin","*Poussin*",""))))))))))),'Étape 1 - à remplir'!$G$31:$G$400,"lots",'Étape 1 - à remplir'!$M$31:$M$400,MASQ2!DK$43)/SUMIFS('Étape 1 - à remplir'!$F$19:$F$28,'Étape 1 - à remplir'!$E$19:$E$28,MASQ2!$DA46,'Étape 1 - à remplir'!$G$19:$G$28,"lots"),"")</f>
        <v/>
      </c>
      <c r="DL46" s="117" t="str">
        <f>IFERROR(SUMIFS('Étape 1 - à remplir'!$F$31:$F$400,'Étape 1 - à remplir'!$C$31:$C$400,IF($DA46="Croissance","*Croissance*",IF($DA46="Veau","*Veau*",IF($DA46="Adulte","*Adulte*",IF($DA46="Agneau","*Agneau*",IF($DA46="Chevreau","*Chevreau*",IF($DA46="Démarrage","*Démarrage*",IF($DA46="Engraissement","*Engraissement*",IF($DA46="Porcelet","*Porcelet*",IF($DA46="Post_sevrage","*Post_sevrage*",IF($DA46="Poulain","*Poulain*",IF($DA46="Poussin","*Poussin*",""))))))))))),'Étape 1 - à remplir'!$G$31:$G$400,"lots",'Étape 1 - à remplir'!$M$31:$M$400,MASQ2!DL$43)/SUMIFS('Étape 1 - à remplir'!$F$19:$F$28,'Étape 1 - à remplir'!$E$19:$E$28,MASQ2!$DA46,'Étape 1 - à remplir'!$G$19:$G$28,"lots"),"")</f>
        <v/>
      </c>
      <c r="DM46" s="108" t="str">
        <f>IFERROR(SUMIFS('Étape 1 - à remplir'!$F$31:$F$400,'Étape 1 - à remplir'!$C$31:$C$400,IF($DA46="Croissance","*Croissance*",IF($DA46="Veau","*Veau*",IF($DA46="Adulte","*Adulte*",IF($DA46="Agneau","*Agneau*",IF($DA46="Chevreau","*Chevreau*",IF($DA46="Démarrage","*Démarrage*",IF($DA46="Engraissement","*Engraissement*",IF($DA46="Porcelet","*Porcelet*",IF($DA46="Post_sevrage","*Post_sevrage*",IF($DA46="Poulain","*Poulain*",IF($DA46="Poussin","*Poussin*",""))))))))))),'Étape 1 - à remplir'!$G$31:$G$400,"lots",'Étape 1 - à remplir'!$M$31:$M$400,MASQ2!DM$43)/SUMIFS('Étape 1 - à remplir'!$F$19:$F$28,'Étape 1 - à remplir'!$E$19:$E$28,MASQ2!$DA46,'Étape 1 - à remplir'!$G$19:$G$28,"lots"),"")</f>
        <v/>
      </c>
      <c r="EA46" s="194" t="str">
        <f t="shared" ca="1" si="18"/>
        <v/>
      </c>
      <c r="EB46" s="226" t="str">
        <f>IFERROR(IF(ED46=0,"",COUNTIF(ED$4:ED$600,"&gt;"&amp;ED46)+COUNTIF(ED$4:ED46,ED46)),"")</f>
        <v/>
      </c>
      <c r="EC46" t="str">
        <f t="shared" si="19"/>
        <v>AMPISOL</v>
      </c>
      <c r="ED46" t="e">
        <f>IF(IF(EL$2="Catégorie",IF(EL$3="Toutes",SUMIFS('Étape 1 - à remplir'!$F$31:$F$400,'Étape 1 - à remplir'!$E$31:$E$400,MASQ2!EC46,'Étape 1 - à remplir'!$G$31:$G$400,"kg"),SUMIFS('Étape 1 - à remplir'!$F$31:$F$400,'Étape 1 - à remplir'!$E$31:$E$400,MASQ2!EC46,'Étape 1 - à remplir'!$C$31:$C$400,EL$3)),IF(EL$2="Âge",IF(EL$3="Tous",SUMIFS('Étape 1 - à remplir'!$F$31:$F$400,'Étape 1 - à remplir'!$E$31:$E$400,MASQ2!EC46,'Étape 1 - à remplir'!$G$31:$G$400,"kg"),SUMIFS('Étape 1 - à remplir'!$F$31:$F$400,'Étape 1 - à remplir'!$E$31:$E$400,MASQ2!EC46,'Étape 1 - à remplir'!$P$31:$P$400,EL$3,'Étape 1 - à remplir'!$G$31:$G$400,"kg")),IF(EL$2="Atelier",IF(EL$3="Tous",SUMIFS('Étape 1 - à remplir'!$F$31:$F$400,'Étape 1 - à remplir'!$E$31:$E$400,MASQ2!EC46,'Étape 1 - à remplir'!$G$31:$G$400,"kg"),SUMIFS('Étape 1 - à remplir'!$F$31:$F$400,'Étape 1 - à remplir'!$E$31:$E$400,MASQ2!EC46,'Étape 1 - à remplir'!$O$31:$O$400,EL$3,'Étape 1 - à remplir'!$G$31:$G$400,"kg")),IF(EL$2="Espèce",IF(EL$3="Toutes",SUMIFS('Étape 1 - à remplir'!$F$31:$F$400,'Étape 1 - à remplir'!$E$31:$E$400,MASQ2!EC46,'Étape 1 - à remplir'!$G$31:$G$400,"kg"),SUMIFS('Étape 1 - à remplir'!$F$31:$F$400,'Étape 1 - à remplir'!$E$31:$E$400,MASQ2!EC46,'Étape 1 - à remplir'!$N$31:$N$400,EL$3,'Étape 1 - à remplir'!$G$31:$G$400,"kg"))))))=0,NA(),IF(EL$2="Catégorie",IF(EL$3="Toutes",SUMIFS('Étape 1 - à remplir'!$F$31:$F$400,'Étape 1 - à remplir'!$E$31:$E$400,MASQ2!EC46,'Étape 1 - à remplir'!$G$31:$G$400,"kg"),SUMIFS('Étape 1 - à remplir'!$F$31:$F$400,'Étape 1 - à remplir'!$E$31:$E$400,MASQ2!EC46,'Étape 1 - à remplir'!$C$31:$C$400,EL$3)),IF(EL$2="Âge",IF(EL$3="Tous",SUMIFS('Étape 1 - à remplir'!$F$31:$F$400,'Étape 1 - à remplir'!$E$31:$E$400,MASQ2!EC46,'Étape 1 - à remplir'!$G$31:$G$400,"kg"),SUMIFS('Étape 1 - à remplir'!$F$31:$F$400,'Étape 1 - à remplir'!$E$31:$E$400,MASQ2!EC46,'Étape 1 - à remplir'!$P$31:$P$400,EL$3,'Étape 1 - à remplir'!$G$31:$G$400,"kg")),IF(EL$2="Atelier",IF(EL$3="Tous",SUMIFS('Étape 1 - à remplir'!$F$31:$F$400,'Étape 1 - à remplir'!$E$31:$E$400,MASQ2!EC46,'Étape 1 - à remplir'!$G$31:$G$400,"kg"),SUMIFS('Étape 1 - à remplir'!$F$31:$F$400,'Étape 1 - à remplir'!$E$31:$E$400,MASQ2!EC46,'Étape 1 - à remplir'!$O$31:$O$400,EL$3,'Étape 1 - à remplir'!$G$31:$G$400,"kg")),IF(EL$2="Espèce",IF(EL$3="Toutes",SUMIFS('Étape 1 - à remplir'!$F$31:$F$400,'Étape 1 - à remplir'!$E$31:$E$400,MASQ2!EC46,'Étape 1 - à remplir'!$G$31:$G$400,"kg"),SUMIFS('Étape 1 - à remplir'!$F$31:$F$400,'Étape 1 - à remplir'!$E$31:$E$400,MASQ2!EC46,'Étape 1 - à remplir'!$N$31:$N$400,EL$3,'Étape 1 - à remplir'!$G$31:$G$400,"kg")))))))</f>
        <v>#N/A</v>
      </c>
      <c r="EE46" s="76">
        <f t="shared" si="53"/>
        <v>0</v>
      </c>
      <c r="EF46" t="str">
        <f t="shared" si="20"/>
        <v>Ampicilline</v>
      </c>
      <c r="EG46" t="str">
        <f t="shared" si="21"/>
        <v/>
      </c>
      <c r="EH46" t="str">
        <f t="shared" si="22"/>
        <v/>
      </c>
      <c r="EI46" t="str">
        <f t="shared" si="23"/>
        <v>Penicillines</v>
      </c>
      <c r="EJ46" t="str">
        <f t="shared" si="24"/>
        <v/>
      </c>
      <c r="EK46" s="63" t="str">
        <f t="shared" si="25"/>
        <v/>
      </c>
      <c r="EN46" s="42">
        <v>43</v>
      </c>
      <c r="EO46" t="e">
        <f t="shared" si="68"/>
        <v>#N/A</v>
      </c>
      <c r="EP46" s="63" t="e">
        <f t="shared" si="69"/>
        <v>#N/A</v>
      </c>
      <c r="ER46" s="194" t="str">
        <f t="shared" si="120"/>
        <v/>
      </c>
      <c r="ES46" s="226" t="str">
        <f>IFERROR(IF(EU46=0,"",COUNTIF(EU$4:EU$64,"&gt;"&amp;EU46)+COUNTIF(EU$4:EU46,EU46)),"")</f>
        <v/>
      </c>
      <c r="ET46" t="str">
        <f t="shared" si="121"/>
        <v>Sulfadiazine</v>
      </c>
      <c r="EU46" s="76" t="e">
        <f t="shared" si="56"/>
        <v>#N/A</v>
      </c>
      <c r="EV46">
        <v>43</v>
      </c>
      <c r="EW46" t="e">
        <f t="shared" si="57"/>
        <v>#N/A</v>
      </c>
      <c r="EX46" s="63" t="e">
        <f t="shared" si="58"/>
        <v>#N/A</v>
      </c>
      <c r="FH46" s="118" t="str">
        <f t="shared" ref="FH46:FH53" si="124">FJ34</f>
        <v/>
      </c>
      <c r="FI46" s="117" t="str">
        <f>IFERROR(SUMIFS('Étape 1 - à remplir'!$F$31:$F$400,'Étape 1 - à remplir'!$C$31:$C$400,IF($FH46="Croissance","*Croissance*",IF($FH46="Veau","*Veau*",IF($FH46="Adulte","*Adulte*",IF($FH46="Agneau","*Agneau*",IF($FH46="Chevreau","*Chevreau*",IF($FH46="Démarrage","*Démarrage*",IF($FH46="Engraissement","*Engraissement*",IF($FH46="Porcelet","*Porcelet*",IF($FH46="Post_sevrage","*Post_sevrage*",IF($FH46="Poulain","*Poulain*",IF($FH46="Poussin","*Poussin*",""))))))))))),'Étape 1 - à remplir'!$G$31:$G$400,"kg",'Étape 1 - à remplir'!$M$31:$M$400,MASQ2!FI$43)/SUMIFS('Étape 1 - à remplir'!$F$19:$F$28,'Étape 1 - à remplir'!$E$19:$E$28,MASQ2!$FH46,'Étape 1 - à remplir'!$G$19:$G$28,"kg"),"")</f>
        <v/>
      </c>
      <c r="FJ46" s="117" t="str">
        <f>IFERROR(SUMIFS('Étape 1 - à remplir'!$F$31:$F$400,'Étape 1 - à remplir'!$C$31:$C$400,IF($FH46="Croissance","*Croissance*",IF($FH46="Veau","*Veau*",IF($FH46="Adulte","*Adulte*",IF($FH46="Agneau","*Agneau*",IF($FH46="Chevreau","*Chevreau*",IF($FH46="Démarrage","*Démarrage*",IF($FH46="Engraissement","*Engraissement*",IF($FH46="Porcelet","*Porcelet*",IF($FH46="Post_sevrage","*Post_sevrage*",IF($FH46="Poulain","*Poulain*",IF($FH46="Poussin","*Poussin*",""))))))))))),'Étape 1 - à remplir'!$G$31:$G$400,"kg",'Étape 1 - à remplir'!$M$31:$M$400,MASQ2!FJ$43)/SUMIFS('Étape 1 - à remplir'!$F$19:$F$28,'Étape 1 - à remplir'!$E$19:$E$28,MASQ2!$FH46,'Étape 1 - à remplir'!$G$19:$G$28,"kg"),"")</f>
        <v/>
      </c>
      <c r="FK46" s="117" t="str">
        <f>IFERROR(SUMIFS('Étape 1 - à remplir'!$F$31:$F$400,'Étape 1 - à remplir'!$C$31:$C$400,IF($FH46="Croissance","*Croissance*",IF($FH46="Veau","*Veau*",IF($FH46="Adulte","*Adulte*",IF($FH46="Agneau","*Agneau*",IF($FH46="Chevreau","*Chevreau*",IF($FH46="Démarrage","*Démarrage*",IF($FH46="Engraissement","*Engraissement*",IF($FH46="Porcelet","*Porcelet*",IF($FH46="Post_sevrage","*Post_sevrage*",IF($FH46="Poulain","*Poulain*",IF($FH46="Poussin","*Poussin*",""))))))))))),'Étape 1 - à remplir'!$G$31:$G$400,"kg",'Étape 1 - à remplir'!$M$31:$M$400,MASQ2!FK$43)/SUMIFS('Étape 1 - à remplir'!$F$19:$F$28,'Étape 1 - à remplir'!$E$19:$E$28,MASQ2!$FH46,'Étape 1 - à remplir'!$G$19:$G$28,"kg"),"")</f>
        <v/>
      </c>
      <c r="FL46" s="117" t="str">
        <f>IFERROR(SUMIFS('Étape 1 - à remplir'!$F$31:$F$400,'Étape 1 - à remplir'!$C$31:$C$400,IF($FH46="Croissance","*Croissance*",IF($FH46="Veau","*Veau*",IF($FH46="Adulte","*Adulte*",IF($FH46="Agneau","*Agneau*",IF($FH46="Chevreau","*Chevreau*",IF($FH46="Démarrage","*Démarrage*",IF($FH46="Engraissement","*Engraissement*",IF($FH46="Porcelet","*Porcelet*",IF($FH46="Post_sevrage","*Post_sevrage*",IF($FH46="Poulain","*Poulain*",IF($FH46="Poussin","*Poussin*",""))))))))))),'Étape 1 - à remplir'!$G$31:$G$400,"kg",'Étape 1 - à remplir'!$M$31:$M$400,MASQ2!FL$43)/SUMIFS('Étape 1 - à remplir'!$F$19:$F$28,'Étape 1 - à remplir'!$E$19:$E$28,MASQ2!$FH46,'Étape 1 - à remplir'!$G$19:$G$28,"kg"),"")</f>
        <v/>
      </c>
      <c r="FM46" s="117" t="str">
        <f>IFERROR(SUMIFS('Étape 1 - à remplir'!$F$31:$F$400,'Étape 1 - à remplir'!$C$31:$C$400,IF($FH46="Croissance","*Croissance*",IF($FH46="Veau","*Veau*",IF($FH46="Adulte","*Adulte*",IF($FH46="Agneau","*Agneau*",IF($FH46="Chevreau","*Chevreau*",IF($FH46="Démarrage","*Démarrage*",IF($FH46="Engraissement","*Engraissement*",IF($FH46="Porcelet","*Porcelet*",IF($FH46="Post_sevrage","*Post_sevrage*",IF($FH46="Poulain","*Poulain*",IF($FH46="Poussin","*Poussin*",""))))))))))),'Étape 1 - à remplir'!$G$31:$G$400,"kg",'Étape 1 - à remplir'!$M$31:$M$400,MASQ2!FM$43)/SUMIFS('Étape 1 - à remplir'!$F$19:$F$28,'Étape 1 - à remplir'!$E$19:$E$28,MASQ2!$FH46,'Étape 1 - à remplir'!$G$19:$G$28,"kg"),"")</f>
        <v/>
      </c>
      <c r="FN46" s="117" t="str">
        <f>IFERROR(SUMIFS('Étape 1 - à remplir'!$F$31:$F$400,'Étape 1 - à remplir'!$C$31:$C$400,IF($FH46="Croissance","*Croissance*",IF($FH46="Veau","*Veau*",IF($FH46="Adulte","*Adulte*",IF($FH46="Agneau","*Agneau*",IF($FH46="Chevreau","*Chevreau*",IF($FH46="Démarrage","*Démarrage*",IF($FH46="Engraissement","*Engraissement*",IF($FH46="Porcelet","*Porcelet*",IF($FH46="Post_sevrage","*Post_sevrage*",IF($FH46="Poulain","*Poulain*",IF($FH46="Poussin","*Poussin*",""))))))))))),'Étape 1 - à remplir'!$G$31:$G$400,"kg",'Étape 1 - à remplir'!$M$31:$M$400,MASQ2!FN$43)/SUMIFS('Étape 1 - à remplir'!$F$19:$F$28,'Étape 1 - à remplir'!$E$19:$E$28,MASQ2!$FH46,'Étape 1 - à remplir'!$G$19:$G$28,"kg"),"")</f>
        <v/>
      </c>
      <c r="FO46" s="117" t="str">
        <f>IFERROR(SUMIFS('Étape 1 - à remplir'!$F$31:$F$400,'Étape 1 - à remplir'!$C$31:$C$400,IF($FH46="Croissance","*Croissance*",IF($FH46="Veau","*Veau*",IF($FH46="Adulte","*Adulte*",IF($FH46="Agneau","*Agneau*",IF($FH46="Chevreau","*Chevreau*",IF($FH46="Démarrage","*Démarrage*",IF($FH46="Engraissement","*Engraissement*",IF($FH46="Porcelet","*Porcelet*",IF($FH46="Post_sevrage","*Post_sevrage*",IF($FH46="Poulain","*Poulain*",IF($FH46="Poussin","*Poussin*",""))))))))))),'Étape 1 - à remplir'!$G$31:$G$400,"kg",'Étape 1 - à remplir'!$M$31:$M$400,MASQ2!FO$43)/SUMIFS('Étape 1 - à remplir'!$F$19:$F$28,'Étape 1 - à remplir'!$E$19:$E$28,MASQ2!$FH46,'Étape 1 - à remplir'!$G$19:$G$28,"kg"),"")</f>
        <v/>
      </c>
      <c r="FP46" s="117" t="str">
        <f>IFERROR(SUMIFS('Étape 1 - à remplir'!$F$31:$F$400,'Étape 1 - à remplir'!$C$31:$C$400,IF($FH46="Croissance","*Croissance*",IF($FH46="Veau","*Veau*",IF($FH46="Adulte","*Adulte*",IF($FH46="Agneau","*Agneau*",IF($FH46="Chevreau","*Chevreau*",IF($FH46="Démarrage","*Démarrage*",IF($FH46="Engraissement","*Engraissement*",IF($FH46="Porcelet","*Porcelet*",IF($FH46="Post_sevrage","*Post_sevrage*",IF($FH46="Poulain","*Poulain*",IF($FH46="Poussin","*Poussin*",""))))))))))),'Étape 1 - à remplir'!$G$31:$G$400,"kg",'Étape 1 - à remplir'!$M$31:$M$400,MASQ2!FP$43)/SUMIFS('Étape 1 - à remplir'!$F$19:$F$28,'Étape 1 - à remplir'!$E$19:$E$28,MASQ2!$FH46,'Étape 1 - à remplir'!$G$19:$G$28,"kg"),"")</f>
        <v/>
      </c>
      <c r="FQ46" s="117" t="str">
        <f>IFERROR(SUMIFS('Étape 1 - à remplir'!$F$31:$F$400,'Étape 1 - à remplir'!$C$31:$C$400,IF($FH46="Croissance","*Croissance*",IF($FH46="Veau","*Veau*",IF($FH46="Adulte","*Adulte*",IF($FH46="Agneau","*Agneau*",IF($FH46="Chevreau","*Chevreau*",IF($FH46="Démarrage","*Démarrage*",IF($FH46="Engraissement","*Engraissement*",IF($FH46="Porcelet","*Porcelet*",IF($FH46="Post_sevrage","*Post_sevrage*",IF($FH46="Poulain","*Poulain*",IF($FH46="Poussin","*Poussin*",""))))))))))),'Étape 1 - à remplir'!$G$31:$G$400,"kg",'Étape 1 - à remplir'!$M$31:$M$400,MASQ2!FQ$43)/SUMIFS('Étape 1 - à remplir'!$F$19:$F$28,'Étape 1 - à remplir'!$E$19:$E$28,MASQ2!$FH46,'Étape 1 - à remplir'!$G$19:$G$28,"kg"),"")</f>
        <v/>
      </c>
      <c r="FR46" s="117" t="str">
        <f>IFERROR(SUMIFS('Étape 1 - à remplir'!$F$31:$F$400,'Étape 1 - à remplir'!$C$31:$C$400,IF($FH46="Croissance","*Croissance*",IF($FH46="Veau","*Veau*",IF($FH46="Adulte","*Adulte*",IF($FH46="Agneau","*Agneau*",IF($FH46="Chevreau","*Chevreau*",IF($FH46="Démarrage","*Démarrage*",IF($FH46="Engraissement","*Engraissement*",IF($FH46="Porcelet","*Porcelet*",IF($FH46="Post_sevrage","*Post_sevrage*",IF($FH46="Poulain","*Poulain*",IF($FH46="Poussin","*Poussin*",""))))))))))),'Étape 1 - à remplir'!$G$31:$G$400,"kg",'Étape 1 - à remplir'!$M$31:$M$400,MASQ2!FR$43)/SUMIFS('Étape 1 - à remplir'!$F$19:$F$28,'Étape 1 - à remplir'!$E$19:$E$28,MASQ2!$FH46,'Étape 1 - à remplir'!$G$19:$G$28,"kg"),"")</f>
        <v/>
      </c>
      <c r="FS46" s="117" t="str">
        <f>IFERROR(SUMIFS('Étape 1 - à remplir'!$F$31:$F$400,'Étape 1 - à remplir'!$C$31:$C$400,IF($FH46="Croissance","*Croissance*",IF($FH46="Veau","*Veau*",IF($FH46="Adulte","*Adulte*",IF($FH46="Agneau","*Agneau*",IF($FH46="Chevreau","*Chevreau*",IF($FH46="Démarrage","*Démarrage*",IF($FH46="Engraissement","*Engraissement*",IF($FH46="Porcelet","*Porcelet*",IF($FH46="Post_sevrage","*Post_sevrage*",IF($FH46="Poulain","*Poulain*",IF($FH46="Poussin","*Poussin*",""))))))))))),'Étape 1 - à remplir'!$G$31:$G$400,"kg",'Étape 1 - à remplir'!$M$31:$M$400,MASQ2!FS$43)/SUMIFS('Étape 1 - à remplir'!$F$19:$F$28,'Étape 1 - à remplir'!$E$19:$E$28,MASQ2!$FH46,'Étape 1 - à remplir'!$G$19:$G$28,"kg"),"")</f>
        <v/>
      </c>
      <c r="FT46" s="117" t="str">
        <f>IFERROR(SUMIFS('Étape 1 - à remplir'!$F$31:$F$400,'Étape 1 - à remplir'!$C$31:$C$400,IF($FH46="Croissance","*Croissance*",IF($FH46="Veau","*Veau*",IF($FH46="Adulte","*Adulte*",IF($FH46="Agneau","*Agneau*",IF($FH46="Chevreau","*Chevreau*",IF($FH46="Démarrage","*Démarrage*",IF($FH46="Engraissement","*Engraissement*",IF($FH46="Porcelet","*Porcelet*",IF($FH46="Post_sevrage","*Post_sevrage*",IF($FH46="Poulain","*Poulain*",IF($FH46="Poussin","*Poussin*",""))))))))))),'Étape 1 - à remplir'!$G$31:$G$400,"kg",'Étape 1 - à remplir'!$M$31:$M$400,MASQ2!FT$43)/SUMIFS('Étape 1 - à remplir'!$F$19:$F$28,'Étape 1 - à remplir'!$E$19:$E$28,MASQ2!$FH46,'Étape 1 - à remplir'!$G$19:$G$28,"kg"),"")</f>
        <v/>
      </c>
    </row>
    <row r="47" spans="2:176" x14ac:dyDescent="0.3">
      <c r="B47" s="42"/>
      <c r="M47" s="194" t="str">
        <f ca="1">INDEX(Données_ATB!BD:BU,MATCH(MASQ2!O47,Données_ATB!BD:BD,0),18)</f>
        <v/>
      </c>
      <c r="N47" s="14" t="str">
        <f>IFERROR(IF(Q47=0,"",COUNTIF(Q$4:Q$600,"&gt;"&amp;Q47)+COUNTIF(Q$4:Q47,Q47)),"")</f>
        <v/>
      </c>
      <c r="O47" t="str">
        <f>Données_ATB!BD46</f>
        <v>ANIMEDAZON SPRAY</v>
      </c>
      <c r="P47" t="e">
        <f>IF(IF(X$2="Catégorie",IF(X$3="Toutes",SUMIFS('Étape 1 - à remplir'!$F$31:$F$400,'Étape 1 - à remplir'!$E$31:$E$400,MASQ2!O47,'Étape 1 - à remplir'!$G$31:$G$400,"animaux"),SUMIFS('Étape 1 - à remplir'!$F$31:$F$400,'Étape 1 - à remplir'!$E$31:$E$400,MASQ2!O47,'Étape 1 - à remplir'!$C$31:$C$400,X$3)),IF(X$2="Âge",IF(X$3="Tous",SUMIFS('Étape 1 - à remplir'!$F$31:$F$400,'Étape 1 - à remplir'!$E$31:$E$400,MASQ2!O47,'Étape 1 - à remplir'!$G$31:$G$400,"animaux"),SUMIFS('Étape 1 - à remplir'!$F$31:$F$400,'Étape 1 - à remplir'!$E$31:$E$400,MASQ2!O47,'Étape 1 - à remplir'!$P$31:$P$400,X$3)),IF(X$2="Atelier",IF(X$3="Tous",SUMIFS('Étape 1 - à remplir'!$F$31:$F$400,'Étape 1 - à remplir'!$E$31:$E$400,MASQ2!O47,'Étape 1 - à remplir'!$G$31:$G$400,"animaux"),SUMIFS('Étape 1 - à remplir'!$F$31:$F$400,'Étape 1 - à remplir'!$E$31:$E$400,MASQ2!O47,'Étape 1 - à remplir'!$O$31:$O$400,X$3)),IF(X$2="Espèce",IF(X$3="Toutes",SUMIFS('Étape 1 - à remplir'!$F$31:$F$400,'Étape 1 - à remplir'!$E$31:$E$400,MASQ2!O47,'Étape 1 - à remplir'!$G$31:$G$400,"animaux"),SUMIFS('Étape 1 - à remplir'!$F$31:$F$400,'Étape 1 - à remplir'!$E$31:$E$400,MASQ2!O47,'Étape 1 - à remplir'!$N$31:$N$400,X$3))))))=0,NA(),IF(X$2="Catégorie",IF(X$3="Toutes",SUMIFS('Étape 1 - à remplir'!$F$31:$F$400,'Étape 1 - à remplir'!$E$31:$E$400,MASQ2!O47,'Étape 1 - à remplir'!$G$31:$G$400,"animaux"),SUMIFS('Étape 1 - à remplir'!$F$31:$F$400,'Étape 1 - à remplir'!$E$31:$E$400,MASQ2!O47,'Étape 1 - à remplir'!$C$31:$C$400,X$3)),IF(X$2="Âge",IF(X$3="Tous",SUMIFS('Étape 1 - à remplir'!$F$31:$F$400,'Étape 1 - à remplir'!$E$31:$E$400,MASQ2!O47,'Étape 1 - à remplir'!$G$31:$G$400,"animaux"),SUMIFS('Étape 1 - à remplir'!$F$31:$F$400,'Étape 1 - à remplir'!$E$31:$E$400,MASQ2!O47,'Étape 1 - à remplir'!$P$31:$P$400,X$3)),IF(X$2="Atelier",IF(X$3="Tous",SUMIFS('Étape 1 - à remplir'!$F$31:$F$400,'Étape 1 - à remplir'!$E$31:$E$400,MASQ2!O47,'Étape 1 - à remplir'!$G$31:$G$400,"animaux"),SUMIFS('Étape 1 - à remplir'!$F$31:$F$400,'Étape 1 - à remplir'!$E$31:$E$400,MASQ2!O47,'Étape 1 - à remplir'!$O$31:$O$400,X$3)),IF(X$2="Espèce",IF(X$3="Toutes",SUMIFS('Étape 1 - à remplir'!$F$31:$F$400,'Étape 1 - à remplir'!$E$31:$E$400,MASQ2!O47,'Étape 1 - à remplir'!$G$31:$G$400,"animaux"),SUMIFS('Étape 1 - à remplir'!$F$31:$F$400,'Étape 1 - à remplir'!$E$31:$E$400,MASQ2!O47,'Étape 1 - à remplir'!$N$31:$N$400,X$3)))))))</f>
        <v>#N/A</v>
      </c>
      <c r="Q47" s="63">
        <f t="shared" si="62"/>
        <v>0</v>
      </c>
      <c r="R47" t="str">
        <f>Données_ATB!BM46</f>
        <v>Chlortétracycline</v>
      </c>
      <c r="S47" t="str">
        <f>Données_ATB!BN46</f>
        <v/>
      </c>
      <c r="T47" s="63" t="str">
        <f>Données_ATB!BO46</f>
        <v/>
      </c>
      <c r="U47" s="42" t="str">
        <f>Données_ATB!BQ46</f>
        <v>Tetracyclines</v>
      </c>
      <c r="V47" t="str">
        <f>Données_ATB!BR46</f>
        <v/>
      </c>
      <c r="W47" s="63" t="str">
        <f>Données_ATB!BS46</f>
        <v/>
      </c>
      <c r="Z47" s="42">
        <v>44</v>
      </c>
      <c r="AA47" t="e">
        <f t="shared" si="32"/>
        <v>#N/A</v>
      </c>
      <c r="AB47" s="63" t="e">
        <f t="shared" si="33"/>
        <v>#N/A</v>
      </c>
      <c r="AD47" s="194" t="str">
        <f>IF(AF47="Colistine","x",IF(INDEX(Données_ATB!CA$3:CB$63,MATCH(AF47,Données_ATB!CA$3:CA$63,0),2)="Fluoroquinolones","x",IF(INDEX(Données_ATB!CA$3:CB$63,MATCH(AF47,Données_ATB!CA$3:CA$63,0),2)="Cephalosporines 3&amp;4G","x","")))</f>
        <v/>
      </c>
      <c r="AE47" s="219" t="str">
        <f>IFERROR(IF(AG47=0,"",COUNTIF(AG$4:AG$64,"&gt;"&amp;AG47)+COUNTIF(AG$4:AG47,AG47)),"")</f>
        <v/>
      </c>
      <c r="AF47" s="42" t="str">
        <f>Données_ATB!CA46</f>
        <v>Sulfadiméthoxine</v>
      </c>
      <c r="AG47" s="63" t="e">
        <f t="shared" si="34"/>
        <v>#N/A</v>
      </c>
      <c r="AH47" s="42">
        <v>44</v>
      </c>
      <c r="AI47" t="e">
        <f t="shared" si="35"/>
        <v>#N/A</v>
      </c>
      <c r="AJ47" s="63" t="e">
        <f t="shared" si="36"/>
        <v>#N/A</v>
      </c>
      <c r="AT47" s="109" t="str">
        <f t="shared" si="122"/>
        <v/>
      </c>
      <c r="AU47" s="118" t="str">
        <f>IFERROR(SUMIFS('Étape 1 - à remplir'!$F$31:$F$400,'Étape 1 - à remplir'!$C$31:$C$400,IF($AT47="Croissance","*Croissance*",IF($AT47="Veau","*Veau*",IF($AT47="Adulte","*Adulte*",IF($AT47="Agneau","*Agneau*",IF($AT47="Chevreau","*Chevreau*",IF($AT47="Démarrage","*Démarrage*",IF($AT47="Engraissement","*Engraissement*",IF($AT47="Porcelet","*Porcelet*",IF($AT47="Post_sevrage","*Post_sevrage*",IF($AT47="Poulain","*Poulain*",IF($AT47="Poussin","*Poussin*",""))))))))))),'Étape 1 - à remplir'!$G$31:$G$400,"animaux",'Étape 1 - à remplir'!$M$31:$M$400,MASQ2!AU$43)/SUMIFS('Étape 1 - à remplir'!$F$19:$F$28,'Étape 1 - à remplir'!$E$19:$E$28,MASQ2!$AT47,'Étape 1 - à remplir'!$G$19:$G$28,"animaux"),"")</f>
        <v/>
      </c>
      <c r="AV47" t="str">
        <f>IFERROR(SUMIFS('Étape 1 - à remplir'!$F$31:$F$400,'Étape 1 - à remplir'!$C$31:$C$400,IF($AT47="Croissance","*Croissance*",IF($AT47="Veau","*Veau*",IF($AT47="Adulte","*Adulte*",IF($AT47="Agneau","*Agneau*",IF($AT47="Chevreau","*Chevreau*",IF($AT47="Démarrage","*Démarrage*",IF($AT47="Engraissement","*Engraissement*",IF($AT47="Porcelet","*Porcelet*",IF($AT47="Post_sevrage","*Post_sevrage*",IF($AT47="Poulain","*Poulain*",IF($AT47="Poussin","*Poussin*",""))))))))))),'Étape 1 - à remplir'!$G$31:$G$400,"animaux",'Étape 1 - à remplir'!$M$31:$M$400,MASQ2!AV$43)/SUMIFS('Étape 1 - à remplir'!$F$19:$F$28,'Étape 1 - à remplir'!$E$19:$E$28,MASQ2!$AT47,'Étape 1 - à remplir'!$G$19:$G$28,"animaux"),"")</f>
        <v/>
      </c>
      <c r="AW47" t="str">
        <f>IFERROR(SUMIFS('Étape 1 - à remplir'!$F$31:$F$400,'Étape 1 - à remplir'!$C$31:$C$400,IF($AT47="Croissance","*Croissance*",IF($AT47="Veau","*Veau*",IF($AT47="Adulte","*Adulte*",IF($AT47="Agneau","*Agneau*",IF($AT47="Chevreau","*Chevreau*",IF($AT47="Démarrage","*Démarrage*",IF($AT47="Engraissement","*Engraissement*",IF($AT47="Porcelet","*Porcelet*",IF($AT47="Post_sevrage","*Post_sevrage*",IF($AT47="Poulain","*Poulain*",IF($AT47="Poussin","*Poussin*",""))))))))))),'Étape 1 - à remplir'!$G$31:$G$400,"animaux",'Étape 1 - à remplir'!$M$31:$M$400,MASQ2!AW$43)/SUMIFS('Étape 1 - à remplir'!$F$19:$F$28,'Étape 1 - à remplir'!$E$19:$E$28,MASQ2!$AT47,'Étape 1 - à remplir'!$G$19:$G$28,"animaux"),"")</f>
        <v/>
      </c>
      <c r="AX47" t="str">
        <f>IFERROR(SUMIFS('Étape 1 - à remplir'!$F$31:$F$400,'Étape 1 - à remplir'!$C$31:$C$400,IF($AT47="Croissance","*Croissance*",IF($AT47="Veau","*Veau*",IF($AT47="Adulte","*Adulte*",IF($AT47="Agneau","*Agneau*",IF($AT47="Chevreau","*Chevreau*",IF($AT47="Démarrage","*Démarrage*",IF($AT47="Engraissement","*Engraissement*",IF($AT47="Porcelet","*Porcelet*",IF($AT47="Post_sevrage","*Post_sevrage*",IF($AT47="Poulain","*Poulain*",IF($AT47="Poussin","*Poussin*",""))))))))))),'Étape 1 - à remplir'!$G$31:$G$400,"animaux",'Étape 1 - à remplir'!$M$31:$M$400,MASQ2!AX$43)/SUMIFS('Étape 1 - à remplir'!$F$19:$F$28,'Étape 1 - à remplir'!$E$19:$E$28,MASQ2!$AT47,'Étape 1 - à remplir'!$G$19:$G$28,"animaux"),"")</f>
        <v/>
      </c>
      <c r="AY47" t="str">
        <f>IFERROR(SUMIFS('Étape 1 - à remplir'!$F$31:$F$400,'Étape 1 - à remplir'!$C$31:$C$400,IF($AT47="Croissance","*Croissance*",IF($AT47="Veau","*Veau*",IF($AT47="Adulte","*Adulte*",IF($AT47="Agneau","*Agneau*",IF($AT47="Chevreau","*Chevreau*",IF($AT47="Démarrage","*Démarrage*",IF($AT47="Engraissement","*Engraissement*",IF($AT47="Porcelet","*Porcelet*",IF($AT47="Post_sevrage","*Post_sevrage*",IF($AT47="Poulain","*Poulain*",IF($AT47="Poussin","*Poussin*",""))))))))))),'Étape 1 - à remplir'!$G$31:$G$400,"animaux",'Étape 1 - à remplir'!$M$31:$M$400,MASQ2!AY$43)/SUMIFS('Étape 1 - à remplir'!$F$19:$F$28,'Étape 1 - à remplir'!$E$19:$E$28,MASQ2!$AT47,'Étape 1 - à remplir'!$G$19:$G$28,"animaux"),"")</f>
        <v/>
      </c>
      <c r="AZ47" t="str">
        <f>IFERROR(SUMIFS('Étape 1 - à remplir'!$F$31:$F$400,'Étape 1 - à remplir'!$C$31:$C$400,IF($AT47="Croissance","*Croissance*",IF($AT47="Veau","*Veau*",IF($AT47="Adulte","*Adulte*",IF($AT47="Agneau","*Agneau*",IF($AT47="Chevreau","*Chevreau*",IF($AT47="Démarrage","*Démarrage*",IF($AT47="Engraissement","*Engraissement*",IF($AT47="Porcelet","*Porcelet*",IF($AT47="Post_sevrage","*Post_sevrage*",IF($AT47="Poulain","*Poulain*",IF($AT47="Poussin","*Poussin*",""))))))))))),'Étape 1 - à remplir'!$G$31:$G$400,"animaux",'Étape 1 - à remplir'!$M$31:$M$400,MASQ2!AZ$43)/SUMIFS('Étape 1 - à remplir'!$F$19:$F$28,'Étape 1 - à remplir'!$E$19:$E$28,MASQ2!$AT47,'Étape 1 - à remplir'!$G$19:$G$28,"animaux"),"")</f>
        <v/>
      </c>
      <c r="BA47" t="str">
        <f>IFERROR(SUMIFS('Étape 1 - à remplir'!$F$31:$F$400,'Étape 1 - à remplir'!$C$31:$C$400,IF($AT47="Croissance","*Croissance*",IF($AT47="Veau","*Veau*",IF($AT47="Adulte","*Adulte*",IF($AT47="Agneau","*Agneau*",IF($AT47="Chevreau","*Chevreau*",IF($AT47="Démarrage","*Démarrage*",IF($AT47="Engraissement","*Engraissement*",IF($AT47="Porcelet","*Porcelet*",IF($AT47="Post_sevrage","*Post_sevrage*",IF($AT47="Poulain","*Poulain*",IF($AT47="Poussin","*Poussin*",""))))))))))),'Étape 1 - à remplir'!$G$31:$G$400,"animaux",'Étape 1 - à remplir'!$M$31:$M$400,MASQ2!BA$43)/SUMIFS('Étape 1 - à remplir'!$F$19:$F$28,'Étape 1 - à remplir'!$E$19:$E$28,MASQ2!$AT47,'Étape 1 - à remplir'!$G$19:$G$28,"animaux"),"")</f>
        <v/>
      </c>
      <c r="BB47" t="str">
        <f>IFERROR(SUMIFS('Étape 1 - à remplir'!$F$31:$F$400,'Étape 1 - à remplir'!$C$31:$C$400,IF($AT47="Croissance","*Croissance*",IF($AT47="Veau","*Veau*",IF($AT47="Adulte","*Adulte*",IF($AT47="Agneau","*Agneau*",IF($AT47="Chevreau","*Chevreau*",IF($AT47="Démarrage","*Démarrage*",IF($AT47="Engraissement","*Engraissement*",IF($AT47="Porcelet","*Porcelet*",IF($AT47="Post_sevrage","*Post_sevrage*",IF($AT47="Poulain","*Poulain*",IF($AT47="Poussin","*Poussin*",""))))))))))),'Étape 1 - à remplir'!$G$31:$G$400,"animaux",'Étape 1 - à remplir'!$M$31:$M$400,MASQ2!BB$43)/SUMIFS('Étape 1 - à remplir'!$F$19:$F$28,'Étape 1 - à remplir'!$E$19:$E$28,MASQ2!$AT47,'Étape 1 - à remplir'!$G$19:$G$28,"animaux"),"")</f>
        <v/>
      </c>
      <c r="BC47" t="str">
        <f>IFERROR(SUMIFS('Étape 1 - à remplir'!$F$31:$F$400,'Étape 1 - à remplir'!$C$31:$C$400,IF($AT47="Croissance","*Croissance*",IF($AT47="Veau","*Veau*",IF($AT47="Adulte","*Adulte*",IF($AT47="Agneau","*Agneau*",IF($AT47="Chevreau","*Chevreau*",IF($AT47="Démarrage","*Démarrage*",IF($AT47="Engraissement","*Engraissement*",IF($AT47="Porcelet","*Porcelet*",IF($AT47="Post_sevrage","*Post_sevrage*",IF($AT47="Poulain","*Poulain*",IF($AT47="Poussin","*Poussin*",""))))))))))),'Étape 1 - à remplir'!$G$31:$G$400,"animaux",'Étape 1 - à remplir'!$M$31:$M$400,MASQ2!BC$43)/SUMIFS('Étape 1 - à remplir'!$F$19:$F$28,'Étape 1 - à remplir'!$E$19:$E$28,MASQ2!$AT47,'Étape 1 - à remplir'!$G$19:$G$28,"animaux"),"")</f>
        <v/>
      </c>
      <c r="BD47" t="str">
        <f>IFERROR(SUMIFS('Étape 1 - à remplir'!$F$31:$F$400,'Étape 1 - à remplir'!$C$31:$C$400,IF($AT47="Croissance","*Croissance*",IF($AT47="Veau","*Veau*",IF($AT47="Adulte","*Adulte*",IF($AT47="Agneau","*Agneau*",IF($AT47="Chevreau","*Chevreau*",IF($AT47="Démarrage","*Démarrage*",IF($AT47="Engraissement","*Engraissement*",IF($AT47="Porcelet","*Porcelet*",IF($AT47="Post_sevrage","*Post_sevrage*",IF($AT47="Poulain","*Poulain*",IF($AT47="Poussin","*Poussin*",""))))))))))),'Étape 1 - à remplir'!$G$31:$G$400,"animaux",'Étape 1 - à remplir'!$M$31:$M$400,MASQ2!BD$43)/SUMIFS('Étape 1 - à remplir'!$F$19:$F$28,'Étape 1 - à remplir'!$E$19:$E$28,MASQ2!$AT47,'Étape 1 - à remplir'!$G$19:$G$28,"animaux"),"")</f>
        <v/>
      </c>
      <c r="BE47" t="str">
        <f>IFERROR(SUMIFS('Étape 1 - à remplir'!$F$31:$F$400,'Étape 1 - à remplir'!$C$31:$C$400,IF($AT47="Croissance","*Croissance*",IF($AT47="Veau","*Veau*",IF($AT47="Adulte","*Adulte*",IF($AT47="Agneau","*Agneau*",IF($AT47="Chevreau","*Chevreau*",IF($AT47="Démarrage","*Démarrage*",IF($AT47="Engraissement","*Engraissement*",IF($AT47="Porcelet","*Porcelet*",IF($AT47="Post_sevrage","*Post_sevrage*",IF($AT47="Poulain","*Poulain*",IF($AT47="Poussin","*Poussin*",""))))))))))),'Étape 1 - à remplir'!$G$31:$G$400,"animaux",'Étape 1 - à remplir'!$M$31:$M$400,MASQ2!BE$43)/SUMIFS('Étape 1 - à remplir'!$F$19:$F$28,'Étape 1 - à remplir'!$E$19:$E$28,MASQ2!$AT47,'Étape 1 - à remplir'!$G$19:$G$28,"animaux"),"")</f>
        <v/>
      </c>
      <c r="BF47" s="76" t="str">
        <f>IFERROR(SUMIFS('Étape 1 - à remplir'!$F$31:$F$400,'Étape 1 - à remplir'!$C$31:$C$400,IF($AT47="Croissance","*Croissance*",IF($AT47="Veau","*Veau*",IF($AT47="Adulte","*Adulte*",IF($AT47="Agneau","*Agneau*",IF($AT47="Chevreau","*Chevreau*",IF($AT47="Démarrage","*Démarrage*",IF($AT47="Engraissement","*Engraissement*",IF($AT47="Porcelet","*Porcelet*",IF($AT47="Post_sevrage","*Post_sevrage*",IF($AT47="Poulain","*Poulain*",IF($AT47="Poussin","*Poussin*",""))))))))))),'Étape 1 - à remplir'!$G$31:$G$400,"animaux",'Étape 1 - à remplir'!$M$31:$M$400,MASQ2!BF$43)/SUMIFS('Étape 1 - à remplir'!$F$19:$F$28,'Étape 1 - à remplir'!$E$19:$E$28,MASQ2!$AT47,'Étape 1 - à remplir'!$G$19:$G$28,"animaux"),"")</f>
        <v/>
      </c>
      <c r="BT47" s="194" t="str">
        <f t="shared" ca="1" si="5"/>
        <v/>
      </c>
      <c r="BU47" s="219" t="str">
        <f>IFERROR(IF(BX47=0,"",COUNTIF(BX$4:BX$600,"&gt;"&amp;BX47)+COUNTIF(BX$4:BX47,BX47)),"")</f>
        <v/>
      </c>
      <c r="BV47" s="42" t="str">
        <f t="shared" si="6"/>
        <v>ANIMEDAZON SPRAY</v>
      </c>
      <c r="BW47" t="e">
        <f>IF(IF(CE$2="Catégorie",IF(CE$3="Toutes",SUMIFS('Étape 1 - à remplir'!$F$31:$F$400,'Étape 1 - à remplir'!$E$31:$E$400,MASQ2!BV47,'Étape 1 - à remplir'!$G$31:$G$400,"lots"),SUMIFS('Étape 1 - à remplir'!$F$31:$F$400,'Étape 1 - à remplir'!$E$31:$E$400,MASQ2!BV47,'Étape 1 - à remplir'!$C$31:$C$400,CE$3)),IF(CE$2="Âge",IF(CE$3="Tous",SUMIFS('Étape 1 - à remplir'!$F$31:$F$400,'Étape 1 - à remplir'!$E$31:$E$400,MASQ2!BV47,'Étape 1 - à remplir'!$G$31:$G$400,"lots"),SUMIFS('Étape 1 - à remplir'!$F$31:$F$400,'Étape 1 - à remplir'!$E$31:$E$400,MASQ2!BV47,'Étape 1 - à remplir'!$P$31:$P$400,CE$3,'Étape 1 - à remplir'!$G$31:$G$400,"lots")),IF(CE$2="Atelier",IF(CE$3="Tous",SUMIFS('Étape 1 - à remplir'!$F$31:$F$400,'Étape 1 - à remplir'!$E$31:$E$400,MASQ2!BV47,'Étape 1 - à remplir'!$G$31:$G$400,"lots"),SUMIFS('Étape 1 - à remplir'!$F$31:$F$400,'Étape 1 - à remplir'!$E$31:$E$400,MASQ2!BV47,'Étape 1 - à remplir'!$O$31:$O$400,CE$3,'Étape 1 - à remplir'!$G$31:$G$400,"lots")),IF(CE$2="Espèce",IF(CE$3="Toutes",SUMIFS('Étape 1 - à remplir'!$F$31:$F$400,'Étape 1 - à remplir'!$E$31:$E$400,MASQ2!BV47,'Étape 1 - à remplir'!$G$31:$G$400,"lots"),SUMIFS('Étape 1 - à remplir'!$F$31:$F$400,'Étape 1 - à remplir'!$E$31:$E$400,MASQ2!BV47,'Étape 1 - à remplir'!$N$31:$N$400,CE$3,'Étape 1 - à remplir'!$G$31:$G$400,"lots"))))))=0,NA(),IF(CE$2="Catégorie",IF(CE$3="Toutes",SUMIFS('Étape 1 - à remplir'!$F$31:$F$400,'Étape 1 - à remplir'!$E$31:$E$400,MASQ2!BV47,'Étape 1 - à remplir'!$G$31:$G$400,"lots"),SUMIFS('Étape 1 - à remplir'!$F$31:$F$400,'Étape 1 - à remplir'!$E$31:$E$400,MASQ2!BV47,'Étape 1 - à remplir'!$C$31:$C$400,CE$3)),IF(CE$2="Âge",IF(CE$3="Tous",SUMIFS('Étape 1 - à remplir'!$F$31:$F$400,'Étape 1 - à remplir'!$E$31:$E$400,MASQ2!BV47,'Étape 1 - à remplir'!$G$31:$G$400,"lots"),SUMIFS('Étape 1 - à remplir'!$F$31:$F$400,'Étape 1 - à remplir'!$E$31:$E$400,MASQ2!BV47,'Étape 1 - à remplir'!$P$31:$P$400,CE$3,'Étape 1 - à remplir'!$G$31:$G$400,"lots")),IF(CE$2="Atelier",IF(CE$3="Tous",SUMIFS('Étape 1 - à remplir'!$F$31:$F$400,'Étape 1 - à remplir'!$E$31:$E$400,MASQ2!BV47,'Étape 1 - à remplir'!$G$31:$G$400,"lots"),SUMIFS('Étape 1 - à remplir'!$F$31:$F$400,'Étape 1 - à remplir'!$E$31:$E$400,MASQ2!BV47,'Étape 1 - à remplir'!$O$31:$O$400,CE$3,'Étape 1 - à remplir'!$G$31:$G$400,"lots")),IF(CE$2="Espèce",IF(CE$3="Toutes",SUMIFS('Étape 1 - à remplir'!$F$31:$F$400,'Étape 1 - à remplir'!$E$31:$E$400,MASQ2!BV47,'Étape 1 - à remplir'!$G$31:$G$400,"lots"),SUMIFS('Étape 1 - à remplir'!$F$31:$F$400,'Étape 1 - à remplir'!$E$31:$E$400,MASQ2!BV47,'Étape 1 - à remplir'!$N$31:$N$400,CE$3,'Étape 1 - à remplir'!$G$31:$G$400,"lots")))))))</f>
        <v>#N/A</v>
      </c>
      <c r="BX47">
        <f t="shared" si="42"/>
        <v>0</v>
      </c>
      <c r="BY47" t="str">
        <f t="shared" si="7"/>
        <v>Chlortétracycline</v>
      </c>
      <c r="BZ47" t="str">
        <f t="shared" si="8"/>
        <v/>
      </c>
      <c r="CA47" t="str">
        <f t="shared" si="9"/>
        <v/>
      </c>
      <c r="CB47" t="str">
        <f t="shared" si="10"/>
        <v>Tetracyclines</v>
      </c>
      <c r="CC47" t="str">
        <f t="shared" si="11"/>
        <v/>
      </c>
      <c r="CD47" s="63" t="str">
        <f t="shared" si="12"/>
        <v/>
      </c>
      <c r="CG47" s="42">
        <v>44</v>
      </c>
      <c r="CH47" s="42" t="e">
        <f t="shared" si="80"/>
        <v>#N/A</v>
      </c>
      <c r="CI47" s="63" t="e">
        <f t="shared" si="81"/>
        <v>#N/A</v>
      </c>
      <c r="CK47" s="194" t="str">
        <f t="shared" si="118"/>
        <v/>
      </c>
      <c r="CL47" s="226" t="str">
        <f>IFERROR(IF(CN47=0,"",COUNTIF(CN$4:CN$64,"&gt;"&amp;CN47)+COUNTIF(CN$4:CN47,CN47)),"")</f>
        <v/>
      </c>
      <c r="CM47" t="str">
        <f t="shared" si="119"/>
        <v>Sulfadiméthoxine</v>
      </c>
      <c r="CN47" s="76" t="e">
        <f t="shared" si="45"/>
        <v>#N/A</v>
      </c>
      <c r="CO47">
        <v>44</v>
      </c>
      <c r="CP47" t="e">
        <f t="shared" si="46"/>
        <v>#N/A</v>
      </c>
      <c r="CQ47" s="63" t="e">
        <f t="shared" si="47"/>
        <v>#N/A</v>
      </c>
      <c r="DA47" s="118" t="str">
        <f t="shared" si="123"/>
        <v/>
      </c>
      <c r="DB47" s="117" t="str">
        <f>IFERROR(SUMIFS('Étape 1 - à remplir'!$F$31:$F$400,'Étape 1 - à remplir'!$C$31:$C$400,IF($DA47="Croissance","*Croissance*",IF($DA47="Veau","*Veau*",IF($DA47="Adulte","*Adulte*",IF($DA47="Agneau","*Agneau*",IF($DA47="Chevreau","*Chevreau*",IF($DA47="Démarrage","*Démarrage*",IF($DA47="Engraissement","*Engraissement*",IF($DA47="Porcelet","*Porcelet*",IF($DA47="Post_sevrage","*Post_sevrage*",IF($DA47="Poulain","*Poulain*",IF($DA47="Poussin","*Poussin*",""))))))))))),'Étape 1 - à remplir'!$G$31:$G$400,"lots",'Étape 1 - à remplir'!$M$31:$M$400,MASQ2!DB$43)/SUMIFS('Étape 1 - à remplir'!$F$19:$F$28,'Étape 1 - à remplir'!$E$19:$E$28,MASQ2!$DA47,'Étape 1 - à remplir'!$G$19:$G$28,"lots"),"")</f>
        <v/>
      </c>
      <c r="DC47" s="117" t="str">
        <f>IFERROR(SUMIFS('Étape 1 - à remplir'!$F$31:$F$400,'Étape 1 - à remplir'!$C$31:$C$400,IF($DA47="Croissance","*Croissance*",IF($DA47="Veau","*Veau*",IF($DA47="Adulte","*Adulte*",IF($DA47="Agneau","*Agneau*",IF($DA47="Chevreau","*Chevreau*",IF($DA47="Démarrage","*Démarrage*",IF($DA47="Engraissement","*Engraissement*",IF($DA47="Porcelet","*Porcelet*",IF($DA47="Post_sevrage","*Post_sevrage*",IF($DA47="Poulain","*Poulain*",IF($DA47="Poussin","*Poussin*",""))))))))))),'Étape 1 - à remplir'!$G$31:$G$400,"lots",'Étape 1 - à remplir'!$M$31:$M$400,MASQ2!DC$43)/SUMIFS('Étape 1 - à remplir'!$F$19:$F$28,'Étape 1 - à remplir'!$E$19:$E$28,MASQ2!$DA47,'Étape 1 - à remplir'!$G$19:$G$28,"lots"),"")</f>
        <v/>
      </c>
      <c r="DD47" s="117" t="str">
        <f>IFERROR(SUMIFS('Étape 1 - à remplir'!$F$31:$F$400,'Étape 1 - à remplir'!$C$31:$C$400,IF($DA47="Croissance","*Croissance*",IF($DA47="Veau","*Veau*",IF($DA47="Adulte","*Adulte*",IF($DA47="Agneau","*Agneau*",IF($DA47="Chevreau","*Chevreau*",IF($DA47="Démarrage","*Démarrage*",IF($DA47="Engraissement","*Engraissement*",IF($DA47="Porcelet","*Porcelet*",IF($DA47="Post_sevrage","*Post_sevrage*",IF($DA47="Poulain","*Poulain*",IF($DA47="Poussin","*Poussin*",""))))))))))),'Étape 1 - à remplir'!$G$31:$G$400,"lots",'Étape 1 - à remplir'!$M$31:$M$400,MASQ2!DD$43)/SUMIFS('Étape 1 - à remplir'!$F$19:$F$28,'Étape 1 - à remplir'!$E$19:$E$28,MASQ2!$DA47,'Étape 1 - à remplir'!$G$19:$G$28,"lots"),"")</f>
        <v/>
      </c>
      <c r="DE47" s="117" t="str">
        <f>IFERROR(SUMIFS('Étape 1 - à remplir'!$F$31:$F$400,'Étape 1 - à remplir'!$C$31:$C$400,IF($DA47="Croissance","*Croissance*",IF($DA47="Veau","*Veau*",IF($DA47="Adulte","*Adulte*",IF($DA47="Agneau","*Agneau*",IF($DA47="Chevreau","*Chevreau*",IF($DA47="Démarrage","*Démarrage*",IF($DA47="Engraissement","*Engraissement*",IF($DA47="Porcelet","*Porcelet*",IF($DA47="Post_sevrage","*Post_sevrage*",IF($DA47="Poulain","*Poulain*",IF($DA47="Poussin","*Poussin*",""))))))))))),'Étape 1 - à remplir'!$G$31:$G$400,"lots",'Étape 1 - à remplir'!$M$31:$M$400,MASQ2!DE$43)/SUMIFS('Étape 1 - à remplir'!$F$19:$F$28,'Étape 1 - à remplir'!$E$19:$E$28,MASQ2!$DA47,'Étape 1 - à remplir'!$G$19:$G$28,"lots"),"")</f>
        <v/>
      </c>
      <c r="DF47" s="117" t="str">
        <f>IFERROR(SUMIFS('Étape 1 - à remplir'!$F$31:$F$400,'Étape 1 - à remplir'!$C$31:$C$400,IF($DA47="Croissance","*Croissance*",IF($DA47="Veau","*Veau*",IF($DA47="Adulte","*Adulte*",IF($DA47="Agneau","*Agneau*",IF($DA47="Chevreau","*Chevreau*",IF($DA47="Démarrage","*Démarrage*",IF($DA47="Engraissement","*Engraissement*",IF($DA47="Porcelet","*Porcelet*",IF($DA47="Post_sevrage","*Post_sevrage*",IF($DA47="Poulain","*Poulain*",IF($DA47="Poussin","*Poussin*",""))))))))))),'Étape 1 - à remplir'!$G$31:$G$400,"lots",'Étape 1 - à remplir'!$M$31:$M$400,MASQ2!DF$43)/SUMIFS('Étape 1 - à remplir'!$F$19:$F$28,'Étape 1 - à remplir'!$E$19:$E$28,MASQ2!$DA47,'Étape 1 - à remplir'!$G$19:$G$28,"lots"),"")</f>
        <v/>
      </c>
      <c r="DG47" s="117" t="str">
        <f>IFERROR(SUMIFS('Étape 1 - à remplir'!$F$31:$F$400,'Étape 1 - à remplir'!$C$31:$C$400,IF($DA47="Croissance","*Croissance*",IF($DA47="Veau","*Veau*",IF($DA47="Adulte","*Adulte*",IF($DA47="Agneau","*Agneau*",IF($DA47="Chevreau","*Chevreau*",IF($DA47="Démarrage","*Démarrage*",IF($DA47="Engraissement","*Engraissement*",IF($DA47="Porcelet","*Porcelet*",IF($DA47="Post_sevrage","*Post_sevrage*",IF($DA47="Poulain","*Poulain*",IF($DA47="Poussin","*Poussin*",""))))))))))),'Étape 1 - à remplir'!$G$31:$G$400,"lots",'Étape 1 - à remplir'!$M$31:$M$400,MASQ2!DG$43)/SUMIFS('Étape 1 - à remplir'!$F$19:$F$28,'Étape 1 - à remplir'!$E$19:$E$28,MASQ2!$DA47,'Étape 1 - à remplir'!$G$19:$G$28,"lots"),"")</f>
        <v/>
      </c>
      <c r="DH47" s="117" t="str">
        <f>IFERROR(SUMIFS('Étape 1 - à remplir'!$F$31:$F$400,'Étape 1 - à remplir'!$C$31:$C$400,IF($DA47="Croissance","*Croissance*",IF($DA47="Veau","*Veau*",IF($DA47="Adulte","*Adulte*",IF($DA47="Agneau","*Agneau*",IF($DA47="Chevreau","*Chevreau*",IF($DA47="Démarrage","*Démarrage*",IF($DA47="Engraissement","*Engraissement*",IF($DA47="Porcelet","*Porcelet*",IF($DA47="Post_sevrage","*Post_sevrage*",IF($DA47="Poulain","*Poulain*",IF($DA47="Poussin","*Poussin*",""))))))))))),'Étape 1 - à remplir'!$G$31:$G$400,"lots",'Étape 1 - à remplir'!$M$31:$M$400,MASQ2!DH$43)/SUMIFS('Étape 1 - à remplir'!$F$19:$F$28,'Étape 1 - à remplir'!$E$19:$E$28,MASQ2!$DA47,'Étape 1 - à remplir'!$G$19:$G$28,"lots"),"")</f>
        <v/>
      </c>
      <c r="DI47" s="117" t="str">
        <f>IFERROR(SUMIFS('Étape 1 - à remplir'!$F$31:$F$400,'Étape 1 - à remplir'!$C$31:$C$400,IF($DA47="Croissance","*Croissance*",IF($DA47="Veau","*Veau*",IF($DA47="Adulte","*Adulte*",IF($DA47="Agneau","*Agneau*",IF($DA47="Chevreau","*Chevreau*",IF($DA47="Démarrage","*Démarrage*",IF($DA47="Engraissement","*Engraissement*",IF($DA47="Porcelet","*Porcelet*",IF($DA47="Post_sevrage","*Post_sevrage*",IF($DA47="Poulain","*Poulain*",IF($DA47="Poussin","*Poussin*",""))))))))))),'Étape 1 - à remplir'!$G$31:$G$400,"lots",'Étape 1 - à remplir'!$M$31:$M$400,MASQ2!DI$43)/SUMIFS('Étape 1 - à remplir'!$F$19:$F$28,'Étape 1 - à remplir'!$E$19:$E$28,MASQ2!$DA47,'Étape 1 - à remplir'!$G$19:$G$28,"lots"),"")</f>
        <v/>
      </c>
      <c r="DJ47" s="117" t="str">
        <f>IFERROR(SUMIFS('Étape 1 - à remplir'!$F$31:$F$400,'Étape 1 - à remplir'!$C$31:$C$400,IF($DA47="Croissance","*Croissance*",IF($DA47="Veau","*Veau*",IF($DA47="Adulte","*Adulte*",IF($DA47="Agneau","*Agneau*",IF($DA47="Chevreau","*Chevreau*",IF($DA47="Démarrage","*Démarrage*",IF($DA47="Engraissement","*Engraissement*",IF($DA47="Porcelet","*Porcelet*",IF($DA47="Post_sevrage","*Post_sevrage*",IF($DA47="Poulain","*Poulain*",IF($DA47="Poussin","*Poussin*",""))))))))))),'Étape 1 - à remplir'!$G$31:$G$400,"lots",'Étape 1 - à remplir'!$M$31:$M$400,MASQ2!DJ$43)/SUMIFS('Étape 1 - à remplir'!$F$19:$F$28,'Étape 1 - à remplir'!$E$19:$E$28,MASQ2!$DA47,'Étape 1 - à remplir'!$G$19:$G$28,"lots"),"")</f>
        <v/>
      </c>
      <c r="DK47" s="117" t="str">
        <f>IFERROR(SUMIFS('Étape 1 - à remplir'!$F$31:$F$400,'Étape 1 - à remplir'!$C$31:$C$400,IF($DA47="Croissance","*Croissance*",IF($DA47="Veau","*Veau*",IF($DA47="Adulte","*Adulte*",IF($DA47="Agneau","*Agneau*",IF($DA47="Chevreau","*Chevreau*",IF($DA47="Démarrage","*Démarrage*",IF($DA47="Engraissement","*Engraissement*",IF($DA47="Porcelet","*Porcelet*",IF($DA47="Post_sevrage","*Post_sevrage*",IF($DA47="Poulain","*Poulain*",IF($DA47="Poussin","*Poussin*",""))))))))))),'Étape 1 - à remplir'!$G$31:$G$400,"lots",'Étape 1 - à remplir'!$M$31:$M$400,MASQ2!DK$43)/SUMIFS('Étape 1 - à remplir'!$F$19:$F$28,'Étape 1 - à remplir'!$E$19:$E$28,MASQ2!$DA47,'Étape 1 - à remplir'!$G$19:$G$28,"lots"),"")</f>
        <v/>
      </c>
      <c r="DL47" s="117" t="str">
        <f>IFERROR(SUMIFS('Étape 1 - à remplir'!$F$31:$F$400,'Étape 1 - à remplir'!$C$31:$C$400,IF($DA47="Croissance","*Croissance*",IF($DA47="Veau","*Veau*",IF($DA47="Adulte","*Adulte*",IF($DA47="Agneau","*Agneau*",IF($DA47="Chevreau","*Chevreau*",IF($DA47="Démarrage","*Démarrage*",IF($DA47="Engraissement","*Engraissement*",IF($DA47="Porcelet","*Porcelet*",IF($DA47="Post_sevrage","*Post_sevrage*",IF($DA47="Poulain","*Poulain*",IF($DA47="Poussin","*Poussin*",""))))))))))),'Étape 1 - à remplir'!$G$31:$G$400,"lots",'Étape 1 - à remplir'!$M$31:$M$400,MASQ2!DL$43)/SUMIFS('Étape 1 - à remplir'!$F$19:$F$28,'Étape 1 - à remplir'!$E$19:$E$28,MASQ2!$DA47,'Étape 1 - à remplir'!$G$19:$G$28,"lots"),"")</f>
        <v/>
      </c>
      <c r="DM47" s="108" t="str">
        <f>IFERROR(SUMIFS('Étape 1 - à remplir'!$F$31:$F$400,'Étape 1 - à remplir'!$C$31:$C$400,IF($DA47="Croissance","*Croissance*",IF($DA47="Veau","*Veau*",IF($DA47="Adulte","*Adulte*",IF($DA47="Agneau","*Agneau*",IF($DA47="Chevreau","*Chevreau*",IF($DA47="Démarrage","*Démarrage*",IF($DA47="Engraissement","*Engraissement*",IF($DA47="Porcelet","*Porcelet*",IF($DA47="Post_sevrage","*Post_sevrage*",IF($DA47="Poulain","*Poulain*",IF($DA47="Poussin","*Poussin*",""))))))))))),'Étape 1 - à remplir'!$G$31:$G$400,"lots",'Étape 1 - à remplir'!$M$31:$M$400,MASQ2!DM$43)/SUMIFS('Étape 1 - à remplir'!$F$19:$F$28,'Étape 1 - à remplir'!$E$19:$E$28,MASQ2!$DA47,'Étape 1 - à remplir'!$G$19:$G$28,"lots"),"")</f>
        <v/>
      </c>
      <c r="EA47" s="194" t="str">
        <f t="shared" ca="1" si="18"/>
        <v/>
      </c>
      <c r="EB47" s="226" t="str">
        <f>IFERROR(IF(ED47=0,"",COUNTIF(ED$4:ED$600,"&gt;"&amp;ED47)+COUNTIF(ED$4:ED47,ED47)),"")</f>
        <v/>
      </c>
      <c r="EC47" t="str">
        <f t="shared" si="19"/>
        <v>ANIMEDAZON SPRAY</v>
      </c>
      <c r="ED47" t="e">
        <f>IF(IF(EL$2="Catégorie",IF(EL$3="Toutes",SUMIFS('Étape 1 - à remplir'!$F$31:$F$400,'Étape 1 - à remplir'!$E$31:$E$400,MASQ2!EC47,'Étape 1 - à remplir'!$G$31:$G$400,"kg"),SUMIFS('Étape 1 - à remplir'!$F$31:$F$400,'Étape 1 - à remplir'!$E$31:$E$400,MASQ2!EC47,'Étape 1 - à remplir'!$C$31:$C$400,EL$3)),IF(EL$2="Âge",IF(EL$3="Tous",SUMIFS('Étape 1 - à remplir'!$F$31:$F$400,'Étape 1 - à remplir'!$E$31:$E$400,MASQ2!EC47,'Étape 1 - à remplir'!$G$31:$G$400,"kg"),SUMIFS('Étape 1 - à remplir'!$F$31:$F$400,'Étape 1 - à remplir'!$E$31:$E$400,MASQ2!EC47,'Étape 1 - à remplir'!$P$31:$P$400,EL$3,'Étape 1 - à remplir'!$G$31:$G$400,"kg")),IF(EL$2="Atelier",IF(EL$3="Tous",SUMIFS('Étape 1 - à remplir'!$F$31:$F$400,'Étape 1 - à remplir'!$E$31:$E$400,MASQ2!EC47,'Étape 1 - à remplir'!$G$31:$G$400,"kg"),SUMIFS('Étape 1 - à remplir'!$F$31:$F$400,'Étape 1 - à remplir'!$E$31:$E$400,MASQ2!EC47,'Étape 1 - à remplir'!$O$31:$O$400,EL$3,'Étape 1 - à remplir'!$G$31:$G$400,"kg")),IF(EL$2="Espèce",IF(EL$3="Toutes",SUMIFS('Étape 1 - à remplir'!$F$31:$F$400,'Étape 1 - à remplir'!$E$31:$E$400,MASQ2!EC47,'Étape 1 - à remplir'!$G$31:$G$400,"kg"),SUMIFS('Étape 1 - à remplir'!$F$31:$F$400,'Étape 1 - à remplir'!$E$31:$E$400,MASQ2!EC47,'Étape 1 - à remplir'!$N$31:$N$400,EL$3,'Étape 1 - à remplir'!$G$31:$G$400,"kg"))))))=0,NA(),IF(EL$2="Catégorie",IF(EL$3="Toutes",SUMIFS('Étape 1 - à remplir'!$F$31:$F$400,'Étape 1 - à remplir'!$E$31:$E$400,MASQ2!EC47,'Étape 1 - à remplir'!$G$31:$G$400,"kg"),SUMIFS('Étape 1 - à remplir'!$F$31:$F$400,'Étape 1 - à remplir'!$E$31:$E$400,MASQ2!EC47,'Étape 1 - à remplir'!$C$31:$C$400,EL$3)),IF(EL$2="Âge",IF(EL$3="Tous",SUMIFS('Étape 1 - à remplir'!$F$31:$F$400,'Étape 1 - à remplir'!$E$31:$E$400,MASQ2!EC47,'Étape 1 - à remplir'!$G$31:$G$400,"kg"),SUMIFS('Étape 1 - à remplir'!$F$31:$F$400,'Étape 1 - à remplir'!$E$31:$E$400,MASQ2!EC47,'Étape 1 - à remplir'!$P$31:$P$400,EL$3,'Étape 1 - à remplir'!$G$31:$G$400,"kg")),IF(EL$2="Atelier",IF(EL$3="Tous",SUMIFS('Étape 1 - à remplir'!$F$31:$F$400,'Étape 1 - à remplir'!$E$31:$E$400,MASQ2!EC47,'Étape 1 - à remplir'!$G$31:$G$400,"kg"),SUMIFS('Étape 1 - à remplir'!$F$31:$F$400,'Étape 1 - à remplir'!$E$31:$E$400,MASQ2!EC47,'Étape 1 - à remplir'!$O$31:$O$400,EL$3,'Étape 1 - à remplir'!$G$31:$G$400,"kg")),IF(EL$2="Espèce",IF(EL$3="Toutes",SUMIFS('Étape 1 - à remplir'!$F$31:$F$400,'Étape 1 - à remplir'!$E$31:$E$400,MASQ2!EC47,'Étape 1 - à remplir'!$G$31:$G$400,"kg"),SUMIFS('Étape 1 - à remplir'!$F$31:$F$400,'Étape 1 - à remplir'!$E$31:$E$400,MASQ2!EC47,'Étape 1 - à remplir'!$N$31:$N$400,EL$3,'Étape 1 - à remplir'!$G$31:$G$400,"kg")))))))</f>
        <v>#N/A</v>
      </c>
      <c r="EE47" s="76">
        <f t="shared" si="53"/>
        <v>0</v>
      </c>
      <c r="EF47" t="str">
        <f t="shared" si="20"/>
        <v>Chlortétracycline</v>
      </c>
      <c r="EG47" t="str">
        <f t="shared" si="21"/>
        <v/>
      </c>
      <c r="EH47" t="str">
        <f t="shared" si="22"/>
        <v/>
      </c>
      <c r="EI47" t="str">
        <f t="shared" si="23"/>
        <v>Tetracyclines</v>
      </c>
      <c r="EJ47" t="str">
        <f t="shared" si="24"/>
        <v/>
      </c>
      <c r="EK47" s="63" t="str">
        <f t="shared" si="25"/>
        <v/>
      </c>
      <c r="EN47" s="42">
        <v>44</v>
      </c>
      <c r="EO47" t="e">
        <f t="shared" si="68"/>
        <v>#N/A</v>
      </c>
      <c r="EP47" s="63" t="e">
        <f t="shared" si="69"/>
        <v>#N/A</v>
      </c>
      <c r="ER47" s="194" t="str">
        <f t="shared" si="120"/>
        <v/>
      </c>
      <c r="ES47" s="226" t="str">
        <f>IFERROR(IF(EU47=0,"",COUNTIF(EU$4:EU$64,"&gt;"&amp;EU47)+COUNTIF(EU$4:EU47,EU47)),"")</f>
        <v/>
      </c>
      <c r="ET47" t="str">
        <f t="shared" si="121"/>
        <v>Sulfadiméthoxine</v>
      </c>
      <c r="EU47" s="76" t="e">
        <f t="shared" si="56"/>
        <v>#N/A</v>
      </c>
      <c r="EV47">
        <v>44</v>
      </c>
      <c r="EW47" t="e">
        <f t="shared" si="57"/>
        <v>#N/A</v>
      </c>
      <c r="EX47" s="63" t="e">
        <f t="shared" si="58"/>
        <v>#N/A</v>
      </c>
      <c r="FH47" s="118" t="str">
        <f t="shared" si="124"/>
        <v/>
      </c>
      <c r="FI47" s="117" t="str">
        <f>IFERROR(SUMIFS('Étape 1 - à remplir'!$F$31:$F$400,'Étape 1 - à remplir'!$C$31:$C$400,IF($FH47="Croissance","*Croissance*",IF($FH47="Veau","*Veau*",IF($FH47="Adulte","*Adulte*",IF($FH47="Agneau","*Agneau*",IF($FH47="Chevreau","*Chevreau*",IF($FH47="Démarrage","*Démarrage*",IF($FH47="Engraissement","*Engraissement*",IF($FH47="Porcelet","*Porcelet*",IF($FH47="Post_sevrage","*Post_sevrage*",IF($FH47="Poulain","*Poulain*",IF($FH47="Poussin","*Poussin*",""))))))))))),'Étape 1 - à remplir'!$G$31:$G$400,"kg",'Étape 1 - à remplir'!$M$31:$M$400,MASQ2!FI$43)/SUMIFS('Étape 1 - à remplir'!$F$19:$F$28,'Étape 1 - à remplir'!$E$19:$E$28,MASQ2!$FH47,'Étape 1 - à remplir'!$G$19:$G$28,"kg"),"")</f>
        <v/>
      </c>
      <c r="FJ47" s="117" t="str">
        <f>IFERROR(SUMIFS('Étape 1 - à remplir'!$F$31:$F$400,'Étape 1 - à remplir'!$C$31:$C$400,IF($FH47="Croissance","*Croissance*",IF($FH47="Veau","*Veau*",IF($FH47="Adulte","*Adulte*",IF($FH47="Agneau","*Agneau*",IF($FH47="Chevreau","*Chevreau*",IF($FH47="Démarrage","*Démarrage*",IF($FH47="Engraissement","*Engraissement*",IF($FH47="Porcelet","*Porcelet*",IF($FH47="Post_sevrage","*Post_sevrage*",IF($FH47="Poulain","*Poulain*",IF($FH47="Poussin","*Poussin*",""))))))))))),'Étape 1 - à remplir'!$G$31:$G$400,"kg",'Étape 1 - à remplir'!$M$31:$M$400,MASQ2!FJ$43)/SUMIFS('Étape 1 - à remplir'!$F$19:$F$28,'Étape 1 - à remplir'!$E$19:$E$28,MASQ2!$FH47,'Étape 1 - à remplir'!$G$19:$G$28,"kg"),"")</f>
        <v/>
      </c>
      <c r="FK47" s="117" t="str">
        <f>IFERROR(SUMIFS('Étape 1 - à remplir'!$F$31:$F$400,'Étape 1 - à remplir'!$C$31:$C$400,IF($FH47="Croissance","*Croissance*",IF($FH47="Veau","*Veau*",IF($FH47="Adulte","*Adulte*",IF($FH47="Agneau","*Agneau*",IF($FH47="Chevreau","*Chevreau*",IF($FH47="Démarrage","*Démarrage*",IF($FH47="Engraissement","*Engraissement*",IF($FH47="Porcelet","*Porcelet*",IF($FH47="Post_sevrage","*Post_sevrage*",IF($FH47="Poulain","*Poulain*",IF($FH47="Poussin","*Poussin*",""))))))))))),'Étape 1 - à remplir'!$G$31:$G$400,"kg",'Étape 1 - à remplir'!$M$31:$M$400,MASQ2!FK$43)/SUMIFS('Étape 1 - à remplir'!$F$19:$F$28,'Étape 1 - à remplir'!$E$19:$E$28,MASQ2!$FH47,'Étape 1 - à remplir'!$G$19:$G$28,"kg"),"")</f>
        <v/>
      </c>
      <c r="FL47" s="117" t="str">
        <f>IFERROR(SUMIFS('Étape 1 - à remplir'!$F$31:$F$400,'Étape 1 - à remplir'!$C$31:$C$400,IF($FH47="Croissance","*Croissance*",IF($FH47="Veau","*Veau*",IF($FH47="Adulte","*Adulte*",IF($FH47="Agneau","*Agneau*",IF($FH47="Chevreau","*Chevreau*",IF($FH47="Démarrage","*Démarrage*",IF($FH47="Engraissement","*Engraissement*",IF($FH47="Porcelet","*Porcelet*",IF($FH47="Post_sevrage","*Post_sevrage*",IF($FH47="Poulain","*Poulain*",IF($FH47="Poussin","*Poussin*",""))))))))))),'Étape 1 - à remplir'!$G$31:$G$400,"kg",'Étape 1 - à remplir'!$M$31:$M$400,MASQ2!FL$43)/SUMIFS('Étape 1 - à remplir'!$F$19:$F$28,'Étape 1 - à remplir'!$E$19:$E$28,MASQ2!$FH47,'Étape 1 - à remplir'!$G$19:$G$28,"kg"),"")</f>
        <v/>
      </c>
      <c r="FM47" s="117" t="str">
        <f>IFERROR(SUMIFS('Étape 1 - à remplir'!$F$31:$F$400,'Étape 1 - à remplir'!$C$31:$C$400,IF($FH47="Croissance","*Croissance*",IF($FH47="Veau","*Veau*",IF($FH47="Adulte","*Adulte*",IF($FH47="Agneau","*Agneau*",IF($FH47="Chevreau","*Chevreau*",IF($FH47="Démarrage","*Démarrage*",IF($FH47="Engraissement","*Engraissement*",IF($FH47="Porcelet","*Porcelet*",IF($FH47="Post_sevrage","*Post_sevrage*",IF($FH47="Poulain","*Poulain*",IF($FH47="Poussin","*Poussin*",""))))))))))),'Étape 1 - à remplir'!$G$31:$G$400,"kg",'Étape 1 - à remplir'!$M$31:$M$400,MASQ2!FM$43)/SUMIFS('Étape 1 - à remplir'!$F$19:$F$28,'Étape 1 - à remplir'!$E$19:$E$28,MASQ2!$FH47,'Étape 1 - à remplir'!$G$19:$G$28,"kg"),"")</f>
        <v/>
      </c>
      <c r="FN47" s="117" t="str">
        <f>IFERROR(SUMIFS('Étape 1 - à remplir'!$F$31:$F$400,'Étape 1 - à remplir'!$C$31:$C$400,IF($FH47="Croissance","*Croissance*",IF($FH47="Veau","*Veau*",IF($FH47="Adulte","*Adulte*",IF($FH47="Agneau","*Agneau*",IF($FH47="Chevreau","*Chevreau*",IF($FH47="Démarrage","*Démarrage*",IF($FH47="Engraissement","*Engraissement*",IF($FH47="Porcelet","*Porcelet*",IF($FH47="Post_sevrage","*Post_sevrage*",IF($FH47="Poulain","*Poulain*",IF($FH47="Poussin","*Poussin*",""))))))))))),'Étape 1 - à remplir'!$G$31:$G$400,"kg",'Étape 1 - à remplir'!$M$31:$M$400,MASQ2!FN$43)/SUMIFS('Étape 1 - à remplir'!$F$19:$F$28,'Étape 1 - à remplir'!$E$19:$E$28,MASQ2!$FH47,'Étape 1 - à remplir'!$G$19:$G$28,"kg"),"")</f>
        <v/>
      </c>
      <c r="FO47" s="117" t="str">
        <f>IFERROR(SUMIFS('Étape 1 - à remplir'!$F$31:$F$400,'Étape 1 - à remplir'!$C$31:$C$400,IF($FH47="Croissance","*Croissance*",IF($FH47="Veau","*Veau*",IF($FH47="Adulte","*Adulte*",IF($FH47="Agneau","*Agneau*",IF($FH47="Chevreau","*Chevreau*",IF($FH47="Démarrage","*Démarrage*",IF($FH47="Engraissement","*Engraissement*",IF($FH47="Porcelet","*Porcelet*",IF($FH47="Post_sevrage","*Post_sevrage*",IF($FH47="Poulain","*Poulain*",IF($FH47="Poussin","*Poussin*",""))))))))))),'Étape 1 - à remplir'!$G$31:$G$400,"kg",'Étape 1 - à remplir'!$M$31:$M$400,MASQ2!FO$43)/SUMIFS('Étape 1 - à remplir'!$F$19:$F$28,'Étape 1 - à remplir'!$E$19:$E$28,MASQ2!$FH47,'Étape 1 - à remplir'!$G$19:$G$28,"kg"),"")</f>
        <v/>
      </c>
      <c r="FP47" s="117" t="str">
        <f>IFERROR(SUMIFS('Étape 1 - à remplir'!$F$31:$F$400,'Étape 1 - à remplir'!$C$31:$C$400,IF($FH47="Croissance","*Croissance*",IF($FH47="Veau","*Veau*",IF($FH47="Adulte","*Adulte*",IF($FH47="Agneau","*Agneau*",IF($FH47="Chevreau","*Chevreau*",IF($FH47="Démarrage","*Démarrage*",IF($FH47="Engraissement","*Engraissement*",IF($FH47="Porcelet","*Porcelet*",IF($FH47="Post_sevrage","*Post_sevrage*",IF($FH47="Poulain","*Poulain*",IF($FH47="Poussin","*Poussin*",""))))))))))),'Étape 1 - à remplir'!$G$31:$G$400,"kg",'Étape 1 - à remplir'!$M$31:$M$400,MASQ2!FP$43)/SUMIFS('Étape 1 - à remplir'!$F$19:$F$28,'Étape 1 - à remplir'!$E$19:$E$28,MASQ2!$FH47,'Étape 1 - à remplir'!$G$19:$G$28,"kg"),"")</f>
        <v/>
      </c>
      <c r="FQ47" s="117" t="str">
        <f>IFERROR(SUMIFS('Étape 1 - à remplir'!$F$31:$F$400,'Étape 1 - à remplir'!$C$31:$C$400,IF($FH47="Croissance","*Croissance*",IF($FH47="Veau","*Veau*",IF($FH47="Adulte","*Adulte*",IF($FH47="Agneau","*Agneau*",IF($FH47="Chevreau","*Chevreau*",IF($FH47="Démarrage","*Démarrage*",IF($FH47="Engraissement","*Engraissement*",IF($FH47="Porcelet","*Porcelet*",IF($FH47="Post_sevrage","*Post_sevrage*",IF($FH47="Poulain","*Poulain*",IF($FH47="Poussin","*Poussin*",""))))))))))),'Étape 1 - à remplir'!$G$31:$G$400,"kg",'Étape 1 - à remplir'!$M$31:$M$400,MASQ2!FQ$43)/SUMIFS('Étape 1 - à remplir'!$F$19:$F$28,'Étape 1 - à remplir'!$E$19:$E$28,MASQ2!$FH47,'Étape 1 - à remplir'!$G$19:$G$28,"kg"),"")</f>
        <v/>
      </c>
      <c r="FR47" s="117" t="str">
        <f>IFERROR(SUMIFS('Étape 1 - à remplir'!$F$31:$F$400,'Étape 1 - à remplir'!$C$31:$C$400,IF($FH47="Croissance","*Croissance*",IF($FH47="Veau","*Veau*",IF($FH47="Adulte","*Adulte*",IF($FH47="Agneau","*Agneau*",IF($FH47="Chevreau","*Chevreau*",IF($FH47="Démarrage","*Démarrage*",IF($FH47="Engraissement","*Engraissement*",IF($FH47="Porcelet","*Porcelet*",IF($FH47="Post_sevrage","*Post_sevrage*",IF($FH47="Poulain","*Poulain*",IF($FH47="Poussin","*Poussin*",""))))))))))),'Étape 1 - à remplir'!$G$31:$G$400,"kg",'Étape 1 - à remplir'!$M$31:$M$400,MASQ2!FR$43)/SUMIFS('Étape 1 - à remplir'!$F$19:$F$28,'Étape 1 - à remplir'!$E$19:$E$28,MASQ2!$FH47,'Étape 1 - à remplir'!$G$19:$G$28,"kg"),"")</f>
        <v/>
      </c>
      <c r="FS47" s="117" t="str">
        <f>IFERROR(SUMIFS('Étape 1 - à remplir'!$F$31:$F$400,'Étape 1 - à remplir'!$C$31:$C$400,IF($FH47="Croissance","*Croissance*",IF($FH47="Veau","*Veau*",IF($FH47="Adulte","*Adulte*",IF($FH47="Agneau","*Agneau*",IF($FH47="Chevreau","*Chevreau*",IF($FH47="Démarrage","*Démarrage*",IF($FH47="Engraissement","*Engraissement*",IF($FH47="Porcelet","*Porcelet*",IF($FH47="Post_sevrage","*Post_sevrage*",IF($FH47="Poulain","*Poulain*",IF($FH47="Poussin","*Poussin*",""))))))))))),'Étape 1 - à remplir'!$G$31:$G$400,"kg",'Étape 1 - à remplir'!$M$31:$M$400,MASQ2!FS$43)/SUMIFS('Étape 1 - à remplir'!$F$19:$F$28,'Étape 1 - à remplir'!$E$19:$E$28,MASQ2!$FH47,'Étape 1 - à remplir'!$G$19:$G$28,"kg"),"")</f>
        <v/>
      </c>
      <c r="FT47" s="117" t="str">
        <f>IFERROR(SUMIFS('Étape 1 - à remplir'!$F$31:$F$400,'Étape 1 - à remplir'!$C$31:$C$400,IF($FH47="Croissance","*Croissance*",IF($FH47="Veau","*Veau*",IF($FH47="Adulte","*Adulte*",IF($FH47="Agneau","*Agneau*",IF($FH47="Chevreau","*Chevreau*",IF($FH47="Démarrage","*Démarrage*",IF($FH47="Engraissement","*Engraissement*",IF($FH47="Porcelet","*Porcelet*",IF($FH47="Post_sevrage","*Post_sevrage*",IF($FH47="Poulain","*Poulain*",IF($FH47="Poussin","*Poussin*",""))))))))))),'Étape 1 - à remplir'!$G$31:$G$400,"kg",'Étape 1 - à remplir'!$M$31:$M$400,MASQ2!FT$43)/SUMIFS('Étape 1 - à remplir'!$F$19:$F$28,'Étape 1 - à remplir'!$E$19:$E$28,MASQ2!$FH47,'Étape 1 - à remplir'!$G$19:$G$28,"kg"),"")</f>
        <v/>
      </c>
    </row>
    <row r="48" spans="2:176" x14ac:dyDescent="0.3">
      <c r="B48" s="42"/>
      <c r="M48" s="194" t="str">
        <f ca="1">INDEX(Données_ATB!BD:BU,MATCH(MASQ2!O48,Données_ATB!BD:BD,0),18)</f>
        <v/>
      </c>
      <c r="N48" s="14" t="str">
        <f>IFERROR(IF(Q48=0,"",COUNTIF(Q$4:Q$600,"&gt;"&amp;Q48)+COUNTIF(Q$4:Q48,Q48)),"")</f>
        <v/>
      </c>
      <c r="O48" t="str">
        <f>Données_ATB!BD47</f>
        <v>ANTI CORYZA MOUREAU</v>
      </c>
      <c r="P48" t="e">
        <f>IF(IF(X$2="Catégorie",IF(X$3="Toutes",SUMIFS('Étape 1 - à remplir'!$F$31:$F$400,'Étape 1 - à remplir'!$E$31:$E$400,MASQ2!O48,'Étape 1 - à remplir'!$G$31:$G$400,"animaux"),SUMIFS('Étape 1 - à remplir'!$F$31:$F$400,'Étape 1 - à remplir'!$E$31:$E$400,MASQ2!O48,'Étape 1 - à remplir'!$C$31:$C$400,X$3)),IF(X$2="Âge",IF(X$3="Tous",SUMIFS('Étape 1 - à remplir'!$F$31:$F$400,'Étape 1 - à remplir'!$E$31:$E$400,MASQ2!O48,'Étape 1 - à remplir'!$G$31:$G$400,"animaux"),SUMIFS('Étape 1 - à remplir'!$F$31:$F$400,'Étape 1 - à remplir'!$E$31:$E$400,MASQ2!O48,'Étape 1 - à remplir'!$P$31:$P$400,X$3)),IF(X$2="Atelier",IF(X$3="Tous",SUMIFS('Étape 1 - à remplir'!$F$31:$F$400,'Étape 1 - à remplir'!$E$31:$E$400,MASQ2!O48,'Étape 1 - à remplir'!$G$31:$G$400,"animaux"),SUMIFS('Étape 1 - à remplir'!$F$31:$F$400,'Étape 1 - à remplir'!$E$31:$E$400,MASQ2!O48,'Étape 1 - à remplir'!$O$31:$O$400,X$3)),IF(X$2="Espèce",IF(X$3="Toutes",SUMIFS('Étape 1 - à remplir'!$F$31:$F$400,'Étape 1 - à remplir'!$E$31:$E$400,MASQ2!O48,'Étape 1 - à remplir'!$G$31:$G$400,"animaux"),SUMIFS('Étape 1 - à remplir'!$F$31:$F$400,'Étape 1 - à remplir'!$E$31:$E$400,MASQ2!O48,'Étape 1 - à remplir'!$N$31:$N$400,X$3))))))=0,NA(),IF(X$2="Catégorie",IF(X$3="Toutes",SUMIFS('Étape 1 - à remplir'!$F$31:$F$400,'Étape 1 - à remplir'!$E$31:$E$400,MASQ2!O48,'Étape 1 - à remplir'!$G$31:$G$400,"animaux"),SUMIFS('Étape 1 - à remplir'!$F$31:$F$400,'Étape 1 - à remplir'!$E$31:$E$400,MASQ2!O48,'Étape 1 - à remplir'!$C$31:$C$400,X$3)),IF(X$2="Âge",IF(X$3="Tous",SUMIFS('Étape 1 - à remplir'!$F$31:$F$400,'Étape 1 - à remplir'!$E$31:$E$400,MASQ2!O48,'Étape 1 - à remplir'!$G$31:$G$400,"animaux"),SUMIFS('Étape 1 - à remplir'!$F$31:$F$400,'Étape 1 - à remplir'!$E$31:$E$400,MASQ2!O48,'Étape 1 - à remplir'!$P$31:$P$400,X$3)),IF(X$2="Atelier",IF(X$3="Tous",SUMIFS('Étape 1 - à remplir'!$F$31:$F$400,'Étape 1 - à remplir'!$E$31:$E$400,MASQ2!O48,'Étape 1 - à remplir'!$G$31:$G$400,"animaux"),SUMIFS('Étape 1 - à remplir'!$F$31:$F$400,'Étape 1 - à remplir'!$E$31:$E$400,MASQ2!O48,'Étape 1 - à remplir'!$O$31:$O$400,X$3)),IF(X$2="Espèce",IF(X$3="Toutes",SUMIFS('Étape 1 - à remplir'!$F$31:$F$400,'Étape 1 - à remplir'!$E$31:$E$400,MASQ2!O48,'Étape 1 - à remplir'!$G$31:$G$400,"animaux"),SUMIFS('Étape 1 - à remplir'!$F$31:$F$400,'Étape 1 - à remplir'!$E$31:$E$400,MASQ2!O48,'Étape 1 - à remplir'!$N$31:$N$400,X$3)))))))</f>
        <v>#N/A</v>
      </c>
      <c r="Q48" s="63">
        <f t="shared" si="62"/>
        <v>0</v>
      </c>
      <c r="R48" t="str">
        <f>Données_ATB!BM47</f>
        <v>Spiramycine</v>
      </c>
      <c r="S48" t="str">
        <f>Données_ATB!BN47</f>
        <v/>
      </c>
      <c r="T48" s="63" t="str">
        <f>Données_ATB!BO47</f>
        <v/>
      </c>
      <c r="U48" s="42" t="str">
        <f>Données_ATB!BQ47</f>
        <v>Macrolides</v>
      </c>
      <c r="V48" t="str">
        <f>Données_ATB!BR47</f>
        <v/>
      </c>
      <c r="W48" s="63" t="str">
        <f>Données_ATB!BS47</f>
        <v/>
      </c>
      <c r="Z48" s="42">
        <v>45</v>
      </c>
      <c r="AA48" t="e">
        <f t="shared" si="32"/>
        <v>#N/A</v>
      </c>
      <c r="AB48" s="63" t="e">
        <f t="shared" si="33"/>
        <v>#N/A</v>
      </c>
      <c r="AD48" s="194" t="str">
        <f>IF(AF48="Colistine","x",IF(INDEX(Données_ATB!CA$3:CB$63,MATCH(AF48,Données_ATB!CA$3:CA$63,0),2)="Fluoroquinolones","x",IF(INDEX(Données_ATB!CA$3:CB$63,MATCH(AF48,Données_ATB!CA$3:CA$63,0),2)="Cephalosporines 3&amp;4G","x","")))</f>
        <v/>
      </c>
      <c r="AE48" s="219" t="str">
        <f>IFERROR(IF(AG48=0,"",COUNTIF(AG$4:AG$64,"&gt;"&amp;AG48)+COUNTIF(AG$4:AG48,AG48)),"")</f>
        <v/>
      </c>
      <c r="AF48" s="42" t="str">
        <f>Données_ATB!CA47</f>
        <v>Sulfadimidine</v>
      </c>
      <c r="AG48" s="63" t="e">
        <f t="shared" si="34"/>
        <v>#N/A</v>
      </c>
      <c r="AH48" s="42">
        <v>45</v>
      </c>
      <c r="AI48" t="e">
        <f t="shared" si="35"/>
        <v>#N/A</v>
      </c>
      <c r="AJ48" s="63" t="e">
        <f t="shared" si="36"/>
        <v>#N/A</v>
      </c>
      <c r="AT48" s="109" t="str">
        <f t="shared" si="122"/>
        <v/>
      </c>
      <c r="AU48" s="118" t="str">
        <f>IFERROR(SUMIFS('Étape 1 - à remplir'!$F$31:$F$400,'Étape 1 - à remplir'!$C$31:$C$400,IF($AT48="Croissance","*Croissance*",IF($AT48="Veau","*Veau*",IF($AT48="Adulte","*Adulte*",IF($AT48="Agneau","*Agneau*",IF($AT48="Chevreau","*Chevreau*",IF($AT48="Démarrage","*Démarrage*",IF($AT48="Engraissement","*Engraissement*",IF($AT48="Porcelet","*Porcelet*",IF($AT48="Post_sevrage","*Post_sevrage*",IF($AT48="Poulain","*Poulain*",IF($AT48="Poussin","*Poussin*",""))))))))))),'Étape 1 - à remplir'!$G$31:$G$400,"animaux",'Étape 1 - à remplir'!$M$31:$M$400,MASQ2!AU$43)/SUMIFS('Étape 1 - à remplir'!$F$19:$F$28,'Étape 1 - à remplir'!$E$19:$E$28,MASQ2!$AT48,'Étape 1 - à remplir'!$G$19:$G$28,"animaux"),"")</f>
        <v/>
      </c>
      <c r="AV48" t="str">
        <f>IFERROR(SUMIFS('Étape 1 - à remplir'!$F$31:$F$400,'Étape 1 - à remplir'!$C$31:$C$400,IF($AT48="Croissance","*Croissance*",IF($AT48="Veau","*Veau*",IF($AT48="Adulte","*Adulte*",IF($AT48="Agneau","*Agneau*",IF($AT48="Chevreau","*Chevreau*",IF($AT48="Démarrage","*Démarrage*",IF($AT48="Engraissement","*Engraissement*",IF($AT48="Porcelet","*Porcelet*",IF($AT48="Post_sevrage","*Post_sevrage*",IF($AT48="Poulain","*Poulain*",IF($AT48="Poussin","*Poussin*",""))))))))))),'Étape 1 - à remplir'!$G$31:$G$400,"animaux",'Étape 1 - à remplir'!$M$31:$M$400,MASQ2!AV$43)/SUMIFS('Étape 1 - à remplir'!$F$19:$F$28,'Étape 1 - à remplir'!$E$19:$E$28,MASQ2!$AT48,'Étape 1 - à remplir'!$G$19:$G$28,"animaux"),"")</f>
        <v/>
      </c>
      <c r="AW48" t="str">
        <f>IFERROR(SUMIFS('Étape 1 - à remplir'!$F$31:$F$400,'Étape 1 - à remplir'!$C$31:$C$400,IF($AT48="Croissance","*Croissance*",IF($AT48="Veau","*Veau*",IF($AT48="Adulte","*Adulte*",IF($AT48="Agneau","*Agneau*",IF($AT48="Chevreau","*Chevreau*",IF($AT48="Démarrage","*Démarrage*",IF($AT48="Engraissement","*Engraissement*",IF($AT48="Porcelet","*Porcelet*",IF($AT48="Post_sevrage","*Post_sevrage*",IF($AT48="Poulain","*Poulain*",IF($AT48="Poussin","*Poussin*",""))))))))))),'Étape 1 - à remplir'!$G$31:$G$400,"animaux",'Étape 1 - à remplir'!$M$31:$M$400,MASQ2!AW$43)/SUMIFS('Étape 1 - à remplir'!$F$19:$F$28,'Étape 1 - à remplir'!$E$19:$E$28,MASQ2!$AT48,'Étape 1 - à remplir'!$G$19:$G$28,"animaux"),"")</f>
        <v/>
      </c>
      <c r="AX48" t="str">
        <f>IFERROR(SUMIFS('Étape 1 - à remplir'!$F$31:$F$400,'Étape 1 - à remplir'!$C$31:$C$400,IF($AT48="Croissance","*Croissance*",IF($AT48="Veau","*Veau*",IF($AT48="Adulte","*Adulte*",IF($AT48="Agneau","*Agneau*",IF($AT48="Chevreau","*Chevreau*",IF($AT48="Démarrage","*Démarrage*",IF($AT48="Engraissement","*Engraissement*",IF($AT48="Porcelet","*Porcelet*",IF($AT48="Post_sevrage","*Post_sevrage*",IF($AT48="Poulain","*Poulain*",IF($AT48="Poussin","*Poussin*",""))))))))))),'Étape 1 - à remplir'!$G$31:$G$400,"animaux",'Étape 1 - à remplir'!$M$31:$M$400,MASQ2!AX$43)/SUMIFS('Étape 1 - à remplir'!$F$19:$F$28,'Étape 1 - à remplir'!$E$19:$E$28,MASQ2!$AT48,'Étape 1 - à remplir'!$G$19:$G$28,"animaux"),"")</f>
        <v/>
      </c>
      <c r="AY48" t="str">
        <f>IFERROR(SUMIFS('Étape 1 - à remplir'!$F$31:$F$400,'Étape 1 - à remplir'!$C$31:$C$400,IF($AT48="Croissance","*Croissance*",IF($AT48="Veau","*Veau*",IF($AT48="Adulte","*Adulte*",IF($AT48="Agneau","*Agneau*",IF($AT48="Chevreau","*Chevreau*",IF($AT48="Démarrage","*Démarrage*",IF($AT48="Engraissement","*Engraissement*",IF($AT48="Porcelet","*Porcelet*",IF($AT48="Post_sevrage","*Post_sevrage*",IF($AT48="Poulain","*Poulain*",IF($AT48="Poussin","*Poussin*",""))))))))))),'Étape 1 - à remplir'!$G$31:$G$400,"animaux",'Étape 1 - à remplir'!$M$31:$M$400,MASQ2!AY$43)/SUMIFS('Étape 1 - à remplir'!$F$19:$F$28,'Étape 1 - à remplir'!$E$19:$E$28,MASQ2!$AT48,'Étape 1 - à remplir'!$G$19:$G$28,"animaux"),"")</f>
        <v/>
      </c>
      <c r="AZ48" t="str">
        <f>IFERROR(SUMIFS('Étape 1 - à remplir'!$F$31:$F$400,'Étape 1 - à remplir'!$C$31:$C$400,IF($AT48="Croissance","*Croissance*",IF($AT48="Veau","*Veau*",IF($AT48="Adulte","*Adulte*",IF($AT48="Agneau","*Agneau*",IF($AT48="Chevreau","*Chevreau*",IF($AT48="Démarrage","*Démarrage*",IF($AT48="Engraissement","*Engraissement*",IF($AT48="Porcelet","*Porcelet*",IF($AT48="Post_sevrage","*Post_sevrage*",IF($AT48="Poulain","*Poulain*",IF($AT48="Poussin","*Poussin*",""))))))))))),'Étape 1 - à remplir'!$G$31:$G$400,"animaux",'Étape 1 - à remplir'!$M$31:$M$400,MASQ2!AZ$43)/SUMIFS('Étape 1 - à remplir'!$F$19:$F$28,'Étape 1 - à remplir'!$E$19:$E$28,MASQ2!$AT48,'Étape 1 - à remplir'!$G$19:$G$28,"animaux"),"")</f>
        <v/>
      </c>
      <c r="BA48" t="str">
        <f>IFERROR(SUMIFS('Étape 1 - à remplir'!$F$31:$F$400,'Étape 1 - à remplir'!$C$31:$C$400,IF($AT48="Croissance","*Croissance*",IF($AT48="Veau","*Veau*",IF($AT48="Adulte","*Adulte*",IF($AT48="Agneau","*Agneau*",IF($AT48="Chevreau","*Chevreau*",IF($AT48="Démarrage","*Démarrage*",IF($AT48="Engraissement","*Engraissement*",IF($AT48="Porcelet","*Porcelet*",IF($AT48="Post_sevrage","*Post_sevrage*",IF($AT48="Poulain","*Poulain*",IF($AT48="Poussin","*Poussin*",""))))))))))),'Étape 1 - à remplir'!$G$31:$G$400,"animaux",'Étape 1 - à remplir'!$M$31:$M$400,MASQ2!BA$43)/SUMIFS('Étape 1 - à remplir'!$F$19:$F$28,'Étape 1 - à remplir'!$E$19:$E$28,MASQ2!$AT48,'Étape 1 - à remplir'!$G$19:$G$28,"animaux"),"")</f>
        <v/>
      </c>
      <c r="BB48" t="str">
        <f>IFERROR(SUMIFS('Étape 1 - à remplir'!$F$31:$F$400,'Étape 1 - à remplir'!$C$31:$C$400,IF($AT48="Croissance","*Croissance*",IF($AT48="Veau","*Veau*",IF($AT48="Adulte","*Adulte*",IF($AT48="Agneau","*Agneau*",IF($AT48="Chevreau","*Chevreau*",IF($AT48="Démarrage","*Démarrage*",IF($AT48="Engraissement","*Engraissement*",IF($AT48="Porcelet","*Porcelet*",IF($AT48="Post_sevrage","*Post_sevrage*",IF($AT48="Poulain","*Poulain*",IF($AT48="Poussin","*Poussin*",""))))))))))),'Étape 1 - à remplir'!$G$31:$G$400,"animaux",'Étape 1 - à remplir'!$M$31:$M$400,MASQ2!BB$43)/SUMIFS('Étape 1 - à remplir'!$F$19:$F$28,'Étape 1 - à remplir'!$E$19:$E$28,MASQ2!$AT48,'Étape 1 - à remplir'!$G$19:$G$28,"animaux"),"")</f>
        <v/>
      </c>
      <c r="BC48" t="str">
        <f>IFERROR(SUMIFS('Étape 1 - à remplir'!$F$31:$F$400,'Étape 1 - à remplir'!$C$31:$C$400,IF($AT48="Croissance","*Croissance*",IF($AT48="Veau","*Veau*",IF($AT48="Adulte","*Adulte*",IF($AT48="Agneau","*Agneau*",IF($AT48="Chevreau","*Chevreau*",IF($AT48="Démarrage","*Démarrage*",IF($AT48="Engraissement","*Engraissement*",IF($AT48="Porcelet","*Porcelet*",IF($AT48="Post_sevrage","*Post_sevrage*",IF($AT48="Poulain","*Poulain*",IF($AT48="Poussin","*Poussin*",""))))))))))),'Étape 1 - à remplir'!$G$31:$G$400,"animaux",'Étape 1 - à remplir'!$M$31:$M$400,MASQ2!BC$43)/SUMIFS('Étape 1 - à remplir'!$F$19:$F$28,'Étape 1 - à remplir'!$E$19:$E$28,MASQ2!$AT48,'Étape 1 - à remplir'!$G$19:$G$28,"animaux"),"")</f>
        <v/>
      </c>
      <c r="BD48" t="str">
        <f>IFERROR(SUMIFS('Étape 1 - à remplir'!$F$31:$F$400,'Étape 1 - à remplir'!$C$31:$C$400,IF($AT48="Croissance","*Croissance*",IF($AT48="Veau","*Veau*",IF($AT48="Adulte","*Adulte*",IF($AT48="Agneau","*Agneau*",IF($AT48="Chevreau","*Chevreau*",IF($AT48="Démarrage","*Démarrage*",IF($AT48="Engraissement","*Engraissement*",IF($AT48="Porcelet","*Porcelet*",IF($AT48="Post_sevrage","*Post_sevrage*",IF($AT48="Poulain","*Poulain*",IF($AT48="Poussin","*Poussin*",""))))))))))),'Étape 1 - à remplir'!$G$31:$G$400,"animaux",'Étape 1 - à remplir'!$M$31:$M$400,MASQ2!BD$43)/SUMIFS('Étape 1 - à remplir'!$F$19:$F$28,'Étape 1 - à remplir'!$E$19:$E$28,MASQ2!$AT48,'Étape 1 - à remplir'!$G$19:$G$28,"animaux"),"")</f>
        <v/>
      </c>
      <c r="BE48" t="str">
        <f>IFERROR(SUMIFS('Étape 1 - à remplir'!$F$31:$F$400,'Étape 1 - à remplir'!$C$31:$C$400,IF($AT48="Croissance","*Croissance*",IF($AT48="Veau","*Veau*",IF($AT48="Adulte","*Adulte*",IF($AT48="Agneau","*Agneau*",IF($AT48="Chevreau","*Chevreau*",IF($AT48="Démarrage","*Démarrage*",IF($AT48="Engraissement","*Engraissement*",IF($AT48="Porcelet","*Porcelet*",IF($AT48="Post_sevrage","*Post_sevrage*",IF($AT48="Poulain","*Poulain*",IF($AT48="Poussin","*Poussin*",""))))))))))),'Étape 1 - à remplir'!$G$31:$G$400,"animaux",'Étape 1 - à remplir'!$M$31:$M$400,MASQ2!BE$43)/SUMIFS('Étape 1 - à remplir'!$F$19:$F$28,'Étape 1 - à remplir'!$E$19:$E$28,MASQ2!$AT48,'Étape 1 - à remplir'!$G$19:$G$28,"animaux"),"")</f>
        <v/>
      </c>
      <c r="BF48" s="76" t="str">
        <f>IFERROR(SUMIFS('Étape 1 - à remplir'!$F$31:$F$400,'Étape 1 - à remplir'!$C$31:$C$400,IF($AT48="Croissance","*Croissance*",IF($AT48="Veau","*Veau*",IF($AT48="Adulte","*Adulte*",IF($AT48="Agneau","*Agneau*",IF($AT48="Chevreau","*Chevreau*",IF($AT48="Démarrage","*Démarrage*",IF($AT48="Engraissement","*Engraissement*",IF($AT48="Porcelet","*Porcelet*",IF($AT48="Post_sevrage","*Post_sevrage*",IF($AT48="Poulain","*Poulain*",IF($AT48="Poussin","*Poussin*",""))))))))))),'Étape 1 - à remplir'!$G$31:$G$400,"animaux",'Étape 1 - à remplir'!$M$31:$M$400,MASQ2!BF$43)/SUMIFS('Étape 1 - à remplir'!$F$19:$F$28,'Étape 1 - à remplir'!$E$19:$E$28,MASQ2!$AT48,'Étape 1 - à remplir'!$G$19:$G$28,"animaux"),"")</f>
        <v/>
      </c>
      <c r="BT48" s="194" t="str">
        <f t="shared" ca="1" si="5"/>
        <v/>
      </c>
      <c r="BU48" s="219" t="str">
        <f>IFERROR(IF(BX48=0,"",COUNTIF(BX$4:BX$600,"&gt;"&amp;BX48)+COUNTIF(BX$4:BX48,BX48)),"")</f>
        <v/>
      </c>
      <c r="BV48" s="42" t="str">
        <f t="shared" si="6"/>
        <v>ANTI CORYZA MOUREAU</v>
      </c>
      <c r="BW48" t="e">
        <f>IF(IF(CE$2="Catégorie",IF(CE$3="Toutes",SUMIFS('Étape 1 - à remplir'!$F$31:$F$400,'Étape 1 - à remplir'!$E$31:$E$400,MASQ2!BV48,'Étape 1 - à remplir'!$G$31:$G$400,"lots"),SUMIFS('Étape 1 - à remplir'!$F$31:$F$400,'Étape 1 - à remplir'!$E$31:$E$400,MASQ2!BV48,'Étape 1 - à remplir'!$C$31:$C$400,CE$3)),IF(CE$2="Âge",IF(CE$3="Tous",SUMIFS('Étape 1 - à remplir'!$F$31:$F$400,'Étape 1 - à remplir'!$E$31:$E$400,MASQ2!BV48,'Étape 1 - à remplir'!$G$31:$G$400,"lots"),SUMIFS('Étape 1 - à remplir'!$F$31:$F$400,'Étape 1 - à remplir'!$E$31:$E$400,MASQ2!BV48,'Étape 1 - à remplir'!$P$31:$P$400,CE$3,'Étape 1 - à remplir'!$G$31:$G$400,"lots")),IF(CE$2="Atelier",IF(CE$3="Tous",SUMIFS('Étape 1 - à remplir'!$F$31:$F$400,'Étape 1 - à remplir'!$E$31:$E$400,MASQ2!BV48,'Étape 1 - à remplir'!$G$31:$G$400,"lots"),SUMIFS('Étape 1 - à remplir'!$F$31:$F$400,'Étape 1 - à remplir'!$E$31:$E$400,MASQ2!BV48,'Étape 1 - à remplir'!$O$31:$O$400,CE$3,'Étape 1 - à remplir'!$G$31:$G$400,"lots")),IF(CE$2="Espèce",IF(CE$3="Toutes",SUMIFS('Étape 1 - à remplir'!$F$31:$F$400,'Étape 1 - à remplir'!$E$31:$E$400,MASQ2!BV48,'Étape 1 - à remplir'!$G$31:$G$400,"lots"),SUMIFS('Étape 1 - à remplir'!$F$31:$F$400,'Étape 1 - à remplir'!$E$31:$E$400,MASQ2!BV48,'Étape 1 - à remplir'!$N$31:$N$400,CE$3,'Étape 1 - à remplir'!$G$31:$G$400,"lots"))))))=0,NA(),IF(CE$2="Catégorie",IF(CE$3="Toutes",SUMIFS('Étape 1 - à remplir'!$F$31:$F$400,'Étape 1 - à remplir'!$E$31:$E$400,MASQ2!BV48,'Étape 1 - à remplir'!$G$31:$G$400,"lots"),SUMIFS('Étape 1 - à remplir'!$F$31:$F$400,'Étape 1 - à remplir'!$E$31:$E$400,MASQ2!BV48,'Étape 1 - à remplir'!$C$31:$C$400,CE$3)),IF(CE$2="Âge",IF(CE$3="Tous",SUMIFS('Étape 1 - à remplir'!$F$31:$F$400,'Étape 1 - à remplir'!$E$31:$E$400,MASQ2!BV48,'Étape 1 - à remplir'!$G$31:$G$400,"lots"),SUMIFS('Étape 1 - à remplir'!$F$31:$F$400,'Étape 1 - à remplir'!$E$31:$E$400,MASQ2!BV48,'Étape 1 - à remplir'!$P$31:$P$400,CE$3,'Étape 1 - à remplir'!$G$31:$G$400,"lots")),IF(CE$2="Atelier",IF(CE$3="Tous",SUMIFS('Étape 1 - à remplir'!$F$31:$F$400,'Étape 1 - à remplir'!$E$31:$E$400,MASQ2!BV48,'Étape 1 - à remplir'!$G$31:$G$400,"lots"),SUMIFS('Étape 1 - à remplir'!$F$31:$F$400,'Étape 1 - à remplir'!$E$31:$E$400,MASQ2!BV48,'Étape 1 - à remplir'!$O$31:$O$400,CE$3,'Étape 1 - à remplir'!$G$31:$G$400,"lots")),IF(CE$2="Espèce",IF(CE$3="Toutes",SUMIFS('Étape 1 - à remplir'!$F$31:$F$400,'Étape 1 - à remplir'!$E$31:$E$400,MASQ2!BV48,'Étape 1 - à remplir'!$G$31:$G$400,"lots"),SUMIFS('Étape 1 - à remplir'!$F$31:$F$400,'Étape 1 - à remplir'!$E$31:$E$400,MASQ2!BV48,'Étape 1 - à remplir'!$N$31:$N$400,CE$3,'Étape 1 - à remplir'!$G$31:$G$400,"lots")))))))</f>
        <v>#N/A</v>
      </c>
      <c r="BX48">
        <f t="shared" si="42"/>
        <v>0</v>
      </c>
      <c r="BY48" t="str">
        <f t="shared" si="7"/>
        <v>Spiramycine</v>
      </c>
      <c r="BZ48" t="str">
        <f t="shared" si="8"/>
        <v/>
      </c>
      <c r="CA48" t="str">
        <f t="shared" si="9"/>
        <v/>
      </c>
      <c r="CB48" t="str">
        <f t="shared" si="10"/>
        <v>Macrolides</v>
      </c>
      <c r="CC48" t="str">
        <f t="shared" si="11"/>
        <v/>
      </c>
      <c r="CD48" s="63" t="str">
        <f t="shared" si="12"/>
        <v/>
      </c>
      <c r="CG48" s="42">
        <v>45</v>
      </c>
      <c r="CH48" s="42" t="e">
        <f t="shared" si="80"/>
        <v>#N/A</v>
      </c>
      <c r="CI48" s="63" t="e">
        <f t="shared" si="81"/>
        <v>#N/A</v>
      </c>
      <c r="CK48" s="194" t="str">
        <f t="shared" si="118"/>
        <v/>
      </c>
      <c r="CL48" s="226" t="str">
        <f>IFERROR(IF(CN48=0,"",COUNTIF(CN$4:CN$64,"&gt;"&amp;CN48)+COUNTIF(CN$4:CN48,CN48)),"")</f>
        <v/>
      </c>
      <c r="CM48" t="str">
        <f t="shared" si="119"/>
        <v>Sulfadimidine</v>
      </c>
      <c r="CN48" s="76" t="e">
        <f t="shared" si="45"/>
        <v>#N/A</v>
      </c>
      <c r="CO48">
        <v>45</v>
      </c>
      <c r="CP48" t="e">
        <f t="shared" si="46"/>
        <v>#N/A</v>
      </c>
      <c r="CQ48" s="63" t="e">
        <f t="shared" si="47"/>
        <v>#N/A</v>
      </c>
      <c r="DA48" s="118" t="str">
        <f t="shared" si="123"/>
        <v/>
      </c>
      <c r="DB48" s="117" t="str">
        <f>IFERROR(SUMIFS('Étape 1 - à remplir'!$F$31:$F$400,'Étape 1 - à remplir'!$C$31:$C$400,IF($DA48="Croissance","*Croissance*",IF($DA48="Veau","*Veau*",IF($DA48="Adulte","*Adulte*",IF($DA48="Agneau","*Agneau*",IF($DA48="Chevreau","*Chevreau*",IF($DA48="Démarrage","*Démarrage*",IF($DA48="Engraissement","*Engraissement*",IF($DA48="Porcelet","*Porcelet*",IF($DA48="Post_sevrage","*Post_sevrage*",IF($DA48="Poulain","*Poulain*",IF($DA48="Poussin","*Poussin*",""))))))))))),'Étape 1 - à remplir'!$G$31:$G$400,"lots",'Étape 1 - à remplir'!$M$31:$M$400,MASQ2!DB$43)/SUMIFS('Étape 1 - à remplir'!$F$19:$F$28,'Étape 1 - à remplir'!$E$19:$E$28,MASQ2!$DA48,'Étape 1 - à remplir'!$G$19:$G$28,"lots"),"")</f>
        <v/>
      </c>
      <c r="DC48" s="117" t="str">
        <f>IFERROR(SUMIFS('Étape 1 - à remplir'!$F$31:$F$400,'Étape 1 - à remplir'!$C$31:$C$400,IF($DA48="Croissance","*Croissance*",IF($DA48="Veau","*Veau*",IF($DA48="Adulte","*Adulte*",IF($DA48="Agneau","*Agneau*",IF($DA48="Chevreau","*Chevreau*",IF($DA48="Démarrage","*Démarrage*",IF($DA48="Engraissement","*Engraissement*",IF($DA48="Porcelet","*Porcelet*",IF($DA48="Post_sevrage","*Post_sevrage*",IF($DA48="Poulain","*Poulain*",IF($DA48="Poussin","*Poussin*",""))))))))))),'Étape 1 - à remplir'!$G$31:$G$400,"lots",'Étape 1 - à remplir'!$M$31:$M$400,MASQ2!DC$43)/SUMIFS('Étape 1 - à remplir'!$F$19:$F$28,'Étape 1 - à remplir'!$E$19:$E$28,MASQ2!$DA48,'Étape 1 - à remplir'!$G$19:$G$28,"lots"),"")</f>
        <v/>
      </c>
      <c r="DD48" s="117" t="str">
        <f>IFERROR(SUMIFS('Étape 1 - à remplir'!$F$31:$F$400,'Étape 1 - à remplir'!$C$31:$C$400,IF($DA48="Croissance","*Croissance*",IF($DA48="Veau","*Veau*",IF($DA48="Adulte","*Adulte*",IF($DA48="Agneau","*Agneau*",IF($DA48="Chevreau","*Chevreau*",IF($DA48="Démarrage","*Démarrage*",IF($DA48="Engraissement","*Engraissement*",IF($DA48="Porcelet","*Porcelet*",IF($DA48="Post_sevrage","*Post_sevrage*",IF($DA48="Poulain","*Poulain*",IF($DA48="Poussin","*Poussin*",""))))))))))),'Étape 1 - à remplir'!$G$31:$G$400,"lots",'Étape 1 - à remplir'!$M$31:$M$400,MASQ2!DD$43)/SUMIFS('Étape 1 - à remplir'!$F$19:$F$28,'Étape 1 - à remplir'!$E$19:$E$28,MASQ2!$DA48,'Étape 1 - à remplir'!$G$19:$G$28,"lots"),"")</f>
        <v/>
      </c>
      <c r="DE48" s="117" t="str">
        <f>IFERROR(SUMIFS('Étape 1 - à remplir'!$F$31:$F$400,'Étape 1 - à remplir'!$C$31:$C$400,IF($DA48="Croissance","*Croissance*",IF($DA48="Veau","*Veau*",IF($DA48="Adulte","*Adulte*",IF($DA48="Agneau","*Agneau*",IF($DA48="Chevreau","*Chevreau*",IF($DA48="Démarrage","*Démarrage*",IF($DA48="Engraissement","*Engraissement*",IF($DA48="Porcelet","*Porcelet*",IF($DA48="Post_sevrage","*Post_sevrage*",IF($DA48="Poulain","*Poulain*",IF($DA48="Poussin","*Poussin*",""))))))))))),'Étape 1 - à remplir'!$G$31:$G$400,"lots",'Étape 1 - à remplir'!$M$31:$M$400,MASQ2!DE$43)/SUMIFS('Étape 1 - à remplir'!$F$19:$F$28,'Étape 1 - à remplir'!$E$19:$E$28,MASQ2!$DA48,'Étape 1 - à remplir'!$G$19:$G$28,"lots"),"")</f>
        <v/>
      </c>
      <c r="DF48" s="117" t="str">
        <f>IFERROR(SUMIFS('Étape 1 - à remplir'!$F$31:$F$400,'Étape 1 - à remplir'!$C$31:$C$400,IF($DA48="Croissance","*Croissance*",IF($DA48="Veau","*Veau*",IF($DA48="Adulte","*Adulte*",IF($DA48="Agneau","*Agneau*",IF($DA48="Chevreau","*Chevreau*",IF($DA48="Démarrage","*Démarrage*",IF($DA48="Engraissement","*Engraissement*",IF($DA48="Porcelet","*Porcelet*",IF($DA48="Post_sevrage","*Post_sevrage*",IF($DA48="Poulain","*Poulain*",IF($DA48="Poussin","*Poussin*",""))))))))))),'Étape 1 - à remplir'!$G$31:$G$400,"lots",'Étape 1 - à remplir'!$M$31:$M$400,MASQ2!DF$43)/SUMIFS('Étape 1 - à remplir'!$F$19:$F$28,'Étape 1 - à remplir'!$E$19:$E$28,MASQ2!$DA48,'Étape 1 - à remplir'!$G$19:$G$28,"lots"),"")</f>
        <v/>
      </c>
      <c r="DG48" s="117" t="str">
        <f>IFERROR(SUMIFS('Étape 1 - à remplir'!$F$31:$F$400,'Étape 1 - à remplir'!$C$31:$C$400,IF($DA48="Croissance","*Croissance*",IF($DA48="Veau","*Veau*",IF($DA48="Adulte","*Adulte*",IF($DA48="Agneau","*Agneau*",IF($DA48="Chevreau","*Chevreau*",IF($DA48="Démarrage","*Démarrage*",IF($DA48="Engraissement","*Engraissement*",IF($DA48="Porcelet","*Porcelet*",IF($DA48="Post_sevrage","*Post_sevrage*",IF($DA48="Poulain","*Poulain*",IF($DA48="Poussin","*Poussin*",""))))))))))),'Étape 1 - à remplir'!$G$31:$G$400,"lots",'Étape 1 - à remplir'!$M$31:$M$400,MASQ2!DG$43)/SUMIFS('Étape 1 - à remplir'!$F$19:$F$28,'Étape 1 - à remplir'!$E$19:$E$28,MASQ2!$DA48,'Étape 1 - à remplir'!$G$19:$G$28,"lots"),"")</f>
        <v/>
      </c>
      <c r="DH48" s="117" t="str">
        <f>IFERROR(SUMIFS('Étape 1 - à remplir'!$F$31:$F$400,'Étape 1 - à remplir'!$C$31:$C$400,IF($DA48="Croissance","*Croissance*",IF($DA48="Veau","*Veau*",IF($DA48="Adulte","*Adulte*",IF($DA48="Agneau","*Agneau*",IF($DA48="Chevreau","*Chevreau*",IF($DA48="Démarrage","*Démarrage*",IF($DA48="Engraissement","*Engraissement*",IF($DA48="Porcelet","*Porcelet*",IF($DA48="Post_sevrage","*Post_sevrage*",IF($DA48="Poulain","*Poulain*",IF($DA48="Poussin","*Poussin*",""))))))))))),'Étape 1 - à remplir'!$G$31:$G$400,"lots",'Étape 1 - à remplir'!$M$31:$M$400,MASQ2!DH$43)/SUMIFS('Étape 1 - à remplir'!$F$19:$F$28,'Étape 1 - à remplir'!$E$19:$E$28,MASQ2!$DA48,'Étape 1 - à remplir'!$G$19:$G$28,"lots"),"")</f>
        <v/>
      </c>
      <c r="DI48" s="117" t="str">
        <f>IFERROR(SUMIFS('Étape 1 - à remplir'!$F$31:$F$400,'Étape 1 - à remplir'!$C$31:$C$400,IF($DA48="Croissance","*Croissance*",IF($DA48="Veau","*Veau*",IF($DA48="Adulte","*Adulte*",IF($DA48="Agneau","*Agneau*",IF($DA48="Chevreau","*Chevreau*",IF($DA48="Démarrage","*Démarrage*",IF($DA48="Engraissement","*Engraissement*",IF($DA48="Porcelet","*Porcelet*",IF($DA48="Post_sevrage","*Post_sevrage*",IF($DA48="Poulain","*Poulain*",IF($DA48="Poussin","*Poussin*",""))))))))))),'Étape 1 - à remplir'!$G$31:$G$400,"lots",'Étape 1 - à remplir'!$M$31:$M$400,MASQ2!DI$43)/SUMIFS('Étape 1 - à remplir'!$F$19:$F$28,'Étape 1 - à remplir'!$E$19:$E$28,MASQ2!$DA48,'Étape 1 - à remplir'!$G$19:$G$28,"lots"),"")</f>
        <v/>
      </c>
      <c r="DJ48" s="117" t="str">
        <f>IFERROR(SUMIFS('Étape 1 - à remplir'!$F$31:$F$400,'Étape 1 - à remplir'!$C$31:$C$400,IF($DA48="Croissance","*Croissance*",IF($DA48="Veau","*Veau*",IF($DA48="Adulte","*Adulte*",IF($DA48="Agneau","*Agneau*",IF($DA48="Chevreau","*Chevreau*",IF($DA48="Démarrage","*Démarrage*",IF($DA48="Engraissement","*Engraissement*",IF($DA48="Porcelet","*Porcelet*",IF($DA48="Post_sevrage","*Post_sevrage*",IF($DA48="Poulain","*Poulain*",IF($DA48="Poussin","*Poussin*",""))))))))))),'Étape 1 - à remplir'!$G$31:$G$400,"lots",'Étape 1 - à remplir'!$M$31:$M$400,MASQ2!DJ$43)/SUMIFS('Étape 1 - à remplir'!$F$19:$F$28,'Étape 1 - à remplir'!$E$19:$E$28,MASQ2!$DA48,'Étape 1 - à remplir'!$G$19:$G$28,"lots"),"")</f>
        <v/>
      </c>
      <c r="DK48" s="117" t="str">
        <f>IFERROR(SUMIFS('Étape 1 - à remplir'!$F$31:$F$400,'Étape 1 - à remplir'!$C$31:$C$400,IF($DA48="Croissance","*Croissance*",IF($DA48="Veau","*Veau*",IF($DA48="Adulte","*Adulte*",IF($DA48="Agneau","*Agneau*",IF($DA48="Chevreau","*Chevreau*",IF($DA48="Démarrage","*Démarrage*",IF($DA48="Engraissement","*Engraissement*",IF($DA48="Porcelet","*Porcelet*",IF($DA48="Post_sevrage","*Post_sevrage*",IF($DA48="Poulain","*Poulain*",IF($DA48="Poussin","*Poussin*",""))))))))))),'Étape 1 - à remplir'!$G$31:$G$400,"lots",'Étape 1 - à remplir'!$M$31:$M$400,MASQ2!DK$43)/SUMIFS('Étape 1 - à remplir'!$F$19:$F$28,'Étape 1 - à remplir'!$E$19:$E$28,MASQ2!$DA48,'Étape 1 - à remplir'!$G$19:$G$28,"lots"),"")</f>
        <v/>
      </c>
      <c r="DL48" s="117" t="str">
        <f>IFERROR(SUMIFS('Étape 1 - à remplir'!$F$31:$F$400,'Étape 1 - à remplir'!$C$31:$C$400,IF($DA48="Croissance","*Croissance*",IF($DA48="Veau","*Veau*",IF($DA48="Adulte","*Adulte*",IF($DA48="Agneau","*Agneau*",IF($DA48="Chevreau","*Chevreau*",IF($DA48="Démarrage","*Démarrage*",IF($DA48="Engraissement","*Engraissement*",IF($DA48="Porcelet","*Porcelet*",IF($DA48="Post_sevrage","*Post_sevrage*",IF($DA48="Poulain","*Poulain*",IF($DA48="Poussin","*Poussin*",""))))))))))),'Étape 1 - à remplir'!$G$31:$G$400,"lots",'Étape 1 - à remplir'!$M$31:$M$400,MASQ2!DL$43)/SUMIFS('Étape 1 - à remplir'!$F$19:$F$28,'Étape 1 - à remplir'!$E$19:$E$28,MASQ2!$DA48,'Étape 1 - à remplir'!$G$19:$G$28,"lots"),"")</f>
        <v/>
      </c>
      <c r="DM48" s="108" t="str">
        <f>IFERROR(SUMIFS('Étape 1 - à remplir'!$F$31:$F$400,'Étape 1 - à remplir'!$C$31:$C$400,IF($DA48="Croissance","*Croissance*",IF($DA48="Veau","*Veau*",IF($DA48="Adulte","*Adulte*",IF($DA48="Agneau","*Agneau*",IF($DA48="Chevreau","*Chevreau*",IF($DA48="Démarrage","*Démarrage*",IF($DA48="Engraissement","*Engraissement*",IF($DA48="Porcelet","*Porcelet*",IF($DA48="Post_sevrage","*Post_sevrage*",IF($DA48="Poulain","*Poulain*",IF($DA48="Poussin","*Poussin*",""))))))))))),'Étape 1 - à remplir'!$G$31:$G$400,"lots",'Étape 1 - à remplir'!$M$31:$M$400,MASQ2!DM$43)/SUMIFS('Étape 1 - à remplir'!$F$19:$F$28,'Étape 1 - à remplir'!$E$19:$E$28,MASQ2!$DA48,'Étape 1 - à remplir'!$G$19:$G$28,"lots"),"")</f>
        <v/>
      </c>
      <c r="EA48" s="194" t="str">
        <f t="shared" ca="1" si="18"/>
        <v/>
      </c>
      <c r="EB48" s="226" t="str">
        <f>IFERROR(IF(ED48=0,"",COUNTIF(ED$4:ED$600,"&gt;"&amp;ED48)+COUNTIF(ED$4:ED48,ED48)),"")</f>
        <v/>
      </c>
      <c r="EC48" t="str">
        <f t="shared" si="19"/>
        <v>ANTI CORYZA MOUREAU</v>
      </c>
      <c r="ED48" t="e">
        <f>IF(IF(EL$2="Catégorie",IF(EL$3="Toutes",SUMIFS('Étape 1 - à remplir'!$F$31:$F$400,'Étape 1 - à remplir'!$E$31:$E$400,MASQ2!EC48,'Étape 1 - à remplir'!$G$31:$G$400,"kg"),SUMIFS('Étape 1 - à remplir'!$F$31:$F$400,'Étape 1 - à remplir'!$E$31:$E$400,MASQ2!EC48,'Étape 1 - à remplir'!$C$31:$C$400,EL$3)),IF(EL$2="Âge",IF(EL$3="Tous",SUMIFS('Étape 1 - à remplir'!$F$31:$F$400,'Étape 1 - à remplir'!$E$31:$E$400,MASQ2!EC48,'Étape 1 - à remplir'!$G$31:$G$400,"kg"),SUMIFS('Étape 1 - à remplir'!$F$31:$F$400,'Étape 1 - à remplir'!$E$31:$E$400,MASQ2!EC48,'Étape 1 - à remplir'!$P$31:$P$400,EL$3,'Étape 1 - à remplir'!$G$31:$G$400,"kg")),IF(EL$2="Atelier",IF(EL$3="Tous",SUMIFS('Étape 1 - à remplir'!$F$31:$F$400,'Étape 1 - à remplir'!$E$31:$E$400,MASQ2!EC48,'Étape 1 - à remplir'!$G$31:$G$400,"kg"),SUMIFS('Étape 1 - à remplir'!$F$31:$F$400,'Étape 1 - à remplir'!$E$31:$E$400,MASQ2!EC48,'Étape 1 - à remplir'!$O$31:$O$400,EL$3,'Étape 1 - à remplir'!$G$31:$G$400,"kg")),IF(EL$2="Espèce",IF(EL$3="Toutes",SUMIFS('Étape 1 - à remplir'!$F$31:$F$400,'Étape 1 - à remplir'!$E$31:$E$400,MASQ2!EC48,'Étape 1 - à remplir'!$G$31:$G$400,"kg"),SUMIFS('Étape 1 - à remplir'!$F$31:$F$400,'Étape 1 - à remplir'!$E$31:$E$400,MASQ2!EC48,'Étape 1 - à remplir'!$N$31:$N$400,EL$3,'Étape 1 - à remplir'!$G$31:$G$400,"kg"))))))=0,NA(),IF(EL$2="Catégorie",IF(EL$3="Toutes",SUMIFS('Étape 1 - à remplir'!$F$31:$F$400,'Étape 1 - à remplir'!$E$31:$E$400,MASQ2!EC48,'Étape 1 - à remplir'!$G$31:$G$400,"kg"),SUMIFS('Étape 1 - à remplir'!$F$31:$F$400,'Étape 1 - à remplir'!$E$31:$E$400,MASQ2!EC48,'Étape 1 - à remplir'!$C$31:$C$400,EL$3)),IF(EL$2="Âge",IF(EL$3="Tous",SUMIFS('Étape 1 - à remplir'!$F$31:$F$400,'Étape 1 - à remplir'!$E$31:$E$400,MASQ2!EC48,'Étape 1 - à remplir'!$G$31:$G$400,"kg"),SUMIFS('Étape 1 - à remplir'!$F$31:$F$400,'Étape 1 - à remplir'!$E$31:$E$400,MASQ2!EC48,'Étape 1 - à remplir'!$P$31:$P$400,EL$3,'Étape 1 - à remplir'!$G$31:$G$400,"kg")),IF(EL$2="Atelier",IF(EL$3="Tous",SUMIFS('Étape 1 - à remplir'!$F$31:$F$400,'Étape 1 - à remplir'!$E$31:$E$400,MASQ2!EC48,'Étape 1 - à remplir'!$G$31:$G$400,"kg"),SUMIFS('Étape 1 - à remplir'!$F$31:$F$400,'Étape 1 - à remplir'!$E$31:$E$400,MASQ2!EC48,'Étape 1 - à remplir'!$O$31:$O$400,EL$3,'Étape 1 - à remplir'!$G$31:$G$400,"kg")),IF(EL$2="Espèce",IF(EL$3="Toutes",SUMIFS('Étape 1 - à remplir'!$F$31:$F$400,'Étape 1 - à remplir'!$E$31:$E$400,MASQ2!EC48,'Étape 1 - à remplir'!$G$31:$G$400,"kg"),SUMIFS('Étape 1 - à remplir'!$F$31:$F$400,'Étape 1 - à remplir'!$E$31:$E$400,MASQ2!EC48,'Étape 1 - à remplir'!$N$31:$N$400,EL$3,'Étape 1 - à remplir'!$G$31:$G$400,"kg")))))))</f>
        <v>#N/A</v>
      </c>
      <c r="EE48" s="76">
        <f t="shared" si="53"/>
        <v>0</v>
      </c>
      <c r="EF48" t="str">
        <f t="shared" si="20"/>
        <v>Spiramycine</v>
      </c>
      <c r="EG48" t="str">
        <f t="shared" si="21"/>
        <v/>
      </c>
      <c r="EH48" t="str">
        <f t="shared" si="22"/>
        <v/>
      </c>
      <c r="EI48" t="str">
        <f t="shared" si="23"/>
        <v>Macrolides</v>
      </c>
      <c r="EJ48" t="str">
        <f t="shared" si="24"/>
        <v/>
      </c>
      <c r="EK48" s="63" t="str">
        <f t="shared" si="25"/>
        <v/>
      </c>
      <c r="EN48" s="42">
        <v>45</v>
      </c>
      <c r="EO48" t="e">
        <f t="shared" si="68"/>
        <v>#N/A</v>
      </c>
      <c r="EP48" s="63" t="e">
        <f t="shared" si="69"/>
        <v>#N/A</v>
      </c>
      <c r="ER48" s="194" t="str">
        <f t="shared" si="120"/>
        <v/>
      </c>
      <c r="ES48" s="226" t="str">
        <f>IFERROR(IF(EU48=0,"",COUNTIF(EU$4:EU$64,"&gt;"&amp;EU48)+COUNTIF(EU$4:EU48,EU48)),"")</f>
        <v/>
      </c>
      <c r="ET48" t="str">
        <f t="shared" si="121"/>
        <v>Sulfadimidine</v>
      </c>
      <c r="EU48" s="76" t="e">
        <f t="shared" si="56"/>
        <v>#N/A</v>
      </c>
      <c r="EV48">
        <v>45</v>
      </c>
      <c r="EW48" t="e">
        <f t="shared" si="57"/>
        <v>#N/A</v>
      </c>
      <c r="EX48" s="63" t="e">
        <f t="shared" si="58"/>
        <v>#N/A</v>
      </c>
      <c r="FH48" s="118" t="str">
        <f t="shared" si="124"/>
        <v/>
      </c>
      <c r="FI48" s="117" t="str">
        <f>IFERROR(SUMIFS('Étape 1 - à remplir'!$F$31:$F$400,'Étape 1 - à remplir'!$C$31:$C$400,IF($FH48="Croissance","*Croissance*",IF($FH48="Veau","*Veau*",IF($FH48="Adulte","*Adulte*",IF($FH48="Agneau","*Agneau*",IF($FH48="Chevreau","*Chevreau*",IF($FH48="Démarrage","*Démarrage*",IF($FH48="Engraissement","*Engraissement*",IF($FH48="Porcelet","*Porcelet*",IF($FH48="Post_sevrage","*Post_sevrage*",IF($FH48="Poulain","*Poulain*",IF($FH48="Poussin","*Poussin*",""))))))))))),'Étape 1 - à remplir'!$G$31:$G$400,"kg",'Étape 1 - à remplir'!$M$31:$M$400,MASQ2!FI$43)/SUMIFS('Étape 1 - à remplir'!$F$19:$F$28,'Étape 1 - à remplir'!$E$19:$E$28,MASQ2!$FH48,'Étape 1 - à remplir'!$G$19:$G$28,"kg"),"")</f>
        <v/>
      </c>
      <c r="FJ48" s="117" t="str">
        <f>IFERROR(SUMIFS('Étape 1 - à remplir'!$F$31:$F$400,'Étape 1 - à remplir'!$C$31:$C$400,IF($FH48="Croissance","*Croissance*",IF($FH48="Veau","*Veau*",IF($FH48="Adulte","*Adulte*",IF($FH48="Agneau","*Agneau*",IF($FH48="Chevreau","*Chevreau*",IF($FH48="Démarrage","*Démarrage*",IF($FH48="Engraissement","*Engraissement*",IF($FH48="Porcelet","*Porcelet*",IF($FH48="Post_sevrage","*Post_sevrage*",IF($FH48="Poulain","*Poulain*",IF($FH48="Poussin","*Poussin*",""))))))))))),'Étape 1 - à remplir'!$G$31:$G$400,"kg",'Étape 1 - à remplir'!$M$31:$M$400,MASQ2!FJ$43)/SUMIFS('Étape 1 - à remplir'!$F$19:$F$28,'Étape 1 - à remplir'!$E$19:$E$28,MASQ2!$FH48,'Étape 1 - à remplir'!$G$19:$G$28,"kg"),"")</f>
        <v/>
      </c>
      <c r="FK48" s="117" t="str">
        <f>IFERROR(SUMIFS('Étape 1 - à remplir'!$F$31:$F$400,'Étape 1 - à remplir'!$C$31:$C$400,IF($FH48="Croissance","*Croissance*",IF($FH48="Veau","*Veau*",IF($FH48="Adulte","*Adulte*",IF($FH48="Agneau","*Agneau*",IF($FH48="Chevreau","*Chevreau*",IF($FH48="Démarrage","*Démarrage*",IF($FH48="Engraissement","*Engraissement*",IF($FH48="Porcelet","*Porcelet*",IF($FH48="Post_sevrage","*Post_sevrage*",IF($FH48="Poulain","*Poulain*",IF($FH48="Poussin","*Poussin*",""))))))))))),'Étape 1 - à remplir'!$G$31:$G$400,"kg",'Étape 1 - à remplir'!$M$31:$M$400,MASQ2!FK$43)/SUMIFS('Étape 1 - à remplir'!$F$19:$F$28,'Étape 1 - à remplir'!$E$19:$E$28,MASQ2!$FH48,'Étape 1 - à remplir'!$G$19:$G$28,"kg"),"")</f>
        <v/>
      </c>
      <c r="FL48" s="117" t="str">
        <f>IFERROR(SUMIFS('Étape 1 - à remplir'!$F$31:$F$400,'Étape 1 - à remplir'!$C$31:$C$400,IF($FH48="Croissance","*Croissance*",IF($FH48="Veau","*Veau*",IF($FH48="Adulte","*Adulte*",IF($FH48="Agneau","*Agneau*",IF($FH48="Chevreau","*Chevreau*",IF($FH48="Démarrage","*Démarrage*",IF($FH48="Engraissement","*Engraissement*",IF($FH48="Porcelet","*Porcelet*",IF($FH48="Post_sevrage","*Post_sevrage*",IF($FH48="Poulain","*Poulain*",IF($FH48="Poussin","*Poussin*",""))))))))))),'Étape 1 - à remplir'!$G$31:$G$400,"kg",'Étape 1 - à remplir'!$M$31:$M$400,MASQ2!FL$43)/SUMIFS('Étape 1 - à remplir'!$F$19:$F$28,'Étape 1 - à remplir'!$E$19:$E$28,MASQ2!$FH48,'Étape 1 - à remplir'!$G$19:$G$28,"kg"),"")</f>
        <v/>
      </c>
      <c r="FM48" s="117" t="str">
        <f>IFERROR(SUMIFS('Étape 1 - à remplir'!$F$31:$F$400,'Étape 1 - à remplir'!$C$31:$C$400,IF($FH48="Croissance","*Croissance*",IF($FH48="Veau","*Veau*",IF($FH48="Adulte","*Adulte*",IF($FH48="Agneau","*Agneau*",IF($FH48="Chevreau","*Chevreau*",IF($FH48="Démarrage","*Démarrage*",IF($FH48="Engraissement","*Engraissement*",IF($FH48="Porcelet","*Porcelet*",IF($FH48="Post_sevrage","*Post_sevrage*",IF($FH48="Poulain","*Poulain*",IF($FH48="Poussin","*Poussin*",""))))))))))),'Étape 1 - à remplir'!$G$31:$G$400,"kg",'Étape 1 - à remplir'!$M$31:$M$400,MASQ2!FM$43)/SUMIFS('Étape 1 - à remplir'!$F$19:$F$28,'Étape 1 - à remplir'!$E$19:$E$28,MASQ2!$FH48,'Étape 1 - à remplir'!$G$19:$G$28,"kg"),"")</f>
        <v/>
      </c>
      <c r="FN48" s="117" t="str">
        <f>IFERROR(SUMIFS('Étape 1 - à remplir'!$F$31:$F$400,'Étape 1 - à remplir'!$C$31:$C$400,IF($FH48="Croissance","*Croissance*",IF($FH48="Veau","*Veau*",IF($FH48="Adulte","*Adulte*",IF($FH48="Agneau","*Agneau*",IF($FH48="Chevreau","*Chevreau*",IF($FH48="Démarrage","*Démarrage*",IF($FH48="Engraissement","*Engraissement*",IF($FH48="Porcelet","*Porcelet*",IF($FH48="Post_sevrage","*Post_sevrage*",IF($FH48="Poulain","*Poulain*",IF($FH48="Poussin","*Poussin*",""))))))))))),'Étape 1 - à remplir'!$G$31:$G$400,"kg",'Étape 1 - à remplir'!$M$31:$M$400,MASQ2!FN$43)/SUMIFS('Étape 1 - à remplir'!$F$19:$F$28,'Étape 1 - à remplir'!$E$19:$E$28,MASQ2!$FH48,'Étape 1 - à remplir'!$G$19:$G$28,"kg"),"")</f>
        <v/>
      </c>
      <c r="FO48" s="117" t="str">
        <f>IFERROR(SUMIFS('Étape 1 - à remplir'!$F$31:$F$400,'Étape 1 - à remplir'!$C$31:$C$400,IF($FH48="Croissance","*Croissance*",IF($FH48="Veau","*Veau*",IF($FH48="Adulte","*Adulte*",IF($FH48="Agneau","*Agneau*",IF($FH48="Chevreau","*Chevreau*",IF($FH48="Démarrage","*Démarrage*",IF($FH48="Engraissement","*Engraissement*",IF($FH48="Porcelet","*Porcelet*",IF($FH48="Post_sevrage","*Post_sevrage*",IF($FH48="Poulain","*Poulain*",IF($FH48="Poussin","*Poussin*",""))))))))))),'Étape 1 - à remplir'!$G$31:$G$400,"kg",'Étape 1 - à remplir'!$M$31:$M$400,MASQ2!FO$43)/SUMIFS('Étape 1 - à remplir'!$F$19:$F$28,'Étape 1 - à remplir'!$E$19:$E$28,MASQ2!$FH48,'Étape 1 - à remplir'!$G$19:$G$28,"kg"),"")</f>
        <v/>
      </c>
      <c r="FP48" s="117" t="str">
        <f>IFERROR(SUMIFS('Étape 1 - à remplir'!$F$31:$F$400,'Étape 1 - à remplir'!$C$31:$C$400,IF($FH48="Croissance","*Croissance*",IF($FH48="Veau","*Veau*",IF($FH48="Adulte","*Adulte*",IF($FH48="Agneau","*Agneau*",IF($FH48="Chevreau","*Chevreau*",IF($FH48="Démarrage","*Démarrage*",IF($FH48="Engraissement","*Engraissement*",IF($FH48="Porcelet","*Porcelet*",IF($FH48="Post_sevrage","*Post_sevrage*",IF($FH48="Poulain","*Poulain*",IF($FH48="Poussin","*Poussin*",""))))))))))),'Étape 1 - à remplir'!$G$31:$G$400,"kg",'Étape 1 - à remplir'!$M$31:$M$400,MASQ2!FP$43)/SUMIFS('Étape 1 - à remplir'!$F$19:$F$28,'Étape 1 - à remplir'!$E$19:$E$28,MASQ2!$FH48,'Étape 1 - à remplir'!$G$19:$G$28,"kg"),"")</f>
        <v/>
      </c>
      <c r="FQ48" s="117" t="str">
        <f>IFERROR(SUMIFS('Étape 1 - à remplir'!$F$31:$F$400,'Étape 1 - à remplir'!$C$31:$C$400,IF($FH48="Croissance","*Croissance*",IF($FH48="Veau","*Veau*",IF($FH48="Adulte","*Adulte*",IF($FH48="Agneau","*Agneau*",IF($FH48="Chevreau","*Chevreau*",IF($FH48="Démarrage","*Démarrage*",IF($FH48="Engraissement","*Engraissement*",IF($FH48="Porcelet","*Porcelet*",IF($FH48="Post_sevrage","*Post_sevrage*",IF($FH48="Poulain","*Poulain*",IF($FH48="Poussin","*Poussin*",""))))))))))),'Étape 1 - à remplir'!$G$31:$G$400,"kg",'Étape 1 - à remplir'!$M$31:$M$400,MASQ2!FQ$43)/SUMIFS('Étape 1 - à remplir'!$F$19:$F$28,'Étape 1 - à remplir'!$E$19:$E$28,MASQ2!$FH48,'Étape 1 - à remplir'!$G$19:$G$28,"kg"),"")</f>
        <v/>
      </c>
      <c r="FR48" s="117" t="str">
        <f>IFERROR(SUMIFS('Étape 1 - à remplir'!$F$31:$F$400,'Étape 1 - à remplir'!$C$31:$C$400,IF($FH48="Croissance","*Croissance*",IF($FH48="Veau","*Veau*",IF($FH48="Adulte","*Adulte*",IF($FH48="Agneau","*Agneau*",IF($FH48="Chevreau","*Chevreau*",IF($FH48="Démarrage","*Démarrage*",IF($FH48="Engraissement","*Engraissement*",IF($FH48="Porcelet","*Porcelet*",IF($FH48="Post_sevrage","*Post_sevrage*",IF($FH48="Poulain","*Poulain*",IF($FH48="Poussin","*Poussin*",""))))))))))),'Étape 1 - à remplir'!$G$31:$G$400,"kg",'Étape 1 - à remplir'!$M$31:$M$400,MASQ2!FR$43)/SUMIFS('Étape 1 - à remplir'!$F$19:$F$28,'Étape 1 - à remplir'!$E$19:$E$28,MASQ2!$FH48,'Étape 1 - à remplir'!$G$19:$G$28,"kg"),"")</f>
        <v/>
      </c>
      <c r="FS48" s="117" t="str">
        <f>IFERROR(SUMIFS('Étape 1 - à remplir'!$F$31:$F$400,'Étape 1 - à remplir'!$C$31:$C$400,IF($FH48="Croissance","*Croissance*",IF($FH48="Veau","*Veau*",IF($FH48="Adulte","*Adulte*",IF($FH48="Agneau","*Agneau*",IF($FH48="Chevreau","*Chevreau*",IF($FH48="Démarrage","*Démarrage*",IF($FH48="Engraissement","*Engraissement*",IF($FH48="Porcelet","*Porcelet*",IF($FH48="Post_sevrage","*Post_sevrage*",IF($FH48="Poulain","*Poulain*",IF($FH48="Poussin","*Poussin*",""))))))))))),'Étape 1 - à remplir'!$G$31:$G$400,"kg",'Étape 1 - à remplir'!$M$31:$M$400,MASQ2!FS$43)/SUMIFS('Étape 1 - à remplir'!$F$19:$F$28,'Étape 1 - à remplir'!$E$19:$E$28,MASQ2!$FH48,'Étape 1 - à remplir'!$G$19:$G$28,"kg"),"")</f>
        <v/>
      </c>
      <c r="FT48" s="117" t="str">
        <f>IFERROR(SUMIFS('Étape 1 - à remplir'!$F$31:$F$400,'Étape 1 - à remplir'!$C$31:$C$400,IF($FH48="Croissance","*Croissance*",IF($FH48="Veau","*Veau*",IF($FH48="Adulte","*Adulte*",IF($FH48="Agneau","*Agneau*",IF($FH48="Chevreau","*Chevreau*",IF($FH48="Démarrage","*Démarrage*",IF($FH48="Engraissement","*Engraissement*",IF($FH48="Porcelet","*Porcelet*",IF($FH48="Post_sevrage","*Post_sevrage*",IF($FH48="Poulain","*Poulain*",IF($FH48="Poussin","*Poussin*",""))))))))))),'Étape 1 - à remplir'!$G$31:$G$400,"kg",'Étape 1 - à remplir'!$M$31:$M$400,MASQ2!FT$43)/SUMIFS('Étape 1 - à remplir'!$F$19:$F$28,'Étape 1 - à remplir'!$E$19:$E$28,MASQ2!$FH48,'Étape 1 - à remplir'!$G$19:$G$28,"kg"),"")</f>
        <v/>
      </c>
    </row>
    <row r="49" spans="2:176" x14ac:dyDescent="0.3">
      <c r="B49" s="42"/>
      <c r="M49" s="194" t="str">
        <f ca="1">INDEX(Données_ATB!BD:BU,MATCH(MASQ2!O49,Données_ATB!BD:BD,0),18)</f>
        <v/>
      </c>
      <c r="N49" s="14" t="str">
        <f>IFERROR(IF(Q49=0,"",COUNTIF(Q$4:Q$600,"&gt;"&amp;Q49)+COUNTIF(Q$4:Q49,Q49)),"")</f>
        <v/>
      </c>
      <c r="O49" t="str">
        <f>Données_ATB!BD48</f>
        <v>APRALAN APRAMYCINE 20-SJ PORC-LAPIN</v>
      </c>
      <c r="P49" t="e">
        <f>IF(IF(X$2="Catégorie",IF(X$3="Toutes",SUMIFS('Étape 1 - à remplir'!$F$31:$F$400,'Étape 1 - à remplir'!$E$31:$E$400,MASQ2!O49,'Étape 1 - à remplir'!$G$31:$G$400,"animaux"),SUMIFS('Étape 1 - à remplir'!$F$31:$F$400,'Étape 1 - à remplir'!$E$31:$E$400,MASQ2!O49,'Étape 1 - à remplir'!$C$31:$C$400,X$3)),IF(X$2="Âge",IF(X$3="Tous",SUMIFS('Étape 1 - à remplir'!$F$31:$F$400,'Étape 1 - à remplir'!$E$31:$E$400,MASQ2!O49,'Étape 1 - à remplir'!$G$31:$G$400,"animaux"),SUMIFS('Étape 1 - à remplir'!$F$31:$F$400,'Étape 1 - à remplir'!$E$31:$E$400,MASQ2!O49,'Étape 1 - à remplir'!$P$31:$P$400,X$3)),IF(X$2="Atelier",IF(X$3="Tous",SUMIFS('Étape 1 - à remplir'!$F$31:$F$400,'Étape 1 - à remplir'!$E$31:$E$400,MASQ2!O49,'Étape 1 - à remplir'!$G$31:$G$400,"animaux"),SUMIFS('Étape 1 - à remplir'!$F$31:$F$400,'Étape 1 - à remplir'!$E$31:$E$400,MASQ2!O49,'Étape 1 - à remplir'!$O$31:$O$400,X$3)),IF(X$2="Espèce",IF(X$3="Toutes",SUMIFS('Étape 1 - à remplir'!$F$31:$F$400,'Étape 1 - à remplir'!$E$31:$E$400,MASQ2!O49,'Étape 1 - à remplir'!$G$31:$G$400,"animaux"),SUMIFS('Étape 1 - à remplir'!$F$31:$F$400,'Étape 1 - à remplir'!$E$31:$E$400,MASQ2!O49,'Étape 1 - à remplir'!$N$31:$N$400,X$3))))))=0,NA(),IF(X$2="Catégorie",IF(X$3="Toutes",SUMIFS('Étape 1 - à remplir'!$F$31:$F$400,'Étape 1 - à remplir'!$E$31:$E$400,MASQ2!O49,'Étape 1 - à remplir'!$G$31:$G$400,"animaux"),SUMIFS('Étape 1 - à remplir'!$F$31:$F$400,'Étape 1 - à remplir'!$E$31:$E$400,MASQ2!O49,'Étape 1 - à remplir'!$C$31:$C$400,X$3)),IF(X$2="Âge",IF(X$3="Tous",SUMIFS('Étape 1 - à remplir'!$F$31:$F$400,'Étape 1 - à remplir'!$E$31:$E$400,MASQ2!O49,'Étape 1 - à remplir'!$G$31:$G$400,"animaux"),SUMIFS('Étape 1 - à remplir'!$F$31:$F$400,'Étape 1 - à remplir'!$E$31:$E$400,MASQ2!O49,'Étape 1 - à remplir'!$P$31:$P$400,X$3)),IF(X$2="Atelier",IF(X$3="Tous",SUMIFS('Étape 1 - à remplir'!$F$31:$F$400,'Étape 1 - à remplir'!$E$31:$E$400,MASQ2!O49,'Étape 1 - à remplir'!$G$31:$G$400,"animaux"),SUMIFS('Étape 1 - à remplir'!$F$31:$F$400,'Étape 1 - à remplir'!$E$31:$E$400,MASQ2!O49,'Étape 1 - à remplir'!$O$31:$O$400,X$3)),IF(X$2="Espèce",IF(X$3="Toutes",SUMIFS('Étape 1 - à remplir'!$F$31:$F$400,'Étape 1 - à remplir'!$E$31:$E$400,MASQ2!O49,'Étape 1 - à remplir'!$G$31:$G$400,"animaux"),SUMIFS('Étape 1 - à remplir'!$F$31:$F$400,'Étape 1 - à remplir'!$E$31:$E$400,MASQ2!O49,'Étape 1 - à remplir'!$N$31:$N$400,X$3)))))))</f>
        <v>#N/A</v>
      </c>
      <c r="Q49" s="63">
        <f t="shared" si="62"/>
        <v>0</v>
      </c>
      <c r="R49" t="str">
        <f>Données_ATB!BM48</f>
        <v>Apramycine</v>
      </c>
      <c r="S49" t="str">
        <f>Données_ATB!BN48</f>
        <v/>
      </c>
      <c r="T49" s="63" t="str">
        <f>Données_ATB!BO48</f>
        <v/>
      </c>
      <c r="U49" s="42" t="str">
        <f>Données_ATB!BQ48</f>
        <v>Aminoglycosides</v>
      </c>
      <c r="V49" t="str">
        <f>Données_ATB!BR48</f>
        <v/>
      </c>
      <c r="W49" s="63" t="str">
        <f>Données_ATB!BS48</f>
        <v/>
      </c>
      <c r="Z49" s="42">
        <v>46</v>
      </c>
      <c r="AA49" t="e">
        <f t="shared" si="32"/>
        <v>#N/A</v>
      </c>
      <c r="AB49" s="63" t="e">
        <f t="shared" si="33"/>
        <v>#N/A</v>
      </c>
      <c r="AD49" s="194" t="str">
        <f>IF(AF49="Colistine","x",IF(INDEX(Données_ATB!CA$3:CB$63,MATCH(AF49,Données_ATB!CA$3:CA$63,0),2)="Fluoroquinolones","x",IF(INDEX(Données_ATB!CA$3:CB$63,MATCH(AF49,Données_ATB!CA$3:CA$63,0),2)="Cephalosporines 3&amp;4G","x","")))</f>
        <v/>
      </c>
      <c r="AE49" s="219" t="str">
        <f>IFERROR(IF(AG49=0,"",COUNTIF(AG$4:AG$64,"&gt;"&amp;AG49)+COUNTIF(AG$4:AG49,AG49)),"")</f>
        <v/>
      </c>
      <c r="AF49" s="42" t="str">
        <f>Données_ATB!CA48</f>
        <v>Sulfadoxine</v>
      </c>
      <c r="AG49" s="63" t="e">
        <f t="shared" si="34"/>
        <v>#N/A</v>
      </c>
      <c r="AH49" s="42">
        <v>46</v>
      </c>
      <c r="AI49" t="e">
        <f t="shared" si="35"/>
        <v>#N/A</v>
      </c>
      <c r="AJ49" s="63" t="e">
        <f t="shared" si="36"/>
        <v>#N/A</v>
      </c>
      <c r="AT49" s="109" t="str">
        <f t="shared" si="122"/>
        <v/>
      </c>
      <c r="AU49" s="118" t="str">
        <f>IFERROR(SUMIFS('Étape 1 - à remplir'!$F$31:$F$400,'Étape 1 - à remplir'!$C$31:$C$400,IF($AT49="Croissance","*Croissance*",IF($AT49="Veau","*Veau*",IF($AT49="Adulte","*Adulte*",IF($AT49="Agneau","*Agneau*",IF($AT49="Chevreau","*Chevreau*",IF($AT49="Démarrage","*Démarrage*",IF($AT49="Engraissement","*Engraissement*",IF($AT49="Porcelet","*Porcelet*",IF($AT49="Post_sevrage","*Post_sevrage*",IF($AT49="Poulain","*Poulain*",IF($AT49="Poussin","*Poussin*",""))))))))))),'Étape 1 - à remplir'!$G$31:$G$400,"animaux",'Étape 1 - à remplir'!$M$31:$M$400,MASQ2!AU$43)/SUMIFS('Étape 1 - à remplir'!$F$19:$F$28,'Étape 1 - à remplir'!$E$19:$E$28,MASQ2!$AT49,'Étape 1 - à remplir'!$G$19:$G$28,"animaux"),"")</f>
        <v/>
      </c>
      <c r="AV49" t="str">
        <f>IFERROR(SUMIFS('Étape 1 - à remplir'!$F$31:$F$400,'Étape 1 - à remplir'!$C$31:$C$400,IF($AT49="Croissance","*Croissance*",IF($AT49="Veau","*Veau*",IF($AT49="Adulte","*Adulte*",IF($AT49="Agneau","*Agneau*",IF($AT49="Chevreau","*Chevreau*",IF($AT49="Démarrage","*Démarrage*",IF($AT49="Engraissement","*Engraissement*",IF($AT49="Porcelet","*Porcelet*",IF($AT49="Post_sevrage","*Post_sevrage*",IF($AT49="Poulain","*Poulain*",IF($AT49="Poussin","*Poussin*",""))))))))))),'Étape 1 - à remplir'!$G$31:$G$400,"animaux",'Étape 1 - à remplir'!$M$31:$M$400,MASQ2!AV$43)/SUMIFS('Étape 1 - à remplir'!$F$19:$F$28,'Étape 1 - à remplir'!$E$19:$E$28,MASQ2!$AT49,'Étape 1 - à remplir'!$G$19:$G$28,"animaux"),"")</f>
        <v/>
      </c>
      <c r="AW49" t="str">
        <f>IFERROR(SUMIFS('Étape 1 - à remplir'!$F$31:$F$400,'Étape 1 - à remplir'!$C$31:$C$400,IF($AT49="Croissance","*Croissance*",IF($AT49="Veau","*Veau*",IF($AT49="Adulte","*Adulte*",IF($AT49="Agneau","*Agneau*",IF($AT49="Chevreau","*Chevreau*",IF($AT49="Démarrage","*Démarrage*",IF($AT49="Engraissement","*Engraissement*",IF($AT49="Porcelet","*Porcelet*",IF($AT49="Post_sevrage","*Post_sevrage*",IF($AT49="Poulain","*Poulain*",IF($AT49="Poussin","*Poussin*",""))))))))))),'Étape 1 - à remplir'!$G$31:$G$400,"animaux",'Étape 1 - à remplir'!$M$31:$M$400,MASQ2!AW$43)/SUMIFS('Étape 1 - à remplir'!$F$19:$F$28,'Étape 1 - à remplir'!$E$19:$E$28,MASQ2!$AT49,'Étape 1 - à remplir'!$G$19:$G$28,"animaux"),"")</f>
        <v/>
      </c>
      <c r="AX49" t="str">
        <f>IFERROR(SUMIFS('Étape 1 - à remplir'!$F$31:$F$400,'Étape 1 - à remplir'!$C$31:$C$400,IF($AT49="Croissance","*Croissance*",IF($AT49="Veau","*Veau*",IF($AT49="Adulte","*Adulte*",IF($AT49="Agneau","*Agneau*",IF($AT49="Chevreau","*Chevreau*",IF($AT49="Démarrage","*Démarrage*",IF($AT49="Engraissement","*Engraissement*",IF($AT49="Porcelet","*Porcelet*",IF($AT49="Post_sevrage","*Post_sevrage*",IF($AT49="Poulain","*Poulain*",IF($AT49="Poussin","*Poussin*",""))))))))))),'Étape 1 - à remplir'!$G$31:$G$400,"animaux",'Étape 1 - à remplir'!$M$31:$M$400,MASQ2!AX$43)/SUMIFS('Étape 1 - à remplir'!$F$19:$F$28,'Étape 1 - à remplir'!$E$19:$E$28,MASQ2!$AT49,'Étape 1 - à remplir'!$G$19:$G$28,"animaux"),"")</f>
        <v/>
      </c>
      <c r="AY49" t="str">
        <f>IFERROR(SUMIFS('Étape 1 - à remplir'!$F$31:$F$400,'Étape 1 - à remplir'!$C$31:$C$400,IF($AT49="Croissance","*Croissance*",IF($AT49="Veau","*Veau*",IF($AT49="Adulte","*Adulte*",IF($AT49="Agneau","*Agneau*",IF($AT49="Chevreau","*Chevreau*",IF($AT49="Démarrage","*Démarrage*",IF($AT49="Engraissement","*Engraissement*",IF($AT49="Porcelet","*Porcelet*",IF($AT49="Post_sevrage","*Post_sevrage*",IF($AT49="Poulain","*Poulain*",IF($AT49="Poussin","*Poussin*",""))))))))))),'Étape 1 - à remplir'!$G$31:$G$400,"animaux",'Étape 1 - à remplir'!$M$31:$M$400,MASQ2!AY$43)/SUMIFS('Étape 1 - à remplir'!$F$19:$F$28,'Étape 1 - à remplir'!$E$19:$E$28,MASQ2!$AT49,'Étape 1 - à remplir'!$G$19:$G$28,"animaux"),"")</f>
        <v/>
      </c>
      <c r="AZ49" t="str">
        <f>IFERROR(SUMIFS('Étape 1 - à remplir'!$F$31:$F$400,'Étape 1 - à remplir'!$C$31:$C$400,IF($AT49="Croissance","*Croissance*",IF($AT49="Veau","*Veau*",IF($AT49="Adulte","*Adulte*",IF($AT49="Agneau","*Agneau*",IF($AT49="Chevreau","*Chevreau*",IF($AT49="Démarrage","*Démarrage*",IF($AT49="Engraissement","*Engraissement*",IF($AT49="Porcelet","*Porcelet*",IF($AT49="Post_sevrage","*Post_sevrage*",IF($AT49="Poulain","*Poulain*",IF($AT49="Poussin","*Poussin*",""))))))))))),'Étape 1 - à remplir'!$G$31:$G$400,"animaux",'Étape 1 - à remplir'!$M$31:$M$400,MASQ2!AZ$43)/SUMIFS('Étape 1 - à remplir'!$F$19:$F$28,'Étape 1 - à remplir'!$E$19:$E$28,MASQ2!$AT49,'Étape 1 - à remplir'!$G$19:$G$28,"animaux"),"")</f>
        <v/>
      </c>
      <c r="BA49" t="str">
        <f>IFERROR(SUMIFS('Étape 1 - à remplir'!$F$31:$F$400,'Étape 1 - à remplir'!$C$31:$C$400,IF($AT49="Croissance","*Croissance*",IF($AT49="Veau","*Veau*",IF($AT49="Adulte","*Adulte*",IF($AT49="Agneau","*Agneau*",IF($AT49="Chevreau","*Chevreau*",IF($AT49="Démarrage","*Démarrage*",IF($AT49="Engraissement","*Engraissement*",IF($AT49="Porcelet","*Porcelet*",IF($AT49="Post_sevrage","*Post_sevrage*",IF($AT49="Poulain","*Poulain*",IF($AT49="Poussin","*Poussin*",""))))))))))),'Étape 1 - à remplir'!$G$31:$G$400,"animaux",'Étape 1 - à remplir'!$M$31:$M$400,MASQ2!BA$43)/SUMIFS('Étape 1 - à remplir'!$F$19:$F$28,'Étape 1 - à remplir'!$E$19:$E$28,MASQ2!$AT49,'Étape 1 - à remplir'!$G$19:$G$28,"animaux"),"")</f>
        <v/>
      </c>
      <c r="BB49" t="str">
        <f>IFERROR(SUMIFS('Étape 1 - à remplir'!$F$31:$F$400,'Étape 1 - à remplir'!$C$31:$C$400,IF($AT49="Croissance","*Croissance*",IF($AT49="Veau","*Veau*",IF($AT49="Adulte","*Adulte*",IF($AT49="Agneau","*Agneau*",IF($AT49="Chevreau","*Chevreau*",IF($AT49="Démarrage","*Démarrage*",IF($AT49="Engraissement","*Engraissement*",IF($AT49="Porcelet","*Porcelet*",IF($AT49="Post_sevrage","*Post_sevrage*",IF($AT49="Poulain","*Poulain*",IF($AT49="Poussin","*Poussin*",""))))))))))),'Étape 1 - à remplir'!$G$31:$G$400,"animaux",'Étape 1 - à remplir'!$M$31:$M$400,MASQ2!BB$43)/SUMIFS('Étape 1 - à remplir'!$F$19:$F$28,'Étape 1 - à remplir'!$E$19:$E$28,MASQ2!$AT49,'Étape 1 - à remplir'!$G$19:$G$28,"animaux"),"")</f>
        <v/>
      </c>
      <c r="BC49" t="str">
        <f>IFERROR(SUMIFS('Étape 1 - à remplir'!$F$31:$F$400,'Étape 1 - à remplir'!$C$31:$C$400,IF($AT49="Croissance","*Croissance*",IF($AT49="Veau","*Veau*",IF($AT49="Adulte","*Adulte*",IF($AT49="Agneau","*Agneau*",IF($AT49="Chevreau","*Chevreau*",IF($AT49="Démarrage","*Démarrage*",IF($AT49="Engraissement","*Engraissement*",IF($AT49="Porcelet","*Porcelet*",IF($AT49="Post_sevrage","*Post_sevrage*",IF($AT49="Poulain","*Poulain*",IF($AT49="Poussin","*Poussin*",""))))))))))),'Étape 1 - à remplir'!$G$31:$G$400,"animaux",'Étape 1 - à remplir'!$M$31:$M$400,MASQ2!BC$43)/SUMIFS('Étape 1 - à remplir'!$F$19:$F$28,'Étape 1 - à remplir'!$E$19:$E$28,MASQ2!$AT49,'Étape 1 - à remplir'!$G$19:$G$28,"animaux"),"")</f>
        <v/>
      </c>
      <c r="BD49" t="str">
        <f>IFERROR(SUMIFS('Étape 1 - à remplir'!$F$31:$F$400,'Étape 1 - à remplir'!$C$31:$C$400,IF($AT49="Croissance","*Croissance*",IF($AT49="Veau","*Veau*",IF($AT49="Adulte","*Adulte*",IF($AT49="Agneau","*Agneau*",IF($AT49="Chevreau","*Chevreau*",IF($AT49="Démarrage","*Démarrage*",IF($AT49="Engraissement","*Engraissement*",IF($AT49="Porcelet","*Porcelet*",IF($AT49="Post_sevrage","*Post_sevrage*",IF($AT49="Poulain","*Poulain*",IF($AT49="Poussin","*Poussin*",""))))))))))),'Étape 1 - à remplir'!$G$31:$G$400,"animaux",'Étape 1 - à remplir'!$M$31:$M$400,MASQ2!BD$43)/SUMIFS('Étape 1 - à remplir'!$F$19:$F$28,'Étape 1 - à remplir'!$E$19:$E$28,MASQ2!$AT49,'Étape 1 - à remplir'!$G$19:$G$28,"animaux"),"")</f>
        <v/>
      </c>
      <c r="BE49" t="str">
        <f>IFERROR(SUMIFS('Étape 1 - à remplir'!$F$31:$F$400,'Étape 1 - à remplir'!$C$31:$C$400,IF($AT49="Croissance","*Croissance*",IF($AT49="Veau","*Veau*",IF($AT49="Adulte","*Adulte*",IF($AT49="Agneau","*Agneau*",IF($AT49="Chevreau","*Chevreau*",IF($AT49="Démarrage","*Démarrage*",IF($AT49="Engraissement","*Engraissement*",IF($AT49="Porcelet","*Porcelet*",IF($AT49="Post_sevrage","*Post_sevrage*",IF($AT49="Poulain","*Poulain*",IF($AT49="Poussin","*Poussin*",""))))))))))),'Étape 1 - à remplir'!$G$31:$G$400,"animaux",'Étape 1 - à remplir'!$M$31:$M$400,MASQ2!BE$43)/SUMIFS('Étape 1 - à remplir'!$F$19:$F$28,'Étape 1 - à remplir'!$E$19:$E$28,MASQ2!$AT49,'Étape 1 - à remplir'!$G$19:$G$28,"animaux"),"")</f>
        <v/>
      </c>
      <c r="BF49" s="76" t="str">
        <f>IFERROR(SUMIFS('Étape 1 - à remplir'!$F$31:$F$400,'Étape 1 - à remplir'!$C$31:$C$400,IF($AT49="Croissance","*Croissance*",IF($AT49="Veau","*Veau*",IF($AT49="Adulte","*Adulte*",IF($AT49="Agneau","*Agneau*",IF($AT49="Chevreau","*Chevreau*",IF($AT49="Démarrage","*Démarrage*",IF($AT49="Engraissement","*Engraissement*",IF($AT49="Porcelet","*Porcelet*",IF($AT49="Post_sevrage","*Post_sevrage*",IF($AT49="Poulain","*Poulain*",IF($AT49="Poussin","*Poussin*",""))))))))))),'Étape 1 - à remplir'!$G$31:$G$400,"animaux",'Étape 1 - à remplir'!$M$31:$M$400,MASQ2!BF$43)/SUMIFS('Étape 1 - à remplir'!$F$19:$F$28,'Étape 1 - à remplir'!$E$19:$E$28,MASQ2!$AT49,'Étape 1 - à remplir'!$G$19:$G$28,"animaux"),"")</f>
        <v/>
      </c>
      <c r="BT49" s="194" t="str">
        <f t="shared" ca="1" si="5"/>
        <v/>
      </c>
      <c r="BU49" s="219" t="str">
        <f>IFERROR(IF(BX49=0,"",COUNTIF(BX$4:BX$600,"&gt;"&amp;BX49)+COUNTIF(BX$4:BX49,BX49)),"")</f>
        <v/>
      </c>
      <c r="BV49" s="42" t="str">
        <f t="shared" si="6"/>
        <v>APRALAN APRAMYCINE 20-SJ PORC-LAPIN</v>
      </c>
      <c r="BW49" t="e">
        <f>IF(IF(CE$2="Catégorie",IF(CE$3="Toutes",SUMIFS('Étape 1 - à remplir'!$F$31:$F$400,'Étape 1 - à remplir'!$E$31:$E$400,MASQ2!BV49,'Étape 1 - à remplir'!$G$31:$G$400,"lots"),SUMIFS('Étape 1 - à remplir'!$F$31:$F$400,'Étape 1 - à remplir'!$E$31:$E$400,MASQ2!BV49,'Étape 1 - à remplir'!$C$31:$C$400,CE$3)),IF(CE$2="Âge",IF(CE$3="Tous",SUMIFS('Étape 1 - à remplir'!$F$31:$F$400,'Étape 1 - à remplir'!$E$31:$E$400,MASQ2!BV49,'Étape 1 - à remplir'!$G$31:$G$400,"lots"),SUMIFS('Étape 1 - à remplir'!$F$31:$F$400,'Étape 1 - à remplir'!$E$31:$E$400,MASQ2!BV49,'Étape 1 - à remplir'!$P$31:$P$400,CE$3,'Étape 1 - à remplir'!$G$31:$G$400,"lots")),IF(CE$2="Atelier",IF(CE$3="Tous",SUMIFS('Étape 1 - à remplir'!$F$31:$F$400,'Étape 1 - à remplir'!$E$31:$E$400,MASQ2!BV49,'Étape 1 - à remplir'!$G$31:$G$400,"lots"),SUMIFS('Étape 1 - à remplir'!$F$31:$F$400,'Étape 1 - à remplir'!$E$31:$E$400,MASQ2!BV49,'Étape 1 - à remplir'!$O$31:$O$400,CE$3,'Étape 1 - à remplir'!$G$31:$G$400,"lots")),IF(CE$2="Espèce",IF(CE$3="Toutes",SUMIFS('Étape 1 - à remplir'!$F$31:$F$400,'Étape 1 - à remplir'!$E$31:$E$400,MASQ2!BV49,'Étape 1 - à remplir'!$G$31:$G$400,"lots"),SUMIFS('Étape 1 - à remplir'!$F$31:$F$400,'Étape 1 - à remplir'!$E$31:$E$400,MASQ2!BV49,'Étape 1 - à remplir'!$N$31:$N$400,CE$3,'Étape 1 - à remplir'!$G$31:$G$400,"lots"))))))=0,NA(),IF(CE$2="Catégorie",IF(CE$3="Toutes",SUMIFS('Étape 1 - à remplir'!$F$31:$F$400,'Étape 1 - à remplir'!$E$31:$E$400,MASQ2!BV49,'Étape 1 - à remplir'!$G$31:$G$400,"lots"),SUMIFS('Étape 1 - à remplir'!$F$31:$F$400,'Étape 1 - à remplir'!$E$31:$E$400,MASQ2!BV49,'Étape 1 - à remplir'!$C$31:$C$400,CE$3)),IF(CE$2="Âge",IF(CE$3="Tous",SUMIFS('Étape 1 - à remplir'!$F$31:$F$400,'Étape 1 - à remplir'!$E$31:$E$400,MASQ2!BV49,'Étape 1 - à remplir'!$G$31:$G$400,"lots"),SUMIFS('Étape 1 - à remplir'!$F$31:$F$400,'Étape 1 - à remplir'!$E$31:$E$400,MASQ2!BV49,'Étape 1 - à remplir'!$P$31:$P$400,CE$3,'Étape 1 - à remplir'!$G$31:$G$400,"lots")),IF(CE$2="Atelier",IF(CE$3="Tous",SUMIFS('Étape 1 - à remplir'!$F$31:$F$400,'Étape 1 - à remplir'!$E$31:$E$400,MASQ2!BV49,'Étape 1 - à remplir'!$G$31:$G$400,"lots"),SUMIFS('Étape 1 - à remplir'!$F$31:$F$400,'Étape 1 - à remplir'!$E$31:$E$400,MASQ2!BV49,'Étape 1 - à remplir'!$O$31:$O$400,CE$3,'Étape 1 - à remplir'!$G$31:$G$400,"lots")),IF(CE$2="Espèce",IF(CE$3="Toutes",SUMIFS('Étape 1 - à remplir'!$F$31:$F$400,'Étape 1 - à remplir'!$E$31:$E$400,MASQ2!BV49,'Étape 1 - à remplir'!$G$31:$G$400,"lots"),SUMIFS('Étape 1 - à remplir'!$F$31:$F$400,'Étape 1 - à remplir'!$E$31:$E$400,MASQ2!BV49,'Étape 1 - à remplir'!$N$31:$N$400,CE$3,'Étape 1 - à remplir'!$G$31:$G$400,"lots")))))))</f>
        <v>#N/A</v>
      </c>
      <c r="BX49">
        <f t="shared" si="42"/>
        <v>0</v>
      </c>
      <c r="BY49" t="str">
        <f t="shared" si="7"/>
        <v>Apramycine</v>
      </c>
      <c r="BZ49" t="str">
        <f t="shared" si="8"/>
        <v/>
      </c>
      <c r="CA49" t="str">
        <f t="shared" si="9"/>
        <v/>
      </c>
      <c r="CB49" t="str">
        <f t="shared" si="10"/>
        <v>Aminoglycosides</v>
      </c>
      <c r="CC49" t="str">
        <f t="shared" si="11"/>
        <v/>
      </c>
      <c r="CD49" s="63" t="str">
        <f t="shared" si="12"/>
        <v/>
      </c>
      <c r="CG49" s="42">
        <v>46</v>
      </c>
      <c r="CH49" s="42" t="e">
        <f t="shared" si="80"/>
        <v>#N/A</v>
      </c>
      <c r="CI49" s="63" t="e">
        <f t="shared" si="81"/>
        <v>#N/A</v>
      </c>
      <c r="CK49" s="194" t="str">
        <f t="shared" si="118"/>
        <v/>
      </c>
      <c r="CL49" s="226" t="str">
        <f>IFERROR(IF(CN49=0,"",COUNTIF(CN$4:CN$64,"&gt;"&amp;CN49)+COUNTIF(CN$4:CN49,CN49)),"")</f>
        <v/>
      </c>
      <c r="CM49" t="str">
        <f t="shared" si="119"/>
        <v>Sulfadoxine</v>
      </c>
      <c r="CN49" s="76" t="e">
        <f t="shared" si="45"/>
        <v>#N/A</v>
      </c>
      <c r="CO49">
        <v>46</v>
      </c>
      <c r="CP49" t="e">
        <f t="shared" si="46"/>
        <v>#N/A</v>
      </c>
      <c r="CQ49" s="63" t="e">
        <f t="shared" si="47"/>
        <v>#N/A</v>
      </c>
      <c r="DA49" s="118" t="str">
        <f t="shared" si="123"/>
        <v/>
      </c>
      <c r="DB49" s="117" t="str">
        <f>IFERROR(SUMIFS('Étape 1 - à remplir'!$F$31:$F$400,'Étape 1 - à remplir'!$C$31:$C$400,IF($DA49="Croissance","*Croissance*",IF($DA49="Veau","*Veau*",IF($DA49="Adulte","*Adulte*",IF($DA49="Agneau","*Agneau*",IF($DA49="Chevreau","*Chevreau*",IF($DA49="Démarrage","*Démarrage*",IF($DA49="Engraissement","*Engraissement*",IF($DA49="Porcelet","*Porcelet*",IF($DA49="Post_sevrage","*Post_sevrage*",IF($DA49="Poulain","*Poulain*",IF($DA49="Poussin","*Poussin*",""))))))))))),'Étape 1 - à remplir'!$G$31:$G$400,"lots",'Étape 1 - à remplir'!$M$31:$M$400,MASQ2!DB$43)/SUMIFS('Étape 1 - à remplir'!$F$19:$F$28,'Étape 1 - à remplir'!$E$19:$E$28,MASQ2!$DA49,'Étape 1 - à remplir'!$G$19:$G$28,"lots"),"")</f>
        <v/>
      </c>
      <c r="DC49" s="117" t="str">
        <f>IFERROR(SUMIFS('Étape 1 - à remplir'!$F$31:$F$400,'Étape 1 - à remplir'!$C$31:$C$400,IF($DA49="Croissance","*Croissance*",IF($DA49="Veau","*Veau*",IF($DA49="Adulte","*Adulte*",IF($DA49="Agneau","*Agneau*",IF($DA49="Chevreau","*Chevreau*",IF($DA49="Démarrage","*Démarrage*",IF($DA49="Engraissement","*Engraissement*",IF($DA49="Porcelet","*Porcelet*",IF($DA49="Post_sevrage","*Post_sevrage*",IF($DA49="Poulain","*Poulain*",IF($DA49="Poussin","*Poussin*",""))))))))))),'Étape 1 - à remplir'!$G$31:$G$400,"lots",'Étape 1 - à remplir'!$M$31:$M$400,MASQ2!DC$43)/SUMIFS('Étape 1 - à remplir'!$F$19:$F$28,'Étape 1 - à remplir'!$E$19:$E$28,MASQ2!$DA49,'Étape 1 - à remplir'!$G$19:$G$28,"lots"),"")</f>
        <v/>
      </c>
      <c r="DD49" s="117" t="str">
        <f>IFERROR(SUMIFS('Étape 1 - à remplir'!$F$31:$F$400,'Étape 1 - à remplir'!$C$31:$C$400,IF($DA49="Croissance","*Croissance*",IF($DA49="Veau","*Veau*",IF($DA49="Adulte","*Adulte*",IF($DA49="Agneau","*Agneau*",IF($DA49="Chevreau","*Chevreau*",IF($DA49="Démarrage","*Démarrage*",IF($DA49="Engraissement","*Engraissement*",IF($DA49="Porcelet","*Porcelet*",IF($DA49="Post_sevrage","*Post_sevrage*",IF($DA49="Poulain","*Poulain*",IF($DA49="Poussin","*Poussin*",""))))))))))),'Étape 1 - à remplir'!$G$31:$G$400,"lots",'Étape 1 - à remplir'!$M$31:$M$400,MASQ2!DD$43)/SUMIFS('Étape 1 - à remplir'!$F$19:$F$28,'Étape 1 - à remplir'!$E$19:$E$28,MASQ2!$DA49,'Étape 1 - à remplir'!$G$19:$G$28,"lots"),"")</f>
        <v/>
      </c>
      <c r="DE49" s="117" t="str">
        <f>IFERROR(SUMIFS('Étape 1 - à remplir'!$F$31:$F$400,'Étape 1 - à remplir'!$C$31:$C$400,IF($DA49="Croissance","*Croissance*",IF($DA49="Veau","*Veau*",IF($DA49="Adulte","*Adulte*",IF($DA49="Agneau","*Agneau*",IF($DA49="Chevreau","*Chevreau*",IF($DA49="Démarrage","*Démarrage*",IF($DA49="Engraissement","*Engraissement*",IF($DA49="Porcelet","*Porcelet*",IF($DA49="Post_sevrage","*Post_sevrage*",IF($DA49="Poulain","*Poulain*",IF($DA49="Poussin","*Poussin*",""))))))))))),'Étape 1 - à remplir'!$G$31:$G$400,"lots",'Étape 1 - à remplir'!$M$31:$M$400,MASQ2!DE$43)/SUMIFS('Étape 1 - à remplir'!$F$19:$F$28,'Étape 1 - à remplir'!$E$19:$E$28,MASQ2!$DA49,'Étape 1 - à remplir'!$G$19:$G$28,"lots"),"")</f>
        <v/>
      </c>
      <c r="DF49" s="117" t="str">
        <f>IFERROR(SUMIFS('Étape 1 - à remplir'!$F$31:$F$400,'Étape 1 - à remplir'!$C$31:$C$400,IF($DA49="Croissance","*Croissance*",IF($DA49="Veau","*Veau*",IF($DA49="Adulte","*Adulte*",IF($DA49="Agneau","*Agneau*",IF($DA49="Chevreau","*Chevreau*",IF($DA49="Démarrage","*Démarrage*",IF($DA49="Engraissement","*Engraissement*",IF($DA49="Porcelet","*Porcelet*",IF($DA49="Post_sevrage","*Post_sevrage*",IF($DA49="Poulain","*Poulain*",IF($DA49="Poussin","*Poussin*",""))))))))))),'Étape 1 - à remplir'!$G$31:$G$400,"lots",'Étape 1 - à remplir'!$M$31:$M$400,MASQ2!DF$43)/SUMIFS('Étape 1 - à remplir'!$F$19:$F$28,'Étape 1 - à remplir'!$E$19:$E$28,MASQ2!$DA49,'Étape 1 - à remplir'!$G$19:$G$28,"lots"),"")</f>
        <v/>
      </c>
      <c r="DG49" s="117" t="str">
        <f>IFERROR(SUMIFS('Étape 1 - à remplir'!$F$31:$F$400,'Étape 1 - à remplir'!$C$31:$C$400,IF($DA49="Croissance","*Croissance*",IF($DA49="Veau","*Veau*",IF($DA49="Adulte","*Adulte*",IF($DA49="Agneau","*Agneau*",IF($DA49="Chevreau","*Chevreau*",IF($DA49="Démarrage","*Démarrage*",IF($DA49="Engraissement","*Engraissement*",IF($DA49="Porcelet","*Porcelet*",IF($DA49="Post_sevrage","*Post_sevrage*",IF($DA49="Poulain","*Poulain*",IF($DA49="Poussin","*Poussin*",""))))))))))),'Étape 1 - à remplir'!$G$31:$G$400,"lots",'Étape 1 - à remplir'!$M$31:$M$400,MASQ2!DG$43)/SUMIFS('Étape 1 - à remplir'!$F$19:$F$28,'Étape 1 - à remplir'!$E$19:$E$28,MASQ2!$DA49,'Étape 1 - à remplir'!$G$19:$G$28,"lots"),"")</f>
        <v/>
      </c>
      <c r="DH49" s="117" t="str">
        <f>IFERROR(SUMIFS('Étape 1 - à remplir'!$F$31:$F$400,'Étape 1 - à remplir'!$C$31:$C$400,IF($DA49="Croissance","*Croissance*",IF($DA49="Veau","*Veau*",IF($DA49="Adulte","*Adulte*",IF($DA49="Agneau","*Agneau*",IF($DA49="Chevreau","*Chevreau*",IF($DA49="Démarrage","*Démarrage*",IF($DA49="Engraissement","*Engraissement*",IF($DA49="Porcelet","*Porcelet*",IF($DA49="Post_sevrage","*Post_sevrage*",IF($DA49="Poulain","*Poulain*",IF($DA49="Poussin","*Poussin*",""))))))))))),'Étape 1 - à remplir'!$G$31:$G$400,"lots",'Étape 1 - à remplir'!$M$31:$M$400,MASQ2!DH$43)/SUMIFS('Étape 1 - à remplir'!$F$19:$F$28,'Étape 1 - à remplir'!$E$19:$E$28,MASQ2!$DA49,'Étape 1 - à remplir'!$G$19:$G$28,"lots"),"")</f>
        <v/>
      </c>
      <c r="DI49" s="117" t="str">
        <f>IFERROR(SUMIFS('Étape 1 - à remplir'!$F$31:$F$400,'Étape 1 - à remplir'!$C$31:$C$400,IF($DA49="Croissance","*Croissance*",IF($DA49="Veau","*Veau*",IF($DA49="Adulte","*Adulte*",IF($DA49="Agneau","*Agneau*",IF($DA49="Chevreau","*Chevreau*",IF($DA49="Démarrage","*Démarrage*",IF($DA49="Engraissement","*Engraissement*",IF($DA49="Porcelet","*Porcelet*",IF($DA49="Post_sevrage","*Post_sevrage*",IF($DA49="Poulain","*Poulain*",IF($DA49="Poussin","*Poussin*",""))))))))))),'Étape 1 - à remplir'!$G$31:$G$400,"lots",'Étape 1 - à remplir'!$M$31:$M$400,MASQ2!DI$43)/SUMIFS('Étape 1 - à remplir'!$F$19:$F$28,'Étape 1 - à remplir'!$E$19:$E$28,MASQ2!$DA49,'Étape 1 - à remplir'!$G$19:$G$28,"lots"),"")</f>
        <v/>
      </c>
      <c r="DJ49" s="117" t="str">
        <f>IFERROR(SUMIFS('Étape 1 - à remplir'!$F$31:$F$400,'Étape 1 - à remplir'!$C$31:$C$400,IF($DA49="Croissance","*Croissance*",IF($DA49="Veau","*Veau*",IF($DA49="Adulte","*Adulte*",IF($DA49="Agneau","*Agneau*",IF($DA49="Chevreau","*Chevreau*",IF($DA49="Démarrage","*Démarrage*",IF($DA49="Engraissement","*Engraissement*",IF($DA49="Porcelet","*Porcelet*",IF($DA49="Post_sevrage","*Post_sevrage*",IF($DA49="Poulain","*Poulain*",IF($DA49="Poussin","*Poussin*",""))))))))))),'Étape 1 - à remplir'!$G$31:$G$400,"lots",'Étape 1 - à remplir'!$M$31:$M$400,MASQ2!DJ$43)/SUMIFS('Étape 1 - à remplir'!$F$19:$F$28,'Étape 1 - à remplir'!$E$19:$E$28,MASQ2!$DA49,'Étape 1 - à remplir'!$G$19:$G$28,"lots"),"")</f>
        <v/>
      </c>
      <c r="DK49" s="117" t="str">
        <f>IFERROR(SUMIFS('Étape 1 - à remplir'!$F$31:$F$400,'Étape 1 - à remplir'!$C$31:$C$400,IF($DA49="Croissance","*Croissance*",IF($DA49="Veau","*Veau*",IF($DA49="Adulte","*Adulte*",IF($DA49="Agneau","*Agneau*",IF($DA49="Chevreau","*Chevreau*",IF($DA49="Démarrage","*Démarrage*",IF($DA49="Engraissement","*Engraissement*",IF($DA49="Porcelet","*Porcelet*",IF($DA49="Post_sevrage","*Post_sevrage*",IF($DA49="Poulain","*Poulain*",IF($DA49="Poussin","*Poussin*",""))))))))))),'Étape 1 - à remplir'!$G$31:$G$400,"lots",'Étape 1 - à remplir'!$M$31:$M$400,MASQ2!DK$43)/SUMIFS('Étape 1 - à remplir'!$F$19:$F$28,'Étape 1 - à remplir'!$E$19:$E$28,MASQ2!$DA49,'Étape 1 - à remplir'!$G$19:$G$28,"lots"),"")</f>
        <v/>
      </c>
      <c r="DL49" s="117" t="str">
        <f>IFERROR(SUMIFS('Étape 1 - à remplir'!$F$31:$F$400,'Étape 1 - à remplir'!$C$31:$C$400,IF($DA49="Croissance","*Croissance*",IF($DA49="Veau","*Veau*",IF($DA49="Adulte","*Adulte*",IF($DA49="Agneau","*Agneau*",IF($DA49="Chevreau","*Chevreau*",IF($DA49="Démarrage","*Démarrage*",IF($DA49="Engraissement","*Engraissement*",IF($DA49="Porcelet","*Porcelet*",IF($DA49="Post_sevrage","*Post_sevrage*",IF($DA49="Poulain","*Poulain*",IF($DA49="Poussin","*Poussin*",""))))))))))),'Étape 1 - à remplir'!$G$31:$G$400,"lots",'Étape 1 - à remplir'!$M$31:$M$400,MASQ2!DL$43)/SUMIFS('Étape 1 - à remplir'!$F$19:$F$28,'Étape 1 - à remplir'!$E$19:$E$28,MASQ2!$DA49,'Étape 1 - à remplir'!$G$19:$G$28,"lots"),"")</f>
        <v/>
      </c>
      <c r="DM49" s="108" t="str">
        <f>IFERROR(SUMIFS('Étape 1 - à remplir'!$F$31:$F$400,'Étape 1 - à remplir'!$C$31:$C$400,IF($DA49="Croissance","*Croissance*",IF($DA49="Veau","*Veau*",IF($DA49="Adulte","*Adulte*",IF($DA49="Agneau","*Agneau*",IF($DA49="Chevreau","*Chevreau*",IF($DA49="Démarrage","*Démarrage*",IF($DA49="Engraissement","*Engraissement*",IF($DA49="Porcelet","*Porcelet*",IF($DA49="Post_sevrage","*Post_sevrage*",IF($DA49="Poulain","*Poulain*",IF($DA49="Poussin","*Poussin*",""))))))))))),'Étape 1 - à remplir'!$G$31:$G$400,"lots",'Étape 1 - à remplir'!$M$31:$M$400,MASQ2!DM$43)/SUMIFS('Étape 1 - à remplir'!$F$19:$F$28,'Étape 1 - à remplir'!$E$19:$E$28,MASQ2!$DA49,'Étape 1 - à remplir'!$G$19:$G$28,"lots"),"")</f>
        <v/>
      </c>
      <c r="EA49" s="194" t="str">
        <f t="shared" ca="1" si="18"/>
        <v/>
      </c>
      <c r="EB49" s="226" t="str">
        <f>IFERROR(IF(ED49=0,"",COUNTIF(ED$4:ED$600,"&gt;"&amp;ED49)+COUNTIF(ED$4:ED49,ED49)),"")</f>
        <v/>
      </c>
      <c r="EC49" t="str">
        <f t="shared" si="19"/>
        <v>APRALAN APRAMYCINE 20-SJ PORC-LAPIN</v>
      </c>
      <c r="ED49" t="e">
        <f>IF(IF(EL$2="Catégorie",IF(EL$3="Toutes",SUMIFS('Étape 1 - à remplir'!$F$31:$F$400,'Étape 1 - à remplir'!$E$31:$E$400,MASQ2!EC49,'Étape 1 - à remplir'!$G$31:$G$400,"kg"),SUMIFS('Étape 1 - à remplir'!$F$31:$F$400,'Étape 1 - à remplir'!$E$31:$E$400,MASQ2!EC49,'Étape 1 - à remplir'!$C$31:$C$400,EL$3)),IF(EL$2="Âge",IF(EL$3="Tous",SUMIFS('Étape 1 - à remplir'!$F$31:$F$400,'Étape 1 - à remplir'!$E$31:$E$400,MASQ2!EC49,'Étape 1 - à remplir'!$G$31:$G$400,"kg"),SUMIFS('Étape 1 - à remplir'!$F$31:$F$400,'Étape 1 - à remplir'!$E$31:$E$400,MASQ2!EC49,'Étape 1 - à remplir'!$P$31:$P$400,EL$3,'Étape 1 - à remplir'!$G$31:$G$400,"kg")),IF(EL$2="Atelier",IF(EL$3="Tous",SUMIFS('Étape 1 - à remplir'!$F$31:$F$400,'Étape 1 - à remplir'!$E$31:$E$400,MASQ2!EC49,'Étape 1 - à remplir'!$G$31:$G$400,"kg"),SUMIFS('Étape 1 - à remplir'!$F$31:$F$400,'Étape 1 - à remplir'!$E$31:$E$400,MASQ2!EC49,'Étape 1 - à remplir'!$O$31:$O$400,EL$3,'Étape 1 - à remplir'!$G$31:$G$400,"kg")),IF(EL$2="Espèce",IF(EL$3="Toutes",SUMIFS('Étape 1 - à remplir'!$F$31:$F$400,'Étape 1 - à remplir'!$E$31:$E$400,MASQ2!EC49,'Étape 1 - à remplir'!$G$31:$G$400,"kg"),SUMIFS('Étape 1 - à remplir'!$F$31:$F$400,'Étape 1 - à remplir'!$E$31:$E$400,MASQ2!EC49,'Étape 1 - à remplir'!$N$31:$N$400,EL$3,'Étape 1 - à remplir'!$G$31:$G$400,"kg"))))))=0,NA(),IF(EL$2="Catégorie",IF(EL$3="Toutes",SUMIFS('Étape 1 - à remplir'!$F$31:$F$400,'Étape 1 - à remplir'!$E$31:$E$400,MASQ2!EC49,'Étape 1 - à remplir'!$G$31:$G$400,"kg"),SUMIFS('Étape 1 - à remplir'!$F$31:$F$400,'Étape 1 - à remplir'!$E$31:$E$400,MASQ2!EC49,'Étape 1 - à remplir'!$C$31:$C$400,EL$3)),IF(EL$2="Âge",IF(EL$3="Tous",SUMIFS('Étape 1 - à remplir'!$F$31:$F$400,'Étape 1 - à remplir'!$E$31:$E$400,MASQ2!EC49,'Étape 1 - à remplir'!$G$31:$G$400,"kg"),SUMIFS('Étape 1 - à remplir'!$F$31:$F$400,'Étape 1 - à remplir'!$E$31:$E$400,MASQ2!EC49,'Étape 1 - à remplir'!$P$31:$P$400,EL$3,'Étape 1 - à remplir'!$G$31:$G$400,"kg")),IF(EL$2="Atelier",IF(EL$3="Tous",SUMIFS('Étape 1 - à remplir'!$F$31:$F$400,'Étape 1 - à remplir'!$E$31:$E$400,MASQ2!EC49,'Étape 1 - à remplir'!$G$31:$G$400,"kg"),SUMIFS('Étape 1 - à remplir'!$F$31:$F$400,'Étape 1 - à remplir'!$E$31:$E$400,MASQ2!EC49,'Étape 1 - à remplir'!$O$31:$O$400,EL$3,'Étape 1 - à remplir'!$G$31:$G$400,"kg")),IF(EL$2="Espèce",IF(EL$3="Toutes",SUMIFS('Étape 1 - à remplir'!$F$31:$F$400,'Étape 1 - à remplir'!$E$31:$E$400,MASQ2!EC49,'Étape 1 - à remplir'!$G$31:$G$400,"kg"),SUMIFS('Étape 1 - à remplir'!$F$31:$F$400,'Étape 1 - à remplir'!$E$31:$E$400,MASQ2!EC49,'Étape 1 - à remplir'!$N$31:$N$400,EL$3,'Étape 1 - à remplir'!$G$31:$G$400,"kg")))))))</f>
        <v>#N/A</v>
      </c>
      <c r="EE49" s="76">
        <f t="shared" si="53"/>
        <v>0</v>
      </c>
      <c r="EF49" t="str">
        <f t="shared" si="20"/>
        <v>Apramycine</v>
      </c>
      <c r="EG49" t="str">
        <f t="shared" si="21"/>
        <v/>
      </c>
      <c r="EH49" t="str">
        <f t="shared" si="22"/>
        <v/>
      </c>
      <c r="EI49" t="str">
        <f t="shared" si="23"/>
        <v>Aminoglycosides</v>
      </c>
      <c r="EJ49" t="str">
        <f t="shared" si="24"/>
        <v/>
      </c>
      <c r="EK49" s="63" t="str">
        <f t="shared" si="25"/>
        <v/>
      </c>
      <c r="EN49" s="42">
        <v>46</v>
      </c>
      <c r="EO49" t="e">
        <f t="shared" si="68"/>
        <v>#N/A</v>
      </c>
      <c r="EP49" s="63" t="e">
        <f t="shared" si="69"/>
        <v>#N/A</v>
      </c>
      <c r="ER49" s="194" t="str">
        <f t="shared" si="120"/>
        <v/>
      </c>
      <c r="ES49" s="226" t="str">
        <f>IFERROR(IF(EU49=0,"",COUNTIF(EU$4:EU$64,"&gt;"&amp;EU49)+COUNTIF(EU$4:EU49,EU49)),"")</f>
        <v/>
      </c>
      <c r="ET49" t="str">
        <f t="shared" si="121"/>
        <v>Sulfadoxine</v>
      </c>
      <c r="EU49" s="76" t="e">
        <f t="shared" si="56"/>
        <v>#N/A</v>
      </c>
      <c r="EV49">
        <v>46</v>
      </c>
      <c r="EW49" t="e">
        <f t="shared" si="57"/>
        <v>#N/A</v>
      </c>
      <c r="EX49" s="63" t="e">
        <f t="shared" si="58"/>
        <v>#N/A</v>
      </c>
      <c r="FH49" s="118" t="str">
        <f t="shared" si="124"/>
        <v/>
      </c>
      <c r="FI49" s="117" t="str">
        <f>IFERROR(SUMIFS('Étape 1 - à remplir'!$F$31:$F$400,'Étape 1 - à remplir'!$C$31:$C$400,IF($FH49="Croissance","*Croissance*",IF($FH49="Veau","*Veau*",IF($FH49="Adulte","*Adulte*",IF($FH49="Agneau","*Agneau*",IF($FH49="Chevreau","*Chevreau*",IF($FH49="Démarrage","*Démarrage*",IF($FH49="Engraissement","*Engraissement*",IF($FH49="Porcelet","*Porcelet*",IF($FH49="Post_sevrage","*Post_sevrage*",IF($FH49="Poulain","*Poulain*",IF($FH49="Poussin","*Poussin*",""))))))))))),'Étape 1 - à remplir'!$G$31:$G$400,"kg",'Étape 1 - à remplir'!$M$31:$M$400,MASQ2!FI$43)/SUMIFS('Étape 1 - à remplir'!$F$19:$F$28,'Étape 1 - à remplir'!$E$19:$E$28,MASQ2!$FH49,'Étape 1 - à remplir'!$G$19:$G$28,"kg"),"")</f>
        <v/>
      </c>
      <c r="FJ49" s="117" t="str">
        <f>IFERROR(SUMIFS('Étape 1 - à remplir'!$F$31:$F$400,'Étape 1 - à remplir'!$C$31:$C$400,IF($FH49="Croissance","*Croissance*",IF($FH49="Veau","*Veau*",IF($FH49="Adulte","*Adulte*",IF($FH49="Agneau","*Agneau*",IF($FH49="Chevreau","*Chevreau*",IF($FH49="Démarrage","*Démarrage*",IF($FH49="Engraissement","*Engraissement*",IF($FH49="Porcelet","*Porcelet*",IF($FH49="Post_sevrage","*Post_sevrage*",IF($FH49="Poulain","*Poulain*",IF($FH49="Poussin","*Poussin*",""))))))))))),'Étape 1 - à remplir'!$G$31:$G$400,"kg",'Étape 1 - à remplir'!$M$31:$M$400,MASQ2!FJ$43)/SUMIFS('Étape 1 - à remplir'!$F$19:$F$28,'Étape 1 - à remplir'!$E$19:$E$28,MASQ2!$FH49,'Étape 1 - à remplir'!$G$19:$G$28,"kg"),"")</f>
        <v/>
      </c>
      <c r="FK49" s="117" t="str">
        <f>IFERROR(SUMIFS('Étape 1 - à remplir'!$F$31:$F$400,'Étape 1 - à remplir'!$C$31:$C$400,IF($FH49="Croissance","*Croissance*",IF($FH49="Veau","*Veau*",IF($FH49="Adulte","*Adulte*",IF($FH49="Agneau","*Agneau*",IF($FH49="Chevreau","*Chevreau*",IF($FH49="Démarrage","*Démarrage*",IF($FH49="Engraissement","*Engraissement*",IF($FH49="Porcelet","*Porcelet*",IF($FH49="Post_sevrage","*Post_sevrage*",IF($FH49="Poulain","*Poulain*",IF($FH49="Poussin","*Poussin*",""))))))))))),'Étape 1 - à remplir'!$G$31:$G$400,"kg",'Étape 1 - à remplir'!$M$31:$M$400,MASQ2!FK$43)/SUMIFS('Étape 1 - à remplir'!$F$19:$F$28,'Étape 1 - à remplir'!$E$19:$E$28,MASQ2!$FH49,'Étape 1 - à remplir'!$G$19:$G$28,"kg"),"")</f>
        <v/>
      </c>
      <c r="FL49" s="117" t="str">
        <f>IFERROR(SUMIFS('Étape 1 - à remplir'!$F$31:$F$400,'Étape 1 - à remplir'!$C$31:$C$400,IF($FH49="Croissance","*Croissance*",IF($FH49="Veau","*Veau*",IF($FH49="Adulte","*Adulte*",IF($FH49="Agneau","*Agneau*",IF($FH49="Chevreau","*Chevreau*",IF($FH49="Démarrage","*Démarrage*",IF($FH49="Engraissement","*Engraissement*",IF($FH49="Porcelet","*Porcelet*",IF($FH49="Post_sevrage","*Post_sevrage*",IF($FH49="Poulain","*Poulain*",IF($FH49="Poussin","*Poussin*",""))))))))))),'Étape 1 - à remplir'!$G$31:$G$400,"kg",'Étape 1 - à remplir'!$M$31:$M$400,MASQ2!FL$43)/SUMIFS('Étape 1 - à remplir'!$F$19:$F$28,'Étape 1 - à remplir'!$E$19:$E$28,MASQ2!$FH49,'Étape 1 - à remplir'!$G$19:$G$28,"kg"),"")</f>
        <v/>
      </c>
      <c r="FM49" s="117" t="str">
        <f>IFERROR(SUMIFS('Étape 1 - à remplir'!$F$31:$F$400,'Étape 1 - à remplir'!$C$31:$C$400,IF($FH49="Croissance","*Croissance*",IF($FH49="Veau","*Veau*",IF($FH49="Adulte","*Adulte*",IF($FH49="Agneau","*Agneau*",IF($FH49="Chevreau","*Chevreau*",IF($FH49="Démarrage","*Démarrage*",IF($FH49="Engraissement","*Engraissement*",IF($FH49="Porcelet","*Porcelet*",IF($FH49="Post_sevrage","*Post_sevrage*",IF($FH49="Poulain","*Poulain*",IF($FH49="Poussin","*Poussin*",""))))))))))),'Étape 1 - à remplir'!$G$31:$G$400,"kg",'Étape 1 - à remplir'!$M$31:$M$400,MASQ2!FM$43)/SUMIFS('Étape 1 - à remplir'!$F$19:$F$28,'Étape 1 - à remplir'!$E$19:$E$28,MASQ2!$FH49,'Étape 1 - à remplir'!$G$19:$G$28,"kg"),"")</f>
        <v/>
      </c>
      <c r="FN49" s="117" t="str">
        <f>IFERROR(SUMIFS('Étape 1 - à remplir'!$F$31:$F$400,'Étape 1 - à remplir'!$C$31:$C$400,IF($FH49="Croissance","*Croissance*",IF($FH49="Veau","*Veau*",IF($FH49="Adulte","*Adulte*",IF($FH49="Agneau","*Agneau*",IF($FH49="Chevreau","*Chevreau*",IF($FH49="Démarrage","*Démarrage*",IF($FH49="Engraissement","*Engraissement*",IF($FH49="Porcelet","*Porcelet*",IF($FH49="Post_sevrage","*Post_sevrage*",IF($FH49="Poulain","*Poulain*",IF($FH49="Poussin","*Poussin*",""))))))))))),'Étape 1 - à remplir'!$G$31:$G$400,"kg",'Étape 1 - à remplir'!$M$31:$M$400,MASQ2!FN$43)/SUMIFS('Étape 1 - à remplir'!$F$19:$F$28,'Étape 1 - à remplir'!$E$19:$E$28,MASQ2!$FH49,'Étape 1 - à remplir'!$G$19:$G$28,"kg"),"")</f>
        <v/>
      </c>
      <c r="FO49" s="117" t="str">
        <f>IFERROR(SUMIFS('Étape 1 - à remplir'!$F$31:$F$400,'Étape 1 - à remplir'!$C$31:$C$400,IF($FH49="Croissance","*Croissance*",IF($FH49="Veau","*Veau*",IF($FH49="Adulte","*Adulte*",IF($FH49="Agneau","*Agneau*",IF($FH49="Chevreau","*Chevreau*",IF($FH49="Démarrage","*Démarrage*",IF($FH49="Engraissement","*Engraissement*",IF($FH49="Porcelet","*Porcelet*",IF($FH49="Post_sevrage","*Post_sevrage*",IF($FH49="Poulain","*Poulain*",IF($FH49="Poussin","*Poussin*",""))))))))))),'Étape 1 - à remplir'!$G$31:$G$400,"kg",'Étape 1 - à remplir'!$M$31:$M$400,MASQ2!FO$43)/SUMIFS('Étape 1 - à remplir'!$F$19:$F$28,'Étape 1 - à remplir'!$E$19:$E$28,MASQ2!$FH49,'Étape 1 - à remplir'!$G$19:$G$28,"kg"),"")</f>
        <v/>
      </c>
      <c r="FP49" s="117" t="str">
        <f>IFERROR(SUMIFS('Étape 1 - à remplir'!$F$31:$F$400,'Étape 1 - à remplir'!$C$31:$C$400,IF($FH49="Croissance","*Croissance*",IF($FH49="Veau","*Veau*",IF($FH49="Adulte","*Adulte*",IF($FH49="Agneau","*Agneau*",IF($FH49="Chevreau","*Chevreau*",IF($FH49="Démarrage","*Démarrage*",IF($FH49="Engraissement","*Engraissement*",IF($FH49="Porcelet","*Porcelet*",IF($FH49="Post_sevrage","*Post_sevrage*",IF($FH49="Poulain","*Poulain*",IF($FH49="Poussin","*Poussin*",""))))))))))),'Étape 1 - à remplir'!$G$31:$G$400,"kg",'Étape 1 - à remplir'!$M$31:$M$400,MASQ2!FP$43)/SUMIFS('Étape 1 - à remplir'!$F$19:$F$28,'Étape 1 - à remplir'!$E$19:$E$28,MASQ2!$FH49,'Étape 1 - à remplir'!$G$19:$G$28,"kg"),"")</f>
        <v/>
      </c>
      <c r="FQ49" s="117" t="str">
        <f>IFERROR(SUMIFS('Étape 1 - à remplir'!$F$31:$F$400,'Étape 1 - à remplir'!$C$31:$C$400,IF($FH49="Croissance","*Croissance*",IF($FH49="Veau","*Veau*",IF($FH49="Adulte","*Adulte*",IF($FH49="Agneau","*Agneau*",IF($FH49="Chevreau","*Chevreau*",IF($FH49="Démarrage","*Démarrage*",IF($FH49="Engraissement","*Engraissement*",IF($FH49="Porcelet","*Porcelet*",IF($FH49="Post_sevrage","*Post_sevrage*",IF($FH49="Poulain","*Poulain*",IF($FH49="Poussin","*Poussin*",""))))))))))),'Étape 1 - à remplir'!$G$31:$G$400,"kg",'Étape 1 - à remplir'!$M$31:$M$400,MASQ2!FQ$43)/SUMIFS('Étape 1 - à remplir'!$F$19:$F$28,'Étape 1 - à remplir'!$E$19:$E$28,MASQ2!$FH49,'Étape 1 - à remplir'!$G$19:$G$28,"kg"),"")</f>
        <v/>
      </c>
      <c r="FR49" s="117" t="str">
        <f>IFERROR(SUMIFS('Étape 1 - à remplir'!$F$31:$F$400,'Étape 1 - à remplir'!$C$31:$C$400,IF($FH49="Croissance","*Croissance*",IF($FH49="Veau","*Veau*",IF($FH49="Adulte","*Adulte*",IF($FH49="Agneau","*Agneau*",IF($FH49="Chevreau","*Chevreau*",IF($FH49="Démarrage","*Démarrage*",IF($FH49="Engraissement","*Engraissement*",IF($FH49="Porcelet","*Porcelet*",IF($FH49="Post_sevrage","*Post_sevrage*",IF($FH49="Poulain","*Poulain*",IF($FH49="Poussin","*Poussin*",""))))))))))),'Étape 1 - à remplir'!$G$31:$G$400,"kg",'Étape 1 - à remplir'!$M$31:$M$400,MASQ2!FR$43)/SUMIFS('Étape 1 - à remplir'!$F$19:$F$28,'Étape 1 - à remplir'!$E$19:$E$28,MASQ2!$FH49,'Étape 1 - à remplir'!$G$19:$G$28,"kg"),"")</f>
        <v/>
      </c>
      <c r="FS49" s="117" t="str">
        <f>IFERROR(SUMIFS('Étape 1 - à remplir'!$F$31:$F$400,'Étape 1 - à remplir'!$C$31:$C$400,IF($FH49="Croissance","*Croissance*",IF($FH49="Veau","*Veau*",IF($FH49="Adulte","*Adulte*",IF($FH49="Agneau","*Agneau*",IF($FH49="Chevreau","*Chevreau*",IF($FH49="Démarrage","*Démarrage*",IF($FH49="Engraissement","*Engraissement*",IF($FH49="Porcelet","*Porcelet*",IF($FH49="Post_sevrage","*Post_sevrage*",IF($FH49="Poulain","*Poulain*",IF($FH49="Poussin","*Poussin*",""))))))))))),'Étape 1 - à remplir'!$G$31:$G$400,"kg",'Étape 1 - à remplir'!$M$31:$M$400,MASQ2!FS$43)/SUMIFS('Étape 1 - à remplir'!$F$19:$F$28,'Étape 1 - à remplir'!$E$19:$E$28,MASQ2!$FH49,'Étape 1 - à remplir'!$G$19:$G$28,"kg"),"")</f>
        <v/>
      </c>
      <c r="FT49" s="117" t="str">
        <f>IFERROR(SUMIFS('Étape 1 - à remplir'!$F$31:$F$400,'Étape 1 - à remplir'!$C$31:$C$400,IF($FH49="Croissance","*Croissance*",IF($FH49="Veau","*Veau*",IF($FH49="Adulte","*Adulte*",IF($FH49="Agneau","*Agneau*",IF($FH49="Chevreau","*Chevreau*",IF($FH49="Démarrage","*Démarrage*",IF($FH49="Engraissement","*Engraissement*",IF($FH49="Porcelet","*Porcelet*",IF($FH49="Post_sevrage","*Post_sevrage*",IF($FH49="Poulain","*Poulain*",IF($FH49="Poussin","*Poussin*",""))))))))))),'Étape 1 - à remplir'!$G$31:$G$400,"kg",'Étape 1 - à remplir'!$M$31:$M$400,MASQ2!FT$43)/SUMIFS('Étape 1 - à remplir'!$F$19:$F$28,'Étape 1 - à remplir'!$E$19:$E$28,MASQ2!$FH49,'Étape 1 - à remplir'!$G$19:$G$28,"kg"),"")</f>
        <v/>
      </c>
    </row>
    <row r="50" spans="2:176" x14ac:dyDescent="0.3">
      <c r="B50" s="42"/>
      <c r="M50" s="194" t="str">
        <f ca="1">INDEX(Données_ATB!BD:BU,MATCH(MASQ2!O50,Données_ATB!BD:BD,0),18)</f>
        <v/>
      </c>
      <c r="N50" s="14" t="str">
        <f>IFERROR(IF(Q50=0,"",COUNTIF(Q$4:Q$600,"&gt;"&amp;Q50)+COUNTIF(Q$4:Q50,Q50)),"")</f>
        <v/>
      </c>
      <c r="O50" t="str">
        <f>Données_ATB!BD49</f>
        <v>APRALAN BUVABLE POUDRE POUR ADMINISTRATION DANS L’EAU DE BOISSON/LAIT DE REMPLACEMENT POUR PORCS, VEAUX, POULETS ET LAPINS</v>
      </c>
      <c r="P50" t="e">
        <f>IF(IF(X$2="Catégorie",IF(X$3="Toutes",SUMIFS('Étape 1 - à remplir'!$F$31:$F$400,'Étape 1 - à remplir'!$E$31:$E$400,MASQ2!O50,'Étape 1 - à remplir'!$G$31:$G$400,"animaux"),SUMIFS('Étape 1 - à remplir'!$F$31:$F$400,'Étape 1 - à remplir'!$E$31:$E$400,MASQ2!O50,'Étape 1 - à remplir'!$C$31:$C$400,X$3)),IF(X$2="Âge",IF(X$3="Tous",SUMIFS('Étape 1 - à remplir'!$F$31:$F$400,'Étape 1 - à remplir'!$E$31:$E$400,MASQ2!O50,'Étape 1 - à remplir'!$G$31:$G$400,"animaux"),SUMIFS('Étape 1 - à remplir'!$F$31:$F$400,'Étape 1 - à remplir'!$E$31:$E$400,MASQ2!O50,'Étape 1 - à remplir'!$P$31:$P$400,X$3)),IF(X$2="Atelier",IF(X$3="Tous",SUMIFS('Étape 1 - à remplir'!$F$31:$F$400,'Étape 1 - à remplir'!$E$31:$E$400,MASQ2!O50,'Étape 1 - à remplir'!$G$31:$G$400,"animaux"),SUMIFS('Étape 1 - à remplir'!$F$31:$F$400,'Étape 1 - à remplir'!$E$31:$E$400,MASQ2!O50,'Étape 1 - à remplir'!$O$31:$O$400,X$3)),IF(X$2="Espèce",IF(X$3="Toutes",SUMIFS('Étape 1 - à remplir'!$F$31:$F$400,'Étape 1 - à remplir'!$E$31:$E$400,MASQ2!O50,'Étape 1 - à remplir'!$G$31:$G$400,"animaux"),SUMIFS('Étape 1 - à remplir'!$F$31:$F$400,'Étape 1 - à remplir'!$E$31:$E$400,MASQ2!O50,'Étape 1 - à remplir'!$N$31:$N$400,X$3))))))=0,NA(),IF(X$2="Catégorie",IF(X$3="Toutes",SUMIFS('Étape 1 - à remplir'!$F$31:$F$400,'Étape 1 - à remplir'!$E$31:$E$400,MASQ2!O50,'Étape 1 - à remplir'!$G$31:$G$400,"animaux"),SUMIFS('Étape 1 - à remplir'!$F$31:$F$400,'Étape 1 - à remplir'!$E$31:$E$400,MASQ2!O50,'Étape 1 - à remplir'!$C$31:$C$400,X$3)),IF(X$2="Âge",IF(X$3="Tous",SUMIFS('Étape 1 - à remplir'!$F$31:$F$400,'Étape 1 - à remplir'!$E$31:$E$400,MASQ2!O50,'Étape 1 - à remplir'!$G$31:$G$400,"animaux"),SUMIFS('Étape 1 - à remplir'!$F$31:$F$400,'Étape 1 - à remplir'!$E$31:$E$400,MASQ2!O50,'Étape 1 - à remplir'!$P$31:$P$400,X$3)),IF(X$2="Atelier",IF(X$3="Tous",SUMIFS('Étape 1 - à remplir'!$F$31:$F$400,'Étape 1 - à remplir'!$E$31:$E$400,MASQ2!O50,'Étape 1 - à remplir'!$G$31:$G$400,"animaux"),SUMIFS('Étape 1 - à remplir'!$F$31:$F$400,'Étape 1 - à remplir'!$E$31:$E$400,MASQ2!O50,'Étape 1 - à remplir'!$O$31:$O$400,X$3)),IF(X$2="Espèce",IF(X$3="Toutes",SUMIFS('Étape 1 - à remplir'!$F$31:$F$400,'Étape 1 - à remplir'!$E$31:$E$400,MASQ2!O50,'Étape 1 - à remplir'!$G$31:$G$400,"animaux"),SUMIFS('Étape 1 - à remplir'!$F$31:$F$400,'Étape 1 - à remplir'!$E$31:$E$400,MASQ2!O50,'Étape 1 - à remplir'!$N$31:$N$400,X$3)))))))</f>
        <v>#N/A</v>
      </c>
      <c r="Q50" s="63">
        <f t="shared" si="62"/>
        <v>0</v>
      </c>
      <c r="R50" t="str">
        <f>Données_ATB!BM49</f>
        <v>Apramycine</v>
      </c>
      <c r="S50" t="str">
        <f>Données_ATB!BN49</f>
        <v/>
      </c>
      <c r="T50" s="63" t="str">
        <f>Données_ATB!BO49</f>
        <v/>
      </c>
      <c r="U50" s="42" t="str">
        <f>Données_ATB!BQ49</f>
        <v>Aminoglycosides</v>
      </c>
      <c r="V50" t="str">
        <f>Données_ATB!BR49</f>
        <v/>
      </c>
      <c r="W50" s="63" t="str">
        <f>Données_ATB!BS49</f>
        <v/>
      </c>
      <c r="Z50" s="42">
        <v>47</v>
      </c>
      <c r="AA50" t="e">
        <f t="shared" si="32"/>
        <v>#N/A</v>
      </c>
      <c r="AB50" s="63" t="e">
        <f t="shared" si="33"/>
        <v>#N/A</v>
      </c>
      <c r="AD50" s="194" t="str">
        <f>IF(AF50="Colistine","x",IF(INDEX(Données_ATB!CA$3:CB$63,MATCH(AF50,Données_ATB!CA$3:CA$63,0),2)="Fluoroquinolones","x",IF(INDEX(Données_ATB!CA$3:CB$63,MATCH(AF50,Données_ATB!CA$3:CA$63,0),2)="Cephalosporines 3&amp;4G","x","")))</f>
        <v/>
      </c>
      <c r="AE50" s="219" t="str">
        <f>IFERROR(IF(AG50=0,"",COUNTIF(AG$4:AG$64,"&gt;"&amp;AG50)+COUNTIF(AG$4:AG50,AG50)),"")</f>
        <v/>
      </c>
      <c r="AF50" s="42" t="str">
        <f>Données_ATB!CA49</f>
        <v>Sulfaguanidine</v>
      </c>
      <c r="AG50" s="63" t="e">
        <f t="shared" si="34"/>
        <v>#N/A</v>
      </c>
      <c r="AH50" s="42">
        <v>47</v>
      </c>
      <c r="AI50" t="e">
        <f t="shared" si="35"/>
        <v>#N/A</v>
      </c>
      <c r="AJ50" s="63" t="e">
        <f t="shared" si="36"/>
        <v>#N/A</v>
      </c>
      <c r="AT50" s="109" t="str">
        <f t="shared" si="122"/>
        <v/>
      </c>
      <c r="AU50" s="118" t="str">
        <f>IFERROR(SUMIFS('Étape 1 - à remplir'!$F$31:$F$400,'Étape 1 - à remplir'!$C$31:$C$400,IF($AT50="Croissance","*Croissance*",IF($AT50="Veau","*Veau*",IF($AT50="Adulte","*Adulte*",IF($AT50="Agneau","*Agneau*",IF($AT50="Chevreau","*Chevreau*",IF($AT50="Démarrage","*Démarrage*",IF($AT50="Engraissement","*Engraissement*",IF($AT50="Porcelet","*Porcelet*",IF($AT50="Post_sevrage","*Post_sevrage*",IF($AT50="Poulain","*Poulain*",IF($AT50="Poussin","*Poussin*",""))))))))))),'Étape 1 - à remplir'!$G$31:$G$400,"animaux",'Étape 1 - à remplir'!$M$31:$M$400,MASQ2!AU$43)/SUMIFS('Étape 1 - à remplir'!$F$19:$F$28,'Étape 1 - à remplir'!$E$19:$E$28,MASQ2!$AT50,'Étape 1 - à remplir'!$G$19:$G$28,"animaux"),"")</f>
        <v/>
      </c>
      <c r="AV50" t="str">
        <f>IFERROR(SUMIFS('Étape 1 - à remplir'!$F$31:$F$400,'Étape 1 - à remplir'!$C$31:$C$400,IF($AT50="Croissance","*Croissance*",IF($AT50="Veau","*Veau*",IF($AT50="Adulte","*Adulte*",IF($AT50="Agneau","*Agneau*",IF($AT50="Chevreau","*Chevreau*",IF($AT50="Démarrage","*Démarrage*",IF($AT50="Engraissement","*Engraissement*",IF($AT50="Porcelet","*Porcelet*",IF($AT50="Post_sevrage","*Post_sevrage*",IF($AT50="Poulain","*Poulain*",IF($AT50="Poussin","*Poussin*",""))))))))))),'Étape 1 - à remplir'!$G$31:$G$400,"animaux",'Étape 1 - à remplir'!$M$31:$M$400,MASQ2!AV$43)/SUMIFS('Étape 1 - à remplir'!$F$19:$F$28,'Étape 1 - à remplir'!$E$19:$E$28,MASQ2!$AT50,'Étape 1 - à remplir'!$G$19:$G$28,"animaux"),"")</f>
        <v/>
      </c>
      <c r="AW50" t="str">
        <f>IFERROR(SUMIFS('Étape 1 - à remplir'!$F$31:$F$400,'Étape 1 - à remplir'!$C$31:$C$400,IF($AT50="Croissance","*Croissance*",IF($AT50="Veau","*Veau*",IF($AT50="Adulte","*Adulte*",IF($AT50="Agneau","*Agneau*",IF($AT50="Chevreau","*Chevreau*",IF($AT50="Démarrage","*Démarrage*",IF($AT50="Engraissement","*Engraissement*",IF($AT50="Porcelet","*Porcelet*",IF($AT50="Post_sevrage","*Post_sevrage*",IF($AT50="Poulain","*Poulain*",IF($AT50="Poussin","*Poussin*",""))))))))))),'Étape 1 - à remplir'!$G$31:$G$400,"animaux",'Étape 1 - à remplir'!$M$31:$M$400,MASQ2!AW$43)/SUMIFS('Étape 1 - à remplir'!$F$19:$F$28,'Étape 1 - à remplir'!$E$19:$E$28,MASQ2!$AT50,'Étape 1 - à remplir'!$G$19:$G$28,"animaux"),"")</f>
        <v/>
      </c>
      <c r="AX50" t="str">
        <f>IFERROR(SUMIFS('Étape 1 - à remplir'!$F$31:$F$400,'Étape 1 - à remplir'!$C$31:$C$400,IF($AT50="Croissance","*Croissance*",IF($AT50="Veau","*Veau*",IF($AT50="Adulte","*Adulte*",IF($AT50="Agneau","*Agneau*",IF($AT50="Chevreau","*Chevreau*",IF($AT50="Démarrage","*Démarrage*",IF($AT50="Engraissement","*Engraissement*",IF($AT50="Porcelet","*Porcelet*",IF($AT50="Post_sevrage","*Post_sevrage*",IF($AT50="Poulain","*Poulain*",IF($AT50="Poussin","*Poussin*",""))))))))))),'Étape 1 - à remplir'!$G$31:$G$400,"animaux",'Étape 1 - à remplir'!$M$31:$M$400,MASQ2!AX$43)/SUMIFS('Étape 1 - à remplir'!$F$19:$F$28,'Étape 1 - à remplir'!$E$19:$E$28,MASQ2!$AT50,'Étape 1 - à remplir'!$G$19:$G$28,"animaux"),"")</f>
        <v/>
      </c>
      <c r="AY50" t="str">
        <f>IFERROR(SUMIFS('Étape 1 - à remplir'!$F$31:$F$400,'Étape 1 - à remplir'!$C$31:$C$400,IF($AT50="Croissance","*Croissance*",IF($AT50="Veau","*Veau*",IF($AT50="Adulte","*Adulte*",IF($AT50="Agneau","*Agneau*",IF($AT50="Chevreau","*Chevreau*",IF($AT50="Démarrage","*Démarrage*",IF($AT50="Engraissement","*Engraissement*",IF($AT50="Porcelet","*Porcelet*",IF($AT50="Post_sevrage","*Post_sevrage*",IF($AT50="Poulain","*Poulain*",IF($AT50="Poussin","*Poussin*",""))))))))))),'Étape 1 - à remplir'!$G$31:$G$400,"animaux",'Étape 1 - à remplir'!$M$31:$M$400,MASQ2!AY$43)/SUMIFS('Étape 1 - à remplir'!$F$19:$F$28,'Étape 1 - à remplir'!$E$19:$E$28,MASQ2!$AT50,'Étape 1 - à remplir'!$G$19:$G$28,"animaux"),"")</f>
        <v/>
      </c>
      <c r="AZ50" t="str">
        <f>IFERROR(SUMIFS('Étape 1 - à remplir'!$F$31:$F$400,'Étape 1 - à remplir'!$C$31:$C$400,IF($AT50="Croissance","*Croissance*",IF($AT50="Veau","*Veau*",IF($AT50="Adulte","*Adulte*",IF($AT50="Agneau","*Agneau*",IF($AT50="Chevreau","*Chevreau*",IF($AT50="Démarrage","*Démarrage*",IF($AT50="Engraissement","*Engraissement*",IF($AT50="Porcelet","*Porcelet*",IF($AT50="Post_sevrage","*Post_sevrage*",IF($AT50="Poulain","*Poulain*",IF($AT50="Poussin","*Poussin*",""))))))))))),'Étape 1 - à remplir'!$G$31:$G$400,"animaux",'Étape 1 - à remplir'!$M$31:$M$400,MASQ2!AZ$43)/SUMIFS('Étape 1 - à remplir'!$F$19:$F$28,'Étape 1 - à remplir'!$E$19:$E$28,MASQ2!$AT50,'Étape 1 - à remplir'!$G$19:$G$28,"animaux"),"")</f>
        <v/>
      </c>
      <c r="BA50" t="str">
        <f>IFERROR(SUMIFS('Étape 1 - à remplir'!$F$31:$F$400,'Étape 1 - à remplir'!$C$31:$C$400,IF($AT50="Croissance","*Croissance*",IF($AT50="Veau","*Veau*",IF($AT50="Adulte","*Adulte*",IF($AT50="Agneau","*Agneau*",IF($AT50="Chevreau","*Chevreau*",IF($AT50="Démarrage","*Démarrage*",IF($AT50="Engraissement","*Engraissement*",IF($AT50="Porcelet","*Porcelet*",IF($AT50="Post_sevrage","*Post_sevrage*",IF($AT50="Poulain","*Poulain*",IF($AT50="Poussin","*Poussin*",""))))))))))),'Étape 1 - à remplir'!$G$31:$G$400,"animaux",'Étape 1 - à remplir'!$M$31:$M$400,MASQ2!BA$43)/SUMIFS('Étape 1 - à remplir'!$F$19:$F$28,'Étape 1 - à remplir'!$E$19:$E$28,MASQ2!$AT50,'Étape 1 - à remplir'!$G$19:$G$28,"animaux"),"")</f>
        <v/>
      </c>
      <c r="BB50" t="str">
        <f>IFERROR(SUMIFS('Étape 1 - à remplir'!$F$31:$F$400,'Étape 1 - à remplir'!$C$31:$C$400,IF($AT50="Croissance","*Croissance*",IF($AT50="Veau","*Veau*",IF($AT50="Adulte","*Adulte*",IF($AT50="Agneau","*Agneau*",IF($AT50="Chevreau","*Chevreau*",IF($AT50="Démarrage","*Démarrage*",IF($AT50="Engraissement","*Engraissement*",IF($AT50="Porcelet","*Porcelet*",IF($AT50="Post_sevrage","*Post_sevrage*",IF($AT50="Poulain","*Poulain*",IF($AT50="Poussin","*Poussin*",""))))))))))),'Étape 1 - à remplir'!$G$31:$G$400,"animaux",'Étape 1 - à remplir'!$M$31:$M$400,MASQ2!BB$43)/SUMIFS('Étape 1 - à remplir'!$F$19:$F$28,'Étape 1 - à remplir'!$E$19:$E$28,MASQ2!$AT50,'Étape 1 - à remplir'!$G$19:$G$28,"animaux"),"")</f>
        <v/>
      </c>
      <c r="BC50" t="str">
        <f>IFERROR(SUMIFS('Étape 1 - à remplir'!$F$31:$F$400,'Étape 1 - à remplir'!$C$31:$C$400,IF($AT50="Croissance","*Croissance*",IF($AT50="Veau","*Veau*",IF($AT50="Adulte","*Adulte*",IF($AT50="Agneau","*Agneau*",IF($AT50="Chevreau","*Chevreau*",IF($AT50="Démarrage","*Démarrage*",IF($AT50="Engraissement","*Engraissement*",IF($AT50="Porcelet","*Porcelet*",IF($AT50="Post_sevrage","*Post_sevrage*",IF($AT50="Poulain","*Poulain*",IF($AT50="Poussin","*Poussin*",""))))))))))),'Étape 1 - à remplir'!$G$31:$G$400,"animaux",'Étape 1 - à remplir'!$M$31:$M$400,MASQ2!BC$43)/SUMIFS('Étape 1 - à remplir'!$F$19:$F$28,'Étape 1 - à remplir'!$E$19:$E$28,MASQ2!$AT50,'Étape 1 - à remplir'!$G$19:$G$28,"animaux"),"")</f>
        <v/>
      </c>
      <c r="BD50" t="str">
        <f>IFERROR(SUMIFS('Étape 1 - à remplir'!$F$31:$F$400,'Étape 1 - à remplir'!$C$31:$C$400,IF($AT50="Croissance","*Croissance*",IF($AT50="Veau","*Veau*",IF($AT50="Adulte","*Adulte*",IF($AT50="Agneau","*Agneau*",IF($AT50="Chevreau","*Chevreau*",IF($AT50="Démarrage","*Démarrage*",IF($AT50="Engraissement","*Engraissement*",IF($AT50="Porcelet","*Porcelet*",IF($AT50="Post_sevrage","*Post_sevrage*",IF($AT50="Poulain","*Poulain*",IF($AT50="Poussin","*Poussin*",""))))))))))),'Étape 1 - à remplir'!$G$31:$G$400,"animaux",'Étape 1 - à remplir'!$M$31:$M$400,MASQ2!BD$43)/SUMIFS('Étape 1 - à remplir'!$F$19:$F$28,'Étape 1 - à remplir'!$E$19:$E$28,MASQ2!$AT50,'Étape 1 - à remplir'!$G$19:$G$28,"animaux"),"")</f>
        <v/>
      </c>
      <c r="BE50" t="str">
        <f>IFERROR(SUMIFS('Étape 1 - à remplir'!$F$31:$F$400,'Étape 1 - à remplir'!$C$31:$C$400,IF($AT50="Croissance","*Croissance*",IF($AT50="Veau","*Veau*",IF($AT50="Adulte","*Adulte*",IF($AT50="Agneau","*Agneau*",IF($AT50="Chevreau","*Chevreau*",IF($AT50="Démarrage","*Démarrage*",IF($AT50="Engraissement","*Engraissement*",IF($AT50="Porcelet","*Porcelet*",IF($AT50="Post_sevrage","*Post_sevrage*",IF($AT50="Poulain","*Poulain*",IF($AT50="Poussin","*Poussin*",""))))))))))),'Étape 1 - à remplir'!$G$31:$G$400,"animaux",'Étape 1 - à remplir'!$M$31:$M$400,MASQ2!BE$43)/SUMIFS('Étape 1 - à remplir'!$F$19:$F$28,'Étape 1 - à remplir'!$E$19:$E$28,MASQ2!$AT50,'Étape 1 - à remplir'!$G$19:$G$28,"animaux"),"")</f>
        <v/>
      </c>
      <c r="BF50" s="76" t="str">
        <f>IFERROR(SUMIFS('Étape 1 - à remplir'!$F$31:$F$400,'Étape 1 - à remplir'!$C$31:$C$400,IF($AT50="Croissance","*Croissance*",IF($AT50="Veau","*Veau*",IF($AT50="Adulte","*Adulte*",IF($AT50="Agneau","*Agneau*",IF($AT50="Chevreau","*Chevreau*",IF($AT50="Démarrage","*Démarrage*",IF($AT50="Engraissement","*Engraissement*",IF($AT50="Porcelet","*Porcelet*",IF($AT50="Post_sevrage","*Post_sevrage*",IF($AT50="Poulain","*Poulain*",IF($AT50="Poussin","*Poussin*",""))))))))))),'Étape 1 - à remplir'!$G$31:$G$400,"animaux",'Étape 1 - à remplir'!$M$31:$M$400,MASQ2!BF$43)/SUMIFS('Étape 1 - à remplir'!$F$19:$F$28,'Étape 1 - à remplir'!$E$19:$E$28,MASQ2!$AT50,'Étape 1 - à remplir'!$G$19:$G$28,"animaux"),"")</f>
        <v/>
      </c>
      <c r="BT50" s="194" t="str">
        <f t="shared" ca="1" si="5"/>
        <v/>
      </c>
      <c r="BU50" s="219" t="str">
        <f>IFERROR(IF(BX50=0,"",COUNTIF(BX$4:BX$600,"&gt;"&amp;BX50)+COUNTIF(BX$4:BX50,BX50)),"")</f>
        <v/>
      </c>
      <c r="BV50" s="42" t="str">
        <f t="shared" si="6"/>
        <v>APRALAN BUVABLE POUDRE POUR ADMINISTRATION DANS L’EAU DE BOISSON/LAIT DE REMPLACEMENT POUR PORCS, VEAUX, POULETS ET LAPINS</v>
      </c>
      <c r="BW50" t="e">
        <f>IF(IF(CE$2="Catégorie",IF(CE$3="Toutes",SUMIFS('Étape 1 - à remplir'!$F$31:$F$400,'Étape 1 - à remplir'!$E$31:$E$400,MASQ2!BV50,'Étape 1 - à remplir'!$G$31:$G$400,"lots"),SUMIFS('Étape 1 - à remplir'!$F$31:$F$400,'Étape 1 - à remplir'!$E$31:$E$400,MASQ2!BV50,'Étape 1 - à remplir'!$C$31:$C$400,CE$3)),IF(CE$2="Âge",IF(CE$3="Tous",SUMIFS('Étape 1 - à remplir'!$F$31:$F$400,'Étape 1 - à remplir'!$E$31:$E$400,MASQ2!BV50,'Étape 1 - à remplir'!$G$31:$G$400,"lots"),SUMIFS('Étape 1 - à remplir'!$F$31:$F$400,'Étape 1 - à remplir'!$E$31:$E$400,MASQ2!BV50,'Étape 1 - à remplir'!$P$31:$P$400,CE$3,'Étape 1 - à remplir'!$G$31:$G$400,"lots")),IF(CE$2="Atelier",IF(CE$3="Tous",SUMIFS('Étape 1 - à remplir'!$F$31:$F$400,'Étape 1 - à remplir'!$E$31:$E$400,MASQ2!BV50,'Étape 1 - à remplir'!$G$31:$G$400,"lots"),SUMIFS('Étape 1 - à remplir'!$F$31:$F$400,'Étape 1 - à remplir'!$E$31:$E$400,MASQ2!BV50,'Étape 1 - à remplir'!$O$31:$O$400,CE$3,'Étape 1 - à remplir'!$G$31:$G$400,"lots")),IF(CE$2="Espèce",IF(CE$3="Toutes",SUMIFS('Étape 1 - à remplir'!$F$31:$F$400,'Étape 1 - à remplir'!$E$31:$E$400,MASQ2!BV50,'Étape 1 - à remplir'!$G$31:$G$400,"lots"),SUMIFS('Étape 1 - à remplir'!$F$31:$F$400,'Étape 1 - à remplir'!$E$31:$E$400,MASQ2!BV50,'Étape 1 - à remplir'!$N$31:$N$400,CE$3,'Étape 1 - à remplir'!$G$31:$G$400,"lots"))))))=0,NA(),IF(CE$2="Catégorie",IF(CE$3="Toutes",SUMIFS('Étape 1 - à remplir'!$F$31:$F$400,'Étape 1 - à remplir'!$E$31:$E$400,MASQ2!BV50,'Étape 1 - à remplir'!$G$31:$G$400,"lots"),SUMIFS('Étape 1 - à remplir'!$F$31:$F$400,'Étape 1 - à remplir'!$E$31:$E$400,MASQ2!BV50,'Étape 1 - à remplir'!$C$31:$C$400,CE$3)),IF(CE$2="Âge",IF(CE$3="Tous",SUMIFS('Étape 1 - à remplir'!$F$31:$F$400,'Étape 1 - à remplir'!$E$31:$E$400,MASQ2!BV50,'Étape 1 - à remplir'!$G$31:$G$400,"lots"),SUMIFS('Étape 1 - à remplir'!$F$31:$F$400,'Étape 1 - à remplir'!$E$31:$E$400,MASQ2!BV50,'Étape 1 - à remplir'!$P$31:$P$400,CE$3,'Étape 1 - à remplir'!$G$31:$G$400,"lots")),IF(CE$2="Atelier",IF(CE$3="Tous",SUMIFS('Étape 1 - à remplir'!$F$31:$F$400,'Étape 1 - à remplir'!$E$31:$E$400,MASQ2!BV50,'Étape 1 - à remplir'!$G$31:$G$400,"lots"),SUMIFS('Étape 1 - à remplir'!$F$31:$F$400,'Étape 1 - à remplir'!$E$31:$E$400,MASQ2!BV50,'Étape 1 - à remplir'!$O$31:$O$400,CE$3,'Étape 1 - à remplir'!$G$31:$G$400,"lots")),IF(CE$2="Espèce",IF(CE$3="Toutes",SUMIFS('Étape 1 - à remplir'!$F$31:$F$400,'Étape 1 - à remplir'!$E$31:$E$400,MASQ2!BV50,'Étape 1 - à remplir'!$G$31:$G$400,"lots"),SUMIFS('Étape 1 - à remplir'!$F$31:$F$400,'Étape 1 - à remplir'!$E$31:$E$400,MASQ2!BV50,'Étape 1 - à remplir'!$N$31:$N$400,CE$3,'Étape 1 - à remplir'!$G$31:$G$400,"lots")))))))</f>
        <v>#N/A</v>
      </c>
      <c r="BX50">
        <f t="shared" si="42"/>
        <v>0</v>
      </c>
      <c r="BY50" t="str">
        <f t="shared" si="7"/>
        <v>Apramycine</v>
      </c>
      <c r="BZ50" t="str">
        <f t="shared" si="8"/>
        <v/>
      </c>
      <c r="CA50" t="str">
        <f t="shared" si="9"/>
        <v/>
      </c>
      <c r="CB50" t="str">
        <f t="shared" si="10"/>
        <v>Aminoglycosides</v>
      </c>
      <c r="CC50" t="str">
        <f t="shared" si="11"/>
        <v/>
      </c>
      <c r="CD50" s="63" t="str">
        <f t="shared" si="12"/>
        <v/>
      </c>
      <c r="CG50" s="42">
        <v>47</v>
      </c>
      <c r="CH50" s="42" t="e">
        <f t="shared" si="80"/>
        <v>#N/A</v>
      </c>
      <c r="CI50" s="63" t="e">
        <f t="shared" si="81"/>
        <v>#N/A</v>
      </c>
      <c r="CK50" s="194" t="str">
        <f t="shared" si="118"/>
        <v/>
      </c>
      <c r="CL50" s="226" t="str">
        <f>IFERROR(IF(CN50=0,"",COUNTIF(CN$4:CN$64,"&gt;"&amp;CN50)+COUNTIF(CN$4:CN50,CN50)),"")</f>
        <v/>
      </c>
      <c r="CM50" t="str">
        <f t="shared" si="119"/>
        <v>Sulfaguanidine</v>
      </c>
      <c r="CN50" s="76" t="e">
        <f t="shared" si="45"/>
        <v>#N/A</v>
      </c>
      <c r="CO50">
        <v>47</v>
      </c>
      <c r="CP50" t="e">
        <f t="shared" si="46"/>
        <v>#N/A</v>
      </c>
      <c r="CQ50" s="63" t="e">
        <f t="shared" si="47"/>
        <v>#N/A</v>
      </c>
      <c r="DA50" s="118" t="str">
        <f t="shared" si="123"/>
        <v/>
      </c>
      <c r="DB50" s="117" t="str">
        <f>IFERROR(SUMIFS('Étape 1 - à remplir'!$F$31:$F$400,'Étape 1 - à remplir'!$C$31:$C$400,IF($DA50="Croissance","*Croissance*",IF($DA50="Veau","*Veau*",IF($DA50="Adulte","*Adulte*",IF($DA50="Agneau","*Agneau*",IF($DA50="Chevreau","*Chevreau*",IF($DA50="Démarrage","*Démarrage*",IF($DA50="Engraissement","*Engraissement*",IF($DA50="Porcelet","*Porcelet*",IF($DA50="Post_sevrage","*Post_sevrage*",IF($DA50="Poulain","*Poulain*",IF($DA50="Poussin","*Poussin*",""))))))))))),'Étape 1 - à remplir'!$G$31:$G$400,"lots",'Étape 1 - à remplir'!$M$31:$M$400,MASQ2!DB$43)/SUMIFS('Étape 1 - à remplir'!$F$19:$F$28,'Étape 1 - à remplir'!$E$19:$E$28,MASQ2!$DA50,'Étape 1 - à remplir'!$G$19:$G$28,"lots"),"")</f>
        <v/>
      </c>
      <c r="DC50" s="117" t="str">
        <f>IFERROR(SUMIFS('Étape 1 - à remplir'!$F$31:$F$400,'Étape 1 - à remplir'!$C$31:$C$400,IF($DA50="Croissance","*Croissance*",IF($DA50="Veau","*Veau*",IF($DA50="Adulte","*Adulte*",IF($DA50="Agneau","*Agneau*",IF($DA50="Chevreau","*Chevreau*",IF($DA50="Démarrage","*Démarrage*",IF($DA50="Engraissement","*Engraissement*",IF($DA50="Porcelet","*Porcelet*",IF($DA50="Post_sevrage","*Post_sevrage*",IF($DA50="Poulain","*Poulain*",IF($DA50="Poussin","*Poussin*",""))))))))))),'Étape 1 - à remplir'!$G$31:$G$400,"lots",'Étape 1 - à remplir'!$M$31:$M$400,MASQ2!DC$43)/SUMIFS('Étape 1 - à remplir'!$F$19:$F$28,'Étape 1 - à remplir'!$E$19:$E$28,MASQ2!$DA50,'Étape 1 - à remplir'!$G$19:$G$28,"lots"),"")</f>
        <v/>
      </c>
      <c r="DD50" s="117" t="str">
        <f>IFERROR(SUMIFS('Étape 1 - à remplir'!$F$31:$F$400,'Étape 1 - à remplir'!$C$31:$C$400,IF($DA50="Croissance","*Croissance*",IF($DA50="Veau","*Veau*",IF($DA50="Adulte","*Adulte*",IF($DA50="Agneau","*Agneau*",IF($DA50="Chevreau","*Chevreau*",IF($DA50="Démarrage","*Démarrage*",IF($DA50="Engraissement","*Engraissement*",IF($DA50="Porcelet","*Porcelet*",IF($DA50="Post_sevrage","*Post_sevrage*",IF($DA50="Poulain","*Poulain*",IF($DA50="Poussin","*Poussin*",""))))))))))),'Étape 1 - à remplir'!$G$31:$G$400,"lots",'Étape 1 - à remplir'!$M$31:$M$400,MASQ2!DD$43)/SUMIFS('Étape 1 - à remplir'!$F$19:$F$28,'Étape 1 - à remplir'!$E$19:$E$28,MASQ2!$DA50,'Étape 1 - à remplir'!$G$19:$G$28,"lots"),"")</f>
        <v/>
      </c>
      <c r="DE50" s="117" t="str">
        <f>IFERROR(SUMIFS('Étape 1 - à remplir'!$F$31:$F$400,'Étape 1 - à remplir'!$C$31:$C$400,IF($DA50="Croissance","*Croissance*",IF($DA50="Veau","*Veau*",IF($DA50="Adulte","*Adulte*",IF($DA50="Agneau","*Agneau*",IF($DA50="Chevreau","*Chevreau*",IF($DA50="Démarrage","*Démarrage*",IF($DA50="Engraissement","*Engraissement*",IF($DA50="Porcelet","*Porcelet*",IF($DA50="Post_sevrage","*Post_sevrage*",IF($DA50="Poulain","*Poulain*",IF($DA50="Poussin","*Poussin*",""))))))))))),'Étape 1 - à remplir'!$G$31:$G$400,"lots",'Étape 1 - à remplir'!$M$31:$M$400,MASQ2!DE$43)/SUMIFS('Étape 1 - à remplir'!$F$19:$F$28,'Étape 1 - à remplir'!$E$19:$E$28,MASQ2!$DA50,'Étape 1 - à remplir'!$G$19:$G$28,"lots"),"")</f>
        <v/>
      </c>
      <c r="DF50" s="117" t="str">
        <f>IFERROR(SUMIFS('Étape 1 - à remplir'!$F$31:$F$400,'Étape 1 - à remplir'!$C$31:$C$400,IF($DA50="Croissance","*Croissance*",IF($DA50="Veau","*Veau*",IF($DA50="Adulte","*Adulte*",IF($DA50="Agneau","*Agneau*",IF($DA50="Chevreau","*Chevreau*",IF($DA50="Démarrage","*Démarrage*",IF($DA50="Engraissement","*Engraissement*",IF($DA50="Porcelet","*Porcelet*",IF($DA50="Post_sevrage","*Post_sevrage*",IF($DA50="Poulain","*Poulain*",IF($DA50="Poussin","*Poussin*",""))))))))))),'Étape 1 - à remplir'!$G$31:$G$400,"lots",'Étape 1 - à remplir'!$M$31:$M$400,MASQ2!DF$43)/SUMIFS('Étape 1 - à remplir'!$F$19:$F$28,'Étape 1 - à remplir'!$E$19:$E$28,MASQ2!$DA50,'Étape 1 - à remplir'!$G$19:$G$28,"lots"),"")</f>
        <v/>
      </c>
      <c r="DG50" s="117" t="str">
        <f>IFERROR(SUMIFS('Étape 1 - à remplir'!$F$31:$F$400,'Étape 1 - à remplir'!$C$31:$C$400,IF($DA50="Croissance","*Croissance*",IF($DA50="Veau","*Veau*",IF($DA50="Adulte","*Adulte*",IF($DA50="Agneau","*Agneau*",IF($DA50="Chevreau","*Chevreau*",IF($DA50="Démarrage","*Démarrage*",IF($DA50="Engraissement","*Engraissement*",IF($DA50="Porcelet","*Porcelet*",IF($DA50="Post_sevrage","*Post_sevrage*",IF($DA50="Poulain","*Poulain*",IF($DA50="Poussin","*Poussin*",""))))))))))),'Étape 1 - à remplir'!$G$31:$G$400,"lots",'Étape 1 - à remplir'!$M$31:$M$400,MASQ2!DG$43)/SUMIFS('Étape 1 - à remplir'!$F$19:$F$28,'Étape 1 - à remplir'!$E$19:$E$28,MASQ2!$DA50,'Étape 1 - à remplir'!$G$19:$G$28,"lots"),"")</f>
        <v/>
      </c>
      <c r="DH50" s="117" t="str">
        <f>IFERROR(SUMIFS('Étape 1 - à remplir'!$F$31:$F$400,'Étape 1 - à remplir'!$C$31:$C$400,IF($DA50="Croissance","*Croissance*",IF($DA50="Veau","*Veau*",IF($DA50="Adulte","*Adulte*",IF($DA50="Agneau","*Agneau*",IF($DA50="Chevreau","*Chevreau*",IF($DA50="Démarrage","*Démarrage*",IF($DA50="Engraissement","*Engraissement*",IF($DA50="Porcelet","*Porcelet*",IF($DA50="Post_sevrage","*Post_sevrage*",IF($DA50="Poulain","*Poulain*",IF($DA50="Poussin","*Poussin*",""))))))))))),'Étape 1 - à remplir'!$G$31:$G$400,"lots",'Étape 1 - à remplir'!$M$31:$M$400,MASQ2!DH$43)/SUMIFS('Étape 1 - à remplir'!$F$19:$F$28,'Étape 1 - à remplir'!$E$19:$E$28,MASQ2!$DA50,'Étape 1 - à remplir'!$G$19:$G$28,"lots"),"")</f>
        <v/>
      </c>
      <c r="DI50" s="117" t="str">
        <f>IFERROR(SUMIFS('Étape 1 - à remplir'!$F$31:$F$400,'Étape 1 - à remplir'!$C$31:$C$400,IF($DA50="Croissance","*Croissance*",IF($DA50="Veau","*Veau*",IF($DA50="Adulte","*Adulte*",IF($DA50="Agneau","*Agneau*",IF($DA50="Chevreau","*Chevreau*",IF($DA50="Démarrage","*Démarrage*",IF($DA50="Engraissement","*Engraissement*",IF($DA50="Porcelet","*Porcelet*",IF($DA50="Post_sevrage","*Post_sevrage*",IF($DA50="Poulain","*Poulain*",IF($DA50="Poussin","*Poussin*",""))))))))))),'Étape 1 - à remplir'!$G$31:$G$400,"lots",'Étape 1 - à remplir'!$M$31:$M$400,MASQ2!DI$43)/SUMIFS('Étape 1 - à remplir'!$F$19:$F$28,'Étape 1 - à remplir'!$E$19:$E$28,MASQ2!$DA50,'Étape 1 - à remplir'!$G$19:$G$28,"lots"),"")</f>
        <v/>
      </c>
      <c r="DJ50" s="117" t="str">
        <f>IFERROR(SUMIFS('Étape 1 - à remplir'!$F$31:$F$400,'Étape 1 - à remplir'!$C$31:$C$400,IF($DA50="Croissance","*Croissance*",IF($DA50="Veau","*Veau*",IF($DA50="Adulte","*Adulte*",IF($DA50="Agneau","*Agneau*",IF($DA50="Chevreau","*Chevreau*",IF($DA50="Démarrage","*Démarrage*",IF($DA50="Engraissement","*Engraissement*",IF($DA50="Porcelet","*Porcelet*",IF($DA50="Post_sevrage","*Post_sevrage*",IF($DA50="Poulain","*Poulain*",IF($DA50="Poussin","*Poussin*",""))))))))))),'Étape 1 - à remplir'!$G$31:$G$400,"lots",'Étape 1 - à remplir'!$M$31:$M$400,MASQ2!DJ$43)/SUMIFS('Étape 1 - à remplir'!$F$19:$F$28,'Étape 1 - à remplir'!$E$19:$E$28,MASQ2!$DA50,'Étape 1 - à remplir'!$G$19:$G$28,"lots"),"")</f>
        <v/>
      </c>
      <c r="DK50" s="117" t="str">
        <f>IFERROR(SUMIFS('Étape 1 - à remplir'!$F$31:$F$400,'Étape 1 - à remplir'!$C$31:$C$400,IF($DA50="Croissance","*Croissance*",IF($DA50="Veau","*Veau*",IF($DA50="Adulte","*Adulte*",IF($DA50="Agneau","*Agneau*",IF($DA50="Chevreau","*Chevreau*",IF($DA50="Démarrage","*Démarrage*",IF($DA50="Engraissement","*Engraissement*",IF($DA50="Porcelet","*Porcelet*",IF($DA50="Post_sevrage","*Post_sevrage*",IF($DA50="Poulain","*Poulain*",IF($DA50="Poussin","*Poussin*",""))))))))))),'Étape 1 - à remplir'!$G$31:$G$400,"lots",'Étape 1 - à remplir'!$M$31:$M$400,MASQ2!DK$43)/SUMIFS('Étape 1 - à remplir'!$F$19:$F$28,'Étape 1 - à remplir'!$E$19:$E$28,MASQ2!$DA50,'Étape 1 - à remplir'!$G$19:$G$28,"lots"),"")</f>
        <v/>
      </c>
      <c r="DL50" s="117" t="str">
        <f>IFERROR(SUMIFS('Étape 1 - à remplir'!$F$31:$F$400,'Étape 1 - à remplir'!$C$31:$C$400,IF($DA50="Croissance","*Croissance*",IF($DA50="Veau","*Veau*",IF($DA50="Adulte","*Adulte*",IF($DA50="Agneau","*Agneau*",IF($DA50="Chevreau","*Chevreau*",IF($DA50="Démarrage","*Démarrage*",IF($DA50="Engraissement","*Engraissement*",IF($DA50="Porcelet","*Porcelet*",IF($DA50="Post_sevrage","*Post_sevrage*",IF($DA50="Poulain","*Poulain*",IF($DA50="Poussin","*Poussin*",""))))))))))),'Étape 1 - à remplir'!$G$31:$G$400,"lots",'Étape 1 - à remplir'!$M$31:$M$400,MASQ2!DL$43)/SUMIFS('Étape 1 - à remplir'!$F$19:$F$28,'Étape 1 - à remplir'!$E$19:$E$28,MASQ2!$DA50,'Étape 1 - à remplir'!$G$19:$G$28,"lots"),"")</f>
        <v/>
      </c>
      <c r="DM50" s="108" t="str">
        <f>IFERROR(SUMIFS('Étape 1 - à remplir'!$F$31:$F$400,'Étape 1 - à remplir'!$C$31:$C$400,IF($DA50="Croissance","*Croissance*",IF($DA50="Veau","*Veau*",IF($DA50="Adulte","*Adulte*",IF($DA50="Agneau","*Agneau*",IF($DA50="Chevreau","*Chevreau*",IF($DA50="Démarrage","*Démarrage*",IF($DA50="Engraissement","*Engraissement*",IF($DA50="Porcelet","*Porcelet*",IF($DA50="Post_sevrage","*Post_sevrage*",IF($DA50="Poulain","*Poulain*",IF($DA50="Poussin","*Poussin*",""))))))))))),'Étape 1 - à remplir'!$G$31:$G$400,"lots",'Étape 1 - à remplir'!$M$31:$M$400,MASQ2!DM$43)/SUMIFS('Étape 1 - à remplir'!$F$19:$F$28,'Étape 1 - à remplir'!$E$19:$E$28,MASQ2!$DA50,'Étape 1 - à remplir'!$G$19:$G$28,"lots"),"")</f>
        <v/>
      </c>
      <c r="EA50" s="194" t="str">
        <f t="shared" ca="1" si="18"/>
        <v/>
      </c>
      <c r="EB50" s="226" t="str">
        <f>IFERROR(IF(ED50=0,"",COUNTIF(ED$4:ED$600,"&gt;"&amp;ED50)+COUNTIF(ED$4:ED50,ED50)),"")</f>
        <v/>
      </c>
      <c r="EC50" t="str">
        <f t="shared" si="19"/>
        <v>APRALAN BUVABLE POUDRE POUR ADMINISTRATION DANS L’EAU DE BOISSON/LAIT DE REMPLACEMENT POUR PORCS, VEAUX, POULETS ET LAPINS</v>
      </c>
      <c r="ED50" t="e">
        <f>IF(IF(EL$2="Catégorie",IF(EL$3="Toutes",SUMIFS('Étape 1 - à remplir'!$F$31:$F$400,'Étape 1 - à remplir'!$E$31:$E$400,MASQ2!EC50,'Étape 1 - à remplir'!$G$31:$G$400,"kg"),SUMIFS('Étape 1 - à remplir'!$F$31:$F$400,'Étape 1 - à remplir'!$E$31:$E$400,MASQ2!EC50,'Étape 1 - à remplir'!$C$31:$C$400,EL$3)),IF(EL$2="Âge",IF(EL$3="Tous",SUMIFS('Étape 1 - à remplir'!$F$31:$F$400,'Étape 1 - à remplir'!$E$31:$E$400,MASQ2!EC50,'Étape 1 - à remplir'!$G$31:$G$400,"kg"),SUMIFS('Étape 1 - à remplir'!$F$31:$F$400,'Étape 1 - à remplir'!$E$31:$E$400,MASQ2!EC50,'Étape 1 - à remplir'!$P$31:$P$400,EL$3,'Étape 1 - à remplir'!$G$31:$G$400,"kg")),IF(EL$2="Atelier",IF(EL$3="Tous",SUMIFS('Étape 1 - à remplir'!$F$31:$F$400,'Étape 1 - à remplir'!$E$31:$E$400,MASQ2!EC50,'Étape 1 - à remplir'!$G$31:$G$400,"kg"),SUMIFS('Étape 1 - à remplir'!$F$31:$F$400,'Étape 1 - à remplir'!$E$31:$E$400,MASQ2!EC50,'Étape 1 - à remplir'!$O$31:$O$400,EL$3,'Étape 1 - à remplir'!$G$31:$G$400,"kg")),IF(EL$2="Espèce",IF(EL$3="Toutes",SUMIFS('Étape 1 - à remplir'!$F$31:$F$400,'Étape 1 - à remplir'!$E$31:$E$400,MASQ2!EC50,'Étape 1 - à remplir'!$G$31:$G$400,"kg"),SUMIFS('Étape 1 - à remplir'!$F$31:$F$400,'Étape 1 - à remplir'!$E$31:$E$400,MASQ2!EC50,'Étape 1 - à remplir'!$N$31:$N$400,EL$3,'Étape 1 - à remplir'!$G$31:$G$400,"kg"))))))=0,NA(),IF(EL$2="Catégorie",IF(EL$3="Toutes",SUMIFS('Étape 1 - à remplir'!$F$31:$F$400,'Étape 1 - à remplir'!$E$31:$E$400,MASQ2!EC50,'Étape 1 - à remplir'!$G$31:$G$400,"kg"),SUMIFS('Étape 1 - à remplir'!$F$31:$F$400,'Étape 1 - à remplir'!$E$31:$E$400,MASQ2!EC50,'Étape 1 - à remplir'!$C$31:$C$400,EL$3)),IF(EL$2="Âge",IF(EL$3="Tous",SUMIFS('Étape 1 - à remplir'!$F$31:$F$400,'Étape 1 - à remplir'!$E$31:$E$400,MASQ2!EC50,'Étape 1 - à remplir'!$G$31:$G$400,"kg"),SUMIFS('Étape 1 - à remplir'!$F$31:$F$400,'Étape 1 - à remplir'!$E$31:$E$400,MASQ2!EC50,'Étape 1 - à remplir'!$P$31:$P$400,EL$3,'Étape 1 - à remplir'!$G$31:$G$400,"kg")),IF(EL$2="Atelier",IF(EL$3="Tous",SUMIFS('Étape 1 - à remplir'!$F$31:$F$400,'Étape 1 - à remplir'!$E$31:$E$400,MASQ2!EC50,'Étape 1 - à remplir'!$G$31:$G$400,"kg"),SUMIFS('Étape 1 - à remplir'!$F$31:$F$400,'Étape 1 - à remplir'!$E$31:$E$400,MASQ2!EC50,'Étape 1 - à remplir'!$O$31:$O$400,EL$3,'Étape 1 - à remplir'!$G$31:$G$400,"kg")),IF(EL$2="Espèce",IF(EL$3="Toutes",SUMIFS('Étape 1 - à remplir'!$F$31:$F$400,'Étape 1 - à remplir'!$E$31:$E$400,MASQ2!EC50,'Étape 1 - à remplir'!$G$31:$G$400,"kg"),SUMIFS('Étape 1 - à remplir'!$F$31:$F$400,'Étape 1 - à remplir'!$E$31:$E$400,MASQ2!EC50,'Étape 1 - à remplir'!$N$31:$N$400,EL$3,'Étape 1 - à remplir'!$G$31:$G$400,"kg")))))))</f>
        <v>#N/A</v>
      </c>
      <c r="EE50" s="76">
        <f t="shared" si="53"/>
        <v>0</v>
      </c>
      <c r="EF50" t="str">
        <f t="shared" si="20"/>
        <v>Apramycine</v>
      </c>
      <c r="EG50" t="str">
        <f t="shared" si="21"/>
        <v/>
      </c>
      <c r="EH50" t="str">
        <f t="shared" si="22"/>
        <v/>
      </c>
      <c r="EI50" t="str">
        <f t="shared" si="23"/>
        <v>Aminoglycosides</v>
      </c>
      <c r="EJ50" t="str">
        <f t="shared" si="24"/>
        <v/>
      </c>
      <c r="EK50" s="63" t="str">
        <f t="shared" si="25"/>
        <v/>
      </c>
      <c r="EN50" s="42">
        <v>47</v>
      </c>
      <c r="EO50" t="e">
        <f t="shared" si="68"/>
        <v>#N/A</v>
      </c>
      <c r="EP50" s="63" t="e">
        <f t="shared" si="69"/>
        <v>#N/A</v>
      </c>
      <c r="ER50" s="194" t="str">
        <f t="shared" si="120"/>
        <v/>
      </c>
      <c r="ES50" s="226" t="str">
        <f>IFERROR(IF(EU50=0,"",COUNTIF(EU$4:EU$64,"&gt;"&amp;EU50)+COUNTIF(EU$4:EU50,EU50)),"")</f>
        <v/>
      </c>
      <c r="ET50" t="str">
        <f t="shared" si="121"/>
        <v>Sulfaguanidine</v>
      </c>
      <c r="EU50" s="76" t="e">
        <f t="shared" si="56"/>
        <v>#N/A</v>
      </c>
      <c r="EV50">
        <v>47</v>
      </c>
      <c r="EW50" t="e">
        <f t="shared" si="57"/>
        <v>#N/A</v>
      </c>
      <c r="EX50" s="63" t="e">
        <f t="shared" si="58"/>
        <v>#N/A</v>
      </c>
      <c r="FH50" s="118" t="str">
        <f t="shared" si="124"/>
        <v/>
      </c>
      <c r="FI50" s="117" t="str">
        <f>IFERROR(SUMIFS('Étape 1 - à remplir'!$F$31:$F$400,'Étape 1 - à remplir'!$C$31:$C$400,IF($FH50="Croissance","*Croissance*",IF($FH50="Veau","*Veau*",IF($FH50="Adulte","*Adulte*",IF($FH50="Agneau","*Agneau*",IF($FH50="Chevreau","*Chevreau*",IF($FH50="Démarrage","*Démarrage*",IF($FH50="Engraissement","*Engraissement*",IF($FH50="Porcelet","*Porcelet*",IF($FH50="Post_sevrage","*Post_sevrage*",IF($FH50="Poulain","*Poulain*",IF($FH50="Poussin","*Poussin*",""))))))))))),'Étape 1 - à remplir'!$G$31:$G$400,"kg",'Étape 1 - à remplir'!$M$31:$M$400,MASQ2!FI$43)/SUMIFS('Étape 1 - à remplir'!$F$19:$F$28,'Étape 1 - à remplir'!$E$19:$E$28,MASQ2!$FH50,'Étape 1 - à remplir'!$G$19:$G$28,"kg"),"")</f>
        <v/>
      </c>
      <c r="FJ50" s="117" t="str">
        <f>IFERROR(SUMIFS('Étape 1 - à remplir'!$F$31:$F$400,'Étape 1 - à remplir'!$C$31:$C$400,IF($FH50="Croissance","*Croissance*",IF($FH50="Veau","*Veau*",IF($FH50="Adulte","*Adulte*",IF($FH50="Agneau","*Agneau*",IF($FH50="Chevreau","*Chevreau*",IF($FH50="Démarrage","*Démarrage*",IF($FH50="Engraissement","*Engraissement*",IF($FH50="Porcelet","*Porcelet*",IF($FH50="Post_sevrage","*Post_sevrage*",IF($FH50="Poulain","*Poulain*",IF($FH50="Poussin","*Poussin*",""))))))))))),'Étape 1 - à remplir'!$G$31:$G$400,"kg",'Étape 1 - à remplir'!$M$31:$M$400,MASQ2!FJ$43)/SUMIFS('Étape 1 - à remplir'!$F$19:$F$28,'Étape 1 - à remplir'!$E$19:$E$28,MASQ2!$FH50,'Étape 1 - à remplir'!$G$19:$G$28,"kg"),"")</f>
        <v/>
      </c>
      <c r="FK50" s="117" t="str">
        <f>IFERROR(SUMIFS('Étape 1 - à remplir'!$F$31:$F$400,'Étape 1 - à remplir'!$C$31:$C$400,IF($FH50="Croissance","*Croissance*",IF($FH50="Veau","*Veau*",IF($FH50="Adulte","*Adulte*",IF($FH50="Agneau","*Agneau*",IF($FH50="Chevreau","*Chevreau*",IF($FH50="Démarrage","*Démarrage*",IF($FH50="Engraissement","*Engraissement*",IF($FH50="Porcelet","*Porcelet*",IF($FH50="Post_sevrage","*Post_sevrage*",IF($FH50="Poulain","*Poulain*",IF($FH50="Poussin","*Poussin*",""))))))))))),'Étape 1 - à remplir'!$G$31:$G$400,"kg",'Étape 1 - à remplir'!$M$31:$M$400,MASQ2!FK$43)/SUMIFS('Étape 1 - à remplir'!$F$19:$F$28,'Étape 1 - à remplir'!$E$19:$E$28,MASQ2!$FH50,'Étape 1 - à remplir'!$G$19:$G$28,"kg"),"")</f>
        <v/>
      </c>
      <c r="FL50" s="117" t="str">
        <f>IFERROR(SUMIFS('Étape 1 - à remplir'!$F$31:$F$400,'Étape 1 - à remplir'!$C$31:$C$400,IF($FH50="Croissance","*Croissance*",IF($FH50="Veau","*Veau*",IF($FH50="Adulte","*Adulte*",IF($FH50="Agneau","*Agneau*",IF($FH50="Chevreau","*Chevreau*",IF($FH50="Démarrage","*Démarrage*",IF($FH50="Engraissement","*Engraissement*",IF($FH50="Porcelet","*Porcelet*",IF($FH50="Post_sevrage","*Post_sevrage*",IF($FH50="Poulain","*Poulain*",IF($FH50="Poussin","*Poussin*",""))))))))))),'Étape 1 - à remplir'!$G$31:$G$400,"kg",'Étape 1 - à remplir'!$M$31:$M$400,MASQ2!FL$43)/SUMIFS('Étape 1 - à remplir'!$F$19:$F$28,'Étape 1 - à remplir'!$E$19:$E$28,MASQ2!$FH50,'Étape 1 - à remplir'!$G$19:$G$28,"kg"),"")</f>
        <v/>
      </c>
      <c r="FM50" s="117" t="str">
        <f>IFERROR(SUMIFS('Étape 1 - à remplir'!$F$31:$F$400,'Étape 1 - à remplir'!$C$31:$C$400,IF($FH50="Croissance","*Croissance*",IF($FH50="Veau","*Veau*",IF($FH50="Adulte","*Adulte*",IF($FH50="Agneau","*Agneau*",IF($FH50="Chevreau","*Chevreau*",IF($FH50="Démarrage","*Démarrage*",IF($FH50="Engraissement","*Engraissement*",IF($FH50="Porcelet","*Porcelet*",IF($FH50="Post_sevrage","*Post_sevrage*",IF($FH50="Poulain","*Poulain*",IF($FH50="Poussin","*Poussin*",""))))))))))),'Étape 1 - à remplir'!$G$31:$G$400,"kg",'Étape 1 - à remplir'!$M$31:$M$400,MASQ2!FM$43)/SUMIFS('Étape 1 - à remplir'!$F$19:$F$28,'Étape 1 - à remplir'!$E$19:$E$28,MASQ2!$FH50,'Étape 1 - à remplir'!$G$19:$G$28,"kg"),"")</f>
        <v/>
      </c>
      <c r="FN50" s="117" t="str">
        <f>IFERROR(SUMIFS('Étape 1 - à remplir'!$F$31:$F$400,'Étape 1 - à remplir'!$C$31:$C$400,IF($FH50="Croissance","*Croissance*",IF($FH50="Veau","*Veau*",IF($FH50="Adulte","*Adulte*",IF($FH50="Agneau","*Agneau*",IF($FH50="Chevreau","*Chevreau*",IF($FH50="Démarrage","*Démarrage*",IF($FH50="Engraissement","*Engraissement*",IF($FH50="Porcelet","*Porcelet*",IF($FH50="Post_sevrage","*Post_sevrage*",IF($FH50="Poulain","*Poulain*",IF($FH50="Poussin","*Poussin*",""))))))))))),'Étape 1 - à remplir'!$G$31:$G$400,"kg",'Étape 1 - à remplir'!$M$31:$M$400,MASQ2!FN$43)/SUMIFS('Étape 1 - à remplir'!$F$19:$F$28,'Étape 1 - à remplir'!$E$19:$E$28,MASQ2!$FH50,'Étape 1 - à remplir'!$G$19:$G$28,"kg"),"")</f>
        <v/>
      </c>
      <c r="FO50" s="117" t="str">
        <f>IFERROR(SUMIFS('Étape 1 - à remplir'!$F$31:$F$400,'Étape 1 - à remplir'!$C$31:$C$400,IF($FH50="Croissance","*Croissance*",IF($FH50="Veau","*Veau*",IF($FH50="Adulte","*Adulte*",IF($FH50="Agneau","*Agneau*",IF($FH50="Chevreau","*Chevreau*",IF($FH50="Démarrage","*Démarrage*",IF($FH50="Engraissement","*Engraissement*",IF($FH50="Porcelet","*Porcelet*",IF($FH50="Post_sevrage","*Post_sevrage*",IF($FH50="Poulain","*Poulain*",IF($FH50="Poussin","*Poussin*",""))))))))))),'Étape 1 - à remplir'!$G$31:$G$400,"kg",'Étape 1 - à remplir'!$M$31:$M$400,MASQ2!FO$43)/SUMIFS('Étape 1 - à remplir'!$F$19:$F$28,'Étape 1 - à remplir'!$E$19:$E$28,MASQ2!$FH50,'Étape 1 - à remplir'!$G$19:$G$28,"kg"),"")</f>
        <v/>
      </c>
      <c r="FP50" s="117" t="str">
        <f>IFERROR(SUMIFS('Étape 1 - à remplir'!$F$31:$F$400,'Étape 1 - à remplir'!$C$31:$C$400,IF($FH50="Croissance","*Croissance*",IF($FH50="Veau","*Veau*",IF($FH50="Adulte","*Adulte*",IF($FH50="Agneau","*Agneau*",IF($FH50="Chevreau","*Chevreau*",IF($FH50="Démarrage","*Démarrage*",IF($FH50="Engraissement","*Engraissement*",IF($FH50="Porcelet","*Porcelet*",IF($FH50="Post_sevrage","*Post_sevrage*",IF($FH50="Poulain","*Poulain*",IF($FH50="Poussin","*Poussin*",""))))))))))),'Étape 1 - à remplir'!$G$31:$G$400,"kg",'Étape 1 - à remplir'!$M$31:$M$400,MASQ2!FP$43)/SUMIFS('Étape 1 - à remplir'!$F$19:$F$28,'Étape 1 - à remplir'!$E$19:$E$28,MASQ2!$FH50,'Étape 1 - à remplir'!$G$19:$G$28,"kg"),"")</f>
        <v/>
      </c>
      <c r="FQ50" s="117" t="str">
        <f>IFERROR(SUMIFS('Étape 1 - à remplir'!$F$31:$F$400,'Étape 1 - à remplir'!$C$31:$C$400,IF($FH50="Croissance","*Croissance*",IF($FH50="Veau","*Veau*",IF($FH50="Adulte","*Adulte*",IF($FH50="Agneau","*Agneau*",IF($FH50="Chevreau","*Chevreau*",IF($FH50="Démarrage","*Démarrage*",IF($FH50="Engraissement","*Engraissement*",IF($FH50="Porcelet","*Porcelet*",IF($FH50="Post_sevrage","*Post_sevrage*",IF($FH50="Poulain","*Poulain*",IF($FH50="Poussin","*Poussin*",""))))))))))),'Étape 1 - à remplir'!$G$31:$G$400,"kg",'Étape 1 - à remplir'!$M$31:$M$400,MASQ2!FQ$43)/SUMIFS('Étape 1 - à remplir'!$F$19:$F$28,'Étape 1 - à remplir'!$E$19:$E$28,MASQ2!$FH50,'Étape 1 - à remplir'!$G$19:$G$28,"kg"),"")</f>
        <v/>
      </c>
      <c r="FR50" s="117" t="str">
        <f>IFERROR(SUMIFS('Étape 1 - à remplir'!$F$31:$F$400,'Étape 1 - à remplir'!$C$31:$C$400,IF($FH50="Croissance","*Croissance*",IF($FH50="Veau","*Veau*",IF($FH50="Adulte","*Adulte*",IF($FH50="Agneau","*Agneau*",IF($FH50="Chevreau","*Chevreau*",IF($FH50="Démarrage","*Démarrage*",IF($FH50="Engraissement","*Engraissement*",IF($FH50="Porcelet","*Porcelet*",IF($FH50="Post_sevrage","*Post_sevrage*",IF($FH50="Poulain","*Poulain*",IF($FH50="Poussin","*Poussin*",""))))))))))),'Étape 1 - à remplir'!$G$31:$G$400,"kg",'Étape 1 - à remplir'!$M$31:$M$400,MASQ2!FR$43)/SUMIFS('Étape 1 - à remplir'!$F$19:$F$28,'Étape 1 - à remplir'!$E$19:$E$28,MASQ2!$FH50,'Étape 1 - à remplir'!$G$19:$G$28,"kg"),"")</f>
        <v/>
      </c>
      <c r="FS50" s="117" t="str">
        <f>IFERROR(SUMIFS('Étape 1 - à remplir'!$F$31:$F$400,'Étape 1 - à remplir'!$C$31:$C$400,IF($FH50="Croissance","*Croissance*",IF($FH50="Veau","*Veau*",IF($FH50="Adulte","*Adulte*",IF($FH50="Agneau","*Agneau*",IF($FH50="Chevreau","*Chevreau*",IF($FH50="Démarrage","*Démarrage*",IF($FH50="Engraissement","*Engraissement*",IF($FH50="Porcelet","*Porcelet*",IF($FH50="Post_sevrage","*Post_sevrage*",IF($FH50="Poulain","*Poulain*",IF($FH50="Poussin","*Poussin*",""))))))))))),'Étape 1 - à remplir'!$G$31:$G$400,"kg",'Étape 1 - à remplir'!$M$31:$M$400,MASQ2!FS$43)/SUMIFS('Étape 1 - à remplir'!$F$19:$F$28,'Étape 1 - à remplir'!$E$19:$E$28,MASQ2!$FH50,'Étape 1 - à remplir'!$G$19:$G$28,"kg"),"")</f>
        <v/>
      </c>
      <c r="FT50" s="117" t="str">
        <f>IFERROR(SUMIFS('Étape 1 - à remplir'!$F$31:$F$400,'Étape 1 - à remplir'!$C$31:$C$400,IF($FH50="Croissance","*Croissance*",IF($FH50="Veau","*Veau*",IF($FH50="Adulte","*Adulte*",IF($FH50="Agneau","*Agneau*",IF($FH50="Chevreau","*Chevreau*",IF($FH50="Démarrage","*Démarrage*",IF($FH50="Engraissement","*Engraissement*",IF($FH50="Porcelet","*Porcelet*",IF($FH50="Post_sevrage","*Post_sevrage*",IF($FH50="Poulain","*Poulain*",IF($FH50="Poussin","*Poussin*",""))))))))))),'Étape 1 - à remplir'!$G$31:$G$400,"kg",'Étape 1 - à remplir'!$M$31:$M$400,MASQ2!FT$43)/SUMIFS('Étape 1 - à remplir'!$F$19:$F$28,'Étape 1 - à remplir'!$E$19:$E$28,MASQ2!$FH50,'Étape 1 - à remplir'!$G$19:$G$28,"kg"),"")</f>
        <v/>
      </c>
    </row>
    <row r="51" spans="2:176" x14ac:dyDescent="0.3">
      <c r="B51" s="42"/>
      <c r="M51" s="194" t="str">
        <f ca="1">INDEX(Données_ATB!BD:BU,MATCH(MASQ2!O51,Données_ATB!BD:BD,0),18)</f>
        <v/>
      </c>
      <c r="N51" s="14" t="str">
        <f>IFERROR(IF(Q51=0,"",COUNTIF(Q$4:Q$600,"&gt;"&amp;Q51)+COUNTIF(Q$4:Q51,Q51)),"")</f>
        <v/>
      </c>
      <c r="O51" t="str">
        <f>Données_ATB!BD50</f>
        <v>APRAVET 100 000 UI/G PREMELANGE MEDICAMENTEUX POUR PORCS ET LAPINS</v>
      </c>
      <c r="P51" t="e">
        <f>IF(IF(X$2="Catégorie",IF(X$3="Toutes",SUMIFS('Étape 1 - à remplir'!$F$31:$F$400,'Étape 1 - à remplir'!$E$31:$E$400,MASQ2!O51,'Étape 1 - à remplir'!$G$31:$G$400,"animaux"),SUMIFS('Étape 1 - à remplir'!$F$31:$F$400,'Étape 1 - à remplir'!$E$31:$E$400,MASQ2!O51,'Étape 1 - à remplir'!$C$31:$C$400,X$3)),IF(X$2="Âge",IF(X$3="Tous",SUMIFS('Étape 1 - à remplir'!$F$31:$F$400,'Étape 1 - à remplir'!$E$31:$E$400,MASQ2!O51,'Étape 1 - à remplir'!$G$31:$G$400,"animaux"),SUMIFS('Étape 1 - à remplir'!$F$31:$F$400,'Étape 1 - à remplir'!$E$31:$E$400,MASQ2!O51,'Étape 1 - à remplir'!$P$31:$P$400,X$3)),IF(X$2="Atelier",IF(X$3="Tous",SUMIFS('Étape 1 - à remplir'!$F$31:$F$400,'Étape 1 - à remplir'!$E$31:$E$400,MASQ2!O51,'Étape 1 - à remplir'!$G$31:$G$400,"animaux"),SUMIFS('Étape 1 - à remplir'!$F$31:$F$400,'Étape 1 - à remplir'!$E$31:$E$400,MASQ2!O51,'Étape 1 - à remplir'!$O$31:$O$400,X$3)),IF(X$2="Espèce",IF(X$3="Toutes",SUMIFS('Étape 1 - à remplir'!$F$31:$F$400,'Étape 1 - à remplir'!$E$31:$E$400,MASQ2!O51,'Étape 1 - à remplir'!$G$31:$G$400,"animaux"),SUMIFS('Étape 1 - à remplir'!$F$31:$F$400,'Étape 1 - à remplir'!$E$31:$E$400,MASQ2!O51,'Étape 1 - à remplir'!$N$31:$N$400,X$3))))))=0,NA(),IF(X$2="Catégorie",IF(X$3="Toutes",SUMIFS('Étape 1 - à remplir'!$F$31:$F$400,'Étape 1 - à remplir'!$E$31:$E$400,MASQ2!O51,'Étape 1 - à remplir'!$G$31:$G$400,"animaux"),SUMIFS('Étape 1 - à remplir'!$F$31:$F$400,'Étape 1 - à remplir'!$E$31:$E$400,MASQ2!O51,'Étape 1 - à remplir'!$C$31:$C$400,X$3)),IF(X$2="Âge",IF(X$3="Tous",SUMIFS('Étape 1 - à remplir'!$F$31:$F$400,'Étape 1 - à remplir'!$E$31:$E$400,MASQ2!O51,'Étape 1 - à remplir'!$G$31:$G$400,"animaux"),SUMIFS('Étape 1 - à remplir'!$F$31:$F$400,'Étape 1 - à remplir'!$E$31:$E$400,MASQ2!O51,'Étape 1 - à remplir'!$P$31:$P$400,X$3)),IF(X$2="Atelier",IF(X$3="Tous",SUMIFS('Étape 1 - à remplir'!$F$31:$F$400,'Étape 1 - à remplir'!$E$31:$E$400,MASQ2!O51,'Étape 1 - à remplir'!$G$31:$G$400,"animaux"),SUMIFS('Étape 1 - à remplir'!$F$31:$F$400,'Étape 1 - à remplir'!$E$31:$E$400,MASQ2!O51,'Étape 1 - à remplir'!$O$31:$O$400,X$3)),IF(X$2="Espèce",IF(X$3="Toutes",SUMIFS('Étape 1 - à remplir'!$F$31:$F$400,'Étape 1 - à remplir'!$E$31:$E$400,MASQ2!O51,'Étape 1 - à remplir'!$G$31:$G$400,"animaux"),SUMIFS('Étape 1 - à remplir'!$F$31:$F$400,'Étape 1 - à remplir'!$E$31:$E$400,MASQ2!O51,'Étape 1 - à remplir'!$N$31:$N$400,X$3)))))))</f>
        <v>#N/A</v>
      </c>
      <c r="Q51" s="63">
        <f t="shared" si="62"/>
        <v>0</v>
      </c>
      <c r="R51" t="str">
        <f>Données_ATB!BM50</f>
        <v>Apramycine</v>
      </c>
      <c r="S51" t="str">
        <f>Données_ATB!BN50</f>
        <v/>
      </c>
      <c r="T51" s="63" t="str">
        <f>Données_ATB!BO50</f>
        <v/>
      </c>
      <c r="U51" s="42" t="str">
        <f>Données_ATB!BQ50</f>
        <v>Aminoglycosides</v>
      </c>
      <c r="V51" t="str">
        <f>Données_ATB!BR50</f>
        <v/>
      </c>
      <c r="W51" s="63" t="str">
        <f>Données_ATB!BS50</f>
        <v/>
      </c>
      <c r="Z51" s="42">
        <v>48</v>
      </c>
      <c r="AA51" t="e">
        <f t="shared" si="32"/>
        <v>#N/A</v>
      </c>
      <c r="AB51" s="63" t="e">
        <f t="shared" si="33"/>
        <v>#N/A</v>
      </c>
      <c r="AD51" s="194" t="str">
        <f>IF(AF51="Colistine","x",IF(INDEX(Données_ATB!CA$3:CB$63,MATCH(AF51,Données_ATB!CA$3:CA$63,0),2)="Fluoroquinolones","x",IF(INDEX(Données_ATB!CA$3:CB$63,MATCH(AF51,Données_ATB!CA$3:CA$63,0),2)="Cephalosporines 3&amp;4G","x","")))</f>
        <v/>
      </c>
      <c r="AE51" s="219" t="str">
        <f>IFERROR(IF(AG51=0,"",COUNTIF(AG$4:AG$64,"&gt;"&amp;AG51)+COUNTIF(AG$4:AG51,AG51)),"")</f>
        <v/>
      </c>
      <c r="AF51" s="42" t="str">
        <f>Données_ATB!CA50</f>
        <v>Sulfaméthoxazole</v>
      </c>
      <c r="AG51" s="63" t="e">
        <f t="shared" si="34"/>
        <v>#N/A</v>
      </c>
      <c r="AH51" s="42">
        <v>48</v>
      </c>
      <c r="AI51" t="e">
        <f t="shared" si="35"/>
        <v>#N/A</v>
      </c>
      <c r="AJ51" s="63" t="e">
        <f t="shared" si="36"/>
        <v>#N/A</v>
      </c>
      <c r="AT51" s="109" t="str">
        <f t="shared" si="122"/>
        <v/>
      </c>
      <c r="AU51" s="118" t="str">
        <f>IFERROR(SUMIFS('Étape 1 - à remplir'!$F$31:$F$400,'Étape 1 - à remplir'!$C$31:$C$400,IF($AT51="Croissance","*Croissance*",IF($AT51="Veau","*Veau*",IF($AT51="Adulte","*Adulte*",IF($AT51="Agneau","*Agneau*",IF($AT51="Chevreau","*Chevreau*",IF($AT51="Démarrage","*Démarrage*",IF($AT51="Engraissement","*Engraissement*",IF($AT51="Porcelet","*Porcelet*",IF($AT51="Post_sevrage","*Post_sevrage*",IF($AT51="Poulain","*Poulain*",IF($AT51="Poussin","*Poussin*",""))))))))))),'Étape 1 - à remplir'!$G$31:$G$400,"animaux",'Étape 1 - à remplir'!$M$31:$M$400,MASQ2!AU$43)/SUMIFS('Étape 1 - à remplir'!$F$19:$F$28,'Étape 1 - à remplir'!$E$19:$E$28,MASQ2!$AT51,'Étape 1 - à remplir'!$G$19:$G$28,"animaux"),"")</f>
        <v/>
      </c>
      <c r="AV51" t="str">
        <f>IFERROR(SUMIFS('Étape 1 - à remplir'!$F$31:$F$400,'Étape 1 - à remplir'!$C$31:$C$400,IF($AT51="Croissance","*Croissance*",IF($AT51="Veau","*Veau*",IF($AT51="Adulte","*Adulte*",IF($AT51="Agneau","*Agneau*",IF($AT51="Chevreau","*Chevreau*",IF($AT51="Démarrage","*Démarrage*",IF($AT51="Engraissement","*Engraissement*",IF($AT51="Porcelet","*Porcelet*",IF($AT51="Post_sevrage","*Post_sevrage*",IF($AT51="Poulain","*Poulain*",IF($AT51="Poussin","*Poussin*",""))))))))))),'Étape 1 - à remplir'!$G$31:$G$400,"animaux",'Étape 1 - à remplir'!$M$31:$M$400,MASQ2!AV$43)/SUMIFS('Étape 1 - à remplir'!$F$19:$F$28,'Étape 1 - à remplir'!$E$19:$E$28,MASQ2!$AT51,'Étape 1 - à remplir'!$G$19:$G$28,"animaux"),"")</f>
        <v/>
      </c>
      <c r="AW51" t="str">
        <f>IFERROR(SUMIFS('Étape 1 - à remplir'!$F$31:$F$400,'Étape 1 - à remplir'!$C$31:$C$400,IF($AT51="Croissance","*Croissance*",IF($AT51="Veau","*Veau*",IF($AT51="Adulte","*Adulte*",IF($AT51="Agneau","*Agneau*",IF($AT51="Chevreau","*Chevreau*",IF($AT51="Démarrage","*Démarrage*",IF($AT51="Engraissement","*Engraissement*",IF($AT51="Porcelet","*Porcelet*",IF($AT51="Post_sevrage","*Post_sevrage*",IF($AT51="Poulain","*Poulain*",IF($AT51="Poussin","*Poussin*",""))))))))))),'Étape 1 - à remplir'!$G$31:$G$400,"animaux",'Étape 1 - à remplir'!$M$31:$M$400,MASQ2!AW$43)/SUMIFS('Étape 1 - à remplir'!$F$19:$F$28,'Étape 1 - à remplir'!$E$19:$E$28,MASQ2!$AT51,'Étape 1 - à remplir'!$G$19:$G$28,"animaux"),"")</f>
        <v/>
      </c>
      <c r="AX51" t="str">
        <f>IFERROR(SUMIFS('Étape 1 - à remplir'!$F$31:$F$400,'Étape 1 - à remplir'!$C$31:$C$400,IF($AT51="Croissance","*Croissance*",IF($AT51="Veau","*Veau*",IF($AT51="Adulte","*Adulte*",IF($AT51="Agneau","*Agneau*",IF($AT51="Chevreau","*Chevreau*",IF($AT51="Démarrage","*Démarrage*",IF($AT51="Engraissement","*Engraissement*",IF($AT51="Porcelet","*Porcelet*",IF($AT51="Post_sevrage","*Post_sevrage*",IF($AT51="Poulain","*Poulain*",IF($AT51="Poussin","*Poussin*",""))))))))))),'Étape 1 - à remplir'!$G$31:$G$400,"animaux",'Étape 1 - à remplir'!$M$31:$M$400,MASQ2!AX$43)/SUMIFS('Étape 1 - à remplir'!$F$19:$F$28,'Étape 1 - à remplir'!$E$19:$E$28,MASQ2!$AT51,'Étape 1 - à remplir'!$G$19:$G$28,"animaux"),"")</f>
        <v/>
      </c>
      <c r="AY51" t="str">
        <f>IFERROR(SUMIFS('Étape 1 - à remplir'!$F$31:$F$400,'Étape 1 - à remplir'!$C$31:$C$400,IF($AT51="Croissance","*Croissance*",IF($AT51="Veau","*Veau*",IF($AT51="Adulte","*Adulte*",IF($AT51="Agneau","*Agneau*",IF($AT51="Chevreau","*Chevreau*",IF($AT51="Démarrage","*Démarrage*",IF($AT51="Engraissement","*Engraissement*",IF($AT51="Porcelet","*Porcelet*",IF($AT51="Post_sevrage","*Post_sevrage*",IF($AT51="Poulain","*Poulain*",IF($AT51="Poussin","*Poussin*",""))))))))))),'Étape 1 - à remplir'!$G$31:$G$400,"animaux",'Étape 1 - à remplir'!$M$31:$M$400,MASQ2!AY$43)/SUMIFS('Étape 1 - à remplir'!$F$19:$F$28,'Étape 1 - à remplir'!$E$19:$E$28,MASQ2!$AT51,'Étape 1 - à remplir'!$G$19:$G$28,"animaux"),"")</f>
        <v/>
      </c>
      <c r="AZ51" t="str">
        <f>IFERROR(SUMIFS('Étape 1 - à remplir'!$F$31:$F$400,'Étape 1 - à remplir'!$C$31:$C$400,IF($AT51="Croissance","*Croissance*",IF($AT51="Veau","*Veau*",IF($AT51="Adulte","*Adulte*",IF($AT51="Agneau","*Agneau*",IF($AT51="Chevreau","*Chevreau*",IF($AT51="Démarrage","*Démarrage*",IF($AT51="Engraissement","*Engraissement*",IF($AT51="Porcelet","*Porcelet*",IF($AT51="Post_sevrage","*Post_sevrage*",IF($AT51="Poulain","*Poulain*",IF($AT51="Poussin","*Poussin*",""))))))))))),'Étape 1 - à remplir'!$G$31:$G$400,"animaux",'Étape 1 - à remplir'!$M$31:$M$400,MASQ2!AZ$43)/SUMIFS('Étape 1 - à remplir'!$F$19:$F$28,'Étape 1 - à remplir'!$E$19:$E$28,MASQ2!$AT51,'Étape 1 - à remplir'!$G$19:$G$28,"animaux"),"")</f>
        <v/>
      </c>
      <c r="BA51" t="str">
        <f>IFERROR(SUMIFS('Étape 1 - à remplir'!$F$31:$F$400,'Étape 1 - à remplir'!$C$31:$C$400,IF($AT51="Croissance","*Croissance*",IF($AT51="Veau","*Veau*",IF($AT51="Adulte","*Adulte*",IF($AT51="Agneau","*Agneau*",IF($AT51="Chevreau","*Chevreau*",IF($AT51="Démarrage","*Démarrage*",IF($AT51="Engraissement","*Engraissement*",IF($AT51="Porcelet","*Porcelet*",IF($AT51="Post_sevrage","*Post_sevrage*",IF($AT51="Poulain","*Poulain*",IF($AT51="Poussin","*Poussin*",""))))))))))),'Étape 1 - à remplir'!$G$31:$G$400,"animaux",'Étape 1 - à remplir'!$M$31:$M$400,MASQ2!BA$43)/SUMIFS('Étape 1 - à remplir'!$F$19:$F$28,'Étape 1 - à remplir'!$E$19:$E$28,MASQ2!$AT51,'Étape 1 - à remplir'!$G$19:$G$28,"animaux"),"")</f>
        <v/>
      </c>
      <c r="BB51" t="str">
        <f>IFERROR(SUMIFS('Étape 1 - à remplir'!$F$31:$F$400,'Étape 1 - à remplir'!$C$31:$C$400,IF($AT51="Croissance","*Croissance*",IF($AT51="Veau","*Veau*",IF($AT51="Adulte","*Adulte*",IF($AT51="Agneau","*Agneau*",IF($AT51="Chevreau","*Chevreau*",IF($AT51="Démarrage","*Démarrage*",IF($AT51="Engraissement","*Engraissement*",IF($AT51="Porcelet","*Porcelet*",IF($AT51="Post_sevrage","*Post_sevrage*",IF($AT51="Poulain","*Poulain*",IF($AT51="Poussin","*Poussin*",""))))))))))),'Étape 1 - à remplir'!$G$31:$G$400,"animaux",'Étape 1 - à remplir'!$M$31:$M$400,MASQ2!BB$43)/SUMIFS('Étape 1 - à remplir'!$F$19:$F$28,'Étape 1 - à remplir'!$E$19:$E$28,MASQ2!$AT51,'Étape 1 - à remplir'!$G$19:$G$28,"animaux"),"")</f>
        <v/>
      </c>
      <c r="BC51" t="str">
        <f>IFERROR(SUMIFS('Étape 1 - à remplir'!$F$31:$F$400,'Étape 1 - à remplir'!$C$31:$C$400,IF($AT51="Croissance","*Croissance*",IF($AT51="Veau","*Veau*",IF($AT51="Adulte","*Adulte*",IF($AT51="Agneau","*Agneau*",IF($AT51="Chevreau","*Chevreau*",IF($AT51="Démarrage","*Démarrage*",IF($AT51="Engraissement","*Engraissement*",IF($AT51="Porcelet","*Porcelet*",IF($AT51="Post_sevrage","*Post_sevrage*",IF($AT51="Poulain","*Poulain*",IF($AT51="Poussin","*Poussin*",""))))))))))),'Étape 1 - à remplir'!$G$31:$G$400,"animaux",'Étape 1 - à remplir'!$M$31:$M$400,MASQ2!BC$43)/SUMIFS('Étape 1 - à remplir'!$F$19:$F$28,'Étape 1 - à remplir'!$E$19:$E$28,MASQ2!$AT51,'Étape 1 - à remplir'!$G$19:$G$28,"animaux"),"")</f>
        <v/>
      </c>
      <c r="BD51" t="str">
        <f>IFERROR(SUMIFS('Étape 1 - à remplir'!$F$31:$F$400,'Étape 1 - à remplir'!$C$31:$C$400,IF($AT51="Croissance","*Croissance*",IF($AT51="Veau","*Veau*",IF($AT51="Adulte","*Adulte*",IF($AT51="Agneau","*Agneau*",IF($AT51="Chevreau","*Chevreau*",IF($AT51="Démarrage","*Démarrage*",IF($AT51="Engraissement","*Engraissement*",IF($AT51="Porcelet","*Porcelet*",IF($AT51="Post_sevrage","*Post_sevrage*",IF($AT51="Poulain","*Poulain*",IF($AT51="Poussin","*Poussin*",""))))))))))),'Étape 1 - à remplir'!$G$31:$G$400,"animaux",'Étape 1 - à remplir'!$M$31:$M$400,MASQ2!BD$43)/SUMIFS('Étape 1 - à remplir'!$F$19:$F$28,'Étape 1 - à remplir'!$E$19:$E$28,MASQ2!$AT51,'Étape 1 - à remplir'!$G$19:$G$28,"animaux"),"")</f>
        <v/>
      </c>
      <c r="BE51" t="str">
        <f>IFERROR(SUMIFS('Étape 1 - à remplir'!$F$31:$F$400,'Étape 1 - à remplir'!$C$31:$C$400,IF($AT51="Croissance","*Croissance*",IF($AT51="Veau","*Veau*",IF($AT51="Adulte","*Adulte*",IF($AT51="Agneau","*Agneau*",IF($AT51="Chevreau","*Chevreau*",IF($AT51="Démarrage","*Démarrage*",IF($AT51="Engraissement","*Engraissement*",IF($AT51="Porcelet","*Porcelet*",IF($AT51="Post_sevrage","*Post_sevrage*",IF($AT51="Poulain","*Poulain*",IF($AT51="Poussin","*Poussin*",""))))))))))),'Étape 1 - à remplir'!$G$31:$G$400,"animaux",'Étape 1 - à remplir'!$M$31:$M$400,MASQ2!BE$43)/SUMIFS('Étape 1 - à remplir'!$F$19:$F$28,'Étape 1 - à remplir'!$E$19:$E$28,MASQ2!$AT51,'Étape 1 - à remplir'!$G$19:$G$28,"animaux"),"")</f>
        <v/>
      </c>
      <c r="BF51" s="76" t="str">
        <f>IFERROR(SUMIFS('Étape 1 - à remplir'!$F$31:$F$400,'Étape 1 - à remplir'!$C$31:$C$400,IF($AT51="Croissance","*Croissance*",IF($AT51="Veau","*Veau*",IF($AT51="Adulte","*Adulte*",IF($AT51="Agneau","*Agneau*",IF($AT51="Chevreau","*Chevreau*",IF($AT51="Démarrage","*Démarrage*",IF($AT51="Engraissement","*Engraissement*",IF($AT51="Porcelet","*Porcelet*",IF($AT51="Post_sevrage","*Post_sevrage*",IF($AT51="Poulain","*Poulain*",IF($AT51="Poussin","*Poussin*",""))))))))))),'Étape 1 - à remplir'!$G$31:$G$400,"animaux",'Étape 1 - à remplir'!$M$31:$M$400,MASQ2!BF$43)/SUMIFS('Étape 1 - à remplir'!$F$19:$F$28,'Étape 1 - à remplir'!$E$19:$E$28,MASQ2!$AT51,'Étape 1 - à remplir'!$G$19:$G$28,"animaux"),"")</f>
        <v/>
      </c>
      <c r="BT51" s="194" t="str">
        <f t="shared" ca="1" si="5"/>
        <v/>
      </c>
      <c r="BU51" s="219" t="str">
        <f>IFERROR(IF(BX51=0,"",COUNTIF(BX$4:BX$600,"&gt;"&amp;BX51)+COUNTIF(BX$4:BX51,BX51)),"")</f>
        <v/>
      </c>
      <c r="BV51" s="42" t="str">
        <f t="shared" si="6"/>
        <v>APRAVET 100 000 UI/G PREMELANGE MEDICAMENTEUX POUR PORCS ET LAPINS</v>
      </c>
      <c r="BW51" t="e">
        <f>IF(IF(CE$2="Catégorie",IF(CE$3="Toutes",SUMIFS('Étape 1 - à remplir'!$F$31:$F$400,'Étape 1 - à remplir'!$E$31:$E$400,MASQ2!BV51,'Étape 1 - à remplir'!$G$31:$G$400,"lots"),SUMIFS('Étape 1 - à remplir'!$F$31:$F$400,'Étape 1 - à remplir'!$E$31:$E$400,MASQ2!BV51,'Étape 1 - à remplir'!$C$31:$C$400,CE$3)),IF(CE$2="Âge",IF(CE$3="Tous",SUMIFS('Étape 1 - à remplir'!$F$31:$F$400,'Étape 1 - à remplir'!$E$31:$E$400,MASQ2!BV51,'Étape 1 - à remplir'!$G$31:$G$400,"lots"),SUMIFS('Étape 1 - à remplir'!$F$31:$F$400,'Étape 1 - à remplir'!$E$31:$E$400,MASQ2!BV51,'Étape 1 - à remplir'!$P$31:$P$400,CE$3,'Étape 1 - à remplir'!$G$31:$G$400,"lots")),IF(CE$2="Atelier",IF(CE$3="Tous",SUMIFS('Étape 1 - à remplir'!$F$31:$F$400,'Étape 1 - à remplir'!$E$31:$E$400,MASQ2!BV51,'Étape 1 - à remplir'!$G$31:$G$400,"lots"),SUMIFS('Étape 1 - à remplir'!$F$31:$F$400,'Étape 1 - à remplir'!$E$31:$E$400,MASQ2!BV51,'Étape 1 - à remplir'!$O$31:$O$400,CE$3,'Étape 1 - à remplir'!$G$31:$G$400,"lots")),IF(CE$2="Espèce",IF(CE$3="Toutes",SUMIFS('Étape 1 - à remplir'!$F$31:$F$400,'Étape 1 - à remplir'!$E$31:$E$400,MASQ2!BV51,'Étape 1 - à remplir'!$G$31:$G$400,"lots"),SUMIFS('Étape 1 - à remplir'!$F$31:$F$400,'Étape 1 - à remplir'!$E$31:$E$400,MASQ2!BV51,'Étape 1 - à remplir'!$N$31:$N$400,CE$3,'Étape 1 - à remplir'!$G$31:$G$400,"lots"))))))=0,NA(),IF(CE$2="Catégorie",IF(CE$3="Toutes",SUMIFS('Étape 1 - à remplir'!$F$31:$F$400,'Étape 1 - à remplir'!$E$31:$E$400,MASQ2!BV51,'Étape 1 - à remplir'!$G$31:$G$400,"lots"),SUMIFS('Étape 1 - à remplir'!$F$31:$F$400,'Étape 1 - à remplir'!$E$31:$E$400,MASQ2!BV51,'Étape 1 - à remplir'!$C$31:$C$400,CE$3)),IF(CE$2="Âge",IF(CE$3="Tous",SUMIFS('Étape 1 - à remplir'!$F$31:$F$400,'Étape 1 - à remplir'!$E$31:$E$400,MASQ2!BV51,'Étape 1 - à remplir'!$G$31:$G$400,"lots"),SUMIFS('Étape 1 - à remplir'!$F$31:$F$400,'Étape 1 - à remplir'!$E$31:$E$400,MASQ2!BV51,'Étape 1 - à remplir'!$P$31:$P$400,CE$3,'Étape 1 - à remplir'!$G$31:$G$400,"lots")),IF(CE$2="Atelier",IF(CE$3="Tous",SUMIFS('Étape 1 - à remplir'!$F$31:$F$400,'Étape 1 - à remplir'!$E$31:$E$400,MASQ2!BV51,'Étape 1 - à remplir'!$G$31:$G$400,"lots"),SUMIFS('Étape 1 - à remplir'!$F$31:$F$400,'Étape 1 - à remplir'!$E$31:$E$400,MASQ2!BV51,'Étape 1 - à remplir'!$O$31:$O$400,CE$3,'Étape 1 - à remplir'!$G$31:$G$400,"lots")),IF(CE$2="Espèce",IF(CE$3="Toutes",SUMIFS('Étape 1 - à remplir'!$F$31:$F$400,'Étape 1 - à remplir'!$E$31:$E$400,MASQ2!BV51,'Étape 1 - à remplir'!$G$31:$G$400,"lots"),SUMIFS('Étape 1 - à remplir'!$F$31:$F$400,'Étape 1 - à remplir'!$E$31:$E$400,MASQ2!BV51,'Étape 1 - à remplir'!$N$31:$N$400,CE$3,'Étape 1 - à remplir'!$G$31:$G$400,"lots")))))))</f>
        <v>#N/A</v>
      </c>
      <c r="BX51">
        <f t="shared" si="42"/>
        <v>0</v>
      </c>
      <c r="BY51" t="str">
        <f t="shared" si="7"/>
        <v>Apramycine</v>
      </c>
      <c r="BZ51" t="str">
        <f t="shared" si="8"/>
        <v/>
      </c>
      <c r="CA51" t="str">
        <f t="shared" si="9"/>
        <v/>
      </c>
      <c r="CB51" t="str">
        <f t="shared" si="10"/>
        <v>Aminoglycosides</v>
      </c>
      <c r="CC51" t="str">
        <f t="shared" si="11"/>
        <v/>
      </c>
      <c r="CD51" s="63" t="str">
        <f t="shared" si="12"/>
        <v/>
      </c>
      <c r="CG51" s="42">
        <v>48</v>
      </c>
      <c r="CH51" s="42" t="e">
        <f t="shared" si="80"/>
        <v>#N/A</v>
      </c>
      <c r="CI51" s="63" t="e">
        <f t="shared" si="81"/>
        <v>#N/A</v>
      </c>
      <c r="CK51" s="194" t="str">
        <f t="shared" si="118"/>
        <v/>
      </c>
      <c r="CL51" s="226" t="str">
        <f>IFERROR(IF(CN51=0,"",COUNTIF(CN$4:CN$64,"&gt;"&amp;CN51)+COUNTIF(CN$4:CN51,CN51)),"")</f>
        <v/>
      </c>
      <c r="CM51" t="str">
        <f t="shared" si="119"/>
        <v>Sulfaméthoxazole</v>
      </c>
      <c r="CN51" s="76" t="e">
        <f t="shared" si="45"/>
        <v>#N/A</v>
      </c>
      <c r="CO51">
        <v>48</v>
      </c>
      <c r="CP51" t="e">
        <f t="shared" si="46"/>
        <v>#N/A</v>
      </c>
      <c r="CQ51" s="63" t="e">
        <f t="shared" si="47"/>
        <v>#N/A</v>
      </c>
      <c r="DA51" s="118" t="str">
        <f t="shared" si="123"/>
        <v/>
      </c>
      <c r="DB51" s="117" t="str">
        <f>IFERROR(SUMIFS('Étape 1 - à remplir'!$F$31:$F$400,'Étape 1 - à remplir'!$C$31:$C$400,IF($DA51="Croissance","*Croissance*",IF($DA51="Veau","*Veau*",IF($DA51="Adulte","*Adulte*",IF($DA51="Agneau","*Agneau*",IF($DA51="Chevreau","*Chevreau*",IF($DA51="Démarrage","*Démarrage*",IF($DA51="Engraissement","*Engraissement*",IF($DA51="Porcelet","*Porcelet*",IF($DA51="Post_sevrage","*Post_sevrage*",IF($DA51="Poulain","*Poulain*",IF($DA51="Poussin","*Poussin*",""))))))))))),'Étape 1 - à remplir'!$G$31:$G$400,"lots",'Étape 1 - à remplir'!$M$31:$M$400,MASQ2!DB$43)/SUMIFS('Étape 1 - à remplir'!$F$19:$F$28,'Étape 1 - à remplir'!$E$19:$E$28,MASQ2!$DA51,'Étape 1 - à remplir'!$G$19:$G$28,"lots"),"")</f>
        <v/>
      </c>
      <c r="DC51" s="117" t="str">
        <f>IFERROR(SUMIFS('Étape 1 - à remplir'!$F$31:$F$400,'Étape 1 - à remplir'!$C$31:$C$400,IF($DA51="Croissance","*Croissance*",IF($DA51="Veau","*Veau*",IF($DA51="Adulte","*Adulte*",IF($DA51="Agneau","*Agneau*",IF($DA51="Chevreau","*Chevreau*",IF($DA51="Démarrage","*Démarrage*",IF($DA51="Engraissement","*Engraissement*",IF($DA51="Porcelet","*Porcelet*",IF($DA51="Post_sevrage","*Post_sevrage*",IF($DA51="Poulain","*Poulain*",IF($DA51="Poussin","*Poussin*",""))))))))))),'Étape 1 - à remplir'!$G$31:$G$400,"lots",'Étape 1 - à remplir'!$M$31:$M$400,MASQ2!DC$43)/SUMIFS('Étape 1 - à remplir'!$F$19:$F$28,'Étape 1 - à remplir'!$E$19:$E$28,MASQ2!$DA51,'Étape 1 - à remplir'!$G$19:$G$28,"lots"),"")</f>
        <v/>
      </c>
      <c r="DD51" s="117" t="str">
        <f>IFERROR(SUMIFS('Étape 1 - à remplir'!$F$31:$F$400,'Étape 1 - à remplir'!$C$31:$C$400,IF($DA51="Croissance","*Croissance*",IF($DA51="Veau","*Veau*",IF($DA51="Adulte","*Adulte*",IF($DA51="Agneau","*Agneau*",IF($DA51="Chevreau","*Chevreau*",IF($DA51="Démarrage","*Démarrage*",IF($DA51="Engraissement","*Engraissement*",IF($DA51="Porcelet","*Porcelet*",IF($DA51="Post_sevrage","*Post_sevrage*",IF($DA51="Poulain","*Poulain*",IF($DA51="Poussin","*Poussin*",""))))))))))),'Étape 1 - à remplir'!$G$31:$G$400,"lots",'Étape 1 - à remplir'!$M$31:$M$400,MASQ2!DD$43)/SUMIFS('Étape 1 - à remplir'!$F$19:$F$28,'Étape 1 - à remplir'!$E$19:$E$28,MASQ2!$DA51,'Étape 1 - à remplir'!$G$19:$G$28,"lots"),"")</f>
        <v/>
      </c>
      <c r="DE51" s="117" t="str">
        <f>IFERROR(SUMIFS('Étape 1 - à remplir'!$F$31:$F$400,'Étape 1 - à remplir'!$C$31:$C$400,IF($DA51="Croissance","*Croissance*",IF($DA51="Veau","*Veau*",IF($DA51="Adulte","*Adulte*",IF($DA51="Agneau","*Agneau*",IF($DA51="Chevreau","*Chevreau*",IF($DA51="Démarrage","*Démarrage*",IF($DA51="Engraissement","*Engraissement*",IF($DA51="Porcelet","*Porcelet*",IF($DA51="Post_sevrage","*Post_sevrage*",IF($DA51="Poulain","*Poulain*",IF($DA51="Poussin","*Poussin*",""))))))))))),'Étape 1 - à remplir'!$G$31:$G$400,"lots",'Étape 1 - à remplir'!$M$31:$M$400,MASQ2!DE$43)/SUMIFS('Étape 1 - à remplir'!$F$19:$F$28,'Étape 1 - à remplir'!$E$19:$E$28,MASQ2!$DA51,'Étape 1 - à remplir'!$G$19:$G$28,"lots"),"")</f>
        <v/>
      </c>
      <c r="DF51" s="117" t="str">
        <f>IFERROR(SUMIFS('Étape 1 - à remplir'!$F$31:$F$400,'Étape 1 - à remplir'!$C$31:$C$400,IF($DA51="Croissance","*Croissance*",IF($DA51="Veau","*Veau*",IF($DA51="Adulte","*Adulte*",IF($DA51="Agneau","*Agneau*",IF($DA51="Chevreau","*Chevreau*",IF($DA51="Démarrage","*Démarrage*",IF($DA51="Engraissement","*Engraissement*",IF($DA51="Porcelet","*Porcelet*",IF($DA51="Post_sevrage","*Post_sevrage*",IF($DA51="Poulain","*Poulain*",IF($DA51="Poussin","*Poussin*",""))))))))))),'Étape 1 - à remplir'!$G$31:$G$400,"lots",'Étape 1 - à remplir'!$M$31:$M$400,MASQ2!DF$43)/SUMIFS('Étape 1 - à remplir'!$F$19:$F$28,'Étape 1 - à remplir'!$E$19:$E$28,MASQ2!$DA51,'Étape 1 - à remplir'!$G$19:$G$28,"lots"),"")</f>
        <v/>
      </c>
      <c r="DG51" s="117" t="str">
        <f>IFERROR(SUMIFS('Étape 1 - à remplir'!$F$31:$F$400,'Étape 1 - à remplir'!$C$31:$C$400,IF($DA51="Croissance","*Croissance*",IF($DA51="Veau","*Veau*",IF($DA51="Adulte","*Adulte*",IF($DA51="Agneau","*Agneau*",IF($DA51="Chevreau","*Chevreau*",IF($DA51="Démarrage","*Démarrage*",IF($DA51="Engraissement","*Engraissement*",IF($DA51="Porcelet","*Porcelet*",IF($DA51="Post_sevrage","*Post_sevrage*",IF($DA51="Poulain","*Poulain*",IF($DA51="Poussin","*Poussin*",""))))))))))),'Étape 1 - à remplir'!$G$31:$G$400,"lots",'Étape 1 - à remplir'!$M$31:$M$400,MASQ2!DG$43)/SUMIFS('Étape 1 - à remplir'!$F$19:$F$28,'Étape 1 - à remplir'!$E$19:$E$28,MASQ2!$DA51,'Étape 1 - à remplir'!$G$19:$G$28,"lots"),"")</f>
        <v/>
      </c>
      <c r="DH51" s="117" t="str">
        <f>IFERROR(SUMIFS('Étape 1 - à remplir'!$F$31:$F$400,'Étape 1 - à remplir'!$C$31:$C$400,IF($DA51="Croissance","*Croissance*",IF($DA51="Veau","*Veau*",IF($DA51="Adulte","*Adulte*",IF($DA51="Agneau","*Agneau*",IF($DA51="Chevreau","*Chevreau*",IF($DA51="Démarrage","*Démarrage*",IF($DA51="Engraissement","*Engraissement*",IF($DA51="Porcelet","*Porcelet*",IF($DA51="Post_sevrage","*Post_sevrage*",IF($DA51="Poulain","*Poulain*",IF($DA51="Poussin","*Poussin*",""))))))))))),'Étape 1 - à remplir'!$G$31:$G$400,"lots",'Étape 1 - à remplir'!$M$31:$M$400,MASQ2!DH$43)/SUMIFS('Étape 1 - à remplir'!$F$19:$F$28,'Étape 1 - à remplir'!$E$19:$E$28,MASQ2!$DA51,'Étape 1 - à remplir'!$G$19:$G$28,"lots"),"")</f>
        <v/>
      </c>
      <c r="DI51" s="117" t="str">
        <f>IFERROR(SUMIFS('Étape 1 - à remplir'!$F$31:$F$400,'Étape 1 - à remplir'!$C$31:$C$400,IF($DA51="Croissance","*Croissance*",IF($DA51="Veau","*Veau*",IF($DA51="Adulte","*Adulte*",IF($DA51="Agneau","*Agneau*",IF($DA51="Chevreau","*Chevreau*",IF($DA51="Démarrage","*Démarrage*",IF($DA51="Engraissement","*Engraissement*",IF($DA51="Porcelet","*Porcelet*",IF($DA51="Post_sevrage","*Post_sevrage*",IF($DA51="Poulain","*Poulain*",IF($DA51="Poussin","*Poussin*",""))))))))))),'Étape 1 - à remplir'!$G$31:$G$400,"lots",'Étape 1 - à remplir'!$M$31:$M$400,MASQ2!DI$43)/SUMIFS('Étape 1 - à remplir'!$F$19:$F$28,'Étape 1 - à remplir'!$E$19:$E$28,MASQ2!$DA51,'Étape 1 - à remplir'!$G$19:$G$28,"lots"),"")</f>
        <v/>
      </c>
      <c r="DJ51" s="117" t="str">
        <f>IFERROR(SUMIFS('Étape 1 - à remplir'!$F$31:$F$400,'Étape 1 - à remplir'!$C$31:$C$400,IF($DA51="Croissance","*Croissance*",IF($DA51="Veau","*Veau*",IF($DA51="Adulte","*Adulte*",IF($DA51="Agneau","*Agneau*",IF($DA51="Chevreau","*Chevreau*",IF($DA51="Démarrage","*Démarrage*",IF($DA51="Engraissement","*Engraissement*",IF($DA51="Porcelet","*Porcelet*",IF($DA51="Post_sevrage","*Post_sevrage*",IF($DA51="Poulain","*Poulain*",IF($DA51="Poussin","*Poussin*",""))))))))))),'Étape 1 - à remplir'!$G$31:$G$400,"lots",'Étape 1 - à remplir'!$M$31:$M$400,MASQ2!DJ$43)/SUMIFS('Étape 1 - à remplir'!$F$19:$F$28,'Étape 1 - à remplir'!$E$19:$E$28,MASQ2!$DA51,'Étape 1 - à remplir'!$G$19:$G$28,"lots"),"")</f>
        <v/>
      </c>
      <c r="DK51" s="117" t="str">
        <f>IFERROR(SUMIFS('Étape 1 - à remplir'!$F$31:$F$400,'Étape 1 - à remplir'!$C$31:$C$400,IF($DA51="Croissance","*Croissance*",IF($DA51="Veau","*Veau*",IF($DA51="Adulte","*Adulte*",IF($DA51="Agneau","*Agneau*",IF($DA51="Chevreau","*Chevreau*",IF($DA51="Démarrage","*Démarrage*",IF($DA51="Engraissement","*Engraissement*",IF($DA51="Porcelet","*Porcelet*",IF($DA51="Post_sevrage","*Post_sevrage*",IF($DA51="Poulain","*Poulain*",IF($DA51="Poussin","*Poussin*",""))))))))))),'Étape 1 - à remplir'!$G$31:$G$400,"lots",'Étape 1 - à remplir'!$M$31:$M$400,MASQ2!DK$43)/SUMIFS('Étape 1 - à remplir'!$F$19:$F$28,'Étape 1 - à remplir'!$E$19:$E$28,MASQ2!$DA51,'Étape 1 - à remplir'!$G$19:$G$28,"lots"),"")</f>
        <v/>
      </c>
      <c r="DL51" s="117" t="str">
        <f>IFERROR(SUMIFS('Étape 1 - à remplir'!$F$31:$F$400,'Étape 1 - à remplir'!$C$31:$C$400,IF($DA51="Croissance","*Croissance*",IF($DA51="Veau","*Veau*",IF($DA51="Adulte","*Adulte*",IF($DA51="Agneau","*Agneau*",IF($DA51="Chevreau","*Chevreau*",IF($DA51="Démarrage","*Démarrage*",IF($DA51="Engraissement","*Engraissement*",IF($DA51="Porcelet","*Porcelet*",IF($DA51="Post_sevrage","*Post_sevrage*",IF($DA51="Poulain","*Poulain*",IF($DA51="Poussin","*Poussin*",""))))))))))),'Étape 1 - à remplir'!$G$31:$G$400,"lots",'Étape 1 - à remplir'!$M$31:$M$400,MASQ2!DL$43)/SUMIFS('Étape 1 - à remplir'!$F$19:$F$28,'Étape 1 - à remplir'!$E$19:$E$28,MASQ2!$DA51,'Étape 1 - à remplir'!$G$19:$G$28,"lots"),"")</f>
        <v/>
      </c>
      <c r="DM51" s="108" t="str">
        <f>IFERROR(SUMIFS('Étape 1 - à remplir'!$F$31:$F$400,'Étape 1 - à remplir'!$C$31:$C$400,IF($DA51="Croissance","*Croissance*",IF($DA51="Veau","*Veau*",IF($DA51="Adulte","*Adulte*",IF($DA51="Agneau","*Agneau*",IF($DA51="Chevreau","*Chevreau*",IF($DA51="Démarrage","*Démarrage*",IF($DA51="Engraissement","*Engraissement*",IF($DA51="Porcelet","*Porcelet*",IF($DA51="Post_sevrage","*Post_sevrage*",IF($DA51="Poulain","*Poulain*",IF($DA51="Poussin","*Poussin*",""))))))))))),'Étape 1 - à remplir'!$G$31:$G$400,"lots",'Étape 1 - à remplir'!$M$31:$M$400,MASQ2!DM$43)/SUMIFS('Étape 1 - à remplir'!$F$19:$F$28,'Étape 1 - à remplir'!$E$19:$E$28,MASQ2!$DA51,'Étape 1 - à remplir'!$G$19:$G$28,"lots"),"")</f>
        <v/>
      </c>
      <c r="EA51" s="194" t="str">
        <f t="shared" ca="1" si="18"/>
        <v/>
      </c>
      <c r="EB51" s="226" t="str">
        <f>IFERROR(IF(ED51=0,"",COUNTIF(ED$4:ED$600,"&gt;"&amp;ED51)+COUNTIF(ED$4:ED51,ED51)),"")</f>
        <v/>
      </c>
      <c r="EC51" t="str">
        <f t="shared" si="19"/>
        <v>APRAVET 100 000 UI/G PREMELANGE MEDICAMENTEUX POUR PORCS ET LAPINS</v>
      </c>
      <c r="ED51" t="e">
        <f>IF(IF(EL$2="Catégorie",IF(EL$3="Toutes",SUMIFS('Étape 1 - à remplir'!$F$31:$F$400,'Étape 1 - à remplir'!$E$31:$E$400,MASQ2!EC51,'Étape 1 - à remplir'!$G$31:$G$400,"kg"),SUMIFS('Étape 1 - à remplir'!$F$31:$F$400,'Étape 1 - à remplir'!$E$31:$E$400,MASQ2!EC51,'Étape 1 - à remplir'!$C$31:$C$400,EL$3)),IF(EL$2="Âge",IF(EL$3="Tous",SUMIFS('Étape 1 - à remplir'!$F$31:$F$400,'Étape 1 - à remplir'!$E$31:$E$400,MASQ2!EC51,'Étape 1 - à remplir'!$G$31:$G$400,"kg"),SUMIFS('Étape 1 - à remplir'!$F$31:$F$400,'Étape 1 - à remplir'!$E$31:$E$400,MASQ2!EC51,'Étape 1 - à remplir'!$P$31:$P$400,EL$3,'Étape 1 - à remplir'!$G$31:$G$400,"kg")),IF(EL$2="Atelier",IF(EL$3="Tous",SUMIFS('Étape 1 - à remplir'!$F$31:$F$400,'Étape 1 - à remplir'!$E$31:$E$400,MASQ2!EC51,'Étape 1 - à remplir'!$G$31:$G$400,"kg"),SUMIFS('Étape 1 - à remplir'!$F$31:$F$400,'Étape 1 - à remplir'!$E$31:$E$400,MASQ2!EC51,'Étape 1 - à remplir'!$O$31:$O$400,EL$3,'Étape 1 - à remplir'!$G$31:$G$400,"kg")),IF(EL$2="Espèce",IF(EL$3="Toutes",SUMIFS('Étape 1 - à remplir'!$F$31:$F$400,'Étape 1 - à remplir'!$E$31:$E$400,MASQ2!EC51,'Étape 1 - à remplir'!$G$31:$G$400,"kg"),SUMIFS('Étape 1 - à remplir'!$F$31:$F$400,'Étape 1 - à remplir'!$E$31:$E$400,MASQ2!EC51,'Étape 1 - à remplir'!$N$31:$N$400,EL$3,'Étape 1 - à remplir'!$G$31:$G$400,"kg"))))))=0,NA(),IF(EL$2="Catégorie",IF(EL$3="Toutes",SUMIFS('Étape 1 - à remplir'!$F$31:$F$400,'Étape 1 - à remplir'!$E$31:$E$400,MASQ2!EC51,'Étape 1 - à remplir'!$G$31:$G$400,"kg"),SUMIFS('Étape 1 - à remplir'!$F$31:$F$400,'Étape 1 - à remplir'!$E$31:$E$400,MASQ2!EC51,'Étape 1 - à remplir'!$C$31:$C$400,EL$3)),IF(EL$2="Âge",IF(EL$3="Tous",SUMIFS('Étape 1 - à remplir'!$F$31:$F$400,'Étape 1 - à remplir'!$E$31:$E$400,MASQ2!EC51,'Étape 1 - à remplir'!$G$31:$G$400,"kg"),SUMIFS('Étape 1 - à remplir'!$F$31:$F$400,'Étape 1 - à remplir'!$E$31:$E$400,MASQ2!EC51,'Étape 1 - à remplir'!$P$31:$P$400,EL$3,'Étape 1 - à remplir'!$G$31:$G$400,"kg")),IF(EL$2="Atelier",IF(EL$3="Tous",SUMIFS('Étape 1 - à remplir'!$F$31:$F$400,'Étape 1 - à remplir'!$E$31:$E$400,MASQ2!EC51,'Étape 1 - à remplir'!$G$31:$G$400,"kg"),SUMIFS('Étape 1 - à remplir'!$F$31:$F$400,'Étape 1 - à remplir'!$E$31:$E$400,MASQ2!EC51,'Étape 1 - à remplir'!$O$31:$O$400,EL$3,'Étape 1 - à remplir'!$G$31:$G$400,"kg")),IF(EL$2="Espèce",IF(EL$3="Toutes",SUMIFS('Étape 1 - à remplir'!$F$31:$F$400,'Étape 1 - à remplir'!$E$31:$E$400,MASQ2!EC51,'Étape 1 - à remplir'!$G$31:$G$400,"kg"),SUMIFS('Étape 1 - à remplir'!$F$31:$F$400,'Étape 1 - à remplir'!$E$31:$E$400,MASQ2!EC51,'Étape 1 - à remplir'!$N$31:$N$400,EL$3,'Étape 1 - à remplir'!$G$31:$G$400,"kg")))))))</f>
        <v>#N/A</v>
      </c>
      <c r="EE51" s="76">
        <f t="shared" si="53"/>
        <v>0</v>
      </c>
      <c r="EF51" t="str">
        <f t="shared" si="20"/>
        <v>Apramycine</v>
      </c>
      <c r="EG51" t="str">
        <f t="shared" si="21"/>
        <v/>
      </c>
      <c r="EH51" t="str">
        <f t="shared" si="22"/>
        <v/>
      </c>
      <c r="EI51" t="str">
        <f t="shared" si="23"/>
        <v>Aminoglycosides</v>
      </c>
      <c r="EJ51" t="str">
        <f t="shared" si="24"/>
        <v/>
      </c>
      <c r="EK51" s="63" t="str">
        <f t="shared" si="25"/>
        <v/>
      </c>
      <c r="EN51" s="42">
        <v>48</v>
      </c>
      <c r="EO51" t="e">
        <f t="shared" si="68"/>
        <v>#N/A</v>
      </c>
      <c r="EP51" s="63" t="e">
        <f t="shared" si="69"/>
        <v>#N/A</v>
      </c>
      <c r="ER51" s="194" t="str">
        <f t="shared" si="120"/>
        <v/>
      </c>
      <c r="ES51" s="226" t="str">
        <f>IFERROR(IF(EU51=0,"",COUNTIF(EU$4:EU$64,"&gt;"&amp;EU51)+COUNTIF(EU$4:EU51,EU51)),"")</f>
        <v/>
      </c>
      <c r="ET51" t="str">
        <f t="shared" si="121"/>
        <v>Sulfaméthoxazole</v>
      </c>
      <c r="EU51" s="76" t="e">
        <f t="shared" si="56"/>
        <v>#N/A</v>
      </c>
      <c r="EV51">
        <v>48</v>
      </c>
      <c r="EW51" t="e">
        <f t="shared" si="57"/>
        <v>#N/A</v>
      </c>
      <c r="EX51" s="63" t="e">
        <f t="shared" si="58"/>
        <v>#N/A</v>
      </c>
      <c r="FH51" s="118" t="str">
        <f t="shared" si="124"/>
        <v/>
      </c>
      <c r="FI51" s="117" t="str">
        <f>IFERROR(SUMIFS('Étape 1 - à remplir'!$F$31:$F$400,'Étape 1 - à remplir'!$C$31:$C$400,IF($FH51="Croissance","*Croissance*",IF($FH51="Veau","*Veau*",IF($FH51="Adulte","*Adulte*",IF($FH51="Agneau","*Agneau*",IF($FH51="Chevreau","*Chevreau*",IF($FH51="Démarrage","*Démarrage*",IF($FH51="Engraissement","*Engraissement*",IF($FH51="Porcelet","*Porcelet*",IF($FH51="Post_sevrage","*Post_sevrage*",IF($FH51="Poulain","*Poulain*",IF($FH51="Poussin","*Poussin*",""))))))))))),'Étape 1 - à remplir'!$G$31:$G$400,"kg",'Étape 1 - à remplir'!$M$31:$M$400,MASQ2!FI$43)/SUMIFS('Étape 1 - à remplir'!$F$19:$F$28,'Étape 1 - à remplir'!$E$19:$E$28,MASQ2!$FH51,'Étape 1 - à remplir'!$G$19:$G$28,"kg"),"")</f>
        <v/>
      </c>
      <c r="FJ51" s="117" t="str">
        <f>IFERROR(SUMIFS('Étape 1 - à remplir'!$F$31:$F$400,'Étape 1 - à remplir'!$C$31:$C$400,IF($FH51="Croissance","*Croissance*",IF($FH51="Veau","*Veau*",IF($FH51="Adulte","*Adulte*",IF($FH51="Agneau","*Agneau*",IF($FH51="Chevreau","*Chevreau*",IF($FH51="Démarrage","*Démarrage*",IF($FH51="Engraissement","*Engraissement*",IF($FH51="Porcelet","*Porcelet*",IF($FH51="Post_sevrage","*Post_sevrage*",IF($FH51="Poulain","*Poulain*",IF($FH51="Poussin","*Poussin*",""))))))))))),'Étape 1 - à remplir'!$G$31:$G$400,"kg",'Étape 1 - à remplir'!$M$31:$M$400,MASQ2!FJ$43)/SUMIFS('Étape 1 - à remplir'!$F$19:$F$28,'Étape 1 - à remplir'!$E$19:$E$28,MASQ2!$FH51,'Étape 1 - à remplir'!$G$19:$G$28,"kg"),"")</f>
        <v/>
      </c>
      <c r="FK51" s="117" t="str">
        <f>IFERROR(SUMIFS('Étape 1 - à remplir'!$F$31:$F$400,'Étape 1 - à remplir'!$C$31:$C$400,IF($FH51="Croissance","*Croissance*",IF($FH51="Veau","*Veau*",IF($FH51="Adulte","*Adulte*",IF($FH51="Agneau","*Agneau*",IF($FH51="Chevreau","*Chevreau*",IF($FH51="Démarrage","*Démarrage*",IF($FH51="Engraissement","*Engraissement*",IF($FH51="Porcelet","*Porcelet*",IF($FH51="Post_sevrage","*Post_sevrage*",IF($FH51="Poulain","*Poulain*",IF($FH51="Poussin","*Poussin*",""))))))))))),'Étape 1 - à remplir'!$G$31:$G$400,"kg",'Étape 1 - à remplir'!$M$31:$M$400,MASQ2!FK$43)/SUMIFS('Étape 1 - à remplir'!$F$19:$F$28,'Étape 1 - à remplir'!$E$19:$E$28,MASQ2!$FH51,'Étape 1 - à remplir'!$G$19:$G$28,"kg"),"")</f>
        <v/>
      </c>
      <c r="FL51" s="117" t="str">
        <f>IFERROR(SUMIFS('Étape 1 - à remplir'!$F$31:$F$400,'Étape 1 - à remplir'!$C$31:$C$400,IF($FH51="Croissance","*Croissance*",IF($FH51="Veau","*Veau*",IF($FH51="Adulte","*Adulte*",IF($FH51="Agneau","*Agneau*",IF($FH51="Chevreau","*Chevreau*",IF($FH51="Démarrage","*Démarrage*",IF($FH51="Engraissement","*Engraissement*",IF($FH51="Porcelet","*Porcelet*",IF($FH51="Post_sevrage","*Post_sevrage*",IF($FH51="Poulain","*Poulain*",IF($FH51="Poussin","*Poussin*",""))))))))))),'Étape 1 - à remplir'!$G$31:$G$400,"kg",'Étape 1 - à remplir'!$M$31:$M$400,MASQ2!FL$43)/SUMIFS('Étape 1 - à remplir'!$F$19:$F$28,'Étape 1 - à remplir'!$E$19:$E$28,MASQ2!$FH51,'Étape 1 - à remplir'!$G$19:$G$28,"kg"),"")</f>
        <v/>
      </c>
      <c r="FM51" s="117" t="str">
        <f>IFERROR(SUMIFS('Étape 1 - à remplir'!$F$31:$F$400,'Étape 1 - à remplir'!$C$31:$C$400,IF($FH51="Croissance","*Croissance*",IF($FH51="Veau","*Veau*",IF($FH51="Adulte","*Adulte*",IF($FH51="Agneau","*Agneau*",IF($FH51="Chevreau","*Chevreau*",IF($FH51="Démarrage","*Démarrage*",IF($FH51="Engraissement","*Engraissement*",IF($FH51="Porcelet","*Porcelet*",IF($FH51="Post_sevrage","*Post_sevrage*",IF($FH51="Poulain","*Poulain*",IF($FH51="Poussin","*Poussin*",""))))))))))),'Étape 1 - à remplir'!$G$31:$G$400,"kg",'Étape 1 - à remplir'!$M$31:$M$400,MASQ2!FM$43)/SUMIFS('Étape 1 - à remplir'!$F$19:$F$28,'Étape 1 - à remplir'!$E$19:$E$28,MASQ2!$FH51,'Étape 1 - à remplir'!$G$19:$G$28,"kg"),"")</f>
        <v/>
      </c>
      <c r="FN51" s="117" t="str">
        <f>IFERROR(SUMIFS('Étape 1 - à remplir'!$F$31:$F$400,'Étape 1 - à remplir'!$C$31:$C$400,IF($FH51="Croissance","*Croissance*",IF($FH51="Veau","*Veau*",IF($FH51="Adulte","*Adulte*",IF($FH51="Agneau","*Agneau*",IF($FH51="Chevreau","*Chevreau*",IF($FH51="Démarrage","*Démarrage*",IF($FH51="Engraissement","*Engraissement*",IF($FH51="Porcelet","*Porcelet*",IF($FH51="Post_sevrage","*Post_sevrage*",IF($FH51="Poulain","*Poulain*",IF($FH51="Poussin","*Poussin*",""))))))))))),'Étape 1 - à remplir'!$G$31:$G$400,"kg",'Étape 1 - à remplir'!$M$31:$M$400,MASQ2!FN$43)/SUMIFS('Étape 1 - à remplir'!$F$19:$F$28,'Étape 1 - à remplir'!$E$19:$E$28,MASQ2!$FH51,'Étape 1 - à remplir'!$G$19:$G$28,"kg"),"")</f>
        <v/>
      </c>
      <c r="FO51" s="117" t="str">
        <f>IFERROR(SUMIFS('Étape 1 - à remplir'!$F$31:$F$400,'Étape 1 - à remplir'!$C$31:$C$400,IF($FH51="Croissance","*Croissance*",IF($FH51="Veau","*Veau*",IF($FH51="Adulte","*Adulte*",IF($FH51="Agneau","*Agneau*",IF($FH51="Chevreau","*Chevreau*",IF($FH51="Démarrage","*Démarrage*",IF($FH51="Engraissement","*Engraissement*",IF($FH51="Porcelet","*Porcelet*",IF($FH51="Post_sevrage","*Post_sevrage*",IF($FH51="Poulain","*Poulain*",IF($FH51="Poussin","*Poussin*",""))))))))))),'Étape 1 - à remplir'!$G$31:$G$400,"kg",'Étape 1 - à remplir'!$M$31:$M$400,MASQ2!FO$43)/SUMIFS('Étape 1 - à remplir'!$F$19:$F$28,'Étape 1 - à remplir'!$E$19:$E$28,MASQ2!$FH51,'Étape 1 - à remplir'!$G$19:$G$28,"kg"),"")</f>
        <v/>
      </c>
      <c r="FP51" s="117" t="str">
        <f>IFERROR(SUMIFS('Étape 1 - à remplir'!$F$31:$F$400,'Étape 1 - à remplir'!$C$31:$C$400,IF($FH51="Croissance","*Croissance*",IF($FH51="Veau","*Veau*",IF($FH51="Adulte","*Adulte*",IF($FH51="Agneau","*Agneau*",IF($FH51="Chevreau","*Chevreau*",IF($FH51="Démarrage","*Démarrage*",IF($FH51="Engraissement","*Engraissement*",IF($FH51="Porcelet","*Porcelet*",IF($FH51="Post_sevrage","*Post_sevrage*",IF($FH51="Poulain","*Poulain*",IF($FH51="Poussin","*Poussin*",""))))))))))),'Étape 1 - à remplir'!$G$31:$G$400,"kg",'Étape 1 - à remplir'!$M$31:$M$400,MASQ2!FP$43)/SUMIFS('Étape 1 - à remplir'!$F$19:$F$28,'Étape 1 - à remplir'!$E$19:$E$28,MASQ2!$FH51,'Étape 1 - à remplir'!$G$19:$G$28,"kg"),"")</f>
        <v/>
      </c>
      <c r="FQ51" s="117" t="str">
        <f>IFERROR(SUMIFS('Étape 1 - à remplir'!$F$31:$F$400,'Étape 1 - à remplir'!$C$31:$C$400,IF($FH51="Croissance","*Croissance*",IF($FH51="Veau","*Veau*",IF($FH51="Adulte","*Adulte*",IF($FH51="Agneau","*Agneau*",IF($FH51="Chevreau","*Chevreau*",IF($FH51="Démarrage","*Démarrage*",IF($FH51="Engraissement","*Engraissement*",IF($FH51="Porcelet","*Porcelet*",IF($FH51="Post_sevrage","*Post_sevrage*",IF($FH51="Poulain","*Poulain*",IF($FH51="Poussin","*Poussin*",""))))))))))),'Étape 1 - à remplir'!$G$31:$G$400,"kg",'Étape 1 - à remplir'!$M$31:$M$400,MASQ2!FQ$43)/SUMIFS('Étape 1 - à remplir'!$F$19:$F$28,'Étape 1 - à remplir'!$E$19:$E$28,MASQ2!$FH51,'Étape 1 - à remplir'!$G$19:$G$28,"kg"),"")</f>
        <v/>
      </c>
      <c r="FR51" s="117" t="str">
        <f>IFERROR(SUMIFS('Étape 1 - à remplir'!$F$31:$F$400,'Étape 1 - à remplir'!$C$31:$C$400,IF($FH51="Croissance","*Croissance*",IF($FH51="Veau","*Veau*",IF($FH51="Adulte","*Adulte*",IF($FH51="Agneau","*Agneau*",IF($FH51="Chevreau","*Chevreau*",IF($FH51="Démarrage","*Démarrage*",IF($FH51="Engraissement","*Engraissement*",IF($FH51="Porcelet","*Porcelet*",IF($FH51="Post_sevrage","*Post_sevrage*",IF($FH51="Poulain","*Poulain*",IF($FH51="Poussin","*Poussin*",""))))))))))),'Étape 1 - à remplir'!$G$31:$G$400,"kg",'Étape 1 - à remplir'!$M$31:$M$400,MASQ2!FR$43)/SUMIFS('Étape 1 - à remplir'!$F$19:$F$28,'Étape 1 - à remplir'!$E$19:$E$28,MASQ2!$FH51,'Étape 1 - à remplir'!$G$19:$G$28,"kg"),"")</f>
        <v/>
      </c>
      <c r="FS51" s="117" t="str">
        <f>IFERROR(SUMIFS('Étape 1 - à remplir'!$F$31:$F$400,'Étape 1 - à remplir'!$C$31:$C$400,IF($FH51="Croissance","*Croissance*",IF($FH51="Veau","*Veau*",IF($FH51="Adulte","*Adulte*",IF($FH51="Agneau","*Agneau*",IF($FH51="Chevreau","*Chevreau*",IF($FH51="Démarrage","*Démarrage*",IF($FH51="Engraissement","*Engraissement*",IF($FH51="Porcelet","*Porcelet*",IF($FH51="Post_sevrage","*Post_sevrage*",IF($FH51="Poulain","*Poulain*",IF($FH51="Poussin","*Poussin*",""))))))))))),'Étape 1 - à remplir'!$G$31:$G$400,"kg",'Étape 1 - à remplir'!$M$31:$M$400,MASQ2!FS$43)/SUMIFS('Étape 1 - à remplir'!$F$19:$F$28,'Étape 1 - à remplir'!$E$19:$E$28,MASQ2!$FH51,'Étape 1 - à remplir'!$G$19:$G$28,"kg"),"")</f>
        <v/>
      </c>
      <c r="FT51" s="117" t="str">
        <f>IFERROR(SUMIFS('Étape 1 - à remplir'!$F$31:$F$400,'Étape 1 - à remplir'!$C$31:$C$400,IF($FH51="Croissance","*Croissance*",IF($FH51="Veau","*Veau*",IF($FH51="Adulte","*Adulte*",IF($FH51="Agneau","*Agneau*",IF($FH51="Chevreau","*Chevreau*",IF($FH51="Démarrage","*Démarrage*",IF($FH51="Engraissement","*Engraissement*",IF($FH51="Porcelet","*Porcelet*",IF($FH51="Post_sevrage","*Post_sevrage*",IF($FH51="Poulain","*Poulain*",IF($FH51="Poussin","*Poussin*",""))))))))))),'Étape 1 - à remplir'!$G$31:$G$400,"kg",'Étape 1 - à remplir'!$M$31:$M$400,MASQ2!FT$43)/SUMIFS('Étape 1 - à remplir'!$F$19:$F$28,'Étape 1 - à remplir'!$E$19:$E$28,MASQ2!$FH51,'Étape 1 - à remplir'!$G$19:$G$28,"kg"),"")</f>
        <v/>
      </c>
    </row>
    <row r="52" spans="2:176" x14ac:dyDescent="0.3">
      <c r="B52" s="42"/>
      <c r="M52" s="194" t="str">
        <f ca="1">INDEX(Données_ATB!BD:BU,MATCH(MASQ2!O52,Données_ATB!BD:BD,0),18)</f>
        <v/>
      </c>
      <c r="N52" s="14" t="str">
        <f>IFERROR(IF(Q52=0,"",COUNTIF(Q$4:Q$600,"&gt;"&amp;Q52)+COUNTIF(Q$4:Q52,Q52)),"")</f>
        <v/>
      </c>
      <c r="O52" t="str">
        <f>Données_ATB!BD51</f>
        <v>APRAVET 552 UI / MG, POUDRE POUR ADMINISTRATION DANS L'EAU DE BOISSON / LE LAIT POUR PORCINS, VEAUX, POULETS ET LAPINS</v>
      </c>
      <c r="P52" t="e">
        <f>IF(IF(X$2="Catégorie",IF(X$3="Toutes",SUMIFS('Étape 1 - à remplir'!$F$31:$F$400,'Étape 1 - à remplir'!$E$31:$E$400,MASQ2!O52,'Étape 1 - à remplir'!$G$31:$G$400,"animaux"),SUMIFS('Étape 1 - à remplir'!$F$31:$F$400,'Étape 1 - à remplir'!$E$31:$E$400,MASQ2!O52,'Étape 1 - à remplir'!$C$31:$C$400,X$3)),IF(X$2="Âge",IF(X$3="Tous",SUMIFS('Étape 1 - à remplir'!$F$31:$F$400,'Étape 1 - à remplir'!$E$31:$E$400,MASQ2!O52,'Étape 1 - à remplir'!$G$31:$G$400,"animaux"),SUMIFS('Étape 1 - à remplir'!$F$31:$F$400,'Étape 1 - à remplir'!$E$31:$E$400,MASQ2!O52,'Étape 1 - à remplir'!$P$31:$P$400,X$3)),IF(X$2="Atelier",IF(X$3="Tous",SUMIFS('Étape 1 - à remplir'!$F$31:$F$400,'Étape 1 - à remplir'!$E$31:$E$400,MASQ2!O52,'Étape 1 - à remplir'!$G$31:$G$400,"animaux"),SUMIFS('Étape 1 - à remplir'!$F$31:$F$400,'Étape 1 - à remplir'!$E$31:$E$400,MASQ2!O52,'Étape 1 - à remplir'!$O$31:$O$400,X$3)),IF(X$2="Espèce",IF(X$3="Toutes",SUMIFS('Étape 1 - à remplir'!$F$31:$F$400,'Étape 1 - à remplir'!$E$31:$E$400,MASQ2!O52,'Étape 1 - à remplir'!$G$31:$G$400,"animaux"),SUMIFS('Étape 1 - à remplir'!$F$31:$F$400,'Étape 1 - à remplir'!$E$31:$E$400,MASQ2!O52,'Étape 1 - à remplir'!$N$31:$N$400,X$3))))))=0,NA(),IF(X$2="Catégorie",IF(X$3="Toutes",SUMIFS('Étape 1 - à remplir'!$F$31:$F$400,'Étape 1 - à remplir'!$E$31:$E$400,MASQ2!O52,'Étape 1 - à remplir'!$G$31:$G$400,"animaux"),SUMIFS('Étape 1 - à remplir'!$F$31:$F$400,'Étape 1 - à remplir'!$E$31:$E$400,MASQ2!O52,'Étape 1 - à remplir'!$C$31:$C$400,X$3)),IF(X$2="Âge",IF(X$3="Tous",SUMIFS('Étape 1 - à remplir'!$F$31:$F$400,'Étape 1 - à remplir'!$E$31:$E$400,MASQ2!O52,'Étape 1 - à remplir'!$G$31:$G$400,"animaux"),SUMIFS('Étape 1 - à remplir'!$F$31:$F$400,'Étape 1 - à remplir'!$E$31:$E$400,MASQ2!O52,'Étape 1 - à remplir'!$P$31:$P$400,X$3)),IF(X$2="Atelier",IF(X$3="Tous",SUMIFS('Étape 1 - à remplir'!$F$31:$F$400,'Étape 1 - à remplir'!$E$31:$E$400,MASQ2!O52,'Étape 1 - à remplir'!$G$31:$G$400,"animaux"),SUMIFS('Étape 1 - à remplir'!$F$31:$F$400,'Étape 1 - à remplir'!$E$31:$E$400,MASQ2!O52,'Étape 1 - à remplir'!$O$31:$O$400,X$3)),IF(X$2="Espèce",IF(X$3="Toutes",SUMIFS('Étape 1 - à remplir'!$F$31:$F$400,'Étape 1 - à remplir'!$E$31:$E$400,MASQ2!O52,'Étape 1 - à remplir'!$G$31:$G$400,"animaux"),SUMIFS('Étape 1 - à remplir'!$F$31:$F$400,'Étape 1 - à remplir'!$E$31:$E$400,MASQ2!O52,'Étape 1 - à remplir'!$N$31:$N$400,X$3)))))))</f>
        <v>#N/A</v>
      </c>
      <c r="Q52" s="63">
        <f t="shared" si="62"/>
        <v>0</v>
      </c>
      <c r="R52" t="str">
        <f>Données_ATB!BM51</f>
        <v>Apramycine</v>
      </c>
      <c r="S52" t="str">
        <f>Données_ATB!BN51</f>
        <v/>
      </c>
      <c r="T52" s="63" t="str">
        <f>Données_ATB!BO51</f>
        <v/>
      </c>
      <c r="U52" s="42" t="str">
        <f>Données_ATB!BQ51</f>
        <v>Aminoglycosides</v>
      </c>
      <c r="V52" t="str">
        <f>Données_ATB!BR51</f>
        <v/>
      </c>
      <c r="W52" s="63" t="str">
        <f>Données_ATB!BS51</f>
        <v/>
      </c>
      <c r="Z52" s="42">
        <v>49</v>
      </c>
      <c r="AA52" t="e">
        <f t="shared" si="32"/>
        <v>#N/A</v>
      </c>
      <c r="AB52" s="63" t="e">
        <f t="shared" si="33"/>
        <v>#N/A</v>
      </c>
      <c r="AD52" s="194" t="str">
        <f>IF(AF52="Colistine","x",IF(INDEX(Données_ATB!CA$3:CB$63,MATCH(AF52,Données_ATB!CA$3:CA$63,0),2)="Fluoroquinolones","x",IF(INDEX(Données_ATB!CA$3:CB$63,MATCH(AF52,Données_ATB!CA$3:CA$63,0),2)="Cephalosporines 3&amp;4G","x","")))</f>
        <v/>
      </c>
      <c r="AE52" s="219" t="str">
        <f>IFERROR(IF(AG52=0,"",COUNTIF(AG$4:AG$64,"&gt;"&amp;AG52)+COUNTIF(AG$4:AG52,AG52)),"")</f>
        <v/>
      </c>
      <c r="AF52" s="42" t="str">
        <f>Données_ATB!CA51</f>
        <v>Sulfaméthoxypyridazine</v>
      </c>
      <c r="AG52" s="63" t="e">
        <f t="shared" si="34"/>
        <v>#N/A</v>
      </c>
      <c r="AH52" s="42">
        <v>49</v>
      </c>
      <c r="AI52" t="e">
        <f t="shared" si="35"/>
        <v>#N/A</v>
      </c>
      <c r="AJ52" s="63" t="e">
        <f t="shared" si="36"/>
        <v>#N/A</v>
      </c>
      <c r="AT52" s="109" t="str">
        <f t="shared" si="122"/>
        <v/>
      </c>
      <c r="AU52" s="118" t="str">
        <f>IFERROR(SUMIFS('Étape 1 - à remplir'!$F$31:$F$400,'Étape 1 - à remplir'!$C$31:$C$400,IF($AT52="Croissance","*Croissance*",IF($AT52="Veau","*Veau*",IF($AT52="Adulte","*Adulte*",IF($AT52="Agneau","*Agneau*",IF($AT52="Chevreau","*Chevreau*",IF($AT52="Démarrage","*Démarrage*",IF($AT52="Engraissement","*Engraissement*",IF($AT52="Porcelet","*Porcelet*",IF($AT52="Post_sevrage","*Post_sevrage*",IF($AT52="Poulain","*Poulain*",IF($AT52="Poussin","*Poussin*",""))))))))))),'Étape 1 - à remplir'!$G$31:$G$400,"animaux",'Étape 1 - à remplir'!$M$31:$M$400,MASQ2!AU$43)/SUMIFS('Étape 1 - à remplir'!$F$19:$F$28,'Étape 1 - à remplir'!$E$19:$E$28,MASQ2!$AT52,'Étape 1 - à remplir'!$G$19:$G$28,"animaux"),"")</f>
        <v/>
      </c>
      <c r="AV52" t="str">
        <f>IFERROR(SUMIFS('Étape 1 - à remplir'!$F$31:$F$400,'Étape 1 - à remplir'!$C$31:$C$400,IF($AT52="Croissance","*Croissance*",IF($AT52="Veau","*Veau*",IF($AT52="Adulte","*Adulte*",IF($AT52="Agneau","*Agneau*",IF($AT52="Chevreau","*Chevreau*",IF($AT52="Démarrage","*Démarrage*",IF($AT52="Engraissement","*Engraissement*",IF($AT52="Porcelet","*Porcelet*",IF($AT52="Post_sevrage","*Post_sevrage*",IF($AT52="Poulain","*Poulain*",IF($AT52="Poussin","*Poussin*",""))))))))))),'Étape 1 - à remplir'!$G$31:$G$400,"animaux",'Étape 1 - à remplir'!$M$31:$M$400,MASQ2!AV$43)/SUMIFS('Étape 1 - à remplir'!$F$19:$F$28,'Étape 1 - à remplir'!$E$19:$E$28,MASQ2!$AT52,'Étape 1 - à remplir'!$G$19:$G$28,"animaux"),"")</f>
        <v/>
      </c>
      <c r="AW52" t="str">
        <f>IFERROR(SUMIFS('Étape 1 - à remplir'!$F$31:$F$400,'Étape 1 - à remplir'!$C$31:$C$400,IF($AT52="Croissance","*Croissance*",IF($AT52="Veau","*Veau*",IF($AT52="Adulte","*Adulte*",IF($AT52="Agneau","*Agneau*",IF($AT52="Chevreau","*Chevreau*",IF($AT52="Démarrage","*Démarrage*",IF($AT52="Engraissement","*Engraissement*",IF($AT52="Porcelet","*Porcelet*",IF($AT52="Post_sevrage","*Post_sevrage*",IF($AT52="Poulain","*Poulain*",IF($AT52="Poussin","*Poussin*",""))))))))))),'Étape 1 - à remplir'!$G$31:$G$400,"animaux",'Étape 1 - à remplir'!$M$31:$M$400,MASQ2!AW$43)/SUMIFS('Étape 1 - à remplir'!$F$19:$F$28,'Étape 1 - à remplir'!$E$19:$E$28,MASQ2!$AT52,'Étape 1 - à remplir'!$G$19:$G$28,"animaux"),"")</f>
        <v/>
      </c>
      <c r="AX52" t="str">
        <f>IFERROR(SUMIFS('Étape 1 - à remplir'!$F$31:$F$400,'Étape 1 - à remplir'!$C$31:$C$400,IF($AT52="Croissance","*Croissance*",IF($AT52="Veau","*Veau*",IF($AT52="Adulte","*Adulte*",IF($AT52="Agneau","*Agneau*",IF($AT52="Chevreau","*Chevreau*",IF($AT52="Démarrage","*Démarrage*",IF($AT52="Engraissement","*Engraissement*",IF($AT52="Porcelet","*Porcelet*",IF($AT52="Post_sevrage","*Post_sevrage*",IF($AT52="Poulain","*Poulain*",IF($AT52="Poussin","*Poussin*",""))))))))))),'Étape 1 - à remplir'!$G$31:$G$400,"animaux",'Étape 1 - à remplir'!$M$31:$M$400,MASQ2!AX$43)/SUMIFS('Étape 1 - à remplir'!$F$19:$F$28,'Étape 1 - à remplir'!$E$19:$E$28,MASQ2!$AT52,'Étape 1 - à remplir'!$G$19:$G$28,"animaux"),"")</f>
        <v/>
      </c>
      <c r="AY52" t="str">
        <f>IFERROR(SUMIFS('Étape 1 - à remplir'!$F$31:$F$400,'Étape 1 - à remplir'!$C$31:$C$400,IF($AT52="Croissance","*Croissance*",IF($AT52="Veau","*Veau*",IF($AT52="Adulte","*Adulte*",IF($AT52="Agneau","*Agneau*",IF($AT52="Chevreau","*Chevreau*",IF($AT52="Démarrage","*Démarrage*",IF($AT52="Engraissement","*Engraissement*",IF($AT52="Porcelet","*Porcelet*",IF($AT52="Post_sevrage","*Post_sevrage*",IF($AT52="Poulain","*Poulain*",IF($AT52="Poussin","*Poussin*",""))))))))))),'Étape 1 - à remplir'!$G$31:$G$400,"animaux",'Étape 1 - à remplir'!$M$31:$M$400,MASQ2!AY$43)/SUMIFS('Étape 1 - à remplir'!$F$19:$F$28,'Étape 1 - à remplir'!$E$19:$E$28,MASQ2!$AT52,'Étape 1 - à remplir'!$G$19:$G$28,"animaux"),"")</f>
        <v/>
      </c>
      <c r="AZ52" t="str">
        <f>IFERROR(SUMIFS('Étape 1 - à remplir'!$F$31:$F$400,'Étape 1 - à remplir'!$C$31:$C$400,IF($AT52="Croissance","*Croissance*",IF($AT52="Veau","*Veau*",IF($AT52="Adulte","*Adulte*",IF($AT52="Agneau","*Agneau*",IF($AT52="Chevreau","*Chevreau*",IF($AT52="Démarrage","*Démarrage*",IF($AT52="Engraissement","*Engraissement*",IF($AT52="Porcelet","*Porcelet*",IF($AT52="Post_sevrage","*Post_sevrage*",IF($AT52="Poulain","*Poulain*",IF($AT52="Poussin","*Poussin*",""))))))))))),'Étape 1 - à remplir'!$G$31:$G$400,"animaux",'Étape 1 - à remplir'!$M$31:$M$400,MASQ2!AZ$43)/SUMIFS('Étape 1 - à remplir'!$F$19:$F$28,'Étape 1 - à remplir'!$E$19:$E$28,MASQ2!$AT52,'Étape 1 - à remplir'!$G$19:$G$28,"animaux"),"")</f>
        <v/>
      </c>
      <c r="BA52" t="str">
        <f>IFERROR(SUMIFS('Étape 1 - à remplir'!$F$31:$F$400,'Étape 1 - à remplir'!$C$31:$C$400,IF($AT52="Croissance","*Croissance*",IF($AT52="Veau","*Veau*",IF($AT52="Adulte","*Adulte*",IF($AT52="Agneau","*Agneau*",IF($AT52="Chevreau","*Chevreau*",IF($AT52="Démarrage","*Démarrage*",IF($AT52="Engraissement","*Engraissement*",IF($AT52="Porcelet","*Porcelet*",IF($AT52="Post_sevrage","*Post_sevrage*",IF($AT52="Poulain","*Poulain*",IF($AT52="Poussin","*Poussin*",""))))))))))),'Étape 1 - à remplir'!$G$31:$G$400,"animaux",'Étape 1 - à remplir'!$M$31:$M$400,MASQ2!BA$43)/SUMIFS('Étape 1 - à remplir'!$F$19:$F$28,'Étape 1 - à remplir'!$E$19:$E$28,MASQ2!$AT52,'Étape 1 - à remplir'!$G$19:$G$28,"animaux"),"")</f>
        <v/>
      </c>
      <c r="BB52" t="str">
        <f>IFERROR(SUMIFS('Étape 1 - à remplir'!$F$31:$F$400,'Étape 1 - à remplir'!$C$31:$C$400,IF($AT52="Croissance","*Croissance*",IF($AT52="Veau","*Veau*",IF($AT52="Adulte","*Adulte*",IF($AT52="Agneau","*Agneau*",IF($AT52="Chevreau","*Chevreau*",IF($AT52="Démarrage","*Démarrage*",IF($AT52="Engraissement","*Engraissement*",IF($AT52="Porcelet","*Porcelet*",IF($AT52="Post_sevrage","*Post_sevrage*",IF($AT52="Poulain","*Poulain*",IF($AT52="Poussin","*Poussin*",""))))))))))),'Étape 1 - à remplir'!$G$31:$G$400,"animaux",'Étape 1 - à remplir'!$M$31:$M$400,MASQ2!BB$43)/SUMIFS('Étape 1 - à remplir'!$F$19:$F$28,'Étape 1 - à remplir'!$E$19:$E$28,MASQ2!$AT52,'Étape 1 - à remplir'!$G$19:$G$28,"animaux"),"")</f>
        <v/>
      </c>
      <c r="BC52" t="str">
        <f>IFERROR(SUMIFS('Étape 1 - à remplir'!$F$31:$F$400,'Étape 1 - à remplir'!$C$31:$C$400,IF($AT52="Croissance","*Croissance*",IF($AT52="Veau","*Veau*",IF($AT52="Adulte","*Adulte*",IF($AT52="Agneau","*Agneau*",IF($AT52="Chevreau","*Chevreau*",IF($AT52="Démarrage","*Démarrage*",IF($AT52="Engraissement","*Engraissement*",IF($AT52="Porcelet","*Porcelet*",IF($AT52="Post_sevrage","*Post_sevrage*",IF($AT52="Poulain","*Poulain*",IF($AT52="Poussin","*Poussin*",""))))))))))),'Étape 1 - à remplir'!$G$31:$G$400,"animaux",'Étape 1 - à remplir'!$M$31:$M$400,MASQ2!BC$43)/SUMIFS('Étape 1 - à remplir'!$F$19:$F$28,'Étape 1 - à remplir'!$E$19:$E$28,MASQ2!$AT52,'Étape 1 - à remplir'!$G$19:$G$28,"animaux"),"")</f>
        <v/>
      </c>
      <c r="BD52" t="str">
        <f>IFERROR(SUMIFS('Étape 1 - à remplir'!$F$31:$F$400,'Étape 1 - à remplir'!$C$31:$C$400,IF($AT52="Croissance","*Croissance*",IF($AT52="Veau","*Veau*",IF($AT52="Adulte","*Adulte*",IF($AT52="Agneau","*Agneau*",IF($AT52="Chevreau","*Chevreau*",IF($AT52="Démarrage","*Démarrage*",IF($AT52="Engraissement","*Engraissement*",IF($AT52="Porcelet","*Porcelet*",IF($AT52="Post_sevrage","*Post_sevrage*",IF($AT52="Poulain","*Poulain*",IF($AT52="Poussin","*Poussin*",""))))))))))),'Étape 1 - à remplir'!$G$31:$G$400,"animaux",'Étape 1 - à remplir'!$M$31:$M$400,MASQ2!BD$43)/SUMIFS('Étape 1 - à remplir'!$F$19:$F$28,'Étape 1 - à remplir'!$E$19:$E$28,MASQ2!$AT52,'Étape 1 - à remplir'!$G$19:$G$28,"animaux"),"")</f>
        <v/>
      </c>
      <c r="BE52" t="str">
        <f>IFERROR(SUMIFS('Étape 1 - à remplir'!$F$31:$F$400,'Étape 1 - à remplir'!$C$31:$C$400,IF($AT52="Croissance","*Croissance*",IF($AT52="Veau","*Veau*",IF($AT52="Adulte","*Adulte*",IF($AT52="Agneau","*Agneau*",IF($AT52="Chevreau","*Chevreau*",IF($AT52="Démarrage","*Démarrage*",IF($AT52="Engraissement","*Engraissement*",IF($AT52="Porcelet","*Porcelet*",IF($AT52="Post_sevrage","*Post_sevrage*",IF($AT52="Poulain","*Poulain*",IF($AT52="Poussin","*Poussin*",""))))))))))),'Étape 1 - à remplir'!$G$31:$G$400,"animaux",'Étape 1 - à remplir'!$M$31:$M$400,MASQ2!BE$43)/SUMIFS('Étape 1 - à remplir'!$F$19:$F$28,'Étape 1 - à remplir'!$E$19:$E$28,MASQ2!$AT52,'Étape 1 - à remplir'!$G$19:$G$28,"animaux"),"")</f>
        <v/>
      </c>
      <c r="BF52" s="76" t="str">
        <f>IFERROR(SUMIFS('Étape 1 - à remplir'!$F$31:$F$400,'Étape 1 - à remplir'!$C$31:$C$400,IF($AT52="Croissance","*Croissance*",IF($AT52="Veau","*Veau*",IF($AT52="Adulte","*Adulte*",IF($AT52="Agneau","*Agneau*",IF($AT52="Chevreau","*Chevreau*",IF($AT52="Démarrage","*Démarrage*",IF($AT52="Engraissement","*Engraissement*",IF($AT52="Porcelet","*Porcelet*",IF($AT52="Post_sevrage","*Post_sevrage*",IF($AT52="Poulain","*Poulain*",IF($AT52="Poussin","*Poussin*",""))))))))))),'Étape 1 - à remplir'!$G$31:$G$400,"animaux",'Étape 1 - à remplir'!$M$31:$M$400,MASQ2!BF$43)/SUMIFS('Étape 1 - à remplir'!$F$19:$F$28,'Étape 1 - à remplir'!$E$19:$E$28,MASQ2!$AT52,'Étape 1 - à remplir'!$G$19:$G$28,"animaux"),"")</f>
        <v/>
      </c>
      <c r="BT52" s="194" t="str">
        <f t="shared" ca="1" si="5"/>
        <v/>
      </c>
      <c r="BU52" s="219" t="str">
        <f>IFERROR(IF(BX52=0,"",COUNTIF(BX$4:BX$600,"&gt;"&amp;BX52)+COUNTIF(BX$4:BX52,BX52)),"")</f>
        <v/>
      </c>
      <c r="BV52" s="42" t="str">
        <f t="shared" si="6"/>
        <v>APRAVET 552 UI / MG, POUDRE POUR ADMINISTRATION DANS L'EAU DE BOISSON / LE LAIT POUR PORCINS, VEAUX, POULETS ET LAPINS</v>
      </c>
      <c r="BW52" t="e">
        <f>IF(IF(CE$2="Catégorie",IF(CE$3="Toutes",SUMIFS('Étape 1 - à remplir'!$F$31:$F$400,'Étape 1 - à remplir'!$E$31:$E$400,MASQ2!BV52,'Étape 1 - à remplir'!$G$31:$G$400,"lots"),SUMIFS('Étape 1 - à remplir'!$F$31:$F$400,'Étape 1 - à remplir'!$E$31:$E$400,MASQ2!BV52,'Étape 1 - à remplir'!$C$31:$C$400,CE$3)),IF(CE$2="Âge",IF(CE$3="Tous",SUMIFS('Étape 1 - à remplir'!$F$31:$F$400,'Étape 1 - à remplir'!$E$31:$E$400,MASQ2!BV52,'Étape 1 - à remplir'!$G$31:$G$400,"lots"),SUMIFS('Étape 1 - à remplir'!$F$31:$F$400,'Étape 1 - à remplir'!$E$31:$E$400,MASQ2!BV52,'Étape 1 - à remplir'!$P$31:$P$400,CE$3,'Étape 1 - à remplir'!$G$31:$G$400,"lots")),IF(CE$2="Atelier",IF(CE$3="Tous",SUMIFS('Étape 1 - à remplir'!$F$31:$F$400,'Étape 1 - à remplir'!$E$31:$E$400,MASQ2!BV52,'Étape 1 - à remplir'!$G$31:$G$400,"lots"),SUMIFS('Étape 1 - à remplir'!$F$31:$F$400,'Étape 1 - à remplir'!$E$31:$E$400,MASQ2!BV52,'Étape 1 - à remplir'!$O$31:$O$400,CE$3,'Étape 1 - à remplir'!$G$31:$G$400,"lots")),IF(CE$2="Espèce",IF(CE$3="Toutes",SUMIFS('Étape 1 - à remplir'!$F$31:$F$400,'Étape 1 - à remplir'!$E$31:$E$400,MASQ2!BV52,'Étape 1 - à remplir'!$G$31:$G$400,"lots"),SUMIFS('Étape 1 - à remplir'!$F$31:$F$400,'Étape 1 - à remplir'!$E$31:$E$400,MASQ2!BV52,'Étape 1 - à remplir'!$N$31:$N$400,CE$3,'Étape 1 - à remplir'!$G$31:$G$400,"lots"))))))=0,NA(),IF(CE$2="Catégorie",IF(CE$3="Toutes",SUMIFS('Étape 1 - à remplir'!$F$31:$F$400,'Étape 1 - à remplir'!$E$31:$E$400,MASQ2!BV52,'Étape 1 - à remplir'!$G$31:$G$400,"lots"),SUMIFS('Étape 1 - à remplir'!$F$31:$F$400,'Étape 1 - à remplir'!$E$31:$E$400,MASQ2!BV52,'Étape 1 - à remplir'!$C$31:$C$400,CE$3)),IF(CE$2="Âge",IF(CE$3="Tous",SUMIFS('Étape 1 - à remplir'!$F$31:$F$400,'Étape 1 - à remplir'!$E$31:$E$400,MASQ2!BV52,'Étape 1 - à remplir'!$G$31:$G$400,"lots"),SUMIFS('Étape 1 - à remplir'!$F$31:$F$400,'Étape 1 - à remplir'!$E$31:$E$400,MASQ2!BV52,'Étape 1 - à remplir'!$P$31:$P$400,CE$3,'Étape 1 - à remplir'!$G$31:$G$400,"lots")),IF(CE$2="Atelier",IF(CE$3="Tous",SUMIFS('Étape 1 - à remplir'!$F$31:$F$400,'Étape 1 - à remplir'!$E$31:$E$400,MASQ2!BV52,'Étape 1 - à remplir'!$G$31:$G$400,"lots"),SUMIFS('Étape 1 - à remplir'!$F$31:$F$400,'Étape 1 - à remplir'!$E$31:$E$400,MASQ2!BV52,'Étape 1 - à remplir'!$O$31:$O$400,CE$3,'Étape 1 - à remplir'!$G$31:$G$400,"lots")),IF(CE$2="Espèce",IF(CE$3="Toutes",SUMIFS('Étape 1 - à remplir'!$F$31:$F$400,'Étape 1 - à remplir'!$E$31:$E$400,MASQ2!BV52,'Étape 1 - à remplir'!$G$31:$G$400,"lots"),SUMIFS('Étape 1 - à remplir'!$F$31:$F$400,'Étape 1 - à remplir'!$E$31:$E$400,MASQ2!BV52,'Étape 1 - à remplir'!$N$31:$N$400,CE$3,'Étape 1 - à remplir'!$G$31:$G$400,"lots")))))))</f>
        <v>#N/A</v>
      </c>
      <c r="BX52">
        <f t="shared" si="42"/>
        <v>0</v>
      </c>
      <c r="BY52" t="str">
        <f t="shared" si="7"/>
        <v>Apramycine</v>
      </c>
      <c r="BZ52" t="str">
        <f t="shared" si="8"/>
        <v/>
      </c>
      <c r="CA52" t="str">
        <f t="shared" si="9"/>
        <v/>
      </c>
      <c r="CB52" t="str">
        <f t="shared" si="10"/>
        <v>Aminoglycosides</v>
      </c>
      <c r="CC52" t="str">
        <f t="shared" si="11"/>
        <v/>
      </c>
      <c r="CD52" s="63" t="str">
        <f t="shared" si="12"/>
        <v/>
      </c>
      <c r="CG52" s="42">
        <v>49</v>
      </c>
      <c r="CH52" s="42" t="e">
        <f t="shared" si="80"/>
        <v>#N/A</v>
      </c>
      <c r="CI52" s="63" t="e">
        <f t="shared" si="81"/>
        <v>#N/A</v>
      </c>
      <c r="CK52" s="194" t="str">
        <f t="shared" si="118"/>
        <v/>
      </c>
      <c r="CL52" s="226" t="str">
        <f>IFERROR(IF(CN52=0,"",COUNTIF(CN$4:CN$64,"&gt;"&amp;CN52)+COUNTIF(CN$4:CN52,CN52)),"")</f>
        <v/>
      </c>
      <c r="CM52" t="str">
        <f t="shared" si="119"/>
        <v>Sulfaméthoxypyridazine</v>
      </c>
      <c r="CN52" s="76" t="e">
        <f t="shared" si="45"/>
        <v>#N/A</v>
      </c>
      <c r="CO52">
        <v>49</v>
      </c>
      <c r="CP52" t="e">
        <f t="shared" si="46"/>
        <v>#N/A</v>
      </c>
      <c r="CQ52" s="63" t="e">
        <f t="shared" si="47"/>
        <v>#N/A</v>
      </c>
      <c r="DA52" s="118" t="str">
        <f t="shared" si="123"/>
        <v/>
      </c>
      <c r="DB52" s="117" t="str">
        <f>IFERROR(SUMIFS('Étape 1 - à remplir'!$F$31:$F$400,'Étape 1 - à remplir'!$C$31:$C$400,IF($DA52="Croissance","*Croissance*",IF($DA52="Veau","*Veau*",IF($DA52="Adulte","*Adulte*",IF($DA52="Agneau","*Agneau*",IF($DA52="Chevreau","*Chevreau*",IF($DA52="Démarrage","*Démarrage*",IF($DA52="Engraissement","*Engraissement*",IF($DA52="Porcelet","*Porcelet*",IF($DA52="Post_sevrage","*Post_sevrage*",IF($DA52="Poulain","*Poulain*",IF($DA52="Poussin","*Poussin*",""))))))))))),'Étape 1 - à remplir'!$G$31:$G$400,"lots",'Étape 1 - à remplir'!$M$31:$M$400,MASQ2!DB$43)/SUMIFS('Étape 1 - à remplir'!$F$19:$F$28,'Étape 1 - à remplir'!$E$19:$E$28,MASQ2!$DA52,'Étape 1 - à remplir'!$G$19:$G$28,"lots"),"")</f>
        <v/>
      </c>
      <c r="DC52" s="117" t="str">
        <f>IFERROR(SUMIFS('Étape 1 - à remplir'!$F$31:$F$400,'Étape 1 - à remplir'!$C$31:$C$400,IF($DA52="Croissance","*Croissance*",IF($DA52="Veau","*Veau*",IF($DA52="Adulte","*Adulte*",IF($DA52="Agneau","*Agneau*",IF($DA52="Chevreau","*Chevreau*",IF($DA52="Démarrage","*Démarrage*",IF($DA52="Engraissement","*Engraissement*",IF($DA52="Porcelet","*Porcelet*",IF($DA52="Post_sevrage","*Post_sevrage*",IF($DA52="Poulain","*Poulain*",IF($DA52="Poussin","*Poussin*",""))))))))))),'Étape 1 - à remplir'!$G$31:$G$400,"lots",'Étape 1 - à remplir'!$M$31:$M$400,MASQ2!DC$43)/SUMIFS('Étape 1 - à remplir'!$F$19:$F$28,'Étape 1 - à remplir'!$E$19:$E$28,MASQ2!$DA52,'Étape 1 - à remplir'!$G$19:$G$28,"lots"),"")</f>
        <v/>
      </c>
      <c r="DD52" s="117" t="str">
        <f>IFERROR(SUMIFS('Étape 1 - à remplir'!$F$31:$F$400,'Étape 1 - à remplir'!$C$31:$C$400,IF($DA52="Croissance","*Croissance*",IF($DA52="Veau","*Veau*",IF($DA52="Adulte","*Adulte*",IF($DA52="Agneau","*Agneau*",IF($DA52="Chevreau","*Chevreau*",IF($DA52="Démarrage","*Démarrage*",IF($DA52="Engraissement","*Engraissement*",IF($DA52="Porcelet","*Porcelet*",IF($DA52="Post_sevrage","*Post_sevrage*",IF($DA52="Poulain","*Poulain*",IF($DA52="Poussin","*Poussin*",""))))))))))),'Étape 1 - à remplir'!$G$31:$G$400,"lots",'Étape 1 - à remplir'!$M$31:$M$400,MASQ2!DD$43)/SUMIFS('Étape 1 - à remplir'!$F$19:$F$28,'Étape 1 - à remplir'!$E$19:$E$28,MASQ2!$DA52,'Étape 1 - à remplir'!$G$19:$G$28,"lots"),"")</f>
        <v/>
      </c>
      <c r="DE52" s="117" t="str">
        <f>IFERROR(SUMIFS('Étape 1 - à remplir'!$F$31:$F$400,'Étape 1 - à remplir'!$C$31:$C$400,IF($DA52="Croissance","*Croissance*",IF($DA52="Veau","*Veau*",IF($DA52="Adulte","*Adulte*",IF($DA52="Agneau","*Agneau*",IF($DA52="Chevreau","*Chevreau*",IF($DA52="Démarrage","*Démarrage*",IF($DA52="Engraissement","*Engraissement*",IF($DA52="Porcelet","*Porcelet*",IF($DA52="Post_sevrage","*Post_sevrage*",IF($DA52="Poulain","*Poulain*",IF($DA52="Poussin","*Poussin*",""))))))))))),'Étape 1 - à remplir'!$G$31:$G$400,"lots",'Étape 1 - à remplir'!$M$31:$M$400,MASQ2!DE$43)/SUMIFS('Étape 1 - à remplir'!$F$19:$F$28,'Étape 1 - à remplir'!$E$19:$E$28,MASQ2!$DA52,'Étape 1 - à remplir'!$G$19:$G$28,"lots"),"")</f>
        <v/>
      </c>
      <c r="DF52" s="117" t="str">
        <f>IFERROR(SUMIFS('Étape 1 - à remplir'!$F$31:$F$400,'Étape 1 - à remplir'!$C$31:$C$400,IF($DA52="Croissance","*Croissance*",IF($DA52="Veau","*Veau*",IF($DA52="Adulte","*Adulte*",IF($DA52="Agneau","*Agneau*",IF($DA52="Chevreau","*Chevreau*",IF($DA52="Démarrage","*Démarrage*",IF($DA52="Engraissement","*Engraissement*",IF($DA52="Porcelet","*Porcelet*",IF($DA52="Post_sevrage","*Post_sevrage*",IF($DA52="Poulain","*Poulain*",IF($DA52="Poussin","*Poussin*",""))))))))))),'Étape 1 - à remplir'!$G$31:$G$400,"lots",'Étape 1 - à remplir'!$M$31:$M$400,MASQ2!DF$43)/SUMIFS('Étape 1 - à remplir'!$F$19:$F$28,'Étape 1 - à remplir'!$E$19:$E$28,MASQ2!$DA52,'Étape 1 - à remplir'!$G$19:$G$28,"lots"),"")</f>
        <v/>
      </c>
      <c r="DG52" s="117" t="str">
        <f>IFERROR(SUMIFS('Étape 1 - à remplir'!$F$31:$F$400,'Étape 1 - à remplir'!$C$31:$C$400,IF($DA52="Croissance","*Croissance*",IF($DA52="Veau","*Veau*",IF($DA52="Adulte","*Adulte*",IF($DA52="Agneau","*Agneau*",IF($DA52="Chevreau","*Chevreau*",IF($DA52="Démarrage","*Démarrage*",IF($DA52="Engraissement","*Engraissement*",IF($DA52="Porcelet","*Porcelet*",IF($DA52="Post_sevrage","*Post_sevrage*",IF($DA52="Poulain","*Poulain*",IF($DA52="Poussin","*Poussin*",""))))))))))),'Étape 1 - à remplir'!$G$31:$G$400,"lots",'Étape 1 - à remplir'!$M$31:$M$400,MASQ2!DG$43)/SUMIFS('Étape 1 - à remplir'!$F$19:$F$28,'Étape 1 - à remplir'!$E$19:$E$28,MASQ2!$DA52,'Étape 1 - à remplir'!$G$19:$G$28,"lots"),"")</f>
        <v/>
      </c>
      <c r="DH52" s="117" t="str">
        <f>IFERROR(SUMIFS('Étape 1 - à remplir'!$F$31:$F$400,'Étape 1 - à remplir'!$C$31:$C$400,IF($DA52="Croissance","*Croissance*",IF($DA52="Veau","*Veau*",IF($DA52="Adulte","*Adulte*",IF($DA52="Agneau","*Agneau*",IF($DA52="Chevreau","*Chevreau*",IF($DA52="Démarrage","*Démarrage*",IF($DA52="Engraissement","*Engraissement*",IF($DA52="Porcelet","*Porcelet*",IF($DA52="Post_sevrage","*Post_sevrage*",IF($DA52="Poulain","*Poulain*",IF($DA52="Poussin","*Poussin*",""))))))))))),'Étape 1 - à remplir'!$G$31:$G$400,"lots",'Étape 1 - à remplir'!$M$31:$M$400,MASQ2!DH$43)/SUMIFS('Étape 1 - à remplir'!$F$19:$F$28,'Étape 1 - à remplir'!$E$19:$E$28,MASQ2!$DA52,'Étape 1 - à remplir'!$G$19:$G$28,"lots"),"")</f>
        <v/>
      </c>
      <c r="DI52" s="117" t="str">
        <f>IFERROR(SUMIFS('Étape 1 - à remplir'!$F$31:$F$400,'Étape 1 - à remplir'!$C$31:$C$400,IF($DA52="Croissance","*Croissance*",IF($DA52="Veau","*Veau*",IF($DA52="Adulte","*Adulte*",IF($DA52="Agneau","*Agneau*",IF($DA52="Chevreau","*Chevreau*",IF($DA52="Démarrage","*Démarrage*",IF($DA52="Engraissement","*Engraissement*",IF($DA52="Porcelet","*Porcelet*",IF($DA52="Post_sevrage","*Post_sevrage*",IF($DA52="Poulain","*Poulain*",IF($DA52="Poussin","*Poussin*",""))))))))))),'Étape 1 - à remplir'!$G$31:$G$400,"lots",'Étape 1 - à remplir'!$M$31:$M$400,MASQ2!DI$43)/SUMIFS('Étape 1 - à remplir'!$F$19:$F$28,'Étape 1 - à remplir'!$E$19:$E$28,MASQ2!$DA52,'Étape 1 - à remplir'!$G$19:$G$28,"lots"),"")</f>
        <v/>
      </c>
      <c r="DJ52" s="117" t="str">
        <f>IFERROR(SUMIFS('Étape 1 - à remplir'!$F$31:$F$400,'Étape 1 - à remplir'!$C$31:$C$400,IF($DA52="Croissance","*Croissance*",IF($DA52="Veau","*Veau*",IF($DA52="Adulte","*Adulte*",IF($DA52="Agneau","*Agneau*",IF($DA52="Chevreau","*Chevreau*",IF($DA52="Démarrage","*Démarrage*",IF($DA52="Engraissement","*Engraissement*",IF($DA52="Porcelet","*Porcelet*",IF($DA52="Post_sevrage","*Post_sevrage*",IF($DA52="Poulain","*Poulain*",IF($DA52="Poussin","*Poussin*",""))))))))))),'Étape 1 - à remplir'!$G$31:$G$400,"lots",'Étape 1 - à remplir'!$M$31:$M$400,MASQ2!DJ$43)/SUMIFS('Étape 1 - à remplir'!$F$19:$F$28,'Étape 1 - à remplir'!$E$19:$E$28,MASQ2!$DA52,'Étape 1 - à remplir'!$G$19:$G$28,"lots"),"")</f>
        <v/>
      </c>
      <c r="DK52" s="117" t="str">
        <f>IFERROR(SUMIFS('Étape 1 - à remplir'!$F$31:$F$400,'Étape 1 - à remplir'!$C$31:$C$400,IF($DA52="Croissance","*Croissance*",IF($DA52="Veau","*Veau*",IF($DA52="Adulte","*Adulte*",IF($DA52="Agneau","*Agneau*",IF($DA52="Chevreau","*Chevreau*",IF($DA52="Démarrage","*Démarrage*",IF($DA52="Engraissement","*Engraissement*",IF($DA52="Porcelet","*Porcelet*",IF($DA52="Post_sevrage","*Post_sevrage*",IF($DA52="Poulain","*Poulain*",IF($DA52="Poussin","*Poussin*",""))))))))))),'Étape 1 - à remplir'!$G$31:$G$400,"lots",'Étape 1 - à remplir'!$M$31:$M$400,MASQ2!DK$43)/SUMIFS('Étape 1 - à remplir'!$F$19:$F$28,'Étape 1 - à remplir'!$E$19:$E$28,MASQ2!$DA52,'Étape 1 - à remplir'!$G$19:$G$28,"lots"),"")</f>
        <v/>
      </c>
      <c r="DL52" s="117" t="str">
        <f>IFERROR(SUMIFS('Étape 1 - à remplir'!$F$31:$F$400,'Étape 1 - à remplir'!$C$31:$C$400,IF($DA52="Croissance","*Croissance*",IF($DA52="Veau","*Veau*",IF($DA52="Adulte","*Adulte*",IF($DA52="Agneau","*Agneau*",IF($DA52="Chevreau","*Chevreau*",IF($DA52="Démarrage","*Démarrage*",IF($DA52="Engraissement","*Engraissement*",IF($DA52="Porcelet","*Porcelet*",IF($DA52="Post_sevrage","*Post_sevrage*",IF($DA52="Poulain","*Poulain*",IF($DA52="Poussin","*Poussin*",""))))))))))),'Étape 1 - à remplir'!$G$31:$G$400,"lots",'Étape 1 - à remplir'!$M$31:$M$400,MASQ2!DL$43)/SUMIFS('Étape 1 - à remplir'!$F$19:$F$28,'Étape 1 - à remplir'!$E$19:$E$28,MASQ2!$DA52,'Étape 1 - à remplir'!$G$19:$G$28,"lots"),"")</f>
        <v/>
      </c>
      <c r="DM52" s="108" t="str">
        <f>IFERROR(SUMIFS('Étape 1 - à remplir'!$F$31:$F$400,'Étape 1 - à remplir'!$C$31:$C$400,IF($DA52="Croissance","*Croissance*",IF($DA52="Veau","*Veau*",IF($DA52="Adulte","*Adulte*",IF($DA52="Agneau","*Agneau*",IF($DA52="Chevreau","*Chevreau*",IF($DA52="Démarrage","*Démarrage*",IF($DA52="Engraissement","*Engraissement*",IF($DA52="Porcelet","*Porcelet*",IF($DA52="Post_sevrage","*Post_sevrage*",IF($DA52="Poulain","*Poulain*",IF($DA52="Poussin","*Poussin*",""))))))))))),'Étape 1 - à remplir'!$G$31:$G$400,"lots",'Étape 1 - à remplir'!$M$31:$M$400,MASQ2!DM$43)/SUMIFS('Étape 1 - à remplir'!$F$19:$F$28,'Étape 1 - à remplir'!$E$19:$E$28,MASQ2!$DA52,'Étape 1 - à remplir'!$G$19:$G$28,"lots"),"")</f>
        <v/>
      </c>
      <c r="EA52" s="194" t="str">
        <f t="shared" ca="1" si="18"/>
        <v/>
      </c>
      <c r="EB52" s="226" t="str">
        <f>IFERROR(IF(ED52=0,"",COUNTIF(ED$4:ED$600,"&gt;"&amp;ED52)+COUNTIF(ED$4:ED52,ED52)),"")</f>
        <v/>
      </c>
      <c r="EC52" t="str">
        <f t="shared" si="19"/>
        <v>APRAVET 552 UI / MG, POUDRE POUR ADMINISTRATION DANS L'EAU DE BOISSON / LE LAIT POUR PORCINS, VEAUX, POULETS ET LAPINS</v>
      </c>
      <c r="ED52" t="e">
        <f>IF(IF(EL$2="Catégorie",IF(EL$3="Toutes",SUMIFS('Étape 1 - à remplir'!$F$31:$F$400,'Étape 1 - à remplir'!$E$31:$E$400,MASQ2!EC52,'Étape 1 - à remplir'!$G$31:$G$400,"kg"),SUMIFS('Étape 1 - à remplir'!$F$31:$F$400,'Étape 1 - à remplir'!$E$31:$E$400,MASQ2!EC52,'Étape 1 - à remplir'!$C$31:$C$400,EL$3)),IF(EL$2="Âge",IF(EL$3="Tous",SUMIFS('Étape 1 - à remplir'!$F$31:$F$400,'Étape 1 - à remplir'!$E$31:$E$400,MASQ2!EC52,'Étape 1 - à remplir'!$G$31:$G$400,"kg"),SUMIFS('Étape 1 - à remplir'!$F$31:$F$400,'Étape 1 - à remplir'!$E$31:$E$400,MASQ2!EC52,'Étape 1 - à remplir'!$P$31:$P$400,EL$3,'Étape 1 - à remplir'!$G$31:$G$400,"kg")),IF(EL$2="Atelier",IF(EL$3="Tous",SUMIFS('Étape 1 - à remplir'!$F$31:$F$400,'Étape 1 - à remplir'!$E$31:$E$400,MASQ2!EC52,'Étape 1 - à remplir'!$G$31:$G$400,"kg"),SUMIFS('Étape 1 - à remplir'!$F$31:$F$400,'Étape 1 - à remplir'!$E$31:$E$400,MASQ2!EC52,'Étape 1 - à remplir'!$O$31:$O$400,EL$3,'Étape 1 - à remplir'!$G$31:$G$400,"kg")),IF(EL$2="Espèce",IF(EL$3="Toutes",SUMIFS('Étape 1 - à remplir'!$F$31:$F$400,'Étape 1 - à remplir'!$E$31:$E$400,MASQ2!EC52,'Étape 1 - à remplir'!$G$31:$G$400,"kg"),SUMIFS('Étape 1 - à remplir'!$F$31:$F$400,'Étape 1 - à remplir'!$E$31:$E$400,MASQ2!EC52,'Étape 1 - à remplir'!$N$31:$N$400,EL$3,'Étape 1 - à remplir'!$G$31:$G$400,"kg"))))))=0,NA(),IF(EL$2="Catégorie",IF(EL$3="Toutes",SUMIFS('Étape 1 - à remplir'!$F$31:$F$400,'Étape 1 - à remplir'!$E$31:$E$400,MASQ2!EC52,'Étape 1 - à remplir'!$G$31:$G$400,"kg"),SUMIFS('Étape 1 - à remplir'!$F$31:$F$400,'Étape 1 - à remplir'!$E$31:$E$400,MASQ2!EC52,'Étape 1 - à remplir'!$C$31:$C$400,EL$3)),IF(EL$2="Âge",IF(EL$3="Tous",SUMIFS('Étape 1 - à remplir'!$F$31:$F$400,'Étape 1 - à remplir'!$E$31:$E$400,MASQ2!EC52,'Étape 1 - à remplir'!$G$31:$G$400,"kg"),SUMIFS('Étape 1 - à remplir'!$F$31:$F$400,'Étape 1 - à remplir'!$E$31:$E$400,MASQ2!EC52,'Étape 1 - à remplir'!$P$31:$P$400,EL$3,'Étape 1 - à remplir'!$G$31:$G$400,"kg")),IF(EL$2="Atelier",IF(EL$3="Tous",SUMIFS('Étape 1 - à remplir'!$F$31:$F$400,'Étape 1 - à remplir'!$E$31:$E$400,MASQ2!EC52,'Étape 1 - à remplir'!$G$31:$G$400,"kg"),SUMIFS('Étape 1 - à remplir'!$F$31:$F$400,'Étape 1 - à remplir'!$E$31:$E$400,MASQ2!EC52,'Étape 1 - à remplir'!$O$31:$O$400,EL$3,'Étape 1 - à remplir'!$G$31:$G$400,"kg")),IF(EL$2="Espèce",IF(EL$3="Toutes",SUMIFS('Étape 1 - à remplir'!$F$31:$F$400,'Étape 1 - à remplir'!$E$31:$E$400,MASQ2!EC52,'Étape 1 - à remplir'!$G$31:$G$400,"kg"),SUMIFS('Étape 1 - à remplir'!$F$31:$F$400,'Étape 1 - à remplir'!$E$31:$E$400,MASQ2!EC52,'Étape 1 - à remplir'!$N$31:$N$400,EL$3,'Étape 1 - à remplir'!$G$31:$G$400,"kg")))))))</f>
        <v>#N/A</v>
      </c>
      <c r="EE52" s="76">
        <f t="shared" si="53"/>
        <v>0</v>
      </c>
      <c r="EF52" t="str">
        <f t="shared" si="20"/>
        <v>Apramycine</v>
      </c>
      <c r="EG52" t="str">
        <f t="shared" si="21"/>
        <v/>
      </c>
      <c r="EH52" t="str">
        <f t="shared" si="22"/>
        <v/>
      </c>
      <c r="EI52" t="str">
        <f t="shared" si="23"/>
        <v>Aminoglycosides</v>
      </c>
      <c r="EJ52" t="str">
        <f t="shared" si="24"/>
        <v/>
      </c>
      <c r="EK52" s="63" t="str">
        <f t="shared" si="25"/>
        <v/>
      </c>
      <c r="EN52" s="42">
        <v>49</v>
      </c>
      <c r="EO52" t="e">
        <f t="shared" si="68"/>
        <v>#N/A</v>
      </c>
      <c r="EP52" s="63" t="e">
        <f t="shared" si="69"/>
        <v>#N/A</v>
      </c>
      <c r="ER52" s="194" t="str">
        <f t="shared" si="120"/>
        <v/>
      </c>
      <c r="ES52" s="226" t="str">
        <f>IFERROR(IF(EU52=0,"",COUNTIF(EU$4:EU$64,"&gt;"&amp;EU52)+COUNTIF(EU$4:EU52,EU52)),"")</f>
        <v/>
      </c>
      <c r="ET52" t="str">
        <f t="shared" si="121"/>
        <v>Sulfaméthoxypyridazine</v>
      </c>
      <c r="EU52" s="76" t="e">
        <f t="shared" si="56"/>
        <v>#N/A</v>
      </c>
      <c r="EV52">
        <v>49</v>
      </c>
      <c r="EW52" t="e">
        <f t="shared" si="57"/>
        <v>#N/A</v>
      </c>
      <c r="EX52" s="63" t="e">
        <f t="shared" si="58"/>
        <v>#N/A</v>
      </c>
      <c r="FH52" s="118" t="str">
        <f t="shared" si="124"/>
        <v/>
      </c>
      <c r="FI52" s="117" t="str">
        <f>IFERROR(SUMIFS('Étape 1 - à remplir'!$F$31:$F$400,'Étape 1 - à remplir'!$C$31:$C$400,IF($FH52="Croissance","*Croissance*",IF($FH52="Veau","*Veau*",IF($FH52="Adulte","*Adulte*",IF($FH52="Agneau","*Agneau*",IF($FH52="Chevreau","*Chevreau*",IF($FH52="Démarrage","*Démarrage*",IF($FH52="Engraissement","*Engraissement*",IF($FH52="Porcelet","*Porcelet*",IF($FH52="Post_sevrage","*Post_sevrage*",IF($FH52="Poulain","*Poulain*",IF($FH52="Poussin","*Poussin*",""))))))))))),'Étape 1 - à remplir'!$G$31:$G$400,"kg",'Étape 1 - à remplir'!$M$31:$M$400,MASQ2!FI$43)/SUMIFS('Étape 1 - à remplir'!$F$19:$F$28,'Étape 1 - à remplir'!$E$19:$E$28,MASQ2!$FH52,'Étape 1 - à remplir'!$G$19:$G$28,"kg"),"")</f>
        <v/>
      </c>
      <c r="FJ52" s="117" t="str">
        <f>IFERROR(SUMIFS('Étape 1 - à remplir'!$F$31:$F$400,'Étape 1 - à remplir'!$C$31:$C$400,IF($FH52="Croissance","*Croissance*",IF($FH52="Veau","*Veau*",IF($FH52="Adulte","*Adulte*",IF($FH52="Agneau","*Agneau*",IF($FH52="Chevreau","*Chevreau*",IF($FH52="Démarrage","*Démarrage*",IF($FH52="Engraissement","*Engraissement*",IF($FH52="Porcelet","*Porcelet*",IF($FH52="Post_sevrage","*Post_sevrage*",IF($FH52="Poulain","*Poulain*",IF($FH52="Poussin","*Poussin*",""))))))))))),'Étape 1 - à remplir'!$G$31:$G$400,"kg",'Étape 1 - à remplir'!$M$31:$M$400,MASQ2!FJ$43)/SUMIFS('Étape 1 - à remplir'!$F$19:$F$28,'Étape 1 - à remplir'!$E$19:$E$28,MASQ2!$FH52,'Étape 1 - à remplir'!$G$19:$G$28,"kg"),"")</f>
        <v/>
      </c>
      <c r="FK52" s="117" t="str">
        <f>IFERROR(SUMIFS('Étape 1 - à remplir'!$F$31:$F$400,'Étape 1 - à remplir'!$C$31:$C$400,IF($FH52="Croissance","*Croissance*",IF($FH52="Veau","*Veau*",IF($FH52="Adulte","*Adulte*",IF($FH52="Agneau","*Agneau*",IF($FH52="Chevreau","*Chevreau*",IF($FH52="Démarrage","*Démarrage*",IF($FH52="Engraissement","*Engraissement*",IF($FH52="Porcelet","*Porcelet*",IF($FH52="Post_sevrage","*Post_sevrage*",IF($FH52="Poulain","*Poulain*",IF($FH52="Poussin","*Poussin*",""))))))))))),'Étape 1 - à remplir'!$G$31:$G$400,"kg",'Étape 1 - à remplir'!$M$31:$M$400,MASQ2!FK$43)/SUMIFS('Étape 1 - à remplir'!$F$19:$F$28,'Étape 1 - à remplir'!$E$19:$E$28,MASQ2!$FH52,'Étape 1 - à remplir'!$G$19:$G$28,"kg"),"")</f>
        <v/>
      </c>
      <c r="FL52" s="117" t="str">
        <f>IFERROR(SUMIFS('Étape 1 - à remplir'!$F$31:$F$400,'Étape 1 - à remplir'!$C$31:$C$400,IF($FH52="Croissance","*Croissance*",IF($FH52="Veau","*Veau*",IF($FH52="Adulte","*Adulte*",IF($FH52="Agneau","*Agneau*",IF($FH52="Chevreau","*Chevreau*",IF($FH52="Démarrage","*Démarrage*",IF($FH52="Engraissement","*Engraissement*",IF($FH52="Porcelet","*Porcelet*",IF($FH52="Post_sevrage","*Post_sevrage*",IF($FH52="Poulain","*Poulain*",IF($FH52="Poussin","*Poussin*",""))))))))))),'Étape 1 - à remplir'!$G$31:$G$400,"kg",'Étape 1 - à remplir'!$M$31:$M$400,MASQ2!FL$43)/SUMIFS('Étape 1 - à remplir'!$F$19:$F$28,'Étape 1 - à remplir'!$E$19:$E$28,MASQ2!$FH52,'Étape 1 - à remplir'!$G$19:$G$28,"kg"),"")</f>
        <v/>
      </c>
      <c r="FM52" s="117" t="str">
        <f>IFERROR(SUMIFS('Étape 1 - à remplir'!$F$31:$F$400,'Étape 1 - à remplir'!$C$31:$C$400,IF($FH52="Croissance","*Croissance*",IF($FH52="Veau","*Veau*",IF($FH52="Adulte","*Adulte*",IF($FH52="Agneau","*Agneau*",IF($FH52="Chevreau","*Chevreau*",IF($FH52="Démarrage","*Démarrage*",IF($FH52="Engraissement","*Engraissement*",IF($FH52="Porcelet","*Porcelet*",IF($FH52="Post_sevrage","*Post_sevrage*",IF($FH52="Poulain","*Poulain*",IF($FH52="Poussin","*Poussin*",""))))))))))),'Étape 1 - à remplir'!$G$31:$G$400,"kg",'Étape 1 - à remplir'!$M$31:$M$400,MASQ2!FM$43)/SUMIFS('Étape 1 - à remplir'!$F$19:$F$28,'Étape 1 - à remplir'!$E$19:$E$28,MASQ2!$FH52,'Étape 1 - à remplir'!$G$19:$G$28,"kg"),"")</f>
        <v/>
      </c>
      <c r="FN52" s="117" t="str">
        <f>IFERROR(SUMIFS('Étape 1 - à remplir'!$F$31:$F$400,'Étape 1 - à remplir'!$C$31:$C$400,IF($FH52="Croissance","*Croissance*",IF($FH52="Veau","*Veau*",IF($FH52="Adulte","*Adulte*",IF($FH52="Agneau","*Agneau*",IF($FH52="Chevreau","*Chevreau*",IF($FH52="Démarrage","*Démarrage*",IF($FH52="Engraissement","*Engraissement*",IF($FH52="Porcelet","*Porcelet*",IF($FH52="Post_sevrage","*Post_sevrage*",IF($FH52="Poulain","*Poulain*",IF($FH52="Poussin","*Poussin*",""))))))))))),'Étape 1 - à remplir'!$G$31:$G$400,"kg",'Étape 1 - à remplir'!$M$31:$M$400,MASQ2!FN$43)/SUMIFS('Étape 1 - à remplir'!$F$19:$F$28,'Étape 1 - à remplir'!$E$19:$E$28,MASQ2!$FH52,'Étape 1 - à remplir'!$G$19:$G$28,"kg"),"")</f>
        <v/>
      </c>
      <c r="FO52" s="117" t="str">
        <f>IFERROR(SUMIFS('Étape 1 - à remplir'!$F$31:$F$400,'Étape 1 - à remplir'!$C$31:$C$400,IF($FH52="Croissance","*Croissance*",IF($FH52="Veau","*Veau*",IF($FH52="Adulte","*Adulte*",IF($FH52="Agneau","*Agneau*",IF($FH52="Chevreau","*Chevreau*",IF($FH52="Démarrage","*Démarrage*",IF($FH52="Engraissement","*Engraissement*",IF($FH52="Porcelet","*Porcelet*",IF($FH52="Post_sevrage","*Post_sevrage*",IF($FH52="Poulain","*Poulain*",IF($FH52="Poussin","*Poussin*",""))))))))))),'Étape 1 - à remplir'!$G$31:$G$400,"kg",'Étape 1 - à remplir'!$M$31:$M$400,MASQ2!FO$43)/SUMIFS('Étape 1 - à remplir'!$F$19:$F$28,'Étape 1 - à remplir'!$E$19:$E$28,MASQ2!$FH52,'Étape 1 - à remplir'!$G$19:$G$28,"kg"),"")</f>
        <v/>
      </c>
      <c r="FP52" s="117" t="str">
        <f>IFERROR(SUMIFS('Étape 1 - à remplir'!$F$31:$F$400,'Étape 1 - à remplir'!$C$31:$C$400,IF($FH52="Croissance","*Croissance*",IF($FH52="Veau","*Veau*",IF($FH52="Adulte","*Adulte*",IF($FH52="Agneau","*Agneau*",IF($FH52="Chevreau","*Chevreau*",IF($FH52="Démarrage","*Démarrage*",IF($FH52="Engraissement","*Engraissement*",IF($FH52="Porcelet","*Porcelet*",IF($FH52="Post_sevrage","*Post_sevrage*",IF($FH52="Poulain","*Poulain*",IF($FH52="Poussin","*Poussin*",""))))))))))),'Étape 1 - à remplir'!$G$31:$G$400,"kg",'Étape 1 - à remplir'!$M$31:$M$400,MASQ2!FP$43)/SUMIFS('Étape 1 - à remplir'!$F$19:$F$28,'Étape 1 - à remplir'!$E$19:$E$28,MASQ2!$FH52,'Étape 1 - à remplir'!$G$19:$G$28,"kg"),"")</f>
        <v/>
      </c>
      <c r="FQ52" s="117" t="str">
        <f>IFERROR(SUMIFS('Étape 1 - à remplir'!$F$31:$F$400,'Étape 1 - à remplir'!$C$31:$C$400,IF($FH52="Croissance","*Croissance*",IF($FH52="Veau","*Veau*",IF($FH52="Adulte","*Adulte*",IF($FH52="Agneau","*Agneau*",IF($FH52="Chevreau","*Chevreau*",IF($FH52="Démarrage","*Démarrage*",IF($FH52="Engraissement","*Engraissement*",IF($FH52="Porcelet","*Porcelet*",IF($FH52="Post_sevrage","*Post_sevrage*",IF($FH52="Poulain","*Poulain*",IF($FH52="Poussin","*Poussin*",""))))))))))),'Étape 1 - à remplir'!$G$31:$G$400,"kg",'Étape 1 - à remplir'!$M$31:$M$400,MASQ2!FQ$43)/SUMIFS('Étape 1 - à remplir'!$F$19:$F$28,'Étape 1 - à remplir'!$E$19:$E$28,MASQ2!$FH52,'Étape 1 - à remplir'!$G$19:$G$28,"kg"),"")</f>
        <v/>
      </c>
      <c r="FR52" s="117" t="str">
        <f>IFERROR(SUMIFS('Étape 1 - à remplir'!$F$31:$F$400,'Étape 1 - à remplir'!$C$31:$C$400,IF($FH52="Croissance","*Croissance*",IF($FH52="Veau","*Veau*",IF($FH52="Adulte","*Adulte*",IF($FH52="Agneau","*Agneau*",IF($FH52="Chevreau","*Chevreau*",IF($FH52="Démarrage","*Démarrage*",IF($FH52="Engraissement","*Engraissement*",IF($FH52="Porcelet","*Porcelet*",IF($FH52="Post_sevrage","*Post_sevrage*",IF($FH52="Poulain","*Poulain*",IF($FH52="Poussin","*Poussin*",""))))))))))),'Étape 1 - à remplir'!$G$31:$G$400,"kg",'Étape 1 - à remplir'!$M$31:$M$400,MASQ2!FR$43)/SUMIFS('Étape 1 - à remplir'!$F$19:$F$28,'Étape 1 - à remplir'!$E$19:$E$28,MASQ2!$FH52,'Étape 1 - à remplir'!$G$19:$G$28,"kg"),"")</f>
        <v/>
      </c>
      <c r="FS52" s="117" t="str">
        <f>IFERROR(SUMIFS('Étape 1 - à remplir'!$F$31:$F$400,'Étape 1 - à remplir'!$C$31:$C$400,IF($FH52="Croissance","*Croissance*",IF($FH52="Veau","*Veau*",IF($FH52="Adulte","*Adulte*",IF($FH52="Agneau","*Agneau*",IF($FH52="Chevreau","*Chevreau*",IF($FH52="Démarrage","*Démarrage*",IF($FH52="Engraissement","*Engraissement*",IF($FH52="Porcelet","*Porcelet*",IF($FH52="Post_sevrage","*Post_sevrage*",IF($FH52="Poulain","*Poulain*",IF($FH52="Poussin","*Poussin*",""))))))))))),'Étape 1 - à remplir'!$G$31:$G$400,"kg",'Étape 1 - à remplir'!$M$31:$M$400,MASQ2!FS$43)/SUMIFS('Étape 1 - à remplir'!$F$19:$F$28,'Étape 1 - à remplir'!$E$19:$E$28,MASQ2!$FH52,'Étape 1 - à remplir'!$G$19:$G$28,"kg"),"")</f>
        <v/>
      </c>
      <c r="FT52" s="117" t="str">
        <f>IFERROR(SUMIFS('Étape 1 - à remplir'!$F$31:$F$400,'Étape 1 - à remplir'!$C$31:$C$400,IF($FH52="Croissance","*Croissance*",IF($FH52="Veau","*Veau*",IF($FH52="Adulte","*Adulte*",IF($FH52="Agneau","*Agneau*",IF($FH52="Chevreau","*Chevreau*",IF($FH52="Démarrage","*Démarrage*",IF($FH52="Engraissement","*Engraissement*",IF($FH52="Porcelet","*Porcelet*",IF($FH52="Post_sevrage","*Post_sevrage*",IF($FH52="Poulain","*Poulain*",IF($FH52="Poussin","*Poussin*",""))))))))))),'Étape 1 - à remplir'!$G$31:$G$400,"kg",'Étape 1 - à remplir'!$M$31:$M$400,MASQ2!FT$43)/SUMIFS('Étape 1 - à remplir'!$F$19:$F$28,'Étape 1 - à remplir'!$E$19:$E$28,MASQ2!$FH52,'Étape 1 - à remplir'!$G$19:$G$28,"kg"),"")</f>
        <v/>
      </c>
    </row>
    <row r="53" spans="2:176" x14ac:dyDescent="0.3">
      <c r="B53" s="42"/>
      <c r="M53" s="194" t="str">
        <f ca="1">INDEX(Données_ATB!BD:BU,MATCH(MASQ2!O53,Données_ATB!BD:BD,0),18)</f>
        <v/>
      </c>
      <c r="N53" s="14" t="str">
        <f>IFERROR(IF(Q53=0,"",COUNTIF(Q$4:Q$600,"&gt;"&amp;Q53)+COUNTIF(Q$4:Q53,Q53)),"")</f>
        <v/>
      </c>
      <c r="O53" t="str">
        <f>Données_ATB!BD52</f>
        <v>ARENTOR DC 250 MG SUSPENSION INTRAMAMMAIRE POUR VACHES TARIES</v>
      </c>
      <c r="P53" t="e">
        <f>IF(IF(X$2="Catégorie",IF(X$3="Toutes",SUMIFS('Étape 1 - à remplir'!$F$31:$F$400,'Étape 1 - à remplir'!$E$31:$E$400,MASQ2!O53,'Étape 1 - à remplir'!$G$31:$G$400,"animaux"),SUMIFS('Étape 1 - à remplir'!$F$31:$F$400,'Étape 1 - à remplir'!$E$31:$E$400,MASQ2!O53,'Étape 1 - à remplir'!$C$31:$C$400,X$3)),IF(X$2="Âge",IF(X$3="Tous",SUMIFS('Étape 1 - à remplir'!$F$31:$F$400,'Étape 1 - à remplir'!$E$31:$E$400,MASQ2!O53,'Étape 1 - à remplir'!$G$31:$G$400,"animaux"),SUMIFS('Étape 1 - à remplir'!$F$31:$F$400,'Étape 1 - à remplir'!$E$31:$E$400,MASQ2!O53,'Étape 1 - à remplir'!$P$31:$P$400,X$3)),IF(X$2="Atelier",IF(X$3="Tous",SUMIFS('Étape 1 - à remplir'!$F$31:$F$400,'Étape 1 - à remplir'!$E$31:$E$400,MASQ2!O53,'Étape 1 - à remplir'!$G$31:$G$400,"animaux"),SUMIFS('Étape 1 - à remplir'!$F$31:$F$400,'Étape 1 - à remplir'!$E$31:$E$400,MASQ2!O53,'Étape 1 - à remplir'!$O$31:$O$400,X$3)),IF(X$2="Espèce",IF(X$3="Toutes",SUMIFS('Étape 1 - à remplir'!$F$31:$F$400,'Étape 1 - à remplir'!$E$31:$E$400,MASQ2!O53,'Étape 1 - à remplir'!$G$31:$G$400,"animaux"),SUMIFS('Étape 1 - à remplir'!$F$31:$F$400,'Étape 1 - à remplir'!$E$31:$E$400,MASQ2!O53,'Étape 1 - à remplir'!$N$31:$N$400,X$3))))))=0,NA(),IF(X$2="Catégorie",IF(X$3="Toutes",SUMIFS('Étape 1 - à remplir'!$F$31:$F$400,'Étape 1 - à remplir'!$E$31:$E$400,MASQ2!O53,'Étape 1 - à remplir'!$G$31:$G$400,"animaux"),SUMIFS('Étape 1 - à remplir'!$F$31:$F$400,'Étape 1 - à remplir'!$E$31:$E$400,MASQ2!O53,'Étape 1 - à remplir'!$C$31:$C$400,X$3)),IF(X$2="Âge",IF(X$3="Tous",SUMIFS('Étape 1 - à remplir'!$F$31:$F$400,'Étape 1 - à remplir'!$E$31:$E$400,MASQ2!O53,'Étape 1 - à remplir'!$G$31:$G$400,"animaux"),SUMIFS('Étape 1 - à remplir'!$F$31:$F$400,'Étape 1 - à remplir'!$E$31:$E$400,MASQ2!O53,'Étape 1 - à remplir'!$P$31:$P$400,X$3)),IF(X$2="Atelier",IF(X$3="Tous",SUMIFS('Étape 1 - à remplir'!$F$31:$F$400,'Étape 1 - à remplir'!$E$31:$E$400,MASQ2!O53,'Étape 1 - à remplir'!$G$31:$G$400,"animaux"),SUMIFS('Étape 1 - à remplir'!$F$31:$F$400,'Étape 1 - à remplir'!$E$31:$E$400,MASQ2!O53,'Étape 1 - à remplir'!$O$31:$O$400,X$3)),IF(X$2="Espèce",IF(X$3="Toutes",SUMIFS('Étape 1 - à remplir'!$F$31:$F$400,'Étape 1 - à remplir'!$E$31:$E$400,MASQ2!O53,'Étape 1 - à remplir'!$G$31:$G$400,"animaux"),SUMIFS('Étape 1 - à remplir'!$F$31:$F$400,'Étape 1 - à remplir'!$E$31:$E$400,MASQ2!O53,'Étape 1 - à remplir'!$N$31:$N$400,X$3)))))))</f>
        <v>#N/A</v>
      </c>
      <c r="Q53" s="63">
        <f t="shared" si="62"/>
        <v>0</v>
      </c>
      <c r="R53" t="str">
        <f>Données_ATB!BM52</f>
        <v>Céfalonium</v>
      </c>
      <c r="S53" t="str">
        <f>Données_ATB!BN52</f>
        <v/>
      </c>
      <c r="T53" s="63" t="str">
        <f>Données_ATB!BO52</f>
        <v/>
      </c>
      <c r="U53" s="42" t="str">
        <f>Données_ATB!BQ52</f>
        <v>Cephalosporines 1&amp;2G</v>
      </c>
      <c r="V53" t="str">
        <f>Données_ATB!BR52</f>
        <v/>
      </c>
      <c r="W53" s="63" t="str">
        <f>Données_ATB!BS52</f>
        <v/>
      </c>
      <c r="Z53" s="42">
        <v>50</v>
      </c>
      <c r="AA53" t="e">
        <f t="shared" si="32"/>
        <v>#N/A</v>
      </c>
      <c r="AB53" s="63" t="e">
        <f t="shared" si="33"/>
        <v>#N/A</v>
      </c>
      <c r="AD53" s="194" t="str">
        <f>IF(AF53="Colistine","x",IF(INDEX(Données_ATB!CA$3:CB$63,MATCH(AF53,Données_ATB!CA$3:CA$63,0),2)="Fluoroquinolones","x",IF(INDEX(Données_ATB!CA$3:CB$63,MATCH(AF53,Données_ATB!CA$3:CA$63,0),2)="Cephalosporines 3&amp;4G","x","")))</f>
        <v/>
      </c>
      <c r="AE53" s="219" t="str">
        <f>IFERROR(IF(AG53=0,"",COUNTIF(AG$4:AG$64,"&gt;"&amp;AG53)+COUNTIF(AG$4:AG53,AG53)),"")</f>
        <v/>
      </c>
      <c r="AF53" s="42" t="str">
        <f>Données_ATB!CA52</f>
        <v>Sulfanilamide</v>
      </c>
      <c r="AG53" s="63" t="e">
        <f t="shared" si="34"/>
        <v>#N/A</v>
      </c>
      <c r="AH53" s="42">
        <v>50</v>
      </c>
      <c r="AI53" t="e">
        <f t="shared" si="35"/>
        <v>#N/A</v>
      </c>
      <c r="AJ53" s="63" t="e">
        <f t="shared" si="36"/>
        <v>#N/A</v>
      </c>
      <c r="AT53" s="109" t="str">
        <f t="shared" si="122"/>
        <v/>
      </c>
      <c r="AU53" s="119" t="str">
        <f>IFERROR(SUMIFS('Étape 1 - à remplir'!$F$31:$F$400,'Étape 1 - à remplir'!$C$31:$C$400,IF($AT53="Croissance","*Croissance*",IF($AT53="Veau","*Veau*",IF($AT53="Adulte","*Adulte*",IF($AT53="Agneau","*Agneau*",IF($AT53="Chevreau","*Chevreau*",IF($AT53="Démarrage","*Démarrage*",IF($AT53="Engraissement","*Engraissement*",IF($AT53="Porcelet","*Porcelet*",IF($AT53="Post_sevrage","*Post_sevrage*",IF($AT53="Poulain","*Poulain*",IF($AT53="Poussin","*Poussin*",""))))))))))),'Étape 1 - à remplir'!$G$31:$G$400,"animaux",'Étape 1 - à remplir'!$M$31:$M$400,MASQ2!AU$43)/SUMIFS('Étape 1 - à remplir'!$F$19:$F$28,'Étape 1 - à remplir'!$E$19:$E$28,MASQ2!$AT53,'Étape 1 - à remplir'!$G$19:$G$28,"animaux"),"")</f>
        <v/>
      </c>
      <c r="AV53" s="111" t="str">
        <f>IFERROR(SUMIFS('Étape 1 - à remplir'!$F$31:$F$400,'Étape 1 - à remplir'!$C$31:$C$400,IF($AT53="Croissance","*Croissance*",IF($AT53="Veau","*Veau*",IF($AT53="Adulte","*Adulte*",IF($AT53="Agneau","*Agneau*",IF($AT53="Chevreau","*Chevreau*",IF($AT53="Démarrage","*Démarrage*",IF($AT53="Engraissement","*Engraissement*",IF($AT53="Porcelet","*Porcelet*",IF($AT53="Post_sevrage","*Post_sevrage*",IF($AT53="Poulain","*Poulain*",IF($AT53="Poussin","*Poussin*",""))))))))))),'Étape 1 - à remplir'!$G$31:$G$400,"animaux",'Étape 1 - à remplir'!$M$31:$M$400,MASQ2!AV$43)/SUMIFS('Étape 1 - à remplir'!$F$19:$F$28,'Étape 1 - à remplir'!$E$19:$E$28,MASQ2!$AT53,'Étape 1 - à remplir'!$G$19:$G$28,"animaux"),"")</f>
        <v/>
      </c>
      <c r="AW53" s="111" t="str">
        <f>IFERROR(SUMIFS('Étape 1 - à remplir'!$F$31:$F$400,'Étape 1 - à remplir'!$C$31:$C$400,IF($AT53="Croissance","*Croissance*",IF($AT53="Veau","*Veau*",IF($AT53="Adulte","*Adulte*",IF($AT53="Agneau","*Agneau*",IF($AT53="Chevreau","*Chevreau*",IF($AT53="Démarrage","*Démarrage*",IF($AT53="Engraissement","*Engraissement*",IF($AT53="Porcelet","*Porcelet*",IF($AT53="Post_sevrage","*Post_sevrage*",IF($AT53="Poulain","*Poulain*",IF($AT53="Poussin","*Poussin*",""))))))))))),'Étape 1 - à remplir'!$G$31:$G$400,"animaux",'Étape 1 - à remplir'!$M$31:$M$400,MASQ2!AW$43)/SUMIFS('Étape 1 - à remplir'!$F$19:$F$28,'Étape 1 - à remplir'!$E$19:$E$28,MASQ2!$AT53,'Étape 1 - à remplir'!$G$19:$G$28,"animaux"),"")</f>
        <v/>
      </c>
      <c r="AX53" s="111" t="str">
        <f>IFERROR(SUMIFS('Étape 1 - à remplir'!$F$31:$F$400,'Étape 1 - à remplir'!$C$31:$C$400,IF($AT53="Croissance","*Croissance*",IF($AT53="Veau","*Veau*",IF($AT53="Adulte","*Adulte*",IF($AT53="Agneau","*Agneau*",IF($AT53="Chevreau","*Chevreau*",IF($AT53="Démarrage","*Démarrage*",IF($AT53="Engraissement","*Engraissement*",IF($AT53="Porcelet","*Porcelet*",IF($AT53="Post_sevrage","*Post_sevrage*",IF($AT53="Poulain","*Poulain*",IF($AT53="Poussin","*Poussin*",""))))))))))),'Étape 1 - à remplir'!$G$31:$G$400,"animaux",'Étape 1 - à remplir'!$M$31:$M$400,MASQ2!AX$43)/SUMIFS('Étape 1 - à remplir'!$F$19:$F$28,'Étape 1 - à remplir'!$E$19:$E$28,MASQ2!$AT53,'Étape 1 - à remplir'!$G$19:$G$28,"animaux"),"")</f>
        <v/>
      </c>
      <c r="AY53" s="111" t="str">
        <f>IFERROR(SUMIFS('Étape 1 - à remplir'!$F$31:$F$400,'Étape 1 - à remplir'!$C$31:$C$400,IF($AT53="Croissance","*Croissance*",IF($AT53="Veau","*Veau*",IF($AT53="Adulte","*Adulte*",IF($AT53="Agneau","*Agneau*",IF($AT53="Chevreau","*Chevreau*",IF($AT53="Démarrage","*Démarrage*",IF($AT53="Engraissement","*Engraissement*",IF($AT53="Porcelet","*Porcelet*",IF($AT53="Post_sevrage","*Post_sevrage*",IF($AT53="Poulain","*Poulain*",IF($AT53="Poussin","*Poussin*",""))))))))))),'Étape 1 - à remplir'!$G$31:$G$400,"animaux",'Étape 1 - à remplir'!$M$31:$M$400,MASQ2!AY$43)/SUMIFS('Étape 1 - à remplir'!$F$19:$F$28,'Étape 1 - à remplir'!$E$19:$E$28,MASQ2!$AT53,'Étape 1 - à remplir'!$G$19:$G$28,"animaux"),"")</f>
        <v/>
      </c>
      <c r="AZ53" s="111" t="str">
        <f>IFERROR(SUMIFS('Étape 1 - à remplir'!$F$31:$F$400,'Étape 1 - à remplir'!$C$31:$C$400,IF($AT53="Croissance","*Croissance*",IF($AT53="Veau","*Veau*",IF($AT53="Adulte","*Adulte*",IF($AT53="Agneau","*Agneau*",IF($AT53="Chevreau","*Chevreau*",IF($AT53="Démarrage","*Démarrage*",IF($AT53="Engraissement","*Engraissement*",IF($AT53="Porcelet","*Porcelet*",IF($AT53="Post_sevrage","*Post_sevrage*",IF($AT53="Poulain","*Poulain*",IF($AT53="Poussin","*Poussin*",""))))))))))),'Étape 1 - à remplir'!$G$31:$G$400,"animaux",'Étape 1 - à remplir'!$M$31:$M$400,MASQ2!AZ$43)/SUMIFS('Étape 1 - à remplir'!$F$19:$F$28,'Étape 1 - à remplir'!$E$19:$E$28,MASQ2!$AT53,'Étape 1 - à remplir'!$G$19:$G$28,"animaux"),"")</f>
        <v/>
      </c>
      <c r="BA53" s="111" t="str">
        <f>IFERROR(SUMIFS('Étape 1 - à remplir'!$F$31:$F$400,'Étape 1 - à remplir'!$C$31:$C$400,IF($AT53="Croissance","*Croissance*",IF($AT53="Veau","*Veau*",IF($AT53="Adulte","*Adulte*",IF($AT53="Agneau","*Agneau*",IF($AT53="Chevreau","*Chevreau*",IF($AT53="Démarrage","*Démarrage*",IF($AT53="Engraissement","*Engraissement*",IF($AT53="Porcelet","*Porcelet*",IF($AT53="Post_sevrage","*Post_sevrage*",IF($AT53="Poulain","*Poulain*",IF($AT53="Poussin","*Poussin*",""))))))))))),'Étape 1 - à remplir'!$G$31:$G$400,"animaux",'Étape 1 - à remplir'!$M$31:$M$400,MASQ2!BA$43)/SUMIFS('Étape 1 - à remplir'!$F$19:$F$28,'Étape 1 - à remplir'!$E$19:$E$28,MASQ2!$AT53,'Étape 1 - à remplir'!$G$19:$G$28,"animaux"),"")</f>
        <v/>
      </c>
      <c r="BB53" s="111" t="str">
        <f>IFERROR(SUMIFS('Étape 1 - à remplir'!$F$31:$F$400,'Étape 1 - à remplir'!$C$31:$C$400,IF($AT53="Croissance","*Croissance*",IF($AT53="Veau","*Veau*",IF($AT53="Adulte","*Adulte*",IF($AT53="Agneau","*Agneau*",IF($AT53="Chevreau","*Chevreau*",IF($AT53="Démarrage","*Démarrage*",IF($AT53="Engraissement","*Engraissement*",IF($AT53="Porcelet","*Porcelet*",IF($AT53="Post_sevrage","*Post_sevrage*",IF($AT53="Poulain","*Poulain*",IF($AT53="Poussin","*Poussin*",""))))))))))),'Étape 1 - à remplir'!$G$31:$G$400,"animaux",'Étape 1 - à remplir'!$M$31:$M$400,MASQ2!BB$43)/SUMIFS('Étape 1 - à remplir'!$F$19:$F$28,'Étape 1 - à remplir'!$E$19:$E$28,MASQ2!$AT53,'Étape 1 - à remplir'!$G$19:$G$28,"animaux"),"")</f>
        <v/>
      </c>
      <c r="BC53" s="111" t="str">
        <f>IFERROR(SUMIFS('Étape 1 - à remplir'!$F$31:$F$400,'Étape 1 - à remplir'!$C$31:$C$400,IF($AT53="Croissance","*Croissance*",IF($AT53="Veau","*Veau*",IF($AT53="Adulte","*Adulte*",IF($AT53="Agneau","*Agneau*",IF($AT53="Chevreau","*Chevreau*",IF($AT53="Démarrage","*Démarrage*",IF($AT53="Engraissement","*Engraissement*",IF($AT53="Porcelet","*Porcelet*",IF($AT53="Post_sevrage","*Post_sevrage*",IF($AT53="Poulain","*Poulain*",IF($AT53="Poussin","*Poussin*",""))))))))))),'Étape 1 - à remplir'!$G$31:$G$400,"animaux",'Étape 1 - à remplir'!$M$31:$M$400,MASQ2!BC$43)/SUMIFS('Étape 1 - à remplir'!$F$19:$F$28,'Étape 1 - à remplir'!$E$19:$E$28,MASQ2!$AT53,'Étape 1 - à remplir'!$G$19:$G$28,"animaux"),"")</f>
        <v/>
      </c>
      <c r="BD53" s="111" t="str">
        <f>IFERROR(SUMIFS('Étape 1 - à remplir'!$F$31:$F$400,'Étape 1 - à remplir'!$C$31:$C$400,IF($AT53="Croissance","*Croissance*",IF($AT53="Veau","*Veau*",IF($AT53="Adulte","*Adulte*",IF($AT53="Agneau","*Agneau*",IF($AT53="Chevreau","*Chevreau*",IF($AT53="Démarrage","*Démarrage*",IF($AT53="Engraissement","*Engraissement*",IF($AT53="Porcelet","*Porcelet*",IF($AT53="Post_sevrage","*Post_sevrage*",IF($AT53="Poulain","*Poulain*",IF($AT53="Poussin","*Poussin*",""))))))))))),'Étape 1 - à remplir'!$G$31:$G$400,"animaux",'Étape 1 - à remplir'!$M$31:$M$400,MASQ2!BD$43)/SUMIFS('Étape 1 - à remplir'!$F$19:$F$28,'Étape 1 - à remplir'!$E$19:$E$28,MASQ2!$AT53,'Étape 1 - à remplir'!$G$19:$G$28,"animaux"),"")</f>
        <v/>
      </c>
      <c r="BE53" s="111" t="str">
        <f>IFERROR(SUMIFS('Étape 1 - à remplir'!$F$31:$F$400,'Étape 1 - à remplir'!$C$31:$C$400,IF($AT53="Croissance","*Croissance*",IF($AT53="Veau","*Veau*",IF($AT53="Adulte","*Adulte*",IF($AT53="Agneau","*Agneau*",IF($AT53="Chevreau","*Chevreau*",IF($AT53="Démarrage","*Démarrage*",IF($AT53="Engraissement","*Engraissement*",IF($AT53="Porcelet","*Porcelet*",IF($AT53="Post_sevrage","*Post_sevrage*",IF($AT53="Poulain","*Poulain*",IF($AT53="Poussin","*Poussin*",""))))))))))),'Étape 1 - à remplir'!$G$31:$G$400,"animaux",'Étape 1 - à remplir'!$M$31:$M$400,MASQ2!BE$43)/SUMIFS('Étape 1 - à remplir'!$F$19:$F$28,'Étape 1 - à remplir'!$E$19:$E$28,MASQ2!$AT53,'Étape 1 - à remplir'!$G$19:$G$28,"animaux"),"")</f>
        <v/>
      </c>
      <c r="BF53" s="115" t="str">
        <f>IFERROR(SUMIFS('Étape 1 - à remplir'!$F$31:$F$400,'Étape 1 - à remplir'!$C$31:$C$400,IF($AT53="Croissance","*Croissance*",IF($AT53="Veau","*Veau*",IF($AT53="Adulte","*Adulte*",IF($AT53="Agneau","*Agneau*",IF($AT53="Chevreau","*Chevreau*",IF($AT53="Démarrage","*Démarrage*",IF($AT53="Engraissement","*Engraissement*",IF($AT53="Porcelet","*Porcelet*",IF($AT53="Post_sevrage","*Post_sevrage*",IF($AT53="Poulain","*Poulain*",IF($AT53="Poussin","*Poussin*",""))))))))))),'Étape 1 - à remplir'!$G$31:$G$400,"animaux",'Étape 1 - à remplir'!$M$31:$M$400,MASQ2!BF$43)/SUMIFS('Étape 1 - à remplir'!$F$19:$F$28,'Étape 1 - à remplir'!$E$19:$E$28,MASQ2!$AT53,'Étape 1 - à remplir'!$G$19:$G$28,"animaux"),"")</f>
        <v/>
      </c>
      <c r="BT53" s="194" t="str">
        <f t="shared" ca="1" si="5"/>
        <v/>
      </c>
      <c r="BU53" s="219" t="str">
        <f>IFERROR(IF(BX53=0,"",COUNTIF(BX$4:BX$600,"&gt;"&amp;BX53)+COUNTIF(BX$4:BX53,BX53)),"")</f>
        <v/>
      </c>
      <c r="BV53" s="42" t="str">
        <f t="shared" si="6"/>
        <v>ARENTOR DC 250 MG SUSPENSION INTRAMAMMAIRE POUR VACHES TARIES</v>
      </c>
      <c r="BW53" t="e">
        <f>IF(IF(CE$2="Catégorie",IF(CE$3="Toutes",SUMIFS('Étape 1 - à remplir'!$F$31:$F$400,'Étape 1 - à remplir'!$E$31:$E$400,MASQ2!BV53,'Étape 1 - à remplir'!$G$31:$G$400,"lots"),SUMIFS('Étape 1 - à remplir'!$F$31:$F$400,'Étape 1 - à remplir'!$E$31:$E$400,MASQ2!BV53,'Étape 1 - à remplir'!$C$31:$C$400,CE$3)),IF(CE$2="Âge",IF(CE$3="Tous",SUMIFS('Étape 1 - à remplir'!$F$31:$F$400,'Étape 1 - à remplir'!$E$31:$E$400,MASQ2!BV53,'Étape 1 - à remplir'!$G$31:$G$400,"lots"),SUMIFS('Étape 1 - à remplir'!$F$31:$F$400,'Étape 1 - à remplir'!$E$31:$E$400,MASQ2!BV53,'Étape 1 - à remplir'!$P$31:$P$400,CE$3,'Étape 1 - à remplir'!$G$31:$G$400,"lots")),IF(CE$2="Atelier",IF(CE$3="Tous",SUMIFS('Étape 1 - à remplir'!$F$31:$F$400,'Étape 1 - à remplir'!$E$31:$E$400,MASQ2!BV53,'Étape 1 - à remplir'!$G$31:$G$400,"lots"),SUMIFS('Étape 1 - à remplir'!$F$31:$F$400,'Étape 1 - à remplir'!$E$31:$E$400,MASQ2!BV53,'Étape 1 - à remplir'!$O$31:$O$400,CE$3,'Étape 1 - à remplir'!$G$31:$G$400,"lots")),IF(CE$2="Espèce",IF(CE$3="Toutes",SUMIFS('Étape 1 - à remplir'!$F$31:$F$400,'Étape 1 - à remplir'!$E$31:$E$400,MASQ2!BV53,'Étape 1 - à remplir'!$G$31:$G$400,"lots"),SUMIFS('Étape 1 - à remplir'!$F$31:$F$400,'Étape 1 - à remplir'!$E$31:$E$400,MASQ2!BV53,'Étape 1 - à remplir'!$N$31:$N$400,CE$3,'Étape 1 - à remplir'!$G$31:$G$400,"lots"))))))=0,NA(),IF(CE$2="Catégorie",IF(CE$3="Toutes",SUMIFS('Étape 1 - à remplir'!$F$31:$F$400,'Étape 1 - à remplir'!$E$31:$E$400,MASQ2!BV53,'Étape 1 - à remplir'!$G$31:$G$400,"lots"),SUMIFS('Étape 1 - à remplir'!$F$31:$F$400,'Étape 1 - à remplir'!$E$31:$E$400,MASQ2!BV53,'Étape 1 - à remplir'!$C$31:$C$400,CE$3)),IF(CE$2="Âge",IF(CE$3="Tous",SUMIFS('Étape 1 - à remplir'!$F$31:$F$400,'Étape 1 - à remplir'!$E$31:$E$400,MASQ2!BV53,'Étape 1 - à remplir'!$G$31:$G$400,"lots"),SUMIFS('Étape 1 - à remplir'!$F$31:$F$400,'Étape 1 - à remplir'!$E$31:$E$400,MASQ2!BV53,'Étape 1 - à remplir'!$P$31:$P$400,CE$3,'Étape 1 - à remplir'!$G$31:$G$400,"lots")),IF(CE$2="Atelier",IF(CE$3="Tous",SUMIFS('Étape 1 - à remplir'!$F$31:$F$400,'Étape 1 - à remplir'!$E$31:$E$400,MASQ2!BV53,'Étape 1 - à remplir'!$G$31:$G$400,"lots"),SUMIFS('Étape 1 - à remplir'!$F$31:$F$400,'Étape 1 - à remplir'!$E$31:$E$400,MASQ2!BV53,'Étape 1 - à remplir'!$O$31:$O$400,CE$3,'Étape 1 - à remplir'!$G$31:$G$400,"lots")),IF(CE$2="Espèce",IF(CE$3="Toutes",SUMIFS('Étape 1 - à remplir'!$F$31:$F$400,'Étape 1 - à remplir'!$E$31:$E$400,MASQ2!BV53,'Étape 1 - à remplir'!$G$31:$G$400,"lots"),SUMIFS('Étape 1 - à remplir'!$F$31:$F$400,'Étape 1 - à remplir'!$E$31:$E$400,MASQ2!BV53,'Étape 1 - à remplir'!$N$31:$N$400,CE$3,'Étape 1 - à remplir'!$G$31:$G$400,"lots")))))))</f>
        <v>#N/A</v>
      </c>
      <c r="BX53">
        <f t="shared" si="42"/>
        <v>0</v>
      </c>
      <c r="BY53" t="str">
        <f t="shared" si="7"/>
        <v>Céfalonium</v>
      </c>
      <c r="BZ53" t="str">
        <f t="shared" si="8"/>
        <v/>
      </c>
      <c r="CA53" t="str">
        <f t="shared" si="9"/>
        <v/>
      </c>
      <c r="CB53" t="str">
        <f t="shared" si="10"/>
        <v>Cephalosporines 1&amp;2G</v>
      </c>
      <c r="CC53" t="str">
        <f t="shared" si="11"/>
        <v/>
      </c>
      <c r="CD53" s="63" t="str">
        <f t="shared" si="12"/>
        <v/>
      </c>
      <c r="CG53" s="42">
        <v>50</v>
      </c>
      <c r="CH53" s="42" t="e">
        <f t="shared" si="80"/>
        <v>#N/A</v>
      </c>
      <c r="CI53" s="63" t="e">
        <f t="shared" si="81"/>
        <v>#N/A</v>
      </c>
      <c r="CK53" s="194" t="str">
        <f t="shared" si="118"/>
        <v/>
      </c>
      <c r="CL53" s="226" t="str">
        <f>IFERROR(IF(CN53=0,"",COUNTIF(CN$4:CN$64,"&gt;"&amp;CN53)+COUNTIF(CN$4:CN53,CN53)),"")</f>
        <v/>
      </c>
      <c r="CM53" t="str">
        <f t="shared" si="119"/>
        <v>Sulfanilamide</v>
      </c>
      <c r="CN53" s="76" t="e">
        <f t="shared" si="45"/>
        <v>#N/A</v>
      </c>
      <c r="CO53">
        <v>50</v>
      </c>
      <c r="CP53" t="e">
        <f t="shared" si="46"/>
        <v>#N/A</v>
      </c>
      <c r="CQ53" s="63" t="e">
        <f t="shared" si="47"/>
        <v>#N/A</v>
      </c>
      <c r="DA53" s="118" t="str">
        <f t="shared" si="123"/>
        <v/>
      </c>
      <c r="DB53" s="197" t="str">
        <f>IFERROR(SUMIFS('Étape 1 - à remplir'!$F$31:$F$400,'Étape 1 - à remplir'!$C$31:$C$400,IF($DA53="Croissance","*Croissance*",IF($DA53="Veau","*Veau*",IF($DA53="Adulte","*Adulte*",IF($DA53="Agneau","*Agneau*",IF($DA53="Chevreau","*Chevreau*",IF($DA53="Démarrage","*Démarrage*",IF($DA53="Engraissement","*Engraissement*",IF($DA53="Porcelet","*Porcelet*",IF($DA53="Post_sevrage","*Post_sevrage*",IF($DA53="Poulain","*Poulain*",IF($DA53="Poussin","*Poussin*",""))))))))))),'Étape 1 - à remplir'!$G$31:$G$400,"lots",'Étape 1 - à remplir'!$M$31:$M$400,MASQ2!DB$43)/SUMIFS('Étape 1 - à remplir'!$F$19:$F$28,'Étape 1 - à remplir'!$E$19:$E$28,MASQ2!$DA53,'Étape 1 - à remplir'!$G$19:$G$28,"lots"),"")</f>
        <v/>
      </c>
      <c r="DC53" s="197" t="str">
        <f>IFERROR(SUMIFS('Étape 1 - à remplir'!$F$31:$F$400,'Étape 1 - à remplir'!$C$31:$C$400,IF($DA53="Croissance","*Croissance*",IF($DA53="Veau","*Veau*",IF($DA53="Adulte","*Adulte*",IF($DA53="Agneau","*Agneau*",IF($DA53="Chevreau","*Chevreau*",IF($DA53="Démarrage","*Démarrage*",IF($DA53="Engraissement","*Engraissement*",IF($DA53="Porcelet","*Porcelet*",IF($DA53="Post_sevrage","*Post_sevrage*",IF($DA53="Poulain","*Poulain*",IF($DA53="Poussin","*Poussin*",""))))))))))),'Étape 1 - à remplir'!$G$31:$G$400,"lots",'Étape 1 - à remplir'!$M$31:$M$400,MASQ2!DC$43)/SUMIFS('Étape 1 - à remplir'!$F$19:$F$28,'Étape 1 - à remplir'!$E$19:$E$28,MASQ2!$DA53,'Étape 1 - à remplir'!$G$19:$G$28,"lots"),"")</f>
        <v/>
      </c>
      <c r="DD53" s="197" t="str">
        <f>IFERROR(SUMIFS('Étape 1 - à remplir'!$F$31:$F$400,'Étape 1 - à remplir'!$C$31:$C$400,IF($DA53="Croissance","*Croissance*",IF($DA53="Veau","*Veau*",IF($DA53="Adulte","*Adulte*",IF($DA53="Agneau","*Agneau*",IF($DA53="Chevreau","*Chevreau*",IF($DA53="Démarrage","*Démarrage*",IF($DA53="Engraissement","*Engraissement*",IF($DA53="Porcelet","*Porcelet*",IF($DA53="Post_sevrage","*Post_sevrage*",IF($DA53="Poulain","*Poulain*",IF($DA53="Poussin","*Poussin*",""))))))))))),'Étape 1 - à remplir'!$G$31:$G$400,"lots",'Étape 1 - à remplir'!$M$31:$M$400,MASQ2!DD$43)/SUMIFS('Étape 1 - à remplir'!$F$19:$F$28,'Étape 1 - à remplir'!$E$19:$E$28,MASQ2!$DA53,'Étape 1 - à remplir'!$G$19:$G$28,"lots"),"")</f>
        <v/>
      </c>
      <c r="DE53" s="197" t="str">
        <f>IFERROR(SUMIFS('Étape 1 - à remplir'!$F$31:$F$400,'Étape 1 - à remplir'!$C$31:$C$400,IF($DA53="Croissance","*Croissance*",IF($DA53="Veau","*Veau*",IF($DA53="Adulte","*Adulte*",IF($DA53="Agneau","*Agneau*",IF($DA53="Chevreau","*Chevreau*",IF($DA53="Démarrage","*Démarrage*",IF($DA53="Engraissement","*Engraissement*",IF($DA53="Porcelet","*Porcelet*",IF($DA53="Post_sevrage","*Post_sevrage*",IF($DA53="Poulain","*Poulain*",IF($DA53="Poussin","*Poussin*",""))))))))))),'Étape 1 - à remplir'!$G$31:$G$400,"lots",'Étape 1 - à remplir'!$M$31:$M$400,MASQ2!DE$43)/SUMIFS('Étape 1 - à remplir'!$F$19:$F$28,'Étape 1 - à remplir'!$E$19:$E$28,MASQ2!$DA53,'Étape 1 - à remplir'!$G$19:$G$28,"lots"),"")</f>
        <v/>
      </c>
      <c r="DF53" s="197" t="str">
        <f>IFERROR(SUMIFS('Étape 1 - à remplir'!$F$31:$F$400,'Étape 1 - à remplir'!$C$31:$C$400,IF($DA53="Croissance","*Croissance*",IF($DA53="Veau","*Veau*",IF($DA53="Adulte","*Adulte*",IF($DA53="Agneau","*Agneau*",IF($DA53="Chevreau","*Chevreau*",IF($DA53="Démarrage","*Démarrage*",IF($DA53="Engraissement","*Engraissement*",IF($DA53="Porcelet","*Porcelet*",IF($DA53="Post_sevrage","*Post_sevrage*",IF($DA53="Poulain","*Poulain*",IF($DA53="Poussin","*Poussin*",""))))))))))),'Étape 1 - à remplir'!$G$31:$G$400,"lots",'Étape 1 - à remplir'!$M$31:$M$400,MASQ2!DF$43)/SUMIFS('Étape 1 - à remplir'!$F$19:$F$28,'Étape 1 - à remplir'!$E$19:$E$28,MASQ2!$DA53,'Étape 1 - à remplir'!$G$19:$G$28,"lots"),"")</f>
        <v/>
      </c>
      <c r="DG53" s="197" t="str">
        <f>IFERROR(SUMIFS('Étape 1 - à remplir'!$F$31:$F$400,'Étape 1 - à remplir'!$C$31:$C$400,IF($DA53="Croissance","*Croissance*",IF($DA53="Veau","*Veau*",IF($DA53="Adulte","*Adulte*",IF($DA53="Agneau","*Agneau*",IF($DA53="Chevreau","*Chevreau*",IF($DA53="Démarrage","*Démarrage*",IF($DA53="Engraissement","*Engraissement*",IF($DA53="Porcelet","*Porcelet*",IF($DA53="Post_sevrage","*Post_sevrage*",IF($DA53="Poulain","*Poulain*",IF($DA53="Poussin","*Poussin*",""))))))))))),'Étape 1 - à remplir'!$G$31:$G$400,"lots",'Étape 1 - à remplir'!$M$31:$M$400,MASQ2!DG$43)/SUMIFS('Étape 1 - à remplir'!$F$19:$F$28,'Étape 1 - à remplir'!$E$19:$E$28,MASQ2!$DA53,'Étape 1 - à remplir'!$G$19:$G$28,"lots"),"")</f>
        <v/>
      </c>
      <c r="DH53" s="197" t="str">
        <f>IFERROR(SUMIFS('Étape 1 - à remplir'!$F$31:$F$400,'Étape 1 - à remplir'!$C$31:$C$400,IF($DA53="Croissance","*Croissance*",IF($DA53="Veau","*Veau*",IF($DA53="Adulte","*Adulte*",IF($DA53="Agneau","*Agneau*",IF($DA53="Chevreau","*Chevreau*",IF($DA53="Démarrage","*Démarrage*",IF($DA53="Engraissement","*Engraissement*",IF($DA53="Porcelet","*Porcelet*",IF($DA53="Post_sevrage","*Post_sevrage*",IF($DA53="Poulain","*Poulain*",IF($DA53="Poussin","*Poussin*",""))))))))))),'Étape 1 - à remplir'!$G$31:$G$400,"lots",'Étape 1 - à remplir'!$M$31:$M$400,MASQ2!DH$43)/SUMIFS('Étape 1 - à remplir'!$F$19:$F$28,'Étape 1 - à remplir'!$E$19:$E$28,MASQ2!$DA53,'Étape 1 - à remplir'!$G$19:$G$28,"lots"),"")</f>
        <v/>
      </c>
      <c r="DI53" s="197" t="str">
        <f>IFERROR(SUMIFS('Étape 1 - à remplir'!$F$31:$F$400,'Étape 1 - à remplir'!$C$31:$C$400,IF($DA53="Croissance","*Croissance*",IF($DA53="Veau","*Veau*",IF($DA53="Adulte","*Adulte*",IF($DA53="Agneau","*Agneau*",IF($DA53="Chevreau","*Chevreau*",IF($DA53="Démarrage","*Démarrage*",IF($DA53="Engraissement","*Engraissement*",IF($DA53="Porcelet","*Porcelet*",IF($DA53="Post_sevrage","*Post_sevrage*",IF($DA53="Poulain","*Poulain*",IF($DA53="Poussin","*Poussin*",""))))))))))),'Étape 1 - à remplir'!$G$31:$G$400,"lots",'Étape 1 - à remplir'!$M$31:$M$400,MASQ2!DI$43)/SUMIFS('Étape 1 - à remplir'!$F$19:$F$28,'Étape 1 - à remplir'!$E$19:$E$28,MASQ2!$DA53,'Étape 1 - à remplir'!$G$19:$G$28,"lots"),"")</f>
        <v/>
      </c>
      <c r="DJ53" s="197" t="str">
        <f>IFERROR(SUMIFS('Étape 1 - à remplir'!$F$31:$F$400,'Étape 1 - à remplir'!$C$31:$C$400,IF($DA53="Croissance","*Croissance*",IF($DA53="Veau","*Veau*",IF($DA53="Adulte","*Adulte*",IF($DA53="Agneau","*Agneau*",IF($DA53="Chevreau","*Chevreau*",IF($DA53="Démarrage","*Démarrage*",IF($DA53="Engraissement","*Engraissement*",IF($DA53="Porcelet","*Porcelet*",IF($DA53="Post_sevrage","*Post_sevrage*",IF($DA53="Poulain","*Poulain*",IF($DA53="Poussin","*Poussin*",""))))))))))),'Étape 1 - à remplir'!$G$31:$G$400,"lots",'Étape 1 - à remplir'!$M$31:$M$400,MASQ2!DJ$43)/SUMIFS('Étape 1 - à remplir'!$F$19:$F$28,'Étape 1 - à remplir'!$E$19:$E$28,MASQ2!$DA53,'Étape 1 - à remplir'!$G$19:$G$28,"lots"),"")</f>
        <v/>
      </c>
      <c r="DK53" s="197" t="str">
        <f>IFERROR(SUMIFS('Étape 1 - à remplir'!$F$31:$F$400,'Étape 1 - à remplir'!$C$31:$C$400,IF($DA53="Croissance","*Croissance*",IF($DA53="Veau","*Veau*",IF($DA53="Adulte","*Adulte*",IF($DA53="Agneau","*Agneau*",IF($DA53="Chevreau","*Chevreau*",IF($DA53="Démarrage","*Démarrage*",IF($DA53="Engraissement","*Engraissement*",IF($DA53="Porcelet","*Porcelet*",IF($DA53="Post_sevrage","*Post_sevrage*",IF($DA53="Poulain","*Poulain*",IF($DA53="Poussin","*Poussin*",""))))))))))),'Étape 1 - à remplir'!$G$31:$G$400,"lots",'Étape 1 - à remplir'!$M$31:$M$400,MASQ2!DK$43)/SUMIFS('Étape 1 - à remplir'!$F$19:$F$28,'Étape 1 - à remplir'!$E$19:$E$28,MASQ2!$DA53,'Étape 1 - à remplir'!$G$19:$G$28,"lots"),"")</f>
        <v/>
      </c>
      <c r="DL53" s="197" t="str">
        <f>IFERROR(SUMIFS('Étape 1 - à remplir'!$F$31:$F$400,'Étape 1 - à remplir'!$C$31:$C$400,IF($DA53="Croissance","*Croissance*",IF($DA53="Veau","*Veau*",IF($DA53="Adulte","*Adulte*",IF($DA53="Agneau","*Agneau*",IF($DA53="Chevreau","*Chevreau*",IF($DA53="Démarrage","*Démarrage*",IF($DA53="Engraissement","*Engraissement*",IF($DA53="Porcelet","*Porcelet*",IF($DA53="Post_sevrage","*Post_sevrage*",IF($DA53="Poulain","*Poulain*",IF($DA53="Poussin","*Poussin*",""))))))))))),'Étape 1 - à remplir'!$G$31:$G$400,"lots",'Étape 1 - à remplir'!$M$31:$M$400,MASQ2!DL$43)/SUMIFS('Étape 1 - à remplir'!$F$19:$F$28,'Étape 1 - à remplir'!$E$19:$E$28,MASQ2!$DA53,'Étape 1 - à remplir'!$G$19:$G$28,"lots"),"")</f>
        <v/>
      </c>
      <c r="DM53" s="198" t="str">
        <f>IFERROR(SUMIFS('Étape 1 - à remplir'!$F$31:$F$400,'Étape 1 - à remplir'!$C$31:$C$400,IF($DA53="Croissance","*Croissance*",IF($DA53="Veau","*Veau*",IF($DA53="Adulte","*Adulte*",IF($DA53="Agneau","*Agneau*",IF($DA53="Chevreau","*Chevreau*",IF($DA53="Démarrage","*Démarrage*",IF($DA53="Engraissement","*Engraissement*",IF($DA53="Porcelet","*Porcelet*",IF($DA53="Post_sevrage","*Post_sevrage*",IF($DA53="Poulain","*Poulain*",IF($DA53="Poussin","*Poussin*",""))))))))))),'Étape 1 - à remplir'!$G$31:$G$400,"lots",'Étape 1 - à remplir'!$M$31:$M$400,MASQ2!DM$43)/SUMIFS('Étape 1 - à remplir'!$F$19:$F$28,'Étape 1 - à remplir'!$E$19:$E$28,MASQ2!$DA53,'Étape 1 - à remplir'!$G$19:$G$28,"lots"),"")</f>
        <v/>
      </c>
      <c r="EA53" s="194" t="str">
        <f t="shared" ca="1" si="18"/>
        <v/>
      </c>
      <c r="EB53" s="226" t="str">
        <f>IFERROR(IF(ED53=0,"",COUNTIF(ED$4:ED$600,"&gt;"&amp;ED53)+COUNTIF(ED$4:ED53,ED53)),"")</f>
        <v/>
      </c>
      <c r="EC53" t="str">
        <f t="shared" si="19"/>
        <v>ARENTOR DC 250 MG SUSPENSION INTRAMAMMAIRE POUR VACHES TARIES</v>
      </c>
      <c r="ED53" t="e">
        <f>IF(IF(EL$2="Catégorie",IF(EL$3="Toutes",SUMIFS('Étape 1 - à remplir'!$F$31:$F$400,'Étape 1 - à remplir'!$E$31:$E$400,MASQ2!EC53,'Étape 1 - à remplir'!$G$31:$G$400,"kg"),SUMIFS('Étape 1 - à remplir'!$F$31:$F$400,'Étape 1 - à remplir'!$E$31:$E$400,MASQ2!EC53,'Étape 1 - à remplir'!$C$31:$C$400,EL$3)),IF(EL$2="Âge",IF(EL$3="Tous",SUMIFS('Étape 1 - à remplir'!$F$31:$F$400,'Étape 1 - à remplir'!$E$31:$E$400,MASQ2!EC53,'Étape 1 - à remplir'!$G$31:$G$400,"kg"),SUMIFS('Étape 1 - à remplir'!$F$31:$F$400,'Étape 1 - à remplir'!$E$31:$E$400,MASQ2!EC53,'Étape 1 - à remplir'!$P$31:$P$400,EL$3,'Étape 1 - à remplir'!$G$31:$G$400,"kg")),IF(EL$2="Atelier",IF(EL$3="Tous",SUMIFS('Étape 1 - à remplir'!$F$31:$F$400,'Étape 1 - à remplir'!$E$31:$E$400,MASQ2!EC53,'Étape 1 - à remplir'!$G$31:$G$400,"kg"),SUMIFS('Étape 1 - à remplir'!$F$31:$F$400,'Étape 1 - à remplir'!$E$31:$E$400,MASQ2!EC53,'Étape 1 - à remplir'!$O$31:$O$400,EL$3,'Étape 1 - à remplir'!$G$31:$G$400,"kg")),IF(EL$2="Espèce",IF(EL$3="Toutes",SUMIFS('Étape 1 - à remplir'!$F$31:$F$400,'Étape 1 - à remplir'!$E$31:$E$400,MASQ2!EC53,'Étape 1 - à remplir'!$G$31:$G$400,"kg"),SUMIFS('Étape 1 - à remplir'!$F$31:$F$400,'Étape 1 - à remplir'!$E$31:$E$400,MASQ2!EC53,'Étape 1 - à remplir'!$N$31:$N$400,EL$3,'Étape 1 - à remplir'!$G$31:$G$400,"kg"))))))=0,NA(),IF(EL$2="Catégorie",IF(EL$3="Toutes",SUMIFS('Étape 1 - à remplir'!$F$31:$F$400,'Étape 1 - à remplir'!$E$31:$E$400,MASQ2!EC53,'Étape 1 - à remplir'!$G$31:$G$400,"kg"),SUMIFS('Étape 1 - à remplir'!$F$31:$F$400,'Étape 1 - à remplir'!$E$31:$E$400,MASQ2!EC53,'Étape 1 - à remplir'!$C$31:$C$400,EL$3)),IF(EL$2="Âge",IF(EL$3="Tous",SUMIFS('Étape 1 - à remplir'!$F$31:$F$400,'Étape 1 - à remplir'!$E$31:$E$400,MASQ2!EC53,'Étape 1 - à remplir'!$G$31:$G$400,"kg"),SUMIFS('Étape 1 - à remplir'!$F$31:$F$400,'Étape 1 - à remplir'!$E$31:$E$400,MASQ2!EC53,'Étape 1 - à remplir'!$P$31:$P$400,EL$3,'Étape 1 - à remplir'!$G$31:$G$400,"kg")),IF(EL$2="Atelier",IF(EL$3="Tous",SUMIFS('Étape 1 - à remplir'!$F$31:$F$400,'Étape 1 - à remplir'!$E$31:$E$400,MASQ2!EC53,'Étape 1 - à remplir'!$G$31:$G$400,"kg"),SUMIFS('Étape 1 - à remplir'!$F$31:$F$400,'Étape 1 - à remplir'!$E$31:$E$400,MASQ2!EC53,'Étape 1 - à remplir'!$O$31:$O$400,EL$3,'Étape 1 - à remplir'!$G$31:$G$400,"kg")),IF(EL$2="Espèce",IF(EL$3="Toutes",SUMIFS('Étape 1 - à remplir'!$F$31:$F$400,'Étape 1 - à remplir'!$E$31:$E$400,MASQ2!EC53,'Étape 1 - à remplir'!$G$31:$G$400,"kg"),SUMIFS('Étape 1 - à remplir'!$F$31:$F$400,'Étape 1 - à remplir'!$E$31:$E$400,MASQ2!EC53,'Étape 1 - à remplir'!$N$31:$N$400,EL$3,'Étape 1 - à remplir'!$G$31:$G$400,"kg")))))))</f>
        <v>#N/A</v>
      </c>
      <c r="EE53" s="76">
        <f t="shared" si="53"/>
        <v>0</v>
      </c>
      <c r="EF53" t="str">
        <f t="shared" si="20"/>
        <v>Céfalonium</v>
      </c>
      <c r="EG53" t="str">
        <f t="shared" si="21"/>
        <v/>
      </c>
      <c r="EH53" t="str">
        <f t="shared" si="22"/>
        <v/>
      </c>
      <c r="EI53" t="str">
        <f t="shared" si="23"/>
        <v>Cephalosporines 1&amp;2G</v>
      </c>
      <c r="EJ53" t="str">
        <f t="shared" si="24"/>
        <v/>
      </c>
      <c r="EK53" s="63" t="str">
        <f t="shared" si="25"/>
        <v/>
      </c>
      <c r="EN53" s="42">
        <v>50</v>
      </c>
      <c r="EO53" t="e">
        <f t="shared" si="68"/>
        <v>#N/A</v>
      </c>
      <c r="EP53" s="63" t="e">
        <f t="shared" si="69"/>
        <v>#N/A</v>
      </c>
      <c r="ER53" s="194" t="str">
        <f t="shared" si="120"/>
        <v/>
      </c>
      <c r="ES53" s="226" t="str">
        <f>IFERROR(IF(EU53=0,"",COUNTIF(EU$4:EU$64,"&gt;"&amp;EU53)+COUNTIF(EU$4:EU53,EU53)),"")</f>
        <v/>
      </c>
      <c r="ET53" t="str">
        <f t="shared" si="121"/>
        <v>Sulfanilamide</v>
      </c>
      <c r="EU53" s="76" t="e">
        <f t="shared" si="56"/>
        <v>#N/A</v>
      </c>
      <c r="EV53">
        <v>50</v>
      </c>
      <c r="EW53" t="e">
        <f t="shared" si="57"/>
        <v>#N/A</v>
      </c>
      <c r="EX53" s="63" t="e">
        <f t="shared" si="58"/>
        <v>#N/A</v>
      </c>
      <c r="FH53" s="118" t="str">
        <f t="shared" si="124"/>
        <v/>
      </c>
      <c r="FI53" s="117" t="str">
        <f>IFERROR(SUMIFS('Étape 1 - à remplir'!$F$31:$F$400,'Étape 1 - à remplir'!$C$31:$C$400,IF($FH53="Croissance","*Croissance*",IF($FH53="Veau","*Veau*",IF($FH53="Adulte","*Adulte*",IF($FH53="Agneau","*Agneau*",IF($FH53="Chevreau","*Chevreau*",IF($FH53="Démarrage","*Démarrage*",IF($FH53="Engraissement","*Engraissement*",IF($FH53="Porcelet","*Porcelet*",IF($FH53="Post_sevrage","*Post_sevrage*",IF($FH53="Poulain","*Poulain*",IF($FH53="Poussin","*Poussin*",""))))))))))),'Étape 1 - à remplir'!$G$31:$G$400,"kg",'Étape 1 - à remplir'!$M$31:$M$400,MASQ2!FI$43)/SUMIFS('Étape 1 - à remplir'!$F$19:$F$28,'Étape 1 - à remplir'!$E$19:$E$28,MASQ2!$FH53,'Étape 1 - à remplir'!$G$19:$G$28,"kg"),"")</f>
        <v/>
      </c>
      <c r="FJ53" s="117" t="str">
        <f>IFERROR(SUMIFS('Étape 1 - à remplir'!$F$31:$F$400,'Étape 1 - à remplir'!$C$31:$C$400,IF($FH53="Croissance","*Croissance*",IF($FH53="Veau","*Veau*",IF($FH53="Adulte","*Adulte*",IF($FH53="Agneau","*Agneau*",IF($FH53="Chevreau","*Chevreau*",IF($FH53="Démarrage","*Démarrage*",IF($FH53="Engraissement","*Engraissement*",IF($FH53="Porcelet","*Porcelet*",IF($FH53="Post_sevrage","*Post_sevrage*",IF($FH53="Poulain","*Poulain*",IF($FH53="Poussin","*Poussin*",""))))))))))),'Étape 1 - à remplir'!$G$31:$G$400,"kg",'Étape 1 - à remplir'!$M$31:$M$400,MASQ2!FJ$43)/SUMIFS('Étape 1 - à remplir'!$F$19:$F$28,'Étape 1 - à remplir'!$E$19:$E$28,MASQ2!$FH53,'Étape 1 - à remplir'!$G$19:$G$28,"kg"),"")</f>
        <v/>
      </c>
      <c r="FK53" s="117" t="str">
        <f>IFERROR(SUMIFS('Étape 1 - à remplir'!$F$31:$F$400,'Étape 1 - à remplir'!$C$31:$C$400,IF($FH53="Croissance","*Croissance*",IF($FH53="Veau","*Veau*",IF($FH53="Adulte","*Adulte*",IF($FH53="Agneau","*Agneau*",IF($FH53="Chevreau","*Chevreau*",IF($FH53="Démarrage","*Démarrage*",IF($FH53="Engraissement","*Engraissement*",IF($FH53="Porcelet","*Porcelet*",IF($FH53="Post_sevrage","*Post_sevrage*",IF($FH53="Poulain","*Poulain*",IF($FH53="Poussin","*Poussin*",""))))))))))),'Étape 1 - à remplir'!$G$31:$G$400,"kg",'Étape 1 - à remplir'!$M$31:$M$400,MASQ2!FK$43)/SUMIFS('Étape 1 - à remplir'!$F$19:$F$28,'Étape 1 - à remplir'!$E$19:$E$28,MASQ2!$FH53,'Étape 1 - à remplir'!$G$19:$G$28,"kg"),"")</f>
        <v/>
      </c>
      <c r="FL53" s="117" t="str">
        <f>IFERROR(SUMIFS('Étape 1 - à remplir'!$F$31:$F$400,'Étape 1 - à remplir'!$C$31:$C$400,IF($FH53="Croissance","*Croissance*",IF($FH53="Veau","*Veau*",IF($FH53="Adulte","*Adulte*",IF($FH53="Agneau","*Agneau*",IF($FH53="Chevreau","*Chevreau*",IF($FH53="Démarrage","*Démarrage*",IF($FH53="Engraissement","*Engraissement*",IF($FH53="Porcelet","*Porcelet*",IF($FH53="Post_sevrage","*Post_sevrage*",IF($FH53="Poulain","*Poulain*",IF($FH53="Poussin","*Poussin*",""))))))))))),'Étape 1 - à remplir'!$G$31:$G$400,"kg",'Étape 1 - à remplir'!$M$31:$M$400,MASQ2!FL$43)/SUMIFS('Étape 1 - à remplir'!$F$19:$F$28,'Étape 1 - à remplir'!$E$19:$E$28,MASQ2!$FH53,'Étape 1 - à remplir'!$G$19:$G$28,"kg"),"")</f>
        <v/>
      </c>
      <c r="FM53" s="117" t="str">
        <f>IFERROR(SUMIFS('Étape 1 - à remplir'!$F$31:$F$400,'Étape 1 - à remplir'!$C$31:$C$400,IF($FH53="Croissance","*Croissance*",IF($FH53="Veau","*Veau*",IF($FH53="Adulte","*Adulte*",IF($FH53="Agneau","*Agneau*",IF($FH53="Chevreau","*Chevreau*",IF($FH53="Démarrage","*Démarrage*",IF($FH53="Engraissement","*Engraissement*",IF($FH53="Porcelet","*Porcelet*",IF($FH53="Post_sevrage","*Post_sevrage*",IF($FH53="Poulain","*Poulain*",IF($FH53="Poussin","*Poussin*",""))))))))))),'Étape 1 - à remplir'!$G$31:$G$400,"kg",'Étape 1 - à remplir'!$M$31:$M$400,MASQ2!FM$43)/SUMIFS('Étape 1 - à remplir'!$F$19:$F$28,'Étape 1 - à remplir'!$E$19:$E$28,MASQ2!$FH53,'Étape 1 - à remplir'!$G$19:$G$28,"kg"),"")</f>
        <v/>
      </c>
      <c r="FN53" s="117" t="str">
        <f>IFERROR(SUMIFS('Étape 1 - à remplir'!$F$31:$F$400,'Étape 1 - à remplir'!$C$31:$C$400,IF($FH53="Croissance","*Croissance*",IF($FH53="Veau","*Veau*",IF($FH53="Adulte","*Adulte*",IF($FH53="Agneau","*Agneau*",IF($FH53="Chevreau","*Chevreau*",IF($FH53="Démarrage","*Démarrage*",IF($FH53="Engraissement","*Engraissement*",IF($FH53="Porcelet","*Porcelet*",IF($FH53="Post_sevrage","*Post_sevrage*",IF($FH53="Poulain","*Poulain*",IF($FH53="Poussin","*Poussin*",""))))))))))),'Étape 1 - à remplir'!$G$31:$G$400,"kg",'Étape 1 - à remplir'!$M$31:$M$400,MASQ2!FN$43)/SUMIFS('Étape 1 - à remplir'!$F$19:$F$28,'Étape 1 - à remplir'!$E$19:$E$28,MASQ2!$FH53,'Étape 1 - à remplir'!$G$19:$G$28,"kg"),"")</f>
        <v/>
      </c>
      <c r="FO53" s="117" t="str">
        <f>IFERROR(SUMIFS('Étape 1 - à remplir'!$F$31:$F$400,'Étape 1 - à remplir'!$C$31:$C$400,IF($FH53="Croissance","*Croissance*",IF($FH53="Veau","*Veau*",IF($FH53="Adulte","*Adulte*",IF($FH53="Agneau","*Agneau*",IF($FH53="Chevreau","*Chevreau*",IF($FH53="Démarrage","*Démarrage*",IF($FH53="Engraissement","*Engraissement*",IF($FH53="Porcelet","*Porcelet*",IF($FH53="Post_sevrage","*Post_sevrage*",IF($FH53="Poulain","*Poulain*",IF($FH53="Poussin","*Poussin*",""))))))))))),'Étape 1 - à remplir'!$G$31:$G$400,"kg",'Étape 1 - à remplir'!$M$31:$M$400,MASQ2!FO$43)/SUMIFS('Étape 1 - à remplir'!$F$19:$F$28,'Étape 1 - à remplir'!$E$19:$E$28,MASQ2!$FH53,'Étape 1 - à remplir'!$G$19:$G$28,"kg"),"")</f>
        <v/>
      </c>
      <c r="FP53" s="117" t="str">
        <f>IFERROR(SUMIFS('Étape 1 - à remplir'!$F$31:$F$400,'Étape 1 - à remplir'!$C$31:$C$400,IF($FH53="Croissance","*Croissance*",IF($FH53="Veau","*Veau*",IF($FH53="Adulte","*Adulte*",IF($FH53="Agneau","*Agneau*",IF($FH53="Chevreau","*Chevreau*",IF($FH53="Démarrage","*Démarrage*",IF($FH53="Engraissement","*Engraissement*",IF($FH53="Porcelet","*Porcelet*",IF($FH53="Post_sevrage","*Post_sevrage*",IF($FH53="Poulain","*Poulain*",IF($FH53="Poussin","*Poussin*",""))))))))))),'Étape 1 - à remplir'!$G$31:$G$400,"kg",'Étape 1 - à remplir'!$M$31:$M$400,MASQ2!FP$43)/SUMIFS('Étape 1 - à remplir'!$F$19:$F$28,'Étape 1 - à remplir'!$E$19:$E$28,MASQ2!$FH53,'Étape 1 - à remplir'!$G$19:$G$28,"kg"),"")</f>
        <v/>
      </c>
      <c r="FQ53" s="117" t="str">
        <f>IFERROR(SUMIFS('Étape 1 - à remplir'!$F$31:$F$400,'Étape 1 - à remplir'!$C$31:$C$400,IF($FH53="Croissance","*Croissance*",IF($FH53="Veau","*Veau*",IF($FH53="Adulte","*Adulte*",IF($FH53="Agneau","*Agneau*",IF($FH53="Chevreau","*Chevreau*",IF($FH53="Démarrage","*Démarrage*",IF($FH53="Engraissement","*Engraissement*",IF($FH53="Porcelet","*Porcelet*",IF($FH53="Post_sevrage","*Post_sevrage*",IF($FH53="Poulain","*Poulain*",IF($FH53="Poussin","*Poussin*",""))))))))))),'Étape 1 - à remplir'!$G$31:$G$400,"kg",'Étape 1 - à remplir'!$M$31:$M$400,MASQ2!FQ$43)/SUMIFS('Étape 1 - à remplir'!$F$19:$F$28,'Étape 1 - à remplir'!$E$19:$E$28,MASQ2!$FH53,'Étape 1 - à remplir'!$G$19:$G$28,"kg"),"")</f>
        <v/>
      </c>
      <c r="FR53" s="117" t="str">
        <f>IFERROR(SUMIFS('Étape 1 - à remplir'!$F$31:$F$400,'Étape 1 - à remplir'!$C$31:$C$400,IF($FH53="Croissance","*Croissance*",IF($FH53="Veau","*Veau*",IF($FH53="Adulte","*Adulte*",IF($FH53="Agneau","*Agneau*",IF($FH53="Chevreau","*Chevreau*",IF($FH53="Démarrage","*Démarrage*",IF($FH53="Engraissement","*Engraissement*",IF($FH53="Porcelet","*Porcelet*",IF($FH53="Post_sevrage","*Post_sevrage*",IF($FH53="Poulain","*Poulain*",IF($FH53="Poussin","*Poussin*",""))))))))))),'Étape 1 - à remplir'!$G$31:$G$400,"kg",'Étape 1 - à remplir'!$M$31:$M$400,MASQ2!FR$43)/SUMIFS('Étape 1 - à remplir'!$F$19:$F$28,'Étape 1 - à remplir'!$E$19:$E$28,MASQ2!$FH53,'Étape 1 - à remplir'!$G$19:$G$28,"kg"),"")</f>
        <v/>
      </c>
      <c r="FS53" s="117" t="str">
        <f>IFERROR(SUMIFS('Étape 1 - à remplir'!$F$31:$F$400,'Étape 1 - à remplir'!$C$31:$C$400,IF($FH53="Croissance","*Croissance*",IF($FH53="Veau","*Veau*",IF($FH53="Adulte","*Adulte*",IF($FH53="Agneau","*Agneau*",IF($FH53="Chevreau","*Chevreau*",IF($FH53="Démarrage","*Démarrage*",IF($FH53="Engraissement","*Engraissement*",IF($FH53="Porcelet","*Porcelet*",IF($FH53="Post_sevrage","*Post_sevrage*",IF($FH53="Poulain","*Poulain*",IF($FH53="Poussin","*Poussin*",""))))))))))),'Étape 1 - à remplir'!$G$31:$G$400,"kg",'Étape 1 - à remplir'!$M$31:$M$400,MASQ2!FS$43)/SUMIFS('Étape 1 - à remplir'!$F$19:$F$28,'Étape 1 - à remplir'!$E$19:$E$28,MASQ2!$FH53,'Étape 1 - à remplir'!$G$19:$G$28,"kg"),"")</f>
        <v/>
      </c>
      <c r="FT53" s="117" t="str">
        <f>IFERROR(SUMIFS('Étape 1 - à remplir'!$F$31:$F$400,'Étape 1 - à remplir'!$C$31:$C$400,IF($FH53="Croissance","*Croissance*",IF($FH53="Veau","*Veau*",IF($FH53="Adulte","*Adulte*",IF($FH53="Agneau","*Agneau*",IF($FH53="Chevreau","*Chevreau*",IF($FH53="Démarrage","*Démarrage*",IF($FH53="Engraissement","*Engraissement*",IF($FH53="Porcelet","*Porcelet*",IF($FH53="Post_sevrage","*Post_sevrage*",IF($FH53="Poulain","*Poulain*",IF($FH53="Poussin","*Poussin*",""))))))))))),'Étape 1 - à remplir'!$G$31:$G$400,"kg",'Étape 1 - à remplir'!$M$31:$M$400,MASQ2!FT$43)/SUMIFS('Étape 1 - à remplir'!$F$19:$F$28,'Étape 1 - à remplir'!$E$19:$E$28,MASQ2!$FH53,'Étape 1 - à remplir'!$G$19:$G$28,"kg"),"")</f>
        <v/>
      </c>
    </row>
    <row r="54" spans="2:176" x14ac:dyDescent="0.3">
      <c r="B54" s="42"/>
      <c r="M54" s="194" t="str">
        <f ca="1">INDEX(Données_ATB!BD:BU,MATCH(MASQ2!O54,Données_ATB!BD:BD,0),18)</f>
        <v/>
      </c>
      <c r="N54" s="14" t="str">
        <f>IFERROR(IF(Q54=0,"",COUNTIF(Q$4:Q$600,"&gt;"&amp;Q54)+COUNTIF(Q$4:Q54,Q54)),"")</f>
        <v/>
      </c>
      <c r="O54" t="str">
        <f>Données_ATB!BD53</f>
        <v>AUREOMYCINE MERIAL</v>
      </c>
      <c r="P54" t="e">
        <f>IF(IF(X$2="Catégorie",IF(X$3="Toutes",SUMIFS('Étape 1 - à remplir'!$F$31:$F$400,'Étape 1 - à remplir'!$E$31:$E$400,MASQ2!O54,'Étape 1 - à remplir'!$G$31:$G$400,"animaux"),SUMIFS('Étape 1 - à remplir'!$F$31:$F$400,'Étape 1 - à remplir'!$E$31:$E$400,MASQ2!O54,'Étape 1 - à remplir'!$C$31:$C$400,X$3)),IF(X$2="Âge",IF(X$3="Tous",SUMIFS('Étape 1 - à remplir'!$F$31:$F$400,'Étape 1 - à remplir'!$E$31:$E$400,MASQ2!O54,'Étape 1 - à remplir'!$G$31:$G$400,"animaux"),SUMIFS('Étape 1 - à remplir'!$F$31:$F$400,'Étape 1 - à remplir'!$E$31:$E$400,MASQ2!O54,'Étape 1 - à remplir'!$P$31:$P$400,X$3)),IF(X$2="Atelier",IF(X$3="Tous",SUMIFS('Étape 1 - à remplir'!$F$31:$F$400,'Étape 1 - à remplir'!$E$31:$E$400,MASQ2!O54,'Étape 1 - à remplir'!$G$31:$G$400,"animaux"),SUMIFS('Étape 1 - à remplir'!$F$31:$F$400,'Étape 1 - à remplir'!$E$31:$E$400,MASQ2!O54,'Étape 1 - à remplir'!$O$31:$O$400,X$3)),IF(X$2="Espèce",IF(X$3="Toutes",SUMIFS('Étape 1 - à remplir'!$F$31:$F$400,'Étape 1 - à remplir'!$E$31:$E$400,MASQ2!O54,'Étape 1 - à remplir'!$G$31:$G$400,"animaux"),SUMIFS('Étape 1 - à remplir'!$F$31:$F$400,'Étape 1 - à remplir'!$E$31:$E$400,MASQ2!O54,'Étape 1 - à remplir'!$N$31:$N$400,X$3))))))=0,NA(),IF(X$2="Catégorie",IF(X$3="Toutes",SUMIFS('Étape 1 - à remplir'!$F$31:$F$400,'Étape 1 - à remplir'!$E$31:$E$400,MASQ2!O54,'Étape 1 - à remplir'!$G$31:$G$400,"animaux"),SUMIFS('Étape 1 - à remplir'!$F$31:$F$400,'Étape 1 - à remplir'!$E$31:$E$400,MASQ2!O54,'Étape 1 - à remplir'!$C$31:$C$400,X$3)),IF(X$2="Âge",IF(X$3="Tous",SUMIFS('Étape 1 - à remplir'!$F$31:$F$400,'Étape 1 - à remplir'!$E$31:$E$400,MASQ2!O54,'Étape 1 - à remplir'!$G$31:$G$400,"animaux"),SUMIFS('Étape 1 - à remplir'!$F$31:$F$400,'Étape 1 - à remplir'!$E$31:$E$400,MASQ2!O54,'Étape 1 - à remplir'!$P$31:$P$400,X$3)),IF(X$2="Atelier",IF(X$3="Tous",SUMIFS('Étape 1 - à remplir'!$F$31:$F$400,'Étape 1 - à remplir'!$E$31:$E$400,MASQ2!O54,'Étape 1 - à remplir'!$G$31:$G$400,"animaux"),SUMIFS('Étape 1 - à remplir'!$F$31:$F$400,'Étape 1 - à remplir'!$E$31:$E$400,MASQ2!O54,'Étape 1 - à remplir'!$O$31:$O$400,X$3)),IF(X$2="Espèce",IF(X$3="Toutes",SUMIFS('Étape 1 - à remplir'!$F$31:$F$400,'Étape 1 - à remplir'!$E$31:$E$400,MASQ2!O54,'Étape 1 - à remplir'!$G$31:$G$400,"animaux"),SUMIFS('Étape 1 - à remplir'!$F$31:$F$400,'Étape 1 - à remplir'!$E$31:$E$400,MASQ2!O54,'Étape 1 - à remplir'!$N$31:$N$400,X$3)))))))</f>
        <v>#N/A</v>
      </c>
      <c r="Q54" s="63">
        <f t="shared" si="62"/>
        <v>0</v>
      </c>
      <c r="R54" t="str">
        <f>Données_ATB!BM53</f>
        <v>Chlortétracycline</v>
      </c>
      <c r="S54" t="str">
        <f>Données_ATB!BN53</f>
        <v/>
      </c>
      <c r="T54" s="63" t="str">
        <f>Données_ATB!BO53</f>
        <v/>
      </c>
      <c r="U54" s="42" t="str">
        <f>Données_ATB!BQ53</f>
        <v>Tetracyclines</v>
      </c>
      <c r="V54" t="str">
        <f>Données_ATB!BR53</f>
        <v/>
      </c>
      <c r="W54" s="63" t="str">
        <f>Données_ATB!BS53</f>
        <v/>
      </c>
      <c r="Z54" s="42">
        <v>51</v>
      </c>
      <c r="AA54" t="e">
        <f t="shared" si="32"/>
        <v>#N/A</v>
      </c>
      <c r="AB54" s="63" t="e">
        <f t="shared" si="33"/>
        <v>#N/A</v>
      </c>
      <c r="AD54" s="194" t="str">
        <f>IF(AF54="Colistine","x",IF(INDEX(Données_ATB!CA$3:CB$63,MATCH(AF54,Données_ATB!CA$3:CA$63,0),2)="Fluoroquinolones","x",IF(INDEX(Données_ATB!CA$3:CB$63,MATCH(AF54,Données_ATB!CA$3:CA$63,0),2)="Cephalosporines 3&amp;4G","x","")))</f>
        <v/>
      </c>
      <c r="AE54" s="219" t="str">
        <f>IFERROR(IF(AG54=0,"",COUNTIF(AG$4:AG$64,"&gt;"&amp;AG54)+COUNTIF(AG$4:AG54,AG54)),"")</f>
        <v/>
      </c>
      <c r="AF54" s="42" t="str">
        <f>Données_ATB!CA53</f>
        <v>Sulfaquinoxaline</v>
      </c>
      <c r="AG54" s="63" t="e">
        <f t="shared" si="34"/>
        <v>#N/A</v>
      </c>
      <c r="AH54" s="42">
        <v>51</v>
      </c>
      <c r="AI54" t="e">
        <f t="shared" si="35"/>
        <v>#N/A</v>
      </c>
      <c r="AJ54" s="63" t="e">
        <f t="shared" si="36"/>
        <v>#N/A</v>
      </c>
      <c r="AT54" s="108" t="str">
        <f>AW32</f>
        <v/>
      </c>
      <c r="AU54" s="116" t="str">
        <f>IFERROR(SUMIFS('Étape 1 - à remplir'!$F$31:$F$400,'Étape 1 - à remplir'!$C$31:$C$400,IF($AT54="Lait","*Lait*",IF($AT54="Viande","*Viande*",IF($AT54="Reproduction","*Reproduction*",IF($AT54="Autre","*Autre*",IF($AT54="Loisir","*Loisir*",IF($AT54="Œufs","*Œufs*","")))))),'Étape 1 - à remplir'!$G$31:$G$400,"animaux",'Étape 1 - à remplir'!$M$31:$M$400,MASQ2!AU$43)/SUMIFS('Étape 1 - à remplir'!$F$19:$F$28,'Étape 1 - à remplir'!$D$19:$D$28,MASQ2!$AT54,'Étape 1 - à remplir'!$G$19:$G$28,"animaux"),"")</f>
        <v/>
      </c>
      <c r="AV54" s="116" t="str">
        <f>IFERROR(SUMIFS('Étape 1 - à remplir'!$F$31:$F$400,'Étape 1 - à remplir'!$C$31:$C$400,IF($AT54="Lait","*Lait*",IF($AT54="Viande","*Viande*",IF($AT54="Reproduction","*Reproduction*",IF($AT54="Autre","*Autre*",IF($AT54="Loisir","*Loisir*",IF($AT54="Œufs","*Œufs*","")))))),'Étape 1 - à remplir'!$G$31:$G$400,"animaux",'Étape 1 - à remplir'!$M$31:$M$400,MASQ2!AV$43)/SUMIFS('Étape 1 - à remplir'!$F$19:$F$28,'Étape 1 - à remplir'!$D$19:$D$28,MASQ2!$AT54,'Étape 1 - à remplir'!$G$19:$G$28,"animaux"),"")</f>
        <v/>
      </c>
      <c r="AW54" s="116" t="str">
        <f>IFERROR(SUMIFS('Étape 1 - à remplir'!$F$31:$F$400,'Étape 1 - à remplir'!$C$31:$C$400,IF($AT54="Lait","*Lait*",IF($AT54="Viande","*Viande*",IF($AT54="Reproduction","*Reproduction*",IF($AT54="Autre","*Autre*",IF($AT54="Loisir","*Loisir*",IF($AT54="Œufs","*Œufs*","")))))),'Étape 1 - à remplir'!$G$31:$G$400,"animaux",'Étape 1 - à remplir'!$M$31:$M$400,MASQ2!AW$43)/SUMIFS('Étape 1 - à remplir'!$F$19:$F$28,'Étape 1 - à remplir'!$D$19:$D$28,MASQ2!$AT54,'Étape 1 - à remplir'!$G$19:$G$28,"animaux"),"")</f>
        <v/>
      </c>
      <c r="AX54" s="116" t="str">
        <f>IFERROR(SUMIFS('Étape 1 - à remplir'!$F$31:$F$400,'Étape 1 - à remplir'!$C$31:$C$400,IF($AT54="Lait","*Lait*",IF($AT54="Viande","*Viande*",IF($AT54="Reproduction","*Reproduction*",IF($AT54="Autre","*Autre*",IF($AT54="Loisir","*Loisir*",IF($AT54="Œufs","*Œufs*","")))))),'Étape 1 - à remplir'!$G$31:$G$400,"animaux",'Étape 1 - à remplir'!$M$31:$M$400,MASQ2!AX$43)/SUMIFS('Étape 1 - à remplir'!$F$19:$F$28,'Étape 1 - à remplir'!$D$19:$D$28,MASQ2!$AT54,'Étape 1 - à remplir'!$G$19:$G$28,"animaux"),"")</f>
        <v/>
      </c>
      <c r="AY54" s="116" t="str">
        <f>IFERROR(SUMIFS('Étape 1 - à remplir'!$F$31:$F$400,'Étape 1 - à remplir'!$C$31:$C$400,IF($AT54="Lait","*Lait*",IF($AT54="Viande","*Viande*",IF($AT54="Reproduction","*Reproduction*",IF($AT54="Autre","*Autre*",IF($AT54="Loisir","*Loisir*",IF($AT54="Œufs","*Œufs*","")))))),'Étape 1 - à remplir'!$G$31:$G$400,"animaux",'Étape 1 - à remplir'!$M$31:$M$400,MASQ2!AY$43)/SUMIFS('Étape 1 - à remplir'!$F$19:$F$28,'Étape 1 - à remplir'!$D$19:$D$28,MASQ2!$AT54,'Étape 1 - à remplir'!$G$19:$G$28,"animaux"),"")</f>
        <v/>
      </c>
      <c r="AZ54" s="116" t="str">
        <f>IFERROR(SUMIFS('Étape 1 - à remplir'!$F$31:$F$400,'Étape 1 - à remplir'!$C$31:$C$400,IF($AT54="Lait","*Lait*",IF($AT54="Viande","*Viande*",IF($AT54="Reproduction","*Reproduction*",IF($AT54="Autre","*Autre*",IF($AT54="Loisir","*Loisir*",IF($AT54="Œufs","*Œufs*","")))))),'Étape 1 - à remplir'!$G$31:$G$400,"animaux",'Étape 1 - à remplir'!$M$31:$M$400,MASQ2!AZ$43)/SUMIFS('Étape 1 - à remplir'!$F$19:$F$28,'Étape 1 - à remplir'!$D$19:$D$28,MASQ2!$AT54,'Étape 1 - à remplir'!$G$19:$G$28,"animaux"),"")</f>
        <v/>
      </c>
      <c r="BA54" s="116" t="str">
        <f>IFERROR(SUMIFS('Étape 1 - à remplir'!$F$31:$F$400,'Étape 1 - à remplir'!$C$31:$C$400,IF($AT54="Lait","*Lait*",IF($AT54="Viande","*Viande*",IF($AT54="Reproduction","*Reproduction*",IF($AT54="Autre","*Autre*",IF($AT54="Loisir","*Loisir*",IF($AT54="Œufs","*Œufs*","")))))),'Étape 1 - à remplir'!$G$31:$G$400,"animaux",'Étape 1 - à remplir'!$M$31:$M$400,MASQ2!BA$43)/SUMIFS('Étape 1 - à remplir'!$F$19:$F$28,'Étape 1 - à remplir'!$D$19:$D$28,MASQ2!$AT54,'Étape 1 - à remplir'!$G$19:$G$28,"animaux"),"")</f>
        <v/>
      </c>
      <c r="BB54" s="116" t="str">
        <f>IFERROR(SUMIFS('Étape 1 - à remplir'!$F$31:$F$400,'Étape 1 - à remplir'!$C$31:$C$400,IF($AT54="Lait","*Lait*",IF($AT54="Viande","*Viande*",IF($AT54="Reproduction","*Reproduction*",IF($AT54="Autre","*Autre*",IF($AT54="Loisir","*Loisir*",IF($AT54="Œufs","*Œufs*","")))))),'Étape 1 - à remplir'!$G$31:$G$400,"animaux",'Étape 1 - à remplir'!$M$31:$M$400,MASQ2!BB$43)/SUMIFS('Étape 1 - à remplir'!$F$19:$F$28,'Étape 1 - à remplir'!$D$19:$D$28,MASQ2!$AT54,'Étape 1 - à remplir'!$G$19:$G$28,"animaux"),"")</f>
        <v/>
      </c>
      <c r="BC54" s="116" t="str">
        <f>IFERROR(SUMIFS('Étape 1 - à remplir'!$F$31:$F$400,'Étape 1 - à remplir'!$C$31:$C$400,IF($AT54="Lait","*Lait*",IF($AT54="Viande","*Viande*",IF($AT54="Reproduction","*Reproduction*",IF($AT54="Autre","*Autre*",IF($AT54="Loisir","*Loisir*",IF($AT54="Œufs","*Œufs*","")))))),'Étape 1 - à remplir'!$G$31:$G$400,"animaux",'Étape 1 - à remplir'!$M$31:$M$400,MASQ2!BC$43)/SUMIFS('Étape 1 - à remplir'!$F$19:$F$28,'Étape 1 - à remplir'!$D$19:$D$28,MASQ2!$AT54,'Étape 1 - à remplir'!$G$19:$G$28,"animaux"),"")</f>
        <v/>
      </c>
      <c r="BD54" s="116" t="str">
        <f>IFERROR(SUMIFS('Étape 1 - à remplir'!$F$31:$F$400,'Étape 1 - à remplir'!$C$31:$C$400,IF($AT54="Lait","*Lait*",IF($AT54="Viande","*Viande*",IF($AT54="Reproduction","*Reproduction*",IF($AT54="Autre","*Autre*",IF($AT54="Loisir","*Loisir*",IF($AT54="Œufs","*Œufs*","")))))),'Étape 1 - à remplir'!$G$31:$G$400,"animaux",'Étape 1 - à remplir'!$M$31:$M$400,MASQ2!BD$43)/SUMIFS('Étape 1 - à remplir'!$F$19:$F$28,'Étape 1 - à remplir'!$D$19:$D$28,MASQ2!$AT54,'Étape 1 - à remplir'!$G$19:$G$28,"animaux"),"")</f>
        <v/>
      </c>
      <c r="BE54" s="116" t="str">
        <f>IFERROR(SUMIFS('Étape 1 - à remplir'!$F$31:$F$400,'Étape 1 - à remplir'!$C$31:$C$400,IF($AT54="Lait","*Lait*",IF($AT54="Viande","*Viande*",IF($AT54="Reproduction","*Reproduction*",IF($AT54="Autre","*Autre*",IF($AT54="Loisir","*Loisir*",IF($AT54="Œufs","*Œufs*","")))))),'Étape 1 - à remplir'!$G$31:$G$400,"animaux",'Étape 1 - à remplir'!$M$31:$M$400,MASQ2!BE$43)/SUMIFS('Étape 1 - à remplir'!$F$19:$F$28,'Étape 1 - à remplir'!$D$19:$D$28,MASQ2!$AT54,'Étape 1 - à remplir'!$G$19:$G$28,"animaux"),"")</f>
        <v/>
      </c>
      <c r="BF54" s="114" t="str">
        <f>IFERROR(SUMIFS('Étape 1 - à remplir'!$F$31:$F$400,'Étape 1 - à remplir'!$C$31:$C$400,IF($AT54="Lait","*Lait*",IF($AT54="Viande","*Viande*",IF($AT54="Reproduction","*Reproduction*",IF($AT54="Autre","*Autre*",IF($AT54="Loisir","*Loisir*",IF($AT54="Œufs","*Œufs*","")))))),'Étape 1 - à remplir'!$G$31:$G$400,"animaux",'Étape 1 - à remplir'!$M$31:$M$400,MASQ2!BF$43)/SUMIFS('Étape 1 - à remplir'!$F$19:$F$28,'Étape 1 - à remplir'!$D$19:$D$28,MASQ2!$AT54,'Étape 1 - à remplir'!$G$19:$G$28,"animaux"),"")</f>
        <v/>
      </c>
      <c r="BT54" s="194" t="str">
        <f t="shared" ca="1" si="5"/>
        <v/>
      </c>
      <c r="BU54" s="219" t="str">
        <f>IFERROR(IF(BX54=0,"",COUNTIF(BX$4:BX$600,"&gt;"&amp;BX54)+COUNTIF(BX$4:BX54,BX54)),"")</f>
        <v/>
      </c>
      <c r="BV54" s="42" t="str">
        <f t="shared" si="6"/>
        <v>AUREOMYCINE MERIAL</v>
      </c>
      <c r="BW54" t="e">
        <f>IF(IF(CE$2="Catégorie",IF(CE$3="Toutes",SUMIFS('Étape 1 - à remplir'!$F$31:$F$400,'Étape 1 - à remplir'!$E$31:$E$400,MASQ2!BV54,'Étape 1 - à remplir'!$G$31:$G$400,"lots"),SUMIFS('Étape 1 - à remplir'!$F$31:$F$400,'Étape 1 - à remplir'!$E$31:$E$400,MASQ2!BV54,'Étape 1 - à remplir'!$C$31:$C$400,CE$3)),IF(CE$2="Âge",IF(CE$3="Tous",SUMIFS('Étape 1 - à remplir'!$F$31:$F$400,'Étape 1 - à remplir'!$E$31:$E$400,MASQ2!BV54,'Étape 1 - à remplir'!$G$31:$G$400,"lots"),SUMIFS('Étape 1 - à remplir'!$F$31:$F$400,'Étape 1 - à remplir'!$E$31:$E$400,MASQ2!BV54,'Étape 1 - à remplir'!$P$31:$P$400,CE$3,'Étape 1 - à remplir'!$G$31:$G$400,"lots")),IF(CE$2="Atelier",IF(CE$3="Tous",SUMIFS('Étape 1 - à remplir'!$F$31:$F$400,'Étape 1 - à remplir'!$E$31:$E$400,MASQ2!BV54,'Étape 1 - à remplir'!$G$31:$G$400,"lots"),SUMIFS('Étape 1 - à remplir'!$F$31:$F$400,'Étape 1 - à remplir'!$E$31:$E$400,MASQ2!BV54,'Étape 1 - à remplir'!$O$31:$O$400,CE$3,'Étape 1 - à remplir'!$G$31:$G$400,"lots")),IF(CE$2="Espèce",IF(CE$3="Toutes",SUMIFS('Étape 1 - à remplir'!$F$31:$F$400,'Étape 1 - à remplir'!$E$31:$E$400,MASQ2!BV54,'Étape 1 - à remplir'!$G$31:$G$400,"lots"),SUMIFS('Étape 1 - à remplir'!$F$31:$F$400,'Étape 1 - à remplir'!$E$31:$E$400,MASQ2!BV54,'Étape 1 - à remplir'!$N$31:$N$400,CE$3,'Étape 1 - à remplir'!$G$31:$G$400,"lots"))))))=0,NA(),IF(CE$2="Catégorie",IF(CE$3="Toutes",SUMIFS('Étape 1 - à remplir'!$F$31:$F$400,'Étape 1 - à remplir'!$E$31:$E$400,MASQ2!BV54,'Étape 1 - à remplir'!$G$31:$G$400,"lots"),SUMIFS('Étape 1 - à remplir'!$F$31:$F$400,'Étape 1 - à remplir'!$E$31:$E$400,MASQ2!BV54,'Étape 1 - à remplir'!$C$31:$C$400,CE$3)),IF(CE$2="Âge",IF(CE$3="Tous",SUMIFS('Étape 1 - à remplir'!$F$31:$F$400,'Étape 1 - à remplir'!$E$31:$E$400,MASQ2!BV54,'Étape 1 - à remplir'!$G$31:$G$400,"lots"),SUMIFS('Étape 1 - à remplir'!$F$31:$F$400,'Étape 1 - à remplir'!$E$31:$E$400,MASQ2!BV54,'Étape 1 - à remplir'!$P$31:$P$400,CE$3,'Étape 1 - à remplir'!$G$31:$G$400,"lots")),IF(CE$2="Atelier",IF(CE$3="Tous",SUMIFS('Étape 1 - à remplir'!$F$31:$F$400,'Étape 1 - à remplir'!$E$31:$E$400,MASQ2!BV54,'Étape 1 - à remplir'!$G$31:$G$400,"lots"),SUMIFS('Étape 1 - à remplir'!$F$31:$F$400,'Étape 1 - à remplir'!$E$31:$E$400,MASQ2!BV54,'Étape 1 - à remplir'!$O$31:$O$400,CE$3,'Étape 1 - à remplir'!$G$31:$G$400,"lots")),IF(CE$2="Espèce",IF(CE$3="Toutes",SUMIFS('Étape 1 - à remplir'!$F$31:$F$400,'Étape 1 - à remplir'!$E$31:$E$400,MASQ2!BV54,'Étape 1 - à remplir'!$G$31:$G$400,"lots"),SUMIFS('Étape 1 - à remplir'!$F$31:$F$400,'Étape 1 - à remplir'!$E$31:$E$400,MASQ2!BV54,'Étape 1 - à remplir'!$N$31:$N$400,CE$3,'Étape 1 - à remplir'!$G$31:$G$400,"lots")))))))</f>
        <v>#N/A</v>
      </c>
      <c r="BX54">
        <f t="shared" si="42"/>
        <v>0</v>
      </c>
      <c r="BY54" t="str">
        <f t="shared" si="7"/>
        <v>Chlortétracycline</v>
      </c>
      <c r="BZ54" t="str">
        <f t="shared" si="8"/>
        <v/>
      </c>
      <c r="CA54" t="str">
        <f t="shared" si="9"/>
        <v/>
      </c>
      <c r="CB54" t="str">
        <f t="shared" si="10"/>
        <v>Tetracyclines</v>
      </c>
      <c r="CC54" t="str">
        <f t="shared" si="11"/>
        <v/>
      </c>
      <c r="CD54" s="63" t="str">
        <f t="shared" si="12"/>
        <v/>
      </c>
      <c r="CG54" s="42">
        <v>51</v>
      </c>
      <c r="CH54" s="42" t="e">
        <f t="shared" si="80"/>
        <v>#N/A</v>
      </c>
      <c r="CI54" s="63" t="e">
        <f t="shared" si="81"/>
        <v>#N/A</v>
      </c>
      <c r="CK54" s="194" t="str">
        <f t="shared" si="118"/>
        <v/>
      </c>
      <c r="CL54" s="226" t="str">
        <f>IFERROR(IF(CN54=0,"",COUNTIF(CN$4:CN$64,"&gt;"&amp;CN54)+COUNTIF(CN$4:CN54,CN54)),"")</f>
        <v/>
      </c>
      <c r="CM54" t="str">
        <f t="shared" si="119"/>
        <v>Sulfaquinoxaline</v>
      </c>
      <c r="CN54" s="76" t="e">
        <f t="shared" si="45"/>
        <v>#N/A</v>
      </c>
      <c r="CO54">
        <v>51</v>
      </c>
      <c r="CP54" t="e">
        <f t="shared" si="46"/>
        <v>#N/A</v>
      </c>
      <c r="CQ54" s="63" t="e">
        <f t="shared" si="47"/>
        <v>#N/A</v>
      </c>
      <c r="DA54" s="108" t="str">
        <f>DD32</f>
        <v/>
      </c>
      <c r="DB54" s="118" t="str">
        <f>IFERROR(SUMIFS('Étape 1 - à remplir'!$F$31:$F$400,'Étape 1 - à remplir'!$C$31:$C$400,IF($DA54="Lait","*Lait*",IF($DA54="Viande","*Viande*",IF($DA54="Reproduction","*Reproduction*",IF($DA54="Autre","*Autre*",IF($DA54="Loisir","*Loisir*",IF($DA54="Œufs","*Œufs*","")))))),'Étape 1 - à remplir'!$G$31:$G$400,"lots",'Étape 1 - à remplir'!$M$31:$M$400,MASQ2!DB$43)/SUMIFS('Étape 1 - à remplir'!$F$19:$F$28,'Étape 1 - à remplir'!$D$19:$D$28,MASQ2!$DA54,'Étape 1 - à remplir'!$G$19:$G$28,"lots"),"")</f>
        <v/>
      </c>
      <c r="DC54" t="str">
        <f>IFERROR(SUMIFS('Étape 1 - à remplir'!$F$31:$F$400,'Étape 1 - à remplir'!$C$31:$C$400,IF($DA54="Lait","*Lait*",IF($DA54="Viande","*Viande*",IF($DA54="Reproduction","*Reproduction*",IF($DA54="Autre","*Autre*",IF($DA54="Loisir","*Loisir*",IF($DA54="Œufs","*Œufs*","")))))),'Étape 1 - à remplir'!$G$31:$G$400,"lots",'Étape 1 - à remplir'!$M$31:$M$400,MASQ2!DC$43)/SUMIFS('Étape 1 - à remplir'!$F$19:$F$28,'Étape 1 - à remplir'!$D$19:$D$28,MASQ2!$DA54,'Étape 1 - à remplir'!$G$19:$G$28,"lots"),"")</f>
        <v/>
      </c>
      <c r="DD54" t="str">
        <f>IFERROR(SUMIFS('Étape 1 - à remplir'!$F$31:$F$400,'Étape 1 - à remplir'!$C$31:$C$400,IF($DA54="Lait","*Lait*",IF($DA54="Viande","*Viande*",IF($DA54="Reproduction","*Reproduction*",IF($DA54="Autre","*Autre*",IF($DA54="Loisir","*Loisir*",IF($DA54="Œufs","*Œufs*","")))))),'Étape 1 - à remplir'!$G$31:$G$400,"lots",'Étape 1 - à remplir'!$M$31:$M$400,MASQ2!DD$43)/SUMIFS('Étape 1 - à remplir'!$F$19:$F$28,'Étape 1 - à remplir'!$D$19:$D$28,MASQ2!$DA54,'Étape 1 - à remplir'!$G$19:$G$28,"lots"),"")</f>
        <v/>
      </c>
      <c r="DE54" t="str">
        <f>IFERROR(SUMIFS('Étape 1 - à remplir'!$F$31:$F$400,'Étape 1 - à remplir'!$C$31:$C$400,IF($DA54="Lait","*Lait*",IF($DA54="Viande","*Viande*",IF($DA54="Reproduction","*Reproduction*",IF($DA54="Autre","*Autre*",IF($DA54="Loisir","*Loisir*",IF($DA54="Œufs","*Œufs*","")))))),'Étape 1 - à remplir'!$G$31:$G$400,"lots",'Étape 1 - à remplir'!$M$31:$M$400,MASQ2!DE$43)/SUMIFS('Étape 1 - à remplir'!$F$19:$F$28,'Étape 1 - à remplir'!$D$19:$D$28,MASQ2!$DA54,'Étape 1 - à remplir'!$G$19:$G$28,"lots"),"")</f>
        <v/>
      </c>
      <c r="DF54" t="str">
        <f>IFERROR(SUMIFS('Étape 1 - à remplir'!$F$31:$F$400,'Étape 1 - à remplir'!$C$31:$C$400,IF($DA54="Lait","*Lait*",IF($DA54="Viande","*Viande*",IF($DA54="Reproduction","*Reproduction*",IF($DA54="Autre","*Autre*",IF($DA54="Loisir","*Loisir*",IF($DA54="Œufs","*Œufs*","")))))),'Étape 1 - à remplir'!$G$31:$G$400,"lots",'Étape 1 - à remplir'!$M$31:$M$400,MASQ2!DF$43)/SUMIFS('Étape 1 - à remplir'!$F$19:$F$28,'Étape 1 - à remplir'!$D$19:$D$28,MASQ2!$DA54,'Étape 1 - à remplir'!$G$19:$G$28,"lots"),"")</f>
        <v/>
      </c>
      <c r="DG54" t="str">
        <f>IFERROR(SUMIFS('Étape 1 - à remplir'!$F$31:$F$400,'Étape 1 - à remplir'!$C$31:$C$400,IF($DA54="Lait","*Lait*",IF($DA54="Viande","*Viande*",IF($DA54="Reproduction","*Reproduction*",IF($DA54="Autre","*Autre*",IF($DA54="Loisir","*Loisir*",IF($DA54="Œufs","*Œufs*","")))))),'Étape 1 - à remplir'!$G$31:$G$400,"lots",'Étape 1 - à remplir'!$M$31:$M$400,MASQ2!DG$43)/SUMIFS('Étape 1 - à remplir'!$F$19:$F$28,'Étape 1 - à remplir'!$D$19:$D$28,MASQ2!$DA54,'Étape 1 - à remplir'!$G$19:$G$28,"lots"),"")</f>
        <v/>
      </c>
      <c r="DH54" t="str">
        <f>IFERROR(SUMIFS('Étape 1 - à remplir'!$F$31:$F$400,'Étape 1 - à remplir'!$C$31:$C$400,IF($DA54="Lait","*Lait*",IF($DA54="Viande","*Viande*",IF($DA54="Reproduction","*Reproduction*",IF($DA54="Autre","*Autre*",IF($DA54="Loisir","*Loisir*",IF($DA54="Œufs","*Œufs*","")))))),'Étape 1 - à remplir'!$G$31:$G$400,"lots",'Étape 1 - à remplir'!$M$31:$M$400,MASQ2!DH$43)/SUMIFS('Étape 1 - à remplir'!$F$19:$F$28,'Étape 1 - à remplir'!$D$19:$D$28,MASQ2!$DA54,'Étape 1 - à remplir'!$G$19:$G$28,"lots"),"")</f>
        <v/>
      </c>
      <c r="DI54" t="str">
        <f>IFERROR(SUMIFS('Étape 1 - à remplir'!$F$31:$F$400,'Étape 1 - à remplir'!$C$31:$C$400,IF($DA54="Lait","*Lait*",IF($DA54="Viande","*Viande*",IF($DA54="Reproduction","*Reproduction*",IF($DA54="Autre","*Autre*",IF($DA54="Loisir","*Loisir*",IF($DA54="Œufs","*Œufs*","")))))),'Étape 1 - à remplir'!$G$31:$G$400,"lots",'Étape 1 - à remplir'!$M$31:$M$400,MASQ2!DI$43)/SUMIFS('Étape 1 - à remplir'!$F$19:$F$28,'Étape 1 - à remplir'!$D$19:$D$28,MASQ2!$DA54,'Étape 1 - à remplir'!$G$19:$G$28,"lots"),"")</f>
        <v/>
      </c>
      <c r="DJ54" t="str">
        <f>IFERROR(SUMIFS('Étape 1 - à remplir'!$F$31:$F$400,'Étape 1 - à remplir'!$C$31:$C$400,IF($DA54="Lait","*Lait*",IF($DA54="Viande","*Viande*",IF($DA54="Reproduction","*Reproduction*",IF($DA54="Autre","*Autre*",IF($DA54="Loisir","*Loisir*",IF($DA54="Œufs","*Œufs*","")))))),'Étape 1 - à remplir'!$G$31:$G$400,"lots",'Étape 1 - à remplir'!$M$31:$M$400,MASQ2!DJ$43)/SUMIFS('Étape 1 - à remplir'!$F$19:$F$28,'Étape 1 - à remplir'!$D$19:$D$28,MASQ2!$DA54,'Étape 1 - à remplir'!$G$19:$G$28,"lots"),"")</f>
        <v/>
      </c>
      <c r="DK54" t="str">
        <f>IFERROR(SUMIFS('Étape 1 - à remplir'!$F$31:$F$400,'Étape 1 - à remplir'!$C$31:$C$400,IF($DA54="Lait","*Lait*",IF($DA54="Viande","*Viande*",IF($DA54="Reproduction","*Reproduction*",IF($DA54="Autre","*Autre*",IF($DA54="Loisir","*Loisir*",IF($DA54="Œufs","*Œufs*","")))))),'Étape 1 - à remplir'!$G$31:$G$400,"lots",'Étape 1 - à remplir'!$M$31:$M$400,MASQ2!DK$43)/SUMIFS('Étape 1 - à remplir'!$F$19:$F$28,'Étape 1 - à remplir'!$D$19:$D$28,MASQ2!$DA54,'Étape 1 - à remplir'!$G$19:$G$28,"lots"),"")</f>
        <v/>
      </c>
      <c r="DL54" t="str">
        <f>IFERROR(SUMIFS('Étape 1 - à remplir'!$F$31:$F$400,'Étape 1 - à remplir'!$C$31:$C$400,IF($DA54="Lait","*Lait*",IF($DA54="Viande","*Viande*",IF($DA54="Reproduction","*Reproduction*",IF($DA54="Autre","*Autre*",IF($DA54="Loisir","*Loisir*",IF($DA54="Œufs","*Œufs*","")))))),'Étape 1 - à remplir'!$G$31:$G$400,"lots",'Étape 1 - à remplir'!$M$31:$M$400,MASQ2!DL$43)/SUMIFS('Étape 1 - à remplir'!$F$19:$F$28,'Étape 1 - à remplir'!$D$19:$D$28,MASQ2!$DA54,'Étape 1 - à remplir'!$G$19:$G$28,"lots"),"")</f>
        <v/>
      </c>
      <c r="DM54" s="76" t="str">
        <f>IFERROR(SUMIFS('Étape 1 - à remplir'!$F$31:$F$400,'Étape 1 - à remplir'!$C$31:$C$400,IF($DA54="Lait","*Lait*",IF($DA54="Viande","*Viande*",IF($DA54="Reproduction","*Reproduction*",IF($DA54="Autre","*Autre*",IF($DA54="Loisir","*Loisir*",IF($DA54="Œufs","*Œufs*","")))))),'Étape 1 - à remplir'!$G$31:$G$400,"lots",'Étape 1 - à remplir'!$M$31:$M$400,MASQ2!DM$43)/SUMIFS('Étape 1 - à remplir'!$F$19:$F$28,'Étape 1 - à remplir'!$D$19:$D$28,MASQ2!$DA54,'Étape 1 - à remplir'!$G$19:$G$28,"lots"),"")</f>
        <v/>
      </c>
      <c r="EA54" s="194" t="str">
        <f t="shared" ca="1" si="18"/>
        <v/>
      </c>
      <c r="EB54" s="226" t="str">
        <f>IFERROR(IF(ED54=0,"",COUNTIF(ED$4:ED$600,"&gt;"&amp;ED54)+COUNTIF(ED$4:ED54,ED54)),"")</f>
        <v/>
      </c>
      <c r="EC54" t="str">
        <f t="shared" si="19"/>
        <v>AUREOMYCINE MERIAL</v>
      </c>
      <c r="ED54" t="e">
        <f>IF(IF(EL$2="Catégorie",IF(EL$3="Toutes",SUMIFS('Étape 1 - à remplir'!$F$31:$F$400,'Étape 1 - à remplir'!$E$31:$E$400,MASQ2!EC54,'Étape 1 - à remplir'!$G$31:$G$400,"kg"),SUMIFS('Étape 1 - à remplir'!$F$31:$F$400,'Étape 1 - à remplir'!$E$31:$E$400,MASQ2!EC54,'Étape 1 - à remplir'!$C$31:$C$400,EL$3)),IF(EL$2="Âge",IF(EL$3="Tous",SUMIFS('Étape 1 - à remplir'!$F$31:$F$400,'Étape 1 - à remplir'!$E$31:$E$400,MASQ2!EC54,'Étape 1 - à remplir'!$G$31:$G$400,"kg"),SUMIFS('Étape 1 - à remplir'!$F$31:$F$400,'Étape 1 - à remplir'!$E$31:$E$400,MASQ2!EC54,'Étape 1 - à remplir'!$P$31:$P$400,EL$3,'Étape 1 - à remplir'!$G$31:$G$400,"kg")),IF(EL$2="Atelier",IF(EL$3="Tous",SUMIFS('Étape 1 - à remplir'!$F$31:$F$400,'Étape 1 - à remplir'!$E$31:$E$400,MASQ2!EC54,'Étape 1 - à remplir'!$G$31:$G$400,"kg"),SUMIFS('Étape 1 - à remplir'!$F$31:$F$400,'Étape 1 - à remplir'!$E$31:$E$400,MASQ2!EC54,'Étape 1 - à remplir'!$O$31:$O$400,EL$3,'Étape 1 - à remplir'!$G$31:$G$400,"kg")),IF(EL$2="Espèce",IF(EL$3="Toutes",SUMIFS('Étape 1 - à remplir'!$F$31:$F$400,'Étape 1 - à remplir'!$E$31:$E$400,MASQ2!EC54,'Étape 1 - à remplir'!$G$31:$G$400,"kg"),SUMIFS('Étape 1 - à remplir'!$F$31:$F$400,'Étape 1 - à remplir'!$E$31:$E$400,MASQ2!EC54,'Étape 1 - à remplir'!$N$31:$N$400,EL$3,'Étape 1 - à remplir'!$G$31:$G$400,"kg"))))))=0,NA(),IF(EL$2="Catégorie",IF(EL$3="Toutes",SUMIFS('Étape 1 - à remplir'!$F$31:$F$400,'Étape 1 - à remplir'!$E$31:$E$400,MASQ2!EC54,'Étape 1 - à remplir'!$G$31:$G$400,"kg"),SUMIFS('Étape 1 - à remplir'!$F$31:$F$400,'Étape 1 - à remplir'!$E$31:$E$400,MASQ2!EC54,'Étape 1 - à remplir'!$C$31:$C$400,EL$3)),IF(EL$2="Âge",IF(EL$3="Tous",SUMIFS('Étape 1 - à remplir'!$F$31:$F$400,'Étape 1 - à remplir'!$E$31:$E$400,MASQ2!EC54,'Étape 1 - à remplir'!$G$31:$G$400,"kg"),SUMIFS('Étape 1 - à remplir'!$F$31:$F$400,'Étape 1 - à remplir'!$E$31:$E$400,MASQ2!EC54,'Étape 1 - à remplir'!$P$31:$P$400,EL$3,'Étape 1 - à remplir'!$G$31:$G$400,"kg")),IF(EL$2="Atelier",IF(EL$3="Tous",SUMIFS('Étape 1 - à remplir'!$F$31:$F$400,'Étape 1 - à remplir'!$E$31:$E$400,MASQ2!EC54,'Étape 1 - à remplir'!$G$31:$G$400,"kg"),SUMIFS('Étape 1 - à remplir'!$F$31:$F$400,'Étape 1 - à remplir'!$E$31:$E$400,MASQ2!EC54,'Étape 1 - à remplir'!$O$31:$O$400,EL$3,'Étape 1 - à remplir'!$G$31:$G$400,"kg")),IF(EL$2="Espèce",IF(EL$3="Toutes",SUMIFS('Étape 1 - à remplir'!$F$31:$F$400,'Étape 1 - à remplir'!$E$31:$E$400,MASQ2!EC54,'Étape 1 - à remplir'!$G$31:$G$400,"kg"),SUMIFS('Étape 1 - à remplir'!$F$31:$F$400,'Étape 1 - à remplir'!$E$31:$E$400,MASQ2!EC54,'Étape 1 - à remplir'!$N$31:$N$400,EL$3,'Étape 1 - à remplir'!$G$31:$G$400,"kg")))))))</f>
        <v>#N/A</v>
      </c>
      <c r="EE54" s="76">
        <f t="shared" si="53"/>
        <v>0</v>
      </c>
      <c r="EF54" t="str">
        <f t="shared" si="20"/>
        <v>Chlortétracycline</v>
      </c>
      <c r="EG54" t="str">
        <f t="shared" si="21"/>
        <v/>
      </c>
      <c r="EH54" t="str">
        <f t="shared" si="22"/>
        <v/>
      </c>
      <c r="EI54" t="str">
        <f t="shared" si="23"/>
        <v>Tetracyclines</v>
      </c>
      <c r="EJ54" t="str">
        <f t="shared" si="24"/>
        <v/>
      </c>
      <c r="EK54" s="63" t="str">
        <f t="shared" si="25"/>
        <v/>
      </c>
      <c r="EN54" s="42">
        <v>51</v>
      </c>
      <c r="EO54" t="e">
        <f t="shared" si="68"/>
        <v>#N/A</v>
      </c>
      <c r="EP54" s="63" t="e">
        <f t="shared" si="69"/>
        <v>#N/A</v>
      </c>
      <c r="ER54" s="194" t="str">
        <f t="shared" si="120"/>
        <v/>
      </c>
      <c r="ES54" s="226" t="str">
        <f>IFERROR(IF(EU54=0,"",COUNTIF(EU$4:EU$64,"&gt;"&amp;EU54)+COUNTIF(EU$4:EU54,EU54)),"")</f>
        <v/>
      </c>
      <c r="ET54" t="str">
        <f t="shared" si="121"/>
        <v>Sulfaquinoxaline</v>
      </c>
      <c r="EU54" s="76" t="e">
        <f t="shared" si="56"/>
        <v>#N/A</v>
      </c>
      <c r="EV54">
        <v>51</v>
      </c>
      <c r="EW54" t="e">
        <f t="shared" si="57"/>
        <v>#N/A</v>
      </c>
      <c r="EX54" s="63" t="e">
        <f t="shared" si="58"/>
        <v>#N/A</v>
      </c>
      <c r="FH54" s="117" t="str">
        <f>FK32</f>
        <v/>
      </c>
      <c r="FI54" s="117" t="str">
        <f>IFERROR(SUMIFS('Étape 1 - à remplir'!$F$31:$F$400,'Étape 1 - à remplir'!$C$31:$C$400,IF($FH54="Lait","*Lait*",IF($FH54="Viande","*Viande*",IF($FH54="Reproduction","*Reproduction*",IF($FH54="Autre","*Autre*",IF($FH54="Loisir","*Loisir*",IF($FH54="Œufs","*Œufs*","")))))),'Étape 1 - à remplir'!$G$31:$G$400,"kg",'Étape 1 - à remplir'!$M$31:$M$400,MASQ2!FI$43)/SUMIFS('Étape 1 - à remplir'!$F$19:$F$28,'Étape 1 - à remplir'!$D$19:$D$28,MASQ2!$FH54,'Étape 1 - à remplir'!$G$19:$G$28,"kg"),"")</f>
        <v/>
      </c>
      <c r="FJ54" s="116" t="str">
        <f>IFERROR(SUMIFS('Étape 1 - à remplir'!$F$31:$F$400,'Étape 1 - à remplir'!$C$31:$C$400,IF($FH54="Lait","*Lait*",IF($FH54="Viande","*Viande*",IF($FH54="Reproduction","*Reproduction*",IF($FH54="Autre","*Autre*",IF($FH54="Loisir","*Loisir*",IF($FH54="Œufs","*Œufs*","")))))),'Étape 1 - à remplir'!$G$31:$G$400,"kg",'Étape 1 - à remplir'!$M$31:$M$400,MASQ2!FJ$43)/SUMIFS('Étape 1 - à remplir'!$F$19:$F$28,'Étape 1 - à remplir'!$D$19:$D$28,MASQ2!$FH54,'Étape 1 - à remplir'!$G$19:$G$28,"kg"),"")</f>
        <v/>
      </c>
      <c r="FK54" s="116" t="str">
        <f>IFERROR(SUMIFS('Étape 1 - à remplir'!$F$31:$F$400,'Étape 1 - à remplir'!$C$31:$C$400,IF($FH54="Lait","*Lait*",IF($FH54="Viande","*Viande*",IF($FH54="Reproduction","*Reproduction*",IF($FH54="Autre","*Autre*",IF($FH54="Loisir","*Loisir*",IF($FH54="Œufs","*Œufs*","")))))),'Étape 1 - à remplir'!$G$31:$G$400,"kg",'Étape 1 - à remplir'!$M$31:$M$400,MASQ2!FK$43)/SUMIFS('Étape 1 - à remplir'!$F$19:$F$28,'Étape 1 - à remplir'!$D$19:$D$28,MASQ2!$FH54,'Étape 1 - à remplir'!$G$19:$G$28,"kg"),"")</f>
        <v/>
      </c>
      <c r="FL54" s="116" t="str">
        <f>IFERROR(SUMIFS('Étape 1 - à remplir'!$F$31:$F$400,'Étape 1 - à remplir'!$C$31:$C$400,IF($FH54="Lait","*Lait*",IF($FH54="Viande","*Viande*",IF($FH54="Reproduction","*Reproduction*",IF($FH54="Autre","*Autre*",IF($FH54="Loisir","*Loisir*",IF($FH54="Œufs","*Œufs*","")))))),'Étape 1 - à remplir'!$G$31:$G$400,"kg",'Étape 1 - à remplir'!$M$31:$M$400,MASQ2!FL$43)/SUMIFS('Étape 1 - à remplir'!$F$19:$F$28,'Étape 1 - à remplir'!$D$19:$D$28,MASQ2!$FH54,'Étape 1 - à remplir'!$G$19:$G$28,"kg"),"")</f>
        <v/>
      </c>
      <c r="FM54" s="116" t="str">
        <f>IFERROR(SUMIFS('Étape 1 - à remplir'!$F$31:$F$400,'Étape 1 - à remplir'!$C$31:$C$400,IF($FH54="Lait","*Lait*",IF($FH54="Viande","*Viande*",IF($FH54="Reproduction","*Reproduction*",IF($FH54="Autre","*Autre*",IF($FH54="Loisir","*Loisir*",IF($FH54="Œufs","*Œufs*","")))))),'Étape 1 - à remplir'!$G$31:$G$400,"kg",'Étape 1 - à remplir'!$M$31:$M$400,MASQ2!FM$43)/SUMIFS('Étape 1 - à remplir'!$F$19:$F$28,'Étape 1 - à remplir'!$D$19:$D$28,MASQ2!$FH54,'Étape 1 - à remplir'!$G$19:$G$28,"kg"),"")</f>
        <v/>
      </c>
      <c r="FN54" s="116" t="str">
        <f>IFERROR(SUMIFS('Étape 1 - à remplir'!$F$31:$F$400,'Étape 1 - à remplir'!$C$31:$C$400,IF($FH54="Lait","*Lait*",IF($FH54="Viande","*Viande*",IF($FH54="Reproduction","*Reproduction*",IF($FH54="Autre","*Autre*",IF($FH54="Loisir","*Loisir*",IF($FH54="Œufs","*Œufs*","")))))),'Étape 1 - à remplir'!$G$31:$G$400,"kg",'Étape 1 - à remplir'!$M$31:$M$400,MASQ2!FN$43)/SUMIFS('Étape 1 - à remplir'!$F$19:$F$28,'Étape 1 - à remplir'!$D$19:$D$28,MASQ2!$FH54,'Étape 1 - à remplir'!$G$19:$G$28,"kg"),"")</f>
        <v/>
      </c>
      <c r="FO54" s="116" t="str">
        <f>IFERROR(SUMIFS('Étape 1 - à remplir'!$F$31:$F$400,'Étape 1 - à remplir'!$C$31:$C$400,IF($FH54="Lait","*Lait*",IF($FH54="Viande","*Viande*",IF($FH54="Reproduction","*Reproduction*",IF($FH54="Autre","*Autre*",IF($FH54="Loisir","*Loisir*",IF($FH54="Œufs","*Œufs*","")))))),'Étape 1 - à remplir'!$G$31:$G$400,"kg",'Étape 1 - à remplir'!$M$31:$M$400,MASQ2!FO$43)/SUMIFS('Étape 1 - à remplir'!$F$19:$F$28,'Étape 1 - à remplir'!$D$19:$D$28,MASQ2!$FH54,'Étape 1 - à remplir'!$G$19:$G$28,"kg"),"")</f>
        <v/>
      </c>
      <c r="FP54" s="116" t="str">
        <f>IFERROR(SUMIFS('Étape 1 - à remplir'!$F$31:$F$400,'Étape 1 - à remplir'!$C$31:$C$400,IF($FH54="Lait","*Lait*",IF($FH54="Viande","*Viande*",IF($FH54="Reproduction","*Reproduction*",IF($FH54="Autre","*Autre*",IF($FH54="Loisir","*Loisir*",IF($FH54="Œufs","*Œufs*","")))))),'Étape 1 - à remplir'!$G$31:$G$400,"kg",'Étape 1 - à remplir'!$M$31:$M$400,MASQ2!FP$43)/SUMIFS('Étape 1 - à remplir'!$F$19:$F$28,'Étape 1 - à remplir'!$D$19:$D$28,MASQ2!$FH54,'Étape 1 - à remplir'!$G$19:$G$28,"kg"),"")</f>
        <v/>
      </c>
      <c r="FQ54" s="116" t="str">
        <f>IFERROR(SUMIFS('Étape 1 - à remplir'!$F$31:$F$400,'Étape 1 - à remplir'!$C$31:$C$400,IF($FH54="Lait","*Lait*",IF($FH54="Viande","*Viande*",IF($FH54="Reproduction","*Reproduction*",IF($FH54="Autre","*Autre*",IF($FH54="Loisir","*Loisir*",IF($FH54="Œufs","*Œufs*","")))))),'Étape 1 - à remplir'!$G$31:$G$400,"kg",'Étape 1 - à remplir'!$M$31:$M$400,MASQ2!FQ$43)/SUMIFS('Étape 1 - à remplir'!$F$19:$F$28,'Étape 1 - à remplir'!$D$19:$D$28,MASQ2!$FH54,'Étape 1 - à remplir'!$G$19:$G$28,"kg"),"")</f>
        <v/>
      </c>
      <c r="FR54" s="116" t="str">
        <f>IFERROR(SUMIFS('Étape 1 - à remplir'!$F$31:$F$400,'Étape 1 - à remplir'!$C$31:$C$400,IF($FH54="Lait","*Lait*",IF($FH54="Viande","*Viande*",IF($FH54="Reproduction","*Reproduction*",IF($FH54="Autre","*Autre*",IF($FH54="Loisir","*Loisir*",IF($FH54="Œufs","*Œufs*","")))))),'Étape 1 - à remplir'!$G$31:$G$400,"kg",'Étape 1 - à remplir'!$M$31:$M$400,MASQ2!FR$43)/SUMIFS('Étape 1 - à remplir'!$F$19:$F$28,'Étape 1 - à remplir'!$D$19:$D$28,MASQ2!$FH54,'Étape 1 - à remplir'!$G$19:$G$28,"kg"),"")</f>
        <v/>
      </c>
      <c r="FS54" s="116" t="str">
        <f>IFERROR(SUMIFS('Étape 1 - à remplir'!$F$31:$F$400,'Étape 1 - à remplir'!$C$31:$C$400,IF($FH54="Lait","*Lait*",IF($FH54="Viande","*Viande*",IF($FH54="Reproduction","*Reproduction*",IF($FH54="Autre","*Autre*",IF($FH54="Loisir","*Loisir*",IF($FH54="Œufs","*Œufs*","")))))),'Étape 1 - à remplir'!$G$31:$G$400,"kg",'Étape 1 - à remplir'!$M$31:$M$400,MASQ2!FS$43)/SUMIFS('Étape 1 - à remplir'!$F$19:$F$28,'Étape 1 - à remplir'!$D$19:$D$28,MASQ2!$FH54,'Étape 1 - à remplir'!$G$19:$G$28,"kg"),"")</f>
        <v/>
      </c>
      <c r="FT54" s="114" t="str">
        <f>IFERROR(SUMIFS('Étape 1 - à remplir'!$F$31:$F$400,'Étape 1 - à remplir'!$C$31:$C$400,IF($FH54="Lait","*Lait*",IF($FH54="Viande","*Viande*",IF($FH54="Reproduction","*Reproduction*",IF($FH54="Autre","*Autre*",IF($FH54="Loisir","*Loisir*",IF($FH54="Œufs","*Œufs*","")))))),'Étape 1 - à remplir'!$G$31:$G$400,"kg",'Étape 1 - à remplir'!$M$31:$M$400,MASQ2!FT$43)/SUMIFS('Étape 1 - à remplir'!$F$19:$F$28,'Étape 1 - à remplir'!$D$19:$D$28,MASQ2!$FH54,'Étape 1 - à remplir'!$G$19:$G$28,"kg"),"")</f>
        <v/>
      </c>
    </row>
    <row r="55" spans="2:176" x14ac:dyDescent="0.3">
      <c r="B55" s="42"/>
      <c r="M55" s="194" t="str">
        <f ca="1">INDEX(Données_ATB!BD:BU,MATCH(MASQ2!O55,Données_ATB!BD:BD,0),18)</f>
        <v/>
      </c>
      <c r="N55" s="14" t="str">
        <f>IFERROR(IF(Q55=0,"",COUNTIF(Q$4:Q$600,"&gt;"&amp;Q55)+COUNTIF(Q$4:Q55,Q55)),"")</f>
        <v/>
      </c>
      <c r="O55" t="str">
        <f>Données_ATB!BD54</f>
        <v>AUROFAC CHLORTETRACYCLINE 93 PORC ET AGNEAU-CHEVREAU SEVRES</v>
      </c>
      <c r="P55" t="e">
        <f>IF(IF(X$2="Catégorie",IF(X$3="Toutes",SUMIFS('Étape 1 - à remplir'!$F$31:$F$400,'Étape 1 - à remplir'!$E$31:$E$400,MASQ2!O55,'Étape 1 - à remplir'!$G$31:$G$400,"animaux"),SUMIFS('Étape 1 - à remplir'!$F$31:$F$400,'Étape 1 - à remplir'!$E$31:$E$400,MASQ2!O55,'Étape 1 - à remplir'!$C$31:$C$400,X$3)),IF(X$2="Âge",IF(X$3="Tous",SUMIFS('Étape 1 - à remplir'!$F$31:$F$400,'Étape 1 - à remplir'!$E$31:$E$400,MASQ2!O55,'Étape 1 - à remplir'!$G$31:$G$400,"animaux"),SUMIFS('Étape 1 - à remplir'!$F$31:$F$400,'Étape 1 - à remplir'!$E$31:$E$400,MASQ2!O55,'Étape 1 - à remplir'!$P$31:$P$400,X$3)),IF(X$2="Atelier",IF(X$3="Tous",SUMIFS('Étape 1 - à remplir'!$F$31:$F$400,'Étape 1 - à remplir'!$E$31:$E$400,MASQ2!O55,'Étape 1 - à remplir'!$G$31:$G$400,"animaux"),SUMIFS('Étape 1 - à remplir'!$F$31:$F$400,'Étape 1 - à remplir'!$E$31:$E$400,MASQ2!O55,'Étape 1 - à remplir'!$O$31:$O$400,X$3)),IF(X$2="Espèce",IF(X$3="Toutes",SUMIFS('Étape 1 - à remplir'!$F$31:$F$400,'Étape 1 - à remplir'!$E$31:$E$400,MASQ2!O55,'Étape 1 - à remplir'!$G$31:$G$400,"animaux"),SUMIFS('Étape 1 - à remplir'!$F$31:$F$400,'Étape 1 - à remplir'!$E$31:$E$400,MASQ2!O55,'Étape 1 - à remplir'!$N$31:$N$400,X$3))))))=0,NA(),IF(X$2="Catégorie",IF(X$3="Toutes",SUMIFS('Étape 1 - à remplir'!$F$31:$F$400,'Étape 1 - à remplir'!$E$31:$E$400,MASQ2!O55,'Étape 1 - à remplir'!$G$31:$G$400,"animaux"),SUMIFS('Étape 1 - à remplir'!$F$31:$F$400,'Étape 1 - à remplir'!$E$31:$E$400,MASQ2!O55,'Étape 1 - à remplir'!$C$31:$C$400,X$3)),IF(X$2="Âge",IF(X$3="Tous",SUMIFS('Étape 1 - à remplir'!$F$31:$F$400,'Étape 1 - à remplir'!$E$31:$E$400,MASQ2!O55,'Étape 1 - à remplir'!$G$31:$G$400,"animaux"),SUMIFS('Étape 1 - à remplir'!$F$31:$F$400,'Étape 1 - à remplir'!$E$31:$E$400,MASQ2!O55,'Étape 1 - à remplir'!$P$31:$P$400,X$3)),IF(X$2="Atelier",IF(X$3="Tous",SUMIFS('Étape 1 - à remplir'!$F$31:$F$400,'Étape 1 - à remplir'!$E$31:$E$400,MASQ2!O55,'Étape 1 - à remplir'!$G$31:$G$400,"animaux"),SUMIFS('Étape 1 - à remplir'!$F$31:$F$400,'Étape 1 - à remplir'!$E$31:$E$400,MASQ2!O55,'Étape 1 - à remplir'!$O$31:$O$400,X$3)),IF(X$2="Espèce",IF(X$3="Toutes",SUMIFS('Étape 1 - à remplir'!$F$31:$F$400,'Étape 1 - à remplir'!$E$31:$E$400,MASQ2!O55,'Étape 1 - à remplir'!$G$31:$G$400,"animaux"),SUMIFS('Étape 1 - à remplir'!$F$31:$F$400,'Étape 1 - à remplir'!$E$31:$E$400,MASQ2!O55,'Étape 1 - à remplir'!$N$31:$N$400,X$3)))))))</f>
        <v>#N/A</v>
      </c>
      <c r="Q55" s="63">
        <f t="shared" si="62"/>
        <v>0</v>
      </c>
      <c r="R55" t="str">
        <f>Données_ATB!BM54</f>
        <v>Chlortétracycline</v>
      </c>
      <c r="S55" t="str">
        <f>Données_ATB!BN54</f>
        <v/>
      </c>
      <c r="T55" s="63" t="str">
        <f>Données_ATB!BO54</f>
        <v/>
      </c>
      <c r="U55" s="42" t="str">
        <f>Données_ATB!BQ54</f>
        <v>Tetracyclines</v>
      </c>
      <c r="V55" t="str">
        <f>Données_ATB!BR54</f>
        <v/>
      </c>
      <c r="W55" s="63" t="str">
        <f>Données_ATB!BS54</f>
        <v/>
      </c>
      <c r="Z55" s="42">
        <v>52</v>
      </c>
      <c r="AA55" t="e">
        <f t="shared" si="32"/>
        <v>#N/A</v>
      </c>
      <c r="AB55" s="63" t="e">
        <f t="shared" si="33"/>
        <v>#N/A</v>
      </c>
      <c r="AD55" s="194" t="str">
        <f>IF(AF55="Colistine","x",IF(INDEX(Données_ATB!CA$3:CB$63,MATCH(AF55,Données_ATB!CA$3:CA$63,0),2)="Fluoroquinolones","x",IF(INDEX(Données_ATB!CA$3:CB$63,MATCH(AF55,Données_ATB!CA$3:CA$63,0),2)="Cephalosporines 3&amp;4G","x","")))</f>
        <v/>
      </c>
      <c r="AE55" s="219" t="str">
        <f>IFERROR(IF(AG55=0,"",COUNTIF(AG$4:AG$64,"&gt;"&amp;AG55)+COUNTIF(AG$4:AG55,AG55)),"")</f>
        <v/>
      </c>
      <c r="AF55" s="42" t="str">
        <f>Données_ATB!CA54</f>
        <v>Tétracycline</v>
      </c>
      <c r="AG55" s="63" t="e">
        <f t="shared" si="34"/>
        <v>#N/A</v>
      </c>
      <c r="AH55" s="42">
        <v>52</v>
      </c>
      <c r="AI55" t="e">
        <f t="shared" si="35"/>
        <v>#N/A</v>
      </c>
      <c r="AJ55" s="63" t="e">
        <f t="shared" si="36"/>
        <v>#N/A</v>
      </c>
      <c r="AT55" s="109" t="str">
        <f t="shared" ref="AT55:AT63" si="125">AW33</f>
        <v/>
      </c>
      <c r="AU55" t="str">
        <f>IFERROR(SUMIFS('Étape 1 - à remplir'!$F$31:$F$400,'Étape 1 - à remplir'!$C$31:$C$400,IF($AT55="Lait","*Lait*",IF($AT55="Viande","*Viande*",IF($AT55="Reproduction","*Reproduction*",IF($AT55="Autre","*Autre*",IF($AT55="Loisir","*Loisir*",IF($AT55="Œufs","*Œufs*","")))))),'Étape 1 - à remplir'!$G$31:$G$400,"animaux",'Étape 1 - à remplir'!$M$31:$M$400,MASQ2!AU$43)/SUMIFS('Étape 1 - à remplir'!$F$19:$F$28,'Étape 1 - à remplir'!$D$19:$D$28,MASQ2!$AT55,'Étape 1 - à remplir'!$G$19:$G$28,"animaux"),"")</f>
        <v/>
      </c>
      <c r="AV55" t="str">
        <f>IFERROR(SUMIFS('Étape 1 - à remplir'!$F$31:$F$400,'Étape 1 - à remplir'!$C$31:$C$400,IF($AT55="Lait","*Lait*",IF($AT55="Viande","*Viande*",IF($AT55="Reproduction","*Reproduction*",IF($AT55="Autre","*Autre*",IF($AT55="Loisir","*Loisir*",IF($AT55="Œufs","*Œufs*","")))))),'Étape 1 - à remplir'!$G$31:$G$400,"animaux",'Étape 1 - à remplir'!$M$31:$M$400,MASQ2!AV$43)/SUMIFS('Étape 1 - à remplir'!$F$19:$F$28,'Étape 1 - à remplir'!$D$19:$D$28,MASQ2!$AT55,'Étape 1 - à remplir'!$G$19:$G$28,"animaux"),"")</f>
        <v/>
      </c>
      <c r="AW55" t="str">
        <f>IFERROR(SUMIFS('Étape 1 - à remplir'!$F$31:$F$400,'Étape 1 - à remplir'!$C$31:$C$400,IF($AT55="Lait","*Lait*",IF($AT55="Viande","*Viande*",IF($AT55="Reproduction","*Reproduction*",IF($AT55="Autre","*Autre*",IF($AT55="Loisir","*Loisir*",IF($AT55="Œufs","*Œufs*","")))))),'Étape 1 - à remplir'!$G$31:$G$400,"animaux",'Étape 1 - à remplir'!$M$31:$M$400,MASQ2!AW$43)/SUMIFS('Étape 1 - à remplir'!$F$19:$F$28,'Étape 1 - à remplir'!$D$19:$D$28,MASQ2!$AT55,'Étape 1 - à remplir'!$G$19:$G$28,"animaux"),"")</f>
        <v/>
      </c>
      <c r="AX55" t="str">
        <f>IFERROR(SUMIFS('Étape 1 - à remplir'!$F$31:$F$400,'Étape 1 - à remplir'!$C$31:$C$400,IF($AT55="Lait","*Lait*",IF($AT55="Viande","*Viande*",IF($AT55="Reproduction","*Reproduction*",IF($AT55="Autre","*Autre*",IF($AT55="Loisir","*Loisir*",IF($AT55="Œufs","*Œufs*","")))))),'Étape 1 - à remplir'!$G$31:$G$400,"animaux",'Étape 1 - à remplir'!$M$31:$M$400,MASQ2!AX$43)/SUMIFS('Étape 1 - à remplir'!$F$19:$F$28,'Étape 1 - à remplir'!$D$19:$D$28,MASQ2!$AT55,'Étape 1 - à remplir'!$G$19:$G$28,"animaux"),"")</f>
        <v/>
      </c>
      <c r="AY55" t="str">
        <f>IFERROR(SUMIFS('Étape 1 - à remplir'!$F$31:$F$400,'Étape 1 - à remplir'!$C$31:$C$400,IF($AT55="Lait","*Lait*",IF($AT55="Viande","*Viande*",IF($AT55="Reproduction","*Reproduction*",IF($AT55="Autre","*Autre*",IF($AT55="Loisir","*Loisir*",IF($AT55="Œufs","*Œufs*","")))))),'Étape 1 - à remplir'!$G$31:$G$400,"animaux",'Étape 1 - à remplir'!$M$31:$M$400,MASQ2!AY$43)/SUMIFS('Étape 1 - à remplir'!$F$19:$F$28,'Étape 1 - à remplir'!$D$19:$D$28,MASQ2!$AT55,'Étape 1 - à remplir'!$G$19:$G$28,"animaux"),"")</f>
        <v/>
      </c>
      <c r="AZ55" t="str">
        <f>IFERROR(SUMIFS('Étape 1 - à remplir'!$F$31:$F$400,'Étape 1 - à remplir'!$C$31:$C$400,IF($AT55="Lait","*Lait*",IF($AT55="Viande","*Viande*",IF($AT55="Reproduction","*Reproduction*",IF($AT55="Autre","*Autre*",IF($AT55="Loisir","*Loisir*",IF($AT55="Œufs","*Œufs*","")))))),'Étape 1 - à remplir'!$G$31:$G$400,"animaux",'Étape 1 - à remplir'!$M$31:$M$400,MASQ2!AZ$43)/SUMIFS('Étape 1 - à remplir'!$F$19:$F$28,'Étape 1 - à remplir'!$D$19:$D$28,MASQ2!$AT55,'Étape 1 - à remplir'!$G$19:$G$28,"animaux"),"")</f>
        <v/>
      </c>
      <c r="BA55" t="str">
        <f>IFERROR(SUMIFS('Étape 1 - à remplir'!$F$31:$F$400,'Étape 1 - à remplir'!$C$31:$C$400,IF($AT55="Lait","*Lait*",IF($AT55="Viande","*Viande*",IF($AT55="Reproduction","*Reproduction*",IF($AT55="Autre","*Autre*",IF($AT55="Loisir","*Loisir*",IF($AT55="Œufs","*Œufs*","")))))),'Étape 1 - à remplir'!$G$31:$G$400,"animaux",'Étape 1 - à remplir'!$M$31:$M$400,MASQ2!BA$43)/SUMIFS('Étape 1 - à remplir'!$F$19:$F$28,'Étape 1 - à remplir'!$D$19:$D$28,MASQ2!$AT55,'Étape 1 - à remplir'!$G$19:$G$28,"animaux"),"")</f>
        <v/>
      </c>
      <c r="BB55" t="str">
        <f>IFERROR(SUMIFS('Étape 1 - à remplir'!$F$31:$F$400,'Étape 1 - à remplir'!$C$31:$C$400,IF($AT55="Lait","*Lait*",IF($AT55="Viande","*Viande*",IF($AT55="Reproduction","*Reproduction*",IF($AT55="Autre","*Autre*",IF($AT55="Loisir","*Loisir*",IF($AT55="Œufs","*Œufs*","")))))),'Étape 1 - à remplir'!$G$31:$G$400,"animaux",'Étape 1 - à remplir'!$M$31:$M$400,MASQ2!BB$43)/SUMIFS('Étape 1 - à remplir'!$F$19:$F$28,'Étape 1 - à remplir'!$D$19:$D$28,MASQ2!$AT55,'Étape 1 - à remplir'!$G$19:$G$28,"animaux"),"")</f>
        <v/>
      </c>
      <c r="BC55" t="str">
        <f>IFERROR(SUMIFS('Étape 1 - à remplir'!$F$31:$F$400,'Étape 1 - à remplir'!$C$31:$C$400,IF($AT55="Lait","*Lait*",IF($AT55="Viande","*Viande*",IF($AT55="Reproduction","*Reproduction*",IF($AT55="Autre","*Autre*",IF($AT55="Loisir","*Loisir*",IF($AT55="Œufs","*Œufs*","")))))),'Étape 1 - à remplir'!$G$31:$G$400,"animaux",'Étape 1 - à remplir'!$M$31:$M$400,MASQ2!BC$43)/SUMIFS('Étape 1 - à remplir'!$F$19:$F$28,'Étape 1 - à remplir'!$D$19:$D$28,MASQ2!$AT55,'Étape 1 - à remplir'!$G$19:$G$28,"animaux"),"")</f>
        <v/>
      </c>
      <c r="BD55" t="str">
        <f>IFERROR(SUMIFS('Étape 1 - à remplir'!$F$31:$F$400,'Étape 1 - à remplir'!$C$31:$C$400,IF($AT55="Lait","*Lait*",IF($AT55="Viande","*Viande*",IF($AT55="Reproduction","*Reproduction*",IF($AT55="Autre","*Autre*",IF($AT55="Loisir","*Loisir*",IF($AT55="Œufs","*Œufs*","")))))),'Étape 1 - à remplir'!$G$31:$G$400,"animaux",'Étape 1 - à remplir'!$M$31:$M$400,MASQ2!BD$43)/SUMIFS('Étape 1 - à remplir'!$F$19:$F$28,'Étape 1 - à remplir'!$D$19:$D$28,MASQ2!$AT55,'Étape 1 - à remplir'!$G$19:$G$28,"animaux"),"")</f>
        <v/>
      </c>
      <c r="BE55" t="str">
        <f>IFERROR(SUMIFS('Étape 1 - à remplir'!$F$31:$F$400,'Étape 1 - à remplir'!$C$31:$C$400,IF($AT55="Lait","*Lait*",IF($AT55="Viande","*Viande*",IF($AT55="Reproduction","*Reproduction*",IF($AT55="Autre","*Autre*",IF($AT55="Loisir","*Loisir*",IF($AT55="Œufs","*Œufs*","")))))),'Étape 1 - à remplir'!$G$31:$G$400,"animaux",'Étape 1 - à remplir'!$M$31:$M$400,MASQ2!BE$43)/SUMIFS('Étape 1 - à remplir'!$F$19:$F$28,'Étape 1 - à remplir'!$D$19:$D$28,MASQ2!$AT55,'Étape 1 - à remplir'!$G$19:$G$28,"animaux"),"")</f>
        <v/>
      </c>
      <c r="BF55" s="76" t="str">
        <f>IFERROR(SUMIFS('Étape 1 - à remplir'!$F$31:$F$400,'Étape 1 - à remplir'!$C$31:$C$400,IF($AT55="Lait","*Lait*",IF($AT55="Viande","*Viande*",IF($AT55="Reproduction","*Reproduction*",IF($AT55="Autre","*Autre*",IF($AT55="Loisir","*Loisir*",IF($AT55="Œufs","*Œufs*","")))))),'Étape 1 - à remplir'!$G$31:$G$400,"animaux",'Étape 1 - à remplir'!$M$31:$M$400,MASQ2!BF$43)/SUMIFS('Étape 1 - à remplir'!$F$19:$F$28,'Étape 1 - à remplir'!$D$19:$D$28,MASQ2!$AT55,'Étape 1 - à remplir'!$G$19:$G$28,"animaux"),"")</f>
        <v/>
      </c>
      <c r="BT55" s="194" t="str">
        <f t="shared" ca="1" si="5"/>
        <v/>
      </c>
      <c r="BU55" s="219" t="str">
        <f>IFERROR(IF(BX55=0,"",COUNTIF(BX$4:BX$600,"&gt;"&amp;BX55)+COUNTIF(BX$4:BX55,BX55)),"")</f>
        <v/>
      </c>
      <c r="BV55" s="42" t="str">
        <f t="shared" si="6"/>
        <v>AUROFAC CHLORTETRACYCLINE 93 PORC ET AGNEAU-CHEVREAU SEVRES</v>
      </c>
      <c r="BW55" t="e">
        <f>IF(IF(CE$2="Catégorie",IF(CE$3="Toutes",SUMIFS('Étape 1 - à remplir'!$F$31:$F$400,'Étape 1 - à remplir'!$E$31:$E$400,MASQ2!BV55,'Étape 1 - à remplir'!$G$31:$G$400,"lots"),SUMIFS('Étape 1 - à remplir'!$F$31:$F$400,'Étape 1 - à remplir'!$E$31:$E$400,MASQ2!BV55,'Étape 1 - à remplir'!$C$31:$C$400,CE$3)),IF(CE$2="Âge",IF(CE$3="Tous",SUMIFS('Étape 1 - à remplir'!$F$31:$F$400,'Étape 1 - à remplir'!$E$31:$E$400,MASQ2!BV55,'Étape 1 - à remplir'!$G$31:$G$400,"lots"),SUMIFS('Étape 1 - à remplir'!$F$31:$F$400,'Étape 1 - à remplir'!$E$31:$E$400,MASQ2!BV55,'Étape 1 - à remplir'!$P$31:$P$400,CE$3,'Étape 1 - à remplir'!$G$31:$G$400,"lots")),IF(CE$2="Atelier",IF(CE$3="Tous",SUMIFS('Étape 1 - à remplir'!$F$31:$F$400,'Étape 1 - à remplir'!$E$31:$E$400,MASQ2!BV55,'Étape 1 - à remplir'!$G$31:$G$400,"lots"),SUMIFS('Étape 1 - à remplir'!$F$31:$F$400,'Étape 1 - à remplir'!$E$31:$E$400,MASQ2!BV55,'Étape 1 - à remplir'!$O$31:$O$400,CE$3,'Étape 1 - à remplir'!$G$31:$G$400,"lots")),IF(CE$2="Espèce",IF(CE$3="Toutes",SUMIFS('Étape 1 - à remplir'!$F$31:$F$400,'Étape 1 - à remplir'!$E$31:$E$400,MASQ2!BV55,'Étape 1 - à remplir'!$G$31:$G$400,"lots"),SUMIFS('Étape 1 - à remplir'!$F$31:$F$400,'Étape 1 - à remplir'!$E$31:$E$400,MASQ2!BV55,'Étape 1 - à remplir'!$N$31:$N$400,CE$3,'Étape 1 - à remplir'!$G$31:$G$400,"lots"))))))=0,NA(),IF(CE$2="Catégorie",IF(CE$3="Toutes",SUMIFS('Étape 1 - à remplir'!$F$31:$F$400,'Étape 1 - à remplir'!$E$31:$E$400,MASQ2!BV55,'Étape 1 - à remplir'!$G$31:$G$400,"lots"),SUMIFS('Étape 1 - à remplir'!$F$31:$F$400,'Étape 1 - à remplir'!$E$31:$E$400,MASQ2!BV55,'Étape 1 - à remplir'!$C$31:$C$400,CE$3)),IF(CE$2="Âge",IF(CE$3="Tous",SUMIFS('Étape 1 - à remplir'!$F$31:$F$400,'Étape 1 - à remplir'!$E$31:$E$400,MASQ2!BV55,'Étape 1 - à remplir'!$G$31:$G$400,"lots"),SUMIFS('Étape 1 - à remplir'!$F$31:$F$400,'Étape 1 - à remplir'!$E$31:$E$400,MASQ2!BV55,'Étape 1 - à remplir'!$P$31:$P$400,CE$3,'Étape 1 - à remplir'!$G$31:$G$400,"lots")),IF(CE$2="Atelier",IF(CE$3="Tous",SUMIFS('Étape 1 - à remplir'!$F$31:$F$400,'Étape 1 - à remplir'!$E$31:$E$400,MASQ2!BV55,'Étape 1 - à remplir'!$G$31:$G$400,"lots"),SUMIFS('Étape 1 - à remplir'!$F$31:$F$400,'Étape 1 - à remplir'!$E$31:$E$400,MASQ2!BV55,'Étape 1 - à remplir'!$O$31:$O$400,CE$3,'Étape 1 - à remplir'!$G$31:$G$400,"lots")),IF(CE$2="Espèce",IF(CE$3="Toutes",SUMIFS('Étape 1 - à remplir'!$F$31:$F$400,'Étape 1 - à remplir'!$E$31:$E$400,MASQ2!BV55,'Étape 1 - à remplir'!$G$31:$G$400,"lots"),SUMIFS('Étape 1 - à remplir'!$F$31:$F$400,'Étape 1 - à remplir'!$E$31:$E$400,MASQ2!BV55,'Étape 1 - à remplir'!$N$31:$N$400,CE$3,'Étape 1 - à remplir'!$G$31:$G$400,"lots")))))))</f>
        <v>#N/A</v>
      </c>
      <c r="BX55">
        <f t="shared" si="42"/>
        <v>0</v>
      </c>
      <c r="BY55" t="str">
        <f t="shared" si="7"/>
        <v>Chlortétracycline</v>
      </c>
      <c r="BZ55" t="str">
        <f t="shared" si="8"/>
        <v/>
      </c>
      <c r="CA55" t="str">
        <f t="shared" si="9"/>
        <v/>
      </c>
      <c r="CB55" t="str">
        <f t="shared" si="10"/>
        <v>Tetracyclines</v>
      </c>
      <c r="CC55" t="str">
        <f t="shared" si="11"/>
        <v/>
      </c>
      <c r="CD55" s="63" t="str">
        <f t="shared" si="12"/>
        <v/>
      </c>
      <c r="CG55" s="42">
        <v>52</v>
      </c>
      <c r="CH55" s="42" t="e">
        <f t="shared" si="80"/>
        <v>#N/A</v>
      </c>
      <c r="CI55" s="63" t="e">
        <f t="shared" si="81"/>
        <v>#N/A</v>
      </c>
      <c r="CK55" s="194" t="str">
        <f t="shared" si="118"/>
        <v/>
      </c>
      <c r="CL55" s="226" t="str">
        <f>IFERROR(IF(CN55=0,"",COUNTIF(CN$4:CN$64,"&gt;"&amp;CN55)+COUNTIF(CN$4:CN55,CN55)),"")</f>
        <v/>
      </c>
      <c r="CM55" t="str">
        <f t="shared" si="119"/>
        <v>Tétracycline</v>
      </c>
      <c r="CN55" s="76" t="e">
        <f t="shared" si="45"/>
        <v>#N/A</v>
      </c>
      <c r="CO55">
        <v>52</v>
      </c>
      <c r="CP55" t="e">
        <f t="shared" si="46"/>
        <v>#N/A</v>
      </c>
      <c r="CQ55" s="63" t="e">
        <f t="shared" si="47"/>
        <v>#N/A</v>
      </c>
      <c r="DA55" s="109" t="str">
        <f t="shared" ref="DA55:DA63" si="126">DD33</f>
        <v/>
      </c>
      <c r="DB55" s="118" t="str">
        <f>IFERROR(SUMIFS('Étape 1 - à remplir'!$F$31:$F$400,'Étape 1 - à remplir'!$C$31:$C$400,IF($DA55="Lait","*Lait*",IF($DA55="Viande","*Viande*",IF($DA55="Reproduction","*Reproduction*",IF($DA55="Autre","*Autre*",IF($DA55="Loisir","*Loisir*",IF($DA55="Œufs","*Œufs*","")))))),'Étape 1 - à remplir'!$G$31:$G$400,"lots",'Étape 1 - à remplir'!$M$31:$M$400,MASQ2!DB$43)/SUMIFS('Étape 1 - à remplir'!$F$19:$F$28,'Étape 1 - à remplir'!$D$19:$D$28,MASQ2!$DA55,'Étape 1 - à remplir'!$G$19:$G$28,"lots"),"")</f>
        <v/>
      </c>
      <c r="DC55" t="str">
        <f>IFERROR(SUMIFS('Étape 1 - à remplir'!$F$31:$F$400,'Étape 1 - à remplir'!$C$31:$C$400,IF($DA55="Lait","*Lait*",IF($DA55="Viande","*Viande*",IF($DA55="Reproduction","*Reproduction*",IF($DA55="Autre","*Autre*",IF($DA55="Loisir","*Loisir*",IF($DA55="Œufs","*Œufs*","")))))),'Étape 1 - à remplir'!$G$31:$G$400,"lots",'Étape 1 - à remplir'!$M$31:$M$400,MASQ2!DC$43)/SUMIFS('Étape 1 - à remplir'!$F$19:$F$28,'Étape 1 - à remplir'!$D$19:$D$28,MASQ2!$DA55,'Étape 1 - à remplir'!$G$19:$G$28,"lots"),"")</f>
        <v/>
      </c>
      <c r="DD55" t="str">
        <f>IFERROR(SUMIFS('Étape 1 - à remplir'!$F$31:$F$400,'Étape 1 - à remplir'!$C$31:$C$400,IF($DA55="Lait","*Lait*",IF($DA55="Viande","*Viande*",IF($DA55="Reproduction","*Reproduction*",IF($DA55="Autre","*Autre*",IF($DA55="Loisir","*Loisir*",IF($DA55="Œufs","*Œufs*","")))))),'Étape 1 - à remplir'!$G$31:$G$400,"lots",'Étape 1 - à remplir'!$M$31:$M$400,MASQ2!DD$43)/SUMIFS('Étape 1 - à remplir'!$F$19:$F$28,'Étape 1 - à remplir'!$D$19:$D$28,MASQ2!$DA55,'Étape 1 - à remplir'!$G$19:$G$28,"lots"),"")</f>
        <v/>
      </c>
      <c r="DE55" t="str">
        <f>IFERROR(SUMIFS('Étape 1 - à remplir'!$F$31:$F$400,'Étape 1 - à remplir'!$C$31:$C$400,IF($DA55="Lait","*Lait*",IF($DA55="Viande","*Viande*",IF($DA55="Reproduction","*Reproduction*",IF($DA55="Autre","*Autre*",IF($DA55="Loisir","*Loisir*",IF($DA55="Œufs","*Œufs*","")))))),'Étape 1 - à remplir'!$G$31:$G$400,"lots",'Étape 1 - à remplir'!$M$31:$M$400,MASQ2!DE$43)/SUMIFS('Étape 1 - à remplir'!$F$19:$F$28,'Étape 1 - à remplir'!$D$19:$D$28,MASQ2!$DA55,'Étape 1 - à remplir'!$G$19:$G$28,"lots"),"")</f>
        <v/>
      </c>
      <c r="DF55" t="str">
        <f>IFERROR(SUMIFS('Étape 1 - à remplir'!$F$31:$F$400,'Étape 1 - à remplir'!$C$31:$C$400,IF($DA55="Lait","*Lait*",IF($DA55="Viande","*Viande*",IF($DA55="Reproduction","*Reproduction*",IF($DA55="Autre","*Autre*",IF($DA55="Loisir","*Loisir*",IF($DA55="Œufs","*Œufs*","")))))),'Étape 1 - à remplir'!$G$31:$G$400,"lots",'Étape 1 - à remplir'!$M$31:$M$400,MASQ2!DF$43)/SUMIFS('Étape 1 - à remplir'!$F$19:$F$28,'Étape 1 - à remplir'!$D$19:$D$28,MASQ2!$DA55,'Étape 1 - à remplir'!$G$19:$G$28,"lots"),"")</f>
        <v/>
      </c>
      <c r="DG55" t="str">
        <f>IFERROR(SUMIFS('Étape 1 - à remplir'!$F$31:$F$400,'Étape 1 - à remplir'!$C$31:$C$400,IF($DA55="Lait","*Lait*",IF($DA55="Viande","*Viande*",IF($DA55="Reproduction","*Reproduction*",IF($DA55="Autre","*Autre*",IF($DA55="Loisir","*Loisir*",IF($DA55="Œufs","*Œufs*","")))))),'Étape 1 - à remplir'!$G$31:$G$400,"lots",'Étape 1 - à remplir'!$M$31:$M$400,MASQ2!DG$43)/SUMIFS('Étape 1 - à remplir'!$F$19:$F$28,'Étape 1 - à remplir'!$D$19:$D$28,MASQ2!$DA55,'Étape 1 - à remplir'!$G$19:$G$28,"lots"),"")</f>
        <v/>
      </c>
      <c r="DH55" t="str">
        <f>IFERROR(SUMIFS('Étape 1 - à remplir'!$F$31:$F$400,'Étape 1 - à remplir'!$C$31:$C$400,IF($DA55="Lait","*Lait*",IF($DA55="Viande","*Viande*",IF($DA55="Reproduction","*Reproduction*",IF($DA55="Autre","*Autre*",IF($DA55="Loisir","*Loisir*",IF($DA55="Œufs","*Œufs*","")))))),'Étape 1 - à remplir'!$G$31:$G$400,"lots",'Étape 1 - à remplir'!$M$31:$M$400,MASQ2!DH$43)/SUMIFS('Étape 1 - à remplir'!$F$19:$F$28,'Étape 1 - à remplir'!$D$19:$D$28,MASQ2!$DA55,'Étape 1 - à remplir'!$G$19:$G$28,"lots"),"")</f>
        <v/>
      </c>
      <c r="DI55" t="str">
        <f>IFERROR(SUMIFS('Étape 1 - à remplir'!$F$31:$F$400,'Étape 1 - à remplir'!$C$31:$C$400,IF($DA55="Lait","*Lait*",IF($DA55="Viande","*Viande*",IF($DA55="Reproduction","*Reproduction*",IF($DA55="Autre","*Autre*",IF($DA55="Loisir","*Loisir*",IF($DA55="Œufs","*Œufs*","")))))),'Étape 1 - à remplir'!$G$31:$G$400,"lots",'Étape 1 - à remplir'!$M$31:$M$400,MASQ2!DI$43)/SUMIFS('Étape 1 - à remplir'!$F$19:$F$28,'Étape 1 - à remplir'!$D$19:$D$28,MASQ2!$DA55,'Étape 1 - à remplir'!$G$19:$G$28,"lots"),"")</f>
        <v/>
      </c>
      <c r="DJ55" t="str">
        <f>IFERROR(SUMIFS('Étape 1 - à remplir'!$F$31:$F$400,'Étape 1 - à remplir'!$C$31:$C$400,IF($DA55="Lait","*Lait*",IF($DA55="Viande","*Viande*",IF($DA55="Reproduction","*Reproduction*",IF($DA55="Autre","*Autre*",IF($DA55="Loisir","*Loisir*",IF($DA55="Œufs","*Œufs*","")))))),'Étape 1 - à remplir'!$G$31:$G$400,"lots",'Étape 1 - à remplir'!$M$31:$M$400,MASQ2!DJ$43)/SUMIFS('Étape 1 - à remplir'!$F$19:$F$28,'Étape 1 - à remplir'!$D$19:$D$28,MASQ2!$DA55,'Étape 1 - à remplir'!$G$19:$G$28,"lots"),"")</f>
        <v/>
      </c>
      <c r="DK55" t="str">
        <f>IFERROR(SUMIFS('Étape 1 - à remplir'!$F$31:$F$400,'Étape 1 - à remplir'!$C$31:$C$400,IF($DA55="Lait","*Lait*",IF($DA55="Viande","*Viande*",IF($DA55="Reproduction","*Reproduction*",IF($DA55="Autre","*Autre*",IF($DA55="Loisir","*Loisir*",IF($DA55="Œufs","*Œufs*","")))))),'Étape 1 - à remplir'!$G$31:$G$400,"lots",'Étape 1 - à remplir'!$M$31:$M$400,MASQ2!DK$43)/SUMIFS('Étape 1 - à remplir'!$F$19:$F$28,'Étape 1 - à remplir'!$D$19:$D$28,MASQ2!$DA55,'Étape 1 - à remplir'!$G$19:$G$28,"lots"),"")</f>
        <v/>
      </c>
      <c r="DL55" t="str">
        <f>IFERROR(SUMIFS('Étape 1 - à remplir'!$F$31:$F$400,'Étape 1 - à remplir'!$C$31:$C$400,IF($DA55="Lait","*Lait*",IF($DA55="Viande","*Viande*",IF($DA55="Reproduction","*Reproduction*",IF($DA55="Autre","*Autre*",IF($DA55="Loisir","*Loisir*",IF($DA55="Œufs","*Œufs*","")))))),'Étape 1 - à remplir'!$G$31:$G$400,"lots",'Étape 1 - à remplir'!$M$31:$M$400,MASQ2!DL$43)/SUMIFS('Étape 1 - à remplir'!$F$19:$F$28,'Étape 1 - à remplir'!$D$19:$D$28,MASQ2!$DA55,'Étape 1 - à remplir'!$G$19:$G$28,"lots"),"")</f>
        <v/>
      </c>
      <c r="DM55" s="76" t="str">
        <f>IFERROR(SUMIFS('Étape 1 - à remplir'!$F$31:$F$400,'Étape 1 - à remplir'!$C$31:$C$400,IF($DA55="Lait","*Lait*",IF($DA55="Viande","*Viande*",IF($DA55="Reproduction","*Reproduction*",IF($DA55="Autre","*Autre*",IF($DA55="Loisir","*Loisir*",IF($DA55="Œufs","*Œufs*","")))))),'Étape 1 - à remplir'!$G$31:$G$400,"lots",'Étape 1 - à remplir'!$M$31:$M$400,MASQ2!DM$43)/SUMIFS('Étape 1 - à remplir'!$F$19:$F$28,'Étape 1 - à remplir'!$D$19:$D$28,MASQ2!$DA55,'Étape 1 - à remplir'!$G$19:$G$28,"lots"),"")</f>
        <v/>
      </c>
      <c r="EA55" s="194" t="str">
        <f t="shared" ca="1" si="18"/>
        <v/>
      </c>
      <c r="EB55" s="226" t="str">
        <f>IFERROR(IF(ED55=0,"",COUNTIF(ED$4:ED$600,"&gt;"&amp;ED55)+COUNTIF(ED$4:ED55,ED55)),"")</f>
        <v/>
      </c>
      <c r="EC55" t="str">
        <f t="shared" si="19"/>
        <v>AUROFAC CHLORTETRACYCLINE 93 PORC ET AGNEAU-CHEVREAU SEVRES</v>
      </c>
      <c r="ED55" t="e">
        <f>IF(IF(EL$2="Catégorie",IF(EL$3="Toutes",SUMIFS('Étape 1 - à remplir'!$F$31:$F$400,'Étape 1 - à remplir'!$E$31:$E$400,MASQ2!EC55,'Étape 1 - à remplir'!$G$31:$G$400,"kg"),SUMIFS('Étape 1 - à remplir'!$F$31:$F$400,'Étape 1 - à remplir'!$E$31:$E$400,MASQ2!EC55,'Étape 1 - à remplir'!$C$31:$C$400,EL$3)),IF(EL$2="Âge",IF(EL$3="Tous",SUMIFS('Étape 1 - à remplir'!$F$31:$F$400,'Étape 1 - à remplir'!$E$31:$E$400,MASQ2!EC55,'Étape 1 - à remplir'!$G$31:$G$400,"kg"),SUMIFS('Étape 1 - à remplir'!$F$31:$F$400,'Étape 1 - à remplir'!$E$31:$E$400,MASQ2!EC55,'Étape 1 - à remplir'!$P$31:$P$400,EL$3,'Étape 1 - à remplir'!$G$31:$G$400,"kg")),IF(EL$2="Atelier",IF(EL$3="Tous",SUMIFS('Étape 1 - à remplir'!$F$31:$F$400,'Étape 1 - à remplir'!$E$31:$E$400,MASQ2!EC55,'Étape 1 - à remplir'!$G$31:$G$400,"kg"),SUMIFS('Étape 1 - à remplir'!$F$31:$F$400,'Étape 1 - à remplir'!$E$31:$E$400,MASQ2!EC55,'Étape 1 - à remplir'!$O$31:$O$400,EL$3,'Étape 1 - à remplir'!$G$31:$G$400,"kg")),IF(EL$2="Espèce",IF(EL$3="Toutes",SUMIFS('Étape 1 - à remplir'!$F$31:$F$400,'Étape 1 - à remplir'!$E$31:$E$400,MASQ2!EC55,'Étape 1 - à remplir'!$G$31:$G$400,"kg"),SUMIFS('Étape 1 - à remplir'!$F$31:$F$400,'Étape 1 - à remplir'!$E$31:$E$400,MASQ2!EC55,'Étape 1 - à remplir'!$N$31:$N$400,EL$3,'Étape 1 - à remplir'!$G$31:$G$400,"kg"))))))=0,NA(),IF(EL$2="Catégorie",IF(EL$3="Toutes",SUMIFS('Étape 1 - à remplir'!$F$31:$F$400,'Étape 1 - à remplir'!$E$31:$E$400,MASQ2!EC55,'Étape 1 - à remplir'!$G$31:$G$400,"kg"),SUMIFS('Étape 1 - à remplir'!$F$31:$F$400,'Étape 1 - à remplir'!$E$31:$E$400,MASQ2!EC55,'Étape 1 - à remplir'!$C$31:$C$400,EL$3)),IF(EL$2="Âge",IF(EL$3="Tous",SUMIFS('Étape 1 - à remplir'!$F$31:$F$400,'Étape 1 - à remplir'!$E$31:$E$400,MASQ2!EC55,'Étape 1 - à remplir'!$G$31:$G$400,"kg"),SUMIFS('Étape 1 - à remplir'!$F$31:$F$400,'Étape 1 - à remplir'!$E$31:$E$400,MASQ2!EC55,'Étape 1 - à remplir'!$P$31:$P$400,EL$3,'Étape 1 - à remplir'!$G$31:$G$400,"kg")),IF(EL$2="Atelier",IF(EL$3="Tous",SUMIFS('Étape 1 - à remplir'!$F$31:$F$400,'Étape 1 - à remplir'!$E$31:$E$400,MASQ2!EC55,'Étape 1 - à remplir'!$G$31:$G$400,"kg"),SUMIFS('Étape 1 - à remplir'!$F$31:$F$400,'Étape 1 - à remplir'!$E$31:$E$400,MASQ2!EC55,'Étape 1 - à remplir'!$O$31:$O$400,EL$3,'Étape 1 - à remplir'!$G$31:$G$400,"kg")),IF(EL$2="Espèce",IF(EL$3="Toutes",SUMIFS('Étape 1 - à remplir'!$F$31:$F$400,'Étape 1 - à remplir'!$E$31:$E$400,MASQ2!EC55,'Étape 1 - à remplir'!$G$31:$G$400,"kg"),SUMIFS('Étape 1 - à remplir'!$F$31:$F$400,'Étape 1 - à remplir'!$E$31:$E$400,MASQ2!EC55,'Étape 1 - à remplir'!$N$31:$N$400,EL$3,'Étape 1 - à remplir'!$G$31:$G$400,"kg")))))))</f>
        <v>#N/A</v>
      </c>
      <c r="EE55" s="76">
        <f t="shared" si="53"/>
        <v>0</v>
      </c>
      <c r="EF55" t="str">
        <f t="shared" si="20"/>
        <v>Chlortétracycline</v>
      </c>
      <c r="EG55" t="str">
        <f t="shared" si="21"/>
        <v/>
      </c>
      <c r="EH55" t="str">
        <f t="shared" si="22"/>
        <v/>
      </c>
      <c r="EI55" t="str">
        <f t="shared" si="23"/>
        <v>Tetracyclines</v>
      </c>
      <c r="EJ55" t="str">
        <f t="shared" si="24"/>
        <v/>
      </c>
      <c r="EK55" s="63" t="str">
        <f t="shared" si="25"/>
        <v/>
      </c>
      <c r="EN55" s="42">
        <v>52</v>
      </c>
      <c r="EO55" t="e">
        <f t="shared" si="68"/>
        <v>#N/A</v>
      </c>
      <c r="EP55" s="63" t="e">
        <f t="shared" si="69"/>
        <v>#N/A</v>
      </c>
      <c r="ER55" s="194" t="str">
        <f t="shared" si="120"/>
        <v/>
      </c>
      <c r="ES55" s="226" t="str">
        <f>IFERROR(IF(EU55=0,"",COUNTIF(EU$4:EU$64,"&gt;"&amp;EU55)+COUNTIF(EU$4:EU55,EU55)),"")</f>
        <v/>
      </c>
      <c r="ET55" t="str">
        <f t="shared" si="121"/>
        <v>Tétracycline</v>
      </c>
      <c r="EU55" s="76" t="e">
        <f t="shared" si="56"/>
        <v>#N/A</v>
      </c>
      <c r="EV55">
        <v>52</v>
      </c>
      <c r="EW55" t="e">
        <f t="shared" si="57"/>
        <v>#N/A</v>
      </c>
      <c r="EX55" s="63" t="e">
        <f t="shared" si="58"/>
        <v>#N/A</v>
      </c>
      <c r="FH55" s="118" t="str">
        <f t="shared" ref="FH55:FH63" si="127">FK33</f>
        <v/>
      </c>
      <c r="FI55" s="118" t="str">
        <f>IFERROR(SUMIFS('Étape 1 - à remplir'!$F$31:$F$400,'Étape 1 - à remplir'!$C$31:$C$400,IF($FH55="Lait","*Lait*",IF($FH55="Viande","*Viande*",IF($FH55="Reproduction","*Reproduction*",IF($FH55="Autre","*Autre*",IF($FH55="Loisir","*Loisir*",IF($FH55="Œufs","*Œufs*","")))))),'Étape 1 - à remplir'!$G$31:$G$400,"kg",'Étape 1 - à remplir'!$M$31:$M$400,MASQ2!FI$43)/SUMIFS('Étape 1 - à remplir'!$F$19:$F$28,'Étape 1 - à remplir'!$D$19:$D$28,MASQ2!$FH55,'Étape 1 - à remplir'!$G$19:$G$28,"kg"),"")</f>
        <v/>
      </c>
      <c r="FJ55" t="str">
        <f>IFERROR(SUMIFS('Étape 1 - à remplir'!$F$31:$F$400,'Étape 1 - à remplir'!$C$31:$C$400,IF($FH55="Lait","*Lait*",IF($FH55="Viande","*Viande*",IF($FH55="Reproduction","*Reproduction*",IF($FH55="Autre","*Autre*",IF($FH55="Loisir","*Loisir*",IF($FH55="Œufs","*Œufs*","")))))),'Étape 1 - à remplir'!$G$31:$G$400,"kg",'Étape 1 - à remplir'!$M$31:$M$400,MASQ2!FJ$43)/SUMIFS('Étape 1 - à remplir'!$F$19:$F$28,'Étape 1 - à remplir'!$D$19:$D$28,MASQ2!$FH55,'Étape 1 - à remplir'!$G$19:$G$28,"kg"),"")</f>
        <v/>
      </c>
      <c r="FK55" t="str">
        <f>IFERROR(SUMIFS('Étape 1 - à remplir'!$F$31:$F$400,'Étape 1 - à remplir'!$C$31:$C$400,IF($FH55="Lait","*Lait*",IF($FH55="Viande","*Viande*",IF($FH55="Reproduction","*Reproduction*",IF($FH55="Autre","*Autre*",IF($FH55="Loisir","*Loisir*",IF($FH55="Œufs","*Œufs*","")))))),'Étape 1 - à remplir'!$G$31:$G$400,"kg",'Étape 1 - à remplir'!$M$31:$M$400,MASQ2!FK$43)/SUMIFS('Étape 1 - à remplir'!$F$19:$F$28,'Étape 1 - à remplir'!$D$19:$D$28,MASQ2!$FH55,'Étape 1 - à remplir'!$G$19:$G$28,"kg"),"")</f>
        <v/>
      </c>
      <c r="FL55" t="str">
        <f>IFERROR(SUMIFS('Étape 1 - à remplir'!$F$31:$F$400,'Étape 1 - à remplir'!$C$31:$C$400,IF($FH55="Lait","*Lait*",IF($FH55="Viande","*Viande*",IF($FH55="Reproduction","*Reproduction*",IF($FH55="Autre","*Autre*",IF($FH55="Loisir","*Loisir*",IF($FH55="Œufs","*Œufs*","")))))),'Étape 1 - à remplir'!$G$31:$G$400,"kg",'Étape 1 - à remplir'!$M$31:$M$400,MASQ2!FL$43)/SUMIFS('Étape 1 - à remplir'!$F$19:$F$28,'Étape 1 - à remplir'!$D$19:$D$28,MASQ2!$FH55,'Étape 1 - à remplir'!$G$19:$G$28,"kg"),"")</f>
        <v/>
      </c>
      <c r="FM55" t="str">
        <f>IFERROR(SUMIFS('Étape 1 - à remplir'!$F$31:$F$400,'Étape 1 - à remplir'!$C$31:$C$400,IF($FH55="Lait","*Lait*",IF($FH55="Viande","*Viande*",IF($FH55="Reproduction","*Reproduction*",IF($FH55="Autre","*Autre*",IF($FH55="Loisir","*Loisir*",IF($FH55="Œufs","*Œufs*","")))))),'Étape 1 - à remplir'!$G$31:$G$400,"kg",'Étape 1 - à remplir'!$M$31:$M$400,MASQ2!FM$43)/SUMIFS('Étape 1 - à remplir'!$F$19:$F$28,'Étape 1 - à remplir'!$D$19:$D$28,MASQ2!$FH55,'Étape 1 - à remplir'!$G$19:$G$28,"kg"),"")</f>
        <v/>
      </c>
      <c r="FN55" t="str">
        <f>IFERROR(SUMIFS('Étape 1 - à remplir'!$F$31:$F$400,'Étape 1 - à remplir'!$C$31:$C$400,IF($FH55="Lait","*Lait*",IF($FH55="Viande","*Viande*",IF($FH55="Reproduction","*Reproduction*",IF($FH55="Autre","*Autre*",IF($FH55="Loisir","*Loisir*",IF($FH55="Œufs","*Œufs*","")))))),'Étape 1 - à remplir'!$G$31:$G$400,"kg",'Étape 1 - à remplir'!$M$31:$M$400,MASQ2!FN$43)/SUMIFS('Étape 1 - à remplir'!$F$19:$F$28,'Étape 1 - à remplir'!$D$19:$D$28,MASQ2!$FH55,'Étape 1 - à remplir'!$G$19:$G$28,"kg"),"")</f>
        <v/>
      </c>
      <c r="FO55" t="str">
        <f>IFERROR(SUMIFS('Étape 1 - à remplir'!$F$31:$F$400,'Étape 1 - à remplir'!$C$31:$C$400,IF($FH55="Lait","*Lait*",IF($FH55="Viande","*Viande*",IF($FH55="Reproduction","*Reproduction*",IF($FH55="Autre","*Autre*",IF($FH55="Loisir","*Loisir*",IF($FH55="Œufs","*Œufs*","")))))),'Étape 1 - à remplir'!$G$31:$G$400,"kg",'Étape 1 - à remplir'!$M$31:$M$400,MASQ2!FO$43)/SUMIFS('Étape 1 - à remplir'!$F$19:$F$28,'Étape 1 - à remplir'!$D$19:$D$28,MASQ2!$FH55,'Étape 1 - à remplir'!$G$19:$G$28,"kg"),"")</f>
        <v/>
      </c>
      <c r="FP55" t="str">
        <f>IFERROR(SUMIFS('Étape 1 - à remplir'!$F$31:$F$400,'Étape 1 - à remplir'!$C$31:$C$400,IF($FH55="Lait","*Lait*",IF($FH55="Viande","*Viande*",IF($FH55="Reproduction","*Reproduction*",IF($FH55="Autre","*Autre*",IF($FH55="Loisir","*Loisir*",IF($FH55="Œufs","*Œufs*","")))))),'Étape 1 - à remplir'!$G$31:$G$400,"kg",'Étape 1 - à remplir'!$M$31:$M$400,MASQ2!FP$43)/SUMIFS('Étape 1 - à remplir'!$F$19:$F$28,'Étape 1 - à remplir'!$D$19:$D$28,MASQ2!$FH55,'Étape 1 - à remplir'!$G$19:$G$28,"kg"),"")</f>
        <v/>
      </c>
      <c r="FQ55" t="str">
        <f>IFERROR(SUMIFS('Étape 1 - à remplir'!$F$31:$F$400,'Étape 1 - à remplir'!$C$31:$C$400,IF($FH55="Lait","*Lait*",IF($FH55="Viande","*Viande*",IF($FH55="Reproduction","*Reproduction*",IF($FH55="Autre","*Autre*",IF($FH55="Loisir","*Loisir*",IF($FH55="Œufs","*Œufs*","")))))),'Étape 1 - à remplir'!$G$31:$G$400,"kg",'Étape 1 - à remplir'!$M$31:$M$400,MASQ2!FQ$43)/SUMIFS('Étape 1 - à remplir'!$F$19:$F$28,'Étape 1 - à remplir'!$D$19:$D$28,MASQ2!$FH55,'Étape 1 - à remplir'!$G$19:$G$28,"kg"),"")</f>
        <v/>
      </c>
      <c r="FR55" t="str">
        <f>IFERROR(SUMIFS('Étape 1 - à remplir'!$F$31:$F$400,'Étape 1 - à remplir'!$C$31:$C$400,IF($FH55="Lait","*Lait*",IF($FH55="Viande","*Viande*",IF($FH55="Reproduction","*Reproduction*",IF($FH55="Autre","*Autre*",IF($FH55="Loisir","*Loisir*",IF($FH55="Œufs","*Œufs*","")))))),'Étape 1 - à remplir'!$G$31:$G$400,"kg",'Étape 1 - à remplir'!$M$31:$M$400,MASQ2!FR$43)/SUMIFS('Étape 1 - à remplir'!$F$19:$F$28,'Étape 1 - à remplir'!$D$19:$D$28,MASQ2!$FH55,'Étape 1 - à remplir'!$G$19:$G$28,"kg"),"")</f>
        <v/>
      </c>
      <c r="FS55" t="str">
        <f>IFERROR(SUMIFS('Étape 1 - à remplir'!$F$31:$F$400,'Étape 1 - à remplir'!$C$31:$C$400,IF($FH55="Lait","*Lait*",IF($FH55="Viande","*Viande*",IF($FH55="Reproduction","*Reproduction*",IF($FH55="Autre","*Autre*",IF($FH55="Loisir","*Loisir*",IF($FH55="Œufs","*Œufs*","")))))),'Étape 1 - à remplir'!$G$31:$G$400,"kg",'Étape 1 - à remplir'!$M$31:$M$400,MASQ2!FS$43)/SUMIFS('Étape 1 - à remplir'!$F$19:$F$28,'Étape 1 - à remplir'!$D$19:$D$28,MASQ2!$FH55,'Étape 1 - à remplir'!$G$19:$G$28,"kg"),"")</f>
        <v/>
      </c>
      <c r="FT55" s="76" t="str">
        <f>IFERROR(SUMIFS('Étape 1 - à remplir'!$F$31:$F$400,'Étape 1 - à remplir'!$C$31:$C$400,IF($FH55="Lait","*Lait*",IF($FH55="Viande","*Viande*",IF($FH55="Reproduction","*Reproduction*",IF($FH55="Autre","*Autre*",IF($FH55="Loisir","*Loisir*",IF($FH55="Œufs","*Œufs*","")))))),'Étape 1 - à remplir'!$G$31:$G$400,"kg",'Étape 1 - à remplir'!$M$31:$M$400,MASQ2!FT$43)/SUMIFS('Étape 1 - à remplir'!$F$19:$F$28,'Étape 1 - à remplir'!$D$19:$D$28,MASQ2!$FH55,'Étape 1 - à remplir'!$G$19:$G$28,"kg"),"")</f>
        <v/>
      </c>
    </row>
    <row r="56" spans="2:176" x14ac:dyDescent="0.3">
      <c r="B56" s="42"/>
      <c r="M56" s="194" t="str">
        <f ca="1">INDEX(Données_ATB!BD:BU,MATCH(MASQ2!O56,Données_ATB!BD:BD,0),18)</f>
        <v/>
      </c>
      <c r="N56" s="14" t="str">
        <f>IFERROR(IF(Q56=0,"",COUNTIF(Q$4:Q$600,"&gt;"&amp;Q56)+COUNTIF(Q$4:Q56,Q56)),"")</f>
        <v/>
      </c>
      <c r="O56" t="str">
        <f>Données_ATB!BD55</f>
        <v>AVEMIX N° 150</v>
      </c>
      <c r="P56" t="e">
        <f>IF(IF(X$2="Catégorie",IF(X$3="Toutes",SUMIFS('Étape 1 - à remplir'!$F$31:$F$400,'Étape 1 - à remplir'!$E$31:$E$400,MASQ2!O56,'Étape 1 - à remplir'!$G$31:$G$400,"animaux"),SUMIFS('Étape 1 - à remplir'!$F$31:$F$400,'Étape 1 - à remplir'!$E$31:$E$400,MASQ2!O56,'Étape 1 - à remplir'!$C$31:$C$400,X$3)),IF(X$2="Âge",IF(X$3="Tous",SUMIFS('Étape 1 - à remplir'!$F$31:$F$400,'Étape 1 - à remplir'!$E$31:$E$400,MASQ2!O56,'Étape 1 - à remplir'!$G$31:$G$400,"animaux"),SUMIFS('Étape 1 - à remplir'!$F$31:$F$400,'Étape 1 - à remplir'!$E$31:$E$400,MASQ2!O56,'Étape 1 - à remplir'!$P$31:$P$400,X$3)),IF(X$2="Atelier",IF(X$3="Tous",SUMIFS('Étape 1 - à remplir'!$F$31:$F$400,'Étape 1 - à remplir'!$E$31:$E$400,MASQ2!O56,'Étape 1 - à remplir'!$G$31:$G$400,"animaux"),SUMIFS('Étape 1 - à remplir'!$F$31:$F$400,'Étape 1 - à remplir'!$E$31:$E$400,MASQ2!O56,'Étape 1 - à remplir'!$O$31:$O$400,X$3)),IF(X$2="Espèce",IF(X$3="Toutes",SUMIFS('Étape 1 - à remplir'!$F$31:$F$400,'Étape 1 - à remplir'!$E$31:$E$400,MASQ2!O56,'Étape 1 - à remplir'!$G$31:$G$400,"animaux"),SUMIFS('Étape 1 - à remplir'!$F$31:$F$400,'Étape 1 - à remplir'!$E$31:$E$400,MASQ2!O56,'Étape 1 - à remplir'!$N$31:$N$400,X$3))))))=0,NA(),IF(X$2="Catégorie",IF(X$3="Toutes",SUMIFS('Étape 1 - à remplir'!$F$31:$F$400,'Étape 1 - à remplir'!$E$31:$E$400,MASQ2!O56,'Étape 1 - à remplir'!$G$31:$G$400,"animaux"),SUMIFS('Étape 1 - à remplir'!$F$31:$F$400,'Étape 1 - à remplir'!$E$31:$E$400,MASQ2!O56,'Étape 1 - à remplir'!$C$31:$C$400,X$3)),IF(X$2="Âge",IF(X$3="Tous",SUMIFS('Étape 1 - à remplir'!$F$31:$F$400,'Étape 1 - à remplir'!$E$31:$E$400,MASQ2!O56,'Étape 1 - à remplir'!$G$31:$G$400,"animaux"),SUMIFS('Étape 1 - à remplir'!$F$31:$F$400,'Étape 1 - à remplir'!$E$31:$E$400,MASQ2!O56,'Étape 1 - à remplir'!$P$31:$P$400,X$3)),IF(X$2="Atelier",IF(X$3="Tous",SUMIFS('Étape 1 - à remplir'!$F$31:$F$400,'Étape 1 - à remplir'!$E$31:$E$400,MASQ2!O56,'Étape 1 - à remplir'!$G$31:$G$400,"animaux"),SUMIFS('Étape 1 - à remplir'!$F$31:$F$400,'Étape 1 - à remplir'!$E$31:$E$400,MASQ2!O56,'Étape 1 - à remplir'!$O$31:$O$400,X$3)),IF(X$2="Espèce",IF(X$3="Toutes",SUMIFS('Étape 1 - à remplir'!$F$31:$F$400,'Étape 1 - à remplir'!$E$31:$E$400,MASQ2!O56,'Étape 1 - à remplir'!$G$31:$G$400,"animaux"),SUMIFS('Étape 1 - à remplir'!$F$31:$F$400,'Étape 1 - à remplir'!$E$31:$E$400,MASQ2!O56,'Étape 1 - à remplir'!$N$31:$N$400,X$3)))))))</f>
        <v>#N/A</v>
      </c>
      <c r="Q56" s="63">
        <f t="shared" si="62"/>
        <v>0</v>
      </c>
      <c r="R56" t="str">
        <f>Données_ATB!BM55</f>
        <v>Sulfaméthoxypyridazine</v>
      </c>
      <c r="S56" t="str">
        <f>Données_ATB!BN55</f>
        <v>Triméthoprime</v>
      </c>
      <c r="T56" s="63" t="str">
        <f>Données_ATB!BO55</f>
        <v/>
      </c>
      <c r="U56" s="42" t="str">
        <f>Données_ATB!BQ55</f>
        <v>Sulfamides</v>
      </c>
      <c r="V56" t="str">
        <f>Données_ATB!BR55</f>
        <v>Trimethoprime</v>
      </c>
      <c r="W56" s="63" t="str">
        <f>Données_ATB!BS55</f>
        <v/>
      </c>
      <c r="Z56" s="42">
        <v>53</v>
      </c>
      <c r="AA56" t="e">
        <f t="shared" si="32"/>
        <v>#N/A</v>
      </c>
      <c r="AB56" s="63" t="e">
        <f t="shared" si="33"/>
        <v>#N/A</v>
      </c>
      <c r="AD56" s="194" t="str">
        <f>IF(AF56="Colistine","x",IF(INDEX(Données_ATB!CA$3:CB$63,MATCH(AF56,Données_ATB!CA$3:CA$63,0),2)="Fluoroquinolones","x",IF(INDEX(Données_ATB!CA$3:CB$63,MATCH(AF56,Données_ATB!CA$3:CA$63,0),2)="Cephalosporines 3&amp;4G","x","")))</f>
        <v/>
      </c>
      <c r="AE56" s="219" t="str">
        <f>IFERROR(IF(AG56=0,"",COUNTIF(AG$4:AG$64,"&gt;"&amp;AG56)+COUNTIF(AG$4:AG56,AG56)),"")</f>
        <v/>
      </c>
      <c r="AF56" s="42" t="str">
        <f>Données_ATB!CA55</f>
        <v>Thiamphénicol</v>
      </c>
      <c r="AG56" s="63" t="e">
        <f t="shared" si="34"/>
        <v>#N/A</v>
      </c>
      <c r="AH56" s="42">
        <v>53</v>
      </c>
      <c r="AI56" t="e">
        <f t="shared" si="35"/>
        <v>#N/A</v>
      </c>
      <c r="AJ56" s="63" t="e">
        <f t="shared" si="36"/>
        <v>#N/A</v>
      </c>
      <c r="AT56" s="109" t="str">
        <f t="shared" si="125"/>
        <v/>
      </c>
      <c r="AU56" t="str">
        <f>IFERROR(SUMIFS('Étape 1 - à remplir'!$F$31:$F$400,'Étape 1 - à remplir'!$C$31:$C$400,IF($AT56="Lait","*Lait*",IF($AT56="Viande","*Viande*",IF($AT56="Reproduction","*Reproduction*",IF($AT56="Autre","*Autre*",IF($AT56="Loisir","*Loisir*",IF($AT56="Œufs","*Œufs*","")))))),'Étape 1 - à remplir'!$G$31:$G$400,"animaux",'Étape 1 - à remplir'!$M$31:$M$400,MASQ2!AU$43)/SUMIFS('Étape 1 - à remplir'!$F$19:$F$28,'Étape 1 - à remplir'!$D$19:$D$28,MASQ2!$AT56,'Étape 1 - à remplir'!$G$19:$G$28,"animaux"),"")</f>
        <v/>
      </c>
      <c r="AV56" t="str">
        <f>IFERROR(SUMIFS('Étape 1 - à remplir'!$F$31:$F$400,'Étape 1 - à remplir'!$C$31:$C$400,IF($AT56="Lait","*Lait*",IF($AT56="Viande","*Viande*",IF($AT56="Reproduction","*Reproduction*",IF($AT56="Autre","*Autre*",IF($AT56="Loisir","*Loisir*",IF($AT56="Œufs","*Œufs*","")))))),'Étape 1 - à remplir'!$G$31:$G$400,"animaux",'Étape 1 - à remplir'!$M$31:$M$400,MASQ2!AV$43)/SUMIFS('Étape 1 - à remplir'!$F$19:$F$28,'Étape 1 - à remplir'!$D$19:$D$28,MASQ2!$AT56,'Étape 1 - à remplir'!$G$19:$G$28,"animaux"),"")</f>
        <v/>
      </c>
      <c r="AW56" t="str">
        <f>IFERROR(SUMIFS('Étape 1 - à remplir'!$F$31:$F$400,'Étape 1 - à remplir'!$C$31:$C$400,IF($AT56="Lait","*Lait*",IF($AT56="Viande","*Viande*",IF($AT56="Reproduction","*Reproduction*",IF($AT56="Autre","*Autre*",IF($AT56="Loisir","*Loisir*",IF($AT56="Œufs","*Œufs*","")))))),'Étape 1 - à remplir'!$G$31:$G$400,"animaux",'Étape 1 - à remplir'!$M$31:$M$400,MASQ2!AW$43)/SUMIFS('Étape 1 - à remplir'!$F$19:$F$28,'Étape 1 - à remplir'!$D$19:$D$28,MASQ2!$AT56,'Étape 1 - à remplir'!$G$19:$G$28,"animaux"),"")</f>
        <v/>
      </c>
      <c r="AX56" t="str">
        <f>IFERROR(SUMIFS('Étape 1 - à remplir'!$F$31:$F$400,'Étape 1 - à remplir'!$C$31:$C$400,IF($AT56="Lait","*Lait*",IF($AT56="Viande","*Viande*",IF($AT56="Reproduction","*Reproduction*",IF($AT56="Autre","*Autre*",IF($AT56="Loisir","*Loisir*",IF($AT56="Œufs","*Œufs*","")))))),'Étape 1 - à remplir'!$G$31:$G$400,"animaux",'Étape 1 - à remplir'!$M$31:$M$400,MASQ2!AX$43)/SUMIFS('Étape 1 - à remplir'!$F$19:$F$28,'Étape 1 - à remplir'!$D$19:$D$28,MASQ2!$AT56,'Étape 1 - à remplir'!$G$19:$G$28,"animaux"),"")</f>
        <v/>
      </c>
      <c r="AY56" t="str">
        <f>IFERROR(SUMIFS('Étape 1 - à remplir'!$F$31:$F$400,'Étape 1 - à remplir'!$C$31:$C$400,IF($AT56="Lait","*Lait*",IF($AT56="Viande","*Viande*",IF($AT56="Reproduction","*Reproduction*",IF($AT56="Autre","*Autre*",IF($AT56="Loisir","*Loisir*",IF($AT56="Œufs","*Œufs*","")))))),'Étape 1 - à remplir'!$G$31:$G$400,"animaux",'Étape 1 - à remplir'!$M$31:$M$400,MASQ2!AY$43)/SUMIFS('Étape 1 - à remplir'!$F$19:$F$28,'Étape 1 - à remplir'!$D$19:$D$28,MASQ2!$AT56,'Étape 1 - à remplir'!$G$19:$G$28,"animaux"),"")</f>
        <v/>
      </c>
      <c r="AZ56" t="str">
        <f>IFERROR(SUMIFS('Étape 1 - à remplir'!$F$31:$F$400,'Étape 1 - à remplir'!$C$31:$C$400,IF($AT56="Lait","*Lait*",IF($AT56="Viande","*Viande*",IF($AT56="Reproduction","*Reproduction*",IF($AT56="Autre","*Autre*",IF($AT56="Loisir","*Loisir*",IF($AT56="Œufs","*Œufs*","")))))),'Étape 1 - à remplir'!$G$31:$G$400,"animaux",'Étape 1 - à remplir'!$M$31:$M$400,MASQ2!AZ$43)/SUMIFS('Étape 1 - à remplir'!$F$19:$F$28,'Étape 1 - à remplir'!$D$19:$D$28,MASQ2!$AT56,'Étape 1 - à remplir'!$G$19:$G$28,"animaux"),"")</f>
        <v/>
      </c>
      <c r="BA56" t="str">
        <f>IFERROR(SUMIFS('Étape 1 - à remplir'!$F$31:$F$400,'Étape 1 - à remplir'!$C$31:$C$400,IF($AT56="Lait","*Lait*",IF($AT56="Viande","*Viande*",IF($AT56="Reproduction","*Reproduction*",IF($AT56="Autre","*Autre*",IF($AT56="Loisir","*Loisir*",IF($AT56="Œufs","*Œufs*","")))))),'Étape 1 - à remplir'!$G$31:$G$400,"animaux",'Étape 1 - à remplir'!$M$31:$M$400,MASQ2!BA$43)/SUMIFS('Étape 1 - à remplir'!$F$19:$F$28,'Étape 1 - à remplir'!$D$19:$D$28,MASQ2!$AT56,'Étape 1 - à remplir'!$G$19:$G$28,"animaux"),"")</f>
        <v/>
      </c>
      <c r="BB56" t="str">
        <f>IFERROR(SUMIFS('Étape 1 - à remplir'!$F$31:$F$400,'Étape 1 - à remplir'!$C$31:$C$400,IF($AT56="Lait","*Lait*",IF($AT56="Viande","*Viande*",IF($AT56="Reproduction","*Reproduction*",IF($AT56="Autre","*Autre*",IF($AT56="Loisir","*Loisir*",IF($AT56="Œufs","*Œufs*","")))))),'Étape 1 - à remplir'!$G$31:$G$400,"animaux",'Étape 1 - à remplir'!$M$31:$M$400,MASQ2!BB$43)/SUMIFS('Étape 1 - à remplir'!$F$19:$F$28,'Étape 1 - à remplir'!$D$19:$D$28,MASQ2!$AT56,'Étape 1 - à remplir'!$G$19:$G$28,"animaux"),"")</f>
        <v/>
      </c>
      <c r="BC56" t="str">
        <f>IFERROR(SUMIFS('Étape 1 - à remplir'!$F$31:$F$400,'Étape 1 - à remplir'!$C$31:$C$400,IF($AT56="Lait","*Lait*",IF($AT56="Viande","*Viande*",IF($AT56="Reproduction","*Reproduction*",IF($AT56="Autre","*Autre*",IF($AT56="Loisir","*Loisir*",IF($AT56="Œufs","*Œufs*","")))))),'Étape 1 - à remplir'!$G$31:$G$400,"animaux",'Étape 1 - à remplir'!$M$31:$M$400,MASQ2!BC$43)/SUMIFS('Étape 1 - à remplir'!$F$19:$F$28,'Étape 1 - à remplir'!$D$19:$D$28,MASQ2!$AT56,'Étape 1 - à remplir'!$G$19:$G$28,"animaux"),"")</f>
        <v/>
      </c>
      <c r="BD56" t="str">
        <f>IFERROR(SUMIFS('Étape 1 - à remplir'!$F$31:$F$400,'Étape 1 - à remplir'!$C$31:$C$400,IF($AT56="Lait","*Lait*",IF($AT56="Viande","*Viande*",IF($AT56="Reproduction","*Reproduction*",IF($AT56="Autre","*Autre*",IF($AT56="Loisir","*Loisir*",IF($AT56="Œufs","*Œufs*","")))))),'Étape 1 - à remplir'!$G$31:$G$400,"animaux",'Étape 1 - à remplir'!$M$31:$M$400,MASQ2!BD$43)/SUMIFS('Étape 1 - à remplir'!$F$19:$F$28,'Étape 1 - à remplir'!$D$19:$D$28,MASQ2!$AT56,'Étape 1 - à remplir'!$G$19:$G$28,"animaux"),"")</f>
        <v/>
      </c>
      <c r="BE56" t="str">
        <f>IFERROR(SUMIFS('Étape 1 - à remplir'!$F$31:$F$400,'Étape 1 - à remplir'!$C$31:$C$400,IF($AT56="Lait","*Lait*",IF($AT56="Viande","*Viande*",IF($AT56="Reproduction","*Reproduction*",IF($AT56="Autre","*Autre*",IF($AT56="Loisir","*Loisir*",IF($AT56="Œufs","*Œufs*","")))))),'Étape 1 - à remplir'!$G$31:$G$400,"animaux",'Étape 1 - à remplir'!$M$31:$M$400,MASQ2!BE$43)/SUMIFS('Étape 1 - à remplir'!$F$19:$F$28,'Étape 1 - à remplir'!$D$19:$D$28,MASQ2!$AT56,'Étape 1 - à remplir'!$G$19:$G$28,"animaux"),"")</f>
        <v/>
      </c>
      <c r="BF56" s="76" t="str">
        <f>IFERROR(SUMIFS('Étape 1 - à remplir'!$F$31:$F$400,'Étape 1 - à remplir'!$C$31:$C$400,IF($AT56="Lait","*Lait*",IF($AT56="Viande","*Viande*",IF($AT56="Reproduction","*Reproduction*",IF($AT56="Autre","*Autre*",IF($AT56="Loisir","*Loisir*",IF($AT56="Œufs","*Œufs*","")))))),'Étape 1 - à remplir'!$G$31:$G$400,"animaux",'Étape 1 - à remplir'!$M$31:$M$400,MASQ2!BF$43)/SUMIFS('Étape 1 - à remplir'!$F$19:$F$28,'Étape 1 - à remplir'!$D$19:$D$28,MASQ2!$AT56,'Étape 1 - à remplir'!$G$19:$G$28,"animaux"),"")</f>
        <v/>
      </c>
      <c r="BT56" s="194" t="str">
        <f t="shared" ca="1" si="5"/>
        <v/>
      </c>
      <c r="BU56" s="219" t="str">
        <f>IFERROR(IF(BX56=0,"",COUNTIF(BX$4:BX$600,"&gt;"&amp;BX56)+COUNTIF(BX$4:BX56,BX56)),"")</f>
        <v/>
      </c>
      <c r="BV56" s="42" t="str">
        <f t="shared" si="6"/>
        <v>AVEMIX N° 150</v>
      </c>
      <c r="BW56" t="e">
        <f>IF(IF(CE$2="Catégorie",IF(CE$3="Toutes",SUMIFS('Étape 1 - à remplir'!$F$31:$F$400,'Étape 1 - à remplir'!$E$31:$E$400,MASQ2!BV56,'Étape 1 - à remplir'!$G$31:$G$400,"lots"),SUMIFS('Étape 1 - à remplir'!$F$31:$F$400,'Étape 1 - à remplir'!$E$31:$E$400,MASQ2!BV56,'Étape 1 - à remplir'!$C$31:$C$400,CE$3)),IF(CE$2="Âge",IF(CE$3="Tous",SUMIFS('Étape 1 - à remplir'!$F$31:$F$400,'Étape 1 - à remplir'!$E$31:$E$400,MASQ2!BV56,'Étape 1 - à remplir'!$G$31:$G$400,"lots"),SUMIFS('Étape 1 - à remplir'!$F$31:$F$400,'Étape 1 - à remplir'!$E$31:$E$400,MASQ2!BV56,'Étape 1 - à remplir'!$P$31:$P$400,CE$3,'Étape 1 - à remplir'!$G$31:$G$400,"lots")),IF(CE$2="Atelier",IF(CE$3="Tous",SUMIFS('Étape 1 - à remplir'!$F$31:$F$400,'Étape 1 - à remplir'!$E$31:$E$400,MASQ2!BV56,'Étape 1 - à remplir'!$G$31:$G$400,"lots"),SUMIFS('Étape 1 - à remplir'!$F$31:$F$400,'Étape 1 - à remplir'!$E$31:$E$400,MASQ2!BV56,'Étape 1 - à remplir'!$O$31:$O$400,CE$3,'Étape 1 - à remplir'!$G$31:$G$400,"lots")),IF(CE$2="Espèce",IF(CE$3="Toutes",SUMIFS('Étape 1 - à remplir'!$F$31:$F$400,'Étape 1 - à remplir'!$E$31:$E$400,MASQ2!BV56,'Étape 1 - à remplir'!$G$31:$G$400,"lots"),SUMIFS('Étape 1 - à remplir'!$F$31:$F$400,'Étape 1 - à remplir'!$E$31:$E$400,MASQ2!BV56,'Étape 1 - à remplir'!$N$31:$N$400,CE$3,'Étape 1 - à remplir'!$G$31:$G$400,"lots"))))))=0,NA(),IF(CE$2="Catégorie",IF(CE$3="Toutes",SUMIFS('Étape 1 - à remplir'!$F$31:$F$400,'Étape 1 - à remplir'!$E$31:$E$400,MASQ2!BV56,'Étape 1 - à remplir'!$G$31:$G$400,"lots"),SUMIFS('Étape 1 - à remplir'!$F$31:$F$400,'Étape 1 - à remplir'!$E$31:$E$400,MASQ2!BV56,'Étape 1 - à remplir'!$C$31:$C$400,CE$3)),IF(CE$2="Âge",IF(CE$3="Tous",SUMIFS('Étape 1 - à remplir'!$F$31:$F$400,'Étape 1 - à remplir'!$E$31:$E$400,MASQ2!BV56,'Étape 1 - à remplir'!$G$31:$G$400,"lots"),SUMIFS('Étape 1 - à remplir'!$F$31:$F$400,'Étape 1 - à remplir'!$E$31:$E$400,MASQ2!BV56,'Étape 1 - à remplir'!$P$31:$P$400,CE$3,'Étape 1 - à remplir'!$G$31:$G$400,"lots")),IF(CE$2="Atelier",IF(CE$3="Tous",SUMIFS('Étape 1 - à remplir'!$F$31:$F$400,'Étape 1 - à remplir'!$E$31:$E$400,MASQ2!BV56,'Étape 1 - à remplir'!$G$31:$G$400,"lots"),SUMIFS('Étape 1 - à remplir'!$F$31:$F$400,'Étape 1 - à remplir'!$E$31:$E$400,MASQ2!BV56,'Étape 1 - à remplir'!$O$31:$O$400,CE$3,'Étape 1 - à remplir'!$G$31:$G$400,"lots")),IF(CE$2="Espèce",IF(CE$3="Toutes",SUMIFS('Étape 1 - à remplir'!$F$31:$F$400,'Étape 1 - à remplir'!$E$31:$E$400,MASQ2!BV56,'Étape 1 - à remplir'!$G$31:$G$400,"lots"),SUMIFS('Étape 1 - à remplir'!$F$31:$F$400,'Étape 1 - à remplir'!$E$31:$E$400,MASQ2!BV56,'Étape 1 - à remplir'!$N$31:$N$400,CE$3,'Étape 1 - à remplir'!$G$31:$G$400,"lots")))))))</f>
        <v>#N/A</v>
      </c>
      <c r="BX56">
        <f t="shared" si="42"/>
        <v>0</v>
      </c>
      <c r="BY56" t="str">
        <f t="shared" si="7"/>
        <v>Sulfaméthoxypyridazine</v>
      </c>
      <c r="BZ56" t="str">
        <f t="shared" si="8"/>
        <v>Triméthoprime</v>
      </c>
      <c r="CA56" t="str">
        <f t="shared" si="9"/>
        <v/>
      </c>
      <c r="CB56" t="str">
        <f t="shared" si="10"/>
        <v>Sulfamides</v>
      </c>
      <c r="CC56" t="str">
        <f t="shared" si="11"/>
        <v>Trimethoprime</v>
      </c>
      <c r="CD56" s="63" t="str">
        <f t="shared" si="12"/>
        <v/>
      </c>
      <c r="CG56" s="42">
        <v>53</v>
      </c>
      <c r="CH56" s="42" t="e">
        <f t="shared" si="80"/>
        <v>#N/A</v>
      </c>
      <c r="CI56" s="63" t="e">
        <f t="shared" si="81"/>
        <v>#N/A</v>
      </c>
      <c r="CK56" s="194" t="str">
        <f t="shared" si="118"/>
        <v/>
      </c>
      <c r="CL56" s="226" t="str">
        <f>IFERROR(IF(CN56=0,"",COUNTIF(CN$4:CN$64,"&gt;"&amp;CN56)+COUNTIF(CN$4:CN56,CN56)),"")</f>
        <v/>
      </c>
      <c r="CM56" t="str">
        <f t="shared" si="119"/>
        <v>Thiamphénicol</v>
      </c>
      <c r="CN56" s="76" t="e">
        <f t="shared" si="45"/>
        <v>#N/A</v>
      </c>
      <c r="CO56">
        <v>53</v>
      </c>
      <c r="CP56" t="e">
        <f t="shared" si="46"/>
        <v>#N/A</v>
      </c>
      <c r="CQ56" s="63" t="e">
        <f t="shared" si="47"/>
        <v>#N/A</v>
      </c>
      <c r="DA56" s="109" t="str">
        <f t="shared" si="126"/>
        <v/>
      </c>
      <c r="DB56" s="118" t="str">
        <f>IFERROR(SUMIFS('Étape 1 - à remplir'!$F$31:$F$400,'Étape 1 - à remplir'!$C$31:$C$400,IF($DA56="Lait","*Lait*",IF($DA56="Viande","*Viande*",IF($DA56="Reproduction","*Reproduction*",IF($DA56="Autre","*Autre*",IF($DA56="Loisir","*Loisir*",IF($DA56="Œufs","*Œufs*","")))))),'Étape 1 - à remplir'!$G$31:$G$400,"lots",'Étape 1 - à remplir'!$M$31:$M$400,MASQ2!DB$43)/SUMIFS('Étape 1 - à remplir'!$F$19:$F$28,'Étape 1 - à remplir'!$D$19:$D$28,MASQ2!$DA56,'Étape 1 - à remplir'!$G$19:$G$28,"lots"),"")</f>
        <v/>
      </c>
      <c r="DC56" t="str">
        <f>IFERROR(SUMIFS('Étape 1 - à remplir'!$F$31:$F$400,'Étape 1 - à remplir'!$C$31:$C$400,IF($DA56="Lait","*Lait*",IF($DA56="Viande","*Viande*",IF($DA56="Reproduction","*Reproduction*",IF($DA56="Autre","*Autre*",IF($DA56="Loisir","*Loisir*",IF($DA56="Œufs","*Œufs*","")))))),'Étape 1 - à remplir'!$G$31:$G$400,"lots",'Étape 1 - à remplir'!$M$31:$M$400,MASQ2!DC$43)/SUMIFS('Étape 1 - à remplir'!$F$19:$F$28,'Étape 1 - à remplir'!$D$19:$D$28,MASQ2!$DA56,'Étape 1 - à remplir'!$G$19:$G$28,"lots"),"")</f>
        <v/>
      </c>
      <c r="DD56" t="str">
        <f>IFERROR(SUMIFS('Étape 1 - à remplir'!$F$31:$F$400,'Étape 1 - à remplir'!$C$31:$C$400,IF($DA56="Lait","*Lait*",IF($DA56="Viande","*Viande*",IF($DA56="Reproduction","*Reproduction*",IF($DA56="Autre","*Autre*",IF($DA56="Loisir","*Loisir*",IF($DA56="Œufs","*Œufs*","")))))),'Étape 1 - à remplir'!$G$31:$G$400,"lots",'Étape 1 - à remplir'!$M$31:$M$400,MASQ2!DD$43)/SUMIFS('Étape 1 - à remplir'!$F$19:$F$28,'Étape 1 - à remplir'!$D$19:$D$28,MASQ2!$DA56,'Étape 1 - à remplir'!$G$19:$G$28,"lots"),"")</f>
        <v/>
      </c>
      <c r="DE56" t="str">
        <f>IFERROR(SUMIFS('Étape 1 - à remplir'!$F$31:$F$400,'Étape 1 - à remplir'!$C$31:$C$400,IF($DA56="Lait","*Lait*",IF($DA56="Viande","*Viande*",IF($DA56="Reproduction","*Reproduction*",IF($DA56="Autre","*Autre*",IF($DA56="Loisir","*Loisir*",IF($DA56="Œufs","*Œufs*","")))))),'Étape 1 - à remplir'!$G$31:$G$400,"lots",'Étape 1 - à remplir'!$M$31:$M$400,MASQ2!DE$43)/SUMIFS('Étape 1 - à remplir'!$F$19:$F$28,'Étape 1 - à remplir'!$D$19:$D$28,MASQ2!$DA56,'Étape 1 - à remplir'!$G$19:$G$28,"lots"),"")</f>
        <v/>
      </c>
      <c r="DF56" t="str">
        <f>IFERROR(SUMIFS('Étape 1 - à remplir'!$F$31:$F$400,'Étape 1 - à remplir'!$C$31:$C$400,IF($DA56="Lait","*Lait*",IF($DA56="Viande","*Viande*",IF($DA56="Reproduction","*Reproduction*",IF($DA56="Autre","*Autre*",IF($DA56="Loisir","*Loisir*",IF($DA56="Œufs","*Œufs*","")))))),'Étape 1 - à remplir'!$G$31:$G$400,"lots",'Étape 1 - à remplir'!$M$31:$M$400,MASQ2!DF$43)/SUMIFS('Étape 1 - à remplir'!$F$19:$F$28,'Étape 1 - à remplir'!$D$19:$D$28,MASQ2!$DA56,'Étape 1 - à remplir'!$G$19:$G$28,"lots"),"")</f>
        <v/>
      </c>
      <c r="DG56" t="str">
        <f>IFERROR(SUMIFS('Étape 1 - à remplir'!$F$31:$F$400,'Étape 1 - à remplir'!$C$31:$C$400,IF($DA56="Lait","*Lait*",IF($DA56="Viande","*Viande*",IF($DA56="Reproduction","*Reproduction*",IF($DA56="Autre","*Autre*",IF($DA56="Loisir","*Loisir*",IF($DA56="Œufs","*Œufs*","")))))),'Étape 1 - à remplir'!$G$31:$G$400,"lots",'Étape 1 - à remplir'!$M$31:$M$400,MASQ2!DG$43)/SUMIFS('Étape 1 - à remplir'!$F$19:$F$28,'Étape 1 - à remplir'!$D$19:$D$28,MASQ2!$DA56,'Étape 1 - à remplir'!$G$19:$G$28,"lots"),"")</f>
        <v/>
      </c>
      <c r="DH56" t="str">
        <f>IFERROR(SUMIFS('Étape 1 - à remplir'!$F$31:$F$400,'Étape 1 - à remplir'!$C$31:$C$400,IF($DA56="Lait","*Lait*",IF($DA56="Viande","*Viande*",IF($DA56="Reproduction","*Reproduction*",IF($DA56="Autre","*Autre*",IF($DA56="Loisir","*Loisir*",IF($DA56="Œufs","*Œufs*","")))))),'Étape 1 - à remplir'!$G$31:$G$400,"lots",'Étape 1 - à remplir'!$M$31:$M$400,MASQ2!DH$43)/SUMIFS('Étape 1 - à remplir'!$F$19:$F$28,'Étape 1 - à remplir'!$D$19:$D$28,MASQ2!$DA56,'Étape 1 - à remplir'!$G$19:$G$28,"lots"),"")</f>
        <v/>
      </c>
      <c r="DI56" t="str">
        <f>IFERROR(SUMIFS('Étape 1 - à remplir'!$F$31:$F$400,'Étape 1 - à remplir'!$C$31:$C$400,IF($DA56="Lait","*Lait*",IF($DA56="Viande","*Viande*",IF($DA56="Reproduction","*Reproduction*",IF($DA56="Autre","*Autre*",IF($DA56="Loisir","*Loisir*",IF($DA56="Œufs","*Œufs*","")))))),'Étape 1 - à remplir'!$G$31:$G$400,"lots",'Étape 1 - à remplir'!$M$31:$M$400,MASQ2!DI$43)/SUMIFS('Étape 1 - à remplir'!$F$19:$F$28,'Étape 1 - à remplir'!$D$19:$D$28,MASQ2!$DA56,'Étape 1 - à remplir'!$G$19:$G$28,"lots"),"")</f>
        <v/>
      </c>
      <c r="DJ56" t="str">
        <f>IFERROR(SUMIFS('Étape 1 - à remplir'!$F$31:$F$400,'Étape 1 - à remplir'!$C$31:$C$400,IF($DA56="Lait","*Lait*",IF($DA56="Viande","*Viande*",IF($DA56="Reproduction","*Reproduction*",IF($DA56="Autre","*Autre*",IF($DA56="Loisir","*Loisir*",IF($DA56="Œufs","*Œufs*","")))))),'Étape 1 - à remplir'!$G$31:$G$400,"lots",'Étape 1 - à remplir'!$M$31:$M$400,MASQ2!DJ$43)/SUMIFS('Étape 1 - à remplir'!$F$19:$F$28,'Étape 1 - à remplir'!$D$19:$D$28,MASQ2!$DA56,'Étape 1 - à remplir'!$G$19:$G$28,"lots"),"")</f>
        <v/>
      </c>
      <c r="DK56" t="str">
        <f>IFERROR(SUMIFS('Étape 1 - à remplir'!$F$31:$F$400,'Étape 1 - à remplir'!$C$31:$C$400,IF($DA56="Lait","*Lait*",IF($DA56="Viande","*Viande*",IF($DA56="Reproduction","*Reproduction*",IF($DA56="Autre","*Autre*",IF($DA56="Loisir","*Loisir*",IF($DA56="Œufs","*Œufs*","")))))),'Étape 1 - à remplir'!$G$31:$G$400,"lots",'Étape 1 - à remplir'!$M$31:$M$400,MASQ2!DK$43)/SUMIFS('Étape 1 - à remplir'!$F$19:$F$28,'Étape 1 - à remplir'!$D$19:$D$28,MASQ2!$DA56,'Étape 1 - à remplir'!$G$19:$G$28,"lots"),"")</f>
        <v/>
      </c>
      <c r="DL56" t="str">
        <f>IFERROR(SUMIFS('Étape 1 - à remplir'!$F$31:$F$400,'Étape 1 - à remplir'!$C$31:$C$400,IF($DA56="Lait","*Lait*",IF($DA56="Viande","*Viande*",IF($DA56="Reproduction","*Reproduction*",IF($DA56="Autre","*Autre*",IF($DA56="Loisir","*Loisir*",IF($DA56="Œufs","*Œufs*","")))))),'Étape 1 - à remplir'!$G$31:$G$400,"lots",'Étape 1 - à remplir'!$M$31:$M$400,MASQ2!DL$43)/SUMIFS('Étape 1 - à remplir'!$F$19:$F$28,'Étape 1 - à remplir'!$D$19:$D$28,MASQ2!$DA56,'Étape 1 - à remplir'!$G$19:$G$28,"lots"),"")</f>
        <v/>
      </c>
      <c r="DM56" s="76" t="str">
        <f>IFERROR(SUMIFS('Étape 1 - à remplir'!$F$31:$F$400,'Étape 1 - à remplir'!$C$31:$C$400,IF($DA56="Lait","*Lait*",IF($DA56="Viande","*Viande*",IF($DA56="Reproduction","*Reproduction*",IF($DA56="Autre","*Autre*",IF($DA56="Loisir","*Loisir*",IF($DA56="Œufs","*Œufs*","")))))),'Étape 1 - à remplir'!$G$31:$G$400,"lots",'Étape 1 - à remplir'!$M$31:$M$400,MASQ2!DM$43)/SUMIFS('Étape 1 - à remplir'!$F$19:$F$28,'Étape 1 - à remplir'!$D$19:$D$28,MASQ2!$DA56,'Étape 1 - à remplir'!$G$19:$G$28,"lots"),"")</f>
        <v/>
      </c>
      <c r="EA56" s="194" t="str">
        <f t="shared" ca="1" si="18"/>
        <v/>
      </c>
      <c r="EB56" s="226" t="str">
        <f>IFERROR(IF(ED56=0,"",COUNTIF(ED$4:ED$600,"&gt;"&amp;ED56)+COUNTIF(ED$4:ED56,ED56)),"")</f>
        <v/>
      </c>
      <c r="EC56" t="str">
        <f t="shared" si="19"/>
        <v>AVEMIX N° 150</v>
      </c>
      <c r="ED56" t="e">
        <f>IF(IF(EL$2="Catégorie",IF(EL$3="Toutes",SUMIFS('Étape 1 - à remplir'!$F$31:$F$400,'Étape 1 - à remplir'!$E$31:$E$400,MASQ2!EC56,'Étape 1 - à remplir'!$G$31:$G$400,"kg"),SUMIFS('Étape 1 - à remplir'!$F$31:$F$400,'Étape 1 - à remplir'!$E$31:$E$400,MASQ2!EC56,'Étape 1 - à remplir'!$C$31:$C$400,EL$3)),IF(EL$2="Âge",IF(EL$3="Tous",SUMIFS('Étape 1 - à remplir'!$F$31:$F$400,'Étape 1 - à remplir'!$E$31:$E$400,MASQ2!EC56,'Étape 1 - à remplir'!$G$31:$G$400,"kg"),SUMIFS('Étape 1 - à remplir'!$F$31:$F$400,'Étape 1 - à remplir'!$E$31:$E$400,MASQ2!EC56,'Étape 1 - à remplir'!$P$31:$P$400,EL$3,'Étape 1 - à remplir'!$G$31:$G$400,"kg")),IF(EL$2="Atelier",IF(EL$3="Tous",SUMIFS('Étape 1 - à remplir'!$F$31:$F$400,'Étape 1 - à remplir'!$E$31:$E$400,MASQ2!EC56,'Étape 1 - à remplir'!$G$31:$G$400,"kg"),SUMIFS('Étape 1 - à remplir'!$F$31:$F$400,'Étape 1 - à remplir'!$E$31:$E$400,MASQ2!EC56,'Étape 1 - à remplir'!$O$31:$O$400,EL$3,'Étape 1 - à remplir'!$G$31:$G$400,"kg")),IF(EL$2="Espèce",IF(EL$3="Toutes",SUMIFS('Étape 1 - à remplir'!$F$31:$F$400,'Étape 1 - à remplir'!$E$31:$E$400,MASQ2!EC56,'Étape 1 - à remplir'!$G$31:$G$400,"kg"),SUMIFS('Étape 1 - à remplir'!$F$31:$F$400,'Étape 1 - à remplir'!$E$31:$E$400,MASQ2!EC56,'Étape 1 - à remplir'!$N$31:$N$400,EL$3,'Étape 1 - à remplir'!$G$31:$G$400,"kg"))))))=0,NA(),IF(EL$2="Catégorie",IF(EL$3="Toutes",SUMIFS('Étape 1 - à remplir'!$F$31:$F$400,'Étape 1 - à remplir'!$E$31:$E$400,MASQ2!EC56,'Étape 1 - à remplir'!$G$31:$G$400,"kg"),SUMIFS('Étape 1 - à remplir'!$F$31:$F$400,'Étape 1 - à remplir'!$E$31:$E$400,MASQ2!EC56,'Étape 1 - à remplir'!$C$31:$C$400,EL$3)),IF(EL$2="Âge",IF(EL$3="Tous",SUMIFS('Étape 1 - à remplir'!$F$31:$F$400,'Étape 1 - à remplir'!$E$31:$E$400,MASQ2!EC56,'Étape 1 - à remplir'!$G$31:$G$400,"kg"),SUMIFS('Étape 1 - à remplir'!$F$31:$F$400,'Étape 1 - à remplir'!$E$31:$E$400,MASQ2!EC56,'Étape 1 - à remplir'!$P$31:$P$400,EL$3,'Étape 1 - à remplir'!$G$31:$G$400,"kg")),IF(EL$2="Atelier",IF(EL$3="Tous",SUMIFS('Étape 1 - à remplir'!$F$31:$F$400,'Étape 1 - à remplir'!$E$31:$E$400,MASQ2!EC56,'Étape 1 - à remplir'!$G$31:$G$400,"kg"),SUMIFS('Étape 1 - à remplir'!$F$31:$F$400,'Étape 1 - à remplir'!$E$31:$E$400,MASQ2!EC56,'Étape 1 - à remplir'!$O$31:$O$400,EL$3,'Étape 1 - à remplir'!$G$31:$G$400,"kg")),IF(EL$2="Espèce",IF(EL$3="Toutes",SUMIFS('Étape 1 - à remplir'!$F$31:$F$400,'Étape 1 - à remplir'!$E$31:$E$400,MASQ2!EC56,'Étape 1 - à remplir'!$G$31:$G$400,"kg"),SUMIFS('Étape 1 - à remplir'!$F$31:$F$400,'Étape 1 - à remplir'!$E$31:$E$400,MASQ2!EC56,'Étape 1 - à remplir'!$N$31:$N$400,EL$3,'Étape 1 - à remplir'!$G$31:$G$400,"kg")))))))</f>
        <v>#N/A</v>
      </c>
      <c r="EE56" s="76">
        <f t="shared" si="53"/>
        <v>0</v>
      </c>
      <c r="EF56" t="str">
        <f t="shared" si="20"/>
        <v>Sulfaméthoxypyridazine</v>
      </c>
      <c r="EG56" t="str">
        <f t="shared" si="21"/>
        <v>Triméthoprime</v>
      </c>
      <c r="EH56" t="str">
        <f t="shared" si="22"/>
        <v/>
      </c>
      <c r="EI56" t="str">
        <f t="shared" si="23"/>
        <v>Sulfamides</v>
      </c>
      <c r="EJ56" t="str">
        <f t="shared" si="24"/>
        <v>Trimethoprime</v>
      </c>
      <c r="EK56" s="63" t="str">
        <f t="shared" si="25"/>
        <v/>
      </c>
      <c r="EN56" s="42">
        <v>53</v>
      </c>
      <c r="EO56" t="e">
        <f t="shared" si="68"/>
        <v>#N/A</v>
      </c>
      <c r="EP56" s="63" t="e">
        <f t="shared" si="69"/>
        <v>#N/A</v>
      </c>
      <c r="ER56" s="194" t="str">
        <f t="shared" si="120"/>
        <v/>
      </c>
      <c r="ES56" s="226" t="str">
        <f>IFERROR(IF(EU56=0,"",COUNTIF(EU$4:EU$64,"&gt;"&amp;EU56)+COUNTIF(EU$4:EU56,EU56)),"")</f>
        <v/>
      </c>
      <c r="ET56" t="str">
        <f t="shared" si="121"/>
        <v>Thiamphénicol</v>
      </c>
      <c r="EU56" s="76" t="e">
        <f t="shared" si="56"/>
        <v>#N/A</v>
      </c>
      <c r="EV56">
        <v>53</v>
      </c>
      <c r="EW56" t="e">
        <f t="shared" si="57"/>
        <v>#N/A</v>
      </c>
      <c r="EX56" s="63" t="e">
        <f t="shared" si="58"/>
        <v>#N/A</v>
      </c>
      <c r="FH56" s="118" t="str">
        <f t="shared" si="127"/>
        <v/>
      </c>
      <c r="FI56" s="118" t="str">
        <f>IFERROR(SUMIFS('Étape 1 - à remplir'!$F$31:$F$400,'Étape 1 - à remplir'!$C$31:$C$400,IF($FH56="Lait","*Lait*",IF($FH56="Viande","*Viande*",IF($FH56="Reproduction","*Reproduction*",IF($FH56="Autre","*Autre*",IF($FH56="Loisir","*Loisir*",IF($FH56="Œufs","*Œufs*","")))))),'Étape 1 - à remplir'!$G$31:$G$400,"kg",'Étape 1 - à remplir'!$M$31:$M$400,MASQ2!FI$43)/SUMIFS('Étape 1 - à remplir'!$F$19:$F$28,'Étape 1 - à remplir'!$D$19:$D$28,MASQ2!$FH56,'Étape 1 - à remplir'!$G$19:$G$28,"kg"),"")</f>
        <v/>
      </c>
      <c r="FJ56" t="str">
        <f>IFERROR(SUMIFS('Étape 1 - à remplir'!$F$31:$F$400,'Étape 1 - à remplir'!$C$31:$C$400,IF($FH56="Lait","*Lait*",IF($FH56="Viande","*Viande*",IF($FH56="Reproduction","*Reproduction*",IF($FH56="Autre","*Autre*",IF($FH56="Loisir","*Loisir*",IF($FH56="Œufs","*Œufs*","")))))),'Étape 1 - à remplir'!$G$31:$G$400,"kg",'Étape 1 - à remplir'!$M$31:$M$400,MASQ2!FJ$43)/SUMIFS('Étape 1 - à remplir'!$F$19:$F$28,'Étape 1 - à remplir'!$D$19:$D$28,MASQ2!$FH56,'Étape 1 - à remplir'!$G$19:$G$28,"kg"),"")</f>
        <v/>
      </c>
      <c r="FK56" t="str">
        <f>IFERROR(SUMIFS('Étape 1 - à remplir'!$F$31:$F$400,'Étape 1 - à remplir'!$C$31:$C$400,IF($FH56="Lait","*Lait*",IF($FH56="Viande","*Viande*",IF($FH56="Reproduction","*Reproduction*",IF($FH56="Autre","*Autre*",IF($FH56="Loisir","*Loisir*",IF($FH56="Œufs","*Œufs*","")))))),'Étape 1 - à remplir'!$G$31:$G$400,"kg",'Étape 1 - à remplir'!$M$31:$M$400,MASQ2!FK$43)/SUMIFS('Étape 1 - à remplir'!$F$19:$F$28,'Étape 1 - à remplir'!$D$19:$D$28,MASQ2!$FH56,'Étape 1 - à remplir'!$G$19:$G$28,"kg"),"")</f>
        <v/>
      </c>
      <c r="FL56" t="str">
        <f>IFERROR(SUMIFS('Étape 1 - à remplir'!$F$31:$F$400,'Étape 1 - à remplir'!$C$31:$C$400,IF($FH56="Lait","*Lait*",IF($FH56="Viande","*Viande*",IF($FH56="Reproduction","*Reproduction*",IF($FH56="Autre","*Autre*",IF($FH56="Loisir","*Loisir*",IF($FH56="Œufs","*Œufs*","")))))),'Étape 1 - à remplir'!$G$31:$G$400,"kg",'Étape 1 - à remplir'!$M$31:$M$400,MASQ2!FL$43)/SUMIFS('Étape 1 - à remplir'!$F$19:$F$28,'Étape 1 - à remplir'!$D$19:$D$28,MASQ2!$FH56,'Étape 1 - à remplir'!$G$19:$G$28,"kg"),"")</f>
        <v/>
      </c>
      <c r="FM56" t="str">
        <f>IFERROR(SUMIFS('Étape 1 - à remplir'!$F$31:$F$400,'Étape 1 - à remplir'!$C$31:$C$400,IF($FH56="Lait","*Lait*",IF($FH56="Viande","*Viande*",IF($FH56="Reproduction","*Reproduction*",IF($FH56="Autre","*Autre*",IF($FH56="Loisir","*Loisir*",IF($FH56="Œufs","*Œufs*","")))))),'Étape 1 - à remplir'!$G$31:$G$400,"kg",'Étape 1 - à remplir'!$M$31:$M$400,MASQ2!FM$43)/SUMIFS('Étape 1 - à remplir'!$F$19:$F$28,'Étape 1 - à remplir'!$D$19:$D$28,MASQ2!$FH56,'Étape 1 - à remplir'!$G$19:$G$28,"kg"),"")</f>
        <v/>
      </c>
      <c r="FN56" t="str">
        <f>IFERROR(SUMIFS('Étape 1 - à remplir'!$F$31:$F$400,'Étape 1 - à remplir'!$C$31:$C$400,IF($FH56="Lait","*Lait*",IF($FH56="Viande","*Viande*",IF($FH56="Reproduction","*Reproduction*",IF($FH56="Autre","*Autre*",IF($FH56="Loisir","*Loisir*",IF($FH56="Œufs","*Œufs*","")))))),'Étape 1 - à remplir'!$G$31:$G$400,"kg",'Étape 1 - à remplir'!$M$31:$M$400,MASQ2!FN$43)/SUMIFS('Étape 1 - à remplir'!$F$19:$F$28,'Étape 1 - à remplir'!$D$19:$D$28,MASQ2!$FH56,'Étape 1 - à remplir'!$G$19:$G$28,"kg"),"")</f>
        <v/>
      </c>
      <c r="FO56" t="str">
        <f>IFERROR(SUMIFS('Étape 1 - à remplir'!$F$31:$F$400,'Étape 1 - à remplir'!$C$31:$C$400,IF($FH56="Lait","*Lait*",IF($FH56="Viande","*Viande*",IF($FH56="Reproduction","*Reproduction*",IF($FH56="Autre","*Autre*",IF($FH56="Loisir","*Loisir*",IF($FH56="Œufs","*Œufs*","")))))),'Étape 1 - à remplir'!$G$31:$G$400,"kg",'Étape 1 - à remplir'!$M$31:$M$400,MASQ2!FO$43)/SUMIFS('Étape 1 - à remplir'!$F$19:$F$28,'Étape 1 - à remplir'!$D$19:$D$28,MASQ2!$FH56,'Étape 1 - à remplir'!$G$19:$G$28,"kg"),"")</f>
        <v/>
      </c>
      <c r="FP56" t="str">
        <f>IFERROR(SUMIFS('Étape 1 - à remplir'!$F$31:$F$400,'Étape 1 - à remplir'!$C$31:$C$400,IF($FH56="Lait","*Lait*",IF($FH56="Viande","*Viande*",IF($FH56="Reproduction","*Reproduction*",IF($FH56="Autre","*Autre*",IF($FH56="Loisir","*Loisir*",IF($FH56="Œufs","*Œufs*","")))))),'Étape 1 - à remplir'!$G$31:$G$400,"kg",'Étape 1 - à remplir'!$M$31:$M$400,MASQ2!FP$43)/SUMIFS('Étape 1 - à remplir'!$F$19:$F$28,'Étape 1 - à remplir'!$D$19:$D$28,MASQ2!$FH56,'Étape 1 - à remplir'!$G$19:$G$28,"kg"),"")</f>
        <v/>
      </c>
      <c r="FQ56" t="str">
        <f>IFERROR(SUMIFS('Étape 1 - à remplir'!$F$31:$F$400,'Étape 1 - à remplir'!$C$31:$C$400,IF($FH56="Lait","*Lait*",IF($FH56="Viande","*Viande*",IF($FH56="Reproduction","*Reproduction*",IF($FH56="Autre","*Autre*",IF($FH56="Loisir","*Loisir*",IF($FH56="Œufs","*Œufs*","")))))),'Étape 1 - à remplir'!$G$31:$G$400,"kg",'Étape 1 - à remplir'!$M$31:$M$400,MASQ2!FQ$43)/SUMIFS('Étape 1 - à remplir'!$F$19:$F$28,'Étape 1 - à remplir'!$D$19:$D$28,MASQ2!$FH56,'Étape 1 - à remplir'!$G$19:$G$28,"kg"),"")</f>
        <v/>
      </c>
      <c r="FR56" t="str">
        <f>IFERROR(SUMIFS('Étape 1 - à remplir'!$F$31:$F$400,'Étape 1 - à remplir'!$C$31:$C$400,IF($FH56="Lait","*Lait*",IF($FH56="Viande","*Viande*",IF($FH56="Reproduction","*Reproduction*",IF($FH56="Autre","*Autre*",IF($FH56="Loisir","*Loisir*",IF($FH56="Œufs","*Œufs*","")))))),'Étape 1 - à remplir'!$G$31:$G$400,"kg",'Étape 1 - à remplir'!$M$31:$M$400,MASQ2!FR$43)/SUMIFS('Étape 1 - à remplir'!$F$19:$F$28,'Étape 1 - à remplir'!$D$19:$D$28,MASQ2!$FH56,'Étape 1 - à remplir'!$G$19:$G$28,"kg"),"")</f>
        <v/>
      </c>
      <c r="FS56" t="str">
        <f>IFERROR(SUMIFS('Étape 1 - à remplir'!$F$31:$F$400,'Étape 1 - à remplir'!$C$31:$C$400,IF($FH56="Lait","*Lait*",IF($FH56="Viande","*Viande*",IF($FH56="Reproduction","*Reproduction*",IF($FH56="Autre","*Autre*",IF($FH56="Loisir","*Loisir*",IF($FH56="Œufs","*Œufs*","")))))),'Étape 1 - à remplir'!$G$31:$G$400,"kg",'Étape 1 - à remplir'!$M$31:$M$400,MASQ2!FS$43)/SUMIFS('Étape 1 - à remplir'!$F$19:$F$28,'Étape 1 - à remplir'!$D$19:$D$28,MASQ2!$FH56,'Étape 1 - à remplir'!$G$19:$G$28,"kg"),"")</f>
        <v/>
      </c>
      <c r="FT56" s="76" t="str">
        <f>IFERROR(SUMIFS('Étape 1 - à remplir'!$F$31:$F$400,'Étape 1 - à remplir'!$C$31:$C$400,IF($FH56="Lait","*Lait*",IF($FH56="Viande","*Viande*",IF($FH56="Reproduction","*Reproduction*",IF($FH56="Autre","*Autre*",IF($FH56="Loisir","*Loisir*",IF($FH56="Œufs","*Œufs*","")))))),'Étape 1 - à remplir'!$G$31:$G$400,"kg",'Étape 1 - à remplir'!$M$31:$M$400,MASQ2!FT$43)/SUMIFS('Étape 1 - à remplir'!$F$19:$F$28,'Étape 1 - à remplir'!$D$19:$D$28,MASQ2!$FH56,'Étape 1 - à remplir'!$G$19:$G$28,"kg"),"")</f>
        <v/>
      </c>
    </row>
    <row r="57" spans="2:176" x14ac:dyDescent="0.3">
      <c r="B57" s="42"/>
      <c r="M57" s="194" t="str">
        <f ca="1">INDEX(Données_ATB!BD:BU,MATCH(MASQ2!O57,Données_ATB!BD:BD,0),18)</f>
        <v/>
      </c>
      <c r="N57" s="14" t="str">
        <f>IFERROR(IF(Q57=0,"",COUNTIF(Q$4:Q$600,"&gt;"&amp;Q57)+COUNTIF(Q$4:Q57,Q57)),"")</f>
        <v/>
      </c>
      <c r="O57" t="str">
        <f>Données_ATB!BD56</f>
        <v>AVIPEN</v>
      </c>
      <c r="P57" t="e">
        <f>IF(IF(X$2="Catégorie",IF(X$3="Toutes",SUMIFS('Étape 1 - à remplir'!$F$31:$F$400,'Étape 1 - à remplir'!$E$31:$E$400,MASQ2!O57,'Étape 1 - à remplir'!$G$31:$G$400,"animaux"),SUMIFS('Étape 1 - à remplir'!$F$31:$F$400,'Étape 1 - à remplir'!$E$31:$E$400,MASQ2!O57,'Étape 1 - à remplir'!$C$31:$C$400,X$3)),IF(X$2="Âge",IF(X$3="Tous",SUMIFS('Étape 1 - à remplir'!$F$31:$F$400,'Étape 1 - à remplir'!$E$31:$E$400,MASQ2!O57,'Étape 1 - à remplir'!$G$31:$G$400,"animaux"),SUMIFS('Étape 1 - à remplir'!$F$31:$F$400,'Étape 1 - à remplir'!$E$31:$E$400,MASQ2!O57,'Étape 1 - à remplir'!$P$31:$P$400,X$3)),IF(X$2="Atelier",IF(X$3="Tous",SUMIFS('Étape 1 - à remplir'!$F$31:$F$400,'Étape 1 - à remplir'!$E$31:$E$400,MASQ2!O57,'Étape 1 - à remplir'!$G$31:$G$400,"animaux"),SUMIFS('Étape 1 - à remplir'!$F$31:$F$400,'Étape 1 - à remplir'!$E$31:$E$400,MASQ2!O57,'Étape 1 - à remplir'!$O$31:$O$400,X$3)),IF(X$2="Espèce",IF(X$3="Toutes",SUMIFS('Étape 1 - à remplir'!$F$31:$F$400,'Étape 1 - à remplir'!$E$31:$E$400,MASQ2!O57,'Étape 1 - à remplir'!$G$31:$G$400,"animaux"),SUMIFS('Étape 1 - à remplir'!$F$31:$F$400,'Étape 1 - à remplir'!$E$31:$E$400,MASQ2!O57,'Étape 1 - à remplir'!$N$31:$N$400,X$3))))))=0,NA(),IF(X$2="Catégorie",IF(X$3="Toutes",SUMIFS('Étape 1 - à remplir'!$F$31:$F$400,'Étape 1 - à remplir'!$E$31:$E$400,MASQ2!O57,'Étape 1 - à remplir'!$G$31:$G$400,"animaux"),SUMIFS('Étape 1 - à remplir'!$F$31:$F$400,'Étape 1 - à remplir'!$E$31:$E$400,MASQ2!O57,'Étape 1 - à remplir'!$C$31:$C$400,X$3)),IF(X$2="Âge",IF(X$3="Tous",SUMIFS('Étape 1 - à remplir'!$F$31:$F$400,'Étape 1 - à remplir'!$E$31:$E$400,MASQ2!O57,'Étape 1 - à remplir'!$G$31:$G$400,"animaux"),SUMIFS('Étape 1 - à remplir'!$F$31:$F$400,'Étape 1 - à remplir'!$E$31:$E$400,MASQ2!O57,'Étape 1 - à remplir'!$P$31:$P$400,X$3)),IF(X$2="Atelier",IF(X$3="Tous",SUMIFS('Étape 1 - à remplir'!$F$31:$F$400,'Étape 1 - à remplir'!$E$31:$E$400,MASQ2!O57,'Étape 1 - à remplir'!$G$31:$G$400,"animaux"),SUMIFS('Étape 1 - à remplir'!$F$31:$F$400,'Étape 1 - à remplir'!$E$31:$E$400,MASQ2!O57,'Étape 1 - à remplir'!$O$31:$O$400,X$3)),IF(X$2="Espèce",IF(X$3="Toutes",SUMIFS('Étape 1 - à remplir'!$F$31:$F$400,'Étape 1 - à remplir'!$E$31:$E$400,MASQ2!O57,'Étape 1 - à remplir'!$G$31:$G$400,"animaux"),SUMIFS('Étape 1 - à remplir'!$F$31:$F$400,'Étape 1 - à remplir'!$E$31:$E$400,MASQ2!O57,'Étape 1 - à remplir'!$N$31:$N$400,X$3)))))))</f>
        <v>#N/A</v>
      </c>
      <c r="Q57" s="63">
        <f t="shared" si="62"/>
        <v>0</v>
      </c>
      <c r="R57" t="str">
        <f>Données_ATB!BM56</f>
        <v>Phénoxyméthylpénicilline</v>
      </c>
      <c r="S57" t="str">
        <f>Données_ATB!BN56</f>
        <v/>
      </c>
      <c r="T57" s="63" t="str">
        <f>Données_ATB!BO56</f>
        <v/>
      </c>
      <c r="U57" s="42" t="str">
        <f>Données_ATB!BQ56</f>
        <v>Penicillines</v>
      </c>
      <c r="V57" t="str">
        <f>Données_ATB!BR56</f>
        <v/>
      </c>
      <c r="W57" s="63" t="str">
        <f>Données_ATB!BS56</f>
        <v/>
      </c>
      <c r="Z57" s="42">
        <v>54</v>
      </c>
      <c r="AA57" t="e">
        <f t="shared" si="32"/>
        <v>#N/A</v>
      </c>
      <c r="AB57" s="63" t="e">
        <f t="shared" si="33"/>
        <v>#N/A</v>
      </c>
      <c r="AD57" s="194" t="str">
        <f>IF(AF57="Colistine","x",IF(INDEX(Données_ATB!CA$3:CB$63,MATCH(AF57,Données_ATB!CA$3:CA$63,0),2)="Fluoroquinolones","x",IF(INDEX(Données_ATB!CA$3:CB$63,MATCH(AF57,Données_ATB!CA$3:CA$63,0),2)="Cephalosporines 3&amp;4G","x","")))</f>
        <v/>
      </c>
      <c r="AE57" s="219" t="str">
        <f>IFERROR(IF(AG57=0,"",COUNTIF(AG$4:AG$64,"&gt;"&amp;AG57)+COUNTIF(AG$4:AG57,AG57)),"")</f>
        <v/>
      </c>
      <c r="AF57" s="42" t="str">
        <f>Données_ATB!CA56</f>
        <v>Tiamuline</v>
      </c>
      <c r="AG57" s="63" t="e">
        <f t="shared" si="34"/>
        <v>#N/A</v>
      </c>
      <c r="AH57" s="42">
        <v>54</v>
      </c>
      <c r="AI57" t="e">
        <f t="shared" si="35"/>
        <v>#N/A</v>
      </c>
      <c r="AJ57" s="63" t="e">
        <f t="shared" si="36"/>
        <v>#N/A</v>
      </c>
      <c r="AT57" s="109" t="str">
        <f t="shared" si="125"/>
        <v/>
      </c>
      <c r="AU57" t="str">
        <f>IFERROR(SUMIFS('Étape 1 - à remplir'!$F$31:$F$400,'Étape 1 - à remplir'!$C$31:$C$400,IF($AT57="Lait","*Lait*",IF($AT57="Viande","*Viande*",IF($AT57="Reproduction","*Reproduction*",IF($AT57="Autre","*Autre*",IF($AT57="Loisir","*Loisir*",IF($AT57="Œufs","*Œufs*","")))))),'Étape 1 - à remplir'!$G$31:$G$400,"animaux",'Étape 1 - à remplir'!$M$31:$M$400,MASQ2!AU$43)/SUMIFS('Étape 1 - à remplir'!$F$19:$F$28,'Étape 1 - à remplir'!$D$19:$D$28,MASQ2!$AT57,'Étape 1 - à remplir'!$G$19:$G$28,"animaux"),"")</f>
        <v/>
      </c>
      <c r="AV57" t="str">
        <f>IFERROR(SUMIFS('Étape 1 - à remplir'!$F$31:$F$400,'Étape 1 - à remplir'!$C$31:$C$400,IF($AT57="Lait","*Lait*",IF($AT57="Viande","*Viande*",IF($AT57="Reproduction","*Reproduction*",IF($AT57="Autre","*Autre*",IF($AT57="Loisir","*Loisir*",IF($AT57="Œufs","*Œufs*","")))))),'Étape 1 - à remplir'!$G$31:$G$400,"animaux",'Étape 1 - à remplir'!$M$31:$M$400,MASQ2!AV$43)/SUMIFS('Étape 1 - à remplir'!$F$19:$F$28,'Étape 1 - à remplir'!$D$19:$D$28,MASQ2!$AT57,'Étape 1 - à remplir'!$G$19:$G$28,"animaux"),"")</f>
        <v/>
      </c>
      <c r="AW57" t="str">
        <f>IFERROR(SUMIFS('Étape 1 - à remplir'!$F$31:$F$400,'Étape 1 - à remplir'!$C$31:$C$400,IF($AT57="Lait","*Lait*",IF($AT57="Viande","*Viande*",IF($AT57="Reproduction","*Reproduction*",IF($AT57="Autre","*Autre*",IF($AT57="Loisir","*Loisir*",IF($AT57="Œufs","*Œufs*","")))))),'Étape 1 - à remplir'!$G$31:$G$400,"animaux",'Étape 1 - à remplir'!$M$31:$M$400,MASQ2!AW$43)/SUMIFS('Étape 1 - à remplir'!$F$19:$F$28,'Étape 1 - à remplir'!$D$19:$D$28,MASQ2!$AT57,'Étape 1 - à remplir'!$G$19:$G$28,"animaux"),"")</f>
        <v/>
      </c>
      <c r="AX57" t="str">
        <f>IFERROR(SUMIFS('Étape 1 - à remplir'!$F$31:$F$400,'Étape 1 - à remplir'!$C$31:$C$400,IF($AT57="Lait","*Lait*",IF($AT57="Viande","*Viande*",IF($AT57="Reproduction","*Reproduction*",IF($AT57="Autre","*Autre*",IF($AT57="Loisir","*Loisir*",IF($AT57="Œufs","*Œufs*","")))))),'Étape 1 - à remplir'!$G$31:$G$400,"animaux",'Étape 1 - à remplir'!$M$31:$M$400,MASQ2!AX$43)/SUMIFS('Étape 1 - à remplir'!$F$19:$F$28,'Étape 1 - à remplir'!$D$19:$D$28,MASQ2!$AT57,'Étape 1 - à remplir'!$G$19:$G$28,"animaux"),"")</f>
        <v/>
      </c>
      <c r="AY57" t="str">
        <f>IFERROR(SUMIFS('Étape 1 - à remplir'!$F$31:$F$400,'Étape 1 - à remplir'!$C$31:$C$400,IF($AT57="Lait","*Lait*",IF($AT57="Viande","*Viande*",IF($AT57="Reproduction","*Reproduction*",IF($AT57="Autre","*Autre*",IF($AT57="Loisir","*Loisir*",IF($AT57="Œufs","*Œufs*","")))))),'Étape 1 - à remplir'!$G$31:$G$400,"animaux",'Étape 1 - à remplir'!$M$31:$M$400,MASQ2!AY$43)/SUMIFS('Étape 1 - à remplir'!$F$19:$F$28,'Étape 1 - à remplir'!$D$19:$D$28,MASQ2!$AT57,'Étape 1 - à remplir'!$G$19:$G$28,"animaux"),"")</f>
        <v/>
      </c>
      <c r="AZ57" t="str">
        <f>IFERROR(SUMIFS('Étape 1 - à remplir'!$F$31:$F$400,'Étape 1 - à remplir'!$C$31:$C$400,IF($AT57="Lait","*Lait*",IF($AT57="Viande","*Viande*",IF($AT57="Reproduction","*Reproduction*",IF($AT57="Autre","*Autre*",IF($AT57="Loisir","*Loisir*",IF($AT57="Œufs","*Œufs*","")))))),'Étape 1 - à remplir'!$G$31:$G$400,"animaux",'Étape 1 - à remplir'!$M$31:$M$400,MASQ2!AZ$43)/SUMIFS('Étape 1 - à remplir'!$F$19:$F$28,'Étape 1 - à remplir'!$D$19:$D$28,MASQ2!$AT57,'Étape 1 - à remplir'!$G$19:$G$28,"animaux"),"")</f>
        <v/>
      </c>
      <c r="BA57" t="str">
        <f>IFERROR(SUMIFS('Étape 1 - à remplir'!$F$31:$F$400,'Étape 1 - à remplir'!$C$31:$C$400,IF($AT57="Lait","*Lait*",IF($AT57="Viande","*Viande*",IF($AT57="Reproduction","*Reproduction*",IF($AT57="Autre","*Autre*",IF($AT57="Loisir","*Loisir*",IF($AT57="Œufs","*Œufs*","")))))),'Étape 1 - à remplir'!$G$31:$G$400,"animaux",'Étape 1 - à remplir'!$M$31:$M$400,MASQ2!BA$43)/SUMIFS('Étape 1 - à remplir'!$F$19:$F$28,'Étape 1 - à remplir'!$D$19:$D$28,MASQ2!$AT57,'Étape 1 - à remplir'!$G$19:$G$28,"animaux"),"")</f>
        <v/>
      </c>
      <c r="BB57" t="str">
        <f>IFERROR(SUMIFS('Étape 1 - à remplir'!$F$31:$F$400,'Étape 1 - à remplir'!$C$31:$C$400,IF($AT57="Lait","*Lait*",IF($AT57="Viande","*Viande*",IF($AT57="Reproduction","*Reproduction*",IF($AT57="Autre","*Autre*",IF($AT57="Loisir","*Loisir*",IF($AT57="Œufs","*Œufs*","")))))),'Étape 1 - à remplir'!$G$31:$G$400,"animaux",'Étape 1 - à remplir'!$M$31:$M$400,MASQ2!BB$43)/SUMIFS('Étape 1 - à remplir'!$F$19:$F$28,'Étape 1 - à remplir'!$D$19:$D$28,MASQ2!$AT57,'Étape 1 - à remplir'!$G$19:$G$28,"animaux"),"")</f>
        <v/>
      </c>
      <c r="BC57" t="str">
        <f>IFERROR(SUMIFS('Étape 1 - à remplir'!$F$31:$F$400,'Étape 1 - à remplir'!$C$31:$C$400,IF($AT57="Lait","*Lait*",IF($AT57="Viande","*Viande*",IF($AT57="Reproduction","*Reproduction*",IF($AT57="Autre","*Autre*",IF($AT57="Loisir","*Loisir*",IF($AT57="Œufs","*Œufs*","")))))),'Étape 1 - à remplir'!$G$31:$G$400,"animaux",'Étape 1 - à remplir'!$M$31:$M$400,MASQ2!BC$43)/SUMIFS('Étape 1 - à remplir'!$F$19:$F$28,'Étape 1 - à remplir'!$D$19:$D$28,MASQ2!$AT57,'Étape 1 - à remplir'!$G$19:$G$28,"animaux"),"")</f>
        <v/>
      </c>
      <c r="BD57" t="str">
        <f>IFERROR(SUMIFS('Étape 1 - à remplir'!$F$31:$F$400,'Étape 1 - à remplir'!$C$31:$C$400,IF($AT57="Lait","*Lait*",IF($AT57="Viande","*Viande*",IF($AT57="Reproduction","*Reproduction*",IF($AT57="Autre","*Autre*",IF($AT57="Loisir","*Loisir*",IF($AT57="Œufs","*Œufs*","")))))),'Étape 1 - à remplir'!$G$31:$G$400,"animaux",'Étape 1 - à remplir'!$M$31:$M$400,MASQ2!BD$43)/SUMIFS('Étape 1 - à remplir'!$F$19:$F$28,'Étape 1 - à remplir'!$D$19:$D$28,MASQ2!$AT57,'Étape 1 - à remplir'!$G$19:$G$28,"animaux"),"")</f>
        <v/>
      </c>
      <c r="BE57" t="str">
        <f>IFERROR(SUMIFS('Étape 1 - à remplir'!$F$31:$F$400,'Étape 1 - à remplir'!$C$31:$C$400,IF($AT57="Lait","*Lait*",IF($AT57="Viande","*Viande*",IF($AT57="Reproduction","*Reproduction*",IF($AT57="Autre","*Autre*",IF($AT57="Loisir","*Loisir*",IF($AT57="Œufs","*Œufs*","")))))),'Étape 1 - à remplir'!$G$31:$G$400,"animaux",'Étape 1 - à remplir'!$M$31:$M$400,MASQ2!BE$43)/SUMIFS('Étape 1 - à remplir'!$F$19:$F$28,'Étape 1 - à remplir'!$D$19:$D$28,MASQ2!$AT57,'Étape 1 - à remplir'!$G$19:$G$28,"animaux"),"")</f>
        <v/>
      </c>
      <c r="BF57" s="76" t="str">
        <f>IFERROR(SUMIFS('Étape 1 - à remplir'!$F$31:$F$400,'Étape 1 - à remplir'!$C$31:$C$400,IF($AT57="Lait","*Lait*",IF($AT57="Viande","*Viande*",IF($AT57="Reproduction","*Reproduction*",IF($AT57="Autre","*Autre*",IF($AT57="Loisir","*Loisir*",IF($AT57="Œufs","*Œufs*","")))))),'Étape 1 - à remplir'!$G$31:$G$400,"animaux",'Étape 1 - à remplir'!$M$31:$M$400,MASQ2!BF$43)/SUMIFS('Étape 1 - à remplir'!$F$19:$F$28,'Étape 1 - à remplir'!$D$19:$D$28,MASQ2!$AT57,'Étape 1 - à remplir'!$G$19:$G$28,"animaux"),"")</f>
        <v/>
      </c>
      <c r="BT57" s="194" t="str">
        <f t="shared" ca="1" si="5"/>
        <v/>
      </c>
      <c r="BU57" s="219" t="str">
        <f>IFERROR(IF(BX57=0,"",COUNTIF(BX$4:BX$600,"&gt;"&amp;BX57)+COUNTIF(BX$4:BX57,BX57)),"")</f>
        <v/>
      </c>
      <c r="BV57" s="42" t="str">
        <f t="shared" si="6"/>
        <v>AVIPEN</v>
      </c>
      <c r="BW57" t="e">
        <f>IF(IF(CE$2="Catégorie",IF(CE$3="Toutes",SUMIFS('Étape 1 - à remplir'!$F$31:$F$400,'Étape 1 - à remplir'!$E$31:$E$400,MASQ2!BV57,'Étape 1 - à remplir'!$G$31:$G$400,"lots"),SUMIFS('Étape 1 - à remplir'!$F$31:$F$400,'Étape 1 - à remplir'!$E$31:$E$400,MASQ2!BV57,'Étape 1 - à remplir'!$C$31:$C$400,CE$3)),IF(CE$2="Âge",IF(CE$3="Tous",SUMIFS('Étape 1 - à remplir'!$F$31:$F$400,'Étape 1 - à remplir'!$E$31:$E$400,MASQ2!BV57,'Étape 1 - à remplir'!$G$31:$G$400,"lots"),SUMIFS('Étape 1 - à remplir'!$F$31:$F$400,'Étape 1 - à remplir'!$E$31:$E$400,MASQ2!BV57,'Étape 1 - à remplir'!$P$31:$P$400,CE$3,'Étape 1 - à remplir'!$G$31:$G$400,"lots")),IF(CE$2="Atelier",IF(CE$3="Tous",SUMIFS('Étape 1 - à remplir'!$F$31:$F$400,'Étape 1 - à remplir'!$E$31:$E$400,MASQ2!BV57,'Étape 1 - à remplir'!$G$31:$G$400,"lots"),SUMIFS('Étape 1 - à remplir'!$F$31:$F$400,'Étape 1 - à remplir'!$E$31:$E$400,MASQ2!BV57,'Étape 1 - à remplir'!$O$31:$O$400,CE$3,'Étape 1 - à remplir'!$G$31:$G$400,"lots")),IF(CE$2="Espèce",IF(CE$3="Toutes",SUMIFS('Étape 1 - à remplir'!$F$31:$F$400,'Étape 1 - à remplir'!$E$31:$E$400,MASQ2!BV57,'Étape 1 - à remplir'!$G$31:$G$400,"lots"),SUMIFS('Étape 1 - à remplir'!$F$31:$F$400,'Étape 1 - à remplir'!$E$31:$E$400,MASQ2!BV57,'Étape 1 - à remplir'!$N$31:$N$400,CE$3,'Étape 1 - à remplir'!$G$31:$G$400,"lots"))))))=0,NA(),IF(CE$2="Catégorie",IF(CE$3="Toutes",SUMIFS('Étape 1 - à remplir'!$F$31:$F$400,'Étape 1 - à remplir'!$E$31:$E$400,MASQ2!BV57,'Étape 1 - à remplir'!$G$31:$G$400,"lots"),SUMIFS('Étape 1 - à remplir'!$F$31:$F$400,'Étape 1 - à remplir'!$E$31:$E$400,MASQ2!BV57,'Étape 1 - à remplir'!$C$31:$C$400,CE$3)),IF(CE$2="Âge",IF(CE$3="Tous",SUMIFS('Étape 1 - à remplir'!$F$31:$F$400,'Étape 1 - à remplir'!$E$31:$E$400,MASQ2!BV57,'Étape 1 - à remplir'!$G$31:$G$400,"lots"),SUMIFS('Étape 1 - à remplir'!$F$31:$F$400,'Étape 1 - à remplir'!$E$31:$E$400,MASQ2!BV57,'Étape 1 - à remplir'!$P$31:$P$400,CE$3,'Étape 1 - à remplir'!$G$31:$G$400,"lots")),IF(CE$2="Atelier",IF(CE$3="Tous",SUMIFS('Étape 1 - à remplir'!$F$31:$F$400,'Étape 1 - à remplir'!$E$31:$E$400,MASQ2!BV57,'Étape 1 - à remplir'!$G$31:$G$400,"lots"),SUMIFS('Étape 1 - à remplir'!$F$31:$F$400,'Étape 1 - à remplir'!$E$31:$E$400,MASQ2!BV57,'Étape 1 - à remplir'!$O$31:$O$400,CE$3,'Étape 1 - à remplir'!$G$31:$G$400,"lots")),IF(CE$2="Espèce",IF(CE$3="Toutes",SUMIFS('Étape 1 - à remplir'!$F$31:$F$400,'Étape 1 - à remplir'!$E$31:$E$400,MASQ2!BV57,'Étape 1 - à remplir'!$G$31:$G$400,"lots"),SUMIFS('Étape 1 - à remplir'!$F$31:$F$400,'Étape 1 - à remplir'!$E$31:$E$400,MASQ2!BV57,'Étape 1 - à remplir'!$N$31:$N$400,CE$3,'Étape 1 - à remplir'!$G$31:$G$400,"lots")))))))</f>
        <v>#N/A</v>
      </c>
      <c r="BX57">
        <f t="shared" si="42"/>
        <v>0</v>
      </c>
      <c r="BY57" t="str">
        <f t="shared" si="7"/>
        <v>Phénoxyméthylpénicilline</v>
      </c>
      <c r="BZ57" t="str">
        <f t="shared" si="8"/>
        <v/>
      </c>
      <c r="CA57" t="str">
        <f t="shared" si="9"/>
        <v/>
      </c>
      <c r="CB57" t="str">
        <f t="shared" si="10"/>
        <v>Penicillines</v>
      </c>
      <c r="CC57" t="str">
        <f t="shared" si="11"/>
        <v/>
      </c>
      <c r="CD57" s="63" t="str">
        <f t="shared" si="12"/>
        <v/>
      </c>
      <c r="CG57" s="42">
        <v>54</v>
      </c>
      <c r="CH57" s="42" t="e">
        <f t="shared" si="80"/>
        <v>#N/A</v>
      </c>
      <c r="CI57" s="63" t="e">
        <f t="shared" si="81"/>
        <v>#N/A</v>
      </c>
      <c r="CK57" s="194" t="str">
        <f t="shared" si="118"/>
        <v/>
      </c>
      <c r="CL57" s="226" t="str">
        <f>IFERROR(IF(CN57=0,"",COUNTIF(CN$4:CN$64,"&gt;"&amp;CN57)+COUNTIF(CN$4:CN57,CN57)),"")</f>
        <v/>
      </c>
      <c r="CM57" t="str">
        <f t="shared" si="119"/>
        <v>Tiamuline</v>
      </c>
      <c r="CN57" s="76" t="e">
        <f t="shared" si="45"/>
        <v>#N/A</v>
      </c>
      <c r="CO57">
        <v>54</v>
      </c>
      <c r="CP57" t="e">
        <f t="shared" si="46"/>
        <v>#N/A</v>
      </c>
      <c r="CQ57" s="63" t="e">
        <f t="shared" si="47"/>
        <v>#N/A</v>
      </c>
      <c r="DA57" s="109" t="str">
        <f t="shared" si="126"/>
        <v/>
      </c>
      <c r="DB57" s="118" t="str">
        <f>IFERROR(SUMIFS('Étape 1 - à remplir'!$F$31:$F$400,'Étape 1 - à remplir'!$C$31:$C$400,IF($DA57="Lait","*Lait*",IF($DA57="Viande","*Viande*",IF($DA57="Reproduction","*Reproduction*",IF($DA57="Autre","*Autre*",IF($DA57="Loisir","*Loisir*",IF($DA57="Œufs","*Œufs*","")))))),'Étape 1 - à remplir'!$G$31:$G$400,"lots",'Étape 1 - à remplir'!$M$31:$M$400,MASQ2!DB$43)/SUMIFS('Étape 1 - à remplir'!$F$19:$F$28,'Étape 1 - à remplir'!$D$19:$D$28,MASQ2!$DA57,'Étape 1 - à remplir'!$G$19:$G$28,"lots"),"")</f>
        <v/>
      </c>
      <c r="DC57" t="str">
        <f>IFERROR(SUMIFS('Étape 1 - à remplir'!$F$31:$F$400,'Étape 1 - à remplir'!$C$31:$C$400,IF($DA57="Lait","*Lait*",IF($DA57="Viande","*Viande*",IF($DA57="Reproduction","*Reproduction*",IF($DA57="Autre","*Autre*",IF($DA57="Loisir","*Loisir*",IF($DA57="Œufs","*Œufs*","")))))),'Étape 1 - à remplir'!$G$31:$G$400,"lots",'Étape 1 - à remplir'!$M$31:$M$400,MASQ2!DC$43)/SUMIFS('Étape 1 - à remplir'!$F$19:$F$28,'Étape 1 - à remplir'!$D$19:$D$28,MASQ2!$DA57,'Étape 1 - à remplir'!$G$19:$G$28,"lots"),"")</f>
        <v/>
      </c>
      <c r="DD57" t="str">
        <f>IFERROR(SUMIFS('Étape 1 - à remplir'!$F$31:$F$400,'Étape 1 - à remplir'!$C$31:$C$400,IF($DA57="Lait","*Lait*",IF($DA57="Viande","*Viande*",IF($DA57="Reproduction","*Reproduction*",IF($DA57="Autre","*Autre*",IF($DA57="Loisir","*Loisir*",IF($DA57="Œufs","*Œufs*","")))))),'Étape 1 - à remplir'!$G$31:$G$400,"lots",'Étape 1 - à remplir'!$M$31:$M$400,MASQ2!DD$43)/SUMIFS('Étape 1 - à remplir'!$F$19:$F$28,'Étape 1 - à remplir'!$D$19:$D$28,MASQ2!$DA57,'Étape 1 - à remplir'!$G$19:$G$28,"lots"),"")</f>
        <v/>
      </c>
      <c r="DE57" t="str">
        <f>IFERROR(SUMIFS('Étape 1 - à remplir'!$F$31:$F$400,'Étape 1 - à remplir'!$C$31:$C$400,IF($DA57="Lait","*Lait*",IF($DA57="Viande","*Viande*",IF($DA57="Reproduction","*Reproduction*",IF($DA57="Autre","*Autre*",IF($DA57="Loisir","*Loisir*",IF($DA57="Œufs","*Œufs*","")))))),'Étape 1 - à remplir'!$G$31:$G$400,"lots",'Étape 1 - à remplir'!$M$31:$M$400,MASQ2!DE$43)/SUMIFS('Étape 1 - à remplir'!$F$19:$F$28,'Étape 1 - à remplir'!$D$19:$D$28,MASQ2!$DA57,'Étape 1 - à remplir'!$G$19:$G$28,"lots"),"")</f>
        <v/>
      </c>
      <c r="DF57" t="str">
        <f>IFERROR(SUMIFS('Étape 1 - à remplir'!$F$31:$F$400,'Étape 1 - à remplir'!$C$31:$C$400,IF($DA57="Lait","*Lait*",IF($DA57="Viande","*Viande*",IF($DA57="Reproduction","*Reproduction*",IF($DA57="Autre","*Autre*",IF($DA57="Loisir","*Loisir*",IF($DA57="Œufs","*Œufs*","")))))),'Étape 1 - à remplir'!$G$31:$G$400,"lots",'Étape 1 - à remplir'!$M$31:$M$400,MASQ2!DF$43)/SUMIFS('Étape 1 - à remplir'!$F$19:$F$28,'Étape 1 - à remplir'!$D$19:$D$28,MASQ2!$DA57,'Étape 1 - à remplir'!$G$19:$G$28,"lots"),"")</f>
        <v/>
      </c>
      <c r="DG57" t="str">
        <f>IFERROR(SUMIFS('Étape 1 - à remplir'!$F$31:$F$400,'Étape 1 - à remplir'!$C$31:$C$400,IF($DA57="Lait","*Lait*",IF($DA57="Viande","*Viande*",IF($DA57="Reproduction","*Reproduction*",IF($DA57="Autre","*Autre*",IF($DA57="Loisir","*Loisir*",IF($DA57="Œufs","*Œufs*","")))))),'Étape 1 - à remplir'!$G$31:$G$400,"lots",'Étape 1 - à remplir'!$M$31:$M$400,MASQ2!DG$43)/SUMIFS('Étape 1 - à remplir'!$F$19:$F$28,'Étape 1 - à remplir'!$D$19:$D$28,MASQ2!$DA57,'Étape 1 - à remplir'!$G$19:$G$28,"lots"),"")</f>
        <v/>
      </c>
      <c r="DH57" t="str">
        <f>IFERROR(SUMIFS('Étape 1 - à remplir'!$F$31:$F$400,'Étape 1 - à remplir'!$C$31:$C$400,IF($DA57="Lait","*Lait*",IF($DA57="Viande","*Viande*",IF($DA57="Reproduction","*Reproduction*",IF($DA57="Autre","*Autre*",IF($DA57="Loisir","*Loisir*",IF($DA57="Œufs","*Œufs*","")))))),'Étape 1 - à remplir'!$G$31:$G$400,"lots",'Étape 1 - à remplir'!$M$31:$M$400,MASQ2!DH$43)/SUMIFS('Étape 1 - à remplir'!$F$19:$F$28,'Étape 1 - à remplir'!$D$19:$D$28,MASQ2!$DA57,'Étape 1 - à remplir'!$G$19:$G$28,"lots"),"")</f>
        <v/>
      </c>
      <c r="DI57" t="str">
        <f>IFERROR(SUMIFS('Étape 1 - à remplir'!$F$31:$F$400,'Étape 1 - à remplir'!$C$31:$C$400,IF($DA57="Lait","*Lait*",IF($DA57="Viande","*Viande*",IF($DA57="Reproduction","*Reproduction*",IF($DA57="Autre","*Autre*",IF($DA57="Loisir","*Loisir*",IF($DA57="Œufs","*Œufs*","")))))),'Étape 1 - à remplir'!$G$31:$G$400,"lots",'Étape 1 - à remplir'!$M$31:$M$400,MASQ2!DI$43)/SUMIFS('Étape 1 - à remplir'!$F$19:$F$28,'Étape 1 - à remplir'!$D$19:$D$28,MASQ2!$DA57,'Étape 1 - à remplir'!$G$19:$G$28,"lots"),"")</f>
        <v/>
      </c>
      <c r="DJ57" t="str">
        <f>IFERROR(SUMIFS('Étape 1 - à remplir'!$F$31:$F$400,'Étape 1 - à remplir'!$C$31:$C$400,IF($DA57="Lait","*Lait*",IF($DA57="Viande","*Viande*",IF($DA57="Reproduction","*Reproduction*",IF($DA57="Autre","*Autre*",IF($DA57="Loisir","*Loisir*",IF($DA57="Œufs","*Œufs*","")))))),'Étape 1 - à remplir'!$G$31:$G$400,"lots",'Étape 1 - à remplir'!$M$31:$M$400,MASQ2!DJ$43)/SUMIFS('Étape 1 - à remplir'!$F$19:$F$28,'Étape 1 - à remplir'!$D$19:$D$28,MASQ2!$DA57,'Étape 1 - à remplir'!$G$19:$G$28,"lots"),"")</f>
        <v/>
      </c>
      <c r="DK57" t="str">
        <f>IFERROR(SUMIFS('Étape 1 - à remplir'!$F$31:$F$400,'Étape 1 - à remplir'!$C$31:$C$400,IF($DA57="Lait","*Lait*",IF($DA57="Viande","*Viande*",IF($DA57="Reproduction","*Reproduction*",IF($DA57="Autre","*Autre*",IF($DA57="Loisir","*Loisir*",IF($DA57="Œufs","*Œufs*","")))))),'Étape 1 - à remplir'!$G$31:$G$400,"lots",'Étape 1 - à remplir'!$M$31:$M$400,MASQ2!DK$43)/SUMIFS('Étape 1 - à remplir'!$F$19:$F$28,'Étape 1 - à remplir'!$D$19:$D$28,MASQ2!$DA57,'Étape 1 - à remplir'!$G$19:$G$28,"lots"),"")</f>
        <v/>
      </c>
      <c r="DL57" t="str">
        <f>IFERROR(SUMIFS('Étape 1 - à remplir'!$F$31:$F$400,'Étape 1 - à remplir'!$C$31:$C$400,IF($DA57="Lait","*Lait*",IF($DA57="Viande","*Viande*",IF($DA57="Reproduction","*Reproduction*",IF($DA57="Autre","*Autre*",IF($DA57="Loisir","*Loisir*",IF($DA57="Œufs","*Œufs*","")))))),'Étape 1 - à remplir'!$G$31:$G$400,"lots",'Étape 1 - à remplir'!$M$31:$M$400,MASQ2!DL$43)/SUMIFS('Étape 1 - à remplir'!$F$19:$F$28,'Étape 1 - à remplir'!$D$19:$D$28,MASQ2!$DA57,'Étape 1 - à remplir'!$G$19:$G$28,"lots"),"")</f>
        <v/>
      </c>
      <c r="DM57" s="76" t="str">
        <f>IFERROR(SUMIFS('Étape 1 - à remplir'!$F$31:$F$400,'Étape 1 - à remplir'!$C$31:$C$400,IF($DA57="Lait","*Lait*",IF($DA57="Viande","*Viande*",IF($DA57="Reproduction","*Reproduction*",IF($DA57="Autre","*Autre*",IF($DA57="Loisir","*Loisir*",IF($DA57="Œufs","*Œufs*","")))))),'Étape 1 - à remplir'!$G$31:$G$400,"lots",'Étape 1 - à remplir'!$M$31:$M$400,MASQ2!DM$43)/SUMIFS('Étape 1 - à remplir'!$F$19:$F$28,'Étape 1 - à remplir'!$D$19:$D$28,MASQ2!$DA57,'Étape 1 - à remplir'!$G$19:$G$28,"lots"),"")</f>
        <v/>
      </c>
      <c r="EA57" s="194" t="str">
        <f t="shared" ca="1" si="18"/>
        <v/>
      </c>
      <c r="EB57" s="226" t="str">
        <f>IFERROR(IF(ED57=0,"",COUNTIF(ED$4:ED$600,"&gt;"&amp;ED57)+COUNTIF(ED$4:ED57,ED57)),"")</f>
        <v/>
      </c>
      <c r="EC57" t="str">
        <f t="shared" si="19"/>
        <v>AVIPEN</v>
      </c>
      <c r="ED57" t="e">
        <f>IF(IF(EL$2="Catégorie",IF(EL$3="Toutes",SUMIFS('Étape 1 - à remplir'!$F$31:$F$400,'Étape 1 - à remplir'!$E$31:$E$400,MASQ2!EC57,'Étape 1 - à remplir'!$G$31:$G$400,"kg"),SUMIFS('Étape 1 - à remplir'!$F$31:$F$400,'Étape 1 - à remplir'!$E$31:$E$400,MASQ2!EC57,'Étape 1 - à remplir'!$C$31:$C$400,EL$3)),IF(EL$2="Âge",IF(EL$3="Tous",SUMIFS('Étape 1 - à remplir'!$F$31:$F$400,'Étape 1 - à remplir'!$E$31:$E$400,MASQ2!EC57,'Étape 1 - à remplir'!$G$31:$G$400,"kg"),SUMIFS('Étape 1 - à remplir'!$F$31:$F$400,'Étape 1 - à remplir'!$E$31:$E$400,MASQ2!EC57,'Étape 1 - à remplir'!$P$31:$P$400,EL$3,'Étape 1 - à remplir'!$G$31:$G$400,"kg")),IF(EL$2="Atelier",IF(EL$3="Tous",SUMIFS('Étape 1 - à remplir'!$F$31:$F$400,'Étape 1 - à remplir'!$E$31:$E$400,MASQ2!EC57,'Étape 1 - à remplir'!$G$31:$G$400,"kg"),SUMIFS('Étape 1 - à remplir'!$F$31:$F$400,'Étape 1 - à remplir'!$E$31:$E$400,MASQ2!EC57,'Étape 1 - à remplir'!$O$31:$O$400,EL$3,'Étape 1 - à remplir'!$G$31:$G$400,"kg")),IF(EL$2="Espèce",IF(EL$3="Toutes",SUMIFS('Étape 1 - à remplir'!$F$31:$F$400,'Étape 1 - à remplir'!$E$31:$E$400,MASQ2!EC57,'Étape 1 - à remplir'!$G$31:$G$400,"kg"),SUMIFS('Étape 1 - à remplir'!$F$31:$F$400,'Étape 1 - à remplir'!$E$31:$E$400,MASQ2!EC57,'Étape 1 - à remplir'!$N$31:$N$400,EL$3,'Étape 1 - à remplir'!$G$31:$G$400,"kg"))))))=0,NA(),IF(EL$2="Catégorie",IF(EL$3="Toutes",SUMIFS('Étape 1 - à remplir'!$F$31:$F$400,'Étape 1 - à remplir'!$E$31:$E$400,MASQ2!EC57,'Étape 1 - à remplir'!$G$31:$G$400,"kg"),SUMIFS('Étape 1 - à remplir'!$F$31:$F$400,'Étape 1 - à remplir'!$E$31:$E$400,MASQ2!EC57,'Étape 1 - à remplir'!$C$31:$C$400,EL$3)),IF(EL$2="Âge",IF(EL$3="Tous",SUMIFS('Étape 1 - à remplir'!$F$31:$F$400,'Étape 1 - à remplir'!$E$31:$E$400,MASQ2!EC57,'Étape 1 - à remplir'!$G$31:$G$400,"kg"),SUMIFS('Étape 1 - à remplir'!$F$31:$F$400,'Étape 1 - à remplir'!$E$31:$E$400,MASQ2!EC57,'Étape 1 - à remplir'!$P$31:$P$400,EL$3,'Étape 1 - à remplir'!$G$31:$G$400,"kg")),IF(EL$2="Atelier",IF(EL$3="Tous",SUMIFS('Étape 1 - à remplir'!$F$31:$F$400,'Étape 1 - à remplir'!$E$31:$E$400,MASQ2!EC57,'Étape 1 - à remplir'!$G$31:$G$400,"kg"),SUMIFS('Étape 1 - à remplir'!$F$31:$F$400,'Étape 1 - à remplir'!$E$31:$E$400,MASQ2!EC57,'Étape 1 - à remplir'!$O$31:$O$400,EL$3,'Étape 1 - à remplir'!$G$31:$G$400,"kg")),IF(EL$2="Espèce",IF(EL$3="Toutes",SUMIFS('Étape 1 - à remplir'!$F$31:$F$400,'Étape 1 - à remplir'!$E$31:$E$400,MASQ2!EC57,'Étape 1 - à remplir'!$G$31:$G$400,"kg"),SUMIFS('Étape 1 - à remplir'!$F$31:$F$400,'Étape 1 - à remplir'!$E$31:$E$400,MASQ2!EC57,'Étape 1 - à remplir'!$N$31:$N$400,EL$3,'Étape 1 - à remplir'!$G$31:$G$400,"kg")))))))</f>
        <v>#N/A</v>
      </c>
      <c r="EE57" s="76">
        <f t="shared" si="53"/>
        <v>0</v>
      </c>
      <c r="EF57" t="str">
        <f t="shared" si="20"/>
        <v>Phénoxyméthylpénicilline</v>
      </c>
      <c r="EG57" t="str">
        <f t="shared" si="21"/>
        <v/>
      </c>
      <c r="EH57" t="str">
        <f t="shared" si="22"/>
        <v/>
      </c>
      <c r="EI57" t="str">
        <f t="shared" si="23"/>
        <v>Penicillines</v>
      </c>
      <c r="EJ57" t="str">
        <f t="shared" si="24"/>
        <v/>
      </c>
      <c r="EK57" s="63" t="str">
        <f t="shared" si="25"/>
        <v/>
      </c>
      <c r="EN57" s="42">
        <v>54</v>
      </c>
      <c r="EO57" t="e">
        <f t="shared" si="68"/>
        <v>#N/A</v>
      </c>
      <c r="EP57" s="63" t="e">
        <f t="shared" si="69"/>
        <v>#N/A</v>
      </c>
      <c r="ER57" s="194" t="str">
        <f t="shared" si="120"/>
        <v/>
      </c>
      <c r="ES57" s="226" t="str">
        <f>IFERROR(IF(EU57=0,"",COUNTIF(EU$4:EU$64,"&gt;"&amp;EU57)+COUNTIF(EU$4:EU57,EU57)),"")</f>
        <v/>
      </c>
      <c r="ET57" t="str">
        <f t="shared" si="121"/>
        <v>Tiamuline</v>
      </c>
      <c r="EU57" s="76" t="e">
        <f t="shared" si="56"/>
        <v>#N/A</v>
      </c>
      <c r="EV57">
        <v>54</v>
      </c>
      <c r="EW57" t="e">
        <f t="shared" si="57"/>
        <v>#N/A</v>
      </c>
      <c r="EX57" s="63" t="e">
        <f t="shared" si="58"/>
        <v>#N/A</v>
      </c>
      <c r="FH57" s="118" t="str">
        <f t="shared" si="127"/>
        <v/>
      </c>
      <c r="FI57" s="118" t="str">
        <f>IFERROR(SUMIFS('Étape 1 - à remplir'!$F$31:$F$400,'Étape 1 - à remplir'!$C$31:$C$400,IF($FH57="Lait","*Lait*",IF($FH57="Viande","*Viande*",IF($FH57="Reproduction","*Reproduction*",IF($FH57="Autre","*Autre*",IF($FH57="Loisir","*Loisir*",IF($FH57="Œufs","*Œufs*","")))))),'Étape 1 - à remplir'!$G$31:$G$400,"kg",'Étape 1 - à remplir'!$M$31:$M$400,MASQ2!FI$43)/SUMIFS('Étape 1 - à remplir'!$F$19:$F$28,'Étape 1 - à remplir'!$D$19:$D$28,MASQ2!$FH57,'Étape 1 - à remplir'!$G$19:$G$28,"kg"),"")</f>
        <v/>
      </c>
      <c r="FJ57" t="str">
        <f>IFERROR(SUMIFS('Étape 1 - à remplir'!$F$31:$F$400,'Étape 1 - à remplir'!$C$31:$C$400,IF($FH57="Lait","*Lait*",IF($FH57="Viande","*Viande*",IF($FH57="Reproduction","*Reproduction*",IF($FH57="Autre","*Autre*",IF($FH57="Loisir","*Loisir*",IF($FH57="Œufs","*Œufs*","")))))),'Étape 1 - à remplir'!$G$31:$G$400,"kg",'Étape 1 - à remplir'!$M$31:$M$400,MASQ2!FJ$43)/SUMIFS('Étape 1 - à remplir'!$F$19:$F$28,'Étape 1 - à remplir'!$D$19:$D$28,MASQ2!$FH57,'Étape 1 - à remplir'!$G$19:$G$28,"kg"),"")</f>
        <v/>
      </c>
      <c r="FK57" t="str">
        <f>IFERROR(SUMIFS('Étape 1 - à remplir'!$F$31:$F$400,'Étape 1 - à remplir'!$C$31:$C$400,IF($FH57="Lait","*Lait*",IF($FH57="Viande","*Viande*",IF($FH57="Reproduction","*Reproduction*",IF($FH57="Autre","*Autre*",IF($FH57="Loisir","*Loisir*",IF($FH57="Œufs","*Œufs*","")))))),'Étape 1 - à remplir'!$G$31:$G$400,"kg",'Étape 1 - à remplir'!$M$31:$M$400,MASQ2!FK$43)/SUMIFS('Étape 1 - à remplir'!$F$19:$F$28,'Étape 1 - à remplir'!$D$19:$D$28,MASQ2!$FH57,'Étape 1 - à remplir'!$G$19:$G$28,"kg"),"")</f>
        <v/>
      </c>
      <c r="FL57" t="str">
        <f>IFERROR(SUMIFS('Étape 1 - à remplir'!$F$31:$F$400,'Étape 1 - à remplir'!$C$31:$C$400,IF($FH57="Lait","*Lait*",IF($FH57="Viande","*Viande*",IF($FH57="Reproduction","*Reproduction*",IF($FH57="Autre","*Autre*",IF($FH57="Loisir","*Loisir*",IF($FH57="Œufs","*Œufs*","")))))),'Étape 1 - à remplir'!$G$31:$G$400,"kg",'Étape 1 - à remplir'!$M$31:$M$400,MASQ2!FL$43)/SUMIFS('Étape 1 - à remplir'!$F$19:$F$28,'Étape 1 - à remplir'!$D$19:$D$28,MASQ2!$FH57,'Étape 1 - à remplir'!$G$19:$G$28,"kg"),"")</f>
        <v/>
      </c>
      <c r="FM57" t="str">
        <f>IFERROR(SUMIFS('Étape 1 - à remplir'!$F$31:$F$400,'Étape 1 - à remplir'!$C$31:$C$400,IF($FH57="Lait","*Lait*",IF($FH57="Viande","*Viande*",IF($FH57="Reproduction","*Reproduction*",IF($FH57="Autre","*Autre*",IF($FH57="Loisir","*Loisir*",IF($FH57="Œufs","*Œufs*","")))))),'Étape 1 - à remplir'!$G$31:$G$400,"kg",'Étape 1 - à remplir'!$M$31:$M$400,MASQ2!FM$43)/SUMIFS('Étape 1 - à remplir'!$F$19:$F$28,'Étape 1 - à remplir'!$D$19:$D$28,MASQ2!$FH57,'Étape 1 - à remplir'!$G$19:$G$28,"kg"),"")</f>
        <v/>
      </c>
      <c r="FN57" t="str">
        <f>IFERROR(SUMIFS('Étape 1 - à remplir'!$F$31:$F$400,'Étape 1 - à remplir'!$C$31:$C$400,IF($FH57="Lait","*Lait*",IF($FH57="Viande","*Viande*",IF($FH57="Reproduction","*Reproduction*",IF($FH57="Autre","*Autre*",IF($FH57="Loisir","*Loisir*",IF($FH57="Œufs","*Œufs*","")))))),'Étape 1 - à remplir'!$G$31:$G$400,"kg",'Étape 1 - à remplir'!$M$31:$M$400,MASQ2!FN$43)/SUMIFS('Étape 1 - à remplir'!$F$19:$F$28,'Étape 1 - à remplir'!$D$19:$D$28,MASQ2!$FH57,'Étape 1 - à remplir'!$G$19:$G$28,"kg"),"")</f>
        <v/>
      </c>
      <c r="FO57" t="str">
        <f>IFERROR(SUMIFS('Étape 1 - à remplir'!$F$31:$F$400,'Étape 1 - à remplir'!$C$31:$C$400,IF($FH57="Lait","*Lait*",IF($FH57="Viande","*Viande*",IF($FH57="Reproduction","*Reproduction*",IF($FH57="Autre","*Autre*",IF($FH57="Loisir","*Loisir*",IF($FH57="Œufs","*Œufs*","")))))),'Étape 1 - à remplir'!$G$31:$G$400,"kg",'Étape 1 - à remplir'!$M$31:$M$400,MASQ2!FO$43)/SUMIFS('Étape 1 - à remplir'!$F$19:$F$28,'Étape 1 - à remplir'!$D$19:$D$28,MASQ2!$FH57,'Étape 1 - à remplir'!$G$19:$G$28,"kg"),"")</f>
        <v/>
      </c>
      <c r="FP57" t="str">
        <f>IFERROR(SUMIFS('Étape 1 - à remplir'!$F$31:$F$400,'Étape 1 - à remplir'!$C$31:$C$400,IF($FH57="Lait","*Lait*",IF($FH57="Viande","*Viande*",IF($FH57="Reproduction","*Reproduction*",IF($FH57="Autre","*Autre*",IF($FH57="Loisir","*Loisir*",IF($FH57="Œufs","*Œufs*","")))))),'Étape 1 - à remplir'!$G$31:$G$400,"kg",'Étape 1 - à remplir'!$M$31:$M$400,MASQ2!FP$43)/SUMIFS('Étape 1 - à remplir'!$F$19:$F$28,'Étape 1 - à remplir'!$D$19:$D$28,MASQ2!$FH57,'Étape 1 - à remplir'!$G$19:$G$28,"kg"),"")</f>
        <v/>
      </c>
      <c r="FQ57" t="str">
        <f>IFERROR(SUMIFS('Étape 1 - à remplir'!$F$31:$F$400,'Étape 1 - à remplir'!$C$31:$C$400,IF($FH57="Lait","*Lait*",IF($FH57="Viande","*Viande*",IF($FH57="Reproduction","*Reproduction*",IF($FH57="Autre","*Autre*",IF($FH57="Loisir","*Loisir*",IF($FH57="Œufs","*Œufs*","")))))),'Étape 1 - à remplir'!$G$31:$G$400,"kg",'Étape 1 - à remplir'!$M$31:$M$400,MASQ2!FQ$43)/SUMIFS('Étape 1 - à remplir'!$F$19:$F$28,'Étape 1 - à remplir'!$D$19:$D$28,MASQ2!$FH57,'Étape 1 - à remplir'!$G$19:$G$28,"kg"),"")</f>
        <v/>
      </c>
      <c r="FR57" t="str">
        <f>IFERROR(SUMIFS('Étape 1 - à remplir'!$F$31:$F$400,'Étape 1 - à remplir'!$C$31:$C$400,IF($FH57="Lait","*Lait*",IF($FH57="Viande","*Viande*",IF($FH57="Reproduction","*Reproduction*",IF($FH57="Autre","*Autre*",IF($FH57="Loisir","*Loisir*",IF($FH57="Œufs","*Œufs*","")))))),'Étape 1 - à remplir'!$G$31:$G$400,"kg",'Étape 1 - à remplir'!$M$31:$M$400,MASQ2!FR$43)/SUMIFS('Étape 1 - à remplir'!$F$19:$F$28,'Étape 1 - à remplir'!$D$19:$D$28,MASQ2!$FH57,'Étape 1 - à remplir'!$G$19:$G$28,"kg"),"")</f>
        <v/>
      </c>
      <c r="FS57" t="str">
        <f>IFERROR(SUMIFS('Étape 1 - à remplir'!$F$31:$F$400,'Étape 1 - à remplir'!$C$31:$C$400,IF($FH57="Lait","*Lait*",IF($FH57="Viande","*Viande*",IF($FH57="Reproduction","*Reproduction*",IF($FH57="Autre","*Autre*",IF($FH57="Loisir","*Loisir*",IF($FH57="Œufs","*Œufs*","")))))),'Étape 1 - à remplir'!$G$31:$G$400,"kg",'Étape 1 - à remplir'!$M$31:$M$400,MASQ2!FS$43)/SUMIFS('Étape 1 - à remplir'!$F$19:$F$28,'Étape 1 - à remplir'!$D$19:$D$28,MASQ2!$FH57,'Étape 1 - à remplir'!$G$19:$G$28,"kg"),"")</f>
        <v/>
      </c>
      <c r="FT57" s="76" t="str">
        <f>IFERROR(SUMIFS('Étape 1 - à remplir'!$F$31:$F$400,'Étape 1 - à remplir'!$C$31:$C$400,IF($FH57="Lait","*Lait*",IF($FH57="Viande","*Viande*",IF($FH57="Reproduction","*Reproduction*",IF($FH57="Autre","*Autre*",IF($FH57="Loisir","*Loisir*",IF($FH57="Œufs","*Œufs*","")))))),'Étape 1 - à remplir'!$G$31:$G$400,"kg",'Étape 1 - à remplir'!$M$31:$M$400,MASQ2!FT$43)/SUMIFS('Étape 1 - à remplir'!$F$19:$F$28,'Étape 1 - à remplir'!$D$19:$D$28,MASQ2!$FH57,'Étape 1 - à remplir'!$G$19:$G$28,"kg"),"")</f>
        <v/>
      </c>
    </row>
    <row r="58" spans="2:176" x14ac:dyDescent="0.3">
      <c r="B58" s="42"/>
      <c r="M58" s="194" t="str">
        <f ca="1">INDEX(Données_ATB!BD:BU,MATCH(MASQ2!O58,Données_ATB!BD:BD,0),18)</f>
        <v/>
      </c>
      <c r="N58" s="14" t="str">
        <f>IFERROR(IF(Q58=0,"",COUNTIF(Q$4:Q$600,"&gt;"&amp;Q58)+COUNTIF(Q$4:Q58,Q58)),"")</f>
        <v/>
      </c>
      <c r="O58" t="str">
        <f>Données_ATB!BD57</f>
        <v>AXENTYL</v>
      </c>
      <c r="P58" t="e">
        <f>IF(IF(X$2="Catégorie",IF(X$3="Toutes",SUMIFS('Étape 1 - à remplir'!$F$31:$F$400,'Étape 1 - à remplir'!$E$31:$E$400,MASQ2!O58,'Étape 1 - à remplir'!$G$31:$G$400,"animaux"),SUMIFS('Étape 1 - à remplir'!$F$31:$F$400,'Étape 1 - à remplir'!$E$31:$E$400,MASQ2!O58,'Étape 1 - à remplir'!$C$31:$C$400,X$3)),IF(X$2="Âge",IF(X$3="Tous",SUMIFS('Étape 1 - à remplir'!$F$31:$F$400,'Étape 1 - à remplir'!$E$31:$E$400,MASQ2!O58,'Étape 1 - à remplir'!$G$31:$G$400,"animaux"),SUMIFS('Étape 1 - à remplir'!$F$31:$F$400,'Étape 1 - à remplir'!$E$31:$E$400,MASQ2!O58,'Étape 1 - à remplir'!$P$31:$P$400,X$3)),IF(X$2="Atelier",IF(X$3="Tous",SUMIFS('Étape 1 - à remplir'!$F$31:$F$400,'Étape 1 - à remplir'!$E$31:$E$400,MASQ2!O58,'Étape 1 - à remplir'!$G$31:$G$400,"animaux"),SUMIFS('Étape 1 - à remplir'!$F$31:$F$400,'Étape 1 - à remplir'!$E$31:$E$400,MASQ2!O58,'Étape 1 - à remplir'!$O$31:$O$400,X$3)),IF(X$2="Espèce",IF(X$3="Toutes",SUMIFS('Étape 1 - à remplir'!$F$31:$F$400,'Étape 1 - à remplir'!$E$31:$E$400,MASQ2!O58,'Étape 1 - à remplir'!$G$31:$G$400,"animaux"),SUMIFS('Étape 1 - à remplir'!$F$31:$F$400,'Étape 1 - à remplir'!$E$31:$E$400,MASQ2!O58,'Étape 1 - à remplir'!$N$31:$N$400,X$3))))))=0,NA(),IF(X$2="Catégorie",IF(X$3="Toutes",SUMIFS('Étape 1 - à remplir'!$F$31:$F$400,'Étape 1 - à remplir'!$E$31:$E$400,MASQ2!O58,'Étape 1 - à remplir'!$G$31:$G$400,"animaux"),SUMIFS('Étape 1 - à remplir'!$F$31:$F$400,'Étape 1 - à remplir'!$E$31:$E$400,MASQ2!O58,'Étape 1 - à remplir'!$C$31:$C$400,X$3)),IF(X$2="Âge",IF(X$3="Tous",SUMIFS('Étape 1 - à remplir'!$F$31:$F$400,'Étape 1 - à remplir'!$E$31:$E$400,MASQ2!O58,'Étape 1 - à remplir'!$G$31:$G$400,"animaux"),SUMIFS('Étape 1 - à remplir'!$F$31:$F$400,'Étape 1 - à remplir'!$E$31:$E$400,MASQ2!O58,'Étape 1 - à remplir'!$P$31:$P$400,X$3)),IF(X$2="Atelier",IF(X$3="Tous",SUMIFS('Étape 1 - à remplir'!$F$31:$F$400,'Étape 1 - à remplir'!$E$31:$E$400,MASQ2!O58,'Étape 1 - à remplir'!$G$31:$G$400,"animaux"),SUMIFS('Étape 1 - à remplir'!$F$31:$F$400,'Étape 1 - à remplir'!$E$31:$E$400,MASQ2!O58,'Étape 1 - à remplir'!$O$31:$O$400,X$3)),IF(X$2="Espèce",IF(X$3="Toutes",SUMIFS('Étape 1 - à remplir'!$F$31:$F$400,'Étape 1 - à remplir'!$E$31:$E$400,MASQ2!O58,'Étape 1 - à remplir'!$G$31:$G$400,"animaux"),SUMIFS('Étape 1 - à remplir'!$F$31:$F$400,'Étape 1 - à remplir'!$E$31:$E$400,MASQ2!O58,'Étape 1 - à remplir'!$N$31:$N$400,X$3)))))))</f>
        <v>#N/A</v>
      </c>
      <c r="Q58" s="63">
        <f t="shared" si="62"/>
        <v>0</v>
      </c>
      <c r="R58" t="str">
        <f>Données_ATB!BM57</f>
        <v>Tylosine</v>
      </c>
      <c r="S58" t="str">
        <f>Données_ATB!BN57</f>
        <v/>
      </c>
      <c r="T58" s="63" t="str">
        <f>Données_ATB!BO57</f>
        <v/>
      </c>
      <c r="U58" s="42" t="str">
        <f>Données_ATB!BQ57</f>
        <v>Macrolides</v>
      </c>
      <c r="V58" t="str">
        <f>Données_ATB!BR57</f>
        <v/>
      </c>
      <c r="W58" s="63" t="str">
        <f>Données_ATB!BS57</f>
        <v/>
      </c>
      <c r="Z58" s="42">
        <v>55</v>
      </c>
      <c r="AA58" t="e">
        <f t="shared" si="32"/>
        <v>#N/A</v>
      </c>
      <c r="AB58" s="63" t="e">
        <f t="shared" si="33"/>
        <v>#N/A</v>
      </c>
      <c r="AD58" s="194" t="str">
        <f>IF(AF58="Colistine","x",IF(INDEX(Données_ATB!CA$3:CB$63,MATCH(AF58,Données_ATB!CA$3:CA$63,0),2)="Fluoroquinolones","x",IF(INDEX(Données_ATB!CA$3:CB$63,MATCH(AF58,Données_ATB!CA$3:CA$63,0),2)="Cephalosporines 3&amp;4G","x","")))</f>
        <v/>
      </c>
      <c r="AE58" s="219" t="str">
        <f>IFERROR(IF(AG58=0,"",COUNTIF(AG$4:AG$64,"&gt;"&amp;AG58)+COUNTIF(AG$4:AG58,AG58)),"")</f>
        <v/>
      </c>
      <c r="AF58" s="42" t="str">
        <f>Données_ATB!CA57</f>
        <v>Tildipirosine</v>
      </c>
      <c r="AG58" s="63" t="e">
        <f t="shared" si="34"/>
        <v>#N/A</v>
      </c>
      <c r="AH58" s="42">
        <v>55</v>
      </c>
      <c r="AI58" t="e">
        <f t="shared" si="35"/>
        <v>#N/A</v>
      </c>
      <c r="AJ58" s="63" t="e">
        <f t="shared" si="36"/>
        <v>#N/A</v>
      </c>
      <c r="AT58" s="109" t="str">
        <f t="shared" si="125"/>
        <v/>
      </c>
      <c r="AU58" t="str">
        <f>IFERROR(SUMIFS('Étape 1 - à remplir'!$F$31:$F$400,'Étape 1 - à remplir'!$C$31:$C$400,IF($AT58="Lait","*Lait*",IF($AT58="Viande","*Viande*",IF($AT58="Reproduction","*Reproduction*",IF($AT58="Autre","*Autre*",IF($AT58="Loisir","*Loisir*",IF($AT58="Œufs","*Œufs*","")))))),'Étape 1 - à remplir'!$G$31:$G$400,"animaux",'Étape 1 - à remplir'!$M$31:$M$400,MASQ2!AU$43)/SUMIFS('Étape 1 - à remplir'!$F$19:$F$28,'Étape 1 - à remplir'!$D$19:$D$28,MASQ2!$AT58,'Étape 1 - à remplir'!$G$19:$G$28,"animaux"),"")</f>
        <v/>
      </c>
      <c r="AV58" t="str">
        <f>IFERROR(SUMIFS('Étape 1 - à remplir'!$F$31:$F$400,'Étape 1 - à remplir'!$C$31:$C$400,IF($AT58="Lait","*Lait*",IF($AT58="Viande","*Viande*",IF($AT58="Reproduction","*Reproduction*",IF($AT58="Autre","*Autre*",IF($AT58="Loisir","*Loisir*",IF($AT58="Œufs","*Œufs*","")))))),'Étape 1 - à remplir'!$G$31:$G$400,"animaux",'Étape 1 - à remplir'!$M$31:$M$400,MASQ2!AV$43)/SUMIFS('Étape 1 - à remplir'!$F$19:$F$28,'Étape 1 - à remplir'!$D$19:$D$28,MASQ2!$AT58,'Étape 1 - à remplir'!$G$19:$G$28,"animaux"),"")</f>
        <v/>
      </c>
      <c r="AW58" t="str">
        <f>IFERROR(SUMIFS('Étape 1 - à remplir'!$F$31:$F$400,'Étape 1 - à remplir'!$C$31:$C$400,IF($AT58="Lait","*Lait*",IF($AT58="Viande","*Viande*",IF($AT58="Reproduction","*Reproduction*",IF($AT58="Autre","*Autre*",IF($AT58="Loisir","*Loisir*",IF($AT58="Œufs","*Œufs*","")))))),'Étape 1 - à remplir'!$G$31:$G$400,"animaux",'Étape 1 - à remplir'!$M$31:$M$400,MASQ2!AW$43)/SUMIFS('Étape 1 - à remplir'!$F$19:$F$28,'Étape 1 - à remplir'!$D$19:$D$28,MASQ2!$AT58,'Étape 1 - à remplir'!$G$19:$G$28,"animaux"),"")</f>
        <v/>
      </c>
      <c r="AX58" t="str">
        <f>IFERROR(SUMIFS('Étape 1 - à remplir'!$F$31:$F$400,'Étape 1 - à remplir'!$C$31:$C$400,IF($AT58="Lait","*Lait*",IF($AT58="Viande","*Viande*",IF($AT58="Reproduction","*Reproduction*",IF($AT58="Autre","*Autre*",IF($AT58="Loisir","*Loisir*",IF($AT58="Œufs","*Œufs*","")))))),'Étape 1 - à remplir'!$G$31:$G$400,"animaux",'Étape 1 - à remplir'!$M$31:$M$400,MASQ2!AX$43)/SUMIFS('Étape 1 - à remplir'!$F$19:$F$28,'Étape 1 - à remplir'!$D$19:$D$28,MASQ2!$AT58,'Étape 1 - à remplir'!$G$19:$G$28,"animaux"),"")</f>
        <v/>
      </c>
      <c r="AY58" t="str">
        <f>IFERROR(SUMIFS('Étape 1 - à remplir'!$F$31:$F$400,'Étape 1 - à remplir'!$C$31:$C$400,IF($AT58="Lait","*Lait*",IF($AT58="Viande","*Viande*",IF($AT58="Reproduction","*Reproduction*",IF($AT58="Autre","*Autre*",IF($AT58="Loisir","*Loisir*",IF($AT58="Œufs","*Œufs*","")))))),'Étape 1 - à remplir'!$G$31:$G$400,"animaux",'Étape 1 - à remplir'!$M$31:$M$400,MASQ2!AY$43)/SUMIFS('Étape 1 - à remplir'!$F$19:$F$28,'Étape 1 - à remplir'!$D$19:$D$28,MASQ2!$AT58,'Étape 1 - à remplir'!$G$19:$G$28,"animaux"),"")</f>
        <v/>
      </c>
      <c r="AZ58" t="str">
        <f>IFERROR(SUMIFS('Étape 1 - à remplir'!$F$31:$F$400,'Étape 1 - à remplir'!$C$31:$C$400,IF($AT58="Lait","*Lait*",IF($AT58="Viande","*Viande*",IF($AT58="Reproduction","*Reproduction*",IF($AT58="Autre","*Autre*",IF($AT58="Loisir","*Loisir*",IF($AT58="Œufs","*Œufs*","")))))),'Étape 1 - à remplir'!$G$31:$G$400,"animaux",'Étape 1 - à remplir'!$M$31:$M$400,MASQ2!AZ$43)/SUMIFS('Étape 1 - à remplir'!$F$19:$F$28,'Étape 1 - à remplir'!$D$19:$D$28,MASQ2!$AT58,'Étape 1 - à remplir'!$G$19:$G$28,"animaux"),"")</f>
        <v/>
      </c>
      <c r="BA58" t="str">
        <f>IFERROR(SUMIFS('Étape 1 - à remplir'!$F$31:$F$400,'Étape 1 - à remplir'!$C$31:$C$400,IF($AT58="Lait","*Lait*",IF($AT58="Viande","*Viande*",IF($AT58="Reproduction","*Reproduction*",IF($AT58="Autre","*Autre*",IF($AT58="Loisir","*Loisir*",IF($AT58="Œufs","*Œufs*","")))))),'Étape 1 - à remplir'!$G$31:$G$400,"animaux",'Étape 1 - à remplir'!$M$31:$M$400,MASQ2!BA$43)/SUMIFS('Étape 1 - à remplir'!$F$19:$F$28,'Étape 1 - à remplir'!$D$19:$D$28,MASQ2!$AT58,'Étape 1 - à remplir'!$G$19:$G$28,"animaux"),"")</f>
        <v/>
      </c>
      <c r="BB58" t="str">
        <f>IFERROR(SUMIFS('Étape 1 - à remplir'!$F$31:$F$400,'Étape 1 - à remplir'!$C$31:$C$400,IF($AT58="Lait","*Lait*",IF($AT58="Viande","*Viande*",IF($AT58="Reproduction","*Reproduction*",IF($AT58="Autre","*Autre*",IF($AT58="Loisir","*Loisir*",IF($AT58="Œufs","*Œufs*","")))))),'Étape 1 - à remplir'!$G$31:$G$400,"animaux",'Étape 1 - à remplir'!$M$31:$M$400,MASQ2!BB$43)/SUMIFS('Étape 1 - à remplir'!$F$19:$F$28,'Étape 1 - à remplir'!$D$19:$D$28,MASQ2!$AT58,'Étape 1 - à remplir'!$G$19:$G$28,"animaux"),"")</f>
        <v/>
      </c>
      <c r="BC58" t="str">
        <f>IFERROR(SUMIFS('Étape 1 - à remplir'!$F$31:$F$400,'Étape 1 - à remplir'!$C$31:$C$400,IF($AT58="Lait","*Lait*",IF($AT58="Viande","*Viande*",IF($AT58="Reproduction","*Reproduction*",IF($AT58="Autre","*Autre*",IF($AT58="Loisir","*Loisir*",IF($AT58="Œufs","*Œufs*","")))))),'Étape 1 - à remplir'!$G$31:$G$400,"animaux",'Étape 1 - à remplir'!$M$31:$M$400,MASQ2!BC$43)/SUMIFS('Étape 1 - à remplir'!$F$19:$F$28,'Étape 1 - à remplir'!$D$19:$D$28,MASQ2!$AT58,'Étape 1 - à remplir'!$G$19:$G$28,"animaux"),"")</f>
        <v/>
      </c>
      <c r="BD58" t="str">
        <f>IFERROR(SUMIFS('Étape 1 - à remplir'!$F$31:$F$400,'Étape 1 - à remplir'!$C$31:$C$400,IF($AT58="Lait","*Lait*",IF($AT58="Viande","*Viande*",IF($AT58="Reproduction","*Reproduction*",IF($AT58="Autre","*Autre*",IF($AT58="Loisir","*Loisir*",IF($AT58="Œufs","*Œufs*","")))))),'Étape 1 - à remplir'!$G$31:$G$400,"animaux",'Étape 1 - à remplir'!$M$31:$M$400,MASQ2!BD$43)/SUMIFS('Étape 1 - à remplir'!$F$19:$F$28,'Étape 1 - à remplir'!$D$19:$D$28,MASQ2!$AT58,'Étape 1 - à remplir'!$G$19:$G$28,"animaux"),"")</f>
        <v/>
      </c>
      <c r="BE58" t="str">
        <f>IFERROR(SUMIFS('Étape 1 - à remplir'!$F$31:$F$400,'Étape 1 - à remplir'!$C$31:$C$400,IF($AT58="Lait","*Lait*",IF($AT58="Viande","*Viande*",IF($AT58="Reproduction","*Reproduction*",IF($AT58="Autre","*Autre*",IF($AT58="Loisir","*Loisir*",IF($AT58="Œufs","*Œufs*","")))))),'Étape 1 - à remplir'!$G$31:$G$400,"animaux",'Étape 1 - à remplir'!$M$31:$M$400,MASQ2!BE$43)/SUMIFS('Étape 1 - à remplir'!$F$19:$F$28,'Étape 1 - à remplir'!$D$19:$D$28,MASQ2!$AT58,'Étape 1 - à remplir'!$G$19:$G$28,"animaux"),"")</f>
        <v/>
      </c>
      <c r="BF58" s="76" t="str">
        <f>IFERROR(SUMIFS('Étape 1 - à remplir'!$F$31:$F$400,'Étape 1 - à remplir'!$C$31:$C$400,IF($AT58="Lait","*Lait*",IF($AT58="Viande","*Viande*",IF($AT58="Reproduction","*Reproduction*",IF($AT58="Autre","*Autre*",IF($AT58="Loisir","*Loisir*",IF($AT58="Œufs","*Œufs*","")))))),'Étape 1 - à remplir'!$G$31:$G$400,"animaux",'Étape 1 - à remplir'!$M$31:$M$400,MASQ2!BF$43)/SUMIFS('Étape 1 - à remplir'!$F$19:$F$28,'Étape 1 - à remplir'!$D$19:$D$28,MASQ2!$AT58,'Étape 1 - à remplir'!$G$19:$G$28,"animaux"),"")</f>
        <v/>
      </c>
      <c r="BT58" s="194" t="str">
        <f t="shared" ca="1" si="5"/>
        <v/>
      </c>
      <c r="BU58" s="219" t="str">
        <f>IFERROR(IF(BX58=0,"",COUNTIF(BX$4:BX$600,"&gt;"&amp;BX58)+COUNTIF(BX$4:BX58,BX58)),"")</f>
        <v/>
      </c>
      <c r="BV58" s="42" t="str">
        <f t="shared" si="6"/>
        <v>AXENTYL</v>
      </c>
      <c r="BW58" t="e">
        <f>IF(IF(CE$2="Catégorie",IF(CE$3="Toutes",SUMIFS('Étape 1 - à remplir'!$F$31:$F$400,'Étape 1 - à remplir'!$E$31:$E$400,MASQ2!BV58,'Étape 1 - à remplir'!$G$31:$G$400,"lots"),SUMIFS('Étape 1 - à remplir'!$F$31:$F$400,'Étape 1 - à remplir'!$E$31:$E$400,MASQ2!BV58,'Étape 1 - à remplir'!$C$31:$C$400,CE$3)),IF(CE$2="Âge",IF(CE$3="Tous",SUMIFS('Étape 1 - à remplir'!$F$31:$F$400,'Étape 1 - à remplir'!$E$31:$E$400,MASQ2!BV58,'Étape 1 - à remplir'!$G$31:$G$400,"lots"),SUMIFS('Étape 1 - à remplir'!$F$31:$F$400,'Étape 1 - à remplir'!$E$31:$E$400,MASQ2!BV58,'Étape 1 - à remplir'!$P$31:$P$400,CE$3,'Étape 1 - à remplir'!$G$31:$G$400,"lots")),IF(CE$2="Atelier",IF(CE$3="Tous",SUMIFS('Étape 1 - à remplir'!$F$31:$F$400,'Étape 1 - à remplir'!$E$31:$E$400,MASQ2!BV58,'Étape 1 - à remplir'!$G$31:$G$400,"lots"),SUMIFS('Étape 1 - à remplir'!$F$31:$F$400,'Étape 1 - à remplir'!$E$31:$E$400,MASQ2!BV58,'Étape 1 - à remplir'!$O$31:$O$400,CE$3,'Étape 1 - à remplir'!$G$31:$G$400,"lots")),IF(CE$2="Espèce",IF(CE$3="Toutes",SUMIFS('Étape 1 - à remplir'!$F$31:$F$400,'Étape 1 - à remplir'!$E$31:$E$400,MASQ2!BV58,'Étape 1 - à remplir'!$G$31:$G$400,"lots"),SUMIFS('Étape 1 - à remplir'!$F$31:$F$400,'Étape 1 - à remplir'!$E$31:$E$400,MASQ2!BV58,'Étape 1 - à remplir'!$N$31:$N$400,CE$3,'Étape 1 - à remplir'!$G$31:$G$400,"lots"))))))=0,NA(),IF(CE$2="Catégorie",IF(CE$3="Toutes",SUMIFS('Étape 1 - à remplir'!$F$31:$F$400,'Étape 1 - à remplir'!$E$31:$E$400,MASQ2!BV58,'Étape 1 - à remplir'!$G$31:$G$400,"lots"),SUMIFS('Étape 1 - à remplir'!$F$31:$F$400,'Étape 1 - à remplir'!$E$31:$E$400,MASQ2!BV58,'Étape 1 - à remplir'!$C$31:$C$400,CE$3)),IF(CE$2="Âge",IF(CE$3="Tous",SUMIFS('Étape 1 - à remplir'!$F$31:$F$400,'Étape 1 - à remplir'!$E$31:$E$400,MASQ2!BV58,'Étape 1 - à remplir'!$G$31:$G$400,"lots"),SUMIFS('Étape 1 - à remplir'!$F$31:$F$400,'Étape 1 - à remplir'!$E$31:$E$400,MASQ2!BV58,'Étape 1 - à remplir'!$P$31:$P$400,CE$3,'Étape 1 - à remplir'!$G$31:$G$400,"lots")),IF(CE$2="Atelier",IF(CE$3="Tous",SUMIFS('Étape 1 - à remplir'!$F$31:$F$400,'Étape 1 - à remplir'!$E$31:$E$400,MASQ2!BV58,'Étape 1 - à remplir'!$G$31:$G$400,"lots"),SUMIFS('Étape 1 - à remplir'!$F$31:$F$400,'Étape 1 - à remplir'!$E$31:$E$400,MASQ2!BV58,'Étape 1 - à remplir'!$O$31:$O$400,CE$3,'Étape 1 - à remplir'!$G$31:$G$400,"lots")),IF(CE$2="Espèce",IF(CE$3="Toutes",SUMIFS('Étape 1 - à remplir'!$F$31:$F$400,'Étape 1 - à remplir'!$E$31:$E$400,MASQ2!BV58,'Étape 1 - à remplir'!$G$31:$G$400,"lots"),SUMIFS('Étape 1 - à remplir'!$F$31:$F$400,'Étape 1 - à remplir'!$E$31:$E$400,MASQ2!BV58,'Étape 1 - à remplir'!$N$31:$N$400,CE$3,'Étape 1 - à remplir'!$G$31:$G$400,"lots")))))))</f>
        <v>#N/A</v>
      </c>
      <c r="BX58">
        <f t="shared" si="42"/>
        <v>0</v>
      </c>
      <c r="BY58" t="str">
        <f t="shared" si="7"/>
        <v>Tylosine</v>
      </c>
      <c r="BZ58" t="str">
        <f t="shared" si="8"/>
        <v/>
      </c>
      <c r="CA58" t="str">
        <f t="shared" si="9"/>
        <v/>
      </c>
      <c r="CB58" t="str">
        <f t="shared" si="10"/>
        <v>Macrolides</v>
      </c>
      <c r="CC58" t="str">
        <f t="shared" si="11"/>
        <v/>
      </c>
      <c r="CD58" s="63" t="str">
        <f t="shared" si="12"/>
        <v/>
      </c>
      <c r="CG58" s="42">
        <v>55</v>
      </c>
      <c r="CH58" s="42" t="e">
        <f t="shared" si="80"/>
        <v>#N/A</v>
      </c>
      <c r="CI58" s="63" t="e">
        <f t="shared" si="81"/>
        <v>#N/A</v>
      </c>
      <c r="CK58" s="194" t="str">
        <f t="shared" si="118"/>
        <v/>
      </c>
      <c r="CL58" s="226" t="str">
        <f>IFERROR(IF(CN58=0,"",COUNTIF(CN$4:CN$64,"&gt;"&amp;CN58)+COUNTIF(CN$4:CN58,CN58)),"")</f>
        <v/>
      </c>
      <c r="CM58" t="str">
        <f t="shared" si="119"/>
        <v>Tildipirosine</v>
      </c>
      <c r="CN58" s="76" t="e">
        <f t="shared" si="45"/>
        <v>#N/A</v>
      </c>
      <c r="CO58">
        <v>55</v>
      </c>
      <c r="CP58" t="e">
        <f t="shared" si="46"/>
        <v>#N/A</v>
      </c>
      <c r="CQ58" s="63" t="e">
        <f t="shared" si="47"/>
        <v>#N/A</v>
      </c>
      <c r="DA58" s="109" t="str">
        <f t="shared" si="126"/>
        <v/>
      </c>
      <c r="DB58" s="118" t="str">
        <f>IFERROR(SUMIFS('Étape 1 - à remplir'!$F$31:$F$400,'Étape 1 - à remplir'!$C$31:$C$400,IF($DA58="Lait","*Lait*",IF($DA58="Viande","*Viande*",IF($DA58="Reproduction","*Reproduction*",IF($DA58="Autre","*Autre*",IF($DA58="Loisir","*Loisir*",IF($DA58="Œufs","*Œufs*","")))))),'Étape 1 - à remplir'!$G$31:$G$400,"lots",'Étape 1 - à remplir'!$M$31:$M$400,MASQ2!DB$43)/SUMIFS('Étape 1 - à remplir'!$F$19:$F$28,'Étape 1 - à remplir'!$D$19:$D$28,MASQ2!$DA58,'Étape 1 - à remplir'!$G$19:$G$28,"lots"),"")</f>
        <v/>
      </c>
      <c r="DC58" t="str">
        <f>IFERROR(SUMIFS('Étape 1 - à remplir'!$F$31:$F$400,'Étape 1 - à remplir'!$C$31:$C$400,IF($DA58="Lait","*Lait*",IF($DA58="Viande","*Viande*",IF($DA58="Reproduction","*Reproduction*",IF($DA58="Autre","*Autre*",IF($DA58="Loisir","*Loisir*",IF($DA58="Œufs","*Œufs*","")))))),'Étape 1 - à remplir'!$G$31:$G$400,"lots",'Étape 1 - à remplir'!$M$31:$M$400,MASQ2!DC$43)/SUMIFS('Étape 1 - à remplir'!$F$19:$F$28,'Étape 1 - à remplir'!$D$19:$D$28,MASQ2!$DA58,'Étape 1 - à remplir'!$G$19:$G$28,"lots"),"")</f>
        <v/>
      </c>
      <c r="DD58" t="str">
        <f>IFERROR(SUMIFS('Étape 1 - à remplir'!$F$31:$F$400,'Étape 1 - à remplir'!$C$31:$C$400,IF($DA58="Lait","*Lait*",IF($DA58="Viande","*Viande*",IF($DA58="Reproduction","*Reproduction*",IF($DA58="Autre","*Autre*",IF($DA58="Loisir","*Loisir*",IF($DA58="Œufs","*Œufs*","")))))),'Étape 1 - à remplir'!$G$31:$G$400,"lots",'Étape 1 - à remplir'!$M$31:$M$400,MASQ2!DD$43)/SUMIFS('Étape 1 - à remplir'!$F$19:$F$28,'Étape 1 - à remplir'!$D$19:$D$28,MASQ2!$DA58,'Étape 1 - à remplir'!$G$19:$G$28,"lots"),"")</f>
        <v/>
      </c>
      <c r="DE58" t="str">
        <f>IFERROR(SUMIFS('Étape 1 - à remplir'!$F$31:$F$400,'Étape 1 - à remplir'!$C$31:$C$400,IF($DA58="Lait","*Lait*",IF($DA58="Viande","*Viande*",IF($DA58="Reproduction","*Reproduction*",IF($DA58="Autre","*Autre*",IF($DA58="Loisir","*Loisir*",IF($DA58="Œufs","*Œufs*","")))))),'Étape 1 - à remplir'!$G$31:$G$400,"lots",'Étape 1 - à remplir'!$M$31:$M$400,MASQ2!DE$43)/SUMIFS('Étape 1 - à remplir'!$F$19:$F$28,'Étape 1 - à remplir'!$D$19:$D$28,MASQ2!$DA58,'Étape 1 - à remplir'!$G$19:$G$28,"lots"),"")</f>
        <v/>
      </c>
      <c r="DF58" t="str">
        <f>IFERROR(SUMIFS('Étape 1 - à remplir'!$F$31:$F$400,'Étape 1 - à remplir'!$C$31:$C$400,IF($DA58="Lait","*Lait*",IF($DA58="Viande","*Viande*",IF($DA58="Reproduction","*Reproduction*",IF($DA58="Autre","*Autre*",IF($DA58="Loisir","*Loisir*",IF($DA58="Œufs","*Œufs*","")))))),'Étape 1 - à remplir'!$G$31:$G$400,"lots",'Étape 1 - à remplir'!$M$31:$M$400,MASQ2!DF$43)/SUMIFS('Étape 1 - à remplir'!$F$19:$F$28,'Étape 1 - à remplir'!$D$19:$D$28,MASQ2!$DA58,'Étape 1 - à remplir'!$G$19:$G$28,"lots"),"")</f>
        <v/>
      </c>
      <c r="DG58" t="str">
        <f>IFERROR(SUMIFS('Étape 1 - à remplir'!$F$31:$F$400,'Étape 1 - à remplir'!$C$31:$C$400,IF($DA58="Lait","*Lait*",IF($DA58="Viande","*Viande*",IF($DA58="Reproduction","*Reproduction*",IF($DA58="Autre","*Autre*",IF($DA58="Loisir","*Loisir*",IF($DA58="Œufs","*Œufs*","")))))),'Étape 1 - à remplir'!$G$31:$G$400,"lots",'Étape 1 - à remplir'!$M$31:$M$400,MASQ2!DG$43)/SUMIFS('Étape 1 - à remplir'!$F$19:$F$28,'Étape 1 - à remplir'!$D$19:$D$28,MASQ2!$DA58,'Étape 1 - à remplir'!$G$19:$G$28,"lots"),"")</f>
        <v/>
      </c>
      <c r="DH58" t="str">
        <f>IFERROR(SUMIFS('Étape 1 - à remplir'!$F$31:$F$400,'Étape 1 - à remplir'!$C$31:$C$400,IF($DA58="Lait","*Lait*",IF($DA58="Viande","*Viande*",IF($DA58="Reproduction","*Reproduction*",IF($DA58="Autre","*Autre*",IF($DA58="Loisir","*Loisir*",IF($DA58="Œufs","*Œufs*","")))))),'Étape 1 - à remplir'!$G$31:$G$400,"lots",'Étape 1 - à remplir'!$M$31:$M$400,MASQ2!DH$43)/SUMIFS('Étape 1 - à remplir'!$F$19:$F$28,'Étape 1 - à remplir'!$D$19:$D$28,MASQ2!$DA58,'Étape 1 - à remplir'!$G$19:$G$28,"lots"),"")</f>
        <v/>
      </c>
      <c r="DI58" t="str">
        <f>IFERROR(SUMIFS('Étape 1 - à remplir'!$F$31:$F$400,'Étape 1 - à remplir'!$C$31:$C$400,IF($DA58="Lait","*Lait*",IF($DA58="Viande","*Viande*",IF($DA58="Reproduction","*Reproduction*",IF($DA58="Autre","*Autre*",IF($DA58="Loisir","*Loisir*",IF($DA58="Œufs","*Œufs*","")))))),'Étape 1 - à remplir'!$G$31:$G$400,"lots",'Étape 1 - à remplir'!$M$31:$M$400,MASQ2!DI$43)/SUMIFS('Étape 1 - à remplir'!$F$19:$F$28,'Étape 1 - à remplir'!$D$19:$D$28,MASQ2!$DA58,'Étape 1 - à remplir'!$G$19:$G$28,"lots"),"")</f>
        <v/>
      </c>
      <c r="DJ58" t="str">
        <f>IFERROR(SUMIFS('Étape 1 - à remplir'!$F$31:$F$400,'Étape 1 - à remplir'!$C$31:$C$400,IF($DA58="Lait","*Lait*",IF($DA58="Viande","*Viande*",IF($DA58="Reproduction","*Reproduction*",IF($DA58="Autre","*Autre*",IF($DA58="Loisir","*Loisir*",IF($DA58="Œufs","*Œufs*","")))))),'Étape 1 - à remplir'!$G$31:$G$400,"lots",'Étape 1 - à remplir'!$M$31:$M$400,MASQ2!DJ$43)/SUMIFS('Étape 1 - à remplir'!$F$19:$F$28,'Étape 1 - à remplir'!$D$19:$D$28,MASQ2!$DA58,'Étape 1 - à remplir'!$G$19:$G$28,"lots"),"")</f>
        <v/>
      </c>
      <c r="DK58" t="str">
        <f>IFERROR(SUMIFS('Étape 1 - à remplir'!$F$31:$F$400,'Étape 1 - à remplir'!$C$31:$C$400,IF($DA58="Lait","*Lait*",IF($DA58="Viande","*Viande*",IF($DA58="Reproduction","*Reproduction*",IF($DA58="Autre","*Autre*",IF($DA58="Loisir","*Loisir*",IF($DA58="Œufs","*Œufs*","")))))),'Étape 1 - à remplir'!$G$31:$G$400,"lots",'Étape 1 - à remplir'!$M$31:$M$400,MASQ2!DK$43)/SUMIFS('Étape 1 - à remplir'!$F$19:$F$28,'Étape 1 - à remplir'!$D$19:$D$28,MASQ2!$DA58,'Étape 1 - à remplir'!$G$19:$G$28,"lots"),"")</f>
        <v/>
      </c>
      <c r="DL58" t="str">
        <f>IFERROR(SUMIFS('Étape 1 - à remplir'!$F$31:$F$400,'Étape 1 - à remplir'!$C$31:$C$400,IF($DA58="Lait","*Lait*",IF($DA58="Viande","*Viande*",IF($DA58="Reproduction","*Reproduction*",IF($DA58="Autre","*Autre*",IF($DA58="Loisir","*Loisir*",IF($DA58="Œufs","*Œufs*","")))))),'Étape 1 - à remplir'!$G$31:$G$400,"lots",'Étape 1 - à remplir'!$M$31:$M$400,MASQ2!DL$43)/SUMIFS('Étape 1 - à remplir'!$F$19:$F$28,'Étape 1 - à remplir'!$D$19:$D$28,MASQ2!$DA58,'Étape 1 - à remplir'!$G$19:$G$28,"lots"),"")</f>
        <v/>
      </c>
      <c r="DM58" s="76" t="str">
        <f>IFERROR(SUMIFS('Étape 1 - à remplir'!$F$31:$F$400,'Étape 1 - à remplir'!$C$31:$C$400,IF($DA58="Lait","*Lait*",IF($DA58="Viande","*Viande*",IF($DA58="Reproduction","*Reproduction*",IF($DA58="Autre","*Autre*",IF($DA58="Loisir","*Loisir*",IF($DA58="Œufs","*Œufs*","")))))),'Étape 1 - à remplir'!$G$31:$G$400,"lots",'Étape 1 - à remplir'!$M$31:$M$400,MASQ2!DM$43)/SUMIFS('Étape 1 - à remplir'!$F$19:$F$28,'Étape 1 - à remplir'!$D$19:$D$28,MASQ2!$DA58,'Étape 1 - à remplir'!$G$19:$G$28,"lots"),"")</f>
        <v/>
      </c>
      <c r="EA58" s="194" t="str">
        <f t="shared" ca="1" si="18"/>
        <v/>
      </c>
      <c r="EB58" s="226" t="str">
        <f>IFERROR(IF(ED58=0,"",COUNTIF(ED$4:ED$600,"&gt;"&amp;ED58)+COUNTIF(ED$4:ED58,ED58)),"")</f>
        <v/>
      </c>
      <c r="EC58" t="str">
        <f t="shared" si="19"/>
        <v>AXENTYL</v>
      </c>
      <c r="ED58" t="e">
        <f>IF(IF(EL$2="Catégorie",IF(EL$3="Toutes",SUMIFS('Étape 1 - à remplir'!$F$31:$F$400,'Étape 1 - à remplir'!$E$31:$E$400,MASQ2!EC58,'Étape 1 - à remplir'!$G$31:$G$400,"kg"),SUMIFS('Étape 1 - à remplir'!$F$31:$F$400,'Étape 1 - à remplir'!$E$31:$E$400,MASQ2!EC58,'Étape 1 - à remplir'!$C$31:$C$400,EL$3)),IF(EL$2="Âge",IF(EL$3="Tous",SUMIFS('Étape 1 - à remplir'!$F$31:$F$400,'Étape 1 - à remplir'!$E$31:$E$400,MASQ2!EC58,'Étape 1 - à remplir'!$G$31:$G$400,"kg"),SUMIFS('Étape 1 - à remplir'!$F$31:$F$400,'Étape 1 - à remplir'!$E$31:$E$400,MASQ2!EC58,'Étape 1 - à remplir'!$P$31:$P$400,EL$3,'Étape 1 - à remplir'!$G$31:$G$400,"kg")),IF(EL$2="Atelier",IF(EL$3="Tous",SUMIFS('Étape 1 - à remplir'!$F$31:$F$400,'Étape 1 - à remplir'!$E$31:$E$400,MASQ2!EC58,'Étape 1 - à remplir'!$G$31:$G$400,"kg"),SUMIFS('Étape 1 - à remplir'!$F$31:$F$400,'Étape 1 - à remplir'!$E$31:$E$400,MASQ2!EC58,'Étape 1 - à remplir'!$O$31:$O$400,EL$3,'Étape 1 - à remplir'!$G$31:$G$400,"kg")),IF(EL$2="Espèce",IF(EL$3="Toutes",SUMIFS('Étape 1 - à remplir'!$F$31:$F$400,'Étape 1 - à remplir'!$E$31:$E$400,MASQ2!EC58,'Étape 1 - à remplir'!$G$31:$G$400,"kg"),SUMIFS('Étape 1 - à remplir'!$F$31:$F$400,'Étape 1 - à remplir'!$E$31:$E$400,MASQ2!EC58,'Étape 1 - à remplir'!$N$31:$N$400,EL$3,'Étape 1 - à remplir'!$G$31:$G$400,"kg"))))))=0,NA(),IF(EL$2="Catégorie",IF(EL$3="Toutes",SUMIFS('Étape 1 - à remplir'!$F$31:$F$400,'Étape 1 - à remplir'!$E$31:$E$400,MASQ2!EC58,'Étape 1 - à remplir'!$G$31:$G$400,"kg"),SUMIFS('Étape 1 - à remplir'!$F$31:$F$400,'Étape 1 - à remplir'!$E$31:$E$400,MASQ2!EC58,'Étape 1 - à remplir'!$C$31:$C$400,EL$3)),IF(EL$2="Âge",IF(EL$3="Tous",SUMIFS('Étape 1 - à remplir'!$F$31:$F$400,'Étape 1 - à remplir'!$E$31:$E$400,MASQ2!EC58,'Étape 1 - à remplir'!$G$31:$G$400,"kg"),SUMIFS('Étape 1 - à remplir'!$F$31:$F$400,'Étape 1 - à remplir'!$E$31:$E$400,MASQ2!EC58,'Étape 1 - à remplir'!$P$31:$P$400,EL$3,'Étape 1 - à remplir'!$G$31:$G$400,"kg")),IF(EL$2="Atelier",IF(EL$3="Tous",SUMIFS('Étape 1 - à remplir'!$F$31:$F$400,'Étape 1 - à remplir'!$E$31:$E$400,MASQ2!EC58,'Étape 1 - à remplir'!$G$31:$G$400,"kg"),SUMIFS('Étape 1 - à remplir'!$F$31:$F$400,'Étape 1 - à remplir'!$E$31:$E$400,MASQ2!EC58,'Étape 1 - à remplir'!$O$31:$O$400,EL$3,'Étape 1 - à remplir'!$G$31:$G$400,"kg")),IF(EL$2="Espèce",IF(EL$3="Toutes",SUMIFS('Étape 1 - à remplir'!$F$31:$F$400,'Étape 1 - à remplir'!$E$31:$E$400,MASQ2!EC58,'Étape 1 - à remplir'!$G$31:$G$400,"kg"),SUMIFS('Étape 1 - à remplir'!$F$31:$F$400,'Étape 1 - à remplir'!$E$31:$E$400,MASQ2!EC58,'Étape 1 - à remplir'!$N$31:$N$400,EL$3,'Étape 1 - à remplir'!$G$31:$G$400,"kg")))))))</f>
        <v>#N/A</v>
      </c>
      <c r="EE58" s="76">
        <f t="shared" si="53"/>
        <v>0</v>
      </c>
      <c r="EF58" t="str">
        <f t="shared" si="20"/>
        <v>Tylosine</v>
      </c>
      <c r="EG58" t="str">
        <f t="shared" si="21"/>
        <v/>
      </c>
      <c r="EH58" t="str">
        <f t="shared" si="22"/>
        <v/>
      </c>
      <c r="EI58" t="str">
        <f t="shared" si="23"/>
        <v>Macrolides</v>
      </c>
      <c r="EJ58" t="str">
        <f t="shared" si="24"/>
        <v/>
      </c>
      <c r="EK58" s="63" t="str">
        <f t="shared" si="25"/>
        <v/>
      </c>
      <c r="EN58" s="42">
        <v>55</v>
      </c>
      <c r="EO58" t="e">
        <f t="shared" si="68"/>
        <v>#N/A</v>
      </c>
      <c r="EP58" s="63" t="e">
        <f t="shared" si="69"/>
        <v>#N/A</v>
      </c>
      <c r="ER58" s="194" t="str">
        <f t="shared" si="120"/>
        <v/>
      </c>
      <c r="ES58" s="226" t="str">
        <f>IFERROR(IF(EU58=0,"",COUNTIF(EU$4:EU$64,"&gt;"&amp;EU58)+COUNTIF(EU$4:EU58,EU58)),"")</f>
        <v/>
      </c>
      <c r="ET58" t="str">
        <f t="shared" si="121"/>
        <v>Tildipirosine</v>
      </c>
      <c r="EU58" s="76" t="e">
        <f t="shared" si="56"/>
        <v>#N/A</v>
      </c>
      <c r="EV58">
        <v>55</v>
      </c>
      <c r="EW58" t="e">
        <f t="shared" si="57"/>
        <v>#N/A</v>
      </c>
      <c r="EX58" s="63" t="e">
        <f t="shared" si="58"/>
        <v>#N/A</v>
      </c>
      <c r="FH58" s="118" t="str">
        <f t="shared" si="127"/>
        <v/>
      </c>
      <c r="FI58" s="118" t="str">
        <f>IFERROR(SUMIFS('Étape 1 - à remplir'!$F$31:$F$400,'Étape 1 - à remplir'!$C$31:$C$400,IF($FH58="Lait","*Lait*",IF($FH58="Viande","*Viande*",IF($FH58="Reproduction","*Reproduction*",IF($FH58="Autre","*Autre*",IF($FH58="Loisir","*Loisir*",IF($FH58="Œufs","*Œufs*","")))))),'Étape 1 - à remplir'!$G$31:$G$400,"kg",'Étape 1 - à remplir'!$M$31:$M$400,MASQ2!FI$43)/SUMIFS('Étape 1 - à remplir'!$F$19:$F$28,'Étape 1 - à remplir'!$D$19:$D$28,MASQ2!$FH58,'Étape 1 - à remplir'!$G$19:$G$28,"kg"),"")</f>
        <v/>
      </c>
      <c r="FJ58" t="str">
        <f>IFERROR(SUMIFS('Étape 1 - à remplir'!$F$31:$F$400,'Étape 1 - à remplir'!$C$31:$C$400,IF($FH58="Lait","*Lait*",IF($FH58="Viande","*Viande*",IF($FH58="Reproduction","*Reproduction*",IF($FH58="Autre","*Autre*",IF($FH58="Loisir","*Loisir*",IF($FH58="Œufs","*Œufs*","")))))),'Étape 1 - à remplir'!$G$31:$G$400,"kg",'Étape 1 - à remplir'!$M$31:$M$400,MASQ2!FJ$43)/SUMIFS('Étape 1 - à remplir'!$F$19:$F$28,'Étape 1 - à remplir'!$D$19:$D$28,MASQ2!$FH58,'Étape 1 - à remplir'!$G$19:$G$28,"kg"),"")</f>
        <v/>
      </c>
      <c r="FK58" t="str">
        <f>IFERROR(SUMIFS('Étape 1 - à remplir'!$F$31:$F$400,'Étape 1 - à remplir'!$C$31:$C$400,IF($FH58="Lait","*Lait*",IF($FH58="Viande","*Viande*",IF($FH58="Reproduction","*Reproduction*",IF($FH58="Autre","*Autre*",IF($FH58="Loisir","*Loisir*",IF($FH58="Œufs","*Œufs*","")))))),'Étape 1 - à remplir'!$G$31:$G$400,"kg",'Étape 1 - à remplir'!$M$31:$M$400,MASQ2!FK$43)/SUMIFS('Étape 1 - à remplir'!$F$19:$F$28,'Étape 1 - à remplir'!$D$19:$D$28,MASQ2!$FH58,'Étape 1 - à remplir'!$G$19:$G$28,"kg"),"")</f>
        <v/>
      </c>
      <c r="FL58" t="str">
        <f>IFERROR(SUMIFS('Étape 1 - à remplir'!$F$31:$F$400,'Étape 1 - à remplir'!$C$31:$C$400,IF($FH58="Lait","*Lait*",IF($FH58="Viande","*Viande*",IF($FH58="Reproduction","*Reproduction*",IF($FH58="Autre","*Autre*",IF($FH58="Loisir","*Loisir*",IF($FH58="Œufs","*Œufs*","")))))),'Étape 1 - à remplir'!$G$31:$G$400,"kg",'Étape 1 - à remplir'!$M$31:$M$400,MASQ2!FL$43)/SUMIFS('Étape 1 - à remplir'!$F$19:$F$28,'Étape 1 - à remplir'!$D$19:$D$28,MASQ2!$FH58,'Étape 1 - à remplir'!$G$19:$G$28,"kg"),"")</f>
        <v/>
      </c>
      <c r="FM58" t="str">
        <f>IFERROR(SUMIFS('Étape 1 - à remplir'!$F$31:$F$400,'Étape 1 - à remplir'!$C$31:$C$400,IF($FH58="Lait","*Lait*",IF($FH58="Viande","*Viande*",IF($FH58="Reproduction","*Reproduction*",IF($FH58="Autre","*Autre*",IF($FH58="Loisir","*Loisir*",IF($FH58="Œufs","*Œufs*","")))))),'Étape 1 - à remplir'!$G$31:$G$400,"kg",'Étape 1 - à remplir'!$M$31:$M$400,MASQ2!FM$43)/SUMIFS('Étape 1 - à remplir'!$F$19:$F$28,'Étape 1 - à remplir'!$D$19:$D$28,MASQ2!$FH58,'Étape 1 - à remplir'!$G$19:$G$28,"kg"),"")</f>
        <v/>
      </c>
      <c r="FN58" t="str">
        <f>IFERROR(SUMIFS('Étape 1 - à remplir'!$F$31:$F$400,'Étape 1 - à remplir'!$C$31:$C$400,IF($FH58="Lait","*Lait*",IF($FH58="Viande","*Viande*",IF($FH58="Reproduction","*Reproduction*",IF($FH58="Autre","*Autre*",IF($FH58="Loisir","*Loisir*",IF($FH58="Œufs","*Œufs*","")))))),'Étape 1 - à remplir'!$G$31:$G$400,"kg",'Étape 1 - à remplir'!$M$31:$M$400,MASQ2!FN$43)/SUMIFS('Étape 1 - à remplir'!$F$19:$F$28,'Étape 1 - à remplir'!$D$19:$D$28,MASQ2!$FH58,'Étape 1 - à remplir'!$G$19:$G$28,"kg"),"")</f>
        <v/>
      </c>
      <c r="FO58" t="str">
        <f>IFERROR(SUMIFS('Étape 1 - à remplir'!$F$31:$F$400,'Étape 1 - à remplir'!$C$31:$C$400,IF($FH58="Lait","*Lait*",IF($FH58="Viande","*Viande*",IF($FH58="Reproduction","*Reproduction*",IF($FH58="Autre","*Autre*",IF($FH58="Loisir","*Loisir*",IF($FH58="Œufs","*Œufs*","")))))),'Étape 1 - à remplir'!$G$31:$G$400,"kg",'Étape 1 - à remplir'!$M$31:$M$400,MASQ2!FO$43)/SUMIFS('Étape 1 - à remplir'!$F$19:$F$28,'Étape 1 - à remplir'!$D$19:$D$28,MASQ2!$FH58,'Étape 1 - à remplir'!$G$19:$G$28,"kg"),"")</f>
        <v/>
      </c>
      <c r="FP58" t="str">
        <f>IFERROR(SUMIFS('Étape 1 - à remplir'!$F$31:$F$400,'Étape 1 - à remplir'!$C$31:$C$400,IF($FH58="Lait","*Lait*",IF($FH58="Viande","*Viande*",IF($FH58="Reproduction","*Reproduction*",IF($FH58="Autre","*Autre*",IF($FH58="Loisir","*Loisir*",IF($FH58="Œufs","*Œufs*","")))))),'Étape 1 - à remplir'!$G$31:$G$400,"kg",'Étape 1 - à remplir'!$M$31:$M$400,MASQ2!FP$43)/SUMIFS('Étape 1 - à remplir'!$F$19:$F$28,'Étape 1 - à remplir'!$D$19:$D$28,MASQ2!$FH58,'Étape 1 - à remplir'!$G$19:$G$28,"kg"),"")</f>
        <v/>
      </c>
      <c r="FQ58" t="str">
        <f>IFERROR(SUMIFS('Étape 1 - à remplir'!$F$31:$F$400,'Étape 1 - à remplir'!$C$31:$C$400,IF($FH58="Lait","*Lait*",IF($FH58="Viande","*Viande*",IF($FH58="Reproduction","*Reproduction*",IF($FH58="Autre","*Autre*",IF($FH58="Loisir","*Loisir*",IF($FH58="Œufs","*Œufs*","")))))),'Étape 1 - à remplir'!$G$31:$G$400,"kg",'Étape 1 - à remplir'!$M$31:$M$400,MASQ2!FQ$43)/SUMIFS('Étape 1 - à remplir'!$F$19:$F$28,'Étape 1 - à remplir'!$D$19:$D$28,MASQ2!$FH58,'Étape 1 - à remplir'!$G$19:$G$28,"kg"),"")</f>
        <v/>
      </c>
      <c r="FR58" t="str">
        <f>IFERROR(SUMIFS('Étape 1 - à remplir'!$F$31:$F$400,'Étape 1 - à remplir'!$C$31:$C$400,IF($FH58="Lait","*Lait*",IF($FH58="Viande","*Viande*",IF($FH58="Reproduction","*Reproduction*",IF($FH58="Autre","*Autre*",IF($FH58="Loisir","*Loisir*",IF($FH58="Œufs","*Œufs*","")))))),'Étape 1 - à remplir'!$G$31:$G$400,"kg",'Étape 1 - à remplir'!$M$31:$M$400,MASQ2!FR$43)/SUMIFS('Étape 1 - à remplir'!$F$19:$F$28,'Étape 1 - à remplir'!$D$19:$D$28,MASQ2!$FH58,'Étape 1 - à remplir'!$G$19:$G$28,"kg"),"")</f>
        <v/>
      </c>
      <c r="FS58" t="str">
        <f>IFERROR(SUMIFS('Étape 1 - à remplir'!$F$31:$F$400,'Étape 1 - à remplir'!$C$31:$C$400,IF($FH58="Lait","*Lait*",IF($FH58="Viande","*Viande*",IF($FH58="Reproduction","*Reproduction*",IF($FH58="Autre","*Autre*",IF($FH58="Loisir","*Loisir*",IF($FH58="Œufs","*Œufs*","")))))),'Étape 1 - à remplir'!$G$31:$G$400,"kg",'Étape 1 - à remplir'!$M$31:$M$400,MASQ2!FS$43)/SUMIFS('Étape 1 - à remplir'!$F$19:$F$28,'Étape 1 - à remplir'!$D$19:$D$28,MASQ2!$FH58,'Étape 1 - à remplir'!$G$19:$G$28,"kg"),"")</f>
        <v/>
      </c>
      <c r="FT58" s="76" t="str">
        <f>IFERROR(SUMIFS('Étape 1 - à remplir'!$F$31:$F$400,'Étape 1 - à remplir'!$C$31:$C$400,IF($FH58="Lait","*Lait*",IF($FH58="Viande","*Viande*",IF($FH58="Reproduction","*Reproduction*",IF($FH58="Autre","*Autre*",IF($FH58="Loisir","*Loisir*",IF($FH58="Œufs","*Œufs*","")))))),'Étape 1 - à remplir'!$G$31:$G$400,"kg",'Étape 1 - à remplir'!$M$31:$M$400,MASQ2!FT$43)/SUMIFS('Étape 1 - à remplir'!$F$19:$F$28,'Étape 1 - à remplir'!$D$19:$D$28,MASQ2!$FH58,'Étape 1 - à remplir'!$G$19:$G$28,"kg"),"")</f>
        <v/>
      </c>
    </row>
    <row r="59" spans="2:176" x14ac:dyDescent="0.3">
      <c r="B59" s="42"/>
      <c r="M59" s="194" t="str">
        <f ca="1">INDEX(Données_ATB!BD:BU,MATCH(MASQ2!O59,Données_ATB!BD:BD,0),18)</f>
        <v/>
      </c>
      <c r="N59" s="14" t="str">
        <f>IFERROR(IF(Q59=0,"",COUNTIF(Q$4:Q$600,"&gt;"&amp;Q59)+COUNTIF(Q$4:Q59,Q59)),"")</f>
        <v/>
      </c>
      <c r="O59" t="str">
        <f>Données_ATB!BD58</f>
        <v>AXENTYL 200 MG/ML SOLUTION INJECTABLE POUR BOVINS, OVINS, CAPRINS ET PORCINS</v>
      </c>
      <c r="P59" t="e">
        <f>IF(IF(X$2="Catégorie",IF(X$3="Toutes",SUMIFS('Étape 1 - à remplir'!$F$31:$F$400,'Étape 1 - à remplir'!$E$31:$E$400,MASQ2!O59,'Étape 1 - à remplir'!$G$31:$G$400,"animaux"),SUMIFS('Étape 1 - à remplir'!$F$31:$F$400,'Étape 1 - à remplir'!$E$31:$E$400,MASQ2!O59,'Étape 1 - à remplir'!$C$31:$C$400,X$3)),IF(X$2="Âge",IF(X$3="Tous",SUMIFS('Étape 1 - à remplir'!$F$31:$F$400,'Étape 1 - à remplir'!$E$31:$E$400,MASQ2!O59,'Étape 1 - à remplir'!$G$31:$G$400,"animaux"),SUMIFS('Étape 1 - à remplir'!$F$31:$F$400,'Étape 1 - à remplir'!$E$31:$E$400,MASQ2!O59,'Étape 1 - à remplir'!$P$31:$P$400,X$3)),IF(X$2="Atelier",IF(X$3="Tous",SUMIFS('Étape 1 - à remplir'!$F$31:$F$400,'Étape 1 - à remplir'!$E$31:$E$400,MASQ2!O59,'Étape 1 - à remplir'!$G$31:$G$400,"animaux"),SUMIFS('Étape 1 - à remplir'!$F$31:$F$400,'Étape 1 - à remplir'!$E$31:$E$400,MASQ2!O59,'Étape 1 - à remplir'!$O$31:$O$400,X$3)),IF(X$2="Espèce",IF(X$3="Toutes",SUMIFS('Étape 1 - à remplir'!$F$31:$F$400,'Étape 1 - à remplir'!$E$31:$E$400,MASQ2!O59,'Étape 1 - à remplir'!$G$31:$G$400,"animaux"),SUMIFS('Étape 1 - à remplir'!$F$31:$F$400,'Étape 1 - à remplir'!$E$31:$E$400,MASQ2!O59,'Étape 1 - à remplir'!$N$31:$N$400,X$3))))))=0,NA(),IF(X$2="Catégorie",IF(X$3="Toutes",SUMIFS('Étape 1 - à remplir'!$F$31:$F$400,'Étape 1 - à remplir'!$E$31:$E$400,MASQ2!O59,'Étape 1 - à remplir'!$G$31:$G$400,"animaux"),SUMIFS('Étape 1 - à remplir'!$F$31:$F$400,'Étape 1 - à remplir'!$E$31:$E$400,MASQ2!O59,'Étape 1 - à remplir'!$C$31:$C$400,X$3)),IF(X$2="Âge",IF(X$3="Tous",SUMIFS('Étape 1 - à remplir'!$F$31:$F$400,'Étape 1 - à remplir'!$E$31:$E$400,MASQ2!O59,'Étape 1 - à remplir'!$G$31:$G$400,"animaux"),SUMIFS('Étape 1 - à remplir'!$F$31:$F$400,'Étape 1 - à remplir'!$E$31:$E$400,MASQ2!O59,'Étape 1 - à remplir'!$P$31:$P$400,X$3)),IF(X$2="Atelier",IF(X$3="Tous",SUMIFS('Étape 1 - à remplir'!$F$31:$F$400,'Étape 1 - à remplir'!$E$31:$E$400,MASQ2!O59,'Étape 1 - à remplir'!$G$31:$G$400,"animaux"),SUMIFS('Étape 1 - à remplir'!$F$31:$F$400,'Étape 1 - à remplir'!$E$31:$E$400,MASQ2!O59,'Étape 1 - à remplir'!$O$31:$O$400,X$3)),IF(X$2="Espèce",IF(X$3="Toutes",SUMIFS('Étape 1 - à remplir'!$F$31:$F$400,'Étape 1 - à remplir'!$E$31:$E$400,MASQ2!O59,'Étape 1 - à remplir'!$G$31:$G$400,"animaux"),SUMIFS('Étape 1 - à remplir'!$F$31:$F$400,'Étape 1 - à remplir'!$E$31:$E$400,MASQ2!O59,'Étape 1 - à remplir'!$N$31:$N$400,X$3)))))))</f>
        <v>#N/A</v>
      </c>
      <c r="Q59" s="63">
        <f t="shared" si="62"/>
        <v>0</v>
      </c>
      <c r="R59" t="str">
        <f>Données_ATB!BM58</f>
        <v>Tylosine</v>
      </c>
      <c r="S59" t="str">
        <f>Données_ATB!BN58</f>
        <v/>
      </c>
      <c r="T59" s="63" t="str">
        <f>Données_ATB!BO58</f>
        <v/>
      </c>
      <c r="U59" s="42" t="str">
        <f>Données_ATB!BQ58</f>
        <v>Macrolides</v>
      </c>
      <c r="V59" t="str">
        <f>Données_ATB!BR58</f>
        <v/>
      </c>
      <c r="W59" s="63" t="str">
        <f>Données_ATB!BS58</f>
        <v/>
      </c>
      <c r="Z59" s="42">
        <v>56</v>
      </c>
      <c r="AA59" t="e">
        <f t="shared" si="32"/>
        <v>#N/A</v>
      </c>
      <c r="AB59" s="63" t="e">
        <f t="shared" si="33"/>
        <v>#N/A</v>
      </c>
      <c r="AD59" s="194" t="str">
        <f>IF(AF59="Colistine","x",IF(INDEX(Données_ATB!CA$3:CB$63,MATCH(AF59,Données_ATB!CA$3:CA$63,0),2)="Fluoroquinolones","x",IF(INDEX(Données_ATB!CA$3:CB$63,MATCH(AF59,Données_ATB!CA$3:CA$63,0),2)="Cephalosporines 3&amp;4G","x","")))</f>
        <v/>
      </c>
      <c r="AE59" s="219" t="str">
        <f>IFERROR(IF(AG59=0,"",COUNTIF(AG$4:AG$64,"&gt;"&amp;AG59)+COUNTIF(AG$4:AG59,AG59)),"")</f>
        <v/>
      </c>
      <c r="AF59" s="42" t="str">
        <f>Données_ATB!CA58</f>
        <v>Tilmicosine</v>
      </c>
      <c r="AG59" s="63" t="e">
        <f t="shared" si="34"/>
        <v>#N/A</v>
      </c>
      <c r="AH59" s="42">
        <v>56</v>
      </c>
      <c r="AI59" t="e">
        <f t="shared" si="35"/>
        <v>#N/A</v>
      </c>
      <c r="AJ59" s="63" t="e">
        <f t="shared" si="36"/>
        <v>#N/A</v>
      </c>
      <c r="AT59" s="109" t="str">
        <f t="shared" si="125"/>
        <v/>
      </c>
      <c r="AU59" t="str">
        <f>IFERROR(SUMIFS('Étape 1 - à remplir'!$F$31:$F$400,'Étape 1 - à remplir'!$C$31:$C$400,IF($AT59="Lait","*Lait*",IF($AT59="Viande","*Viande*",IF($AT59="Reproduction","*Reproduction*",IF($AT59="Autre","*Autre*",IF($AT59="Loisir","*Loisir*",IF($AT59="Œufs","*Œufs*","")))))),'Étape 1 - à remplir'!$G$31:$G$400,"animaux",'Étape 1 - à remplir'!$M$31:$M$400,MASQ2!AU$43)/SUMIFS('Étape 1 - à remplir'!$F$19:$F$28,'Étape 1 - à remplir'!$D$19:$D$28,MASQ2!$AT59,'Étape 1 - à remplir'!$G$19:$G$28,"animaux"),"")</f>
        <v/>
      </c>
      <c r="AV59" t="str">
        <f>IFERROR(SUMIFS('Étape 1 - à remplir'!$F$31:$F$400,'Étape 1 - à remplir'!$C$31:$C$400,IF($AT59="Lait","*Lait*",IF($AT59="Viande","*Viande*",IF($AT59="Reproduction","*Reproduction*",IF($AT59="Autre","*Autre*",IF($AT59="Loisir","*Loisir*",IF($AT59="Œufs","*Œufs*","")))))),'Étape 1 - à remplir'!$G$31:$G$400,"animaux",'Étape 1 - à remplir'!$M$31:$M$400,MASQ2!AV$43)/SUMIFS('Étape 1 - à remplir'!$F$19:$F$28,'Étape 1 - à remplir'!$D$19:$D$28,MASQ2!$AT59,'Étape 1 - à remplir'!$G$19:$G$28,"animaux"),"")</f>
        <v/>
      </c>
      <c r="AW59" t="str">
        <f>IFERROR(SUMIFS('Étape 1 - à remplir'!$F$31:$F$400,'Étape 1 - à remplir'!$C$31:$C$400,IF($AT59="Lait","*Lait*",IF($AT59="Viande","*Viande*",IF($AT59="Reproduction","*Reproduction*",IF($AT59="Autre","*Autre*",IF($AT59="Loisir","*Loisir*",IF($AT59="Œufs","*Œufs*","")))))),'Étape 1 - à remplir'!$G$31:$G$400,"animaux",'Étape 1 - à remplir'!$M$31:$M$400,MASQ2!AW$43)/SUMIFS('Étape 1 - à remplir'!$F$19:$F$28,'Étape 1 - à remplir'!$D$19:$D$28,MASQ2!$AT59,'Étape 1 - à remplir'!$G$19:$G$28,"animaux"),"")</f>
        <v/>
      </c>
      <c r="AX59" t="str">
        <f>IFERROR(SUMIFS('Étape 1 - à remplir'!$F$31:$F$400,'Étape 1 - à remplir'!$C$31:$C$400,IF($AT59="Lait","*Lait*",IF($AT59="Viande","*Viande*",IF($AT59="Reproduction","*Reproduction*",IF($AT59="Autre","*Autre*",IF($AT59="Loisir","*Loisir*",IF($AT59="Œufs","*Œufs*","")))))),'Étape 1 - à remplir'!$G$31:$G$400,"animaux",'Étape 1 - à remplir'!$M$31:$M$400,MASQ2!AX$43)/SUMIFS('Étape 1 - à remplir'!$F$19:$F$28,'Étape 1 - à remplir'!$D$19:$D$28,MASQ2!$AT59,'Étape 1 - à remplir'!$G$19:$G$28,"animaux"),"")</f>
        <v/>
      </c>
      <c r="AY59" t="str">
        <f>IFERROR(SUMIFS('Étape 1 - à remplir'!$F$31:$F$400,'Étape 1 - à remplir'!$C$31:$C$400,IF($AT59="Lait","*Lait*",IF($AT59="Viande","*Viande*",IF($AT59="Reproduction","*Reproduction*",IF($AT59="Autre","*Autre*",IF($AT59="Loisir","*Loisir*",IF($AT59="Œufs","*Œufs*","")))))),'Étape 1 - à remplir'!$G$31:$G$400,"animaux",'Étape 1 - à remplir'!$M$31:$M$400,MASQ2!AY$43)/SUMIFS('Étape 1 - à remplir'!$F$19:$F$28,'Étape 1 - à remplir'!$D$19:$D$28,MASQ2!$AT59,'Étape 1 - à remplir'!$G$19:$G$28,"animaux"),"")</f>
        <v/>
      </c>
      <c r="AZ59" t="str">
        <f>IFERROR(SUMIFS('Étape 1 - à remplir'!$F$31:$F$400,'Étape 1 - à remplir'!$C$31:$C$400,IF($AT59="Lait","*Lait*",IF($AT59="Viande","*Viande*",IF($AT59="Reproduction","*Reproduction*",IF($AT59="Autre","*Autre*",IF($AT59="Loisir","*Loisir*",IF($AT59="Œufs","*Œufs*","")))))),'Étape 1 - à remplir'!$G$31:$G$400,"animaux",'Étape 1 - à remplir'!$M$31:$M$400,MASQ2!AZ$43)/SUMIFS('Étape 1 - à remplir'!$F$19:$F$28,'Étape 1 - à remplir'!$D$19:$D$28,MASQ2!$AT59,'Étape 1 - à remplir'!$G$19:$G$28,"animaux"),"")</f>
        <v/>
      </c>
      <c r="BA59" t="str">
        <f>IFERROR(SUMIFS('Étape 1 - à remplir'!$F$31:$F$400,'Étape 1 - à remplir'!$C$31:$C$400,IF($AT59="Lait","*Lait*",IF($AT59="Viande","*Viande*",IF($AT59="Reproduction","*Reproduction*",IF($AT59="Autre","*Autre*",IF($AT59="Loisir","*Loisir*",IF($AT59="Œufs","*Œufs*","")))))),'Étape 1 - à remplir'!$G$31:$G$400,"animaux",'Étape 1 - à remplir'!$M$31:$M$400,MASQ2!BA$43)/SUMIFS('Étape 1 - à remplir'!$F$19:$F$28,'Étape 1 - à remplir'!$D$19:$D$28,MASQ2!$AT59,'Étape 1 - à remplir'!$G$19:$G$28,"animaux"),"")</f>
        <v/>
      </c>
      <c r="BB59" t="str">
        <f>IFERROR(SUMIFS('Étape 1 - à remplir'!$F$31:$F$400,'Étape 1 - à remplir'!$C$31:$C$400,IF($AT59="Lait","*Lait*",IF($AT59="Viande","*Viande*",IF($AT59="Reproduction","*Reproduction*",IF($AT59="Autre","*Autre*",IF($AT59="Loisir","*Loisir*",IF($AT59="Œufs","*Œufs*","")))))),'Étape 1 - à remplir'!$G$31:$G$400,"animaux",'Étape 1 - à remplir'!$M$31:$M$400,MASQ2!BB$43)/SUMIFS('Étape 1 - à remplir'!$F$19:$F$28,'Étape 1 - à remplir'!$D$19:$D$28,MASQ2!$AT59,'Étape 1 - à remplir'!$G$19:$G$28,"animaux"),"")</f>
        <v/>
      </c>
      <c r="BC59" t="str">
        <f>IFERROR(SUMIFS('Étape 1 - à remplir'!$F$31:$F$400,'Étape 1 - à remplir'!$C$31:$C$400,IF($AT59="Lait","*Lait*",IF($AT59="Viande","*Viande*",IF($AT59="Reproduction","*Reproduction*",IF($AT59="Autre","*Autre*",IF($AT59="Loisir","*Loisir*",IF($AT59="Œufs","*Œufs*","")))))),'Étape 1 - à remplir'!$G$31:$G$400,"animaux",'Étape 1 - à remplir'!$M$31:$M$400,MASQ2!BC$43)/SUMIFS('Étape 1 - à remplir'!$F$19:$F$28,'Étape 1 - à remplir'!$D$19:$D$28,MASQ2!$AT59,'Étape 1 - à remplir'!$G$19:$G$28,"animaux"),"")</f>
        <v/>
      </c>
      <c r="BD59" t="str">
        <f>IFERROR(SUMIFS('Étape 1 - à remplir'!$F$31:$F$400,'Étape 1 - à remplir'!$C$31:$C$400,IF($AT59="Lait","*Lait*",IF($AT59="Viande","*Viande*",IF($AT59="Reproduction","*Reproduction*",IF($AT59="Autre","*Autre*",IF($AT59="Loisir","*Loisir*",IF($AT59="Œufs","*Œufs*","")))))),'Étape 1 - à remplir'!$G$31:$G$400,"animaux",'Étape 1 - à remplir'!$M$31:$M$400,MASQ2!BD$43)/SUMIFS('Étape 1 - à remplir'!$F$19:$F$28,'Étape 1 - à remplir'!$D$19:$D$28,MASQ2!$AT59,'Étape 1 - à remplir'!$G$19:$G$28,"animaux"),"")</f>
        <v/>
      </c>
      <c r="BE59" t="str">
        <f>IFERROR(SUMIFS('Étape 1 - à remplir'!$F$31:$F$400,'Étape 1 - à remplir'!$C$31:$C$400,IF($AT59="Lait","*Lait*",IF($AT59="Viande","*Viande*",IF($AT59="Reproduction","*Reproduction*",IF($AT59="Autre","*Autre*",IF($AT59="Loisir","*Loisir*",IF($AT59="Œufs","*Œufs*","")))))),'Étape 1 - à remplir'!$G$31:$G$400,"animaux",'Étape 1 - à remplir'!$M$31:$M$400,MASQ2!BE$43)/SUMIFS('Étape 1 - à remplir'!$F$19:$F$28,'Étape 1 - à remplir'!$D$19:$D$28,MASQ2!$AT59,'Étape 1 - à remplir'!$G$19:$G$28,"animaux"),"")</f>
        <v/>
      </c>
      <c r="BF59" s="76" t="str">
        <f>IFERROR(SUMIFS('Étape 1 - à remplir'!$F$31:$F$400,'Étape 1 - à remplir'!$C$31:$C$400,IF($AT59="Lait","*Lait*",IF($AT59="Viande","*Viande*",IF($AT59="Reproduction","*Reproduction*",IF($AT59="Autre","*Autre*",IF($AT59="Loisir","*Loisir*",IF($AT59="Œufs","*Œufs*","")))))),'Étape 1 - à remplir'!$G$31:$G$400,"animaux",'Étape 1 - à remplir'!$M$31:$M$400,MASQ2!BF$43)/SUMIFS('Étape 1 - à remplir'!$F$19:$F$28,'Étape 1 - à remplir'!$D$19:$D$28,MASQ2!$AT59,'Étape 1 - à remplir'!$G$19:$G$28,"animaux"),"")</f>
        <v/>
      </c>
      <c r="BT59" s="194" t="str">
        <f t="shared" ca="1" si="5"/>
        <v/>
      </c>
      <c r="BU59" s="219" t="str">
        <f>IFERROR(IF(BX59=0,"",COUNTIF(BX$4:BX$600,"&gt;"&amp;BX59)+COUNTIF(BX$4:BX59,BX59)),"")</f>
        <v/>
      </c>
      <c r="BV59" s="42" t="str">
        <f t="shared" si="6"/>
        <v>AXENTYL 200 MG/ML SOLUTION INJECTABLE POUR BOVINS, OVINS, CAPRINS ET PORCINS</v>
      </c>
      <c r="BW59" t="e">
        <f>IF(IF(CE$2="Catégorie",IF(CE$3="Toutes",SUMIFS('Étape 1 - à remplir'!$F$31:$F$400,'Étape 1 - à remplir'!$E$31:$E$400,MASQ2!BV59,'Étape 1 - à remplir'!$G$31:$G$400,"lots"),SUMIFS('Étape 1 - à remplir'!$F$31:$F$400,'Étape 1 - à remplir'!$E$31:$E$400,MASQ2!BV59,'Étape 1 - à remplir'!$C$31:$C$400,CE$3)),IF(CE$2="Âge",IF(CE$3="Tous",SUMIFS('Étape 1 - à remplir'!$F$31:$F$400,'Étape 1 - à remplir'!$E$31:$E$400,MASQ2!BV59,'Étape 1 - à remplir'!$G$31:$G$400,"lots"),SUMIFS('Étape 1 - à remplir'!$F$31:$F$400,'Étape 1 - à remplir'!$E$31:$E$400,MASQ2!BV59,'Étape 1 - à remplir'!$P$31:$P$400,CE$3,'Étape 1 - à remplir'!$G$31:$G$400,"lots")),IF(CE$2="Atelier",IF(CE$3="Tous",SUMIFS('Étape 1 - à remplir'!$F$31:$F$400,'Étape 1 - à remplir'!$E$31:$E$400,MASQ2!BV59,'Étape 1 - à remplir'!$G$31:$G$400,"lots"),SUMIFS('Étape 1 - à remplir'!$F$31:$F$400,'Étape 1 - à remplir'!$E$31:$E$400,MASQ2!BV59,'Étape 1 - à remplir'!$O$31:$O$400,CE$3,'Étape 1 - à remplir'!$G$31:$G$400,"lots")),IF(CE$2="Espèce",IF(CE$3="Toutes",SUMIFS('Étape 1 - à remplir'!$F$31:$F$400,'Étape 1 - à remplir'!$E$31:$E$400,MASQ2!BV59,'Étape 1 - à remplir'!$G$31:$G$400,"lots"),SUMIFS('Étape 1 - à remplir'!$F$31:$F$400,'Étape 1 - à remplir'!$E$31:$E$400,MASQ2!BV59,'Étape 1 - à remplir'!$N$31:$N$400,CE$3,'Étape 1 - à remplir'!$G$31:$G$400,"lots"))))))=0,NA(),IF(CE$2="Catégorie",IF(CE$3="Toutes",SUMIFS('Étape 1 - à remplir'!$F$31:$F$400,'Étape 1 - à remplir'!$E$31:$E$400,MASQ2!BV59,'Étape 1 - à remplir'!$G$31:$G$400,"lots"),SUMIFS('Étape 1 - à remplir'!$F$31:$F$400,'Étape 1 - à remplir'!$E$31:$E$400,MASQ2!BV59,'Étape 1 - à remplir'!$C$31:$C$400,CE$3)),IF(CE$2="Âge",IF(CE$3="Tous",SUMIFS('Étape 1 - à remplir'!$F$31:$F$400,'Étape 1 - à remplir'!$E$31:$E$400,MASQ2!BV59,'Étape 1 - à remplir'!$G$31:$G$400,"lots"),SUMIFS('Étape 1 - à remplir'!$F$31:$F$400,'Étape 1 - à remplir'!$E$31:$E$400,MASQ2!BV59,'Étape 1 - à remplir'!$P$31:$P$400,CE$3,'Étape 1 - à remplir'!$G$31:$G$400,"lots")),IF(CE$2="Atelier",IF(CE$3="Tous",SUMIFS('Étape 1 - à remplir'!$F$31:$F$400,'Étape 1 - à remplir'!$E$31:$E$400,MASQ2!BV59,'Étape 1 - à remplir'!$G$31:$G$400,"lots"),SUMIFS('Étape 1 - à remplir'!$F$31:$F$400,'Étape 1 - à remplir'!$E$31:$E$400,MASQ2!BV59,'Étape 1 - à remplir'!$O$31:$O$400,CE$3,'Étape 1 - à remplir'!$G$31:$G$400,"lots")),IF(CE$2="Espèce",IF(CE$3="Toutes",SUMIFS('Étape 1 - à remplir'!$F$31:$F$400,'Étape 1 - à remplir'!$E$31:$E$400,MASQ2!BV59,'Étape 1 - à remplir'!$G$31:$G$400,"lots"),SUMIFS('Étape 1 - à remplir'!$F$31:$F$400,'Étape 1 - à remplir'!$E$31:$E$400,MASQ2!BV59,'Étape 1 - à remplir'!$N$31:$N$400,CE$3,'Étape 1 - à remplir'!$G$31:$G$400,"lots")))))))</f>
        <v>#N/A</v>
      </c>
      <c r="BX59">
        <f t="shared" si="42"/>
        <v>0</v>
      </c>
      <c r="BY59" t="str">
        <f t="shared" si="7"/>
        <v>Tylosine</v>
      </c>
      <c r="BZ59" t="str">
        <f t="shared" si="8"/>
        <v/>
      </c>
      <c r="CA59" t="str">
        <f t="shared" si="9"/>
        <v/>
      </c>
      <c r="CB59" t="str">
        <f t="shared" si="10"/>
        <v>Macrolides</v>
      </c>
      <c r="CC59" t="str">
        <f t="shared" si="11"/>
        <v/>
      </c>
      <c r="CD59" s="63" t="str">
        <f t="shared" si="12"/>
        <v/>
      </c>
      <c r="CG59" s="42">
        <v>56</v>
      </c>
      <c r="CH59" s="42" t="e">
        <f t="shared" si="80"/>
        <v>#N/A</v>
      </c>
      <c r="CI59" s="63" t="e">
        <f t="shared" si="81"/>
        <v>#N/A</v>
      </c>
      <c r="CK59" s="194" t="str">
        <f t="shared" si="118"/>
        <v/>
      </c>
      <c r="CL59" s="226" t="str">
        <f>IFERROR(IF(CN59=0,"",COUNTIF(CN$4:CN$64,"&gt;"&amp;CN59)+COUNTIF(CN$4:CN59,CN59)),"")</f>
        <v/>
      </c>
      <c r="CM59" t="str">
        <f t="shared" si="119"/>
        <v>Tilmicosine</v>
      </c>
      <c r="CN59" s="76" t="e">
        <f t="shared" si="45"/>
        <v>#N/A</v>
      </c>
      <c r="CO59">
        <v>56</v>
      </c>
      <c r="CP59" t="e">
        <f t="shared" si="46"/>
        <v>#N/A</v>
      </c>
      <c r="CQ59" s="63" t="e">
        <f t="shared" si="47"/>
        <v>#N/A</v>
      </c>
      <c r="DA59" s="109" t="str">
        <f t="shared" si="126"/>
        <v/>
      </c>
      <c r="DB59" s="118" t="str">
        <f>IFERROR(SUMIFS('Étape 1 - à remplir'!$F$31:$F$400,'Étape 1 - à remplir'!$C$31:$C$400,IF($DA59="Lait","*Lait*",IF($DA59="Viande","*Viande*",IF($DA59="Reproduction","*Reproduction*",IF($DA59="Autre","*Autre*",IF($DA59="Loisir","*Loisir*",IF($DA59="Œufs","*Œufs*","")))))),'Étape 1 - à remplir'!$G$31:$G$400,"lots",'Étape 1 - à remplir'!$M$31:$M$400,MASQ2!DB$43)/SUMIFS('Étape 1 - à remplir'!$F$19:$F$28,'Étape 1 - à remplir'!$D$19:$D$28,MASQ2!$DA59,'Étape 1 - à remplir'!$G$19:$G$28,"lots"),"")</f>
        <v/>
      </c>
      <c r="DC59" t="str">
        <f>IFERROR(SUMIFS('Étape 1 - à remplir'!$F$31:$F$400,'Étape 1 - à remplir'!$C$31:$C$400,IF($DA59="Lait","*Lait*",IF($DA59="Viande","*Viande*",IF($DA59="Reproduction","*Reproduction*",IF($DA59="Autre","*Autre*",IF($DA59="Loisir","*Loisir*",IF($DA59="Œufs","*Œufs*","")))))),'Étape 1 - à remplir'!$G$31:$G$400,"lots",'Étape 1 - à remplir'!$M$31:$M$400,MASQ2!DC$43)/SUMIFS('Étape 1 - à remplir'!$F$19:$F$28,'Étape 1 - à remplir'!$D$19:$D$28,MASQ2!$DA59,'Étape 1 - à remplir'!$G$19:$G$28,"lots"),"")</f>
        <v/>
      </c>
      <c r="DD59" t="str">
        <f>IFERROR(SUMIFS('Étape 1 - à remplir'!$F$31:$F$400,'Étape 1 - à remplir'!$C$31:$C$400,IF($DA59="Lait","*Lait*",IF($DA59="Viande","*Viande*",IF($DA59="Reproduction","*Reproduction*",IF($DA59="Autre","*Autre*",IF($DA59="Loisir","*Loisir*",IF($DA59="Œufs","*Œufs*","")))))),'Étape 1 - à remplir'!$G$31:$G$400,"lots",'Étape 1 - à remplir'!$M$31:$M$400,MASQ2!DD$43)/SUMIFS('Étape 1 - à remplir'!$F$19:$F$28,'Étape 1 - à remplir'!$D$19:$D$28,MASQ2!$DA59,'Étape 1 - à remplir'!$G$19:$G$28,"lots"),"")</f>
        <v/>
      </c>
      <c r="DE59" t="str">
        <f>IFERROR(SUMIFS('Étape 1 - à remplir'!$F$31:$F$400,'Étape 1 - à remplir'!$C$31:$C$400,IF($DA59="Lait","*Lait*",IF($DA59="Viande","*Viande*",IF($DA59="Reproduction","*Reproduction*",IF($DA59="Autre","*Autre*",IF($DA59="Loisir","*Loisir*",IF($DA59="Œufs","*Œufs*","")))))),'Étape 1 - à remplir'!$G$31:$G$400,"lots",'Étape 1 - à remplir'!$M$31:$M$400,MASQ2!DE$43)/SUMIFS('Étape 1 - à remplir'!$F$19:$F$28,'Étape 1 - à remplir'!$D$19:$D$28,MASQ2!$DA59,'Étape 1 - à remplir'!$G$19:$G$28,"lots"),"")</f>
        <v/>
      </c>
      <c r="DF59" t="str">
        <f>IFERROR(SUMIFS('Étape 1 - à remplir'!$F$31:$F$400,'Étape 1 - à remplir'!$C$31:$C$400,IF($DA59="Lait","*Lait*",IF($DA59="Viande","*Viande*",IF($DA59="Reproduction","*Reproduction*",IF($DA59="Autre","*Autre*",IF($DA59="Loisir","*Loisir*",IF($DA59="Œufs","*Œufs*","")))))),'Étape 1 - à remplir'!$G$31:$G$400,"lots",'Étape 1 - à remplir'!$M$31:$M$400,MASQ2!DF$43)/SUMIFS('Étape 1 - à remplir'!$F$19:$F$28,'Étape 1 - à remplir'!$D$19:$D$28,MASQ2!$DA59,'Étape 1 - à remplir'!$G$19:$G$28,"lots"),"")</f>
        <v/>
      </c>
      <c r="DG59" t="str">
        <f>IFERROR(SUMIFS('Étape 1 - à remplir'!$F$31:$F$400,'Étape 1 - à remplir'!$C$31:$C$400,IF($DA59="Lait","*Lait*",IF($DA59="Viande","*Viande*",IF($DA59="Reproduction","*Reproduction*",IF($DA59="Autre","*Autre*",IF($DA59="Loisir","*Loisir*",IF($DA59="Œufs","*Œufs*","")))))),'Étape 1 - à remplir'!$G$31:$G$400,"lots",'Étape 1 - à remplir'!$M$31:$M$400,MASQ2!DG$43)/SUMIFS('Étape 1 - à remplir'!$F$19:$F$28,'Étape 1 - à remplir'!$D$19:$D$28,MASQ2!$DA59,'Étape 1 - à remplir'!$G$19:$G$28,"lots"),"")</f>
        <v/>
      </c>
      <c r="DH59" t="str">
        <f>IFERROR(SUMIFS('Étape 1 - à remplir'!$F$31:$F$400,'Étape 1 - à remplir'!$C$31:$C$400,IF($DA59="Lait","*Lait*",IF($DA59="Viande","*Viande*",IF($DA59="Reproduction","*Reproduction*",IF($DA59="Autre","*Autre*",IF($DA59="Loisir","*Loisir*",IF($DA59="Œufs","*Œufs*","")))))),'Étape 1 - à remplir'!$G$31:$G$400,"lots",'Étape 1 - à remplir'!$M$31:$M$400,MASQ2!DH$43)/SUMIFS('Étape 1 - à remplir'!$F$19:$F$28,'Étape 1 - à remplir'!$D$19:$D$28,MASQ2!$DA59,'Étape 1 - à remplir'!$G$19:$G$28,"lots"),"")</f>
        <v/>
      </c>
      <c r="DI59" t="str">
        <f>IFERROR(SUMIFS('Étape 1 - à remplir'!$F$31:$F$400,'Étape 1 - à remplir'!$C$31:$C$400,IF($DA59="Lait","*Lait*",IF($DA59="Viande","*Viande*",IF($DA59="Reproduction","*Reproduction*",IF($DA59="Autre","*Autre*",IF($DA59="Loisir","*Loisir*",IF($DA59="Œufs","*Œufs*","")))))),'Étape 1 - à remplir'!$G$31:$G$400,"lots",'Étape 1 - à remplir'!$M$31:$M$400,MASQ2!DI$43)/SUMIFS('Étape 1 - à remplir'!$F$19:$F$28,'Étape 1 - à remplir'!$D$19:$D$28,MASQ2!$DA59,'Étape 1 - à remplir'!$G$19:$G$28,"lots"),"")</f>
        <v/>
      </c>
      <c r="DJ59" t="str">
        <f>IFERROR(SUMIFS('Étape 1 - à remplir'!$F$31:$F$400,'Étape 1 - à remplir'!$C$31:$C$400,IF($DA59="Lait","*Lait*",IF($DA59="Viande","*Viande*",IF($DA59="Reproduction","*Reproduction*",IF($DA59="Autre","*Autre*",IF($DA59="Loisir","*Loisir*",IF($DA59="Œufs","*Œufs*","")))))),'Étape 1 - à remplir'!$G$31:$G$400,"lots",'Étape 1 - à remplir'!$M$31:$M$400,MASQ2!DJ$43)/SUMIFS('Étape 1 - à remplir'!$F$19:$F$28,'Étape 1 - à remplir'!$D$19:$D$28,MASQ2!$DA59,'Étape 1 - à remplir'!$G$19:$G$28,"lots"),"")</f>
        <v/>
      </c>
      <c r="DK59" t="str">
        <f>IFERROR(SUMIFS('Étape 1 - à remplir'!$F$31:$F$400,'Étape 1 - à remplir'!$C$31:$C$400,IF($DA59="Lait","*Lait*",IF($DA59="Viande","*Viande*",IF($DA59="Reproduction","*Reproduction*",IF($DA59="Autre","*Autre*",IF($DA59="Loisir","*Loisir*",IF($DA59="Œufs","*Œufs*","")))))),'Étape 1 - à remplir'!$G$31:$G$400,"lots",'Étape 1 - à remplir'!$M$31:$M$400,MASQ2!DK$43)/SUMIFS('Étape 1 - à remplir'!$F$19:$F$28,'Étape 1 - à remplir'!$D$19:$D$28,MASQ2!$DA59,'Étape 1 - à remplir'!$G$19:$G$28,"lots"),"")</f>
        <v/>
      </c>
      <c r="DL59" t="str">
        <f>IFERROR(SUMIFS('Étape 1 - à remplir'!$F$31:$F$400,'Étape 1 - à remplir'!$C$31:$C$400,IF($DA59="Lait","*Lait*",IF($DA59="Viande","*Viande*",IF($DA59="Reproduction","*Reproduction*",IF($DA59="Autre","*Autre*",IF($DA59="Loisir","*Loisir*",IF($DA59="Œufs","*Œufs*","")))))),'Étape 1 - à remplir'!$G$31:$G$400,"lots",'Étape 1 - à remplir'!$M$31:$M$400,MASQ2!DL$43)/SUMIFS('Étape 1 - à remplir'!$F$19:$F$28,'Étape 1 - à remplir'!$D$19:$D$28,MASQ2!$DA59,'Étape 1 - à remplir'!$G$19:$G$28,"lots"),"")</f>
        <v/>
      </c>
      <c r="DM59" s="76" t="str">
        <f>IFERROR(SUMIFS('Étape 1 - à remplir'!$F$31:$F$400,'Étape 1 - à remplir'!$C$31:$C$400,IF($DA59="Lait","*Lait*",IF($DA59="Viande","*Viande*",IF($DA59="Reproduction","*Reproduction*",IF($DA59="Autre","*Autre*",IF($DA59="Loisir","*Loisir*",IF($DA59="Œufs","*Œufs*","")))))),'Étape 1 - à remplir'!$G$31:$G$400,"lots",'Étape 1 - à remplir'!$M$31:$M$400,MASQ2!DM$43)/SUMIFS('Étape 1 - à remplir'!$F$19:$F$28,'Étape 1 - à remplir'!$D$19:$D$28,MASQ2!$DA59,'Étape 1 - à remplir'!$G$19:$G$28,"lots"),"")</f>
        <v/>
      </c>
      <c r="EA59" s="194" t="str">
        <f t="shared" ca="1" si="18"/>
        <v/>
      </c>
      <c r="EB59" s="226" t="str">
        <f>IFERROR(IF(ED59=0,"",COUNTIF(ED$4:ED$600,"&gt;"&amp;ED59)+COUNTIF(ED$4:ED59,ED59)),"")</f>
        <v/>
      </c>
      <c r="EC59" t="str">
        <f t="shared" si="19"/>
        <v>AXENTYL 200 MG/ML SOLUTION INJECTABLE POUR BOVINS, OVINS, CAPRINS ET PORCINS</v>
      </c>
      <c r="ED59" t="e">
        <f>IF(IF(EL$2="Catégorie",IF(EL$3="Toutes",SUMIFS('Étape 1 - à remplir'!$F$31:$F$400,'Étape 1 - à remplir'!$E$31:$E$400,MASQ2!EC59,'Étape 1 - à remplir'!$G$31:$G$400,"kg"),SUMIFS('Étape 1 - à remplir'!$F$31:$F$400,'Étape 1 - à remplir'!$E$31:$E$400,MASQ2!EC59,'Étape 1 - à remplir'!$C$31:$C$400,EL$3)),IF(EL$2="Âge",IF(EL$3="Tous",SUMIFS('Étape 1 - à remplir'!$F$31:$F$400,'Étape 1 - à remplir'!$E$31:$E$400,MASQ2!EC59,'Étape 1 - à remplir'!$G$31:$G$400,"kg"),SUMIFS('Étape 1 - à remplir'!$F$31:$F$400,'Étape 1 - à remplir'!$E$31:$E$400,MASQ2!EC59,'Étape 1 - à remplir'!$P$31:$P$400,EL$3,'Étape 1 - à remplir'!$G$31:$G$400,"kg")),IF(EL$2="Atelier",IF(EL$3="Tous",SUMIFS('Étape 1 - à remplir'!$F$31:$F$400,'Étape 1 - à remplir'!$E$31:$E$400,MASQ2!EC59,'Étape 1 - à remplir'!$G$31:$G$400,"kg"),SUMIFS('Étape 1 - à remplir'!$F$31:$F$400,'Étape 1 - à remplir'!$E$31:$E$400,MASQ2!EC59,'Étape 1 - à remplir'!$O$31:$O$400,EL$3,'Étape 1 - à remplir'!$G$31:$G$400,"kg")),IF(EL$2="Espèce",IF(EL$3="Toutes",SUMIFS('Étape 1 - à remplir'!$F$31:$F$400,'Étape 1 - à remplir'!$E$31:$E$400,MASQ2!EC59,'Étape 1 - à remplir'!$G$31:$G$400,"kg"),SUMIFS('Étape 1 - à remplir'!$F$31:$F$400,'Étape 1 - à remplir'!$E$31:$E$400,MASQ2!EC59,'Étape 1 - à remplir'!$N$31:$N$400,EL$3,'Étape 1 - à remplir'!$G$31:$G$400,"kg"))))))=0,NA(),IF(EL$2="Catégorie",IF(EL$3="Toutes",SUMIFS('Étape 1 - à remplir'!$F$31:$F$400,'Étape 1 - à remplir'!$E$31:$E$400,MASQ2!EC59,'Étape 1 - à remplir'!$G$31:$G$400,"kg"),SUMIFS('Étape 1 - à remplir'!$F$31:$F$400,'Étape 1 - à remplir'!$E$31:$E$400,MASQ2!EC59,'Étape 1 - à remplir'!$C$31:$C$400,EL$3)),IF(EL$2="Âge",IF(EL$3="Tous",SUMIFS('Étape 1 - à remplir'!$F$31:$F$400,'Étape 1 - à remplir'!$E$31:$E$400,MASQ2!EC59,'Étape 1 - à remplir'!$G$31:$G$400,"kg"),SUMIFS('Étape 1 - à remplir'!$F$31:$F$400,'Étape 1 - à remplir'!$E$31:$E$400,MASQ2!EC59,'Étape 1 - à remplir'!$P$31:$P$400,EL$3,'Étape 1 - à remplir'!$G$31:$G$400,"kg")),IF(EL$2="Atelier",IF(EL$3="Tous",SUMIFS('Étape 1 - à remplir'!$F$31:$F$400,'Étape 1 - à remplir'!$E$31:$E$400,MASQ2!EC59,'Étape 1 - à remplir'!$G$31:$G$400,"kg"),SUMIFS('Étape 1 - à remplir'!$F$31:$F$400,'Étape 1 - à remplir'!$E$31:$E$400,MASQ2!EC59,'Étape 1 - à remplir'!$O$31:$O$400,EL$3,'Étape 1 - à remplir'!$G$31:$G$400,"kg")),IF(EL$2="Espèce",IF(EL$3="Toutes",SUMIFS('Étape 1 - à remplir'!$F$31:$F$400,'Étape 1 - à remplir'!$E$31:$E$400,MASQ2!EC59,'Étape 1 - à remplir'!$G$31:$G$400,"kg"),SUMIFS('Étape 1 - à remplir'!$F$31:$F$400,'Étape 1 - à remplir'!$E$31:$E$400,MASQ2!EC59,'Étape 1 - à remplir'!$N$31:$N$400,EL$3,'Étape 1 - à remplir'!$G$31:$G$400,"kg")))))))</f>
        <v>#N/A</v>
      </c>
      <c r="EE59" s="76">
        <f t="shared" si="53"/>
        <v>0</v>
      </c>
      <c r="EF59" t="str">
        <f t="shared" si="20"/>
        <v>Tylosine</v>
      </c>
      <c r="EG59" t="str">
        <f t="shared" si="21"/>
        <v/>
      </c>
      <c r="EH59" t="str">
        <f t="shared" si="22"/>
        <v/>
      </c>
      <c r="EI59" t="str">
        <f t="shared" si="23"/>
        <v>Macrolides</v>
      </c>
      <c r="EJ59" t="str">
        <f t="shared" si="24"/>
        <v/>
      </c>
      <c r="EK59" s="63" t="str">
        <f t="shared" si="25"/>
        <v/>
      </c>
      <c r="EN59" s="42">
        <v>56</v>
      </c>
      <c r="EO59" t="e">
        <f t="shared" si="68"/>
        <v>#N/A</v>
      </c>
      <c r="EP59" s="63" t="e">
        <f t="shared" si="69"/>
        <v>#N/A</v>
      </c>
      <c r="ER59" s="194" t="str">
        <f t="shared" si="120"/>
        <v/>
      </c>
      <c r="ES59" s="226" t="str">
        <f>IFERROR(IF(EU59=0,"",COUNTIF(EU$4:EU$64,"&gt;"&amp;EU59)+COUNTIF(EU$4:EU59,EU59)),"")</f>
        <v/>
      </c>
      <c r="ET59" t="str">
        <f t="shared" si="121"/>
        <v>Tilmicosine</v>
      </c>
      <c r="EU59" s="76" t="e">
        <f t="shared" si="56"/>
        <v>#N/A</v>
      </c>
      <c r="EV59">
        <v>56</v>
      </c>
      <c r="EW59" t="e">
        <f t="shared" si="57"/>
        <v>#N/A</v>
      </c>
      <c r="EX59" s="63" t="e">
        <f t="shared" si="58"/>
        <v>#N/A</v>
      </c>
      <c r="FH59" s="118" t="str">
        <f t="shared" si="127"/>
        <v/>
      </c>
      <c r="FI59" s="118" t="str">
        <f>IFERROR(SUMIFS('Étape 1 - à remplir'!$F$31:$F$400,'Étape 1 - à remplir'!$C$31:$C$400,IF($FH59="Lait","*Lait*",IF($FH59="Viande","*Viande*",IF($FH59="Reproduction","*Reproduction*",IF($FH59="Autre","*Autre*",IF($FH59="Loisir","*Loisir*",IF($FH59="Œufs","*Œufs*","")))))),'Étape 1 - à remplir'!$G$31:$G$400,"kg",'Étape 1 - à remplir'!$M$31:$M$400,MASQ2!FI$43)/SUMIFS('Étape 1 - à remplir'!$F$19:$F$28,'Étape 1 - à remplir'!$D$19:$D$28,MASQ2!$FH59,'Étape 1 - à remplir'!$G$19:$G$28,"kg"),"")</f>
        <v/>
      </c>
      <c r="FJ59" t="str">
        <f>IFERROR(SUMIFS('Étape 1 - à remplir'!$F$31:$F$400,'Étape 1 - à remplir'!$C$31:$C$400,IF($FH59="Lait","*Lait*",IF($FH59="Viande","*Viande*",IF($FH59="Reproduction","*Reproduction*",IF($FH59="Autre","*Autre*",IF($FH59="Loisir","*Loisir*",IF($FH59="Œufs","*Œufs*","")))))),'Étape 1 - à remplir'!$G$31:$G$400,"kg",'Étape 1 - à remplir'!$M$31:$M$400,MASQ2!FJ$43)/SUMIFS('Étape 1 - à remplir'!$F$19:$F$28,'Étape 1 - à remplir'!$D$19:$D$28,MASQ2!$FH59,'Étape 1 - à remplir'!$G$19:$G$28,"kg"),"")</f>
        <v/>
      </c>
      <c r="FK59" t="str">
        <f>IFERROR(SUMIFS('Étape 1 - à remplir'!$F$31:$F$400,'Étape 1 - à remplir'!$C$31:$C$400,IF($FH59="Lait","*Lait*",IF($FH59="Viande","*Viande*",IF($FH59="Reproduction","*Reproduction*",IF($FH59="Autre","*Autre*",IF($FH59="Loisir","*Loisir*",IF($FH59="Œufs","*Œufs*","")))))),'Étape 1 - à remplir'!$G$31:$G$400,"kg",'Étape 1 - à remplir'!$M$31:$M$400,MASQ2!FK$43)/SUMIFS('Étape 1 - à remplir'!$F$19:$F$28,'Étape 1 - à remplir'!$D$19:$D$28,MASQ2!$FH59,'Étape 1 - à remplir'!$G$19:$G$28,"kg"),"")</f>
        <v/>
      </c>
      <c r="FL59" t="str">
        <f>IFERROR(SUMIFS('Étape 1 - à remplir'!$F$31:$F$400,'Étape 1 - à remplir'!$C$31:$C$400,IF($FH59="Lait","*Lait*",IF($FH59="Viande","*Viande*",IF($FH59="Reproduction","*Reproduction*",IF($FH59="Autre","*Autre*",IF($FH59="Loisir","*Loisir*",IF($FH59="Œufs","*Œufs*","")))))),'Étape 1 - à remplir'!$G$31:$G$400,"kg",'Étape 1 - à remplir'!$M$31:$M$400,MASQ2!FL$43)/SUMIFS('Étape 1 - à remplir'!$F$19:$F$28,'Étape 1 - à remplir'!$D$19:$D$28,MASQ2!$FH59,'Étape 1 - à remplir'!$G$19:$G$28,"kg"),"")</f>
        <v/>
      </c>
      <c r="FM59" t="str">
        <f>IFERROR(SUMIFS('Étape 1 - à remplir'!$F$31:$F$400,'Étape 1 - à remplir'!$C$31:$C$400,IF($FH59="Lait","*Lait*",IF($FH59="Viande","*Viande*",IF($FH59="Reproduction","*Reproduction*",IF($FH59="Autre","*Autre*",IF($FH59="Loisir","*Loisir*",IF($FH59="Œufs","*Œufs*","")))))),'Étape 1 - à remplir'!$G$31:$G$400,"kg",'Étape 1 - à remplir'!$M$31:$M$400,MASQ2!FM$43)/SUMIFS('Étape 1 - à remplir'!$F$19:$F$28,'Étape 1 - à remplir'!$D$19:$D$28,MASQ2!$FH59,'Étape 1 - à remplir'!$G$19:$G$28,"kg"),"")</f>
        <v/>
      </c>
      <c r="FN59" t="str">
        <f>IFERROR(SUMIFS('Étape 1 - à remplir'!$F$31:$F$400,'Étape 1 - à remplir'!$C$31:$C$400,IF($FH59="Lait","*Lait*",IF($FH59="Viande","*Viande*",IF($FH59="Reproduction","*Reproduction*",IF($FH59="Autre","*Autre*",IF($FH59="Loisir","*Loisir*",IF($FH59="Œufs","*Œufs*","")))))),'Étape 1 - à remplir'!$G$31:$G$400,"kg",'Étape 1 - à remplir'!$M$31:$M$400,MASQ2!FN$43)/SUMIFS('Étape 1 - à remplir'!$F$19:$F$28,'Étape 1 - à remplir'!$D$19:$D$28,MASQ2!$FH59,'Étape 1 - à remplir'!$G$19:$G$28,"kg"),"")</f>
        <v/>
      </c>
      <c r="FO59" t="str">
        <f>IFERROR(SUMIFS('Étape 1 - à remplir'!$F$31:$F$400,'Étape 1 - à remplir'!$C$31:$C$400,IF($FH59="Lait","*Lait*",IF($FH59="Viande","*Viande*",IF($FH59="Reproduction","*Reproduction*",IF($FH59="Autre","*Autre*",IF($FH59="Loisir","*Loisir*",IF($FH59="Œufs","*Œufs*","")))))),'Étape 1 - à remplir'!$G$31:$G$400,"kg",'Étape 1 - à remplir'!$M$31:$M$400,MASQ2!FO$43)/SUMIFS('Étape 1 - à remplir'!$F$19:$F$28,'Étape 1 - à remplir'!$D$19:$D$28,MASQ2!$FH59,'Étape 1 - à remplir'!$G$19:$G$28,"kg"),"")</f>
        <v/>
      </c>
      <c r="FP59" t="str">
        <f>IFERROR(SUMIFS('Étape 1 - à remplir'!$F$31:$F$400,'Étape 1 - à remplir'!$C$31:$C$400,IF($FH59="Lait","*Lait*",IF($FH59="Viande","*Viande*",IF($FH59="Reproduction","*Reproduction*",IF($FH59="Autre","*Autre*",IF($FH59="Loisir","*Loisir*",IF($FH59="Œufs","*Œufs*","")))))),'Étape 1 - à remplir'!$G$31:$G$400,"kg",'Étape 1 - à remplir'!$M$31:$M$400,MASQ2!FP$43)/SUMIFS('Étape 1 - à remplir'!$F$19:$F$28,'Étape 1 - à remplir'!$D$19:$D$28,MASQ2!$FH59,'Étape 1 - à remplir'!$G$19:$G$28,"kg"),"")</f>
        <v/>
      </c>
      <c r="FQ59" t="str">
        <f>IFERROR(SUMIFS('Étape 1 - à remplir'!$F$31:$F$400,'Étape 1 - à remplir'!$C$31:$C$400,IF($FH59="Lait","*Lait*",IF($FH59="Viande","*Viande*",IF($FH59="Reproduction","*Reproduction*",IF($FH59="Autre","*Autre*",IF($FH59="Loisir","*Loisir*",IF($FH59="Œufs","*Œufs*","")))))),'Étape 1 - à remplir'!$G$31:$G$400,"kg",'Étape 1 - à remplir'!$M$31:$M$400,MASQ2!FQ$43)/SUMIFS('Étape 1 - à remplir'!$F$19:$F$28,'Étape 1 - à remplir'!$D$19:$D$28,MASQ2!$FH59,'Étape 1 - à remplir'!$G$19:$G$28,"kg"),"")</f>
        <v/>
      </c>
      <c r="FR59" t="str">
        <f>IFERROR(SUMIFS('Étape 1 - à remplir'!$F$31:$F$400,'Étape 1 - à remplir'!$C$31:$C$400,IF($FH59="Lait","*Lait*",IF($FH59="Viande","*Viande*",IF($FH59="Reproduction","*Reproduction*",IF($FH59="Autre","*Autre*",IF($FH59="Loisir","*Loisir*",IF($FH59="Œufs","*Œufs*","")))))),'Étape 1 - à remplir'!$G$31:$G$400,"kg",'Étape 1 - à remplir'!$M$31:$M$400,MASQ2!FR$43)/SUMIFS('Étape 1 - à remplir'!$F$19:$F$28,'Étape 1 - à remplir'!$D$19:$D$28,MASQ2!$FH59,'Étape 1 - à remplir'!$G$19:$G$28,"kg"),"")</f>
        <v/>
      </c>
      <c r="FS59" t="str">
        <f>IFERROR(SUMIFS('Étape 1 - à remplir'!$F$31:$F$400,'Étape 1 - à remplir'!$C$31:$C$400,IF($FH59="Lait","*Lait*",IF($FH59="Viande","*Viande*",IF($FH59="Reproduction","*Reproduction*",IF($FH59="Autre","*Autre*",IF($FH59="Loisir","*Loisir*",IF($FH59="Œufs","*Œufs*","")))))),'Étape 1 - à remplir'!$G$31:$G$400,"kg",'Étape 1 - à remplir'!$M$31:$M$400,MASQ2!FS$43)/SUMIFS('Étape 1 - à remplir'!$F$19:$F$28,'Étape 1 - à remplir'!$D$19:$D$28,MASQ2!$FH59,'Étape 1 - à remplir'!$G$19:$G$28,"kg"),"")</f>
        <v/>
      </c>
      <c r="FT59" s="76" t="str">
        <f>IFERROR(SUMIFS('Étape 1 - à remplir'!$F$31:$F$400,'Étape 1 - à remplir'!$C$31:$C$400,IF($FH59="Lait","*Lait*",IF($FH59="Viande","*Viande*",IF($FH59="Reproduction","*Reproduction*",IF($FH59="Autre","*Autre*",IF($FH59="Loisir","*Loisir*",IF($FH59="Œufs","*Œufs*","")))))),'Étape 1 - à remplir'!$G$31:$G$400,"kg",'Étape 1 - à remplir'!$M$31:$M$400,MASQ2!FT$43)/SUMIFS('Étape 1 - à remplir'!$F$19:$F$28,'Étape 1 - à remplir'!$D$19:$D$28,MASQ2!$FH59,'Étape 1 - à remplir'!$G$19:$G$28,"kg"),"")</f>
        <v/>
      </c>
    </row>
    <row r="60" spans="2:176" x14ac:dyDescent="0.3">
      <c r="B60" s="42"/>
      <c r="M60" s="194" t="str">
        <f ca="1">INDEX(Données_ATB!BD:BU,MATCH(MASQ2!O60,Données_ATB!BD:BD,0),18)</f>
        <v/>
      </c>
      <c r="N60" s="14" t="str">
        <f>IFERROR(IF(Q60=0,"",COUNTIF(Q$4:Q$600,"&gt;"&amp;Q60)+COUNTIF(Q$4:Q60,Q60)),"")</f>
        <v/>
      </c>
      <c r="O60" t="str">
        <f>Données_ATB!BD59</f>
        <v>AXILLIN</v>
      </c>
      <c r="P60" t="e">
        <f>IF(IF(X$2="Catégorie",IF(X$3="Toutes",SUMIFS('Étape 1 - à remplir'!$F$31:$F$400,'Étape 1 - à remplir'!$E$31:$E$400,MASQ2!O60,'Étape 1 - à remplir'!$G$31:$G$400,"animaux"),SUMIFS('Étape 1 - à remplir'!$F$31:$F$400,'Étape 1 - à remplir'!$E$31:$E$400,MASQ2!O60,'Étape 1 - à remplir'!$C$31:$C$400,X$3)),IF(X$2="Âge",IF(X$3="Tous",SUMIFS('Étape 1 - à remplir'!$F$31:$F$400,'Étape 1 - à remplir'!$E$31:$E$400,MASQ2!O60,'Étape 1 - à remplir'!$G$31:$G$400,"animaux"),SUMIFS('Étape 1 - à remplir'!$F$31:$F$400,'Étape 1 - à remplir'!$E$31:$E$400,MASQ2!O60,'Étape 1 - à remplir'!$P$31:$P$400,X$3)),IF(X$2="Atelier",IF(X$3="Tous",SUMIFS('Étape 1 - à remplir'!$F$31:$F$400,'Étape 1 - à remplir'!$E$31:$E$400,MASQ2!O60,'Étape 1 - à remplir'!$G$31:$G$400,"animaux"),SUMIFS('Étape 1 - à remplir'!$F$31:$F$400,'Étape 1 - à remplir'!$E$31:$E$400,MASQ2!O60,'Étape 1 - à remplir'!$O$31:$O$400,X$3)),IF(X$2="Espèce",IF(X$3="Toutes",SUMIFS('Étape 1 - à remplir'!$F$31:$F$400,'Étape 1 - à remplir'!$E$31:$E$400,MASQ2!O60,'Étape 1 - à remplir'!$G$31:$G$400,"animaux"),SUMIFS('Étape 1 - à remplir'!$F$31:$F$400,'Étape 1 - à remplir'!$E$31:$E$400,MASQ2!O60,'Étape 1 - à remplir'!$N$31:$N$400,X$3))))))=0,NA(),IF(X$2="Catégorie",IF(X$3="Toutes",SUMIFS('Étape 1 - à remplir'!$F$31:$F$400,'Étape 1 - à remplir'!$E$31:$E$400,MASQ2!O60,'Étape 1 - à remplir'!$G$31:$G$400,"animaux"),SUMIFS('Étape 1 - à remplir'!$F$31:$F$400,'Étape 1 - à remplir'!$E$31:$E$400,MASQ2!O60,'Étape 1 - à remplir'!$C$31:$C$400,X$3)),IF(X$2="Âge",IF(X$3="Tous",SUMIFS('Étape 1 - à remplir'!$F$31:$F$400,'Étape 1 - à remplir'!$E$31:$E$400,MASQ2!O60,'Étape 1 - à remplir'!$G$31:$G$400,"animaux"),SUMIFS('Étape 1 - à remplir'!$F$31:$F$400,'Étape 1 - à remplir'!$E$31:$E$400,MASQ2!O60,'Étape 1 - à remplir'!$P$31:$P$400,X$3)),IF(X$2="Atelier",IF(X$3="Tous",SUMIFS('Étape 1 - à remplir'!$F$31:$F$400,'Étape 1 - à remplir'!$E$31:$E$400,MASQ2!O60,'Étape 1 - à remplir'!$G$31:$G$400,"animaux"),SUMIFS('Étape 1 - à remplir'!$F$31:$F$400,'Étape 1 - à remplir'!$E$31:$E$400,MASQ2!O60,'Étape 1 - à remplir'!$O$31:$O$400,X$3)),IF(X$2="Espèce",IF(X$3="Toutes",SUMIFS('Étape 1 - à remplir'!$F$31:$F$400,'Étape 1 - à remplir'!$E$31:$E$400,MASQ2!O60,'Étape 1 - à remplir'!$G$31:$G$400,"animaux"),SUMIFS('Étape 1 - à remplir'!$F$31:$F$400,'Étape 1 - à remplir'!$E$31:$E$400,MASQ2!O60,'Étape 1 - à remplir'!$N$31:$N$400,X$3)))))))</f>
        <v>#N/A</v>
      </c>
      <c r="Q60" s="63">
        <f t="shared" si="62"/>
        <v>0</v>
      </c>
      <c r="R60" t="str">
        <f>Données_ATB!BM59</f>
        <v>Amoxicilline</v>
      </c>
      <c r="S60" t="str">
        <f>Données_ATB!BN59</f>
        <v/>
      </c>
      <c r="T60" s="63" t="str">
        <f>Données_ATB!BO59</f>
        <v/>
      </c>
      <c r="U60" s="42" t="str">
        <f>Données_ATB!BQ59</f>
        <v>Penicillines</v>
      </c>
      <c r="V60" t="str">
        <f>Données_ATB!BR59</f>
        <v/>
      </c>
      <c r="W60" s="63" t="str">
        <f>Données_ATB!BS59</f>
        <v/>
      </c>
      <c r="Z60" s="42">
        <v>57</v>
      </c>
      <c r="AA60" t="e">
        <f t="shared" si="32"/>
        <v>#N/A</v>
      </c>
      <c r="AB60" s="63" t="e">
        <f t="shared" si="33"/>
        <v>#N/A</v>
      </c>
      <c r="AD60" s="194" t="str">
        <f>IF(AF60="Colistine","x",IF(INDEX(Données_ATB!CA$3:CB$63,MATCH(AF60,Données_ATB!CA$3:CA$63,0),2)="Fluoroquinolones","x",IF(INDEX(Données_ATB!CA$3:CB$63,MATCH(AF60,Données_ATB!CA$3:CA$63,0),2)="Cephalosporines 3&amp;4G","x","")))</f>
        <v/>
      </c>
      <c r="AE60" s="219" t="str">
        <f>IFERROR(IF(AG60=0,"",COUNTIF(AG$4:AG$64,"&gt;"&amp;AG60)+COUNTIF(AG$4:AG60,AG60)),"")</f>
        <v/>
      </c>
      <c r="AF60" s="42" t="str">
        <f>Données_ATB!CA59</f>
        <v>Triméthoprime</v>
      </c>
      <c r="AG60" s="63" t="e">
        <f t="shared" si="34"/>
        <v>#N/A</v>
      </c>
      <c r="AH60" s="42">
        <v>57</v>
      </c>
      <c r="AI60" t="e">
        <f t="shared" si="35"/>
        <v>#N/A</v>
      </c>
      <c r="AJ60" s="63" t="e">
        <f t="shared" si="36"/>
        <v>#N/A</v>
      </c>
      <c r="AT60" s="109" t="str">
        <f t="shared" si="125"/>
        <v/>
      </c>
      <c r="AU60" t="str">
        <f>IFERROR(SUMIFS('Étape 1 - à remplir'!$F$31:$F$400,'Étape 1 - à remplir'!$C$31:$C$400,IF($AT60="Lait","*Lait*",IF($AT60="Viande","*Viande*",IF($AT60="Reproduction","*Reproduction*",IF($AT60="Autre","*Autre*",IF($AT60="Loisir","*Loisir*",IF($AT60="Œufs","*Œufs*","")))))),'Étape 1 - à remplir'!$G$31:$G$400,"animaux",'Étape 1 - à remplir'!$M$31:$M$400,MASQ2!AU$43)/SUMIFS('Étape 1 - à remplir'!$F$19:$F$28,'Étape 1 - à remplir'!$D$19:$D$28,MASQ2!$AT60,'Étape 1 - à remplir'!$G$19:$G$28,"animaux"),"")</f>
        <v/>
      </c>
      <c r="AV60" t="str">
        <f>IFERROR(SUMIFS('Étape 1 - à remplir'!$F$31:$F$400,'Étape 1 - à remplir'!$C$31:$C$400,IF($AT60="Lait","*Lait*",IF($AT60="Viande","*Viande*",IF($AT60="Reproduction","*Reproduction*",IF($AT60="Autre","*Autre*",IF($AT60="Loisir","*Loisir*",IF($AT60="Œufs","*Œufs*","")))))),'Étape 1 - à remplir'!$G$31:$G$400,"animaux",'Étape 1 - à remplir'!$M$31:$M$400,MASQ2!AV$43)/SUMIFS('Étape 1 - à remplir'!$F$19:$F$28,'Étape 1 - à remplir'!$D$19:$D$28,MASQ2!$AT60,'Étape 1 - à remplir'!$G$19:$G$28,"animaux"),"")</f>
        <v/>
      </c>
      <c r="AW60" t="str">
        <f>IFERROR(SUMIFS('Étape 1 - à remplir'!$F$31:$F$400,'Étape 1 - à remplir'!$C$31:$C$400,IF($AT60="Lait","*Lait*",IF($AT60="Viande","*Viande*",IF($AT60="Reproduction","*Reproduction*",IF($AT60="Autre","*Autre*",IF($AT60="Loisir","*Loisir*",IF($AT60="Œufs","*Œufs*","")))))),'Étape 1 - à remplir'!$G$31:$G$400,"animaux",'Étape 1 - à remplir'!$M$31:$M$400,MASQ2!AW$43)/SUMIFS('Étape 1 - à remplir'!$F$19:$F$28,'Étape 1 - à remplir'!$D$19:$D$28,MASQ2!$AT60,'Étape 1 - à remplir'!$G$19:$G$28,"animaux"),"")</f>
        <v/>
      </c>
      <c r="AX60" t="str">
        <f>IFERROR(SUMIFS('Étape 1 - à remplir'!$F$31:$F$400,'Étape 1 - à remplir'!$C$31:$C$400,IF($AT60="Lait","*Lait*",IF($AT60="Viande","*Viande*",IF($AT60="Reproduction","*Reproduction*",IF($AT60="Autre","*Autre*",IF($AT60="Loisir","*Loisir*",IF($AT60="Œufs","*Œufs*","")))))),'Étape 1 - à remplir'!$G$31:$G$400,"animaux",'Étape 1 - à remplir'!$M$31:$M$400,MASQ2!AX$43)/SUMIFS('Étape 1 - à remplir'!$F$19:$F$28,'Étape 1 - à remplir'!$D$19:$D$28,MASQ2!$AT60,'Étape 1 - à remplir'!$G$19:$G$28,"animaux"),"")</f>
        <v/>
      </c>
      <c r="AY60" t="str">
        <f>IFERROR(SUMIFS('Étape 1 - à remplir'!$F$31:$F$400,'Étape 1 - à remplir'!$C$31:$C$400,IF($AT60="Lait","*Lait*",IF($AT60="Viande","*Viande*",IF($AT60="Reproduction","*Reproduction*",IF($AT60="Autre","*Autre*",IF($AT60="Loisir","*Loisir*",IF($AT60="Œufs","*Œufs*","")))))),'Étape 1 - à remplir'!$G$31:$G$400,"animaux",'Étape 1 - à remplir'!$M$31:$M$400,MASQ2!AY$43)/SUMIFS('Étape 1 - à remplir'!$F$19:$F$28,'Étape 1 - à remplir'!$D$19:$D$28,MASQ2!$AT60,'Étape 1 - à remplir'!$G$19:$G$28,"animaux"),"")</f>
        <v/>
      </c>
      <c r="AZ60" t="str">
        <f>IFERROR(SUMIFS('Étape 1 - à remplir'!$F$31:$F$400,'Étape 1 - à remplir'!$C$31:$C$400,IF($AT60="Lait","*Lait*",IF($AT60="Viande","*Viande*",IF($AT60="Reproduction","*Reproduction*",IF($AT60="Autre","*Autre*",IF($AT60="Loisir","*Loisir*",IF($AT60="Œufs","*Œufs*","")))))),'Étape 1 - à remplir'!$G$31:$G$400,"animaux",'Étape 1 - à remplir'!$M$31:$M$400,MASQ2!AZ$43)/SUMIFS('Étape 1 - à remplir'!$F$19:$F$28,'Étape 1 - à remplir'!$D$19:$D$28,MASQ2!$AT60,'Étape 1 - à remplir'!$G$19:$G$28,"animaux"),"")</f>
        <v/>
      </c>
      <c r="BA60" t="str">
        <f>IFERROR(SUMIFS('Étape 1 - à remplir'!$F$31:$F$400,'Étape 1 - à remplir'!$C$31:$C$400,IF($AT60="Lait","*Lait*",IF($AT60="Viande","*Viande*",IF($AT60="Reproduction","*Reproduction*",IF($AT60="Autre","*Autre*",IF($AT60="Loisir","*Loisir*",IF($AT60="Œufs","*Œufs*","")))))),'Étape 1 - à remplir'!$G$31:$G$400,"animaux",'Étape 1 - à remplir'!$M$31:$M$400,MASQ2!BA$43)/SUMIFS('Étape 1 - à remplir'!$F$19:$F$28,'Étape 1 - à remplir'!$D$19:$D$28,MASQ2!$AT60,'Étape 1 - à remplir'!$G$19:$G$28,"animaux"),"")</f>
        <v/>
      </c>
      <c r="BB60" t="str">
        <f>IFERROR(SUMIFS('Étape 1 - à remplir'!$F$31:$F$400,'Étape 1 - à remplir'!$C$31:$C$400,IF($AT60="Lait","*Lait*",IF($AT60="Viande","*Viande*",IF($AT60="Reproduction","*Reproduction*",IF($AT60="Autre","*Autre*",IF($AT60="Loisir","*Loisir*",IF($AT60="Œufs","*Œufs*","")))))),'Étape 1 - à remplir'!$G$31:$G$400,"animaux",'Étape 1 - à remplir'!$M$31:$M$400,MASQ2!BB$43)/SUMIFS('Étape 1 - à remplir'!$F$19:$F$28,'Étape 1 - à remplir'!$D$19:$D$28,MASQ2!$AT60,'Étape 1 - à remplir'!$G$19:$G$28,"animaux"),"")</f>
        <v/>
      </c>
      <c r="BC60" t="str">
        <f>IFERROR(SUMIFS('Étape 1 - à remplir'!$F$31:$F$400,'Étape 1 - à remplir'!$C$31:$C$400,IF($AT60="Lait","*Lait*",IF($AT60="Viande","*Viande*",IF($AT60="Reproduction","*Reproduction*",IF($AT60="Autre","*Autre*",IF($AT60="Loisir","*Loisir*",IF($AT60="Œufs","*Œufs*","")))))),'Étape 1 - à remplir'!$G$31:$G$400,"animaux",'Étape 1 - à remplir'!$M$31:$M$400,MASQ2!BC$43)/SUMIFS('Étape 1 - à remplir'!$F$19:$F$28,'Étape 1 - à remplir'!$D$19:$D$28,MASQ2!$AT60,'Étape 1 - à remplir'!$G$19:$G$28,"animaux"),"")</f>
        <v/>
      </c>
      <c r="BD60" t="str">
        <f>IFERROR(SUMIFS('Étape 1 - à remplir'!$F$31:$F$400,'Étape 1 - à remplir'!$C$31:$C$400,IF($AT60="Lait","*Lait*",IF($AT60="Viande","*Viande*",IF($AT60="Reproduction","*Reproduction*",IF($AT60="Autre","*Autre*",IF($AT60="Loisir","*Loisir*",IF($AT60="Œufs","*Œufs*","")))))),'Étape 1 - à remplir'!$G$31:$G$400,"animaux",'Étape 1 - à remplir'!$M$31:$M$400,MASQ2!BD$43)/SUMIFS('Étape 1 - à remplir'!$F$19:$F$28,'Étape 1 - à remplir'!$D$19:$D$28,MASQ2!$AT60,'Étape 1 - à remplir'!$G$19:$G$28,"animaux"),"")</f>
        <v/>
      </c>
      <c r="BE60" t="str">
        <f>IFERROR(SUMIFS('Étape 1 - à remplir'!$F$31:$F$400,'Étape 1 - à remplir'!$C$31:$C$400,IF($AT60="Lait","*Lait*",IF($AT60="Viande","*Viande*",IF($AT60="Reproduction","*Reproduction*",IF($AT60="Autre","*Autre*",IF($AT60="Loisir","*Loisir*",IF($AT60="Œufs","*Œufs*","")))))),'Étape 1 - à remplir'!$G$31:$G$400,"animaux",'Étape 1 - à remplir'!$M$31:$M$400,MASQ2!BE$43)/SUMIFS('Étape 1 - à remplir'!$F$19:$F$28,'Étape 1 - à remplir'!$D$19:$D$28,MASQ2!$AT60,'Étape 1 - à remplir'!$G$19:$G$28,"animaux"),"")</f>
        <v/>
      </c>
      <c r="BF60" s="76" t="str">
        <f>IFERROR(SUMIFS('Étape 1 - à remplir'!$F$31:$F$400,'Étape 1 - à remplir'!$C$31:$C$400,IF($AT60="Lait","*Lait*",IF($AT60="Viande","*Viande*",IF($AT60="Reproduction","*Reproduction*",IF($AT60="Autre","*Autre*",IF($AT60="Loisir","*Loisir*",IF($AT60="Œufs","*Œufs*","")))))),'Étape 1 - à remplir'!$G$31:$G$400,"animaux",'Étape 1 - à remplir'!$M$31:$M$400,MASQ2!BF$43)/SUMIFS('Étape 1 - à remplir'!$F$19:$F$28,'Étape 1 - à remplir'!$D$19:$D$28,MASQ2!$AT60,'Étape 1 - à remplir'!$G$19:$G$28,"animaux"),"")</f>
        <v/>
      </c>
      <c r="BT60" s="194" t="str">
        <f t="shared" ca="1" si="5"/>
        <v/>
      </c>
      <c r="BU60" s="219" t="str">
        <f>IFERROR(IF(BX60=0,"",COUNTIF(BX$4:BX$600,"&gt;"&amp;BX60)+COUNTIF(BX$4:BX60,BX60)),"")</f>
        <v/>
      </c>
      <c r="BV60" s="42" t="str">
        <f t="shared" si="6"/>
        <v>AXILLIN</v>
      </c>
      <c r="BW60" t="e">
        <f>IF(IF(CE$2="Catégorie",IF(CE$3="Toutes",SUMIFS('Étape 1 - à remplir'!$F$31:$F$400,'Étape 1 - à remplir'!$E$31:$E$400,MASQ2!BV60,'Étape 1 - à remplir'!$G$31:$G$400,"lots"),SUMIFS('Étape 1 - à remplir'!$F$31:$F$400,'Étape 1 - à remplir'!$E$31:$E$400,MASQ2!BV60,'Étape 1 - à remplir'!$C$31:$C$400,CE$3)),IF(CE$2="Âge",IF(CE$3="Tous",SUMIFS('Étape 1 - à remplir'!$F$31:$F$400,'Étape 1 - à remplir'!$E$31:$E$400,MASQ2!BV60,'Étape 1 - à remplir'!$G$31:$G$400,"lots"),SUMIFS('Étape 1 - à remplir'!$F$31:$F$400,'Étape 1 - à remplir'!$E$31:$E$400,MASQ2!BV60,'Étape 1 - à remplir'!$P$31:$P$400,CE$3,'Étape 1 - à remplir'!$G$31:$G$400,"lots")),IF(CE$2="Atelier",IF(CE$3="Tous",SUMIFS('Étape 1 - à remplir'!$F$31:$F$400,'Étape 1 - à remplir'!$E$31:$E$400,MASQ2!BV60,'Étape 1 - à remplir'!$G$31:$G$400,"lots"),SUMIFS('Étape 1 - à remplir'!$F$31:$F$400,'Étape 1 - à remplir'!$E$31:$E$400,MASQ2!BV60,'Étape 1 - à remplir'!$O$31:$O$400,CE$3,'Étape 1 - à remplir'!$G$31:$G$400,"lots")),IF(CE$2="Espèce",IF(CE$3="Toutes",SUMIFS('Étape 1 - à remplir'!$F$31:$F$400,'Étape 1 - à remplir'!$E$31:$E$400,MASQ2!BV60,'Étape 1 - à remplir'!$G$31:$G$400,"lots"),SUMIFS('Étape 1 - à remplir'!$F$31:$F$400,'Étape 1 - à remplir'!$E$31:$E$400,MASQ2!BV60,'Étape 1 - à remplir'!$N$31:$N$400,CE$3,'Étape 1 - à remplir'!$G$31:$G$400,"lots"))))))=0,NA(),IF(CE$2="Catégorie",IF(CE$3="Toutes",SUMIFS('Étape 1 - à remplir'!$F$31:$F$400,'Étape 1 - à remplir'!$E$31:$E$400,MASQ2!BV60,'Étape 1 - à remplir'!$G$31:$G$400,"lots"),SUMIFS('Étape 1 - à remplir'!$F$31:$F$400,'Étape 1 - à remplir'!$E$31:$E$400,MASQ2!BV60,'Étape 1 - à remplir'!$C$31:$C$400,CE$3)),IF(CE$2="Âge",IF(CE$3="Tous",SUMIFS('Étape 1 - à remplir'!$F$31:$F$400,'Étape 1 - à remplir'!$E$31:$E$400,MASQ2!BV60,'Étape 1 - à remplir'!$G$31:$G$400,"lots"),SUMIFS('Étape 1 - à remplir'!$F$31:$F$400,'Étape 1 - à remplir'!$E$31:$E$400,MASQ2!BV60,'Étape 1 - à remplir'!$P$31:$P$400,CE$3,'Étape 1 - à remplir'!$G$31:$G$400,"lots")),IF(CE$2="Atelier",IF(CE$3="Tous",SUMIFS('Étape 1 - à remplir'!$F$31:$F$400,'Étape 1 - à remplir'!$E$31:$E$400,MASQ2!BV60,'Étape 1 - à remplir'!$G$31:$G$400,"lots"),SUMIFS('Étape 1 - à remplir'!$F$31:$F$400,'Étape 1 - à remplir'!$E$31:$E$400,MASQ2!BV60,'Étape 1 - à remplir'!$O$31:$O$400,CE$3,'Étape 1 - à remplir'!$G$31:$G$400,"lots")),IF(CE$2="Espèce",IF(CE$3="Toutes",SUMIFS('Étape 1 - à remplir'!$F$31:$F$400,'Étape 1 - à remplir'!$E$31:$E$400,MASQ2!BV60,'Étape 1 - à remplir'!$G$31:$G$400,"lots"),SUMIFS('Étape 1 - à remplir'!$F$31:$F$400,'Étape 1 - à remplir'!$E$31:$E$400,MASQ2!BV60,'Étape 1 - à remplir'!$N$31:$N$400,CE$3,'Étape 1 - à remplir'!$G$31:$G$400,"lots")))))))</f>
        <v>#N/A</v>
      </c>
      <c r="BX60">
        <f t="shared" si="42"/>
        <v>0</v>
      </c>
      <c r="BY60" t="str">
        <f t="shared" si="7"/>
        <v>Amoxicilline</v>
      </c>
      <c r="BZ60" t="str">
        <f t="shared" si="8"/>
        <v/>
      </c>
      <c r="CA60" t="str">
        <f t="shared" si="9"/>
        <v/>
      </c>
      <c r="CB60" t="str">
        <f t="shared" si="10"/>
        <v>Penicillines</v>
      </c>
      <c r="CC60" t="str">
        <f t="shared" si="11"/>
        <v/>
      </c>
      <c r="CD60" s="63" t="str">
        <f t="shared" si="12"/>
        <v/>
      </c>
      <c r="CG60" s="42">
        <v>57</v>
      </c>
      <c r="CH60" s="42" t="e">
        <f t="shared" si="80"/>
        <v>#N/A</v>
      </c>
      <c r="CI60" s="63" t="e">
        <f t="shared" si="81"/>
        <v>#N/A</v>
      </c>
      <c r="CK60" s="194" t="str">
        <f t="shared" si="118"/>
        <v/>
      </c>
      <c r="CL60" s="226" t="str">
        <f>IFERROR(IF(CN60=0,"",COUNTIF(CN$4:CN$64,"&gt;"&amp;CN60)+COUNTIF(CN$4:CN60,CN60)),"")</f>
        <v/>
      </c>
      <c r="CM60" t="str">
        <f t="shared" si="119"/>
        <v>Triméthoprime</v>
      </c>
      <c r="CN60" s="76" t="e">
        <f t="shared" si="45"/>
        <v>#N/A</v>
      </c>
      <c r="CO60">
        <v>57</v>
      </c>
      <c r="CP60" t="e">
        <f t="shared" si="46"/>
        <v>#N/A</v>
      </c>
      <c r="CQ60" s="63" t="e">
        <f t="shared" si="47"/>
        <v>#N/A</v>
      </c>
      <c r="DA60" s="109" t="str">
        <f t="shared" si="126"/>
        <v/>
      </c>
      <c r="DB60" s="118" t="str">
        <f>IFERROR(SUMIFS('Étape 1 - à remplir'!$F$31:$F$400,'Étape 1 - à remplir'!$C$31:$C$400,IF($DA60="Lait","*Lait*",IF($DA60="Viande","*Viande*",IF($DA60="Reproduction","*Reproduction*",IF($DA60="Autre","*Autre*",IF($DA60="Loisir","*Loisir*",IF($DA60="Œufs","*Œufs*","")))))),'Étape 1 - à remplir'!$G$31:$G$400,"lots",'Étape 1 - à remplir'!$M$31:$M$400,MASQ2!DB$43)/SUMIFS('Étape 1 - à remplir'!$F$19:$F$28,'Étape 1 - à remplir'!$D$19:$D$28,MASQ2!$DA60,'Étape 1 - à remplir'!$G$19:$G$28,"lots"),"")</f>
        <v/>
      </c>
      <c r="DC60" t="str">
        <f>IFERROR(SUMIFS('Étape 1 - à remplir'!$F$31:$F$400,'Étape 1 - à remplir'!$C$31:$C$400,IF($DA60="Lait","*Lait*",IF($DA60="Viande","*Viande*",IF($DA60="Reproduction","*Reproduction*",IF($DA60="Autre","*Autre*",IF($DA60="Loisir","*Loisir*",IF($DA60="Œufs","*Œufs*","")))))),'Étape 1 - à remplir'!$G$31:$G$400,"lots",'Étape 1 - à remplir'!$M$31:$M$400,MASQ2!DC$43)/SUMIFS('Étape 1 - à remplir'!$F$19:$F$28,'Étape 1 - à remplir'!$D$19:$D$28,MASQ2!$DA60,'Étape 1 - à remplir'!$G$19:$G$28,"lots"),"")</f>
        <v/>
      </c>
      <c r="DD60" t="str">
        <f>IFERROR(SUMIFS('Étape 1 - à remplir'!$F$31:$F$400,'Étape 1 - à remplir'!$C$31:$C$400,IF($DA60="Lait","*Lait*",IF($DA60="Viande","*Viande*",IF($DA60="Reproduction","*Reproduction*",IF($DA60="Autre","*Autre*",IF($DA60="Loisir","*Loisir*",IF($DA60="Œufs","*Œufs*","")))))),'Étape 1 - à remplir'!$G$31:$G$400,"lots",'Étape 1 - à remplir'!$M$31:$M$400,MASQ2!DD$43)/SUMIFS('Étape 1 - à remplir'!$F$19:$F$28,'Étape 1 - à remplir'!$D$19:$D$28,MASQ2!$DA60,'Étape 1 - à remplir'!$G$19:$G$28,"lots"),"")</f>
        <v/>
      </c>
      <c r="DE60" t="str">
        <f>IFERROR(SUMIFS('Étape 1 - à remplir'!$F$31:$F$400,'Étape 1 - à remplir'!$C$31:$C$400,IF($DA60="Lait","*Lait*",IF($DA60="Viande","*Viande*",IF($DA60="Reproduction","*Reproduction*",IF($DA60="Autre","*Autre*",IF($DA60="Loisir","*Loisir*",IF($DA60="Œufs","*Œufs*","")))))),'Étape 1 - à remplir'!$G$31:$G$400,"lots",'Étape 1 - à remplir'!$M$31:$M$400,MASQ2!DE$43)/SUMIFS('Étape 1 - à remplir'!$F$19:$F$28,'Étape 1 - à remplir'!$D$19:$D$28,MASQ2!$DA60,'Étape 1 - à remplir'!$G$19:$G$28,"lots"),"")</f>
        <v/>
      </c>
      <c r="DF60" t="str">
        <f>IFERROR(SUMIFS('Étape 1 - à remplir'!$F$31:$F$400,'Étape 1 - à remplir'!$C$31:$C$400,IF($DA60="Lait","*Lait*",IF($DA60="Viande","*Viande*",IF($DA60="Reproduction","*Reproduction*",IF($DA60="Autre","*Autre*",IF($DA60="Loisir","*Loisir*",IF($DA60="Œufs","*Œufs*","")))))),'Étape 1 - à remplir'!$G$31:$G$400,"lots",'Étape 1 - à remplir'!$M$31:$M$400,MASQ2!DF$43)/SUMIFS('Étape 1 - à remplir'!$F$19:$F$28,'Étape 1 - à remplir'!$D$19:$D$28,MASQ2!$DA60,'Étape 1 - à remplir'!$G$19:$G$28,"lots"),"")</f>
        <v/>
      </c>
      <c r="DG60" t="str">
        <f>IFERROR(SUMIFS('Étape 1 - à remplir'!$F$31:$F$400,'Étape 1 - à remplir'!$C$31:$C$400,IF($DA60="Lait","*Lait*",IF($DA60="Viande","*Viande*",IF($DA60="Reproduction","*Reproduction*",IF($DA60="Autre","*Autre*",IF($DA60="Loisir","*Loisir*",IF($DA60="Œufs","*Œufs*","")))))),'Étape 1 - à remplir'!$G$31:$G$400,"lots",'Étape 1 - à remplir'!$M$31:$M$400,MASQ2!DG$43)/SUMIFS('Étape 1 - à remplir'!$F$19:$F$28,'Étape 1 - à remplir'!$D$19:$D$28,MASQ2!$DA60,'Étape 1 - à remplir'!$G$19:$G$28,"lots"),"")</f>
        <v/>
      </c>
      <c r="DH60" t="str">
        <f>IFERROR(SUMIFS('Étape 1 - à remplir'!$F$31:$F$400,'Étape 1 - à remplir'!$C$31:$C$400,IF($DA60="Lait","*Lait*",IF($DA60="Viande","*Viande*",IF($DA60="Reproduction","*Reproduction*",IF($DA60="Autre","*Autre*",IF($DA60="Loisir","*Loisir*",IF($DA60="Œufs","*Œufs*","")))))),'Étape 1 - à remplir'!$G$31:$G$400,"lots",'Étape 1 - à remplir'!$M$31:$M$400,MASQ2!DH$43)/SUMIFS('Étape 1 - à remplir'!$F$19:$F$28,'Étape 1 - à remplir'!$D$19:$D$28,MASQ2!$DA60,'Étape 1 - à remplir'!$G$19:$G$28,"lots"),"")</f>
        <v/>
      </c>
      <c r="DI60" t="str">
        <f>IFERROR(SUMIFS('Étape 1 - à remplir'!$F$31:$F$400,'Étape 1 - à remplir'!$C$31:$C$400,IF($DA60="Lait","*Lait*",IF($DA60="Viande","*Viande*",IF($DA60="Reproduction","*Reproduction*",IF($DA60="Autre","*Autre*",IF($DA60="Loisir","*Loisir*",IF($DA60="Œufs","*Œufs*","")))))),'Étape 1 - à remplir'!$G$31:$G$400,"lots",'Étape 1 - à remplir'!$M$31:$M$400,MASQ2!DI$43)/SUMIFS('Étape 1 - à remplir'!$F$19:$F$28,'Étape 1 - à remplir'!$D$19:$D$28,MASQ2!$DA60,'Étape 1 - à remplir'!$G$19:$G$28,"lots"),"")</f>
        <v/>
      </c>
      <c r="DJ60" t="str">
        <f>IFERROR(SUMIFS('Étape 1 - à remplir'!$F$31:$F$400,'Étape 1 - à remplir'!$C$31:$C$400,IF($DA60="Lait","*Lait*",IF($DA60="Viande","*Viande*",IF($DA60="Reproduction","*Reproduction*",IF($DA60="Autre","*Autre*",IF($DA60="Loisir","*Loisir*",IF($DA60="Œufs","*Œufs*","")))))),'Étape 1 - à remplir'!$G$31:$G$400,"lots",'Étape 1 - à remplir'!$M$31:$M$400,MASQ2!DJ$43)/SUMIFS('Étape 1 - à remplir'!$F$19:$F$28,'Étape 1 - à remplir'!$D$19:$D$28,MASQ2!$DA60,'Étape 1 - à remplir'!$G$19:$G$28,"lots"),"")</f>
        <v/>
      </c>
      <c r="DK60" t="str">
        <f>IFERROR(SUMIFS('Étape 1 - à remplir'!$F$31:$F$400,'Étape 1 - à remplir'!$C$31:$C$400,IF($DA60="Lait","*Lait*",IF($DA60="Viande","*Viande*",IF($DA60="Reproduction","*Reproduction*",IF($DA60="Autre","*Autre*",IF($DA60="Loisir","*Loisir*",IF($DA60="Œufs","*Œufs*","")))))),'Étape 1 - à remplir'!$G$31:$G$400,"lots",'Étape 1 - à remplir'!$M$31:$M$400,MASQ2!DK$43)/SUMIFS('Étape 1 - à remplir'!$F$19:$F$28,'Étape 1 - à remplir'!$D$19:$D$28,MASQ2!$DA60,'Étape 1 - à remplir'!$G$19:$G$28,"lots"),"")</f>
        <v/>
      </c>
      <c r="DL60" t="str">
        <f>IFERROR(SUMIFS('Étape 1 - à remplir'!$F$31:$F$400,'Étape 1 - à remplir'!$C$31:$C$400,IF($DA60="Lait","*Lait*",IF($DA60="Viande","*Viande*",IF($DA60="Reproduction","*Reproduction*",IF($DA60="Autre","*Autre*",IF($DA60="Loisir","*Loisir*",IF($DA60="Œufs","*Œufs*","")))))),'Étape 1 - à remplir'!$G$31:$G$400,"lots",'Étape 1 - à remplir'!$M$31:$M$400,MASQ2!DL$43)/SUMIFS('Étape 1 - à remplir'!$F$19:$F$28,'Étape 1 - à remplir'!$D$19:$D$28,MASQ2!$DA60,'Étape 1 - à remplir'!$G$19:$G$28,"lots"),"")</f>
        <v/>
      </c>
      <c r="DM60" s="76" t="str">
        <f>IFERROR(SUMIFS('Étape 1 - à remplir'!$F$31:$F$400,'Étape 1 - à remplir'!$C$31:$C$400,IF($DA60="Lait","*Lait*",IF($DA60="Viande","*Viande*",IF($DA60="Reproduction","*Reproduction*",IF($DA60="Autre","*Autre*",IF($DA60="Loisir","*Loisir*",IF($DA60="Œufs","*Œufs*","")))))),'Étape 1 - à remplir'!$G$31:$G$400,"lots",'Étape 1 - à remplir'!$M$31:$M$400,MASQ2!DM$43)/SUMIFS('Étape 1 - à remplir'!$F$19:$F$28,'Étape 1 - à remplir'!$D$19:$D$28,MASQ2!$DA60,'Étape 1 - à remplir'!$G$19:$G$28,"lots"),"")</f>
        <v/>
      </c>
      <c r="EA60" s="194" t="str">
        <f t="shared" ca="1" si="18"/>
        <v/>
      </c>
      <c r="EB60" s="226" t="str">
        <f>IFERROR(IF(ED60=0,"",COUNTIF(ED$4:ED$600,"&gt;"&amp;ED60)+COUNTIF(ED$4:ED60,ED60)),"")</f>
        <v/>
      </c>
      <c r="EC60" t="str">
        <f t="shared" si="19"/>
        <v>AXILLIN</v>
      </c>
      <c r="ED60" t="e">
        <f>IF(IF(EL$2="Catégorie",IF(EL$3="Toutes",SUMIFS('Étape 1 - à remplir'!$F$31:$F$400,'Étape 1 - à remplir'!$E$31:$E$400,MASQ2!EC60,'Étape 1 - à remplir'!$G$31:$G$400,"kg"),SUMIFS('Étape 1 - à remplir'!$F$31:$F$400,'Étape 1 - à remplir'!$E$31:$E$400,MASQ2!EC60,'Étape 1 - à remplir'!$C$31:$C$400,EL$3)),IF(EL$2="Âge",IF(EL$3="Tous",SUMIFS('Étape 1 - à remplir'!$F$31:$F$400,'Étape 1 - à remplir'!$E$31:$E$400,MASQ2!EC60,'Étape 1 - à remplir'!$G$31:$G$400,"kg"),SUMIFS('Étape 1 - à remplir'!$F$31:$F$400,'Étape 1 - à remplir'!$E$31:$E$400,MASQ2!EC60,'Étape 1 - à remplir'!$P$31:$P$400,EL$3,'Étape 1 - à remplir'!$G$31:$G$400,"kg")),IF(EL$2="Atelier",IF(EL$3="Tous",SUMIFS('Étape 1 - à remplir'!$F$31:$F$400,'Étape 1 - à remplir'!$E$31:$E$400,MASQ2!EC60,'Étape 1 - à remplir'!$G$31:$G$400,"kg"),SUMIFS('Étape 1 - à remplir'!$F$31:$F$400,'Étape 1 - à remplir'!$E$31:$E$400,MASQ2!EC60,'Étape 1 - à remplir'!$O$31:$O$400,EL$3,'Étape 1 - à remplir'!$G$31:$G$400,"kg")),IF(EL$2="Espèce",IF(EL$3="Toutes",SUMIFS('Étape 1 - à remplir'!$F$31:$F$400,'Étape 1 - à remplir'!$E$31:$E$400,MASQ2!EC60,'Étape 1 - à remplir'!$G$31:$G$400,"kg"),SUMIFS('Étape 1 - à remplir'!$F$31:$F$400,'Étape 1 - à remplir'!$E$31:$E$400,MASQ2!EC60,'Étape 1 - à remplir'!$N$31:$N$400,EL$3,'Étape 1 - à remplir'!$G$31:$G$400,"kg"))))))=0,NA(),IF(EL$2="Catégorie",IF(EL$3="Toutes",SUMIFS('Étape 1 - à remplir'!$F$31:$F$400,'Étape 1 - à remplir'!$E$31:$E$400,MASQ2!EC60,'Étape 1 - à remplir'!$G$31:$G$400,"kg"),SUMIFS('Étape 1 - à remplir'!$F$31:$F$400,'Étape 1 - à remplir'!$E$31:$E$400,MASQ2!EC60,'Étape 1 - à remplir'!$C$31:$C$400,EL$3)),IF(EL$2="Âge",IF(EL$3="Tous",SUMIFS('Étape 1 - à remplir'!$F$31:$F$400,'Étape 1 - à remplir'!$E$31:$E$400,MASQ2!EC60,'Étape 1 - à remplir'!$G$31:$G$400,"kg"),SUMIFS('Étape 1 - à remplir'!$F$31:$F$400,'Étape 1 - à remplir'!$E$31:$E$400,MASQ2!EC60,'Étape 1 - à remplir'!$P$31:$P$400,EL$3,'Étape 1 - à remplir'!$G$31:$G$400,"kg")),IF(EL$2="Atelier",IF(EL$3="Tous",SUMIFS('Étape 1 - à remplir'!$F$31:$F$400,'Étape 1 - à remplir'!$E$31:$E$400,MASQ2!EC60,'Étape 1 - à remplir'!$G$31:$G$400,"kg"),SUMIFS('Étape 1 - à remplir'!$F$31:$F$400,'Étape 1 - à remplir'!$E$31:$E$400,MASQ2!EC60,'Étape 1 - à remplir'!$O$31:$O$400,EL$3,'Étape 1 - à remplir'!$G$31:$G$400,"kg")),IF(EL$2="Espèce",IF(EL$3="Toutes",SUMIFS('Étape 1 - à remplir'!$F$31:$F$400,'Étape 1 - à remplir'!$E$31:$E$400,MASQ2!EC60,'Étape 1 - à remplir'!$G$31:$G$400,"kg"),SUMIFS('Étape 1 - à remplir'!$F$31:$F$400,'Étape 1 - à remplir'!$E$31:$E$400,MASQ2!EC60,'Étape 1 - à remplir'!$N$31:$N$400,EL$3,'Étape 1 - à remplir'!$G$31:$G$400,"kg")))))))</f>
        <v>#N/A</v>
      </c>
      <c r="EE60" s="76">
        <f t="shared" si="53"/>
        <v>0</v>
      </c>
      <c r="EF60" t="str">
        <f t="shared" si="20"/>
        <v>Amoxicilline</v>
      </c>
      <c r="EG60" t="str">
        <f t="shared" si="21"/>
        <v/>
      </c>
      <c r="EH60" t="str">
        <f t="shared" si="22"/>
        <v/>
      </c>
      <c r="EI60" t="str">
        <f t="shared" si="23"/>
        <v>Penicillines</v>
      </c>
      <c r="EJ60" t="str">
        <f t="shared" si="24"/>
        <v/>
      </c>
      <c r="EK60" s="63" t="str">
        <f t="shared" si="25"/>
        <v/>
      </c>
      <c r="EN60" s="42">
        <v>57</v>
      </c>
      <c r="EO60" t="e">
        <f t="shared" si="68"/>
        <v>#N/A</v>
      </c>
      <c r="EP60" s="63" t="e">
        <f t="shared" si="69"/>
        <v>#N/A</v>
      </c>
      <c r="ER60" s="194" t="str">
        <f t="shared" si="120"/>
        <v/>
      </c>
      <c r="ES60" s="226" t="str">
        <f>IFERROR(IF(EU60=0,"",COUNTIF(EU$4:EU$64,"&gt;"&amp;EU60)+COUNTIF(EU$4:EU60,EU60)),"")</f>
        <v/>
      </c>
      <c r="ET60" t="str">
        <f t="shared" si="121"/>
        <v>Triméthoprime</v>
      </c>
      <c r="EU60" s="76" t="e">
        <f t="shared" si="56"/>
        <v>#N/A</v>
      </c>
      <c r="EV60">
        <v>57</v>
      </c>
      <c r="EW60" t="e">
        <f t="shared" si="57"/>
        <v>#N/A</v>
      </c>
      <c r="EX60" s="63" t="e">
        <f t="shared" si="58"/>
        <v>#N/A</v>
      </c>
      <c r="FH60" s="118" t="str">
        <f t="shared" si="127"/>
        <v/>
      </c>
      <c r="FI60" s="118" t="str">
        <f>IFERROR(SUMIFS('Étape 1 - à remplir'!$F$31:$F$400,'Étape 1 - à remplir'!$C$31:$C$400,IF($FH60="Lait","*Lait*",IF($FH60="Viande","*Viande*",IF($FH60="Reproduction","*Reproduction*",IF($FH60="Autre","*Autre*",IF($FH60="Loisir","*Loisir*",IF($FH60="Œufs","*Œufs*","")))))),'Étape 1 - à remplir'!$G$31:$G$400,"kg",'Étape 1 - à remplir'!$M$31:$M$400,MASQ2!FI$43)/SUMIFS('Étape 1 - à remplir'!$F$19:$F$28,'Étape 1 - à remplir'!$D$19:$D$28,MASQ2!$FH60,'Étape 1 - à remplir'!$G$19:$G$28,"kg"),"")</f>
        <v/>
      </c>
      <c r="FJ60" t="str">
        <f>IFERROR(SUMIFS('Étape 1 - à remplir'!$F$31:$F$400,'Étape 1 - à remplir'!$C$31:$C$400,IF($FH60="Lait","*Lait*",IF($FH60="Viande","*Viande*",IF($FH60="Reproduction","*Reproduction*",IF($FH60="Autre","*Autre*",IF($FH60="Loisir","*Loisir*",IF($FH60="Œufs","*Œufs*","")))))),'Étape 1 - à remplir'!$G$31:$G$400,"kg",'Étape 1 - à remplir'!$M$31:$M$400,MASQ2!FJ$43)/SUMIFS('Étape 1 - à remplir'!$F$19:$F$28,'Étape 1 - à remplir'!$D$19:$D$28,MASQ2!$FH60,'Étape 1 - à remplir'!$G$19:$G$28,"kg"),"")</f>
        <v/>
      </c>
      <c r="FK60" t="str">
        <f>IFERROR(SUMIFS('Étape 1 - à remplir'!$F$31:$F$400,'Étape 1 - à remplir'!$C$31:$C$400,IF($FH60="Lait","*Lait*",IF($FH60="Viande","*Viande*",IF($FH60="Reproduction","*Reproduction*",IF($FH60="Autre","*Autre*",IF($FH60="Loisir","*Loisir*",IF($FH60="Œufs","*Œufs*","")))))),'Étape 1 - à remplir'!$G$31:$G$400,"kg",'Étape 1 - à remplir'!$M$31:$M$400,MASQ2!FK$43)/SUMIFS('Étape 1 - à remplir'!$F$19:$F$28,'Étape 1 - à remplir'!$D$19:$D$28,MASQ2!$FH60,'Étape 1 - à remplir'!$G$19:$G$28,"kg"),"")</f>
        <v/>
      </c>
      <c r="FL60" t="str">
        <f>IFERROR(SUMIFS('Étape 1 - à remplir'!$F$31:$F$400,'Étape 1 - à remplir'!$C$31:$C$400,IF($FH60="Lait","*Lait*",IF($FH60="Viande","*Viande*",IF($FH60="Reproduction","*Reproduction*",IF($FH60="Autre","*Autre*",IF($FH60="Loisir","*Loisir*",IF($FH60="Œufs","*Œufs*","")))))),'Étape 1 - à remplir'!$G$31:$G$400,"kg",'Étape 1 - à remplir'!$M$31:$M$400,MASQ2!FL$43)/SUMIFS('Étape 1 - à remplir'!$F$19:$F$28,'Étape 1 - à remplir'!$D$19:$D$28,MASQ2!$FH60,'Étape 1 - à remplir'!$G$19:$G$28,"kg"),"")</f>
        <v/>
      </c>
      <c r="FM60" t="str">
        <f>IFERROR(SUMIFS('Étape 1 - à remplir'!$F$31:$F$400,'Étape 1 - à remplir'!$C$31:$C$400,IF($FH60="Lait","*Lait*",IF($FH60="Viande","*Viande*",IF($FH60="Reproduction","*Reproduction*",IF($FH60="Autre","*Autre*",IF($FH60="Loisir","*Loisir*",IF($FH60="Œufs","*Œufs*","")))))),'Étape 1 - à remplir'!$G$31:$G$400,"kg",'Étape 1 - à remplir'!$M$31:$M$400,MASQ2!FM$43)/SUMIFS('Étape 1 - à remplir'!$F$19:$F$28,'Étape 1 - à remplir'!$D$19:$D$28,MASQ2!$FH60,'Étape 1 - à remplir'!$G$19:$G$28,"kg"),"")</f>
        <v/>
      </c>
      <c r="FN60" t="str">
        <f>IFERROR(SUMIFS('Étape 1 - à remplir'!$F$31:$F$400,'Étape 1 - à remplir'!$C$31:$C$400,IF($FH60="Lait","*Lait*",IF($FH60="Viande","*Viande*",IF($FH60="Reproduction","*Reproduction*",IF($FH60="Autre","*Autre*",IF($FH60="Loisir","*Loisir*",IF($FH60="Œufs","*Œufs*","")))))),'Étape 1 - à remplir'!$G$31:$G$400,"kg",'Étape 1 - à remplir'!$M$31:$M$400,MASQ2!FN$43)/SUMIFS('Étape 1 - à remplir'!$F$19:$F$28,'Étape 1 - à remplir'!$D$19:$D$28,MASQ2!$FH60,'Étape 1 - à remplir'!$G$19:$G$28,"kg"),"")</f>
        <v/>
      </c>
      <c r="FO60" t="str">
        <f>IFERROR(SUMIFS('Étape 1 - à remplir'!$F$31:$F$400,'Étape 1 - à remplir'!$C$31:$C$400,IF($FH60="Lait","*Lait*",IF($FH60="Viande","*Viande*",IF($FH60="Reproduction","*Reproduction*",IF($FH60="Autre","*Autre*",IF($FH60="Loisir","*Loisir*",IF($FH60="Œufs","*Œufs*","")))))),'Étape 1 - à remplir'!$G$31:$G$400,"kg",'Étape 1 - à remplir'!$M$31:$M$400,MASQ2!FO$43)/SUMIFS('Étape 1 - à remplir'!$F$19:$F$28,'Étape 1 - à remplir'!$D$19:$D$28,MASQ2!$FH60,'Étape 1 - à remplir'!$G$19:$G$28,"kg"),"")</f>
        <v/>
      </c>
      <c r="FP60" t="str">
        <f>IFERROR(SUMIFS('Étape 1 - à remplir'!$F$31:$F$400,'Étape 1 - à remplir'!$C$31:$C$400,IF($FH60="Lait","*Lait*",IF($FH60="Viande","*Viande*",IF($FH60="Reproduction","*Reproduction*",IF($FH60="Autre","*Autre*",IF($FH60="Loisir","*Loisir*",IF($FH60="Œufs","*Œufs*","")))))),'Étape 1 - à remplir'!$G$31:$G$400,"kg",'Étape 1 - à remplir'!$M$31:$M$400,MASQ2!FP$43)/SUMIFS('Étape 1 - à remplir'!$F$19:$F$28,'Étape 1 - à remplir'!$D$19:$D$28,MASQ2!$FH60,'Étape 1 - à remplir'!$G$19:$G$28,"kg"),"")</f>
        <v/>
      </c>
      <c r="FQ60" t="str">
        <f>IFERROR(SUMIFS('Étape 1 - à remplir'!$F$31:$F$400,'Étape 1 - à remplir'!$C$31:$C$400,IF($FH60="Lait","*Lait*",IF($FH60="Viande","*Viande*",IF($FH60="Reproduction","*Reproduction*",IF($FH60="Autre","*Autre*",IF($FH60="Loisir","*Loisir*",IF($FH60="Œufs","*Œufs*","")))))),'Étape 1 - à remplir'!$G$31:$G$400,"kg",'Étape 1 - à remplir'!$M$31:$M$400,MASQ2!FQ$43)/SUMIFS('Étape 1 - à remplir'!$F$19:$F$28,'Étape 1 - à remplir'!$D$19:$D$28,MASQ2!$FH60,'Étape 1 - à remplir'!$G$19:$G$28,"kg"),"")</f>
        <v/>
      </c>
      <c r="FR60" t="str">
        <f>IFERROR(SUMIFS('Étape 1 - à remplir'!$F$31:$F$400,'Étape 1 - à remplir'!$C$31:$C$400,IF($FH60="Lait","*Lait*",IF($FH60="Viande","*Viande*",IF($FH60="Reproduction","*Reproduction*",IF($FH60="Autre","*Autre*",IF($FH60="Loisir","*Loisir*",IF($FH60="Œufs","*Œufs*","")))))),'Étape 1 - à remplir'!$G$31:$G$400,"kg",'Étape 1 - à remplir'!$M$31:$M$400,MASQ2!FR$43)/SUMIFS('Étape 1 - à remplir'!$F$19:$F$28,'Étape 1 - à remplir'!$D$19:$D$28,MASQ2!$FH60,'Étape 1 - à remplir'!$G$19:$G$28,"kg"),"")</f>
        <v/>
      </c>
      <c r="FS60" t="str">
        <f>IFERROR(SUMIFS('Étape 1 - à remplir'!$F$31:$F$400,'Étape 1 - à remplir'!$C$31:$C$400,IF($FH60="Lait","*Lait*",IF($FH60="Viande","*Viande*",IF($FH60="Reproduction","*Reproduction*",IF($FH60="Autre","*Autre*",IF($FH60="Loisir","*Loisir*",IF($FH60="Œufs","*Œufs*","")))))),'Étape 1 - à remplir'!$G$31:$G$400,"kg",'Étape 1 - à remplir'!$M$31:$M$400,MASQ2!FS$43)/SUMIFS('Étape 1 - à remplir'!$F$19:$F$28,'Étape 1 - à remplir'!$D$19:$D$28,MASQ2!$FH60,'Étape 1 - à remplir'!$G$19:$G$28,"kg"),"")</f>
        <v/>
      </c>
      <c r="FT60" s="76" t="str">
        <f>IFERROR(SUMIFS('Étape 1 - à remplir'!$F$31:$F$400,'Étape 1 - à remplir'!$C$31:$C$400,IF($FH60="Lait","*Lait*",IF($FH60="Viande","*Viande*",IF($FH60="Reproduction","*Reproduction*",IF($FH60="Autre","*Autre*",IF($FH60="Loisir","*Loisir*",IF($FH60="Œufs","*Œufs*","")))))),'Étape 1 - à remplir'!$G$31:$G$400,"kg",'Étape 1 - à remplir'!$M$31:$M$400,MASQ2!FT$43)/SUMIFS('Étape 1 - à remplir'!$F$19:$F$28,'Étape 1 - à remplir'!$D$19:$D$28,MASQ2!$FH60,'Étape 1 - à remplir'!$G$19:$G$28,"kg"),"")</f>
        <v/>
      </c>
    </row>
    <row r="61" spans="2:176" x14ac:dyDescent="0.3">
      <c r="B61" s="42"/>
      <c r="M61" s="194" t="str">
        <f ca="1">INDEX(Données_ATB!BD:BU,MATCH(MASQ2!O61,Données_ATB!BD:BD,0),18)</f>
        <v/>
      </c>
      <c r="N61" s="14" t="str">
        <f>IFERROR(IF(Q61=0,"",COUNTIF(Q$4:Q$600,"&gt;"&amp;Q61)+COUNTIF(Q$4:Q61,Q61)),"")</f>
        <v/>
      </c>
      <c r="O61" t="str">
        <f>Données_ATB!BD60</f>
        <v>BACIVET S</v>
      </c>
      <c r="P61" t="e">
        <f>IF(IF(X$2="Catégorie",IF(X$3="Toutes",SUMIFS('Étape 1 - à remplir'!$F$31:$F$400,'Étape 1 - à remplir'!$E$31:$E$400,MASQ2!O61,'Étape 1 - à remplir'!$G$31:$G$400,"animaux"),SUMIFS('Étape 1 - à remplir'!$F$31:$F$400,'Étape 1 - à remplir'!$E$31:$E$400,MASQ2!O61,'Étape 1 - à remplir'!$C$31:$C$400,X$3)),IF(X$2="Âge",IF(X$3="Tous",SUMIFS('Étape 1 - à remplir'!$F$31:$F$400,'Étape 1 - à remplir'!$E$31:$E$400,MASQ2!O61,'Étape 1 - à remplir'!$G$31:$G$400,"animaux"),SUMIFS('Étape 1 - à remplir'!$F$31:$F$400,'Étape 1 - à remplir'!$E$31:$E$400,MASQ2!O61,'Étape 1 - à remplir'!$P$31:$P$400,X$3)),IF(X$2="Atelier",IF(X$3="Tous",SUMIFS('Étape 1 - à remplir'!$F$31:$F$400,'Étape 1 - à remplir'!$E$31:$E$400,MASQ2!O61,'Étape 1 - à remplir'!$G$31:$G$400,"animaux"),SUMIFS('Étape 1 - à remplir'!$F$31:$F$400,'Étape 1 - à remplir'!$E$31:$E$400,MASQ2!O61,'Étape 1 - à remplir'!$O$31:$O$400,X$3)),IF(X$2="Espèce",IF(X$3="Toutes",SUMIFS('Étape 1 - à remplir'!$F$31:$F$400,'Étape 1 - à remplir'!$E$31:$E$400,MASQ2!O61,'Étape 1 - à remplir'!$G$31:$G$400,"animaux"),SUMIFS('Étape 1 - à remplir'!$F$31:$F$400,'Étape 1 - à remplir'!$E$31:$E$400,MASQ2!O61,'Étape 1 - à remplir'!$N$31:$N$400,X$3))))))=0,NA(),IF(X$2="Catégorie",IF(X$3="Toutes",SUMIFS('Étape 1 - à remplir'!$F$31:$F$400,'Étape 1 - à remplir'!$E$31:$E$400,MASQ2!O61,'Étape 1 - à remplir'!$G$31:$G$400,"animaux"),SUMIFS('Étape 1 - à remplir'!$F$31:$F$400,'Étape 1 - à remplir'!$E$31:$E$400,MASQ2!O61,'Étape 1 - à remplir'!$C$31:$C$400,X$3)),IF(X$2="Âge",IF(X$3="Tous",SUMIFS('Étape 1 - à remplir'!$F$31:$F$400,'Étape 1 - à remplir'!$E$31:$E$400,MASQ2!O61,'Étape 1 - à remplir'!$G$31:$G$400,"animaux"),SUMIFS('Étape 1 - à remplir'!$F$31:$F$400,'Étape 1 - à remplir'!$E$31:$E$400,MASQ2!O61,'Étape 1 - à remplir'!$P$31:$P$400,X$3)),IF(X$2="Atelier",IF(X$3="Tous",SUMIFS('Étape 1 - à remplir'!$F$31:$F$400,'Étape 1 - à remplir'!$E$31:$E$400,MASQ2!O61,'Étape 1 - à remplir'!$G$31:$G$400,"animaux"),SUMIFS('Étape 1 - à remplir'!$F$31:$F$400,'Étape 1 - à remplir'!$E$31:$E$400,MASQ2!O61,'Étape 1 - à remplir'!$O$31:$O$400,X$3)),IF(X$2="Espèce",IF(X$3="Toutes",SUMIFS('Étape 1 - à remplir'!$F$31:$F$400,'Étape 1 - à remplir'!$E$31:$E$400,MASQ2!O61,'Étape 1 - à remplir'!$G$31:$G$400,"animaux"),SUMIFS('Étape 1 - à remplir'!$F$31:$F$400,'Étape 1 - à remplir'!$E$31:$E$400,MASQ2!O61,'Étape 1 - à remplir'!$N$31:$N$400,X$3)))))))</f>
        <v>#N/A</v>
      </c>
      <c r="Q61" s="63">
        <f t="shared" si="62"/>
        <v>0</v>
      </c>
      <c r="R61" t="str">
        <f>Données_ATB!BM60</f>
        <v>Bacitracine</v>
      </c>
      <c r="S61" t="str">
        <f>Données_ATB!BN60</f>
        <v/>
      </c>
      <c r="T61" s="63" t="str">
        <f>Données_ATB!BO60</f>
        <v/>
      </c>
      <c r="U61" s="42" t="str">
        <f>Données_ATB!BQ60</f>
        <v>Polypeptides</v>
      </c>
      <c r="V61" t="str">
        <f>Données_ATB!BR60</f>
        <v/>
      </c>
      <c r="W61" s="63" t="str">
        <f>Données_ATB!BS60</f>
        <v/>
      </c>
      <c r="Z61" s="42">
        <v>58</v>
      </c>
      <c r="AA61" t="e">
        <f t="shared" si="32"/>
        <v>#N/A</v>
      </c>
      <c r="AB61" s="63" t="e">
        <f t="shared" si="33"/>
        <v>#N/A</v>
      </c>
      <c r="AD61" s="194" t="str">
        <f>IF(AF61="Colistine","x",IF(INDEX(Données_ATB!CA$3:CB$63,MATCH(AF61,Données_ATB!CA$3:CA$63,0),2)="Fluoroquinolones","x",IF(INDEX(Données_ATB!CA$3:CB$63,MATCH(AF61,Données_ATB!CA$3:CA$63,0),2)="Cephalosporines 3&amp;4G","x","")))</f>
        <v/>
      </c>
      <c r="AE61" s="219" t="str">
        <f>IFERROR(IF(AG61=0,"",COUNTIF(AG$4:AG$64,"&gt;"&amp;AG61)+COUNTIF(AG$4:AG61,AG61)),"")</f>
        <v/>
      </c>
      <c r="AF61" s="42" t="str">
        <f>Données_ATB!CA60</f>
        <v>Tulathromycine</v>
      </c>
      <c r="AG61" s="63" t="e">
        <f t="shared" si="34"/>
        <v>#N/A</v>
      </c>
      <c r="AH61" s="42">
        <v>58</v>
      </c>
      <c r="AI61" t="e">
        <f t="shared" si="35"/>
        <v>#N/A</v>
      </c>
      <c r="AJ61" s="63" t="e">
        <f t="shared" si="36"/>
        <v>#N/A</v>
      </c>
      <c r="AT61" s="109" t="str">
        <f t="shared" si="125"/>
        <v/>
      </c>
      <c r="AU61" t="str">
        <f>IFERROR(SUMIFS('Étape 1 - à remplir'!$F$31:$F$400,'Étape 1 - à remplir'!$C$31:$C$400,IF($AT61="Lait","*Lait*",IF($AT61="Viande","*Viande*",IF($AT61="Reproduction","*Reproduction*",IF($AT61="Autre","*Autre*",IF($AT61="Loisir","*Loisir*",IF($AT61="Œufs","*Œufs*","")))))),'Étape 1 - à remplir'!$G$31:$G$400,"animaux",'Étape 1 - à remplir'!$M$31:$M$400,MASQ2!AU$43)/SUMIFS('Étape 1 - à remplir'!$F$19:$F$28,'Étape 1 - à remplir'!$D$19:$D$28,MASQ2!$AT61,'Étape 1 - à remplir'!$G$19:$G$28,"animaux"),"")</f>
        <v/>
      </c>
      <c r="AV61" t="str">
        <f>IFERROR(SUMIFS('Étape 1 - à remplir'!$F$31:$F$400,'Étape 1 - à remplir'!$C$31:$C$400,IF($AT61="Lait","*Lait*",IF($AT61="Viande","*Viande*",IF($AT61="Reproduction","*Reproduction*",IF($AT61="Autre","*Autre*",IF($AT61="Loisir","*Loisir*",IF($AT61="Œufs","*Œufs*","")))))),'Étape 1 - à remplir'!$G$31:$G$400,"animaux",'Étape 1 - à remplir'!$M$31:$M$400,MASQ2!AV$43)/SUMIFS('Étape 1 - à remplir'!$F$19:$F$28,'Étape 1 - à remplir'!$D$19:$D$28,MASQ2!$AT61,'Étape 1 - à remplir'!$G$19:$G$28,"animaux"),"")</f>
        <v/>
      </c>
      <c r="AW61" t="str">
        <f>IFERROR(SUMIFS('Étape 1 - à remplir'!$F$31:$F$400,'Étape 1 - à remplir'!$C$31:$C$400,IF($AT61="Lait","*Lait*",IF($AT61="Viande","*Viande*",IF($AT61="Reproduction","*Reproduction*",IF($AT61="Autre","*Autre*",IF($AT61="Loisir","*Loisir*",IF($AT61="Œufs","*Œufs*","")))))),'Étape 1 - à remplir'!$G$31:$G$400,"animaux",'Étape 1 - à remplir'!$M$31:$M$400,MASQ2!AW$43)/SUMIFS('Étape 1 - à remplir'!$F$19:$F$28,'Étape 1 - à remplir'!$D$19:$D$28,MASQ2!$AT61,'Étape 1 - à remplir'!$G$19:$G$28,"animaux"),"")</f>
        <v/>
      </c>
      <c r="AX61" t="str">
        <f>IFERROR(SUMIFS('Étape 1 - à remplir'!$F$31:$F$400,'Étape 1 - à remplir'!$C$31:$C$400,IF($AT61="Lait","*Lait*",IF($AT61="Viande","*Viande*",IF($AT61="Reproduction","*Reproduction*",IF($AT61="Autre","*Autre*",IF($AT61="Loisir","*Loisir*",IF($AT61="Œufs","*Œufs*","")))))),'Étape 1 - à remplir'!$G$31:$G$400,"animaux",'Étape 1 - à remplir'!$M$31:$M$400,MASQ2!AX$43)/SUMIFS('Étape 1 - à remplir'!$F$19:$F$28,'Étape 1 - à remplir'!$D$19:$D$28,MASQ2!$AT61,'Étape 1 - à remplir'!$G$19:$G$28,"animaux"),"")</f>
        <v/>
      </c>
      <c r="AY61" t="str">
        <f>IFERROR(SUMIFS('Étape 1 - à remplir'!$F$31:$F$400,'Étape 1 - à remplir'!$C$31:$C$400,IF($AT61="Lait","*Lait*",IF($AT61="Viande","*Viande*",IF($AT61="Reproduction","*Reproduction*",IF($AT61="Autre","*Autre*",IF($AT61="Loisir","*Loisir*",IF($AT61="Œufs","*Œufs*","")))))),'Étape 1 - à remplir'!$G$31:$G$400,"animaux",'Étape 1 - à remplir'!$M$31:$M$400,MASQ2!AY$43)/SUMIFS('Étape 1 - à remplir'!$F$19:$F$28,'Étape 1 - à remplir'!$D$19:$D$28,MASQ2!$AT61,'Étape 1 - à remplir'!$G$19:$G$28,"animaux"),"")</f>
        <v/>
      </c>
      <c r="AZ61" t="str">
        <f>IFERROR(SUMIFS('Étape 1 - à remplir'!$F$31:$F$400,'Étape 1 - à remplir'!$C$31:$C$400,IF($AT61="Lait","*Lait*",IF($AT61="Viande","*Viande*",IF($AT61="Reproduction","*Reproduction*",IF($AT61="Autre","*Autre*",IF($AT61="Loisir","*Loisir*",IF($AT61="Œufs","*Œufs*","")))))),'Étape 1 - à remplir'!$G$31:$G$400,"animaux",'Étape 1 - à remplir'!$M$31:$M$400,MASQ2!AZ$43)/SUMIFS('Étape 1 - à remplir'!$F$19:$F$28,'Étape 1 - à remplir'!$D$19:$D$28,MASQ2!$AT61,'Étape 1 - à remplir'!$G$19:$G$28,"animaux"),"")</f>
        <v/>
      </c>
      <c r="BA61" t="str">
        <f>IFERROR(SUMIFS('Étape 1 - à remplir'!$F$31:$F$400,'Étape 1 - à remplir'!$C$31:$C$400,IF($AT61="Lait","*Lait*",IF($AT61="Viande","*Viande*",IF($AT61="Reproduction","*Reproduction*",IF($AT61="Autre","*Autre*",IF($AT61="Loisir","*Loisir*",IF($AT61="Œufs","*Œufs*","")))))),'Étape 1 - à remplir'!$G$31:$G$400,"animaux",'Étape 1 - à remplir'!$M$31:$M$400,MASQ2!BA$43)/SUMIFS('Étape 1 - à remplir'!$F$19:$F$28,'Étape 1 - à remplir'!$D$19:$D$28,MASQ2!$AT61,'Étape 1 - à remplir'!$G$19:$G$28,"animaux"),"")</f>
        <v/>
      </c>
      <c r="BB61" t="str">
        <f>IFERROR(SUMIFS('Étape 1 - à remplir'!$F$31:$F$400,'Étape 1 - à remplir'!$C$31:$C$400,IF($AT61="Lait","*Lait*",IF($AT61="Viande","*Viande*",IF($AT61="Reproduction","*Reproduction*",IF($AT61="Autre","*Autre*",IF($AT61="Loisir","*Loisir*",IF($AT61="Œufs","*Œufs*","")))))),'Étape 1 - à remplir'!$G$31:$G$400,"animaux",'Étape 1 - à remplir'!$M$31:$M$400,MASQ2!BB$43)/SUMIFS('Étape 1 - à remplir'!$F$19:$F$28,'Étape 1 - à remplir'!$D$19:$D$28,MASQ2!$AT61,'Étape 1 - à remplir'!$G$19:$G$28,"animaux"),"")</f>
        <v/>
      </c>
      <c r="BC61" t="str">
        <f>IFERROR(SUMIFS('Étape 1 - à remplir'!$F$31:$F$400,'Étape 1 - à remplir'!$C$31:$C$400,IF($AT61="Lait","*Lait*",IF($AT61="Viande","*Viande*",IF($AT61="Reproduction","*Reproduction*",IF($AT61="Autre","*Autre*",IF($AT61="Loisir","*Loisir*",IF($AT61="Œufs","*Œufs*","")))))),'Étape 1 - à remplir'!$G$31:$G$400,"animaux",'Étape 1 - à remplir'!$M$31:$M$400,MASQ2!BC$43)/SUMIFS('Étape 1 - à remplir'!$F$19:$F$28,'Étape 1 - à remplir'!$D$19:$D$28,MASQ2!$AT61,'Étape 1 - à remplir'!$G$19:$G$28,"animaux"),"")</f>
        <v/>
      </c>
      <c r="BD61" t="str">
        <f>IFERROR(SUMIFS('Étape 1 - à remplir'!$F$31:$F$400,'Étape 1 - à remplir'!$C$31:$C$400,IF($AT61="Lait","*Lait*",IF($AT61="Viande","*Viande*",IF($AT61="Reproduction","*Reproduction*",IF($AT61="Autre","*Autre*",IF($AT61="Loisir","*Loisir*",IF($AT61="Œufs","*Œufs*","")))))),'Étape 1 - à remplir'!$G$31:$G$400,"animaux",'Étape 1 - à remplir'!$M$31:$M$400,MASQ2!BD$43)/SUMIFS('Étape 1 - à remplir'!$F$19:$F$28,'Étape 1 - à remplir'!$D$19:$D$28,MASQ2!$AT61,'Étape 1 - à remplir'!$G$19:$G$28,"animaux"),"")</f>
        <v/>
      </c>
      <c r="BE61" t="str">
        <f>IFERROR(SUMIFS('Étape 1 - à remplir'!$F$31:$F$400,'Étape 1 - à remplir'!$C$31:$C$400,IF($AT61="Lait","*Lait*",IF($AT61="Viande","*Viande*",IF($AT61="Reproduction","*Reproduction*",IF($AT61="Autre","*Autre*",IF($AT61="Loisir","*Loisir*",IF($AT61="Œufs","*Œufs*","")))))),'Étape 1 - à remplir'!$G$31:$G$400,"animaux",'Étape 1 - à remplir'!$M$31:$M$400,MASQ2!BE$43)/SUMIFS('Étape 1 - à remplir'!$F$19:$F$28,'Étape 1 - à remplir'!$D$19:$D$28,MASQ2!$AT61,'Étape 1 - à remplir'!$G$19:$G$28,"animaux"),"")</f>
        <v/>
      </c>
      <c r="BF61" s="76" t="str">
        <f>IFERROR(SUMIFS('Étape 1 - à remplir'!$F$31:$F$400,'Étape 1 - à remplir'!$C$31:$C$400,IF($AT61="Lait","*Lait*",IF($AT61="Viande","*Viande*",IF($AT61="Reproduction","*Reproduction*",IF($AT61="Autre","*Autre*",IF($AT61="Loisir","*Loisir*",IF($AT61="Œufs","*Œufs*","")))))),'Étape 1 - à remplir'!$G$31:$G$400,"animaux",'Étape 1 - à remplir'!$M$31:$M$400,MASQ2!BF$43)/SUMIFS('Étape 1 - à remplir'!$F$19:$F$28,'Étape 1 - à remplir'!$D$19:$D$28,MASQ2!$AT61,'Étape 1 - à remplir'!$G$19:$G$28,"animaux"),"")</f>
        <v/>
      </c>
      <c r="BT61" s="194" t="str">
        <f t="shared" ca="1" si="5"/>
        <v/>
      </c>
      <c r="BU61" s="219" t="str">
        <f>IFERROR(IF(BX61=0,"",COUNTIF(BX$4:BX$600,"&gt;"&amp;BX61)+COUNTIF(BX$4:BX61,BX61)),"")</f>
        <v/>
      </c>
      <c r="BV61" s="42" t="str">
        <f t="shared" si="6"/>
        <v>BACIVET S</v>
      </c>
      <c r="BW61" t="e">
        <f>IF(IF(CE$2="Catégorie",IF(CE$3="Toutes",SUMIFS('Étape 1 - à remplir'!$F$31:$F$400,'Étape 1 - à remplir'!$E$31:$E$400,MASQ2!BV61,'Étape 1 - à remplir'!$G$31:$G$400,"lots"),SUMIFS('Étape 1 - à remplir'!$F$31:$F$400,'Étape 1 - à remplir'!$E$31:$E$400,MASQ2!BV61,'Étape 1 - à remplir'!$C$31:$C$400,CE$3)),IF(CE$2="Âge",IF(CE$3="Tous",SUMIFS('Étape 1 - à remplir'!$F$31:$F$400,'Étape 1 - à remplir'!$E$31:$E$400,MASQ2!BV61,'Étape 1 - à remplir'!$G$31:$G$400,"lots"),SUMIFS('Étape 1 - à remplir'!$F$31:$F$400,'Étape 1 - à remplir'!$E$31:$E$400,MASQ2!BV61,'Étape 1 - à remplir'!$P$31:$P$400,CE$3,'Étape 1 - à remplir'!$G$31:$G$400,"lots")),IF(CE$2="Atelier",IF(CE$3="Tous",SUMIFS('Étape 1 - à remplir'!$F$31:$F$400,'Étape 1 - à remplir'!$E$31:$E$400,MASQ2!BV61,'Étape 1 - à remplir'!$G$31:$G$400,"lots"),SUMIFS('Étape 1 - à remplir'!$F$31:$F$400,'Étape 1 - à remplir'!$E$31:$E$400,MASQ2!BV61,'Étape 1 - à remplir'!$O$31:$O$400,CE$3,'Étape 1 - à remplir'!$G$31:$G$400,"lots")),IF(CE$2="Espèce",IF(CE$3="Toutes",SUMIFS('Étape 1 - à remplir'!$F$31:$F$400,'Étape 1 - à remplir'!$E$31:$E$400,MASQ2!BV61,'Étape 1 - à remplir'!$G$31:$G$400,"lots"),SUMIFS('Étape 1 - à remplir'!$F$31:$F$400,'Étape 1 - à remplir'!$E$31:$E$400,MASQ2!BV61,'Étape 1 - à remplir'!$N$31:$N$400,CE$3,'Étape 1 - à remplir'!$G$31:$G$400,"lots"))))))=0,NA(),IF(CE$2="Catégorie",IF(CE$3="Toutes",SUMIFS('Étape 1 - à remplir'!$F$31:$F$400,'Étape 1 - à remplir'!$E$31:$E$400,MASQ2!BV61,'Étape 1 - à remplir'!$G$31:$G$400,"lots"),SUMIFS('Étape 1 - à remplir'!$F$31:$F$400,'Étape 1 - à remplir'!$E$31:$E$400,MASQ2!BV61,'Étape 1 - à remplir'!$C$31:$C$400,CE$3)),IF(CE$2="Âge",IF(CE$3="Tous",SUMIFS('Étape 1 - à remplir'!$F$31:$F$400,'Étape 1 - à remplir'!$E$31:$E$400,MASQ2!BV61,'Étape 1 - à remplir'!$G$31:$G$400,"lots"),SUMIFS('Étape 1 - à remplir'!$F$31:$F$400,'Étape 1 - à remplir'!$E$31:$E$400,MASQ2!BV61,'Étape 1 - à remplir'!$P$31:$P$400,CE$3,'Étape 1 - à remplir'!$G$31:$G$400,"lots")),IF(CE$2="Atelier",IF(CE$3="Tous",SUMIFS('Étape 1 - à remplir'!$F$31:$F$400,'Étape 1 - à remplir'!$E$31:$E$400,MASQ2!BV61,'Étape 1 - à remplir'!$G$31:$G$400,"lots"),SUMIFS('Étape 1 - à remplir'!$F$31:$F$400,'Étape 1 - à remplir'!$E$31:$E$400,MASQ2!BV61,'Étape 1 - à remplir'!$O$31:$O$400,CE$3,'Étape 1 - à remplir'!$G$31:$G$400,"lots")),IF(CE$2="Espèce",IF(CE$3="Toutes",SUMIFS('Étape 1 - à remplir'!$F$31:$F$400,'Étape 1 - à remplir'!$E$31:$E$400,MASQ2!BV61,'Étape 1 - à remplir'!$G$31:$G$400,"lots"),SUMIFS('Étape 1 - à remplir'!$F$31:$F$400,'Étape 1 - à remplir'!$E$31:$E$400,MASQ2!BV61,'Étape 1 - à remplir'!$N$31:$N$400,CE$3,'Étape 1 - à remplir'!$G$31:$G$400,"lots")))))))</f>
        <v>#N/A</v>
      </c>
      <c r="BX61">
        <f t="shared" si="42"/>
        <v>0</v>
      </c>
      <c r="BY61" t="str">
        <f t="shared" si="7"/>
        <v>Bacitracine</v>
      </c>
      <c r="BZ61" t="str">
        <f t="shared" si="8"/>
        <v/>
      </c>
      <c r="CA61" t="str">
        <f t="shared" si="9"/>
        <v/>
      </c>
      <c r="CB61" t="str">
        <f t="shared" si="10"/>
        <v>Polypeptides</v>
      </c>
      <c r="CC61" t="str">
        <f t="shared" si="11"/>
        <v/>
      </c>
      <c r="CD61" s="63" t="str">
        <f t="shared" si="12"/>
        <v/>
      </c>
      <c r="CG61" s="42">
        <v>58</v>
      </c>
      <c r="CH61" s="42" t="e">
        <f t="shared" si="80"/>
        <v>#N/A</v>
      </c>
      <c r="CI61" s="63" t="e">
        <f t="shared" si="81"/>
        <v>#N/A</v>
      </c>
      <c r="CK61" s="194" t="str">
        <f t="shared" si="118"/>
        <v/>
      </c>
      <c r="CL61" s="226" t="str">
        <f>IFERROR(IF(CN61=0,"",COUNTIF(CN$4:CN$64,"&gt;"&amp;CN61)+COUNTIF(CN$4:CN61,CN61)),"")</f>
        <v/>
      </c>
      <c r="CM61" t="str">
        <f t="shared" si="119"/>
        <v>Tulathromycine</v>
      </c>
      <c r="CN61" s="76" t="e">
        <f t="shared" si="45"/>
        <v>#N/A</v>
      </c>
      <c r="CO61">
        <v>58</v>
      </c>
      <c r="CP61" t="e">
        <f t="shared" si="46"/>
        <v>#N/A</v>
      </c>
      <c r="CQ61" s="63" t="e">
        <f t="shared" si="47"/>
        <v>#N/A</v>
      </c>
      <c r="DA61" s="109" t="str">
        <f t="shared" si="126"/>
        <v/>
      </c>
      <c r="DB61" s="118" t="str">
        <f>IFERROR(SUMIFS('Étape 1 - à remplir'!$F$31:$F$400,'Étape 1 - à remplir'!$C$31:$C$400,IF($DA61="Lait","*Lait*",IF($DA61="Viande","*Viande*",IF($DA61="Reproduction","*Reproduction*",IF($DA61="Autre","*Autre*",IF($DA61="Loisir","*Loisir*",IF($DA61="Œufs","*Œufs*","")))))),'Étape 1 - à remplir'!$G$31:$G$400,"lots",'Étape 1 - à remplir'!$M$31:$M$400,MASQ2!DB$43)/SUMIFS('Étape 1 - à remplir'!$F$19:$F$28,'Étape 1 - à remplir'!$D$19:$D$28,MASQ2!$DA61,'Étape 1 - à remplir'!$G$19:$G$28,"lots"),"")</f>
        <v/>
      </c>
      <c r="DC61" t="str">
        <f>IFERROR(SUMIFS('Étape 1 - à remplir'!$F$31:$F$400,'Étape 1 - à remplir'!$C$31:$C$400,IF($DA61="Lait","*Lait*",IF($DA61="Viande","*Viande*",IF($DA61="Reproduction","*Reproduction*",IF($DA61="Autre","*Autre*",IF($DA61="Loisir","*Loisir*",IF($DA61="Œufs","*Œufs*","")))))),'Étape 1 - à remplir'!$G$31:$G$400,"lots",'Étape 1 - à remplir'!$M$31:$M$400,MASQ2!DC$43)/SUMIFS('Étape 1 - à remplir'!$F$19:$F$28,'Étape 1 - à remplir'!$D$19:$D$28,MASQ2!$DA61,'Étape 1 - à remplir'!$G$19:$G$28,"lots"),"")</f>
        <v/>
      </c>
      <c r="DD61" t="str">
        <f>IFERROR(SUMIFS('Étape 1 - à remplir'!$F$31:$F$400,'Étape 1 - à remplir'!$C$31:$C$400,IF($DA61="Lait","*Lait*",IF($DA61="Viande","*Viande*",IF($DA61="Reproduction","*Reproduction*",IF($DA61="Autre","*Autre*",IF($DA61="Loisir","*Loisir*",IF($DA61="Œufs","*Œufs*","")))))),'Étape 1 - à remplir'!$G$31:$G$400,"lots",'Étape 1 - à remplir'!$M$31:$M$400,MASQ2!DD$43)/SUMIFS('Étape 1 - à remplir'!$F$19:$F$28,'Étape 1 - à remplir'!$D$19:$D$28,MASQ2!$DA61,'Étape 1 - à remplir'!$G$19:$G$28,"lots"),"")</f>
        <v/>
      </c>
      <c r="DE61" t="str">
        <f>IFERROR(SUMIFS('Étape 1 - à remplir'!$F$31:$F$400,'Étape 1 - à remplir'!$C$31:$C$400,IF($DA61="Lait","*Lait*",IF($DA61="Viande","*Viande*",IF($DA61="Reproduction","*Reproduction*",IF($DA61="Autre","*Autre*",IF($DA61="Loisir","*Loisir*",IF($DA61="Œufs","*Œufs*","")))))),'Étape 1 - à remplir'!$G$31:$G$400,"lots",'Étape 1 - à remplir'!$M$31:$M$400,MASQ2!DE$43)/SUMIFS('Étape 1 - à remplir'!$F$19:$F$28,'Étape 1 - à remplir'!$D$19:$D$28,MASQ2!$DA61,'Étape 1 - à remplir'!$G$19:$G$28,"lots"),"")</f>
        <v/>
      </c>
      <c r="DF61" t="str">
        <f>IFERROR(SUMIFS('Étape 1 - à remplir'!$F$31:$F$400,'Étape 1 - à remplir'!$C$31:$C$400,IF($DA61="Lait","*Lait*",IF($DA61="Viande","*Viande*",IF($DA61="Reproduction","*Reproduction*",IF($DA61="Autre","*Autre*",IF($DA61="Loisir","*Loisir*",IF($DA61="Œufs","*Œufs*","")))))),'Étape 1 - à remplir'!$G$31:$G$400,"lots",'Étape 1 - à remplir'!$M$31:$M$400,MASQ2!DF$43)/SUMIFS('Étape 1 - à remplir'!$F$19:$F$28,'Étape 1 - à remplir'!$D$19:$D$28,MASQ2!$DA61,'Étape 1 - à remplir'!$G$19:$G$28,"lots"),"")</f>
        <v/>
      </c>
      <c r="DG61" t="str">
        <f>IFERROR(SUMIFS('Étape 1 - à remplir'!$F$31:$F$400,'Étape 1 - à remplir'!$C$31:$C$400,IF($DA61="Lait","*Lait*",IF($DA61="Viande","*Viande*",IF($DA61="Reproduction","*Reproduction*",IF($DA61="Autre","*Autre*",IF($DA61="Loisir","*Loisir*",IF($DA61="Œufs","*Œufs*","")))))),'Étape 1 - à remplir'!$G$31:$G$400,"lots",'Étape 1 - à remplir'!$M$31:$M$400,MASQ2!DG$43)/SUMIFS('Étape 1 - à remplir'!$F$19:$F$28,'Étape 1 - à remplir'!$D$19:$D$28,MASQ2!$DA61,'Étape 1 - à remplir'!$G$19:$G$28,"lots"),"")</f>
        <v/>
      </c>
      <c r="DH61" t="str">
        <f>IFERROR(SUMIFS('Étape 1 - à remplir'!$F$31:$F$400,'Étape 1 - à remplir'!$C$31:$C$400,IF($DA61="Lait","*Lait*",IF($DA61="Viande","*Viande*",IF($DA61="Reproduction","*Reproduction*",IF($DA61="Autre","*Autre*",IF($DA61="Loisir","*Loisir*",IF($DA61="Œufs","*Œufs*","")))))),'Étape 1 - à remplir'!$G$31:$G$400,"lots",'Étape 1 - à remplir'!$M$31:$M$400,MASQ2!DH$43)/SUMIFS('Étape 1 - à remplir'!$F$19:$F$28,'Étape 1 - à remplir'!$D$19:$D$28,MASQ2!$DA61,'Étape 1 - à remplir'!$G$19:$G$28,"lots"),"")</f>
        <v/>
      </c>
      <c r="DI61" t="str">
        <f>IFERROR(SUMIFS('Étape 1 - à remplir'!$F$31:$F$400,'Étape 1 - à remplir'!$C$31:$C$400,IF($DA61="Lait","*Lait*",IF($DA61="Viande","*Viande*",IF($DA61="Reproduction","*Reproduction*",IF($DA61="Autre","*Autre*",IF($DA61="Loisir","*Loisir*",IF($DA61="Œufs","*Œufs*","")))))),'Étape 1 - à remplir'!$G$31:$G$400,"lots",'Étape 1 - à remplir'!$M$31:$M$400,MASQ2!DI$43)/SUMIFS('Étape 1 - à remplir'!$F$19:$F$28,'Étape 1 - à remplir'!$D$19:$D$28,MASQ2!$DA61,'Étape 1 - à remplir'!$G$19:$G$28,"lots"),"")</f>
        <v/>
      </c>
      <c r="DJ61" t="str">
        <f>IFERROR(SUMIFS('Étape 1 - à remplir'!$F$31:$F$400,'Étape 1 - à remplir'!$C$31:$C$400,IF($DA61="Lait","*Lait*",IF($DA61="Viande","*Viande*",IF($DA61="Reproduction","*Reproduction*",IF($DA61="Autre","*Autre*",IF($DA61="Loisir","*Loisir*",IF($DA61="Œufs","*Œufs*","")))))),'Étape 1 - à remplir'!$G$31:$G$400,"lots",'Étape 1 - à remplir'!$M$31:$M$400,MASQ2!DJ$43)/SUMIFS('Étape 1 - à remplir'!$F$19:$F$28,'Étape 1 - à remplir'!$D$19:$D$28,MASQ2!$DA61,'Étape 1 - à remplir'!$G$19:$G$28,"lots"),"")</f>
        <v/>
      </c>
      <c r="DK61" t="str">
        <f>IFERROR(SUMIFS('Étape 1 - à remplir'!$F$31:$F$400,'Étape 1 - à remplir'!$C$31:$C$400,IF($DA61="Lait","*Lait*",IF($DA61="Viande","*Viande*",IF($DA61="Reproduction","*Reproduction*",IF($DA61="Autre","*Autre*",IF($DA61="Loisir","*Loisir*",IF($DA61="Œufs","*Œufs*","")))))),'Étape 1 - à remplir'!$G$31:$G$400,"lots",'Étape 1 - à remplir'!$M$31:$M$400,MASQ2!DK$43)/SUMIFS('Étape 1 - à remplir'!$F$19:$F$28,'Étape 1 - à remplir'!$D$19:$D$28,MASQ2!$DA61,'Étape 1 - à remplir'!$G$19:$G$28,"lots"),"")</f>
        <v/>
      </c>
      <c r="DL61" t="str">
        <f>IFERROR(SUMIFS('Étape 1 - à remplir'!$F$31:$F$400,'Étape 1 - à remplir'!$C$31:$C$400,IF($DA61="Lait","*Lait*",IF($DA61="Viande","*Viande*",IF($DA61="Reproduction","*Reproduction*",IF($DA61="Autre","*Autre*",IF($DA61="Loisir","*Loisir*",IF($DA61="Œufs","*Œufs*","")))))),'Étape 1 - à remplir'!$G$31:$G$400,"lots",'Étape 1 - à remplir'!$M$31:$M$400,MASQ2!DL$43)/SUMIFS('Étape 1 - à remplir'!$F$19:$F$28,'Étape 1 - à remplir'!$D$19:$D$28,MASQ2!$DA61,'Étape 1 - à remplir'!$G$19:$G$28,"lots"),"")</f>
        <v/>
      </c>
      <c r="DM61" s="76" t="str">
        <f>IFERROR(SUMIFS('Étape 1 - à remplir'!$F$31:$F$400,'Étape 1 - à remplir'!$C$31:$C$400,IF($DA61="Lait","*Lait*",IF($DA61="Viande","*Viande*",IF($DA61="Reproduction","*Reproduction*",IF($DA61="Autre","*Autre*",IF($DA61="Loisir","*Loisir*",IF($DA61="Œufs","*Œufs*","")))))),'Étape 1 - à remplir'!$G$31:$G$400,"lots",'Étape 1 - à remplir'!$M$31:$M$400,MASQ2!DM$43)/SUMIFS('Étape 1 - à remplir'!$F$19:$F$28,'Étape 1 - à remplir'!$D$19:$D$28,MASQ2!$DA61,'Étape 1 - à remplir'!$G$19:$G$28,"lots"),"")</f>
        <v/>
      </c>
      <c r="EA61" s="194" t="str">
        <f t="shared" ca="1" si="18"/>
        <v/>
      </c>
      <c r="EB61" s="226" t="str">
        <f>IFERROR(IF(ED61=0,"",COUNTIF(ED$4:ED$600,"&gt;"&amp;ED61)+COUNTIF(ED$4:ED61,ED61)),"")</f>
        <v/>
      </c>
      <c r="EC61" t="str">
        <f t="shared" si="19"/>
        <v>BACIVET S</v>
      </c>
      <c r="ED61" t="e">
        <f>IF(IF(EL$2="Catégorie",IF(EL$3="Toutes",SUMIFS('Étape 1 - à remplir'!$F$31:$F$400,'Étape 1 - à remplir'!$E$31:$E$400,MASQ2!EC61,'Étape 1 - à remplir'!$G$31:$G$400,"kg"),SUMIFS('Étape 1 - à remplir'!$F$31:$F$400,'Étape 1 - à remplir'!$E$31:$E$400,MASQ2!EC61,'Étape 1 - à remplir'!$C$31:$C$400,EL$3)),IF(EL$2="Âge",IF(EL$3="Tous",SUMIFS('Étape 1 - à remplir'!$F$31:$F$400,'Étape 1 - à remplir'!$E$31:$E$400,MASQ2!EC61,'Étape 1 - à remplir'!$G$31:$G$400,"kg"),SUMIFS('Étape 1 - à remplir'!$F$31:$F$400,'Étape 1 - à remplir'!$E$31:$E$400,MASQ2!EC61,'Étape 1 - à remplir'!$P$31:$P$400,EL$3,'Étape 1 - à remplir'!$G$31:$G$400,"kg")),IF(EL$2="Atelier",IF(EL$3="Tous",SUMIFS('Étape 1 - à remplir'!$F$31:$F$400,'Étape 1 - à remplir'!$E$31:$E$400,MASQ2!EC61,'Étape 1 - à remplir'!$G$31:$G$400,"kg"),SUMIFS('Étape 1 - à remplir'!$F$31:$F$400,'Étape 1 - à remplir'!$E$31:$E$400,MASQ2!EC61,'Étape 1 - à remplir'!$O$31:$O$400,EL$3,'Étape 1 - à remplir'!$G$31:$G$400,"kg")),IF(EL$2="Espèce",IF(EL$3="Toutes",SUMIFS('Étape 1 - à remplir'!$F$31:$F$400,'Étape 1 - à remplir'!$E$31:$E$400,MASQ2!EC61,'Étape 1 - à remplir'!$G$31:$G$400,"kg"),SUMIFS('Étape 1 - à remplir'!$F$31:$F$400,'Étape 1 - à remplir'!$E$31:$E$400,MASQ2!EC61,'Étape 1 - à remplir'!$N$31:$N$400,EL$3,'Étape 1 - à remplir'!$G$31:$G$400,"kg"))))))=0,NA(),IF(EL$2="Catégorie",IF(EL$3="Toutes",SUMIFS('Étape 1 - à remplir'!$F$31:$F$400,'Étape 1 - à remplir'!$E$31:$E$400,MASQ2!EC61,'Étape 1 - à remplir'!$G$31:$G$400,"kg"),SUMIFS('Étape 1 - à remplir'!$F$31:$F$400,'Étape 1 - à remplir'!$E$31:$E$400,MASQ2!EC61,'Étape 1 - à remplir'!$C$31:$C$400,EL$3)),IF(EL$2="Âge",IF(EL$3="Tous",SUMIFS('Étape 1 - à remplir'!$F$31:$F$400,'Étape 1 - à remplir'!$E$31:$E$400,MASQ2!EC61,'Étape 1 - à remplir'!$G$31:$G$400,"kg"),SUMIFS('Étape 1 - à remplir'!$F$31:$F$400,'Étape 1 - à remplir'!$E$31:$E$400,MASQ2!EC61,'Étape 1 - à remplir'!$P$31:$P$400,EL$3,'Étape 1 - à remplir'!$G$31:$G$400,"kg")),IF(EL$2="Atelier",IF(EL$3="Tous",SUMIFS('Étape 1 - à remplir'!$F$31:$F$400,'Étape 1 - à remplir'!$E$31:$E$400,MASQ2!EC61,'Étape 1 - à remplir'!$G$31:$G$400,"kg"),SUMIFS('Étape 1 - à remplir'!$F$31:$F$400,'Étape 1 - à remplir'!$E$31:$E$400,MASQ2!EC61,'Étape 1 - à remplir'!$O$31:$O$400,EL$3,'Étape 1 - à remplir'!$G$31:$G$400,"kg")),IF(EL$2="Espèce",IF(EL$3="Toutes",SUMIFS('Étape 1 - à remplir'!$F$31:$F$400,'Étape 1 - à remplir'!$E$31:$E$400,MASQ2!EC61,'Étape 1 - à remplir'!$G$31:$G$400,"kg"),SUMIFS('Étape 1 - à remplir'!$F$31:$F$400,'Étape 1 - à remplir'!$E$31:$E$400,MASQ2!EC61,'Étape 1 - à remplir'!$N$31:$N$400,EL$3,'Étape 1 - à remplir'!$G$31:$G$400,"kg")))))))</f>
        <v>#N/A</v>
      </c>
      <c r="EE61" s="76">
        <f t="shared" si="53"/>
        <v>0</v>
      </c>
      <c r="EF61" t="str">
        <f t="shared" si="20"/>
        <v>Bacitracine</v>
      </c>
      <c r="EG61" t="str">
        <f t="shared" si="21"/>
        <v/>
      </c>
      <c r="EH61" t="str">
        <f t="shared" si="22"/>
        <v/>
      </c>
      <c r="EI61" t="str">
        <f t="shared" si="23"/>
        <v>Polypeptides</v>
      </c>
      <c r="EJ61" t="str">
        <f t="shared" si="24"/>
        <v/>
      </c>
      <c r="EK61" s="63" t="str">
        <f t="shared" si="25"/>
        <v/>
      </c>
      <c r="EN61" s="42">
        <v>58</v>
      </c>
      <c r="EO61" t="e">
        <f t="shared" si="68"/>
        <v>#N/A</v>
      </c>
      <c r="EP61" s="63" t="e">
        <f t="shared" si="69"/>
        <v>#N/A</v>
      </c>
      <c r="ER61" s="194" t="str">
        <f t="shared" si="120"/>
        <v/>
      </c>
      <c r="ES61" s="226" t="str">
        <f>IFERROR(IF(EU61=0,"",COUNTIF(EU$4:EU$64,"&gt;"&amp;EU61)+COUNTIF(EU$4:EU61,EU61)),"")</f>
        <v/>
      </c>
      <c r="ET61" t="str">
        <f t="shared" si="121"/>
        <v>Tulathromycine</v>
      </c>
      <c r="EU61" s="76" t="e">
        <f t="shared" si="56"/>
        <v>#N/A</v>
      </c>
      <c r="EV61">
        <v>58</v>
      </c>
      <c r="EW61" t="e">
        <f t="shared" si="57"/>
        <v>#N/A</v>
      </c>
      <c r="EX61" s="63" t="e">
        <f t="shared" si="58"/>
        <v>#N/A</v>
      </c>
      <c r="FH61" s="118" t="str">
        <f t="shared" si="127"/>
        <v/>
      </c>
      <c r="FI61" s="118" t="str">
        <f>IFERROR(SUMIFS('Étape 1 - à remplir'!$F$31:$F$400,'Étape 1 - à remplir'!$C$31:$C$400,IF($FH61="Lait","*Lait*",IF($FH61="Viande","*Viande*",IF($FH61="Reproduction","*Reproduction*",IF($FH61="Autre","*Autre*",IF($FH61="Loisir","*Loisir*",IF($FH61="Œufs","*Œufs*","")))))),'Étape 1 - à remplir'!$G$31:$G$400,"kg",'Étape 1 - à remplir'!$M$31:$M$400,MASQ2!FI$43)/SUMIFS('Étape 1 - à remplir'!$F$19:$F$28,'Étape 1 - à remplir'!$D$19:$D$28,MASQ2!$FH61,'Étape 1 - à remplir'!$G$19:$G$28,"kg"),"")</f>
        <v/>
      </c>
      <c r="FJ61" t="str">
        <f>IFERROR(SUMIFS('Étape 1 - à remplir'!$F$31:$F$400,'Étape 1 - à remplir'!$C$31:$C$400,IF($FH61="Lait","*Lait*",IF($FH61="Viande","*Viande*",IF($FH61="Reproduction","*Reproduction*",IF($FH61="Autre","*Autre*",IF($FH61="Loisir","*Loisir*",IF($FH61="Œufs","*Œufs*","")))))),'Étape 1 - à remplir'!$G$31:$G$400,"kg",'Étape 1 - à remplir'!$M$31:$M$400,MASQ2!FJ$43)/SUMIFS('Étape 1 - à remplir'!$F$19:$F$28,'Étape 1 - à remplir'!$D$19:$D$28,MASQ2!$FH61,'Étape 1 - à remplir'!$G$19:$G$28,"kg"),"")</f>
        <v/>
      </c>
      <c r="FK61" t="str">
        <f>IFERROR(SUMIFS('Étape 1 - à remplir'!$F$31:$F$400,'Étape 1 - à remplir'!$C$31:$C$400,IF($FH61="Lait","*Lait*",IF($FH61="Viande","*Viande*",IF($FH61="Reproduction","*Reproduction*",IF($FH61="Autre","*Autre*",IF($FH61="Loisir","*Loisir*",IF($FH61="Œufs","*Œufs*","")))))),'Étape 1 - à remplir'!$G$31:$G$400,"kg",'Étape 1 - à remplir'!$M$31:$M$400,MASQ2!FK$43)/SUMIFS('Étape 1 - à remplir'!$F$19:$F$28,'Étape 1 - à remplir'!$D$19:$D$28,MASQ2!$FH61,'Étape 1 - à remplir'!$G$19:$G$28,"kg"),"")</f>
        <v/>
      </c>
      <c r="FL61" t="str">
        <f>IFERROR(SUMIFS('Étape 1 - à remplir'!$F$31:$F$400,'Étape 1 - à remplir'!$C$31:$C$400,IF($FH61="Lait","*Lait*",IF($FH61="Viande","*Viande*",IF($FH61="Reproduction","*Reproduction*",IF($FH61="Autre","*Autre*",IF($FH61="Loisir","*Loisir*",IF($FH61="Œufs","*Œufs*","")))))),'Étape 1 - à remplir'!$G$31:$G$400,"kg",'Étape 1 - à remplir'!$M$31:$M$400,MASQ2!FL$43)/SUMIFS('Étape 1 - à remplir'!$F$19:$F$28,'Étape 1 - à remplir'!$D$19:$D$28,MASQ2!$FH61,'Étape 1 - à remplir'!$G$19:$G$28,"kg"),"")</f>
        <v/>
      </c>
      <c r="FM61" t="str">
        <f>IFERROR(SUMIFS('Étape 1 - à remplir'!$F$31:$F$400,'Étape 1 - à remplir'!$C$31:$C$400,IF($FH61="Lait","*Lait*",IF($FH61="Viande","*Viande*",IF($FH61="Reproduction","*Reproduction*",IF($FH61="Autre","*Autre*",IF($FH61="Loisir","*Loisir*",IF($FH61="Œufs","*Œufs*","")))))),'Étape 1 - à remplir'!$G$31:$G$400,"kg",'Étape 1 - à remplir'!$M$31:$M$400,MASQ2!FM$43)/SUMIFS('Étape 1 - à remplir'!$F$19:$F$28,'Étape 1 - à remplir'!$D$19:$D$28,MASQ2!$FH61,'Étape 1 - à remplir'!$G$19:$G$28,"kg"),"")</f>
        <v/>
      </c>
      <c r="FN61" t="str">
        <f>IFERROR(SUMIFS('Étape 1 - à remplir'!$F$31:$F$400,'Étape 1 - à remplir'!$C$31:$C$400,IF($FH61="Lait","*Lait*",IF($FH61="Viande","*Viande*",IF($FH61="Reproduction","*Reproduction*",IF($FH61="Autre","*Autre*",IF($FH61="Loisir","*Loisir*",IF($FH61="Œufs","*Œufs*","")))))),'Étape 1 - à remplir'!$G$31:$G$400,"kg",'Étape 1 - à remplir'!$M$31:$M$400,MASQ2!FN$43)/SUMIFS('Étape 1 - à remplir'!$F$19:$F$28,'Étape 1 - à remplir'!$D$19:$D$28,MASQ2!$FH61,'Étape 1 - à remplir'!$G$19:$G$28,"kg"),"")</f>
        <v/>
      </c>
      <c r="FO61" t="str">
        <f>IFERROR(SUMIFS('Étape 1 - à remplir'!$F$31:$F$400,'Étape 1 - à remplir'!$C$31:$C$400,IF($FH61="Lait","*Lait*",IF($FH61="Viande","*Viande*",IF($FH61="Reproduction","*Reproduction*",IF($FH61="Autre","*Autre*",IF($FH61="Loisir","*Loisir*",IF($FH61="Œufs","*Œufs*","")))))),'Étape 1 - à remplir'!$G$31:$G$400,"kg",'Étape 1 - à remplir'!$M$31:$M$400,MASQ2!FO$43)/SUMIFS('Étape 1 - à remplir'!$F$19:$F$28,'Étape 1 - à remplir'!$D$19:$D$28,MASQ2!$FH61,'Étape 1 - à remplir'!$G$19:$G$28,"kg"),"")</f>
        <v/>
      </c>
      <c r="FP61" t="str">
        <f>IFERROR(SUMIFS('Étape 1 - à remplir'!$F$31:$F$400,'Étape 1 - à remplir'!$C$31:$C$400,IF($FH61="Lait","*Lait*",IF($FH61="Viande","*Viande*",IF($FH61="Reproduction","*Reproduction*",IF($FH61="Autre","*Autre*",IF($FH61="Loisir","*Loisir*",IF($FH61="Œufs","*Œufs*","")))))),'Étape 1 - à remplir'!$G$31:$G$400,"kg",'Étape 1 - à remplir'!$M$31:$M$400,MASQ2!FP$43)/SUMIFS('Étape 1 - à remplir'!$F$19:$F$28,'Étape 1 - à remplir'!$D$19:$D$28,MASQ2!$FH61,'Étape 1 - à remplir'!$G$19:$G$28,"kg"),"")</f>
        <v/>
      </c>
      <c r="FQ61" t="str">
        <f>IFERROR(SUMIFS('Étape 1 - à remplir'!$F$31:$F$400,'Étape 1 - à remplir'!$C$31:$C$400,IF($FH61="Lait","*Lait*",IF($FH61="Viande","*Viande*",IF($FH61="Reproduction","*Reproduction*",IF($FH61="Autre","*Autre*",IF($FH61="Loisir","*Loisir*",IF($FH61="Œufs","*Œufs*","")))))),'Étape 1 - à remplir'!$G$31:$G$400,"kg",'Étape 1 - à remplir'!$M$31:$M$400,MASQ2!FQ$43)/SUMIFS('Étape 1 - à remplir'!$F$19:$F$28,'Étape 1 - à remplir'!$D$19:$D$28,MASQ2!$FH61,'Étape 1 - à remplir'!$G$19:$G$28,"kg"),"")</f>
        <v/>
      </c>
      <c r="FR61" t="str">
        <f>IFERROR(SUMIFS('Étape 1 - à remplir'!$F$31:$F$400,'Étape 1 - à remplir'!$C$31:$C$400,IF($FH61="Lait","*Lait*",IF($FH61="Viande","*Viande*",IF($FH61="Reproduction","*Reproduction*",IF($FH61="Autre","*Autre*",IF($FH61="Loisir","*Loisir*",IF($FH61="Œufs","*Œufs*","")))))),'Étape 1 - à remplir'!$G$31:$G$400,"kg",'Étape 1 - à remplir'!$M$31:$M$400,MASQ2!FR$43)/SUMIFS('Étape 1 - à remplir'!$F$19:$F$28,'Étape 1 - à remplir'!$D$19:$D$28,MASQ2!$FH61,'Étape 1 - à remplir'!$G$19:$G$28,"kg"),"")</f>
        <v/>
      </c>
      <c r="FS61" t="str">
        <f>IFERROR(SUMIFS('Étape 1 - à remplir'!$F$31:$F$400,'Étape 1 - à remplir'!$C$31:$C$400,IF($FH61="Lait","*Lait*",IF($FH61="Viande","*Viande*",IF($FH61="Reproduction","*Reproduction*",IF($FH61="Autre","*Autre*",IF($FH61="Loisir","*Loisir*",IF($FH61="Œufs","*Œufs*","")))))),'Étape 1 - à remplir'!$G$31:$G$400,"kg",'Étape 1 - à remplir'!$M$31:$M$400,MASQ2!FS$43)/SUMIFS('Étape 1 - à remplir'!$F$19:$F$28,'Étape 1 - à remplir'!$D$19:$D$28,MASQ2!$FH61,'Étape 1 - à remplir'!$G$19:$G$28,"kg"),"")</f>
        <v/>
      </c>
      <c r="FT61" s="76" t="str">
        <f>IFERROR(SUMIFS('Étape 1 - à remplir'!$F$31:$F$400,'Étape 1 - à remplir'!$C$31:$C$400,IF($FH61="Lait","*Lait*",IF($FH61="Viande","*Viande*",IF($FH61="Reproduction","*Reproduction*",IF($FH61="Autre","*Autre*",IF($FH61="Loisir","*Loisir*",IF($FH61="Œufs","*Œufs*","")))))),'Étape 1 - à remplir'!$G$31:$G$400,"kg",'Étape 1 - à remplir'!$M$31:$M$400,MASQ2!FT$43)/SUMIFS('Étape 1 - à remplir'!$F$19:$F$28,'Étape 1 - à remplir'!$D$19:$D$28,MASQ2!$FH61,'Étape 1 - à remplir'!$G$19:$G$28,"kg"),"")</f>
        <v/>
      </c>
    </row>
    <row r="62" spans="2:176" x14ac:dyDescent="0.3">
      <c r="B62" s="42"/>
      <c r="M62" s="194" t="str">
        <f ca="1">INDEX(Données_ATB!BD:BU,MATCH(MASQ2!O62,Données_ATB!BD:BD,0),18)</f>
        <v/>
      </c>
      <c r="N62" s="14" t="str">
        <f>IFERROR(IF(Q62=0,"",COUNTIF(Q$4:Q$600,"&gt;"&amp;Q62)+COUNTIF(Q$4:Q62,Q62)),"")</f>
        <v/>
      </c>
      <c r="O62" t="str">
        <f>Données_ATB!BD61</f>
        <v>BAYCUBIS 293 MG/G POUDRE POUR SOLUTION BUVABLE POUR POULETS</v>
      </c>
      <c r="P62" t="e">
        <f>IF(IF(X$2="Catégorie",IF(X$3="Toutes",SUMIFS('Étape 1 - à remplir'!$F$31:$F$400,'Étape 1 - à remplir'!$E$31:$E$400,MASQ2!O62,'Étape 1 - à remplir'!$G$31:$G$400,"animaux"),SUMIFS('Étape 1 - à remplir'!$F$31:$F$400,'Étape 1 - à remplir'!$E$31:$E$400,MASQ2!O62,'Étape 1 - à remplir'!$C$31:$C$400,X$3)),IF(X$2="Âge",IF(X$3="Tous",SUMIFS('Étape 1 - à remplir'!$F$31:$F$400,'Étape 1 - à remplir'!$E$31:$E$400,MASQ2!O62,'Étape 1 - à remplir'!$G$31:$G$400,"animaux"),SUMIFS('Étape 1 - à remplir'!$F$31:$F$400,'Étape 1 - à remplir'!$E$31:$E$400,MASQ2!O62,'Étape 1 - à remplir'!$P$31:$P$400,X$3)),IF(X$2="Atelier",IF(X$3="Tous",SUMIFS('Étape 1 - à remplir'!$F$31:$F$400,'Étape 1 - à remplir'!$E$31:$E$400,MASQ2!O62,'Étape 1 - à remplir'!$G$31:$G$400,"animaux"),SUMIFS('Étape 1 - à remplir'!$F$31:$F$400,'Étape 1 - à remplir'!$E$31:$E$400,MASQ2!O62,'Étape 1 - à remplir'!$O$31:$O$400,X$3)),IF(X$2="Espèce",IF(X$3="Toutes",SUMIFS('Étape 1 - à remplir'!$F$31:$F$400,'Étape 1 - à remplir'!$E$31:$E$400,MASQ2!O62,'Étape 1 - à remplir'!$G$31:$G$400,"animaux"),SUMIFS('Étape 1 - à remplir'!$F$31:$F$400,'Étape 1 - à remplir'!$E$31:$E$400,MASQ2!O62,'Étape 1 - à remplir'!$N$31:$N$400,X$3))))))=0,NA(),IF(X$2="Catégorie",IF(X$3="Toutes",SUMIFS('Étape 1 - à remplir'!$F$31:$F$400,'Étape 1 - à remplir'!$E$31:$E$400,MASQ2!O62,'Étape 1 - à remplir'!$G$31:$G$400,"animaux"),SUMIFS('Étape 1 - à remplir'!$F$31:$F$400,'Étape 1 - à remplir'!$E$31:$E$400,MASQ2!O62,'Étape 1 - à remplir'!$C$31:$C$400,X$3)),IF(X$2="Âge",IF(X$3="Tous",SUMIFS('Étape 1 - à remplir'!$F$31:$F$400,'Étape 1 - à remplir'!$E$31:$E$400,MASQ2!O62,'Étape 1 - à remplir'!$G$31:$G$400,"animaux"),SUMIFS('Étape 1 - à remplir'!$F$31:$F$400,'Étape 1 - à remplir'!$E$31:$E$400,MASQ2!O62,'Étape 1 - à remplir'!$P$31:$P$400,X$3)),IF(X$2="Atelier",IF(X$3="Tous",SUMIFS('Étape 1 - à remplir'!$F$31:$F$400,'Étape 1 - à remplir'!$E$31:$E$400,MASQ2!O62,'Étape 1 - à remplir'!$G$31:$G$400,"animaux"),SUMIFS('Étape 1 - à remplir'!$F$31:$F$400,'Étape 1 - à remplir'!$E$31:$E$400,MASQ2!O62,'Étape 1 - à remplir'!$O$31:$O$400,X$3)),IF(X$2="Espèce",IF(X$3="Toutes",SUMIFS('Étape 1 - à remplir'!$F$31:$F$400,'Étape 1 - à remplir'!$E$31:$E$400,MASQ2!O62,'Étape 1 - à remplir'!$G$31:$G$400,"animaux"),SUMIFS('Étape 1 - à remplir'!$F$31:$F$400,'Étape 1 - à remplir'!$E$31:$E$400,MASQ2!O62,'Étape 1 - à remplir'!$N$31:$N$400,X$3)))))))</f>
        <v>#N/A</v>
      </c>
      <c r="Q62" s="63">
        <f t="shared" si="62"/>
        <v>0</v>
      </c>
      <c r="R62" t="str">
        <f>Données_ATB!BM61</f>
        <v>Phénoxyméthylpénicilline</v>
      </c>
      <c r="S62" t="str">
        <f>Données_ATB!BN61</f>
        <v/>
      </c>
      <c r="T62" s="63" t="str">
        <f>Données_ATB!BO61</f>
        <v/>
      </c>
      <c r="U62" s="42" t="str">
        <f>Données_ATB!BQ61</f>
        <v>Penicillines</v>
      </c>
      <c r="V62" t="str">
        <f>Données_ATB!BR61</f>
        <v/>
      </c>
      <c r="W62" s="63" t="str">
        <f>Données_ATB!BS61</f>
        <v/>
      </c>
      <c r="Z62" s="42">
        <v>59</v>
      </c>
      <c r="AA62" t="e">
        <f t="shared" si="32"/>
        <v>#N/A</v>
      </c>
      <c r="AB62" s="63" t="e">
        <f t="shared" si="33"/>
        <v>#N/A</v>
      </c>
      <c r="AD62" s="194" t="str">
        <f>IF(AF62="Colistine","x",IF(INDEX(Données_ATB!CA$3:CB$63,MATCH(AF62,Données_ATB!CA$3:CA$63,0),2)="Fluoroquinolones","x",IF(INDEX(Données_ATB!CA$3:CB$63,MATCH(AF62,Données_ATB!CA$3:CA$63,0),2)="Cephalosporines 3&amp;4G","x","")))</f>
        <v/>
      </c>
      <c r="AE62" s="219" t="str">
        <f>IFERROR(IF(AG62=0,"",COUNTIF(AG$4:AG$64,"&gt;"&amp;AG62)+COUNTIF(AG$4:AG62,AG62)),"")</f>
        <v/>
      </c>
      <c r="AF62" s="42" t="str">
        <f>Données_ATB!CA61</f>
        <v>Tylosine</v>
      </c>
      <c r="AG62" s="63" t="e">
        <f t="shared" si="34"/>
        <v>#N/A</v>
      </c>
      <c r="AH62" s="42">
        <v>59</v>
      </c>
      <c r="AI62" t="e">
        <f t="shared" si="35"/>
        <v>#N/A</v>
      </c>
      <c r="AJ62" s="63" t="e">
        <f t="shared" si="36"/>
        <v>#N/A</v>
      </c>
      <c r="AT62" s="109" t="str">
        <f t="shared" si="125"/>
        <v/>
      </c>
      <c r="AU62" t="str">
        <f>IFERROR(SUMIFS('Étape 1 - à remplir'!$F$31:$F$400,'Étape 1 - à remplir'!$C$31:$C$400,IF($AT62="Lait","*Lait*",IF($AT62="Viande","*Viande*",IF($AT62="Reproduction","*Reproduction*",IF($AT62="Autre","*Autre*",IF($AT62="Loisir","*Loisir*",IF($AT62="Œufs","*Œufs*","")))))),'Étape 1 - à remplir'!$G$31:$G$400,"animaux",'Étape 1 - à remplir'!$M$31:$M$400,MASQ2!AU$43)/SUMIFS('Étape 1 - à remplir'!$F$19:$F$28,'Étape 1 - à remplir'!$D$19:$D$28,MASQ2!$AT62,'Étape 1 - à remplir'!$G$19:$G$28,"animaux"),"")</f>
        <v/>
      </c>
      <c r="AV62" t="str">
        <f>IFERROR(SUMIFS('Étape 1 - à remplir'!$F$31:$F$400,'Étape 1 - à remplir'!$C$31:$C$400,IF($AT62="Lait","*Lait*",IF($AT62="Viande","*Viande*",IF($AT62="Reproduction","*Reproduction*",IF($AT62="Autre","*Autre*",IF($AT62="Loisir","*Loisir*",IF($AT62="Œufs","*Œufs*","")))))),'Étape 1 - à remplir'!$G$31:$G$400,"animaux",'Étape 1 - à remplir'!$M$31:$M$400,MASQ2!AV$43)/SUMIFS('Étape 1 - à remplir'!$F$19:$F$28,'Étape 1 - à remplir'!$D$19:$D$28,MASQ2!$AT62,'Étape 1 - à remplir'!$G$19:$G$28,"animaux"),"")</f>
        <v/>
      </c>
      <c r="AW62" t="str">
        <f>IFERROR(SUMIFS('Étape 1 - à remplir'!$F$31:$F$400,'Étape 1 - à remplir'!$C$31:$C$400,IF($AT62="Lait","*Lait*",IF($AT62="Viande","*Viande*",IF($AT62="Reproduction","*Reproduction*",IF($AT62="Autre","*Autre*",IF($AT62="Loisir","*Loisir*",IF($AT62="Œufs","*Œufs*","")))))),'Étape 1 - à remplir'!$G$31:$G$400,"animaux",'Étape 1 - à remplir'!$M$31:$M$400,MASQ2!AW$43)/SUMIFS('Étape 1 - à remplir'!$F$19:$F$28,'Étape 1 - à remplir'!$D$19:$D$28,MASQ2!$AT62,'Étape 1 - à remplir'!$G$19:$G$28,"animaux"),"")</f>
        <v/>
      </c>
      <c r="AX62" t="str">
        <f>IFERROR(SUMIFS('Étape 1 - à remplir'!$F$31:$F$400,'Étape 1 - à remplir'!$C$31:$C$400,IF($AT62="Lait","*Lait*",IF($AT62="Viande","*Viande*",IF($AT62="Reproduction","*Reproduction*",IF($AT62="Autre","*Autre*",IF($AT62="Loisir","*Loisir*",IF($AT62="Œufs","*Œufs*","")))))),'Étape 1 - à remplir'!$G$31:$G$400,"animaux",'Étape 1 - à remplir'!$M$31:$M$400,MASQ2!AX$43)/SUMIFS('Étape 1 - à remplir'!$F$19:$F$28,'Étape 1 - à remplir'!$D$19:$D$28,MASQ2!$AT62,'Étape 1 - à remplir'!$G$19:$G$28,"animaux"),"")</f>
        <v/>
      </c>
      <c r="AY62" t="str">
        <f>IFERROR(SUMIFS('Étape 1 - à remplir'!$F$31:$F$400,'Étape 1 - à remplir'!$C$31:$C$400,IF($AT62="Lait","*Lait*",IF($AT62="Viande","*Viande*",IF($AT62="Reproduction","*Reproduction*",IF($AT62="Autre","*Autre*",IF($AT62="Loisir","*Loisir*",IF($AT62="Œufs","*Œufs*","")))))),'Étape 1 - à remplir'!$G$31:$G$400,"animaux",'Étape 1 - à remplir'!$M$31:$M$400,MASQ2!AY$43)/SUMIFS('Étape 1 - à remplir'!$F$19:$F$28,'Étape 1 - à remplir'!$D$19:$D$28,MASQ2!$AT62,'Étape 1 - à remplir'!$G$19:$G$28,"animaux"),"")</f>
        <v/>
      </c>
      <c r="AZ62" t="str">
        <f>IFERROR(SUMIFS('Étape 1 - à remplir'!$F$31:$F$400,'Étape 1 - à remplir'!$C$31:$C$400,IF($AT62="Lait","*Lait*",IF($AT62="Viande","*Viande*",IF($AT62="Reproduction","*Reproduction*",IF($AT62="Autre","*Autre*",IF($AT62="Loisir","*Loisir*",IF($AT62="Œufs","*Œufs*","")))))),'Étape 1 - à remplir'!$G$31:$G$400,"animaux",'Étape 1 - à remplir'!$M$31:$M$400,MASQ2!AZ$43)/SUMIFS('Étape 1 - à remplir'!$F$19:$F$28,'Étape 1 - à remplir'!$D$19:$D$28,MASQ2!$AT62,'Étape 1 - à remplir'!$G$19:$G$28,"animaux"),"")</f>
        <v/>
      </c>
      <c r="BA62" t="str">
        <f>IFERROR(SUMIFS('Étape 1 - à remplir'!$F$31:$F$400,'Étape 1 - à remplir'!$C$31:$C$400,IF($AT62="Lait","*Lait*",IF($AT62="Viande","*Viande*",IF($AT62="Reproduction","*Reproduction*",IF($AT62="Autre","*Autre*",IF($AT62="Loisir","*Loisir*",IF($AT62="Œufs","*Œufs*","")))))),'Étape 1 - à remplir'!$G$31:$G$400,"animaux",'Étape 1 - à remplir'!$M$31:$M$400,MASQ2!BA$43)/SUMIFS('Étape 1 - à remplir'!$F$19:$F$28,'Étape 1 - à remplir'!$D$19:$D$28,MASQ2!$AT62,'Étape 1 - à remplir'!$G$19:$G$28,"animaux"),"")</f>
        <v/>
      </c>
      <c r="BB62" t="str">
        <f>IFERROR(SUMIFS('Étape 1 - à remplir'!$F$31:$F$400,'Étape 1 - à remplir'!$C$31:$C$400,IF($AT62="Lait","*Lait*",IF($AT62="Viande","*Viande*",IF($AT62="Reproduction","*Reproduction*",IF($AT62="Autre","*Autre*",IF($AT62="Loisir","*Loisir*",IF($AT62="Œufs","*Œufs*","")))))),'Étape 1 - à remplir'!$G$31:$G$400,"animaux",'Étape 1 - à remplir'!$M$31:$M$400,MASQ2!BB$43)/SUMIFS('Étape 1 - à remplir'!$F$19:$F$28,'Étape 1 - à remplir'!$D$19:$D$28,MASQ2!$AT62,'Étape 1 - à remplir'!$G$19:$G$28,"animaux"),"")</f>
        <v/>
      </c>
      <c r="BC62" t="str">
        <f>IFERROR(SUMIFS('Étape 1 - à remplir'!$F$31:$F$400,'Étape 1 - à remplir'!$C$31:$C$400,IF($AT62="Lait","*Lait*",IF($AT62="Viande","*Viande*",IF($AT62="Reproduction","*Reproduction*",IF($AT62="Autre","*Autre*",IF($AT62="Loisir","*Loisir*",IF($AT62="Œufs","*Œufs*","")))))),'Étape 1 - à remplir'!$G$31:$G$400,"animaux",'Étape 1 - à remplir'!$M$31:$M$400,MASQ2!BC$43)/SUMIFS('Étape 1 - à remplir'!$F$19:$F$28,'Étape 1 - à remplir'!$D$19:$D$28,MASQ2!$AT62,'Étape 1 - à remplir'!$G$19:$G$28,"animaux"),"")</f>
        <v/>
      </c>
      <c r="BD62" t="str">
        <f>IFERROR(SUMIFS('Étape 1 - à remplir'!$F$31:$F$400,'Étape 1 - à remplir'!$C$31:$C$400,IF($AT62="Lait","*Lait*",IF($AT62="Viande","*Viande*",IF($AT62="Reproduction","*Reproduction*",IF($AT62="Autre","*Autre*",IF($AT62="Loisir","*Loisir*",IF($AT62="Œufs","*Œufs*","")))))),'Étape 1 - à remplir'!$G$31:$G$400,"animaux",'Étape 1 - à remplir'!$M$31:$M$400,MASQ2!BD$43)/SUMIFS('Étape 1 - à remplir'!$F$19:$F$28,'Étape 1 - à remplir'!$D$19:$D$28,MASQ2!$AT62,'Étape 1 - à remplir'!$G$19:$G$28,"animaux"),"")</f>
        <v/>
      </c>
      <c r="BE62" t="str">
        <f>IFERROR(SUMIFS('Étape 1 - à remplir'!$F$31:$F$400,'Étape 1 - à remplir'!$C$31:$C$400,IF($AT62="Lait","*Lait*",IF($AT62="Viande","*Viande*",IF($AT62="Reproduction","*Reproduction*",IF($AT62="Autre","*Autre*",IF($AT62="Loisir","*Loisir*",IF($AT62="Œufs","*Œufs*","")))))),'Étape 1 - à remplir'!$G$31:$G$400,"animaux",'Étape 1 - à remplir'!$M$31:$M$400,MASQ2!BE$43)/SUMIFS('Étape 1 - à remplir'!$F$19:$F$28,'Étape 1 - à remplir'!$D$19:$D$28,MASQ2!$AT62,'Étape 1 - à remplir'!$G$19:$G$28,"animaux"),"")</f>
        <v/>
      </c>
      <c r="BF62" s="76" t="str">
        <f>IFERROR(SUMIFS('Étape 1 - à remplir'!$F$31:$F$400,'Étape 1 - à remplir'!$C$31:$C$400,IF($AT62="Lait","*Lait*",IF($AT62="Viande","*Viande*",IF($AT62="Reproduction","*Reproduction*",IF($AT62="Autre","*Autre*",IF($AT62="Loisir","*Loisir*",IF($AT62="Œufs","*Œufs*","")))))),'Étape 1 - à remplir'!$G$31:$G$400,"animaux",'Étape 1 - à remplir'!$M$31:$M$400,MASQ2!BF$43)/SUMIFS('Étape 1 - à remplir'!$F$19:$F$28,'Étape 1 - à remplir'!$D$19:$D$28,MASQ2!$AT62,'Étape 1 - à remplir'!$G$19:$G$28,"animaux"),"")</f>
        <v/>
      </c>
      <c r="BT62" s="194" t="str">
        <f t="shared" ca="1" si="5"/>
        <v/>
      </c>
      <c r="BU62" s="219" t="str">
        <f>IFERROR(IF(BX62=0,"",COUNTIF(BX$4:BX$600,"&gt;"&amp;BX62)+COUNTIF(BX$4:BX62,BX62)),"")</f>
        <v/>
      </c>
      <c r="BV62" s="42" t="str">
        <f t="shared" si="6"/>
        <v>BAYCUBIS 293 MG/G POUDRE POUR SOLUTION BUVABLE POUR POULETS</v>
      </c>
      <c r="BW62" t="e">
        <f>IF(IF(CE$2="Catégorie",IF(CE$3="Toutes",SUMIFS('Étape 1 - à remplir'!$F$31:$F$400,'Étape 1 - à remplir'!$E$31:$E$400,MASQ2!BV62,'Étape 1 - à remplir'!$G$31:$G$400,"lots"),SUMIFS('Étape 1 - à remplir'!$F$31:$F$400,'Étape 1 - à remplir'!$E$31:$E$400,MASQ2!BV62,'Étape 1 - à remplir'!$C$31:$C$400,CE$3)),IF(CE$2="Âge",IF(CE$3="Tous",SUMIFS('Étape 1 - à remplir'!$F$31:$F$400,'Étape 1 - à remplir'!$E$31:$E$400,MASQ2!BV62,'Étape 1 - à remplir'!$G$31:$G$400,"lots"),SUMIFS('Étape 1 - à remplir'!$F$31:$F$400,'Étape 1 - à remplir'!$E$31:$E$400,MASQ2!BV62,'Étape 1 - à remplir'!$P$31:$P$400,CE$3,'Étape 1 - à remplir'!$G$31:$G$400,"lots")),IF(CE$2="Atelier",IF(CE$3="Tous",SUMIFS('Étape 1 - à remplir'!$F$31:$F$400,'Étape 1 - à remplir'!$E$31:$E$400,MASQ2!BV62,'Étape 1 - à remplir'!$G$31:$G$400,"lots"),SUMIFS('Étape 1 - à remplir'!$F$31:$F$400,'Étape 1 - à remplir'!$E$31:$E$400,MASQ2!BV62,'Étape 1 - à remplir'!$O$31:$O$400,CE$3,'Étape 1 - à remplir'!$G$31:$G$400,"lots")),IF(CE$2="Espèce",IF(CE$3="Toutes",SUMIFS('Étape 1 - à remplir'!$F$31:$F$400,'Étape 1 - à remplir'!$E$31:$E$400,MASQ2!BV62,'Étape 1 - à remplir'!$G$31:$G$400,"lots"),SUMIFS('Étape 1 - à remplir'!$F$31:$F$400,'Étape 1 - à remplir'!$E$31:$E$400,MASQ2!BV62,'Étape 1 - à remplir'!$N$31:$N$400,CE$3,'Étape 1 - à remplir'!$G$31:$G$400,"lots"))))))=0,NA(),IF(CE$2="Catégorie",IF(CE$3="Toutes",SUMIFS('Étape 1 - à remplir'!$F$31:$F$400,'Étape 1 - à remplir'!$E$31:$E$400,MASQ2!BV62,'Étape 1 - à remplir'!$G$31:$G$400,"lots"),SUMIFS('Étape 1 - à remplir'!$F$31:$F$400,'Étape 1 - à remplir'!$E$31:$E$400,MASQ2!BV62,'Étape 1 - à remplir'!$C$31:$C$400,CE$3)),IF(CE$2="Âge",IF(CE$3="Tous",SUMIFS('Étape 1 - à remplir'!$F$31:$F$400,'Étape 1 - à remplir'!$E$31:$E$400,MASQ2!BV62,'Étape 1 - à remplir'!$G$31:$G$400,"lots"),SUMIFS('Étape 1 - à remplir'!$F$31:$F$400,'Étape 1 - à remplir'!$E$31:$E$400,MASQ2!BV62,'Étape 1 - à remplir'!$P$31:$P$400,CE$3,'Étape 1 - à remplir'!$G$31:$G$400,"lots")),IF(CE$2="Atelier",IF(CE$3="Tous",SUMIFS('Étape 1 - à remplir'!$F$31:$F$400,'Étape 1 - à remplir'!$E$31:$E$400,MASQ2!BV62,'Étape 1 - à remplir'!$G$31:$G$400,"lots"),SUMIFS('Étape 1 - à remplir'!$F$31:$F$400,'Étape 1 - à remplir'!$E$31:$E$400,MASQ2!BV62,'Étape 1 - à remplir'!$O$31:$O$400,CE$3,'Étape 1 - à remplir'!$G$31:$G$400,"lots")),IF(CE$2="Espèce",IF(CE$3="Toutes",SUMIFS('Étape 1 - à remplir'!$F$31:$F$400,'Étape 1 - à remplir'!$E$31:$E$400,MASQ2!BV62,'Étape 1 - à remplir'!$G$31:$G$400,"lots"),SUMIFS('Étape 1 - à remplir'!$F$31:$F$400,'Étape 1 - à remplir'!$E$31:$E$400,MASQ2!BV62,'Étape 1 - à remplir'!$N$31:$N$400,CE$3,'Étape 1 - à remplir'!$G$31:$G$400,"lots")))))))</f>
        <v>#N/A</v>
      </c>
      <c r="BX62">
        <f t="shared" si="42"/>
        <v>0</v>
      </c>
      <c r="BY62" t="str">
        <f t="shared" si="7"/>
        <v>Phénoxyméthylpénicilline</v>
      </c>
      <c r="BZ62" t="str">
        <f t="shared" si="8"/>
        <v/>
      </c>
      <c r="CA62" t="str">
        <f t="shared" si="9"/>
        <v/>
      </c>
      <c r="CB62" t="str">
        <f t="shared" si="10"/>
        <v>Penicillines</v>
      </c>
      <c r="CC62" t="str">
        <f t="shared" si="11"/>
        <v/>
      </c>
      <c r="CD62" s="63" t="str">
        <f t="shared" si="12"/>
        <v/>
      </c>
      <c r="CG62" s="42">
        <v>59</v>
      </c>
      <c r="CH62" s="42" t="e">
        <f t="shared" si="80"/>
        <v>#N/A</v>
      </c>
      <c r="CI62" s="63" t="e">
        <f t="shared" si="81"/>
        <v>#N/A</v>
      </c>
      <c r="CK62" s="194" t="str">
        <f t="shared" si="118"/>
        <v/>
      </c>
      <c r="CL62" s="226" t="str">
        <f>IFERROR(IF(CN62=0,"",COUNTIF(CN$4:CN$64,"&gt;"&amp;CN62)+COUNTIF(CN$4:CN62,CN62)),"")</f>
        <v/>
      </c>
      <c r="CM62" t="str">
        <f t="shared" si="119"/>
        <v>Tylosine</v>
      </c>
      <c r="CN62" s="76" t="e">
        <f t="shared" si="45"/>
        <v>#N/A</v>
      </c>
      <c r="CO62">
        <v>59</v>
      </c>
      <c r="CP62" t="e">
        <f t="shared" si="46"/>
        <v>#N/A</v>
      </c>
      <c r="CQ62" s="63" t="e">
        <f t="shared" si="47"/>
        <v>#N/A</v>
      </c>
      <c r="DA62" s="109" t="str">
        <f t="shared" si="126"/>
        <v/>
      </c>
      <c r="DB62" s="118" t="str">
        <f>IFERROR(SUMIFS('Étape 1 - à remplir'!$F$31:$F$400,'Étape 1 - à remplir'!$C$31:$C$400,IF($DA62="Lait","*Lait*",IF($DA62="Viande","*Viande*",IF($DA62="Reproduction","*Reproduction*",IF($DA62="Autre","*Autre*",IF($DA62="Loisir","*Loisir*",IF($DA62="Œufs","*Œufs*","")))))),'Étape 1 - à remplir'!$G$31:$G$400,"lots",'Étape 1 - à remplir'!$M$31:$M$400,MASQ2!DB$43)/SUMIFS('Étape 1 - à remplir'!$F$19:$F$28,'Étape 1 - à remplir'!$D$19:$D$28,MASQ2!$DA62,'Étape 1 - à remplir'!$G$19:$G$28,"lots"),"")</f>
        <v/>
      </c>
      <c r="DC62" t="str">
        <f>IFERROR(SUMIFS('Étape 1 - à remplir'!$F$31:$F$400,'Étape 1 - à remplir'!$C$31:$C$400,IF($DA62="Lait","*Lait*",IF($DA62="Viande","*Viande*",IF($DA62="Reproduction","*Reproduction*",IF($DA62="Autre","*Autre*",IF($DA62="Loisir","*Loisir*",IF($DA62="Œufs","*Œufs*","")))))),'Étape 1 - à remplir'!$G$31:$G$400,"lots",'Étape 1 - à remplir'!$M$31:$M$400,MASQ2!DC$43)/SUMIFS('Étape 1 - à remplir'!$F$19:$F$28,'Étape 1 - à remplir'!$D$19:$D$28,MASQ2!$DA62,'Étape 1 - à remplir'!$G$19:$G$28,"lots"),"")</f>
        <v/>
      </c>
      <c r="DD62" t="str">
        <f>IFERROR(SUMIFS('Étape 1 - à remplir'!$F$31:$F$400,'Étape 1 - à remplir'!$C$31:$C$400,IF($DA62="Lait","*Lait*",IF($DA62="Viande","*Viande*",IF($DA62="Reproduction","*Reproduction*",IF($DA62="Autre","*Autre*",IF($DA62="Loisir","*Loisir*",IF($DA62="Œufs","*Œufs*","")))))),'Étape 1 - à remplir'!$G$31:$G$400,"lots",'Étape 1 - à remplir'!$M$31:$M$400,MASQ2!DD$43)/SUMIFS('Étape 1 - à remplir'!$F$19:$F$28,'Étape 1 - à remplir'!$D$19:$D$28,MASQ2!$DA62,'Étape 1 - à remplir'!$G$19:$G$28,"lots"),"")</f>
        <v/>
      </c>
      <c r="DE62" t="str">
        <f>IFERROR(SUMIFS('Étape 1 - à remplir'!$F$31:$F$400,'Étape 1 - à remplir'!$C$31:$C$400,IF($DA62="Lait","*Lait*",IF($DA62="Viande","*Viande*",IF($DA62="Reproduction","*Reproduction*",IF($DA62="Autre","*Autre*",IF($DA62="Loisir","*Loisir*",IF($DA62="Œufs","*Œufs*","")))))),'Étape 1 - à remplir'!$G$31:$G$400,"lots",'Étape 1 - à remplir'!$M$31:$M$400,MASQ2!DE$43)/SUMIFS('Étape 1 - à remplir'!$F$19:$F$28,'Étape 1 - à remplir'!$D$19:$D$28,MASQ2!$DA62,'Étape 1 - à remplir'!$G$19:$G$28,"lots"),"")</f>
        <v/>
      </c>
      <c r="DF62" t="str">
        <f>IFERROR(SUMIFS('Étape 1 - à remplir'!$F$31:$F$400,'Étape 1 - à remplir'!$C$31:$C$400,IF($DA62="Lait","*Lait*",IF($DA62="Viande","*Viande*",IF($DA62="Reproduction","*Reproduction*",IF($DA62="Autre","*Autre*",IF($DA62="Loisir","*Loisir*",IF($DA62="Œufs","*Œufs*","")))))),'Étape 1 - à remplir'!$G$31:$G$400,"lots",'Étape 1 - à remplir'!$M$31:$M$400,MASQ2!DF$43)/SUMIFS('Étape 1 - à remplir'!$F$19:$F$28,'Étape 1 - à remplir'!$D$19:$D$28,MASQ2!$DA62,'Étape 1 - à remplir'!$G$19:$G$28,"lots"),"")</f>
        <v/>
      </c>
      <c r="DG62" t="str">
        <f>IFERROR(SUMIFS('Étape 1 - à remplir'!$F$31:$F$400,'Étape 1 - à remplir'!$C$31:$C$400,IF($DA62="Lait","*Lait*",IF($DA62="Viande","*Viande*",IF($DA62="Reproduction","*Reproduction*",IF($DA62="Autre","*Autre*",IF($DA62="Loisir","*Loisir*",IF($DA62="Œufs","*Œufs*","")))))),'Étape 1 - à remplir'!$G$31:$G$400,"lots",'Étape 1 - à remplir'!$M$31:$M$400,MASQ2!DG$43)/SUMIFS('Étape 1 - à remplir'!$F$19:$F$28,'Étape 1 - à remplir'!$D$19:$D$28,MASQ2!$DA62,'Étape 1 - à remplir'!$G$19:$G$28,"lots"),"")</f>
        <v/>
      </c>
      <c r="DH62" t="str">
        <f>IFERROR(SUMIFS('Étape 1 - à remplir'!$F$31:$F$400,'Étape 1 - à remplir'!$C$31:$C$400,IF($DA62="Lait","*Lait*",IF($DA62="Viande","*Viande*",IF($DA62="Reproduction","*Reproduction*",IF($DA62="Autre","*Autre*",IF($DA62="Loisir","*Loisir*",IF($DA62="Œufs","*Œufs*","")))))),'Étape 1 - à remplir'!$G$31:$G$400,"lots",'Étape 1 - à remplir'!$M$31:$M$400,MASQ2!DH$43)/SUMIFS('Étape 1 - à remplir'!$F$19:$F$28,'Étape 1 - à remplir'!$D$19:$D$28,MASQ2!$DA62,'Étape 1 - à remplir'!$G$19:$G$28,"lots"),"")</f>
        <v/>
      </c>
      <c r="DI62" t="str">
        <f>IFERROR(SUMIFS('Étape 1 - à remplir'!$F$31:$F$400,'Étape 1 - à remplir'!$C$31:$C$400,IF($DA62="Lait","*Lait*",IF($DA62="Viande","*Viande*",IF($DA62="Reproduction","*Reproduction*",IF($DA62="Autre","*Autre*",IF($DA62="Loisir","*Loisir*",IF($DA62="Œufs","*Œufs*","")))))),'Étape 1 - à remplir'!$G$31:$G$400,"lots",'Étape 1 - à remplir'!$M$31:$M$400,MASQ2!DI$43)/SUMIFS('Étape 1 - à remplir'!$F$19:$F$28,'Étape 1 - à remplir'!$D$19:$D$28,MASQ2!$DA62,'Étape 1 - à remplir'!$G$19:$G$28,"lots"),"")</f>
        <v/>
      </c>
      <c r="DJ62" t="str">
        <f>IFERROR(SUMIFS('Étape 1 - à remplir'!$F$31:$F$400,'Étape 1 - à remplir'!$C$31:$C$400,IF($DA62="Lait","*Lait*",IF($DA62="Viande","*Viande*",IF($DA62="Reproduction","*Reproduction*",IF($DA62="Autre","*Autre*",IF($DA62="Loisir","*Loisir*",IF($DA62="Œufs","*Œufs*","")))))),'Étape 1 - à remplir'!$G$31:$G$400,"lots",'Étape 1 - à remplir'!$M$31:$M$400,MASQ2!DJ$43)/SUMIFS('Étape 1 - à remplir'!$F$19:$F$28,'Étape 1 - à remplir'!$D$19:$D$28,MASQ2!$DA62,'Étape 1 - à remplir'!$G$19:$G$28,"lots"),"")</f>
        <v/>
      </c>
      <c r="DK62" t="str">
        <f>IFERROR(SUMIFS('Étape 1 - à remplir'!$F$31:$F$400,'Étape 1 - à remplir'!$C$31:$C$400,IF($DA62="Lait","*Lait*",IF($DA62="Viande","*Viande*",IF($DA62="Reproduction","*Reproduction*",IF($DA62="Autre","*Autre*",IF($DA62="Loisir","*Loisir*",IF($DA62="Œufs","*Œufs*","")))))),'Étape 1 - à remplir'!$G$31:$G$400,"lots",'Étape 1 - à remplir'!$M$31:$M$400,MASQ2!DK$43)/SUMIFS('Étape 1 - à remplir'!$F$19:$F$28,'Étape 1 - à remplir'!$D$19:$D$28,MASQ2!$DA62,'Étape 1 - à remplir'!$G$19:$G$28,"lots"),"")</f>
        <v/>
      </c>
      <c r="DL62" t="str">
        <f>IFERROR(SUMIFS('Étape 1 - à remplir'!$F$31:$F$400,'Étape 1 - à remplir'!$C$31:$C$400,IF($DA62="Lait","*Lait*",IF($DA62="Viande","*Viande*",IF($DA62="Reproduction","*Reproduction*",IF($DA62="Autre","*Autre*",IF($DA62="Loisir","*Loisir*",IF($DA62="Œufs","*Œufs*","")))))),'Étape 1 - à remplir'!$G$31:$G$400,"lots",'Étape 1 - à remplir'!$M$31:$M$400,MASQ2!DL$43)/SUMIFS('Étape 1 - à remplir'!$F$19:$F$28,'Étape 1 - à remplir'!$D$19:$D$28,MASQ2!$DA62,'Étape 1 - à remplir'!$G$19:$G$28,"lots"),"")</f>
        <v/>
      </c>
      <c r="DM62" s="76" t="str">
        <f>IFERROR(SUMIFS('Étape 1 - à remplir'!$F$31:$F$400,'Étape 1 - à remplir'!$C$31:$C$400,IF($DA62="Lait","*Lait*",IF($DA62="Viande","*Viande*",IF($DA62="Reproduction","*Reproduction*",IF($DA62="Autre","*Autre*",IF($DA62="Loisir","*Loisir*",IF($DA62="Œufs","*Œufs*","")))))),'Étape 1 - à remplir'!$G$31:$G$400,"lots",'Étape 1 - à remplir'!$M$31:$M$400,MASQ2!DM$43)/SUMIFS('Étape 1 - à remplir'!$F$19:$F$28,'Étape 1 - à remplir'!$D$19:$D$28,MASQ2!$DA62,'Étape 1 - à remplir'!$G$19:$G$28,"lots"),"")</f>
        <v/>
      </c>
      <c r="EA62" s="194" t="str">
        <f t="shared" ca="1" si="18"/>
        <v/>
      </c>
      <c r="EB62" s="226" t="str">
        <f>IFERROR(IF(ED62=0,"",COUNTIF(ED$4:ED$600,"&gt;"&amp;ED62)+COUNTIF(ED$4:ED62,ED62)),"")</f>
        <v/>
      </c>
      <c r="EC62" t="str">
        <f t="shared" si="19"/>
        <v>BAYCUBIS 293 MG/G POUDRE POUR SOLUTION BUVABLE POUR POULETS</v>
      </c>
      <c r="ED62" t="e">
        <f>IF(IF(EL$2="Catégorie",IF(EL$3="Toutes",SUMIFS('Étape 1 - à remplir'!$F$31:$F$400,'Étape 1 - à remplir'!$E$31:$E$400,MASQ2!EC62,'Étape 1 - à remplir'!$G$31:$G$400,"kg"),SUMIFS('Étape 1 - à remplir'!$F$31:$F$400,'Étape 1 - à remplir'!$E$31:$E$400,MASQ2!EC62,'Étape 1 - à remplir'!$C$31:$C$400,EL$3)),IF(EL$2="Âge",IF(EL$3="Tous",SUMIFS('Étape 1 - à remplir'!$F$31:$F$400,'Étape 1 - à remplir'!$E$31:$E$400,MASQ2!EC62,'Étape 1 - à remplir'!$G$31:$G$400,"kg"),SUMIFS('Étape 1 - à remplir'!$F$31:$F$400,'Étape 1 - à remplir'!$E$31:$E$400,MASQ2!EC62,'Étape 1 - à remplir'!$P$31:$P$400,EL$3,'Étape 1 - à remplir'!$G$31:$G$400,"kg")),IF(EL$2="Atelier",IF(EL$3="Tous",SUMIFS('Étape 1 - à remplir'!$F$31:$F$400,'Étape 1 - à remplir'!$E$31:$E$400,MASQ2!EC62,'Étape 1 - à remplir'!$G$31:$G$400,"kg"),SUMIFS('Étape 1 - à remplir'!$F$31:$F$400,'Étape 1 - à remplir'!$E$31:$E$400,MASQ2!EC62,'Étape 1 - à remplir'!$O$31:$O$400,EL$3,'Étape 1 - à remplir'!$G$31:$G$400,"kg")),IF(EL$2="Espèce",IF(EL$3="Toutes",SUMIFS('Étape 1 - à remplir'!$F$31:$F$400,'Étape 1 - à remplir'!$E$31:$E$400,MASQ2!EC62,'Étape 1 - à remplir'!$G$31:$G$400,"kg"),SUMIFS('Étape 1 - à remplir'!$F$31:$F$400,'Étape 1 - à remplir'!$E$31:$E$400,MASQ2!EC62,'Étape 1 - à remplir'!$N$31:$N$400,EL$3,'Étape 1 - à remplir'!$G$31:$G$400,"kg"))))))=0,NA(),IF(EL$2="Catégorie",IF(EL$3="Toutes",SUMIFS('Étape 1 - à remplir'!$F$31:$F$400,'Étape 1 - à remplir'!$E$31:$E$400,MASQ2!EC62,'Étape 1 - à remplir'!$G$31:$G$400,"kg"),SUMIFS('Étape 1 - à remplir'!$F$31:$F$400,'Étape 1 - à remplir'!$E$31:$E$400,MASQ2!EC62,'Étape 1 - à remplir'!$C$31:$C$400,EL$3)),IF(EL$2="Âge",IF(EL$3="Tous",SUMIFS('Étape 1 - à remplir'!$F$31:$F$400,'Étape 1 - à remplir'!$E$31:$E$400,MASQ2!EC62,'Étape 1 - à remplir'!$G$31:$G$400,"kg"),SUMIFS('Étape 1 - à remplir'!$F$31:$F$400,'Étape 1 - à remplir'!$E$31:$E$400,MASQ2!EC62,'Étape 1 - à remplir'!$P$31:$P$400,EL$3,'Étape 1 - à remplir'!$G$31:$G$400,"kg")),IF(EL$2="Atelier",IF(EL$3="Tous",SUMIFS('Étape 1 - à remplir'!$F$31:$F$400,'Étape 1 - à remplir'!$E$31:$E$400,MASQ2!EC62,'Étape 1 - à remplir'!$G$31:$G$400,"kg"),SUMIFS('Étape 1 - à remplir'!$F$31:$F$400,'Étape 1 - à remplir'!$E$31:$E$400,MASQ2!EC62,'Étape 1 - à remplir'!$O$31:$O$400,EL$3,'Étape 1 - à remplir'!$G$31:$G$400,"kg")),IF(EL$2="Espèce",IF(EL$3="Toutes",SUMIFS('Étape 1 - à remplir'!$F$31:$F$400,'Étape 1 - à remplir'!$E$31:$E$400,MASQ2!EC62,'Étape 1 - à remplir'!$G$31:$G$400,"kg"),SUMIFS('Étape 1 - à remplir'!$F$31:$F$400,'Étape 1 - à remplir'!$E$31:$E$400,MASQ2!EC62,'Étape 1 - à remplir'!$N$31:$N$400,EL$3,'Étape 1 - à remplir'!$G$31:$G$400,"kg")))))))</f>
        <v>#N/A</v>
      </c>
      <c r="EE62" s="76">
        <f t="shared" si="53"/>
        <v>0</v>
      </c>
      <c r="EF62" t="str">
        <f t="shared" si="20"/>
        <v>Phénoxyméthylpénicilline</v>
      </c>
      <c r="EG62" t="str">
        <f t="shared" si="21"/>
        <v/>
      </c>
      <c r="EH62" t="str">
        <f t="shared" si="22"/>
        <v/>
      </c>
      <c r="EI62" t="str">
        <f t="shared" si="23"/>
        <v>Penicillines</v>
      </c>
      <c r="EJ62" t="str">
        <f t="shared" si="24"/>
        <v/>
      </c>
      <c r="EK62" s="63" t="str">
        <f t="shared" si="25"/>
        <v/>
      </c>
      <c r="EN62" s="42">
        <v>59</v>
      </c>
      <c r="EO62" t="e">
        <f t="shared" si="68"/>
        <v>#N/A</v>
      </c>
      <c r="EP62" s="63" t="e">
        <f t="shared" si="69"/>
        <v>#N/A</v>
      </c>
      <c r="ER62" s="194" t="str">
        <f t="shared" si="120"/>
        <v/>
      </c>
      <c r="ES62" s="226" t="str">
        <f>IFERROR(IF(EU62=0,"",COUNTIF(EU$4:EU$64,"&gt;"&amp;EU62)+COUNTIF(EU$4:EU62,EU62)),"")</f>
        <v/>
      </c>
      <c r="ET62" t="str">
        <f t="shared" si="121"/>
        <v>Tylosine</v>
      </c>
      <c r="EU62" s="76" t="e">
        <f t="shared" si="56"/>
        <v>#N/A</v>
      </c>
      <c r="EV62">
        <v>59</v>
      </c>
      <c r="EW62" t="e">
        <f t="shared" si="57"/>
        <v>#N/A</v>
      </c>
      <c r="EX62" s="63" t="e">
        <f t="shared" si="58"/>
        <v>#N/A</v>
      </c>
      <c r="FH62" s="118" t="str">
        <f t="shared" si="127"/>
        <v/>
      </c>
      <c r="FI62" s="118" t="str">
        <f>IFERROR(SUMIFS('Étape 1 - à remplir'!$F$31:$F$400,'Étape 1 - à remplir'!$C$31:$C$400,IF($FH62="Lait","*Lait*",IF($FH62="Viande","*Viande*",IF($FH62="Reproduction","*Reproduction*",IF($FH62="Autre","*Autre*",IF($FH62="Loisir","*Loisir*",IF($FH62="Œufs","*Œufs*","")))))),'Étape 1 - à remplir'!$G$31:$G$400,"kg",'Étape 1 - à remplir'!$M$31:$M$400,MASQ2!FI$43)/SUMIFS('Étape 1 - à remplir'!$F$19:$F$28,'Étape 1 - à remplir'!$D$19:$D$28,MASQ2!$FH62,'Étape 1 - à remplir'!$G$19:$G$28,"kg"),"")</f>
        <v/>
      </c>
      <c r="FJ62" t="str">
        <f>IFERROR(SUMIFS('Étape 1 - à remplir'!$F$31:$F$400,'Étape 1 - à remplir'!$C$31:$C$400,IF($FH62="Lait","*Lait*",IF($FH62="Viande","*Viande*",IF($FH62="Reproduction","*Reproduction*",IF($FH62="Autre","*Autre*",IF($FH62="Loisir","*Loisir*",IF($FH62="Œufs","*Œufs*","")))))),'Étape 1 - à remplir'!$G$31:$G$400,"kg",'Étape 1 - à remplir'!$M$31:$M$400,MASQ2!FJ$43)/SUMIFS('Étape 1 - à remplir'!$F$19:$F$28,'Étape 1 - à remplir'!$D$19:$D$28,MASQ2!$FH62,'Étape 1 - à remplir'!$G$19:$G$28,"kg"),"")</f>
        <v/>
      </c>
      <c r="FK62" t="str">
        <f>IFERROR(SUMIFS('Étape 1 - à remplir'!$F$31:$F$400,'Étape 1 - à remplir'!$C$31:$C$400,IF($FH62="Lait","*Lait*",IF($FH62="Viande","*Viande*",IF($FH62="Reproduction","*Reproduction*",IF($FH62="Autre","*Autre*",IF($FH62="Loisir","*Loisir*",IF($FH62="Œufs","*Œufs*","")))))),'Étape 1 - à remplir'!$G$31:$G$400,"kg",'Étape 1 - à remplir'!$M$31:$M$400,MASQ2!FK$43)/SUMIFS('Étape 1 - à remplir'!$F$19:$F$28,'Étape 1 - à remplir'!$D$19:$D$28,MASQ2!$FH62,'Étape 1 - à remplir'!$G$19:$G$28,"kg"),"")</f>
        <v/>
      </c>
      <c r="FL62" t="str">
        <f>IFERROR(SUMIFS('Étape 1 - à remplir'!$F$31:$F$400,'Étape 1 - à remplir'!$C$31:$C$400,IF($FH62="Lait","*Lait*",IF($FH62="Viande","*Viande*",IF($FH62="Reproduction","*Reproduction*",IF($FH62="Autre","*Autre*",IF($FH62="Loisir","*Loisir*",IF($FH62="Œufs","*Œufs*","")))))),'Étape 1 - à remplir'!$G$31:$G$400,"kg",'Étape 1 - à remplir'!$M$31:$M$400,MASQ2!FL$43)/SUMIFS('Étape 1 - à remplir'!$F$19:$F$28,'Étape 1 - à remplir'!$D$19:$D$28,MASQ2!$FH62,'Étape 1 - à remplir'!$G$19:$G$28,"kg"),"")</f>
        <v/>
      </c>
      <c r="FM62" t="str">
        <f>IFERROR(SUMIFS('Étape 1 - à remplir'!$F$31:$F$400,'Étape 1 - à remplir'!$C$31:$C$400,IF($FH62="Lait","*Lait*",IF($FH62="Viande","*Viande*",IF($FH62="Reproduction","*Reproduction*",IF($FH62="Autre","*Autre*",IF($FH62="Loisir","*Loisir*",IF($FH62="Œufs","*Œufs*","")))))),'Étape 1 - à remplir'!$G$31:$G$400,"kg",'Étape 1 - à remplir'!$M$31:$M$400,MASQ2!FM$43)/SUMIFS('Étape 1 - à remplir'!$F$19:$F$28,'Étape 1 - à remplir'!$D$19:$D$28,MASQ2!$FH62,'Étape 1 - à remplir'!$G$19:$G$28,"kg"),"")</f>
        <v/>
      </c>
      <c r="FN62" t="str">
        <f>IFERROR(SUMIFS('Étape 1 - à remplir'!$F$31:$F$400,'Étape 1 - à remplir'!$C$31:$C$400,IF($FH62="Lait","*Lait*",IF($FH62="Viande","*Viande*",IF($FH62="Reproduction","*Reproduction*",IF($FH62="Autre","*Autre*",IF($FH62="Loisir","*Loisir*",IF($FH62="Œufs","*Œufs*","")))))),'Étape 1 - à remplir'!$G$31:$G$400,"kg",'Étape 1 - à remplir'!$M$31:$M$400,MASQ2!FN$43)/SUMIFS('Étape 1 - à remplir'!$F$19:$F$28,'Étape 1 - à remplir'!$D$19:$D$28,MASQ2!$FH62,'Étape 1 - à remplir'!$G$19:$G$28,"kg"),"")</f>
        <v/>
      </c>
      <c r="FO62" t="str">
        <f>IFERROR(SUMIFS('Étape 1 - à remplir'!$F$31:$F$400,'Étape 1 - à remplir'!$C$31:$C$400,IF($FH62="Lait","*Lait*",IF($FH62="Viande","*Viande*",IF($FH62="Reproduction","*Reproduction*",IF($FH62="Autre","*Autre*",IF($FH62="Loisir","*Loisir*",IF($FH62="Œufs","*Œufs*","")))))),'Étape 1 - à remplir'!$G$31:$G$400,"kg",'Étape 1 - à remplir'!$M$31:$M$400,MASQ2!FO$43)/SUMIFS('Étape 1 - à remplir'!$F$19:$F$28,'Étape 1 - à remplir'!$D$19:$D$28,MASQ2!$FH62,'Étape 1 - à remplir'!$G$19:$G$28,"kg"),"")</f>
        <v/>
      </c>
      <c r="FP62" t="str">
        <f>IFERROR(SUMIFS('Étape 1 - à remplir'!$F$31:$F$400,'Étape 1 - à remplir'!$C$31:$C$400,IF($FH62="Lait","*Lait*",IF($FH62="Viande","*Viande*",IF($FH62="Reproduction","*Reproduction*",IF($FH62="Autre","*Autre*",IF($FH62="Loisir","*Loisir*",IF($FH62="Œufs","*Œufs*","")))))),'Étape 1 - à remplir'!$G$31:$G$400,"kg",'Étape 1 - à remplir'!$M$31:$M$400,MASQ2!FP$43)/SUMIFS('Étape 1 - à remplir'!$F$19:$F$28,'Étape 1 - à remplir'!$D$19:$D$28,MASQ2!$FH62,'Étape 1 - à remplir'!$G$19:$G$28,"kg"),"")</f>
        <v/>
      </c>
      <c r="FQ62" t="str">
        <f>IFERROR(SUMIFS('Étape 1 - à remplir'!$F$31:$F$400,'Étape 1 - à remplir'!$C$31:$C$400,IF($FH62="Lait","*Lait*",IF($FH62="Viande","*Viande*",IF($FH62="Reproduction","*Reproduction*",IF($FH62="Autre","*Autre*",IF($FH62="Loisir","*Loisir*",IF($FH62="Œufs","*Œufs*","")))))),'Étape 1 - à remplir'!$G$31:$G$400,"kg",'Étape 1 - à remplir'!$M$31:$M$400,MASQ2!FQ$43)/SUMIFS('Étape 1 - à remplir'!$F$19:$F$28,'Étape 1 - à remplir'!$D$19:$D$28,MASQ2!$FH62,'Étape 1 - à remplir'!$G$19:$G$28,"kg"),"")</f>
        <v/>
      </c>
      <c r="FR62" t="str">
        <f>IFERROR(SUMIFS('Étape 1 - à remplir'!$F$31:$F$400,'Étape 1 - à remplir'!$C$31:$C$400,IF($FH62="Lait","*Lait*",IF($FH62="Viande","*Viande*",IF($FH62="Reproduction","*Reproduction*",IF($FH62="Autre","*Autre*",IF($FH62="Loisir","*Loisir*",IF($FH62="Œufs","*Œufs*","")))))),'Étape 1 - à remplir'!$G$31:$G$400,"kg",'Étape 1 - à remplir'!$M$31:$M$400,MASQ2!FR$43)/SUMIFS('Étape 1 - à remplir'!$F$19:$F$28,'Étape 1 - à remplir'!$D$19:$D$28,MASQ2!$FH62,'Étape 1 - à remplir'!$G$19:$G$28,"kg"),"")</f>
        <v/>
      </c>
      <c r="FS62" t="str">
        <f>IFERROR(SUMIFS('Étape 1 - à remplir'!$F$31:$F$400,'Étape 1 - à remplir'!$C$31:$C$400,IF($FH62="Lait","*Lait*",IF($FH62="Viande","*Viande*",IF($FH62="Reproduction","*Reproduction*",IF($FH62="Autre","*Autre*",IF($FH62="Loisir","*Loisir*",IF($FH62="Œufs","*Œufs*","")))))),'Étape 1 - à remplir'!$G$31:$G$400,"kg",'Étape 1 - à remplir'!$M$31:$M$400,MASQ2!FS$43)/SUMIFS('Étape 1 - à remplir'!$F$19:$F$28,'Étape 1 - à remplir'!$D$19:$D$28,MASQ2!$FH62,'Étape 1 - à remplir'!$G$19:$G$28,"kg"),"")</f>
        <v/>
      </c>
      <c r="FT62" s="76" t="str">
        <f>IFERROR(SUMIFS('Étape 1 - à remplir'!$F$31:$F$400,'Étape 1 - à remplir'!$C$31:$C$400,IF($FH62="Lait","*Lait*",IF($FH62="Viande","*Viande*",IF($FH62="Reproduction","*Reproduction*",IF($FH62="Autre","*Autre*",IF($FH62="Loisir","*Loisir*",IF($FH62="Œufs","*Œufs*","")))))),'Étape 1 - à remplir'!$G$31:$G$400,"kg",'Étape 1 - à remplir'!$M$31:$M$400,MASQ2!FT$43)/SUMIFS('Étape 1 - à remplir'!$F$19:$F$28,'Étape 1 - à remplir'!$D$19:$D$28,MASQ2!$FH62,'Étape 1 - à remplir'!$G$19:$G$28,"kg"),"")</f>
        <v/>
      </c>
    </row>
    <row r="63" spans="2:176" x14ac:dyDescent="0.3">
      <c r="B63" s="42"/>
      <c r="M63" s="194" t="str">
        <f ca="1">INDEX(Données_ATB!BD:BU,MATCH(MASQ2!O63,Données_ATB!BD:BD,0),18)</f>
        <v>x</v>
      </c>
      <c r="N63" s="14" t="str">
        <f>IFERROR(IF(Q63=0,"",COUNTIF(Q$4:Q$600,"&gt;"&amp;Q63)+COUNTIF(Q$4:Q63,Q63)),"")</f>
        <v/>
      </c>
      <c r="O63" t="str">
        <f>Données_ATB!BD62</f>
        <v>BAYTRIL 10 % SOLUTION BUVABLE</v>
      </c>
      <c r="P63" t="e">
        <f>IF(IF(X$2="Catégorie",IF(X$3="Toutes",SUMIFS('Étape 1 - à remplir'!$F$31:$F$400,'Étape 1 - à remplir'!$E$31:$E$400,MASQ2!O63,'Étape 1 - à remplir'!$G$31:$G$400,"animaux"),SUMIFS('Étape 1 - à remplir'!$F$31:$F$400,'Étape 1 - à remplir'!$E$31:$E$400,MASQ2!O63,'Étape 1 - à remplir'!$C$31:$C$400,X$3)),IF(X$2="Âge",IF(X$3="Tous",SUMIFS('Étape 1 - à remplir'!$F$31:$F$400,'Étape 1 - à remplir'!$E$31:$E$400,MASQ2!O63,'Étape 1 - à remplir'!$G$31:$G$400,"animaux"),SUMIFS('Étape 1 - à remplir'!$F$31:$F$400,'Étape 1 - à remplir'!$E$31:$E$400,MASQ2!O63,'Étape 1 - à remplir'!$P$31:$P$400,X$3)),IF(X$2="Atelier",IF(X$3="Tous",SUMIFS('Étape 1 - à remplir'!$F$31:$F$400,'Étape 1 - à remplir'!$E$31:$E$400,MASQ2!O63,'Étape 1 - à remplir'!$G$31:$G$400,"animaux"),SUMIFS('Étape 1 - à remplir'!$F$31:$F$400,'Étape 1 - à remplir'!$E$31:$E$400,MASQ2!O63,'Étape 1 - à remplir'!$O$31:$O$400,X$3)),IF(X$2="Espèce",IF(X$3="Toutes",SUMIFS('Étape 1 - à remplir'!$F$31:$F$400,'Étape 1 - à remplir'!$E$31:$E$400,MASQ2!O63,'Étape 1 - à remplir'!$G$31:$G$400,"animaux"),SUMIFS('Étape 1 - à remplir'!$F$31:$F$400,'Étape 1 - à remplir'!$E$31:$E$400,MASQ2!O63,'Étape 1 - à remplir'!$N$31:$N$400,X$3))))))=0,NA(),IF(X$2="Catégorie",IF(X$3="Toutes",SUMIFS('Étape 1 - à remplir'!$F$31:$F$400,'Étape 1 - à remplir'!$E$31:$E$400,MASQ2!O63,'Étape 1 - à remplir'!$G$31:$G$400,"animaux"),SUMIFS('Étape 1 - à remplir'!$F$31:$F$400,'Étape 1 - à remplir'!$E$31:$E$400,MASQ2!O63,'Étape 1 - à remplir'!$C$31:$C$400,X$3)),IF(X$2="Âge",IF(X$3="Tous",SUMIFS('Étape 1 - à remplir'!$F$31:$F$400,'Étape 1 - à remplir'!$E$31:$E$400,MASQ2!O63,'Étape 1 - à remplir'!$G$31:$G$400,"animaux"),SUMIFS('Étape 1 - à remplir'!$F$31:$F$400,'Étape 1 - à remplir'!$E$31:$E$400,MASQ2!O63,'Étape 1 - à remplir'!$P$31:$P$400,X$3)),IF(X$2="Atelier",IF(X$3="Tous",SUMIFS('Étape 1 - à remplir'!$F$31:$F$400,'Étape 1 - à remplir'!$E$31:$E$400,MASQ2!O63,'Étape 1 - à remplir'!$G$31:$G$400,"animaux"),SUMIFS('Étape 1 - à remplir'!$F$31:$F$400,'Étape 1 - à remplir'!$E$31:$E$400,MASQ2!O63,'Étape 1 - à remplir'!$O$31:$O$400,X$3)),IF(X$2="Espèce",IF(X$3="Toutes",SUMIFS('Étape 1 - à remplir'!$F$31:$F$400,'Étape 1 - à remplir'!$E$31:$E$400,MASQ2!O63,'Étape 1 - à remplir'!$G$31:$G$400,"animaux"),SUMIFS('Étape 1 - à remplir'!$F$31:$F$400,'Étape 1 - à remplir'!$E$31:$E$400,MASQ2!O63,'Étape 1 - à remplir'!$N$31:$N$400,X$3)))))))</f>
        <v>#N/A</v>
      </c>
      <c r="Q63" s="63">
        <f t="shared" si="62"/>
        <v>0</v>
      </c>
      <c r="R63" t="str">
        <f>Données_ATB!BM62</f>
        <v>Enrofloxacine</v>
      </c>
      <c r="S63" t="str">
        <f>Données_ATB!BN62</f>
        <v/>
      </c>
      <c r="T63" s="63" t="str">
        <f>Données_ATB!BO62</f>
        <v/>
      </c>
      <c r="U63" s="42" t="str">
        <f>Données_ATB!BQ62</f>
        <v>Fluoroquinolones</v>
      </c>
      <c r="V63" t="str">
        <f>Données_ATB!BR62</f>
        <v/>
      </c>
      <c r="W63" s="63" t="str">
        <f>Données_ATB!BS62</f>
        <v/>
      </c>
      <c r="Z63" s="42">
        <v>60</v>
      </c>
      <c r="AA63" t="e">
        <f t="shared" si="32"/>
        <v>#N/A</v>
      </c>
      <c r="AB63" s="63" t="e">
        <f t="shared" si="33"/>
        <v>#N/A</v>
      </c>
      <c r="AD63" s="194" t="str">
        <f>IF(AF63="Colistine","x",IF(INDEX(Données_ATB!CA$3:CB$63,MATCH(AF63,Données_ATB!CA$3:CA$63,0),2)="Fluoroquinolones","x",IF(INDEX(Données_ATB!CA$3:CB$63,MATCH(AF63,Données_ATB!CA$3:CA$63,0),2)="Cephalosporines 3&amp;4G","x","")))</f>
        <v/>
      </c>
      <c r="AE63" s="219" t="str">
        <f>IFERROR(IF(AG63=0,"",COUNTIF(AG$4:AG$64,"&gt;"&amp;AG63)+COUNTIF(AG$4:AG63,AG63)),"")</f>
        <v/>
      </c>
      <c r="AF63" s="42" t="str">
        <f>Données_ATB!CA62</f>
        <v>Tylvalosine</v>
      </c>
      <c r="AG63" s="63" t="e">
        <f t="shared" si="34"/>
        <v>#N/A</v>
      </c>
      <c r="AH63" s="42">
        <v>60</v>
      </c>
      <c r="AI63" t="e">
        <f t="shared" si="35"/>
        <v>#N/A</v>
      </c>
      <c r="AJ63" s="63" t="e">
        <f t="shared" si="36"/>
        <v>#N/A</v>
      </c>
      <c r="AT63" s="110" t="str">
        <f t="shared" si="125"/>
        <v/>
      </c>
      <c r="AU63" t="str">
        <f>IFERROR(SUMIFS('Étape 1 - à remplir'!$F$31:$F$400,'Étape 1 - à remplir'!$C$31:$C$400,IF($AT63="Lait","*Lait*",IF($AT63="Viande","*Viande*",IF($AT63="Reproduction","*Reproduction*",IF($AT63="Autre","*Autre*",IF($AT63="Loisir","*Loisir*",IF($AT63="Œufs","*Œufs*","")))))),'Étape 1 - à remplir'!$G$31:$G$400,"animaux",'Étape 1 - à remplir'!$M$31:$M$400,MASQ2!AU$43)/SUMIFS('Étape 1 - à remplir'!$F$19:$F$28,'Étape 1 - à remplir'!$D$19:$D$28,MASQ2!$AT63,'Étape 1 - à remplir'!$G$19:$G$28,"animaux"),"")</f>
        <v/>
      </c>
      <c r="AV63" t="str">
        <f>IFERROR(SUMIFS('Étape 1 - à remplir'!$F$31:$F$400,'Étape 1 - à remplir'!$C$31:$C$400,IF($AT63="Lait","*Lait*",IF($AT63="Viande","*Viande*",IF($AT63="Reproduction","*Reproduction*",IF($AT63="Autre","*Autre*",IF($AT63="Loisir","*Loisir*",IF($AT63="Œufs","*Œufs*","")))))),'Étape 1 - à remplir'!$G$31:$G$400,"animaux",'Étape 1 - à remplir'!$M$31:$M$400,MASQ2!AV$43)/SUMIFS('Étape 1 - à remplir'!$F$19:$F$28,'Étape 1 - à remplir'!$D$19:$D$28,MASQ2!$AT63,'Étape 1 - à remplir'!$G$19:$G$28,"animaux"),"")</f>
        <v/>
      </c>
      <c r="AW63" t="str">
        <f>IFERROR(SUMIFS('Étape 1 - à remplir'!$F$31:$F$400,'Étape 1 - à remplir'!$C$31:$C$400,IF($AT63="Lait","*Lait*",IF($AT63="Viande","*Viande*",IF($AT63="Reproduction","*Reproduction*",IF($AT63="Autre","*Autre*",IF($AT63="Loisir","*Loisir*",IF($AT63="Œufs","*Œufs*","")))))),'Étape 1 - à remplir'!$G$31:$G$400,"animaux",'Étape 1 - à remplir'!$M$31:$M$400,MASQ2!AW$43)/SUMIFS('Étape 1 - à remplir'!$F$19:$F$28,'Étape 1 - à remplir'!$D$19:$D$28,MASQ2!$AT63,'Étape 1 - à remplir'!$G$19:$G$28,"animaux"),"")</f>
        <v/>
      </c>
      <c r="AX63" t="str">
        <f>IFERROR(SUMIFS('Étape 1 - à remplir'!$F$31:$F$400,'Étape 1 - à remplir'!$C$31:$C$400,IF($AT63="Lait","*Lait*",IF($AT63="Viande","*Viande*",IF($AT63="Reproduction","*Reproduction*",IF($AT63="Autre","*Autre*",IF($AT63="Loisir","*Loisir*",IF($AT63="Œufs","*Œufs*","")))))),'Étape 1 - à remplir'!$G$31:$G$400,"animaux",'Étape 1 - à remplir'!$M$31:$M$400,MASQ2!AX$43)/SUMIFS('Étape 1 - à remplir'!$F$19:$F$28,'Étape 1 - à remplir'!$D$19:$D$28,MASQ2!$AT63,'Étape 1 - à remplir'!$G$19:$G$28,"animaux"),"")</f>
        <v/>
      </c>
      <c r="AY63" t="str">
        <f>IFERROR(SUMIFS('Étape 1 - à remplir'!$F$31:$F$400,'Étape 1 - à remplir'!$C$31:$C$400,IF($AT63="Lait","*Lait*",IF($AT63="Viande","*Viande*",IF($AT63="Reproduction","*Reproduction*",IF($AT63="Autre","*Autre*",IF($AT63="Loisir","*Loisir*",IF($AT63="Œufs","*Œufs*","")))))),'Étape 1 - à remplir'!$G$31:$G$400,"animaux",'Étape 1 - à remplir'!$M$31:$M$400,MASQ2!AY$43)/SUMIFS('Étape 1 - à remplir'!$F$19:$F$28,'Étape 1 - à remplir'!$D$19:$D$28,MASQ2!$AT63,'Étape 1 - à remplir'!$G$19:$G$28,"animaux"),"")</f>
        <v/>
      </c>
      <c r="AZ63" t="str">
        <f>IFERROR(SUMIFS('Étape 1 - à remplir'!$F$31:$F$400,'Étape 1 - à remplir'!$C$31:$C$400,IF($AT63="Lait","*Lait*",IF($AT63="Viande","*Viande*",IF($AT63="Reproduction","*Reproduction*",IF($AT63="Autre","*Autre*",IF($AT63="Loisir","*Loisir*",IF($AT63="Œufs","*Œufs*","")))))),'Étape 1 - à remplir'!$G$31:$G$400,"animaux",'Étape 1 - à remplir'!$M$31:$M$400,MASQ2!AZ$43)/SUMIFS('Étape 1 - à remplir'!$F$19:$F$28,'Étape 1 - à remplir'!$D$19:$D$28,MASQ2!$AT63,'Étape 1 - à remplir'!$G$19:$G$28,"animaux"),"")</f>
        <v/>
      </c>
      <c r="BA63" t="str">
        <f>IFERROR(SUMIFS('Étape 1 - à remplir'!$F$31:$F$400,'Étape 1 - à remplir'!$C$31:$C$400,IF($AT63="Lait","*Lait*",IF($AT63="Viande","*Viande*",IF($AT63="Reproduction","*Reproduction*",IF($AT63="Autre","*Autre*",IF($AT63="Loisir","*Loisir*",IF($AT63="Œufs","*Œufs*","")))))),'Étape 1 - à remplir'!$G$31:$G$400,"animaux",'Étape 1 - à remplir'!$M$31:$M$400,MASQ2!BA$43)/SUMIFS('Étape 1 - à remplir'!$F$19:$F$28,'Étape 1 - à remplir'!$D$19:$D$28,MASQ2!$AT63,'Étape 1 - à remplir'!$G$19:$G$28,"animaux"),"")</f>
        <v/>
      </c>
      <c r="BB63" t="str">
        <f>IFERROR(SUMIFS('Étape 1 - à remplir'!$F$31:$F$400,'Étape 1 - à remplir'!$C$31:$C$400,IF($AT63="Lait","*Lait*",IF($AT63="Viande","*Viande*",IF($AT63="Reproduction","*Reproduction*",IF($AT63="Autre","*Autre*",IF($AT63="Loisir","*Loisir*",IF($AT63="Œufs","*Œufs*","")))))),'Étape 1 - à remplir'!$G$31:$G$400,"animaux",'Étape 1 - à remplir'!$M$31:$M$400,MASQ2!BB$43)/SUMIFS('Étape 1 - à remplir'!$F$19:$F$28,'Étape 1 - à remplir'!$D$19:$D$28,MASQ2!$AT63,'Étape 1 - à remplir'!$G$19:$G$28,"animaux"),"")</f>
        <v/>
      </c>
      <c r="BC63" t="str">
        <f>IFERROR(SUMIFS('Étape 1 - à remplir'!$F$31:$F$400,'Étape 1 - à remplir'!$C$31:$C$400,IF($AT63="Lait","*Lait*",IF($AT63="Viande","*Viande*",IF($AT63="Reproduction","*Reproduction*",IF($AT63="Autre","*Autre*",IF($AT63="Loisir","*Loisir*",IF($AT63="Œufs","*Œufs*","")))))),'Étape 1 - à remplir'!$G$31:$G$400,"animaux",'Étape 1 - à remplir'!$M$31:$M$400,MASQ2!BC$43)/SUMIFS('Étape 1 - à remplir'!$F$19:$F$28,'Étape 1 - à remplir'!$D$19:$D$28,MASQ2!$AT63,'Étape 1 - à remplir'!$G$19:$G$28,"animaux"),"")</f>
        <v/>
      </c>
      <c r="BD63" t="str">
        <f>IFERROR(SUMIFS('Étape 1 - à remplir'!$F$31:$F$400,'Étape 1 - à remplir'!$C$31:$C$400,IF($AT63="Lait","*Lait*",IF($AT63="Viande","*Viande*",IF($AT63="Reproduction","*Reproduction*",IF($AT63="Autre","*Autre*",IF($AT63="Loisir","*Loisir*",IF($AT63="Œufs","*Œufs*","")))))),'Étape 1 - à remplir'!$G$31:$G$400,"animaux",'Étape 1 - à remplir'!$M$31:$M$400,MASQ2!BD$43)/SUMIFS('Étape 1 - à remplir'!$F$19:$F$28,'Étape 1 - à remplir'!$D$19:$D$28,MASQ2!$AT63,'Étape 1 - à remplir'!$G$19:$G$28,"animaux"),"")</f>
        <v/>
      </c>
      <c r="BE63" t="str">
        <f>IFERROR(SUMIFS('Étape 1 - à remplir'!$F$31:$F$400,'Étape 1 - à remplir'!$C$31:$C$400,IF($AT63="Lait","*Lait*",IF($AT63="Viande","*Viande*",IF($AT63="Reproduction","*Reproduction*",IF($AT63="Autre","*Autre*",IF($AT63="Loisir","*Loisir*",IF($AT63="Œufs","*Œufs*","")))))),'Étape 1 - à remplir'!$G$31:$G$400,"animaux",'Étape 1 - à remplir'!$M$31:$M$400,MASQ2!BE$43)/SUMIFS('Étape 1 - à remplir'!$F$19:$F$28,'Étape 1 - à remplir'!$D$19:$D$28,MASQ2!$AT63,'Étape 1 - à remplir'!$G$19:$G$28,"animaux"),"")</f>
        <v/>
      </c>
      <c r="BF63" s="76" t="str">
        <f>IFERROR(SUMIFS('Étape 1 - à remplir'!$F$31:$F$400,'Étape 1 - à remplir'!$C$31:$C$400,IF($AT63="Lait","*Lait*",IF($AT63="Viande","*Viande*",IF($AT63="Reproduction","*Reproduction*",IF($AT63="Autre","*Autre*",IF($AT63="Loisir","*Loisir*",IF($AT63="Œufs","*Œufs*","")))))),'Étape 1 - à remplir'!$G$31:$G$400,"animaux",'Étape 1 - à remplir'!$M$31:$M$400,MASQ2!BF$43)/SUMIFS('Étape 1 - à remplir'!$F$19:$F$28,'Étape 1 - à remplir'!$D$19:$D$28,MASQ2!$AT63,'Étape 1 - à remplir'!$G$19:$G$28,"animaux"),"")</f>
        <v/>
      </c>
      <c r="BT63" s="194" t="str">
        <f t="shared" ca="1" si="5"/>
        <v>x</v>
      </c>
      <c r="BU63" s="219" t="str">
        <f>IFERROR(IF(BX63=0,"",COUNTIF(BX$4:BX$600,"&gt;"&amp;BX63)+COUNTIF(BX$4:BX63,BX63)),"")</f>
        <v/>
      </c>
      <c r="BV63" s="42" t="str">
        <f t="shared" si="6"/>
        <v>BAYTRIL 10 % SOLUTION BUVABLE</v>
      </c>
      <c r="BW63" t="e">
        <f>IF(IF(CE$2="Catégorie",IF(CE$3="Toutes",SUMIFS('Étape 1 - à remplir'!$F$31:$F$400,'Étape 1 - à remplir'!$E$31:$E$400,MASQ2!BV63,'Étape 1 - à remplir'!$G$31:$G$400,"lots"),SUMIFS('Étape 1 - à remplir'!$F$31:$F$400,'Étape 1 - à remplir'!$E$31:$E$400,MASQ2!BV63,'Étape 1 - à remplir'!$C$31:$C$400,CE$3)),IF(CE$2="Âge",IF(CE$3="Tous",SUMIFS('Étape 1 - à remplir'!$F$31:$F$400,'Étape 1 - à remplir'!$E$31:$E$400,MASQ2!BV63,'Étape 1 - à remplir'!$G$31:$G$400,"lots"),SUMIFS('Étape 1 - à remplir'!$F$31:$F$400,'Étape 1 - à remplir'!$E$31:$E$400,MASQ2!BV63,'Étape 1 - à remplir'!$P$31:$P$400,CE$3,'Étape 1 - à remplir'!$G$31:$G$400,"lots")),IF(CE$2="Atelier",IF(CE$3="Tous",SUMIFS('Étape 1 - à remplir'!$F$31:$F$400,'Étape 1 - à remplir'!$E$31:$E$400,MASQ2!BV63,'Étape 1 - à remplir'!$G$31:$G$400,"lots"),SUMIFS('Étape 1 - à remplir'!$F$31:$F$400,'Étape 1 - à remplir'!$E$31:$E$400,MASQ2!BV63,'Étape 1 - à remplir'!$O$31:$O$400,CE$3,'Étape 1 - à remplir'!$G$31:$G$400,"lots")),IF(CE$2="Espèce",IF(CE$3="Toutes",SUMIFS('Étape 1 - à remplir'!$F$31:$F$400,'Étape 1 - à remplir'!$E$31:$E$400,MASQ2!BV63,'Étape 1 - à remplir'!$G$31:$G$400,"lots"),SUMIFS('Étape 1 - à remplir'!$F$31:$F$400,'Étape 1 - à remplir'!$E$31:$E$400,MASQ2!BV63,'Étape 1 - à remplir'!$N$31:$N$400,CE$3,'Étape 1 - à remplir'!$G$31:$G$400,"lots"))))))=0,NA(),IF(CE$2="Catégorie",IF(CE$3="Toutes",SUMIFS('Étape 1 - à remplir'!$F$31:$F$400,'Étape 1 - à remplir'!$E$31:$E$400,MASQ2!BV63,'Étape 1 - à remplir'!$G$31:$G$400,"lots"),SUMIFS('Étape 1 - à remplir'!$F$31:$F$400,'Étape 1 - à remplir'!$E$31:$E$400,MASQ2!BV63,'Étape 1 - à remplir'!$C$31:$C$400,CE$3)),IF(CE$2="Âge",IF(CE$3="Tous",SUMIFS('Étape 1 - à remplir'!$F$31:$F$400,'Étape 1 - à remplir'!$E$31:$E$400,MASQ2!BV63,'Étape 1 - à remplir'!$G$31:$G$400,"lots"),SUMIFS('Étape 1 - à remplir'!$F$31:$F$400,'Étape 1 - à remplir'!$E$31:$E$400,MASQ2!BV63,'Étape 1 - à remplir'!$P$31:$P$400,CE$3,'Étape 1 - à remplir'!$G$31:$G$400,"lots")),IF(CE$2="Atelier",IF(CE$3="Tous",SUMIFS('Étape 1 - à remplir'!$F$31:$F$400,'Étape 1 - à remplir'!$E$31:$E$400,MASQ2!BV63,'Étape 1 - à remplir'!$G$31:$G$400,"lots"),SUMIFS('Étape 1 - à remplir'!$F$31:$F$400,'Étape 1 - à remplir'!$E$31:$E$400,MASQ2!BV63,'Étape 1 - à remplir'!$O$31:$O$400,CE$3,'Étape 1 - à remplir'!$G$31:$G$400,"lots")),IF(CE$2="Espèce",IF(CE$3="Toutes",SUMIFS('Étape 1 - à remplir'!$F$31:$F$400,'Étape 1 - à remplir'!$E$31:$E$400,MASQ2!BV63,'Étape 1 - à remplir'!$G$31:$G$400,"lots"),SUMIFS('Étape 1 - à remplir'!$F$31:$F$400,'Étape 1 - à remplir'!$E$31:$E$400,MASQ2!BV63,'Étape 1 - à remplir'!$N$31:$N$400,CE$3,'Étape 1 - à remplir'!$G$31:$G$400,"lots")))))))</f>
        <v>#N/A</v>
      </c>
      <c r="BX63">
        <f t="shared" si="42"/>
        <v>0</v>
      </c>
      <c r="BY63" t="str">
        <f t="shared" si="7"/>
        <v>Enrofloxacine</v>
      </c>
      <c r="BZ63" t="str">
        <f t="shared" si="8"/>
        <v/>
      </c>
      <c r="CA63" t="str">
        <f t="shared" si="9"/>
        <v/>
      </c>
      <c r="CB63" t="str">
        <f t="shared" si="10"/>
        <v>Fluoroquinolones</v>
      </c>
      <c r="CC63" t="str">
        <f t="shared" si="11"/>
        <v/>
      </c>
      <c r="CD63" s="63" t="str">
        <f t="shared" si="12"/>
        <v/>
      </c>
      <c r="CG63" s="42">
        <v>60</v>
      </c>
      <c r="CH63" s="42" t="e">
        <f t="shared" si="80"/>
        <v>#N/A</v>
      </c>
      <c r="CI63" s="63" t="e">
        <f t="shared" si="81"/>
        <v>#N/A</v>
      </c>
      <c r="CK63" s="194" t="str">
        <f t="shared" si="118"/>
        <v/>
      </c>
      <c r="CL63" s="226" t="str">
        <f>IFERROR(IF(CN63=0,"",COUNTIF(CN$4:CN$64,"&gt;"&amp;CN63)+COUNTIF(CN$4:CN63,CN63)),"")</f>
        <v/>
      </c>
      <c r="CM63" t="str">
        <f t="shared" si="119"/>
        <v>Tylvalosine</v>
      </c>
      <c r="CN63" s="76" t="e">
        <f t="shared" si="45"/>
        <v>#N/A</v>
      </c>
      <c r="CO63">
        <v>60</v>
      </c>
      <c r="CP63" t="e">
        <f t="shared" si="46"/>
        <v>#N/A</v>
      </c>
      <c r="CQ63" s="63" t="e">
        <f t="shared" si="47"/>
        <v>#N/A</v>
      </c>
      <c r="DA63" s="110" t="str">
        <f t="shared" si="126"/>
        <v/>
      </c>
      <c r="DB63" s="119" t="str">
        <f>IFERROR(SUMIFS('Étape 1 - à remplir'!$F$31:$F$400,'Étape 1 - à remplir'!$C$31:$C$400,IF($DA63="Lait","*Lait*",IF($DA63="Viande","*Viande*",IF($DA63="Reproduction","*Reproduction*",IF($DA63="Autre","*Autre*",IF($DA63="Loisir","*Loisir*",IF($DA63="Œufs","*Œufs*","")))))),'Étape 1 - à remplir'!$G$31:$G$400,"lots",'Étape 1 - à remplir'!$M$31:$M$400,MASQ2!DB$43)/SUMIFS('Étape 1 - à remplir'!$F$19:$F$28,'Étape 1 - à remplir'!$D$19:$D$28,MASQ2!$DA63,'Étape 1 - à remplir'!$G$19:$G$28,"lots"),"")</f>
        <v/>
      </c>
      <c r="DC63" s="111" t="str">
        <f>IFERROR(SUMIFS('Étape 1 - à remplir'!$F$31:$F$400,'Étape 1 - à remplir'!$C$31:$C$400,IF($DA63="Lait","*Lait*",IF($DA63="Viande","*Viande*",IF($DA63="Reproduction","*Reproduction*",IF($DA63="Autre","*Autre*",IF($DA63="Loisir","*Loisir*",IF($DA63="Œufs","*Œufs*","")))))),'Étape 1 - à remplir'!$G$31:$G$400,"lots",'Étape 1 - à remplir'!$M$31:$M$400,MASQ2!DC$43)/SUMIFS('Étape 1 - à remplir'!$F$19:$F$28,'Étape 1 - à remplir'!$D$19:$D$28,MASQ2!$DA63,'Étape 1 - à remplir'!$G$19:$G$28,"lots"),"")</f>
        <v/>
      </c>
      <c r="DD63" s="111" t="str">
        <f>IFERROR(SUMIFS('Étape 1 - à remplir'!$F$31:$F$400,'Étape 1 - à remplir'!$C$31:$C$400,IF($DA63="Lait","*Lait*",IF($DA63="Viande","*Viande*",IF($DA63="Reproduction","*Reproduction*",IF($DA63="Autre","*Autre*",IF($DA63="Loisir","*Loisir*",IF($DA63="Œufs","*Œufs*","")))))),'Étape 1 - à remplir'!$G$31:$G$400,"lots",'Étape 1 - à remplir'!$M$31:$M$400,MASQ2!DD$43)/SUMIFS('Étape 1 - à remplir'!$F$19:$F$28,'Étape 1 - à remplir'!$D$19:$D$28,MASQ2!$DA63,'Étape 1 - à remplir'!$G$19:$G$28,"lots"),"")</f>
        <v/>
      </c>
      <c r="DE63" s="111" t="str">
        <f>IFERROR(SUMIFS('Étape 1 - à remplir'!$F$31:$F$400,'Étape 1 - à remplir'!$C$31:$C$400,IF($DA63="Lait","*Lait*",IF($DA63="Viande","*Viande*",IF($DA63="Reproduction","*Reproduction*",IF($DA63="Autre","*Autre*",IF($DA63="Loisir","*Loisir*",IF($DA63="Œufs","*Œufs*","")))))),'Étape 1 - à remplir'!$G$31:$G$400,"lots",'Étape 1 - à remplir'!$M$31:$M$400,MASQ2!DE$43)/SUMIFS('Étape 1 - à remplir'!$F$19:$F$28,'Étape 1 - à remplir'!$D$19:$D$28,MASQ2!$DA63,'Étape 1 - à remplir'!$G$19:$G$28,"lots"),"")</f>
        <v/>
      </c>
      <c r="DF63" s="111" t="str">
        <f>IFERROR(SUMIFS('Étape 1 - à remplir'!$F$31:$F$400,'Étape 1 - à remplir'!$C$31:$C$400,IF($DA63="Lait","*Lait*",IF($DA63="Viande","*Viande*",IF($DA63="Reproduction","*Reproduction*",IF($DA63="Autre","*Autre*",IF($DA63="Loisir","*Loisir*",IF($DA63="Œufs","*Œufs*","")))))),'Étape 1 - à remplir'!$G$31:$G$400,"lots",'Étape 1 - à remplir'!$M$31:$M$400,MASQ2!DF$43)/SUMIFS('Étape 1 - à remplir'!$F$19:$F$28,'Étape 1 - à remplir'!$D$19:$D$28,MASQ2!$DA63,'Étape 1 - à remplir'!$G$19:$G$28,"lots"),"")</f>
        <v/>
      </c>
      <c r="DG63" s="111" t="str">
        <f>IFERROR(SUMIFS('Étape 1 - à remplir'!$F$31:$F$400,'Étape 1 - à remplir'!$C$31:$C$400,IF($DA63="Lait","*Lait*",IF($DA63="Viande","*Viande*",IF($DA63="Reproduction","*Reproduction*",IF($DA63="Autre","*Autre*",IF($DA63="Loisir","*Loisir*",IF($DA63="Œufs","*Œufs*","")))))),'Étape 1 - à remplir'!$G$31:$G$400,"lots",'Étape 1 - à remplir'!$M$31:$M$400,MASQ2!DG$43)/SUMIFS('Étape 1 - à remplir'!$F$19:$F$28,'Étape 1 - à remplir'!$D$19:$D$28,MASQ2!$DA63,'Étape 1 - à remplir'!$G$19:$G$28,"lots"),"")</f>
        <v/>
      </c>
      <c r="DH63" s="111" t="str">
        <f>IFERROR(SUMIFS('Étape 1 - à remplir'!$F$31:$F$400,'Étape 1 - à remplir'!$C$31:$C$400,IF($DA63="Lait","*Lait*",IF($DA63="Viande","*Viande*",IF($DA63="Reproduction","*Reproduction*",IF($DA63="Autre","*Autre*",IF($DA63="Loisir","*Loisir*",IF($DA63="Œufs","*Œufs*","")))))),'Étape 1 - à remplir'!$G$31:$G$400,"lots",'Étape 1 - à remplir'!$M$31:$M$400,MASQ2!DH$43)/SUMIFS('Étape 1 - à remplir'!$F$19:$F$28,'Étape 1 - à remplir'!$D$19:$D$28,MASQ2!$DA63,'Étape 1 - à remplir'!$G$19:$G$28,"lots"),"")</f>
        <v/>
      </c>
      <c r="DI63" s="111" t="str">
        <f>IFERROR(SUMIFS('Étape 1 - à remplir'!$F$31:$F$400,'Étape 1 - à remplir'!$C$31:$C$400,IF($DA63="Lait","*Lait*",IF($DA63="Viande","*Viande*",IF($DA63="Reproduction","*Reproduction*",IF($DA63="Autre","*Autre*",IF($DA63="Loisir","*Loisir*",IF($DA63="Œufs","*Œufs*","")))))),'Étape 1 - à remplir'!$G$31:$G$400,"lots",'Étape 1 - à remplir'!$M$31:$M$400,MASQ2!DI$43)/SUMIFS('Étape 1 - à remplir'!$F$19:$F$28,'Étape 1 - à remplir'!$D$19:$D$28,MASQ2!$DA63,'Étape 1 - à remplir'!$G$19:$G$28,"lots"),"")</f>
        <v/>
      </c>
      <c r="DJ63" s="111" t="str">
        <f>IFERROR(SUMIFS('Étape 1 - à remplir'!$F$31:$F$400,'Étape 1 - à remplir'!$C$31:$C$400,IF($DA63="Lait","*Lait*",IF($DA63="Viande","*Viande*",IF($DA63="Reproduction","*Reproduction*",IF($DA63="Autre","*Autre*",IF($DA63="Loisir","*Loisir*",IF($DA63="Œufs","*Œufs*","")))))),'Étape 1 - à remplir'!$G$31:$G$400,"lots",'Étape 1 - à remplir'!$M$31:$M$400,MASQ2!DJ$43)/SUMIFS('Étape 1 - à remplir'!$F$19:$F$28,'Étape 1 - à remplir'!$D$19:$D$28,MASQ2!$DA63,'Étape 1 - à remplir'!$G$19:$G$28,"lots"),"")</f>
        <v/>
      </c>
      <c r="DK63" s="111" t="str">
        <f>IFERROR(SUMIFS('Étape 1 - à remplir'!$F$31:$F$400,'Étape 1 - à remplir'!$C$31:$C$400,IF($DA63="Lait","*Lait*",IF($DA63="Viande","*Viande*",IF($DA63="Reproduction","*Reproduction*",IF($DA63="Autre","*Autre*",IF($DA63="Loisir","*Loisir*",IF($DA63="Œufs","*Œufs*","")))))),'Étape 1 - à remplir'!$G$31:$G$400,"lots",'Étape 1 - à remplir'!$M$31:$M$400,MASQ2!DK$43)/SUMIFS('Étape 1 - à remplir'!$F$19:$F$28,'Étape 1 - à remplir'!$D$19:$D$28,MASQ2!$DA63,'Étape 1 - à remplir'!$G$19:$G$28,"lots"),"")</f>
        <v/>
      </c>
      <c r="DL63" s="111" t="str">
        <f>IFERROR(SUMIFS('Étape 1 - à remplir'!$F$31:$F$400,'Étape 1 - à remplir'!$C$31:$C$400,IF($DA63="Lait","*Lait*",IF($DA63="Viande","*Viande*",IF($DA63="Reproduction","*Reproduction*",IF($DA63="Autre","*Autre*",IF($DA63="Loisir","*Loisir*",IF($DA63="Œufs","*Œufs*","")))))),'Étape 1 - à remplir'!$G$31:$G$400,"lots",'Étape 1 - à remplir'!$M$31:$M$400,MASQ2!DL$43)/SUMIFS('Étape 1 - à remplir'!$F$19:$F$28,'Étape 1 - à remplir'!$D$19:$D$28,MASQ2!$DA63,'Étape 1 - à remplir'!$G$19:$G$28,"lots"),"")</f>
        <v/>
      </c>
      <c r="DM63" s="115" t="str">
        <f>IFERROR(SUMIFS('Étape 1 - à remplir'!$F$31:$F$400,'Étape 1 - à remplir'!$C$31:$C$400,IF($DA63="Lait","*Lait*",IF($DA63="Viande","*Viande*",IF($DA63="Reproduction","*Reproduction*",IF($DA63="Autre","*Autre*",IF($DA63="Loisir","*Loisir*",IF($DA63="Œufs","*Œufs*","")))))),'Étape 1 - à remplir'!$G$31:$G$400,"lots",'Étape 1 - à remplir'!$M$31:$M$400,MASQ2!DM$43)/SUMIFS('Étape 1 - à remplir'!$F$19:$F$28,'Étape 1 - à remplir'!$D$19:$D$28,MASQ2!$DA63,'Étape 1 - à remplir'!$G$19:$G$28,"lots"),"")</f>
        <v/>
      </c>
      <c r="EA63" s="194" t="str">
        <f t="shared" ca="1" si="18"/>
        <v>x</v>
      </c>
      <c r="EB63" s="226" t="str">
        <f>IFERROR(IF(ED63=0,"",COUNTIF(ED$4:ED$600,"&gt;"&amp;ED63)+COUNTIF(ED$4:ED63,ED63)),"")</f>
        <v/>
      </c>
      <c r="EC63" t="str">
        <f t="shared" si="19"/>
        <v>BAYTRIL 10 % SOLUTION BUVABLE</v>
      </c>
      <c r="ED63" t="e">
        <f>IF(IF(EL$2="Catégorie",IF(EL$3="Toutes",SUMIFS('Étape 1 - à remplir'!$F$31:$F$400,'Étape 1 - à remplir'!$E$31:$E$400,MASQ2!EC63,'Étape 1 - à remplir'!$G$31:$G$400,"kg"),SUMIFS('Étape 1 - à remplir'!$F$31:$F$400,'Étape 1 - à remplir'!$E$31:$E$400,MASQ2!EC63,'Étape 1 - à remplir'!$C$31:$C$400,EL$3)),IF(EL$2="Âge",IF(EL$3="Tous",SUMIFS('Étape 1 - à remplir'!$F$31:$F$400,'Étape 1 - à remplir'!$E$31:$E$400,MASQ2!EC63,'Étape 1 - à remplir'!$G$31:$G$400,"kg"),SUMIFS('Étape 1 - à remplir'!$F$31:$F$400,'Étape 1 - à remplir'!$E$31:$E$400,MASQ2!EC63,'Étape 1 - à remplir'!$P$31:$P$400,EL$3,'Étape 1 - à remplir'!$G$31:$G$400,"kg")),IF(EL$2="Atelier",IF(EL$3="Tous",SUMIFS('Étape 1 - à remplir'!$F$31:$F$400,'Étape 1 - à remplir'!$E$31:$E$400,MASQ2!EC63,'Étape 1 - à remplir'!$G$31:$G$400,"kg"),SUMIFS('Étape 1 - à remplir'!$F$31:$F$400,'Étape 1 - à remplir'!$E$31:$E$400,MASQ2!EC63,'Étape 1 - à remplir'!$O$31:$O$400,EL$3,'Étape 1 - à remplir'!$G$31:$G$400,"kg")),IF(EL$2="Espèce",IF(EL$3="Toutes",SUMIFS('Étape 1 - à remplir'!$F$31:$F$400,'Étape 1 - à remplir'!$E$31:$E$400,MASQ2!EC63,'Étape 1 - à remplir'!$G$31:$G$400,"kg"),SUMIFS('Étape 1 - à remplir'!$F$31:$F$400,'Étape 1 - à remplir'!$E$31:$E$400,MASQ2!EC63,'Étape 1 - à remplir'!$N$31:$N$400,EL$3,'Étape 1 - à remplir'!$G$31:$G$400,"kg"))))))=0,NA(),IF(EL$2="Catégorie",IF(EL$3="Toutes",SUMIFS('Étape 1 - à remplir'!$F$31:$F$400,'Étape 1 - à remplir'!$E$31:$E$400,MASQ2!EC63,'Étape 1 - à remplir'!$G$31:$G$400,"kg"),SUMIFS('Étape 1 - à remplir'!$F$31:$F$400,'Étape 1 - à remplir'!$E$31:$E$400,MASQ2!EC63,'Étape 1 - à remplir'!$C$31:$C$400,EL$3)),IF(EL$2="Âge",IF(EL$3="Tous",SUMIFS('Étape 1 - à remplir'!$F$31:$F$400,'Étape 1 - à remplir'!$E$31:$E$400,MASQ2!EC63,'Étape 1 - à remplir'!$G$31:$G$400,"kg"),SUMIFS('Étape 1 - à remplir'!$F$31:$F$400,'Étape 1 - à remplir'!$E$31:$E$400,MASQ2!EC63,'Étape 1 - à remplir'!$P$31:$P$400,EL$3,'Étape 1 - à remplir'!$G$31:$G$400,"kg")),IF(EL$2="Atelier",IF(EL$3="Tous",SUMIFS('Étape 1 - à remplir'!$F$31:$F$400,'Étape 1 - à remplir'!$E$31:$E$400,MASQ2!EC63,'Étape 1 - à remplir'!$G$31:$G$400,"kg"),SUMIFS('Étape 1 - à remplir'!$F$31:$F$400,'Étape 1 - à remplir'!$E$31:$E$400,MASQ2!EC63,'Étape 1 - à remplir'!$O$31:$O$400,EL$3,'Étape 1 - à remplir'!$G$31:$G$400,"kg")),IF(EL$2="Espèce",IF(EL$3="Toutes",SUMIFS('Étape 1 - à remplir'!$F$31:$F$400,'Étape 1 - à remplir'!$E$31:$E$400,MASQ2!EC63,'Étape 1 - à remplir'!$G$31:$G$400,"kg"),SUMIFS('Étape 1 - à remplir'!$F$31:$F$400,'Étape 1 - à remplir'!$E$31:$E$400,MASQ2!EC63,'Étape 1 - à remplir'!$N$31:$N$400,EL$3,'Étape 1 - à remplir'!$G$31:$G$400,"kg")))))))</f>
        <v>#N/A</v>
      </c>
      <c r="EE63" s="76">
        <f t="shared" si="53"/>
        <v>0</v>
      </c>
      <c r="EF63" t="str">
        <f t="shared" si="20"/>
        <v>Enrofloxacine</v>
      </c>
      <c r="EG63" t="str">
        <f t="shared" si="21"/>
        <v/>
      </c>
      <c r="EH63" t="str">
        <f t="shared" si="22"/>
        <v/>
      </c>
      <c r="EI63" t="str">
        <f t="shared" si="23"/>
        <v>Fluoroquinolones</v>
      </c>
      <c r="EJ63" t="str">
        <f t="shared" si="24"/>
        <v/>
      </c>
      <c r="EK63" s="63" t="str">
        <f t="shared" si="25"/>
        <v/>
      </c>
      <c r="EN63" s="42">
        <v>60</v>
      </c>
      <c r="EO63" t="e">
        <f t="shared" si="68"/>
        <v>#N/A</v>
      </c>
      <c r="EP63" s="63" t="e">
        <f t="shared" si="69"/>
        <v>#N/A</v>
      </c>
      <c r="ER63" s="194" t="str">
        <f t="shared" si="120"/>
        <v/>
      </c>
      <c r="ES63" s="226" t="str">
        <f>IFERROR(IF(EU63=0,"",COUNTIF(EU$4:EU$64,"&gt;"&amp;EU63)+COUNTIF(EU$4:EU63,EU63)),"")</f>
        <v/>
      </c>
      <c r="ET63" t="str">
        <f t="shared" si="121"/>
        <v>Tylvalosine</v>
      </c>
      <c r="EU63" s="76" t="e">
        <f t="shared" si="56"/>
        <v>#N/A</v>
      </c>
      <c r="EV63">
        <v>60</v>
      </c>
      <c r="EW63" t="e">
        <f t="shared" si="57"/>
        <v>#N/A</v>
      </c>
      <c r="EX63" s="63" t="e">
        <f t="shared" si="58"/>
        <v>#N/A</v>
      </c>
      <c r="FH63" s="119" t="str">
        <f t="shared" si="127"/>
        <v/>
      </c>
      <c r="FI63" s="118" t="str">
        <f>IFERROR(SUMIFS('Étape 1 - à remplir'!$F$31:$F$400,'Étape 1 - à remplir'!$C$31:$C$400,IF($FH63="Lait","*Lait*",IF($FH63="Viande","*Viande*",IF($FH63="Reproduction","*Reproduction*",IF($FH63="Autre","*Autre*",IF($FH63="Loisir","*Loisir*",IF($FH63="Œufs","*Œufs*","")))))),'Étape 1 - à remplir'!$G$31:$G$400,"kg",'Étape 1 - à remplir'!$M$31:$M$400,MASQ2!FI$43)/SUMIFS('Étape 1 - à remplir'!$F$19:$F$28,'Étape 1 - à remplir'!$D$19:$D$28,MASQ2!$FH63,'Étape 1 - à remplir'!$G$19:$G$28,"kg"),"")</f>
        <v/>
      </c>
      <c r="FJ63" t="str">
        <f>IFERROR(SUMIFS('Étape 1 - à remplir'!$F$31:$F$400,'Étape 1 - à remplir'!$C$31:$C$400,IF($FH63="Lait","*Lait*",IF($FH63="Viande","*Viande*",IF($FH63="Reproduction","*Reproduction*",IF($FH63="Autre","*Autre*",IF($FH63="Loisir","*Loisir*",IF($FH63="Œufs","*Œufs*","")))))),'Étape 1 - à remplir'!$G$31:$G$400,"kg",'Étape 1 - à remplir'!$M$31:$M$400,MASQ2!FJ$43)/SUMIFS('Étape 1 - à remplir'!$F$19:$F$28,'Étape 1 - à remplir'!$D$19:$D$28,MASQ2!$FH63,'Étape 1 - à remplir'!$G$19:$G$28,"kg"),"")</f>
        <v/>
      </c>
      <c r="FK63" t="str">
        <f>IFERROR(SUMIFS('Étape 1 - à remplir'!$F$31:$F$400,'Étape 1 - à remplir'!$C$31:$C$400,IF($FH63="Lait","*Lait*",IF($FH63="Viande","*Viande*",IF($FH63="Reproduction","*Reproduction*",IF($FH63="Autre","*Autre*",IF($FH63="Loisir","*Loisir*",IF($FH63="Œufs","*Œufs*","")))))),'Étape 1 - à remplir'!$G$31:$G$400,"kg",'Étape 1 - à remplir'!$M$31:$M$400,MASQ2!FK$43)/SUMIFS('Étape 1 - à remplir'!$F$19:$F$28,'Étape 1 - à remplir'!$D$19:$D$28,MASQ2!$FH63,'Étape 1 - à remplir'!$G$19:$G$28,"kg"),"")</f>
        <v/>
      </c>
      <c r="FL63" t="str">
        <f>IFERROR(SUMIFS('Étape 1 - à remplir'!$F$31:$F$400,'Étape 1 - à remplir'!$C$31:$C$400,IF($FH63="Lait","*Lait*",IF($FH63="Viande","*Viande*",IF($FH63="Reproduction","*Reproduction*",IF($FH63="Autre","*Autre*",IF($FH63="Loisir","*Loisir*",IF($FH63="Œufs","*Œufs*","")))))),'Étape 1 - à remplir'!$G$31:$G$400,"kg",'Étape 1 - à remplir'!$M$31:$M$400,MASQ2!FL$43)/SUMIFS('Étape 1 - à remplir'!$F$19:$F$28,'Étape 1 - à remplir'!$D$19:$D$28,MASQ2!$FH63,'Étape 1 - à remplir'!$G$19:$G$28,"kg"),"")</f>
        <v/>
      </c>
      <c r="FM63" t="str">
        <f>IFERROR(SUMIFS('Étape 1 - à remplir'!$F$31:$F$400,'Étape 1 - à remplir'!$C$31:$C$400,IF($FH63="Lait","*Lait*",IF($FH63="Viande","*Viande*",IF($FH63="Reproduction","*Reproduction*",IF($FH63="Autre","*Autre*",IF($FH63="Loisir","*Loisir*",IF($FH63="Œufs","*Œufs*","")))))),'Étape 1 - à remplir'!$G$31:$G$400,"kg",'Étape 1 - à remplir'!$M$31:$M$400,MASQ2!FM$43)/SUMIFS('Étape 1 - à remplir'!$F$19:$F$28,'Étape 1 - à remplir'!$D$19:$D$28,MASQ2!$FH63,'Étape 1 - à remplir'!$G$19:$G$28,"kg"),"")</f>
        <v/>
      </c>
      <c r="FN63" t="str">
        <f>IFERROR(SUMIFS('Étape 1 - à remplir'!$F$31:$F$400,'Étape 1 - à remplir'!$C$31:$C$400,IF($FH63="Lait","*Lait*",IF($FH63="Viande","*Viande*",IF($FH63="Reproduction","*Reproduction*",IF($FH63="Autre","*Autre*",IF($FH63="Loisir","*Loisir*",IF($FH63="Œufs","*Œufs*","")))))),'Étape 1 - à remplir'!$G$31:$G$400,"kg",'Étape 1 - à remplir'!$M$31:$M$400,MASQ2!FN$43)/SUMIFS('Étape 1 - à remplir'!$F$19:$F$28,'Étape 1 - à remplir'!$D$19:$D$28,MASQ2!$FH63,'Étape 1 - à remplir'!$G$19:$G$28,"kg"),"")</f>
        <v/>
      </c>
      <c r="FO63" t="str">
        <f>IFERROR(SUMIFS('Étape 1 - à remplir'!$F$31:$F$400,'Étape 1 - à remplir'!$C$31:$C$400,IF($FH63="Lait","*Lait*",IF($FH63="Viande","*Viande*",IF($FH63="Reproduction","*Reproduction*",IF($FH63="Autre","*Autre*",IF($FH63="Loisir","*Loisir*",IF($FH63="Œufs","*Œufs*","")))))),'Étape 1 - à remplir'!$G$31:$G$400,"kg",'Étape 1 - à remplir'!$M$31:$M$400,MASQ2!FO$43)/SUMIFS('Étape 1 - à remplir'!$F$19:$F$28,'Étape 1 - à remplir'!$D$19:$D$28,MASQ2!$FH63,'Étape 1 - à remplir'!$G$19:$G$28,"kg"),"")</f>
        <v/>
      </c>
      <c r="FP63" t="str">
        <f>IFERROR(SUMIFS('Étape 1 - à remplir'!$F$31:$F$400,'Étape 1 - à remplir'!$C$31:$C$400,IF($FH63="Lait","*Lait*",IF($FH63="Viande","*Viande*",IF($FH63="Reproduction","*Reproduction*",IF($FH63="Autre","*Autre*",IF($FH63="Loisir","*Loisir*",IF($FH63="Œufs","*Œufs*","")))))),'Étape 1 - à remplir'!$G$31:$G$400,"kg",'Étape 1 - à remplir'!$M$31:$M$400,MASQ2!FP$43)/SUMIFS('Étape 1 - à remplir'!$F$19:$F$28,'Étape 1 - à remplir'!$D$19:$D$28,MASQ2!$FH63,'Étape 1 - à remplir'!$G$19:$G$28,"kg"),"")</f>
        <v/>
      </c>
      <c r="FQ63" t="str">
        <f>IFERROR(SUMIFS('Étape 1 - à remplir'!$F$31:$F$400,'Étape 1 - à remplir'!$C$31:$C$400,IF($FH63="Lait","*Lait*",IF($FH63="Viande","*Viande*",IF($FH63="Reproduction","*Reproduction*",IF($FH63="Autre","*Autre*",IF($FH63="Loisir","*Loisir*",IF($FH63="Œufs","*Œufs*","")))))),'Étape 1 - à remplir'!$G$31:$G$400,"kg",'Étape 1 - à remplir'!$M$31:$M$400,MASQ2!FQ$43)/SUMIFS('Étape 1 - à remplir'!$F$19:$F$28,'Étape 1 - à remplir'!$D$19:$D$28,MASQ2!$FH63,'Étape 1 - à remplir'!$G$19:$G$28,"kg"),"")</f>
        <v/>
      </c>
      <c r="FR63" t="str">
        <f>IFERROR(SUMIFS('Étape 1 - à remplir'!$F$31:$F$400,'Étape 1 - à remplir'!$C$31:$C$400,IF($FH63="Lait","*Lait*",IF($FH63="Viande","*Viande*",IF($FH63="Reproduction","*Reproduction*",IF($FH63="Autre","*Autre*",IF($FH63="Loisir","*Loisir*",IF($FH63="Œufs","*Œufs*","")))))),'Étape 1 - à remplir'!$G$31:$G$400,"kg",'Étape 1 - à remplir'!$M$31:$M$400,MASQ2!FR$43)/SUMIFS('Étape 1 - à remplir'!$F$19:$F$28,'Étape 1 - à remplir'!$D$19:$D$28,MASQ2!$FH63,'Étape 1 - à remplir'!$G$19:$G$28,"kg"),"")</f>
        <v/>
      </c>
      <c r="FS63" t="str">
        <f>IFERROR(SUMIFS('Étape 1 - à remplir'!$F$31:$F$400,'Étape 1 - à remplir'!$C$31:$C$400,IF($FH63="Lait","*Lait*",IF($FH63="Viande","*Viande*",IF($FH63="Reproduction","*Reproduction*",IF($FH63="Autre","*Autre*",IF($FH63="Loisir","*Loisir*",IF($FH63="Œufs","*Œufs*","")))))),'Étape 1 - à remplir'!$G$31:$G$400,"kg",'Étape 1 - à remplir'!$M$31:$M$400,MASQ2!FS$43)/SUMIFS('Étape 1 - à remplir'!$F$19:$F$28,'Étape 1 - à remplir'!$D$19:$D$28,MASQ2!$FH63,'Étape 1 - à remplir'!$G$19:$G$28,"kg"),"")</f>
        <v/>
      </c>
      <c r="FT63" s="76" t="str">
        <f>IFERROR(SUMIFS('Étape 1 - à remplir'!$F$31:$F$400,'Étape 1 - à remplir'!$C$31:$C$400,IF($FH63="Lait","*Lait*",IF($FH63="Viande","*Viande*",IF($FH63="Reproduction","*Reproduction*",IF($FH63="Autre","*Autre*",IF($FH63="Loisir","*Loisir*",IF($FH63="Œufs","*Œufs*","")))))),'Étape 1 - à remplir'!$G$31:$G$400,"kg",'Étape 1 - à remplir'!$M$31:$M$400,MASQ2!FT$43)/SUMIFS('Étape 1 - à remplir'!$F$19:$F$28,'Étape 1 - à remplir'!$D$19:$D$28,MASQ2!$FH63,'Étape 1 - à remplir'!$G$19:$G$28,"kg"),"")</f>
        <v/>
      </c>
    </row>
    <row r="64" spans="2:176" ht="15" thickBot="1" x14ac:dyDescent="0.35">
      <c r="B64" s="42"/>
      <c r="M64" s="194" t="str">
        <f ca="1">INDEX(Données_ATB!BD:BU,MATCH(MASQ2!O64,Données_ATB!BD:BD,0),18)</f>
        <v>x</v>
      </c>
      <c r="N64" s="14" t="str">
        <f>IFERROR(IF(Q64=0,"",COUNTIF(Q$4:Q$600,"&gt;"&amp;Q64)+COUNTIF(Q$4:Q64,Q64)),"")</f>
        <v/>
      </c>
      <c r="O64" t="str">
        <f>Données_ATB!BD63</f>
        <v>BAYTRIL 10 % SOLUTION INJECTABLE</v>
      </c>
      <c r="P64" t="e">
        <f>IF(IF(X$2="Catégorie",IF(X$3="Toutes",SUMIFS('Étape 1 - à remplir'!$F$31:$F$400,'Étape 1 - à remplir'!$E$31:$E$400,MASQ2!O64,'Étape 1 - à remplir'!$G$31:$G$400,"animaux"),SUMIFS('Étape 1 - à remplir'!$F$31:$F$400,'Étape 1 - à remplir'!$E$31:$E$400,MASQ2!O64,'Étape 1 - à remplir'!$C$31:$C$400,X$3)),IF(X$2="Âge",IF(X$3="Tous",SUMIFS('Étape 1 - à remplir'!$F$31:$F$400,'Étape 1 - à remplir'!$E$31:$E$400,MASQ2!O64,'Étape 1 - à remplir'!$G$31:$G$400,"animaux"),SUMIFS('Étape 1 - à remplir'!$F$31:$F$400,'Étape 1 - à remplir'!$E$31:$E$400,MASQ2!O64,'Étape 1 - à remplir'!$P$31:$P$400,X$3)),IF(X$2="Atelier",IF(X$3="Tous",SUMIFS('Étape 1 - à remplir'!$F$31:$F$400,'Étape 1 - à remplir'!$E$31:$E$400,MASQ2!O64,'Étape 1 - à remplir'!$G$31:$G$400,"animaux"),SUMIFS('Étape 1 - à remplir'!$F$31:$F$400,'Étape 1 - à remplir'!$E$31:$E$400,MASQ2!O64,'Étape 1 - à remplir'!$O$31:$O$400,X$3)),IF(X$2="Espèce",IF(X$3="Toutes",SUMIFS('Étape 1 - à remplir'!$F$31:$F$400,'Étape 1 - à remplir'!$E$31:$E$400,MASQ2!O64,'Étape 1 - à remplir'!$G$31:$G$400,"animaux"),SUMIFS('Étape 1 - à remplir'!$F$31:$F$400,'Étape 1 - à remplir'!$E$31:$E$400,MASQ2!O64,'Étape 1 - à remplir'!$N$31:$N$400,X$3))))))=0,NA(),IF(X$2="Catégorie",IF(X$3="Toutes",SUMIFS('Étape 1 - à remplir'!$F$31:$F$400,'Étape 1 - à remplir'!$E$31:$E$400,MASQ2!O64,'Étape 1 - à remplir'!$G$31:$G$400,"animaux"),SUMIFS('Étape 1 - à remplir'!$F$31:$F$400,'Étape 1 - à remplir'!$E$31:$E$400,MASQ2!O64,'Étape 1 - à remplir'!$C$31:$C$400,X$3)),IF(X$2="Âge",IF(X$3="Tous",SUMIFS('Étape 1 - à remplir'!$F$31:$F$400,'Étape 1 - à remplir'!$E$31:$E$400,MASQ2!O64,'Étape 1 - à remplir'!$G$31:$G$400,"animaux"),SUMIFS('Étape 1 - à remplir'!$F$31:$F$400,'Étape 1 - à remplir'!$E$31:$E$400,MASQ2!O64,'Étape 1 - à remplir'!$P$31:$P$400,X$3)),IF(X$2="Atelier",IF(X$3="Tous",SUMIFS('Étape 1 - à remplir'!$F$31:$F$400,'Étape 1 - à remplir'!$E$31:$E$400,MASQ2!O64,'Étape 1 - à remplir'!$G$31:$G$400,"animaux"),SUMIFS('Étape 1 - à remplir'!$F$31:$F$400,'Étape 1 - à remplir'!$E$31:$E$400,MASQ2!O64,'Étape 1 - à remplir'!$O$31:$O$400,X$3)),IF(X$2="Espèce",IF(X$3="Toutes",SUMIFS('Étape 1 - à remplir'!$F$31:$F$400,'Étape 1 - à remplir'!$E$31:$E$400,MASQ2!O64,'Étape 1 - à remplir'!$G$31:$G$400,"animaux"),SUMIFS('Étape 1 - à remplir'!$F$31:$F$400,'Étape 1 - à remplir'!$E$31:$E$400,MASQ2!O64,'Étape 1 - à remplir'!$N$31:$N$400,X$3)))))))</f>
        <v>#N/A</v>
      </c>
      <c r="Q64" s="63">
        <f t="shared" si="62"/>
        <v>0</v>
      </c>
      <c r="R64" t="str">
        <f>Données_ATB!BM63</f>
        <v>Enrofloxacine</v>
      </c>
      <c r="S64" t="str">
        <f>Données_ATB!BN63</f>
        <v/>
      </c>
      <c r="T64" s="63" t="str">
        <f>Données_ATB!BO63</f>
        <v/>
      </c>
      <c r="U64" s="42" t="str">
        <f>Données_ATB!BQ63</f>
        <v>Fluoroquinolones</v>
      </c>
      <c r="V64" t="str">
        <f>Données_ATB!BR63</f>
        <v/>
      </c>
      <c r="W64" s="63" t="str">
        <f>Données_ATB!BS63</f>
        <v/>
      </c>
      <c r="Z64" s="42">
        <v>61</v>
      </c>
      <c r="AA64" t="e">
        <f t="shared" si="32"/>
        <v>#N/A</v>
      </c>
      <c r="AB64" s="63" t="e">
        <f t="shared" si="33"/>
        <v>#N/A</v>
      </c>
      <c r="AD64" s="195" t="str">
        <f>IF(AF64="Colistine","x",IF(INDEX(Données_ATB!CA$3:CB$63,MATCH(AF64,Données_ATB!CA$3:CA$63,0),2)="Fluoroquinolones","x",IF(INDEX(Données_ATB!CA$3:CB$63,MATCH(AF64,Données_ATB!CA$3:CA$63,0),2)="Cephalosporines 3&amp;4G","x","")))</f>
        <v/>
      </c>
      <c r="AE64" s="220" t="str">
        <f>IFERROR(IF(AG64=0,"",COUNTIF(AG$4:AG$64,"&gt;"&amp;AG64)+COUNTIF(AG$4:AG64,AG64)),"")</f>
        <v/>
      </c>
      <c r="AF64" s="74" t="str">
        <f>Données_ATB!CA63</f>
        <v>Valnémuline</v>
      </c>
      <c r="AG64" s="65" t="e">
        <f t="shared" si="34"/>
        <v>#N/A</v>
      </c>
      <c r="AH64" s="74">
        <v>61</v>
      </c>
      <c r="AI64" s="64" t="e">
        <f t="shared" si="35"/>
        <v>#N/A</v>
      </c>
      <c r="AJ64" s="65" t="e">
        <f t="shared" si="36"/>
        <v>#N/A</v>
      </c>
      <c r="AT64" s="117" t="str">
        <f>AX32</f>
        <v/>
      </c>
      <c r="AU64" s="117" t="str">
        <f>IFERROR(SUMIFS('Étape 1 - à remplir'!$F$31:$F$400,'Étape 1 - à remplir'!$C$31:$C$400,IF($AT64="Bovin","Bovin*",IF($AT64="Ovin","Ovin*",IF($AT64="Caprin","Caprin*",IF($AT64="Porcin","Porcin*",IF($AT64="Equin","Equin*",IF($AT64="Volaille","Volaille*",IF($AT64="Poisson","Poisson*",IF($AT64="Autre","Autre*","")))))))),'Étape 1 - à remplir'!$G$31:$G$400,"animaux",'Étape 1 - à remplir'!$M$31:$M$400,MASQ2!AU$43)/SUMIFS('Étape 1 - à remplir'!$F$19:$F$28,'Étape 1 - à remplir'!$C$19:$C$28,MASQ2!$AT64,'Étape 1 - à remplir'!$G$19:$G$28,"animaux"),"")</f>
        <v/>
      </c>
      <c r="AV64" s="116" t="str">
        <f>IFERROR(SUMIFS('Étape 1 - à remplir'!$F$31:$F$400,'Étape 1 - à remplir'!$C$31:$C$400,IF($AT64="Bovin","Bovin*",IF($AT64="Ovin","Ovin*",IF($AT64="Caprin","Caprin*",IF($AT64="Porcin","Porcin*",IF($AT64="Equin","Equin*",IF($AT64="Volaille","Volaille*",IF($AT64="Poisson","Poisson*",IF($AT64="Autre","Autre*","")))))))),'Étape 1 - à remplir'!$G$31:$G$400,"animaux",'Étape 1 - à remplir'!$M$31:$M$400,MASQ2!AV$43)/SUMIFS('Étape 1 - à remplir'!$F$19:$F$28,'Étape 1 - à remplir'!$C$19:$C$28,MASQ2!$AT64,'Étape 1 - à remplir'!$G$19:$G$28,"animaux"),"")</f>
        <v/>
      </c>
      <c r="AW64" s="116" t="str">
        <f>IFERROR(SUMIFS('Étape 1 - à remplir'!$F$31:$F$400,'Étape 1 - à remplir'!$C$31:$C$400,IF($AT64="Bovin","Bovin*",IF($AT64="Ovin","Ovin*",IF($AT64="Caprin","Caprin*",IF($AT64="Porcin","Porcin*",IF($AT64="Equin","Equin*",IF($AT64="Volaille","Volaille*",IF($AT64="Poisson","Poisson*",IF($AT64="Autre","Autre*","")))))))),'Étape 1 - à remplir'!$G$31:$G$400,"animaux",'Étape 1 - à remplir'!$M$31:$M$400,MASQ2!AW$43)/SUMIFS('Étape 1 - à remplir'!$F$19:$F$28,'Étape 1 - à remplir'!$C$19:$C$28,MASQ2!$AT64,'Étape 1 - à remplir'!$G$19:$G$28,"animaux"),"")</f>
        <v/>
      </c>
      <c r="AX64" s="116" t="str">
        <f>IFERROR(SUMIFS('Étape 1 - à remplir'!$F$31:$F$400,'Étape 1 - à remplir'!$C$31:$C$400,IF($AT64="Bovin","Bovin*",IF($AT64="Ovin","Ovin*",IF($AT64="Caprin","Caprin*",IF($AT64="Porcin","Porcin*",IF($AT64="Equin","Equin*",IF($AT64="Volaille","Volaille*",IF($AT64="Poisson","Poisson*",IF($AT64="Autre","Autre*","")))))))),'Étape 1 - à remplir'!$G$31:$G$400,"animaux",'Étape 1 - à remplir'!$M$31:$M$400,MASQ2!AX$43)/SUMIFS('Étape 1 - à remplir'!$F$19:$F$28,'Étape 1 - à remplir'!$C$19:$C$28,MASQ2!$AT64,'Étape 1 - à remplir'!$G$19:$G$28,"animaux"),"")</f>
        <v/>
      </c>
      <c r="AY64" s="116" t="str">
        <f>IFERROR(SUMIFS('Étape 1 - à remplir'!$F$31:$F$400,'Étape 1 - à remplir'!$C$31:$C$400,IF($AT64="Bovin","Bovin*",IF($AT64="Ovin","Ovin*",IF($AT64="Caprin","Caprin*",IF($AT64="Porcin","Porcin*",IF($AT64="Equin","Equin*",IF($AT64="Volaille","Volaille*",IF($AT64="Poisson","Poisson*",IF($AT64="Autre","Autre*","")))))))),'Étape 1 - à remplir'!$G$31:$G$400,"animaux",'Étape 1 - à remplir'!$M$31:$M$400,MASQ2!AY$43)/SUMIFS('Étape 1 - à remplir'!$F$19:$F$28,'Étape 1 - à remplir'!$C$19:$C$28,MASQ2!$AT64,'Étape 1 - à remplir'!$G$19:$G$28,"animaux"),"")</f>
        <v/>
      </c>
      <c r="AZ64" s="116" t="str">
        <f>IFERROR(SUMIFS('Étape 1 - à remplir'!$F$31:$F$400,'Étape 1 - à remplir'!$C$31:$C$400,IF($AT64="Bovin","Bovin*",IF($AT64="Ovin","Ovin*",IF($AT64="Caprin","Caprin*",IF($AT64="Porcin","Porcin*",IF($AT64="Equin","Equin*",IF($AT64="Volaille","Volaille*",IF($AT64="Poisson","Poisson*",IF($AT64="Autre","Autre*","")))))))),'Étape 1 - à remplir'!$G$31:$G$400,"animaux",'Étape 1 - à remplir'!$M$31:$M$400,MASQ2!AZ$43)/SUMIFS('Étape 1 - à remplir'!$F$19:$F$28,'Étape 1 - à remplir'!$C$19:$C$28,MASQ2!$AT64,'Étape 1 - à remplir'!$G$19:$G$28,"animaux"),"")</f>
        <v/>
      </c>
      <c r="BA64" s="116" t="str">
        <f>IFERROR(SUMIFS('Étape 1 - à remplir'!$F$31:$F$400,'Étape 1 - à remplir'!$C$31:$C$400,IF($AT64="Bovin","Bovin*",IF($AT64="Ovin","Ovin*",IF($AT64="Caprin","Caprin*",IF($AT64="Porcin","Porcin*",IF($AT64="Equin","Equin*",IF($AT64="Volaille","Volaille*",IF($AT64="Poisson","Poisson*",IF($AT64="Autre","Autre*","")))))))),'Étape 1 - à remplir'!$G$31:$G$400,"animaux",'Étape 1 - à remplir'!$M$31:$M$400,MASQ2!BA$43)/SUMIFS('Étape 1 - à remplir'!$F$19:$F$28,'Étape 1 - à remplir'!$C$19:$C$28,MASQ2!$AT64,'Étape 1 - à remplir'!$G$19:$G$28,"animaux"),"")</f>
        <v/>
      </c>
      <c r="BB64" s="116" t="str">
        <f>IFERROR(SUMIFS('Étape 1 - à remplir'!$F$31:$F$400,'Étape 1 - à remplir'!$C$31:$C$400,IF($AT64="Bovin","Bovin*",IF($AT64="Ovin","Ovin*",IF($AT64="Caprin","Caprin*",IF($AT64="Porcin","Porcin*",IF($AT64="Equin","Equin*",IF($AT64="Volaille","Volaille*",IF($AT64="Poisson","Poisson*",IF($AT64="Autre","Autre*","")))))))),'Étape 1 - à remplir'!$G$31:$G$400,"animaux",'Étape 1 - à remplir'!$M$31:$M$400,MASQ2!BB$43)/SUMIFS('Étape 1 - à remplir'!$F$19:$F$28,'Étape 1 - à remplir'!$C$19:$C$28,MASQ2!$AT64,'Étape 1 - à remplir'!$G$19:$G$28,"animaux"),"")</f>
        <v/>
      </c>
      <c r="BC64" s="116" t="str">
        <f>IFERROR(SUMIFS('Étape 1 - à remplir'!$F$31:$F$400,'Étape 1 - à remplir'!$C$31:$C$400,IF($AT64="Bovin","Bovin*",IF($AT64="Ovin","Ovin*",IF($AT64="Caprin","Caprin*",IF($AT64="Porcin","Porcin*",IF($AT64="Equin","Equin*",IF($AT64="Volaille","Volaille*",IF($AT64="Poisson","Poisson*",IF($AT64="Autre","Autre*","")))))))),'Étape 1 - à remplir'!$G$31:$G$400,"animaux",'Étape 1 - à remplir'!$M$31:$M$400,MASQ2!BC$43)/SUMIFS('Étape 1 - à remplir'!$F$19:$F$28,'Étape 1 - à remplir'!$C$19:$C$28,MASQ2!$AT64,'Étape 1 - à remplir'!$G$19:$G$28,"animaux"),"")</f>
        <v/>
      </c>
      <c r="BD64" s="116" t="str">
        <f>IFERROR(SUMIFS('Étape 1 - à remplir'!$F$31:$F$400,'Étape 1 - à remplir'!$C$31:$C$400,IF($AT64="Bovin","Bovin*",IF($AT64="Ovin","Ovin*",IF($AT64="Caprin","Caprin*",IF($AT64="Porcin","Porcin*",IF($AT64="Equin","Equin*",IF($AT64="Volaille","Volaille*",IF($AT64="Poisson","Poisson*",IF($AT64="Autre","Autre*","")))))))),'Étape 1 - à remplir'!$G$31:$G$400,"animaux",'Étape 1 - à remplir'!$M$31:$M$400,MASQ2!BD$43)/SUMIFS('Étape 1 - à remplir'!$F$19:$F$28,'Étape 1 - à remplir'!$C$19:$C$28,MASQ2!$AT64,'Étape 1 - à remplir'!$G$19:$G$28,"animaux"),"")</f>
        <v/>
      </c>
      <c r="BE64" s="116" t="str">
        <f>IFERROR(SUMIFS('Étape 1 - à remplir'!$F$31:$F$400,'Étape 1 - à remplir'!$C$31:$C$400,IF($AT64="Bovin","Bovin*",IF($AT64="Ovin","Ovin*",IF($AT64="Caprin","Caprin*",IF($AT64="Porcin","Porcin*",IF($AT64="Equin","Equin*",IF($AT64="Volaille","Volaille*",IF($AT64="Poisson","Poisson*",IF($AT64="Autre","Autre*","")))))))),'Étape 1 - à remplir'!$G$31:$G$400,"animaux",'Étape 1 - à remplir'!$M$31:$M$400,MASQ2!BE$43)/SUMIFS('Étape 1 - à remplir'!$F$19:$F$28,'Étape 1 - à remplir'!$C$19:$C$28,MASQ2!$AT64,'Étape 1 - à remplir'!$G$19:$G$28,"animaux"),"")</f>
        <v/>
      </c>
      <c r="BF64" s="114" t="str">
        <f>IFERROR(SUMIFS('Étape 1 - à remplir'!$F$31:$F$400,'Étape 1 - à remplir'!$C$31:$C$400,IF($AT64="Bovin","Bovin*",IF($AT64="Ovin","Ovin*",IF($AT64="Caprin","Caprin*",IF($AT64="Porcin","Porcin*",IF($AT64="Equin","Equin*",IF($AT64="Volaille","Volaille*",IF($AT64="Poisson","Poisson*",IF($AT64="Autre","Autre*","")))))))),'Étape 1 - à remplir'!$G$31:$G$400,"animaux",'Étape 1 - à remplir'!$M$31:$M$400,MASQ2!BF$43)/SUMIFS('Étape 1 - à remplir'!$F$19:$F$28,'Étape 1 - à remplir'!$C$19:$C$28,MASQ2!$AT64,'Étape 1 - à remplir'!$G$19:$G$28,"animaux"),"")</f>
        <v/>
      </c>
      <c r="BT64" s="194" t="str">
        <f t="shared" ca="1" si="5"/>
        <v>x</v>
      </c>
      <c r="BU64" s="219" t="str">
        <f>IFERROR(IF(BX64=0,"",COUNTIF(BX$4:BX$600,"&gt;"&amp;BX64)+COUNTIF(BX$4:BX64,BX64)),"")</f>
        <v/>
      </c>
      <c r="BV64" s="42" t="str">
        <f t="shared" si="6"/>
        <v>BAYTRIL 10 % SOLUTION INJECTABLE</v>
      </c>
      <c r="BW64" t="e">
        <f>IF(IF(CE$2="Catégorie",IF(CE$3="Toutes",SUMIFS('Étape 1 - à remplir'!$F$31:$F$400,'Étape 1 - à remplir'!$E$31:$E$400,MASQ2!BV64,'Étape 1 - à remplir'!$G$31:$G$400,"lots"),SUMIFS('Étape 1 - à remplir'!$F$31:$F$400,'Étape 1 - à remplir'!$E$31:$E$400,MASQ2!BV64,'Étape 1 - à remplir'!$C$31:$C$400,CE$3)),IF(CE$2="Âge",IF(CE$3="Tous",SUMIFS('Étape 1 - à remplir'!$F$31:$F$400,'Étape 1 - à remplir'!$E$31:$E$400,MASQ2!BV64,'Étape 1 - à remplir'!$G$31:$G$400,"lots"),SUMIFS('Étape 1 - à remplir'!$F$31:$F$400,'Étape 1 - à remplir'!$E$31:$E$400,MASQ2!BV64,'Étape 1 - à remplir'!$P$31:$P$400,CE$3,'Étape 1 - à remplir'!$G$31:$G$400,"lots")),IF(CE$2="Atelier",IF(CE$3="Tous",SUMIFS('Étape 1 - à remplir'!$F$31:$F$400,'Étape 1 - à remplir'!$E$31:$E$400,MASQ2!BV64,'Étape 1 - à remplir'!$G$31:$G$400,"lots"),SUMIFS('Étape 1 - à remplir'!$F$31:$F$400,'Étape 1 - à remplir'!$E$31:$E$400,MASQ2!BV64,'Étape 1 - à remplir'!$O$31:$O$400,CE$3,'Étape 1 - à remplir'!$G$31:$G$400,"lots")),IF(CE$2="Espèce",IF(CE$3="Toutes",SUMIFS('Étape 1 - à remplir'!$F$31:$F$400,'Étape 1 - à remplir'!$E$31:$E$400,MASQ2!BV64,'Étape 1 - à remplir'!$G$31:$G$400,"lots"),SUMIFS('Étape 1 - à remplir'!$F$31:$F$400,'Étape 1 - à remplir'!$E$31:$E$400,MASQ2!BV64,'Étape 1 - à remplir'!$N$31:$N$400,CE$3,'Étape 1 - à remplir'!$G$31:$G$400,"lots"))))))=0,NA(),IF(CE$2="Catégorie",IF(CE$3="Toutes",SUMIFS('Étape 1 - à remplir'!$F$31:$F$400,'Étape 1 - à remplir'!$E$31:$E$400,MASQ2!BV64,'Étape 1 - à remplir'!$G$31:$G$400,"lots"),SUMIFS('Étape 1 - à remplir'!$F$31:$F$400,'Étape 1 - à remplir'!$E$31:$E$400,MASQ2!BV64,'Étape 1 - à remplir'!$C$31:$C$400,CE$3)),IF(CE$2="Âge",IF(CE$3="Tous",SUMIFS('Étape 1 - à remplir'!$F$31:$F$400,'Étape 1 - à remplir'!$E$31:$E$400,MASQ2!BV64,'Étape 1 - à remplir'!$G$31:$G$400,"lots"),SUMIFS('Étape 1 - à remplir'!$F$31:$F$400,'Étape 1 - à remplir'!$E$31:$E$400,MASQ2!BV64,'Étape 1 - à remplir'!$P$31:$P$400,CE$3,'Étape 1 - à remplir'!$G$31:$G$400,"lots")),IF(CE$2="Atelier",IF(CE$3="Tous",SUMIFS('Étape 1 - à remplir'!$F$31:$F$400,'Étape 1 - à remplir'!$E$31:$E$400,MASQ2!BV64,'Étape 1 - à remplir'!$G$31:$G$400,"lots"),SUMIFS('Étape 1 - à remplir'!$F$31:$F$400,'Étape 1 - à remplir'!$E$31:$E$400,MASQ2!BV64,'Étape 1 - à remplir'!$O$31:$O$400,CE$3,'Étape 1 - à remplir'!$G$31:$G$400,"lots")),IF(CE$2="Espèce",IF(CE$3="Toutes",SUMIFS('Étape 1 - à remplir'!$F$31:$F$400,'Étape 1 - à remplir'!$E$31:$E$400,MASQ2!BV64,'Étape 1 - à remplir'!$G$31:$G$400,"lots"),SUMIFS('Étape 1 - à remplir'!$F$31:$F$400,'Étape 1 - à remplir'!$E$31:$E$400,MASQ2!BV64,'Étape 1 - à remplir'!$N$31:$N$400,CE$3,'Étape 1 - à remplir'!$G$31:$G$400,"lots")))))))</f>
        <v>#N/A</v>
      </c>
      <c r="BX64">
        <f t="shared" si="42"/>
        <v>0</v>
      </c>
      <c r="BY64" t="str">
        <f t="shared" si="7"/>
        <v>Enrofloxacine</v>
      </c>
      <c r="BZ64" t="str">
        <f t="shared" si="8"/>
        <v/>
      </c>
      <c r="CA64" t="str">
        <f t="shared" si="9"/>
        <v/>
      </c>
      <c r="CB64" t="str">
        <f t="shared" si="10"/>
        <v>Fluoroquinolones</v>
      </c>
      <c r="CC64" t="str">
        <f t="shared" si="11"/>
        <v/>
      </c>
      <c r="CD64" s="63" t="str">
        <f t="shared" si="12"/>
        <v/>
      </c>
      <c r="CG64" s="42">
        <v>61</v>
      </c>
      <c r="CH64" s="42" t="e">
        <f t="shared" si="80"/>
        <v>#N/A</v>
      </c>
      <c r="CI64" s="63" t="e">
        <f t="shared" si="81"/>
        <v>#N/A</v>
      </c>
      <c r="CK64" s="195" t="str">
        <f t="shared" si="118"/>
        <v/>
      </c>
      <c r="CL64" s="228" t="str">
        <f>IFERROR(IF(CN64=0,"",COUNTIF(CN$4:CN$64,"&gt;"&amp;CN64)+COUNTIF(CN$4:CN64,CN64)),"")</f>
        <v/>
      </c>
      <c r="CM64" s="64" t="str">
        <f t="shared" si="119"/>
        <v>Valnémuline</v>
      </c>
      <c r="CN64" s="77" t="e">
        <f t="shared" si="45"/>
        <v>#N/A</v>
      </c>
      <c r="CO64" s="64">
        <v>61</v>
      </c>
      <c r="CP64" s="64" t="e">
        <f t="shared" si="46"/>
        <v>#N/A</v>
      </c>
      <c r="CQ64" s="65" t="e">
        <f t="shared" si="47"/>
        <v>#N/A</v>
      </c>
      <c r="DA64" s="117" t="str">
        <f>DE32</f>
        <v/>
      </c>
      <c r="DB64" s="117" t="str">
        <f>IFERROR(SUMIFS('Étape 1 - à remplir'!$F$31:$F$400,'Étape 1 - à remplir'!$C$31:$C$400,IF($DA64="Bovin","Bovin*",IF($DA64="Ovin","Ovin*",IF($DA64="Caprin","Caprin*",IF($DA64="Porcin","Porcin*",IF($DA64="Equin","Equin*",IF($DA64="Volaille","Volaille*",IF($DA64="Poisson","Poisson*",IF($DA64="Autre","Autre*","")))))))),'Étape 1 - à remplir'!$G$31:$G$400,"lots",'Étape 1 - à remplir'!$M$31:$M$400,MASQ2!DB$43)/SUMIFS('Étape 1 - à remplir'!$F$19:$F$28,'Étape 1 - à remplir'!$C$19:$C$28,MASQ2!$DA64,'Étape 1 - à remplir'!$G$19:$G$28,"lots"),"")</f>
        <v/>
      </c>
      <c r="DC64" s="116" t="str">
        <f>IFERROR(SUMIFS('Étape 1 - à remplir'!$F$31:$F$400,'Étape 1 - à remplir'!$C$31:$C$400,IF($DA64="Bovin","Bovin*",IF($DA64="Ovin","Ovin*",IF($DA64="Caprin","Caprin*",IF($DA64="Porcin","Porcin*",IF($DA64="Equin","Equin*",IF($DA64="Volaille","Volaille*",IF($DA64="Poisson","Poisson*",IF($DA64="Autre","Autre*","")))))))),'Étape 1 - à remplir'!$G$31:$G$400,"lots",'Étape 1 - à remplir'!$M$31:$M$400,MASQ2!DC$43)/SUMIFS('Étape 1 - à remplir'!$F$19:$F$28,'Étape 1 - à remplir'!$C$19:$C$28,MASQ2!$DA64,'Étape 1 - à remplir'!$G$19:$G$28,"lots"),"")</f>
        <v/>
      </c>
      <c r="DD64" s="116" t="str">
        <f>IFERROR(SUMIFS('Étape 1 - à remplir'!$F$31:$F$400,'Étape 1 - à remplir'!$C$31:$C$400,IF($DA64="Bovin","Bovin*",IF($DA64="Ovin","Ovin*",IF($DA64="Caprin","Caprin*",IF($DA64="Porcin","Porcin*",IF($DA64="Equin","Equin*",IF($DA64="Volaille","Volaille*",IF($DA64="Poisson","Poisson*",IF($DA64="Autre","Autre*","")))))))),'Étape 1 - à remplir'!$G$31:$G$400,"lots",'Étape 1 - à remplir'!$M$31:$M$400,MASQ2!DD$43)/SUMIFS('Étape 1 - à remplir'!$F$19:$F$28,'Étape 1 - à remplir'!$C$19:$C$28,MASQ2!$DA64,'Étape 1 - à remplir'!$G$19:$G$28,"lots"),"")</f>
        <v/>
      </c>
      <c r="DE64" s="116" t="str">
        <f>IFERROR(SUMIFS('Étape 1 - à remplir'!$F$31:$F$400,'Étape 1 - à remplir'!$C$31:$C$400,IF($DA64="Bovin","Bovin*",IF($DA64="Ovin","Ovin*",IF($DA64="Caprin","Caprin*",IF($DA64="Porcin","Porcin*",IF($DA64="Equin","Equin*",IF($DA64="Volaille","Volaille*",IF($DA64="Poisson","Poisson*",IF($DA64="Autre","Autre*","")))))))),'Étape 1 - à remplir'!$G$31:$G$400,"lots",'Étape 1 - à remplir'!$M$31:$M$400,MASQ2!DE$43)/SUMIFS('Étape 1 - à remplir'!$F$19:$F$28,'Étape 1 - à remplir'!$C$19:$C$28,MASQ2!$DA64,'Étape 1 - à remplir'!$G$19:$G$28,"lots"),"")</f>
        <v/>
      </c>
      <c r="DF64" s="116" t="str">
        <f>IFERROR(SUMIFS('Étape 1 - à remplir'!$F$31:$F$400,'Étape 1 - à remplir'!$C$31:$C$400,IF($DA64="Bovin","Bovin*",IF($DA64="Ovin","Ovin*",IF($DA64="Caprin","Caprin*",IF($DA64="Porcin","Porcin*",IF($DA64="Equin","Equin*",IF($DA64="Volaille","Volaille*",IF($DA64="Poisson","Poisson*",IF($DA64="Autre","Autre*","")))))))),'Étape 1 - à remplir'!$G$31:$G$400,"lots",'Étape 1 - à remplir'!$M$31:$M$400,MASQ2!DF$43)/SUMIFS('Étape 1 - à remplir'!$F$19:$F$28,'Étape 1 - à remplir'!$C$19:$C$28,MASQ2!$DA64,'Étape 1 - à remplir'!$G$19:$G$28,"lots"),"")</f>
        <v/>
      </c>
      <c r="DG64" s="116" t="str">
        <f>IFERROR(SUMIFS('Étape 1 - à remplir'!$F$31:$F$400,'Étape 1 - à remplir'!$C$31:$C$400,IF($DA64="Bovin","Bovin*",IF($DA64="Ovin","Ovin*",IF($DA64="Caprin","Caprin*",IF($DA64="Porcin","Porcin*",IF($DA64="Equin","Equin*",IF($DA64="Volaille","Volaille*",IF($DA64="Poisson","Poisson*",IF($DA64="Autre","Autre*","")))))))),'Étape 1 - à remplir'!$G$31:$G$400,"lots",'Étape 1 - à remplir'!$M$31:$M$400,MASQ2!DG$43)/SUMIFS('Étape 1 - à remplir'!$F$19:$F$28,'Étape 1 - à remplir'!$C$19:$C$28,MASQ2!$DA64,'Étape 1 - à remplir'!$G$19:$G$28,"lots"),"")</f>
        <v/>
      </c>
      <c r="DH64" s="116" t="str">
        <f>IFERROR(SUMIFS('Étape 1 - à remplir'!$F$31:$F$400,'Étape 1 - à remplir'!$C$31:$C$400,IF($DA64="Bovin","Bovin*",IF($DA64="Ovin","Ovin*",IF($DA64="Caprin","Caprin*",IF($DA64="Porcin","Porcin*",IF($DA64="Equin","Equin*",IF($DA64="Volaille","Volaille*",IF($DA64="Poisson","Poisson*",IF($DA64="Autre","Autre*","")))))))),'Étape 1 - à remplir'!$G$31:$G$400,"lots",'Étape 1 - à remplir'!$M$31:$M$400,MASQ2!DH$43)/SUMIFS('Étape 1 - à remplir'!$F$19:$F$28,'Étape 1 - à remplir'!$C$19:$C$28,MASQ2!$DA64,'Étape 1 - à remplir'!$G$19:$G$28,"lots"),"")</f>
        <v/>
      </c>
      <c r="DI64" s="116" t="str">
        <f>IFERROR(SUMIFS('Étape 1 - à remplir'!$F$31:$F$400,'Étape 1 - à remplir'!$C$31:$C$400,IF($DA64="Bovin","Bovin*",IF($DA64="Ovin","Ovin*",IF($DA64="Caprin","Caprin*",IF($DA64="Porcin","Porcin*",IF($DA64="Equin","Equin*",IF($DA64="Volaille","Volaille*",IF($DA64="Poisson","Poisson*",IF($DA64="Autre","Autre*","")))))))),'Étape 1 - à remplir'!$G$31:$G$400,"lots",'Étape 1 - à remplir'!$M$31:$M$400,MASQ2!DI$43)/SUMIFS('Étape 1 - à remplir'!$F$19:$F$28,'Étape 1 - à remplir'!$C$19:$C$28,MASQ2!$DA64,'Étape 1 - à remplir'!$G$19:$G$28,"lots"),"")</f>
        <v/>
      </c>
      <c r="DJ64" s="116" t="str">
        <f>IFERROR(SUMIFS('Étape 1 - à remplir'!$F$31:$F$400,'Étape 1 - à remplir'!$C$31:$C$400,IF($DA64="Bovin","Bovin*",IF($DA64="Ovin","Ovin*",IF($DA64="Caprin","Caprin*",IF($DA64="Porcin","Porcin*",IF($DA64="Equin","Equin*",IF($DA64="Volaille","Volaille*",IF($DA64="Poisson","Poisson*",IF($DA64="Autre","Autre*","")))))))),'Étape 1 - à remplir'!$G$31:$G$400,"lots",'Étape 1 - à remplir'!$M$31:$M$400,MASQ2!DJ$43)/SUMIFS('Étape 1 - à remplir'!$F$19:$F$28,'Étape 1 - à remplir'!$C$19:$C$28,MASQ2!$DA64,'Étape 1 - à remplir'!$G$19:$G$28,"lots"),"")</f>
        <v/>
      </c>
      <c r="DK64" s="116" t="str">
        <f>IFERROR(SUMIFS('Étape 1 - à remplir'!$F$31:$F$400,'Étape 1 - à remplir'!$C$31:$C$400,IF($DA64="Bovin","Bovin*",IF($DA64="Ovin","Ovin*",IF($DA64="Caprin","Caprin*",IF($DA64="Porcin","Porcin*",IF($DA64="Equin","Equin*",IF($DA64="Volaille","Volaille*",IF($DA64="Poisson","Poisson*",IF($DA64="Autre","Autre*","")))))))),'Étape 1 - à remplir'!$G$31:$G$400,"lots",'Étape 1 - à remplir'!$M$31:$M$400,MASQ2!DK$43)/SUMIFS('Étape 1 - à remplir'!$F$19:$F$28,'Étape 1 - à remplir'!$C$19:$C$28,MASQ2!$DA64,'Étape 1 - à remplir'!$G$19:$G$28,"lots"),"")</f>
        <v/>
      </c>
      <c r="DL64" s="116" t="str">
        <f>IFERROR(SUMIFS('Étape 1 - à remplir'!$F$31:$F$400,'Étape 1 - à remplir'!$C$31:$C$400,IF($DA64="Bovin","Bovin*",IF($DA64="Ovin","Ovin*",IF($DA64="Caprin","Caprin*",IF($DA64="Porcin","Porcin*",IF($DA64="Equin","Equin*",IF($DA64="Volaille","Volaille*",IF($DA64="Poisson","Poisson*",IF($DA64="Autre","Autre*","")))))))),'Étape 1 - à remplir'!$G$31:$G$400,"lots",'Étape 1 - à remplir'!$M$31:$M$400,MASQ2!DL$43)/SUMIFS('Étape 1 - à remplir'!$F$19:$F$28,'Étape 1 - à remplir'!$C$19:$C$28,MASQ2!$DA64,'Étape 1 - à remplir'!$G$19:$G$28,"lots"),"")</f>
        <v/>
      </c>
      <c r="DM64" s="114" t="str">
        <f>IFERROR(SUMIFS('Étape 1 - à remplir'!$F$31:$F$400,'Étape 1 - à remplir'!$C$31:$C$400,IF($DA64="Bovin","Bovin*",IF($DA64="Ovin","Ovin*",IF($DA64="Caprin","Caprin*",IF($DA64="Porcin","Porcin*",IF($DA64="Equin","Equin*",IF($DA64="Volaille","Volaille*",IF($DA64="Poisson","Poisson*",IF($DA64="Autre","Autre*","")))))))),'Étape 1 - à remplir'!$G$31:$G$400,"lots",'Étape 1 - à remplir'!$M$31:$M$400,MASQ2!DM$43)/SUMIFS('Étape 1 - à remplir'!$F$19:$F$28,'Étape 1 - à remplir'!$C$19:$C$28,MASQ2!$DA64,'Étape 1 - à remplir'!$G$19:$G$28,"lots"),"")</f>
        <v/>
      </c>
      <c r="EA64" s="194" t="str">
        <f t="shared" ca="1" si="18"/>
        <v>x</v>
      </c>
      <c r="EB64" s="226" t="str">
        <f>IFERROR(IF(ED64=0,"",COUNTIF(ED$4:ED$600,"&gt;"&amp;ED64)+COUNTIF(ED$4:ED64,ED64)),"")</f>
        <v/>
      </c>
      <c r="EC64" t="str">
        <f t="shared" si="19"/>
        <v>BAYTRIL 10 % SOLUTION INJECTABLE</v>
      </c>
      <c r="ED64" t="e">
        <f>IF(IF(EL$2="Catégorie",IF(EL$3="Toutes",SUMIFS('Étape 1 - à remplir'!$F$31:$F$400,'Étape 1 - à remplir'!$E$31:$E$400,MASQ2!EC64,'Étape 1 - à remplir'!$G$31:$G$400,"kg"),SUMIFS('Étape 1 - à remplir'!$F$31:$F$400,'Étape 1 - à remplir'!$E$31:$E$400,MASQ2!EC64,'Étape 1 - à remplir'!$C$31:$C$400,EL$3)),IF(EL$2="Âge",IF(EL$3="Tous",SUMIFS('Étape 1 - à remplir'!$F$31:$F$400,'Étape 1 - à remplir'!$E$31:$E$400,MASQ2!EC64,'Étape 1 - à remplir'!$G$31:$G$400,"kg"),SUMIFS('Étape 1 - à remplir'!$F$31:$F$400,'Étape 1 - à remplir'!$E$31:$E$400,MASQ2!EC64,'Étape 1 - à remplir'!$P$31:$P$400,EL$3,'Étape 1 - à remplir'!$G$31:$G$400,"kg")),IF(EL$2="Atelier",IF(EL$3="Tous",SUMIFS('Étape 1 - à remplir'!$F$31:$F$400,'Étape 1 - à remplir'!$E$31:$E$400,MASQ2!EC64,'Étape 1 - à remplir'!$G$31:$G$400,"kg"),SUMIFS('Étape 1 - à remplir'!$F$31:$F$400,'Étape 1 - à remplir'!$E$31:$E$400,MASQ2!EC64,'Étape 1 - à remplir'!$O$31:$O$400,EL$3,'Étape 1 - à remplir'!$G$31:$G$400,"kg")),IF(EL$2="Espèce",IF(EL$3="Toutes",SUMIFS('Étape 1 - à remplir'!$F$31:$F$400,'Étape 1 - à remplir'!$E$31:$E$400,MASQ2!EC64,'Étape 1 - à remplir'!$G$31:$G$400,"kg"),SUMIFS('Étape 1 - à remplir'!$F$31:$F$400,'Étape 1 - à remplir'!$E$31:$E$400,MASQ2!EC64,'Étape 1 - à remplir'!$N$31:$N$400,EL$3,'Étape 1 - à remplir'!$G$31:$G$400,"kg"))))))=0,NA(),IF(EL$2="Catégorie",IF(EL$3="Toutes",SUMIFS('Étape 1 - à remplir'!$F$31:$F$400,'Étape 1 - à remplir'!$E$31:$E$400,MASQ2!EC64,'Étape 1 - à remplir'!$G$31:$G$400,"kg"),SUMIFS('Étape 1 - à remplir'!$F$31:$F$400,'Étape 1 - à remplir'!$E$31:$E$400,MASQ2!EC64,'Étape 1 - à remplir'!$C$31:$C$400,EL$3)),IF(EL$2="Âge",IF(EL$3="Tous",SUMIFS('Étape 1 - à remplir'!$F$31:$F$400,'Étape 1 - à remplir'!$E$31:$E$400,MASQ2!EC64,'Étape 1 - à remplir'!$G$31:$G$400,"kg"),SUMIFS('Étape 1 - à remplir'!$F$31:$F$400,'Étape 1 - à remplir'!$E$31:$E$400,MASQ2!EC64,'Étape 1 - à remplir'!$P$31:$P$400,EL$3,'Étape 1 - à remplir'!$G$31:$G$400,"kg")),IF(EL$2="Atelier",IF(EL$3="Tous",SUMIFS('Étape 1 - à remplir'!$F$31:$F$400,'Étape 1 - à remplir'!$E$31:$E$400,MASQ2!EC64,'Étape 1 - à remplir'!$G$31:$G$400,"kg"),SUMIFS('Étape 1 - à remplir'!$F$31:$F$400,'Étape 1 - à remplir'!$E$31:$E$400,MASQ2!EC64,'Étape 1 - à remplir'!$O$31:$O$400,EL$3,'Étape 1 - à remplir'!$G$31:$G$400,"kg")),IF(EL$2="Espèce",IF(EL$3="Toutes",SUMIFS('Étape 1 - à remplir'!$F$31:$F$400,'Étape 1 - à remplir'!$E$31:$E$400,MASQ2!EC64,'Étape 1 - à remplir'!$G$31:$G$400,"kg"),SUMIFS('Étape 1 - à remplir'!$F$31:$F$400,'Étape 1 - à remplir'!$E$31:$E$400,MASQ2!EC64,'Étape 1 - à remplir'!$N$31:$N$400,EL$3,'Étape 1 - à remplir'!$G$31:$G$400,"kg")))))))</f>
        <v>#N/A</v>
      </c>
      <c r="EE64" s="76">
        <f t="shared" si="53"/>
        <v>0</v>
      </c>
      <c r="EF64" t="str">
        <f t="shared" si="20"/>
        <v>Enrofloxacine</v>
      </c>
      <c r="EG64" t="str">
        <f t="shared" si="21"/>
        <v/>
      </c>
      <c r="EH64" t="str">
        <f t="shared" si="22"/>
        <v/>
      </c>
      <c r="EI64" t="str">
        <f t="shared" si="23"/>
        <v>Fluoroquinolones</v>
      </c>
      <c r="EJ64" t="str">
        <f t="shared" si="24"/>
        <v/>
      </c>
      <c r="EK64" s="63" t="str">
        <f t="shared" si="25"/>
        <v/>
      </c>
      <c r="EN64" s="42">
        <v>61</v>
      </c>
      <c r="EO64" t="e">
        <f t="shared" si="68"/>
        <v>#N/A</v>
      </c>
      <c r="EP64" s="63" t="e">
        <f t="shared" si="69"/>
        <v>#N/A</v>
      </c>
      <c r="ER64" s="195" t="str">
        <f t="shared" si="120"/>
        <v/>
      </c>
      <c r="ES64" s="228" t="str">
        <f>IFERROR(IF(EU64=0,"",COUNTIF(EU$4:EU$64,"&gt;"&amp;EU64)+COUNTIF(EU$4:EU64,EU64)),"")</f>
        <v/>
      </c>
      <c r="ET64" s="64" t="str">
        <f t="shared" si="121"/>
        <v>Valnémuline</v>
      </c>
      <c r="EU64" s="77" t="e">
        <f t="shared" si="56"/>
        <v>#N/A</v>
      </c>
      <c r="EV64" s="64">
        <v>61</v>
      </c>
      <c r="EW64" s="64" t="e">
        <f t="shared" si="57"/>
        <v>#N/A</v>
      </c>
      <c r="EX64" s="65" t="e">
        <f t="shared" si="58"/>
        <v>#N/A</v>
      </c>
      <c r="FH64" s="117" t="str">
        <f>FL32</f>
        <v/>
      </c>
      <c r="FI64" s="117" t="str">
        <f>IFERROR(SUMIFS('Étape 1 - à remplir'!$F$31:$F$400,'Étape 1 - à remplir'!$C$31:$C$400,IF($FH64="Bovin","Bovin*",IF($FH64="Ovin","Ovin*",IF($FH64="Caprin","Caprin*",IF($FH64="Porcin","Porcin*",IF($FH64="Equin","Equin*",IF($FH64="Volaille","Volaille*",IF($FH64="Poisson","Poisson*",IF($FH64="Autre","Autre*","")))))))),'Étape 1 - à remplir'!$G$31:$G$400,"kg",'Étape 1 - à remplir'!$M$31:$M$400,MASQ2!FI$43)/SUMIFS('Étape 1 - à remplir'!$F$19:$F$28,'Étape 1 - à remplir'!$C$19:$C$28,MASQ2!$FH64,'Étape 1 - à remplir'!$G$19:$G$28,"kg"),"")</f>
        <v/>
      </c>
      <c r="FJ64" s="116" t="str">
        <f>IFERROR(SUMIFS('Étape 1 - à remplir'!$F$31:$F$400,'Étape 1 - à remplir'!$C$31:$C$400,IF($FH64="Bovin","Bovin*",IF($FH64="Ovin","Ovin*",IF($FH64="Caprin","Caprin*",IF($FH64="Porcin","Porcin*",IF($FH64="Equin","Equin*",IF($FH64="Volaille","Volaille*",IF($FH64="Poisson","Poisson*",IF($FH64="Autre","Autre*","")))))))),'Étape 1 - à remplir'!$G$31:$G$400,"kg",'Étape 1 - à remplir'!$M$31:$M$400,MASQ2!FJ$43)/SUMIFS('Étape 1 - à remplir'!$F$19:$F$28,'Étape 1 - à remplir'!$C$19:$C$28,MASQ2!$FH64,'Étape 1 - à remplir'!$G$19:$G$28,"kg"),"")</f>
        <v/>
      </c>
      <c r="FK64" s="116" t="str">
        <f>IFERROR(SUMIFS('Étape 1 - à remplir'!$F$31:$F$400,'Étape 1 - à remplir'!$C$31:$C$400,IF($FH64="Bovin","Bovin*",IF($FH64="Ovin","Ovin*",IF($FH64="Caprin","Caprin*",IF($FH64="Porcin","Porcin*",IF($FH64="Equin","Equin*",IF($FH64="Volaille","Volaille*",IF($FH64="Poisson","Poisson*",IF($FH64="Autre","Autre*","")))))))),'Étape 1 - à remplir'!$G$31:$G$400,"kg",'Étape 1 - à remplir'!$M$31:$M$400,MASQ2!FK$43)/SUMIFS('Étape 1 - à remplir'!$F$19:$F$28,'Étape 1 - à remplir'!$C$19:$C$28,MASQ2!$FH64,'Étape 1 - à remplir'!$G$19:$G$28,"kg"),"")</f>
        <v/>
      </c>
      <c r="FL64" s="116" t="str">
        <f>IFERROR(SUMIFS('Étape 1 - à remplir'!$F$31:$F$400,'Étape 1 - à remplir'!$C$31:$C$400,IF($FH64="Bovin","Bovin*",IF($FH64="Ovin","Ovin*",IF($FH64="Caprin","Caprin*",IF($FH64="Porcin","Porcin*",IF($FH64="Equin","Equin*",IF($FH64="Volaille","Volaille*",IF($FH64="Poisson","Poisson*",IF($FH64="Autre","Autre*","")))))))),'Étape 1 - à remplir'!$G$31:$G$400,"kg",'Étape 1 - à remplir'!$M$31:$M$400,MASQ2!FL$43)/SUMIFS('Étape 1 - à remplir'!$F$19:$F$28,'Étape 1 - à remplir'!$C$19:$C$28,MASQ2!$FH64,'Étape 1 - à remplir'!$G$19:$G$28,"kg"),"")</f>
        <v/>
      </c>
      <c r="FM64" s="116" t="str">
        <f>IFERROR(SUMIFS('Étape 1 - à remplir'!$F$31:$F$400,'Étape 1 - à remplir'!$C$31:$C$400,IF($FH64="Bovin","Bovin*",IF($FH64="Ovin","Ovin*",IF($FH64="Caprin","Caprin*",IF($FH64="Porcin","Porcin*",IF($FH64="Equin","Equin*",IF($FH64="Volaille","Volaille*",IF($FH64="Poisson","Poisson*",IF($FH64="Autre","Autre*","")))))))),'Étape 1 - à remplir'!$G$31:$G$400,"kg",'Étape 1 - à remplir'!$M$31:$M$400,MASQ2!FM$43)/SUMIFS('Étape 1 - à remplir'!$F$19:$F$28,'Étape 1 - à remplir'!$C$19:$C$28,MASQ2!$FH64,'Étape 1 - à remplir'!$G$19:$G$28,"kg"),"")</f>
        <v/>
      </c>
      <c r="FN64" s="116" t="str">
        <f>IFERROR(SUMIFS('Étape 1 - à remplir'!$F$31:$F$400,'Étape 1 - à remplir'!$C$31:$C$400,IF($FH64="Bovin","Bovin*",IF($FH64="Ovin","Ovin*",IF($FH64="Caprin","Caprin*",IF($FH64="Porcin","Porcin*",IF($FH64="Equin","Equin*",IF($FH64="Volaille","Volaille*",IF($FH64="Poisson","Poisson*",IF($FH64="Autre","Autre*","")))))))),'Étape 1 - à remplir'!$G$31:$G$400,"kg",'Étape 1 - à remplir'!$M$31:$M$400,MASQ2!FN$43)/SUMIFS('Étape 1 - à remplir'!$F$19:$F$28,'Étape 1 - à remplir'!$C$19:$C$28,MASQ2!$FH64,'Étape 1 - à remplir'!$G$19:$G$28,"kg"),"")</f>
        <v/>
      </c>
      <c r="FO64" s="116" t="str">
        <f>IFERROR(SUMIFS('Étape 1 - à remplir'!$F$31:$F$400,'Étape 1 - à remplir'!$C$31:$C$400,IF($FH64="Bovin","Bovin*",IF($FH64="Ovin","Ovin*",IF($FH64="Caprin","Caprin*",IF($FH64="Porcin","Porcin*",IF($FH64="Equin","Equin*",IF($FH64="Volaille","Volaille*",IF($FH64="Poisson","Poisson*",IF($FH64="Autre","Autre*","")))))))),'Étape 1 - à remplir'!$G$31:$G$400,"kg",'Étape 1 - à remplir'!$M$31:$M$400,MASQ2!FO$43)/SUMIFS('Étape 1 - à remplir'!$F$19:$F$28,'Étape 1 - à remplir'!$C$19:$C$28,MASQ2!$FH64,'Étape 1 - à remplir'!$G$19:$G$28,"kg"),"")</f>
        <v/>
      </c>
      <c r="FP64" s="116" t="str">
        <f>IFERROR(SUMIFS('Étape 1 - à remplir'!$F$31:$F$400,'Étape 1 - à remplir'!$C$31:$C$400,IF($FH64="Bovin","Bovin*",IF($FH64="Ovin","Ovin*",IF($FH64="Caprin","Caprin*",IF($FH64="Porcin","Porcin*",IF($FH64="Equin","Equin*",IF($FH64="Volaille","Volaille*",IF($FH64="Poisson","Poisson*",IF($FH64="Autre","Autre*","")))))))),'Étape 1 - à remplir'!$G$31:$G$400,"kg",'Étape 1 - à remplir'!$M$31:$M$400,MASQ2!FP$43)/SUMIFS('Étape 1 - à remplir'!$F$19:$F$28,'Étape 1 - à remplir'!$C$19:$C$28,MASQ2!$FH64,'Étape 1 - à remplir'!$G$19:$G$28,"kg"),"")</f>
        <v/>
      </c>
      <c r="FQ64" s="116" t="str">
        <f>IFERROR(SUMIFS('Étape 1 - à remplir'!$F$31:$F$400,'Étape 1 - à remplir'!$C$31:$C$400,IF($FH64="Bovin","Bovin*",IF($FH64="Ovin","Ovin*",IF($FH64="Caprin","Caprin*",IF($FH64="Porcin","Porcin*",IF($FH64="Equin","Equin*",IF($FH64="Volaille","Volaille*",IF($FH64="Poisson","Poisson*",IF($FH64="Autre","Autre*","")))))))),'Étape 1 - à remplir'!$G$31:$G$400,"kg",'Étape 1 - à remplir'!$M$31:$M$400,MASQ2!FQ$43)/SUMIFS('Étape 1 - à remplir'!$F$19:$F$28,'Étape 1 - à remplir'!$C$19:$C$28,MASQ2!$FH64,'Étape 1 - à remplir'!$G$19:$G$28,"kg"),"")</f>
        <v/>
      </c>
      <c r="FR64" s="116" t="str">
        <f>IFERROR(SUMIFS('Étape 1 - à remplir'!$F$31:$F$400,'Étape 1 - à remplir'!$C$31:$C$400,IF($FH64="Bovin","Bovin*",IF($FH64="Ovin","Ovin*",IF($FH64="Caprin","Caprin*",IF($FH64="Porcin","Porcin*",IF($FH64="Equin","Equin*",IF($FH64="Volaille","Volaille*",IF($FH64="Poisson","Poisson*",IF($FH64="Autre","Autre*","")))))))),'Étape 1 - à remplir'!$G$31:$G$400,"kg",'Étape 1 - à remplir'!$M$31:$M$400,MASQ2!FR$43)/SUMIFS('Étape 1 - à remplir'!$F$19:$F$28,'Étape 1 - à remplir'!$C$19:$C$28,MASQ2!$FH64,'Étape 1 - à remplir'!$G$19:$G$28,"kg"),"")</f>
        <v/>
      </c>
      <c r="FS64" s="116" t="str">
        <f>IFERROR(SUMIFS('Étape 1 - à remplir'!$F$31:$F$400,'Étape 1 - à remplir'!$C$31:$C$400,IF($FH64="Bovin","Bovin*",IF($FH64="Ovin","Ovin*",IF($FH64="Caprin","Caprin*",IF($FH64="Porcin","Porcin*",IF($FH64="Equin","Equin*",IF($FH64="Volaille","Volaille*",IF($FH64="Poisson","Poisson*",IF($FH64="Autre","Autre*","")))))))),'Étape 1 - à remplir'!$G$31:$G$400,"kg",'Étape 1 - à remplir'!$M$31:$M$400,MASQ2!FS$43)/SUMIFS('Étape 1 - à remplir'!$F$19:$F$28,'Étape 1 - à remplir'!$C$19:$C$28,MASQ2!$FH64,'Étape 1 - à remplir'!$G$19:$G$28,"kg"),"")</f>
        <v/>
      </c>
      <c r="FT64" s="114" t="str">
        <f>IFERROR(SUMIFS('Étape 1 - à remplir'!$F$31:$F$400,'Étape 1 - à remplir'!$C$31:$C$400,IF($FH64="Bovin","Bovin*",IF($FH64="Ovin","Ovin*",IF($FH64="Caprin","Caprin*",IF($FH64="Porcin","Porcin*",IF($FH64="Equin","Equin*",IF($FH64="Volaille","Volaille*",IF($FH64="Poisson","Poisson*",IF($FH64="Autre","Autre*","")))))))),'Étape 1 - à remplir'!$G$31:$G$400,"kg",'Étape 1 - à remplir'!$M$31:$M$400,MASQ2!FT$43)/SUMIFS('Étape 1 - à remplir'!$F$19:$F$28,'Étape 1 - à remplir'!$C$19:$C$28,MASQ2!$FH64,'Étape 1 - à remplir'!$G$19:$G$28,"kg"),"")</f>
        <v/>
      </c>
    </row>
    <row r="65" spans="2:176" x14ac:dyDescent="0.3">
      <c r="B65" s="42"/>
      <c r="M65" s="194" t="str">
        <f ca="1">INDEX(Données_ATB!BD:BU,MATCH(MASQ2!O65,Données_ATB!BD:BD,0),18)</f>
        <v>x</v>
      </c>
      <c r="N65" s="14" t="str">
        <f>IFERROR(IF(Q65=0,"",COUNTIF(Q$4:Q$600,"&gt;"&amp;Q65)+COUNTIF(Q$4:Q65,Q65)),"")</f>
        <v/>
      </c>
      <c r="O65" t="str">
        <f>Données_ATB!BD64</f>
        <v>BAYTRIL 1NJECT PORC</v>
      </c>
      <c r="P65" t="e">
        <f>IF(IF(X$2="Catégorie",IF(X$3="Toutes",SUMIFS('Étape 1 - à remplir'!$F$31:$F$400,'Étape 1 - à remplir'!$E$31:$E$400,MASQ2!O65,'Étape 1 - à remplir'!$G$31:$G$400,"animaux"),SUMIFS('Étape 1 - à remplir'!$F$31:$F$400,'Étape 1 - à remplir'!$E$31:$E$400,MASQ2!O65,'Étape 1 - à remplir'!$C$31:$C$400,X$3)),IF(X$2="Âge",IF(X$3="Tous",SUMIFS('Étape 1 - à remplir'!$F$31:$F$400,'Étape 1 - à remplir'!$E$31:$E$400,MASQ2!O65,'Étape 1 - à remplir'!$G$31:$G$400,"animaux"),SUMIFS('Étape 1 - à remplir'!$F$31:$F$400,'Étape 1 - à remplir'!$E$31:$E$400,MASQ2!O65,'Étape 1 - à remplir'!$P$31:$P$400,X$3)),IF(X$2="Atelier",IF(X$3="Tous",SUMIFS('Étape 1 - à remplir'!$F$31:$F$400,'Étape 1 - à remplir'!$E$31:$E$400,MASQ2!O65,'Étape 1 - à remplir'!$G$31:$G$400,"animaux"),SUMIFS('Étape 1 - à remplir'!$F$31:$F$400,'Étape 1 - à remplir'!$E$31:$E$400,MASQ2!O65,'Étape 1 - à remplir'!$O$31:$O$400,X$3)),IF(X$2="Espèce",IF(X$3="Toutes",SUMIFS('Étape 1 - à remplir'!$F$31:$F$400,'Étape 1 - à remplir'!$E$31:$E$400,MASQ2!O65,'Étape 1 - à remplir'!$G$31:$G$400,"animaux"),SUMIFS('Étape 1 - à remplir'!$F$31:$F$400,'Étape 1 - à remplir'!$E$31:$E$400,MASQ2!O65,'Étape 1 - à remplir'!$N$31:$N$400,X$3))))))=0,NA(),IF(X$2="Catégorie",IF(X$3="Toutes",SUMIFS('Étape 1 - à remplir'!$F$31:$F$400,'Étape 1 - à remplir'!$E$31:$E$400,MASQ2!O65,'Étape 1 - à remplir'!$G$31:$G$400,"animaux"),SUMIFS('Étape 1 - à remplir'!$F$31:$F$400,'Étape 1 - à remplir'!$E$31:$E$400,MASQ2!O65,'Étape 1 - à remplir'!$C$31:$C$400,X$3)),IF(X$2="Âge",IF(X$3="Tous",SUMIFS('Étape 1 - à remplir'!$F$31:$F$400,'Étape 1 - à remplir'!$E$31:$E$400,MASQ2!O65,'Étape 1 - à remplir'!$G$31:$G$400,"animaux"),SUMIFS('Étape 1 - à remplir'!$F$31:$F$400,'Étape 1 - à remplir'!$E$31:$E$400,MASQ2!O65,'Étape 1 - à remplir'!$P$31:$P$400,X$3)),IF(X$2="Atelier",IF(X$3="Tous",SUMIFS('Étape 1 - à remplir'!$F$31:$F$400,'Étape 1 - à remplir'!$E$31:$E$400,MASQ2!O65,'Étape 1 - à remplir'!$G$31:$G$400,"animaux"),SUMIFS('Étape 1 - à remplir'!$F$31:$F$400,'Étape 1 - à remplir'!$E$31:$E$400,MASQ2!O65,'Étape 1 - à remplir'!$O$31:$O$400,X$3)),IF(X$2="Espèce",IF(X$3="Toutes",SUMIFS('Étape 1 - à remplir'!$F$31:$F$400,'Étape 1 - à remplir'!$E$31:$E$400,MASQ2!O65,'Étape 1 - à remplir'!$G$31:$G$400,"animaux"),SUMIFS('Étape 1 - à remplir'!$F$31:$F$400,'Étape 1 - à remplir'!$E$31:$E$400,MASQ2!O65,'Étape 1 - à remplir'!$N$31:$N$400,X$3)))))))</f>
        <v>#N/A</v>
      </c>
      <c r="Q65" s="63">
        <f t="shared" si="62"/>
        <v>0</v>
      </c>
      <c r="R65" t="str">
        <f>Données_ATB!BM64</f>
        <v>Enrofloxacine</v>
      </c>
      <c r="S65" t="str">
        <f>Données_ATB!BN64</f>
        <v/>
      </c>
      <c r="T65" s="63" t="str">
        <f>Données_ATB!BO64</f>
        <v/>
      </c>
      <c r="U65" s="42" t="str">
        <f>Données_ATB!BQ64</f>
        <v>Fluoroquinolones</v>
      </c>
      <c r="V65" t="str">
        <f>Données_ATB!BR64</f>
        <v/>
      </c>
      <c r="W65" s="63" t="str">
        <f>Données_ATB!BS64</f>
        <v/>
      </c>
      <c r="Z65" s="42">
        <v>62</v>
      </c>
      <c r="AA65" t="e">
        <f t="shared" si="32"/>
        <v>#N/A</v>
      </c>
      <c r="AB65" s="63" t="e">
        <f t="shared" si="33"/>
        <v>#N/A</v>
      </c>
      <c r="AT65" s="118" t="str">
        <f t="shared" ref="AT65:AT73" si="128">AX33</f>
        <v/>
      </c>
      <c r="AU65" s="118" t="str">
        <f>IFERROR(SUMIFS('Étape 1 - à remplir'!$F$31:$F$400,'Étape 1 - à remplir'!$C$31:$C$400,IF($AT65="Bovin","Bovin*",IF($AT65="Ovin","Ovin*",IF($AT65="Caprin","Caprin*",IF($AT65="Porcin","Porcin*",IF($AT65="Equin","Equin*",IF($AT65="Volaille","Volaille*",IF($AT65="Poisson","Poisson*",IF($AT65="Autre","Autre*","")))))))),'Étape 1 - à remplir'!$G$31:$G$400,"animaux",'Étape 1 - à remplir'!$M$31:$M$400,MASQ2!AU$43)/SUMIFS('Étape 1 - à remplir'!$F$19:$F$28,'Étape 1 - à remplir'!$C$19:$C$28,MASQ2!$AT65,'Étape 1 - à remplir'!$G$19:$G$28,"animaux"),"")</f>
        <v/>
      </c>
      <c r="AV65" t="str">
        <f>IFERROR(SUMIFS('Étape 1 - à remplir'!$F$31:$F$400,'Étape 1 - à remplir'!$C$31:$C$400,IF($AT65="Bovin","Bovin*",IF($AT65="Ovin","Ovin*",IF($AT65="Caprin","Caprin*",IF($AT65="Porcin","Porcin*",IF($AT65="Equin","Equin*",IF($AT65="Volaille","Volaille*",IF($AT65="Poisson","Poisson*",IF($AT65="Autre","Autre*","")))))))),'Étape 1 - à remplir'!$G$31:$G$400,"animaux",'Étape 1 - à remplir'!$M$31:$M$400,MASQ2!AV$43)/SUMIFS('Étape 1 - à remplir'!$F$19:$F$28,'Étape 1 - à remplir'!$C$19:$C$28,MASQ2!$AT65,'Étape 1 - à remplir'!$G$19:$G$28,"animaux"),"")</f>
        <v/>
      </c>
      <c r="AW65" t="str">
        <f>IFERROR(SUMIFS('Étape 1 - à remplir'!$F$31:$F$400,'Étape 1 - à remplir'!$C$31:$C$400,IF($AT65="Bovin","Bovin*",IF($AT65="Ovin","Ovin*",IF($AT65="Caprin","Caprin*",IF($AT65="Porcin","Porcin*",IF($AT65="Equin","Equin*",IF($AT65="Volaille","Volaille*",IF($AT65="Poisson","Poisson*",IF($AT65="Autre","Autre*","")))))))),'Étape 1 - à remplir'!$G$31:$G$400,"animaux",'Étape 1 - à remplir'!$M$31:$M$400,MASQ2!AW$43)/SUMIFS('Étape 1 - à remplir'!$F$19:$F$28,'Étape 1 - à remplir'!$C$19:$C$28,MASQ2!$AT65,'Étape 1 - à remplir'!$G$19:$G$28,"animaux"),"")</f>
        <v/>
      </c>
      <c r="AX65" t="str">
        <f>IFERROR(SUMIFS('Étape 1 - à remplir'!$F$31:$F$400,'Étape 1 - à remplir'!$C$31:$C$400,IF($AT65="Bovin","Bovin*",IF($AT65="Ovin","Ovin*",IF($AT65="Caprin","Caprin*",IF($AT65="Porcin","Porcin*",IF($AT65="Equin","Equin*",IF($AT65="Volaille","Volaille*",IF($AT65="Poisson","Poisson*",IF($AT65="Autre","Autre*","")))))))),'Étape 1 - à remplir'!$G$31:$G$400,"animaux",'Étape 1 - à remplir'!$M$31:$M$400,MASQ2!AX$43)/SUMIFS('Étape 1 - à remplir'!$F$19:$F$28,'Étape 1 - à remplir'!$C$19:$C$28,MASQ2!$AT65,'Étape 1 - à remplir'!$G$19:$G$28,"animaux"),"")</f>
        <v/>
      </c>
      <c r="AY65" t="str">
        <f>IFERROR(SUMIFS('Étape 1 - à remplir'!$F$31:$F$400,'Étape 1 - à remplir'!$C$31:$C$400,IF($AT65="Bovin","Bovin*",IF($AT65="Ovin","Ovin*",IF($AT65="Caprin","Caprin*",IF($AT65="Porcin","Porcin*",IF($AT65="Equin","Equin*",IF($AT65="Volaille","Volaille*",IF($AT65="Poisson","Poisson*",IF($AT65="Autre","Autre*","")))))))),'Étape 1 - à remplir'!$G$31:$G$400,"animaux",'Étape 1 - à remplir'!$M$31:$M$400,MASQ2!AY$43)/SUMIFS('Étape 1 - à remplir'!$F$19:$F$28,'Étape 1 - à remplir'!$C$19:$C$28,MASQ2!$AT65,'Étape 1 - à remplir'!$G$19:$G$28,"animaux"),"")</f>
        <v/>
      </c>
      <c r="AZ65" t="str">
        <f>IFERROR(SUMIFS('Étape 1 - à remplir'!$F$31:$F$400,'Étape 1 - à remplir'!$C$31:$C$400,IF($AT65="Bovin","Bovin*",IF($AT65="Ovin","Ovin*",IF($AT65="Caprin","Caprin*",IF($AT65="Porcin","Porcin*",IF($AT65="Equin","Equin*",IF($AT65="Volaille","Volaille*",IF($AT65="Poisson","Poisson*",IF($AT65="Autre","Autre*","")))))))),'Étape 1 - à remplir'!$G$31:$G$400,"animaux",'Étape 1 - à remplir'!$M$31:$M$400,MASQ2!AZ$43)/SUMIFS('Étape 1 - à remplir'!$F$19:$F$28,'Étape 1 - à remplir'!$C$19:$C$28,MASQ2!$AT65,'Étape 1 - à remplir'!$G$19:$G$28,"animaux"),"")</f>
        <v/>
      </c>
      <c r="BA65" t="str">
        <f>IFERROR(SUMIFS('Étape 1 - à remplir'!$F$31:$F$400,'Étape 1 - à remplir'!$C$31:$C$400,IF($AT65="Bovin","Bovin*",IF($AT65="Ovin","Ovin*",IF($AT65="Caprin","Caprin*",IF($AT65="Porcin","Porcin*",IF($AT65="Equin","Equin*",IF($AT65="Volaille","Volaille*",IF($AT65="Poisson","Poisson*",IF($AT65="Autre","Autre*","")))))))),'Étape 1 - à remplir'!$G$31:$G$400,"animaux",'Étape 1 - à remplir'!$M$31:$M$400,MASQ2!BA$43)/SUMIFS('Étape 1 - à remplir'!$F$19:$F$28,'Étape 1 - à remplir'!$C$19:$C$28,MASQ2!$AT65,'Étape 1 - à remplir'!$G$19:$G$28,"animaux"),"")</f>
        <v/>
      </c>
      <c r="BB65" t="str">
        <f>IFERROR(SUMIFS('Étape 1 - à remplir'!$F$31:$F$400,'Étape 1 - à remplir'!$C$31:$C$400,IF($AT65="Bovin","Bovin*",IF($AT65="Ovin","Ovin*",IF($AT65="Caprin","Caprin*",IF($AT65="Porcin","Porcin*",IF($AT65="Equin","Equin*",IF($AT65="Volaille","Volaille*",IF($AT65="Poisson","Poisson*",IF($AT65="Autre","Autre*","")))))))),'Étape 1 - à remplir'!$G$31:$G$400,"animaux",'Étape 1 - à remplir'!$M$31:$M$400,MASQ2!BB$43)/SUMIFS('Étape 1 - à remplir'!$F$19:$F$28,'Étape 1 - à remplir'!$C$19:$C$28,MASQ2!$AT65,'Étape 1 - à remplir'!$G$19:$G$28,"animaux"),"")</f>
        <v/>
      </c>
      <c r="BC65" t="str">
        <f>IFERROR(SUMIFS('Étape 1 - à remplir'!$F$31:$F$400,'Étape 1 - à remplir'!$C$31:$C$400,IF($AT65="Bovin","Bovin*",IF($AT65="Ovin","Ovin*",IF($AT65="Caprin","Caprin*",IF($AT65="Porcin","Porcin*",IF($AT65="Equin","Equin*",IF($AT65="Volaille","Volaille*",IF($AT65="Poisson","Poisson*",IF($AT65="Autre","Autre*","")))))))),'Étape 1 - à remplir'!$G$31:$G$400,"animaux",'Étape 1 - à remplir'!$M$31:$M$400,MASQ2!BC$43)/SUMIFS('Étape 1 - à remplir'!$F$19:$F$28,'Étape 1 - à remplir'!$C$19:$C$28,MASQ2!$AT65,'Étape 1 - à remplir'!$G$19:$G$28,"animaux"),"")</f>
        <v/>
      </c>
      <c r="BD65" t="str">
        <f>IFERROR(SUMIFS('Étape 1 - à remplir'!$F$31:$F$400,'Étape 1 - à remplir'!$C$31:$C$400,IF($AT65="Bovin","Bovin*",IF($AT65="Ovin","Ovin*",IF($AT65="Caprin","Caprin*",IF($AT65="Porcin","Porcin*",IF($AT65="Equin","Equin*",IF($AT65="Volaille","Volaille*",IF($AT65="Poisson","Poisson*",IF($AT65="Autre","Autre*","")))))))),'Étape 1 - à remplir'!$G$31:$G$400,"animaux",'Étape 1 - à remplir'!$M$31:$M$400,MASQ2!BD$43)/SUMIFS('Étape 1 - à remplir'!$F$19:$F$28,'Étape 1 - à remplir'!$C$19:$C$28,MASQ2!$AT65,'Étape 1 - à remplir'!$G$19:$G$28,"animaux"),"")</f>
        <v/>
      </c>
      <c r="BE65" t="str">
        <f>IFERROR(SUMIFS('Étape 1 - à remplir'!$F$31:$F$400,'Étape 1 - à remplir'!$C$31:$C$400,IF($AT65="Bovin","Bovin*",IF($AT65="Ovin","Ovin*",IF($AT65="Caprin","Caprin*",IF($AT65="Porcin","Porcin*",IF($AT65="Equin","Equin*",IF($AT65="Volaille","Volaille*",IF($AT65="Poisson","Poisson*",IF($AT65="Autre","Autre*","")))))))),'Étape 1 - à remplir'!$G$31:$G$400,"animaux",'Étape 1 - à remplir'!$M$31:$M$400,MASQ2!BE$43)/SUMIFS('Étape 1 - à remplir'!$F$19:$F$28,'Étape 1 - à remplir'!$C$19:$C$28,MASQ2!$AT65,'Étape 1 - à remplir'!$G$19:$G$28,"animaux"),"")</f>
        <v/>
      </c>
      <c r="BF65" s="76" t="str">
        <f>IFERROR(SUMIFS('Étape 1 - à remplir'!$F$31:$F$400,'Étape 1 - à remplir'!$C$31:$C$400,IF($AT65="Bovin","Bovin*",IF($AT65="Ovin","Ovin*",IF($AT65="Caprin","Caprin*",IF($AT65="Porcin","Porcin*",IF($AT65="Equin","Equin*",IF($AT65="Volaille","Volaille*",IF($AT65="Poisson","Poisson*",IF($AT65="Autre","Autre*","")))))))),'Étape 1 - à remplir'!$G$31:$G$400,"animaux",'Étape 1 - à remplir'!$M$31:$M$400,MASQ2!BF$43)/SUMIFS('Étape 1 - à remplir'!$F$19:$F$28,'Étape 1 - à remplir'!$C$19:$C$28,MASQ2!$AT65,'Étape 1 - à remplir'!$G$19:$G$28,"animaux"),"")</f>
        <v/>
      </c>
      <c r="BT65" s="194" t="str">
        <f t="shared" ca="1" si="5"/>
        <v>x</v>
      </c>
      <c r="BU65" s="219" t="str">
        <f>IFERROR(IF(BX65=0,"",COUNTIF(BX$4:BX$600,"&gt;"&amp;BX65)+COUNTIF(BX$4:BX65,BX65)),"")</f>
        <v/>
      </c>
      <c r="BV65" s="42" t="str">
        <f t="shared" si="6"/>
        <v>BAYTRIL 1NJECT PORC</v>
      </c>
      <c r="BW65" t="e">
        <f>IF(IF(CE$2="Catégorie",IF(CE$3="Toutes",SUMIFS('Étape 1 - à remplir'!$F$31:$F$400,'Étape 1 - à remplir'!$E$31:$E$400,MASQ2!BV65,'Étape 1 - à remplir'!$G$31:$G$400,"lots"),SUMIFS('Étape 1 - à remplir'!$F$31:$F$400,'Étape 1 - à remplir'!$E$31:$E$400,MASQ2!BV65,'Étape 1 - à remplir'!$C$31:$C$400,CE$3)),IF(CE$2="Âge",IF(CE$3="Tous",SUMIFS('Étape 1 - à remplir'!$F$31:$F$400,'Étape 1 - à remplir'!$E$31:$E$400,MASQ2!BV65,'Étape 1 - à remplir'!$G$31:$G$400,"lots"),SUMIFS('Étape 1 - à remplir'!$F$31:$F$400,'Étape 1 - à remplir'!$E$31:$E$400,MASQ2!BV65,'Étape 1 - à remplir'!$P$31:$P$400,CE$3,'Étape 1 - à remplir'!$G$31:$G$400,"lots")),IF(CE$2="Atelier",IF(CE$3="Tous",SUMIFS('Étape 1 - à remplir'!$F$31:$F$400,'Étape 1 - à remplir'!$E$31:$E$400,MASQ2!BV65,'Étape 1 - à remplir'!$G$31:$G$400,"lots"),SUMIFS('Étape 1 - à remplir'!$F$31:$F$400,'Étape 1 - à remplir'!$E$31:$E$400,MASQ2!BV65,'Étape 1 - à remplir'!$O$31:$O$400,CE$3,'Étape 1 - à remplir'!$G$31:$G$400,"lots")),IF(CE$2="Espèce",IF(CE$3="Toutes",SUMIFS('Étape 1 - à remplir'!$F$31:$F$400,'Étape 1 - à remplir'!$E$31:$E$400,MASQ2!BV65,'Étape 1 - à remplir'!$G$31:$G$400,"lots"),SUMIFS('Étape 1 - à remplir'!$F$31:$F$400,'Étape 1 - à remplir'!$E$31:$E$400,MASQ2!BV65,'Étape 1 - à remplir'!$N$31:$N$400,CE$3,'Étape 1 - à remplir'!$G$31:$G$400,"lots"))))))=0,NA(),IF(CE$2="Catégorie",IF(CE$3="Toutes",SUMIFS('Étape 1 - à remplir'!$F$31:$F$400,'Étape 1 - à remplir'!$E$31:$E$400,MASQ2!BV65,'Étape 1 - à remplir'!$G$31:$G$400,"lots"),SUMIFS('Étape 1 - à remplir'!$F$31:$F$400,'Étape 1 - à remplir'!$E$31:$E$400,MASQ2!BV65,'Étape 1 - à remplir'!$C$31:$C$400,CE$3)),IF(CE$2="Âge",IF(CE$3="Tous",SUMIFS('Étape 1 - à remplir'!$F$31:$F$400,'Étape 1 - à remplir'!$E$31:$E$400,MASQ2!BV65,'Étape 1 - à remplir'!$G$31:$G$400,"lots"),SUMIFS('Étape 1 - à remplir'!$F$31:$F$400,'Étape 1 - à remplir'!$E$31:$E$400,MASQ2!BV65,'Étape 1 - à remplir'!$P$31:$P$400,CE$3,'Étape 1 - à remplir'!$G$31:$G$400,"lots")),IF(CE$2="Atelier",IF(CE$3="Tous",SUMIFS('Étape 1 - à remplir'!$F$31:$F$400,'Étape 1 - à remplir'!$E$31:$E$400,MASQ2!BV65,'Étape 1 - à remplir'!$G$31:$G$400,"lots"),SUMIFS('Étape 1 - à remplir'!$F$31:$F$400,'Étape 1 - à remplir'!$E$31:$E$400,MASQ2!BV65,'Étape 1 - à remplir'!$O$31:$O$400,CE$3,'Étape 1 - à remplir'!$G$31:$G$400,"lots")),IF(CE$2="Espèce",IF(CE$3="Toutes",SUMIFS('Étape 1 - à remplir'!$F$31:$F$400,'Étape 1 - à remplir'!$E$31:$E$400,MASQ2!BV65,'Étape 1 - à remplir'!$G$31:$G$400,"lots"),SUMIFS('Étape 1 - à remplir'!$F$31:$F$400,'Étape 1 - à remplir'!$E$31:$E$400,MASQ2!BV65,'Étape 1 - à remplir'!$N$31:$N$400,CE$3,'Étape 1 - à remplir'!$G$31:$G$400,"lots")))))))</f>
        <v>#N/A</v>
      </c>
      <c r="BX65">
        <f t="shared" si="42"/>
        <v>0</v>
      </c>
      <c r="BY65" t="str">
        <f t="shared" si="7"/>
        <v>Enrofloxacine</v>
      </c>
      <c r="BZ65" t="str">
        <f t="shared" si="8"/>
        <v/>
      </c>
      <c r="CA65" t="str">
        <f t="shared" si="9"/>
        <v/>
      </c>
      <c r="CB65" t="str">
        <f t="shared" si="10"/>
        <v>Fluoroquinolones</v>
      </c>
      <c r="CC65" t="str">
        <f t="shared" si="11"/>
        <v/>
      </c>
      <c r="CD65" s="63" t="str">
        <f t="shared" si="12"/>
        <v/>
      </c>
      <c r="CG65" s="42">
        <v>62</v>
      </c>
      <c r="CH65" s="42" t="e">
        <f t="shared" si="80"/>
        <v>#N/A</v>
      </c>
      <c r="CI65" s="63" t="e">
        <f t="shared" si="81"/>
        <v>#N/A</v>
      </c>
      <c r="DA65" s="118" t="str">
        <f t="shared" ref="DA65:DA73" si="129">DE33</f>
        <v/>
      </c>
      <c r="DB65" s="118" t="str">
        <f>IFERROR(SUMIFS('Étape 1 - à remplir'!$F$31:$F$400,'Étape 1 - à remplir'!$C$31:$C$400,IF($DA65="Bovin","Bovin*",IF($DA65="Ovin","Ovin*",IF($DA65="Caprin","Caprin*",IF($DA65="Porcin","Porcin*",IF($DA65="Equin","Equin*",IF($DA65="Volaille","Volaille*",IF($DA65="Poisson","Poisson*",IF($DA65="Autre","Autre*","")))))))),'Étape 1 - à remplir'!$G$31:$G$400,"lots",'Étape 1 - à remplir'!$M$31:$M$400,MASQ2!DB$43)/SUMIFS('Étape 1 - à remplir'!$F$19:$F$28,'Étape 1 - à remplir'!$C$19:$C$28,MASQ2!$DA65,'Étape 1 - à remplir'!$G$19:$G$28,"lots"),"")</f>
        <v/>
      </c>
      <c r="DC65" t="str">
        <f>IFERROR(SUMIFS('Étape 1 - à remplir'!$F$31:$F$400,'Étape 1 - à remplir'!$C$31:$C$400,IF($DA65="Bovin","Bovin*",IF($DA65="Ovin","Ovin*",IF($DA65="Caprin","Caprin*",IF($DA65="Porcin","Porcin*",IF($DA65="Equin","Equin*",IF($DA65="Volaille","Volaille*",IF($DA65="Poisson","Poisson*",IF($DA65="Autre","Autre*","")))))))),'Étape 1 - à remplir'!$G$31:$G$400,"lots",'Étape 1 - à remplir'!$M$31:$M$400,MASQ2!DC$43)/SUMIFS('Étape 1 - à remplir'!$F$19:$F$28,'Étape 1 - à remplir'!$C$19:$C$28,MASQ2!$DA65,'Étape 1 - à remplir'!$G$19:$G$28,"lots"),"")</f>
        <v/>
      </c>
      <c r="DD65" t="str">
        <f>IFERROR(SUMIFS('Étape 1 - à remplir'!$F$31:$F$400,'Étape 1 - à remplir'!$C$31:$C$400,IF($DA65="Bovin","Bovin*",IF($DA65="Ovin","Ovin*",IF($DA65="Caprin","Caprin*",IF($DA65="Porcin","Porcin*",IF($DA65="Equin","Equin*",IF($DA65="Volaille","Volaille*",IF($DA65="Poisson","Poisson*",IF($DA65="Autre","Autre*","")))))))),'Étape 1 - à remplir'!$G$31:$G$400,"lots",'Étape 1 - à remplir'!$M$31:$M$400,MASQ2!DD$43)/SUMIFS('Étape 1 - à remplir'!$F$19:$F$28,'Étape 1 - à remplir'!$C$19:$C$28,MASQ2!$DA65,'Étape 1 - à remplir'!$G$19:$G$28,"lots"),"")</f>
        <v/>
      </c>
      <c r="DE65" t="str">
        <f>IFERROR(SUMIFS('Étape 1 - à remplir'!$F$31:$F$400,'Étape 1 - à remplir'!$C$31:$C$400,IF($DA65="Bovin","Bovin*",IF($DA65="Ovin","Ovin*",IF($DA65="Caprin","Caprin*",IF($DA65="Porcin","Porcin*",IF($DA65="Equin","Equin*",IF($DA65="Volaille","Volaille*",IF($DA65="Poisson","Poisson*",IF($DA65="Autre","Autre*","")))))))),'Étape 1 - à remplir'!$G$31:$G$400,"lots",'Étape 1 - à remplir'!$M$31:$M$400,MASQ2!DE$43)/SUMIFS('Étape 1 - à remplir'!$F$19:$F$28,'Étape 1 - à remplir'!$C$19:$C$28,MASQ2!$DA65,'Étape 1 - à remplir'!$G$19:$G$28,"lots"),"")</f>
        <v/>
      </c>
      <c r="DF65" t="str">
        <f>IFERROR(SUMIFS('Étape 1 - à remplir'!$F$31:$F$400,'Étape 1 - à remplir'!$C$31:$C$400,IF($DA65="Bovin","Bovin*",IF($DA65="Ovin","Ovin*",IF($DA65="Caprin","Caprin*",IF($DA65="Porcin","Porcin*",IF($DA65="Equin","Equin*",IF($DA65="Volaille","Volaille*",IF($DA65="Poisson","Poisson*",IF($DA65="Autre","Autre*","")))))))),'Étape 1 - à remplir'!$G$31:$G$400,"lots",'Étape 1 - à remplir'!$M$31:$M$400,MASQ2!DF$43)/SUMIFS('Étape 1 - à remplir'!$F$19:$F$28,'Étape 1 - à remplir'!$C$19:$C$28,MASQ2!$DA65,'Étape 1 - à remplir'!$G$19:$G$28,"lots"),"")</f>
        <v/>
      </c>
      <c r="DG65" t="str">
        <f>IFERROR(SUMIFS('Étape 1 - à remplir'!$F$31:$F$400,'Étape 1 - à remplir'!$C$31:$C$400,IF($DA65="Bovin","Bovin*",IF($DA65="Ovin","Ovin*",IF($DA65="Caprin","Caprin*",IF($DA65="Porcin","Porcin*",IF($DA65="Equin","Equin*",IF($DA65="Volaille","Volaille*",IF($DA65="Poisson","Poisson*",IF($DA65="Autre","Autre*","")))))))),'Étape 1 - à remplir'!$G$31:$G$400,"lots",'Étape 1 - à remplir'!$M$31:$M$400,MASQ2!DG$43)/SUMIFS('Étape 1 - à remplir'!$F$19:$F$28,'Étape 1 - à remplir'!$C$19:$C$28,MASQ2!$DA65,'Étape 1 - à remplir'!$G$19:$G$28,"lots"),"")</f>
        <v/>
      </c>
      <c r="DH65" t="str">
        <f>IFERROR(SUMIFS('Étape 1 - à remplir'!$F$31:$F$400,'Étape 1 - à remplir'!$C$31:$C$400,IF($DA65="Bovin","Bovin*",IF($DA65="Ovin","Ovin*",IF($DA65="Caprin","Caprin*",IF($DA65="Porcin","Porcin*",IF($DA65="Equin","Equin*",IF($DA65="Volaille","Volaille*",IF($DA65="Poisson","Poisson*",IF($DA65="Autre","Autre*","")))))))),'Étape 1 - à remplir'!$G$31:$G$400,"lots",'Étape 1 - à remplir'!$M$31:$M$400,MASQ2!DH$43)/SUMIFS('Étape 1 - à remplir'!$F$19:$F$28,'Étape 1 - à remplir'!$C$19:$C$28,MASQ2!$DA65,'Étape 1 - à remplir'!$G$19:$G$28,"lots"),"")</f>
        <v/>
      </c>
      <c r="DI65" t="str">
        <f>IFERROR(SUMIFS('Étape 1 - à remplir'!$F$31:$F$400,'Étape 1 - à remplir'!$C$31:$C$400,IF($DA65="Bovin","Bovin*",IF($DA65="Ovin","Ovin*",IF($DA65="Caprin","Caprin*",IF($DA65="Porcin","Porcin*",IF($DA65="Equin","Equin*",IF($DA65="Volaille","Volaille*",IF($DA65="Poisson","Poisson*",IF($DA65="Autre","Autre*","")))))))),'Étape 1 - à remplir'!$G$31:$G$400,"lots",'Étape 1 - à remplir'!$M$31:$M$400,MASQ2!DI$43)/SUMIFS('Étape 1 - à remplir'!$F$19:$F$28,'Étape 1 - à remplir'!$C$19:$C$28,MASQ2!$DA65,'Étape 1 - à remplir'!$G$19:$G$28,"lots"),"")</f>
        <v/>
      </c>
      <c r="DJ65" t="str">
        <f>IFERROR(SUMIFS('Étape 1 - à remplir'!$F$31:$F$400,'Étape 1 - à remplir'!$C$31:$C$400,IF($DA65="Bovin","Bovin*",IF($DA65="Ovin","Ovin*",IF($DA65="Caprin","Caprin*",IF($DA65="Porcin","Porcin*",IF($DA65="Equin","Equin*",IF($DA65="Volaille","Volaille*",IF($DA65="Poisson","Poisson*",IF($DA65="Autre","Autre*","")))))))),'Étape 1 - à remplir'!$G$31:$G$400,"lots",'Étape 1 - à remplir'!$M$31:$M$400,MASQ2!DJ$43)/SUMIFS('Étape 1 - à remplir'!$F$19:$F$28,'Étape 1 - à remplir'!$C$19:$C$28,MASQ2!$DA65,'Étape 1 - à remplir'!$G$19:$G$28,"lots"),"")</f>
        <v/>
      </c>
      <c r="DK65" t="str">
        <f>IFERROR(SUMIFS('Étape 1 - à remplir'!$F$31:$F$400,'Étape 1 - à remplir'!$C$31:$C$400,IF($DA65="Bovin","Bovin*",IF($DA65="Ovin","Ovin*",IF($DA65="Caprin","Caprin*",IF($DA65="Porcin","Porcin*",IF($DA65="Equin","Equin*",IF($DA65="Volaille","Volaille*",IF($DA65="Poisson","Poisson*",IF($DA65="Autre","Autre*","")))))))),'Étape 1 - à remplir'!$G$31:$G$400,"lots",'Étape 1 - à remplir'!$M$31:$M$400,MASQ2!DK$43)/SUMIFS('Étape 1 - à remplir'!$F$19:$F$28,'Étape 1 - à remplir'!$C$19:$C$28,MASQ2!$DA65,'Étape 1 - à remplir'!$G$19:$G$28,"lots"),"")</f>
        <v/>
      </c>
      <c r="DL65" t="str">
        <f>IFERROR(SUMIFS('Étape 1 - à remplir'!$F$31:$F$400,'Étape 1 - à remplir'!$C$31:$C$400,IF($DA65="Bovin","Bovin*",IF($DA65="Ovin","Ovin*",IF($DA65="Caprin","Caprin*",IF($DA65="Porcin","Porcin*",IF($DA65="Equin","Equin*",IF($DA65="Volaille","Volaille*",IF($DA65="Poisson","Poisson*",IF($DA65="Autre","Autre*","")))))))),'Étape 1 - à remplir'!$G$31:$G$400,"lots",'Étape 1 - à remplir'!$M$31:$M$400,MASQ2!DL$43)/SUMIFS('Étape 1 - à remplir'!$F$19:$F$28,'Étape 1 - à remplir'!$C$19:$C$28,MASQ2!$DA65,'Étape 1 - à remplir'!$G$19:$G$28,"lots"),"")</f>
        <v/>
      </c>
      <c r="DM65" s="76" t="str">
        <f>IFERROR(SUMIFS('Étape 1 - à remplir'!$F$31:$F$400,'Étape 1 - à remplir'!$C$31:$C$400,IF($DA65="Bovin","Bovin*",IF($DA65="Ovin","Ovin*",IF($DA65="Caprin","Caprin*",IF($DA65="Porcin","Porcin*",IF($DA65="Equin","Equin*",IF($DA65="Volaille","Volaille*",IF($DA65="Poisson","Poisson*",IF($DA65="Autre","Autre*","")))))))),'Étape 1 - à remplir'!$G$31:$G$400,"lots",'Étape 1 - à remplir'!$M$31:$M$400,MASQ2!DM$43)/SUMIFS('Étape 1 - à remplir'!$F$19:$F$28,'Étape 1 - à remplir'!$C$19:$C$28,MASQ2!$DA65,'Étape 1 - à remplir'!$G$19:$G$28,"lots"),"")</f>
        <v/>
      </c>
      <c r="EA65" s="194" t="str">
        <f t="shared" ca="1" si="18"/>
        <v>x</v>
      </c>
      <c r="EB65" s="226" t="str">
        <f>IFERROR(IF(ED65=0,"",COUNTIF(ED$4:ED$600,"&gt;"&amp;ED65)+COUNTIF(ED$4:ED65,ED65)),"")</f>
        <v/>
      </c>
      <c r="EC65" t="str">
        <f t="shared" si="19"/>
        <v>BAYTRIL 1NJECT PORC</v>
      </c>
      <c r="ED65" t="e">
        <f>IF(IF(EL$2="Catégorie",IF(EL$3="Toutes",SUMIFS('Étape 1 - à remplir'!$F$31:$F$400,'Étape 1 - à remplir'!$E$31:$E$400,MASQ2!EC65,'Étape 1 - à remplir'!$G$31:$G$400,"kg"),SUMIFS('Étape 1 - à remplir'!$F$31:$F$400,'Étape 1 - à remplir'!$E$31:$E$400,MASQ2!EC65,'Étape 1 - à remplir'!$C$31:$C$400,EL$3)),IF(EL$2="Âge",IF(EL$3="Tous",SUMIFS('Étape 1 - à remplir'!$F$31:$F$400,'Étape 1 - à remplir'!$E$31:$E$400,MASQ2!EC65,'Étape 1 - à remplir'!$G$31:$G$400,"kg"),SUMIFS('Étape 1 - à remplir'!$F$31:$F$400,'Étape 1 - à remplir'!$E$31:$E$400,MASQ2!EC65,'Étape 1 - à remplir'!$P$31:$P$400,EL$3,'Étape 1 - à remplir'!$G$31:$G$400,"kg")),IF(EL$2="Atelier",IF(EL$3="Tous",SUMIFS('Étape 1 - à remplir'!$F$31:$F$400,'Étape 1 - à remplir'!$E$31:$E$400,MASQ2!EC65,'Étape 1 - à remplir'!$G$31:$G$400,"kg"),SUMIFS('Étape 1 - à remplir'!$F$31:$F$400,'Étape 1 - à remplir'!$E$31:$E$400,MASQ2!EC65,'Étape 1 - à remplir'!$O$31:$O$400,EL$3,'Étape 1 - à remplir'!$G$31:$G$400,"kg")),IF(EL$2="Espèce",IF(EL$3="Toutes",SUMIFS('Étape 1 - à remplir'!$F$31:$F$400,'Étape 1 - à remplir'!$E$31:$E$400,MASQ2!EC65,'Étape 1 - à remplir'!$G$31:$G$400,"kg"),SUMIFS('Étape 1 - à remplir'!$F$31:$F$400,'Étape 1 - à remplir'!$E$31:$E$400,MASQ2!EC65,'Étape 1 - à remplir'!$N$31:$N$400,EL$3,'Étape 1 - à remplir'!$G$31:$G$400,"kg"))))))=0,NA(),IF(EL$2="Catégorie",IF(EL$3="Toutes",SUMIFS('Étape 1 - à remplir'!$F$31:$F$400,'Étape 1 - à remplir'!$E$31:$E$400,MASQ2!EC65,'Étape 1 - à remplir'!$G$31:$G$400,"kg"),SUMIFS('Étape 1 - à remplir'!$F$31:$F$400,'Étape 1 - à remplir'!$E$31:$E$400,MASQ2!EC65,'Étape 1 - à remplir'!$C$31:$C$400,EL$3)),IF(EL$2="Âge",IF(EL$3="Tous",SUMIFS('Étape 1 - à remplir'!$F$31:$F$400,'Étape 1 - à remplir'!$E$31:$E$400,MASQ2!EC65,'Étape 1 - à remplir'!$G$31:$G$400,"kg"),SUMIFS('Étape 1 - à remplir'!$F$31:$F$400,'Étape 1 - à remplir'!$E$31:$E$400,MASQ2!EC65,'Étape 1 - à remplir'!$P$31:$P$400,EL$3,'Étape 1 - à remplir'!$G$31:$G$400,"kg")),IF(EL$2="Atelier",IF(EL$3="Tous",SUMIFS('Étape 1 - à remplir'!$F$31:$F$400,'Étape 1 - à remplir'!$E$31:$E$400,MASQ2!EC65,'Étape 1 - à remplir'!$G$31:$G$400,"kg"),SUMIFS('Étape 1 - à remplir'!$F$31:$F$400,'Étape 1 - à remplir'!$E$31:$E$400,MASQ2!EC65,'Étape 1 - à remplir'!$O$31:$O$400,EL$3,'Étape 1 - à remplir'!$G$31:$G$400,"kg")),IF(EL$2="Espèce",IF(EL$3="Toutes",SUMIFS('Étape 1 - à remplir'!$F$31:$F$400,'Étape 1 - à remplir'!$E$31:$E$400,MASQ2!EC65,'Étape 1 - à remplir'!$G$31:$G$400,"kg"),SUMIFS('Étape 1 - à remplir'!$F$31:$F$400,'Étape 1 - à remplir'!$E$31:$E$400,MASQ2!EC65,'Étape 1 - à remplir'!$N$31:$N$400,EL$3,'Étape 1 - à remplir'!$G$31:$G$400,"kg")))))))</f>
        <v>#N/A</v>
      </c>
      <c r="EE65" s="76">
        <f t="shared" si="53"/>
        <v>0</v>
      </c>
      <c r="EF65" t="str">
        <f t="shared" si="20"/>
        <v>Enrofloxacine</v>
      </c>
      <c r="EG65" t="str">
        <f t="shared" si="21"/>
        <v/>
      </c>
      <c r="EH65" t="str">
        <f t="shared" si="22"/>
        <v/>
      </c>
      <c r="EI65" t="str">
        <f t="shared" si="23"/>
        <v>Fluoroquinolones</v>
      </c>
      <c r="EJ65" t="str">
        <f t="shared" si="24"/>
        <v/>
      </c>
      <c r="EK65" s="63" t="str">
        <f t="shared" si="25"/>
        <v/>
      </c>
      <c r="EN65" s="42">
        <v>62</v>
      </c>
      <c r="EO65" t="e">
        <f t="shared" si="68"/>
        <v>#N/A</v>
      </c>
      <c r="EP65" s="63" t="e">
        <f t="shared" si="69"/>
        <v>#N/A</v>
      </c>
      <c r="FH65" s="118" t="str">
        <f t="shared" ref="FH65:FH73" si="130">FL33</f>
        <v/>
      </c>
      <c r="FI65" s="118" t="str">
        <f>IFERROR(SUMIFS('Étape 1 - à remplir'!$F$31:$F$400,'Étape 1 - à remplir'!$C$31:$C$400,IF($FH65="Bovin","Bovin*",IF($FH65="Ovin","Ovin*",IF($FH65="Caprin","Caprin*",IF($FH65="Porcin","Porcin*",IF($FH65="Equin","Equin*",IF($FH65="Volaille","Volaille*",IF($FH65="Poisson","Poisson*",IF($FH65="Autre","Autre*","")))))))),'Étape 1 - à remplir'!$G$31:$G$400,"kg",'Étape 1 - à remplir'!$M$31:$M$400,MASQ2!FI$43)/SUMIFS('Étape 1 - à remplir'!$F$19:$F$28,'Étape 1 - à remplir'!$C$19:$C$28,MASQ2!$FH65,'Étape 1 - à remplir'!$G$19:$G$28,"kg"),"")</f>
        <v/>
      </c>
      <c r="FJ65" t="str">
        <f>IFERROR(SUMIFS('Étape 1 - à remplir'!$F$31:$F$400,'Étape 1 - à remplir'!$C$31:$C$400,IF($FH65="Bovin","Bovin*",IF($FH65="Ovin","Ovin*",IF($FH65="Caprin","Caprin*",IF($FH65="Porcin","Porcin*",IF($FH65="Equin","Equin*",IF($FH65="Volaille","Volaille*",IF($FH65="Poisson","Poisson*",IF($FH65="Autre","Autre*","")))))))),'Étape 1 - à remplir'!$G$31:$G$400,"kg",'Étape 1 - à remplir'!$M$31:$M$400,MASQ2!FJ$43)/SUMIFS('Étape 1 - à remplir'!$F$19:$F$28,'Étape 1 - à remplir'!$C$19:$C$28,MASQ2!$FH65,'Étape 1 - à remplir'!$G$19:$G$28,"kg"),"")</f>
        <v/>
      </c>
      <c r="FK65" t="str">
        <f>IFERROR(SUMIFS('Étape 1 - à remplir'!$F$31:$F$400,'Étape 1 - à remplir'!$C$31:$C$400,IF($FH65="Bovin","Bovin*",IF($FH65="Ovin","Ovin*",IF($FH65="Caprin","Caprin*",IF($FH65="Porcin","Porcin*",IF($FH65="Equin","Equin*",IF($FH65="Volaille","Volaille*",IF($FH65="Poisson","Poisson*",IF($FH65="Autre","Autre*","")))))))),'Étape 1 - à remplir'!$G$31:$G$400,"kg",'Étape 1 - à remplir'!$M$31:$M$400,MASQ2!FK$43)/SUMIFS('Étape 1 - à remplir'!$F$19:$F$28,'Étape 1 - à remplir'!$C$19:$C$28,MASQ2!$FH65,'Étape 1 - à remplir'!$G$19:$G$28,"kg"),"")</f>
        <v/>
      </c>
      <c r="FL65" t="str">
        <f>IFERROR(SUMIFS('Étape 1 - à remplir'!$F$31:$F$400,'Étape 1 - à remplir'!$C$31:$C$400,IF($FH65="Bovin","Bovin*",IF($FH65="Ovin","Ovin*",IF($FH65="Caprin","Caprin*",IF($FH65="Porcin","Porcin*",IF($FH65="Equin","Equin*",IF($FH65="Volaille","Volaille*",IF($FH65="Poisson","Poisson*",IF($FH65="Autre","Autre*","")))))))),'Étape 1 - à remplir'!$G$31:$G$400,"kg",'Étape 1 - à remplir'!$M$31:$M$400,MASQ2!FL$43)/SUMIFS('Étape 1 - à remplir'!$F$19:$F$28,'Étape 1 - à remplir'!$C$19:$C$28,MASQ2!$FH65,'Étape 1 - à remplir'!$G$19:$G$28,"kg"),"")</f>
        <v/>
      </c>
      <c r="FM65" t="str">
        <f>IFERROR(SUMIFS('Étape 1 - à remplir'!$F$31:$F$400,'Étape 1 - à remplir'!$C$31:$C$400,IF($FH65="Bovin","Bovin*",IF($FH65="Ovin","Ovin*",IF($FH65="Caprin","Caprin*",IF($FH65="Porcin","Porcin*",IF($FH65="Equin","Equin*",IF($FH65="Volaille","Volaille*",IF($FH65="Poisson","Poisson*",IF($FH65="Autre","Autre*","")))))))),'Étape 1 - à remplir'!$G$31:$G$400,"kg",'Étape 1 - à remplir'!$M$31:$M$400,MASQ2!FM$43)/SUMIFS('Étape 1 - à remplir'!$F$19:$F$28,'Étape 1 - à remplir'!$C$19:$C$28,MASQ2!$FH65,'Étape 1 - à remplir'!$G$19:$G$28,"kg"),"")</f>
        <v/>
      </c>
      <c r="FN65" t="str">
        <f>IFERROR(SUMIFS('Étape 1 - à remplir'!$F$31:$F$400,'Étape 1 - à remplir'!$C$31:$C$400,IF($FH65="Bovin","Bovin*",IF($FH65="Ovin","Ovin*",IF($FH65="Caprin","Caprin*",IF($FH65="Porcin","Porcin*",IF($FH65="Equin","Equin*",IF($FH65="Volaille","Volaille*",IF($FH65="Poisson","Poisson*",IF($FH65="Autre","Autre*","")))))))),'Étape 1 - à remplir'!$G$31:$G$400,"kg",'Étape 1 - à remplir'!$M$31:$M$400,MASQ2!FN$43)/SUMIFS('Étape 1 - à remplir'!$F$19:$F$28,'Étape 1 - à remplir'!$C$19:$C$28,MASQ2!$FH65,'Étape 1 - à remplir'!$G$19:$G$28,"kg"),"")</f>
        <v/>
      </c>
      <c r="FO65" t="str">
        <f>IFERROR(SUMIFS('Étape 1 - à remplir'!$F$31:$F$400,'Étape 1 - à remplir'!$C$31:$C$400,IF($FH65="Bovin","Bovin*",IF($FH65="Ovin","Ovin*",IF($FH65="Caprin","Caprin*",IF($FH65="Porcin","Porcin*",IF($FH65="Equin","Equin*",IF($FH65="Volaille","Volaille*",IF($FH65="Poisson","Poisson*",IF($FH65="Autre","Autre*","")))))))),'Étape 1 - à remplir'!$G$31:$G$400,"kg",'Étape 1 - à remplir'!$M$31:$M$400,MASQ2!FO$43)/SUMIFS('Étape 1 - à remplir'!$F$19:$F$28,'Étape 1 - à remplir'!$C$19:$C$28,MASQ2!$FH65,'Étape 1 - à remplir'!$G$19:$G$28,"kg"),"")</f>
        <v/>
      </c>
      <c r="FP65" t="str">
        <f>IFERROR(SUMIFS('Étape 1 - à remplir'!$F$31:$F$400,'Étape 1 - à remplir'!$C$31:$C$400,IF($FH65="Bovin","Bovin*",IF($FH65="Ovin","Ovin*",IF($FH65="Caprin","Caprin*",IF($FH65="Porcin","Porcin*",IF($FH65="Equin","Equin*",IF($FH65="Volaille","Volaille*",IF($FH65="Poisson","Poisson*",IF($FH65="Autre","Autre*","")))))))),'Étape 1 - à remplir'!$G$31:$G$400,"kg",'Étape 1 - à remplir'!$M$31:$M$400,MASQ2!FP$43)/SUMIFS('Étape 1 - à remplir'!$F$19:$F$28,'Étape 1 - à remplir'!$C$19:$C$28,MASQ2!$FH65,'Étape 1 - à remplir'!$G$19:$G$28,"kg"),"")</f>
        <v/>
      </c>
      <c r="FQ65" t="str">
        <f>IFERROR(SUMIFS('Étape 1 - à remplir'!$F$31:$F$400,'Étape 1 - à remplir'!$C$31:$C$400,IF($FH65="Bovin","Bovin*",IF($FH65="Ovin","Ovin*",IF($FH65="Caprin","Caprin*",IF($FH65="Porcin","Porcin*",IF($FH65="Equin","Equin*",IF($FH65="Volaille","Volaille*",IF($FH65="Poisson","Poisson*",IF($FH65="Autre","Autre*","")))))))),'Étape 1 - à remplir'!$G$31:$G$400,"kg",'Étape 1 - à remplir'!$M$31:$M$400,MASQ2!FQ$43)/SUMIFS('Étape 1 - à remplir'!$F$19:$F$28,'Étape 1 - à remplir'!$C$19:$C$28,MASQ2!$FH65,'Étape 1 - à remplir'!$G$19:$G$28,"kg"),"")</f>
        <v/>
      </c>
      <c r="FR65" t="str">
        <f>IFERROR(SUMIFS('Étape 1 - à remplir'!$F$31:$F$400,'Étape 1 - à remplir'!$C$31:$C$400,IF($FH65="Bovin","Bovin*",IF($FH65="Ovin","Ovin*",IF($FH65="Caprin","Caprin*",IF($FH65="Porcin","Porcin*",IF($FH65="Equin","Equin*",IF($FH65="Volaille","Volaille*",IF($FH65="Poisson","Poisson*",IF($FH65="Autre","Autre*","")))))))),'Étape 1 - à remplir'!$G$31:$G$400,"kg",'Étape 1 - à remplir'!$M$31:$M$400,MASQ2!FR$43)/SUMIFS('Étape 1 - à remplir'!$F$19:$F$28,'Étape 1 - à remplir'!$C$19:$C$28,MASQ2!$FH65,'Étape 1 - à remplir'!$G$19:$G$28,"kg"),"")</f>
        <v/>
      </c>
      <c r="FS65" t="str">
        <f>IFERROR(SUMIFS('Étape 1 - à remplir'!$F$31:$F$400,'Étape 1 - à remplir'!$C$31:$C$400,IF($FH65="Bovin","Bovin*",IF($FH65="Ovin","Ovin*",IF($FH65="Caprin","Caprin*",IF($FH65="Porcin","Porcin*",IF($FH65="Equin","Equin*",IF($FH65="Volaille","Volaille*",IF($FH65="Poisson","Poisson*",IF($FH65="Autre","Autre*","")))))))),'Étape 1 - à remplir'!$G$31:$G$400,"kg",'Étape 1 - à remplir'!$M$31:$M$400,MASQ2!FS$43)/SUMIFS('Étape 1 - à remplir'!$F$19:$F$28,'Étape 1 - à remplir'!$C$19:$C$28,MASQ2!$FH65,'Étape 1 - à remplir'!$G$19:$G$28,"kg"),"")</f>
        <v/>
      </c>
      <c r="FT65" s="76" t="str">
        <f>IFERROR(SUMIFS('Étape 1 - à remplir'!$F$31:$F$400,'Étape 1 - à remplir'!$C$31:$C$400,IF($FH65="Bovin","Bovin*",IF($FH65="Ovin","Ovin*",IF($FH65="Caprin","Caprin*",IF($FH65="Porcin","Porcin*",IF($FH65="Equin","Equin*",IF($FH65="Volaille","Volaille*",IF($FH65="Poisson","Poisson*",IF($FH65="Autre","Autre*","")))))))),'Étape 1 - à remplir'!$G$31:$G$400,"kg",'Étape 1 - à remplir'!$M$31:$M$400,MASQ2!FT$43)/SUMIFS('Étape 1 - à remplir'!$F$19:$F$28,'Étape 1 - à remplir'!$C$19:$C$28,MASQ2!$FH65,'Étape 1 - à remplir'!$G$19:$G$28,"kg"),"")</f>
        <v/>
      </c>
    </row>
    <row r="66" spans="2:176" x14ac:dyDescent="0.3">
      <c r="B66" s="42"/>
      <c r="M66" s="194" t="str">
        <f ca="1">INDEX(Données_ATB!BD:BU,MATCH(MASQ2!O66,Données_ATB!BD:BD,0),18)</f>
        <v>x</v>
      </c>
      <c r="N66" s="14" t="str">
        <f>IFERROR(IF(Q66=0,"",COUNTIF(Q$4:Q$600,"&gt;"&amp;Q66)+COUNTIF(Q$4:Q66,Q66)),"")</f>
        <v/>
      </c>
      <c r="O66" t="str">
        <f>Données_ATB!BD65</f>
        <v>BAYTRIL 2,5 % SOLUTION BUVABLE</v>
      </c>
      <c r="P66" t="e">
        <f>IF(IF(X$2="Catégorie",IF(X$3="Toutes",SUMIFS('Étape 1 - à remplir'!$F$31:$F$400,'Étape 1 - à remplir'!$E$31:$E$400,MASQ2!O66,'Étape 1 - à remplir'!$G$31:$G$400,"animaux"),SUMIFS('Étape 1 - à remplir'!$F$31:$F$400,'Étape 1 - à remplir'!$E$31:$E$400,MASQ2!O66,'Étape 1 - à remplir'!$C$31:$C$400,X$3)),IF(X$2="Âge",IF(X$3="Tous",SUMIFS('Étape 1 - à remplir'!$F$31:$F$400,'Étape 1 - à remplir'!$E$31:$E$400,MASQ2!O66,'Étape 1 - à remplir'!$G$31:$G$400,"animaux"),SUMIFS('Étape 1 - à remplir'!$F$31:$F$400,'Étape 1 - à remplir'!$E$31:$E$400,MASQ2!O66,'Étape 1 - à remplir'!$P$31:$P$400,X$3)),IF(X$2="Atelier",IF(X$3="Tous",SUMIFS('Étape 1 - à remplir'!$F$31:$F$400,'Étape 1 - à remplir'!$E$31:$E$400,MASQ2!O66,'Étape 1 - à remplir'!$G$31:$G$400,"animaux"),SUMIFS('Étape 1 - à remplir'!$F$31:$F$400,'Étape 1 - à remplir'!$E$31:$E$400,MASQ2!O66,'Étape 1 - à remplir'!$O$31:$O$400,X$3)),IF(X$2="Espèce",IF(X$3="Toutes",SUMIFS('Étape 1 - à remplir'!$F$31:$F$400,'Étape 1 - à remplir'!$E$31:$E$400,MASQ2!O66,'Étape 1 - à remplir'!$G$31:$G$400,"animaux"),SUMIFS('Étape 1 - à remplir'!$F$31:$F$400,'Étape 1 - à remplir'!$E$31:$E$400,MASQ2!O66,'Étape 1 - à remplir'!$N$31:$N$400,X$3))))))=0,NA(),IF(X$2="Catégorie",IF(X$3="Toutes",SUMIFS('Étape 1 - à remplir'!$F$31:$F$400,'Étape 1 - à remplir'!$E$31:$E$400,MASQ2!O66,'Étape 1 - à remplir'!$G$31:$G$400,"animaux"),SUMIFS('Étape 1 - à remplir'!$F$31:$F$400,'Étape 1 - à remplir'!$E$31:$E$400,MASQ2!O66,'Étape 1 - à remplir'!$C$31:$C$400,X$3)),IF(X$2="Âge",IF(X$3="Tous",SUMIFS('Étape 1 - à remplir'!$F$31:$F$400,'Étape 1 - à remplir'!$E$31:$E$400,MASQ2!O66,'Étape 1 - à remplir'!$G$31:$G$400,"animaux"),SUMIFS('Étape 1 - à remplir'!$F$31:$F$400,'Étape 1 - à remplir'!$E$31:$E$400,MASQ2!O66,'Étape 1 - à remplir'!$P$31:$P$400,X$3)),IF(X$2="Atelier",IF(X$3="Tous",SUMIFS('Étape 1 - à remplir'!$F$31:$F$400,'Étape 1 - à remplir'!$E$31:$E$400,MASQ2!O66,'Étape 1 - à remplir'!$G$31:$G$400,"animaux"),SUMIFS('Étape 1 - à remplir'!$F$31:$F$400,'Étape 1 - à remplir'!$E$31:$E$400,MASQ2!O66,'Étape 1 - à remplir'!$O$31:$O$400,X$3)),IF(X$2="Espèce",IF(X$3="Toutes",SUMIFS('Étape 1 - à remplir'!$F$31:$F$400,'Étape 1 - à remplir'!$E$31:$E$400,MASQ2!O66,'Étape 1 - à remplir'!$G$31:$G$400,"animaux"),SUMIFS('Étape 1 - à remplir'!$F$31:$F$400,'Étape 1 - à remplir'!$E$31:$E$400,MASQ2!O66,'Étape 1 - à remplir'!$N$31:$N$400,X$3)))))))</f>
        <v>#N/A</v>
      </c>
      <c r="Q66" s="63">
        <f t="shared" si="62"/>
        <v>0</v>
      </c>
      <c r="R66" t="str">
        <f>Données_ATB!BM65</f>
        <v>Enrofloxacine</v>
      </c>
      <c r="S66" t="str">
        <f>Données_ATB!BN65</f>
        <v/>
      </c>
      <c r="T66" s="63" t="str">
        <f>Données_ATB!BO65</f>
        <v/>
      </c>
      <c r="U66" s="42" t="str">
        <f>Données_ATB!BQ65</f>
        <v>Fluoroquinolones</v>
      </c>
      <c r="V66" t="str">
        <f>Données_ATB!BR65</f>
        <v/>
      </c>
      <c r="W66" s="63" t="str">
        <f>Données_ATB!BS65</f>
        <v/>
      </c>
      <c r="Z66" s="42">
        <v>63</v>
      </c>
      <c r="AA66" t="e">
        <f t="shared" si="32"/>
        <v>#N/A</v>
      </c>
      <c r="AB66" s="63" t="e">
        <f t="shared" si="33"/>
        <v>#N/A</v>
      </c>
      <c r="AT66" s="118" t="str">
        <f t="shared" si="128"/>
        <v/>
      </c>
      <c r="AU66" s="118" t="str">
        <f>IFERROR(SUMIFS('Étape 1 - à remplir'!$F$31:$F$400,'Étape 1 - à remplir'!$C$31:$C$400,IF($AT66="Bovin","Bovin*",IF($AT66="Ovin","Ovin*",IF($AT66="Caprin","Caprin*",IF($AT66="Porcin","Porcin*",IF($AT66="Equin","Equin*",IF($AT66="Volaille","Volaille*",IF($AT66="Poisson","Poisson*",IF($AT66="Autre","Autre*","")))))))),'Étape 1 - à remplir'!$G$31:$G$400,"animaux",'Étape 1 - à remplir'!$M$31:$M$400,MASQ2!AU$43)/SUMIFS('Étape 1 - à remplir'!$F$19:$F$28,'Étape 1 - à remplir'!$C$19:$C$28,MASQ2!$AT66,'Étape 1 - à remplir'!$G$19:$G$28,"animaux"),"")</f>
        <v/>
      </c>
      <c r="AV66" t="str">
        <f>IFERROR(SUMIFS('Étape 1 - à remplir'!$F$31:$F$400,'Étape 1 - à remplir'!$C$31:$C$400,IF($AT66="Bovin","Bovin*",IF($AT66="Ovin","Ovin*",IF($AT66="Caprin","Caprin*",IF($AT66="Porcin","Porcin*",IF($AT66="Equin","Equin*",IF($AT66="Volaille","Volaille*",IF($AT66="Poisson","Poisson*",IF($AT66="Autre","Autre*","")))))))),'Étape 1 - à remplir'!$G$31:$G$400,"animaux",'Étape 1 - à remplir'!$M$31:$M$400,MASQ2!AV$43)/SUMIFS('Étape 1 - à remplir'!$F$19:$F$28,'Étape 1 - à remplir'!$C$19:$C$28,MASQ2!$AT66,'Étape 1 - à remplir'!$G$19:$G$28,"animaux"),"")</f>
        <v/>
      </c>
      <c r="AW66" t="str">
        <f>IFERROR(SUMIFS('Étape 1 - à remplir'!$F$31:$F$400,'Étape 1 - à remplir'!$C$31:$C$400,IF($AT66="Bovin","Bovin*",IF($AT66="Ovin","Ovin*",IF($AT66="Caprin","Caprin*",IF($AT66="Porcin","Porcin*",IF($AT66="Equin","Equin*",IF($AT66="Volaille","Volaille*",IF($AT66="Poisson","Poisson*",IF($AT66="Autre","Autre*","")))))))),'Étape 1 - à remplir'!$G$31:$G$400,"animaux",'Étape 1 - à remplir'!$M$31:$M$400,MASQ2!AW$43)/SUMIFS('Étape 1 - à remplir'!$F$19:$F$28,'Étape 1 - à remplir'!$C$19:$C$28,MASQ2!$AT66,'Étape 1 - à remplir'!$G$19:$G$28,"animaux"),"")</f>
        <v/>
      </c>
      <c r="AX66" t="str">
        <f>IFERROR(SUMIFS('Étape 1 - à remplir'!$F$31:$F$400,'Étape 1 - à remplir'!$C$31:$C$400,IF($AT66="Bovin","Bovin*",IF($AT66="Ovin","Ovin*",IF($AT66="Caprin","Caprin*",IF($AT66="Porcin","Porcin*",IF($AT66="Equin","Equin*",IF($AT66="Volaille","Volaille*",IF($AT66="Poisson","Poisson*",IF($AT66="Autre","Autre*","")))))))),'Étape 1 - à remplir'!$G$31:$G$400,"animaux",'Étape 1 - à remplir'!$M$31:$M$400,MASQ2!AX$43)/SUMIFS('Étape 1 - à remplir'!$F$19:$F$28,'Étape 1 - à remplir'!$C$19:$C$28,MASQ2!$AT66,'Étape 1 - à remplir'!$G$19:$G$28,"animaux"),"")</f>
        <v/>
      </c>
      <c r="AY66" t="str">
        <f>IFERROR(SUMIFS('Étape 1 - à remplir'!$F$31:$F$400,'Étape 1 - à remplir'!$C$31:$C$400,IF($AT66="Bovin","Bovin*",IF($AT66="Ovin","Ovin*",IF($AT66="Caprin","Caprin*",IF($AT66="Porcin","Porcin*",IF($AT66="Equin","Equin*",IF($AT66="Volaille","Volaille*",IF($AT66="Poisson","Poisson*",IF($AT66="Autre","Autre*","")))))))),'Étape 1 - à remplir'!$G$31:$G$400,"animaux",'Étape 1 - à remplir'!$M$31:$M$400,MASQ2!AY$43)/SUMIFS('Étape 1 - à remplir'!$F$19:$F$28,'Étape 1 - à remplir'!$C$19:$C$28,MASQ2!$AT66,'Étape 1 - à remplir'!$G$19:$G$28,"animaux"),"")</f>
        <v/>
      </c>
      <c r="AZ66" t="str">
        <f>IFERROR(SUMIFS('Étape 1 - à remplir'!$F$31:$F$400,'Étape 1 - à remplir'!$C$31:$C$400,IF($AT66="Bovin","Bovin*",IF($AT66="Ovin","Ovin*",IF($AT66="Caprin","Caprin*",IF($AT66="Porcin","Porcin*",IF($AT66="Equin","Equin*",IF($AT66="Volaille","Volaille*",IF($AT66="Poisson","Poisson*",IF($AT66="Autre","Autre*","")))))))),'Étape 1 - à remplir'!$G$31:$G$400,"animaux",'Étape 1 - à remplir'!$M$31:$M$400,MASQ2!AZ$43)/SUMIFS('Étape 1 - à remplir'!$F$19:$F$28,'Étape 1 - à remplir'!$C$19:$C$28,MASQ2!$AT66,'Étape 1 - à remplir'!$G$19:$G$28,"animaux"),"")</f>
        <v/>
      </c>
      <c r="BA66" t="str">
        <f>IFERROR(SUMIFS('Étape 1 - à remplir'!$F$31:$F$400,'Étape 1 - à remplir'!$C$31:$C$400,IF($AT66="Bovin","Bovin*",IF($AT66="Ovin","Ovin*",IF($AT66="Caprin","Caprin*",IF($AT66="Porcin","Porcin*",IF($AT66="Equin","Equin*",IF($AT66="Volaille","Volaille*",IF($AT66="Poisson","Poisson*",IF($AT66="Autre","Autre*","")))))))),'Étape 1 - à remplir'!$G$31:$G$400,"animaux",'Étape 1 - à remplir'!$M$31:$M$400,MASQ2!BA$43)/SUMIFS('Étape 1 - à remplir'!$F$19:$F$28,'Étape 1 - à remplir'!$C$19:$C$28,MASQ2!$AT66,'Étape 1 - à remplir'!$G$19:$G$28,"animaux"),"")</f>
        <v/>
      </c>
      <c r="BB66" t="str">
        <f>IFERROR(SUMIFS('Étape 1 - à remplir'!$F$31:$F$400,'Étape 1 - à remplir'!$C$31:$C$400,IF($AT66="Bovin","Bovin*",IF($AT66="Ovin","Ovin*",IF($AT66="Caprin","Caprin*",IF($AT66="Porcin","Porcin*",IF($AT66="Equin","Equin*",IF($AT66="Volaille","Volaille*",IF($AT66="Poisson","Poisson*",IF($AT66="Autre","Autre*","")))))))),'Étape 1 - à remplir'!$G$31:$G$400,"animaux",'Étape 1 - à remplir'!$M$31:$M$400,MASQ2!BB$43)/SUMIFS('Étape 1 - à remplir'!$F$19:$F$28,'Étape 1 - à remplir'!$C$19:$C$28,MASQ2!$AT66,'Étape 1 - à remplir'!$G$19:$G$28,"animaux"),"")</f>
        <v/>
      </c>
      <c r="BC66" t="str">
        <f>IFERROR(SUMIFS('Étape 1 - à remplir'!$F$31:$F$400,'Étape 1 - à remplir'!$C$31:$C$400,IF($AT66="Bovin","Bovin*",IF($AT66="Ovin","Ovin*",IF($AT66="Caprin","Caprin*",IF($AT66="Porcin","Porcin*",IF($AT66="Equin","Equin*",IF($AT66="Volaille","Volaille*",IF($AT66="Poisson","Poisson*",IF($AT66="Autre","Autre*","")))))))),'Étape 1 - à remplir'!$G$31:$G$400,"animaux",'Étape 1 - à remplir'!$M$31:$M$400,MASQ2!BC$43)/SUMIFS('Étape 1 - à remplir'!$F$19:$F$28,'Étape 1 - à remplir'!$C$19:$C$28,MASQ2!$AT66,'Étape 1 - à remplir'!$G$19:$G$28,"animaux"),"")</f>
        <v/>
      </c>
      <c r="BD66" t="str">
        <f>IFERROR(SUMIFS('Étape 1 - à remplir'!$F$31:$F$400,'Étape 1 - à remplir'!$C$31:$C$400,IF($AT66="Bovin","Bovin*",IF($AT66="Ovin","Ovin*",IF($AT66="Caprin","Caprin*",IF($AT66="Porcin","Porcin*",IF($AT66="Equin","Equin*",IF($AT66="Volaille","Volaille*",IF($AT66="Poisson","Poisson*",IF($AT66="Autre","Autre*","")))))))),'Étape 1 - à remplir'!$G$31:$G$400,"animaux",'Étape 1 - à remplir'!$M$31:$M$400,MASQ2!BD$43)/SUMIFS('Étape 1 - à remplir'!$F$19:$F$28,'Étape 1 - à remplir'!$C$19:$C$28,MASQ2!$AT66,'Étape 1 - à remplir'!$G$19:$G$28,"animaux"),"")</f>
        <v/>
      </c>
      <c r="BE66" t="str">
        <f>IFERROR(SUMIFS('Étape 1 - à remplir'!$F$31:$F$400,'Étape 1 - à remplir'!$C$31:$C$400,IF($AT66="Bovin","Bovin*",IF($AT66="Ovin","Ovin*",IF($AT66="Caprin","Caprin*",IF($AT66="Porcin","Porcin*",IF($AT66="Equin","Equin*",IF($AT66="Volaille","Volaille*",IF($AT66="Poisson","Poisson*",IF($AT66="Autre","Autre*","")))))))),'Étape 1 - à remplir'!$G$31:$G$400,"animaux",'Étape 1 - à remplir'!$M$31:$M$400,MASQ2!BE$43)/SUMIFS('Étape 1 - à remplir'!$F$19:$F$28,'Étape 1 - à remplir'!$C$19:$C$28,MASQ2!$AT66,'Étape 1 - à remplir'!$G$19:$G$28,"animaux"),"")</f>
        <v/>
      </c>
      <c r="BF66" s="76" t="str">
        <f>IFERROR(SUMIFS('Étape 1 - à remplir'!$F$31:$F$400,'Étape 1 - à remplir'!$C$31:$C$400,IF($AT66="Bovin","Bovin*",IF($AT66="Ovin","Ovin*",IF($AT66="Caprin","Caprin*",IF($AT66="Porcin","Porcin*",IF($AT66="Equin","Equin*",IF($AT66="Volaille","Volaille*",IF($AT66="Poisson","Poisson*",IF($AT66="Autre","Autre*","")))))))),'Étape 1 - à remplir'!$G$31:$G$400,"animaux",'Étape 1 - à remplir'!$M$31:$M$400,MASQ2!BF$43)/SUMIFS('Étape 1 - à remplir'!$F$19:$F$28,'Étape 1 - à remplir'!$C$19:$C$28,MASQ2!$AT66,'Étape 1 - à remplir'!$G$19:$G$28,"animaux"),"")</f>
        <v/>
      </c>
      <c r="BT66" s="194" t="str">
        <f t="shared" ca="1" si="5"/>
        <v>x</v>
      </c>
      <c r="BU66" s="219" t="str">
        <f>IFERROR(IF(BX66=0,"",COUNTIF(BX$4:BX$600,"&gt;"&amp;BX66)+COUNTIF(BX$4:BX66,BX66)),"")</f>
        <v/>
      </c>
      <c r="BV66" s="42" t="str">
        <f t="shared" si="6"/>
        <v>BAYTRIL 2,5 % SOLUTION BUVABLE</v>
      </c>
      <c r="BW66" t="e">
        <f>IF(IF(CE$2="Catégorie",IF(CE$3="Toutes",SUMIFS('Étape 1 - à remplir'!$F$31:$F$400,'Étape 1 - à remplir'!$E$31:$E$400,MASQ2!BV66,'Étape 1 - à remplir'!$G$31:$G$400,"lots"),SUMIFS('Étape 1 - à remplir'!$F$31:$F$400,'Étape 1 - à remplir'!$E$31:$E$400,MASQ2!BV66,'Étape 1 - à remplir'!$C$31:$C$400,CE$3)),IF(CE$2="Âge",IF(CE$3="Tous",SUMIFS('Étape 1 - à remplir'!$F$31:$F$400,'Étape 1 - à remplir'!$E$31:$E$400,MASQ2!BV66,'Étape 1 - à remplir'!$G$31:$G$400,"lots"),SUMIFS('Étape 1 - à remplir'!$F$31:$F$400,'Étape 1 - à remplir'!$E$31:$E$400,MASQ2!BV66,'Étape 1 - à remplir'!$P$31:$P$400,CE$3,'Étape 1 - à remplir'!$G$31:$G$400,"lots")),IF(CE$2="Atelier",IF(CE$3="Tous",SUMIFS('Étape 1 - à remplir'!$F$31:$F$400,'Étape 1 - à remplir'!$E$31:$E$400,MASQ2!BV66,'Étape 1 - à remplir'!$G$31:$G$400,"lots"),SUMIFS('Étape 1 - à remplir'!$F$31:$F$400,'Étape 1 - à remplir'!$E$31:$E$400,MASQ2!BV66,'Étape 1 - à remplir'!$O$31:$O$400,CE$3,'Étape 1 - à remplir'!$G$31:$G$400,"lots")),IF(CE$2="Espèce",IF(CE$3="Toutes",SUMIFS('Étape 1 - à remplir'!$F$31:$F$400,'Étape 1 - à remplir'!$E$31:$E$400,MASQ2!BV66,'Étape 1 - à remplir'!$G$31:$G$400,"lots"),SUMIFS('Étape 1 - à remplir'!$F$31:$F$400,'Étape 1 - à remplir'!$E$31:$E$400,MASQ2!BV66,'Étape 1 - à remplir'!$N$31:$N$400,CE$3,'Étape 1 - à remplir'!$G$31:$G$400,"lots"))))))=0,NA(),IF(CE$2="Catégorie",IF(CE$3="Toutes",SUMIFS('Étape 1 - à remplir'!$F$31:$F$400,'Étape 1 - à remplir'!$E$31:$E$400,MASQ2!BV66,'Étape 1 - à remplir'!$G$31:$G$400,"lots"),SUMIFS('Étape 1 - à remplir'!$F$31:$F$400,'Étape 1 - à remplir'!$E$31:$E$400,MASQ2!BV66,'Étape 1 - à remplir'!$C$31:$C$400,CE$3)),IF(CE$2="Âge",IF(CE$3="Tous",SUMIFS('Étape 1 - à remplir'!$F$31:$F$400,'Étape 1 - à remplir'!$E$31:$E$400,MASQ2!BV66,'Étape 1 - à remplir'!$G$31:$G$400,"lots"),SUMIFS('Étape 1 - à remplir'!$F$31:$F$400,'Étape 1 - à remplir'!$E$31:$E$400,MASQ2!BV66,'Étape 1 - à remplir'!$P$31:$P$400,CE$3,'Étape 1 - à remplir'!$G$31:$G$400,"lots")),IF(CE$2="Atelier",IF(CE$3="Tous",SUMIFS('Étape 1 - à remplir'!$F$31:$F$400,'Étape 1 - à remplir'!$E$31:$E$400,MASQ2!BV66,'Étape 1 - à remplir'!$G$31:$G$400,"lots"),SUMIFS('Étape 1 - à remplir'!$F$31:$F$400,'Étape 1 - à remplir'!$E$31:$E$400,MASQ2!BV66,'Étape 1 - à remplir'!$O$31:$O$400,CE$3,'Étape 1 - à remplir'!$G$31:$G$400,"lots")),IF(CE$2="Espèce",IF(CE$3="Toutes",SUMIFS('Étape 1 - à remplir'!$F$31:$F$400,'Étape 1 - à remplir'!$E$31:$E$400,MASQ2!BV66,'Étape 1 - à remplir'!$G$31:$G$400,"lots"),SUMIFS('Étape 1 - à remplir'!$F$31:$F$400,'Étape 1 - à remplir'!$E$31:$E$400,MASQ2!BV66,'Étape 1 - à remplir'!$N$31:$N$400,CE$3,'Étape 1 - à remplir'!$G$31:$G$400,"lots")))))))</f>
        <v>#N/A</v>
      </c>
      <c r="BX66">
        <f t="shared" si="42"/>
        <v>0</v>
      </c>
      <c r="BY66" t="str">
        <f t="shared" si="7"/>
        <v>Enrofloxacine</v>
      </c>
      <c r="BZ66" t="str">
        <f t="shared" si="8"/>
        <v/>
      </c>
      <c r="CA66" t="str">
        <f t="shared" si="9"/>
        <v/>
      </c>
      <c r="CB66" t="str">
        <f t="shared" si="10"/>
        <v>Fluoroquinolones</v>
      </c>
      <c r="CC66" t="str">
        <f t="shared" si="11"/>
        <v/>
      </c>
      <c r="CD66" s="63" t="str">
        <f t="shared" si="12"/>
        <v/>
      </c>
      <c r="CG66" s="42">
        <v>63</v>
      </c>
      <c r="CH66" s="42" t="e">
        <f t="shared" si="80"/>
        <v>#N/A</v>
      </c>
      <c r="CI66" s="63" t="e">
        <f t="shared" si="81"/>
        <v>#N/A</v>
      </c>
      <c r="DA66" s="118" t="str">
        <f t="shared" si="129"/>
        <v/>
      </c>
      <c r="DB66" s="118" t="str">
        <f>IFERROR(SUMIFS('Étape 1 - à remplir'!$F$31:$F$400,'Étape 1 - à remplir'!$C$31:$C$400,IF($DA66="Bovin","Bovin*",IF($DA66="Ovin","Ovin*",IF($DA66="Caprin","Caprin*",IF($DA66="Porcin","Porcin*",IF($DA66="Equin","Equin*",IF($DA66="Volaille","Volaille*",IF($DA66="Poisson","Poisson*",IF($DA66="Autre","Autre*","")))))))),'Étape 1 - à remplir'!$G$31:$G$400,"lots",'Étape 1 - à remplir'!$M$31:$M$400,MASQ2!DB$43)/SUMIFS('Étape 1 - à remplir'!$F$19:$F$28,'Étape 1 - à remplir'!$C$19:$C$28,MASQ2!$DA66,'Étape 1 - à remplir'!$G$19:$G$28,"lots"),"")</f>
        <v/>
      </c>
      <c r="DC66" t="str">
        <f>IFERROR(SUMIFS('Étape 1 - à remplir'!$F$31:$F$400,'Étape 1 - à remplir'!$C$31:$C$400,IF($DA66="Bovin","Bovin*",IF($DA66="Ovin","Ovin*",IF($DA66="Caprin","Caprin*",IF($DA66="Porcin","Porcin*",IF($DA66="Equin","Equin*",IF($DA66="Volaille","Volaille*",IF($DA66="Poisson","Poisson*",IF($DA66="Autre","Autre*","")))))))),'Étape 1 - à remplir'!$G$31:$G$400,"lots",'Étape 1 - à remplir'!$M$31:$M$400,MASQ2!DC$43)/SUMIFS('Étape 1 - à remplir'!$F$19:$F$28,'Étape 1 - à remplir'!$C$19:$C$28,MASQ2!$DA66,'Étape 1 - à remplir'!$G$19:$G$28,"lots"),"")</f>
        <v/>
      </c>
      <c r="DD66" t="str">
        <f>IFERROR(SUMIFS('Étape 1 - à remplir'!$F$31:$F$400,'Étape 1 - à remplir'!$C$31:$C$400,IF($DA66="Bovin","Bovin*",IF($DA66="Ovin","Ovin*",IF($DA66="Caprin","Caprin*",IF($DA66="Porcin","Porcin*",IF($DA66="Equin","Equin*",IF($DA66="Volaille","Volaille*",IF($DA66="Poisson","Poisson*",IF($DA66="Autre","Autre*","")))))))),'Étape 1 - à remplir'!$G$31:$G$400,"lots",'Étape 1 - à remplir'!$M$31:$M$400,MASQ2!DD$43)/SUMIFS('Étape 1 - à remplir'!$F$19:$F$28,'Étape 1 - à remplir'!$C$19:$C$28,MASQ2!$DA66,'Étape 1 - à remplir'!$G$19:$G$28,"lots"),"")</f>
        <v/>
      </c>
      <c r="DE66" t="str">
        <f>IFERROR(SUMIFS('Étape 1 - à remplir'!$F$31:$F$400,'Étape 1 - à remplir'!$C$31:$C$400,IF($DA66="Bovin","Bovin*",IF($DA66="Ovin","Ovin*",IF($DA66="Caprin","Caprin*",IF($DA66="Porcin","Porcin*",IF($DA66="Equin","Equin*",IF($DA66="Volaille","Volaille*",IF($DA66="Poisson","Poisson*",IF($DA66="Autre","Autre*","")))))))),'Étape 1 - à remplir'!$G$31:$G$400,"lots",'Étape 1 - à remplir'!$M$31:$M$400,MASQ2!DE$43)/SUMIFS('Étape 1 - à remplir'!$F$19:$F$28,'Étape 1 - à remplir'!$C$19:$C$28,MASQ2!$DA66,'Étape 1 - à remplir'!$G$19:$G$28,"lots"),"")</f>
        <v/>
      </c>
      <c r="DF66" t="str">
        <f>IFERROR(SUMIFS('Étape 1 - à remplir'!$F$31:$F$400,'Étape 1 - à remplir'!$C$31:$C$400,IF($DA66="Bovin","Bovin*",IF($DA66="Ovin","Ovin*",IF($DA66="Caprin","Caprin*",IF($DA66="Porcin","Porcin*",IF($DA66="Equin","Equin*",IF($DA66="Volaille","Volaille*",IF($DA66="Poisson","Poisson*",IF($DA66="Autre","Autre*","")))))))),'Étape 1 - à remplir'!$G$31:$G$400,"lots",'Étape 1 - à remplir'!$M$31:$M$400,MASQ2!DF$43)/SUMIFS('Étape 1 - à remplir'!$F$19:$F$28,'Étape 1 - à remplir'!$C$19:$C$28,MASQ2!$DA66,'Étape 1 - à remplir'!$G$19:$G$28,"lots"),"")</f>
        <v/>
      </c>
      <c r="DG66" t="str">
        <f>IFERROR(SUMIFS('Étape 1 - à remplir'!$F$31:$F$400,'Étape 1 - à remplir'!$C$31:$C$400,IF($DA66="Bovin","Bovin*",IF($DA66="Ovin","Ovin*",IF($DA66="Caprin","Caprin*",IF($DA66="Porcin","Porcin*",IF($DA66="Equin","Equin*",IF($DA66="Volaille","Volaille*",IF($DA66="Poisson","Poisson*",IF($DA66="Autre","Autre*","")))))))),'Étape 1 - à remplir'!$G$31:$G$400,"lots",'Étape 1 - à remplir'!$M$31:$M$400,MASQ2!DG$43)/SUMIFS('Étape 1 - à remplir'!$F$19:$F$28,'Étape 1 - à remplir'!$C$19:$C$28,MASQ2!$DA66,'Étape 1 - à remplir'!$G$19:$G$28,"lots"),"")</f>
        <v/>
      </c>
      <c r="DH66" t="str">
        <f>IFERROR(SUMIFS('Étape 1 - à remplir'!$F$31:$F$400,'Étape 1 - à remplir'!$C$31:$C$400,IF($DA66="Bovin","Bovin*",IF($DA66="Ovin","Ovin*",IF($DA66="Caprin","Caprin*",IF($DA66="Porcin","Porcin*",IF($DA66="Equin","Equin*",IF($DA66="Volaille","Volaille*",IF($DA66="Poisson","Poisson*",IF($DA66="Autre","Autre*","")))))))),'Étape 1 - à remplir'!$G$31:$G$400,"lots",'Étape 1 - à remplir'!$M$31:$M$400,MASQ2!DH$43)/SUMIFS('Étape 1 - à remplir'!$F$19:$F$28,'Étape 1 - à remplir'!$C$19:$C$28,MASQ2!$DA66,'Étape 1 - à remplir'!$G$19:$G$28,"lots"),"")</f>
        <v/>
      </c>
      <c r="DI66" t="str">
        <f>IFERROR(SUMIFS('Étape 1 - à remplir'!$F$31:$F$400,'Étape 1 - à remplir'!$C$31:$C$400,IF($DA66="Bovin","Bovin*",IF($DA66="Ovin","Ovin*",IF($DA66="Caprin","Caprin*",IF($DA66="Porcin","Porcin*",IF($DA66="Equin","Equin*",IF($DA66="Volaille","Volaille*",IF($DA66="Poisson","Poisson*",IF($DA66="Autre","Autre*","")))))))),'Étape 1 - à remplir'!$G$31:$G$400,"lots",'Étape 1 - à remplir'!$M$31:$M$400,MASQ2!DI$43)/SUMIFS('Étape 1 - à remplir'!$F$19:$F$28,'Étape 1 - à remplir'!$C$19:$C$28,MASQ2!$DA66,'Étape 1 - à remplir'!$G$19:$G$28,"lots"),"")</f>
        <v/>
      </c>
      <c r="DJ66" t="str">
        <f>IFERROR(SUMIFS('Étape 1 - à remplir'!$F$31:$F$400,'Étape 1 - à remplir'!$C$31:$C$400,IF($DA66="Bovin","Bovin*",IF($DA66="Ovin","Ovin*",IF($DA66="Caprin","Caprin*",IF($DA66="Porcin","Porcin*",IF($DA66="Equin","Equin*",IF($DA66="Volaille","Volaille*",IF($DA66="Poisson","Poisson*",IF($DA66="Autre","Autre*","")))))))),'Étape 1 - à remplir'!$G$31:$G$400,"lots",'Étape 1 - à remplir'!$M$31:$M$400,MASQ2!DJ$43)/SUMIFS('Étape 1 - à remplir'!$F$19:$F$28,'Étape 1 - à remplir'!$C$19:$C$28,MASQ2!$DA66,'Étape 1 - à remplir'!$G$19:$G$28,"lots"),"")</f>
        <v/>
      </c>
      <c r="DK66" t="str">
        <f>IFERROR(SUMIFS('Étape 1 - à remplir'!$F$31:$F$400,'Étape 1 - à remplir'!$C$31:$C$400,IF($DA66="Bovin","Bovin*",IF($DA66="Ovin","Ovin*",IF($DA66="Caprin","Caprin*",IF($DA66="Porcin","Porcin*",IF($DA66="Equin","Equin*",IF($DA66="Volaille","Volaille*",IF($DA66="Poisson","Poisson*",IF($DA66="Autre","Autre*","")))))))),'Étape 1 - à remplir'!$G$31:$G$400,"lots",'Étape 1 - à remplir'!$M$31:$M$400,MASQ2!DK$43)/SUMIFS('Étape 1 - à remplir'!$F$19:$F$28,'Étape 1 - à remplir'!$C$19:$C$28,MASQ2!$DA66,'Étape 1 - à remplir'!$G$19:$G$28,"lots"),"")</f>
        <v/>
      </c>
      <c r="DL66" t="str">
        <f>IFERROR(SUMIFS('Étape 1 - à remplir'!$F$31:$F$400,'Étape 1 - à remplir'!$C$31:$C$400,IF($DA66="Bovin","Bovin*",IF($DA66="Ovin","Ovin*",IF($DA66="Caprin","Caprin*",IF($DA66="Porcin","Porcin*",IF($DA66="Equin","Equin*",IF($DA66="Volaille","Volaille*",IF($DA66="Poisson","Poisson*",IF($DA66="Autre","Autre*","")))))))),'Étape 1 - à remplir'!$G$31:$G$400,"lots",'Étape 1 - à remplir'!$M$31:$M$400,MASQ2!DL$43)/SUMIFS('Étape 1 - à remplir'!$F$19:$F$28,'Étape 1 - à remplir'!$C$19:$C$28,MASQ2!$DA66,'Étape 1 - à remplir'!$G$19:$G$28,"lots"),"")</f>
        <v/>
      </c>
      <c r="DM66" s="76" t="str">
        <f>IFERROR(SUMIFS('Étape 1 - à remplir'!$F$31:$F$400,'Étape 1 - à remplir'!$C$31:$C$400,IF($DA66="Bovin","Bovin*",IF($DA66="Ovin","Ovin*",IF($DA66="Caprin","Caprin*",IF($DA66="Porcin","Porcin*",IF($DA66="Equin","Equin*",IF($DA66="Volaille","Volaille*",IF($DA66="Poisson","Poisson*",IF($DA66="Autre","Autre*","")))))))),'Étape 1 - à remplir'!$G$31:$G$400,"lots",'Étape 1 - à remplir'!$M$31:$M$400,MASQ2!DM$43)/SUMIFS('Étape 1 - à remplir'!$F$19:$F$28,'Étape 1 - à remplir'!$C$19:$C$28,MASQ2!$DA66,'Étape 1 - à remplir'!$G$19:$G$28,"lots"),"")</f>
        <v/>
      </c>
      <c r="EA66" s="194" t="str">
        <f t="shared" ca="1" si="18"/>
        <v>x</v>
      </c>
      <c r="EB66" s="226" t="str">
        <f>IFERROR(IF(ED66=0,"",COUNTIF(ED$4:ED$600,"&gt;"&amp;ED66)+COUNTIF(ED$4:ED66,ED66)),"")</f>
        <v/>
      </c>
      <c r="EC66" t="str">
        <f t="shared" si="19"/>
        <v>BAYTRIL 2,5 % SOLUTION BUVABLE</v>
      </c>
      <c r="ED66" t="e">
        <f>IF(IF(EL$2="Catégorie",IF(EL$3="Toutes",SUMIFS('Étape 1 - à remplir'!$F$31:$F$400,'Étape 1 - à remplir'!$E$31:$E$400,MASQ2!EC66,'Étape 1 - à remplir'!$G$31:$G$400,"kg"),SUMIFS('Étape 1 - à remplir'!$F$31:$F$400,'Étape 1 - à remplir'!$E$31:$E$400,MASQ2!EC66,'Étape 1 - à remplir'!$C$31:$C$400,EL$3)),IF(EL$2="Âge",IF(EL$3="Tous",SUMIFS('Étape 1 - à remplir'!$F$31:$F$400,'Étape 1 - à remplir'!$E$31:$E$400,MASQ2!EC66,'Étape 1 - à remplir'!$G$31:$G$400,"kg"),SUMIFS('Étape 1 - à remplir'!$F$31:$F$400,'Étape 1 - à remplir'!$E$31:$E$400,MASQ2!EC66,'Étape 1 - à remplir'!$P$31:$P$400,EL$3,'Étape 1 - à remplir'!$G$31:$G$400,"kg")),IF(EL$2="Atelier",IF(EL$3="Tous",SUMIFS('Étape 1 - à remplir'!$F$31:$F$400,'Étape 1 - à remplir'!$E$31:$E$400,MASQ2!EC66,'Étape 1 - à remplir'!$G$31:$G$400,"kg"),SUMIFS('Étape 1 - à remplir'!$F$31:$F$400,'Étape 1 - à remplir'!$E$31:$E$400,MASQ2!EC66,'Étape 1 - à remplir'!$O$31:$O$400,EL$3,'Étape 1 - à remplir'!$G$31:$G$400,"kg")),IF(EL$2="Espèce",IF(EL$3="Toutes",SUMIFS('Étape 1 - à remplir'!$F$31:$F$400,'Étape 1 - à remplir'!$E$31:$E$400,MASQ2!EC66,'Étape 1 - à remplir'!$G$31:$G$400,"kg"),SUMIFS('Étape 1 - à remplir'!$F$31:$F$400,'Étape 1 - à remplir'!$E$31:$E$400,MASQ2!EC66,'Étape 1 - à remplir'!$N$31:$N$400,EL$3,'Étape 1 - à remplir'!$G$31:$G$400,"kg"))))))=0,NA(),IF(EL$2="Catégorie",IF(EL$3="Toutes",SUMIFS('Étape 1 - à remplir'!$F$31:$F$400,'Étape 1 - à remplir'!$E$31:$E$400,MASQ2!EC66,'Étape 1 - à remplir'!$G$31:$G$400,"kg"),SUMIFS('Étape 1 - à remplir'!$F$31:$F$400,'Étape 1 - à remplir'!$E$31:$E$400,MASQ2!EC66,'Étape 1 - à remplir'!$C$31:$C$400,EL$3)),IF(EL$2="Âge",IF(EL$3="Tous",SUMIFS('Étape 1 - à remplir'!$F$31:$F$400,'Étape 1 - à remplir'!$E$31:$E$400,MASQ2!EC66,'Étape 1 - à remplir'!$G$31:$G$400,"kg"),SUMIFS('Étape 1 - à remplir'!$F$31:$F$400,'Étape 1 - à remplir'!$E$31:$E$400,MASQ2!EC66,'Étape 1 - à remplir'!$P$31:$P$400,EL$3,'Étape 1 - à remplir'!$G$31:$G$400,"kg")),IF(EL$2="Atelier",IF(EL$3="Tous",SUMIFS('Étape 1 - à remplir'!$F$31:$F$400,'Étape 1 - à remplir'!$E$31:$E$400,MASQ2!EC66,'Étape 1 - à remplir'!$G$31:$G$400,"kg"),SUMIFS('Étape 1 - à remplir'!$F$31:$F$400,'Étape 1 - à remplir'!$E$31:$E$400,MASQ2!EC66,'Étape 1 - à remplir'!$O$31:$O$400,EL$3,'Étape 1 - à remplir'!$G$31:$G$400,"kg")),IF(EL$2="Espèce",IF(EL$3="Toutes",SUMIFS('Étape 1 - à remplir'!$F$31:$F$400,'Étape 1 - à remplir'!$E$31:$E$400,MASQ2!EC66,'Étape 1 - à remplir'!$G$31:$G$400,"kg"),SUMIFS('Étape 1 - à remplir'!$F$31:$F$400,'Étape 1 - à remplir'!$E$31:$E$400,MASQ2!EC66,'Étape 1 - à remplir'!$N$31:$N$400,EL$3,'Étape 1 - à remplir'!$G$31:$G$400,"kg")))))))</f>
        <v>#N/A</v>
      </c>
      <c r="EE66" s="76">
        <f t="shared" si="53"/>
        <v>0</v>
      </c>
      <c r="EF66" t="str">
        <f t="shared" si="20"/>
        <v>Enrofloxacine</v>
      </c>
      <c r="EG66" t="str">
        <f t="shared" si="21"/>
        <v/>
      </c>
      <c r="EH66" t="str">
        <f t="shared" si="22"/>
        <v/>
      </c>
      <c r="EI66" t="str">
        <f t="shared" si="23"/>
        <v>Fluoroquinolones</v>
      </c>
      <c r="EJ66" t="str">
        <f t="shared" si="24"/>
        <v/>
      </c>
      <c r="EK66" s="63" t="str">
        <f t="shared" si="25"/>
        <v/>
      </c>
      <c r="EN66" s="42">
        <v>63</v>
      </c>
      <c r="EO66" t="e">
        <f t="shared" si="68"/>
        <v>#N/A</v>
      </c>
      <c r="EP66" s="63" t="e">
        <f t="shared" si="69"/>
        <v>#N/A</v>
      </c>
      <c r="FH66" s="118" t="str">
        <f t="shared" si="130"/>
        <v/>
      </c>
      <c r="FI66" s="118" t="str">
        <f>IFERROR(SUMIFS('Étape 1 - à remplir'!$F$31:$F$400,'Étape 1 - à remplir'!$C$31:$C$400,IF($FH66="Bovin","Bovin*",IF($FH66="Ovin","Ovin*",IF($FH66="Caprin","Caprin*",IF($FH66="Porcin","Porcin*",IF($FH66="Equin","Equin*",IF($FH66="Volaille","Volaille*",IF($FH66="Poisson","Poisson*",IF($FH66="Autre","Autre*","")))))))),'Étape 1 - à remplir'!$G$31:$G$400,"kg",'Étape 1 - à remplir'!$M$31:$M$400,MASQ2!FI$43)/SUMIFS('Étape 1 - à remplir'!$F$19:$F$28,'Étape 1 - à remplir'!$C$19:$C$28,MASQ2!$FH66,'Étape 1 - à remplir'!$G$19:$G$28,"kg"),"")</f>
        <v/>
      </c>
      <c r="FJ66" t="str">
        <f>IFERROR(SUMIFS('Étape 1 - à remplir'!$F$31:$F$400,'Étape 1 - à remplir'!$C$31:$C$400,IF($FH66="Bovin","Bovin*",IF($FH66="Ovin","Ovin*",IF($FH66="Caprin","Caprin*",IF($FH66="Porcin","Porcin*",IF($FH66="Equin","Equin*",IF($FH66="Volaille","Volaille*",IF($FH66="Poisson","Poisson*",IF($FH66="Autre","Autre*","")))))))),'Étape 1 - à remplir'!$G$31:$G$400,"kg",'Étape 1 - à remplir'!$M$31:$M$400,MASQ2!FJ$43)/SUMIFS('Étape 1 - à remplir'!$F$19:$F$28,'Étape 1 - à remplir'!$C$19:$C$28,MASQ2!$FH66,'Étape 1 - à remplir'!$G$19:$G$28,"kg"),"")</f>
        <v/>
      </c>
      <c r="FK66" t="str">
        <f>IFERROR(SUMIFS('Étape 1 - à remplir'!$F$31:$F$400,'Étape 1 - à remplir'!$C$31:$C$400,IF($FH66="Bovin","Bovin*",IF($FH66="Ovin","Ovin*",IF($FH66="Caprin","Caprin*",IF($FH66="Porcin","Porcin*",IF($FH66="Equin","Equin*",IF($FH66="Volaille","Volaille*",IF($FH66="Poisson","Poisson*",IF($FH66="Autre","Autre*","")))))))),'Étape 1 - à remplir'!$G$31:$G$400,"kg",'Étape 1 - à remplir'!$M$31:$M$400,MASQ2!FK$43)/SUMIFS('Étape 1 - à remplir'!$F$19:$F$28,'Étape 1 - à remplir'!$C$19:$C$28,MASQ2!$FH66,'Étape 1 - à remplir'!$G$19:$G$28,"kg"),"")</f>
        <v/>
      </c>
      <c r="FL66" t="str">
        <f>IFERROR(SUMIFS('Étape 1 - à remplir'!$F$31:$F$400,'Étape 1 - à remplir'!$C$31:$C$400,IF($FH66="Bovin","Bovin*",IF($FH66="Ovin","Ovin*",IF($FH66="Caprin","Caprin*",IF($FH66="Porcin","Porcin*",IF($FH66="Equin","Equin*",IF($FH66="Volaille","Volaille*",IF($FH66="Poisson","Poisson*",IF($FH66="Autre","Autre*","")))))))),'Étape 1 - à remplir'!$G$31:$G$400,"kg",'Étape 1 - à remplir'!$M$31:$M$400,MASQ2!FL$43)/SUMIFS('Étape 1 - à remplir'!$F$19:$F$28,'Étape 1 - à remplir'!$C$19:$C$28,MASQ2!$FH66,'Étape 1 - à remplir'!$G$19:$G$28,"kg"),"")</f>
        <v/>
      </c>
      <c r="FM66" t="str">
        <f>IFERROR(SUMIFS('Étape 1 - à remplir'!$F$31:$F$400,'Étape 1 - à remplir'!$C$31:$C$400,IF($FH66="Bovin","Bovin*",IF($FH66="Ovin","Ovin*",IF($FH66="Caprin","Caprin*",IF($FH66="Porcin","Porcin*",IF($FH66="Equin","Equin*",IF($FH66="Volaille","Volaille*",IF($FH66="Poisson","Poisson*",IF($FH66="Autre","Autre*","")))))))),'Étape 1 - à remplir'!$G$31:$G$400,"kg",'Étape 1 - à remplir'!$M$31:$M$400,MASQ2!FM$43)/SUMIFS('Étape 1 - à remplir'!$F$19:$F$28,'Étape 1 - à remplir'!$C$19:$C$28,MASQ2!$FH66,'Étape 1 - à remplir'!$G$19:$G$28,"kg"),"")</f>
        <v/>
      </c>
      <c r="FN66" t="str">
        <f>IFERROR(SUMIFS('Étape 1 - à remplir'!$F$31:$F$400,'Étape 1 - à remplir'!$C$31:$C$400,IF($FH66="Bovin","Bovin*",IF($FH66="Ovin","Ovin*",IF($FH66="Caprin","Caprin*",IF($FH66="Porcin","Porcin*",IF($FH66="Equin","Equin*",IF($FH66="Volaille","Volaille*",IF($FH66="Poisson","Poisson*",IF($FH66="Autre","Autre*","")))))))),'Étape 1 - à remplir'!$G$31:$G$400,"kg",'Étape 1 - à remplir'!$M$31:$M$400,MASQ2!FN$43)/SUMIFS('Étape 1 - à remplir'!$F$19:$F$28,'Étape 1 - à remplir'!$C$19:$C$28,MASQ2!$FH66,'Étape 1 - à remplir'!$G$19:$G$28,"kg"),"")</f>
        <v/>
      </c>
      <c r="FO66" t="str">
        <f>IFERROR(SUMIFS('Étape 1 - à remplir'!$F$31:$F$400,'Étape 1 - à remplir'!$C$31:$C$400,IF($FH66="Bovin","Bovin*",IF($FH66="Ovin","Ovin*",IF($FH66="Caprin","Caprin*",IF($FH66="Porcin","Porcin*",IF($FH66="Equin","Equin*",IF($FH66="Volaille","Volaille*",IF($FH66="Poisson","Poisson*",IF($FH66="Autre","Autre*","")))))))),'Étape 1 - à remplir'!$G$31:$G$400,"kg",'Étape 1 - à remplir'!$M$31:$M$400,MASQ2!FO$43)/SUMIFS('Étape 1 - à remplir'!$F$19:$F$28,'Étape 1 - à remplir'!$C$19:$C$28,MASQ2!$FH66,'Étape 1 - à remplir'!$G$19:$G$28,"kg"),"")</f>
        <v/>
      </c>
      <c r="FP66" t="str">
        <f>IFERROR(SUMIFS('Étape 1 - à remplir'!$F$31:$F$400,'Étape 1 - à remplir'!$C$31:$C$400,IF($FH66="Bovin","Bovin*",IF($FH66="Ovin","Ovin*",IF($FH66="Caprin","Caprin*",IF($FH66="Porcin","Porcin*",IF($FH66="Equin","Equin*",IF($FH66="Volaille","Volaille*",IF($FH66="Poisson","Poisson*",IF($FH66="Autre","Autre*","")))))))),'Étape 1 - à remplir'!$G$31:$G$400,"kg",'Étape 1 - à remplir'!$M$31:$M$400,MASQ2!FP$43)/SUMIFS('Étape 1 - à remplir'!$F$19:$F$28,'Étape 1 - à remplir'!$C$19:$C$28,MASQ2!$FH66,'Étape 1 - à remplir'!$G$19:$G$28,"kg"),"")</f>
        <v/>
      </c>
      <c r="FQ66" t="str">
        <f>IFERROR(SUMIFS('Étape 1 - à remplir'!$F$31:$F$400,'Étape 1 - à remplir'!$C$31:$C$400,IF($FH66="Bovin","Bovin*",IF($FH66="Ovin","Ovin*",IF($FH66="Caprin","Caprin*",IF($FH66="Porcin","Porcin*",IF($FH66="Equin","Equin*",IF($FH66="Volaille","Volaille*",IF($FH66="Poisson","Poisson*",IF($FH66="Autre","Autre*","")))))))),'Étape 1 - à remplir'!$G$31:$G$400,"kg",'Étape 1 - à remplir'!$M$31:$M$400,MASQ2!FQ$43)/SUMIFS('Étape 1 - à remplir'!$F$19:$F$28,'Étape 1 - à remplir'!$C$19:$C$28,MASQ2!$FH66,'Étape 1 - à remplir'!$G$19:$G$28,"kg"),"")</f>
        <v/>
      </c>
      <c r="FR66" t="str">
        <f>IFERROR(SUMIFS('Étape 1 - à remplir'!$F$31:$F$400,'Étape 1 - à remplir'!$C$31:$C$400,IF($FH66="Bovin","Bovin*",IF($FH66="Ovin","Ovin*",IF($FH66="Caprin","Caprin*",IF($FH66="Porcin","Porcin*",IF($FH66="Equin","Equin*",IF($FH66="Volaille","Volaille*",IF($FH66="Poisson","Poisson*",IF($FH66="Autre","Autre*","")))))))),'Étape 1 - à remplir'!$G$31:$G$400,"kg",'Étape 1 - à remplir'!$M$31:$M$400,MASQ2!FR$43)/SUMIFS('Étape 1 - à remplir'!$F$19:$F$28,'Étape 1 - à remplir'!$C$19:$C$28,MASQ2!$FH66,'Étape 1 - à remplir'!$G$19:$G$28,"kg"),"")</f>
        <v/>
      </c>
      <c r="FS66" t="str">
        <f>IFERROR(SUMIFS('Étape 1 - à remplir'!$F$31:$F$400,'Étape 1 - à remplir'!$C$31:$C$400,IF($FH66="Bovin","Bovin*",IF($FH66="Ovin","Ovin*",IF($FH66="Caprin","Caprin*",IF($FH66="Porcin","Porcin*",IF($FH66="Equin","Equin*",IF($FH66="Volaille","Volaille*",IF($FH66="Poisson","Poisson*",IF($FH66="Autre","Autre*","")))))))),'Étape 1 - à remplir'!$G$31:$G$400,"kg",'Étape 1 - à remplir'!$M$31:$M$400,MASQ2!FS$43)/SUMIFS('Étape 1 - à remplir'!$F$19:$F$28,'Étape 1 - à remplir'!$C$19:$C$28,MASQ2!$FH66,'Étape 1 - à remplir'!$G$19:$G$28,"kg"),"")</f>
        <v/>
      </c>
      <c r="FT66" s="76" t="str">
        <f>IFERROR(SUMIFS('Étape 1 - à remplir'!$F$31:$F$400,'Étape 1 - à remplir'!$C$31:$C$400,IF($FH66="Bovin","Bovin*",IF($FH66="Ovin","Ovin*",IF($FH66="Caprin","Caprin*",IF($FH66="Porcin","Porcin*",IF($FH66="Equin","Equin*",IF($FH66="Volaille","Volaille*",IF($FH66="Poisson","Poisson*",IF($FH66="Autre","Autre*","")))))))),'Étape 1 - à remplir'!$G$31:$G$400,"kg",'Étape 1 - à remplir'!$M$31:$M$400,MASQ2!FT$43)/SUMIFS('Étape 1 - à remplir'!$F$19:$F$28,'Étape 1 - à remplir'!$C$19:$C$28,MASQ2!$FH66,'Étape 1 - à remplir'!$G$19:$G$28,"kg"),"")</f>
        <v/>
      </c>
    </row>
    <row r="67" spans="2:176" x14ac:dyDescent="0.3">
      <c r="B67" s="42"/>
      <c r="M67" s="194" t="str">
        <f ca="1">INDEX(Données_ATB!BD:BU,MATCH(MASQ2!O67,Données_ATB!BD:BD,0),18)</f>
        <v>x</v>
      </c>
      <c r="N67" s="14" t="str">
        <f>IFERROR(IF(Q67=0,"",COUNTIF(Q$4:Q$600,"&gt;"&amp;Q67)+COUNTIF(Q$4:Q67,Q67)),"")</f>
        <v/>
      </c>
      <c r="O67" t="str">
        <f>Données_ATB!BD66</f>
        <v>BAYTRIL 2,5 % SOLUTION INJECTABLE</v>
      </c>
      <c r="P67" t="e">
        <f>IF(IF(X$2="Catégorie",IF(X$3="Toutes",SUMIFS('Étape 1 - à remplir'!$F$31:$F$400,'Étape 1 - à remplir'!$E$31:$E$400,MASQ2!O67,'Étape 1 - à remplir'!$G$31:$G$400,"animaux"),SUMIFS('Étape 1 - à remplir'!$F$31:$F$400,'Étape 1 - à remplir'!$E$31:$E$400,MASQ2!O67,'Étape 1 - à remplir'!$C$31:$C$400,X$3)),IF(X$2="Âge",IF(X$3="Tous",SUMIFS('Étape 1 - à remplir'!$F$31:$F$400,'Étape 1 - à remplir'!$E$31:$E$400,MASQ2!O67,'Étape 1 - à remplir'!$G$31:$G$400,"animaux"),SUMIFS('Étape 1 - à remplir'!$F$31:$F$400,'Étape 1 - à remplir'!$E$31:$E$400,MASQ2!O67,'Étape 1 - à remplir'!$P$31:$P$400,X$3)),IF(X$2="Atelier",IF(X$3="Tous",SUMIFS('Étape 1 - à remplir'!$F$31:$F$400,'Étape 1 - à remplir'!$E$31:$E$400,MASQ2!O67,'Étape 1 - à remplir'!$G$31:$G$400,"animaux"),SUMIFS('Étape 1 - à remplir'!$F$31:$F$400,'Étape 1 - à remplir'!$E$31:$E$400,MASQ2!O67,'Étape 1 - à remplir'!$O$31:$O$400,X$3)),IF(X$2="Espèce",IF(X$3="Toutes",SUMIFS('Étape 1 - à remplir'!$F$31:$F$400,'Étape 1 - à remplir'!$E$31:$E$400,MASQ2!O67,'Étape 1 - à remplir'!$G$31:$G$400,"animaux"),SUMIFS('Étape 1 - à remplir'!$F$31:$F$400,'Étape 1 - à remplir'!$E$31:$E$400,MASQ2!O67,'Étape 1 - à remplir'!$N$31:$N$400,X$3))))))=0,NA(),IF(X$2="Catégorie",IF(X$3="Toutes",SUMIFS('Étape 1 - à remplir'!$F$31:$F$400,'Étape 1 - à remplir'!$E$31:$E$400,MASQ2!O67,'Étape 1 - à remplir'!$G$31:$G$400,"animaux"),SUMIFS('Étape 1 - à remplir'!$F$31:$F$400,'Étape 1 - à remplir'!$E$31:$E$400,MASQ2!O67,'Étape 1 - à remplir'!$C$31:$C$400,X$3)),IF(X$2="Âge",IF(X$3="Tous",SUMIFS('Étape 1 - à remplir'!$F$31:$F$400,'Étape 1 - à remplir'!$E$31:$E$400,MASQ2!O67,'Étape 1 - à remplir'!$G$31:$G$400,"animaux"),SUMIFS('Étape 1 - à remplir'!$F$31:$F$400,'Étape 1 - à remplir'!$E$31:$E$400,MASQ2!O67,'Étape 1 - à remplir'!$P$31:$P$400,X$3)),IF(X$2="Atelier",IF(X$3="Tous",SUMIFS('Étape 1 - à remplir'!$F$31:$F$400,'Étape 1 - à remplir'!$E$31:$E$400,MASQ2!O67,'Étape 1 - à remplir'!$G$31:$G$400,"animaux"),SUMIFS('Étape 1 - à remplir'!$F$31:$F$400,'Étape 1 - à remplir'!$E$31:$E$400,MASQ2!O67,'Étape 1 - à remplir'!$O$31:$O$400,X$3)),IF(X$2="Espèce",IF(X$3="Toutes",SUMIFS('Étape 1 - à remplir'!$F$31:$F$400,'Étape 1 - à remplir'!$E$31:$E$400,MASQ2!O67,'Étape 1 - à remplir'!$G$31:$G$400,"animaux"),SUMIFS('Étape 1 - à remplir'!$F$31:$F$400,'Étape 1 - à remplir'!$E$31:$E$400,MASQ2!O67,'Étape 1 - à remplir'!$N$31:$N$400,X$3)))))))</f>
        <v>#N/A</v>
      </c>
      <c r="Q67" s="63">
        <f t="shared" si="62"/>
        <v>0</v>
      </c>
      <c r="R67" t="str">
        <f>Données_ATB!BM66</f>
        <v>Enrofloxacine</v>
      </c>
      <c r="S67" t="str">
        <f>Données_ATB!BN66</f>
        <v/>
      </c>
      <c r="T67" s="63" t="str">
        <f>Données_ATB!BO66</f>
        <v/>
      </c>
      <c r="U67" s="42" t="str">
        <f>Données_ATB!BQ66</f>
        <v>Fluoroquinolones</v>
      </c>
      <c r="V67" t="str">
        <f>Données_ATB!BR66</f>
        <v/>
      </c>
      <c r="W67" s="63" t="str">
        <f>Données_ATB!BS66</f>
        <v/>
      </c>
      <c r="Z67" s="42">
        <v>64</v>
      </c>
      <c r="AA67" t="e">
        <f t="shared" si="32"/>
        <v>#N/A</v>
      </c>
      <c r="AB67" s="63" t="e">
        <f t="shared" si="33"/>
        <v>#N/A</v>
      </c>
      <c r="AT67" s="118" t="str">
        <f t="shared" si="128"/>
        <v/>
      </c>
      <c r="AU67" s="118" t="str">
        <f>IFERROR(SUMIFS('Étape 1 - à remplir'!$F$31:$F$400,'Étape 1 - à remplir'!$C$31:$C$400,IF($AT67="Bovin","Bovin*",IF($AT67="Ovin","Ovin*",IF($AT67="Caprin","Caprin*",IF($AT67="Porcin","Porcin*",IF($AT67="Equin","Equin*",IF($AT67="Volaille","Volaille*",IF($AT67="Poisson","Poisson*",IF($AT67="Autre","Autre*","")))))))),'Étape 1 - à remplir'!$G$31:$G$400,"animaux",'Étape 1 - à remplir'!$M$31:$M$400,MASQ2!AU$43)/SUMIFS('Étape 1 - à remplir'!$F$19:$F$28,'Étape 1 - à remplir'!$C$19:$C$28,MASQ2!$AT67,'Étape 1 - à remplir'!$G$19:$G$28,"animaux"),"")</f>
        <v/>
      </c>
      <c r="AV67" t="str">
        <f>IFERROR(SUMIFS('Étape 1 - à remplir'!$F$31:$F$400,'Étape 1 - à remplir'!$C$31:$C$400,IF($AT67="Bovin","Bovin*",IF($AT67="Ovin","Ovin*",IF($AT67="Caprin","Caprin*",IF($AT67="Porcin","Porcin*",IF($AT67="Equin","Equin*",IF($AT67="Volaille","Volaille*",IF($AT67="Poisson","Poisson*",IF($AT67="Autre","Autre*","")))))))),'Étape 1 - à remplir'!$G$31:$G$400,"animaux",'Étape 1 - à remplir'!$M$31:$M$400,MASQ2!AV$43)/SUMIFS('Étape 1 - à remplir'!$F$19:$F$28,'Étape 1 - à remplir'!$C$19:$C$28,MASQ2!$AT67,'Étape 1 - à remplir'!$G$19:$G$28,"animaux"),"")</f>
        <v/>
      </c>
      <c r="AW67" t="str">
        <f>IFERROR(SUMIFS('Étape 1 - à remplir'!$F$31:$F$400,'Étape 1 - à remplir'!$C$31:$C$400,IF($AT67="Bovin","Bovin*",IF($AT67="Ovin","Ovin*",IF($AT67="Caprin","Caprin*",IF($AT67="Porcin","Porcin*",IF($AT67="Equin","Equin*",IF($AT67="Volaille","Volaille*",IF($AT67="Poisson","Poisson*",IF($AT67="Autre","Autre*","")))))))),'Étape 1 - à remplir'!$G$31:$G$400,"animaux",'Étape 1 - à remplir'!$M$31:$M$400,MASQ2!AW$43)/SUMIFS('Étape 1 - à remplir'!$F$19:$F$28,'Étape 1 - à remplir'!$C$19:$C$28,MASQ2!$AT67,'Étape 1 - à remplir'!$G$19:$G$28,"animaux"),"")</f>
        <v/>
      </c>
      <c r="AX67" t="str">
        <f>IFERROR(SUMIFS('Étape 1 - à remplir'!$F$31:$F$400,'Étape 1 - à remplir'!$C$31:$C$400,IF($AT67="Bovin","Bovin*",IF($AT67="Ovin","Ovin*",IF($AT67="Caprin","Caprin*",IF($AT67="Porcin","Porcin*",IF($AT67="Equin","Equin*",IF($AT67="Volaille","Volaille*",IF($AT67="Poisson","Poisson*",IF($AT67="Autre","Autre*","")))))))),'Étape 1 - à remplir'!$G$31:$G$400,"animaux",'Étape 1 - à remplir'!$M$31:$M$400,MASQ2!AX$43)/SUMIFS('Étape 1 - à remplir'!$F$19:$F$28,'Étape 1 - à remplir'!$C$19:$C$28,MASQ2!$AT67,'Étape 1 - à remplir'!$G$19:$G$28,"animaux"),"")</f>
        <v/>
      </c>
      <c r="AY67" t="str">
        <f>IFERROR(SUMIFS('Étape 1 - à remplir'!$F$31:$F$400,'Étape 1 - à remplir'!$C$31:$C$400,IF($AT67="Bovin","Bovin*",IF($AT67="Ovin","Ovin*",IF($AT67="Caprin","Caprin*",IF($AT67="Porcin","Porcin*",IF($AT67="Equin","Equin*",IF($AT67="Volaille","Volaille*",IF($AT67="Poisson","Poisson*",IF($AT67="Autre","Autre*","")))))))),'Étape 1 - à remplir'!$G$31:$G$400,"animaux",'Étape 1 - à remplir'!$M$31:$M$400,MASQ2!AY$43)/SUMIFS('Étape 1 - à remplir'!$F$19:$F$28,'Étape 1 - à remplir'!$C$19:$C$28,MASQ2!$AT67,'Étape 1 - à remplir'!$G$19:$G$28,"animaux"),"")</f>
        <v/>
      </c>
      <c r="AZ67" t="str">
        <f>IFERROR(SUMIFS('Étape 1 - à remplir'!$F$31:$F$400,'Étape 1 - à remplir'!$C$31:$C$400,IF($AT67="Bovin","Bovin*",IF($AT67="Ovin","Ovin*",IF($AT67="Caprin","Caprin*",IF($AT67="Porcin","Porcin*",IF($AT67="Equin","Equin*",IF($AT67="Volaille","Volaille*",IF($AT67="Poisson","Poisson*",IF($AT67="Autre","Autre*","")))))))),'Étape 1 - à remplir'!$G$31:$G$400,"animaux",'Étape 1 - à remplir'!$M$31:$M$400,MASQ2!AZ$43)/SUMIFS('Étape 1 - à remplir'!$F$19:$F$28,'Étape 1 - à remplir'!$C$19:$C$28,MASQ2!$AT67,'Étape 1 - à remplir'!$G$19:$G$28,"animaux"),"")</f>
        <v/>
      </c>
      <c r="BA67" t="str">
        <f>IFERROR(SUMIFS('Étape 1 - à remplir'!$F$31:$F$400,'Étape 1 - à remplir'!$C$31:$C$400,IF($AT67="Bovin","Bovin*",IF($AT67="Ovin","Ovin*",IF($AT67="Caprin","Caprin*",IF($AT67="Porcin","Porcin*",IF($AT67="Equin","Equin*",IF($AT67="Volaille","Volaille*",IF($AT67="Poisson","Poisson*",IF($AT67="Autre","Autre*","")))))))),'Étape 1 - à remplir'!$G$31:$G$400,"animaux",'Étape 1 - à remplir'!$M$31:$M$400,MASQ2!BA$43)/SUMIFS('Étape 1 - à remplir'!$F$19:$F$28,'Étape 1 - à remplir'!$C$19:$C$28,MASQ2!$AT67,'Étape 1 - à remplir'!$G$19:$G$28,"animaux"),"")</f>
        <v/>
      </c>
      <c r="BB67" t="str">
        <f>IFERROR(SUMIFS('Étape 1 - à remplir'!$F$31:$F$400,'Étape 1 - à remplir'!$C$31:$C$400,IF($AT67="Bovin","Bovin*",IF($AT67="Ovin","Ovin*",IF($AT67="Caprin","Caprin*",IF($AT67="Porcin","Porcin*",IF($AT67="Equin","Equin*",IF($AT67="Volaille","Volaille*",IF($AT67="Poisson","Poisson*",IF($AT67="Autre","Autre*","")))))))),'Étape 1 - à remplir'!$G$31:$G$400,"animaux",'Étape 1 - à remplir'!$M$31:$M$400,MASQ2!BB$43)/SUMIFS('Étape 1 - à remplir'!$F$19:$F$28,'Étape 1 - à remplir'!$C$19:$C$28,MASQ2!$AT67,'Étape 1 - à remplir'!$G$19:$G$28,"animaux"),"")</f>
        <v/>
      </c>
      <c r="BC67" t="str">
        <f>IFERROR(SUMIFS('Étape 1 - à remplir'!$F$31:$F$400,'Étape 1 - à remplir'!$C$31:$C$400,IF($AT67="Bovin","Bovin*",IF($AT67="Ovin","Ovin*",IF($AT67="Caprin","Caprin*",IF($AT67="Porcin","Porcin*",IF($AT67="Equin","Equin*",IF($AT67="Volaille","Volaille*",IF($AT67="Poisson","Poisson*",IF($AT67="Autre","Autre*","")))))))),'Étape 1 - à remplir'!$G$31:$G$400,"animaux",'Étape 1 - à remplir'!$M$31:$M$400,MASQ2!BC$43)/SUMIFS('Étape 1 - à remplir'!$F$19:$F$28,'Étape 1 - à remplir'!$C$19:$C$28,MASQ2!$AT67,'Étape 1 - à remplir'!$G$19:$G$28,"animaux"),"")</f>
        <v/>
      </c>
      <c r="BD67" t="str">
        <f>IFERROR(SUMIFS('Étape 1 - à remplir'!$F$31:$F$400,'Étape 1 - à remplir'!$C$31:$C$400,IF($AT67="Bovin","Bovin*",IF($AT67="Ovin","Ovin*",IF($AT67="Caprin","Caprin*",IF($AT67="Porcin","Porcin*",IF($AT67="Equin","Equin*",IF($AT67="Volaille","Volaille*",IF($AT67="Poisson","Poisson*",IF($AT67="Autre","Autre*","")))))))),'Étape 1 - à remplir'!$G$31:$G$400,"animaux",'Étape 1 - à remplir'!$M$31:$M$400,MASQ2!BD$43)/SUMIFS('Étape 1 - à remplir'!$F$19:$F$28,'Étape 1 - à remplir'!$C$19:$C$28,MASQ2!$AT67,'Étape 1 - à remplir'!$G$19:$G$28,"animaux"),"")</f>
        <v/>
      </c>
      <c r="BE67" t="str">
        <f>IFERROR(SUMIFS('Étape 1 - à remplir'!$F$31:$F$400,'Étape 1 - à remplir'!$C$31:$C$400,IF($AT67="Bovin","Bovin*",IF($AT67="Ovin","Ovin*",IF($AT67="Caprin","Caprin*",IF($AT67="Porcin","Porcin*",IF($AT67="Equin","Equin*",IF($AT67="Volaille","Volaille*",IF($AT67="Poisson","Poisson*",IF($AT67="Autre","Autre*","")))))))),'Étape 1 - à remplir'!$G$31:$G$400,"animaux",'Étape 1 - à remplir'!$M$31:$M$400,MASQ2!BE$43)/SUMIFS('Étape 1 - à remplir'!$F$19:$F$28,'Étape 1 - à remplir'!$C$19:$C$28,MASQ2!$AT67,'Étape 1 - à remplir'!$G$19:$G$28,"animaux"),"")</f>
        <v/>
      </c>
      <c r="BF67" s="76" t="str">
        <f>IFERROR(SUMIFS('Étape 1 - à remplir'!$F$31:$F$400,'Étape 1 - à remplir'!$C$31:$C$400,IF($AT67="Bovin","Bovin*",IF($AT67="Ovin","Ovin*",IF($AT67="Caprin","Caprin*",IF($AT67="Porcin","Porcin*",IF($AT67="Equin","Equin*",IF($AT67="Volaille","Volaille*",IF($AT67="Poisson","Poisson*",IF($AT67="Autre","Autre*","")))))))),'Étape 1 - à remplir'!$G$31:$G$400,"animaux",'Étape 1 - à remplir'!$M$31:$M$400,MASQ2!BF$43)/SUMIFS('Étape 1 - à remplir'!$F$19:$F$28,'Étape 1 - à remplir'!$C$19:$C$28,MASQ2!$AT67,'Étape 1 - à remplir'!$G$19:$G$28,"animaux"),"")</f>
        <v/>
      </c>
      <c r="BT67" s="194" t="str">
        <f t="shared" ca="1" si="5"/>
        <v>x</v>
      </c>
      <c r="BU67" s="219" t="str">
        <f>IFERROR(IF(BX67=0,"",COUNTIF(BX$4:BX$600,"&gt;"&amp;BX67)+COUNTIF(BX$4:BX67,BX67)),"")</f>
        <v/>
      </c>
      <c r="BV67" s="42" t="str">
        <f t="shared" si="6"/>
        <v>BAYTRIL 2,5 % SOLUTION INJECTABLE</v>
      </c>
      <c r="BW67" t="e">
        <f>IF(IF(CE$2="Catégorie",IF(CE$3="Toutes",SUMIFS('Étape 1 - à remplir'!$F$31:$F$400,'Étape 1 - à remplir'!$E$31:$E$400,MASQ2!BV67,'Étape 1 - à remplir'!$G$31:$G$400,"lots"),SUMIFS('Étape 1 - à remplir'!$F$31:$F$400,'Étape 1 - à remplir'!$E$31:$E$400,MASQ2!BV67,'Étape 1 - à remplir'!$C$31:$C$400,CE$3)),IF(CE$2="Âge",IF(CE$3="Tous",SUMIFS('Étape 1 - à remplir'!$F$31:$F$400,'Étape 1 - à remplir'!$E$31:$E$400,MASQ2!BV67,'Étape 1 - à remplir'!$G$31:$G$400,"lots"),SUMIFS('Étape 1 - à remplir'!$F$31:$F$400,'Étape 1 - à remplir'!$E$31:$E$400,MASQ2!BV67,'Étape 1 - à remplir'!$P$31:$P$400,CE$3,'Étape 1 - à remplir'!$G$31:$G$400,"lots")),IF(CE$2="Atelier",IF(CE$3="Tous",SUMIFS('Étape 1 - à remplir'!$F$31:$F$400,'Étape 1 - à remplir'!$E$31:$E$400,MASQ2!BV67,'Étape 1 - à remplir'!$G$31:$G$400,"lots"),SUMIFS('Étape 1 - à remplir'!$F$31:$F$400,'Étape 1 - à remplir'!$E$31:$E$400,MASQ2!BV67,'Étape 1 - à remplir'!$O$31:$O$400,CE$3,'Étape 1 - à remplir'!$G$31:$G$400,"lots")),IF(CE$2="Espèce",IF(CE$3="Toutes",SUMIFS('Étape 1 - à remplir'!$F$31:$F$400,'Étape 1 - à remplir'!$E$31:$E$400,MASQ2!BV67,'Étape 1 - à remplir'!$G$31:$G$400,"lots"),SUMIFS('Étape 1 - à remplir'!$F$31:$F$400,'Étape 1 - à remplir'!$E$31:$E$400,MASQ2!BV67,'Étape 1 - à remplir'!$N$31:$N$400,CE$3,'Étape 1 - à remplir'!$G$31:$G$400,"lots"))))))=0,NA(),IF(CE$2="Catégorie",IF(CE$3="Toutes",SUMIFS('Étape 1 - à remplir'!$F$31:$F$400,'Étape 1 - à remplir'!$E$31:$E$400,MASQ2!BV67,'Étape 1 - à remplir'!$G$31:$G$400,"lots"),SUMIFS('Étape 1 - à remplir'!$F$31:$F$400,'Étape 1 - à remplir'!$E$31:$E$400,MASQ2!BV67,'Étape 1 - à remplir'!$C$31:$C$400,CE$3)),IF(CE$2="Âge",IF(CE$3="Tous",SUMIFS('Étape 1 - à remplir'!$F$31:$F$400,'Étape 1 - à remplir'!$E$31:$E$400,MASQ2!BV67,'Étape 1 - à remplir'!$G$31:$G$400,"lots"),SUMIFS('Étape 1 - à remplir'!$F$31:$F$400,'Étape 1 - à remplir'!$E$31:$E$400,MASQ2!BV67,'Étape 1 - à remplir'!$P$31:$P$400,CE$3,'Étape 1 - à remplir'!$G$31:$G$400,"lots")),IF(CE$2="Atelier",IF(CE$3="Tous",SUMIFS('Étape 1 - à remplir'!$F$31:$F$400,'Étape 1 - à remplir'!$E$31:$E$400,MASQ2!BV67,'Étape 1 - à remplir'!$G$31:$G$400,"lots"),SUMIFS('Étape 1 - à remplir'!$F$31:$F$400,'Étape 1 - à remplir'!$E$31:$E$400,MASQ2!BV67,'Étape 1 - à remplir'!$O$31:$O$400,CE$3,'Étape 1 - à remplir'!$G$31:$G$400,"lots")),IF(CE$2="Espèce",IF(CE$3="Toutes",SUMIFS('Étape 1 - à remplir'!$F$31:$F$400,'Étape 1 - à remplir'!$E$31:$E$400,MASQ2!BV67,'Étape 1 - à remplir'!$G$31:$G$400,"lots"),SUMIFS('Étape 1 - à remplir'!$F$31:$F$400,'Étape 1 - à remplir'!$E$31:$E$400,MASQ2!BV67,'Étape 1 - à remplir'!$N$31:$N$400,CE$3,'Étape 1 - à remplir'!$G$31:$G$400,"lots")))))))</f>
        <v>#N/A</v>
      </c>
      <c r="BX67">
        <f t="shared" si="42"/>
        <v>0</v>
      </c>
      <c r="BY67" t="str">
        <f t="shared" si="7"/>
        <v>Enrofloxacine</v>
      </c>
      <c r="BZ67" t="str">
        <f t="shared" si="8"/>
        <v/>
      </c>
      <c r="CA67" t="str">
        <f t="shared" si="9"/>
        <v/>
      </c>
      <c r="CB67" t="str">
        <f t="shared" si="10"/>
        <v>Fluoroquinolones</v>
      </c>
      <c r="CC67" t="str">
        <f t="shared" si="11"/>
        <v/>
      </c>
      <c r="CD67" s="63" t="str">
        <f t="shared" si="12"/>
        <v/>
      </c>
      <c r="CG67" s="42">
        <v>64</v>
      </c>
      <c r="CH67" s="42" t="e">
        <f t="shared" si="80"/>
        <v>#N/A</v>
      </c>
      <c r="CI67" s="63" t="e">
        <f t="shared" si="81"/>
        <v>#N/A</v>
      </c>
      <c r="DA67" s="118" t="str">
        <f t="shared" si="129"/>
        <v/>
      </c>
      <c r="DB67" s="118" t="str">
        <f>IFERROR(SUMIFS('Étape 1 - à remplir'!$F$31:$F$400,'Étape 1 - à remplir'!$C$31:$C$400,IF($DA67="Bovin","Bovin*",IF($DA67="Ovin","Ovin*",IF($DA67="Caprin","Caprin*",IF($DA67="Porcin","Porcin*",IF($DA67="Equin","Equin*",IF($DA67="Volaille","Volaille*",IF($DA67="Poisson","Poisson*",IF($DA67="Autre","Autre*","")))))))),'Étape 1 - à remplir'!$G$31:$G$400,"lots",'Étape 1 - à remplir'!$M$31:$M$400,MASQ2!DB$43)/SUMIFS('Étape 1 - à remplir'!$F$19:$F$28,'Étape 1 - à remplir'!$C$19:$C$28,MASQ2!$DA67,'Étape 1 - à remplir'!$G$19:$G$28,"lots"),"")</f>
        <v/>
      </c>
      <c r="DC67" t="str">
        <f>IFERROR(SUMIFS('Étape 1 - à remplir'!$F$31:$F$400,'Étape 1 - à remplir'!$C$31:$C$400,IF($DA67="Bovin","Bovin*",IF($DA67="Ovin","Ovin*",IF($DA67="Caprin","Caprin*",IF($DA67="Porcin","Porcin*",IF($DA67="Equin","Equin*",IF($DA67="Volaille","Volaille*",IF($DA67="Poisson","Poisson*",IF($DA67="Autre","Autre*","")))))))),'Étape 1 - à remplir'!$G$31:$G$400,"lots",'Étape 1 - à remplir'!$M$31:$M$400,MASQ2!DC$43)/SUMIFS('Étape 1 - à remplir'!$F$19:$F$28,'Étape 1 - à remplir'!$C$19:$C$28,MASQ2!$DA67,'Étape 1 - à remplir'!$G$19:$G$28,"lots"),"")</f>
        <v/>
      </c>
      <c r="DD67" t="str">
        <f>IFERROR(SUMIFS('Étape 1 - à remplir'!$F$31:$F$400,'Étape 1 - à remplir'!$C$31:$C$400,IF($DA67="Bovin","Bovin*",IF($DA67="Ovin","Ovin*",IF($DA67="Caprin","Caprin*",IF($DA67="Porcin","Porcin*",IF($DA67="Equin","Equin*",IF($DA67="Volaille","Volaille*",IF($DA67="Poisson","Poisson*",IF($DA67="Autre","Autre*","")))))))),'Étape 1 - à remplir'!$G$31:$G$400,"lots",'Étape 1 - à remplir'!$M$31:$M$400,MASQ2!DD$43)/SUMIFS('Étape 1 - à remplir'!$F$19:$F$28,'Étape 1 - à remplir'!$C$19:$C$28,MASQ2!$DA67,'Étape 1 - à remplir'!$G$19:$G$28,"lots"),"")</f>
        <v/>
      </c>
      <c r="DE67" t="str">
        <f>IFERROR(SUMIFS('Étape 1 - à remplir'!$F$31:$F$400,'Étape 1 - à remplir'!$C$31:$C$400,IF($DA67="Bovin","Bovin*",IF($DA67="Ovin","Ovin*",IF($DA67="Caprin","Caprin*",IF($DA67="Porcin","Porcin*",IF($DA67="Equin","Equin*",IF($DA67="Volaille","Volaille*",IF($DA67="Poisson","Poisson*",IF($DA67="Autre","Autre*","")))))))),'Étape 1 - à remplir'!$G$31:$G$400,"lots",'Étape 1 - à remplir'!$M$31:$M$400,MASQ2!DE$43)/SUMIFS('Étape 1 - à remplir'!$F$19:$F$28,'Étape 1 - à remplir'!$C$19:$C$28,MASQ2!$DA67,'Étape 1 - à remplir'!$G$19:$G$28,"lots"),"")</f>
        <v/>
      </c>
      <c r="DF67" t="str">
        <f>IFERROR(SUMIFS('Étape 1 - à remplir'!$F$31:$F$400,'Étape 1 - à remplir'!$C$31:$C$400,IF($DA67="Bovin","Bovin*",IF($DA67="Ovin","Ovin*",IF($DA67="Caprin","Caprin*",IF($DA67="Porcin","Porcin*",IF($DA67="Equin","Equin*",IF($DA67="Volaille","Volaille*",IF($DA67="Poisson","Poisson*",IF($DA67="Autre","Autre*","")))))))),'Étape 1 - à remplir'!$G$31:$G$400,"lots",'Étape 1 - à remplir'!$M$31:$M$400,MASQ2!DF$43)/SUMIFS('Étape 1 - à remplir'!$F$19:$F$28,'Étape 1 - à remplir'!$C$19:$C$28,MASQ2!$DA67,'Étape 1 - à remplir'!$G$19:$G$28,"lots"),"")</f>
        <v/>
      </c>
      <c r="DG67" t="str">
        <f>IFERROR(SUMIFS('Étape 1 - à remplir'!$F$31:$F$400,'Étape 1 - à remplir'!$C$31:$C$400,IF($DA67="Bovin","Bovin*",IF($DA67="Ovin","Ovin*",IF($DA67="Caprin","Caprin*",IF($DA67="Porcin","Porcin*",IF($DA67="Equin","Equin*",IF($DA67="Volaille","Volaille*",IF($DA67="Poisson","Poisson*",IF($DA67="Autre","Autre*","")))))))),'Étape 1 - à remplir'!$G$31:$G$400,"lots",'Étape 1 - à remplir'!$M$31:$M$400,MASQ2!DG$43)/SUMIFS('Étape 1 - à remplir'!$F$19:$F$28,'Étape 1 - à remplir'!$C$19:$C$28,MASQ2!$DA67,'Étape 1 - à remplir'!$G$19:$G$28,"lots"),"")</f>
        <v/>
      </c>
      <c r="DH67" t="str">
        <f>IFERROR(SUMIFS('Étape 1 - à remplir'!$F$31:$F$400,'Étape 1 - à remplir'!$C$31:$C$400,IF($DA67="Bovin","Bovin*",IF($DA67="Ovin","Ovin*",IF($DA67="Caprin","Caprin*",IF($DA67="Porcin","Porcin*",IF($DA67="Equin","Equin*",IF($DA67="Volaille","Volaille*",IF($DA67="Poisson","Poisson*",IF($DA67="Autre","Autre*","")))))))),'Étape 1 - à remplir'!$G$31:$G$400,"lots",'Étape 1 - à remplir'!$M$31:$M$400,MASQ2!DH$43)/SUMIFS('Étape 1 - à remplir'!$F$19:$F$28,'Étape 1 - à remplir'!$C$19:$C$28,MASQ2!$DA67,'Étape 1 - à remplir'!$G$19:$G$28,"lots"),"")</f>
        <v/>
      </c>
      <c r="DI67" t="str">
        <f>IFERROR(SUMIFS('Étape 1 - à remplir'!$F$31:$F$400,'Étape 1 - à remplir'!$C$31:$C$400,IF($DA67="Bovin","Bovin*",IF($DA67="Ovin","Ovin*",IF($DA67="Caprin","Caprin*",IF($DA67="Porcin","Porcin*",IF($DA67="Equin","Equin*",IF($DA67="Volaille","Volaille*",IF($DA67="Poisson","Poisson*",IF($DA67="Autre","Autre*","")))))))),'Étape 1 - à remplir'!$G$31:$G$400,"lots",'Étape 1 - à remplir'!$M$31:$M$400,MASQ2!DI$43)/SUMIFS('Étape 1 - à remplir'!$F$19:$F$28,'Étape 1 - à remplir'!$C$19:$C$28,MASQ2!$DA67,'Étape 1 - à remplir'!$G$19:$G$28,"lots"),"")</f>
        <v/>
      </c>
      <c r="DJ67" t="str">
        <f>IFERROR(SUMIFS('Étape 1 - à remplir'!$F$31:$F$400,'Étape 1 - à remplir'!$C$31:$C$400,IF($DA67="Bovin","Bovin*",IF($DA67="Ovin","Ovin*",IF($DA67="Caprin","Caprin*",IF($DA67="Porcin","Porcin*",IF($DA67="Equin","Equin*",IF($DA67="Volaille","Volaille*",IF($DA67="Poisson","Poisson*",IF($DA67="Autre","Autre*","")))))))),'Étape 1 - à remplir'!$G$31:$G$400,"lots",'Étape 1 - à remplir'!$M$31:$M$400,MASQ2!DJ$43)/SUMIFS('Étape 1 - à remplir'!$F$19:$F$28,'Étape 1 - à remplir'!$C$19:$C$28,MASQ2!$DA67,'Étape 1 - à remplir'!$G$19:$G$28,"lots"),"")</f>
        <v/>
      </c>
      <c r="DK67" t="str">
        <f>IFERROR(SUMIFS('Étape 1 - à remplir'!$F$31:$F$400,'Étape 1 - à remplir'!$C$31:$C$400,IF($DA67="Bovin","Bovin*",IF($DA67="Ovin","Ovin*",IF($DA67="Caprin","Caprin*",IF($DA67="Porcin","Porcin*",IF($DA67="Equin","Equin*",IF($DA67="Volaille","Volaille*",IF($DA67="Poisson","Poisson*",IF($DA67="Autre","Autre*","")))))))),'Étape 1 - à remplir'!$G$31:$G$400,"lots",'Étape 1 - à remplir'!$M$31:$M$400,MASQ2!DK$43)/SUMIFS('Étape 1 - à remplir'!$F$19:$F$28,'Étape 1 - à remplir'!$C$19:$C$28,MASQ2!$DA67,'Étape 1 - à remplir'!$G$19:$G$28,"lots"),"")</f>
        <v/>
      </c>
      <c r="DL67" t="str">
        <f>IFERROR(SUMIFS('Étape 1 - à remplir'!$F$31:$F$400,'Étape 1 - à remplir'!$C$31:$C$400,IF($DA67="Bovin","Bovin*",IF($DA67="Ovin","Ovin*",IF($DA67="Caprin","Caprin*",IF($DA67="Porcin","Porcin*",IF($DA67="Equin","Equin*",IF($DA67="Volaille","Volaille*",IF($DA67="Poisson","Poisson*",IF($DA67="Autre","Autre*","")))))))),'Étape 1 - à remplir'!$G$31:$G$400,"lots",'Étape 1 - à remplir'!$M$31:$M$400,MASQ2!DL$43)/SUMIFS('Étape 1 - à remplir'!$F$19:$F$28,'Étape 1 - à remplir'!$C$19:$C$28,MASQ2!$DA67,'Étape 1 - à remplir'!$G$19:$G$28,"lots"),"")</f>
        <v/>
      </c>
      <c r="DM67" s="76" t="str">
        <f>IFERROR(SUMIFS('Étape 1 - à remplir'!$F$31:$F$400,'Étape 1 - à remplir'!$C$31:$C$400,IF($DA67="Bovin","Bovin*",IF($DA67="Ovin","Ovin*",IF($DA67="Caprin","Caprin*",IF($DA67="Porcin","Porcin*",IF($DA67="Equin","Equin*",IF($DA67="Volaille","Volaille*",IF($DA67="Poisson","Poisson*",IF($DA67="Autre","Autre*","")))))))),'Étape 1 - à remplir'!$G$31:$G$400,"lots",'Étape 1 - à remplir'!$M$31:$M$400,MASQ2!DM$43)/SUMIFS('Étape 1 - à remplir'!$F$19:$F$28,'Étape 1 - à remplir'!$C$19:$C$28,MASQ2!$DA67,'Étape 1 - à remplir'!$G$19:$G$28,"lots"),"")</f>
        <v/>
      </c>
      <c r="EA67" s="194" t="str">
        <f t="shared" ca="1" si="18"/>
        <v>x</v>
      </c>
      <c r="EB67" s="226" t="str">
        <f>IFERROR(IF(ED67=0,"",COUNTIF(ED$4:ED$600,"&gt;"&amp;ED67)+COUNTIF(ED$4:ED67,ED67)),"")</f>
        <v/>
      </c>
      <c r="EC67" t="str">
        <f t="shared" si="19"/>
        <v>BAYTRIL 2,5 % SOLUTION INJECTABLE</v>
      </c>
      <c r="ED67" t="e">
        <f>IF(IF(EL$2="Catégorie",IF(EL$3="Toutes",SUMIFS('Étape 1 - à remplir'!$F$31:$F$400,'Étape 1 - à remplir'!$E$31:$E$400,MASQ2!EC67,'Étape 1 - à remplir'!$G$31:$G$400,"kg"),SUMIFS('Étape 1 - à remplir'!$F$31:$F$400,'Étape 1 - à remplir'!$E$31:$E$400,MASQ2!EC67,'Étape 1 - à remplir'!$C$31:$C$400,EL$3)),IF(EL$2="Âge",IF(EL$3="Tous",SUMIFS('Étape 1 - à remplir'!$F$31:$F$400,'Étape 1 - à remplir'!$E$31:$E$400,MASQ2!EC67,'Étape 1 - à remplir'!$G$31:$G$400,"kg"),SUMIFS('Étape 1 - à remplir'!$F$31:$F$400,'Étape 1 - à remplir'!$E$31:$E$400,MASQ2!EC67,'Étape 1 - à remplir'!$P$31:$P$400,EL$3,'Étape 1 - à remplir'!$G$31:$G$400,"kg")),IF(EL$2="Atelier",IF(EL$3="Tous",SUMIFS('Étape 1 - à remplir'!$F$31:$F$400,'Étape 1 - à remplir'!$E$31:$E$400,MASQ2!EC67,'Étape 1 - à remplir'!$G$31:$G$400,"kg"),SUMIFS('Étape 1 - à remplir'!$F$31:$F$400,'Étape 1 - à remplir'!$E$31:$E$400,MASQ2!EC67,'Étape 1 - à remplir'!$O$31:$O$400,EL$3,'Étape 1 - à remplir'!$G$31:$G$400,"kg")),IF(EL$2="Espèce",IF(EL$3="Toutes",SUMIFS('Étape 1 - à remplir'!$F$31:$F$400,'Étape 1 - à remplir'!$E$31:$E$400,MASQ2!EC67,'Étape 1 - à remplir'!$G$31:$G$400,"kg"),SUMIFS('Étape 1 - à remplir'!$F$31:$F$400,'Étape 1 - à remplir'!$E$31:$E$400,MASQ2!EC67,'Étape 1 - à remplir'!$N$31:$N$400,EL$3,'Étape 1 - à remplir'!$G$31:$G$400,"kg"))))))=0,NA(),IF(EL$2="Catégorie",IF(EL$3="Toutes",SUMIFS('Étape 1 - à remplir'!$F$31:$F$400,'Étape 1 - à remplir'!$E$31:$E$400,MASQ2!EC67,'Étape 1 - à remplir'!$G$31:$G$400,"kg"),SUMIFS('Étape 1 - à remplir'!$F$31:$F$400,'Étape 1 - à remplir'!$E$31:$E$400,MASQ2!EC67,'Étape 1 - à remplir'!$C$31:$C$400,EL$3)),IF(EL$2="Âge",IF(EL$3="Tous",SUMIFS('Étape 1 - à remplir'!$F$31:$F$400,'Étape 1 - à remplir'!$E$31:$E$400,MASQ2!EC67,'Étape 1 - à remplir'!$G$31:$G$400,"kg"),SUMIFS('Étape 1 - à remplir'!$F$31:$F$400,'Étape 1 - à remplir'!$E$31:$E$400,MASQ2!EC67,'Étape 1 - à remplir'!$P$31:$P$400,EL$3,'Étape 1 - à remplir'!$G$31:$G$400,"kg")),IF(EL$2="Atelier",IF(EL$3="Tous",SUMIFS('Étape 1 - à remplir'!$F$31:$F$400,'Étape 1 - à remplir'!$E$31:$E$400,MASQ2!EC67,'Étape 1 - à remplir'!$G$31:$G$400,"kg"),SUMIFS('Étape 1 - à remplir'!$F$31:$F$400,'Étape 1 - à remplir'!$E$31:$E$400,MASQ2!EC67,'Étape 1 - à remplir'!$O$31:$O$400,EL$3,'Étape 1 - à remplir'!$G$31:$G$400,"kg")),IF(EL$2="Espèce",IF(EL$3="Toutes",SUMIFS('Étape 1 - à remplir'!$F$31:$F$400,'Étape 1 - à remplir'!$E$31:$E$400,MASQ2!EC67,'Étape 1 - à remplir'!$G$31:$G$400,"kg"),SUMIFS('Étape 1 - à remplir'!$F$31:$F$400,'Étape 1 - à remplir'!$E$31:$E$400,MASQ2!EC67,'Étape 1 - à remplir'!$N$31:$N$400,EL$3,'Étape 1 - à remplir'!$G$31:$G$400,"kg")))))))</f>
        <v>#N/A</v>
      </c>
      <c r="EE67" s="76">
        <f t="shared" si="53"/>
        <v>0</v>
      </c>
      <c r="EF67" t="str">
        <f t="shared" si="20"/>
        <v>Enrofloxacine</v>
      </c>
      <c r="EG67" t="str">
        <f t="shared" si="21"/>
        <v/>
      </c>
      <c r="EH67" t="str">
        <f t="shared" si="22"/>
        <v/>
      </c>
      <c r="EI67" t="str">
        <f t="shared" si="23"/>
        <v>Fluoroquinolones</v>
      </c>
      <c r="EJ67" t="str">
        <f t="shared" si="24"/>
        <v/>
      </c>
      <c r="EK67" s="63" t="str">
        <f t="shared" si="25"/>
        <v/>
      </c>
      <c r="EN67" s="42">
        <v>64</v>
      </c>
      <c r="EO67" t="e">
        <f t="shared" si="68"/>
        <v>#N/A</v>
      </c>
      <c r="EP67" s="63" t="e">
        <f t="shared" si="69"/>
        <v>#N/A</v>
      </c>
      <c r="FH67" s="118" t="str">
        <f t="shared" si="130"/>
        <v/>
      </c>
      <c r="FI67" s="118" t="str">
        <f>IFERROR(SUMIFS('Étape 1 - à remplir'!$F$31:$F$400,'Étape 1 - à remplir'!$C$31:$C$400,IF($FH67="Bovin","Bovin*",IF($FH67="Ovin","Ovin*",IF($FH67="Caprin","Caprin*",IF($FH67="Porcin","Porcin*",IF($FH67="Equin","Equin*",IF($FH67="Volaille","Volaille*",IF($FH67="Poisson","Poisson*",IF($FH67="Autre","Autre*","")))))))),'Étape 1 - à remplir'!$G$31:$G$400,"kg",'Étape 1 - à remplir'!$M$31:$M$400,MASQ2!FI$43)/SUMIFS('Étape 1 - à remplir'!$F$19:$F$28,'Étape 1 - à remplir'!$C$19:$C$28,MASQ2!$FH67,'Étape 1 - à remplir'!$G$19:$G$28,"kg"),"")</f>
        <v/>
      </c>
      <c r="FJ67" t="str">
        <f>IFERROR(SUMIFS('Étape 1 - à remplir'!$F$31:$F$400,'Étape 1 - à remplir'!$C$31:$C$400,IF($FH67="Bovin","Bovin*",IF($FH67="Ovin","Ovin*",IF($FH67="Caprin","Caprin*",IF($FH67="Porcin","Porcin*",IF($FH67="Equin","Equin*",IF($FH67="Volaille","Volaille*",IF($FH67="Poisson","Poisson*",IF($FH67="Autre","Autre*","")))))))),'Étape 1 - à remplir'!$G$31:$G$400,"kg",'Étape 1 - à remplir'!$M$31:$M$400,MASQ2!FJ$43)/SUMIFS('Étape 1 - à remplir'!$F$19:$F$28,'Étape 1 - à remplir'!$C$19:$C$28,MASQ2!$FH67,'Étape 1 - à remplir'!$G$19:$G$28,"kg"),"")</f>
        <v/>
      </c>
      <c r="FK67" t="str">
        <f>IFERROR(SUMIFS('Étape 1 - à remplir'!$F$31:$F$400,'Étape 1 - à remplir'!$C$31:$C$400,IF($FH67="Bovin","Bovin*",IF($FH67="Ovin","Ovin*",IF($FH67="Caprin","Caprin*",IF($FH67="Porcin","Porcin*",IF($FH67="Equin","Equin*",IF($FH67="Volaille","Volaille*",IF($FH67="Poisson","Poisson*",IF($FH67="Autre","Autre*","")))))))),'Étape 1 - à remplir'!$G$31:$G$400,"kg",'Étape 1 - à remplir'!$M$31:$M$400,MASQ2!FK$43)/SUMIFS('Étape 1 - à remplir'!$F$19:$F$28,'Étape 1 - à remplir'!$C$19:$C$28,MASQ2!$FH67,'Étape 1 - à remplir'!$G$19:$G$28,"kg"),"")</f>
        <v/>
      </c>
      <c r="FL67" t="str">
        <f>IFERROR(SUMIFS('Étape 1 - à remplir'!$F$31:$F$400,'Étape 1 - à remplir'!$C$31:$C$400,IF($FH67="Bovin","Bovin*",IF($FH67="Ovin","Ovin*",IF($FH67="Caprin","Caprin*",IF($FH67="Porcin","Porcin*",IF($FH67="Equin","Equin*",IF($FH67="Volaille","Volaille*",IF($FH67="Poisson","Poisson*",IF($FH67="Autre","Autre*","")))))))),'Étape 1 - à remplir'!$G$31:$G$400,"kg",'Étape 1 - à remplir'!$M$31:$M$400,MASQ2!FL$43)/SUMIFS('Étape 1 - à remplir'!$F$19:$F$28,'Étape 1 - à remplir'!$C$19:$C$28,MASQ2!$FH67,'Étape 1 - à remplir'!$G$19:$G$28,"kg"),"")</f>
        <v/>
      </c>
      <c r="FM67" t="str">
        <f>IFERROR(SUMIFS('Étape 1 - à remplir'!$F$31:$F$400,'Étape 1 - à remplir'!$C$31:$C$400,IF($FH67="Bovin","Bovin*",IF($FH67="Ovin","Ovin*",IF($FH67="Caprin","Caprin*",IF($FH67="Porcin","Porcin*",IF($FH67="Equin","Equin*",IF($FH67="Volaille","Volaille*",IF($FH67="Poisson","Poisson*",IF($FH67="Autre","Autre*","")))))))),'Étape 1 - à remplir'!$G$31:$G$400,"kg",'Étape 1 - à remplir'!$M$31:$M$400,MASQ2!FM$43)/SUMIFS('Étape 1 - à remplir'!$F$19:$F$28,'Étape 1 - à remplir'!$C$19:$C$28,MASQ2!$FH67,'Étape 1 - à remplir'!$G$19:$G$28,"kg"),"")</f>
        <v/>
      </c>
      <c r="FN67" t="str">
        <f>IFERROR(SUMIFS('Étape 1 - à remplir'!$F$31:$F$400,'Étape 1 - à remplir'!$C$31:$C$400,IF($FH67="Bovin","Bovin*",IF($FH67="Ovin","Ovin*",IF($FH67="Caprin","Caprin*",IF($FH67="Porcin","Porcin*",IF($FH67="Equin","Equin*",IF($FH67="Volaille","Volaille*",IF($FH67="Poisson","Poisson*",IF($FH67="Autre","Autre*","")))))))),'Étape 1 - à remplir'!$G$31:$G$400,"kg",'Étape 1 - à remplir'!$M$31:$M$400,MASQ2!FN$43)/SUMIFS('Étape 1 - à remplir'!$F$19:$F$28,'Étape 1 - à remplir'!$C$19:$C$28,MASQ2!$FH67,'Étape 1 - à remplir'!$G$19:$G$28,"kg"),"")</f>
        <v/>
      </c>
      <c r="FO67" t="str">
        <f>IFERROR(SUMIFS('Étape 1 - à remplir'!$F$31:$F$400,'Étape 1 - à remplir'!$C$31:$C$400,IF($FH67="Bovin","Bovin*",IF($FH67="Ovin","Ovin*",IF($FH67="Caprin","Caprin*",IF($FH67="Porcin","Porcin*",IF($FH67="Equin","Equin*",IF($FH67="Volaille","Volaille*",IF($FH67="Poisson","Poisson*",IF($FH67="Autre","Autre*","")))))))),'Étape 1 - à remplir'!$G$31:$G$400,"kg",'Étape 1 - à remplir'!$M$31:$M$400,MASQ2!FO$43)/SUMIFS('Étape 1 - à remplir'!$F$19:$F$28,'Étape 1 - à remplir'!$C$19:$C$28,MASQ2!$FH67,'Étape 1 - à remplir'!$G$19:$G$28,"kg"),"")</f>
        <v/>
      </c>
      <c r="FP67" t="str">
        <f>IFERROR(SUMIFS('Étape 1 - à remplir'!$F$31:$F$400,'Étape 1 - à remplir'!$C$31:$C$400,IF($FH67="Bovin","Bovin*",IF($FH67="Ovin","Ovin*",IF($FH67="Caprin","Caprin*",IF($FH67="Porcin","Porcin*",IF($FH67="Equin","Equin*",IF($FH67="Volaille","Volaille*",IF($FH67="Poisson","Poisson*",IF($FH67="Autre","Autre*","")))))))),'Étape 1 - à remplir'!$G$31:$G$400,"kg",'Étape 1 - à remplir'!$M$31:$M$400,MASQ2!FP$43)/SUMIFS('Étape 1 - à remplir'!$F$19:$F$28,'Étape 1 - à remplir'!$C$19:$C$28,MASQ2!$FH67,'Étape 1 - à remplir'!$G$19:$G$28,"kg"),"")</f>
        <v/>
      </c>
      <c r="FQ67" t="str">
        <f>IFERROR(SUMIFS('Étape 1 - à remplir'!$F$31:$F$400,'Étape 1 - à remplir'!$C$31:$C$400,IF($FH67="Bovin","Bovin*",IF($FH67="Ovin","Ovin*",IF($FH67="Caprin","Caprin*",IF($FH67="Porcin","Porcin*",IF($FH67="Equin","Equin*",IF($FH67="Volaille","Volaille*",IF($FH67="Poisson","Poisson*",IF($FH67="Autre","Autre*","")))))))),'Étape 1 - à remplir'!$G$31:$G$400,"kg",'Étape 1 - à remplir'!$M$31:$M$400,MASQ2!FQ$43)/SUMIFS('Étape 1 - à remplir'!$F$19:$F$28,'Étape 1 - à remplir'!$C$19:$C$28,MASQ2!$FH67,'Étape 1 - à remplir'!$G$19:$G$28,"kg"),"")</f>
        <v/>
      </c>
      <c r="FR67" t="str">
        <f>IFERROR(SUMIFS('Étape 1 - à remplir'!$F$31:$F$400,'Étape 1 - à remplir'!$C$31:$C$400,IF($FH67="Bovin","Bovin*",IF($FH67="Ovin","Ovin*",IF($FH67="Caprin","Caprin*",IF($FH67="Porcin","Porcin*",IF($FH67="Equin","Equin*",IF($FH67="Volaille","Volaille*",IF($FH67="Poisson","Poisson*",IF($FH67="Autre","Autre*","")))))))),'Étape 1 - à remplir'!$G$31:$G$400,"kg",'Étape 1 - à remplir'!$M$31:$M$400,MASQ2!FR$43)/SUMIFS('Étape 1 - à remplir'!$F$19:$F$28,'Étape 1 - à remplir'!$C$19:$C$28,MASQ2!$FH67,'Étape 1 - à remplir'!$G$19:$G$28,"kg"),"")</f>
        <v/>
      </c>
      <c r="FS67" t="str">
        <f>IFERROR(SUMIFS('Étape 1 - à remplir'!$F$31:$F$400,'Étape 1 - à remplir'!$C$31:$C$400,IF($FH67="Bovin","Bovin*",IF($FH67="Ovin","Ovin*",IF($FH67="Caprin","Caprin*",IF($FH67="Porcin","Porcin*",IF($FH67="Equin","Equin*",IF($FH67="Volaille","Volaille*",IF($FH67="Poisson","Poisson*",IF($FH67="Autre","Autre*","")))))))),'Étape 1 - à remplir'!$G$31:$G$400,"kg",'Étape 1 - à remplir'!$M$31:$M$400,MASQ2!FS$43)/SUMIFS('Étape 1 - à remplir'!$F$19:$F$28,'Étape 1 - à remplir'!$C$19:$C$28,MASQ2!$FH67,'Étape 1 - à remplir'!$G$19:$G$28,"kg"),"")</f>
        <v/>
      </c>
      <c r="FT67" s="76" t="str">
        <f>IFERROR(SUMIFS('Étape 1 - à remplir'!$F$31:$F$400,'Étape 1 - à remplir'!$C$31:$C$400,IF($FH67="Bovin","Bovin*",IF($FH67="Ovin","Ovin*",IF($FH67="Caprin","Caprin*",IF($FH67="Porcin","Porcin*",IF($FH67="Equin","Equin*",IF($FH67="Volaille","Volaille*",IF($FH67="Poisson","Poisson*",IF($FH67="Autre","Autre*","")))))))),'Étape 1 - à remplir'!$G$31:$G$400,"kg",'Étape 1 - à remplir'!$M$31:$M$400,MASQ2!FT$43)/SUMIFS('Étape 1 - à remplir'!$F$19:$F$28,'Étape 1 - à remplir'!$C$19:$C$28,MASQ2!$FH67,'Étape 1 - à remplir'!$G$19:$G$28,"kg"),"")</f>
        <v/>
      </c>
    </row>
    <row r="68" spans="2:176" x14ac:dyDescent="0.3">
      <c r="B68" s="42"/>
      <c r="M68" s="194" t="str">
        <f ca="1">INDEX(Données_ATB!BD:BU,MATCH(MASQ2!O68,Données_ATB!BD:BD,0),18)</f>
        <v>x</v>
      </c>
      <c r="N68" s="14" t="str">
        <f>IFERROR(IF(Q68=0,"",COUNTIF(Q$4:Q$600,"&gt;"&amp;Q68)+COUNTIF(Q$4:Q68,Q68)),"")</f>
        <v/>
      </c>
      <c r="O68" t="str">
        <f>Données_ATB!BD67</f>
        <v>BAYTRIL 5 % SOLUTION INJECTABLE</v>
      </c>
      <c r="P68" t="e">
        <f>IF(IF(X$2="Catégorie",IF(X$3="Toutes",SUMIFS('Étape 1 - à remplir'!$F$31:$F$400,'Étape 1 - à remplir'!$E$31:$E$400,MASQ2!O68,'Étape 1 - à remplir'!$G$31:$G$400,"animaux"),SUMIFS('Étape 1 - à remplir'!$F$31:$F$400,'Étape 1 - à remplir'!$E$31:$E$400,MASQ2!O68,'Étape 1 - à remplir'!$C$31:$C$400,X$3)),IF(X$2="Âge",IF(X$3="Tous",SUMIFS('Étape 1 - à remplir'!$F$31:$F$400,'Étape 1 - à remplir'!$E$31:$E$400,MASQ2!O68,'Étape 1 - à remplir'!$G$31:$G$400,"animaux"),SUMIFS('Étape 1 - à remplir'!$F$31:$F$400,'Étape 1 - à remplir'!$E$31:$E$400,MASQ2!O68,'Étape 1 - à remplir'!$P$31:$P$400,X$3)),IF(X$2="Atelier",IF(X$3="Tous",SUMIFS('Étape 1 - à remplir'!$F$31:$F$400,'Étape 1 - à remplir'!$E$31:$E$400,MASQ2!O68,'Étape 1 - à remplir'!$G$31:$G$400,"animaux"),SUMIFS('Étape 1 - à remplir'!$F$31:$F$400,'Étape 1 - à remplir'!$E$31:$E$400,MASQ2!O68,'Étape 1 - à remplir'!$O$31:$O$400,X$3)),IF(X$2="Espèce",IF(X$3="Toutes",SUMIFS('Étape 1 - à remplir'!$F$31:$F$400,'Étape 1 - à remplir'!$E$31:$E$400,MASQ2!O68,'Étape 1 - à remplir'!$G$31:$G$400,"animaux"),SUMIFS('Étape 1 - à remplir'!$F$31:$F$400,'Étape 1 - à remplir'!$E$31:$E$400,MASQ2!O68,'Étape 1 - à remplir'!$N$31:$N$400,X$3))))))=0,NA(),IF(X$2="Catégorie",IF(X$3="Toutes",SUMIFS('Étape 1 - à remplir'!$F$31:$F$400,'Étape 1 - à remplir'!$E$31:$E$400,MASQ2!O68,'Étape 1 - à remplir'!$G$31:$G$400,"animaux"),SUMIFS('Étape 1 - à remplir'!$F$31:$F$400,'Étape 1 - à remplir'!$E$31:$E$400,MASQ2!O68,'Étape 1 - à remplir'!$C$31:$C$400,X$3)),IF(X$2="Âge",IF(X$3="Tous",SUMIFS('Étape 1 - à remplir'!$F$31:$F$400,'Étape 1 - à remplir'!$E$31:$E$400,MASQ2!O68,'Étape 1 - à remplir'!$G$31:$G$400,"animaux"),SUMIFS('Étape 1 - à remplir'!$F$31:$F$400,'Étape 1 - à remplir'!$E$31:$E$400,MASQ2!O68,'Étape 1 - à remplir'!$P$31:$P$400,X$3)),IF(X$2="Atelier",IF(X$3="Tous",SUMIFS('Étape 1 - à remplir'!$F$31:$F$400,'Étape 1 - à remplir'!$E$31:$E$400,MASQ2!O68,'Étape 1 - à remplir'!$G$31:$G$400,"animaux"),SUMIFS('Étape 1 - à remplir'!$F$31:$F$400,'Étape 1 - à remplir'!$E$31:$E$400,MASQ2!O68,'Étape 1 - à remplir'!$O$31:$O$400,X$3)),IF(X$2="Espèce",IF(X$3="Toutes",SUMIFS('Étape 1 - à remplir'!$F$31:$F$400,'Étape 1 - à remplir'!$E$31:$E$400,MASQ2!O68,'Étape 1 - à remplir'!$G$31:$G$400,"animaux"),SUMIFS('Étape 1 - à remplir'!$F$31:$F$400,'Étape 1 - à remplir'!$E$31:$E$400,MASQ2!O68,'Étape 1 - à remplir'!$N$31:$N$400,X$3)))))))</f>
        <v>#N/A</v>
      </c>
      <c r="Q68" s="63">
        <f t="shared" si="62"/>
        <v>0</v>
      </c>
      <c r="R68" t="str">
        <f>Données_ATB!BM67</f>
        <v>Enrofloxacine</v>
      </c>
      <c r="S68" t="str">
        <f>Données_ATB!BN67</f>
        <v/>
      </c>
      <c r="T68" s="63" t="str">
        <f>Données_ATB!BO67</f>
        <v/>
      </c>
      <c r="U68" s="42" t="str">
        <f>Données_ATB!BQ67</f>
        <v>Fluoroquinolones</v>
      </c>
      <c r="V68" t="str">
        <f>Données_ATB!BR67</f>
        <v/>
      </c>
      <c r="W68" s="63" t="str">
        <f>Données_ATB!BS67</f>
        <v/>
      </c>
      <c r="Z68" s="42">
        <v>65</v>
      </c>
      <c r="AA68" t="e">
        <f t="shared" si="32"/>
        <v>#N/A</v>
      </c>
      <c r="AB68" s="63" t="e">
        <f t="shared" si="33"/>
        <v>#N/A</v>
      </c>
      <c r="AT68" s="118" t="str">
        <f t="shared" si="128"/>
        <v/>
      </c>
      <c r="AU68" s="118" t="str">
        <f>IFERROR(SUMIFS('Étape 1 - à remplir'!$F$31:$F$400,'Étape 1 - à remplir'!$C$31:$C$400,IF($AT68="Bovin","Bovin*",IF($AT68="Ovin","Ovin*",IF($AT68="Caprin","Caprin*",IF($AT68="Porcin","Porcin*",IF($AT68="Equin","Equin*",IF($AT68="Volaille","Volaille*",IF($AT68="Poisson","Poisson*",IF($AT68="Autre","Autre*","")))))))),'Étape 1 - à remplir'!$G$31:$G$400,"animaux",'Étape 1 - à remplir'!$M$31:$M$400,MASQ2!AU$43)/SUMIFS('Étape 1 - à remplir'!$F$19:$F$28,'Étape 1 - à remplir'!$C$19:$C$28,MASQ2!$AT68,'Étape 1 - à remplir'!$G$19:$G$28,"animaux"),"")</f>
        <v/>
      </c>
      <c r="AV68" t="str">
        <f>IFERROR(SUMIFS('Étape 1 - à remplir'!$F$31:$F$400,'Étape 1 - à remplir'!$C$31:$C$400,IF($AT68="Bovin","Bovin*",IF($AT68="Ovin","Ovin*",IF($AT68="Caprin","Caprin*",IF($AT68="Porcin","Porcin*",IF($AT68="Equin","Equin*",IF($AT68="Volaille","Volaille*",IF($AT68="Poisson","Poisson*",IF($AT68="Autre","Autre*","")))))))),'Étape 1 - à remplir'!$G$31:$G$400,"animaux",'Étape 1 - à remplir'!$M$31:$M$400,MASQ2!AV$43)/SUMIFS('Étape 1 - à remplir'!$F$19:$F$28,'Étape 1 - à remplir'!$C$19:$C$28,MASQ2!$AT68,'Étape 1 - à remplir'!$G$19:$G$28,"animaux"),"")</f>
        <v/>
      </c>
      <c r="AW68" t="str">
        <f>IFERROR(SUMIFS('Étape 1 - à remplir'!$F$31:$F$400,'Étape 1 - à remplir'!$C$31:$C$400,IF($AT68="Bovin","Bovin*",IF($AT68="Ovin","Ovin*",IF($AT68="Caprin","Caprin*",IF($AT68="Porcin","Porcin*",IF($AT68="Equin","Equin*",IF($AT68="Volaille","Volaille*",IF($AT68="Poisson","Poisson*",IF($AT68="Autre","Autre*","")))))))),'Étape 1 - à remplir'!$G$31:$G$400,"animaux",'Étape 1 - à remplir'!$M$31:$M$400,MASQ2!AW$43)/SUMIFS('Étape 1 - à remplir'!$F$19:$F$28,'Étape 1 - à remplir'!$C$19:$C$28,MASQ2!$AT68,'Étape 1 - à remplir'!$G$19:$G$28,"animaux"),"")</f>
        <v/>
      </c>
      <c r="AX68" t="str">
        <f>IFERROR(SUMIFS('Étape 1 - à remplir'!$F$31:$F$400,'Étape 1 - à remplir'!$C$31:$C$400,IF($AT68="Bovin","Bovin*",IF($AT68="Ovin","Ovin*",IF($AT68="Caprin","Caprin*",IF($AT68="Porcin","Porcin*",IF($AT68="Equin","Equin*",IF($AT68="Volaille","Volaille*",IF($AT68="Poisson","Poisson*",IF($AT68="Autre","Autre*","")))))))),'Étape 1 - à remplir'!$G$31:$G$400,"animaux",'Étape 1 - à remplir'!$M$31:$M$400,MASQ2!AX$43)/SUMIFS('Étape 1 - à remplir'!$F$19:$F$28,'Étape 1 - à remplir'!$C$19:$C$28,MASQ2!$AT68,'Étape 1 - à remplir'!$G$19:$G$28,"animaux"),"")</f>
        <v/>
      </c>
      <c r="AY68" t="str">
        <f>IFERROR(SUMIFS('Étape 1 - à remplir'!$F$31:$F$400,'Étape 1 - à remplir'!$C$31:$C$400,IF($AT68="Bovin","Bovin*",IF($AT68="Ovin","Ovin*",IF($AT68="Caprin","Caprin*",IF($AT68="Porcin","Porcin*",IF($AT68="Equin","Equin*",IF($AT68="Volaille","Volaille*",IF($AT68="Poisson","Poisson*",IF($AT68="Autre","Autre*","")))))))),'Étape 1 - à remplir'!$G$31:$G$400,"animaux",'Étape 1 - à remplir'!$M$31:$M$400,MASQ2!AY$43)/SUMIFS('Étape 1 - à remplir'!$F$19:$F$28,'Étape 1 - à remplir'!$C$19:$C$28,MASQ2!$AT68,'Étape 1 - à remplir'!$G$19:$G$28,"animaux"),"")</f>
        <v/>
      </c>
      <c r="AZ68" t="str">
        <f>IFERROR(SUMIFS('Étape 1 - à remplir'!$F$31:$F$400,'Étape 1 - à remplir'!$C$31:$C$400,IF($AT68="Bovin","Bovin*",IF($AT68="Ovin","Ovin*",IF($AT68="Caprin","Caprin*",IF($AT68="Porcin","Porcin*",IF($AT68="Equin","Equin*",IF($AT68="Volaille","Volaille*",IF($AT68="Poisson","Poisson*",IF($AT68="Autre","Autre*","")))))))),'Étape 1 - à remplir'!$G$31:$G$400,"animaux",'Étape 1 - à remplir'!$M$31:$M$400,MASQ2!AZ$43)/SUMIFS('Étape 1 - à remplir'!$F$19:$F$28,'Étape 1 - à remplir'!$C$19:$C$28,MASQ2!$AT68,'Étape 1 - à remplir'!$G$19:$G$28,"animaux"),"")</f>
        <v/>
      </c>
      <c r="BA68" t="str">
        <f>IFERROR(SUMIFS('Étape 1 - à remplir'!$F$31:$F$400,'Étape 1 - à remplir'!$C$31:$C$400,IF($AT68="Bovin","Bovin*",IF($AT68="Ovin","Ovin*",IF($AT68="Caprin","Caprin*",IF($AT68="Porcin","Porcin*",IF($AT68="Equin","Equin*",IF($AT68="Volaille","Volaille*",IF($AT68="Poisson","Poisson*",IF($AT68="Autre","Autre*","")))))))),'Étape 1 - à remplir'!$G$31:$G$400,"animaux",'Étape 1 - à remplir'!$M$31:$M$400,MASQ2!BA$43)/SUMIFS('Étape 1 - à remplir'!$F$19:$F$28,'Étape 1 - à remplir'!$C$19:$C$28,MASQ2!$AT68,'Étape 1 - à remplir'!$G$19:$G$28,"animaux"),"")</f>
        <v/>
      </c>
      <c r="BB68" t="str">
        <f>IFERROR(SUMIFS('Étape 1 - à remplir'!$F$31:$F$400,'Étape 1 - à remplir'!$C$31:$C$400,IF($AT68="Bovin","Bovin*",IF($AT68="Ovin","Ovin*",IF($AT68="Caprin","Caprin*",IF($AT68="Porcin","Porcin*",IF($AT68="Equin","Equin*",IF($AT68="Volaille","Volaille*",IF($AT68="Poisson","Poisson*",IF($AT68="Autre","Autre*","")))))))),'Étape 1 - à remplir'!$G$31:$G$400,"animaux",'Étape 1 - à remplir'!$M$31:$M$400,MASQ2!BB$43)/SUMIFS('Étape 1 - à remplir'!$F$19:$F$28,'Étape 1 - à remplir'!$C$19:$C$28,MASQ2!$AT68,'Étape 1 - à remplir'!$G$19:$G$28,"animaux"),"")</f>
        <v/>
      </c>
      <c r="BC68" t="str">
        <f>IFERROR(SUMIFS('Étape 1 - à remplir'!$F$31:$F$400,'Étape 1 - à remplir'!$C$31:$C$400,IF($AT68="Bovin","Bovin*",IF($AT68="Ovin","Ovin*",IF($AT68="Caprin","Caprin*",IF($AT68="Porcin","Porcin*",IF($AT68="Equin","Equin*",IF($AT68="Volaille","Volaille*",IF($AT68="Poisson","Poisson*",IF($AT68="Autre","Autre*","")))))))),'Étape 1 - à remplir'!$G$31:$G$400,"animaux",'Étape 1 - à remplir'!$M$31:$M$400,MASQ2!BC$43)/SUMIFS('Étape 1 - à remplir'!$F$19:$F$28,'Étape 1 - à remplir'!$C$19:$C$28,MASQ2!$AT68,'Étape 1 - à remplir'!$G$19:$G$28,"animaux"),"")</f>
        <v/>
      </c>
      <c r="BD68" t="str">
        <f>IFERROR(SUMIFS('Étape 1 - à remplir'!$F$31:$F$400,'Étape 1 - à remplir'!$C$31:$C$400,IF($AT68="Bovin","Bovin*",IF($AT68="Ovin","Ovin*",IF($AT68="Caprin","Caprin*",IF($AT68="Porcin","Porcin*",IF($AT68="Equin","Equin*",IF($AT68="Volaille","Volaille*",IF($AT68="Poisson","Poisson*",IF($AT68="Autre","Autre*","")))))))),'Étape 1 - à remplir'!$G$31:$G$400,"animaux",'Étape 1 - à remplir'!$M$31:$M$400,MASQ2!BD$43)/SUMIFS('Étape 1 - à remplir'!$F$19:$F$28,'Étape 1 - à remplir'!$C$19:$C$28,MASQ2!$AT68,'Étape 1 - à remplir'!$G$19:$G$28,"animaux"),"")</f>
        <v/>
      </c>
      <c r="BE68" t="str">
        <f>IFERROR(SUMIFS('Étape 1 - à remplir'!$F$31:$F$400,'Étape 1 - à remplir'!$C$31:$C$400,IF($AT68="Bovin","Bovin*",IF($AT68="Ovin","Ovin*",IF($AT68="Caprin","Caprin*",IF($AT68="Porcin","Porcin*",IF($AT68="Equin","Equin*",IF($AT68="Volaille","Volaille*",IF($AT68="Poisson","Poisson*",IF($AT68="Autre","Autre*","")))))))),'Étape 1 - à remplir'!$G$31:$G$400,"animaux",'Étape 1 - à remplir'!$M$31:$M$400,MASQ2!BE$43)/SUMIFS('Étape 1 - à remplir'!$F$19:$F$28,'Étape 1 - à remplir'!$C$19:$C$28,MASQ2!$AT68,'Étape 1 - à remplir'!$G$19:$G$28,"animaux"),"")</f>
        <v/>
      </c>
      <c r="BF68" s="76" t="str">
        <f>IFERROR(SUMIFS('Étape 1 - à remplir'!$F$31:$F$400,'Étape 1 - à remplir'!$C$31:$C$400,IF($AT68="Bovin","Bovin*",IF($AT68="Ovin","Ovin*",IF($AT68="Caprin","Caprin*",IF($AT68="Porcin","Porcin*",IF($AT68="Equin","Equin*",IF($AT68="Volaille","Volaille*",IF($AT68="Poisson","Poisson*",IF($AT68="Autre","Autre*","")))))))),'Étape 1 - à remplir'!$G$31:$G$400,"animaux",'Étape 1 - à remplir'!$M$31:$M$400,MASQ2!BF$43)/SUMIFS('Étape 1 - à remplir'!$F$19:$F$28,'Étape 1 - à remplir'!$C$19:$C$28,MASQ2!$AT68,'Étape 1 - à remplir'!$G$19:$G$28,"animaux"),"")</f>
        <v/>
      </c>
      <c r="BT68" s="194" t="str">
        <f t="shared" ref="BT68:BT131" ca="1" si="131">M68</f>
        <v>x</v>
      </c>
      <c r="BU68" s="219" t="str">
        <f>IFERROR(IF(BX68=0,"",COUNTIF(BX$4:BX$600,"&gt;"&amp;BX68)+COUNTIF(BX$4:BX68,BX68)),"")</f>
        <v/>
      </c>
      <c r="BV68" s="42" t="str">
        <f t="shared" ref="BV68:BV131" si="132">O68</f>
        <v>BAYTRIL 5 % SOLUTION INJECTABLE</v>
      </c>
      <c r="BW68" t="e">
        <f>IF(IF(CE$2="Catégorie",IF(CE$3="Toutes",SUMIFS('Étape 1 - à remplir'!$F$31:$F$400,'Étape 1 - à remplir'!$E$31:$E$400,MASQ2!BV68,'Étape 1 - à remplir'!$G$31:$G$400,"lots"),SUMIFS('Étape 1 - à remplir'!$F$31:$F$400,'Étape 1 - à remplir'!$E$31:$E$400,MASQ2!BV68,'Étape 1 - à remplir'!$C$31:$C$400,CE$3)),IF(CE$2="Âge",IF(CE$3="Tous",SUMIFS('Étape 1 - à remplir'!$F$31:$F$400,'Étape 1 - à remplir'!$E$31:$E$400,MASQ2!BV68,'Étape 1 - à remplir'!$G$31:$G$400,"lots"),SUMIFS('Étape 1 - à remplir'!$F$31:$F$400,'Étape 1 - à remplir'!$E$31:$E$400,MASQ2!BV68,'Étape 1 - à remplir'!$P$31:$P$400,CE$3,'Étape 1 - à remplir'!$G$31:$G$400,"lots")),IF(CE$2="Atelier",IF(CE$3="Tous",SUMIFS('Étape 1 - à remplir'!$F$31:$F$400,'Étape 1 - à remplir'!$E$31:$E$400,MASQ2!BV68,'Étape 1 - à remplir'!$G$31:$G$400,"lots"),SUMIFS('Étape 1 - à remplir'!$F$31:$F$400,'Étape 1 - à remplir'!$E$31:$E$400,MASQ2!BV68,'Étape 1 - à remplir'!$O$31:$O$400,CE$3,'Étape 1 - à remplir'!$G$31:$G$400,"lots")),IF(CE$2="Espèce",IF(CE$3="Toutes",SUMIFS('Étape 1 - à remplir'!$F$31:$F$400,'Étape 1 - à remplir'!$E$31:$E$400,MASQ2!BV68,'Étape 1 - à remplir'!$G$31:$G$400,"lots"),SUMIFS('Étape 1 - à remplir'!$F$31:$F$400,'Étape 1 - à remplir'!$E$31:$E$400,MASQ2!BV68,'Étape 1 - à remplir'!$N$31:$N$400,CE$3,'Étape 1 - à remplir'!$G$31:$G$400,"lots"))))))=0,NA(),IF(CE$2="Catégorie",IF(CE$3="Toutes",SUMIFS('Étape 1 - à remplir'!$F$31:$F$400,'Étape 1 - à remplir'!$E$31:$E$400,MASQ2!BV68,'Étape 1 - à remplir'!$G$31:$G$400,"lots"),SUMIFS('Étape 1 - à remplir'!$F$31:$F$400,'Étape 1 - à remplir'!$E$31:$E$400,MASQ2!BV68,'Étape 1 - à remplir'!$C$31:$C$400,CE$3)),IF(CE$2="Âge",IF(CE$3="Tous",SUMIFS('Étape 1 - à remplir'!$F$31:$F$400,'Étape 1 - à remplir'!$E$31:$E$400,MASQ2!BV68,'Étape 1 - à remplir'!$G$31:$G$400,"lots"),SUMIFS('Étape 1 - à remplir'!$F$31:$F$400,'Étape 1 - à remplir'!$E$31:$E$400,MASQ2!BV68,'Étape 1 - à remplir'!$P$31:$P$400,CE$3,'Étape 1 - à remplir'!$G$31:$G$400,"lots")),IF(CE$2="Atelier",IF(CE$3="Tous",SUMIFS('Étape 1 - à remplir'!$F$31:$F$400,'Étape 1 - à remplir'!$E$31:$E$400,MASQ2!BV68,'Étape 1 - à remplir'!$G$31:$G$400,"lots"),SUMIFS('Étape 1 - à remplir'!$F$31:$F$400,'Étape 1 - à remplir'!$E$31:$E$400,MASQ2!BV68,'Étape 1 - à remplir'!$O$31:$O$400,CE$3,'Étape 1 - à remplir'!$G$31:$G$400,"lots")),IF(CE$2="Espèce",IF(CE$3="Toutes",SUMIFS('Étape 1 - à remplir'!$F$31:$F$400,'Étape 1 - à remplir'!$E$31:$E$400,MASQ2!BV68,'Étape 1 - à remplir'!$G$31:$G$400,"lots"),SUMIFS('Étape 1 - à remplir'!$F$31:$F$400,'Étape 1 - à remplir'!$E$31:$E$400,MASQ2!BV68,'Étape 1 - à remplir'!$N$31:$N$400,CE$3,'Étape 1 - à remplir'!$G$31:$G$400,"lots")))))))</f>
        <v>#N/A</v>
      </c>
      <c r="BX68">
        <f t="shared" si="42"/>
        <v>0</v>
      </c>
      <c r="BY68" t="str">
        <f t="shared" ref="BY68:BY131" si="133">R68</f>
        <v>Enrofloxacine</v>
      </c>
      <c r="BZ68" t="str">
        <f t="shared" ref="BZ68:BZ131" si="134">S68</f>
        <v/>
      </c>
      <c r="CA68" t="str">
        <f t="shared" ref="CA68:CA131" si="135">T68</f>
        <v/>
      </c>
      <c r="CB68" t="str">
        <f t="shared" ref="CB68:CB131" si="136">U68</f>
        <v>Fluoroquinolones</v>
      </c>
      <c r="CC68" t="str">
        <f t="shared" ref="CC68:CC131" si="137">V68</f>
        <v/>
      </c>
      <c r="CD68" s="63" t="str">
        <f t="shared" ref="CD68:CD131" si="138">W68</f>
        <v/>
      </c>
      <c r="CG68" s="42">
        <v>65</v>
      </c>
      <c r="CH68" s="42" t="e">
        <f t="shared" si="80"/>
        <v>#N/A</v>
      </c>
      <c r="CI68" s="63" t="e">
        <f t="shared" si="81"/>
        <v>#N/A</v>
      </c>
      <c r="DA68" s="118" t="str">
        <f t="shared" si="129"/>
        <v/>
      </c>
      <c r="DB68" s="118" t="str">
        <f>IFERROR(SUMIFS('Étape 1 - à remplir'!$F$31:$F$400,'Étape 1 - à remplir'!$C$31:$C$400,IF($DA68="Bovin","Bovin*",IF($DA68="Ovin","Ovin*",IF($DA68="Caprin","Caprin*",IF($DA68="Porcin","Porcin*",IF($DA68="Equin","Equin*",IF($DA68="Volaille","Volaille*",IF($DA68="Poisson","Poisson*",IF($DA68="Autre","Autre*","")))))))),'Étape 1 - à remplir'!$G$31:$G$400,"lots",'Étape 1 - à remplir'!$M$31:$M$400,MASQ2!DB$43)/SUMIFS('Étape 1 - à remplir'!$F$19:$F$28,'Étape 1 - à remplir'!$C$19:$C$28,MASQ2!$DA68,'Étape 1 - à remplir'!$G$19:$G$28,"lots"),"")</f>
        <v/>
      </c>
      <c r="DC68" t="str">
        <f>IFERROR(SUMIFS('Étape 1 - à remplir'!$F$31:$F$400,'Étape 1 - à remplir'!$C$31:$C$400,IF($DA68="Bovin","Bovin*",IF($DA68="Ovin","Ovin*",IF($DA68="Caprin","Caprin*",IF($DA68="Porcin","Porcin*",IF($DA68="Equin","Equin*",IF($DA68="Volaille","Volaille*",IF($DA68="Poisson","Poisson*",IF($DA68="Autre","Autre*","")))))))),'Étape 1 - à remplir'!$G$31:$G$400,"lots",'Étape 1 - à remplir'!$M$31:$M$400,MASQ2!DC$43)/SUMIFS('Étape 1 - à remplir'!$F$19:$F$28,'Étape 1 - à remplir'!$C$19:$C$28,MASQ2!$DA68,'Étape 1 - à remplir'!$G$19:$G$28,"lots"),"")</f>
        <v/>
      </c>
      <c r="DD68" t="str">
        <f>IFERROR(SUMIFS('Étape 1 - à remplir'!$F$31:$F$400,'Étape 1 - à remplir'!$C$31:$C$400,IF($DA68="Bovin","Bovin*",IF($DA68="Ovin","Ovin*",IF($DA68="Caprin","Caprin*",IF($DA68="Porcin","Porcin*",IF($DA68="Equin","Equin*",IF($DA68="Volaille","Volaille*",IF($DA68="Poisson","Poisson*",IF($DA68="Autre","Autre*","")))))))),'Étape 1 - à remplir'!$G$31:$G$400,"lots",'Étape 1 - à remplir'!$M$31:$M$400,MASQ2!DD$43)/SUMIFS('Étape 1 - à remplir'!$F$19:$F$28,'Étape 1 - à remplir'!$C$19:$C$28,MASQ2!$DA68,'Étape 1 - à remplir'!$G$19:$G$28,"lots"),"")</f>
        <v/>
      </c>
      <c r="DE68" t="str">
        <f>IFERROR(SUMIFS('Étape 1 - à remplir'!$F$31:$F$400,'Étape 1 - à remplir'!$C$31:$C$400,IF($DA68="Bovin","Bovin*",IF($DA68="Ovin","Ovin*",IF($DA68="Caprin","Caprin*",IF($DA68="Porcin","Porcin*",IF($DA68="Equin","Equin*",IF($DA68="Volaille","Volaille*",IF($DA68="Poisson","Poisson*",IF($DA68="Autre","Autre*","")))))))),'Étape 1 - à remplir'!$G$31:$G$400,"lots",'Étape 1 - à remplir'!$M$31:$M$400,MASQ2!DE$43)/SUMIFS('Étape 1 - à remplir'!$F$19:$F$28,'Étape 1 - à remplir'!$C$19:$C$28,MASQ2!$DA68,'Étape 1 - à remplir'!$G$19:$G$28,"lots"),"")</f>
        <v/>
      </c>
      <c r="DF68" t="str">
        <f>IFERROR(SUMIFS('Étape 1 - à remplir'!$F$31:$F$400,'Étape 1 - à remplir'!$C$31:$C$400,IF($DA68="Bovin","Bovin*",IF($DA68="Ovin","Ovin*",IF($DA68="Caprin","Caprin*",IF($DA68="Porcin","Porcin*",IF($DA68="Equin","Equin*",IF($DA68="Volaille","Volaille*",IF($DA68="Poisson","Poisson*",IF($DA68="Autre","Autre*","")))))))),'Étape 1 - à remplir'!$G$31:$G$400,"lots",'Étape 1 - à remplir'!$M$31:$M$400,MASQ2!DF$43)/SUMIFS('Étape 1 - à remplir'!$F$19:$F$28,'Étape 1 - à remplir'!$C$19:$C$28,MASQ2!$DA68,'Étape 1 - à remplir'!$G$19:$G$28,"lots"),"")</f>
        <v/>
      </c>
      <c r="DG68" t="str">
        <f>IFERROR(SUMIFS('Étape 1 - à remplir'!$F$31:$F$400,'Étape 1 - à remplir'!$C$31:$C$400,IF($DA68="Bovin","Bovin*",IF($DA68="Ovin","Ovin*",IF($DA68="Caprin","Caprin*",IF($DA68="Porcin","Porcin*",IF($DA68="Equin","Equin*",IF($DA68="Volaille","Volaille*",IF($DA68="Poisson","Poisson*",IF($DA68="Autre","Autre*","")))))))),'Étape 1 - à remplir'!$G$31:$G$400,"lots",'Étape 1 - à remplir'!$M$31:$M$400,MASQ2!DG$43)/SUMIFS('Étape 1 - à remplir'!$F$19:$F$28,'Étape 1 - à remplir'!$C$19:$C$28,MASQ2!$DA68,'Étape 1 - à remplir'!$G$19:$G$28,"lots"),"")</f>
        <v/>
      </c>
      <c r="DH68" t="str">
        <f>IFERROR(SUMIFS('Étape 1 - à remplir'!$F$31:$F$400,'Étape 1 - à remplir'!$C$31:$C$400,IF($DA68="Bovin","Bovin*",IF($DA68="Ovin","Ovin*",IF($DA68="Caprin","Caprin*",IF($DA68="Porcin","Porcin*",IF($DA68="Equin","Equin*",IF($DA68="Volaille","Volaille*",IF($DA68="Poisson","Poisson*",IF($DA68="Autre","Autre*","")))))))),'Étape 1 - à remplir'!$G$31:$G$400,"lots",'Étape 1 - à remplir'!$M$31:$M$400,MASQ2!DH$43)/SUMIFS('Étape 1 - à remplir'!$F$19:$F$28,'Étape 1 - à remplir'!$C$19:$C$28,MASQ2!$DA68,'Étape 1 - à remplir'!$G$19:$G$28,"lots"),"")</f>
        <v/>
      </c>
      <c r="DI68" t="str">
        <f>IFERROR(SUMIFS('Étape 1 - à remplir'!$F$31:$F$400,'Étape 1 - à remplir'!$C$31:$C$400,IF($DA68="Bovin","Bovin*",IF($DA68="Ovin","Ovin*",IF($DA68="Caprin","Caprin*",IF($DA68="Porcin","Porcin*",IF($DA68="Equin","Equin*",IF($DA68="Volaille","Volaille*",IF($DA68="Poisson","Poisson*",IF($DA68="Autre","Autre*","")))))))),'Étape 1 - à remplir'!$G$31:$G$400,"lots",'Étape 1 - à remplir'!$M$31:$M$400,MASQ2!DI$43)/SUMIFS('Étape 1 - à remplir'!$F$19:$F$28,'Étape 1 - à remplir'!$C$19:$C$28,MASQ2!$DA68,'Étape 1 - à remplir'!$G$19:$G$28,"lots"),"")</f>
        <v/>
      </c>
      <c r="DJ68" t="str">
        <f>IFERROR(SUMIFS('Étape 1 - à remplir'!$F$31:$F$400,'Étape 1 - à remplir'!$C$31:$C$400,IF($DA68="Bovin","Bovin*",IF($DA68="Ovin","Ovin*",IF($DA68="Caprin","Caprin*",IF($DA68="Porcin","Porcin*",IF($DA68="Equin","Equin*",IF($DA68="Volaille","Volaille*",IF($DA68="Poisson","Poisson*",IF($DA68="Autre","Autre*","")))))))),'Étape 1 - à remplir'!$G$31:$G$400,"lots",'Étape 1 - à remplir'!$M$31:$M$400,MASQ2!DJ$43)/SUMIFS('Étape 1 - à remplir'!$F$19:$F$28,'Étape 1 - à remplir'!$C$19:$C$28,MASQ2!$DA68,'Étape 1 - à remplir'!$G$19:$G$28,"lots"),"")</f>
        <v/>
      </c>
      <c r="DK68" t="str">
        <f>IFERROR(SUMIFS('Étape 1 - à remplir'!$F$31:$F$400,'Étape 1 - à remplir'!$C$31:$C$400,IF($DA68="Bovin","Bovin*",IF($DA68="Ovin","Ovin*",IF($DA68="Caprin","Caprin*",IF($DA68="Porcin","Porcin*",IF($DA68="Equin","Equin*",IF($DA68="Volaille","Volaille*",IF($DA68="Poisson","Poisson*",IF($DA68="Autre","Autre*","")))))))),'Étape 1 - à remplir'!$G$31:$G$400,"lots",'Étape 1 - à remplir'!$M$31:$M$400,MASQ2!DK$43)/SUMIFS('Étape 1 - à remplir'!$F$19:$F$28,'Étape 1 - à remplir'!$C$19:$C$28,MASQ2!$DA68,'Étape 1 - à remplir'!$G$19:$G$28,"lots"),"")</f>
        <v/>
      </c>
      <c r="DL68" t="str">
        <f>IFERROR(SUMIFS('Étape 1 - à remplir'!$F$31:$F$400,'Étape 1 - à remplir'!$C$31:$C$400,IF($DA68="Bovin","Bovin*",IF($DA68="Ovin","Ovin*",IF($DA68="Caprin","Caprin*",IF($DA68="Porcin","Porcin*",IF($DA68="Equin","Equin*",IF($DA68="Volaille","Volaille*",IF($DA68="Poisson","Poisson*",IF($DA68="Autre","Autre*","")))))))),'Étape 1 - à remplir'!$G$31:$G$400,"lots",'Étape 1 - à remplir'!$M$31:$M$400,MASQ2!DL$43)/SUMIFS('Étape 1 - à remplir'!$F$19:$F$28,'Étape 1 - à remplir'!$C$19:$C$28,MASQ2!$DA68,'Étape 1 - à remplir'!$G$19:$G$28,"lots"),"")</f>
        <v/>
      </c>
      <c r="DM68" s="76" t="str">
        <f>IFERROR(SUMIFS('Étape 1 - à remplir'!$F$31:$F$400,'Étape 1 - à remplir'!$C$31:$C$400,IF($DA68="Bovin","Bovin*",IF($DA68="Ovin","Ovin*",IF($DA68="Caprin","Caprin*",IF($DA68="Porcin","Porcin*",IF($DA68="Equin","Equin*",IF($DA68="Volaille","Volaille*",IF($DA68="Poisson","Poisson*",IF($DA68="Autre","Autre*","")))))))),'Étape 1 - à remplir'!$G$31:$G$400,"lots",'Étape 1 - à remplir'!$M$31:$M$400,MASQ2!DM$43)/SUMIFS('Étape 1 - à remplir'!$F$19:$F$28,'Étape 1 - à remplir'!$C$19:$C$28,MASQ2!$DA68,'Étape 1 - à remplir'!$G$19:$G$28,"lots"),"")</f>
        <v/>
      </c>
      <c r="EA68" s="194" t="str">
        <f t="shared" ref="EA68:EA131" ca="1" si="139">M68</f>
        <v>x</v>
      </c>
      <c r="EB68" s="226" t="str">
        <f>IFERROR(IF(ED68=0,"",COUNTIF(ED$4:ED$600,"&gt;"&amp;ED68)+COUNTIF(ED$4:ED68,ED68)),"")</f>
        <v/>
      </c>
      <c r="EC68" t="str">
        <f t="shared" ref="EC68:EC131" si="140">O68</f>
        <v>BAYTRIL 5 % SOLUTION INJECTABLE</v>
      </c>
      <c r="ED68" t="e">
        <f>IF(IF(EL$2="Catégorie",IF(EL$3="Toutes",SUMIFS('Étape 1 - à remplir'!$F$31:$F$400,'Étape 1 - à remplir'!$E$31:$E$400,MASQ2!EC68,'Étape 1 - à remplir'!$G$31:$G$400,"kg"),SUMIFS('Étape 1 - à remplir'!$F$31:$F$400,'Étape 1 - à remplir'!$E$31:$E$400,MASQ2!EC68,'Étape 1 - à remplir'!$C$31:$C$400,EL$3)),IF(EL$2="Âge",IF(EL$3="Tous",SUMIFS('Étape 1 - à remplir'!$F$31:$F$400,'Étape 1 - à remplir'!$E$31:$E$400,MASQ2!EC68,'Étape 1 - à remplir'!$G$31:$G$400,"kg"),SUMIFS('Étape 1 - à remplir'!$F$31:$F$400,'Étape 1 - à remplir'!$E$31:$E$400,MASQ2!EC68,'Étape 1 - à remplir'!$P$31:$P$400,EL$3,'Étape 1 - à remplir'!$G$31:$G$400,"kg")),IF(EL$2="Atelier",IF(EL$3="Tous",SUMIFS('Étape 1 - à remplir'!$F$31:$F$400,'Étape 1 - à remplir'!$E$31:$E$400,MASQ2!EC68,'Étape 1 - à remplir'!$G$31:$G$400,"kg"),SUMIFS('Étape 1 - à remplir'!$F$31:$F$400,'Étape 1 - à remplir'!$E$31:$E$400,MASQ2!EC68,'Étape 1 - à remplir'!$O$31:$O$400,EL$3,'Étape 1 - à remplir'!$G$31:$G$400,"kg")),IF(EL$2="Espèce",IF(EL$3="Toutes",SUMIFS('Étape 1 - à remplir'!$F$31:$F$400,'Étape 1 - à remplir'!$E$31:$E$400,MASQ2!EC68,'Étape 1 - à remplir'!$G$31:$G$400,"kg"),SUMIFS('Étape 1 - à remplir'!$F$31:$F$400,'Étape 1 - à remplir'!$E$31:$E$400,MASQ2!EC68,'Étape 1 - à remplir'!$N$31:$N$400,EL$3,'Étape 1 - à remplir'!$G$31:$G$400,"kg"))))))=0,NA(),IF(EL$2="Catégorie",IF(EL$3="Toutes",SUMIFS('Étape 1 - à remplir'!$F$31:$F$400,'Étape 1 - à remplir'!$E$31:$E$400,MASQ2!EC68,'Étape 1 - à remplir'!$G$31:$G$400,"kg"),SUMIFS('Étape 1 - à remplir'!$F$31:$F$400,'Étape 1 - à remplir'!$E$31:$E$400,MASQ2!EC68,'Étape 1 - à remplir'!$C$31:$C$400,EL$3)),IF(EL$2="Âge",IF(EL$3="Tous",SUMIFS('Étape 1 - à remplir'!$F$31:$F$400,'Étape 1 - à remplir'!$E$31:$E$400,MASQ2!EC68,'Étape 1 - à remplir'!$G$31:$G$400,"kg"),SUMIFS('Étape 1 - à remplir'!$F$31:$F$400,'Étape 1 - à remplir'!$E$31:$E$400,MASQ2!EC68,'Étape 1 - à remplir'!$P$31:$P$400,EL$3,'Étape 1 - à remplir'!$G$31:$G$400,"kg")),IF(EL$2="Atelier",IF(EL$3="Tous",SUMIFS('Étape 1 - à remplir'!$F$31:$F$400,'Étape 1 - à remplir'!$E$31:$E$400,MASQ2!EC68,'Étape 1 - à remplir'!$G$31:$G$400,"kg"),SUMIFS('Étape 1 - à remplir'!$F$31:$F$400,'Étape 1 - à remplir'!$E$31:$E$400,MASQ2!EC68,'Étape 1 - à remplir'!$O$31:$O$400,EL$3,'Étape 1 - à remplir'!$G$31:$G$400,"kg")),IF(EL$2="Espèce",IF(EL$3="Toutes",SUMIFS('Étape 1 - à remplir'!$F$31:$F$400,'Étape 1 - à remplir'!$E$31:$E$400,MASQ2!EC68,'Étape 1 - à remplir'!$G$31:$G$400,"kg"),SUMIFS('Étape 1 - à remplir'!$F$31:$F$400,'Étape 1 - à remplir'!$E$31:$E$400,MASQ2!EC68,'Étape 1 - à remplir'!$N$31:$N$400,EL$3,'Étape 1 - à remplir'!$G$31:$G$400,"kg")))))))</f>
        <v>#N/A</v>
      </c>
      <c r="EE68" s="76">
        <f t="shared" si="53"/>
        <v>0</v>
      </c>
      <c r="EF68" t="str">
        <f t="shared" ref="EF68:EF131" si="141">R68</f>
        <v>Enrofloxacine</v>
      </c>
      <c r="EG68" t="str">
        <f t="shared" ref="EG68:EG131" si="142">S68</f>
        <v/>
      </c>
      <c r="EH68" t="str">
        <f t="shared" ref="EH68:EH131" si="143">T68</f>
        <v/>
      </c>
      <c r="EI68" t="str">
        <f t="shared" ref="EI68:EI131" si="144">U68</f>
        <v>Fluoroquinolones</v>
      </c>
      <c r="EJ68" t="str">
        <f t="shared" ref="EJ68:EJ131" si="145">V68</f>
        <v/>
      </c>
      <c r="EK68" s="63" t="str">
        <f t="shared" ref="EK68:EK131" si="146">W68</f>
        <v/>
      </c>
      <c r="EN68" s="42">
        <v>65</v>
      </c>
      <c r="EO68" t="e">
        <f t="shared" si="68"/>
        <v>#N/A</v>
      </c>
      <c r="EP68" s="63" t="e">
        <f t="shared" si="69"/>
        <v>#N/A</v>
      </c>
      <c r="FH68" s="118" t="str">
        <f t="shared" si="130"/>
        <v/>
      </c>
      <c r="FI68" s="118" t="str">
        <f>IFERROR(SUMIFS('Étape 1 - à remplir'!$F$31:$F$400,'Étape 1 - à remplir'!$C$31:$C$400,IF($FH68="Bovin","Bovin*",IF($FH68="Ovin","Ovin*",IF($FH68="Caprin","Caprin*",IF($FH68="Porcin","Porcin*",IF($FH68="Equin","Equin*",IF($FH68="Volaille","Volaille*",IF($FH68="Poisson","Poisson*",IF($FH68="Autre","Autre*","")))))))),'Étape 1 - à remplir'!$G$31:$G$400,"kg",'Étape 1 - à remplir'!$M$31:$M$400,MASQ2!FI$43)/SUMIFS('Étape 1 - à remplir'!$F$19:$F$28,'Étape 1 - à remplir'!$C$19:$C$28,MASQ2!$FH68,'Étape 1 - à remplir'!$G$19:$G$28,"kg"),"")</f>
        <v/>
      </c>
      <c r="FJ68" t="str">
        <f>IFERROR(SUMIFS('Étape 1 - à remplir'!$F$31:$F$400,'Étape 1 - à remplir'!$C$31:$C$400,IF($FH68="Bovin","Bovin*",IF($FH68="Ovin","Ovin*",IF($FH68="Caprin","Caprin*",IF($FH68="Porcin","Porcin*",IF($FH68="Equin","Equin*",IF($FH68="Volaille","Volaille*",IF($FH68="Poisson","Poisson*",IF($FH68="Autre","Autre*","")))))))),'Étape 1 - à remplir'!$G$31:$G$400,"kg",'Étape 1 - à remplir'!$M$31:$M$400,MASQ2!FJ$43)/SUMIFS('Étape 1 - à remplir'!$F$19:$F$28,'Étape 1 - à remplir'!$C$19:$C$28,MASQ2!$FH68,'Étape 1 - à remplir'!$G$19:$G$28,"kg"),"")</f>
        <v/>
      </c>
      <c r="FK68" t="str">
        <f>IFERROR(SUMIFS('Étape 1 - à remplir'!$F$31:$F$400,'Étape 1 - à remplir'!$C$31:$C$400,IF($FH68="Bovin","Bovin*",IF($FH68="Ovin","Ovin*",IF($FH68="Caprin","Caprin*",IF($FH68="Porcin","Porcin*",IF($FH68="Equin","Equin*",IF($FH68="Volaille","Volaille*",IF($FH68="Poisson","Poisson*",IF($FH68="Autre","Autre*","")))))))),'Étape 1 - à remplir'!$G$31:$G$400,"kg",'Étape 1 - à remplir'!$M$31:$M$400,MASQ2!FK$43)/SUMIFS('Étape 1 - à remplir'!$F$19:$F$28,'Étape 1 - à remplir'!$C$19:$C$28,MASQ2!$FH68,'Étape 1 - à remplir'!$G$19:$G$28,"kg"),"")</f>
        <v/>
      </c>
      <c r="FL68" t="str">
        <f>IFERROR(SUMIFS('Étape 1 - à remplir'!$F$31:$F$400,'Étape 1 - à remplir'!$C$31:$C$400,IF($FH68="Bovin","Bovin*",IF($FH68="Ovin","Ovin*",IF($FH68="Caprin","Caprin*",IF($FH68="Porcin","Porcin*",IF($FH68="Equin","Equin*",IF($FH68="Volaille","Volaille*",IF($FH68="Poisson","Poisson*",IF($FH68="Autre","Autre*","")))))))),'Étape 1 - à remplir'!$G$31:$G$400,"kg",'Étape 1 - à remplir'!$M$31:$M$400,MASQ2!FL$43)/SUMIFS('Étape 1 - à remplir'!$F$19:$F$28,'Étape 1 - à remplir'!$C$19:$C$28,MASQ2!$FH68,'Étape 1 - à remplir'!$G$19:$G$28,"kg"),"")</f>
        <v/>
      </c>
      <c r="FM68" t="str">
        <f>IFERROR(SUMIFS('Étape 1 - à remplir'!$F$31:$F$400,'Étape 1 - à remplir'!$C$31:$C$400,IF($FH68="Bovin","Bovin*",IF($FH68="Ovin","Ovin*",IF($FH68="Caprin","Caprin*",IF($FH68="Porcin","Porcin*",IF($FH68="Equin","Equin*",IF($FH68="Volaille","Volaille*",IF($FH68="Poisson","Poisson*",IF($FH68="Autre","Autre*","")))))))),'Étape 1 - à remplir'!$G$31:$G$400,"kg",'Étape 1 - à remplir'!$M$31:$M$400,MASQ2!FM$43)/SUMIFS('Étape 1 - à remplir'!$F$19:$F$28,'Étape 1 - à remplir'!$C$19:$C$28,MASQ2!$FH68,'Étape 1 - à remplir'!$G$19:$G$28,"kg"),"")</f>
        <v/>
      </c>
      <c r="FN68" t="str">
        <f>IFERROR(SUMIFS('Étape 1 - à remplir'!$F$31:$F$400,'Étape 1 - à remplir'!$C$31:$C$400,IF($FH68="Bovin","Bovin*",IF($FH68="Ovin","Ovin*",IF($FH68="Caprin","Caprin*",IF($FH68="Porcin","Porcin*",IF($FH68="Equin","Equin*",IF($FH68="Volaille","Volaille*",IF($FH68="Poisson","Poisson*",IF($FH68="Autre","Autre*","")))))))),'Étape 1 - à remplir'!$G$31:$G$400,"kg",'Étape 1 - à remplir'!$M$31:$M$400,MASQ2!FN$43)/SUMIFS('Étape 1 - à remplir'!$F$19:$F$28,'Étape 1 - à remplir'!$C$19:$C$28,MASQ2!$FH68,'Étape 1 - à remplir'!$G$19:$G$28,"kg"),"")</f>
        <v/>
      </c>
      <c r="FO68" t="str">
        <f>IFERROR(SUMIFS('Étape 1 - à remplir'!$F$31:$F$400,'Étape 1 - à remplir'!$C$31:$C$400,IF($FH68="Bovin","Bovin*",IF($FH68="Ovin","Ovin*",IF($FH68="Caprin","Caprin*",IF($FH68="Porcin","Porcin*",IF($FH68="Equin","Equin*",IF($FH68="Volaille","Volaille*",IF($FH68="Poisson","Poisson*",IF($FH68="Autre","Autre*","")))))))),'Étape 1 - à remplir'!$G$31:$G$400,"kg",'Étape 1 - à remplir'!$M$31:$M$400,MASQ2!FO$43)/SUMIFS('Étape 1 - à remplir'!$F$19:$F$28,'Étape 1 - à remplir'!$C$19:$C$28,MASQ2!$FH68,'Étape 1 - à remplir'!$G$19:$G$28,"kg"),"")</f>
        <v/>
      </c>
      <c r="FP68" t="str">
        <f>IFERROR(SUMIFS('Étape 1 - à remplir'!$F$31:$F$400,'Étape 1 - à remplir'!$C$31:$C$400,IF($FH68="Bovin","Bovin*",IF($FH68="Ovin","Ovin*",IF($FH68="Caprin","Caprin*",IF($FH68="Porcin","Porcin*",IF($FH68="Equin","Equin*",IF($FH68="Volaille","Volaille*",IF($FH68="Poisson","Poisson*",IF($FH68="Autre","Autre*","")))))))),'Étape 1 - à remplir'!$G$31:$G$400,"kg",'Étape 1 - à remplir'!$M$31:$M$400,MASQ2!FP$43)/SUMIFS('Étape 1 - à remplir'!$F$19:$F$28,'Étape 1 - à remplir'!$C$19:$C$28,MASQ2!$FH68,'Étape 1 - à remplir'!$G$19:$G$28,"kg"),"")</f>
        <v/>
      </c>
      <c r="FQ68" t="str">
        <f>IFERROR(SUMIFS('Étape 1 - à remplir'!$F$31:$F$400,'Étape 1 - à remplir'!$C$31:$C$400,IF($FH68="Bovin","Bovin*",IF($FH68="Ovin","Ovin*",IF($FH68="Caprin","Caprin*",IF($FH68="Porcin","Porcin*",IF($FH68="Equin","Equin*",IF($FH68="Volaille","Volaille*",IF($FH68="Poisson","Poisson*",IF($FH68="Autre","Autre*","")))))))),'Étape 1 - à remplir'!$G$31:$G$400,"kg",'Étape 1 - à remplir'!$M$31:$M$400,MASQ2!FQ$43)/SUMIFS('Étape 1 - à remplir'!$F$19:$F$28,'Étape 1 - à remplir'!$C$19:$C$28,MASQ2!$FH68,'Étape 1 - à remplir'!$G$19:$G$28,"kg"),"")</f>
        <v/>
      </c>
      <c r="FR68" t="str">
        <f>IFERROR(SUMIFS('Étape 1 - à remplir'!$F$31:$F$400,'Étape 1 - à remplir'!$C$31:$C$400,IF($FH68="Bovin","Bovin*",IF($FH68="Ovin","Ovin*",IF($FH68="Caprin","Caprin*",IF($FH68="Porcin","Porcin*",IF($FH68="Equin","Equin*",IF($FH68="Volaille","Volaille*",IF($FH68="Poisson","Poisson*",IF($FH68="Autre","Autre*","")))))))),'Étape 1 - à remplir'!$G$31:$G$400,"kg",'Étape 1 - à remplir'!$M$31:$M$400,MASQ2!FR$43)/SUMIFS('Étape 1 - à remplir'!$F$19:$F$28,'Étape 1 - à remplir'!$C$19:$C$28,MASQ2!$FH68,'Étape 1 - à remplir'!$G$19:$G$28,"kg"),"")</f>
        <v/>
      </c>
      <c r="FS68" t="str">
        <f>IFERROR(SUMIFS('Étape 1 - à remplir'!$F$31:$F$400,'Étape 1 - à remplir'!$C$31:$C$400,IF($FH68="Bovin","Bovin*",IF($FH68="Ovin","Ovin*",IF($FH68="Caprin","Caprin*",IF($FH68="Porcin","Porcin*",IF($FH68="Equin","Equin*",IF($FH68="Volaille","Volaille*",IF($FH68="Poisson","Poisson*",IF($FH68="Autre","Autre*","")))))))),'Étape 1 - à remplir'!$G$31:$G$400,"kg",'Étape 1 - à remplir'!$M$31:$M$400,MASQ2!FS$43)/SUMIFS('Étape 1 - à remplir'!$F$19:$F$28,'Étape 1 - à remplir'!$C$19:$C$28,MASQ2!$FH68,'Étape 1 - à remplir'!$G$19:$G$28,"kg"),"")</f>
        <v/>
      </c>
      <c r="FT68" s="76" t="str">
        <f>IFERROR(SUMIFS('Étape 1 - à remplir'!$F$31:$F$400,'Étape 1 - à remplir'!$C$31:$C$400,IF($FH68="Bovin","Bovin*",IF($FH68="Ovin","Ovin*",IF($FH68="Caprin","Caprin*",IF($FH68="Porcin","Porcin*",IF($FH68="Equin","Equin*",IF($FH68="Volaille","Volaille*",IF($FH68="Poisson","Poisson*",IF($FH68="Autre","Autre*","")))))))),'Étape 1 - à remplir'!$G$31:$G$400,"kg",'Étape 1 - à remplir'!$M$31:$M$400,MASQ2!FT$43)/SUMIFS('Étape 1 - à remplir'!$F$19:$F$28,'Étape 1 - à remplir'!$C$19:$C$28,MASQ2!$FH68,'Étape 1 - à remplir'!$G$19:$G$28,"kg"),"")</f>
        <v/>
      </c>
    </row>
    <row r="69" spans="2:176" x14ac:dyDescent="0.3">
      <c r="B69" s="42"/>
      <c r="M69" s="194" t="str">
        <f ca="1">INDEX(Données_ATB!BD:BU,MATCH(MASQ2!O69,Données_ATB!BD:BD,0),18)</f>
        <v>x</v>
      </c>
      <c r="N69" s="14" t="str">
        <f>IFERROR(IF(Q69=0,"",COUNTIF(Q$4:Q$600,"&gt;"&amp;Q69)+COUNTIF(Q$4:Q69,Q69)),"")</f>
        <v/>
      </c>
      <c r="O69" t="str">
        <f>Données_ATB!BD68</f>
        <v>BAYTRIL BOLUS</v>
      </c>
      <c r="P69" t="e">
        <f>IF(IF(X$2="Catégorie",IF(X$3="Toutes",SUMIFS('Étape 1 - à remplir'!$F$31:$F$400,'Étape 1 - à remplir'!$E$31:$E$400,MASQ2!O69,'Étape 1 - à remplir'!$G$31:$G$400,"animaux"),SUMIFS('Étape 1 - à remplir'!$F$31:$F$400,'Étape 1 - à remplir'!$E$31:$E$400,MASQ2!O69,'Étape 1 - à remplir'!$C$31:$C$400,X$3)),IF(X$2="Âge",IF(X$3="Tous",SUMIFS('Étape 1 - à remplir'!$F$31:$F$400,'Étape 1 - à remplir'!$E$31:$E$400,MASQ2!O69,'Étape 1 - à remplir'!$G$31:$G$400,"animaux"),SUMIFS('Étape 1 - à remplir'!$F$31:$F$400,'Étape 1 - à remplir'!$E$31:$E$400,MASQ2!O69,'Étape 1 - à remplir'!$P$31:$P$400,X$3)),IF(X$2="Atelier",IF(X$3="Tous",SUMIFS('Étape 1 - à remplir'!$F$31:$F$400,'Étape 1 - à remplir'!$E$31:$E$400,MASQ2!O69,'Étape 1 - à remplir'!$G$31:$G$400,"animaux"),SUMIFS('Étape 1 - à remplir'!$F$31:$F$400,'Étape 1 - à remplir'!$E$31:$E$400,MASQ2!O69,'Étape 1 - à remplir'!$O$31:$O$400,X$3)),IF(X$2="Espèce",IF(X$3="Toutes",SUMIFS('Étape 1 - à remplir'!$F$31:$F$400,'Étape 1 - à remplir'!$E$31:$E$400,MASQ2!O69,'Étape 1 - à remplir'!$G$31:$G$400,"animaux"),SUMIFS('Étape 1 - à remplir'!$F$31:$F$400,'Étape 1 - à remplir'!$E$31:$E$400,MASQ2!O69,'Étape 1 - à remplir'!$N$31:$N$400,X$3))))))=0,NA(),IF(X$2="Catégorie",IF(X$3="Toutes",SUMIFS('Étape 1 - à remplir'!$F$31:$F$400,'Étape 1 - à remplir'!$E$31:$E$400,MASQ2!O69,'Étape 1 - à remplir'!$G$31:$G$400,"animaux"),SUMIFS('Étape 1 - à remplir'!$F$31:$F$400,'Étape 1 - à remplir'!$E$31:$E$400,MASQ2!O69,'Étape 1 - à remplir'!$C$31:$C$400,X$3)),IF(X$2="Âge",IF(X$3="Tous",SUMIFS('Étape 1 - à remplir'!$F$31:$F$400,'Étape 1 - à remplir'!$E$31:$E$400,MASQ2!O69,'Étape 1 - à remplir'!$G$31:$G$400,"animaux"),SUMIFS('Étape 1 - à remplir'!$F$31:$F$400,'Étape 1 - à remplir'!$E$31:$E$400,MASQ2!O69,'Étape 1 - à remplir'!$P$31:$P$400,X$3)),IF(X$2="Atelier",IF(X$3="Tous",SUMIFS('Étape 1 - à remplir'!$F$31:$F$400,'Étape 1 - à remplir'!$E$31:$E$400,MASQ2!O69,'Étape 1 - à remplir'!$G$31:$G$400,"animaux"),SUMIFS('Étape 1 - à remplir'!$F$31:$F$400,'Étape 1 - à remplir'!$E$31:$E$400,MASQ2!O69,'Étape 1 - à remplir'!$O$31:$O$400,X$3)),IF(X$2="Espèce",IF(X$3="Toutes",SUMIFS('Étape 1 - à remplir'!$F$31:$F$400,'Étape 1 - à remplir'!$E$31:$E$400,MASQ2!O69,'Étape 1 - à remplir'!$G$31:$G$400,"animaux"),SUMIFS('Étape 1 - à remplir'!$F$31:$F$400,'Étape 1 - à remplir'!$E$31:$E$400,MASQ2!O69,'Étape 1 - à remplir'!$N$31:$N$400,X$3)))))))</f>
        <v>#N/A</v>
      </c>
      <c r="Q69" s="63">
        <f t="shared" si="62"/>
        <v>0</v>
      </c>
      <c r="R69" t="str">
        <f>Données_ATB!BM68</f>
        <v>Enrofloxacine</v>
      </c>
      <c r="S69" t="str">
        <f>Données_ATB!BN68</f>
        <v/>
      </c>
      <c r="T69" s="63" t="str">
        <f>Données_ATB!BO68</f>
        <v/>
      </c>
      <c r="U69" s="42" t="str">
        <f>Données_ATB!BQ68</f>
        <v>Fluoroquinolones</v>
      </c>
      <c r="V69" t="str">
        <f>Données_ATB!BR68</f>
        <v/>
      </c>
      <c r="W69" s="63" t="str">
        <f>Données_ATB!BS68</f>
        <v/>
      </c>
      <c r="Z69" s="42">
        <v>66</v>
      </c>
      <c r="AA69" t="e">
        <f t="shared" ref="AA69:AA132" si="147">INDEX(N$3:Q$600,MATCH(Z69,N$3:N$600,0),2)</f>
        <v>#N/A</v>
      </c>
      <c r="AB69" s="63" t="e">
        <f t="shared" ref="AB69:AB132" si="148">INDEX(N$3:Q$600,MATCH(Z69,N$3:N$600,0),4)</f>
        <v>#N/A</v>
      </c>
      <c r="AT69" s="118" t="str">
        <f t="shared" si="128"/>
        <v/>
      </c>
      <c r="AU69" s="118" t="str">
        <f>IFERROR(SUMIFS('Étape 1 - à remplir'!$F$31:$F$400,'Étape 1 - à remplir'!$C$31:$C$400,IF($AT69="Bovin","Bovin*",IF($AT69="Ovin","Ovin*",IF($AT69="Caprin","Caprin*",IF($AT69="Porcin","Porcin*",IF($AT69="Equin","Equin*",IF($AT69="Volaille","Volaille*",IF($AT69="Poisson","Poisson*",IF($AT69="Autre","Autre*","")))))))),'Étape 1 - à remplir'!$G$31:$G$400,"animaux",'Étape 1 - à remplir'!$M$31:$M$400,MASQ2!AU$43)/SUMIFS('Étape 1 - à remplir'!$F$19:$F$28,'Étape 1 - à remplir'!$C$19:$C$28,MASQ2!$AT69,'Étape 1 - à remplir'!$G$19:$G$28,"animaux"),"")</f>
        <v/>
      </c>
      <c r="AV69" t="str">
        <f>IFERROR(SUMIFS('Étape 1 - à remplir'!$F$31:$F$400,'Étape 1 - à remplir'!$C$31:$C$400,IF($AT69="Bovin","Bovin*",IF($AT69="Ovin","Ovin*",IF($AT69="Caprin","Caprin*",IF($AT69="Porcin","Porcin*",IF($AT69="Equin","Equin*",IF($AT69="Volaille","Volaille*",IF($AT69="Poisson","Poisson*",IF($AT69="Autre","Autre*","")))))))),'Étape 1 - à remplir'!$G$31:$G$400,"animaux",'Étape 1 - à remplir'!$M$31:$M$400,MASQ2!AV$43)/SUMIFS('Étape 1 - à remplir'!$F$19:$F$28,'Étape 1 - à remplir'!$C$19:$C$28,MASQ2!$AT69,'Étape 1 - à remplir'!$G$19:$G$28,"animaux"),"")</f>
        <v/>
      </c>
      <c r="AW69" t="str">
        <f>IFERROR(SUMIFS('Étape 1 - à remplir'!$F$31:$F$400,'Étape 1 - à remplir'!$C$31:$C$400,IF($AT69="Bovin","Bovin*",IF($AT69="Ovin","Ovin*",IF($AT69="Caprin","Caprin*",IF($AT69="Porcin","Porcin*",IF($AT69="Equin","Equin*",IF($AT69="Volaille","Volaille*",IF($AT69="Poisson","Poisson*",IF($AT69="Autre","Autre*","")))))))),'Étape 1 - à remplir'!$G$31:$G$400,"animaux",'Étape 1 - à remplir'!$M$31:$M$400,MASQ2!AW$43)/SUMIFS('Étape 1 - à remplir'!$F$19:$F$28,'Étape 1 - à remplir'!$C$19:$C$28,MASQ2!$AT69,'Étape 1 - à remplir'!$G$19:$G$28,"animaux"),"")</f>
        <v/>
      </c>
      <c r="AX69" t="str">
        <f>IFERROR(SUMIFS('Étape 1 - à remplir'!$F$31:$F$400,'Étape 1 - à remplir'!$C$31:$C$400,IF($AT69="Bovin","Bovin*",IF($AT69="Ovin","Ovin*",IF($AT69="Caprin","Caprin*",IF($AT69="Porcin","Porcin*",IF($AT69="Equin","Equin*",IF($AT69="Volaille","Volaille*",IF($AT69="Poisson","Poisson*",IF($AT69="Autre","Autre*","")))))))),'Étape 1 - à remplir'!$G$31:$G$400,"animaux",'Étape 1 - à remplir'!$M$31:$M$400,MASQ2!AX$43)/SUMIFS('Étape 1 - à remplir'!$F$19:$F$28,'Étape 1 - à remplir'!$C$19:$C$28,MASQ2!$AT69,'Étape 1 - à remplir'!$G$19:$G$28,"animaux"),"")</f>
        <v/>
      </c>
      <c r="AY69" t="str">
        <f>IFERROR(SUMIFS('Étape 1 - à remplir'!$F$31:$F$400,'Étape 1 - à remplir'!$C$31:$C$400,IF($AT69="Bovin","Bovin*",IF($AT69="Ovin","Ovin*",IF($AT69="Caprin","Caprin*",IF($AT69="Porcin","Porcin*",IF($AT69="Equin","Equin*",IF($AT69="Volaille","Volaille*",IF($AT69="Poisson","Poisson*",IF($AT69="Autre","Autre*","")))))))),'Étape 1 - à remplir'!$G$31:$G$400,"animaux",'Étape 1 - à remplir'!$M$31:$M$400,MASQ2!AY$43)/SUMIFS('Étape 1 - à remplir'!$F$19:$F$28,'Étape 1 - à remplir'!$C$19:$C$28,MASQ2!$AT69,'Étape 1 - à remplir'!$G$19:$G$28,"animaux"),"")</f>
        <v/>
      </c>
      <c r="AZ69" t="str">
        <f>IFERROR(SUMIFS('Étape 1 - à remplir'!$F$31:$F$400,'Étape 1 - à remplir'!$C$31:$C$400,IF($AT69="Bovin","Bovin*",IF($AT69="Ovin","Ovin*",IF($AT69="Caprin","Caprin*",IF($AT69="Porcin","Porcin*",IF($AT69="Equin","Equin*",IF($AT69="Volaille","Volaille*",IF($AT69="Poisson","Poisson*",IF($AT69="Autre","Autre*","")))))))),'Étape 1 - à remplir'!$G$31:$G$400,"animaux",'Étape 1 - à remplir'!$M$31:$M$400,MASQ2!AZ$43)/SUMIFS('Étape 1 - à remplir'!$F$19:$F$28,'Étape 1 - à remplir'!$C$19:$C$28,MASQ2!$AT69,'Étape 1 - à remplir'!$G$19:$G$28,"animaux"),"")</f>
        <v/>
      </c>
      <c r="BA69" t="str">
        <f>IFERROR(SUMIFS('Étape 1 - à remplir'!$F$31:$F$400,'Étape 1 - à remplir'!$C$31:$C$400,IF($AT69="Bovin","Bovin*",IF($AT69="Ovin","Ovin*",IF($AT69="Caprin","Caprin*",IF($AT69="Porcin","Porcin*",IF($AT69="Equin","Equin*",IF($AT69="Volaille","Volaille*",IF($AT69="Poisson","Poisson*",IF($AT69="Autre","Autre*","")))))))),'Étape 1 - à remplir'!$G$31:$G$400,"animaux",'Étape 1 - à remplir'!$M$31:$M$400,MASQ2!BA$43)/SUMIFS('Étape 1 - à remplir'!$F$19:$F$28,'Étape 1 - à remplir'!$C$19:$C$28,MASQ2!$AT69,'Étape 1 - à remplir'!$G$19:$G$28,"animaux"),"")</f>
        <v/>
      </c>
      <c r="BB69" t="str">
        <f>IFERROR(SUMIFS('Étape 1 - à remplir'!$F$31:$F$400,'Étape 1 - à remplir'!$C$31:$C$400,IF($AT69="Bovin","Bovin*",IF($AT69="Ovin","Ovin*",IF($AT69="Caprin","Caprin*",IF($AT69="Porcin","Porcin*",IF($AT69="Equin","Equin*",IF($AT69="Volaille","Volaille*",IF($AT69="Poisson","Poisson*",IF($AT69="Autre","Autre*","")))))))),'Étape 1 - à remplir'!$G$31:$G$400,"animaux",'Étape 1 - à remplir'!$M$31:$M$400,MASQ2!BB$43)/SUMIFS('Étape 1 - à remplir'!$F$19:$F$28,'Étape 1 - à remplir'!$C$19:$C$28,MASQ2!$AT69,'Étape 1 - à remplir'!$G$19:$G$28,"animaux"),"")</f>
        <v/>
      </c>
      <c r="BC69" t="str">
        <f>IFERROR(SUMIFS('Étape 1 - à remplir'!$F$31:$F$400,'Étape 1 - à remplir'!$C$31:$C$400,IF($AT69="Bovin","Bovin*",IF($AT69="Ovin","Ovin*",IF($AT69="Caprin","Caprin*",IF($AT69="Porcin","Porcin*",IF($AT69="Equin","Equin*",IF($AT69="Volaille","Volaille*",IF($AT69="Poisson","Poisson*",IF($AT69="Autre","Autre*","")))))))),'Étape 1 - à remplir'!$G$31:$G$400,"animaux",'Étape 1 - à remplir'!$M$31:$M$400,MASQ2!BC$43)/SUMIFS('Étape 1 - à remplir'!$F$19:$F$28,'Étape 1 - à remplir'!$C$19:$C$28,MASQ2!$AT69,'Étape 1 - à remplir'!$G$19:$G$28,"animaux"),"")</f>
        <v/>
      </c>
      <c r="BD69" t="str">
        <f>IFERROR(SUMIFS('Étape 1 - à remplir'!$F$31:$F$400,'Étape 1 - à remplir'!$C$31:$C$400,IF($AT69="Bovin","Bovin*",IF($AT69="Ovin","Ovin*",IF($AT69="Caprin","Caprin*",IF($AT69="Porcin","Porcin*",IF($AT69="Equin","Equin*",IF($AT69="Volaille","Volaille*",IF($AT69="Poisson","Poisson*",IF($AT69="Autre","Autre*","")))))))),'Étape 1 - à remplir'!$G$31:$G$400,"animaux",'Étape 1 - à remplir'!$M$31:$M$400,MASQ2!BD$43)/SUMIFS('Étape 1 - à remplir'!$F$19:$F$28,'Étape 1 - à remplir'!$C$19:$C$28,MASQ2!$AT69,'Étape 1 - à remplir'!$G$19:$G$28,"animaux"),"")</f>
        <v/>
      </c>
      <c r="BE69" t="str">
        <f>IFERROR(SUMIFS('Étape 1 - à remplir'!$F$31:$F$400,'Étape 1 - à remplir'!$C$31:$C$400,IF($AT69="Bovin","Bovin*",IF($AT69="Ovin","Ovin*",IF($AT69="Caprin","Caprin*",IF($AT69="Porcin","Porcin*",IF($AT69="Equin","Equin*",IF($AT69="Volaille","Volaille*",IF($AT69="Poisson","Poisson*",IF($AT69="Autre","Autre*","")))))))),'Étape 1 - à remplir'!$G$31:$G$400,"animaux",'Étape 1 - à remplir'!$M$31:$M$400,MASQ2!BE$43)/SUMIFS('Étape 1 - à remplir'!$F$19:$F$28,'Étape 1 - à remplir'!$C$19:$C$28,MASQ2!$AT69,'Étape 1 - à remplir'!$G$19:$G$28,"animaux"),"")</f>
        <v/>
      </c>
      <c r="BF69" s="76" t="str">
        <f>IFERROR(SUMIFS('Étape 1 - à remplir'!$F$31:$F$400,'Étape 1 - à remplir'!$C$31:$C$400,IF($AT69="Bovin","Bovin*",IF($AT69="Ovin","Ovin*",IF($AT69="Caprin","Caprin*",IF($AT69="Porcin","Porcin*",IF($AT69="Equin","Equin*",IF($AT69="Volaille","Volaille*",IF($AT69="Poisson","Poisson*",IF($AT69="Autre","Autre*","")))))))),'Étape 1 - à remplir'!$G$31:$G$400,"animaux",'Étape 1 - à remplir'!$M$31:$M$400,MASQ2!BF$43)/SUMIFS('Étape 1 - à remplir'!$F$19:$F$28,'Étape 1 - à remplir'!$C$19:$C$28,MASQ2!$AT69,'Étape 1 - à remplir'!$G$19:$G$28,"animaux"),"")</f>
        <v/>
      </c>
      <c r="BT69" s="194" t="str">
        <f t="shared" ca="1" si="131"/>
        <v>x</v>
      </c>
      <c r="BU69" s="219" t="str">
        <f>IFERROR(IF(BX69=0,"",COUNTIF(BX$4:BX$600,"&gt;"&amp;BX69)+COUNTIF(BX$4:BX69,BX69)),"")</f>
        <v/>
      </c>
      <c r="BV69" s="42" t="str">
        <f t="shared" si="132"/>
        <v>BAYTRIL BOLUS</v>
      </c>
      <c r="BW69" t="e">
        <f>IF(IF(CE$2="Catégorie",IF(CE$3="Toutes",SUMIFS('Étape 1 - à remplir'!$F$31:$F$400,'Étape 1 - à remplir'!$E$31:$E$400,MASQ2!BV69,'Étape 1 - à remplir'!$G$31:$G$400,"lots"),SUMIFS('Étape 1 - à remplir'!$F$31:$F$400,'Étape 1 - à remplir'!$E$31:$E$400,MASQ2!BV69,'Étape 1 - à remplir'!$C$31:$C$400,CE$3)),IF(CE$2="Âge",IF(CE$3="Tous",SUMIFS('Étape 1 - à remplir'!$F$31:$F$400,'Étape 1 - à remplir'!$E$31:$E$400,MASQ2!BV69,'Étape 1 - à remplir'!$G$31:$G$400,"lots"),SUMIFS('Étape 1 - à remplir'!$F$31:$F$400,'Étape 1 - à remplir'!$E$31:$E$400,MASQ2!BV69,'Étape 1 - à remplir'!$P$31:$P$400,CE$3,'Étape 1 - à remplir'!$G$31:$G$400,"lots")),IF(CE$2="Atelier",IF(CE$3="Tous",SUMIFS('Étape 1 - à remplir'!$F$31:$F$400,'Étape 1 - à remplir'!$E$31:$E$400,MASQ2!BV69,'Étape 1 - à remplir'!$G$31:$G$400,"lots"),SUMIFS('Étape 1 - à remplir'!$F$31:$F$400,'Étape 1 - à remplir'!$E$31:$E$400,MASQ2!BV69,'Étape 1 - à remplir'!$O$31:$O$400,CE$3,'Étape 1 - à remplir'!$G$31:$G$400,"lots")),IF(CE$2="Espèce",IF(CE$3="Toutes",SUMIFS('Étape 1 - à remplir'!$F$31:$F$400,'Étape 1 - à remplir'!$E$31:$E$400,MASQ2!BV69,'Étape 1 - à remplir'!$G$31:$G$400,"lots"),SUMIFS('Étape 1 - à remplir'!$F$31:$F$400,'Étape 1 - à remplir'!$E$31:$E$400,MASQ2!BV69,'Étape 1 - à remplir'!$N$31:$N$400,CE$3,'Étape 1 - à remplir'!$G$31:$G$400,"lots"))))))=0,NA(),IF(CE$2="Catégorie",IF(CE$3="Toutes",SUMIFS('Étape 1 - à remplir'!$F$31:$F$400,'Étape 1 - à remplir'!$E$31:$E$400,MASQ2!BV69,'Étape 1 - à remplir'!$G$31:$G$400,"lots"),SUMIFS('Étape 1 - à remplir'!$F$31:$F$400,'Étape 1 - à remplir'!$E$31:$E$400,MASQ2!BV69,'Étape 1 - à remplir'!$C$31:$C$400,CE$3)),IF(CE$2="Âge",IF(CE$3="Tous",SUMIFS('Étape 1 - à remplir'!$F$31:$F$400,'Étape 1 - à remplir'!$E$31:$E$400,MASQ2!BV69,'Étape 1 - à remplir'!$G$31:$G$400,"lots"),SUMIFS('Étape 1 - à remplir'!$F$31:$F$400,'Étape 1 - à remplir'!$E$31:$E$400,MASQ2!BV69,'Étape 1 - à remplir'!$P$31:$P$400,CE$3,'Étape 1 - à remplir'!$G$31:$G$400,"lots")),IF(CE$2="Atelier",IF(CE$3="Tous",SUMIFS('Étape 1 - à remplir'!$F$31:$F$400,'Étape 1 - à remplir'!$E$31:$E$400,MASQ2!BV69,'Étape 1 - à remplir'!$G$31:$G$400,"lots"),SUMIFS('Étape 1 - à remplir'!$F$31:$F$400,'Étape 1 - à remplir'!$E$31:$E$400,MASQ2!BV69,'Étape 1 - à remplir'!$O$31:$O$400,CE$3,'Étape 1 - à remplir'!$G$31:$G$400,"lots")),IF(CE$2="Espèce",IF(CE$3="Toutes",SUMIFS('Étape 1 - à remplir'!$F$31:$F$400,'Étape 1 - à remplir'!$E$31:$E$400,MASQ2!BV69,'Étape 1 - à remplir'!$G$31:$G$400,"lots"),SUMIFS('Étape 1 - à remplir'!$F$31:$F$400,'Étape 1 - à remplir'!$E$31:$E$400,MASQ2!BV69,'Étape 1 - à remplir'!$N$31:$N$400,CE$3,'Étape 1 - à remplir'!$G$31:$G$400,"lots")))))))</f>
        <v>#N/A</v>
      </c>
      <c r="BX69">
        <f t="shared" ref="BX69:BX132" si="149">IFERROR(BW69,0)</f>
        <v>0</v>
      </c>
      <c r="BY69" t="str">
        <f t="shared" si="133"/>
        <v>Enrofloxacine</v>
      </c>
      <c r="BZ69" t="str">
        <f t="shared" si="134"/>
        <v/>
      </c>
      <c r="CA69" t="str">
        <f t="shared" si="135"/>
        <v/>
      </c>
      <c r="CB69" t="str">
        <f t="shared" si="136"/>
        <v>Fluoroquinolones</v>
      </c>
      <c r="CC69" t="str">
        <f t="shared" si="137"/>
        <v/>
      </c>
      <c r="CD69" s="63" t="str">
        <f t="shared" si="138"/>
        <v/>
      </c>
      <c r="CG69" s="42">
        <v>66</v>
      </c>
      <c r="CH69" s="42" t="e">
        <f t="shared" si="80"/>
        <v>#N/A</v>
      </c>
      <c r="CI69" s="63" t="e">
        <f t="shared" si="81"/>
        <v>#N/A</v>
      </c>
      <c r="DA69" s="118" t="str">
        <f t="shared" si="129"/>
        <v/>
      </c>
      <c r="DB69" s="118" t="str">
        <f>IFERROR(SUMIFS('Étape 1 - à remplir'!$F$31:$F$400,'Étape 1 - à remplir'!$C$31:$C$400,IF($DA69="Bovin","Bovin*",IF($DA69="Ovin","Ovin*",IF($DA69="Caprin","Caprin*",IF($DA69="Porcin","Porcin*",IF($DA69="Equin","Equin*",IF($DA69="Volaille","Volaille*",IF($DA69="Poisson","Poisson*",IF($DA69="Autre","Autre*","")))))))),'Étape 1 - à remplir'!$G$31:$G$400,"lots",'Étape 1 - à remplir'!$M$31:$M$400,MASQ2!DB$43)/SUMIFS('Étape 1 - à remplir'!$F$19:$F$28,'Étape 1 - à remplir'!$C$19:$C$28,MASQ2!$DA69,'Étape 1 - à remplir'!$G$19:$G$28,"lots"),"")</f>
        <v/>
      </c>
      <c r="DC69" t="str">
        <f>IFERROR(SUMIFS('Étape 1 - à remplir'!$F$31:$F$400,'Étape 1 - à remplir'!$C$31:$C$400,IF($DA69="Bovin","Bovin*",IF($DA69="Ovin","Ovin*",IF($DA69="Caprin","Caprin*",IF($DA69="Porcin","Porcin*",IF($DA69="Equin","Equin*",IF($DA69="Volaille","Volaille*",IF($DA69="Poisson","Poisson*",IF($DA69="Autre","Autre*","")))))))),'Étape 1 - à remplir'!$G$31:$G$400,"lots",'Étape 1 - à remplir'!$M$31:$M$400,MASQ2!DC$43)/SUMIFS('Étape 1 - à remplir'!$F$19:$F$28,'Étape 1 - à remplir'!$C$19:$C$28,MASQ2!$DA69,'Étape 1 - à remplir'!$G$19:$G$28,"lots"),"")</f>
        <v/>
      </c>
      <c r="DD69" t="str">
        <f>IFERROR(SUMIFS('Étape 1 - à remplir'!$F$31:$F$400,'Étape 1 - à remplir'!$C$31:$C$400,IF($DA69="Bovin","Bovin*",IF($DA69="Ovin","Ovin*",IF($DA69="Caprin","Caprin*",IF($DA69="Porcin","Porcin*",IF($DA69="Equin","Equin*",IF($DA69="Volaille","Volaille*",IF($DA69="Poisson","Poisson*",IF($DA69="Autre","Autre*","")))))))),'Étape 1 - à remplir'!$G$31:$G$400,"lots",'Étape 1 - à remplir'!$M$31:$M$400,MASQ2!DD$43)/SUMIFS('Étape 1 - à remplir'!$F$19:$F$28,'Étape 1 - à remplir'!$C$19:$C$28,MASQ2!$DA69,'Étape 1 - à remplir'!$G$19:$G$28,"lots"),"")</f>
        <v/>
      </c>
      <c r="DE69" t="str">
        <f>IFERROR(SUMIFS('Étape 1 - à remplir'!$F$31:$F$400,'Étape 1 - à remplir'!$C$31:$C$400,IF($DA69="Bovin","Bovin*",IF($DA69="Ovin","Ovin*",IF($DA69="Caprin","Caprin*",IF($DA69="Porcin","Porcin*",IF($DA69="Equin","Equin*",IF($DA69="Volaille","Volaille*",IF($DA69="Poisson","Poisson*",IF($DA69="Autre","Autre*","")))))))),'Étape 1 - à remplir'!$G$31:$G$400,"lots",'Étape 1 - à remplir'!$M$31:$M$400,MASQ2!DE$43)/SUMIFS('Étape 1 - à remplir'!$F$19:$F$28,'Étape 1 - à remplir'!$C$19:$C$28,MASQ2!$DA69,'Étape 1 - à remplir'!$G$19:$G$28,"lots"),"")</f>
        <v/>
      </c>
      <c r="DF69" t="str">
        <f>IFERROR(SUMIFS('Étape 1 - à remplir'!$F$31:$F$400,'Étape 1 - à remplir'!$C$31:$C$400,IF($DA69="Bovin","Bovin*",IF($DA69="Ovin","Ovin*",IF($DA69="Caprin","Caprin*",IF($DA69="Porcin","Porcin*",IF($DA69="Equin","Equin*",IF($DA69="Volaille","Volaille*",IF($DA69="Poisson","Poisson*",IF($DA69="Autre","Autre*","")))))))),'Étape 1 - à remplir'!$G$31:$G$400,"lots",'Étape 1 - à remplir'!$M$31:$M$400,MASQ2!DF$43)/SUMIFS('Étape 1 - à remplir'!$F$19:$F$28,'Étape 1 - à remplir'!$C$19:$C$28,MASQ2!$DA69,'Étape 1 - à remplir'!$G$19:$G$28,"lots"),"")</f>
        <v/>
      </c>
      <c r="DG69" t="str">
        <f>IFERROR(SUMIFS('Étape 1 - à remplir'!$F$31:$F$400,'Étape 1 - à remplir'!$C$31:$C$400,IF($DA69="Bovin","Bovin*",IF($DA69="Ovin","Ovin*",IF($DA69="Caprin","Caprin*",IF($DA69="Porcin","Porcin*",IF($DA69="Equin","Equin*",IF($DA69="Volaille","Volaille*",IF($DA69="Poisson","Poisson*",IF($DA69="Autre","Autre*","")))))))),'Étape 1 - à remplir'!$G$31:$G$400,"lots",'Étape 1 - à remplir'!$M$31:$M$400,MASQ2!DG$43)/SUMIFS('Étape 1 - à remplir'!$F$19:$F$28,'Étape 1 - à remplir'!$C$19:$C$28,MASQ2!$DA69,'Étape 1 - à remplir'!$G$19:$G$28,"lots"),"")</f>
        <v/>
      </c>
      <c r="DH69" t="str">
        <f>IFERROR(SUMIFS('Étape 1 - à remplir'!$F$31:$F$400,'Étape 1 - à remplir'!$C$31:$C$400,IF($DA69="Bovin","Bovin*",IF($DA69="Ovin","Ovin*",IF($DA69="Caprin","Caprin*",IF($DA69="Porcin","Porcin*",IF($DA69="Equin","Equin*",IF($DA69="Volaille","Volaille*",IF($DA69="Poisson","Poisson*",IF($DA69="Autre","Autre*","")))))))),'Étape 1 - à remplir'!$G$31:$G$400,"lots",'Étape 1 - à remplir'!$M$31:$M$400,MASQ2!DH$43)/SUMIFS('Étape 1 - à remplir'!$F$19:$F$28,'Étape 1 - à remplir'!$C$19:$C$28,MASQ2!$DA69,'Étape 1 - à remplir'!$G$19:$G$28,"lots"),"")</f>
        <v/>
      </c>
      <c r="DI69" t="str">
        <f>IFERROR(SUMIFS('Étape 1 - à remplir'!$F$31:$F$400,'Étape 1 - à remplir'!$C$31:$C$400,IF($DA69="Bovin","Bovin*",IF($DA69="Ovin","Ovin*",IF($DA69="Caprin","Caprin*",IF($DA69="Porcin","Porcin*",IF($DA69="Equin","Equin*",IF($DA69="Volaille","Volaille*",IF($DA69="Poisson","Poisson*",IF($DA69="Autre","Autre*","")))))))),'Étape 1 - à remplir'!$G$31:$G$400,"lots",'Étape 1 - à remplir'!$M$31:$M$400,MASQ2!DI$43)/SUMIFS('Étape 1 - à remplir'!$F$19:$F$28,'Étape 1 - à remplir'!$C$19:$C$28,MASQ2!$DA69,'Étape 1 - à remplir'!$G$19:$G$28,"lots"),"")</f>
        <v/>
      </c>
      <c r="DJ69" t="str">
        <f>IFERROR(SUMIFS('Étape 1 - à remplir'!$F$31:$F$400,'Étape 1 - à remplir'!$C$31:$C$400,IF($DA69="Bovin","Bovin*",IF($DA69="Ovin","Ovin*",IF($DA69="Caprin","Caprin*",IF($DA69="Porcin","Porcin*",IF($DA69="Equin","Equin*",IF($DA69="Volaille","Volaille*",IF($DA69="Poisson","Poisson*",IF($DA69="Autre","Autre*","")))))))),'Étape 1 - à remplir'!$G$31:$G$400,"lots",'Étape 1 - à remplir'!$M$31:$M$400,MASQ2!DJ$43)/SUMIFS('Étape 1 - à remplir'!$F$19:$F$28,'Étape 1 - à remplir'!$C$19:$C$28,MASQ2!$DA69,'Étape 1 - à remplir'!$G$19:$G$28,"lots"),"")</f>
        <v/>
      </c>
      <c r="DK69" t="str">
        <f>IFERROR(SUMIFS('Étape 1 - à remplir'!$F$31:$F$400,'Étape 1 - à remplir'!$C$31:$C$400,IF($DA69="Bovin","Bovin*",IF($DA69="Ovin","Ovin*",IF($DA69="Caprin","Caprin*",IF($DA69="Porcin","Porcin*",IF($DA69="Equin","Equin*",IF($DA69="Volaille","Volaille*",IF($DA69="Poisson","Poisson*",IF($DA69="Autre","Autre*","")))))))),'Étape 1 - à remplir'!$G$31:$G$400,"lots",'Étape 1 - à remplir'!$M$31:$M$400,MASQ2!DK$43)/SUMIFS('Étape 1 - à remplir'!$F$19:$F$28,'Étape 1 - à remplir'!$C$19:$C$28,MASQ2!$DA69,'Étape 1 - à remplir'!$G$19:$G$28,"lots"),"")</f>
        <v/>
      </c>
      <c r="DL69" t="str">
        <f>IFERROR(SUMIFS('Étape 1 - à remplir'!$F$31:$F$400,'Étape 1 - à remplir'!$C$31:$C$400,IF($DA69="Bovin","Bovin*",IF($DA69="Ovin","Ovin*",IF($DA69="Caprin","Caprin*",IF($DA69="Porcin","Porcin*",IF($DA69="Equin","Equin*",IF($DA69="Volaille","Volaille*",IF($DA69="Poisson","Poisson*",IF($DA69="Autre","Autre*","")))))))),'Étape 1 - à remplir'!$G$31:$G$400,"lots",'Étape 1 - à remplir'!$M$31:$M$400,MASQ2!DL$43)/SUMIFS('Étape 1 - à remplir'!$F$19:$F$28,'Étape 1 - à remplir'!$C$19:$C$28,MASQ2!$DA69,'Étape 1 - à remplir'!$G$19:$G$28,"lots"),"")</f>
        <v/>
      </c>
      <c r="DM69" s="76" t="str">
        <f>IFERROR(SUMIFS('Étape 1 - à remplir'!$F$31:$F$400,'Étape 1 - à remplir'!$C$31:$C$400,IF($DA69="Bovin","Bovin*",IF($DA69="Ovin","Ovin*",IF($DA69="Caprin","Caprin*",IF($DA69="Porcin","Porcin*",IF($DA69="Equin","Equin*",IF($DA69="Volaille","Volaille*",IF($DA69="Poisson","Poisson*",IF($DA69="Autre","Autre*","")))))))),'Étape 1 - à remplir'!$G$31:$G$400,"lots",'Étape 1 - à remplir'!$M$31:$M$400,MASQ2!DM$43)/SUMIFS('Étape 1 - à remplir'!$F$19:$F$28,'Étape 1 - à remplir'!$C$19:$C$28,MASQ2!$DA69,'Étape 1 - à remplir'!$G$19:$G$28,"lots"),"")</f>
        <v/>
      </c>
      <c r="EA69" s="194" t="str">
        <f t="shared" ca="1" si="139"/>
        <v>x</v>
      </c>
      <c r="EB69" s="226" t="str">
        <f>IFERROR(IF(ED69=0,"",COUNTIF(ED$4:ED$600,"&gt;"&amp;ED69)+COUNTIF(ED$4:ED69,ED69)),"")</f>
        <v/>
      </c>
      <c r="EC69" t="str">
        <f t="shared" si="140"/>
        <v>BAYTRIL BOLUS</v>
      </c>
      <c r="ED69" t="e">
        <f>IF(IF(EL$2="Catégorie",IF(EL$3="Toutes",SUMIFS('Étape 1 - à remplir'!$F$31:$F$400,'Étape 1 - à remplir'!$E$31:$E$400,MASQ2!EC69,'Étape 1 - à remplir'!$G$31:$G$400,"kg"),SUMIFS('Étape 1 - à remplir'!$F$31:$F$400,'Étape 1 - à remplir'!$E$31:$E$400,MASQ2!EC69,'Étape 1 - à remplir'!$C$31:$C$400,EL$3)),IF(EL$2="Âge",IF(EL$3="Tous",SUMIFS('Étape 1 - à remplir'!$F$31:$F$400,'Étape 1 - à remplir'!$E$31:$E$400,MASQ2!EC69,'Étape 1 - à remplir'!$G$31:$G$400,"kg"),SUMIFS('Étape 1 - à remplir'!$F$31:$F$400,'Étape 1 - à remplir'!$E$31:$E$400,MASQ2!EC69,'Étape 1 - à remplir'!$P$31:$P$400,EL$3,'Étape 1 - à remplir'!$G$31:$G$400,"kg")),IF(EL$2="Atelier",IF(EL$3="Tous",SUMIFS('Étape 1 - à remplir'!$F$31:$F$400,'Étape 1 - à remplir'!$E$31:$E$400,MASQ2!EC69,'Étape 1 - à remplir'!$G$31:$G$400,"kg"),SUMIFS('Étape 1 - à remplir'!$F$31:$F$400,'Étape 1 - à remplir'!$E$31:$E$400,MASQ2!EC69,'Étape 1 - à remplir'!$O$31:$O$400,EL$3,'Étape 1 - à remplir'!$G$31:$G$400,"kg")),IF(EL$2="Espèce",IF(EL$3="Toutes",SUMIFS('Étape 1 - à remplir'!$F$31:$F$400,'Étape 1 - à remplir'!$E$31:$E$400,MASQ2!EC69,'Étape 1 - à remplir'!$G$31:$G$400,"kg"),SUMIFS('Étape 1 - à remplir'!$F$31:$F$400,'Étape 1 - à remplir'!$E$31:$E$400,MASQ2!EC69,'Étape 1 - à remplir'!$N$31:$N$400,EL$3,'Étape 1 - à remplir'!$G$31:$G$400,"kg"))))))=0,NA(),IF(EL$2="Catégorie",IF(EL$3="Toutes",SUMIFS('Étape 1 - à remplir'!$F$31:$F$400,'Étape 1 - à remplir'!$E$31:$E$400,MASQ2!EC69,'Étape 1 - à remplir'!$G$31:$G$400,"kg"),SUMIFS('Étape 1 - à remplir'!$F$31:$F$400,'Étape 1 - à remplir'!$E$31:$E$400,MASQ2!EC69,'Étape 1 - à remplir'!$C$31:$C$400,EL$3)),IF(EL$2="Âge",IF(EL$3="Tous",SUMIFS('Étape 1 - à remplir'!$F$31:$F$400,'Étape 1 - à remplir'!$E$31:$E$400,MASQ2!EC69,'Étape 1 - à remplir'!$G$31:$G$400,"kg"),SUMIFS('Étape 1 - à remplir'!$F$31:$F$400,'Étape 1 - à remplir'!$E$31:$E$400,MASQ2!EC69,'Étape 1 - à remplir'!$P$31:$P$400,EL$3,'Étape 1 - à remplir'!$G$31:$G$400,"kg")),IF(EL$2="Atelier",IF(EL$3="Tous",SUMIFS('Étape 1 - à remplir'!$F$31:$F$400,'Étape 1 - à remplir'!$E$31:$E$400,MASQ2!EC69,'Étape 1 - à remplir'!$G$31:$G$400,"kg"),SUMIFS('Étape 1 - à remplir'!$F$31:$F$400,'Étape 1 - à remplir'!$E$31:$E$400,MASQ2!EC69,'Étape 1 - à remplir'!$O$31:$O$400,EL$3,'Étape 1 - à remplir'!$G$31:$G$400,"kg")),IF(EL$2="Espèce",IF(EL$3="Toutes",SUMIFS('Étape 1 - à remplir'!$F$31:$F$400,'Étape 1 - à remplir'!$E$31:$E$400,MASQ2!EC69,'Étape 1 - à remplir'!$G$31:$G$400,"kg"),SUMIFS('Étape 1 - à remplir'!$F$31:$F$400,'Étape 1 - à remplir'!$E$31:$E$400,MASQ2!EC69,'Étape 1 - à remplir'!$N$31:$N$400,EL$3,'Étape 1 - à remplir'!$G$31:$G$400,"kg")))))))</f>
        <v>#N/A</v>
      </c>
      <c r="EE69" s="76">
        <f t="shared" ref="EE69:EE132" si="150">IFERROR(ED69,0)</f>
        <v>0</v>
      </c>
      <c r="EF69" t="str">
        <f t="shared" si="141"/>
        <v>Enrofloxacine</v>
      </c>
      <c r="EG69" t="str">
        <f t="shared" si="142"/>
        <v/>
      </c>
      <c r="EH69" t="str">
        <f t="shared" si="143"/>
        <v/>
      </c>
      <c r="EI69" t="str">
        <f t="shared" si="144"/>
        <v>Fluoroquinolones</v>
      </c>
      <c r="EJ69" t="str">
        <f t="shared" si="145"/>
        <v/>
      </c>
      <c r="EK69" s="63" t="str">
        <f t="shared" si="146"/>
        <v/>
      </c>
      <c r="EN69" s="42">
        <v>66</v>
      </c>
      <c r="EO69" t="e">
        <f t="shared" si="68"/>
        <v>#N/A</v>
      </c>
      <c r="EP69" s="63" t="e">
        <f t="shared" si="69"/>
        <v>#N/A</v>
      </c>
      <c r="FH69" s="118" t="str">
        <f t="shared" si="130"/>
        <v/>
      </c>
      <c r="FI69" s="118" t="str">
        <f>IFERROR(SUMIFS('Étape 1 - à remplir'!$F$31:$F$400,'Étape 1 - à remplir'!$C$31:$C$400,IF($FH69="Bovin","Bovin*",IF($FH69="Ovin","Ovin*",IF($FH69="Caprin","Caprin*",IF($FH69="Porcin","Porcin*",IF($FH69="Equin","Equin*",IF($FH69="Volaille","Volaille*",IF($FH69="Poisson","Poisson*",IF($FH69="Autre","Autre*","")))))))),'Étape 1 - à remplir'!$G$31:$G$400,"kg",'Étape 1 - à remplir'!$M$31:$M$400,MASQ2!FI$43)/SUMIFS('Étape 1 - à remplir'!$F$19:$F$28,'Étape 1 - à remplir'!$C$19:$C$28,MASQ2!$FH69,'Étape 1 - à remplir'!$G$19:$G$28,"kg"),"")</f>
        <v/>
      </c>
      <c r="FJ69" t="str">
        <f>IFERROR(SUMIFS('Étape 1 - à remplir'!$F$31:$F$400,'Étape 1 - à remplir'!$C$31:$C$400,IF($FH69="Bovin","Bovin*",IF($FH69="Ovin","Ovin*",IF($FH69="Caprin","Caprin*",IF($FH69="Porcin","Porcin*",IF($FH69="Equin","Equin*",IF($FH69="Volaille","Volaille*",IF($FH69="Poisson","Poisson*",IF($FH69="Autre","Autre*","")))))))),'Étape 1 - à remplir'!$G$31:$G$400,"kg",'Étape 1 - à remplir'!$M$31:$M$400,MASQ2!FJ$43)/SUMIFS('Étape 1 - à remplir'!$F$19:$F$28,'Étape 1 - à remplir'!$C$19:$C$28,MASQ2!$FH69,'Étape 1 - à remplir'!$G$19:$G$28,"kg"),"")</f>
        <v/>
      </c>
      <c r="FK69" t="str">
        <f>IFERROR(SUMIFS('Étape 1 - à remplir'!$F$31:$F$400,'Étape 1 - à remplir'!$C$31:$C$400,IF($FH69="Bovin","Bovin*",IF($FH69="Ovin","Ovin*",IF($FH69="Caprin","Caprin*",IF($FH69="Porcin","Porcin*",IF($FH69="Equin","Equin*",IF($FH69="Volaille","Volaille*",IF($FH69="Poisson","Poisson*",IF($FH69="Autre","Autre*","")))))))),'Étape 1 - à remplir'!$G$31:$G$400,"kg",'Étape 1 - à remplir'!$M$31:$M$400,MASQ2!FK$43)/SUMIFS('Étape 1 - à remplir'!$F$19:$F$28,'Étape 1 - à remplir'!$C$19:$C$28,MASQ2!$FH69,'Étape 1 - à remplir'!$G$19:$G$28,"kg"),"")</f>
        <v/>
      </c>
      <c r="FL69" t="str">
        <f>IFERROR(SUMIFS('Étape 1 - à remplir'!$F$31:$F$400,'Étape 1 - à remplir'!$C$31:$C$400,IF($FH69="Bovin","Bovin*",IF($FH69="Ovin","Ovin*",IF($FH69="Caprin","Caprin*",IF($FH69="Porcin","Porcin*",IF($FH69="Equin","Equin*",IF($FH69="Volaille","Volaille*",IF($FH69="Poisson","Poisson*",IF($FH69="Autre","Autre*","")))))))),'Étape 1 - à remplir'!$G$31:$G$400,"kg",'Étape 1 - à remplir'!$M$31:$M$400,MASQ2!FL$43)/SUMIFS('Étape 1 - à remplir'!$F$19:$F$28,'Étape 1 - à remplir'!$C$19:$C$28,MASQ2!$FH69,'Étape 1 - à remplir'!$G$19:$G$28,"kg"),"")</f>
        <v/>
      </c>
      <c r="FM69" t="str">
        <f>IFERROR(SUMIFS('Étape 1 - à remplir'!$F$31:$F$400,'Étape 1 - à remplir'!$C$31:$C$400,IF($FH69="Bovin","Bovin*",IF($FH69="Ovin","Ovin*",IF($FH69="Caprin","Caprin*",IF($FH69="Porcin","Porcin*",IF($FH69="Equin","Equin*",IF($FH69="Volaille","Volaille*",IF($FH69="Poisson","Poisson*",IF($FH69="Autre","Autre*","")))))))),'Étape 1 - à remplir'!$G$31:$G$400,"kg",'Étape 1 - à remplir'!$M$31:$M$400,MASQ2!FM$43)/SUMIFS('Étape 1 - à remplir'!$F$19:$F$28,'Étape 1 - à remplir'!$C$19:$C$28,MASQ2!$FH69,'Étape 1 - à remplir'!$G$19:$G$28,"kg"),"")</f>
        <v/>
      </c>
      <c r="FN69" t="str">
        <f>IFERROR(SUMIFS('Étape 1 - à remplir'!$F$31:$F$400,'Étape 1 - à remplir'!$C$31:$C$400,IF($FH69="Bovin","Bovin*",IF($FH69="Ovin","Ovin*",IF($FH69="Caprin","Caprin*",IF($FH69="Porcin","Porcin*",IF($FH69="Equin","Equin*",IF($FH69="Volaille","Volaille*",IF($FH69="Poisson","Poisson*",IF($FH69="Autre","Autre*","")))))))),'Étape 1 - à remplir'!$G$31:$G$400,"kg",'Étape 1 - à remplir'!$M$31:$M$400,MASQ2!FN$43)/SUMIFS('Étape 1 - à remplir'!$F$19:$F$28,'Étape 1 - à remplir'!$C$19:$C$28,MASQ2!$FH69,'Étape 1 - à remplir'!$G$19:$G$28,"kg"),"")</f>
        <v/>
      </c>
      <c r="FO69" t="str">
        <f>IFERROR(SUMIFS('Étape 1 - à remplir'!$F$31:$F$400,'Étape 1 - à remplir'!$C$31:$C$400,IF($FH69="Bovin","Bovin*",IF($FH69="Ovin","Ovin*",IF($FH69="Caprin","Caprin*",IF($FH69="Porcin","Porcin*",IF($FH69="Equin","Equin*",IF($FH69="Volaille","Volaille*",IF($FH69="Poisson","Poisson*",IF($FH69="Autre","Autre*","")))))))),'Étape 1 - à remplir'!$G$31:$G$400,"kg",'Étape 1 - à remplir'!$M$31:$M$400,MASQ2!FO$43)/SUMIFS('Étape 1 - à remplir'!$F$19:$F$28,'Étape 1 - à remplir'!$C$19:$C$28,MASQ2!$FH69,'Étape 1 - à remplir'!$G$19:$G$28,"kg"),"")</f>
        <v/>
      </c>
      <c r="FP69" t="str">
        <f>IFERROR(SUMIFS('Étape 1 - à remplir'!$F$31:$F$400,'Étape 1 - à remplir'!$C$31:$C$400,IF($FH69="Bovin","Bovin*",IF($FH69="Ovin","Ovin*",IF($FH69="Caprin","Caprin*",IF($FH69="Porcin","Porcin*",IF($FH69="Equin","Equin*",IF($FH69="Volaille","Volaille*",IF($FH69="Poisson","Poisson*",IF($FH69="Autre","Autre*","")))))))),'Étape 1 - à remplir'!$G$31:$G$400,"kg",'Étape 1 - à remplir'!$M$31:$M$400,MASQ2!FP$43)/SUMIFS('Étape 1 - à remplir'!$F$19:$F$28,'Étape 1 - à remplir'!$C$19:$C$28,MASQ2!$FH69,'Étape 1 - à remplir'!$G$19:$G$28,"kg"),"")</f>
        <v/>
      </c>
      <c r="FQ69" t="str">
        <f>IFERROR(SUMIFS('Étape 1 - à remplir'!$F$31:$F$400,'Étape 1 - à remplir'!$C$31:$C$400,IF($FH69="Bovin","Bovin*",IF($FH69="Ovin","Ovin*",IF($FH69="Caprin","Caprin*",IF($FH69="Porcin","Porcin*",IF($FH69="Equin","Equin*",IF($FH69="Volaille","Volaille*",IF($FH69="Poisson","Poisson*",IF($FH69="Autre","Autre*","")))))))),'Étape 1 - à remplir'!$G$31:$G$400,"kg",'Étape 1 - à remplir'!$M$31:$M$400,MASQ2!FQ$43)/SUMIFS('Étape 1 - à remplir'!$F$19:$F$28,'Étape 1 - à remplir'!$C$19:$C$28,MASQ2!$FH69,'Étape 1 - à remplir'!$G$19:$G$28,"kg"),"")</f>
        <v/>
      </c>
      <c r="FR69" t="str">
        <f>IFERROR(SUMIFS('Étape 1 - à remplir'!$F$31:$F$400,'Étape 1 - à remplir'!$C$31:$C$400,IF($FH69="Bovin","Bovin*",IF($FH69="Ovin","Ovin*",IF($FH69="Caprin","Caprin*",IF($FH69="Porcin","Porcin*",IF($FH69="Equin","Equin*",IF($FH69="Volaille","Volaille*",IF($FH69="Poisson","Poisson*",IF($FH69="Autre","Autre*","")))))))),'Étape 1 - à remplir'!$G$31:$G$400,"kg",'Étape 1 - à remplir'!$M$31:$M$400,MASQ2!FR$43)/SUMIFS('Étape 1 - à remplir'!$F$19:$F$28,'Étape 1 - à remplir'!$C$19:$C$28,MASQ2!$FH69,'Étape 1 - à remplir'!$G$19:$G$28,"kg"),"")</f>
        <v/>
      </c>
      <c r="FS69" t="str">
        <f>IFERROR(SUMIFS('Étape 1 - à remplir'!$F$31:$F$400,'Étape 1 - à remplir'!$C$31:$C$400,IF($FH69="Bovin","Bovin*",IF($FH69="Ovin","Ovin*",IF($FH69="Caprin","Caprin*",IF($FH69="Porcin","Porcin*",IF($FH69="Equin","Equin*",IF($FH69="Volaille","Volaille*",IF($FH69="Poisson","Poisson*",IF($FH69="Autre","Autre*","")))))))),'Étape 1 - à remplir'!$G$31:$G$400,"kg",'Étape 1 - à remplir'!$M$31:$M$400,MASQ2!FS$43)/SUMIFS('Étape 1 - à remplir'!$F$19:$F$28,'Étape 1 - à remplir'!$C$19:$C$28,MASQ2!$FH69,'Étape 1 - à remplir'!$G$19:$G$28,"kg"),"")</f>
        <v/>
      </c>
      <c r="FT69" s="76" t="str">
        <f>IFERROR(SUMIFS('Étape 1 - à remplir'!$F$31:$F$400,'Étape 1 - à remplir'!$C$31:$C$400,IF($FH69="Bovin","Bovin*",IF($FH69="Ovin","Ovin*",IF($FH69="Caprin","Caprin*",IF($FH69="Porcin","Porcin*",IF($FH69="Equin","Equin*",IF($FH69="Volaille","Volaille*",IF($FH69="Poisson","Poisson*",IF($FH69="Autre","Autre*","")))))))),'Étape 1 - à remplir'!$G$31:$G$400,"kg",'Étape 1 - à remplir'!$M$31:$M$400,MASQ2!FT$43)/SUMIFS('Étape 1 - à remplir'!$F$19:$F$28,'Étape 1 - à remplir'!$C$19:$C$28,MASQ2!$FH69,'Étape 1 - à remplir'!$G$19:$G$28,"kg"),"")</f>
        <v/>
      </c>
    </row>
    <row r="70" spans="2:176" x14ac:dyDescent="0.3">
      <c r="B70" s="42"/>
      <c r="M70" s="194" t="str">
        <f ca="1">INDEX(Données_ATB!BD:BU,MATCH(MASQ2!O70,Données_ATB!BD:BD,0),18)</f>
        <v>x</v>
      </c>
      <c r="N70" s="14" t="str">
        <f>IFERROR(IF(Q70=0,"",COUNTIF(Q$4:Q$600,"&gt;"&amp;Q70)+COUNTIF(Q$4:Q70,Q70)),"")</f>
        <v/>
      </c>
      <c r="O70" t="str">
        <f>Données_ATB!BD69</f>
        <v>BAYTRIL XM 100 MG/ML SOLUTION INJECTABLE POUR BOVINS ET PORCINS</v>
      </c>
      <c r="P70" t="e">
        <f>IF(IF(X$2="Catégorie",IF(X$3="Toutes",SUMIFS('Étape 1 - à remplir'!$F$31:$F$400,'Étape 1 - à remplir'!$E$31:$E$400,MASQ2!O70,'Étape 1 - à remplir'!$G$31:$G$400,"animaux"),SUMIFS('Étape 1 - à remplir'!$F$31:$F$400,'Étape 1 - à remplir'!$E$31:$E$400,MASQ2!O70,'Étape 1 - à remplir'!$C$31:$C$400,X$3)),IF(X$2="Âge",IF(X$3="Tous",SUMIFS('Étape 1 - à remplir'!$F$31:$F$400,'Étape 1 - à remplir'!$E$31:$E$400,MASQ2!O70,'Étape 1 - à remplir'!$G$31:$G$400,"animaux"),SUMIFS('Étape 1 - à remplir'!$F$31:$F$400,'Étape 1 - à remplir'!$E$31:$E$400,MASQ2!O70,'Étape 1 - à remplir'!$P$31:$P$400,X$3)),IF(X$2="Atelier",IF(X$3="Tous",SUMIFS('Étape 1 - à remplir'!$F$31:$F$400,'Étape 1 - à remplir'!$E$31:$E$400,MASQ2!O70,'Étape 1 - à remplir'!$G$31:$G$400,"animaux"),SUMIFS('Étape 1 - à remplir'!$F$31:$F$400,'Étape 1 - à remplir'!$E$31:$E$400,MASQ2!O70,'Étape 1 - à remplir'!$O$31:$O$400,X$3)),IF(X$2="Espèce",IF(X$3="Toutes",SUMIFS('Étape 1 - à remplir'!$F$31:$F$400,'Étape 1 - à remplir'!$E$31:$E$400,MASQ2!O70,'Étape 1 - à remplir'!$G$31:$G$400,"animaux"),SUMIFS('Étape 1 - à remplir'!$F$31:$F$400,'Étape 1 - à remplir'!$E$31:$E$400,MASQ2!O70,'Étape 1 - à remplir'!$N$31:$N$400,X$3))))))=0,NA(),IF(X$2="Catégorie",IF(X$3="Toutes",SUMIFS('Étape 1 - à remplir'!$F$31:$F$400,'Étape 1 - à remplir'!$E$31:$E$400,MASQ2!O70,'Étape 1 - à remplir'!$G$31:$G$400,"animaux"),SUMIFS('Étape 1 - à remplir'!$F$31:$F$400,'Étape 1 - à remplir'!$E$31:$E$400,MASQ2!O70,'Étape 1 - à remplir'!$C$31:$C$400,X$3)),IF(X$2="Âge",IF(X$3="Tous",SUMIFS('Étape 1 - à remplir'!$F$31:$F$400,'Étape 1 - à remplir'!$E$31:$E$400,MASQ2!O70,'Étape 1 - à remplir'!$G$31:$G$400,"animaux"),SUMIFS('Étape 1 - à remplir'!$F$31:$F$400,'Étape 1 - à remplir'!$E$31:$E$400,MASQ2!O70,'Étape 1 - à remplir'!$P$31:$P$400,X$3)),IF(X$2="Atelier",IF(X$3="Tous",SUMIFS('Étape 1 - à remplir'!$F$31:$F$400,'Étape 1 - à remplir'!$E$31:$E$400,MASQ2!O70,'Étape 1 - à remplir'!$G$31:$G$400,"animaux"),SUMIFS('Étape 1 - à remplir'!$F$31:$F$400,'Étape 1 - à remplir'!$E$31:$E$400,MASQ2!O70,'Étape 1 - à remplir'!$O$31:$O$400,X$3)),IF(X$2="Espèce",IF(X$3="Toutes",SUMIFS('Étape 1 - à remplir'!$F$31:$F$400,'Étape 1 - à remplir'!$E$31:$E$400,MASQ2!O70,'Étape 1 - à remplir'!$G$31:$G$400,"animaux"),SUMIFS('Étape 1 - à remplir'!$F$31:$F$400,'Étape 1 - à remplir'!$E$31:$E$400,MASQ2!O70,'Étape 1 - à remplir'!$N$31:$N$400,X$3)))))))</f>
        <v>#N/A</v>
      </c>
      <c r="Q70" s="63">
        <f t="shared" ref="Q70:Q133" si="151">IFERROR(P70,0)</f>
        <v>0</v>
      </c>
      <c r="R70" t="str">
        <f>Données_ATB!BM69</f>
        <v>Enrofloxacine</v>
      </c>
      <c r="S70" t="str">
        <f>Données_ATB!BN69</f>
        <v/>
      </c>
      <c r="T70" s="63" t="str">
        <f>Données_ATB!BO69</f>
        <v/>
      </c>
      <c r="U70" s="42" t="str">
        <f>Données_ATB!BQ69</f>
        <v>Fluoroquinolones</v>
      </c>
      <c r="V70" t="str">
        <f>Données_ATB!BR69</f>
        <v/>
      </c>
      <c r="W70" s="63" t="str">
        <f>Données_ATB!BS69</f>
        <v/>
      </c>
      <c r="Z70" s="42">
        <v>67</v>
      </c>
      <c r="AA70" t="e">
        <f t="shared" si="147"/>
        <v>#N/A</v>
      </c>
      <c r="AB70" s="63" t="e">
        <f t="shared" si="148"/>
        <v>#N/A</v>
      </c>
      <c r="AT70" s="118" t="str">
        <f t="shared" si="128"/>
        <v/>
      </c>
      <c r="AU70" s="118" t="str">
        <f>IFERROR(SUMIFS('Étape 1 - à remplir'!$F$31:$F$400,'Étape 1 - à remplir'!$C$31:$C$400,IF($AT70="Bovin","Bovin*",IF($AT70="Ovin","Ovin*",IF($AT70="Caprin","Caprin*",IF($AT70="Porcin","Porcin*",IF($AT70="Equin","Equin*",IF($AT70="Volaille","Volaille*",IF($AT70="Poisson","Poisson*",IF($AT70="Autre","Autre*","")))))))),'Étape 1 - à remplir'!$G$31:$G$400,"animaux",'Étape 1 - à remplir'!$M$31:$M$400,MASQ2!AU$43)/SUMIFS('Étape 1 - à remplir'!$F$19:$F$28,'Étape 1 - à remplir'!$C$19:$C$28,MASQ2!$AT70,'Étape 1 - à remplir'!$G$19:$G$28,"animaux"),"")</f>
        <v/>
      </c>
      <c r="AV70" t="str">
        <f>IFERROR(SUMIFS('Étape 1 - à remplir'!$F$31:$F$400,'Étape 1 - à remplir'!$C$31:$C$400,IF($AT70="Bovin","Bovin*",IF($AT70="Ovin","Ovin*",IF($AT70="Caprin","Caprin*",IF($AT70="Porcin","Porcin*",IF($AT70="Equin","Equin*",IF($AT70="Volaille","Volaille*",IF($AT70="Poisson","Poisson*",IF($AT70="Autre","Autre*","")))))))),'Étape 1 - à remplir'!$G$31:$G$400,"animaux",'Étape 1 - à remplir'!$M$31:$M$400,MASQ2!AV$43)/SUMIFS('Étape 1 - à remplir'!$F$19:$F$28,'Étape 1 - à remplir'!$C$19:$C$28,MASQ2!$AT70,'Étape 1 - à remplir'!$G$19:$G$28,"animaux"),"")</f>
        <v/>
      </c>
      <c r="AW70" t="str">
        <f>IFERROR(SUMIFS('Étape 1 - à remplir'!$F$31:$F$400,'Étape 1 - à remplir'!$C$31:$C$400,IF($AT70="Bovin","Bovin*",IF($AT70="Ovin","Ovin*",IF($AT70="Caprin","Caprin*",IF($AT70="Porcin","Porcin*",IF($AT70="Equin","Equin*",IF($AT70="Volaille","Volaille*",IF($AT70="Poisson","Poisson*",IF($AT70="Autre","Autre*","")))))))),'Étape 1 - à remplir'!$G$31:$G$400,"animaux",'Étape 1 - à remplir'!$M$31:$M$400,MASQ2!AW$43)/SUMIFS('Étape 1 - à remplir'!$F$19:$F$28,'Étape 1 - à remplir'!$C$19:$C$28,MASQ2!$AT70,'Étape 1 - à remplir'!$G$19:$G$28,"animaux"),"")</f>
        <v/>
      </c>
      <c r="AX70" t="str">
        <f>IFERROR(SUMIFS('Étape 1 - à remplir'!$F$31:$F$400,'Étape 1 - à remplir'!$C$31:$C$400,IF($AT70="Bovin","Bovin*",IF($AT70="Ovin","Ovin*",IF($AT70="Caprin","Caprin*",IF($AT70="Porcin","Porcin*",IF($AT70="Equin","Equin*",IF($AT70="Volaille","Volaille*",IF($AT70="Poisson","Poisson*",IF($AT70="Autre","Autre*","")))))))),'Étape 1 - à remplir'!$G$31:$G$400,"animaux",'Étape 1 - à remplir'!$M$31:$M$400,MASQ2!AX$43)/SUMIFS('Étape 1 - à remplir'!$F$19:$F$28,'Étape 1 - à remplir'!$C$19:$C$28,MASQ2!$AT70,'Étape 1 - à remplir'!$G$19:$G$28,"animaux"),"")</f>
        <v/>
      </c>
      <c r="AY70" t="str">
        <f>IFERROR(SUMIFS('Étape 1 - à remplir'!$F$31:$F$400,'Étape 1 - à remplir'!$C$31:$C$400,IF($AT70="Bovin","Bovin*",IF($AT70="Ovin","Ovin*",IF($AT70="Caprin","Caprin*",IF($AT70="Porcin","Porcin*",IF($AT70="Equin","Equin*",IF($AT70="Volaille","Volaille*",IF($AT70="Poisson","Poisson*",IF($AT70="Autre","Autre*","")))))))),'Étape 1 - à remplir'!$G$31:$G$400,"animaux",'Étape 1 - à remplir'!$M$31:$M$400,MASQ2!AY$43)/SUMIFS('Étape 1 - à remplir'!$F$19:$F$28,'Étape 1 - à remplir'!$C$19:$C$28,MASQ2!$AT70,'Étape 1 - à remplir'!$G$19:$G$28,"animaux"),"")</f>
        <v/>
      </c>
      <c r="AZ70" t="str">
        <f>IFERROR(SUMIFS('Étape 1 - à remplir'!$F$31:$F$400,'Étape 1 - à remplir'!$C$31:$C$400,IF($AT70="Bovin","Bovin*",IF($AT70="Ovin","Ovin*",IF($AT70="Caprin","Caprin*",IF($AT70="Porcin","Porcin*",IF($AT70="Equin","Equin*",IF($AT70="Volaille","Volaille*",IF($AT70="Poisson","Poisson*",IF($AT70="Autre","Autre*","")))))))),'Étape 1 - à remplir'!$G$31:$G$400,"animaux",'Étape 1 - à remplir'!$M$31:$M$400,MASQ2!AZ$43)/SUMIFS('Étape 1 - à remplir'!$F$19:$F$28,'Étape 1 - à remplir'!$C$19:$C$28,MASQ2!$AT70,'Étape 1 - à remplir'!$G$19:$G$28,"animaux"),"")</f>
        <v/>
      </c>
      <c r="BA70" t="str">
        <f>IFERROR(SUMIFS('Étape 1 - à remplir'!$F$31:$F$400,'Étape 1 - à remplir'!$C$31:$C$400,IF($AT70="Bovin","Bovin*",IF($AT70="Ovin","Ovin*",IF($AT70="Caprin","Caprin*",IF($AT70="Porcin","Porcin*",IF($AT70="Equin","Equin*",IF($AT70="Volaille","Volaille*",IF($AT70="Poisson","Poisson*",IF($AT70="Autre","Autre*","")))))))),'Étape 1 - à remplir'!$G$31:$G$400,"animaux",'Étape 1 - à remplir'!$M$31:$M$400,MASQ2!BA$43)/SUMIFS('Étape 1 - à remplir'!$F$19:$F$28,'Étape 1 - à remplir'!$C$19:$C$28,MASQ2!$AT70,'Étape 1 - à remplir'!$G$19:$G$28,"animaux"),"")</f>
        <v/>
      </c>
      <c r="BB70" t="str">
        <f>IFERROR(SUMIFS('Étape 1 - à remplir'!$F$31:$F$400,'Étape 1 - à remplir'!$C$31:$C$400,IF($AT70="Bovin","Bovin*",IF($AT70="Ovin","Ovin*",IF($AT70="Caprin","Caprin*",IF($AT70="Porcin","Porcin*",IF($AT70="Equin","Equin*",IF($AT70="Volaille","Volaille*",IF($AT70="Poisson","Poisson*",IF($AT70="Autre","Autre*","")))))))),'Étape 1 - à remplir'!$G$31:$G$400,"animaux",'Étape 1 - à remplir'!$M$31:$M$400,MASQ2!BB$43)/SUMIFS('Étape 1 - à remplir'!$F$19:$F$28,'Étape 1 - à remplir'!$C$19:$C$28,MASQ2!$AT70,'Étape 1 - à remplir'!$G$19:$G$28,"animaux"),"")</f>
        <v/>
      </c>
      <c r="BC70" t="str">
        <f>IFERROR(SUMIFS('Étape 1 - à remplir'!$F$31:$F$400,'Étape 1 - à remplir'!$C$31:$C$400,IF($AT70="Bovin","Bovin*",IF($AT70="Ovin","Ovin*",IF($AT70="Caprin","Caprin*",IF($AT70="Porcin","Porcin*",IF($AT70="Equin","Equin*",IF($AT70="Volaille","Volaille*",IF($AT70="Poisson","Poisson*",IF($AT70="Autre","Autre*","")))))))),'Étape 1 - à remplir'!$G$31:$G$400,"animaux",'Étape 1 - à remplir'!$M$31:$M$400,MASQ2!BC$43)/SUMIFS('Étape 1 - à remplir'!$F$19:$F$28,'Étape 1 - à remplir'!$C$19:$C$28,MASQ2!$AT70,'Étape 1 - à remplir'!$G$19:$G$28,"animaux"),"")</f>
        <v/>
      </c>
      <c r="BD70" t="str">
        <f>IFERROR(SUMIFS('Étape 1 - à remplir'!$F$31:$F$400,'Étape 1 - à remplir'!$C$31:$C$400,IF($AT70="Bovin","Bovin*",IF($AT70="Ovin","Ovin*",IF($AT70="Caprin","Caprin*",IF($AT70="Porcin","Porcin*",IF($AT70="Equin","Equin*",IF($AT70="Volaille","Volaille*",IF($AT70="Poisson","Poisson*",IF($AT70="Autre","Autre*","")))))))),'Étape 1 - à remplir'!$G$31:$G$400,"animaux",'Étape 1 - à remplir'!$M$31:$M$400,MASQ2!BD$43)/SUMIFS('Étape 1 - à remplir'!$F$19:$F$28,'Étape 1 - à remplir'!$C$19:$C$28,MASQ2!$AT70,'Étape 1 - à remplir'!$G$19:$G$28,"animaux"),"")</f>
        <v/>
      </c>
      <c r="BE70" t="str">
        <f>IFERROR(SUMIFS('Étape 1 - à remplir'!$F$31:$F$400,'Étape 1 - à remplir'!$C$31:$C$400,IF($AT70="Bovin","Bovin*",IF($AT70="Ovin","Ovin*",IF($AT70="Caprin","Caprin*",IF($AT70="Porcin","Porcin*",IF($AT70="Equin","Equin*",IF($AT70="Volaille","Volaille*",IF($AT70="Poisson","Poisson*",IF($AT70="Autre","Autre*","")))))))),'Étape 1 - à remplir'!$G$31:$G$400,"animaux",'Étape 1 - à remplir'!$M$31:$M$400,MASQ2!BE$43)/SUMIFS('Étape 1 - à remplir'!$F$19:$F$28,'Étape 1 - à remplir'!$C$19:$C$28,MASQ2!$AT70,'Étape 1 - à remplir'!$G$19:$G$28,"animaux"),"")</f>
        <v/>
      </c>
      <c r="BF70" s="76" t="str">
        <f>IFERROR(SUMIFS('Étape 1 - à remplir'!$F$31:$F$400,'Étape 1 - à remplir'!$C$31:$C$400,IF($AT70="Bovin","Bovin*",IF($AT70="Ovin","Ovin*",IF($AT70="Caprin","Caprin*",IF($AT70="Porcin","Porcin*",IF($AT70="Equin","Equin*",IF($AT70="Volaille","Volaille*",IF($AT70="Poisson","Poisson*",IF($AT70="Autre","Autre*","")))))))),'Étape 1 - à remplir'!$G$31:$G$400,"animaux",'Étape 1 - à remplir'!$M$31:$M$400,MASQ2!BF$43)/SUMIFS('Étape 1 - à remplir'!$F$19:$F$28,'Étape 1 - à remplir'!$C$19:$C$28,MASQ2!$AT70,'Étape 1 - à remplir'!$G$19:$G$28,"animaux"),"")</f>
        <v/>
      </c>
      <c r="BT70" s="194" t="str">
        <f t="shared" ca="1" si="131"/>
        <v>x</v>
      </c>
      <c r="BU70" s="219" t="str">
        <f>IFERROR(IF(BX70=0,"",COUNTIF(BX$4:BX$600,"&gt;"&amp;BX70)+COUNTIF(BX$4:BX70,BX70)),"")</f>
        <v/>
      </c>
      <c r="BV70" s="42" t="str">
        <f t="shared" si="132"/>
        <v>BAYTRIL XM 100 MG/ML SOLUTION INJECTABLE POUR BOVINS ET PORCINS</v>
      </c>
      <c r="BW70" t="e">
        <f>IF(IF(CE$2="Catégorie",IF(CE$3="Toutes",SUMIFS('Étape 1 - à remplir'!$F$31:$F$400,'Étape 1 - à remplir'!$E$31:$E$400,MASQ2!BV70,'Étape 1 - à remplir'!$G$31:$G$400,"lots"),SUMIFS('Étape 1 - à remplir'!$F$31:$F$400,'Étape 1 - à remplir'!$E$31:$E$400,MASQ2!BV70,'Étape 1 - à remplir'!$C$31:$C$400,CE$3)),IF(CE$2="Âge",IF(CE$3="Tous",SUMIFS('Étape 1 - à remplir'!$F$31:$F$400,'Étape 1 - à remplir'!$E$31:$E$400,MASQ2!BV70,'Étape 1 - à remplir'!$G$31:$G$400,"lots"),SUMIFS('Étape 1 - à remplir'!$F$31:$F$400,'Étape 1 - à remplir'!$E$31:$E$400,MASQ2!BV70,'Étape 1 - à remplir'!$P$31:$P$400,CE$3,'Étape 1 - à remplir'!$G$31:$G$400,"lots")),IF(CE$2="Atelier",IF(CE$3="Tous",SUMIFS('Étape 1 - à remplir'!$F$31:$F$400,'Étape 1 - à remplir'!$E$31:$E$400,MASQ2!BV70,'Étape 1 - à remplir'!$G$31:$G$400,"lots"),SUMIFS('Étape 1 - à remplir'!$F$31:$F$400,'Étape 1 - à remplir'!$E$31:$E$400,MASQ2!BV70,'Étape 1 - à remplir'!$O$31:$O$400,CE$3,'Étape 1 - à remplir'!$G$31:$G$400,"lots")),IF(CE$2="Espèce",IF(CE$3="Toutes",SUMIFS('Étape 1 - à remplir'!$F$31:$F$400,'Étape 1 - à remplir'!$E$31:$E$400,MASQ2!BV70,'Étape 1 - à remplir'!$G$31:$G$400,"lots"),SUMIFS('Étape 1 - à remplir'!$F$31:$F$400,'Étape 1 - à remplir'!$E$31:$E$400,MASQ2!BV70,'Étape 1 - à remplir'!$N$31:$N$400,CE$3,'Étape 1 - à remplir'!$G$31:$G$400,"lots"))))))=0,NA(),IF(CE$2="Catégorie",IF(CE$3="Toutes",SUMIFS('Étape 1 - à remplir'!$F$31:$F$400,'Étape 1 - à remplir'!$E$31:$E$400,MASQ2!BV70,'Étape 1 - à remplir'!$G$31:$G$400,"lots"),SUMIFS('Étape 1 - à remplir'!$F$31:$F$400,'Étape 1 - à remplir'!$E$31:$E$400,MASQ2!BV70,'Étape 1 - à remplir'!$C$31:$C$400,CE$3)),IF(CE$2="Âge",IF(CE$3="Tous",SUMIFS('Étape 1 - à remplir'!$F$31:$F$400,'Étape 1 - à remplir'!$E$31:$E$400,MASQ2!BV70,'Étape 1 - à remplir'!$G$31:$G$400,"lots"),SUMIFS('Étape 1 - à remplir'!$F$31:$F$400,'Étape 1 - à remplir'!$E$31:$E$400,MASQ2!BV70,'Étape 1 - à remplir'!$P$31:$P$400,CE$3,'Étape 1 - à remplir'!$G$31:$G$400,"lots")),IF(CE$2="Atelier",IF(CE$3="Tous",SUMIFS('Étape 1 - à remplir'!$F$31:$F$400,'Étape 1 - à remplir'!$E$31:$E$400,MASQ2!BV70,'Étape 1 - à remplir'!$G$31:$G$400,"lots"),SUMIFS('Étape 1 - à remplir'!$F$31:$F$400,'Étape 1 - à remplir'!$E$31:$E$400,MASQ2!BV70,'Étape 1 - à remplir'!$O$31:$O$400,CE$3,'Étape 1 - à remplir'!$G$31:$G$400,"lots")),IF(CE$2="Espèce",IF(CE$3="Toutes",SUMIFS('Étape 1 - à remplir'!$F$31:$F$400,'Étape 1 - à remplir'!$E$31:$E$400,MASQ2!BV70,'Étape 1 - à remplir'!$G$31:$G$400,"lots"),SUMIFS('Étape 1 - à remplir'!$F$31:$F$400,'Étape 1 - à remplir'!$E$31:$E$400,MASQ2!BV70,'Étape 1 - à remplir'!$N$31:$N$400,CE$3,'Étape 1 - à remplir'!$G$31:$G$400,"lots")))))))</f>
        <v>#N/A</v>
      </c>
      <c r="BX70">
        <f t="shared" si="149"/>
        <v>0</v>
      </c>
      <c r="BY70" t="str">
        <f t="shared" si="133"/>
        <v>Enrofloxacine</v>
      </c>
      <c r="BZ70" t="str">
        <f t="shared" si="134"/>
        <v/>
      </c>
      <c r="CA70" t="str">
        <f t="shared" si="135"/>
        <v/>
      </c>
      <c r="CB70" t="str">
        <f t="shared" si="136"/>
        <v>Fluoroquinolones</v>
      </c>
      <c r="CC70" t="str">
        <f t="shared" si="137"/>
        <v/>
      </c>
      <c r="CD70" s="63" t="str">
        <f t="shared" si="138"/>
        <v/>
      </c>
      <c r="CG70" s="42">
        <v>67</v>
      </c>
      <c r="CH70" s="42" t="e">
        <f t="shared" si="80"/>
        <v>#N/A</v>
      </c>
      <c r="CI70" s="63" t="e">
        <f t="shared" si="81"/>
        <v>#N/A</v>
      </c>
      <c r="DA70" s="118" t="str">
        <f t="shared" si="129"/>
        <v/>
      </c>
      <c r="DB70" s="118" t="str">
        <f>IFERROR(SUMIFS('Étape 1 - à remplir'!$F$31:$F$400,'Étape 1 - à remplir'!$C$31:$C$400,IF($DA70="Bovin","Bovin*",IF($DA70="Ovin","Ovin*",IF($DA70="Caprin","Caprin*",IF($DA70="Porcin","Porcin*",IF($DA70="Equin","Equin*",IF($DA70="Volaille","Volaille*",IF($DA70="Poisson","Poisson*",IF($DA70="Autre","Autre*","")))))))),'Étape 1 - à remplir'!$G$31:$G$400,"lots",'Étape 1 - à remplir'!$M$31:$M$400,MASQ2!DB$43)/SUMIFS('Étape 1 - à remplir'!$F$19:$F$28,'Étape 1 - à remplir'!$C$19:$C$28,MASQ2!$DA70,'Étape 1 - à remplir'!$G$19:$G$28,"lots"),"")</f>
        <v/>
      </c>
      <c r="DC70" t="str">
        <f>IFERROR(SUMIFS('Étape 1 - à remplir'!$F$31:$F$400,'Étape 1 - à remplir'!$C$31:$C$400,IF($DA70="Bovin","Bovin*",IF($DA70="Ovin","Ovin*",IF($DA70="Caprin","Caprin*",IF($DA70="Porcin","Porcin*",IF($DA70="Equin","Equin*",IF($DA70="Volaille","Volaille*",IF($DA70="Poisson","Poisson*",IF($DA70="Autre","Autre*","")))))))),'Étape 1 - à remplir'!$G$31:$G$400,"lots",'Étape 1 - à remplir'!$M$31:$M$400,MASQ2!DC$43)/SUMIFS('Étape 1 - à remplir'!$F$19:$F$28,'Étape 1 - à remplir'!$C$19:$C$28,MASQ2!$DA70,'Étape 1 - à remplir'!$G$19:$G$28,"lots"),"")</f>
        <v/>
      </c>
      <c r="DD70" t="str">
        <f>IFERROR(SUMIFS('Étape 1 - à remplir'!$F$31:$F$400,'Étape 1 - à remplir'!$C$31:$C$400,IF($DA70="Bovin","Bovin*",IF($DA70="Ovin","Ovin*",IF($DA70="Caprin","Caprin*",IF($DA70="Porcin","Porcin*",IF($DA70="Equin","Equin*",IF($DA70="Volaille","Volaille*",IF($DA70="Poisson","Poisson*",IF($DA70="Autre","Autre*","")))))))),'Étape 1 - à remplir'!$G$31:$G$400,"lots",'Étape 1 - à remplir'!$M$31:$M$400,MASQ2!DD$43)/SUMIFS('Étape 1 - à remplir'!$F$19:$F$28,'Étape 1 - à remplir'!$C$19:$C$28,MASQ2!$DA70,'Étape 1 - à remplir'!$G$19:$G$28,"lots"),"")</f>
        <v/>
      </c>
      <c r="DE70" t="str">
        <f>IFERROR(SUMIFS('Étape 1 - à remplir'!$F$31:$F$400,'Étape 1 - à remplir'!$C$31:$C$400,IF($DA70="Bovin","Bovin*",IF($DA70="Ovin","Ovin*",IF($DA70="Caprin","Caprin*",IF($DA70="Porcin","Porcin*",IF($DA70="Equin","Equin*",IF($DA70="Volaille","Volaille*",IF($DA70="Poisson","Poisson*",IF($DA70="Autre","Autre*","")))))))),'Étape 1 - à remplir'!$G$31:$G$400,"lots",'Étape 1 - à remplir'!$M$31:$M$400,MASQ2!DE$43)/SUMIFS('Étape 1 - à remplir'!$F$19:$F$28,'Étape 1 - à remplir'!$C$19:$C$28,MASQ2!$DA70,'Étape 1 - à remplir'!$G$19:$G$28,"lots"),"")</f>
        <v/>
      </c>
      <c r="DF70" t="str">
        <f>IFERROR(SUMIFS('Étape 1 - à remplir'!$F$31:$F$400,'Étape 1 - à remplir'!$C$31:$C$400,IF($DA70="Bovin","Bovin*",IF($DA70="Ovin","Ovin*",IF($DA70="Caprin","Caprin*",IF($DA70="Porcin","Porcin*",IF($DA70="Equin","Equin*",IF($DA70="Volaille","Volaille*",IF($DA70="Poisson","Poisson*",IF($DA70="Autre","Autre*","")))))))),'Étape 1 - à remplir'!$G$31:$G$400,"lots",'Étape 1 - à remplir'!$M$31:$M$400,MASQ2!DF$43)/SUMIFS('Étape 1 - à remplir'!$F$19:$F$28,'Étape 1 - à remplir'!$C$19:$C$28,MASQ2!$DA70,'Étape 1 - à remplir'!$G$19:$G$28,"lots"),"")</f>
        <v/>
      </c>
      <c r="DG70" t="str">
        <f>IFERROR(SUMIFS('Étape 1 - à remplir'!$F$31:$F$400,'Étape 1 - à remplir'!$C$31:$C$400,IF($DA70="Bovin","Bovin*",IF($DA70="Ovin","Ovin*",IF($DA70="Caprin","Caprin*",IF($DA70="Porcin","Porcin*",IF($DA70="Equin","Equin*",IF($DA70="Volaille","Volaille*",IF($DA70="Poisson","Poisson*",IF($DA70="Autre","Autre*","")))))))),'Étape 1 - à remplir'!$G$31:$G$400,"lots",'Étape 1 - à remplir'!$M$31:$M$400,MASQ2!DG$43)/SUMIFS('Étape 1 - à remplir'!$F$19:$F$28,'Étape 1 - à remplir'!$C$19:$C$28,MASQ2!$DA70,'Étape 1 - à remplir'!$G$19:$G$28,"lots"),"")</f>
        <v/>
      </c>
      <c r="DH70" t="str">
        <f>IFERROR(SUMIFS('Étape 1 - à remplir'!$F$31:$F$400,'Étape 1 - à remplir'!$C$31:$C$400,IF($DA70="Bovin","Bovin*",IF($DA70="Ovin","Ovin*",IF($DA70="Caprin","Caprin*",IF($DA70="Porcin","Porcin*",IF($DA70="Equin","Equin*",IF($DA70="Volaille","Volaille*",IF($DA70="Poisson","Poisson*",IF($DA70="Autre","Autre*","")))))))),'Étape 1 - à remplir'!$G$31:$G$400,"lots",'Étape 1 - à remplir'!$M$31:$M$400,MASQ2!DH$43)/SUMIFS('Étape 1 - à remplir'!$F$19:$F$28,'Étape 1 - à remplir'!$C$19:$C$28,MASQ2!$DA70,'Étape 1 - à remplir'!$G$19:$G$28,"lots"),"")</f>
        <v/>
      </c>
      <c r="DI70" t="str">
        <f>IFERROR(SUMIFS('Étape 1 - à remplir'!$F$31:$F$400,'Étape 1 - à remplir'!$C$31:$C$400,IF($DA70="Bovin","Bovin*",IF($DA70="Ovin","Ovin*",IF($DA70="Caprin","Caprin*",IF($DA70="Porcin","Porcin*",IF($DA70="Equin","Equin*",IF($DA70="Volaille","Volaille*",IF($DA70="Poisson","Poisson*",IF($DA70="Autre","Autre*","")))))))),'Étape 1 - à remplir'!$G$31:$G$400,"lots",'Étape 1 - à remplir'!$M$31:$M$400,MASQ2!DI$43)/SUMIFS('Étape 1 - à remplir'!$F$19:$F$28,'Étape 1 - à remplir'!$C$19:$C$28,MASQ2!$DA70,'Étape 1 - à remplir'!$G$19:$G$28,"lots"),"")</f>
        <v/>
      </c>
      <c r="DJ70" t="str">
        <f>IFERROR(SUMIFS('Étape 1 - à remplir'!$F$31:$F$400,'Étape 1 - à remplir'!$C$31:$C$400,IF($DA70="Bovin","Bovin*",IF($DA70="Ovin","Ovin*",IF($DA70="Caprin","Caprin*",IF($DA70="Porcin","Porcin*",IF($DA70="Equin","Equin*",IF($DA70="Volaille","Volaille*",IF($DA70="Poisson","Poisson*",IF($DA70="Autre","Autre*","")))))))),'Étape 1 - à remplir'!$G$31:$G$400,"lots",'Étape 1 - à remplir'!$M$31:$M$400,MASQ2!DJ$43)/SUMIFS('Étape 1 - à remplir'!$F$19:$F$28,'Étape 1 - à remplir'!$C$19:$C$28,MASQ2!$DA70,'Étape 1 - à remplir'!$G$19:$G$28,"lots"),"")</f>
        <v/>
      </c>
      <c r="DK70" t="str">
        <f>IFERROR(SUMIFS('Étape 1 - à remplir'!$F$31:$F$400,'Étape 1 - à remplir'!$C$31:$C$400,IF($DA70="Bovin","Bovin*",IF($DA70="Ovin","Ovin*",IF($DA70="Caprin","Caprin*",IF($DA70="Porcin","Porcin*",IF($DA70="Equin","Equin*",IF($DA70="Volaille","Volaille*",IF($DA70="Poisson","Poisson*",IF($DA70="Autre","Autre*","")))))))),'Étape 1 - à remplir'!$G$31:$G$400,"lots",'Étape 1 - à remplir'!$M$31:$M$400,MASQ2!DK$43)/SUMIFS('Étape 1 - à remplir'!$F$19:$F$28,'Étape 1 - à remplir'!$C$19:$C$28,MASQ2!$DA70,'Étape 1 - à remplir'!$G$19:$G$28,"lots"),"")</f>
        <v/>
      </c>
      <c r="DL70" t="str">
        <f>IFERROR(SUMIFS('Étape 1 - à remplir'!$F$31:$F$400,'Étape 1 - à remplir'!$C$31:$C$400,IF($DA70="Bovin","Bovin*",IF($DA70="Ovin","Ovin*",IF($DA70="Caprin","Caprin*",IF($DA70="Porcin","Porcin*",IF($DA70="Equin","Equin*",IF($DA70="Volaille","Volaille*",IF($DA70="Poisson","Poisson*",IF($DA70="Autre","Autre*","")))))))),'Étape 1 - à remplir'!$G$31:$G$400,"lots",'Étape 1 - à remplir'!$M$31:$M$400,MASQ2!DL$43)/SUMIFS('Étape 1 - à remplir'!$F$19:$F$28,'Étape 1 - à remplir'!$C$19:$C$28,MASQ2!$DA70,'Étape 1 - à remplir'!$G$19:$G$28,"lots"),"")</f>
        <v/>
      </c>
      <c r="DM70" s="76" t="str">
        <f>IFERROR(SUMIFS('Étape 1 - à remplir'!$F$31:$F$400,'Étape 1 - à remplir'!$C$31:$C$400,IF($DA70="Bovin","Bovin*",IF($DA70="Ovin","Ovin*",IF($DA70="Caprin","Caprin*",IF($DA70="Porcin","Porcin*",IF($DA70="Equin","Equin*",IF($DA70="Volaille","Volaille*",IF($DA70="Poisson","Poisson*",IF($DA70="Autre","Autre*","")))))))),'Étape 1 - à remplir'!$G$31:$G$400,"lots",'Étape 1 - à remplir'!$M$31:$M$400,MASQ2!DM$43)/SUMIFS('Étape 1 - à remplir'!$F$19:$F$28,'Étape 1 - à remplir'!$C$19:$C$28,MASQ2!$DA70,'Étape 1 - à remplir'!$G$19:$G$28,"lots"),"")</f>
        <v/>
      </c>
      <c r="EA70" s="194" t="str">
        <f t="shared" ca="1" si="139"/>
        <v>x</v>
      </c>
      <c r="EB70" s="226" t="str">
        <f>IFERROR(IF(ED70=0,"",COUNTIF(ED$4:ED$600,"&gt;"&amp;ED70)+COUNTIF(ED$4:ED70,ED70)),"")</f>
        <v/>
      </c>
      <c r="EC70" t="str">
        <f t="shared" si="140"/>
        <v>BAYTRIL XM 100 MG/ML SOLUTION INJECTABLE POUR BOVINS ET PORCINS</v>
      </c>
      <c r="ED70" t="e">
        <f>IF(IF(EL$2="Catégorie",IF(EL$3="Toutes",SUMIFS('Étape 1 - à remplir'!$F$31:$F$400,'Étape 1 - à remplir'!$E$31:$E$400,MASQ2!EC70,'Étape 1 - à remplir'!$G$31:$G$400,"kg"),SUMIFS('Étape 1 - à remplir'!$F$31:$F$400,'Étape 1 - à remplir'!$E$31:$E$400,MASQ2!EC70,'Étape 1 - à remplir'!$C$31:$C$400,EL$3)),IF(EL$2="Âge",IF(EL$3="Tous",SUMIFS('Étape 1 - à remplir'!$F$31:$F$400,'Étape 1 - à remplir'!$E$31:$E$400,MASQ2!EC70,'Étape 1 - à remplir'!$G$31:$G$400,"kg"),SUMIFS('Étape 1 - à remplir'!$F$31:$F$400,'Étape 1 - à remplir'!$E$31:$E$400,MASQ2!EC70,'Étape 1 - à remplir'!$P$31:$P$400,EL$3,'Étape 1 - à remplir'!$G$31:$G$400,"kg")),IF(EL$2="Atelier",IF(EL$3="Tous",SUMIFS('Étape 1 - à remplir'!$F$31:$F$400,'Étape 1 - à remplir'!$E$31:$E$400,MASQ2!EC70,'Étape 1 - à remplir'!$G$31:$G$400,"kg"),SUMIFS('Étape 1 - à remplir'!$F$31:$F$400,'Étape 1 - à remplir'!$E$31:$E$400,MASQ2!EC70,'Étape 1 - à remplir'!$O$31:$O$400,EL$3,'Étape 1 - à remplir'!$G$31:$G$400,"kg")),IF(EL$2="Espèce",IF(EL$3="Toutes",SUMIFS('Étape 1 - à remplir'!$F$31:$F$400,'Étape 1 - à remplir'!$E$31:$E$400,MASQ2!EC70,'Étape 1 - à remplir'!$G$31:$G$400,"kg"),SUMIFS('Étape 1 - à remplir'!$F$31:$F$400,'Étape 1 - à remplir'!$E$31:$E$400,MASQ2!EC70,'Étape 1 - à remplir'!$N$31:$N$400,EL$3,'Étape 1 - à remplir'!$G$31:$G$400,"kg"))))))=0,NA(),IF(EL$2="Catégorie",IF(EL$3="Toutes",SUMIFS('Étape 1 - à remplir'!$F$31:$F$400,'Étape 1 - à remplir'!$E$31:$E$400,MASQ2!EC70,'Étape 1 - à remplir'!$G$31:$G$400,"kg"),SUMIFS('Étape 1 - à remplir'!$F$31:$F$400,'Étape 1 - à remplir'!$E$31:$E$400,MASQ2!EC70,'Étape 1 - à remplir'!$C$31:$C$400,EL$3)),IF(EL$2="Âge",IF(EL$3="Tous",SUMIFS('Étape 1 - à remplir'!$F$31:$F$400,'Étape 1 - à remplir'!$E$31:$E$400,MASQ2!EC70,'Étape 1 - à remplir'!$G$31:$G$400,"kg"),SUMIFS('Étape 1 - à remplir'!$F$31:$F$400,'Étape 1 - à remplir'!$E$31:$E$400,MASQ2!EC70,'Étape 1 - à remplir'!$P$31:$P$400,EL$3,'Étape 1 - à remplir'!$G$31:$G$400,"kg")),IF(EL$2="Atelier",IF(EL$3="Tous",SUMIFS('Étape 1 - à remplir'!$F$31:$F$400,'Étape 1 - à remplir'!$E$31:$E$400,MASQ2!EC70,'Étape 1 - à remplir'!$G$31:$G$400,"kg"),SUMIFS('Étape 1 - à remplir'!$F$31:$F$400,'Étape 1 - à remplir'!$E$31:$E$400,MASQ2!EC70,'Étape 1 - à remplir'!$O$31:$O$400,EL$3,'Étape 1 - à remplir'!$G$31:$G$400,"kg")),IF(EL$2="Espèce",IF(EL$3="Toutes",SUMIFS('Étape 1 - à remplir'!$F$31:$F$400,'Étape 1 - à remplir'!$E$31:$E$400,MASQ2!EC70,'Étape 1 - à remplir'!$G$31:$G$400,"kg"),SUMIFS('Étape 1 - à remplir'!$F$31:$F$400,'Étape 1 - à remplir'!$E$31:$E$400,MASQ2!EC70,'Étape 1 - à remplir'!$N$31:$N$400,EL$3,'Étape 1 - à remplir'!$G$31:$G$400,"kg")))))))</f>
        <v>#N/A</v>
      </c>
      <c r="EE70" s="76">
        <f t="shared" si="150"/>
        <v>0</v>
      </c>
      <c r="EF70" t="str">
        <f t="shared" si="141"/>
        <v>Enrofloxacine</v>
      </c>
      <c r="EG70" t="str">
        <f t="shared" si="142"/>
        <v/>
      </c>
      <c r="EH70" t="str">
        <f t="shared" si="143"/>
        <v/>
      </c>
      <c r="EI70" t="str">
        <f t="shared" si="144"/>
        <v>Fluoroquinolones</v>
      </c>
      <c r="EJ70" t="str">
        <f t="shared" si="145"/>
        <v/>
      </c>
      <c r="EK70" s="63" t="str">
        <f t="shared" si="146"/>
        <v/>
      </c>
      <c r="EN70" s="42">
        <v>67</v>
      </c>
      <c r="EO70" t="e">
        <f t="shared" si="68"/>
        <v>#N/A</v>
      </c>
      <c r="EP70" s="63" t="e">
        <f t="shared" si="69"/>
        <v>#N/A</v>
      </c>
      <c r="FH70" s="118" t="str">
        <f t="shared" si="130"/>
        <v/>
      </c>
      <c r="FI70" s="118" t="str">
        <f>IFERROR(SUMIFS('Étape 1 - à remplir'!$F$31:$F$400,'Étape 1 - à remplir'!$C$31:$C$400,IF($FH70="Bovin","Bovin*",IF($FH70="Ovin","Ovin*",IF($FH70="Caprin","Caprin*",IF($FH70="Porcin","Porcin*",IF($FH70="Equin","Equin*",IF($FH70="Volaille","Volaille*",IF($FH70="Poisson","Poisson*",IF($FH70="Autre","Autre*","")))))))),'Étape 1 - à remplir'!$G$31:$G$400,"kg",'Étape 1 - à remplir'!$M$31:$M$400,MASQ2!FI$43)/SUMIFS('Étape 1 - à remplir'!$F$19:$F$28,'Étape 1 - à remplir'!$C$19:$C$28,MASQ2!$FH70,'Étape 1 - à remplir'!$G$19:$G$28,"kg"),"")</f>
        <v/>
      </c>
      <c r="FJ70" t="str">
        <f>IFERROR(SUMIFS('Étape 1 - à remplir'!$F$31:$F$400,'Étape 1 - à remplir'!$C$31:$C$400,IF($FH70="Bovin","Bovin*",IF($FH70="Ovin","Ovin*",IF($FH70="Caprin","Caprin*",IF($FH70="Porcin","Porcin*",IF($FH70="Equin","Equin*",IF($FH70="Volaille","Volaille*",IF($FH70="Poisson","Poisson*",IF($FH70="Autre","Autre*","")))))))),'Étape 1 - à remplir'!$G$31:$G$400,"kg",'Étape 1 - à remplir'!$M$31:$M$400,MASQ2!FJ$43)/SUMIFS('Étape 1 - à remplir'!$F$19:$F$28,'Étape 1 - à remplir'!$C$19:$C$28,MASQ2!$FH70,'Étape 1 - à remplir'!$G$19:$G$28,"kg"),"")</f>
        <v/>
      </c>
      <c r="FK70" t="str">
        <f>IFERROR(SUMIFS('Étape 1 - à remplir'!$F$31:$F$400,'Étape 1 - à remplir'!$C$31:$C$400,IF($FH70="Bovin","Bovin*",IF($FH70="Ovin","Ovin*",IF($FH70="Caprin","Caprin*",IF($FH70="Porcin","Porcin*",IF($FH70="Equin","Equin*",IF($FH70="Volaille","Volaille*",IF($FH70="Poisson","Poisson*",IF($FH70="Autre","Autre*","")))))))),'Étape 1 - à remplir'!$G$31:$G$400,"kg",'Étape 1 - à remplir'!$M$31:$M$400,MASQ2!FK$43)/SUMIFS('Étape 1 - à remplir'!$F$19:$F$28,'Étape 1 - à remplir'!$C$19:$C$28,MASQ2!$FH70,'Étape 1 - à remplir'!$G$19:$G$28,"kg"),"")</f>
        <v/>
      </c>
      <c r="FL70" t="str">
        <f>IFERROR(SUMIFS('Étape 1 - à remplir'!$F$31:$F$400,'Étape 1 - à remplir'!$C$31:$C$400,IF($FH70="Bovin","Bovin*",IF($FH70="Ovin","Ovin*",IF($FH70="Caprin","Caprin*",IF($FH70="Porcin","Porcin*",IF($FH70="Equin","Equin*",IF($FH70="Volaille","Volaille*",IF($FH70="Poisson","Poisson*",IF($FH70="Autre","Autre*","")))))))),'Étape 1 - à remplir'!$G$31:$G$400,"kg",'Étape 1 - à remplir'!$M$31:$M$400,MASQ2!FL$43)/SUMIFS('Étape 1 - à remplir'!$F$19:$F$28,'Étape 1 - à remplir'!$C$19:$C$28,MASQ2!$FH70,'Étape 1 - à remplir'!$G$19:$G$28,"kg"),"")</f>
        <v/>
      </c>
      <c r="FM70" t="str">
        <f>IFERROR(SUMIFS('Étape 1 - à remplir'!$F$31:$F$400,'Étape 1 - à remplir'!$C$31:$C$400,IF($FH70="Bovin","Bovin*",IF($FH70="Ovin","Ovin*",IF($FH70="Caprin","Caprin*",IF($FH70="Porcin","Porcin*",IF($FH70="Equin","Equin*",IF($FH70="Volaille","Volaille*",IF($FH70="Poisson","Poisson*",IF($FH70="Autre","Autre*","")))))))),'Étape 1 - à remplir'!$G$31:$G$400,"kg",'Étape 1 - à remplir'!$M$31:$M$400,MASQ2!FM$43)/SUMIFS('Étape 1 - à remplir'!$F$19:$F$28,'Étape 1 - à remplir'!$C$19:$C$28,MASQ2!$FH70,'Étape 1 - à remplir'!$G$19:$G$28,"kg"),"")</f>
        <v/>
      </c>
      <c r="FN70" t="str">
        <f>IFERROR(SUMIFS('Étape 1 - à remplir'!$F$31:$F$400,'Étape 1 - à remplir'!$C$31:$C$400,IF($FH70="Bovin","Bovin*",IF($FH70="Ovin","Ovin*",IF($FH70="Caprin","Caprin*",IF($FH70="Porcin","Porcin*",IF($FH70="Equin","Equin*",IF($FH70="Volaille","Volaille*",IF($FH70="Poisson","Poisson*",IF($FH70="Autre","Autre*","")))))))),'Étape 1 - à remplir'!$G$31:$G$400,"kg",'Étape 1 - à remplir'!$M$31:$M$400,MASQ2!FN$43)/SUMIFS('Étape 1 - à remplir'!$F$19:$F$28,'Étape 1 - à remplir'!$C$19:$C$28,MASQ2!$FH70,'Étape 1 - à remplir'!$G$19:$G$28,"kg"),"")</f>
        <v/>
      </c>
      <c r="FO70" t="str">
        <f>IFERROR(SUMIFS('Étape 1 - à remplir'!$F$31:$F$400,'Étape 1 - à remplir'!$C$31:$C$400,IF($FH70="Bovin","Bovin*",IF($FH70="Ovin","Ovin*",IF($FH70="Caprin","Caprin*",IF($FH70="Porcin","Porcin*",IF($FH70="Equin","Equin*",IF($FH70="Volaille","Volaille*",IF($FH70="Poisson","Poisson*",IF($FH70="Autre","Autre*","")))))))),'Étape 1 - à remplir'!$G$31:$G$400,"kg",'Étape 1 - à remplir'!$M$31:$M$400,MASQ2!FO$43)/SUMIFS('Étape 1 - à remplir'!$F$19:$F$28,'Étape 1 - à remplir'!$C$19:$C$28,MASQ2!$FH70,'Étape 1 - à remplir'!$G$19:$G$28,"kg"),"")</f>
        <v/>
      </c>
      <c r="FP70" t="str">
        <f>IFERROR(SUMIFS('Étape 1 - à remplir'!$F$31:$F$400,'Étape 1 - à remplir'!$C$31:$C$400,IF($FH70="Bovin","Bovin*",IF($FH70="Ovin","Ovin*",IF($FH70="Caprin","Caprin*",IF($FH70="Porcin","Porcin*",IF($FH70="Equin","Equin*",IF($FH70="Volaille","Volaille*",IF($FH70="Poisson","Poisson*",IF($FH70="Autre","Autre*","")))))))),'Étape 1 - à remplir'!$G$31:$G$400,"kg",'Étape 1 - à remplir'!$M$31:$M$400,MASQ2!FP$43)/SUMIFS('Étape 1 - à remplir'!$F$19:$F$28,'Étape 1 - à remplir'!$C$19:$C$28,MASQ2!$FH70,'Étape 1 - à remplir'!$G$19:$G$28,"kg"),"")</f>
        <v/>
      </c>
      <c r="FQ70" t="str">
        <f>IFERROR(SUMIFS('Étape 1 - à remplir'!$F$31:$F$400,'Étape 1 - à remplir'!$C$31:$C$400,IF($FH70="Bovin","Bovin*",IF($FH70="Ovin","Ovin*",IF($FH70="Caprin","Caprin*",IF($FH70="Porcin","Porcin*",IF($FH70="Equin","Equin*",IF($FH70="Volaille","Volaille*",IF($FH70="Poisson","Poisson*",IF($FH70="Autre","Autre*","")))))))),'Étape 1 - à remplir'!$G$31:$G$400,"kg",'Étape 1 - à remplir'!$M$31:$M$400,MASQ2!FQ$43)/SUMIFS('Étape 1 - à remplir'!$F$19:$F$28,'Étape 1 - à remplir'!$C$19:$C$28,MASQ2!$FH70,'Étape 1 - à remplir'!$G$19:$G$28,"kg"),"")</f>
        <v/>
      </c>
      <c r="FR70" t="str">
        <f>IFERROR(SUMIFS('Étape 1 - à remplir'!$F$31:$F$400,'Étape 1 - à remplir'!$C$31:$C$400,IF($FH70="Bovin","Bovin*",IF($FH70="Ovin","Ovin*",IF($FH70="Caprin","Caprin*",IF($FH70="Porcin","Porcin*",IF($FH70="Equin","Equin*",IF($FH70="Volaille","Volaille*",IF($FH70="Poisson","Poisson*",IF($FH70="Autre","Autre*","")))))))),'Étape 1 - à remplir'!$G$31:$G$400,"kg",'Étape 1 - à remplir'!$M$31:$M$400,MASQ2!FR$43)/SUMIFS('Étape 1 - à remplir'!$F$19:$F$28,'Étape 1 - à remplir'!$C$19:$C$28,MASQ2!$FH70,'Étape 1 - à remplir'!$G$19:$G$28,"kg"),"")</f>
        <v/>
      </c>
      <c r="FS70" t="str">
        <f>IFERROR(SUMIFS('Étape 1 - à remplir'!$F$31:$F$400,'Étape 1 - à remplir'!$C$31:$C$400,IF($FH70="Bovin","Bovin*",IF($FH70="Ovin","Ovin*",IF($FH70="Caprin","Caprin*",IF($FH70="Porcin","Porcin*",IF($FH70="Equin","Equin*",IF($FH70="Volaille","Volaille*",IF($FH70="Poisson","Poisson*",IF($FH70="Autre","Autre*","")))))))),'Étape 1 - à remplir'!$G$31:$G$400,"kg",'Étape 1 - à remplir'!$M$31:$M$400,MASQ2!FS$43)/SUMIFS('Étape 1 - à remplir'!$F$19:$F$28,'Étape 1 - à remplir'!$C$19:$C$28,MASQ2!$FH70,'Étape 1 - à remplir'!$G$19:$G$28,"kg"),"")</f>
        <v/>
      </c>
      <c r="FT70" s="76" t="str">
        <f>IFERROR(SUMIFS('Étape 1 - à remplir'!$F$31:$F$400,'Étape 1 - à remplir'!$C$31:$C$400,IF($FH70="Bovin","Bovin*",IF($FH70="Ovin","Ovin*",IF($FH70="Caprin","Caprin*",IF($FH70="Porcin","Porcin*",IF($FH70="Equin","Equin*",IF($FH70="Volaille","Volaille*",IF($FH70="Poisson","Poisson*",IF($FH70="Autre","Autre*","")))))))),'Étape 1 - à remplir'!$G$31:$G$400,"kg",'Étape 1 - à remplir'!$M$31:$M$400,MASQ2!FT$43)/SUMIFS('Étape 1 - à remplir'!$F$19:$F$28,'Étape 1 - à remplir'!$C$19:$C$28,MASQ2!$FH70,'Étape 1 - à remplir'!$G$19:$G$28,"kg"),"")</f>
        <v/>
      </c>
    </row>
    <row r="71" spans="2:176" x14ac:dyDescent="0.3">
      <c r="B71" s="42"/>
      <c r="M71" s="194" t="str">
        <f ca="1">INDEX(Données_ATB!BD:BU,MATCH(MASQ2!O71,Données_ATB!BD:BD,0),18)</f>
        <v>x</v>
      </c>
      <c r="N71" s="14" t="str">
        <f>IFERROR(IF(Q71=0,"",COUNTIF(Q$4:Q$600,"&gt;"&amp;Q71)+COUNTIF(Q$4:Q71,Q71)),"")</f>
        <v/>
      </c>
      <c r="O71" t="str">
        <f>Données_ATB!BD70</f>
        <v>BELCOMYCINE S</v>
      </c>
      <c r="P71" t="e">
        <f>IF(IF(X$2="Catégorie",IF(X$3="Toutes",SUMIFS('Étape 1 - à remplir'!$F$31:$F$400,'Étape 1 - à remplir'!$E$31:$E$400,MASQ2!O71,'Étape 1 - à remplir'!$G$31:$G$400,"animaux"),SUMIFS('Étape 1 - à remplir'!$F$31:$F$400,'Étape 1 - à remplir'!$E$31:$E$400,MASQ2!O71,'Étape 1 - à remplir'!$C$31:$C$400,X$3)),IF(X$2="Âge",IF(X$3="Tous",SUMIFS('Étape 1 - à remplir'!$F$31:$F$400,'Étape 1 - à remplir'!$E$31:$E$400,MASQ2!O71,'Étape 1 - à remplir'!$G$31:$G$400,"animaux"),SUMIFS('Étape 1 - à remplir'!$F$31:$F$400,'Étape 1 - à remplir'!$E$31:$E$400,MASQ2!O71,'Étape 1 - à remplir'!$P$31:$P$400,X$3)),IF(X$2="Atelier",IF(X$3="Tous",SUMIFS('Étape 1 - à remplir'!$F$31:$F$400,'Étape 1 - à remplir'!$E$31:$E$400,MASQ2!O71,'Étape 1 - à remplir'!$G$31:$G$400,"animaux"),SUMIFS('Étape 1 - à remplir'!$F$31:$F$400,'Étape 1 - à remplir'!$E$31:$E$400,MASQ2!O71,'Étape 1 - à remplir'!$O$31:$O$400,X$3)),IF(X$2="Espèce",IF(X$3="Toutes",SUMIFS('Étape 1 - à remplir'!$F$31:$F$400,'Étape 1 - à remplir'!$E$31:$E$400,MASQ2!O71,'Étape 1 - à remplir'!$G$31:$G$400,"animaux"),SUMIFS('Étape 1 - à remplir'!$F$31:$F$400,'Étape 1 - à remplir'!$E$31:$E$400,MASQ2!O71,'Étape 1 - à remplir'!$N$31:$N$400,X$3))))))=0,NA(),IF(X$2="Catégorie",IF(X$3="Toutes",SUMIFS('Étape 1 - à remplir'!$F$31:$F$400,'Étape 1 - à remplir'!$E$31:$E$400,MASQ2!O71,'Étape 1 - à remplir'!$G$31:$G$400,"animaux"),SUMIFS('Étape 1 - à remplir'!$F$31:$F$400,'Étape 1 - à remplir'!$E$31:$E$400,MASQ2!O71,'Étape 1 - à remplir'!$C$31:$C$400,X$3)),IF(X$2="Âge",IF(X$3="Tous",SUMIFS('Étape 1 - à remplir'!$F$31:$F$400,'Étape 1 - à remplir'!$E$31:$E$400,MASQ2!O71,'Étape 1 - à remplir'!$G$31:$G$400,"animaux"),SUMIFS('Étape 1 - à remplir'!$F$31:$F$400,'Étape 1 - à remplir'!$E$31:$E$400,MASQ2!O71,'Étape 1 - à remplir'!$P$31:$P$400,X$3)),IF(X$2="Atelier",IF(X$3="Tous",SUMIFS('Étape 1 - à remplir'!$F$31:$F$400,'Étape 1 - à remplir'!$E$31:$E$400,MASQ2!O71,'Étape 1 - à remplir'!$G$31:$G$400,"animaux"),SUMIFS('Étape 1 - à remplir'!$F$31:$F$400,'Étape 1 - à remplir'!$E$31:$E$400,MASQ2!O71,'Étape 1 - à remplir'!$O$31:$O$400,X$3)),IF(X$2="Espèce",IF(X$3="Toutes",SUMIFS('Étape 1 - à remplir'!$F$31:$F$400,'Étape 1 - à remplir'!$E$31:$E$400,MASQ2!O71,'Étape 1 - à remplir'!$G$31:$G$400,"animaux"),SUMIFS('Étape 1 - à remplir'!$F$31:$F$400,'Étape 1 - à remplir'!$E$31:$E$400,MASQ2!O71,'Étape 1 - à remplir'!$N$31:$N$400,X$3)))))))</f>
        <v>#N/A</v>
      </c>
      <c r="Q71" s="63">
        <f t="shared" si="151"/>
        <v>0</v>
      </c>
      <c r="R71" t="str">
        <f>Données_ATB!BM70</f>
        <v>Colistine</v>
      </c>
      <c r="S71" t="str">
        <f>Données_ATB!BN70</f>
        <v/>
      </c>
      <c r="T71" s="63" t="str">
        <f>Données_ATB!BO70</f>
        <v/>
      </c>
      <c r="U71" s="42" t="str">
        <f>Données_ATB!BQ70</f>
        <v>Polypeptides</v>
      </c>
      <c r="V71" t="str">
        <f>Données_ATB!BR70</f>
        <v/>
      </c>
      <c r="W71" s="63" t="str">
        <f>Données_ATB!BS70</f>
        <v/>
      </c>
      <c r="Z71" s="42">
        <v>68</v>
      </c>
      <c r="AA71" t="e">
        <f t="shared" si="147"/>
        <v>#N/A</v>
      </c>
      <c r="AB71" s="63" t="e">
        <f t="shared" si="148"/>
        <v>#N/A</v>
      </c>
      <c r="AT71" s="118" t="str">
        <f t="shared" si="128"/>
        <v/>
      </c>
      <c r="AU71" s="118" t="str">
        <f>IFERROR(SUMIFS('Étape 1 - à remplir'!$F$31:$F$400,'Étape 1 - à remplir'!$C$31:$C$400,IF($AT71="Bovin","Bovin*",IF($AT71="Ovin","Ovin*",IF($AT71="Caprin","Caprin*",IF($AT71="Porcin","Porcin*",IF($AT71="Equin","Equin*",IF($AT71="Volaille","Volaille*",IF($AT71="Poisson","Poisson*",IF($AT71="Autre","Autre*","")))))))),'Étape 1 - à remplir'!$G$31:$G$400,"animaux",'Étape 1 - à remplir'!$M$31:$M$400,MASQ2!AU$43)/SUMIFS('Étape 1 - à remplir'!$F$19:$F$28,'Étape 1 - à remplir'!$C$19:$C$28,MASQ2!$AT71,'Étape 1 - à remplir'!$G$19:$G$28,"animaux"),"")</f>
        <v/>
      </c>
      <c r="AV71" t="str">
        <f>IFERROR(SUMIFS('Étape 1 - à remplir'!$F$31:$F$400,'Étape 1 - à remplir'!$C$31:$C$400,IF($AT71="Bovin","Bovin*",IF($AT71="Ovin","Ovin*",IF($AT71="Caprin","Caprin*",IF($AT71="Porcin","Porcin*",IF($AT71="Equin","Equin*",IF($AT71="Volaille","Volaille*",IF($AT71="Poisson","Poisson*",IF($AT71="Autre","Autre*","")))))))),'Étape 1 - à remplir'!$G$31:$G$400,"animaux",'Étape 1 - à remplir'!$M$31:$M$400,MASQ2!AV$43)/SUMIFS('Étape 1 - à remplir'!$F$19:$F$28,'Étape 1 - à remplir'!$C$19:$C$28,MASQ2!$AT71,'Étape 1 - à remplir'!$G$19:$G$28,"animaux"),"")</f>
        <v/>
      </c>
      <c r="AW71" t="str">
        <f>IFERROR(SUMIFS('Étape 1 - à remplir'!$F$31:$F$400,'Étape 1 - à remplir'!$C$31:$C$400,IF($AT71="Bovin","Bovin*",IF($AT71="Ovin","Ovin*",IF($AT71="Caprin","Caprin*",IF($AT71="Porcin","Porcin*",IF($AT71="Equin","Equin*",IF($AT71="Volaille","Volaille*",IF($AT71="Poisson","Poisson*",IF($AT71="Autre","Autre*","")))))))),'Étape 1 - à remplir'!$G$31:$G$400,"animaux",'Étape 1 - à remplir'!$M$31:$M$400,MASQ2!AW$43)/SUMIFS('Étape 1 - à remplir'!$F$19:$F$28,'Étape 1 - à remplir'!$C$19:$C$28,MASQ2!$AT71,'Étape 1 - à remplir'!$G$19:$G$28,"animaux"),"")</f>
        <v/>
      </c>
      <c r="AX71" t="str">
        <f>IFERROR(SUMIFS('Étape 1 - à remplir'!$F$31:$F$400,'Étape 1 - à remplir'!$C$31:$C$400,IF($AT71="Bovin","Bovin*",IF($AT71="Ovin","Ovin*",IF($AT71="Caprin","Caprin*",IF($AT71="Porcin","Porcin*",IF($AT71="Equin","Equin*",IF($AT71="Volaille","Volaille*",IF($AT71="Poisson","Poisson*",IF($AT71="Autre","Autre*","")))))))),'Étape 1 - à remplir'!$G$31:$G$400,"animaux",'Étape 1 - à remplir'!$M$31:$M$400,MASQ2!AX$43)/SUMIFS('Étape 1 - à remplir'!$F$19:$F$28,'Étape 1 - à remplir'!$C$19:$C$28,MASQ2!$AT71,'Étape 1 - à remplir'!$G$19:$G$28,"animaux"),"")</f>
        <v/>
      </c>
      <c r="AY71" t="str">
        <f>IFERROR(SUMIFS('Étape 1 - à remplir'!$F$31:$F$400,'Étape 1 - à remplir'!$C$31:$C$400,IF($AT71="Bovin","Bovin*",IF($AT71="Ovin","Ovin*",IF($AT71="Caprin","Caprin*",IF($AT71="Porcin","Porcin*",IF($AT71="Equin","Equin*",IF($AT71="Volaille","Volaille*",IF($AT71="Poisson","Poisson*",IF($AT71="Autre","Autre*","")))))))),'Étape 1 - à remplir'!$G$31:$G$400,"animaux",'Étape 1 - à remplir'!$M$31:$M$400,MASQ2!AY$43)/SUMIFS('Étape 1 - à remplir'!$F$19:$F$28,'Étape 1 - à remplir'!$C$19:$C$28,MASQ2!$AT71,'Étape 1 - à remplir'!$G$19:$G$28,"animaux"),"")</f>
        <v/>
      </c>
      <c r="AZ71" t="str">
        <f>IFERROR(SUMIFS('Étape 1 - à remplir'!$F$31:$F$400,'Étape 1 - à remplir'!$C$31:$C$400,IF($AT71="Bovin","Bovin*",IF($AT71="Ovin","Ovin*",IF($AT71="Caprin","Caprin*",IF($AT71="Porcin","Porcin*",IF($AT71="Equin","Equin*",IF($AT71="Volaille","Volaille*",IF($AT71="Poisson","Poisson*",IF($AT71="Autre","Autre*","")))))))),'Étape 1 - à remplir'!$G$31:$G$400,"animaux",'Étape 1 - à remplir'!$M$31:$M$400,MASQ2!AZ$43)/SUMIFS('Étape 1 - à remplir'!$F$19:$F$28,'Étape 1 - à remplir'!$C$19:$C$28,MASQ2!$AT71,'Étape 1 - à remplir'!$G$19:$G$28,"animaux"),"")</f>
        <v/>
      </c>
      <c r="BA71" t="str">
        <f>IFERROR(SUMIFS('Étape 1 - à remplir'!$F$31:$F$400,'Étape 1 - à remplir'!$C$31:$C$400,IF($AT71="Bovin","Bovin*",IF($AT71="Ovin","Ovin*",IF($AT71="Caprin","Caprin*",IF($AT71="Porcin","Porcin*",IF($AT71="Equin","Equin*",IF($AT71="Volaille","Volaille*",IF($AT71="Poisson","Poisson*",IF($AT71="Autre","Autre*","")))))))),'Étape 1 - à remplir'!$G$31:$G$400,"animaux",'Étape 1 - à remplir'!$M$31:$M$400,MASQ2!BA$43)/SUMIFS('Étape 1 - à remplir'!$F$19:$F$28,'Étape 1 - à remplir'!$C$19:$C$28,MASQ2!$AT71,'Étape 1 - à remplir'!$G$19:$G$28,"animaux"),"")</f>
        <v/>
      </c>
      <c r="BB71" t="str">
        <f>IFERROR(SUMIFS('Étape 1 - à remplir'!$F$31:$F$400,'Étape 1 - à remplir'!$C$31:$C$400,IF($AT71="Bovin","Bovin*",IF($AT71="Ovin","Ovin*",IF($AT71="Caprin","Caprin*",IF($AT71="Porcin","Porcin*",IF($AT71="Equin","Equin*",IF($AT71="Volaille","Volaille*",IF($AT71="Poisson","Poisson*",IF($AT71="Autre","Autre*","")))))))),'Étape 1 - à remplir'!$G$31:$G$400,"animaux",'Étape 1 - à remplir'!$M$31:$M$400,MASQ2!BB$43)/SUMIFS('Étape 1 - à remplir'!$F$19:$F$28,'Étape 1 - à remplir'!$C$19:$C$28,MASQ2!$AT71,'Étape 1 - à remplir'!$G$19:$G$28,"animaux"),"")</f>
        <v/>
      </c>
      <c r="BC71" t="str">
        <f>IFERROR(SUMIFS('Étape 1 - à remplir'!$F$31:$F$400,'Étape 1 - à remplir'!$C$31:$C$400,IF($AT71="Bovin","Bovin*",IF($AT71="Ovin","Ovin*",IF($AT71="Caprin","Caprin*",IF($AT71="Porcin","Porcin*",IF($AT71="Equin","Equin*",IF($AT71="Volaille","Volaille*",IF($AT71="Poisson","Poisson*",IF($AT71="Autre","Autre*","")))))))),'Étape 1 - à remplir'!$G$31:$G$400,"animaux",'Étape 1 - à remplir'!$M$31:$M$400,MASQ2!BC$43)/SUMIFS('Étape 1 - à remplir'!$F$19:$F$28,'Étape 1 - à remplir'!$C$19:$C$28,MASQ2!$AT71,'Étape 1 - à remplir'!$G$19:$G$28,"animaux"),"")</f>
        <v/>
      </c>
      <c r="BD71" t="str">
        <f>IFERROR(SUMIFS('Étape 1 - à remplir'!$F$31:$F$400,'Étape 1 - à remplir'!$C$31:$C$400,IF($AT71="Bovin","Bovin*",IF($AT71="Ovin","Ovin*",IF($AT71="Caprin","Caprin*",IF($AT71="Porcin","Porcin*",IF($AT71="Equin","Equin*",IF($AT71="Volaille","Volaille*",IF($AT71="Poisson","Poisson*",IF($AT71="Autre","Autre*","")))))))),'Étape 1 - à remplir'!$G$31:$G$400,"animaux",'Étape 1 - à remplir'!$M$31:$M$400,MASQ2!BD$43)/SUMIFS('Étape 1 - à remplir'!$F$19:$F$28,'Étape 1 - à remplir'!$C$19:$C$28,MASQ2!$AT71,'Étape 1 - à remplir'!$G$19:$G$28,"animaux"),"")</f>
        <v/>
      </c>
      <c r="BE71" t="str">
        <f>IFERROR(SUMIFS('Étape 1 - à remplir'!$F$31:$F$400,'Étape 1 - à remplir'!$C$31:$C$400,IF($AT71="Bovin","Bovin*",IF($AT71="Ovin","Ovin*",IF($AT71="Caprin","Caprin*",IF($AT71="Porcin","Porcin*",IF($AT71="Equin","Equin*",IF($AT71="Volaille","Volaille*",IF($AT71="Poisson","Poisson*",IF($AT71="Autre","Autre*","")))))))),'Étape 1 - à remplir'!$G$31:$G$400,"animaux",'Étape 1 - à remplir'!$M$31:$M$400,MASQ2!BE$43)/SUMIFS('Étape 1 - à remplir'!$F$19:$F$28,'Étape 1 - à remplir'!$C$19:$C$28,MASQ2!$AT71,'Étape 1 - à remplir'!$G$19:$G$28,"animaux"),"")</f>
        <v/>
      </c>
      <c r="BF71" s="76" t="str">
        <f>IFERROR(SUMIFS('Étape 1 - à remplir'!$F$31:$F$400,'Étape 1 - à remplir'!$C$31:$C$400,IF($AT71="Bovin","Bovin*",IF($AT71="Ovin","Ovin*",IF($AT71="Caprin","Caprin*",IF($AT71="Porcin","Porcin*",IF($AT71="Equin","Equin*",IF($AT71="Volaille","Volaille*",IF($AT71="Poisson","Poisson*",IF($AT71="Autre","Autre*","")))))))),'Étape 1 - à remplir'!$G$31:$G$400,"animaux",'Étape 1 - à remplir'!$M$31:$M$400,MASQ2!BF$43)/SUMIFS('Étape 1 - à remplir'!$F$19:$F$28,'Étape 1 - à remplir'!$C$19:$C$28,MASQ2!$AT71,'Étape 1 - à remplir'!$G$19:$G$28,"animaux"),"")</f>
        <v/>
      </c>
      <c r="BT71" s="194" t="str">
        <f t="shared" ca="1" si="131"/>
        <v>x</v>
      </c>
      <c r="BU71" s="219" t="str">
        <f>IFERROR(IF(BX71=0,"",COUNTIF(BX$4:BX$600,"&gt;"&amp;BX71)+COUNTIF(BX$4:BX71,BX71)),"")</f>
        <v/>
      </c>
      <c r="BV71" s="42" t="str">
        <f t="shared" si="132"/>
        <v>BELCOMYCINE S</v>
      </c>
      <c r="BW71" t="e">
        <f>IF(IF(CE$2="Catégorie",IF(CE$3="Toutes",SUMIFS('Étape 1 - à remplir'!$F$31:$F$400,'Étape 1 - à remplir'!$E$31:$E$400,MASQ2!BV71,'Étape 1 - à remplir'!$G$31:$G$400,"lots"),SUMIFS('Étape 1 - à remplir'!$F$31:$F$400,'Étape 1 - à remplir'!$E$31:$E$400,MASQ2!BV71,'Étape 1 - à remplir'!$C$31:$C$400,CE$3)),IF(CE$2="Âge",IF(CE$3="Tous",SUMIFS('Étape 1 - à remplir'!$F$31:$F$400,'Étape 1 - à remplir'!$E$31:$E$400,MASQ2!BV71,'Étape 1 - à remplir'!$G$31:$G$400,"lots"),SUMIFS('Étape 1 - à remplir'!$F$31:$F$400,'Étape 1 - à remplir'!$E$31:$E$400,MASQ2!BV71,'Étape 1 - à remplir'!$P$31:$P$400,CE$3,'Étape 1 - à remplir'!$G$31:$G$400,"lots")),IF(CE$2="Atelier",IF(CE$3="Tous",SUMIFS('Étape 1 - à remplir'!$F$31:$F$400,'Étape 1 - à remplir'!$E$31:$E$400,MASQ2!BV71,'Étape 1 - à remplir'!$G$31:$G$400,"lots"),SUMIFS('Étape 1 - à remplir'!$F$31:$F$400,'Étape 1 - à remplir'!$E$31:$E$400,MASQ2!BV71,'Étape 1 - à remplir'!$O$31:$O$400,CE$3,'Étape 1 - à remplir'!$G$31:$G$400,"lots")),IF(CE$2="Espèce",IF(CE$3="Toutes",SUMIFS('Étape 1 - à remplir'!$F$31:$F$400,'Étape 1 - à remplir'!$E$31:$E$400,MASQ2!BV71,'Étape 1 - à remplir'!$G$31:$G$400,"lots"),SUMIFS('Étape 1 - à remplir'!$F$31:$F$400,'Étape 1 - à remplir'!$E$31:$E$400,MASQ2!BV71,'Étape 1 - à remplir'!$N$31:$N$400,CE$3,'Étape 1 - à remplir'!$G$31:$G$400,"lots"))))))=0,NA(),IF(CE$2="Catégorie",IF(CE$3="Toutes",SUMIFS('Étape 1 - à remplir'!$F$31:$F$400,'Étape 1 - à remplir'!$E$31:$E$400,MASQ2!BV71,'Étape 1 - à remplir'!$G$31:$G$400,"lots"),SUMIFS('Étape 1 - à remplir'!$F$31:$F$400,'Étape 1 - à remplir'!$E$31:$E$400,MASQ2!BV71,'Étape 1 - à remplir'!$C$31:$C$400,CE$3)),IF(CE$2="Âge",IF(CE$3="Tous",SUMIFS('Étape 1 - à remplir'!$F$31:$F$400,'Étape 1 - à remplir'!$E$31:$E$400,MASQ2!BV71,'Étape 1 - à remplir'!$G$31:$G$400,"lots"),SUMIFS('Étape 1 - à remplir'!$F$31:$F$400,'Étape 1 - à remplir'!$E$31:$E$400,MASQ2!BV71,'Étape 1 - à remplir'!$P$31:$P$400,CE$3,'Étape 1 - à remplir'!$G$31:$G$400,"lots")),IF(CE$2="Atelier",IF(CE$3="Tous",SUMIFS('Étape 1 - à remplir'!$F$31:$F$400,'Étape 1 - à remplir'!$E$31:$E$400,MASQ2!BV71,'Étape 1 - à remplir'!$G$31:$G$400,"lots"),SUMIFS('Étape 1 - à remplir'!$F$31:$F$400,'Étape 1 - à remplir'!$E$31:$E$400,MASQ2!BV71,'Étape 1 - à remplir'!$O$31:$O$400,CE$3,'Étape 1 - à remplir'!$G$31:$G$400,"lots")),IF(CE$2="Espèce",IF(CE$3="Toutes",SUMIFS('Étape 1 - à remplir'!$F$31:$F$400,'Étape 1 - à remplir'!$E$31:$E$400,MASQ2!BV71,'Étape 1 - à remplir'!$G$31:$G$400,"lots"),SUMIFS('Étape 1 - à remplir'!$F$31:$F$400,'Étape 1 - à remplir'!$E$31:$E$400,MASQ2!BV71,'Étape 1 - à remplir'!$N$31:$N$400,CE$3,'Étape 1 - à remplir'!$G$31:$G$400,"lots")))))))</f>
        <v>#N/A</v>
      </c>
      <c r="BX71">
        <f t="shared" si="149"/>
        <v>0</v>
      </c>
      <c r="BY71" t="str">
        <f t="shared" si="133"/>
        <v>Colistine</v>
      </c>
      <c r="BZ71" t="str">
        <f t="shared" si="134"/>
        <v/>
      </c>
      <c r="CA71" t="str">
        <f t="shared" si="135"/>
        <v/>
      </c>
      <c r="CB71" t="str">
        <f t="shared" si="136"/>
        <v>Polypeptides</v>
      </c>
      <c r="CC71" t="str">
        <f t="shared" si="137"/>
        <v/>
      </c>
      <c r="CD71" s="63" t="str">
        <f t="shared" si="138"/>
        <v/>
      </c>
      <c r="CG71" s="42">
        <v>68</v>
      </c>
      <c r="CH71" s="42" t="e">
        <f t="shared" si="80"/>
        <v>#N/A</v>
      </c>
      <c r="CI71" s="63" t="e">
        <f t="shared" si="81"/>
        <v>#N/A</v>
      </c>
      <c r="DA71" s="118" t="str">
        <f t="shared" si="129"/>
        <v/>
      </c>
      <c r="DB71" s="118" t="str">
        <f>IFERROR(SUMIFS('Étape 1 - à remplir'!$F$31:$F$400,'Étape 1 - à remplir'!$C$31:$C$400,IF($DA71="Bovin","Bovin*",IF($DA71="Ovin","Ovin*",IF($DA71="Caprin","Caprin*",IF($DA71="Porcin","Porcin*",IF($DA71="Equin","Equin*",IF($DA71="Volaille","Volaille*",IF($DA71="Poisson","Poisson*",IF($DA71="Autre","Autre*","")))))))),'Étape 1 - à remplir'!$G$31:$G$400,"lots",'Étape 1 - à remplir'!$M$31:$M$400,MASQ2!DB$43)/SUMIFS('Étape 1 - à remplir'!$F$19:$F$28,'Étape 1 - à remplir'!$C$19:$C$28,MASQ2!$DA71,'Étape 1 - à remplir'!$G$19:$G$28,"lots"),"")</f>
        <v/>
      </c>
      <c r="DC71" t="str">
        <f>IFERROR(SUMIFS('Étape 1 - à remplir'!$F$31:$F$400,'Étape 1 - à remplir'!$C$31:$C$400,IF($DA71="Bovin","Bovin*",IF($DA71="Ovin","Ovin*",IF($DA71="Caprin","Caprin*",IF($DA71="Porcin","Porcin*",IF($DA71="Equin","Equin*",IF($DA71="Volaille","Volaille*",IF($DA71="Poisson","Poisson*",IF($DA71="Autre","Autre*","")))))))),'Étape 1 - à remplir'!$G$31:$G$400,"lots",'Étape 1 - à remplir'!$M$31:$M$400,MASQ2!DC$43)/SUMIFS('Étape 1 - à remplir'!$F$19:$F$28,'Étape 1 - à remplir'!$C$19:$C$28,MASQ2!$DA71,'Étape 1 - à remplir'!$G$19:$G$28,"lots"),"")</f>
        <v/>
      </c>
      <c r="DD71" t="str">
        <f>IFERROR(SUMIFS('Étape 1 - à remplir'!$F$31:$F$400,'Étape 1 - à remplir'!$C$31:$C$400,IF($DA71="Bovin","Bovin*",IF($DA71="Ovin","Ovin*",IF($DA71="Caprin","Caprin*",IF($DA71="Porcin","Porcin*",IF($DA71="Equin","Equin*",IF($DA71="Volaille","Volaille*",IF($DA71="Poisson","Poisson*",IF($DA71="Autre","Autre*","")))))))),'Étape 1 - à remplir'!$G$31:$G$400,"lots",'Étape 1 - à remplir'!$M$31:$M$400,MASQ2!DD$43)/SUMIFS('Étape 1 - à remplir'!$F$19:$F$28,'Étape 1 - à remplir'!$C$19:$C$28,MASQ2!$DA71,'Étape 1 - à remplir'!$G$19:$G$28,"lots"),"")</f>
        <v/>
      </c>
      <c r="DE71" t="str">
        <f>IFERROR(SUMIFS('Étape 1 - à remplir'!$F$31:$F$400,'Étape 1 - à remplir'!$C$31:$C$400,IF($DA71="Bovin","Bovin*",IF($DA71="Ovin","Ovin*",IF($DA71="Caprin","Caprin*",IF($DA71="Porcin","Porcin*",IF($DA71="Equin","Equin*",IF($DA71="Volaille","Volaille*",IF($DA71="Poisson","Poisson*",IF($DA71="Autre","Autre*","")))))))),'Étape 1 - à remplir'!$G$31:$G$400,"lots",'Étape 1 - à remplir'!$M$31:$M$400,MASQ2!DE$43)/SUMIFS('Étape 1 - à remplir'!$F$19:$F$28,'Étape 1 - à remplir'!$C$19:$C$28,MASQ2!$DA71,'Étape 1 - à remplir'!$G$19:$G$28,"lots"),"")</f>
        <v/>
      </c>
      <c r="DF71" t="str">
        <f>IFERROR(SUMIFS('Étape 1 - à remplir'!$F$31:$F$400,'Étape 1 - à remplir'!$C$31:$C$400,IF($DA71="Bovin","Bovin*",IF($DA71="Ovin","Ovin*",IF($DA71="Caprin","Caprin*",IF($DA71="Porcin","Porcin*",IF($DA71="Equin","Equin*",IF($DA71="Volaille","Volaille*",IF($DA71="Poisson","Poisson*",IF($DA71="Autre","Autre*","")))))))),'Étape 1 - à remplir'!$G$31:$G$400,"lots",'Étape 1 - à remplir'!$M$31:$M$400,MASQ2!DF$43)/SUMIFS('Étape 1 - à remplir'!$F$19:$F$28,'Étape 1 - à remplir'!$C$19:$C$28,MASQ2!$DA71,'Étape 1 - à remplir'!$G$19:$G$28,"lots"),"")</f>
        <v/>
      </c>
      <c r="DG71" t="str">
        <f>IFERROR(SUMIFS('Étape 1 - à remplir'!$F$31:$F$400,'Étape 1 - à remplir'!$C$31:$C$400,IF($DA71="Bovin","Bovin*",IF($DA71="Ovin","Ovin*",IF($DA71="Caprin","Caprin*",IF($DA71="Porcin","Porcin*",IF($DA71="Equin","Equin*",IF($DA71="Volaille","Volaille*",IF($DA71="Poisson","Poisson*",IF($DA71="Autre","Autre*","")))))))),'Étape 1 - à remplir'!$G$31:$G$400,"lots",'Étape 1 - à remplir'!$M$31:$M$400,MASQ2!DG$43)/SUMIFS('Étape 1 - à remplir'!$F$19:$F$28,'Étape 1 - à remplir'!$C$19:$C$28,MASQ2!$DA71,'Étape 1 - à remplir'!$G$19:$G$28,"lots"),"")</f>
        <v/>
      </c>
      <c r="DH71" t="str">
        <f>IFERROR(SUMIFS('Étape 1 - à remplir'!$F$31:$F$400,'Étape 1 - à remplir'!$C$31:$C$400,IF($DA71="Bovin","Bovin*",IF($DA71="Ovin","Ovin*",IF($DA71="Caprin","Caprin*",IF($DA71="Porcin","Porcin*",IF($DA71="Equin","Equin*",IF($DA71="Volaille","Volaille*",IF($DA71="Poisson","Poisson*",IF($DA71="Autre","Autre*","")))))))),'Étape 1 - à remplir'!$G$31:$G$400,"lots",'Étape 1 - à remplir'!$M$31:$M$400,MASQ2!DH$43)/SUMIFS('Étape 1 - à remplir'!$F$19:$F$28,'Étape 1 - à remplir'!$C$19:$C$28,MASQ2!$DA71,'Étape 1 - à remplir'!$G$19:$G$28,"lots"),"")</f>
        <v/>
      </c>
      <c r="DI71" t="str">
        <f>IFERROR(SUMIFS('Étape 1 - à remplir'!$F$31:$F$400,'Étape 1 - à remplir'!$C$31:$C$400,IF($DA71="Bovin","Bovin*",IF($DA71="Ovin","Ovin*",IF($DA71="Caprin","Caprin*",IF($DA71="Porcin","Porcin*",IF($DA71="Equin","Equin*",IF($DA71="Volaille","Volaille*",IF($DA71="Poisson","Poisson*",IF($DA71="Autre","Autre*","")))))))),'Étape 1 - à remplir'!$G$31:$G$400,"lots",'Étape 1 - à remplir'!$M$31:$M$400,MASQ2!DI$43)/SUMIFS('Étape 1 - à remplir'!$F$19:$F$28,'Étape 1 - à remplir'!$C$19:$C$28,MASQ2!$DA71,'Étape 1 - à remplir'!$G$19:$G$28,"lots"),"")</f>
        <v/>
      </c>
      <c r="DJ71" t="str">
        <f>IFERROR(SUMIFS('Étape 1 - à remplir'!$F$31:$F$400,'Étape 1 - à remplir'!$C$31:$C$400,IF($DA71="Bovin","Bovin*",IF($DA71="Ovin","Ovin*",IF($DA71="Caprin","Caprin*",IF($DA71="Porcin","Porcin*",IF($DA71="Equin","Equin*",IF($DA71="Volaille","Volaille*",IF($DA71="Poisson","Poisson*",IF($DA71="Autre","Autre*","")))))))),'Étape 1 - à remplir'!$G$31:$G$400,"lots",'Étape 1 - à remplir'!$M$31:$M$400,MASQ2!DJ$43)/SUMIFS('Étape 1 - à remplir'!$F$19:$F$28,'Étape 1 - à remplir'!$C$19:$C$28,MASQ2!$DA71,'Étape 1 - à remplir'!$G$19:$G$28,"lots"),"")</f>
        <v/>
      </c>
      <c r="DK71" t="str">
        <f>IFERROR(SUMIFS('Étape 1 - à remplir'!$F$31:$F$400,'Étape 1 - à remplir'!$C$31:$C$400,IF($DA71="Bovin","Bovin*",IF($DA71="Ovin","Ovin*",IF($DA71="Caprin","Caprin*",IF($DA71="Porcin","Porcin*",IF($DA71="Equin","Equin*",IF($DA71="Volaille","Volaille*",IF($DA71="Poisson","Poisson*",IF($DA71="Autre","Autre*","")))))))),'Étape 1 - à remplir'!$G$31:$G$400,"lots",'Étape 1 - à remplir'!$M$31:$M$400,MASQ2!DK$43)/SUMIFS('Étape 1 - à remplir'!$F$19:$F$28,'Étape 1 - à remplir'!$C$19:$C$28,MASQ2!$DA71,'Étape 1 - à remplir'!$G$19:$G$28,"lots"),"")</f>
        <v/>
      </c>
      <c r="DL71" t="str">
        <f>IFERROR(SUMIFS('Étape 1 - à remplir'!$F$31:$F$400,'Étape 1 - à remplir'!$C$31:$C$400,IF($DA71="Bovin","Bovin*",IF($DA71="Ovin","Ovin*",IF($DA71="Caprin","Caprin*",IF($DA71="Porcin","Porcin*",IF($DA71="Equin","Equin*",IF($DA71="Volaille","Volaille*",IF($DA71="Poisson","Poisson*",IF($DA71="Autre","Autre*","")))))))),'Étape 1 - à remplir'!$G$31:$G$400,"lots",'Étape 1 - à remplir'!$M$31:$M$400,MASQ2!DL$43)/SUMIFS('Étape 1 - à remplir'!$F$19:$F$28,'Étape 1 - à remplir'!$C$19:$C$28,MASQ2!$DA71,'Étape 1 - à remplir'!$G$19:$G$28,"lots"),"")</f>
        <v/>
      </c>
      <c r="DM71" s="76" t="str">
        <f>IFERROR(SUMIFS('Étape 1 - à remplir'!$F$31:$F$400,'Étape 1 - à remplir'!$C$31:$C$400,IF($DA71="Bovin","Bovin*",IF($DA71="Ovin","Ovin*",IF($DA71="Caprin","Caprin*",IF($DA71="Porcin","Porcin*",IF($DA71="Equin","Equin*",IF($DA71="Volaille","Volaille*",IF($DA71="Poisson","Poisson*",IF($DA71="Autre","Autre*","")))))))),'Étape 1 - à remplir'!$G$31:$G$400,"lots",'Étape 1 - à remplir'!$M$31:$M$400,MASQ2!DM$43)/SUMIFS('Étape 1 - à remplir'!$F$19:$F$28,'Étape 1 - à remplir'!$C$19:$C$28,MASQ2!$DA71,'Étape 1 - à remplir'!$G$19:$G$28,"lots"),"")</f>
        <v/>
      </c>
      <c r="EA71" s="194" t="str">
        <f t="shared" ca="1" si="139"/>
        <v>x</v>
      </c>
      <c r="EB71" s="226" t="str">
        <f>IFERROR(IF(ED71=0,"",COUNTIF(ED$4:ED$600,"&gt;"&amp;ED71)+COUNTIF(ED$4:ED71,ED71)),"")</f>
        <v/>
      </c>
      <c r="EC71" t="str">
        <f t="shared" si="140"/>
        <v>BELCOMYCINE S</v>
      </c>
      <c r="ED71" t="e">
        <f>IF(IF(EL$2="Catégorie",IF(EL$3="Toutes",SUMIFS('Étape 1 - à remplir'!$F$31:$F$400,'Étape 1 - à remplir'!$E$31:$E$400,MASQ2!EC71,'Étape 1 - à remplir'!$G$31:$G$400,"kg"),SUMIFS('Étape 1 - à remplir'!$F$31:$F$400,'Étape 1 - à remplir'!$E$31:$E$400,MASQ2!EC71,'Étape 1 - à remplir'!$C$31:$C$400,EL$3)),IF(EL$2="Âge",IF(EL$3="Tous",SUMIFS('Étape 1 - à remplir'!$F$31:$F$400,'Étape 1 - à remplir'!$E$31:$E$400,MASQ2!EC71,'Étape 1 - à remplir'!$G$31:$G$400,"kg"),SUMIFS('Étape 1 - à remplir'!$F$31:$F$400,'Étape 1 - à remplir'!$E$31:$E$400,MASQ2!EC71,'Étape 1 - à remplir'!$P$31:$P$400,EL$3,'Étape 1 - à remplir'!$G$31:$G$400,"kg")),IF(EL$2="Atelier",IF(EL$3="Tous",SUMIFS('Étape 1 - à remplir'!$F$31:$F$400,'Étape 1 - à remplir'!$E$31:$E$400,MASQ2!EC71,'Étape 1 - à remplir'!$G$31:$G$400,"kg"),SUMIFS('Étape 1 - à remplir'!$F$31:$F$400,'Étape 1 - à remplir'!$E$31:$E$400,MASQ2!EC71,'Étape 1 - à remplir'!$O$31:$O$400,EL$3,'Étape 1 - à remplir'!$G$31:$G$400,"kg")),IF(EL$2="Espèce",IF(EL$3="Toutes",SUMIFS('Étape 1 - à remplir'!$F$31:$F$400,'Étape 1 - à remplir'!$E$31:$E$400,MASQ2!EC71,'Étape 1 - à remplir'!$G$31:$G$400,"kg"),SUMIFS('Étape 1 - à remplir'!$F$31:$F$400,'Étape 1 - à remplir'!$E$31:$E$400,MASQ2!EC71,'Étape 1 - à remplir'!$N$31:$N$400,EL$3,'Étape 1 - à remplir'!$G$31:$G$400,"kg"))))))=0,NA(),IF(EL$2="Catégorie",IF(EL$3="Toutes",SUMIFS('Étape 1 - à remplir'!$F$31:$F$400,'Étape 1 - à remplir'!$E$31:$E$400,MASQ2!EC71,'Étape 1 - à remplir'!$G$31:$G$400,"kg"),SUMIFS('Étape 1 - à remplir'!$F$31:$F$400,'Étape 1 - à remplir'!$E$31:$E$400,MASQ2!EC71,'Étape 1 - à remplir'!$C$31:$C$400,EL$3)),IF(EL$2="Âge",IF(EL$3="Tous",SUMIFS('Étape 1 - à remplir'!$F$31:$F$400,'Étape 1 - à remplir'!$E$31:$E$400,MASQ2!EC71,'Étape 1 - à remplir'!$G$31:$G$400,"kg"),SUMIFS('Étape 1 - à remplir'!$F$31:$F$400,'Étape 1 - à remplir'!$E$31:$E$400,MASQ2!EC71,'Étape 1 - à remplir'!$P$31:$P$400,EL$3,'Étape 1 - à remplir'!$G$31:$G$400,"kg")),IF(EL$2="Atelier",IF(EL$3="Tous",SUMIFS('Étape 1 - à remplir'!$F$31:$F$400,'Étape 1 - à remplir'!$E$31:$E$400,MASQ2!EC71,'Étape 1 - à remplir'!$G$31:$G$400,"kg"),SUMIFS('Étape 1 - à remplir'!$F$31:$F$400,'Étape 1 - à remplir'!$E$31:$E$400,MASQ2!EC71,'Étape 1 - à remplir'!$O$31:$O$400,EL$3,'Étape 1 - à remplir'!$G$31:$G$400,"kg")),IF(EL$2="Espèce",IF(EL$3="Toutes",SUMIFS('Étape 1 - à remplir'!$F$31:$F$400,'Étape 1 - à remplir'!$E$31:$E$400,MASQ2!EC71,'Étape 1 - à remplir'!$G$31:$G$400,"kg"),SUMIFS('Étape 1 - à remplir'!$F$31:$F$400,'Étape 1 - à remplir'!$E$31:$E$400,MASQ2!EC71,'Étape 1 - à remplir'!$N$31:$N$400,EL$3,'Étape 1 - à remplir'!$G$31:$G$400,"kg")))))))</f>
        <v>#N/A</v>
      </c>
      <c r="EE71" s="76">
        <f t="shared" si="150"/>
        <v>0</v>
      </c>
      <c r="EF71" t="str">
        <f t="shared" si="141"/>
        <v>Colistine</v>
      </c>
      <c r="EG71" t="str">
        <f t="shared" si="142"/>
        <v/>
      </c>
      <c r="EH71" t="str">
        <f t="shared" si="143"/>
        <v/>
      </c>
      <c r="EI71" t="str">
        <f t="shared" si="144"/>
        <v>Polypeptides</v>
      </c>
      <c r="EJ71" t="str">
        <f t="shared" si="145"/>
        <v/>
      </c>
      <c r="EK71" s="63" t="str">
        <f t="shared" si="146"/>
        <v/>
      </c>
      <c r="EN71" s="42">
        <v>68</v>
      </c>
      <c r="EO71" t="e">
        <f t="shared" si="68"/>
        <v>#N/A</v>
      </c>
      <c r="EP71" s="63" t="e">
        <f t="shared" si="69"/>
        <v>#N/A</v>
      </c>
      <c r="FH71" s="118" t="str">
        <f t="shared" si="130"/>
        <v/>
      </c>
      <c r="FI71" s="118" t="str">
        <f>IFERROR(SUMIFS('Étape 1 - à remplir'!$F$31:$F$400,'Étape 1 - à remplir'!$C$31:$C$400,IF($FH71="Bovin","Bovin*",IF($FH71="Ovin","Ovin*",IF($FH71="Caprin","Caprin*",IF($FH71="Porcin","Porcin*",IF($FH71="Equin","Equin*",IF($FH71="Volaille","Volaille*",IF($FH71="Poisson","Poisson*",IF($FH71="Autre","Autre*","")))))))),'Étape 1 - à remplir'!$G$31:$G$400,"kg",'Étape 1 - à remplir'!$M$31:$M$400,MASQ2!FI$43)/SUMIFS('Étape 1 - à remplir'!$F$19:$F$28,'Étape 1 - à remplir'!$C$19:$C$28,MASQ2!$FH71,'Étape 1 - à remplir'!$G$19:$G$28,"kg"),"")</f>
        <v/>
      </c>
      <c r="FJ71" t="str">
        <f>IFERROR(SUMIFS('Étape 1 - à remplir'!$F$31:$F$400,'Étape 1 - à remplir'!$C$31:$C$400,IF($FH71="Bovin","Bovin*",IF($FH71="Ovin","Ovin*",IF($FH71="Caprin","Caprin*",IF($FH71="Porcin","Porcin*",IF($FH71="Equin","Equin*",IF($FH71="Volaille","Volaille*",IF($FH71="Poisson","Poisson*",IF($FH71="Autre","Autre*","")))))))),'Étape 1 - à remplir'!$G$31:$G$400,"kg",'Étape 1 - à remplir'!$M$31:$M$400,MASQ2!FJ$43)/SUMIFS('Étape 1 - à remplir'!$F$19:$F$28,'Étape 1 - à remplir'!$C$19:$C$28,MASQ2!$FH71,'Étape 1 - à remplir'!$G$19:$G$28,"kg"),"")</f>
        <v/>
      </c>
      <c r="FK71" t="str">
        <f>IFERROR(SUMIFS('Étape 1 - à remplir'!$F$31:$F$400,'Étape 1 - à remplir'!$C$31:$C$400,IF($FH71="Bovin","Bovin*",IF($FH71="Ovin","Ovin*",IF($FH71="Caprin","Caprin*",IF($FH71="Porcin","Porcin*",IF($FH71="Equin","Equin*",IF($FH71="Volaille","Volaille*",IF($FH71="Poisson","Poisson*",IF($FH71="Autre","Autre*","")))))))),'Étape 1 - à remplir'!$G$31:$G$400,"kg",'Étape 1 - à remplir'!$M$31:$M$400,MASQ2!FK$43)/SUMIFS('Étape 1 - à remplir'!$F$19:$F$28,'Étape 1 - à remplir'!$C$19:$C$28,MASQ2!$FH71,'Étape 1 - à remplir'!$G$19:$G$28,"kg"),"")</f>
        <v/>
      </c>
      <c r="FL71" t="str">
        <f>IFERROR(SUMIFS('Étape 1 - à remplir'!$F$31:$F$400,'Étape 1 - à remplir'!$C$31:$C$400,IF($FH71="Bovin","Bovin*",IF($FH71="Ovin","Ovin*",IF($FH71="Caprin","Caprin*",IF($FH71="Porcin","Porcin*",IF($FH71="Equin","Equin*",IF($FH71="Volaille","Volaille*",IF($FH71="Poisson","Poisson*",IF($FH71="Autre","Autre*","")))))))),'Étape 1 - à remplir'!$G$31:$G$400,"kg",'Étape 1 - à remplir'!$M$31:$M$400,MASQ2!FL$43)/SUMIFS('Étape 1 - à remplir'!$F$19:$F$28,'Étape 1 - à remplir'!$C$19:$C$28,MASQ2!$FH71,'Étape 1 - à remplir'!$G$19:$G$28,"kg"),"")</f>
        <v/>
      </c>
      <c r="FM71" t="str">
        <f>IFERROR(SUMIFS('Étape 1 - à remplir'!$F$31:$F$400,'Étape 1 - à remplir'!$C$31:$C$400,IF($FH71="Bovin","Bovin*",IF($FH71="Ovin","Ovin*",IF($FH71="Caprin","Caprin*",IF($FH71="Porcin","Porcin*",IF($FH71="Equin","Equin*",IF($FH71="Volaille","Volaille*",IF($FH71="Poisson","Poisson*",IF($FH71="Autre","Autre*","")))))))),'Étape 1 - à remplir'!$G$31:$G$400,"kg",'Étape 1 - à remplir'!$M$31:$M$400,MASQ2!FM$43)/SUMIFS('Étape 1 - à remplir'!$F$19:$F$28,'Étape 1 - à remplir'!$C$19:$C$28,MASQ2!$FH71,'Étape 1 - à remplir'!$G$19:$G$28,"kg"),"")</f>
        <v/>
      </c>
      <c r="FN71" t="str">
        <f>IFERROR(SUMIFS('Étape 1 - à remplir'!$F$31:$F$400,'Étape 1 - à remplir'!$C$31:$C$400,IF($FH71="Bovin","Bovin*",IF($FH71="Ovin","Ovin*",IF($FH71="Caprin","Caprin*",IF($FH71="Porcin","Porcin*",IF($FH71="Equin","Equin*",IF($FH71="Volaille","Volaille*",IF($FH71="Poisson","Poisson*",IF($FH71="Autre","Autre*","")))))))),'Étape 1 - à remplir'!$G$31:$G$400,"kg",'Étape 1 - à remplir'!$M$31:$M$400,MASQ2!FN$43)/SUMIFS('Étape 1 - à remplir'!$F$19:$F$28,'Étape 1 - à remplir'!$C$19:$C$28,MASQ2!$FH71,'Étape 1 - à remplir'!$G$19:$G$28,"kg"),"")</f>
        <v/>
      </c>
      <c r="FO71" t="str">
        <f>IFERROR(SUMIFS('Étape 1 - à remplir'!$F$31:$F$400,'Étape 1 - à remplir'!$C$31:$C$400,IF($FH71="Bovin","Bovin*",IF($FH71="Ovin","Ovin*",IF($FH71="Caprin","Caprin*",IF($FH71="Porcin","Porcin*",IF($FH71="Equin","Equin*",IF($FH71="Volaille","Volaille*",IF($FH71="Poisson","Poisson*",IF($FH71="Autre","Autre*","")))))))),'Étape 1 - à remplir'!$G$31:$G$400,"kg",'Étape 1 - à remplir'!$M$31:$M$400,MASQ2!FO$43)/SUMIFS('Étape 1 - à remplir'!$F$19:$F$28,'Étape 1 - à remplir'!$C$19:$C$28,MASQ2!$FH71,'Étape 1 - à remplir'!$G$19:$G$28,"kg"),"")</f>
        <v/>
      </c>
      <c r="FP71" t="str">
        <f>IFERROR(SUMIFS('Étape 1 - à remplir'!$F$31:$F$400,'Étape 1 - à remplir'!$C$31:$C$400,IF($FH71="Bovin","Bovin*",IF($FH71="Ovin","Ovin*",IF($FH71="Caprin","Caprin*",IF($FH71="Porcin","Porcin*",IF($FH71="Equin","Equin*",IF($FH71="Volaille","Volaille*",IF($FH71="Poisson","Poisson*",IF($FH71="Autre","Autre*","")))))))),'Étape 1 - à remplir'!$G$31:$G$400,"kg",'Étape 1 - à remplir'!$M$31:$M$400,MASQ2!FP$43)/SUMIFS('Étape 1 - à remplir'!$F$19:$F$28,'Étape 1 - à remplir'!$C$19:$C$28,MASQ2!$FH71,'Étape 1 - à remplir'!$G$19:$G$28,"kg"),"")</f>
        <v/>
      </c>
      <c r="FQ71" t="str">
        <f>IFERROR(SUMIFS('Étape 1 - à remplir'!$F$31:$F$400,'Étape 1 - à remplir'!$C$31:$C$400,IF($FH71="Bovin","Bovin*",IF($FH71="Ovin","Ovin*",IF($FH71="Caprin","Caprin*",IF($FH71="Porcin","Porcin*",IF($FH71="Equin","Equin*",IF($FH71="Volaille","Volaille*",IF($FH71="Poisson","Poisson*",IF($FH71="Autre","Autre*","")))))))),'Étape 1 - à remplir'!$G$31:$G$400,"kg",'Étape 1 - à remplir'!$M$31:$M$400,MASQ2!FQ$43)/SUMIFS('Étape 1 - à remplir'!$F$19:$F$28,'Étape 1 - à remplir'!$C$19:$C$28,MASQ2!$FH71,'Étape 1 - à remplir'!$G$19:$G$28,"kg"),"")</f>
        <v/>
      </c>
      <c r="FR71" t="str">
        <f>IFERROR(SUMIFS('Étape 1 - à remplir'!$F$31:$F$400,'Étape 1 - à remplir'!$C$31:$C$400,IF($FH71="Bovin","Bovin*",IF($FH71="Ovin","Ovin*",IF($FH71="Caprin","Caprin*",IF($FH71="Porcin","Porcin*",IF($FH71="Equin","Equin*",IF($FH71="Volaille","Volaille*",IF($FH71="Poisson","Poisson*",IF($FH71="Autre","Autre*","")))))))),'Étape 1 - à remplir'!$G$31:$G$400,"kg",'Étape 1 - à remplir'!$M$31:$M$400,MASQ2!FR$43)/SUMIFS('Étape 1 - à remplir'!$F$19:$F$28,'Étape 1 - à remplir'!$C$19:$C$28,MASQ2!$FH71,'Étape 1 - à remplir'!$G$19:$G$28,"kg"),"")</f>
        <v/>
      </c>
      <c r="FS71" t="str">
        <f>IFERROR(SUMIFS('Étape 1 - à remplir'!$F$31:$F$400,'Étape 1 - à remplir'!$C$31:$C$400,IF($FH71="Bovin","Bovin*",IF($FH71="Ovin","Ovin*",IF($FH71="Caprin","Caprin*",IF($FH71="Porcin","Porcin*",IF($FH71="Equin","Equin*",IF($FH71="Volaille","Volaille*",IF($FH71="Poisson","Poisson*",IF($FH71="Autre","Autre*","")))))))),'Étape 1 - à remplir'!$G$31:$G$400,"kg",'Étape 1 - à remplir'!$M$31:$M$400,MASQ2!FS$43)/SUMIFS('Étape 1 - à remplir'!$F$19:$F$28,'Étape 1 - à remplir'!$C$19:$C$28,MASQ2!$FH71,'Étape 1 - à remplir'!$G$19:$G$28,"kg"),"")</f>
        <v/>
      </c>
      <c r="FT71" s="76" t="str">
        <f>IFERROR(SUMIFS('Étape 1 - à remplir'!$F$31:$F$400,'Étape 1 - à remplir'!$C$31:$C$400,IF($FH71="Bovin","Bovin*",IF($FH71="Ovin","Ovin*",IF($FH71="Caprin","Caprin*",IF($FH71="Porcin","Porcin*",IF($FH71="Equin","Equin*",IF($FH71="Volaille","Volaille*",IF($FH71="Poisson","Poisson*",IF($FH71="Autre","Autre*","")))))))),'Étape 1 - à remplir'!$G$31:$G$400,"kg",'Étape 1 - à remplir'!$M$31:$M$400,MASQ2!FT$43)/SUMIFS('Étape 1 - à remplir'!$F$19:$F$28,'Étape 1 - à remplir'!$C$19:$C$28,MASQ2!$FH71,'Étape 1 - à remplir'!$G$19:$G$28,"kg"),"")</f>
        <v/>
      </c>
    </row>
    <row r="72" spans="2:176" x14ac:dyDescent="0.3">
      <c r="B72" s="42"/>
      <c r="M72" s="194" t="str">
        <f ca="1">INDEX(Données_ATB!BD:BU,MATCH(MASQ2!O72,Données_ATB!BD:BD,0),18)</f>
        <v>x</v>
      </c>
      <c r="N72" s="14" t="str">
        <f>IFERROR(IF(Q72=0,"",COUNTIF(Q$4:Q$600,"&gt;"&amp;Q72)+COUNTIF(Q$4:Q72,Q72)),"")</f>
        <v/>
      </c>
      <c r="O72" t="str">
        <f>Données_ATB!BD71</f>
        <v>BELCOPENI 5</v>
      </c>
      <c r="P72" t="e">
        <f>IF(IF(X$2="Catégorie",IF(X$3="Toutes",SUMIFS('Étape 1 - à remplir'!$F$31:$F$400,'Étape 1 - à remplir'!$E$31:$E$400,MASQ2!O72,'Étape 1 - à remplir'!$G$31:$G$400,"animaux"),SUMIFS('Étape 1 - à remplir'!$F$31:$F$400,'Étape 1 - à remplir'!$E$31:$E$400,MASQ2!O72,'Étape 1 - à remplir'!$C$31:$C$400,X$3)),IF(X$2="Âge",IF(X$3="Tous",SUMIFS('Étape 1 - à remplir'!$F$31:$F$400,'Étape 1 - à remplir'!$E$31:$E$400,MASQ2!O72,'Étape 1 - à remplir'!$G$31:$G$400,"animaux"),SUMIFS('Étape 1 - à remplir'!$F$31:$F$400,'Étape 1 - à remplir'!$E$31:$E$400,MASQ2!O72,'Étape 1 - à remplir'!$P$31:$P$400,X$3)),IF(X$2="Atelier",IF(X$3="Tous",SUMIFS('Étape 1 - à remplir'!$F$31:$F$400,'Étape 1 - à remplir'!$E$31:$E$400,MASQ2!O72,'Étape 1 - à remplir'!$G$31:$G$400,"animaux"),SUMIFS('Étape 1 - à remplir'!$F$31:$F$400,'Étape 1 - à remplir'!$E$31:$E$400,MASQ2!O72,'Étape 1 - à remplir'!$O$31:$O$400,X$3)),IF(X$2="Espèce",IF(X$3="Toutes",SUMIFS('Étape 1 - à remplir'!$F$31:$F$400,'Étape 1 - à remplir'!$E$31:$E$400,MASQ2!O72,'Étape 1 - à remplir'!$G$31:$G$400,"animaux"),SUMIFS('Étape 1 - à remplir'!$F$31:$F$400,'Étape 1 - à remplir'!$E$31:$E$400,MASQ2!O72,'Étape 1 - à remplir'!$N$31:$N$400,X$3))))))=0,NA(),IF(X$2="Catégorie",IF(X$3="Toutes",SUMIFS('Étape 1 - à remplir'!$F$31:$F$400,'Étape 1 - à remplir'!$E$31:$E$400,MASQ2!O72,'Étape 1 - à remplir'!$G$31:$G$400,"animaux"),SUMIFS('Étape 1 - à remplir'!$F$31:$F$400,'Étape 1 - à remplir'!$E$31:$E$400,MASQ2!O72,'Étape 1 - à remplir'!$C$31:$C$400,X$3)),IF(X$2="Âge",IF(X$3="Tous",SUMIFS('Étape 1 - à remplir'!$F$31:$F$400,'Étape 1 - à remplir'!$E$31:$E$400,MASQ2!O72,'Étape 1 - à remplir'!$G$31:$G$400,"animaux"),SUMIFS('Étape 1 - à remplir'!$F$31:$F$400,'Étape 1 - à remplir'!$E$31:$E$400,MASQ2!O72,'Étape 1 - à remplir'!$P$31:$P$400,X$3)),IF(X$2="Atelier",IF(X$3="Tous",SUMIFS('Étape 1 - à remplir'!$F$31:$F$400,'Étape 1 - à remplir'!$E$31:$E$400,MASQ2!O72,'Étape 1 - à remplir'!$G$31:$G$400,"animaux"),SUMIFS('Étape 1 - à remplir'!$F$31:$F$400,'Étape 1 - à remplir'!$E$31:$E$400,MASQ2!O72,'Étape 1 - à remplir'!$O$31:$O$400,X$3)),IF(X$2="Espèce",IF(X$3="Toutes",SUMIFS('Étape 1 - à remplir'!$F$31:$F$400,'Étape 1 - à remplir'!$E$31:$E$400,MASQ2!O72,'Étape 1 - à remplir'!$G$31:$G$400,"animaux"),SUMIFS('Étape 1 - à remplir'!$F$31:$F$400,'Étape 1 - à remplir'!$E$31:$E$400,MASQ2!O72,'Étape 1 - à remplir'!$N$31:$N$400,X$3)))))))</f>
        <v>#N/A</v>
      </c>
      <c r="Q72" s="63">
        <f t="shared" si="151"/>
        <v>0</v>
      </c>
      <c r="R72" t="str">
        <f>Données_ATB!BM71</f>
        <v>Benzylpénicilline</v>
      </c>
      <c r="S72" t="str">
        <f>Données_ATB!BN71</f>
        <v>Colistine</v>
      </c>
      <c r="T72" s="63" t="str">
        <f>Données_ATB!BO71</f>
        <v/>
      </c>
      <c r="U72" s="42" t="str">
        <f>Données_ATB!BQ71</f>
        <v>Penicillines</v>
      </c>
      <c r="V72" t="str">
        <f>Données_ATB!BR71</f>
        <v>Polypeptides</v>
      </c>
      <c r="W72" s="63" t="str">
        <f>Données_ATB!BS71</f>
        <v/>
      </c>
      <c r="Z72" s="42">
        <v>69</v>
      </c>
      <c r="AA72" t="e">
        <f t="shared" si="147"/>
        <v>#N/A</v>
      </c>
      <c r="AB72" s="63" t="e">
        <f t="shared" si="148"/>
        <v>#N/A</v>
      </c>
      <c r="AT72" s="118" t="str">
        <f t="shared" si="128"/>
        <v/>
      </c>
      <c r="AU72" s="118" t="str">
        <f>IFERROR(SUMIFS('Étape 1 - à remplir'!$F$31:$F$400,'Étape 1 - à remplir'!$C$31:$C$400,IF($AT72="Bovin","Bovin*",IF($AT72="Ovin","Ovin*",IF($AT72="Caprin","Caprin*",IF($AT72="Porcin","Porcin*",IF($AT72="Equin","Equin*",IF($AT72="Volaille","Volaille*",IF($AT72="Poisson","Poisson*",IF($AT72="Autre","Autre*","")))))))),'Étape 1 - à remplir'!$G$31:$G$400,"animaux",'Étape 1 - à remplir'!$M$31:$M$400,MASQ2!AU$43)/SUMIFS('Étape 1 - à remplir'!$F$19:$F$28,'Étape 1 - à remplir'!$C$19:$C$28,MASQ2!$AT72,'Étape 1 - à remplir'!$G$19:$G$28,"animaux"),"")</f>
        <v/>
      </c>
      <c r="AV72" t="str">
        <f>IFERROR(SUMIFS('Étape 1 - à remplir'!$F$31:$F$400,'Étape 1 - à remplir'!$C$31:$C$400,IF($AT72="Bovin","Bovin*",IF($AT72="Ovin","Ovin*",IF($AT72="Caprin","Caprin*",IF($AT72="Porcin","Porcin*",IF($AT72="Equin","Equin*",IF($AT72="Volaille","Volaille*",IF($AT72="Poisson","Poisson*",IF($AT72="Autre","Autre*","")))))))),'Étape 1 - à remplir'!$G$31:$G$400,"animaux",'Étape 1 - à remplir'!$M$31:$M$400,MASQ2!AV$43)/SUMIFS('Étape 1 - à remplir'!$F$19:$F$28,'Étape 1 - à remplir'!$C$19:$C$28,MASQ2!$AT72,'Étape 1 - à remplir'!$G$19:$G$28,"animaux"),"")</f>
        <v/>
      </c>
      <c r="AW72" t="str">
        <f>IFERROR(SUMIFS('Étape 1 - à remplir'!$F$31:$F$400,'Étape 1 - à remplir'!$C$31:$C$400,IF($AT72="Bovin","Bovin*",IF($AT72="Ovin","Ovin*",IF($AT72="Caprin","Caprin*",IF($AT72="Porcin","Porcin*",IF($AT72="Equin","Equin*",IF($AT72="Volaille","Volaille*",IF($AT72="Poisson","Poisson*",IF($AT72="Autre","Autre*","")))))))),'Étape 1 - à remplir'!$G$31:$G$400,"animaux",'Étape 1 - à remplir'!$M$31:$M$400,MASQ2!AW$43)/SUMIFS('Étape 1 - à remplir'!$F$19:$F$28,'Étape 1 - à remplir'!$C$19:$C$28,MASQ2!$AT72,'Étape 1 - à remplir'!$G$19:$G$28,"animaux"),"")</f>
        <v/>
      </c>
      <c r="AX72" t="str">
        <f>IFERROR(SUMIFS('Étape 1 - à remplir'!$F$31:$F$400,'Étape 1 - à remplir'!$C$31:$C$400,IF($AT72="Bovin","Bovin*",IF($AT72="Ovin","Ovin*",IF($AT72="Caprin","Caprin*",IF($AT72="Porcin","Porcin*",IF($AT72="Equin","Equin*",IF($AT72="Volaille","Volaille*",IF($AT72="Poisson","Poisson*",IF($AT72="Autre","Autre*","")))))))),'Étape 1 - à remplir'!$G$31:$G$400,"animaux",'Étape 1 - à remplir'!$M$31:$M$400,MASQ2!AX$43)/SUMIFS('Étape 1 - à remplir'!$F$19:$F$28,'Étape 1 - à remplir'!$C$19:$C$28,MASQ2!$AT72,'Étape 1 - à remplir'!$G$19:$G$28,"animaux"),"")</f>
        <v/>
      </c>
      <c r="AY72" t="str">
        <f>IFERROR(SUMIFS('Étape 1 - à remplir'!$F$31:$F$400,'Étape 1 - à remplir'!$C$31:$C$400,IF($AT72="Bovin","Bovin*",IF($AT72="Ovin","Ovin*",IF($AT72="Caprin","Caprin*",IF($AT72="Porcin","Porcin*",IF($AT72="Equin","Equin*",IF($AT72="Volaille","Volaille*",IF($AT72="Poisson","Poisson*",IF($AT72="Autre","Autre*","")))))))),'Étape 1 - à remplir'!$G$31:$G$400,"animaux",'Étape 1 - à remplir'!$M$31:$M$400,MASQ2!AY$43)/SUMIFS('Étape 1 - à remplir'!$F$19:$F$28,'Étape 1 - à remplir'!$C$19:$C$28,MASQ2!$AT72,'Étape 1 - à remplir'!$G$19:$G$28,"animaux"),"")</f>
        <v/>
      </c>
      <c r="AZ72" t="str">
        <f>IFERROR(SUMIFS('Étape 1 - à remplir'!$F$31:$F$400,'Étape 1 - à remplir'!$C$31:$C$400,IF($AT72="Bovin","Bovin*",IF($AT72="Ovin","Ovin*",IF($AT72="Caprin","Caprin*",IF($AT72="Porcin","Porcin*",IF($AT72="Equin","Equin*",IF($AT72="Volaille","Volaille*",IF($AT72="Poisson","Poisson*",IF($AT72="Autre","Autre*","")))))))),'Étape 1 - à remplir'!$G$31:$G$400,"animaux",'Étape 1 - à remplir'!$M$31:$M$400,MASQ2!AZ$43)/SUMIFS('Étape 1 - à remplir'!$F$19:$F$28,'Étape 1 - à remplir'!$C$19:$C$28,MASQ2!$AT72,'Étape 1 - à remplir'!$G$19:$G$28,"animaux"),"")</f>
        <v/>
      </c>
      <c r="BA72" t="str">
        <f>IFERROR(SUMIFS('Étape 1 - à remplir'!$F$31:$F$400,'Étape 1 - à remplir'!$C$31:$C$400,IF($AT72="Bovin","Bovin*",IF($AT72="Ovin","Ovin*",IF($AT72="Caprin","Caprin*",IF($AT72="Porcin","Porcin*",IF($AT72="Equin","Equin*",IF($AT72="Volaille","Volaille*",IF($AT72="Poisson","Poisson*",IF($AT72="Autre","Autre*","")))))))),'Étape 1 - à remplir'!$G$31:$G$400,"animaux",'Étape 1 - à remplir'!$M$31:$M$400,MASQ2!BA$43)/SUMIFS('Étape 1 - à remplir'!$F$19:$F$28,'Étape 1 - à remplir'!$C$19:$C$28,MASQ2!$AT72,'Étape 1 - à remplir'!$G$19:$G$28,"animaux"),"")</f>
        <v/>
      </c>
      <c r="BB72" t="str">
        <f>IFERROR(SUMIFS('Étape 1 - à remplir'!$F$31:$F$400,'Étape 1 - à remplir'!$C$31:$C$400,IF($AT72="Bovin","Bovin*",IF($AT72="Ovin","Ovin*",IF($AT72="Caprin","Caprin*",IF($AT72="Porcin","Porcin*",IF($AT72="Equin","Equin*",IF($AT72="Volaille","Volaille*",IF($AT72="Poisson","Poisson*",IF($AT72="Autre","Autre*","")))))))),'Étape 1 - à remplir'!$G$31:$G$400,"animaux",'Étape 1 - à remplir'!$M$31:$M$400,MASQ2!BB$43)/SUMIFS('Étape 1 - à remplir'!$F$19:$F$28,'Étape 1 - à remplir'!$C$19:$C$28,MASQ2!$AT72,'Étape 1 - à remplir'!$G$19:$G$28,"animaux"),"")</f>
        <v/>
      </c>
      <c r="BC72" t="str">
        <f>IFERROR(SUMIFS('Étape 1 - à remplir'!$F$31:$F$400,'Étape 1 - à remplir'!$C$31:$C$400,IF($AT72="Bovin","Bovin*",IF($AT72="Ovin","Ovin*",IF($AT72="Caprin","Caprin*",IF($AT72="Porcin","Porcin*",IF($AT72="Equin","Equin*",IF($AT72="Volaille","Volaille*",IF($AT72="Poisson","Poisson*",IF($AT72="Autre","Autre*","")))))))),'Étape 1 - à remplir'!$G$31:$G$400,"animaux",'Étape 1 - à remplir'!$M$31:$M$400,MASQ2!BC$43)/SUMIFS('Étape 1 - à remplir'!$F$19:$F$28,'Étape 1 - à remplir'!$C$19:$C$28,MASQ2!$AT72,'Étape 1 - à remplir'!$G$19:$G$28,"animaux"),"")</f>
        <v/>
      </c>
      <c r="BD72" t="str">
        <f>IFERROR(SUMIFS('Étape 1 - à remplir'!$F$31:$F$400,'Étape 1 - à remplir'!$C$31:$C$400,IF($AT72="Bovin","Bovin*",IF($AT72="Ovin","Ovin*",IF($AT72="Caprin","Caprin*",IF($AT72="Porcin","Porcin*",IF($AT72="Equin","Equin*",IF($AT72="Volaille","Volaille*",IF($AT72="Poisson","Poisson*",IF($AT72="Autre","Autre*","")))))))),'Étape 1 - à remplir'!$G$31:$G$400,"animaux",'Étape 1 - à remplir'!$M$31:$M$400,MASQ2!BD$43)/SUMIFS('Étape 1 - à remplir'!$F$19:$F$28,'Étape 1 - à remplir'!$C$19:$C$28,MASQ2!$AT72,'Étape 1 - à remplir'!$G$19:$G$28,"animaux"),"")</f>
        <v/>
      </c>
      <c r="BE72" t="str">
        <f>IFERROR(SUMIFS('Étape 1 - à remplir'!$F$31:$F$400,'Étape 1 - à remplir'!$C$31:$C$400,IF($AT72="Bovin","Bovin*",IF($AT72="Ovin","Ovin*",IF($AT72="Caprin","Caprin*",IF($AT72="Porcin","Porcin*",IF($AT72="Equin","Equin*",IF($AT72="Volaille","Volaille*",IF($AT72="Poisson","Poisson*",IF($AT72="Autre","Autre*","")))))))),'Étape 1 - à remplir'!$G$31:$G$400,"animaux",'Étape 1 - à remplir'!$M$31:$M$400,MASQ2!BE$43)/SUMIFS('Étape 1 - à remplir'!$F$19:$F$28,'Étape 1 - à remplir'!$C$19:$C$28,MASQ2!$AT72,'Étape 1 - à remplir'!$G$19:$G$28,"animaux"),"")</f>
        <v/>
      </c>
      <c r="BF72" s="76" t="str">
        <f>IFERROR(SUMIFS('Étape 1 - à remplir'!$F$31:$F$400,'Étape 1 - à remplir'!$C$31:$C$400,IF($AT72="Bovin","Bovin*",IF($AT72="Ovin","Ovin*",IF($AT72="Caprin","Caprin*",IF($AT72="Porcin","Porcin*",IF($AT72="Equin","Equin*",IF($AT72="Volaille","Volaille*",IF($AT72="Poisson","Poisson*",IF($AT72="Autre","Autre*","")))))))),'Étape 1 - à remplir'!$G$31:$G$400,"animaux",'Étape 1 - à remplir'!$M$31:$M$400,MASQ2!BF$43)/SUMIFS('Étape 1 - à remplir'!$F$19:$F$28,'Étape 1 - à remplir'!$C$19:$C$28,MASQ2!$AT72,'Étape 1 - à remplir'!$G$19:$G$28,"animaux"),"")</f>
        <v/>
      </c>
      <c r="BT72" s="194" t="str">
        <f t="shared" ca="1" si="131"/>
        <v>x</v>
      </c>
      <c r="BU72" s="219" t="str">
        <f>IFERROR(IF(BX72=0,"",COUNTIF(BX$4:BX$600,"&gt;"&amp;BX72)+COUNTIF(BX$4:BX72,BX72)),"")</f>
        <v/>
      </c>
      <c r="BV72" s="42" t="str">
        <f t="shared" si="132"/>
        <v>BELCOPENI 5</v>
      </c>
      <c r="BW72" t="e">
        <f>IF(IF(CE$2="Catégorie",IF(CE$3="Toutes",SUMIFS('Étape 1 - à remplir'!$F$31:$F$400,'Étape 1 - à remplir'!$E$31:$E$400,MASQ2!BV72,'Étape 1 - à remplir'!$G$31:$G$400,"lots"),SUMIFS('Étape 1 - à remplir'!$F$31:$F$400,'Étape 1 - à remplir'!$E$31:$E$400,MASQ2!BV72,'Étape 1 - à remplir'!$C$31:$C$400,CE$3)),IF(CE$2="Âge",IF(CE$3="Tous",SUMIFS('Étape 1 - à remplir'!$F$31:$F$400,'Étape 1 - à remplir'!$E$31:$E$400,MASQ2!BV72,'Étape 1 - à remplir'!$G$31:$G$400,"lots"),SUMIFS('Étape 1 - à remplir'!$F$31:$F$400,'Étape 1 - à remplir'!$E$31:$E$400,MASQ2!BV72,'Étape 1 - à remplir'!$P$31:$P$400,CE$3,'Étape 1 - à remplir'!$G$31:$G$400,"lots")),IF(CE$2="Atelier",IF(CE$3="Tous",SUMIFS('Étape 1 - à remplir'!$F$31:$F$400,'Étape 1 - à remplir'!$E$31:$E$400,MASQ2!BV72,'Étape 1 - à remplir'!$G$31:$G$400,"lots"),SUMIFS('Étape 1 - à remplir'!$F$31:$F$400,'Étape 1 - à remplir'!$E$31:$E$400,MASQ2!BV72,'Étape 1 - à remplir'!$O$31:$O$400,CE$3,'Étape 1 - à remplir'!$G$31:$G$400,"lots")),IF(CE$2="Espèce",IF(CE$3="Toutes",SUMIFS('Étape 1 - à remplir'!$F$31:$F$400,'Étape 1 - à remplir'!$E$31:$E$400,MASQ2!BV72,'Étape 1 - à remplir'!$G$31:$G$400,"lots"),SUMIFS('Étape 1 - à remplir'!$F$31:$F$400,'Étape 1 - à remplir'!$E$31:$E$400,MASQ2!BV72,'Étape 1 - à remplir'!$N$31:$N$400,CE$3,'Étape 1 - à remplir'!$G$31:$G$400,"lots"))))))=0,NA(),IF(CE$2="Catégorie",IF(CE$3="Toutes",SUMIFS('Étape 1 - à remplir'!$F$31:$F$400,'Étape 1 - à remplir'!$E$31:$E$400,MASQ2!BV72,'Étape 1 - à remplir'!$G$31:$G$400,"lots"),SUMIFS('Étape 1 - à remplir'!$F$31:$F$400,'Étape 1 - à remplir'!$E$31:$E$400,MASQ2!BV72,'Étape 1 - à remplir'!$C$31:$C$400,CE$3)),IF(CE$2="Âge",IF(CE$3="Tous",SUMIFS('Étape 1 - à remplir'!$F$31:$F$400,'Étape 1 - à remplir'!$E$31:$E$400,MASQ2!BV72,'Étape 1 - à remplir'!$G$31:$G$400,"lots"),SUMIFS('Étape 1 - à remplir'!$F$31:$F$400,'Étape 1 - à remplir'!$E$31:$E$400,MASQ2!BV72,'Étape 1 - à remplir'!$P$31:$P$400,CE$3,'Étape 1 - à remplir'!$G$31:$G$400,"lots")),IF(CE$2="Atelier",IF(CE$3="Tous",SUMIFS('Étape 1 - à remplir'!$F$31:$F$400,'Étape 1 - à remplir'!$E$31:$E$400,MASQ2!BV72,'Étape 1 - à remplir'!$G$31:$G$400,"lots"),SUMIFS('Étape 1 - à remplir'!$F$31:$F$400,'Étape 1 - à remplir'!$E$31:$E$400,MASQ2!BV72,'Étape 1 - à remplir'!$O$31:$O$400,CE$3,'Étape 1 - à remplir'!$G$31:$G$400,"lots")),IF(CE$2="Espèce",IF(CE$3="Toutes",SUMIFS('Étape 1 - à remplir'!$F$31:$F$400,'Étape 1 - à remplir'!$E$31:$E$400,MASQ2!BV72,'Étape 1 - à remplir'!$G$31:$G$400,"lots"),SUMIFS('Étape 1 - à remplir'!$F$31:$F$400,'Étape 1 - à remplir'!$E$31:$E$400,MASQ2!BV72,'Étape 1 - à remplir'!$N$31:$N$400,CE$3,'Étape 1 - à remplir'!$G$31:$G$400,"lots")))))))</f>
        <v>#N/A</v>
      </c>
      <c r="BX72">
        <f t="shared" si="149"/>
        <v>0</v>
      </c>
      <c r="BY72" t="str">
        <f t="shared" si="133"/>
        <v>Benzylpénicilline</v>
      </c>
      <c r="BZ72" t="str">
        <f t="shared" si="134"/>
        <v>Colistine</v>
      </c>
      <c r="CA72" t="str">
        <f t="shared" si="135"/>
        <v/>
      </c>
      <c r="CB72" t="str">
        <f t="shared" si="136"/>
        <v>Penicillines</v>
      </c>
      <c r="CC72" t="str">
        <f t="shared" si="137"/>
        <v>Polypeptides</v>
      </c>
      <c r="CD72" s="63" t="str">
        <f t="shared" si="138"/>
        <v/>
      </c>
      <c r="CG72" s="42">
        <v>69</v>
      </c>
      <c r="CH72" s="42" t="e">
        <f t="shared" si="80"/>
        <v>#N/A</v>
      </c>
      <c r="CI72" s="63" t="e">
        <f t="shared" si="81"/>
        <v>#N/A</v>
      </c>
      <c r="DA72" s="118" t="str">
        <f t="shared" si="129"/>
        <v/>
      </c>
      <c r="DB72" s="118" t="str">
        <f>IFERROR(SUMIFS('Étape 1 - à remplir'!$F$31:$F$400,'Étape 1 - à remplir'!$C$31:$C$400,IF($DA72="Bovin","Bovin*",IF($DA72="Ovin","Ovin*",IF($DA72="Caprin","Caprin*",IF($DA72="Porcin","Porcin*",IF($DA72="Equin","Equin*",IF($DA72="Volaille","Volaille*",IF($DA72="Poisson","Poisson*",IF($DA72="Autre","Autre*","")))))))),'Étape 1 - à remplir'!$G$31:$G$400,"lots",'Étape 1 - à remplir'!$M$31:$M$400,MASQ2!DB$43)/SUMIFS('Étape 1 - à remplir'!$F$19:$F$28,'Étape 1 - à remplir'!$C$19:$C$28,MASQ2!$DA72,'Étape 1 - à remplir'!$G$19:$G$28,"lots"),"")</f>
        <v/>
      </c>
      <c r="DC72" t="str">
        <f>IFERROR(SUMIFS('Étape 1 - à remplir'!$F$31:$F$400,'Étape 1 - à remplir'!$C$31:$C$400,IF($DA72="Bovin","Bovin*",IF($DA72="Ovin","Ovin*",IF($DA72="Caprin","Caprin*",IF($DA72="Porcin","Porcin*",IF($DA72="Equin","Equin*",IF($DA72="Volaille","Volaille*",IF($DA72="Poisson","Poisson*",IF($DA72="Autre","Autre*","")))))))),'Étape 1 - à remplir'!$G$31:$G$400,"lots",'Étape 1 - à remplir'!$M$31:$M$400,MASQ2!DC$43)/SUMIFS('Étape 1 - à remplir'!$F$19:$F$28,'Étape 1 - à remplir'!$C$19:$C$28,MASQ2!$DA72,'Étape 1 - à remplir'!$G$19:$G$28,"lots"),"")</f>
        <v/>
      </c>
      <c r="DD72" t="str">
        <f>IFERROR(SUMIFS('Étape 1 - à remplir'!$F$31:$F$400,'Étape 1 - à remplir'!$C$31:$C$400,IF($DA72="Bovin","Bovin*",IF($DA72="Ovin","Ovin*",IF($DA72="Caprin","Caprin*",IF($DA72="Porcin","Porcin*",IF($DA72="Equin","Equin*",IF($DA72="Volaille","Volaille*",IF($DA72="Poisson","Poisson*",IF($DA72="Autre","Autre*","")))))))),'Étape 1 - à remplir'!$G$31:$G$400,"lots",'Étape 1 - à remplir'!$M$31:$M$400,MASQ2!DD$43)/SUMIFS('Étape 1 - à remplir'!$F$19:$F$28,'Étape 1 - à remplir'!$C$19:$C$28,MASQ2!$DA72,'Étape 1 - à remplir'!$G$19:$G$28,"lots"),"")</f>
        <v/>
      </c>
      <c r="DE72" t="str">
        <f>IFERROR(SUMIFS('Étape 1 - à remplir'!$F$31:$F$400,'Étape 1 - à remplir'!$C$31:$C$400,IF($DA72="Bovin","Bovin*",IF($DA72="Ovin","Ovin*",IF($DA72="Caprin","Caprin*",IF($DA72="Porcin","Porcin*",IF($DA72="Equin","Equin*",IF($DA72="Volaille","Volaille*",IF($DA72="Poisson","Poisson*",IF($DA72="Autre","Autre*","")))))))),'Étape 1 - à remplir'!$G$31:$G$400,"lots",'Étape 1 - à remplir'!$M$31:$M$400,MASQ2!DE$43)/SUMIFS('Étape 1 - à remplir'!$F$19:$F$28,'Étape 1 - à remplir'!$C$19:$C$28,MASQ2!$DA72,'Étape 1 - à remplir'!$G$19:$G$28,"lots"),"")</f>
        <v/>
      </c>
      <c r="DF72" t="str">
        <f>IFERROR(SUMIFS('Étape 1 - à remplir'!$F$31:$F$400,'Étape 1 - à remplir'!$C$31:$C$400,IF($DA72="Bovin","Bovin*",IF($DA72="Ovin","Ovin*",IF($DA72="Caprin","Caprin*",IF($DA72="Porcin","Porcin*",IF($DA72="Equin","Equin*",IF($DA72="Volaille","Volaille*",IF($DA72="Poisson","Poisson*",IF($DA72="Autre","Autre*","")))))))),'Étape 1 - à remplir'!$G$31:$G$400,"lots",'Étape 1 - à remplir'!$M$31:$M$400,MASQ2!DF$43)/SUMIFS('Étape 1 - à remplir'!$F$19:$F$28,'Étape 1 - à remplir'!$C$19:$C$28,MASQ2!$DA72,'Étape 1 - à remplir'!$G$19:$G$28,"lots"),"")</f>
        <v/>
      </c>
      <c r="DG72" t="str">
        <f>IFERROR(SUMIFS('Étape 1 - à remplir'!$F$31:$F$400,'Étape 1 - à remplir'!$C$31:$C$400,IF($DA72="Bovin","Bovin*",IF($DA72="Ovin","Ovin*",IF($DA72="Caprin","Caprin*",IF($DA72="Porcin","Porcin*",IF($DA72="Equin","Equin*",IF($DA72="Volaille","Volaille*",IF($DA72="Poisson","Poisson*",IF($DA72="Autre","Autre*","")))))))),'Étape 1 - à remplir'!$G$31:$G$400,"lots",'Étape 1 - à remplir'!$M$31:$M$400,MASQ2!DG$43)/SUMIFS('Étape 1 - à remplir'!$F$19:$F$28,'Étape 1 - à remplir'!$C$19:$C$28,MASQ2!$DA72,'Étape 1 - à remplir'!$G$19:$G$28,"lots"),"")</f>
        <v/>
      </c>
      <c r="DH72" t="str">
        <f>IFERROR(SUMIFS('Étape 1 - à remplir'!$F$31:$F$400,'Étape 1 - à remplir'!$C$31:$C$400,IF($DA72="Bovin","Bovin*",IF($DA72="Ovin","Ovin*",IF($DA72="Caprin","Caprin*",IF($DA72="Porcin","Porcin*",IF($DA72="Equin","Equin*",IF($DA72="Volaille","Volaille*",IF($DA72="Poisson","Poisson*",IF($DA72="Autre","Autre*","")))))))),'Étape 1 - à remplir'!$G$31:$G$400,"lots",'Étape 1 - à remplir'!$M$31:$M$400,MASQ2!DH$43)/SUMIFS('Étape 1 - à remplir'!$F$19:$F$28,'Étape 1 - à remplir'!$C$19:$C$28,MASQ2!$DA72,'Étape 1 - à remplir'!$G$19:$G$28,"lots"),"")</f>
        <v/>
      </c>
      <c r="DI72" t="str">
        <f>IFERROR(SUMIFS('Étape 1 - à remplir'!$F$31:$F$400,'Étape 1 - à remplir'!$C$31:$C$400,IF($DA72="Bovin","Bovin*",IF($DA72="Ovin","Ovin*",IF($DA72="Caprin","Caprin*",IF($DA72="Porcin","Porcin*",IF($DA72="Equin","Equin*",IF($DA72="Volaille","Volaille*",IF($DA72="Poisson","Poisson*",IF($DA72="Autre","Autre*","")))))))),'Étape 1 - à remplir'!$G$31:$G$400,"lots",'Étape 1 - à remplir'!$M$31:$M$400,MASQ2!DI$43)/SUMIFS('Étape 1 - à remplir'!$F$19:$F$28,'Étape 1 - à remplir'!$C$19:$C$28,MASQ2!$DA72,'Étape 1 - à remplir'!$G$19:$G$28,"lots"),"")</f>
        <v/>
      </c>
      <c r="DJ72" t="str">
        <f>IFERROR(SUMIFS('Étape 1 - à remplir'!$F$31:$F$400,'Étape 1 - à remplir'!$C$31:$C$400,IF($DA72="Bovin","Bovin*",IF($DA72="Ovin","Ovin*",IF($DA72="Caprin","Caprin*",IF($DA72="Porcin","Porcin*",IF($DA72="Equin","Equin*",IF($DA72="Volaille","Volaille*",IF($DA72="Poisson","Poisson*",IF($DA72="Autre","Autre*","")))))))),'Étape 1 - à remplir'!$G$31:$G$400,"lots",'Étape 1 - à remplir'!$M$31:$M$400,MASQ2!DJ$43)/SUMIFS('Étape 1 - à remplir'!$F$19:$F$28,'Étape 1 - à remplir'!$C$19:$C$28,MASQ2!$DA72,'Étape 1 - à remplir'!$G$19:$G$28,"lots"),"")</f>
        <v/>
      </c>
      <c r="DK72" t="str">
        <f>IFERROR(SUMIFS('Étape 1 - à remplir'!$F$31:$F$400,'Étape 1 - à remplir'!$C$31:$C$400,IF($DA72="Bovin","Bovin*",IF($DA72="Ovin","Ovin*",IF($DA72="Caprin","Caprin*",IF($DA72="Porcin","Porcin*",IF($DA72="Equin","Equin*",IF($DA72="Volaille","Volaille*",IF($DA72="Poisson","Poisson*",IF($DA72="Autre","Autre*","")))))))),'Étape 1 - à remplir'!$G$31:$G$400,"lots",'Étape 1 - à remplir'!$M$31:$M$400,MASQ2!DK$43)/SUMIFS('Étape 1 - à remplir'!$F$19:$F$28,'Étape 1 - à remplir'!$C$19:$C$28,MASQ2!$DA72,'Étape 1 - à remplir'!$G$19:$G$28,"lots"),"")</f>
        <v/>
      </c>
      <c r="DL72" t="str">
        <f>IFERROR(SUMIFS('Étape 1 - à remplir'!$F$31:$F$400,'Étape 1 - à remplir'!$C$31:$C$400,IF($DA72="Bovin","Bovin*",IF($DA72="Ovin","Ovin*",IF($DA72="Caprin","Caprin*",IF($DA72="Porcin","Porcin*",IF($DA72="Equin","Equin*",IF($DA72="Volaille","Volaille*",IF($DA72="Poisson","Poisson*",IF($DA72="Autre","Autre*","")))))))),'Étape 1 - à remplir'!$G$31:$G$400,"lots",'Étape 1 - à remplir'!$M$31:$M$400,MASQ2!DL$43)/SUMIFS('Étape 1 - à remplir'!$F$19:$F$28,'Étape 1 - à remplir'!$C$19:$C$28,MASQ2!$DA72,'Étape 1 - à remplir'!$G$19:$G$28,"lots"),"")</f>
        <v/>
      </c>
      <c r="DM72" s="76" t="str">
        <f>IFERROR(SUMIFS('Étape 1 - à remplir'!$F$31:$F$400,'Étape 1 - à remplir'!$C$31:$C$400,IF($DA72="Bovin","Bovin*",IF($DA72="Ovin","Ovin*",IF($DA72="Caprin","Caprin*",IF($DA72="Porcin","Porcin*",IF($DA72="Equin","Equin*",IF($DA72="Volaille","Volaille*",IF($DA72="Poisson","Poisson*",IF($DA72="Autre","Autre*","")))))))),'Étape 1 - à remplir'!$G$31:$G$400,"lots",'Étape 1 - à remplir'!$M$31:$M$400,MASQ2!DM$43)/SUMIFS('Étape 1 - à remplir'!$F$19:$F$28,'Étape 1 - à remplir'!$C$19:$C$28,MASQ2!$DA72,'Étape 1 - à remplir'!$G$19:$G$28,"lots"),"")</f>
        <v/>
      </c>
      <c r="EA72" s="194" t="str">
        <f t="shared" ca="1" si="139"/>
        <v>x</v>
      </c>
      <c r="EB72" s="226" t="str">
        <f>IFERROR(IF(ED72=0,"",COUNTIF(ED$4:ED$600,"&gt;"&amp;ED72)+COUNTIF(ED$4:ED72,ED72)),"")</f>
        <v/>
      </c>
      <c r="EC72" t="str">
        <f t="shared" si="140"/>
        <v>BELCOPENI 5</v>
      </c>
      <c r="ED72" t="e">
        <f>IF(IF(EL$2="Catégorie",IF(EL$3="Toutes",SUMIFS('Étape 1 - à remplir'!$F$31:$F$400,'Étape 1 - à remplir'!$E$31:$E$400,MASQ2!EC72,'Étape 1 - à remplir'!$G$31:$G$400,"kg"),SUMIFS('Étape 1 - à remplir'!$F$31:$F$400,'Étape 1 - à remplir'!$E$31:$E$400,MASQ2!EC72,'Étape 1 - à remplir'!$C$31:$C$400,EL$3)),IF(EL$2="Âge",IF(EL$3="Tous",SUMIFS('Étape 1 - à remplir'!$F$31:$F$400,'Étape 1 - à remplir'!$E$31:$E$400,MASQ2!EC72,'Étape 1 - à remplir'!$G$31:$G$400,"kg"),SUMIFS('Étape 1 - à remplir'!$F$31:$F$400,'Étape 1 - à remplir'!$E$31:$E$400,MASQ2!EC72,'Étape 1 - à remplir'!$P$31:$P$400,EL$3,'Étape 1 - à remplir'!$G$31:$G$400,"kg")),IF(EL$2="Atelier",IF(EL$3="Tous",SUMIFS('Étape 1 - à remplir'!$F$31:$F$400,'Étape 1 - à remplir'!$E$31:$E$400,MASQ2!EC72,'Étape 1 - à remplir'!$G$31:$G$400,"kg"),SUMIFS('Étape 1 - à remplir'!$F$31:$F$400,'Étape 1 - à remplir'!$E$31:$E$400,MASQ2!EC72,'Étape 1 - à remplir'!$O$31:$O$400,EL$3,'Étape 1 - à remplir'!$G$31:$G$400,"kg")),IF(EL$2="Espèce",IF(EL$3="Toutes",SUMIFS('Étape 1 - à remplir'!$F$31:$F$400,'Étape 1 - à remplir'!$E$31:$E$400,MASQ2!EC72,'Étape 1 - à remplir'!$G$31:$G$400,"kg"),SUMIFS('Étape 1 - à remplir'!$F$31:$F$400,'Étape 1 - à remplir'!$E$31:$E$400,MASQ2!EC72,'Étape 1 - à remplir'!$N$31:$N$400,EL$3,'Étape 1 - à remplir'!$G$31:$G$400,"kg"))))))=0,NA(),IF(EL$2="Catégorie",IF(EL$3="Toutes",SUMIFS('Étape 1 - à remplir'!$F$31:$F$400,'Étape 1 - à remplir'!$E$31:$E$400,MASQ2!EC72,'Étape 1 - à remplir'!$G$31:$G$400,"kg"),SUMIFS('Étape 1 - à remplir'!$F$31:$F$400,'Étape 1 - à remplir'!$E$31:$E$400,MASQ2!EC72,'Étape 1 - à remplir'!$C$31:$C$400,EL$3)),IF(EL$2="Âge",IF(EL$3="Tous",SUMIFS('Étape 1 - à remplir'!$F$31:$F$400,'Étape 1 - à remplir'!$E$31:$E$400,MASQ2!EC72,'Étape 1 - à remplir'!$G$31:$G$400,"kg"),SUMIFS('Étape 1 - à remplir'!$F$31:$F$400,'Étape 1 - à remplir'!$E$31:$E$400,MASQ2!EC72,'Étape 1 - à remplir'!$P$31:$P$400,EL$3,'Étape 1 - à remplir'!$G$31:$G$400,"kg")),IF(EL$2="Atelier",IF(EL$3="Tous",SUMIFS('Étape 1 - à remplir'!$F$31:$F$400,'Étape 1 - à remplir'!$E$31:$E$400,MASQ2!EC72,'Étape 1 - à remplir'!$G$31:$G$400,"kg"),SUMIFS('Étape 1 - à remplir'!$F$31:$F$400,'Étape 1 - à remplir'!$E$31:$E$400,MASQ2!EC72,'Étape 1 - à remplir'!$O$31:$O$400,EL$3,'Étape 1 - à remplir'!$G$31:$G$400,"kg")),IF(EL$2="Espèce",IF(EL$3="Toutes",SUMIFS('Étape 1 - à remplir'!$F$31:$F$400,'Étape 1 - à remplir'!$E$31:$E$400,MASQ2!EC72,'Étape 1 - à remplir'!$G$31:$G$400,"kg"),SUMIFS('Étape 1 - à remplir'!$F$31:$F$400,'Étape 1 - à remplir'!$E$31:$E$400,MASQ2!EC72,'Étape 1 - à remplir'!$N$31:$N$400,EL$3,'Étape 1 - à remplir'!$G$31:$G$400,"kg")))))))</f>
        <v>#N/A</v>
      </c>
      <c r="EE72" s="76">
        <f t="shared" si="150"/>
        <v>0</v>
      </c>
      <c r="EF72" t="str">
        <f t="shared" si="141"/>
        <v>Benzylpénicilline</v>
      </c>
      <c r="EG72" t="str">
        <f t="shared" si="142"/>
        <v>Colistine</v>
      </c>
      <c r="EH72" t="str">
        <f t="shared" si="143"/>
        <v/>
      </c>
      <c r="EI72" t="str">
        <f t="shared" si="144"/>
        <v>Penicillines</v>
      </c>
      <c r="EJ72" t="str">
        <f t="shared" si="145"/>
        <v>Polypeptides</v>
      </c>
      <c r="EK72" s="63" t="str">
        <f t="shared" si="146"/>
        <v/>
      </c>
      <c r="EN72" s="42">
        <v>69</v>
      </c>
      <c r="EO72" t="e">
        <f t="shared" si="68"/>
        <v>#N/A</v>
      </c>
      <c r="EP72" s="63" t="e">
        <f t="shared" si="69"/>
        <v>#N/A</v>
      </c>
      <c r="FH72" s="118" t="str">
        <f t="shared" si="130"/>
        <v/>
      </c>
      <c r="FI72" s="118" t="str">
        <f>IFERROR(SUMIFS('Étape 1 - à remplir'!$F$31:$F$400,'Étape 1 - à remplir'!$C$31:$C$400,IF($FH72="Bovin","Bovin*",IF($FH72="Ovin","Ovin*",IF($FH72="Caprin","Caprin*",IF($FH72="Porcin","Porcin*",IF($FH72="Equin","Equin*",IF($FH72="Volaille","Volaille*",IF($FH72="Poisson","Poisson*",IF($FH72="Autre","Autre*","")))))))),'Étape 1 - à remplir'!$G$31:$G$400,"kg",'Étape 1 - à remplir'!$M$31:$M$400,MASQ2!FI$43)/SUMIFS('Étape 1 - à remplir'!$F$19:$F$28,'Étape 1 - à remplir'!$C$19:$C$28,MASQ2!$FH72,'Étape 1 - à remplir'!$G$19:$G$28,"kg"),"")</f>
        <v/>
      </c>
      <c r="FJ72" t="str">
        <f>IFERROR(SUMIFS('Étape 1 - à remplir'!$F$31:$F$400,'Étape 1 - à remplir'!$C$31:$C$400,IF($FH72="Bovin","Bovin*",IF($FH72="Ovin","Ovin*",IF($FH72="Caprin","Caprin*",IF($FH72="Porcin","Porcin*",IF($FH72="Equin","Equin*",IF($FH72="Volaille","Volaille*",IF($FH72="Poisson","Poisson*",IF($FH72="Autre","Autre*","")))))))),'Étape 1 - à remplir'!$G$31:$G$400,"kg",'Étape 1 - à remplir'!$M$31:$M$400,MASQ2!FJ$43)/SUMIFS('Étape 1 - à remplir'!$F$19:$F$28,'Étape 1 - à remplir'!$C$19:$C$28,MASQ2!$FH72,'Étape 1 - à remplir'!$G$19:$G$28,"kg"),"")</f>
        <v/>
      </c>
      <c r="FK72" t="str">
        <f>IFERROR(SUMIFS('Étape 1 - à remplir'!$F$31:$F$400,'Étape 1 - à remplir'!$C$31:$C$400,IF($FH72="Bovin","Bovin*",IF($FH72="Ovin","Ovin*",IF($FH72="Caprin","Caprin*",IF($FH72="Porcin","Porcin*",IF($FH72="Equin","Equin*",IF($FH72="Volaille","Volaille*",IF($FH72="Poisson","Poisson*",IF($FH72="Autre","Autre*","")))))))),'Étape 1 - à remplir'!$G$31:$G$400,"kg",'Étape 1 - à remplir'!$M$31:$M$400,MASQ2!FK$43)/SUMIFS('Étape 1 - à remplir'!$F$19:$F$28,'Étape 1 - à remplir'!$C$19:$C$28,MASQ2!$FH72,'Étape 1 - à remplir'!$G$19:$G$28,"kg"),"")</f>
        <v/>
      </c>
      <c r="FL72" t="str">
        <f>IFERROR(SUMIFS('Étape 1 - à remplir'!$F$31:$F$400,'Étape 1 - à remplir'!$C$31:$C$400,IF($FH72="Bovin","Bovin*",IF($FH72="Ovin","Ovin*",IF($FH72="Caprin","Caprin*",IF($FH72="Porcin","Porcin*",IF($FH72="Equin","Equin*",IF($FH72="Volaille","Volaille*",IF($FH72="Poisson","Poisson*",IF($FH72="Autre","Autre*","")))))))),'Étape 1 - à remplir'!$G$31:$G$400,"kg",'Étape 1 - à remplir'!$M$31:$M$400,MASQ2!FL$43)/SUMIFS('Étape 1 - à remplir'!$F$19:$F$28,'Étape 1 - à remplir'!$C$19:$C$28,MASQ2!$FH72,'Étape 1 - à remplir'!$G$19:$G$28,"kg"),"")</f>
        <v/>
      </c>
      <c r="FM72" t="str">
        <f>IFERROR(SUMIFS('Étape 1 - à remplir'!$F$31:$F$400,'Étape 1 - à remplir'!$C$31:$C$400,IF($FH72="Bovin","Bovin*",IF($FH72="Ovin","Ovin*",IF($FH72="Caprin","Caprin*",IF($FH72="Porcin","Porcin*",IF($FH72="Equin","Equin*",IF($FH72="Volaille","Volaille*",IF($FH72="Poisson","Poisson*",IF($FH72="Autre","Autre*","")))))))),'Étape 1 - à remplir'!$G$31:$G$400,"kg",'Étape 1 - à remplir'!$M$31:$M$400,MASQ2!FM$43)/SUMIFS('Étape 1 - à remplir'!$F$19:$F$28,'Étape 1 - à remplir'!$C$19:$C$28,MASQ2!$FH72,'Étape 1 - à remplir'!$G$19:$G$28,"kg"),"")</f>
        <v/>
      </c>
      <c r="FN72" t="str">
        <f>IFERROR(SUMIFS('Étape 1 - à remplir'!$F$31:$F$400,'Étape 1 - à remplir'!$C$31:$C$400,IF($FH72="Bovin","Bovin*",IF($FH72="Ovin","Ovin*",IF($FH72="Caprin","Caprin*",IF($FH72="Porcin","Porcin*",IF($FH72="Equin","Equin*",IF($FH72="Volaille","Volaille*",IF($FH72="Poisson","Poisson*",IF($FH72="Autre","Autre*","")))))))),'Étape 1 - à remplir'!$G$31:$G$400,"kg",'Étape 1 - à remplir'!$M$31:$M$400,MASQ2!FN$43)/SUMIFS('Étape 1 - à remplir'!$F$19:$F$28,'Étape 1 - à remplir'!$C$19:$C$28,MASQ2!$FH72,'Étape 1 - à remplir'!$G$19:$G$28,"kg"),"")</f>
        <v/>
      </c>
      <c r="FO72" t="str">
        <f>IFERROR(SUMIFS('Étape 1 - à remplir'!$F$31:$F$400,'Étape 1 - à remplir'!$C$31:$C$400,IF($FH72="Bovin","Bovin*",IF($FH72="Ovin","Ovin*",IF($FH72="Caprin","Caprin*",IF($FH72="Porcin","Porcin*",IF($FH72="Equin","Equin*",IF($FH72="Volaille","Volaille*",IF($FH72="Poisson","Poisson*",IF($FH72="Autre","Autre*","")))))))),'Étape 1 - à remplir'!$G$31:$G$400,"kg",'Étape 1 - à remplir'!$M$31:$M$400,MASQ2!FO$43)/SUMIFS('Étape 1 - à remplir'!$F$19:$F$28,'Étape 1 - à remplir'!$C$19:$C$28,MASQ2!$FH72,'Étape 1 - à remplir'!$G$19:$G$28,"kg"),"")</f>
        <v/>
      </c>
      <c r="FP72" t="str">
        <f>IFERROR(SUMIFS('Étape 1 - à remplir'!$F$31:$F$400,'Étape 1 - à remplir'!$C$31:$C$400,IF($FH72="Bovin","Bovin*",IF($FH72="Ovin","Ovin*",IF($FH72="Caprin","Caprin*",IF($FH72="Porcin","Porcin*",IF($FH72="Equin","Equin*",IF($FH72="Volaille","Volaille*",IF($FH72="Poisson","Poisson*",IF($FH72="Autre","Autre*","")))))))),'Étape 1 - à remplir'!$G$31:$G$400,"kg",'Étape 1 - à remplir'!$M$31:$M$400,MASQ2!FP$43)/SUMIFS('Étape 1 - à remplir'!$F$19:$F$28,'Étape 1 - à remplir'!$C$19:$C$28,MASQ2!$FH72,'Étape 1 - à remplir'!$G$19:$G$28,"kg"),"")</f>
        <v/>
      </c>
      <c r="FQ72" t="str">
        <f>IFERROR(SUMIFS('Étape 1 - à remplir'!$F$31:$F$400,'Étape 1 - à remplir'!$C$31:$C$400,IF($FH72="Bovin","Bovin*",IF($FH72="Ovin","Ovin*",IF($FH72="Caprin","Caprin*",IF($FH72="Porcin","Porcin*",IF($FH72="Equin","Equin*",IF($FH72="Volaille","Volaille*",IF($FH72="Poisson","Poisson*",IF($FH72="Autre","Autre*","")))))))),'Étape 1 - à remplir'!$G$31:$G$400,"kg",'Étape 1 - à remplir'!$M$31:$M$400,MASQ2!FQ$43)/SUMIFS('Étape 1 - à remplir'!$F$19:$F$28,'Étape 1 - à remplir'!$C$19:$C$28,MASQ2!$FH72,'Étape 1 - à remplir'!$G$19:$G$28,"kg"),"")</f>
        <v/>
      </c>
      <c r="FR72" t="str">
        <f>IFERROR(SUMIFS('Étape 1 - à remplir'!$F$31:$F$400,'Étape 1 - à remplir'!$C$31:$C$400,IF($FH72="Bovin","Bovin*",IF($FH72="Ovin","Ovin*",IF($FH72="Caprin","Caprin*",IF($FH72="Porcin","Porcin*",IF($FH72="Equin","Equin*",IF($FH72="Volaille","Volaille*",IF($FH72="Poisson","Poisson*",IF($FH72="Autre","Autre*","")))))))),'Étape 1 - à remplir'!$G$31:$G$400,"kg",'Étape 1 - à remplir'!$M$31:$M$400,MASQ2!FR$43)/SUMIFS('Étape 1 - à remplir'!$F$19:$F$28,'Étape 1 - à remplir'!$C$19:$C$28,MASQ2!$FH72,'Étape 1 - à remplir'!$G$19:$G$28,"kg"),"")</f>
        <v/>
      </c>
      <c r="FS72" t="str">
        <f>IFERROR(SUMIFS('Étape 1 - à remplir'!$F$31:$F$400,'Étape 1 - à remplir'!$C$31:$C$400,IF($FH72="Bovin","Bovin*",IF($FH72="Ovin","Ovin*",IF($FH72="Caprin","Caprin*",IF($FH72="Porcin","Porcin*",IF($FH72="Equin","Equin*",IF($FH72="Volaille","Volaille*",IF($FH72="Poisson","Poisson*",IF($FH72="Autre","Autre*","")))))))),'Étape 1 - à remplir'!$G$31:$G$400,"kg",'Étape 1 - à remplir'!$M$31:$M$400,MASQ2!FS$43)/SUMIFS('Étape 1 - à remplir'!$F$19:$F$28,'Étape 1 - à remplir'!$C$19:$C$28,MASQ2!$FH72,'Étape 1 - à remplir'!$G$19:$G$28,"kg"),"")</f>
        <v/>
      </c>
      <c r="FT72" s="76" t="str">
        <f>IFERROR(SUMIFS('Étape 1 - à remplir'!$F$31:$F$400,'Étape 1 - à remplir'!$C$31:$C$400,IF($FH72="Bovin","Bovin*",IF($FH72="Ovin","Ovin*",IF($FH72="Caprin","Caprin*",IF($FH72="Porcin","Porcin*",IF($FH72="Equin","Equin*",IF($FH72="Volaille","Volaille*",IF($FH72="Poisson","Poisson*",IF($FH72="Autre","Autre*","")))))))),'Étape 1 - à remplir'!$G$31:$G$400,"kg",'Étape 1 - à remplir'!$M$31:$M$400,MASQ2!FT$43)/SUMIFS('Étape 1 - à remplir'!$F$19:$F$28,'Étape 1 - à remplir'!$C$19:$C$28,MASQ2!$FH72,'Étape 1 - à remplir'!$G$19:$G$28,"kg"),"")</f>
        <v/>
      </c>
    </row>
    <row r="73" spans="2:176" x14ac:dyDescent="0.3">
      <c r="B73" s="42"/>
      <c r="M73" s="194" t="str">
        <f ca="1">INDEX(Données_ATB!BD:BU,MATCH(MASQ2!O73,Données_ATB!BD:BD,0),18)</f>
        <v/>
      </c>
      <c r="N73" s="14" t="str">
        <f>IFERROR(IF(Q73=0,"",COUNTIF(Q$4:Q$600,"&gt;"&amp;Q73)+COUNTIF(Q$4:Q73,Q73)),"")</f>
        <v/>
      </c>
      <c r="O73" t="str">
        <f>Données_ATB!BD72</f>
        <v>BIAMULINE</v>
      </c>
      <c r="P73" t="e">
        <f>IF(IF(X$2="Catégorie",IF(X$3="Toutes",SUMIFS('Étape 1 - à remplir'!$F$31:$F$400,'Étape 1 - à remplir'!$E$31:$E$400,MASQ2!O73,'Étape 1 - à remplir'!$G$31:$G$400,"animaux"),SUMIFS('Étape 1 - à remplir'!$F$31:$F$400,'Étape 1 - à remplir'!$E$31:$E$400,MASQ2!O73,'Étape 1 - à remplir'!$C$31:$C$400,X$3)),IF(X$2="Âge",IF(X$3="Tous",SUMIFS('Étape 1 - à remplir'!$F$31:$F$400,'Étape 1 - à remplir'!$E$31:$E$400,MASQ2!O73,'Étape 1 - à remplir'!$G$31:$G$400,"animaux"),SUMIFS('Étape 1 - à remplir'!$F$31:$F$400,'Étape 1 - à remplir'!$E$31:$E$400,MASQ2!O73,'Étape 1 - à remplir'!$P$31:$P$400,X$3)),IF(X$2="Atelier",IF(X$3="Tous",SUMIFS('Étape 1 - à remplir'!$F$31:$F$400,'Étape 1 - à remplir'!$E$31:$E$400,MASQ2!O73,'Étape 1 - à remplir'!$G$31:$G$400,"animaux"),SUMIFS('Étape 1 - à remplir'!$F$31:$F$400,'Étape 1 - à remplir'!$E$31:$E$400,MASQ2!O73,'Étape 1 - à remplir'!$O$31:$O$400,X$3)),IF(X$2="Espèce",IF(X$3="Toutes",SUMIFS('Étape 1 - à remplir'!$F$31:$F$400,'Étape 1 - à remplir'!$E$31:$E$400,MASQ2!O73,'Étape 1 - à remplir'!$G$31:$G$400,"animaux"),SUMIFS('Étape 1 - à remplir'!$F$31:$F$400,'Étape 1 - à remplir'!$E$31:$E$400,MASQ2!O73,'Étape 1 - à remplir'!$N$31:$N$400,X$3))))))=0,NA(),IF(X$2="Catégorie",IF(X$3="Toutes",SUMIFS('Étape 1 - à remplir'!$F$31:$F$400,'Étape 1 - à remplir'!$E$31:$E$400,MASQ2!O73,'Étape 1 - à remplir'!$G$31:$G$400,"animaux"),SUMIFS('Étape 1 - à remplir'!$F$31:$F$400,'Étape 1 - à remplir'!$E$31:$E$400,MASQ2!O73,'Étape 1 - à remplir'!$C$31:$C$400,X$3)),IF(X$2="Âge",IF(X$3="Tous",SUMIFS('Étape 1 - à remplir'!$F$31:$F$400,'Étape 1 - à remplir'!$E$31:$E$400,MASQ2!O73,'Étape 1 - à remplir'!$G$31:$G$400,"animaux"),SUMIFS('Étape 1 - à remplir'!$F$31:$F$400,'Étape 1 - à remplir'!$E$31:$E$400,MASQ2!O73,'Étape 1 - à remplir'!$P$31:$P$400,X$3)),IF(X$2="Atelier",IF(X$3="Tous",SUMIFS('Étape 1 - à remplir'!$F$31:$F$400,'Étape 1 - à remplir'!$E$31:$E$400,MASQ2!O73,'Étape 1 - à remplir'!$G$31:$G$400,"animaux"),SUMIFS('Étape 1 - à remplir'!$F$31:$F$400,'Étape 1 - à remplir'!$E$31:$E$400,MASQ2!O73,'Étape 1 - à remplir'!$O$31:$O$400,X$3)),IF(X$2="Espèce",IF(X$3="Toutes",SUMIFS('Étape 1 - à remplir'!$F$31:$F$400,'Étape 1 - à remplir'!$E$31:$E$400,MASQ2!O73,'Étape 1 - à remplir'!$G$31:$G$400,"animaux"),SUMIFS('Étape 1 - à remplir'!$F$31:$F$400,'Étape 1 - à remplir'!$E$31:$E$400,MASQ2!O73,'Étape 1 - à remplir'!$N$31:$N$400,X$3)))))))</f>
        <v>#N/A</v>
      </c>
      <c r="Q73" s="63">
        <f t="shared" si="151"/>
        <v>0</v>
      </c>
      <c r="R73" t="str">
        <f>Données_ATB!BM72</f>
        <v>Tiamuline</v>
      </c>
      <c r="S73" t="str">
        <f>Données_ATB!BN72</f>
        <v/>
      </c>
      <c r="T73" s="63" t="str">
        <f>Données_ATB!BO72</f>
        <v/>
      </c>
      <c r="U73" s="42" t="str">
        <f>Données_ATB!BQ72</f>
        <v>Pleuromutilines</v>
      </c>
      <c r="V73" t="str">
        <f>Données_ATB!BR72</f>
        <v/>
      </c>
      <c r="W73" s="63" t="str">
        <f>Données_ATB!BS72</f>
        <v/>
      </c>
      <c r="Z73" s="42">
        <v>70</v>
      </c>
      <c r="AA73" t="e">
        <f t="shared" si="147"/>
        <v>#N/A</v>
      </c>
      <c r="AB73" s="63" t="e">
        <f t="shared" si="148"/>
        <v>#N/A</v>
      </c>
      <c r="AT73" s="119" t="str">
        <f t="shared" si="128"/>
        <v/>
      </c>
      <c r="AU73" s="119" t="str">
        <f>IFERROR(SUMIFS('Étape 1 - à remplir'!$F$31:$F$400,'Étape 1 - à remplir'!$C$31:$C$400,IF($AT73="Bovin","Bovin*",IF($AT73="Ovin","Ovin*",IF($AT73="Caprin","Caprin*",IF($AT73="Porcin","Porcin*",IF($AT73="Equin","Equin*",IF($AT73="Volaille","Volaille*",IF($AT73="Poisson","Poisson*",IF($AT73="Autre","Autre*","")))))))),'Étape 1 - à remplir'!$G$31:$G$400,"animaux",'Étape 1 - à remplir'!$M$31:$M$400,MASQ2!AU$43)/SUMIFS('Étape 1 - à remplir'!$F$19:$F$28,'Étape 1 - à remplir'!$C$19:$C$28,MASQ2!$AT73,'Étape 1 - à remplir'!$G$19:$G$28,"animaux"),"")</f>
        <v/>
      </c>
      <c r="AV73" s="111" t="str">
        <f>IFERROR(SUMIFS('Étape 1 - à remplir'!$F$31:$F$400,'Étape 1 - à remplir'!$C$31:$C$400,IF($AT73="Bovin","Bovin*",IF($AT73="Ovin","Ovin*",IF($AT73="Caprin","Caprin*",IF($AT73="Porcin","Porcin*",IF($AT73="Equin","Equin*",IF($AT73="Volaille","Volaille*",IF($AT73="Poisson","Poisson*",IF($AT73="Autre","Autre*","")))))))),'Étape 1 - à remplir'!$G$31:$G$400,"animaux",'Étape 1 - à remplir'!$M$31:$M$400,MASQ2!AV$43)/SUMIFS('Étape 1 - à remplir'!$F$19:$F$28,'Étape 1 - à remplir'!$C$19:$C$28,MASQ2!$AT73,'Étape 1 - à remplir'!$G$19:$G$28,"animaux"),"")</f>
        <v/>
      </c>
      <c r="AW73" s="111" t="str">
        <f>IFERROR(SUMIFS('Étape 1 - à remplir'!$F$31:$F$400,'Étape 1 - à remplir'!$C$31:$C$400,IF($AT73="Bovin","Bovin*",IF($AT73="Ovin","Ovin*",IF($AT73="Caprin","Caprin*",IF($AT73="Porcin","Porcin*",IF($AT73="Equin","Equin*",IF($AT73="Volaille","Volaille*",IF($AT73="Poisson","Poisson*",IF($AT73="Autre","Autre*","")))))))),'Étape 1 - à remplir'!$G$31:$G$400,"animaux",'Étape 1 - à remplir'!$M$31:$M$400,MASQ2!AW$43)/SUMIFS('Étape 1 - à remplir'!$F$19:$F$28,'Étape 1 - à remplir'!$C$19:$C$28,MASQ2!$AT73,'Étape 1 - à remplir'!$G$19:$G$28,"animaux"),"")</f>
        <v/>
      </c>
      <c r="AX73" s="111" t="str">
        <f>IFERROR(SUMIFS('Étape 1 - à remplir'!$F$31:$F$400,'Étape 1 - à remplir'!$C$31:$C$400,IF($AT73="Bovin","Bovin*",IF($AT73="Ovin","Ovin*",IF($AT73="Caprin","Caprin*",IF($AT73="Porcin","Porcin*",IF($AT73="Equin","Equin*",IF($AT73="Volaille","Volaille*",IF($AT73="Poisson","Poisson*",IF($AT73="Autre","Autre*","")))))))),'Étape 1 - à remplir'!$G$31:$G$400,"animaux",'Étape 1 - à remplir'!$M$31:$M$400,MASQ2!AX$43)/SUMIFS('Étape 1 - à remplir'!$F$19:$F$28,'Étape 1 - à remplir'!$C$19:$C$28,MASQ2!$AT73,'Étape 1 - à remplir'!$G$19:$G$28,"animaux"),"")</f>
        <v/>
      </c>
      <c r="AY73" s="111" t="str">
        <f>IFERROR(SUMIFS('Étape 1 - à remplir'!$F$31:$F$400,'Étape 1 - à remplir'!$C$31:$C$400,IF($AT73="Bovin","Bovin*",IF($AT73="Ovin","Ovin*",IF($AT73="Caprin","Caprin*",IF($AT73="Porcin","Porcin*",IF($AT73="Equin","Equin*",IF($AT73="Volaille","Volaille*",IF($AT73="Poisson","Poisson*",IF($AT73="Autre","Autre*","")))))))),'Étape 1 - à remplir'!$G$31:$G$400,"animaux",'Étape 1 - à remplir'!$M$31:$M$400,MASQ2!AY$43)/SUMIFS('Étape 1 - à remplir'!$F$19:$F$28,'Étape 1 - à remplir'!$C$19:$C$28,MASQ2!$AT73,'Étape 1 - à remplir'!$G$19:$G$28,"animaux"),"")</f>
        <v/>
      </c>
      <c r="AZ73" s="111" t="str">
        <f>IFERROR(SUMIFS('Étape 1 - à remplir'!$F$31:$F$400,'Étape 1 - à remplir'!$C$31:$C$400,IF($AT73="Bovin","Bovin*",IF($AT73="Ovin","Ovin*",IF($AT73="Caprin","Caprin*",IF($AT73="Porcin","Porcin*",IF($AT73="Equin","Equin*",IF($AT73="Volaille","Volaille*",IF($AT73="Poisson","Poisson*",IF($AT73="Autre","Autre*","")))))))),'Étape 1 - à remplir'!$G$31:$G$400,"animaux",'Étape 1 - à remplir'!$M$31:$M$400,MASQ2!AZ$43)/SUMIFS('Étape 1 - à remplir'!$F$19:$F$28,'Étape 1 - à remplir'!$C$19:$C$28,MASQ2!$AT73,'Étape 1 - à remplir'!$G$19:$G$28,"animaux"),"")</f>
        <v/>
      </c>
      <c r="BA73" s="111" t="str">
        <f>IFERROR(SUMIFS('Étape 1 - à remplir'!$F$31:$F$400,'Étape 1 - à remplir'!$C$31:$C$400,IF($AT73="Bovin","Bovin*",IF($AT73="Ovin","Ovin*",IF($AT73="Caprin","Caprin*",IF($AT73="Porcin","Porcin*",IF($AT73="Equin","Equin*",IF($AT73="Volaille","Volaille*",IF($AT73="Poisson","Poisson*",IF($AT73="Autre","Autre*","")))))))),'Étape 1 - à remplir'!$G$31:$G$400,"animaux",'Étape 1 - à remplir'!$M$31:$M$400,MASQ2!BA$43)/SUMIFS('Étape 1 - à remplir'!$F$19:$F$28,'Étape 1 - à remplir'!$C$19:$C$28,MASQ2!$AT73,'Étape 1 - à remplir'!$G$19:$G$28,"animaux"),"")</f>
        <v/>
      </c>
      <c r="BB73" s="111" t="str">
        <f>IFERROR(SUMIFS('Étape 1 - à remplir'!$F$31:$F$400,'Étape 1 - à remplir'!$C$31:$C$400,IF($AT73="Bovin","Bovin*",IF($AT73="Ovin","Ovin*",IF($AT73="Caprin","Caprin*",IF($AT73="Porcin","Porcin*",IF($AT73="Equin","Equin*",IF($AT73="Volaille","Volaille*",IF($AT73="Poisson","Poisson*",IF($AT73="Autre","Autre*","")))))))),'Étape 1 - à remplir'!$G$31:$G$400,"animaux",'Étape 1 - à remplir'!$M$31:$M$400,MASQ2!BB$43)/SUMIFS('Étape 1 - à remplir'!$F$19:$F$28,'Étape 1 - à remplir'!$C$19:$C$28,MASQ2!$AT73,'Étape 1 - à remplir'!$G$19:$G$28,"animaux"),"")</f>
        <v/>
      </c>
      <c r="BC73" s="111" t="str">
        <f>IFERROR(SUMIFS('Étape 1 - à remplir'!$F$31:$F$400,'Étape 1 - à remplir'!$C$31:$C$400,IF($AT73="Bovin","Bovin*",IF($AT73="Ovin","Ovin*",IF($AT73="Caprin","Caprin*",IF($AT73="Porcin","Porcin*",IF($AT73="Equin","Equin*",IF($AT73="Volaille","Volaille*",IF($AT73="Poisson","Poisson*",IF($AT73="Autre","Autre*","")))))))),'Étape 1 - à remplir'!$G$31:$G$400,"animaux",'Étape 1 - à remplir'!$M$31:$M$400,MASQ2!BC$43)/SUMIFS('Étape 1 - à remplir'!$F$19:$F$28,'Étape 1 - à remplir'!$C$19:$C$28,MASQ2!$AT73,'Étape 1 - à remplir'!$G$19:$G$28,"animaux"),"")</f>
        <v/>
      </c>
      <c r="BD73" s="111" t="str">
        <f>IFERROR(SUMIFS('Étape 1 - à remplir'!$F$31:$F$400,'Étape 1 - à remplir'!$C$31:$C$400,IF($AT73="Bovin","Bovin*",IF($AT73="Ovin","Ovin*",IF($AT73="Caprin","Caprin*",IF($AT73="Porcin","Porcin*",IF($AT73="Equin","Equin*",IF($AT73="Volaille","Volaille*",IF($AT73="Poisson","Poisson*",IF($AT73="Autre","Autre*","")))))))),'Étape 1 - à remplir'!$G$31:$G$400,"animaux",'Étape 1 - à remplir'!$M$31:$M$400,MASQ2!BD$43)/SUMIFS('Étape 1 - à remplir'!$F$19:$F$28,'Étape 1 - à remplir'!$C$19:$C$28,MASQ2!$AT73,'Étape 1 - à remplir'!$G$19:$G$28,"animaux"),"")</f>
        <v/>
      </c>
      <c r="BE73" s="111" t="str">
        <f>IFERROR(SUMIFS('Étape 1 - à remplir'!$F$31:$F$400,'Étape 1 - à remplir'!$C$31:$C$400,IF($AT73="Bovin","Bovin*",IF($AT73="Ovin","Ovin*",IF($AT73="Caprin","Caprin*",IF($AT73="Porcin","Porcin*",IF($AT73="Equin","Equin*",IF($AT73="Volaille","Volaille*",IF($AT73="Poisson","Poisson*",IF($AT73="Autre","Autre*","")))))))),'Étape 1 - à remplir'!$G$31:$G$400,"animaux",'Étape 1 - à remplir'!$M$31:$M$400,MASQ2!BE$43)/SUMIFS('Étape 1 - à remplir'!$F$19:$F$28,'Étape 1 - à remplir'!$C$19:$C$28,MASQ2!$AT73,'Étape 1 - à remplir'!$G$19:$G$28,"animaux"),"")</f>
        <v/>
      </c>
      <c r="BF73" s="115" t="str">
        <f>IFERROR(SUMIFS('Étape 1 - à remplir'!$F$31:$F$400,'Étape 1 - à remplir'!$C$31:$C$400,IF($AT73="Bovin","Bovin*",IF($AT73="Ovin","Ovin*",IF($AT73="Caprin","Caprin*",IF($AT73="Porcin","Porcin*",IF($AT73="Equin","Equin*",IF($AT73="Volaille","Volaille*",IF($AT73="Poisson","Poisson*",IF($AT73="Autre","Autre*","")))))))),'Étape 1 - à remplir'!$G$31:$G$400,"animaux",'Étape 1 - à remplir'!$M$31:$M$400,MASQ2!BF$43)/SUMIFS('Étape 1 - à remplir'!$F$19:$F$28,'Étape 1 - à remplir'!$C$19:$C$28,MASQ2!$AT73,'Étape 1 - à remplir'!$G$19:$G$28,"animaux"),"")</f>
        <v/>
      </c>
      <c r="BT73" s="194" t="str">
        <f t="shared" ca="1" si="131"/>
        <v/>
      </c>
      <c r="BU73" s="219" t="str">
        <f>IFERROR(IF(BX73=0,"",COUNTIF(BX$4:BX$600,"&gt;"&amp;BX73)+COUNTIF(BX$4:BX73,BX73)),"")</f>
        <v/>
      </c>
      <c r="BV73" s="42" t="str">
        <f t="shared" si="132"/>
        <v>BIAMULINE</v>
      </c>
      <c r="BW73" t="e">
        <f>IF(IF(CE$2="Catégorie",IF(CE$3="Toutes",SUMIFS('Étape 1 - à remplir'!$F$31:$F$400,'Étape 1 - à remplir'!$E$31:$E$400,MASQ2!BV73,'Étape 1 - à remplir'!$G$31:$G$400,"lots"),SUMIFS('Étape 1 - à remplir'!$F$31:$F$400,'Étape 1 - à remplir'!$E$31:$E$400,MASQ2!BV73,'Étape 1 - à remplir'!$C$31:$C$400,CE$3)),IF(CE$2="Âge",IF(CE$3="Tous",SUMIFS('Étape 1 - à remplir'!$F$31:$F$400,'Étape 1 - à remplir'!$E$31:$E$400,MASQ2!BV73,'Étape 1 - à remplir'!$G$31:$G$400,"lots"),SUMIFS('Étape 1 - à remplir'!$F$31:$F$400,'Étape 1 - à remplir'!$E$31:$E$400,MASQ2!BV73,'Étape 1 - à remplir'!$P$31:$P$400,CE$3,'Étape 1 - à remplir'!$G$31:$G$400,"lots")),IF(CE$2="Atelier",IF(CE$3="Tous",SUMIFS('Étape 1 - à remplir'!$F$31:$F$400,'Étape 1 - à remplir'!$E$31:$E$400,MASQ2!BV73,'Étape 1 - à remplir'!$G$31:$G$400,"lots"),SUMIFS('Étape 1 - à remplir'!$F$31:$F$400,'Étape 1 - à remplir'!$E$31:$E$400,MASQ2!BV73,'Étape 1 - à remplir'!$O$31:$O$400,CE$3,'Étape 1 - à remplir'!$G$31:$G$400,"lots")),IF(CE$2="Espèce",IF(CE$3="Toutes",SUMIFS('Étape 1 - à remplir'!$F$31:$F$400,'Étape 1 - à remplir'!$E$31:$E$400,MASQ2!BV73,'Étape 1 - à remplir'!$G$31:$G$400,"lots"),SUMIFS('Étape 1 - à remplir'!$F$31:$F$400,'Étape 1 - à remplir'!$E$31:$E$400,MASQ2!BV73,'Étape 1 - à remplir'!$N$31:$N$400,CE$3,'Étape 1 - à remplir'!$G$31:$G$400,"lots"))))))=0,NA(),IF(CE$2="Catégorie",IF(CE$3="Toutes",SUMIFS('Étape 1 - à remplir'!$F$31:$F$400,'Étape 1 - à remplir'!$E$31:$E$400,MASQ2!BV73,'Étape 1 - à remplir'!$G$31:$G$400,"lots"),SUMIFS('Étape 1 - à remplir'!$F$31:$F$400,'Étape 1 - à remplir'!$E$31:$E$400,MASQ2!BV73,'Étape 1 - à remplir'!$C$31:$C$400,CE$3)),IF(CE$2="Âge",IF(CE$3="Tous",SUMIFS('Étape 1 - à remplir'!$F$31:$F$400,'Étape 1 - à remplir'!$E$31:$E$400,MASQ2!BV73,'Étape 1 - à remplir'!$G$31:$G$400,"lots"),SUMIFS('Étape 1 - à remplir'!$F$31:$F$400,'Étape 1 - à remplir'!$E$31:$E$400,MASQ2!BV73,'Étape 1 - à remplir'!$P$31:$P$400,CE$3,'Étape 1 - à remplir'!$G$31:$G$400,"lots")),IF(CE$2="Atelier",IF(CE$3="Tous",SUMIFS('Étape 1 - à remplir'!$F$31:$F$400,'Étape 1 - à remplir'!$E$31:$E$400,MASQ2!BV73,'Étape 1 - à remplir'!$G$31:$G$400,"lots"),SUMIFS('Étape 1 - à remplir'!$F$31:$F$400,'Étape 1 - à remplir'!$E$31:$E$400,MASQ2!BV73,'Étape 1 - à remplir'!$O$31:$O$400,CE$3,'Étape 1 - à remplir'!$G$31:$G$400,"lots")),IF(CE$2="Espèce",IF(CE$3="Toutes",SUMIFS('Étape 1 - à remplir'!$F$31:$F$400,'Étape 1 - à remplir'!$E$31:$E$400,MASQ2!BV73,'Étape 1 - à remplir'!$G$31:$G$400,"lots"),SUMIFS('Étape 1 - à remplir'!$F$31:$F$400,'Étape 1 - à remplir'!$E$31:$E$400,MASQ2!BV73,'Étape 1 - à remplir'!$N$31:$N$400,CE$3,'Étape 1 - à remplir'!$G$31:$G$400,"lots")))))))</f>
        <v>#N/A</v>
      </c>
      <c r="BX73">
        <f t="shared" si="149"/>
        <v>0</v>
      </c>
      <c r="BY73" t="str">
        <f t="shared" si="133"/>
        <v>Tiamuline</v>
      </c>
      <c r="BZ73" t="str">
        <f t="shared" si="134"/>
        <v/>
      </c>
      <c r="CA73" t="str">
        <f t="shared" si="135"/>
        <v/>
      </c>
      <c r="CB73" t="str">
        <f t="shared" si="136"/>
        <v>Pleuromutilines</v>
      </c>
      <c r="CC73" t="str">
        <f t="shared" si="137"/>
        <v/>
      </c>
      <c r="CD73" s="63" t="str">
        <f t="shared" si="138"/>
        <v/>
      </c>
      <c r="CG73" s="42">
        <v>70</v>
      </c>
      <c r="CH73" s="42" t="e">
        <f t="shared" si="80"/>
        <v>#N/A</v>
      </c>
      <c r="CI73" s="63" t="e">
        <f t="shared" si="81"/>
        <v>#N/A</v>
      </c>
      <c r="DA73" s="119" t="str">
        <f t="shared" si="129"/>
        <v/>
      </c>
      <c r="DB73" s="119" t="str">
        <f>IFERROR(SUMIFS('Étape 1 - à remplir'!$F$31:$F$400,'Étape 1 - à remplir'!$C$31:$C$400,IF($DA73="Bovin","Bovin*",IF($DA73="Ovin","Ovin*",IF($DA73="Caprin","Caprin*",IF($DA73="Porcin","Porcin*",IF($DA73="Equin","Equin*",IF($DA73="Volaille","Volaille*",IF($DA73="Poisson","Poisson*",IF($DA73="Autre","Autre*","")))))))),'Étape 1 - à remplir'!$G$31:$G$400,"lots",'Étape 1 - à remplir'!$M$31:$M$400,MASQ2!DB$43)/SUMIFS('Étape 1 - à remplir'!$F$19:$F$28,'Étape 1 - à remplir'!$C$19:$C$28,MASQ2!$DA73,'Étape 1 - à remplir'!$G$19:$G$28,"lots"),"")</f>
        <v/>
      </c>
      <c r="DC73" s="111" t="str">
        <f>IFERROR(SUMIFS('Étape 1 - à remplir'!$F$31:$F$400,'Étape 1 - à remplir'!$C$31:$C$400,IF($DA73="Bovin","Bovin*",IF($DA73="Ovin","Ovin*",IF($DA73="Caprin","Caprin*",IF($DA73="Porcin","Porcin*",IF($DA73="Equin","Equin*",IF($DA73="Volaille","Volaille*",IF($DA73="Poisson","Poisson*",IF($DA73="Autre","Autre*","")))))))),'Étape 1 - à remplir'!$G$31:$G$400,"lots",'Étape 1 - à remplir'!$M$31:$M$400,MASQ2!DC$43)/SUMIFS('Étape 1 - à remplir'!$F$19:$F$28,'Étape 1 - à remplir'!$C$19:$C$28,MASQ2!$DA73,'Étape 1 - à remplir'!$G$19:$G$28,"lots"),"")</f>
        <v/>
      </c>
      <c r="DD73" s="111" t="str">
        <f>IFERROR(SUMIFS('Étape 1 - à remplir'!$F$31:$F$400,'Étape 1 - à remplir'!$C$31:$C$400,IF($DA73="Bovin","Bovin*",IF($DA73="Ovin","Ovin*",IF($DA73="Caprin","Caprin*",IF($DA73="Porcin","Porcin*",IF($DA73="Equin","Equin*",IF($DA73="Volaille","Volaille*",IF($DA73="Poisson","Poisson*",IF($DA73="Autre","Autre*","")))))))),'Étape 1 - à remplir'!$G$31:$G$400,"lots",'Étape 1 - à remplir'!$M$31:$M$400,MASQ2!DD$43)/SUMIFS('Étape 1 - à remplir'!$F$19:$F$28,'Étape 1 - à remplir'!$C$19:$C$28,MASQ2!$DA73,'Étape 1 - à remplir'!$G$19:$G$28,"lots"),"")</f>
        <v/>
      </c>
      <c r="DE73" s="111" t="str">
        <f>IFERROR(SUMIFS('Étape 1 - à remplir'!$F$31:$F$400,'Étape 1 - à remplir'!$C$31:$C$400,IF($DA73="Bovin","Bovin*",IF($DA73="Ovin","Ovin*",IF($DA73="Caprin","Caprin*",IF($DA73="Porcin","Porcin*",IF($DA73="Equin","Equin*",IF($DA73="Volaille","Volaille*",IF($DA73="Poisson","Poisson*",IF($DA73="Autre","Autre*","")))))))),'Étape 1 - à remplir'!$G$31:$G$400,"lots",'Étape 1 - à remplir'!$M$31:$M$400,MASQ2!DE$43)/SUMIFS('Étape 1 - à remplir'!$F$19:$F$28,'Étape 1 - à remplir'!$C$19:$C$28,MASQ2!$DA73,'Étape 1 - à remplir'!$G$19:$G$28,"lots"),"")</f>
        <v/>
      </c>
      <c r="DF73" s="111" t="str">
        <f>IFERROR(SUMIFS('Étape 1 - à remplir'!$F$31:$F$400,'Étape 1 - à remplir'!$C$31:$C$400,IF($DA73="Bovin","Bovin*",IF($DA73="Ovin","Ovin*",IF($DA73="Caprin","Caprin*",IF($DA73="Porcin","Porcin*",IF($DA73="Equin","Equin*",IF($DA73="Volaille","Volaille*",IF($DA73="Poisson","Poisson*",IF($DA73="Autre","Autre*","")))))))),'Étape 1 - à remplir'!$G$31:$G$400,"lots",'Étape 1 - à remplir'!$M$31:$M$400,MASQ2!DF$43)/SUMIFS('Étape 1 - à remplir'!$F$19:$F$28,'Étape 1 - à remplir'!$C$19:$C$28,MASQ2!$DA73,'Étape 1 - à remplir'!$G$19:$G$28,"lots"),"")</f>
        <v/>
      </c>
      <c r="DG73" s="111" t="str">
        <f>IFERROR(SUMIFS('Étape 1 - à remplir'!$F$31:$F$400,'Étape 1 - à remplir'!$C$31:$C$400,IF($DA73="Bovin","Bovin*",IF($DA73="Ovin","Ovin*",IF($DA73="Caprin","Caprin*",IF($DA73="Porcin","Porcin*",IF($DA73="Equin","Equin*",IF($DA73="Volaille","Volaille*",IF($DA73="Poisson","Poisson*",IF($DA73="Autre","Autre*","")))))))),'Étape 1 - à remplir'!$G$31:$G$400,"lots",'Étape 1 - à remplir'!$M$31:$M$400,MASQ2!DG$43)/SUMIFS('Étape 1 - à remplir'!$F$19:$F$28,'Étape 1 - à remplir'!$C$19:$C$28,MASQ2!$DA73,'Étape 1 - à remplir'!$G$19:$G$28,"lots"),"")</f>
        <v/>
      </c>
      <c r="DH73" s="111" t="str">
        <f>IFERROR(SUMIFS('Étape 1 - à remplir'!$F$31:$F$400,'Étape 1 - à remplir'!$C$31:$C$400,IF($DA73="Bovin","Bovin*",IF($DA73="Ovin","Ovin*",IF($DA73="Caprin","Caprin*",IF($DA73="Porcin","Porcin*",IF($DA73="Equin","Equin*",IF($DA73="Volaille","Volaille*",IF($DA73="Poisson","Poisson*",IF($DA73="Autre","Autre*","")))))))),'Étape 1 - à remplir'!$G$31:$G$400,"lots",'Étape 1 - à remplir'!$M$31:$M$400,MASQ2!DH$43)/SUMIFS('Étape 1 - à remplir'!$F$19:$F$28,'Étape 1 - à remplir'!$C$19:$C$28,MASQ2!$DA73,'Étape 1 - à remplir'!$G$19:$G$28,"lots"),"")</f>
        <v/>
      </c>
      <c r="DI73" s="111" t="str">
        <f>IFERROR(SUMIFS('Étape 1 - à remplir'!$F$31:$F$400,'Étape 1 - à remplir'!$C$31:$C$400,IF($DA73="Bovin","Bovin*",IF($DA73="Ovin","Ovin*",IF($DA73="Caprin","Caprin*",IF($DA73="Porcin","Porcin*",IF($DA73="Equin","Equin*",IF($DA73="Volaille","Volaille*",IF($DA73="Poisson","Poisson*",IF($DA73="Autre","Autre*","")))))))),'Étape 1 - à remplir'!$G$31:$G$400,"lots",'Étape 1 - à remplir'!$M$31:$M$400,MASQ2!DI$43)/SUMIFS('Étape 1 - à remplir'!$F$19:$F$28,'Étape 1 - à remplir'!$C$19:$C$28,MASQ2!$DA73,'Étape 1 - à remplir'!$G$19:$G$28,"lots"),"")</f>
        <v/>
      </c>
      <c r="DJ73" s="111" t="str">
        <f>IFERROR(SUMIFS('Étape 1 - à remplir'!$F$31:$F$400,'Étape 1 - à remplir'!$C$31:$C$400,IF($DA73="Bovin","Bovin*",IF($DA73="Ovin","Ovin*",IF($DA73="Caprin","Caprin*",IF($DA73="Porcin","Porcin*",IF($DA73="Equin","Equin*",IF($DA73="Volaille","Volaille*",IF($DA73="Poisson","Poisson*",IF($DA73="Autre","Autre*","")))))))),'Étape 1 - à remplir'!$G$31:$G$400,"lots",'Étape 1 - à remplir'!$M$31:$M$400,MASQ2!DJ$43)/SUMIFS('Étape 1 - à remplir'!$F$19:$F$28,'Étape 1 - à remplir'!$C$19:$C$28,MASQ2!$DA73,'Étape 1 - à remplir'!$G$19:$G$28,"lots"),"")</f>
        <v/>
      </c>
      <c r="DK73" s="111" t="str">
        <f>IFERROR(SUMIFS('Étape 1 - à remplir'!$F$31:$F$400,'Étape 1 - à remplir'!$C$31:$C$400,IF($DA73="Bovin","Bovin*",IF($DA73="Ovin","Ovin*",IF($DA73="Caprin","Caprin*",IF($DA73="Porcin","Porcin*",IF($DA73="Equin","Equin*",IF($DA73="Volaille","Volaille*",IF($DA73="Poisson","Poisson*",IF($DA73="Autre","Autre*","")))))))),'Étape 1 - à remplir'!$G$31:$G$400,"lots",'Étape 1 - à remplir'!$M$31:$M$400,MASQ2!DK$43)/SUMIFS('Étape 1 - à remplir'!$F$19:$F$28,'Étape 1 - à remplir'!$C$19:$C$28,MASQ2!$DA73,'Étape 1 - à remplir'!$G$19:$G$28,"lots"),"")</f>
        <v/>
      </c>
      <c r="DL73" s="111" t="str">
        <f>IFERROR(SUMIFS('Étape 1 - à remplir'!$F$31:$F$400,'Étape 1 - à remplir'!$C$31:$C$400,IF($DA73="Bovin","Bovin*",IF($DA73="Ovin","Ovin*",IF($DA73="Caprin","Caprin*",IF($DA73="Porcin","Porcin*",IF($DA73="Equin","Equin*",IF($DA73="Volaille","Volaille*",IF($DA73="Poisson","Poisson*",IF($DA73="Autre","Autre*","")))))))),'Étape 1 - à remplir'!$G$31:$G$400,"lots",'Étape 1 - à remplir'!$M$31:$M$400,MASQ2!DL$43)/SUMIFS('Étape 1 - à remplir'!$F$19:$F$28,'Étape 1 - à remplir'!$C$19:$C$28,MASQ2!$DA73,'Étape 1 - à remplir'!$G$19:$G$28,"lots"),"")</f>
        <v/>
      </c>
      <c r="DM73" s="115" t="str">
        <f>IFERROR(SUMIFS('Étape 1 - à remplir'!$F$31:$F$400,'Étape 1 - à remplir'!$C$31:$C$400,IF($DA73="Bovin","Bovin*",IF($DA73="Ovin","Ovin*",IF($DA73="Caprin","Caprin*",IF($DA73="Porcin","Porcin*",IF($DA73="Equin","Equin*",IF($DA73="Volaille","Volaille*",IF($DA73="Poisson","Poisson*",IF($DA73="Autre","Autre*","")))))))),'Étape 1 - à remplir'!$G$31:$G$400,"lots",'Étape 1 - à remplir'!$M$31:$M$400,MASQ2!DM$43)/SUMIFS('Étape 1 - à remplir'!$F$19:$F$28,'Étape 1 - à remplir'!$C$19:$C$28,MASQ2!$DA73,'Étape 1 - à remplir'!$G$19:$G$28,"lots"),"")</f>
        <v/>
      </c>
      <c r="EA73" s="194" t="str">
        <f t="shared" ca="1" si="139"/>
        <v/>
      </c>
      <c r="EB73" s="226" t="str">
        <f>IFERROR(IF(ED73=0,"",COUNTIF(ED$4:ED$600,"&gt;"&amp;ED73)+COUNTIF(ED$4:ED73,ED73)),"")</f>
        <v/>
      </c>
      <c r="EC73" t="str">
        <f t="shared" si="140"/>
        <v>BIAMULINE</v>
      </c>
      <c r="ED73" t="e">
        <f>IF(IF(EL$2="Catégorie",IF(EL$3="Toutes",SUMIFS('Étape 1 - à remplir'!$F$31:$F$400,'Étape 1 - à remplir'!$E$31:$E$400,MASQ2!EC73,'Étape 1 - à remplir'!$G$31:$G$400,"kg"),SUMIFS('Étape 1 - à remplir'!$F$31:$F$400,'Étape 1 - à remplir'!$E$31:$E$400,MASQ2!EC73,'Étape 1 - à remplir'!$C$31:$C$400,EL$3)),IF(EL$2="Âge",IF(EL$3="Tous",SUMIFS('Étape 1 - à remplir'!$F$31:$F$400,'Étape 1 - à remplir'!$E$31:$E$400,MASQ2!EC73,'Étape 1 - à remplir'!$G$31:$G$400,"kg"),SUMIFS('Étape 1 - à remplir'!$F$31:$F$400,'Étape 1 - à remplir'!$E$31:$E$400,MASQ2!EC73,'Étape 1 - à remplir'!$P$31:$P$400,EL$3,'Étape 1 - à remplir'!$G$31:$G$400,"kg")),IF(EL$2="Atelier",IF(EL$3="Tous",SUMIFS('Étape 1 - à remplir'!$F$31:$F$400,'Étape 1 - à remplir'!$E$31:$E$400,MASQ2!EC73,'Étape 1 - à remplir'!$G$31:$G$400,"kg"),SUMIFS('Étape 1 - à remplir'!$F$31:$F$400,'Étape 1 - à remplir'!$E$31:$E$400,MASQ2!EC73,'Étape 1 - à remplir'!$O$31:$O$400,EL$3,'Étape 1 - à remplir'!$G$31:$G$400,"kg")),IF(EL$2="Espèce",IF(EL$3="Toutes",SUMIFS('Étape 1 - à remplir'!$F$31:$F$400,'Étape 1 - à remplir'!$E$31:$E$400,MASQ2!EC73,'Étape 1 - à remplir'!$G$31:$G$400,"kg"),SUMIFS('Étape 1 - à remplir'!$F$31:$F$400,'Étape 1 - à remplir'!$E$31:$E$400,MASQ2!EC73,'Étape 1 - à remplir'!$N$31:$N$400,EL$3,'Étape 1 - à remplir'!$G$31:$G$400,"kg"))))))=0,NA(),IF(EL$2="Catégorie",IF(EL$3="Toutes",SUMIFS('Étape 1 - à remplir'!$F$31:$F$400,'Étape 1 - à remplir'!$E$31:$E$400,MASQ2!EC73,'Étape 1 - à remplir'!$G$31:$G$400,"kg"),SUMIFS('Étape 1 - à remplir'!$F$31:$F$400,'Étape 1 - à remplir'!$E$31:$E$400,MASQ2!EC73,'Étape 1 - à remplir'!$C$31:$C$400,EL$3)),IF(EL$2="Âge",IF(EL$3="Tous",SUMIFS('Étape 1 - à remplir'!$F$31:$F$400,'Étape 1 - à remplir'!$E$31:$E$400,MASQ2!EC73,'Étape 1 - à remplir'!$G$31:$G$400,"kg"),SUMIFS('Étape 1 - à remplir'!$F$31:$F$400,'Étape 1 - à remplir'!$E$31:$E$400,MASQ2!EC73,'Étape 1 - à remplir'!$P$31:$P$400,EL$3,'Étape 1 - à remplir'!$G$31:$G$400,"kg")),IF(EL$2="Atelier",IF(EL$3="Tous",SUMIFS('Étape 1 - à remplir'!$F$31:$F$400,'Étape 1 - à remplir'!$E$31:$E$400,MASQ2!EC73,'Étape 1 - à remplir'!$G$31:$G$400,"kg"),SUMIFS('Étape 1 - à remplir'!$F$31:$F$400,'Étape 1 - à remplir'!$E$31:$E$400,MASQ2!EC73,'Étape 1 - à remplir'!$O$31:$O$400,EL$3,'Étape 1 - à remplir'!$G$31:$G$400,"kg")),IF(EL$2="Espèce",IF(EL$3="Toutes",SUMIFS('Étape 1 - à remplir'!$F$31:$F$400,'Étape 1 - à remplir'!$E$31:$E$400,MASQ2!EC73,'Étape 1 - à remplir'!$G$31:$G$400,"kg"),SUMIFS('Étape 1 - à remplir'!$F$31:$F$400,'Étape 1 - à remplir'!$E$31:$E$400,MASQ2!EC73,'Étape 1 - à remplir'!$N$31:$N$400,EL$3,'Étape 1 - à remplir'!$G$31:$G$400,"kg")))))))</f>
        <v>#N/A</v>
      </c>
      <c r="EE73" s="76">
        <f t="shared" si="150"/>
        <v>0</v>
      </c>
      <c r="EF73" t="str">
        <f t="shared" si="141"/>
        <v>Tiamuline</v>
      </c>
      <c r="EG73" t="str">
        <f t="shared" si="142"/>
        <v/>
      </c>
      <c r="EH73" t="str">
        <f t="shared" si="143"/>
        <v/>
      </c>
      <c r="EI73" t="str">
        <f t="shared" si="144"/>
        <v>Pleuromutilines</v>
      </c>
      <c r="EJ73" t="str">
        <f t="shared" si="145"/>
        <v/>
      </c>
      <c r="EK73" s="63" t="str">
        <f t="shared" si="146"/>
        <v/>
      </c>
      <c r="EN73" s="42">
        <v>70</v>
      </c>
      <c r="EO73" t="e">
        <f t="shared" si="68"/>
        <v>#N/A</v>
      </c>
      <c r="EP73" s="63" t="e">
        <f t="shared" si="69"/>
        <v>#N/A</v>
      </c>
      <c r="FH73" s="119" t="str">
        <f t="shared" si="130"/>
        <v/>
      </c>
      <c r="FI73" s="119" t="str">
        <f>IFERROR(SUMIFS('Étape 1 - à remplir'!$F$31:$F$400,'Étape 1 - à remplir'!$C$31:$C$400,IF($FH73="Bovin","Bovin*",IF($FH73="Ovin","Ovin*",IF($FH73="Caprin","Caprin*",IF($FH73="Porcin","Porcin*",IF($FH73="Equin","Equin*",IF($FH73="Volaille","Volaille*",IF($FH73="Poisson","Poisson*",IF($FH73="Autre","Autre*","")))))))),'Étape 1 - à remplir'!$G$31:$G$400,"kg",'Étape 1 - à remplir'!$M$31:$M$400,MASQ2!FI$43)/SUMIFS('Étape 1 - à remplir'!$F$19:$F$28,'Étape 1 - à remplir'!$C$19:$C$28,MASQ2!$FH73,'Étape 1 - à remplir'!$G$19:$G$28,"kg"),"")</f>
        <v/>
      </c>
      <c r="FJ73" s="111" t="str">
        <f>IFERROR(SUMIFS('Étape 1 - à remplir'!$F$31:$F$400,'Étape 1 - à remplir'!$C$31:$C$400,IF($FH73="Bovin","Bovin*",IF($FH73="Ovin","Ovin*",IF($FH73="Caprin","Caprin*",IF($FH73="Porcin","Porcin*",IF($FH73="Equin","Equin*",IF($FH73="Volaille","Volaille*",IF($FH73="Poisson","Poisson*",IF($FH73="Autre","Autre*","")))))))),'Étape 1 - à remplir'!$G$31:$G$400,"kg",'Étape 1 - à remplir'!$M$31:$M$400,MASQ2!FJ$43)/SUMIFS('Étape 1 - à remplir'!$F$19:$F$28,'Étape 1 - à remplir'!$C$19:$C$28,MASQ2!$FH73,'Étape 1 - à remplir'!$G$19:$G$28,"kg"),"")</f>
        <v/>
      </c>
      <c r="FK73" s="111" t="str">
        <f>IFERROR(SUMIFS('Étape 1 - à remplir'!$F$31:$F$400,'Étape 1 - à remplir'!$C$31:$C$400,IF($FH73="Bovin","Bovin*",IF($FH73="Ovin","Ovin*",IF($FH73="Caprin","Caprin*",IF($FH73="Porcin","Porcin*",IF($FH73="Equin","Equin*",IF($FH73="Volaille","Volaille*",IF($FH73="Poisson","Poisson*",IF($FH73="Autre","Autre*","")))))))),'Étape 1 - à remplir'!$G$31:$G$400,"kg",'Étape 1 - à remplir'!$M$31:$M$400,MASQ2!FK$43)/SUMIFS('Étape 1 - à remplir'!$F$19:$F$28,'Étape 1 - à remplir'!$C$19:$C$28,MASQ2!$FH73,'Étape 1 - à remplir'!$G$19:$G$28,"kg"),"")</f>
        <v/>
      </c>
      <c r="FL73" s="111" t="str">
        <f>IFERROR(SUMIFS('Étape 1 - à remplir'!$F$31:$F$400,'Étape 1 - à remplir'!$C$31:$C$400,IF($FH73="Bovin","Bovin*",IF($FH73="Ovin","Ovin*",IF($FH73="Caprin","Caprin*",IF($FH73="Porcin","Porcin*",IF($FH73="Equin","Equin*",IF($FH73="Volaille","Volaille*",IF($FH73="Poisson","Poisson*",IF($FH73="Autre","Autre*","")))))))),'Étape 1 - à remplir'!$G$31:$G$400,"kg",'Étape 1 - à remplir'!$M$31:$M$400,MASQ2!FL$43)/SUMIFS('Étape 1 - à remplir'!$F$19:$F$28,'Étape 1 - à remplir'!$C$19:$C$28,MASQ2!$FH73,'Étape 1 - à remplir'!$G$19:$G$28,"kg"),"")</f>
        <v/>
      </c>
      <c r="FM73" s="111" t="str">
        <f>IFERROR(SUMIFS('Étape 1 - à remplir'!$F$31:$F$400,'Étape 1 - à remplir'!$C$31:$C$400,IF($FH73="Bovin","Bovin*",IF($FH73="Ovin","Ovin*",IF($FH73="Caprin","Caprin*",IF($FH73="Porcin","Porcin*",IF($FH73="Equin","Equin*",IF($FH73="Volaille","Volaille*",IF($FH73="Poisson","Poisson*",IF($FH73="Autre","Autre*","")))))))),'Étape 1 - à remplir'!$G$31:$G$400,"kg",'Étape 1 - à remplir'!$M$31:$M$400,MASQ2!FM$43)/SUMIFS('Étape 1 - à remplir'!$F$19:$F$28,'Étape 1 - à remplir'!$C$19:$C$28,MASQ2!$FH73,'Étape 1 - à remplir'!$G$19:$G$28,"kg"),"")</f>
        <v/>
      </c>
      <c r="FN73" s="111" t="str">
        <f>IFERROR(SUMIFS('Étape 1 - à remplir'!$F$31:$F$400,'Étape 1 - à remplir'!$C$31:$C$400,IF($FH73="Bovin","Bovin*",IF($FH73="Ovin","Ovin*",IF($FH73="Caprin","Caprin*",IF($FH73="Porcin","Porcin*",IF($FH73="Equin","Equin*",IF($FH73="Volaille","Volaille*",IF($FH73="Poisson","Poisson*",IF($FH73="Autre","Autre*","")))))))),'Étape 1 - à remplir'!$G$31:$G$400,"kg",'Étape 1 - à remplir'!$M$31:$M$400,MASQ2!FN$43)/SUMIFS('Étape 1 - à remplir'!$F$19:$F$28,'Étape 1 - à remplir'!$C$19:$C$28,MASQ2!$FH73,'Étape 1 - à remplir'!$G$19:$G$28,"kg"),"")</f>
        <v/>
      </c>
      <c r="FO73" s="111" t="str">
        <f>IFERROR(SUMIFS('Étape 1 - à remplir'!$F$31:$F$400,'Étape 1 - à remplir'!$C$31:$C$400,IF($FH73="Bovin","Bovin*",IF($FH73="Ovin","Ovin*",IF($FH73="Caprin","Caprin*",IF($FH73="Porcin","Porcin*",IF($FH73="Equin","Equin*",IF($FH73="Volaille","Volaille*",IF($FH73="Poisson","Poisson*",IF($FH73="Autre","Autre*","")))))))),'Étape 1 - à remplir'!$G$31:$G$400,"kg",'Étape 1 - à remplir'!$M$31:$M$400,MASQ2!FO$43)/SUMIFS('Étape 1 - à remplir'!$F$19:$F$28,'Étape 1 - à remplir'!$C$19:$C$28,MASQ2!$FH73,'Étape 1 - à remplir'!$G$19:$G$28,"kg"),"")</f>
        <v/>
      </c>
      <c r="FP73" s="111" t="str">
        <f>IFERROR(SUMIFS('Étape 1 - à remplir'!$F$31:$F$400,'Étape 1 - à remplir'!$C$31:$C$400,IF($FH73="Bovin","Bovin*",IF($FH73="Ovin","Ovin*",IF($FH73="Caprin","Caprin*",IF($FH73="Porcin","Porcin*",IF($FH73="Equin","Equin*",IF($FH73="Volaille","Volaille*",IF($FH73="Poisson","Poisson*",IF($FH73="Autre","Autre*","")))))))),'Étape 1 - à remplir'!$G$31:$G$400,"kg",'Étape 1 - à remplir'!$M$31:$M$400,MASQ2!FP$43)/SUMIFS('Étape 1 - à remplir'!$F$19:$F$28,'Étape 1 - à remplir'!$C$19:$C$28,MASQ2!$FH73,'Étape 1 - à remplir'!$G$19:$G$28,"kg"),"")</f>
        <v/>
      </c>
      <c r="FQ73" s="111" t="str">
        <f>IFERROR(SUMIFS('Étape 1 - à remplir'!$F$31:$F$400,'Étape 1 - à remplir'!$C$31:$C$400,IF($FH73="Bovin","Bovin*",IF($FH73="Ovin","Ovin*",IF($FH73="Caprin","Caprin*",IF($FH73="Porcin","Porcin*",IF($FH73="Equin","Equin*",IF($FH73="Volaille","Volaille*",IF($FH73="Poisson","Poisson*",IF($FH73="Autre","Autre*","")))))))),'Étape 1 - à remplir'!$G$31:$G$400,"kg",'Étape 1 - à remplir'!$M$31:$M$400,MASQ2!FQ$43)/SUMIFS('Étape 1 - à remplir'!$F$19:$F$28,'Étape 1 - à remplir'!$C$19:$C$28,MASQ2!$FH73,'Étape 1 - à remplir'!$G$19:$G$28,"kg"),"")</f>
        <v/>
      </c>
      <c r="FR73" s="111" t="str">
        <f>IFERROR(SUMIFS('Étape 1 - à remplir'!$F$31:$F$400,'Étape 1 - à remplir'!$C$31:$C$400,IF($FH73="Bovin","Bovin*",IF($FH73="Ovin","Ovin*",IF($FH73="Caprin","Caprin*",IF($FH73="Porcin","Porcin*",IF($FH73="Equin","Equin*",IF($FH73="Volaille","Volaille*",IF($FH73="Poisson","Poisson*",IF($FH73="Autre","Autre*","")))))))),'Étape 1 - à remplir'!$G$31:$G$400,"kg",'Étape 1 - à remplir'!$M$31:$M$400,MASQ2!FR$43)/SUMIFS('Étape 1 - à remplir'!$F$19:$F$28,'Étape 1 - à remplir'!$C$19:$C$28,MASQ2!$FH73,'Étape 1 - à remplir'!$G$19:$G$28,"kg"),"")</f>
        <v/>
      </c>
      <c r="FS73" s="111" t="str">
        <f>IFERROR(SUMIFS('Étape 1 - à remplir'!$F$31:$F$400,'Étape 1 - à remplir'!$C$31:$C$400,IF($FH73="Bovin","Bovin*",IF($FH73="Ovin","Ovin*",IF($FH73="Caprin","Caprin*",IF($FH73="Porcin","Porcin*",IF($FH73="Equin","Equin*",IF($FH73="Volaille","Volaille*",IF($FH73="Poisson","Poisson*",IF($FH73="Autre","Autre*","")))))))),'Étape 1 - à remplir'!$G$31:$G$400,"kg",'Étape 1 - à remplir'!$M$31:$M$400,MASQ2!FS$43)/SUMIFS('Étape 1 - à remplir'!$F$19:$F$28,'Étape 1 - à remplir'!$C$19:$C$28,MASQ2!$FH73,'Étape 1 - à remplir'!$G$19:$G$28,"kg"),"")</f>
        <v/>
      </c>
      <c r="FT73" s="115" t="str">
        <f>IFERROR(SUMIFS('Étape 1 - à remplir'!$F$31:$F$400,'Étape 1 - à remplir'!$C$31:$C$400,IF($FH73="Bovin","Bovin*",IF($FH73="Ovin","Ovin*",IF($FH73="Caprin","Caprin*",IF($FH73="Porcin","Porcin*",IF($FH73="Equin","Equin*",IF($FH73="Volaille","Volaille*",IF($FH73="Poisson","Poisson*",IF($FH73="Autre","Autre*","")))))))),'Étape 1 - à remplir'!$G$31:$G$400,"kg",'Étape 1 - à remplir'!$M$31:$M$400,MASQ2!FT$43)/SUMIFS('Étape 1 - à remplir'!$F$19:$F$28,'Étape 1 - à remplir'!$C$19:$C$28,MASQ2!$FH73,'Étape 1 - à remplir'!$G$19:$G$28,"kg"),"")</f>
        <v/>
      </c>
    </row>
    <row r="74" spans="2:176" x14ac:dyDescent="0.3">
      <c r="B74" s="42"/>
      <c r="M74" s="194" t="str">
        <f ca="1">INDEX(Données_ATB!BD:BU,MATCH(MASQ2!O74,Données_ATB!BD:BD,0),18)</f>
        <v/>
      </c>
      <c r="N74" s="14" t="str">
        <f>IFERROR(IF(Q74=0,"",COUNTIF(Q$4:Q$600,"&gt;"&amp;Q74)+COUNTIF(Q$4:Q74,Q74)),"")</f>
        <v/>
      </c>
      <c r="O74" t="str">
        <f>Données_ATB!BD73</f>
        <v>BIAPRIM BUVABLE</v>
      </c>
      <c r="P74" t="e">
        <f>IF(IF(X$2="Catégorie",IF(X$3="Toutes",SUMIFS('Étape 1 - à remplir'!$F$31:$F$400,'Étape 1 - à remplir'!$E$31:$E$400,MASQ2!O74,'Étape 1 - à remplir'!$G$31:$G$400,"animaux"),SUMIFS('Étape 1 - à remplir'!$F$31:$F$400,'Étape 1 - à remplir'!$E$31:$E$400,MASQ2!O74,'Étape 1 - à remplir'!$C$31:$C$400,X$3)),IF(X$2="Âge",IF(X$3="Tous",SUMIFS('Étape 1 - à remplir'!$F$31:$F$400,'Étape 1 - à remplir'!$E$31:$E$400,MASQ2!O74,'Étape 1 - à remplir'!$G$31:$G$400,"animaux"),SUMIFS('Étape 1 - à remplir'!$F$31:$F$400,'Étape 1 - à remplir'!$E$31:$E$400,MASQ2!O74,'Étape 1 - à remplir'!$P$31:$P$400,X$3)),IF(X$2="Atelier",IF(X$3="Tous",SUMIFS('Étape 1 - à remplir'!$F$31:$F$400,'Étape 1 - à remplir'!$E$31:$E$400,MASQ2!O74,'Étape 1 - à remplir'!$G$31:$G$400,"animaux"),SUMIFS('Étape 1 - à remplir'!$F$31:$F$400,'Étape 1 - à remplir'!$E$31:$E$400,MASQ2!O74,'Étape 1 - à remplir'!$O$31:$O$400,X$3)),IF(X$2="Espèce",IF(X$3="Toutes",SUMIFS('Étape 1 - à remplir'!$F$31:$F$400,'Étape 1 - à remplir'!$E$31:$E$400,MASQ2!O74,'Étape 1 - à remplir'!$G$31:$G$400,"animaux"),SUMIFS('Étape 1 - à remplir'!$F$31:$F$400,'Étape 1 - à remplir'!$E$31:$E$400,MASQ2!O74,'Étape 1 - à remplir'!$N$31:$N$400,X$3))))))=0,NA(),IF(X$2="Catégorie",IF(X$3="Toutes",SUMIFS('Étape 1 - à remplir'!$F$31:$F$400,'Étape 1 - à remplir'!$E$31:$E$400,MASQ2!O74,'Étape 1 - à remplir'!$G$31:$G$400,"animaux"),SUMIFS('Étape 1 - à remplir'!$F$31:$F$400,'Étape 1 - à remplir'!$E$31:$E$400,MASQ2!O74,'Étape 1 - à remplir'!$C$31:$C$400,X$3)),IF(X$2="Âge",IF(X$3="Tous",SUMIFS('Étape 1 - à remplir'!$F$31:$F$400,'Étape 1 - à remplir'!$E$31:$E$400,MASQ2!O74,'Étape 1 - à remplir'!$G$31:$G$400,"animaux"),SUMIFS('Étape 1 - à remplir'!$F$31:$F$400,'Étape 1 - à remplir'!$E$31:$E$400,MASQ2!O74,'Étape 1 - à remplir'!$P$31:$P$400,X$3)),IF(X$2="Atelier",IF(X$3="Tous",SUMIFS('Étape 1 - à remplir'!$F$31:$F$400,'Étape 1 - à remplir'!$E$31:$E$400,MASQ2!O74,'Étape 1 - à remplir'!$G$31:$G$400,"animaux"),SUMIFS('Étape 1 - à remplir'!$F$31:$F$400,'Étape 1 - à remplir'!$E$31:$E$400,MASQ2!O74,'Étape 1 - à remplir'!$O$31:$O$400,X$3)),IF(X$2="Espèce",IF(X$3="Toutes",SUMIFS('Étape 1 - à remplir'!$F$31:$F$400,'Étape 1 - à remplir'!$E$31:$E$400,MASQ2!O74,'Étape 1 - à remplir'!$G$31:$G$400,"animaux"),SUMIFS('Étape 1 - à remplir'!$F$31:$F$400,'Étape 1 - à remplir'!$E$31:$E$400,MASQ2!O74,'Étape 1 - à remplir'!$N$31:$N$400,X$3)))))))</f>
        <v>#N/A</v>
      </c>
      <c r="Q74" s="63">
        <f t="shared" si="151"/>
        <v>0</v>
      </c>
      <c r="R74" t="str">
        <f>Données_ATB!BM73</f>
        <v>Sulfadiméthoxine</v>
      </c>
      <c r="S74" t="str">
        <f>Données_ATB!BN73</f>
        <v>Triméthoprime</v>
      </c>
      <c r="T74" s="63" t="str">
        <f>Données_ATB!BO73</f>
        <v/>
      </c>
      <c r="U74" s="42" t="str">
        <f>Données_ATB!BQ73</f>
        <v>Sulfamides</v>
      </c>
      <c r="V74" t="str">
        <f>Données_ATB!BR73</f>
        <v>Trimethoprime</v>
      </c>
      <c r="W74" s="63" t="str">
        <f>Données_ATB!BS73</f>
        <v/>
      </c>
      <c r="Z74" s="42">
        <v>71</v>
      </c>
      <c r="AA74" t="e">
        <f t="shared" si="147"/>
        <v>#N/A</v>
      </c>
      <c r="AB74" s="63" t="e">
        <f t="shared" si="148"/>
        <v>#N/A</v>
      </c>
      <c r="BF74" s="63"/>
      <c r="BT74" s="194" t="str">
        <f t="shared" ca="1" si="131"/>
        <v/>
      </c>
      <c r="BU74" s="219" t="str">
        <f>IFERROR(IF(BX74=0,"",COUNTIF(BX$4:BX$600,"&gt;"&amp;BX74)+COUNTIF(BX$4:BX74,BX74)),"")</f>
        <v/>
      </c>
      <c r="BV74" s="42" t="str">
        <f t="shared" si="132"/>
        <v>BIAPRIM BUVABLE</v>
      </c>
      <c r="BW74" t="e">
        <f>IF(IF(CE$2="Catégorie",IF(CE$3="Toutes",SUMIFS('Étape 1 - à remplir'!$F$31:$F$400,'Étape 1 - à remplir'!$E$31:$E$400,MASQ2!BV74,'Étape 1 - à remplir'!$G$31:$G$400,"lots"),SUMIFS('Étape 1 - à remplir'!$F$31:$F$400,'Étape 1 - à remplir'!$E$31:$E$400,MASQ2!BV74,'Étape 1 - à remplir'!$C$31:$C$400,CE$3)),IF(CE$2="Âge",IF(CE$3="Tous",SUMIFS('Étape 1 - à remplir'!$F$31:$F$400,'Étape 1 - à remplir'!$E$31:$E$400,MASQ2!BV74,'Étape 1 - à remplir'!$G$31:$G$400,"lots"),SUMIFS('Étape 1 - à remplir'!$F$31:$F$400,'Étape 1 - à remplir'!$E$31:$E$400,MASQ2!BV74,'Étape 1 - à remplir'!$P$31:$P$400,CE$3,'Étape 1 - à remplir'!$G$31:$G$400,"lots")),IF(CE$2="Atelier",IF(CE$3="Tous",SUMIFS('Étape 1 - à remplir'!$F$31:$F$400,'Étape 1 - à remplir'!$E$31:$E$400,MASQ2!BV74,'Étape 1 - à remplir'!$G$31:$G$400,"lots"),SUMIFS('Étape 1 - à remplir'!$F$31:$F$400,'Étape 1 - à remplir'!$E$31:$E$400,MASQ2!BV74,'Étape 1 - à remplir'!$O$31:$O$400,CE$3,'Étape 1 - à remplir'!$G$31:$G$400,"lots")),IF(CE$2="Espèce",IF(CE$3="Toutes",SUMIFS('Étape 1 - à remplir'!$F$31:$F$400,'Étape 1 - à remplir'!$E$31:$E$400,MASQ2!BV74,'Étape 1 - à remplir'!$G$31:$G$400,"lots"),SUMIFS('Étape 1 - à remplir'!$F$31:$F$400,'Étape 1 - à remplir'!$E$31:$E$400,MASQ2!BV74,'Étape 1 - à remplir'!$N$31:$N$400,CE$3,'Étape 1 - à remplir'!$G$31:$G$400,"lots"))))))=0,NA(),IF(CE$2="Catégorie",IF(CE$3="Toutes",SUMIFS('Étape 1 - à remplir'!$F$31:$F$400,'Étape 1 - à remplir'!$E$31:$E$400,MASQ2!BV74,'Étape 1 - à remplir'!$G$31:$G$400,"lots"),SUMIFS('Étape 1 - à remplir'!$F$31:$F$400,'Étape 1 - à remplir'!$E$31:$E$400,MASQ2!BV74,'Étape 1 - à remplir'!$C$31:$C$400,CE$3)),IF(CE$2="Âge",IF(CE$3="Tous",SUMIFS('Étape 1 - à remplir'!$F$31:$F$400,'Étape 1 - à remplir'!$E$31:$E$400,MASQ2!BV74,'Étape 1 - à remplir'!$G$31:$G$400,"lots"),SUMIFS('Étape 1 - à remplir'!$F$31:$F$400,'Étape 1 - à remplir'!$E$31:$E$400,MASQ2!BV74,'Étape 1 - à remplir'!$P$31:$P$400,CE$3,'Étape 1 - à remplir'!$G$31:$G$400,"lots")),IF(CE$2="Atelier",IF(CE$3="Tous",SUMIFS('Étape 1 - à remplir'!$F$31:$F$400,'Étape 1 - à remplir'!$E$31:$E$400,MASQ2!BV74,'Étape 1 - à remplir'!$G$31:$G$400,"lots"),SUMIFS('Étape 1 - à remplir'!$F$31:$F$400,'Étape 1 - à remplir'!$E$31:$E$400,MASQ2!BV74,'Étape 1 - à remplir'!$O$31:$O$400,CE$3,'Étape 1 - à remplir'!$G$31:$G$400,"lots")),IF(CE$2="Espèce",IF(CE$3="Toutes",SUMIFS('Étape 1 - à remplir'!$F$31:$F$400,'Étape 1 - à remplir'!$E$31:$E$400,MASQ2!BV74,'Étape 1 - à remplir'!$G$31:$G$400,"lots"),SUMIFS('Étape 1 - à remplir'!$F$31:$F$400,'Étape 1 - à remplir'!$E$31:$E$400,MASQ2!BV74,'Étape 1 - à remplir'!$N$31:$N$400,CE$3,'Étape 1 - à remplir'!$G$31:$G$400,"lots")))))))</f>
        <v>#N/A</v>
      </c>
      <c r="BX74">
        <f t="shared" si="149"/>
        <v>0</v>
      </c>
      <c r="BY74" t="str">
        <f t="shared" si="133"/>
        <v>Sulfadiméthoxine</v>
      </c>
      <c r="BZ74" t="str">
        <f t="shared" si="134"/>
        <v>Triméthoprime</v>
      </c>
      <c r="CA74" t="str">
        <f t="shared" si="135"/>
        <v/>
      </c>
      <c r="CB74" t="str">
        <f t="shared" si="136"/>
        <v>Sulfamides</v>
      </c>
      <c r="CC74" t="str">
        <f t="shared" si="137"/>
        <v>Trimethoprime</v>
      </c>
      <c r="CD74" s="63" t="str">
        <f t="shared" si="138"/>
        <v/>
      </c>
      <c r="CG74" s="42">
        <v>71</v>
      </c>
      <c r="CH74" s="42" t="e">
        <f t="shared" si="80"/>
        <v>#N/A</v>
      </c>
      <c r="CI74" s="63" t="e">
        <f t="shared" si="81"/>
        <v>#N/A</v>
      </c>
      <c r="DM74" s="63"/>
      <c r="EA74" s="194" t="str">
        <f t="shared" ca="1" si="139"/>
        <v/>
      </c>
      <c r="EB74" s="226" t="str">
        <f>IFERROR(IF(ED74=0,"",COUNTIF(ED$4:ED$600,"&gt;"&amp;ED74)+COUNTIF(ED$4:ED74,ED74)),"")</f>
        <v/>
      </c>
      <c r="EC74" t="str">
        <f t="shared" si="140"/>
        <v>BIAPRIM BUVABLE</v>
      </c>
      <c r="ED74" t="e">
        <f>IF(IF(EL$2="Catégorie",IF(EL$3="Toutes",SUMIFS('Étape 1 - à remplir'!$F$31:$F$400,'Étape 1 - à remplir'!$E$31:$E$400,MASQ2!EC74,'Étape 1 - à remplir'!$G$31:$G$400,"kg"),SUMIFS('Étape 1 - à remplir'!$F$31:$F$400,'Étape 1 - à remplir'!$E$31:$E$400,MASQ2!EC74,'Étape 1 - à remplir'!$C$31:$C$400,EL$3)),IF(EL$2="Âge",IF(EL$3="Tous",SUMIFS('Étape 1 - à remplir'!$F$31:$F$400,'Étape 1 - à remplir'!$E$31:$E$400,MASQ2!EC74,'Étape 1 - à remplir'!$G$31:$G$400,"kg"),SUMIFS('Étape 1 - à remplir'!$F$31:$F$400,'Étape 1 - à remplir'!$E$31:$E$400,MASQ2!EC74,'Étape 1 - à remplir'!$P$31:$P$400,EL$3,'Étape 1 - à remplir'!$G$31:$G$400,"kg")),IF(EL$2="Atelier",IF(EL$3="Tous",SUMIFS('Étape 1 - à remplir'!$F$31:$F$400,'Étape 1 - à remplir'!$E$31:$E$400,MASQ2!EC74,'Étape 1 - à remplir'!$G$31:$G$400,"kg"),SUMIFS('Étape 1 - à remplir'!$F$31:$F$400,'Étape 1 - à remplir'!$E$31:$E$400,MASQ2!EC74,'Étape 1 - à remplir'!$O$31:$O$400,EL$3,'Étape 1 - à remplir'!$G$31:$G$400,"kg")),IF(EL$2="Espèce",IF(EL$3="Toutes",SUMIFS('Étape 1 - à remplir'!$F$31:$F$400,'Étape 1 - à remplir'!$E$31:$E$400,MASQ2!EC74,'Étape 1 - à remplir'!$G$31:$G$400,"kg"),SUMIFS('Étape 1 - à remplir'!$F$31:$F$400,'Étape 1 - à remplir'!$E$31:$E$400,MASQ2!EC74,'Étape 1 - à remplir'!$N$31:$N$400,EL$3,'Étape 1 - à remplir'!$G$31:$G$400,"kg"))))))=0,NA(),IF(EL$2="Catégorie",IF(EL$3="Toutes",SUMIFS('Étape 1 - à remplir'!$F$31:$F$400,'Étape 1 - à remplir'!$E$31:$E$400,MASQ2!EC74,'Étape 1 - à remplir'!$G$31:$G$400,"kg"),SUMIFS('Étape 1 - à remplir'!$F$31:$F$400,'Étape 1 - à remplir'!$E$31:$E$400,MASQ2!EC74,'Étape 1 - à remplir'!$C$31:$C$400,EL$3)),IF(EL$2="Âge",IF(EL$3="Tous",SUMIFS('Étape 1 - à remplir'!$F$31:$F$400,'Étape 1 - à remplir'!$E$31:$E$400,MASQ2!EC74,'Étape 1 - à remplir'!$G$31:$G$400,"kg"),SUMIFS('Étape 1 - à remplir'!$F$31:$F$400,'Étape 1 - à remplir'!$E$31:$E$400,MASQ2!EC74,'Étape 1 - à remplir'!$P$31:$P$400,EL$3,'Étape 1 - à remplir'!$G$31:$G$400,"kg")),IF(EL$2="Atelier",IF(EL$3="Tous",SUMIFS('Étape 1 - à remplir'!$F$31:$F$400,'Étape 1 - à remplir'!$E$31:$E$400,MASQ2!EC74,'Étape 1 - à remplir'!$G$31:$G$400,"kg"),SUMIFS('Étape 1 - à remplir'!$F$31:$F$400,'Étape 1 - à remplir'!$E$31:$E$400,MASQ2!EC74,'Étape 1 - à remplir'!$O$31:$O$400,EL$3,'Étape 1 - à remplir'!$G$31:$G$400,"kg")),IF(EL$2="Espèce",IF(EL$3="Toutes",SUMIFS('Étape 1 - à remplir'!$F$31:$F$400,'Étape 1 - à remplir'!$E$31:$E$400,MASQ2!EC74,'Étape 1 - à remplir'!$G$31:$G$400,"kg"),SUMIFS('Étape 1 - à remplir'!$F$31:$F$400,'Étape 1 - à remplir'!$E$31:$E$400,MASQ2!EC74,'Étape 1 - à remplir'!$N$31:$N$400,EL$3,'Étape 1 - à remplir'!$G$31:$G$400,"kg")))))))</f>
        <v>#N/A</v>
      </c>
      <c r="EE74" s="76">
        <f t="shared" si="150"/>
        <v>0</v>
      </c>
      <c r="EF74" t="str">
        <f t="shared" si="141"/>
        <v>Sulfadiméthoxine</v>
      </c>
      <c r="EG74" t="str">
        <f t="shared" si="142"/>
        <v>Triméthoprime</v>
      </c>
      <c r="EH74" t="str">
        <f t="shared" si="143"/>
        <v/>
      </c>
      <c r="EI74" t="str">
        <f t="shared" si="144"/>
        <v>Sulfamides</v>
      </c>
      <c r="EJ74" t="str">
        <f t="shared" si="145"/>
        <v>Trimethoprime</v>
      </c>
      <c r="EK74" s="63" t="str">
        <f t="shared" si="146"/>
        <v/>
      </c>
      <c r="EN74" s="42">
        <v>71</v>
      </c>
      <c r="EO74" t="e">
        <f t="shared" ref="EO74:EO137" si="152">INDEX(EB$3:EE$600,MATCH(EN74,EB$3:EB$600,0),2)</f>
        <v>#N/A</v>
      </c>
      <c r="EP74" s="63" t="e">
        <f t="shared" ref="EP74:EP137" si="153">INDEX(EB$3:EE$600,MATCH(EN74,EB$3:EB$600,0),3)</f>
        <v>#N/A</v>
      </c>
      <c r="FT74" s="63"/>
    </row>
    <row r="75" spans="2:176" ht="15" thickBot="1" x14ac:dyDescent="0.35">
      <c r="B75" s="42"/>
      <c r="M75" s="194" t="str">
        <f ca="1">INDEX(Données_ATB!BD:BU,MATCH(MASQ2!O75,Données_ATB!BD:BD,0),18)</f>
        <v/>
      </c>
      <c r="N75" s="14" t="str">
        <f>IFERROR(IF(Q75=0,"",COUNTIF(Q$4:Q$600,"&gt;"&amp;Q75)+COUNTIF(Q$4:Q75,Q75)),"")</f>
        <v/>
      </c>
      <c r="O75" t="str">
        <f>Données_ATB!BD74</f>
        <v>BIMOXYL LA 150 MG/ML SUSPENSION INJECTABLE POUR BOVINS OVINS ET PORCINS</v>
      </c>
      <c r="P75" t="e">
        <f>IF(IF(X$2="Catégorie",IF(X$3="Toutes",SUMIFS('Étape 1 - à remplir'!$F$31:$F$400,'Étape 1 - à remplir'!$E$31:$E$400,MASQ2!O75,'Étape 1 - à remplir'!$G$31:$G$400,"animaux"),SUMIFS('Étape 1 - à remplir'!$F$31:$F$400,'Étape 1 - à remplir'!$E$31:$E$400,MASQ2!O75,'Étape 1 - à remplir'!$C$31:$C$400,X$3)),IF(X$2="Âge",IF(X$3="Tous",SUMIFS('Étape 1 - à remplir'!$F$31:$F$400,'Étape 1 - à remplir'!$E$31:$E$400,MASQ2!O75,'Étape 1 - à remplir'!$G$31:$G$400,"animaux"),SUMIFS('Étape 1 - à remplir'!$F$31:$F$400,'Étape 1 - à remplir'!$E$31:$E$400,MASQ2!O75,'Étape 1 - à remplir'!$P$31:$P$400,X$3)),IF(X$2="Atelier",IF(X$3="Tous",SUMIFS('Étape 1 - à remplir'!$F$31:$F$400,'Étape 1 - à remplir'!$E$31:$E$400,MASQ2!O75,'Étape 1 - à remplir'!$G$31:$G$400,"animaux"),SUMIFS('Étape 1 - à remplir'!$F$31:$F$400,'Étape 1 - à remplir'!$E$31:$E$400,MASQ2!O75,'Étape 1 - à remplir'!$O$31:$O$400,X$3)),IF(X$2="Espèce",IF(X$3="Toutes",SUMIFS('Étape 1 - à remplir'!$F$31:$F$400,'Étape 1 - à remplir'!$E$31:$E$400,MASQ2!O75,'Étape 1 - à remplir'!$G$31:$G$400,"animaux"),SUMIFS('Étape 1 - à remplir'!$F$31:$F$400,'Étape 1 - à remplir'!$E$31:$E$400,MASQ2!O75,'Étape 1 - à remplir'!$N$31:$N$400,X$3))))))=0,NA(),IF(X$2="Catégorie",IF(X$3="Toutes",SUMIFS('Étape 1 - à remplir'!$F$31:$F$400,'Étape 1 - à remplir'!$E$31:$E$400,MASQ2!O75,'Étape 1 - à remplir'!$G$31:$G$400,"animaux"),SUMIFS('Étape 1 - à remplir'!$F$31:$F$400,'Étape 1 - à remplir'!$E$31:$E$400,MASQ2!O75,'Étape 1 - à remplir'!$C$31:$C$400,X$3)),IF(X$2="Âge",IF(X$3="Tous",SUMIFS('Étape 1 - à remplir'!$F$31:$F$400,'Étape 1 - à remplir'!$E$31:$E$400,MASQ2!O75,'Étape 1 - à remplir'!$G$31:$G$400,"animaux"),SUMIFS('Étape 1 - à remplir'!$F$31:$F$400,'Étape 1 - à remplir'!$E$31:$E$400,MASQ2!O75,'Étape 1 - à remplir'!$P$31:$P$400,X$3)),IF(X$2="Atelier",IF(X$3="Tous",SUMIFS('Étape 1 - à remplir'!$F$31:$F$400,'Étape 1 - à remplir'!$E$31:$E$400,MASQ2!O75,'Étape 1 - à remplir'!$G$31:$G$400,"animaux"),SUMIFS('Étape 1 - à remplir'!$F$31:$F$400,'Étape 1 - à remplir'!$E$31:$E$400,MASQ2!O75,'Étape 1 - à remplir'!$O$31:$O$400,X$3)),IF(X$2="Espèce",IF(X$3="Toutes",SUMIFS('Étape 1 - à remplir'!$F$31:$F$400,'Étape 1 - à remplir'!$E$31:$E$400,MASQ2!O75,'Étape 1 - à remplir'!$G$31:$G$400,"animaux"),SUMIFS('Étape 1 - à remplir'!$F$31:$F$400,'Étape 1 - à remplir'!$E$31:$E$400,MASQ2!O75,'Étape 1 - à remplir'!$N$31:$N$400,X$3)))))))</f>
        <v>#N/A</v>
      </c>
      <c r="Q75" s="63">
        <f t="shared" si="151"/>
        <v>0</v>
      </c>
      <c r="R75" t="str">
        <f>Données_ATB!BM74</f>
        <v>Amoxicilline</v>
      </c>
      <c r="S75" t="str">
        <f>Données_ATB!BN74</f>
        <v/>
      </c>
      <c r="T75" s="63" t="str">
        <f>Données_ATB!BO74</f>
        <v/>
      </c>
      <c r="U75" s="42" t="str">
        <f>Données_ATB!BQ74</f>
        <v>Penicillines</v>
      </c>
      <c r="V75" t="str">
        <f>Données_ATB!BR74</f>
        <v/>
      </c>
      <c r="W75" s="63" t="str">
        <f>Données_ATB!BS74</f>
        <v/>
      </c>
      <c r="Z75" s="42">
        <v>72</v>
      </c>
      <c r="AA75" t="e">
        <f t="shared" si="147"/>
        <v>#N/A</v>
      </c>
      <c r="AB75" s="63" t="e">
        <f t="shared" si="148"/>
        <v>#N/A</v>
      </c>
      <c r="BF75" s="63"/>
      <c r="BT75" s="194" t="str">
        <f t="shared" ca="1" si="131"/>
        <v/>
      </c>
      <c r="BU75" s="219" t="str">
        <f>IFERROR(IF(BX75=0,"",COUNTIF(BX$4:BX$600,"&gt;"&amp;BX75)+COUNTIF(BX$4:BX75,BX75)),"")</f>
        <v/>
      </c>
      <c r="BV75" s="42" t="str">
        <f t="shared" si="132"/>
        <v>BIMOXYL LA 150 MG/ML SUSPENSION INJECTABLE POUR BOVINS OVINS ET PORCINS</v>
      </c>
      <c r="BW75" t="e">
        <f>IF(IF(CE$2="Catégorie",IF(CE$3="Toutes",SUMIFS('Étape 1 - à remplir'!$F$31:$F$400,'Étape 1 - à remplir'!$E$31:$E$400,MASQ2!BV75,'Étape 1 - à remplir'!$G$31:$G$400,"lots"),SUMIFS('Étape 1 - à remplir'!$F$31:$F$400,'Étape 1 - à remplir'!$E$31:$E$400,MASQ2!BV75,'Étape 1 - à remplir'!$C$31:$C$400,CE$3)),IF(CE$2="Âge",IF(CE$3="Tous",SUMIFS('Étape 1 - à remplir'!$F$31:$F$400,'Étape 1 - à remplir'!$E$31:$E$400,MASQ2!BV75,'Étape 1 - à remplir'!$G$31:$G$400,"lots"),SUMIFS('Étape 1 - à remplir'!$F$31:$F$400,'Étape 1 - à remplir'!$E$31:$E$400,MASQ2!BV75,'Étape 1 - à remplir'!$P$31:$P$400,CE$3,'Étape 1 - à remplir'!$G$31:$G$400,"lots")),IF(CE$2="Atelier",IF(CE$3="Tous",SUMIFS('Étape 1 - à remplir'!$F$31:$F$400,'Étape 1 - à remplir'!$E$31:$E$400,MASQ2!BV75,'Étape 1 - à remplir'!$G$31:$G$400,"lots"),SUMIFS('Étape 1 - à remplir'!$F$31:$F$400,'Étape 1 - à remplir'!$E$31:$E$400,MASQ2!BV75,'Étape 1 - à remplir'!$O$31:$O$400,CE$3,'Étape 1 - à remplir'!$G$31:$G$400,"lots")),IF(CE$2="Espèce",IF(CE$3="Toutes",SUMIFS('Étape 1 - à remplir'!$F$31:$F$400,'Étape 1 - à remplir'!$E$31:$E$400,MASQ2!BV75,'Étape 1 - à remplir'!$G$31:$G$400,"lots"),SUMIFS('Étape 1 - à remplir'!$F$31:$F$400,'Étape 1 - à remplir'!$E$31:$E$400,MASQ2!BV75,'Étape 1 - à remplir'!$N$31:$N$400,CE$3,'Étape 1 - à remplir'!$G$31:$G$400,"lots"))))))=0,NA(),IF(CE$2="Catégorie",IF(CE$3="Toutes",SUMIFS('Étape 1 - à remplir'!$F$31:$F$400,'Étape 1 - à remplir'!$E$31:$E$400,MASQ2!BV75,'Étape 1 - à remplir'!$G$31:$G$400,"lots"),SUMIFS('Étape 1 - à remplir'!$F$31:$F$400,'Étape 1 - à remplir'!$E$31:$E$400,MASQ2!BV75,'Étape 1 - à remplir'!$C$31:$C$400,CE$3)),IF(CE$2="Âge",IF(CE$3="Tous",SUMIFS('Étape 1 - à remplir'!$F$31:$F$400,'Étape 1 - à remplir'!$E$31:$E$400,MASQ2!BV75,'Étape 1 - à remplir'!$G$31:$G$400,"lots"),SUMIFS('Étape 1 - à remplir'!$F$31:$F$400,'Étape 1 - à remplir'!$E$31:$E$400,MASQ2!BV75,'Étape 1 - à remplir'!$P$31:$P$400,CE$3,'Étape 1 - à remplir'!$G$31:$G$400,"lots")),IF(CE$2="Atelier",IF(CE$3="Tous",SUMIFS('Étape 1 - à remplir'!$F$31:$F$400,'Étape 1 - à remplir'!$E$31:$E$400,MASQ2!BV75,'Étape 1 - à remplir'!$G$31:$G$400,"lots"),SUMIFS('Étape 1 - à remplir'!$F$31:$F$400,'Étape 1 - à remplir'!$E$31:$E$400,MASQ2!BV75,'Étape 1 - à remplir'!$O$31:$O$400,CE$3,'Étape 1 - à remplir'!$G$31:$G$400,"lots")),IF(CE$2="Espèce",IF(CE$3="Toutes",SUMIFS('Étape 1 - à remplir'!$F$31:$F$400,'Étape 1 - à remplir'!$E$31:$E$400,MASQ2!BV75,'Étape 1 - à remplir'!$G$31:$G$400,"lots"),SUMIFS('Étape 1 - à remplir'!$F$31:$F$400,'Étape 1 - à remplir'!$E$31:$E$400,MASQ2!BV75,'Étape 1 - à remplir'!$N$31:$N$400,CE$3,'Étape 1 - à remplir'!$G$31:$G$400,"lots")))))))</f>
        <v>#N/A</v>
      </c>
      <c r="BX75">
        <f t="shared" si="149"/>
        <v>0</v>
      </c>
      <c r="BY75" t="str">
        <f t="shared" si="133"/>
        <v>Amoxicilline</v>
      </c>
      <c r="BZ75" t="str">
        <f t="shared" si="134"/>
        <v/>
      </c>
      <c r="CA75" t="str">
        <f t="shared" si="135"/>
        <v/>
      </c>
      <c r="CB75" t="str">
        <f t="shared" si="136"/>
        <v>Penicillines</v>
      </c>
      <c r="CC75" t="str">
        <f t="shared" si="137"/>
        <v/>
      </c>
      <c r="CD75" s="63" t="str">
        <f t="shared" si="138"/>
        <v/>
      </c>
      <c r="CG75" s="42">
        <v>72</v>
      </c>
      <c r="CH75" s="42" t="e">
        <f t="shared" si="80"/>
        <v>#N/A</v>
      </c>
      <c r="CI75" s="63" t="e">
        <f t="shared" si="81"/>
        <v>#N/A</v>
      </c>
      <c r="DM75" s="63"/>
      <c r="EA75" s="194" t="str">
        <f t="shared" ca="1" si="139"/>
        <v/>
      </c>
      <c r="EB75" s="226" t="str">
        <f>IFERROR(IF(ED75=0,"",COUNTIF(ED$4:ED$600,"&gt;"&amp;ED75)+COUNTIF(ED$4:ED75,ED75)),"")</f>
        <v/>
      </c>
      <c r="EC75" t="str">
        <f t="shared" si="140"/>
        <v>BIMOXYL LA 150 MG/ML SUSPENSION INJECTABLE POUR BOVINS OVINS ET PORCINS</v>
      </c>
      <c r="ED75" t="e">
        <f>IF(IF(EL$2="Catégorie",IF(EL$3="Toutes",SUMIFS('Étape 1 - à remplir'!$F$31:$F$400,'Étape 1 - à remplir'!$E$31:$E$400,MASQ2!EC75,'Étape 1 - à remplir'!$G$31:$G$400,"kg"),SUMIFS('Étape 1 - à remplir'!$F$31:$F$400,'Étape 1 - à remplir'!$E$31:$E$400,MASQ2!EC75,'Étape 1 - à remplir'!$C$31:$C$400,EL$3)),IF(EL$2="Âge",IF(EL$3="Tous",SUMIFS('Étape 1 - à remplir'!$F$31:$F$400,'Étape 1 - à remplir'!$E$31:$E$400,MASQ2!EC75,'Étape 1 - à remplir'!$G$31:$G$400,"kg"),SUMIFS('Étape 1 - à remplir'!$F$31:$F$400,'Étape 1 - à remplir'!$E$31:$E$400,MASQ2!EC75,'Étape 1 - à remplir'!$P$31:$P$400,EL$3,'Étape 1 - à remplir'!$G$31:$G$400,"kg")),IF(EL$2="Atelier",IF(EL$3="Tous",SUMIFS('Étape 1 - à remplir'!$F$31:$F$400,'Étape 1 - à remplir'!$E$31:$E$400,MASQ2!EC75,'Étape 1 - à remplir'!$G$31:$G$400,"kg"),SUMIFS('Étape 1 - à remplir'!$F$31:$F$400,'Étape 1 - à remplir'!$E$31:$E$400,MASQ2!EC75,'Étape 1 - à remplir'!$O$31:$O$400,EL$3,'Étape 1 - à remplir'!$G$31:$G$400,"kg")),IF(EL$2="Espèce",IF(EL$3="Toutes",SUMIFS('Étape 1 - à remplir'!$F$31:$F$400,'Étape 1 - à remplir'!$E$31:$E$400,MASQ2!EC75,'Étape 1 - à remplir'!$G$31:$G$400,"kg"),SUMIFS('Étape 1 - à remplir'!$F$31:$F$400,'Étape 1 - à remplir'!$E$31:$E$400,MASQ2!EC75,'Étape 1 - à remplir'!$N$31:$N$400,EL$3,'Étape 1 - à remplir'!$G$31:$G$400,"kg"))))))=0,NA(),IF(EL$2="Catégorie",IF(EL$3="Toutes",SUMIFS('Étape 1 - à remplir'!$F$31:$F$400,'Étape 1 - à remplir'!$E$31:$E$400,MASQ2!EC75,'Étape 1 - à remplir'!$G$31:$G$400,"kg"),SUMIFS('Étape 1 - à remplir'!$F$31:$F$400,'Étape 1 - à remplir'!$E$31:$E$400,MASQ2!EC75,'Étape 1 - à remplir'!$C$31:$C$400,EL$3)),IF(EL$2="Âge",IF(EL$3="Tous",SUMIFS('Étape 1 - à remplir'!$F$31:$F$400,'Étape 1 - à remplir'!$E$31:$E$400,MASQ2!EC75,'Étape 1 - à remplir'!$G$31:$G$400,"kg"),SUMIFS('Étape 1 - à remplir'!$F$31:$F$400,'Étape 1 - à remplir'!$E$31:$E$400,MASQ2!EC75,'Étape 1 - à remplir'!$P$31:$P$400,EL$3,'Étape 1 - à remplir'!$G$31:$G$400,"kg")),IF(EL$2="Atelier",IF(EL$3="Tous",SUMIFS('Étape 1 - à remplir'!$F$31:$F$400,'Étape 1 - à remplir'!$E$31:$E$400,MASQ2!EC75,'Étape 1 - à remplir'!$G$31:$G$400,"kg"),SUMIFS('Étape 1 - à remplir'!$F$31:$F$400,'Étape 1 - à remplir'!$E$31:$E$400,MASQ2!EC75,'Étape 1 - à remplir'!$O$31:$O$400,EL$3,'Étape 1 - à remplir'!$G$31:$G$400,"kg")),IF(EL$2="Espèce",IF(EL$3="Toutes",SUMIFS('Étape 1 - à remplir'!$F$31:$F$400,'Étape 1 - à remplir'!$E$31:$E$400,MASQ2!EC75,'Étape 1 - à remplir'!$G$31:$G$400,"kg"),SUMIFS('Étape 1 - à remplir'!$F$31:$F$400,'Étape 1 - à remplir'!$E$31:$E$400,MASQ2!EC75,'Étape 1 - à remplir'!$N$31:$N$400,EL$3,'Étape 1 - à remplir'!$G$31:$G$400,"kg")))))))</f>
        <v>#N/A</v>
      </c>
      <c r="EE75" s="76">
        <f t="shared" si="150"/>
        <v>0</v>
      </c>
      <c r="EF75" t="str">
        <f t="shared" si="141"/>
        <v>Amoxicilline</v>
      </c>
      <c r="EG75" t="str">
        <f t="shared" si="142"/>
        <v/>
      </c>
      <c r="EH75" t="str">
        <f t="shared" si="143"/>
        <v/>
      </c>
      <c r="EI75" t="str">
        <f t="shared" si="144"/>
        <v>Penicillines</v>
      </c>
      <c r="EJ75" t="str">
        <f t="shared" si="145"/>
        <v/>
      </c>
      <c r="EK75" s="63" t="str">
        <f t="shared" si="146"/>
        <v/>
      </c>
      <c r="EN75" s="42">
        <v>72</v>
      </c>
      <c r="EO75" t="e">
        <f t="shared" si="152"/>
        <v>#N/A</v>
      </c>
      <c r="EP75" s="63" t="e">
        <f t="shared" si="153"/>
        <v>#N/A</v>
      </c>
      <c r="FT75" s="63"/>
    </row>
    <row r="76" spans="2:176" x14ac:dyDescent="0.3">
      <c r="B76" s="42"/>
      <c r="M76" s="194" t="str">
        <f ca="1">INDEX(Données_ATB!BD:BU,MATCH(MASQ2!O76,Données_ATB!BD:BD,0),18)</f>
        <v/>
      </c>
      <c r="N76" s="14" t="str">
        <f>IFERROR(IF(Q76=0,"",COUNTIF(Q$4:Q$600,"&gt;"&amp;Q76)+COUNTIF(Q$4:Q76,Q76)),"")</f>
        <v/>
      </c>
      <c r="O76" t="str">
        <f>Données_ATB!BD75</f>
        <v>BIOAMOXI</v>
      </c>
      <c r="P76" t="e">
        <f>IF(IF(X$2="Catégorie",IF(X$3="Toutes",SUMIFS('Étape 1 - à remplir'!$F$31:$F$400,'Étape 1 - à remplir'!$E$31:$E$400,MASQ2!O76,'Étape 1 - à remplir'!$G$31:$G$400,"animaux"),SUMIFS('Étape 1 - à remplir'!$F$31:$F$400,'Étape 1 - à remplir'!$E$31:$E$400,MASQ2!O76,'Étape 1 - à remplir'!$C$31:$C$400,X$3)),IF(X$2="Âge",IF(X$3="Tous",SUMIFS('Étape 1 - à remplir'!$F$31:$F$400,'Étape 1 - à remplir'!$E$31:$E$400,MASQ2!O76,'Étape 1 - à remplir'!$G$31:$G$400,"animaux"),SUMIFS('Étape 1 - à remplir'!$F$31:$F$400,'Étape 1 - à remplir'!$E$31:$E$400,MASQ2!O76,'Étape 1 - à remplir'!$P$31:$P$400,X$3)),IF(X$2="Atelier",IF(X$3="Tous",SUMIFS('Étape 1 - à remplir'!$F$31:$F$400,'Étape 1 - à remplir'!$E$31:$E$400,MASQ2!O76,'Étape 1 - à remplir'!$G$31:$G$400,"animaux"),SUMIFS('Étape 1 - à remplir'!$F$31:$F$400,'Étape 1 - à remplir'!$E$31:$E$400,MASQ2!O76,'Étape 1 - à remplir'!$O$31:$O$400,X$3)),IF(X$2="Espèce",IF(X$3="Toutes",SUMIFS('Étape 1 - à remplir'!$F$31:$F$400,'Étape 1 - à remplir'!$E$31:$E$400,MASQ2!O76,'Étape 1 - à remplir'!$G$31:$G$400,"animaux"),SUMIFS('Étape 1 - à remplir'!$F$31:$F$400,'Étape 1 - à remplir'!$E$31:$E$400,MASQ2!O76,'Étape 1 - à remplir'!$N$31:$N$400,X$3))))))=0,NA(),IF(X$2="Catégorie",IF(X$3="Toutes",SUMIFS('Étape 1 - à remplir'!$F$31:$F$400,'Étape 1 - à remplir'!$E$31:$E$400,MASQ2!O76,'Étape 1 - à remplir'!$G$31:$G$400,"animaux"),SUMIFS('Étape 1 - à remplir'!$F$31:$F$400,'Étape 1 - à remplir'!$E$31:$E$400,MASQ2!O76,'Étape 1 - à remplir'!$C$31:$C$400,X$3)),IF(X$2="Âge",IF(X$3="Tous",SUMIFS('Étape 1 - à remplir'!$F$31:$F$400,'Étape 1 - à remplir'!$E$31:$E$400,MASQ2!O76,'Étape 1 - à remplir'!$G$31:$G$400,"animaux"),SUMIFS('Étape 1 - à remplir'!$F$31:$F$400,'Étape 1 - à remplir'!$E$31:$E$400,MASQ2!O76,'Étape 1 - à remplir'!$P$31:$P$400,X$3)),IF(X$2="Atelier",IF(X$3="Tous",SUMIFS('Étape 1 - à remplir'!$F$31:$F$400,'Étape 1 - à remplir'!$E$31:$E$400,MASQ2!O76,'Étape 1 - à remplir'!$G$31:$G$400,"animaux"),SUMIFS('Étape 1 - à remplir'!$F$31:$F$400,'Étape 1 - à remplir'!$E$31:$E$400,MASQ2!O76,'Étape 1 - à remplir'!$O$31:$O$400,X$3)),IF(X$2="Espèce",IF(X$3="Toutes",SUMIFS('Étape 1 - à remplir'!$F$31:$F$400,'Étape 1 - à remplir'!$E$31:$E$400,MASQ2!O76,'Étape 1 - à remplir'!$G$31:$G$400,"animaux"),SUMIFS('Étape 1 - à remplir'!$F$31:$F$400,'Étape 1 - à remplir'!$E$31:$E$400,MASQ2!O76,'Étape 1 - à remplir'!$N$31:$N$400,X$3)))))))</f>
        <v>#N/A</v>
      </c>
      <c r="Q76" s="63">
        <f t="shared" si="151"/>
        <v>0</v>
      </c>
      <c r="R76" t="str">
        <f>Données_ATB!BM75</f>
        <v>Amoxicilline</v>
      </c>
      <c r="S76" t="str">
        <f>Données_ATB!BN75</f>
        <v/>
      </c>
      <c r="T76" s="63" t="str">
        <f>Données_ATB!BO75</f>
        <v/>
      </c>
      <c r="U76" s="42" t="str">
        <f>Données_ATB!BQ75</f>
        <v>Penicillines</v>
      </c>
      <c r="V76" t="str">
        <f>Données_ATB!BR75</f>
        <v/>
      </c>
      <c r="W76" s="63" t="str">
        <f>Données_ATB!BS75</f>
        <v/>
      </c>
      <c r="Z76" s="42">
        <v>73</v>
      </c>
      <c r="AA76" t="e">
        <f t="shared" si="147"/>
        <v>#N/A</v>
      </c>
      <c r="AB76" s="63" t="e">
        <f t="shared" si="148"/>
        <v>#N/A</v>
      </c>
      <c r="AD76" s="130"/>
      <c r="AE76" s="234" t="s">
        <v>4343</v>
      </c>
      <c r="AF76" s="234" t="s">
        <v>588</v>
      </c>
      <c r="AG76" s="234" t="s">
        <v>587</v>
      </c>
      <c r="AH76" s="234" t="s">
        <v>586</v>
      </c>
      <c r="AI76" s="234" t="s">
        <v>4354</v>
      </c>
      <c r="AJ76" s="234" t="s">
        <v>4358</v>
      </c>
      <c r="AK76" s="234" t="s">
        <v>4355</v>
      </c>
      <c r="AL76" s="235" t="s">
        <v>146</v>
      </c>
      <c r="BF76" s="63"/>
      <c r="BT76" s="194" t="str">
        <f t="shared" ca="1" si="131"/>
        <v/>
      </c>
      <c r="BU76" s="219" t="str">
        <f>IFERROR(IF(BX76=0,"",COUNTIF(BX$4:BX$600,"&gt;"&amp;BX76)+COUNTIF(BX$4:BX76,BX76)),"")</f>
        <v/>
      </c>
      <c r="BV76" s="42" t="str">
        <f t="shared" si="132"/>
        <v>BIOAMOXI</v>
      </c>
      <c r="BW76" t="e">
        <f>IF(IF(CE$2="Catégorie",IF(CE$3="Toutes",SUMIFS('Étape 1 - à remplir'!$F$31:$F$400,'Étape 1 - à remplir'!$E$31:$E$400,MASQ2!BV76,'Étape 1 - à remplir'!$G$31:$G$400,"lots"),SUMIFS('Étape 1 - à remplir'!$F$31:$F$400,'Étape 1 - à remplir'!$E$31:$E$400,MASQ2!BV76,'Étape 1 - à remplir'!$C$31:$C$400,CE$3)),IF(CE$2="Âge",IF(CE$3="Tous",SUMIFS('Étape 1 - à remplir'!$F$31:$F$400,'Étape 1 - à remplir'!$E$31:$E$400,MASQ2!BV76,'Étape 1 - à remplir'!$G$31:$G$400,"lots"),SUMIFS('Étape 1 - à remplir'!$F$31:$F$400,'Étape 1 - à remplir'!$E$31:$E$400,MASQ2!BV76,'Étape 1 - à remplir'!$P$31:$P$400,CE$3,'Étape 1 - à remplir'!$G$31:$G$400,"lots")),IF(CE$2="Atelier",IF(CE$3="Tous",SUMIFS('Étape 1 - à remplir'!$F$31:$F$400,'Étape 1 - à remplir'!$E$31:$E$400,MASQ2!BV76,'Étape 1 - à remplir'!$G$31:$G$400,"lots"),SUMIFS('Étape 1 - à remplir'!$F$31:$F$400,'Étape 1 - à remplir'!$E$31:$E$400,MASQ2!BV76,'Étape 1 - à remplir'!$O$31:$O$400,CE$3,'Étape 1 - à remplir'!$G$31:$G$400,"lots")),IF(CE$2="Espèce",IF(CE$3="Toutes",SUMIFS('Étape 1 - à remplir'!$F$31:$F$400,'Étape 1 - à remplir'!$E$31:$E$400,MASQ2!BV76,'Étape 1 - à remplir'!$G$31:$G$400,"lots"),SUMIFS('Étape 1 - à remplir'!$F$31:$F$400,'Étape 1 - à remplir'!$E$31:$E$400,MASQ2!BV76,'Étape 1 - à remplir'!$N$31:$N$400,CE$3,'Étape 1 - à remplir'!$G$31:$G$400,"lots"))))))=0,NA(),IF(CE$2="Catégorie",IF(CE$3="Toutes",SUMIFS('Étape 1 - à remplir'!$F$31:$F$400,'Étape 1 - à remplir'!$E$31:$E$400,MASQ2!BV76,'Étape 1 - à remplir'!$G$31:$G$400,"lots"),SUMIFS('Étape 1 - à remplir'!$F$31:$F$400,'Étape 1 - à remplir'!$E$31:$E$400,MASQ2!BV76,'Étape 1 - à remplir'!$C$31:$C$400,CE$3)),IF(CE$2="Âge",IF(CE$3="Tous",SUMIFS('Étape 1 - à remplir'!$F$31:$F$400,'Étape 1 - à remplir'!$E$31:$E$400,MASQ2!BV76,'Étape 1 - à remplir'!$G$31:$G$400,"lots"),SUMIFS('Étape 1 - à remplir'!$F$31:$F$400,'Étape 1 - à remplir'!$E$31:$E$400,MASQ2!BV76,'Étape 1 - à remplir'!$P$31:$P$400,CE$3,'Étape 1 - à remplir'!$G$31:$G$400,"lots")),IF(CE$2="Atelier",IF(CE$3="Tous",SUMIFS('Étape 1 - à remplir'!$F$31:$F$400,'Étape 1 - à remplir'!$E$31:$E$400,MASQ2!BV76,'Étape 1 - à remplir'!$G$31:$G$400,"lots"),SUMIFS('Étape 1 - à remplir'!$F$31:$F$400,'Étape 1 - à remplir'!$E$31:$E$400,MASQ2!BV76,'Étape 1 - à remplir'!$O$31:$O$400,CE$3,'Étape 1 - à remplir'!$G$31:$G$400,"lots")),IF(CE$2="Espèce",IF(CE$3="Toutes",SUMIFS('Étape 1 - à remplir'!$F$31:$F$400,'Étape 1 - à remplir'!$E$31:$E$400,MASQ2!BV76,'Étape 1 - à remplir'!$G$31:$G$400,"lots"),SUMIFS('Étape 1 - à remplir'!$F$31:$F$400,'Étape 1 - à remplir'!$E$31:$E$400,MASQ2!BV76,'Étape 1 - à remplir'!$N$31:$N$400,CE$3,'Étape 1 - à remplir'!$G$31:$G$400,"lots")))))))</f>
        <v>#N/A</v>
      </c>
      <c r="BX76">
        <f t="shared" si="149"/>
        <v>0</v>
      </c>
      <c r="BY76" t="str">
        <f t="shared" si="133"/>
        <v>Amoxicilline</v>
      </c>
      <c r="BZ76" t="str">
        <f t="shared" si="134"/>
        <v/>
      </c>
      <c r="CA76" t="str">
        <f t="shared" si="135"/>
        <v/>
      </c>
      <c r="CB76" t="str">
        <f t="shared" si="136"/>
        <v>Penicillines</v>
      </c>
      <c r="CC76" t="str">
        <f t="shared" si="137"/>
        <v/>
      </c>
      <c r="CD76" s="63" t="str">
        <f t="shared" si="138"/>
        <v/>
      </c>
      <c r="CG76" s="42">
        <v>73</v>
      </c>
      <c r="CH76" s="42" t="e">
        <f t="shared" si="80"/>
        <v>#N/A</v>
      </c>
      <c r="CI76" s="63" t="e">
        <f t="shared" si="81"/>
        <v>#N/A</v>
      </c>
      <c r="CK76" s="130"/>
      <c r="CL76" s="234" t="s">
        <v>4343</v>
      </c>
      <c r="CM76" s="234" t="s">
        <v>588</v>
      </c>
      <c r="CN76" s="234" t="s">
        <v>587</v>
      </c>
      <c r="CO76" s="234" t="s">
        <v>586</v>
      </c>
      <c r="CP76" s="234" t="s">
        <v>4354</v>
      </c>
      <c r="CQ76" s="234" t="s">
        <v>4358</v>
      </c>
      <c r="CR76" s="234" t="s">
        <v>4355</v>
      </c>
      <c r="CS76" s="235" t="s">
        <v>146</v>
      </c>
      <c r="DM76" s="63"/>
      <c r="EA76" s="194" t="str">
        <f t="shared" ca="1" si="139"/>
        <v/>
      </c>
      <c r="EB76" s="226" t="str">
        <f>IFERROR(IF(ED76=0,"",COUNTIF(ED$4:ED$600,"&gt;"&amp;ED76)+COUNTIF(ED$4:ED76,ED76)),"")</f>
        <v/>
      </c>
      <c r="EC76" t="str">
        <f t="shared" si="140"/>
        <v>BIOAMOXI</v>
      </c>
      <c r="ED76" t="e">
        <f>IF(IF(EL$2="Catégorie",IF(EL$3="Toutes",SUMIFS('Étape 1 - à remplir'!$F$31:$F$400,'Étape 1 - à remplir'!$E$31:$E$400,MASQ2!EC76,'Étape 1 - à remplir'!$G$31:$G$400,"kg"),SUMIFS('Étape 1 - à remplir'!$F$31:$F$400,'Étape 1 - à remplir'!$E$31:$E$400,MASQ2!EC76,'Étape 1 - à remplir'!$C$31:$C$400,EL$3)),IF(EL$2="Âge",IF(EL$3="Tous",SUMIFS('Étape 1 - à remplir'!$F$31:$F$400,'Étape 1 - à remplir'!$E$31:$E$400,MASQ2!EC76,'Étape 1 - à remplir'!$G$31:$G$400,"kg"),SUMIFS('Étape 1 - à remplir'!$F$31:$F$400,'Étape 1 - à remplir'!$E$31:$E$400,MASQ2!EC76,'Étape 1 - à remplir'!$P$31:$P$400,EL$3,'Étape 1 - à remplir'!$G$31:$G$400,"kg")),IF(EL$2="Atelier",IF(EL$3="Tous",SUMIFS('Étape 1 - à remplir'!$F$31:$F$400,'Étape 1 - à remplir'!$E$31:$E$400,MASQ2!EC76,'Étape 1 - à remplir'!$G$31:$G$400,"kg"),SUMIFS('Étape 1 - à remplir'!$F$31:$F$400,'Étape 1 - à remplir'!$E$31:$E$400,MASQ2!EC76,'Étape 1 - à remplir'!$O$31:$O$400,EL$3,'Étape 1 - à remplir'!$G$31:$G$400,"kg")),IF(EL$2="Espèce",IF(EL$3="Toutes",SUMIFS('Étape 1 - à remplir'!$F$31:$F$400,'Étape 1 - à remplir'!$E$31:$E$400,MASQ2!EC76,'Étape 1 - à remplir'!$G$31:$G$400,"kg"),SUMIFS('Étape 1 - à remplir'!$F$31:$F$400,'Étape 1 - à remplir'!$E$31:$E$400,MASQ2!EC76,'Étape 1 - à remplir'!$N$31:$N$400,EL$3,'Étape 1 - à remplir'!$G$31:$G$400,"kg"))))))=0,NA(),IF(EL$2="Catégorie",IF(EL$3="Toutes",SUMIFS('Étape 1 - à remplir'!$F$31:$F$400,'Étape 1 - à remplir'!$E$31:$E$400,MASQ2!EC76,'Étape 1 - à remplir'!$G$31:$G$400,"kg"),SUMIFS('Étape 1 - à remplir'!$F$31:$F$400,'Étape 1 - à remplir'!$E$31:$E$400,MASQ2!EC76,'Étape 1 - à remplir'!$C$31:$C$400,EL$3)),IF(EL$2="Âge",IF(EL$3="Tous",SUMIFS('Étape 1 - à remplir'!$F$31:$F$400,'Étape 1 - à remplir'!$E$31:$E$400,MASQ2!EC76,'Étape 1 - à remplir'!$G$31:$G$400,"kg"),SUMIFS('Étape 1 - à remplir'!$F$31:$F$400,'Étape 1 - à remplir'!$E$31:$E$400,MASQ2!EC76,'Étape 1 - à remplir'!$P$31:$P$400,EL$3,'Étape 1 - à remplir'!$G$31:$G$400,"kg")),IF(EL$2="Atelier",IF(EL$3="Tous",SUMIFS('Étape 1 - à remplir'!$F$31:$F$400,'Étape 1 - à remplir'!$E$31:$E$400,MASQ2!EC76,'Étape 1 - à remplir'!$G$31:$G$400,"kg"),SUMIFS('Étape 1 - à remplir'!$F$31:$F$400,'Étape 1 - à remplir'!$E$31:$E$400,MASQ2!EC76,'Étape 1 - à remplir'!$O$31:$O$400,EL$3,'Étape 1 - à remplir'!$G$31:$G$400,"kg")),IF(EL$2="Espèce",IF(EL$3="Toutes",SUMIFS('Étape 1 - à remplir'!$F$31:$F$400,'Étape 1 - à remplir'!$E$31:$E$400,MASQ2!EC76,'Étape 1 - à remplir'!$G$31:$G$400,"kg"),SUMIFS('Étape 1 - à remplir'!$F$31:$F$400,'Étape 1 - à remplir'!$E$31:$E$400,MASQ2!EC76,'Étape 1 - à remplir'!$N$31:$N$400,EL$3,'Étape 1 - à remplir'!$G$31:$G$400,"kg")))))))</f>
        <v>#N/A</v>
      </c>
      <c r="EE76" s="76">
        <f t="shared" si="150"/>
        <v>0</v>
      </c>
      <c r="EF76" t="str">
        <f t="shared" si="141"/>
        <v>Amoxicilline</v>
      </c>
      <c r="EG76" t="str">
        <f t="shared" si="142"/>
        <v/>
      </c>
      <c r="EH76" t="str">
        <f t="shared" si="143"/>
        <v/>
      </c>
      <c r="EI76" t="str">
        <f t="shared" si="144"/>
        <v>Penicillines</v>
      </c>
      <c r="EJ76" t="str">
        <f t="shared" si="145"/>
        <v/>
      </c>
      <c r="EK76" s="63" t="str">
        <f t="shared" si="146"/>
        <v/>
      </c>
      <c r="EN76" s="42">
        <v>73</v>
      </c>
      <c r="EO76" t="e">
        <f t="shared" si="152"/>
        <v>#N/A</v>
      </c>
      <c r="EP76" s="63" t="e">
        <f t="shared" si="153"/>
        <v>#N/A</v>
      </c>
      <c r="ER76" s="130"/>
      <c r="ES76" s="234" t="s">
        <v>4343</v>
      </c>
      <c r="ET76" s="234" t="s">
        <v>588</v>
      </c>
      <c r="EU76" s="234" t="s">
        <v>587</v>
      </c>
      <c r="EV76" s="234" t="s">
        <v>586</v>
      </c>
      <c r="EW76" s="234" t="s">
        <v>4354</v>
      </c>
      <c r="EX76" s="234" t="s">
        <v>4358</v>
      </c>
      <c r="EY76" s="234" t="s">
        <v>4355</v>
      </c>
      <c r="EZ76" s="235" t="s">
        <v>146</v>
      </c>
      <c r="FT76" s="63"/>
    </row>
    <row r="77" spans="2:176" x14ac:dyDescent="0.3">
      <c r="B77" s="42"/>
      <c r="M77" s="194" t="str">
        <f ca="1">INDEX(Données_ATB!BD:BU,MATCH(MASQ2!O77,Données_ATB!BD:BD,0),18)</f>
        <v>x</v>
      </c>
      <c r="N77" s="14" t="str">
        <f>IFERROR(IF(Q77=0,"",COUNTIF(Q$4:Q$600,"&gt;"&amp;Q77)+COUNTIF(Q$4:Q77,Q77)),"")</f>
        <v/>
      </c>
      <c r="O77" t="str">
        <f>Données_ATB!BD76</f>
        <v>BIOREPAS</v>
      </c>
      <c r="P77" t="e">
        <f>IF(IF(X$2="Catégorie",IF(X$3="Toutes",SUMIFS('Étape 1 - à remplir'!$F$31:$F$400,'Étape 1 - à remplir'!$E$31:$E$400,MASQ2!O77,'Étape 1 - à remplir'!$G$31:$G$400,"animaux"),SUMIFS('Étape 1 - à remplir'!$F$31:$F$400,'Étape 1 - à remplir'!$E$31:$E$400,MASQ2!O77,'Étape 1 - à remplir'!$C$31:$C$400,X$3)),IF(X$2="Âge",IF(X$3="Tous",SUMIFS('Étape 1 - à remplir'!$F$31:$F$400,'Étape 1 - à remplir'!$E$31:$E$400,MASQ2!O77,'Étape 1 - à remplir'!$G$31:$G$400,"animaux"),SUMIFS('Étape 1 - à remplir'!$F$31:$F$400,'Étape 1 - à remplir'!$E$31:$E$400,MASQ2!O77,'Étape 1 - à remplir'!$P$31:$P$400,X$3)),IF(X$2="Atelier",IF(X$3="Tous",SUMIFS('Étape 1 - à remplir'!$F$31:$F$400,'Étape 1 - à remplir'!$E$31:$E$400,MASQ2!O77,'Étape 1 - à remplir'!$G$31:$G$400,"animaux"),SUMIFS('Étape 1 - à remplir'!$F$31:$F$400,'Étape 1 - à remplir'!$E$31:$E$400,MASQ2!O77,'Étape 1 - à remplir'!$O$31:$O$400,X$3)),IF(X$2="Espèce",IF(X$3="Toutes",SUMIFS('Étape 1 - à remplir'!$F$31:$F$400,'Étape 1 - à remplir'!$E$31:$E$400,MASQ2!O77,'Étape 1 - à remplir'!$G$31:$G$400,"animaux"),SUMIFS('Étape 1 - à remplir'!$F$31:$F$400,'Étape 1 - à remplir'!$E$31:$E$400,MASQ2!O77,'Étape 1 - à remplir'!$N$31:$N$400,X$3))))))=0,NA(),IF(X$2="Catégorie",IF(X$3="Toutes",SUMIFS('Étape 1 - à remplir'!$F$31:$F$400,'Étape 1 - à remplir'!$E$31:$E$400,MASQ2!O77,'Étape 1 - à remplir'!$G$31:$G$400,"animaux"),SUMIFS('Étape 1 - à remplir'!$F$31:$F$400,'Étape 1 - à remplir'!$E$31:$E$400,MASQ2!O77,'Étape 1 - à remplir'!$C$31:$C$400,X$3)),IF(X$2="Âge",IF(X$3="Tous",SUMIFS('Étape 1 - à remplir'!$F$31:$F$400,'Étape 1 - à remplir'!$E$31:$E$400,MASQ2!O77,'Étape 1 - à remplir'!$G$31:$G$400,"animaux"),SUMIFS('Étape 1 - à remplir'!$F$31:$F$400,'Étape 1 - à remplir'!$E$31:$E$400,MASQ2!O77,'Étape 1 - à remplir'!$P$31:$P$400,X$3)),IF(X$2="Atelier",IF(X$3="Tous",SUMIFS('Étape 1 - à remplir'!$F$31:$F$400,'Étape 1 - à remplir'!$E$31:$E$400,MASQ2!O77,'Étape 1 - à remplir'!$G$31:$G$400,"animaux"),SUMIFS('Étape 1 - à remplir'!$F$31:$F$400,'Étape 1 - à remplir'!$E$31:$E$400,MASQ2!O77,'Étape 1 - à remplir'!$O$31:$O$400,X$3)),IF(X$2="Espèce",IF(X$3="Toutes",SUMIFS('Étape 1 - à remplir'!$F$31:$F$400,'Étape 1 - à remplir'!$E$31:$E$400,MASQ2!O77,'Étape 1 - à remplir'!$G$31:$G$400,"animaux"),SUMIFS('Étape 1 - à remplir'!$F$31:$F$400,'Étape 1 - à remplir'!$E$31:$E$400,MASQ2!O77,'Étape 1 - à remplir'!$N$31:$N$400,X$3)))))))</f>
        <v>#N/A</v>
      </c>
      <c r="Q77" s="63">
        <f t="shared" si="151"/>
        <v>0</v>
      </c>
      <c r="R77" t="str">
        <f>Données_ATB!BM76</f>
        <v>Colistine</v>
      </c>
      <c r="S77" t="str">
        <f>Données_ATB!BN76</f>
        <v/>
      </c>
      <c r="T77" s="63" t="str">
        <f>Données_ATB!BO76</f>
        <v/>
      </c>
      <c r="U77" s="42" t="str">
        <f>Données_ATB!BQ76</f>
        <v>Polypeptides</v>
      </c>
      <c r="V77" t="str">
        <f>Données_ATB!BR76</f>
        <v/>
      </c>
      <c r="W77" s="63" t="str">
        <f>Données_ATB!BS76</f>
        <v/>
      </c>
      <c r="Z77" s="42">
        <v>74</v>
      </c>
      <c r="AA77" t="e">
        <f t="shared" si="147"/>
        <v>#N/A</v>
      </c>
      <c r="AB77" s="63" t="e">
        <f t="shared" si="148"/>
        <v>#N/A</v>
      </c>
      <c r="AD77" s="42">
        <v>1</v>
      </c>
      <c r="AE77" t="str">
        <f t="shared" ref="AE77:AE86" si="154">AU32</f>
        <v/>
      </c>
      <c r="AF77" t="str">
        <f>IF(AE77="","",INDEX('Étape 1 - à remplir'!C$19:$L28,MATCH(AE77,'Étape 1 - à remplir'!L$19:$L$28,0),1))</f>
        <v/>
      </c>
      <c r="AG77" t="str">
        <f>IF(AE77="","",INDEX('Étape 1 - à remplir'!C$19:$L28,MATCH(AE77,'Étape 1 - à remplir'!L$19:$L$28,0),2))</f>
        <v/>
      </c>
      <c r="AH77" t="str">
        <f>IF(AE77="","",INDEX('Étape 1 - à remplir'!C$19:$L28,MATCH(AE77,'Étape 1 - à remplir'!L$19:$L$28,0),3))</f>
        <v/>
      </c>
      <c r="AI77" t="str">
        <f>IF(AE77="","",INDEX('Étape 1 - à remplir'!C$19:$L28,MATCH(AE77,'Étape 1 - à remplir'!L$19:$L$28,0),4))</f>
        <v/>
      </c>
      <c r="AJ77" t="str">
        <f>IF(AE77="","",INDEX('Étape 1 - à remplir'!C$19:$L28,MATCH(AE77,'Étape 1 - à remplir'!L$19:$L$28,0),5))</f>
        <v/>
      </c>
      <c r="AK77" t="str">
        <f>IF(AE77="","",INDEX(B$4:D$13,MATCH(AE77,B$4:B$13,0),2))</f>
        <v/>
      </c>
      <c r="AL77" s="63" t="str">
        <f t="shared" ref="AL77:AL86" si="155">IF(AE77="","",INDEX(B$4:D$13,MATCH(AE77,B$4:B$13,0),3))</f>
        <v/>
      </c>
      <c r="BF77" s="63"/>
      <c r="BT77" s="194" t="str">
        <f t="shared" ca="1" si="131"/>
        <v>x</v>
      </c>
      <c r="BU77" s="219" t="str">
        <f>IFERROR(IF(BX77=0,"",COUNTIF(BX$4:BX$600,"&gt;"&amp;BX77)+COUNTIF(BX$4:BX77,BX77)),"")</f>
        <v/>
      </c>
      <c r="BV77" s="42" t="str">
        <f t="shared" si="132"/>
        <v>BIOREPAS</v>
      </c>
      <c r="BW77" t="e">
        <f>IF(IF(CE$2="Catégorie",IF(CE$3="Toutes",SUMIFS('Étape 1 - à remplir'!$F$31:$F$400,'Étape 1 - à remplir'!$E$31:$E$400,MASQ2!BV77,'Étape 1 - à remplir'!$G$31:$G$400,"lots"),SUMIFS('Étape 1 - à remplir'!$F$31:$F$400,'Étape 1 - à remplir'!$E$31:$E$400,MASQ2!BV77,'Étape 1 - à remplir'!$C$31:$C$400,CE$3)),IF(CE$2="Âge",IF(CE$3="Tous",SUMIFS('Étape 1 - à remplir'!$F$31:$F$400,'Étape 1 - à remplir'!$E$31:$E$400,MASQ2!BV77,'Étape 1 - à remplir'!$G$31:$G$400,"lots"),SUMIFS('Étape 1 - à remplir'!$F$31:$F$400,'Étape 1 - à remplir'!$E$31:$E$400,MASQ2!BV77,'Étape 1 - à remplir'!$P$31:$P$400,CE$3,'Étape 1 - à remplir'!$G$31:$G$400,"lots")),IF(CE$2="Atelier",IF(CE$3="Tous",SUMIFS('Étape 1 - à remplir'!$F$31:$F$400,'Étape 1 - à remplir'!$E$31:$E$400,MASQ2!BV77,'Étape 1 - à remplir'!$G$31:$G$400,"lots"),SUMIFS('Étape 1 - à remplir'!$F$31:$F$400,'Étape 1 - à remplir'!$E$31:$E$400,MASQ2!BV77,'Étape 1 - à remplir'!$O$31:$O$400,CE$3,'Étape 1 - à remplir'!$G$31:$G$400,"lots")),IF(CE$2="Espèce",IF(CE$3="Toutes",SUMIFS('Étape 1 - à remplir'!$F$31:$F$400,'Étape 1 - à remplir'!$E$31:$E$400,MASQ2!BV77,'Étape 1 - à remplir'!$G$31:$G$400,"lots"),SUMIFS('Étape 1 - à remplir'!$F$31:$F$400,'Étape 1 - à remplir'!$E$31:$E$400,MASQ2!BV77,'Étape 1 - à remplir'!$N$31:$N$400,CE$3,'Étape 1 - à remplir'!$G$31:$G$400,"lots"))))))=0,NA(),IF(CE$2="Catégorie",IF(CE$3="Toutes",SUMIFS('Étape 1 - à remplir'!$F$31:$F$400,'Étape 1 - à remplir'!$E$31:$E$400,MASQ2!BV77,'Étape 1 - à remplir'!$G$31:$G$400,"lots"),SUMIFS('Étape 1 - à remplir'!$F$31:$F$400,'Étape 1 - à remplir'!$E$31:$E$400,MASQ2!BV77,'Étape 1 - à remplir'!$C$31:$C$400,CE$3)),IF(CE$2="Âge",IF(CE$3="Tous",SUMIFS('Étape 1 - à remplir'!$F$31:$F$400,'Étape 1 - à remplir'!$E$31:$E$400,MASQ2!BV77,'Étape 1 - à remplir'!$G$31:$G$400,"lots"),SUMIFS('Étape 1 - à remplir'!$F$31:$F$400,'Étape 1 - à remplir'!$E$31:$E$400,MASQ2!BV77,'Étape 1 - à remplir'!$P$31:$P$400,CE$3,'Étape 1 - à remplir'!$G$31:$G$400,"lots")),IF(CE$2="Atelier",IF(CE$3="Tous",SUMIFS('Étape 1 - à remplir'!$F$31:$F$400,'Étape 1 - à remplir'!$E$31:$E$400,MASQ2!BV77,'Étape 1 - à remplir'!$G$31:$G$400,"lots"),SUMIFS('Étape 1 - à remplir'!$F$31:$F$400,'Étape 1 - à remplir'!$E$31:$E$400,MASQ2!BV77,'Étape 1 - à remplir'!$O$31:$O$400,CE$3,'Étape 1 - à remplir'!$G$31:$G$400,"lots")),IF(CE$2="Espèce",IF(CE$3="Toutes",SUMIFS('Étape 1 - à remplir'!$F$31:$F$400,'Étape 1 - à remplir'!$E$31:$E$400,MASQ2!BV77,'Étape 1 - à remplir'!$G$31:$G$400,"lots"),SUMIFS('Étape 1 - à remplir'!$F$31:$F$400,'Étape 1 - à remplir'!$E$31:$E$400,MASQ2!BV77,'Étape 1 - à remplir'!$N$31:$N$400,CE$3,'Étape 1 - à remplir'!$G$31:$G$400,"lots")))))))</f>
        <v>#N/A</v>
      </c>
      <c r="BX77">
        <f t="shared" si="149"/>
        <v>0</v>
      </c>
      <c r="BY77" t="str">
        <f t="shared" si="133"/>
        <v>Colistine</v>
      </c>
      <c r="BZ77" t="str">
        <f t="shared" si="134"/>
        <v/>
      </c>
      <c r="CA77" t="str">
        <f t="shared" si="135"/>
        <v/>
      </c>
      <c r="CB77" t="str">
        <f t="shared" si="136"/>
        <v>Polypeptides</v>
      </c>
      <c r="CC77" t="str">
        <f t="shared" si="137"/>
        <v/>
      </c>
      <c r="CD77" s="63" t="str">
        <f t="shared" si="138"/>
        <v/>
      </c>
      <c r="CG77" s="42">
        <v>74</v>
      </c>
      <c r="CH77" s="42" t="e">
        <f t="shared" si="80"/>
        <v>#N/A</v>
      </c>
      <c r="CI77" s="63" t="e">
        <f t="shared" si="81"/>
        <v>#N/A</v>
      </c>
      <c r="CK77" s="42">
        <v>1</v>
      </c>
      <c r="CL77" t="str">
        <f t="shared" ref="CL77:CL86" si="156">DB32</f>
        <v/>
      </c>
      <c r="CM77" t="str">
        <f>IF(CL77="","",INDEX('Étape 1 - à remplir'!C$19:$L$28,MATCH(CL77,'Étape 1 - à remplir'!L$19:$L$28,0),1))</f>
        <v/>
      </c>
      <c r="CN77" t="str">
        <f>IF(CL77="","",INDEX('Étape 1 - à remplir'!C$19:$L$28,MATCH(CL77,'Étape 1 - à remplir'!L$19:$L$28,0),2))</f>
        <v/>
      </c>
      <c r="CO77" t="str">
        <f>IF(CL77="","",INDEX('Étape 1 - à remplir'!$C$19:$L$28,MATCH(CL77,'Étape 1 - à remplir'!$L$19:L$28,0),3))</f>
        <v/>
      </c>
      <c r="CP77" t="str">
        <f>IF(CL77="","",INDEX('Étape 1 - à remplir'!$C$19:$J28,MATCH(CL77,'Étape 1 - à remplir'!$L$19:$L$28,0),4))</f>
        <v/>
      </c>
      <c r="CQ77" t="str">
        <f>IF(CL77="","",INDEX('Étape 1 - à remplir'!$C$19:$L28,MATCH(CL77,'Étape 1 - à remplir'!$L$19:$L$28,0),5))</f>
        <v/>
      </c>
      <c r="CR77" t="str">
        <f>IF(CL77="","",INDEX(BI$4:BK$13,MATCH(CL77,BI$4:BI$13,0),2))</f>
        <v/>
      </c>
      <c r="CS77" s="63" t="str">
        <f t="shared" ref="CS77:CS86" si="157">IF(CL77="","",INDEX(BI$4:BK$13,MATCH(CL77,BI$4:BI$13,0),3))</f>
        <v/>
      </c>
      <c r="DM77" s="63"/>
      <c r="EA77" s="194" t="str">
        <f t="shared" ca="1" si="139"/>
        <v>x</v>
      </c>
      <c r="EB77" s="226" t="str">
        <f>IFERROR(IF(ED77=0,"",COUNTIF(ED$4:ED$600,"&gt;"&amp;ED77)+COUNTIF(ED$4:ED77,ED77)),"")</f>
        <v/>
      </c>
      <c r="EC77" t="str">
        <f t="shared" si="140"/>
        <v>BIOREPAS</v>
      </c>
      <c r="ED77" t="e">
        <f>IF(IF(EL$2="Catégorie",IF(EL$3="Toutes",SUMIFS('Étape 1 - à remplir'!$F$31:$F$400,'Étape 1 - à remplir'!$E$31:$E$400,MASQ2!EC77,'Étape 1 - à remplir'!$G$31:$G$400,"kg"),SUMIFS('Étape 1 - à remplir'!$F$31:$F$400,'Étape 1 - à remplir'!$E$31:$E$400,MASQ2!EC77,'Étape 1 - à remplir'!$C$31:$C$400,EL$3)),IF(EL$2="Âge",IF(EL$3="Tous",SUMIFS('Étape 1 - à remplir'!$F$31:$F$400,'Étape 1 - à remplir'!$E$31:$E$400,MASQ2!EC77,'Étape 1 - à remplir'!$G$31:$G$400,"kg"),SUMIFS('Étape 1 - à remplir'!$F$31:$F$400,'Étape 1 - à remplir'!$E$31:$E$400,MASQ2!EC77,'Étape 1 - à remplir'!$P$31:$P$400,EL$3,'Étape 1 - à remplir'!$G$31:$G$400,"kg")),IF(EL$2="Atelier",IF(EL$3="Tous",SUMIFS('Étape 1 - à remplir'!$F$31:$F$400,'Étape 1 - à remplir'!$E$31:$E$400,MASQ2!EC77,'Étape 1 - à remplir'!$G$31:$G$400,"kg"),SUMIFS('Étape 1 - à remplir'!$F$31:$F$400,'Étape 1 - à remplir'!$E$31:$E$400,MASQ2!EC77,'Étape 1 - à remplir'!$O$31:$O$400,EL$3,'Étape 1 - à remplir'!$G$31:$G$400,"kg")),IF(EL$2="Espèce",IF(EL$3="Toutes",SUMIFS('Étape 1 - à remplir'!$F$31:$F$400,'Étape 1 - à remplir'!$E$31:$E$400,MASQ2!EC77,'Étape 1 - à remplir'!$G$31:$G$400,"kg"),SUMIFS('Étape 1 - à remplir'!$F$31:$F$400,'Étape 1 - à remplir'!$E$31:$E$400,MASQ2!EC77,'Étape 1 - à remplir'!$N$31:$N$400,EL$3,'Étape 1 - à remplir'!$G$31:$G$400,"kg"))))))=0,NA(),IF(EL$2="Catégorie",IF(EL$3="Toutes",SUMIFS('Étape 1 - à remplir'!$F$31:$F$400,'Étape 1 - à remplir'!$E$31:$E$400,MASQ2!EC77,'Étape 1 - à remplir'!$G$31:$G$400,"kg"),SUMIFS('Étape 1 - à remplir'!$F$31:$F$400,'Étape 1 - à remplir'!$E$31:$E$400,MASQ2!EC77,'Étape 1 - à remplir'!$C$31:$C$400,EL$3)),IF(EL$2="Âge",IF(EL$3="Tous",SUMIFS('Étape 1 - à remplir'!$F$31:$F$400,'Étape 1 - à remplir'!$E$31:$E$400,MASQ2!EC77,'Étape 1 - à remplir'!$G$31:$G$400,"kg"),SUMIFS('Étape 1 - à remplir'!$F$31:$F$400,'Étape 1 - à remplir'!$E$31:$E$400,MASQ2!EC77,'Étape 1 - à remplir'!$P$31:$P$400,EL$3,'Étape 1 - à remplir'!$G$31:$G$400,"kg")),IF(EL$2="Atelier",IF(EL$3="Tous",SUMIFS('Étape 1 - à remplir'!$F$31:$F$400,'Étape 1 - à remplir'!$E$31:$E$400,MASQ2!EC77,'Étape 1 - à remplir'!$G$31:$G$400,"kg"),SUMIFS('Étape 1 - à remplir'!$F$31:$F$400,'Étape 1 - à remplir'!$E$31:$E$400,MASQ2!EC77,'Étape 1 - à remplir'!$O$31:$O$400,EL$3,'Étape 1 - à remplir'!$G$31:$G$400,"kg")),IF(EL$2="Espèce",IF(EL$3="Toutes",SUMIFS('Étape 1 - à remplir'!$F$31:$F$400,'Étape 1 - à remplir'!$E$31:$E$400,MASQ2!EC77,'Étape 1 - à remplir'!$G$31:$G$400,"kg"),SUMIFS('Étape 1 - à remplir'!$F$31:$F$400,'Étape 1 - à remplir'!$E$31:$E$400,MASQ2!EC77,'Étape 1 - à remplir'!$N$31:$N$400,EL$3,'Étape 1 - à remplir'!$G$31:$G$400,"kg")))))))</f>
        <v>#N/A</v>
      </c>
      <c r="EE77" s="76">
        <f t="shared" si="150"/>
        <v>0</v>
      </c>
      <c r="EF77" t="str">
        <f t="shared" si="141"/>
        <v>Colistine</v>
      </c>
      <c r="EG77" t="str">
        <f t="shared" si="142"/>
        <v/>
      </c>
      <c r="EH77" t="str">
        <f t="shared" si="143"/>
        <v/>
      </c>
      <c r="EI77" t="str">
        <f t="shared" si="144"/>
        <v>Polypeptides</v>
      </c>
      <c r="EJ77" t="str">
        <f t="shared" si="145"/>
        <v/>
      </c>
      <c r="EK77" s="63" t="str">
        <f t="shared" si="146"/>
        <v/>
      </c>
      <c r="EN77" s="42">
        <v>74</v>
      </c>
      <c r="EO77" t="e">
        <f t="shared" si="152"/>
        <v>#N/A</v>
      </c>
      <c r="EP77" s="63" t="e">
        <f t="shared" si="153"/>
        <v>#N/A</v>
      </c>
      <c r="ER77" s="42">
        <v>1</v>
      </c>
      <c r="ES77" t="str">
        <f t="shared" ref="ES77:ES86" si="158">FI32</f>
        <v/>
      </c>
      <c r="ET77" t="str">
        <f>IF(ES77="","",INDEX('Étape 1 - à remplir'!C$19:$L28,MATCH(ES77,'Étape 1 - à remplir'!L$19:$L28,0),1))</f>
        <v/>
      </c>
      <c r="EU77" t="str">
        <f>IF(ES77="","",INDEX('Étape 1 - à remplir'!C$19:$L28,MATCH(ES77,'Étape 1 - à remplir'!L$19:$L28,0),2))</f>
        <v/>
      </c>
      <c r="EV77" t="str">
        <f>IF(ES77="","",INDEX('Étape 1 - à remplir'!C$19:$L28,MATCH(ES77,'Étape 1 - à remplir'!L$19:$L28,0),3))</f>
        <v/>
      </c>
      <c r="EW77" t="str">
        <f>IF(ES77="","",INDEX('Étape 1 - à remplir'!C$19:$L28,MATCH(ES77,'Étape 1 - à remplir'!L$19:$L28,0),4))</f>
        <v/>
      </c>
      <c r="EX77" t="str">
        <f>IF(ES77="","",INDEX('Étape 1 - à remplir'!C$19:$L28,MATCH(ES77,'Étape 1 - à remplir'!L$19:$L28,0),5))</f>
        <v/>
      </c>
      <c r="EY77" t="str">
        <f t="shared" ref="EY77:EY86" si="159">IF(ES77="","",INDEX(DP$4:DR$13,MATCH(ES77,DP$4:DP$13,0),2))</f>
        <v/>
      </c>
      <c r="EZ77" s="63" t="str">
        <f t="shared" ref="EZ77:EZ86" si="160">IF(ES77="","",INDEX(DP$4:DR$13,MATCH(ES77,DP$4:DP$13,0),3))</f>
        <v/>
      </c>
      <c r="FT77" s="63"/>
    </row>
    <row r="78" spans="2:176" x14ac:dyDescent="0.3">
      <c r="B78" s="42"/>
      <c r="M78" s="194" t="str">
        <f ca="1">INDEX(Données_ATB!BD:BU,MATCH(MASQ2!O78,Données_ATB!BD:BD,0),18)</f>
        <v/>
      </c>
      <c r="N78" s="14" t="str">
        <f>IFERROR(IF(Q78=0,"",COUNTIF(Q$4:Q$600,"&gt;"&amp;Q78)+COUNTIF(Q$4:Q78,Q78)),"")</f>
        <v/>
      </c>
      <c r="O78" t="str">
        <f>Données_ATB!BD77</f>
        <v>BIOTILINA 100 MG/G PREMELANGE MEDICAMENTEUX POUR PORCINS ET LAPINS</v>
      </c>
      <c r="P78" t="e">
        <f>IF(IF(X$2="Catégorie",IF(X$3="Toutes",SUMIFS('Étape 1 - à remplir'!$F$31:$F$400,'Étape 1 - à remplir'!$E$31:$E$400,MASQ2!O78,'Étape 1 - à remplir'!$G$31:$G$400,"animaux"),SUMIFS('Étape 1 - à remplir'!$F$31:$F$400,'Étape 1 - à remplir'!$E$31:$E$400,MASQ2!O78,'Étape 1 - à remplir'!$C$31:$C$400,X$3)),IF(X$2="Âge",IF(X$3="Tous",SUMIFS('Étape 1 - à remplir'!$F$31:$F$400,'Étape 1 - à remplir'!$E$31:$E$400,MASQ2!O78,'Étape 1 - à remplir'!$G$31:$G$400,"animaux"),SUMIFS('Étape 1 - à remplir'!$F$31:$F$400,'Étape 1 - à remplir'!$E$31:$E$400,MASQ2!O78,'Étape 1 - à remplir'!$P$31:$P$400,X$3)),IF(X$2="Atelier",IF(X$3="Tous",SUMIFS('Étape 1 - à remplir'!$F$31:$F$400,'Étape 1 - à remplir'!$E$31:$E$400,MASQ2!O78,'Étape 1 - à remplir'!$G$31:$G$400,"animaux"),SUMIFS('Étape 1 - à remplir'!$F$31:$F$400,'Étape 1 - à remplir'!$E$31:$E$400,MASQ2!O78,'Étape 1 - à remplir'!$O$31:$O$400,X$3)),IF(X$2="Espèce",IF(X$3="Toutes",SUMIFS('Étape 1 - à remplir'!$F$31:$F$400,'Étape 1 - à remplir'!$E$31:$E$400,MASQ2!O78,'Étape 1 - à remplir'!$G$31:$G$400,"animaux"),SUMIFS('Étape 1 - à remplir'!$F$31:$F$400,'Étape 1 - à remplir'!$E$31:$E$400,MASQ2!O78,'Étape 1 - à remplir'!$N$31:$N$400,X$3))))))=0,NA(),IF(X$2="Catégorie",IF(X$3="Toutes",SUMIFS('Étape 1 - à remplir'!$F$31:$F$400,'Étape 1 - à remplir'!$E$31:$E$400,MASQ2!O78,'Étape 1 - à remplir'!$G$31:$G$400,"animaux"),SUMIFS('Étape 1 - à remplir'!$F$31:$F$400,'Étape 1 - à remplir'!$E$31:$E$400,MASQ2!O78,'Étape 1 - à remplir'!$C$31:$C$400,X$3)),IF(X$2="Âge",IF(X$3="Tous",SUMIFS('Étape 1 - à remplir'!$F$31:$F$400,'Étape 1 - à remplir'!$E$31:$E$400,MASQ2!O78,'Étape 1 - à remplir'!$G$31:$G$400,"animaux"),SUMIFS('Étape 1 - à remplir'!$F$31:$F$400,'Étape 1 - à remplir'!$E$31:$E$400,MASQ2!O78,'Étape 1 - à remplir'!$P$31:$P$400,X$3)),IF(X$2="Atelier",IF(X$3="Tous",SUMIFS('Étape 1 - à remplir'!$F$31:$F$400,'Étape 1 - à remplir'!$E$31:$E$400,MASQ2!O78,'Étape 1 - à remplir'!$G$31:$G$400,"animaux"),SUMIFS('Étape 1 - à remplir'!$F$31:$F$400,'Étape 1 - à remplir'!$E$31:$E$400,MASQ2!O78,'Étape 1 - à remplir'!$O$31:$O$400,X$3)),IF(X$2="Espèce",IF(X$3="Toutes",SUMIFS('Étape 1 - à remplir'!$F$31:$F$400,'Étape 1 - à remplir'!$E$31:$E$400,MASQ2!O78,'Étape 1 - à remplir'!$G$31:$G$400,"animaux"),SUMIFS('Étape 1 - à remplir'!$F$31:$F$400,'Étape 1 - à remplir'!$E$31:$E$400,MASQ2!O78,'Étape 1 - à remplir'!$N$31:$N$400,X$3)))))))</f>
        <v>#N/A</v>
      </c>
      <c r="Q78" s="63">
        <f t="shared" si="151"/>
        <v>0</v>
      </c>
      <c r="R78" t="str">
        <f>Données_ATB!BM77</f>
        <v>Valnémuline</v>
      </c>
      <c r="S78" t="str">
        <f>Données_ATB!BN77</f>
        <v/>
      </c>
      <c r="T78" s="63" t="str">
        <f>Données_ATB!BO77</f>
        <v/>
      </c>
      <c r="U78" s="42" t="str">
        <f>Données_ATB!BQ77</f>
        <v>Pleuromutilines</v>
      </c>
      <c r="V78" t="str">
        <f>Données_ATB!BR77</f>
        <v/>
      </c>
      <c r="W78" s="63" t="str">
        <f>Données_ATB!BS77</f>
        <v/>
      </c>
      <c r="Z78" s="42">
        <v>75</v>
      </c>
      <c r="AA78" t="e">
        <f t="shared" si="147"/>
        <v>#N/A</v>
      </c>
      <c r="AB78" s="63" t="e">
        <f t="shared" si="148"/>
        <v>#N/A</v>
      </c>
      <c r="AD78" s="42">
        <v>2</v>
      </c>
      <c r="AE78" t="str">
        <f t="shared" si="154"/>
        <v/>
      </c>
      <c r="AF78" t="str">
        <f>IF(AE78="","",INDEX('Étape 1 - à remplir'!C$19:$L29,MATCH(AE78,'Étape 1 - à remplir'!L$19:$L$28,0),1))</f>
        <v/>
      </c>
      <c r="AG78" t="str">
        <f>IF(AE78="","",INDEX('Étape 1 - à remplir'!C$19:$L29,MATCH(AE78,'Étape 1 - à remplir'!L$19:$L$28,0),2))</f>
        <v/>
      </c>
      <c r="AH78" t="str">
        <f>IF(AE78="","",INDEX('Étape 1 - à remplir'!C$19:$L29,MATCH(AE78,'Étape 1 - à remplir'!L$19:$L$28,0),3))</f>
        <v/>
      </c>
      <c r="AI78" t="str">
        <f>IF(AE78="","",INDEX('Étape 1 - à remplir'!C$19:$L29,MATCH(AE78,'Étape 1 - à remplir'!L$19:$L$28,0),4))</f>
        <v/>
      </c>
      <c r="AJ78" t="str">
        <f>IF(AE78="","",INDEX('Étape 1 - à remplir'!C$19:$L29,MATCH(AE78,'Étape 1 - à remplir'!L$19:$L$28,0),5))</f>
        <v/>
      </c>
      <c r="AK78" t="str">
        <f t="shared" ref="AK78:AK86" si="161">IF(AE78="","",INDEX(B$4:D$13,MATCH(AE78,B$4:B$13,0),2))</f>
        <v/>
      </c>
      <c r="AL78" s="63" t="str">
        <f t="shared" si="155"/>
        <v/>
      </c>
      <c r="BF78" s="63"/>
      <c r="BT78" s="194" t="str">
        <f t="shared" ca="1" si="131"/>
        <v/>
      </c>
      <c r="BU78" s="219" t="str">
        <f>IFERROR(IF(BX78=0,"",COUNTIF(BX$4:BX$600,"&gt;"&amp;BX78)+COUNTIF(BX$4:BX78,BX78)),"")</f>
        <v/>
      </c>
      <c r="BV78" s="42" t="str">
        <f t="shared" si="132"/>
        <v>BIOTILINA 100 MG/G PREMELANGE MEDICAMENTEUX POUR PORCINS ET LAPINS</v>
      </c>
      <c r="BW78" t="e">
        <f>IF(IF(CE$2="Catégorie",IF(CE$3="Toutes",SUMIFS('Étape 1 - à remplir'!$F$31:$F$400,'Étape 1 - à remplir'!$E$31:$E$400,MASQ2!BV78,'Étape 1 - à remplir'!$G$31:$G$400,"lots"),SUMIFS('Étape 1 - à remplir'!$F$31:$F$400,'Étape 1 - à remplir'!$E$31:$E$400,MASQ2!BV78,'Étape 1 - à remplir'!$C$31:$C$400,CE$3)),IF(CE$2="Âge",IF(CE$3="Tous",SUMIFS('Étape 1 - à remplir'!$F$31:$F$400,'Étape 1 - à remplir'!$E$31:$E$400,MASQ2!BV78,'Étape 1 - à remplir'!$G$31:$G$400,"lots"),SUMIFS('Étape 1 - à remplir'!$F$31:$F$400,'Étape 1 - à remplir'!$E$31:$E$400,MASQ2!BV78,'Étape 1 - à remplir'!$P$31:$P$400,CE$3,'Étape 1 - à remplir'!$G$31:$G$400,"lots")),IF(CE$2="Atelier",IF(CE$3="Tous",SUMIFS('Étape 1 - à remplir'!$F$31:$F$400,'Étape 1 - à remplir'!$E$31:$E$400,MASQ2!BV78,'Étape 1 - à remplir'!$G$31:$G$400,"lots"),SUMIFS('Étape 1 - à remplir'!$F$31:$F$400,'Étape 1 - à remplir'!$E$31:$E$400,MASQ2!BV78,'Étape 1 - à remplir'!$O$31:$O$400,CE$3,'Étape 1 - à remplir'!$G$31:$G$400,"lots")),IF(CE$2="Espèce",IF(CE$3="Toutes",SUMIFS('Étape 1 - à remplir'!$F$31:$F$400,'Étape 1 - à remplir'!$E$31:$E$400,MASQ2!BV78,'Étape 1 - à remplir'!$G$31:$G$400,"lots"),SUMIFS('Étape 1 - à remplir'!$F$31:$F$400,'Étape 1 - à remplir'!$E$31:$E$400,MASQ2!BV78,'Étape 1 - à remplir'!$N$31:$N$400,CE$3,'Étape 1 - à remplir'!$G$31:$G$400,"lots"))))))=0,NA(),IF(CE$2="Catégorie",IF(CE$3="Toutes",SUMIFS('Étape 1 - à remplir'!$F$31:$F$400,'Étape 1 - à remplir'!$E$31:$E$400,MASQ2!BV78,'Étape 1 - à remplir'!$G$31:$G$400,"lots"),SUMIFS('Étape 1 - à remplir'!$F$31:$F$400,'Étape 1 - à remplir'!$E$31:$E$400,MASQ2!BV78,'Étape 1 - à remplir'!$C$31:$C$400,CE$3)),IF(CE$2="Âge",IF(CE$3="Tous",SUMIFS('Étape 1 - à remplir'!$F$31:$F$400,'Étape 1 - à remplir'!$E$31:$E$400,MASQ2!BV78,'Étape 1 - à remplir'!$G$31:$G$400,"lots"),SUMIFS('Étape 1 - à remplir'!$F$31:$F$400,'Étape 1 - à remplir'!$E$31:$E$400,MASQ2!BV78,'Étape 1 - à remplir'!$P$31:$P$400,CE$3,'Étape 1 - à remplir'!$G$31:$G$400,"lots")),IF(CE$2="Atelier",IF(CE$3="Tous",SUMIFS('Étape 1 - à remplir'!$F$31:$F$400,'Étape 1 - à remplir'!$E$31:$E$400,MASQ2!BV78,'Étape 1 - à remplir'!$G$31:$G$400,"lots"),SUMIFS('Étape 1 - à remplir'!$F$31:$F$400,'Étape 1 - à remplir'!$E$31:$E$400,MASQ2!BV78,'Étape 1 - à remplir'!$O$31:$O$400,CE$3,'Étape 1 - à remplir'!$G$31:$G$400,"lots")),IF(CE$2="Espèce",IF(CE$3="Toutes",SUMIFS('Étape 1 - à remplir'!$F$31:$F$400,'Étape 1 - à remplir'!$E$31:$E$400,MASQ2!BV78,'Étape 1 - à remplir'!$G$31:$G$400,"lots"),SUMIFS('Étape 1 - à remplir'!$F$31:$F$400,'Étape 1 - à remplir'!$E$31:$E$400,MASQ2!BV78,'Étape 1 - à remplir'!$N$31:$N$400,CE$3,'Étape 1 - à remplir'!$G$31:$G$400,"lots")))))))</f>
        <v>#N/A</v>
      </c>
      <c r="BX78">
        <f t="shared" si="149"/>
        <v>0</v>
      </c>
      <c r="BY78" t="str">
        <f t="shared" si="133"/>
        <v>Valnémuline</v>
      </c>
      <c r="BZ78" t="str">
        <f t="shared" si="134"/>
        <v/>
      </c>
      <c r="CA78" t="str">
        <f t="shared" si="135"/>
        <v/>
      </c>
      <c r="CB78" t="str">
        <f t="shared" si="136"/>
        <v>Pleuromutilines</v>
      </c>
      <c r="CC78" t="str">
        <f t="shared" si="137"/>
        <v/>
      </c>
      <c r="CD78" s="63" t="str">
        <f t="shared" si="138"/>
        <v/>
      </c>
      <c r="CG78" s="42">
        <v>75</v>
      </c>
      <c r="CH78" s="42" t="e">
        <f t="shared" si="80"/>
        <v>#N/A</v>
      </c>
      <c r="CI78" s="63" t="e">
        <f t="shared" si="81"/>
        <v>#N/A</v>
      </c>
      <c r="CK78" s="42">
        <v>2</v>
      </c>
      <c r="CL78" t="str">
        <f t="shared" si="156"/>
        <v/>
      </c>
      <c r="CM78" t="str">
        <f>IF(CL78="","",INDEX('Étape 1 - à remplir'!C$19:$L$28,MATCH(CL78,'Étape 1 - à remplir'!L$19:$L$28,0),1))</f>
        <v/>
      </c>
      <c r="CN78" t="str">
        <f>IF(CL78="","",INDEX('Étape 1 - à remplir'!C$19:$L$28,MATCH(CL78,'Étape 1 - à remplir'!L$19:$L$28,0),2))</f>
        <v/>
      </c>
      <c r="CO78" t="str">
        <f>IF(CL78="","",INDEX('Étape 1 - à remplir'!$C$19:$L$28,MATCH(CL78,'Étape 1 - à remplir'!$L$19:L$28,0),3))</f>
        <v/>
      </c>
      <c r="CP78" t="str">
        <f>IF(CL78="","",INDEX('Étape 1 - à remplir'!$C$19:$J29,MATCH(CL78,'Étape 1 - à remplir'!$L$19:$L$28,0),4))</f>
        <v/>
      </c>
      <c r="CQ78" t="str">
        <f>IF(CL78="","",INDEX('Étape 1 - à remplir'!$C$19:$L29,MATCH(CL78,'Étape 1 - à remplir'!$L$19:$L$28,0),5))</f>
        <v/>
      </c>
      <c r="CR78" t="str">
        <f t="shared" ref="CR78:CR86" si="162">IF(CL78="","",INDEX(BI$4:BK$13,MATCH(CL78,BI$4:BI$13,0),2))</f>
        <v/>
      </c>
      <c r="CS78" s="63" t="str">
        <f t="shared" si="157"/>
        <v/>
      </c>
      <c r="DM78" s="63"/>
      <c r="EA78" s="194" t="str">
        <f t="shared" ca="1" si="139"/>
        <v/>
      </c>
      <c r="EB78" s="226" t="str">
        <f>IFERROR(IF(ED78=0,"",COUNTIF(ED$4:ED$600,"&gt;"&amp;ED78)+COUNTIF(ED$4:ED78,ED78)),"")</f>
        <v/>
      </c>
      <c r="EC78" t="str">
        <f t="shared" si="140"/>
        <v>BIOTILINA 100 MG/G PREMELANGE MEDICAMENTEUX POUR PORCINS ET LAPINS</v>
      </c>
      <c r="ED78" t="e">
        <f>IF(IF(EL$2="Catégorie",IF(EL$3="Toutes",SUMIFS('Étape 1 - à remplir'!$F$31:$F$400,'Étape 1 - à remplir'!$E$31:$E$400,MASQ2!EC78,'Étape 1 - à remplir'!$G$31:$G$400,"kg"),SUMIFS('Étape 1 - à remplir'!$F$31:$F$400,'Étape 1 - à remplir'!$E$31:$E$400,MASQ2!EC78,'Étape 1 - à remplir'!$C$31:$C$400,EL$3)),IF(EL$2="Âge",IF(EL$3="Tous",SUMIFS('Étape 1 - à remplir'!$F$31:$F$400,'Étape 1 - à remplir'!$E$31:$E$400,MASQ2!EC78,'Étape 1 - à remplir'!$G$31:$G$400,"kg"),SUMIFS('Étape 1 - à remplir'!$F$31:$F$400,'Étape 1 - à remplir'!$E$31:$E$400,MASQ2!EC78,'Étape 1 - à remplir'!$P$31:$P$400,EL$3,'Étape 1 - à remplir'!$G$31:$G$400,"kg")),IF(EL$2="Atelier",IF(EL$3="Tous",SUMIFS('Étape 1 - à remplir'!$F$31:$F$400,'Étape 1 - à remplir'!$E$31:$E$400,MASQ2!EC78,'Étape 1 - à remplir'!$G$31:$G$400,"kg"),SUMIFS('Étape 1 - à remplir'!$F$31:$F$400,'Étape 1 - à remplir'!$E$31:$E$400,MASQ2!EC78,'Étape 1 - à remplir'!$O$31:$O$400,EL$3,'Étape 1 - à remplir'!$G$31:$G$400,"kg")),IF(EL$2="Espèce",IF(EL$3="Toutes",SUMIFS('Étape 1 - à remplir'!$F$31:$F$400,'Étape 1 - à remplir'!$E$31:$E$400,MASQ2!EC78,'Étape 1 - à remplir'!$G$31:$G$400,"kg"),SUMIFS('Étape 1 - à remplir'!$F$31:$F$400,'Étape 1 - à remplir'!$E$31:$E$400,MASQ2!EC78,'Étape 1 - à remplir'!$N$31:$N$400,EL$3,'Étape 1 - à remplir'!$G$31:$G$400,"kg"))))))=0,NA(),IF(EL$2="Catégorie",IF(EL$3="Toutes",SUMIFS('Étape 1 - à remplir'!$F$31:$F$400,'Étape 1 - à remplir'!$E$31:$E$400,MASQ2!EC78,'Étape 1 - à remplir'!$G$31:$G$400,"kg"),SUMIFS('Étape 1 - à remplir'!$F$31:$F$400,'Étape 1 - à remplir'!$E$31:$E$400,MASQ2!EC78,'Étape 1 - à remplir'!$C$31:$C$400,EL$3)),IF(EL$2="Âge",IF(EL$3="Tous",SUMIFS('Étape 1 - à remplir'!$F$31:$F$400,'Étape 1 - à remplir'!$E$31:$E$400,MASQ2!EC78,'Étape 1 - à remplir'!$G$31:$G$400,"kg"),SUMIFS('Étape 1 - à remplir'!$F$31:$F$400,'Étape 1 - à remplir'!$E$31:$E$400,MASQ2!EC78,'Étape 1 - à remplir'!$P$31:$P$400,EL$3,'Étape 1 - à remplir'!$G$31:$G$400,"kg")),IF(EL$2="Atelier",IF(EL$3="Tous",SUMIFS('Étape 1 - à remplir'!$F$31:$F$400,'Étape 1 - à remplir'!$E$31:$E$400,MASQ2!EC78,'Étape 1 - à remplir'!$G$31:$G$400,"kg"),SUMIFS('Étape 1 - à remplir'!$F$31:$F$400,'Étape 1 - à remplir'!$E$31:$E$400,MASQ2!EC78,'Étape 1 - à remplir'!$O$31:$O$400,EL$3,'Étape 1 - à remplir'!$G$31:$G$400,"kg")),IF(EL$2="Espèce",IF(EL$3="Toutes",SUMIFS('Étape 1 - à remplir'!$F$31:$F$400,'Étape 1 - à remplir'!$E$31:$E$400,MASQ2!EC78,'Étape 1 - à remplir'!$G$31:$G$400,"kg"),SUMIFS('Étape 1 - à remplir'!$F$31:$F$400,'Étape 1 - à remplir'!$E$31:$E$400,MASQ2!EC78,'Étape 1 - à remplir'!$N$31:$N$400,EL$3,'Étape 1 - à remplir'!$G$31:$G$400,"kg")))))))</f>
        <v>#N/A</v>
      </c>
      <c r="EE78" s="76">
        <f t="shared" si="150"/>
        <v>0</v>
      </c>
      <c r="EF78" t="str">
        <f t="shared" si="141"/>
        <v>Valnémuline</v>
      </c>
      <c r="EG78" t="str">
        <f t="shared" si="142"/>
        <v/>
      </c>
      <c r="EH78" t="str">
        <f t="shared" si="143"/>
        <v/>
      </c>
      <c r="EI78" t="str">
        <f t="shared" si="144"/>
        <v>Pleuromutilines</v>
      </c>
      <c r="EJ78" t="str">
        <f t="shared" si="145"/>
        <v/>
      </c>
      <c r="EK78" s="63" t="str">
        <f t="shared" si="146"/>
        <v/>
      </c>
      <c r="EN78" s="42">
        <v>75</v>
      </c>
      <c r="EO78" t="e">
        <f t="shared" si="152"/>
        <v>#N/A</v>
      </c>
      <c r="EP78" s="63" t="e">
        <f t="shared" si="153"/>
        <v>#N/A</v>
      </c>
      <c r="ER78" s="42">
        <v>2</v>
      </c>
      <c r="ES78" t="str">
        <f t="shared" si="158"/>
        <v/>
      </c>
      <c r="ET78" t="str">
        <f>IF(ES78="","",INDEX('Étape 1 - à remplir'!C$19:$L29,MATCH(ES78,'Étape 1 - à remplir'!L$19:$L29,0),1))</f>
        <v/>
      </c>
      <c r="EU78" t="str">
        <f>IF(ES78="","",INDEX('Étape 1 - à remplir'!C$19:$L29,MATCH(ES78,'Étape 1 - à remplir'!L$19:$L29,0),2))</f>
        <v/>
      </c>
      <c r="EV78" t="str">
        <f>IF(ES78="","",INDEX('Étape 1 - à remplir'!C$19:$L29,MATCH(ES78,'Étape 1 - à remplir'!L$19:$L29,0),3))</f>
        <v/>
      </c>
      <c r="EW78" t="str">
        <f>IF(ES78="","",INDEX('Étape 1 - à remplir'!C$19:$L29,MATCH(ES78,'Étape 1 - à remplir'!L$19:$L29,0),4))</f>
        <v/>
      </c>
      <c r="EX78" t="str">
        <f>IF(ES78="","",INDEX('Étape 1 - à remplir'!C$19:$L29,MATCH(ES78,'Étape 1 - à remplir'!L$19:$L29,0),5))</f>
        <v/>
      </c>
      <c r="EY78" t="str">
        <f t="shared" si="159"/>
        <v/>
      </c>
      <c r="EZ78" s="63" t="str">
        <f t="shared" si="160"/>
        <v/>
      </c>
      <c r="FT78" s="63"/>
    </row>
    <row r="79" spans="2:176" x14ac:dyDescent="0.3">
      <c r="B79" s="42"/>
      <c r="M79" s="194" t="str">
        <f ca="1">INDEX(Données_ATB!BD:BU,MATCH(MASQ2!O79,Données_ATB!BD:BD,0),18)</f>
        <v/>
      </c>
      <c r="N79" s="14" t="str">
        <f>IFERROR(IF(Q79=0,"",COUNTIF(Q$4:Q$600,"&gt;"&amp;Q79)+COUNTIF(Q$4:Q79,Q79)),"")</f>
        <v/>
      </c>
      <c r="O79" t="str">
        <f>Données_ATB!BD78</f>
        <v>BIOTORNIS</v>
      </c>
      <c r="P79" t="e">
        <f>IF(IF(X$2="Catégorie",IF(X$3="Toutes",SUMIFS('Étape 1 - à remplir'!$F$31:$F$400,'Étape 1 - à remplir'!$E$31:$E$400,MASQ2!O79,'Étape 1 - à remplir'!$G$31:$G$400,"animaux"),SUMIFS('Étape 1 - à remplir'!$F$31:$F$400,'Étape 1 - à remplir'!$E$31:$E$400,MASQ2!O79,'Étape 1 - à remplir'!$C$31:$C$400,X$3)),IF(X$2="Âge",IF(X$3="Tous",SUMIFS('Étape 1 - à remplir'!$F$31:$F$400,'Étape 1 - à remplir'!$E$31:$E$400,MASQ2!O79,'Étape 1 - à remplir'!$G$31:$G$400,"animaux"),SUMIFS('Étape 1 - à remplir'!$F$31:$F$400,'Étape 1 - à remplir'!$E$31:$E$400,MASQ2!O79,'Étape 1 - à remplir'!$P$31:$P$400,X$3)),IF(X$2="Atelier",IF(X$3="Tous",SUMIFS('Étape 1 - à remplir'!$F$31:$F$400,'Étape 1 - à remplir'!$E$31:$E$400,MASQ2!O79,'Étape 1 - à remplir'!$G$31:$G$400,"animaux"),SUMIFS('Étape 1 - à remplir'!$F$31:$F$400,'Étape 1 - à remplir'!$E$31:$E$400,MASQ2!O79,'Étape 1 - à remplir'!$O$31:$O$400,X$3)),IF(X$2="Espèce",IF(X$3="Toutes",SUMIFS('Étape 1 - à remplir'!$F$31:$F$400,'Étape 1 - à remplir'!$E$31:$E$400,MASQ2!O79,'Étape 1 - à remplir'!$G$31:$G$400,"animaux"),SUMIFS('Étape 1 - à remplir'!$F$31:$F$400,'Étape 1 - à remplir'!$E$31:$E$400,MASQ2!O79,'Étape 1 - à remplir'!$N$31:$N$400,X$3))))))=0,NA(),IF(X$2="Catégorie",IF(X$3="Toutes",SUMIFS('Étape 1 - à remplir'!$F$31:$F$400,'Étape 1 - à remplir'!$E$31:$E$400,MASQ2!O79,'Étape 1 - à remplir'!$G$31:$G$400,"animaux"),SUMIFS('Étape 1 - à remplir'!$F$31:$F$400,'Étape 1 - à remplir'!$E$31:$E$400,MASQ2!O79,'Étape 1 - à remplir'!$C$31:$C$400,X$3)),IF(X$2="Âge",IF(X$3="Tous",SUMIFS('Étape 1 - à remplir'!$F$31:$F$400,'Étape 1 - à remplir'!$E$31:$E$400,MASQ2!O79,'Étape 1 - à remplir'!$G$31:$G$400,"animaux"),SUMIFS('Étape 1 - à remplir'!$F$31:$F$400,'Étape 1 - à remplir'!$E$31:$E$400,MASQ2!O79,'Étape 1 - à remplir'!$P$31:$P$400,X$3)),IF(X$2="Atelier",IF(X$3="Tous",SUMIFS('Étape 1 - à remplir'!$F$31:$F$400,'Étape 1 - à remplir'!$E$31:$E$400,MASQ2!O79,'Étape 1 - à remplir'!$G$31:$G$400,"animaux"),SUMIFS('Étape 1 - à remplir'!$F$31:$F$400,'Étape 1 - à remplir'!$E$31:$E$400,MASQ2!O79,'Étape 1 - à remplir'!$O$31:$O$400,X$3)),IF(X$2="Espèce",IF(X$3="Toutes",SUMIFS('Étape 1 - à remplir'!$F$31:$F$400,'Étape 1 - à remplir'!$E$31:$E$400,MASQ2!O79,'Étape 1 - à remplir'!$G$31:$G$400,"animaux"),SUMIFS('Étape 1 - à remplir'!$F$31:$F$400,'Étape 1 - à remplir'!$E$31:$E$400,MASQ2!O79,'Étape 1 - à remplir'!$N$31:$N$400,X$3)))))))</f>
        <v>#N/A</v>
      </c>
      <c r="Q79" s="63">
        <f t="shared" si="151"/>
        <v>0</v>
      </c>
      <c r="R79" t="str">
        <f>Données_ATB!BM78</f>
        <v>Amoxicilline</v>
      </c>
      <c r="S79" t="str">
        <f>Données_ATB!BN78</f>
        <v/>
      </c>
      <c r="T79" s="63" t="str">
        <f>Données_ATB!BO78</f>
        <v/>
      </c>
      <c r="U79" s="42" t="str">
        <f>Données_ATB!BQ78</f>
        <v>Penicillines</v>
      </c>
      <c r="V79" t="str">
        <f>Données_ATB!BR78</f>
        <v/>
      </c>
      <c r="W79" s="63" t="str">
        <f>Données_ATB!BS78</f>
        <v/>
      </c>
      <c r="Z79" s="42">
        <v>76</v>
      </c>
      <c r="AA79" t="e">
        <f t="shared" si="147"/>
        <v>#N/A</v>
      </c>
      <c r="AB79" s="63" t="e">
        <f t="shared" si="148"/>
        <v>#N/A</v>
      </c>
      <c r="AD79" s="42">
        <v>3</v>
      </c>
      <c r="AE79" t="str">
        <f t="shared" si="154"/>
        <v/>
      </c>
      <c r="AF79" t="str">
        <f>IF(AE79="","",INDEX('Étape 1 - à remplir'!C$19:$L30,MATCH(AE79,'Étape 1 - à remplir'!L$19:$L$28,0),1))</f>
        <v/>
      </c>
      <c r="AG79" t="str">
        <f>IF(AE79="","",INDEX('Étape 1 - à remplir'!C$19:$L30,MATCH(AE79,'Étape 1 - à remplir'!L$19:$L$28,0),2))</f>
        <v/>
      </c>
      <c r="AH79" t="str">
        <f>IF(AE79="","",INDEX('Étape 1 - à remplir'!C$19:$L30,MATCH(AE79,'Étape 1 - à remplir'!L$19:$L$28,0),3))</f>
        <v/>
      </c>
      <c r="AI79" t="str">
        <f>IF(AE79="","",INDEX('Étape 1 - à remplir'!C$19:$L30,MATCH(AE79,'Étape 1 - à remplir'!L$19:$L$28,0),4))</f>
        <v/>
      </c>
      <c r="AJ79" t="str">
        <f>IF(AE79="","",INDEX('Étape 1 - à remplir'!C$19:$L30,MATCH(AE79,'Étape 1 - à remplir'!L$19:$L$28,0),5))</f>
        <v/>
      </c>
      <c r="AK79" t="str">
        <f t="shared" si="161"/>
        <v/>
      </c>
      <c r="AL79" s="63" t="str">
        <f t="shared" si="155"/>
        <v/>
      </c>
      <c r="BF79" s="63"/>
      <c r="BT79" s="194" t="str">
        <f t="shared" ca="1" si="131"/>
        <v/>
      </c>
      <c r="BU79" s="219" t="str">
        <f>IFERROR(IF(BX79=0,"",COUNTIF(BX$4:BX$600,"&gt;"&amp;BX79)+COUNTIF(BX$4:BX79,BX79)),"")</f>
        <v/>
      </c>
      <c r="BV79" s="42" t="str">
        <f t="shared" si="132"/>
        <v>BIOTORNIS</v>
      </c>
      <c r="BW79" t="e">
        <f>IF(IF(CE$2="Catégorie",IF(CE$3="Toutes",SUMIFS('Étape 1 - à remplir'!$F$31:$F$400,'Étape 1 - à remplir'!$E$31:$E$400,MASQ2!BV79,'Étape 1 - à remplir'!$G$31:$G$400,"lots"),SUMIFS('Étape 1 - à remplir'!$F$31:$F$400,'Étape 1 - à remplir'!$E$31:$E$400,MASQ2!BV79,'Étape 1 - à remplir'!$C$31:$C$400,CE$3)),IF(CE$2="Âge",IF(CE$3="Tous",SUMIFS('Étape 1 - à remplir'!$F$31:$F$400,'Étape 1 - à remplir'!$E$31:$E$400,MASQ2!BV79,'Étape 1 - à remplir'!$G$31:$G$400,"lots"),SUMIFS('Étape 1 - à remplir'!$F$31:$F$400,'Étape 1 - à remplir'!$E$31:$E$400,MASQ2!BV79,'Étape 1 - à remplir'!$P$31:$P$400,CE$3,'Étape 1 - à remplir'!$G$31:$G$400,"lots")),IF(CE$2="Atelier",IF(CE$3="Tous",SUMIFS('Étape 1 - à remplir'!$F$31:$F$400,'Étape 1 - à remplir'!$E$31:$E$400,MASQ2!BV79,'Étape 1 - à remplir'!$G$31:$G$400,"lots"),SUMIFS('Étape 1 - à remplir'!$F$31:$F$400,'Étape 1 - à remplir'!$E$31:$E$400,MASQ2!BV79,'Étape 1 - à remplir'!$O$31:$O$400,CE$3,'Étape 1 - à remplir'!$G$31:$G$400,"lots")),IF(CE$2="Espèce",IF(CE$3="Toutes",SUMIFS('Étape 1 - à remplir'!$F$31:$F$400,'Étape 1 - à remplir'!$E$31:$E$400,MASQ2!BV79,'Étape 1 - à remplir'!$G$31:$G$400,"lots"),SUMIFS('Étape 1 - à remplir'!$F$31:$F$400,'Étape 1 - à remplir'!$E$31:$E$400,MASQ2!BV79,'Étape 1 - à remplir'!$N$31:$N$400,CE$3,'Étape 1 - à remplir'!$G$31:$G$400,"lots"))))))=0,NA(),IF(CE$2="Catégorie",IF(CE$3="Toutes",SUMIFS('Étape 1 - à remplir'!$F$31:$F$400,'Étape 1 - à remplir'!$E$31:$E$400,MASQ2!BV79,'Étape 1 - à remplir'!$G$31:$G$400,"lots"),SUMIFS('Étape 1 - à remplir'!$F$31:$F$400,'Étape 1 - à remplir'!$E$31:$E$400,MASQ2!BV79,'Étape 1 - à remplir'!$C$31:$C$400,CE$3)),IF(CE$2="Âge",IF(CE$3="Tous",SUMIFS('Étape 1 - à remplir'!$F$31:$F$400,'Étape 1 - à remplir'!$E$31:$E$400,MASQ2!BV79,'Étape 1 - à remplir'!$G$31:$G$400,"lots"),SUMIFS('Étape 1 - à remplir'!$F$31:$F$400,'Étape 1 - à remplir'!$E$31:$E$400,MASQ2!BV79,'Étape 1 - à remplir'!$P$31:$P$400,CE$3,'Étape 1 - à remplir'!$G$31:$G$400,"lots")),IF(CE$2="Atelier",IF(CE$3="Tous",SUMIFS('Étape 1 - à remplir'!$F$31:$F$400,'Étape 1 - à remplir'!$E$31:$E$400,MASQ2!BV79,'Étape 1 - à remplir'!$G$31:$G$400,"lots"),SUMIFS('Étape 1 - à remplir'!$F$31:$F$400,'Étape 1 - à remplir'!$E$31:$E$400,MASQ2!BV79,'Étape 1 - à remplir'!$O$31:$O$400,CE$3,'Étape 1 - à remplir'!$G$31:$G$400,"lots")),IF(CE$2="Espèce",IF(CE$3="Toutes",SUMIFS('Étape 1 - à remplir'!$F$31:$F$400,'Étape 1 - à remplir'!$E$31:$E$400,MASQ2!BV79,'Étape 1 - à remplir'!$G$31:$G$400,"lots"),SUMIFS('Étape 1 - à remplir'!$F$31:$F$400,'Étape 1 - à remplir'!$E$31:$E$400,MASQ2!BV79,'Étape 1 - à remplir'!$N$31:$N$400,CE$3,'Étape 1 - à remplir'!$G$31:$G$400,"lots")))))))</f>
        <v>#N/A</v>
      </c>
      <c r="BX79">
        <f t="shared" si="149"/>
        <v>0</v>
      </c>
      <c r="BY79" t="str">
        <f t="shared" si="133"/>
        <v>Amoxicilline</v>
      </c>
      <c r="BZ79" t="str">
        <f t="shared" si="134"/>
        <v/>
      </c>
      <c r="CA79" t="str">
        <f t="shared" si="135"/>
        <v/>
      </c>
      <c r="CB79" t="str">
        <f t="shared" si="136"/>
        <v>Penicillines</v>
      </c>
      <c r="CC79" t="str">
        <f t="shared" si="137"/>
        <v/>
      </c>
      <c r="CD79" s="63" t="str">
        <f t="shared" si="138"/>
        <v/>
      </c>
      <c r="CG79" s="42">
        <v>76</v>
      </c>
      <c r="CH79" s="42" t="e">
        <f t="shared" si="80"/>
        <v>#N/A</v>
      </c>
      <c r="CI79" s="63" t="e">
        <f t="shared" si="81"/>
        <v>#N/A</v>
      </c>
      <c r="CK79" s="42">
        <v>3</v>
      </c>
      <c r="CL79" t="str">
        <f t="shared" si="156"/>
        <v/>
      </c>
      <c r="CM79" t="str">
        <f>IF(CL79="","",INDEX('Étape 1 - à remplir'!C$19:$L$28,MATCH(CL79,'Étape 1 - à remplir'!L$19:$L$28,0),1))</f>
        <v/>
      </c>
      <c r="CN79" t="str">
        <f>IF(CL79="","",INDEX('Étape 1 - à remplir'!C$19:$L$28,MATCH(CL79,'Étape 1 - à remplir'!L$19:$L$28,0),2))</f>
        <v/>
      </c>
      <c r="CO79" t="str">
        <f>IF(CL79="","",INDEX('Étape 1 - à remplir'!$C$19:$L$28,MATCH(CL79,'Étape 1 - à remplir'!$L$19:L$28,0),3))</f>
        <v/>
      </c>
      <c r="CP79" t="str">
        <f>IF(CL79="","",INDEX('Étape 1 - à remplir'!$C$19:$J30,MATCH(CL79,'Étape 1 - à remplir'!$L$19:$L$28,0),4))</f>
        <v/>
      </c>
      <c r="CQ79" t="str">
        <f>IF(CL79="","",INDEX('Étape 1 - à remplir'!$C$19:$L30,MATCH(CL79,'Étape 1 - à remplir'!$L$19:$L$28,0),5))</f>
        <v/>
      </c>
      <c r="CR79" t="str">
        <f t="shared" si="162"/>
        <v/>
      </c>
      <c r="CS79" s="63" t="str">
        <f t="shared" si="157"/>
        <v/>
      </c>
      <c r="DM79" s="63"/>
      <c r="EA79" s="194" t="str">
        <f t="shared" ca="1" si="139"/>
        <v/>
      </c>
      <c r="EB79" s="226" t="str">
        <f>IFERROR(IF(ED79=0,"",COUNTIF(ED$4:ED$600,"&gt;"&amp;ED79)+COUNTIF(ED$4:ED79,ED79)),"")</f>
        <v/>
      </c>
      <c r="EC79" t="str">
        <f t="shared" si="140"/>
        <v>BIOTORNIS</v>
      </c>
      <c r="ED79" t="e">
        <f>IF(IF(EL$2="Catégorie",IF(EL$3="Toutes",SUMIFS('Étape 1 - à remplir'!$F$31:$F$400,'Étape 1 - à remplir'!$E$31:$E$400,MASQ2!EC79,'Étape 1 - à remplir'!$G$31:$G$400,"kg"),SUMIFS('Étape 1 - à remplir'!$F$31:$F$400,'Étape 1 - à remplir'!$E$31:$E$400,MASQ2!EC79,'Étape 1 - à remplir'!$C$31:$C$400,EL$3)),IF(EL$2="Âge",IF(EL$3="Tous",SUMIFS('Étape 1 - à remplir'!$F$31:$F$400,'Étape 1 - à remplir'!$E$31:$E$400,MASQ2!EC79,'Étape 1 - à remplir'!$G$31:$G$400,"kg"),SUMIFS('Étape 1 - à remplir'!$F$31:$F$400,'Étape 1 - à remplir'!$E$31:$E$400,MASQ2!EC79,'Étape 1 - à remplir'!$P$31:$P$400,EL$3,'Étape 1 - à remplir'!$G$31:$G$400,"kg")),IF(EL$2="Atelier",IF(EL$3="Tous",SUMIFS('Étape 1 - à remplir'!$F$31:$F$400,'Étape 1 - à remplir'!$E$31:$E$400,MASQ2!EC79,'Étape 1 - à remplir'!$G$31:$G$400,"kg"),SUMIFS('Étape 1 - à remplir'!$F$31:$F$400,'Étape 1 - à remplir'!$E$31:$E$400,MASQ2!EC79,'Étape 1 - à remplir'!$O$31:$O$400,EL$3,'Étape 1 - à remplir'!$G$31:$G$400,"kg")),IF(EL$2="Espèce",IF(EL$3="Toutes",SUMIFS('Étape 1 - à remplir'!$F$31:$F$400,'Étape 1 - à remplir'!$E$31:$E$400,MASQ2!EC79,'Étape 1 - à remplir'!$G$31:$G$400,"kg"),SUMIFS('Étape 1 - à remplir'!$F$31:$F$400,'Étape 1 - à remplir'!$E$31:$E$400,MASQ2!EC79,'Étape 1 - à remplir'!$N$31:$N$400,EL$3,'Étape 1 - à remplir'!$G$31:$G$400,"kg"))))))=0,NA(),IF(EL$2="Catégorie",IF(EL$3="Toutes",SUMIFS('Étape 1 - à remplir'!$F$31:$F$400,'Étape 1 - à remplir'!$E$31:$E$400,MASQ2!EC79,'Étape 1 - à remplir'!$G$31:$G$400,"kg"),SUMIFS('Étape 1 - à remplir'!$F$31:$F$400,'Étape 1 - à remplir'!$E$31:$E$400,MASQ2!EC79,'Étape 1 - à remplir'!$C$31:$C$400,EL$3)),IF(EL$2="Âge",IF(EL$3="Tous",SUMIFS('Étape 1 - à remplir'!$F$31:$F$400,'Étape 1 - à remplir'!$E$31:$E$400,MASQ2!EC79,'Étape 1 - à remplir'!$G$31:$G$400,"kg"),SUMIFS('Étape 1 - à remplir'!$F$31:$F$400,'Étape 1 - à remplir'!$E$31:$E$400,MASQ2!EC79,'Étape 1 - à remplir'!$P$31:$P$400,EL$3,'Étape 1 - à remplir'!$G$31:$G$400,"kg")),IF(EL$2="Atelier",IF(EL$3="Tous",SUMIFS('Étape 1 - à remplir'!$F$31:$F$400,'Étape 1 - à remplir'!$E$31:$E$400,MASQ2!EC79,'Étape 1 - à remplir'!$G$31:$G$400,"kg"),SUMIFS('Étape 1 - à remplir'!$F$31:$F$400,'Étape 1 - à remplir'!$E$31:$E$400,MASQ2!EC79,'Étape 1 - à remplir'!$O$31:$O$400,EL$3,'Étape 1 - à remplir'!$G$31:$G$400,"kg")),IF(EL$2="Espèce",IF(EL$3="Toutes",SUMIFS('Étape 1 - à remplir'!$F$31:$F$400,'Étape 1 - à remplir'!$E$31:$E$400,MASQ2!EC79,'Étape 1 - à remplir'!$G$31:$G$400,"kg"),SUMIFS('Étape 1 - à remplir'!$F$31:$F$400,'Étape 1 - à remplir'!$E$31:$E$400,MASQ2!EC79,'Étape 1 - à remplir'!$N$31:$N$400,EL$3,'Étape 1 - à remplir'!$G$31:$G$400,"kg")))))))</f>
        <v>#N/A</v>
      </c>
      <c r="EE79" s="76">
        <f t="shared" si="150"/>
        <v>0</v>
      </c>
      <c r="EF79" t="str">
        <f t="shared" si="141"/>
        <v>Amoxicilline</v>
      </c>
      <c r="EG79" t="str">
        <f t="shared" si="142"/>
        <v/>
      </c>
      <c r="EH79" t="str">
        <f t="shared" si="143"/>
        <v/>
      </c>
      <c r="EI79" t="str">
        <f t="shared" si="144"/>
        <v>Penicillines</v>
      </c>
      <c r="EJ79" t="str">
        <f t="shared" si="145"/>
        <v/>
      </c>
      <c r="EK79" s="63" t="str">
        <f t="shared" si="146"/>
        <v/>
      </c>
      <c r="EN79" s="42">
        <v>76</v>
      </c>
      <c r="EO79" t="e">
        <f t="shared" si="152"/>
        <v>#N/A</v>
      </c>
      <c r="EP79" s="63" t="e">
        <f t="shared" si="153"/>
        <v>#N/A</v>
      </c>
      <c r="ER79" s="42">
        <v>3</v>
      </c>
      <c r="ES79" t="str">
        <f t="shared" si="158"/>
        <v/>
      </c>
      <c r="ET79" t="str">
        <f>IF(ES79="","",INDEX('Étape 1 - à remplir'!C$19:$L30,MATCH(ES79,'Étape 1 - à remplir'!L$19:$L30,0),1))</f>
        <v/>
      </c>
      <c r="EU79" t="str">
        <f>IF(ES79="","",INDEX('Étape 1 - à remplir'!C$19:$L30,MATCH(ES79,'Étape 1 - à remplir'!L$19:$L30,0),2))</f>
        <v/>
      </c>
      <c r="EV79" t="str">
        <f>IF(ES79="","",INDEX('Étape 1 - à remplir'!C$19:$L30,MATCH(ES79,'Étape 1 - à remplir'!L$19:$L30,0),3))</f>
        <v/>
      </c>
      <c r="EW79" t="str">
        <f>IF(ES79="","",INDEX('Étape 1 - à remplir'!C$19:$L30,MATCH(ES79,'Étape 1 - à remplir'!L$19:$L30,0),4))</f>
        <v/>
      </c>
      <c r="EX79" t="str">
        <f>IF(ES79="","",INDEX('Étape 1 - à remplir'!C$19:$L30,MATCH(ES79,'Étape 1 - à remplir'!L$19:$L30,0),5))</f>
        <v/>
      </c>
      <c r="EY79" t="str">
        <f t="shared" si="159"/>
        <v/>
      </c>
      <c r="EZ79" s="63" t="str">
        <f t="shared" si="160"/>
        <v/>
      </c>
      <c r="FT79" s="63"/>
    </row>
    <row r="80" spans="2:176" x14ac:dyDescent="0.3">
      <c r="B80" s="42"/>
      <c r="M80" s="194" t="str">
        <f ca="1">INDEX(Données_ATB!BD:BU,MATCH(MASQ2!O80,Données_ATB!BD:BD,0),18)</f>
        <v/>
      </c>
      <c r="N80" s="14" t="str">
        <f>IFERROR(IF(Q80=0,"",COUNTIF(Q$4:Q$600,"&gt;"&amp;Q80)+COUNTIF(Q$4:Q80,Q80)),"")</f>
        <v/>
      </c>
      <c r="O80" t="str">
        <f>Données_ATB!BD79</f>
        <v>BORGAL 24 %</v>
      </c>
      <c r="P80" t="e">
        <f>IF(IF(X$2="Catégorie",IF(X$3="Toutes",SUMIFS('Étape 1 - à remplir'!$F$31:$F$400,'Étape 1 - à remplir'!$E$31:$E$400,MASQ2!O80,'Étape 1 - à remplir'!$G$31:$G$400,"animaux"),SUMIFS('Étape 1 - à remplir'!$F$31:$F$400,'Étape 1 - à remplir'!$E$31:$E$400,MASQ2!O80,'Étape 1 - à remplir'!$C$31:$C$400,X$3)),IF(X$2="Âge",IF(X$3="Tous",SUMIFS('Étape 1 - à remplir'!$F$31:$F$400,'Étape 1 - à remplir'!$E$31:$E$400,MASQ2!O80,'Étape 1 - à remplir'!$G$31:$G$400,"animaux"),SUMIFS('Étape 1 - à remplir'!$F$31:$F$400,'Étape 1 - à remplir'!$E$31:$E$400,MASQ2!O80,'Étape 1 - à remplir'!$P$31:$P$400,X$3)),IF(X$2="Atelier",IF(X$3="Tous",SUMIFS('Étape 1 - à remplir'!$F$31:$F$400,'Étape 1 - à remplir'!$E$31:$E$400,MASQ2!O80,'Étape 1 - à remplir'!$G$31:$G$400,"animaux"),SUMIFS('Étape 1 - à remplir'!$F$31:$F$400,'Étape 1 - à remplir'!$E$31:$E$400,MASQ2!O80,'Étape 1 - à remplir'!$O$31:$O$400,X$3)),IF(X$2="Espèce",IF(X$3="Toutes",SUMIFS('Étape 1 - à remplir'!$F$31:$F$400,'Étape 1 - à remplir'!$E$31:$E$400,MASQ2!O80,'Étape 1 - à remplir'!$G$31:$G$400,"animaux"),SUMIFS('Étape 1 - à remplir'!$F$31:$F$400,'Étape 1 - à remplir'!$E$31:$E$400,MASQ2!O80,'Étape 1 - à remplir'!$N$31:$N$400,X$3))))))=0,NA(),IF(X$2="Catégorie",IF(X$3="Toutes",SUMIFS('Étape 1 - à remplir'!$F$31:$F$400,'Étape 1 - à remplir'!$E$31:$E$400,MASQ2!O80,'Étape 1 - à remplir'!$G$31:$G$400,"animaux"),SUMIFS('Étape 1 - à remplir'!$F$31:$F$400,'Étape 1 - à remplir'!$E$31:$E$400,MASQ2!O80,'Étape 1 - à remplir'!$C$31:$C$400,X$3)),IF(X$2="Âge",IF(X$3="Tous",SUMIFS('Étape 1 - à remplir'!$F$31:$F$400,'Étape 1 - à remplir'!$E$31:$E$400,MASQ2!O80,'Étape 1 - à remplir'!$G$31:$G$400,"animaux"),SUMIFS('Étape 1 - à remplir'!$F$31:$F$400,'Étape 1 - à remplir'!$E$31:$E$400,MASQ2!O80,'Étape 1 - à remplir'!$P$31:$P$400,X$3)),IF(X$2="Atelier",IF(X$3="Tous",SUMIFS('Étape 1 - à remplir'!$F$31:$F$400,'Étape 1 - à remplir'!$E$31:$E$400,MASQ2!O80,'Étape 1 - à remplir'!$G$31:$G$400,"animaux"),SUMIFS('Étape 1 - à remplir'!$F$31:$F$400,'Étape 1 - à remplir'!$E$31:$E$400,MASQ2!O80,'Étape 1 - à remplir'!$O$31:$O$400,X$3)),IF(X$2="Espèce",IF(X$3="Toutes",SUMIFS('Étape 1 - à remplir'!$F$31:$F$400,'Étape 1 - à remplir'!$E$31:$E$400,MASQ2!O80,'Étape 1 - à remplir'!$G$31:$G$400,"animaux"),SUMIFS('Étape 1 - à remplir'!$F$31:$F$400,'Étape 1 - à remplir'!$E$31:$E$400,MASQ2!O80,'Étape 1 - à remplir'!$N$31:$N$400,X$3)))))))</f>
        <v>#N/A</v>
      </c>
      <c r="Q80" s="63">
        <f t="shared" si="151"/>
        <v>0</v>
      </c>
      <c r="R80" t="str">
        <f>Données_ATB!BM79</f>
        <v>Sulfadoxine</v>
      </c>
      <c r="S80" t="str">
        <f>Données_ATB!BN79</f>
        <v>Triméthoprime</v>
      </c>
      <c r="T80" s="63" t="str">
        <f>Données_ATB!BO79</f>
        <v/>
      </c>
      <c r="U80" s="42" t="str">
        <f>Données_ATB!BQ79</f>
        <v>Sulfamides</v>
      </c>
      <c r="V80" t="str">
        <f>Données_ATB!BR79</f>
        <v>Trimethoprime</v>
      </c>
      <c r="W80" s="63" t="str">
        <f>Données_ATB!BS79</f>
        <v/>
      </c>
      <c r="Z80" s="42">
        <v>77</v>
      </c>
      <c r="AA80" t="e">
        <f t="shared" si="147"/>
        <v>#N/A</v>
      </c>
      <c r="AB80" s="63" t="e">
        <f t="shared" si="148"/>
        <v>#N/A</v>
      </c>
      <c r="AD80" s="42">
        <v>4</v>
      </c>
      <c r="AE80" t="str">
        <f t="shared" si="154"/>
        <v/>
      </c>
      <c r="AF80" t="str">
        <f>IF(AE80="","",INDEX('Étape 1 - à remplir'!C$19:$L31,MATCH(AE80,'Étape 1 - à remplir'!L$19:$L$28,0),1))</f>
        <v/>
      </c>
      <c r="AG80" t="str">
        <f>IF(AE80="","",INDEX('Étape 1 - à remplir'!C$19:$L31,MATCH(AE80,'Étape 1 - à remplir'!L$19:$L$28,0),2))</f>
        <v/>
      </c>
      <c r="AH80" t="str">
        <f>IF(AE80="","",INDEX('Étape 1 - à remplir'!C$19:$L31,MATCH(AE80,'Étape 1 - à remplir'!L$19:$L$28,0),3))</f>
        <v/>
      </c>
      <c r="AI80" t="str">
        <f>IF(AE80="","",INDEX('Étape 1 - à remplir'!C$19:$L31,MATCH(AE80,'Étape 1 - à remplir'!L$19:$L$28,0),4))</f>
        <v/>
      </c>
      <c r="AJ80" t="str">
        <f>IF(AE80="","",INDEX('Étape 1 - à remplir'!C$19:$L31,MATCH(AE80,'Étape 1 - à remplir'!L$19:$L$28,0),5))</f>
        <v/>
      </c>
      <c r="AK80" t="str">
        <f t="shared" si="161"/>
        <v/>
      </c>
      <c r="AL80" s="63" t="str">
        <f t="shared" si="155"/>
        <v/>
      </c>
      <c r="BF80" s="63"/>
      <c r="BT80" s="194" t="str">
        <f t="shared" ca="1" si="131"/>
        <v/>
      </c>
      <c r="BU80" s="219" t="str">
        <f>IFERROR(IF(BX80=0,"",COUNTIF(BX$4:BX$600,"&gt;"&amp;BX80)+COUNTIF(BX$4:BX80,BX80)),"")</f>
        <v/>
      </c>
      <c r="BV80" s="42" t="str">
        <f t="shared" si="132"/>
        <v>BORGAL 24 %</v>
      </c>
      <c r="BW80" t="e">
        <f>IF(IF(CE$2="Catégorie",IF(CE$3="Toutes",SUMIFS('Étape 1 - à remplir'!$F$31:$F$400,'Étape 1 - à remplir'!$E$31:$E$400,MASQ2!BV80,'Étape 1 - à remplir'!$G$31:$G$400,"lots"),SUMIFS('Étape 1 - à remplir'!$F$31:$F$400,'Étape 1 - à remplir'!$E$31:$E$400,MASQ2!BV80,'Étape 1 - à remplir'!$C$31:$C$400,CE$3)),IF(CE$2="Âge",IF(CE$3="Tous",SUMIFS('Étape 1 - à remplir'!$F$31:$F$400,'Étape 1 - à remplir'!$E$31:$E$400,MASQ2!BV80,'Étape 1 - à remplir'!$G$31:$G$400,"lots"),SUMIFS('Étape 1 - à remplir'!$F$31:$F$400,'Étape 1 - à remplir'!$E$31:$E$400,MASQ2!BV80,'Étape 1 - à remplir'!$P$31:$P$400,CE$3,'Étape 1 - à remplir'!$G$31:$G$400,"lots")),IF(CE$2="Atelier",IF(CE$3="Tous",SUMIFS('Étape 1 - à remplir'!$F$31:$F$400,'Étape 1 - à remplir'!$E$31:$E$400,MASQ2!BV80,'Étape 1 - à remplir'!$G$31:$G$400,"lots"),SUMIFS('Étape 1 - à remplir'!$F$31:$F$400,'Étape 1 - à remplir'!$E$31:$E$400,MASQ2!BV80,'Étape 1 - à remplir'!$O$31:$O$400,CE$3,'Étape 1 - à remplir'!$G$31:$G$400,"lots")),IF(CE$2="Espèce",IF(CE$3="Toutes",SUMIFS('Étape 1 - à remplir'!$F$31:$F$400,'Étape 1 - à remplir'!$E$31:$E$400,MASQ2!BV80,'Étape 1 - à remplir'!$G$31:$G$400,"lots"),SUMIFS('Étape 1 - à remplir'!$F$31:$F$400,'Étape 1 - à remplir'!$E$31:$E$400,MASQ2!BV80,'Étape 1 - à remplir'!$N$31:$N$400,CE$3,'Étape 1 - à remplir'!$G$31:$G$400,"lots"))))))=0,NA(),IF(CE$2="Catégorie",IF(CE$3="Toutes",SUMIFS('Étape 1 - à remplir'!$F$31:$F$400,'Étape 1 - à remplir'!$E$31:$E$400,MASQ2!BV80,'Étape 1 - à remplir'!$G$31:$G$400,"lots"),SUMIFS('Étape 1 - à remplir'!$F$31:$F$400,'Étape 1 - à remplir'!$E$31:$E$400,MASQ2!BV80,'Étape 1 - à remplir'!$C$31:$C$400,CE$3)),IF(CE$2="Âge",IF(CE$3="Tous",SUMIFS('Étape 1 - à remplir'!$F$31:$F$400,'Étape 1 - à remplir'!$E$31:$E$400,MASQ2!BV80,'Étape 1 - à remplir'!$G$31:$G$400,"lots"),SUMIFS('Étape 1 - à remplir'!$F$31:$F$400,'Étape 1 - à remplir'!$E$31:$E$400,MASQ2!BV80,'Étape 1 - à remplir'!$P$31:$P$400,CE$3,'Étape 1 - à remplir'!$G$31:$G$400,"lots")),IF(CE$2="Atelier",IF(CE$3="Tous",SUMIFS('Étape 1 - à remplir'!$F$31:$F$400,'Étape 1 - à remplir'!$E$31:$E$400,MASQ2!BV80,'Étape 1 - à remplir'!$G$31:$G$400,"lots"),SUMIFS('Étape 1 - à remplir'!$F$31:$F$400,'Étape 1 - à remplir'!$E$31:$E$400,MASQ2!BV80,'Étape 1 - à remplir'!$O$31:$O$400,CE$3,'Étape 1 - à remplir'!$G$31:$G$400,"lots")),IF(CE$2="Espèce",IF(CE$3="Toutes",SUMIFS('Étape 1 - à remplir'!$F$31:$F$400,'Étape 1 - à remplir'!$E$31:$E$400,MASQ2!BV80,'Étape 1 - à remplir'!$G$31:$G$400,"lots"),SUMIFS('Étape 1 - à remplir'!$F$31:$F$400,'Étape 1 - à remplir'!$E$31:$E$400,MASQ2!BV80,'Étape 1 - à remplir'!$N$31:$N$400,CE$3,'Étape 1 - à remplir'!$G$31:$G$400,"lots")))))))</f>
        <v>#N/A</v>
      </c>
      <c r="BX80">
        <f t="shared" si="149"/>
        <v>0</v>
      </c>
      <c r="BY80" t="str">
        <f t="shared" si="133"/>
        <v>Sulfadoxine</v>
      </c>
      <c r="BZ80" t="str">
        <f t="shared" si="134"/>
        <v>Triméthoprime</v>
      </c>
      <c r="CA80" t="str">
        <f t="shared" si="135"/>
        <v/>
      </c>
      <c r="CB80" t="str">
        <f t="shared" si="136"/>
        <v>Sulfamides</v>
      </c>
      <c r="CC80" t="str">
        <f t="shared" si="137"/>
        <v>Trimethoprime</v>
      </c>
      <c r="CD80" s="63" t="str">
        <f t="shared" si="138"/>
        <v/>
      </c>
      <c r="CG80" s="42">
        <v>77</v>
      </c>
      <c r="CH80" s="42" t="e">
        <f t="shared" si="80"/>
        <v>#N/A</v>
      </c>
      <c r="CI80" s="63" t="e">
        <f t="shared" si="81"/>
        <v>#N/A</v>
      </c>
      <c r="CK80" s="42">
        <v>4</v>
      </c>
      <c r="CL80" t="str">
        <f t="shared" si="156"/>
        <v/>
      </c>
      <c r="CM80" t="str">
        <f>IF(CL80="","",INDEX('Étape 1 - à remplir'!C$19:$L$28,MATCH(CL80,'Étape 1 - à remplir'!L$19:$L$28,0),1))</f>
        <v/>
      </c>
      <c r="CN80" t="str">
        <f>IF(CL80="","",INDEX('Étape 1 - à remplir'!C$19:$L$28,MATCH(CL80,'Étape 1 - à remplir'!L$19:$L$28,0),2))</f>
        <v/>
      </c>
      <c r="CO80" t="str">
        <f>IF(CL80="","",INDEX('Étape 1 - à remplir'!$C$19:$L$28,MATCH(CL80,'Étape 1 - à remplir'!$L$19:L$28,0),3))</f>
        <v/>
      </c>
      <c r="CP80" t="str">
        <f>IF(CL80="","",INDEX('Étape 1 - à remplir'!$C$19:$J31,MATCH(CL80,'Étape 1 - à remplir'!$L$19:$L$28,0),4))</f>
        <v/>
      </c>
      <c r="CQ80" t="str">
        <f>IF(CL80="","",INDEX('Étape 1 - à remplir'!$C$19:$L31,MATCH(CL80,'Étape 1 - à remplir'!$L$19:$L$28,0),5))</f>
        <v/>
      </c>
      <c r="CR80" t="str">
        <f t="shared" si="162"/>
        <v/>
      </c>
      <c r="CS80" s="63" t="str">
        <f t="shared" si="157"/>
        <v/>
      </c>
      <c r="DM80" s="63"/>
      <c r="EA80" s="194" t="str">
        <f t="shared" ca="1" si="139"/>
        <v/>
      </c>
      <c r="EB80" s="226" t="str">
        <f>IFERROR(IF(ED80=0,"",COUNTIF(ED$4:ED$600,"&gt;"&amp;ED80)+COUNTIF(ED$4:ED80,ED80)),"")</f>
        <v/>
      </c>
      <c r="EC80" t="str">
        <f t="shared" si="140"/>
        <v>BORGAL 24 %</v>
      </c>
      <c r="ED80" t="e">
        <f>IF(IF(EL$2="Catégorie",IF(EL$3="Toutes",SUMIFS('Étape 1 - à remplir'!$F$31:$F$400,'Étape 1 - à remplir'!$E$31:$E$400,MASQ2!EC80,'Étape 1 - à remplir'!$G$31:$G$400,"kg"),SUMIFS('Étape 1 - à remplir'!$F$31:$F$400,'Étape 1 - à remplir'!$E$31:$E$400,MASQ2!EC80,'Étape 1 - à remplir'!$C$31:$C$400,EL$3)),IF(EL$2="Âge",IF(EL$3="Tous",SUMIFS('Étape 1 - à remplir'!$F$31:$F$400,'Étape 1 - à remplir'!$E$31:$E$400,MASQ2!EC80,'Étape 1 - à remplir'!$G$31:$G$400,"kg"),SUMIFS('Étape 1 - à remplir'!$F$31:$F$400,'Étape 1 - à remplir'!$E$31:$E$400,MASQ2!EC80,'Étape 1 - à remplir'!$P$31:$P$400,EL$3,'Étape 1 - à remplir'!$G$31:$G$400,"kg")),IF(EL$2="Atelier",IF(EL$3="Tous",SUMIFS('Étape 1 - à remplir'!$F$31:$F$400,'Étape 1 - à remplir'!$E$31:$E$400,MASQ2!EC80,'Étape 1 - à remplir'!$G$31:$G$400,"kg"),SUMIFS('Étape 1 - à remplir'!$F$31:$F$400,'Étape 1 - à remplir'!$E$31:$E$400,MASQ2!EC80,'Étape 1 - à remplir'!$O$31:$O$400,EL$3,'Étape 1 - à remplir'!$G$31:$G$400,"kg")),IF(EL$2="Espèce",IF(EL$3="Toutes",SUMIFS('Étape 1 - à remplir'!$F$31:$F$400,'Étape 1 - à remplir'!$E$31:$E$400,MASQ2!EC80,'Étape 1 - à remplir'!$G$31:$G$400,"kg"),SUMIFS('Étape 1 - à remplir'!$F$31:$F$400,'Étape 1 - à remplir'!$E$31:$E$400,MASQ2!EC80,'Étape 1 - à remplir'!$N$31:$N$400,EL$3,'Étape 1 - à remplir'!$G$31:$G$400,"kg"))))))=0,NA(),IF(EL$2="Catégorie",IF(EL$3="Toutes",SUMIFS('Étape 1 - à remplir'!$F$31:$F$400,'Étape 1 - à remplir'!$E$31:$E$400,MASQ2!EC80,'Étape 1 - à remplir'!$G$31:$G$400,"kg"),SUMIFS('Étape 1 - à remplir'!$F$31:$F$400,'Étape 1 - à remplir'!$E$31:$E$400,MASQ2!EC80,'Étape 1 - à remplir'!$C$31:$C$400,EL$3)),IF(EL$2="Âge",IF(EL$3="Tous",SUMIFS('Étape 1 - à remplir'!$F$31:$F$400,'Étape 1 - à remplir'!$E$31:$E$400,MASQ2!EC80,'Étape 1 - à remplir'!$G$31:$G$400,"kg"),SUMIFS('Étape 1 - à remplir'!$F$31:$F$400,'Étape 1 - à remplir'!$E$31:$E$400,MASQ2!EC80,'Étape 1 - à remplir'!$P$31:$P$400,EL$3,'Étape 1 - à remplir'!$G$31:$G$400,"kg")),IF(EL$2="Atelier",IF(EL$3="Tous",SUMIFS('Étape 1 - à remplir'!$F$31:$F$400,'Étape 1 - à remplir'!$E$31:$E$400,MASQ2!EC80,'Étape 1 - à remplir'!$G$31:$G$400,"kg"),SUMIFS('Étape 1 - à remplir'!$F$31:$F$400,'Étape 1 - à remplir'!$E$31:$E$400,MASQ2!EC80,'Étape 1 - à remplir'!$O$31:$O$400,EL$3,'Étape 1 - à remplir'!$G$31:$G$400,"kg")),IF(EL$2="Espèce",IF(EL$3="Toutes",SUMIFS('Étape 1 - à remplir'!$F$31:$F$400,'Étape 1 - à remplir'!$E$31:$E$400,MASQ2!EC80,'Étape 1 - à remplir'!$G$31:$G$400,"kg"),SUMIFS('Étape 1 - à remplir'!$F$31:$F$400,'Étape 1 - à remplir'!$E$31:$E$400,MASQ2!EC80,'Étape 1 - à remplir'!$N$31:$N$400,EL$3,'Étape 1 - à remplir'!$G$31:$G$400,"kg")))))))</f>
        <v>#N/A</v>
      </c>
      <c r="EE80" s="76">
        <f t="shared" si="150"/>
        <v>0</v>
      </c>
      <c r="EF80" t="str">
        <f t="shared" si="141"/>
        <v>Sulfadoxine</v>
      </c>
      <c r="EG80" t="str">
        <f t="shared" si="142"/>
        <v>Triméthoprime</v>
      </c>
      <c r="EH80" t="str">
        <f t="shared" si="143"/>
        <v/>
      </c>
      <c r="EI80" t="str">
        <f t="shared" si="144"/>
        <v>Sulfamides</v>
      </c>
      <c r="EJ80" t="str">
        <f t="shared" si="145"/>
        <v>Trimethoprime</v>
      </c>
      <c r="EK80" s="63" t="str">
        <f t="shared" si="146"/>
        <v/>
      </c>
      <c r="EN80" s="42">
        <v>77</v>
      </c>
      <c r="EO80" t="e">
        <f t="shared" si="152"/>
        <v>#N/A</v>
      </c>
      <c r="EP80" s="63" t="e">
        <f t="shared" si="153"/>
        <v>#N/A</v>
      </c>
      <c r="ER80" s="42">
        <v>4</v>
      </c>
      <c r="ES80" t="str">
        <f t="shared" si="158"/>
        <v/>
      </c>
      <c r="ET80" t="str">
        <f>IF(ES80="","",INDEX('Étape 1 - à remplir'!C$19:$L31,MATCH(ES80,'Étape 1 - à remplir'!L$19:$L31,0),1))</f>
        <v/>
      </c>
      <c r="EU80" t="str">
        <f>IF(ES80="","",INDEX('Étape 1 - à remplir'!C$19:$L31,MATCH(ES80,'Étape 1 - à remplir'!L$19:$L31,0),2))</f>
        <v/>
      </c>
      <c r="EV80" t="str">
        <f>IF(ES80="","",INDEX('Étape 1 - à remplir'!C$19:$L31,MATCH(ES80,'Étape 1 - à remplir'!L$19:$L31,0),3))</f>
        <v/>
      </c>
      <c r="EW80" t="str">
        <f>IF(ES80="","",INDEX('Étape 1 - à remplir'!C$19:$L31,MATCH(ES80,'Étape 1 - à remplir'!L$19:$L31,0),4))</f>
        <v/>
      </c>
      <c r="EX80" t="str">
        <f>IF(ES80="","",INDEX('Étape 1 - à remplir'!C$19:$L31,MATCH(ES80,'Étape 1 - à remplir'!L$19:$L31,0),5))</f>
        <v/>
      </c>
      <c r="EY80" t="str">
        <f t="shared" si="159"/>
        <v/>
      </c>
      <c r="EZ80" s="63" t="str">
        <f t="shared" si="160"/>
        <v/>
      </c>
      <c r="FT80" s="63"/>
    </row>
    <row r="81" spans="2:176" x14ac:dyDescent="0.3">
      <c r="B81" s="42"/>
      <c r="M81" s="194" t="str">
        <f ca="1">INDEX(Données_ATB!BD:BU,MATCH(MASQ2!O81,Données_ATB!BD:BD,0),18)</f>
        <v/>
      </c>
      <c r="N81" s="14" t="str">
        <f>IFERROR(IF(Q81=0,"",COUNTIF(Q$4:Q$600,"&gt;"&amp;Q81)+COUNTIF(Q$4:Q81,Q81)),"")</f>
        <v/>
      </c>
      <c r="O81" t="str">
        <f>Données_ATB!BD80</f>
        <v>CAFMIX ACIDE OXOLINIQUE 80 PORC</v>
      </c>
      <c r="P81" t="e">
        <f>IF(IF(X$2="Catégorie",IF(X$3="Toutes",SUMIFS('Étape 1 - à remplir'!$F$31:$F$400,'Étape 1 - à remplir'!$E$31:$E$400,MASQ2!O81,'Étape 1 - à remplir'!$G$31:$G$400,"animaux"),SUMIFS('Étape 1 - à remplir'!$F$31:$F$400,'Étape 1 - à remplir'!$E$31:$E$400,MASQ2!O81,'Étape 1 - à remplir'!$C$31:$C$400,X$3)),IF(X$2="Âge",IF(X$3="Tous",SUMIFS('Étape 1 - à remplir'!$F$31:$F$400,'Étape 1 - à remplir'!$E$31:$E$400,MASQ2!O81,'Étape 1 - à remplir'!$G$31:$G$400,"animaux"),SUMIFS('Étape 1 - à remplir'!$F$31:$F$400,'Étape 1 - à remplir'!$E$31:$E$400,MASQ2!O81,'Étape 1 - à remplir'!$P$31:$P$400,X$3)),IF(X$2="Atelier",IF(X$3="Tous",SUMIFS('Étape 1 - à remplir'!$F$31:$F$400,'Étape 1 - à remplir'!$E$31:$E$400,MASQ2!O81,'Étape 1 - à remplir'!$G$31:$G$400,"animaux"),SUMIFS('Étape 1 - à remplir'!$F$31:$F$400,'Étape 1 - à remplir'!$E$31:$E$400,MASQ2!O81,'Étape 1 - à remplir'!$O$31:$O$400,X$3)),IF(X$2="Espèce",IF(X$3="Toutes",SUMIFS('Étape 1 - à remplir'!$F$31:$F$400,'Étape 1 - à remplir'!$E$31:$E$400,MASQ2!O81,'Étape 1 - à remplir'!$G$31:$G$400,"animaux"),SUMIFS('Étape 1 - à remplir'!$F$31:$F$400,'Étape 1 - à remplir'!$E$31:$E$400,MASQ2!O81,'Étape 1 - à remplir'!$N$31:$N$400,X$3))))))=0,NA(),IF(X$2="Catégorie",IF(X$3="Toutes",SUMIFS('Étape 1 - à remplir'!$F$31:$F$400,'Étape 1 - à remplir'!$E$31:$E$400,MASQ2!O81,'Étape 1 - à remplir'!$G$31:$G$400,"animaux"),SUMIFS('Étape 1 - à remplir'!$F$31:$F$400,'Étape 1 - à remplir'!$E$31:$E$400,MASQ2!O81,'Étape 1 - à remplir'!$C$31:$C$400,X$3)),IF(X$2="Âge",IF(X$3="Tous",SUMIFS('Étape 1 - à remplir'!$F$31:$F$400,'Étape 1 - à remplir'!$E$31:$E$400,MASQ2!O81,'Étape 1 - à remplir'!$G$31:$G$400,"animaux"),SUMIFS('Étape 1 - à remplir'!$F$31:$F$400,'Étape 1 - à remplir'!$E$31:$E$400,MASQ2!O81,'Étape 1 - à remplir'!$P$31:$P$400,X$3)),IF(X$2="Atelier",IF(X$3="Tous",SUMIFS('Étape 1 - à remplir'!$F$31:$F$400,'Étape 1 - à remplir'!$E$31:$E$400,MASQ2!O81,'Étape 1 - à remplir'!$G$31:$G$400,"animaux"),SUMIFS('Étape 1 - à remplir'!$F$31:$F$400,'Étape 1 - à remplir'!$E$31:$E$400,MASQ2!O81,'Étape 1 - à remplir'!$O$31:$O$400,X$3)),IF(X$2="Espèce",IF(X$3="Toutes",SUMIFS('Étape 1 - à remplir'!$F$31:$F$400,'Étape 1 - à remplir'!$E$31:$E$400,MASQ2!O81,'Étape 1 - à remplir'!$G$31:$G$400,"animaux"),SUMIFS('Étape 1 - à remplir'!$F$31:$F$400,'Étape 1 - à remplir'!$E$31:$E$400,MASQ2!O81,'Étape 1 - à remplir'!$N$31:$N$400,X$3)))))))</f>
        <v>#N/A</v>
      </c>
      <c r="Q81" s="63">
        <f t="shared" si="151"/>
        <v>0</v>
      </c>
      <c r="R81" t="str">
        <f>Données_ATB!BM80</f>
        <v>Acide oxolinique</v>
      </c>
      <c r="S81" t="str">
        <f>Données_ATB!BN80</f>
        <v/>
      </c>
      <c r="T81" s="63" t="str">
        <f>Données_ATB!BO80</f>
        <v/>
      </c>
      <c r="U81" s="42" t="str">
        <f>Données_ATB!BQ80</f>
        <v>Quinolones</v>
      </c>
      <c r="V81" t="str">
        <f>Données_ATB!BR80</f>
        <v/>
      </c>
      <c r="W81" s="63" t="str">
        <f>Données_ATB!BS80</f>
        <v/>
      </c>
      <c r="Z81" s="42">
        <v>78</v>
      </c>
      <c r="AA81" t="e">
        <f t="shared" si="147"/>
        <v>#N/A</v>
      </c>
      <c r="AB81" s="63" t="e">
        <f t="shared" si="148"/>
        <v>#N/A</v>
      </c>
      <c r="AD81" s="42">
        <v>5</v>
      </c>
      <c r="AE81" t="str">
        <f t="shared" si="154"/>
        <v/>
      </c>
      <c r="AF81" t="str">
        <f>IF(AE81="","",INDEX('Étape 1 - à remplir'!C$19:$L32,MATCH(AE81,'Étape 1 - à remplir'!L$19:$L$28,0),1))</f>
        <v/>
      </c>
      <c r="AG81" t="str">
        <f>IF(AE81="","",INDEX('Étape 1 - à remplir'!C$19:$L32,MATCH(AE81,'Étape 1 - à remplir'!L$19:$L$28,0),2))</f>
        <v/>
      </c>
      <c r="AH81" t="str">
        <f>IF(AE81="","",INDEX('Étape 1 - à remplir'!C$19:$L32,MATCH(AE81,'Étape 1 - à remplir'!L$19:$L$28,0),3))</f>
        <v/>
      </c>
      <c r="AI81" t="str">
        <f>IF(AE81="","",INDEX('Étape 1 - à remplir'!C$19:$L32,MATCH(AE81,'Étape 1 - à remplir'!L$19:$L$28,0),4))</f>
        <v/>
      </c>
      <c r="AJ81" t="str">
        <f>IF(AE81="","",INDEX('Étape 1 - à remplir'!C$19:$L32,MATCH(AE81,'Étape 1 - à remplir'!L$19:$L$28,0),5))</f>
        <v/>
      </c>
      <c r="AK81" t="str">
        <f t="shared" si="161"/>
        <v/>
      </c>
      <c r="AL81" s="63" t="str">
        <f t="shared" si="155"/>
        <v/>
      </c>
      <c r="BF81" s="63"/>
      <c r="BT81" s="194" t="str">
        <f t="shared" ca="1" si="131"/>
        <v/>
      </c>
      <c r="BU81" s="219" t="str">
        <f>IFERROR(IF(BX81=0,"",COUNTIF(BX$4:BX$600,"&gt;"&amp;BX81)+COUNTIF(BX$4:BX81,BX81)),"")</f>
        <v/>
      </c>
      <c r="BV81" s="42" t="str">
        <f t="shared" si="132"/>
        <v>CAFMIX ACIDE OXOLINIQUE 80 PORC</v>
      </c>
      <c r="BW81" t="e">
        <f>IF(IF(CE$2="Catégorie",IF(CE$3="Toutes",SUMIFS('Étape 1 - à remplir'!$F$31:$F$400,'Étape 1 - à remplir'!$E$31:$E$400,MASQ2!BV81,'Étape 1 - à remplir'!$G$31:$G$400,"lots"),SUMIFS('Étape 1 - à remplir'!$F$31:$F$400,'Étape 1 - à remplir'!$E$31:$E$400,MASQ2!BV81,'Étape 1 - à remplir'!$C$31:$C$400,CE$3)),IF(CE$2="Âge",IF(CE$3="Tous",SUMIFS('Étape 1 - à remplir'!$F$31:$F$400,'Étape 1 - à remplir'!$E$31:$E$400,MASQ2!BV81,'Étape 1 - à remplir'!$G$31:$G$400,"lots"),SUMIFS('Étape 1 - à remplir'!$F$31:$F$400,'Étape 1 - à remplir'!$E$31:$E$400,MASQ2!BV81,'Étape 1 - à remplir'!$P$31:$P$400,CE$3,'Étape 1 - à remplir'!$G$31:$G$400,"lots")),IF(CE$2="Atelier",IF(CE$3="Tous",SUMIFS('Étape 1 - à remplir'!$F$31:$F$400,'Étape 1 - à remplir'!$E$31:$E$400,MASQ2!BV81,'Étape 1 - à remplir'!$G$31:$G$400,"lots"),SUMIFS('Étape 1 - à remplir'!$F$31:$F$400,'Étape 1 - à remplir'!$E$31:$E$400,MASQ2!BV81,'Étape 1 - à remplir'!$O$31:$O$400,CE$3,'Étape 1 - à remplir'!$G$31:$G$400,"lots")),IF(CE$2="Espèce",IF(CE$3="Toutes",SUMIFS('Étape 1 - à remplir'!$F$31:$F$400,'Étape 1 - à remplir'!$E$31:$E$400,MASQ2!BV81,'Étape 1 - à remplir'!$G$31:$G$400,"lots"),SUMIFS('Étape 1 - à remplir'!$F$31:$F$400,'Étape 1 - à remplir'!$E$31:$E$400,MASQ2!BV81,'Étape 1 - à remplir'!$N$31:$N$400,CE$3,'Étape 1 - à remplir'!$G$31:$G$400,"lots"))))))=0,NA(),IF(CE$2="Catégorie",IF(CE$3="Toutes",SUMIFS('Étape 1 - à remplir'!$F$31:$F$400,'Étape 1 - à remplir'!$E$31:$E$400,MASQ2!BV81,'Étape 1 - à remplir'!$G$31:$G$400,"lots"),SUMIFS('Étape 1 - à remplir'!$F$31:$F$400,'Étape 1 - à remplir'!$E$31:$E$400,MASQ2!BV81,'Étape 1 - à remplir'!$C$31:$C$400,CE$3)),IF(CE$2="Âge",IF(CE$3="Tous",SUMIFS('Étape 1 - à remplir'!$F$31:$F$400,'Étape 1 - à remplir'!$E$31:$E$400,MASQ2!BV81,'Étape 1 - à remplir'!$G$31:$G$400,"lots"),SUMIFS('Étape 1 - à remplir'!$F$31:$F$400,'Étape 1 - à remplir'!$E$31:$E$400,MASQ2!BV81,'Étape 1 - à remplir'!$P$31:$P$400,CE$3,'Étape 1 - à remplir'!$G$31:$G$400,"lots")),IF(CE$2="Atelier",IF(CE$3="Tous",SUMIFS('Étape 1 - à remplir'!$F$31:$F$400,'Étape 1 - à remplir'!$E$31:$E$400,MASQ2!BV81,'Étape 1 - à remplir'!$G$31:$G$400,"lots"),SUMIFS('Étape 1 - à remplir'!$F$31:$F$400,'Étape 1 - à remplir'!$E$31:$E$400,MASQ2!BV81,'Étape 1 - à remplir'!$O$31:$O$400,CE$3,'Étape 1 - à remplir'!$G$31:$G$400,"lots")),IF(CE$2="Espèce",IF(CE$3="Toutes",SUMIFS('Étape 1 - à remplir'!$F$31:$F$400,'Étape 1 - à remplir'!$E$31:$E$400,MASQ2!BV81,'Étape 1 - à remplir'!$G$31:$G$400,"lots"),SUMIFS('Étape 1 - à remplir'!$F$31:$F$400,'Étape 1 - à remplir'!$E$31:$E$400,MASQ2!BV81,'Étape 1 - à remplir'!$N$31:$N$400,CE$3,'Étape 1 - à remplir'!$G$31:$G$400,"lots")))))))</f>
        <v>#N/A</v>
      </c>
      <c r="BX81">
        <f t="shared" si="149"/>
        <v>0</v>
      </c>
      <c r="BY81" t="str">
        <f t="shared" si="133"/>
        <v>Acide oxolinique</v>
      </c>
      <c r="BZ81" t="str">
        <f t="shared" si="134"/>
        <v/>
      </c>
      <c r="CA81" t="str">
        <f t="shared" si="135"/>
        <v/>
      </c>
      <c r="CB81" t="str">
        <f t="shared" si="136"/>
        <v>Quinolones</v>
      </c>
      <c r="CC81" t="str">
        <f t="shared" si="137"/>
        <v/>
      </c>
      <c r="CD81" s="63" t="str">
        <f t="shared" si="138"/>
        <v/>
      </c>
      <c r="CG81" s="42">
        <v>78</v>
      </c>
      <c r="CH81" s="42" t="e">
        <f t="shared" si="80"/>
        <v>#N/A</v>
      </c>
      <c r="CI81" s="63" t="e">
        <f t="shared" si="81"/>
        <v>#N/A</v>
      </c>
      <c r="CK81" s="42">
        <v>5</v>
      </c>
      <c r="CL81" t="str">
        <f t="shared" si="156"/>
        <v/>
      </c>
      <c r="CM81" t="str">
        <f>IF(CL81="","",INDEX('Étape 1 - à remplir'!C$19:$L$28,MATCH(CL81,'Étape 1 - à remplir'!L$19:$L$28,0),1))</f>
        <v/>
      </c>
      <c r="CN81" t="str">
        <f>IF(CL81="","",INDEX('Étape 1 - à remplir'!C$19:$L$28,MATCH(CL81,'Étape 1 - à remplir'!L$19:$L$28,0),2))</f>
        <v/>
      </c>
      <c r="CO81" t="str">
        <f>IF(CL81="","",INDEX('Étape 1 - à remplir'!$C$19:$L$28,MATCH(CL81,'Étape 1 - à remplir'!$L$19:L$28,0),3))</f>
        <v/>
      </c>
      <c r="CP81" t="str">
        <f>IF(CL81="","",INDEX('Étape 1 - à remplir'!$C$19:$J32,MATCH(CL81,'Étape 1 - à remplir'!$L$19:$L$28,0),4))</f>
        <v/>
      </c>
      <c r="CQ81" t="str">
        <f>IF(CL81="","",INDEX('Étape 1 - à remplir'!$C$19:$L32,MATCH(CL81,'Étape 1 - à remplir'!$L$19:$L$28,0),5))</f>
        <v/>
      </c>
      <c r="CR81" t="str">
        <f t="shared" si="162"/>
        <v/>
      </c>
      <c r="CS81" s="63" t="str">
        <f t="shared" si="157"/>
        <v/>
      </c>
      <c r="DM81" s="63"/>
      <c r="EA81" s="194" t="str">
        <f t="shared" ca="1" si="139"/>
        <v/>
      </c>
      <c r="EB81" s="226" t="str">
        <f>IFERROR(IF(ED81=0,"",COUNTIF(ED$4:ED$600,"&gt;"&amp;ED81)+COUNTIF(ED$4:ED81,ED81)),"")</f>
        <v/>
      </c>
      <c r="EC81" t="str">
        <f t="shared" si="140"/>
        <v>CAFMIX ACIDE OXOLINIQUE 80 PORC</v>
      </c>
      <c r="ED81" t="e">
        <f>IF(IF(EL$2="Catégorie",IF(EL$3="Toutes",SUMIFS('Étape 1 - à remplir'!$F$31:$F$400,'Étape 1 - à remplir'!$E$31:$E$400,MASQ2!EC81,'Étape 1 - à remplir'!$G$31:$G$400,"kg"),SUMIFS('Étape 1 - à remplir'!$F$31:$F$400,'Étape 1 - à remplir'!$E$31:$E$400,MASQ2!EC81,'Étape 1 - à remplir'!$C$31:$C$400,EL$3)),IF(EL$2="Âge",IF(EL$3="Tous",SUMIFS('Étape 1 - à remplir'!$F$31:$F$400,'Étape 1 - à remplir'!$E$31:$E$400,MASQ2!EC81,'Étape 1 - à remplir'!$G$31:$G$400,"kg"),SUMIFS('Étape 1 - à remplir'!$F$31:$F$400,'Étape 1 - à remplir'!$E$31:$E$400,MASQ2!EC81,'Étape 1 - à remplir'!$P$31:$P$400,EL$3,'Étape 1 - à remplir'!$G$31:$G$400,"kg")),IF(EL$2="Atelier",IF(EL$3="Tous",SUMIFS('Étape 1 - à remplir'!$F$31:$F$400,'Étape 1 - à remplir'!$E$31:$E$400,MASQ2!EC81,'Étape 1 - à remplir'!$G$31:$G$400,"kg"),SUMIFS('Étape 1 - à remplir'!$F$31:$F$400,'Étape 1 - à remplir'!$E$31:$E$400,MASQ2!EC81,'Étape 1 - à remplir'!$O$31:$O$400,EL$3,'Étape 1 - à remplir'!$G$31:$G$400,"kg")),IF(EL$2="Espèce",IF(EL$3="Toutes",SUMIFS('Étape 1 - à remplir'!$F$31:$F$400,'Étape 1 - à remplir'!$E$31:$E$400,MASQ2!EC81,'Étape 1 - à remplir'!$G$31:$G$400,"kg"),SUMIFS('Étape 1 - à remplir'!$F$31:$F$400,'Étape 1 - à remplir'!$E$31:$E$400,MASQ2!EC81,'Étape 1 - à remplir'!$N$31:$N$400,EL$3,'Étape 1 - à remplir'!$G$31:$G$400,"kg"))))))=0,NA(),IF(EL$2="Catégorie",IF(EL$3="Toutes",SUMIFS('Étape 1 - à remplir'!$F$31:$F$400,'Étape 1 - à remplir'!$E$31:$E$400,MASQ2!EC81,'Étape 1 - à remplir'!$G$31:$G$400,"kg"),SUMIFS('Étape 1 - à remplir'!$F$31:$F$400,'Étape 1 - à remplir'!$E$31:$E$400,MASQ2!EC81,'Étape 1 - à remplir'!$C$31:$C$400,EL$3)),IF(EL$2="Âge",IF(EL$3="Tous",SUMIFS('Étape 1 - à remplir'!$F$31:$F$400,'Étape 1 - à remplir'!$E$31:$E$400,MASQ2!EC81,'Étape 1 - à remplir'!$G$31:$G$400,"kg"),SUMIFS('Étape 1 - à remplir'!$F$31:$F$400,'Étape 1 - à remplir'!$E$31:$E$400,MASQ2!EC81,'Étape 1 - à remplir'!$P$31:$P$400,EL$3,'Étape 1 - à remplir'!$G$31:$G$400,"kg")),IF(EL$2="Atelier",IF(EL$3="Tous",SUMIFS('Étape 1 - à remplir'!$F$31:$F$400,'Étape 1 - à remplir'!$E$31:$E$400,MASQ2!EC81,'Étape 1 - à remplir'!$G$31:$G$400,"kg"),SUMIFS('Étape 1 - à remplir'!$F$31:$F$400,'Étape 1 - à remplir'!$E$31:$E$400,MASQ2!EC81,'Étape 1 - à remplir'!$O$31:$O$400,EL$3,'Étape 1 - à remplir'!$G$31:$G$400,"kg")),IF(EL$2="Espèce",IF(EL$3="Toutes",SUMIFS('Étape 1 - à remplir'!$F$31:$F$400,'Étape 1 - à remplir'!$E$31:$E$400,MASQ2!EC81,'Étape 1 - à remplir'!$G$31:$G$400,"kg"),SUMIFS('Étape 1 - à remplir'!$F$31:$F$400,'Étape 1 - à remplir'!$E$31:$E$400,MASQ2!EC81,'Étape 1 - à remplir'!$N$31:$N$400,EL$3,'Étape 1 - à remplir'!$G$31:$G$400,"kg")))))))</f>
        <v>#N/A</v>
      </c>
      <c r="EE81" s="76">
        <f t="shared" si="150"/>
        <v>0</v>
      </c>
      <c r="EF81" t="str">
        <f t="shared" si="141"/>
        <v>Acide oxolinique</v>
      </c>
      <c r="EG81" t="str">
        <f t="shared" si="142"/>
        <v/>
      </c>
      <c r="EH81" t="str">
        <f t="shared" si="143"/>
        <v/>
      </c>
      <c r="EI81" t="str">
        <f t="shared" si="144"/>
        <v>Quinolones</v>
      </c>
      <c r="EJ81" t="str">
        <f t="shared" si="145"/>
        <v/>
      </c>
      <c r="EK81" s="63" t="str">
        <f t="shared" si="146"/>
        <v/>
      </c>
      <c r="EN81" s="42">
        <v>78</v>
      </c>
      <c r="EO81" t="e">
        <f t="shared" si="152"/>
        <v>#N/A</v>
      </c>
      <c r="EP81" s="63" t="e">
        <f t="shared" si="153"/>
        <v>#N/A</v>
      </c>
      <c r="ER81" s="42">
        <v>5</v>
      </c>
      <c r="ES81" t="str">
        <f t="shared" si="158"/>
        <v/>
      </c>
      <c r="ET81" t="str">
        <f>IF(ES81="","",INDEX('Étape 1 - à remplir'!C$19:$L32,MATCH(ES81,'Étape 1 - à remplir'!L$19:$L32,0),1))</f>
        <v/>
      </c>
      <c r="EU81" t="str">
        <f>IF(ES81="","",INDEX('Étape 1 - à remplir'!C$19:$L32,MATCH(ES81,'Étape 1 - à remplir'!L$19:$L32,0),2))</f>
        <v/>
      </c>
      <c r="EV81" t="str">
        <f>IF(ES81="","",INDEX('Étape 1 - à remplir'!C$19:$L32,MATCH(ES81,'Étape 1 - à remplir'!L$19:$L32,0),3))</f>
        <v/>
      </c>
      <c r="EW81" t="str">
        <f>IF(ES81="","",INDEX('Étape 1 - à remplir'!C$19:$L32,MATCH(ES81,'Étape 1 - à remplir'!L$19:$L32,0),4))</f>
        <v/>
      </c>
      <c r="EX81" t="str">
        <f>IF(ES81="","",INDEX('Étape 1 - à remplir'!C$19:$L32,MATCH(ES81,'Étape 1 - à remplir'!L$19:$L32,0),5))</f>
        <v/>
      </c>
      <c r="EY81" t="str">
        <f t="shared" si="159"/>
        <v/>
      </c>
      <c r="EZ81" s="63" t="str">
        <f t="shared" si="160"/>
        <v/>
      </c>
      <c r="FT81" s="63"/>
    </row>
    <row r="82" spans="2:176" x14ac:dyDescent="0.3">
      <c r="B82" s="42"/>
      <c r="M82" s="194" t="str">
        <f ca="1">INDEX(Données_ATB!BD:BU,MATCH(MASQ2!O82,Données_ATB!BD:BD,0),18)</f>
        <v/>
      </c>
      <c r="N82" s="14" t="str">
        <f>IFERROR(IF(Q82=0,"",COUNTIF(Q$4:Q$600,"&gt;"&amp;Q82)+COUNTIF(Q$4:Q82,Q82)),"")</f>
        <v/>
      </c>
      <c r="O82" t="str">
        <f>Données_ATB!BD81</f>
        <v>CAFMIX LINCOMYCINE 22 PNEUMONIE PORC</v>
      </c>
      <c r="P82" t="e">
        <f>IF(IF(X$2="Catégorie",IF(X$3="Toutes",SUMIFS('Étape 1 - à remplir'!$F$31:$F$400,'Étape 1 - à remplir'!$E$31:$E$400,MASQ2!O82,'Étape 1 - à remplir'!$G$31:$G$400,"animaux"),SUMIFS('Étape 1 - à remplir'!$F$31:$F$400,'Étape 1 - à remplir'!$E$31:$E$400,MASQ2!O82,'Étape 1 - à remplir'!$C$31:$C$400,X$3)),IF(X$2="Âge",IF(X$3="Tous",SUMIFS('Étape 1 - à remplir'!$F$31:$F$400,'Étape 1 - à remplir'!$E$31:$E$400,MASQ2!O82,'Étape 1 - à remplir'!$G$31:$G$400,"animaux"),SUMIFS('Étape 1 - à remplir'!$F$31:$F$400,'Étape 1 - à remplir'!$E$31:$E$400,MASQ2!O82,'Étape 1 - à remplir'!$P$31:$P$400,X$3)),IF(X$2="Atelier",IF(X$3="Tous",SUMIFS('Étape 1 - à remplir'!$F$31:$F$400,'Étape 1 - à remplir'!$E$31:$E$400,MASQ2!O82,'Étape 1 - à remplir'!$G$31:$G$400,"animaux"),SUMIFS('Étape 1 - à remplir'!$F$31:$F$400,'Étape 1 - à remplir'!$E$31:$E$400,MASQ2!O82,'Étape 1 - à remplir'!$O$31:$O$400,X$3)),IF(X$2="Espèce",IF(X$3="Toutes",SUMIFS('Étape 1 - à remplir'!$F$31:$F$400,'Étape 1 - à remplir'!$E$31:$E$400,MASQ2!O82,'Étape 1 - à remplir'!$G$31:$G$400,"animaux"),SUMIFS('Étape 1 - à remplir'!$F$31:$F$400,'Étape 1 - à remplir'!$E$31:$E$400,MASQ2!O82,'Étape 1 - à remplir'!$N$31:$N$400,X$3))))))=0,NA(),IF(X$2="Catégorie",IF(X$3="Toutes",SUMIFS('Étape 1 - à remplir'!$F$31:$F$400,'Étape 1 - à remplir'!$E$31:$E$400,MASQ2!O82,'Étape 1 - à remplir'!$G$31:$G$400,"animaux"),SUMIFS('Étape 1 - à remplir'!$F$31:$F$400,'Étape 1 - à remplir'!$E$31:$E$400,MASQ2!O82,'Étape 1 - à remplir'!$C$31:$C$400,X$3)),IF(X$2="Âge",IF(X$3="Tous",SUMIFS('Étape 1 - à remplir'!$F$31:$F$400,'Étape 1 - à remplir'!$E$31:$E$400,MASQ2!O82,'Étape 1 - à remplir'!$G$31:$G$400,"animaux"),SUMIFS('Étape 1 - à remplir'!$F$31:$F$400,'Étape 1 - à remplir'!$E$31:$E$400,MASQ2!O82,'Étape 1 - à remplir'!$P$31:$P$400,X$3)),IF(X$2="Atelier",IF(X$3="Tous",SUMIFS('Étape 1 - à remplir'!$F$31:$F$400,'Étape 1 - à remplir'!$E$31:$E$400,MASQ2!O82,'Étape 1 - à remplir'!$G$31:$G$400,"animaux"),SUMIFS('Étape 1 - à remplir'!$F$31:$F$400,'Étape 1 - à remplir'!$E$31:$E$400,MASQ2!O82,'Étape 1 - à remplir'!$O$31:$O$400,X$3)),IF(X$2="Espèce",IF(X$3="Toutes",SUMIFS('Étape 1 - à remplir'!$F$31:$F$400,'Étape 1 - à remplir'!$E$31:$E$400,MASQ2!O82,'Étape 1 - à remplir'!$G$31:$G$400,"animaux"),SUMIFS('Étape 1 - à remplir'!$F$31:$F$400,'Étape 1 - à remplir'!$E$31:$E$400,MASQ2!O82,'Étape 1 - à remplir'!$N$31:$N$400,X$3)))))))</f>
        <v>#N/A</v>
      </c>
      <c r="Q82" s="63">
        <f t="shared" si="151"/>
        <v>0</v>
      </c>
      <c r="R82" t="str">
        <f>Données_ATB!BM81</f>
        <v>Lincomycine</v>
      </c>
      <c r="S82" t="str">
        <f>Données_ATB!BN81</f>
        <v/>
      </c>
      <c r="T82" s="63" t="str">
        <f>Données_ATB!BO81</f>
        <v/>
      </c>
      <c r="U82" s="42" t="str">
        <f>Données_ATB!BQ81</f>
        <v>Lincosamides</v>
      </c>
      <c r="V82" t="str">
        <f>Données_ATB!BR81</f>
        <v/>
      </c>
      <c r="W82" s="63" t="str">
        <f>Données_ATB!BS81</f>
        <v/>
      </c>
      <c r="Z82" s="42">
        <v>79</v>
      </c>
      <c r="AA82" t="e">
        <f t="shared" si="147"/>
        <v>#N/A</v>
      </c>
      <c r="AB82" s="63" t="e">
        <f t="shared" si="148"/>
        <v>#N/A</v>
      </c>
      <c r="AD82" s="42">
        <v>6</v>
      </c>
      <c r="AE82" t="str">
        <f t="shared" si="154"/>
        <v/>
      </c>
      <c r="AF82" t="str">
        <f>IF(AE82="","",INDEX('Étape 1 - à remplir'!C$19:$L33,MATCH(AE82,'Étape 1 - à remplir'!L$19:$L$28,0),1))</f>
        <v/>
      </c>
      <c r="AG82" t="str">
        <f>IF(AE82="","",INDEX('Étape 1 - à remplir'!C$19:$L33,MATCH(AE82,'Étape 1 - à remplir'!L$19:$L$28,0),2))</f>
        <v/>
      </c>
      <c r="AH82" t="str">
        <f>IF(AE82="","",INDEX('Étape 1 - à remplir'!C$19:$L33,MATCH(AE82,'Étape 1 - à remplir'!L$19:$L$28,0),3))</f>
        <v/>
      </c>
      <c r="AI82" t="str">
        <f>IF(AE82="","",INDEX('Étape 1 - à remplir'!C$19:$L33,MATCH(AE82,'Étape 1 - à remplir'!L$19:$L$28,0),4))</f>
        <v/>
      </c>
      <c r="AJ82" t="str">
        <f>IF(AE82="","",INDEX('Étape 1 - à remplir'!C$19:$L33,MATCH(AE82,'Étape 1 - à remplir'!L$19:$L$28,0),5))</f>
        <v/>
      </c>
      <c r="AK82" t="str">
        <f t="shared" si="161"/>
        <v/>
      </c>
      <c r="AL82" s="63" t="str">
        <f t="shared" si="155"/>
        <v/>
      </c>
      <c r="BF82" s="63"/>
      <c r="BT82" s="194" t="str">
        <f t="shared" ca="1" si="131"/>
        <v/>
      </c>
      <c r="BU82" s="219" t="str">
        <f>IFERROR(IF(BX82=0,"",COUNTIF(BX$4:BX$600,"&gt;"&amp;BX82)+COUNTIF(BX$4:BX82,BX82)),"")</f>
        <v/>
      </c>
      <c r="BV82" s="42" t="str">
        <f t="shared" si="132"/>
        <v>CAFMIX LINCOMYCINE 22 PNEUMONIE PORC</v>
      </c>
      <c r="BW82" t="e">
        <f>IF(IF(CE$2="Catégorie",IF(CE$3="Toutes",SUMIFS('Étape 1 - à remplir'!$F$31:$F$400,'Étape 1 - à remplir'!$E$31:$E$400,MASQ2!BV82,'Étape 1 - à remplir'!$G$31:$G$400,"lots"),SUMIFS('Étape 1 - à remplir'!$F$31:$F$400,'Étape 1 - à remplir'!$E$31:$E$400,MASQ2!BV82,'Étape 1 - à remplir'!$C$31:$C$400,CE$3)),IF(CE$2="Âge",IF(CE$3="Tous",SUMIFS('Étape 1 - à remplir'!$F$31:$F$400,'Étape 1 - à remplir'!$E$31:$E$400,MASQ2!BV82,'Étape 1 - à remplir'!$G$31:$G$400,"lots"),SUMIFS('Étape 1 - à remplir'!$F$31:$F$400,'Étape 1 - à remplir'!$E$31:$E$400,MASQ2!BV82,'Étape 1 - à remplir'!$P$31:$P$400,CE$3,'Étape 1 - à remplir'!$G$31:$G$400,"lots")),IF(CE$2="Atelier",IF(CE$3="Tous",SUMIFS('Étape 1 - à remplir'!$F$31:$F$400,'Étape 1 - à remplir'!$E$31:$E$400,MASQ2!BV82,'Étape 1 - à remplir'!$G$31:$G$400,"lots"),SUMIFS('Étape 1 - à remplir'!$F$31:$F$400,'Étape 1 - à remplir'!$E$31:$E$400,MASQ2!BV82,'Étape 1 - à remplir'!$O$31:$O$400,CE$3,'Étape 1 - à remplir'!$G$31:$G$400,"lots")),IF(CE$2="Espèce",IF(CE$3="Toutes",SUMIFS('Étape 1 - à remplir'!$F$31:$F$400,'Étape 1 - à remplir'!$E$31:$E$400,MASQ2!BV82,'Étape 1 - à remplir'!$G$31:$G$400,"lots"),SUMIFS('Étape 1 - à remplir'!$F$31:$F$400,'Étape 1 - à remplir'!$E$31:$E$400,MASQ2!BV82,'Étape 1 - à remplir'!$N$31:$N$400,CE$3,'Étape 1 - à remplir'!$G$31:$G$400,"lots"))))))=0,NA(),IF(CE$2="Catégorie",IF(CE$3="Toutes",SUMIFS('Étape 1 - à remplir'!$F$31:$F$400,'Étape 1 - à remplir'!$E$31:$E$400,MASQ2!BV82,'Étape 1 - à remplir'!$G$31:$G$400,"lots"),SUMIFS('Étape 1 - à remplir'!$F$31:$F$400,'Étape 1 - à remplir'!$E$31:$E$400,MASQ2!BV82,'Étape 1 - à remplir'!$C$31:$C$400,CE$3)),IF(CE$2="Âge",IF(CE$3="Tous",SUMIFS('Étape 1 - à remplir'!$F$31:$F$400,'Étape 1 - à remplir'!$E$31:$E$400,MASQ2!BV82,'Étape 1 - à remplir'!$G$31:$G$400,"lots"),SUMIFS('Étape 1 - à remplir'!$F$31:$F$400,'Étape 1 - à remplir'!$E$31:$E$400,MASQ2!BV82,'Étape 1 - à remplir'!$P$31:$P$400,CE$3,'Étape 1 - à remplir'!$G$31:$G$400,"lots")),IF(CE$2="Atelier",IF(CE$3="Tous",SUMIFS('Étape 1 - à remplir'!$F$31:$F$400,'Étape 1 - à remplir'!$E$31:$E$400,MASQ2!BV82,'Étape 1 - à remplir'!$G$31:$G$400,"lots"),SUMIFS('Étape 1 - à remplir'!$F$31:$F$400,'Étape 1 - à remplir'!$E$31:$E$400,MASQ2!BV82,'Étape 1 - à remplir'!$O$31:$O$400,CE$3,'Étape 1 - à remplir'!$G$31:$G$400,"lots")),IF(CE$2="Espèce",IF(CE$3="Toutes",SUMIFS('Étape 1 - à remplir'!$F$31:$F$400,'Étape 1 - à remplir'!$E$31:$E$400,MASQ2!BV82,'Étape 1 - à remplir'!$G$31:$G$400,"lots"),SUMIFS('Étape 1 - à remplir'!$F$31:$F$400,'Étape 1 - à remplir'!$E$31:$E$400,MASQ2!BV82,'Étape 1 - à remplir'!$N$31:$N$400,CE$3,'Étape 1 - à remplir'!$G$31:$G$400,"lots")))))))</f>
        <v>#N/A</v>
      </c>
      <c r="BX82">
        <f t="shared" si="149"/>
        <v>0</v>
      </c>
      <c r="BY82" t="str">
        <f t="shared" si="133"/>
        <v>Lincomycine</v>
      </c>
      <c r="BZ82" t="str">
        <f t="shared" si="134"/>
        <v/>
      </c>
      <c r="CA82" t="str">
        <f t="shared" si="135"/>
        <v/>
      </c>
      <c r="CB82" t="str">
        <f t="shared" si="136"/>
        <v>Lincosamides</v>
      </c>
      <c r="CC82" t="str">
        <f t="shared" si="137"/>
        <v/>
      </c>
      <c r="CD82" s="63" t="str">
        <f t="shared" si="138"/>
        <v/>
      </c>
      <c r="CG82" s="42">
        <v>79</v>
      </c>
      <c r="CH82" s="42" t="e">
        <f t="shared" ref="CH82:CH145" si="163">INDEX(BU$3:BX$600,MATCH(CG82,BU$3:BU$600,0),2)</f>
        <v>#N/A</v>
      </c>
      <c r="CI82" s="63" t="e">
        <f t="shared" ref="CI82:CI145" si="164">INDEX(BU$3:BX$600,MATCH(CG82,BU$3:BU$600,0),3)</f>
        <v>#N/A</v>
      </c>
      <c r="CK82" s="42">
        <v>6</v>
      </c>
      <c r="CL82" t="str">
        <f t="shared" si="156"/>
        <v/>
      </c>
      <c r="CM82" t="str">
        <f>IF(CL82="","",INDEX('Étape 1 - à remplir'!C$19:$L$28,MATCH(CL82,'Étape 1 - à remplir'!L$19:$L$28,0),1))</f>
        <v/>
      </c>
      <c r="CN82" t="str">
        <f>IF(CL82="","",INDEX('Étape 1 - à remplir'!C$19:$L$28,MATCH(CL82,'Étape 1 - à remplir'!L$19:$L$28,0),2))</f>
        <v/>
      </c>
      <c r="CO82" t="str">
        <f>IF(CL82="","",INDEX('Étape 1 - à remplir'!$C$19:$L$28,MATCH(CL82,'Étape 1 - à remplir'!$L$19:L$28,0),3))</f>
        <v/>
      </c>
      <c r="CP82" t="str">
        <f>IF(CL82="","",INDEX('Étape 1 - à remplir'!$C$19:$J33,MATCH(CL82,'Étape 1 - à remplir'!$L$19:$L$28,0),4))</f>
        <v/>
      </c>
      <c r="CQ82" t="str">
        <f>IF(CL82="","",INDEX('Étape 1 - à remplir'!$C$19:$L33,MATCH(CL82,'Étape 1 - à remplir'!$L$19:$L$28,0),5))</f>
        <v/>
      </c>
      <c r="CR82" t="str">
        <f t="shared" si="162"/>
        <v/>
      </c>
      <c r="CS82" s="63" t="str">
        <f t="shared" si="157"/>
        <v/>
      </c>
      <c r="DM82" s="63"/>
      <c r="EA82" s="194" t="str">
        <f t="shared" ca="1" si="139"/>
        <v/>
      </c>
      <c r="EB82" s="226" t="str">
        <f>IFERROR(IF(ED82=0,"",COUNTIF(ED$4:ED$600,"&gt;"&amp;ED82)+COUNTIF(ED$4:ED82,ED82)),"")</f>
        <v/>
      </c>
      <c r="EC82" t="str">
        <f t="shared" si="140"/>
        <v>CAFMIX LINCOMYCINE 22 PNEUMONIE PORC</v>
      </c>
      <c r="ED82" t="e">
        <f>IF(IF(EL$2="Catégorie",IF(EL$3="Toutes",SUMIFS('Étape 1 - à remplir'!$F$31:$F$400,'Étape 1 - à remplir'!$E$31:$E$400,MASQ2!EC82,'Étape 1 - à remplir'!$G$31:$G$400,"kg"),SUMIFS('Étape 1 - à remplir'!$F$31:$F$400,'Étape 1 - à remplir'!$E$31:$E$400,MASQ2!EC82,'Étape 1 - à remplir'!$C$31:$C$400,EL$3)),IF(EL$2="Âge",IF(EL$3="Tous",SUMIFS('Étape 1 - à remplir'!$F$31:$F$400,'Étape 1 - à remplir'!$E$31:$E$400,MASQ2!EC82,'Étape 1 - à remplir'!$G$31:$G$400,"kg"),SUMIFS('Étape 1 - à remplir'!$F$31:$F$400,'Étape 1 - à remplir'!$E$31:$E$400,MASQ2!EC82,'Étape 1 - à remplir'!$P$31:$P$400,EL$3,'Étape 1 - à remplir'!$G$31:$G$400,"kg")),IF(EL$2="Atelier",IF(EL$3="Tous",SUMIFS('Étape 1 - à remplir'!$F$31:$F$400,'Étape 1 - à remplir'!$E$31:$E$400,MASQ2!EC82,'Étape 1 - à remplir'!$G$31:$G$400,"kg"),SUMIFS('Étape 1 - à remplir'!$F$31:$F$400,'Étape 1 - à remplir'!$E$31:$E$400,MASQ2!EC82,'Étape 1 - à remplir'!$O$31:$O$400,EL$3,'Étape 1 - à remplir'!$G$31:$G$400,"kg")),IF(EL$2="Espèce",IF(EL$3="Toutes",SUMIFS('Étape 1 - à remplir'!$F$31:$F$400,'Étape 1 - à remplir'!$E$31:$E$400,MASQ2!EC82,'Étape 1 - à remplir'!$G$31:$G$400,"kg"),SUMIFS('Étape 1 - à remplir'!$F$31:$F$400,'Étape 1 - à remplir'!$E$31:$E$400,MASQ2!EC82,'Étape 1 - à remplir'!$N$31:$N$400,EL$3,'Étape 1 - à remplir'!$G$31:$G$400,"kg"))))))=0,NA(),IF(EL$2="Catégorie",IF(EL$3="Toutes",SUMIFS('Étape 1 - à remplir'!$F$31:$F$400,'Étape 1 - à remplir'!$E$31:$E$400,MASQ2!EC82,'Étape 1 - à remplir'!$G$31:$G$400,"kg"),SUMIFS('Étape 1 - à remplir'!$F$31:$F$400,'Étape 1 - à remplir'!$E$31:$E$400,MASQ2!EC82,'Étape 1 - à remplir'!$C$31:$C$400,EL$3)),IF(EL$2="Âge",IF(EL$3="Tous",SUMIFS('Étape 1 - à remplir'!$F$31:$F$400,'Étape 1 - à remplir'!$E$31:$E$400,MASQ2!EC82,'Étape 1 - à remplir'!$G$31:$G$400,"kg"),SUMIFS('Étape 1 - à remplir'!$F$31:$F$400,'Étape 1 - à remplir'!$E$31:$E$400,MASQ2!EC82,'Étape 1 - à remplir'!$P$31:$P$400,EL$3,'Étape 1 - à remplir'!$G$31:$G$400,"kg")),IF(EL$2="Atelier",IF(EL$3="Tous",SUMIFS('Étape 1 - à remplir'!$F$31:$F$400,'Étape 1 - à remplir'!$E$31:$E$400,MASQ2!EC82,'Étape 1 - à remplir'!$G$31:$G$400,"kg"),SUMIFS('Étape 1 - à remplir'!$F$31:$F$400,'Étape 1 - à remplir'!$E$31:$E$400,MASQ2!EC82,'Étape 1 - à remplir'!$O$31:$O$400,EL$3,'Étape 1 - à remplir'!$G$31:$G$400,"kg")),IF(EL$2="Espèce",IF(EL$3="Toutes",SUMIFS('Étape 1 - à remplir'!$F$31:$F$400,'Étape 1 - à remplir'!$E$31:$E$400,MASQ2!EC82,'Étape 1 - à remplir'!$G$31:$G$400,"kg"),SUMIFS('Étape 1 - à remplir'!$F$31:$F$400,'Étape 1 - à remplir'!$E$31:$E$400,MASQ2!EC82,'Étape 1 - à remplir'!$N$31:$N$400,EL$3,'Étape 1 - à remplir'!$G$31:$G$400,"kg")))))))</f>
        <v>#N/A</v>
      </c>
      <c r="EE82" s="76">
        <f t="shared" si="150"/>
        <v>0</v>
      </c>
      <c r="EF82" t="str">
        <f t="shared" si="141"/>
        <v>Lincomycine</v>
      </c>
      <c r="EG82" t="str">
        <f t="shared" si="142"/>
        <v/>
      </c>
      <c r="EH82" t="str">
        <f t="shared" si="143"/>
        <v/>
      </c>
      <c r="EI82" t="str">
        <f t="shared" si="144"/>
        <v>Lincosamides</v>
      </c>
      <c r="EJ82" t="str">
        <f t="shared" si="145"/>
        <v/>
      </c>
      <c r="EK82" s="63" t="str">
        <f t="shared" si="146"/>
        <v/>
      </c>
      <c r="EN82" s="42">
        <v>79</v>
      </c>
      <c r="EO82" t="e">
        <f t="shared" si="152"/>
        <v>#N/A</v>
      </c>
      <c r="EP82" s="63" t="e">
        <f t="shared" si="153"/>
        <v>#N/A</v>
      </c>
      <c r="ER82" s="42">
        <v>6</v>
      </c>
      <c r="ES82" t="str">
        <f t="shared" si="158"/>
        <v/>
      </c>
      <c r="ET82" t="str">
        <f>IF(ES82="","",INDEX('Étape 1 - à remplir'!C$19:$L33,MATCH(ES82,'Étape 1 - à remplir'!L$19:$L33,0),1))</f>
        <v/>
      </c>
      <c r="EU82" t="str">
        <f>IF(ES82="","",INDEX('Étape 1 - à remplir'!C$19:$L33,MATCH(ES82,'Étape 1 - à remplir'!L$19:$L33,0),2))</f>
        <v/>
      </c>
      <c r="EV82" t="str">
        <f>IF(ES82="","",INDEX('Étape 1 - à remplir'!C$19:$L33,MATCH(ES82,'Étape 1 - à remplir'!L$19:$L33,0),3))</f>
        <v/>
      </c>
      <c r="EW82" t="str">
        <f>IF(ES82="","",INDEX('Étape 1 - à remplir'!C$19:$L33,MATCH(ES82,'Étape 1 - à remplir'!L$19:$L33,0),4))</f>
        <v/>
      </c>
      <c r="EX82" t="str">
        <f>IF(ES82="","",INDEX('Étape 1 - à remplir'!C$19:$L33,MATCH(ES82,'Étape 1 - à remplir'!L$19:$L33,0),5))</f>
        <v/>
      </c>
      <c r="EY82" t="str">
        <f t="shared" si="159"/>
        <v/>
      </c>
      <c r="EZ82" s="63" t="str">
        <f t="shared" si="160"/>
        <v/>
      </c>
      <c r="FT82" s="63"/>
    </row>
    <row r="83" spans="2:176" x14ac:dyDescent="0.3">
      <c r="B83" s="42"/>
      <c r="M83" s="194" t="str">
        <f ca="1">INDEX(Données_ATB!BD:BU,MATCH(MASQ2!O83,Données_ATB!BD:BD,0),18)</f>
        <v/>
      </c>
      <c r="N83" s="14" t="str">
        <f>IFERROR(IF(Q83=0,"",COUNTIF(Q$4:Q$600,"&gt;"&amp;Q83)+COUNTIF(Q$4:Q83,Q83)),"")</f>
        <v/>
      </c>
      <c r="O83" t="str">
        <f>Données_ATB!BD82</f>
        <v>CAFMIX LINCOMYCINE 8.8 ENTERITE PORC</v>
      </c>
      <c r="P83" t="e">
        <f>IF(IF(X$2="Catégorie",IF(X$3="Toutes",SUMIFS('Étape 1 - à remplir'!$F$31:$F$400,'Étape 1 - à remplir'!$E$31:$E$400,MASQ2!O83,'Étape 1 - à remplir'!$G$31:$G$400,"animaux"),SUMIFS('Étape 1 - à remplir'!$F$31:$F$400,'Étape 1 - à remplir'!$E$31:$E$400,MASQ2!O83,'Étape 1 - à remplir'!$C$31:$C$400,X$3)),IF(X$2="Âge",IF(X$3="Tous",SUMIFS('Étape 1 - à remplir'!$F$31:$F$400,'Étape 1 - à remplir'!$E$31:$E$400,MASQ2!O83,'Étape 1 - à remplir'!$G$31:$G$400,"animaux"),SUMIFS('Étape 1 - à remplir'!$F$31:$F$400,'Étape 1 - à remplir'!$E$31:$E$400,MASQ2!O83,'Étape 1 - à remplir'!$P$31:$P$400,X$3)),IF(X$2="Atelier",IF(X$3="Tous",SUMIFS('Étape 1 - à remplir'!$F$31:$F$400,'Étape 1 - à remplir'!$E$31:$E$400,MASQ2!O83,'Étape 1 - à remplir'!$G$31:$G$400,"animaux"),SUMIFS('Étape 1 - à remplir'!$F$31:$F$400,'Étape 1 - à remplir'!$E$31:$E$400,MASQ2!O83,'Étape 1 - à remplir'!$O$31:$O$400,X$3)),IF(X$2="Espèce",IF(X$3="Toutes",SUMIFS('Étape 1 - à remplir'!$F$31:$F$400,'Étape 1 - à remplir'!$E$31:$E$400,MASQ2!O83,'Étape 1 - à remplir'!$G$31:$G$400,"animaux"),SUMIFS('Étape 1 - à remplir'!$F$31:$F$400,'Étape 1 - à remplir'!$E$31:$E$400,MASQ2!O83,'Étape 1 - à remplir'!$N$31:$N$400,X$3))))))=0,NA(),IF(X$2="Catégorie",IF(X$3="Toutes",SUMIFS('Étape 1 - à remplir'!$F$31:$F$400,'Étape 1 - à remplir'!$E$31:$E$400,MASQ2!O83,'Étape 1 - à remplir'!$G$31:$G$400,"animaux"),SUMIFS('Étape 1 - à remplir'!$F$31:$F$400,'Étape 1 - à remplir'!$E$31:$E$400,MASQ2!O83,'Étape 1 - à remplir'!$C$31:$C$400,X$3)),IF(X$2="Âge",IF(X$3="Tous",SUMIFS('Étape 1 - à remplir'!$F$31:$F$400,'Étape 1 - à remplir'!$E$31:$E$400,MASQ2!O83,'Étape 1 - à remplir'!$G$31:$G$400,"animaux"),SUMIFS('Étape 1 - à remplir'!$F$31:$F$400,'Étape 1 - à remplir'!$E$31:$E$400,MASQ2!O83,'Étape 1 - à remplir'!$P$31:$P$400,X$3)),IF(X$2="Atelier",IF(X$3="Tous",SUMIFS('Étape 1 - à remplir'!$F$31:$F$400,'Étape 1 - à remplir'!$E$31:$E$400,MASQ2!O83,'Étape 1 - à remplir'!$G$31:$G$400,"animaux"),SUMIFS('Étape 1 - à remplir'!$F$31:$F$400,'Étape 1 - à remplir'!$E$31:$E$400,MASQ2!O83,'Étape 1 - à remplir'!$O$31:$O$400,X$3)),IF(X$2="Espèce",IF(X$3="Toutes",SUMIFS('Étape 1 - à remplir'!$F$31:$F$400,'Étape 1 - à remplir'!$E$31:$E$400,MASQ2!O83,'Étape 1 - à remplir'!$G$31:$G$400,"animaux"),SUMIFS('Étape 1 - à remplir'!$F$31:$F$400,'Étape 1 - à remplir'!$E$31:$E$400,MASQ2!O83,'Étape 1 - à remplir'!$N$31:$N$400,X$3)))))))</f>
        <v>#N/A</v>
      </c>
      <c r="Q83" s="63">
        <f t="shared" si="151"/>
        <v>0</v>
      </c>
      <c r="R83" t="str">
        <f>Données_ATB!BM82</f>
        <v>Lincomycine</v>
      </c>
      <c r="S83" t="str">
        <f>Données_ATB!BN82</f>
        <v/>
      </c>
      <c r="T83" s="63" t="str">
        <f>Données_ATB!BO82</f>
        <v/>
      </c>
      <c r="U83" s="42" t="str">
        <f>Données_ATB!BQ82</f>
        <v>Lincosamides</v>
      </c>
      <c r="V83" t="str">
        <f>Données_ATB!BR82</f>
        <v/>
      </c>
      <c r="W83" s="63" t="str">
        <f>Données_ATB!BS82</f>
        <v/>
      </c>
      <c r="Z83" s="42">
        <v>80</v>
      </c>
      <c r="AA83" t="e">
        <f t="shared" si="147"/>
        <v>#N/A</v>
      </c>
      <c r="AB83" s="63" t="e">
        <f t="shared" si="148"/>
        <v>#N/A</v>
      </c>
      <c r="AD83" s="42">
        <v>7</v>
      </c>
      <c r="AE83" t="str">
        <f t="shared" si="154"/>
        <v/>
      </c>
      <c r="AF83" t="str">
        <f>IF(AE83="","",INDEX('Étape 1 - à remplir'!C$19:$L34,MATCH(AE83,'Étape 1 - à remplir'!L$19:$L$28,0),1))</f>
        <v/>
      </c>
      <c r="AG83" t="str">
        <f>IF(AE83="","",INDEX('Étape 1 - à remplir'!C$19:$L34,MATCH(AE83,'Étape 1 - à remplir'!L$19:$L$28,0),2))</f>
        <v/>
      </c>
      <c r="AH83" t="str">
        <f>IF(AE83="","",INDEX('Étape 1 - à remplir'!C$19:$L34,MATCH(AE83,'Étape 1 - à remplir'!L$19:$L$28,0),3))</f>
        <v/>
      </c>
      <c r="AI83" t="str">
        <f>IF(AE83="","",INDEX('Étape 1 - à remplir'!C$19:$L34,MATCH(AE83,'Étape 1 - à remplir'!L$19:$L$28,0),4))</f>
        <v/>
      </c>
      <c r="AJ83" t="str">
        <f>IF(AE83="","",INDEX('Étape 1 - à remplir'!C$19:$L34,MATCH(AE83,'Étape 1 - à remplir'!L$19:$L$28,0),5))</f>
        <v/>
      </c>
      <c r="AK83" t="str">
        <f t="shared" si="161"/>
        <v/>
      </c>
      <c r="AL83" s="63" t="str">
        <f t="shared" si="155"/>
        <v/>
      </c>
      <c r="BF83" s="63"/>
      <c r="BT83" s="194" t="str">
        <f t="shared" ca="1" si="131"/>
        <v/>
      </c>
      <c r="BU83" s="219" t="str">
        <f>IFERROR(IF(BX83=0,"",COUNTIF(BX$4:BX$600,"&gt;"&amp;BX83)+COUNTIF(BX$4:BX83,BX83)),"")</f>
        <v/>
      </c>
      <c r="BV83" s="42" t="str">
        <f t="shared" si="132"/>
        <v>CAFMIX LINCOMYCINE 8.8 ENTERITE PORC</v>
      </c>
      <c r="BW83" t="e">
        <f>IF(IF(CE$2="Catégorie",IF(CE$3="Toutes",SUMIFS('Étape 1 - à remplir'!$F$31:$F$400,'Étape 1 - à remplir'!$E$31:$E$400,MASQ2!BV83,'Étape 1 - à remplir'!$G$31:$G$400,"lots"),SUMIFS('Étape 1 - à remplir'!$F$31:$F$400,'Étape 1 - à remplir'!$E$31:$E$400,MASQ2!BV83,'Étape 1 - à remplir'!$C$31:$C$400,CE$3)),IF(CE$2="Âge",IF(CE$3="Tous",SUMIFS('Étape 1 - à remplir'!$F$31:$F$400,'Étape 1 - à remplir'!$E$31:$E$400,MASQ2!BV83,'Étape 1 - à remplir'!$G$31:$G$400,"lots"),SUMIFS('Étape 1 - à remplir'!$F$31:$F$400,'Étape 1 - à remplir'!$E$31:$E$400,MASQ2!BV83,'Étape 1 - à remplir'!$P$31:$P$400,CE$3,'Étape 1 - à remplir'!$G$31:$G$400,"lots")),IF(CE$2="Atelier",IF(CE$3="Tous",SUMIFS('Étape 1 - à remplir'!$F$31:$F$400,'Étape 1 - à remplir'!$E$31:$E$400,MASQ2!BV83,'Étape 1 - à remplir'!$G$31:$G$400,"lots"),SUMIFS('Étape 1 - à remplir'!$F$31:$F$400,'Étape 1 - à remplir'!$E$31:$E$400,MASQ2!BV83,'Étape 1 - à remplir'!$O$31:$O$400,CE$3,'Étape 1 - à remplir'!$G$31:$G$400,"lots")),IF(CE$2="Espèce",IF(CE$3="Toutes",SUMIFS('Étape 1 - à remplir'!$F$31:$F$400,'Étape 1 - à remplir'!$E$31:$E$400,MASQ2!BV83,'Étape 1 - à remplir'!$G$31:$G$400,"lots"),SUMIFS('Étape 1 - à remplir'!$F$31:$F$400,'Étape 1 - à remplir'!$E$31:$E$400,MASQ2!BV83,'Étape 1 - à remplir'!$N$31:$N$400,CE$3,'Étape 1 - à remplir'!$G$31:$G$400,"lots"))))))=0,NA(),IF(CE$2="Catégorie",IF(CE$3="Toutes",SUMIFS('Étape 1 - à remplir'!$F$31:$F$400,'Étape 1 - à remplir'!$E$31:$E$400,MASQ2!BV83,'Étape 1 - à remplir'!$G$31:$G$400,"lots"),SUMIFS('Étape 1 - à remplir'!$F$31:$F$400,'Étape 1 - à remplir'!$E$31:$E$400,MASQ2!BV83,'Étape 1 - à remplir'!$C$31:$C$400,CE$3)),IF(CE$2="Âge",IF(CE$3="Tous",SUMIFS('Étape 1 - à remplir'!$F$31:$F$400,'Étape 1 - à remplir'!$E$31:$E$400,MASQ2!BV83,'Étape 1 - à remplir'!$G$31:$G$400,"lots"),SUMIFS('Étape 1 - à remplir'!$F$31:$F$400,'Étape 1 - à remplir'!$E$31:$E$400,MASQ2!BV83,'Étape 1 - à remplir'!$P$31:$P$400,CE$3,'Étape 1 - à remplir'!$G$31:$G$400,"lots")),IF(CE$2="Atelier",IF(CE$3="Tous",SUMIFS('Étape 1 - à remplir'!$F$31:$F$400,'Étape 1 - à remplir'!$E$31:$E$400,MASQ2!BV83,'Étape 1 - à remplir'!$G$31:$G$400,"lots"),SUMIFS('Étape 1 - à remplir'!$F$31:$F$400,'Étape 1 - à remplir'!$E$31:$E$400,MASQ2!BV83,'Étape 1 - à remplir'!$O$31:$O$400,CE$3,'Étape 1 - à remplir'!$G$31:$G$400,"lots")),IF(CE$2="Espèce",IF(CE$3="Toutes",SUMIFS('Étape 1 - à remplir'!$F$31:$F$400,'Étape 1 - à remplir'!$E$31:$E$400,MASQ2!BV83,'Étape 1 - à remplir'!$G$31:$G$400,"lots"),SUMIFS('Étape 1 - à remplir'!$F$31:$F$400,'Étape 1 - à remplir'!$E$31:$E$400,MASQ2!BV83,'Étape 1 - à remplir'!$N$31:$N$400,CE$3,'Étape 1 - à remplir'!$G$31:$G$400,"lots")))))))</f>
        <v>#N/A</v>
      </c>
      <c r="BX83">
        <f t="shared" si="149"/>
        <v>0</v>
      </c>
      <c r="BY83" t="str">
        <f t="shared" si="133"/>
        <v>Lincomycine</v>
      </c>
      <c r="BZ83" t="str">
        <f t="shared" si="134"/>
        <v/>
      </c>
      <c r="CA83" t="str">
        <f t="shared" si="135"/>
        <v/>
      </c>
      <c r="CB83" t="str">
        <f t="shared" si="136"/>
        <v>Lincosamides</v>
      </c>
      <c r="CC83" t="str">
        <f t="shared" si="137"/>
        <v/>
      </c>
      <c r="CD83" s="63" t="str">
        <f t="shared" si="138"/>
        <v/>
      </c>
      <c r="CG83" s="42">
        <v>80</v>
      </c>
      <c r="CH83" s="42" t="e">
        <f t="shared" si="163"/>
        <v>#N/A</v>
      </c>
      <c r="CI83" s="63" t="e">
        <f t="shared" si="164"/>
        <v>#N/A</v>
      </c>
      <c r="CK83" s="42">
        <v>7</v>
      </c>
      <c r="CL83" t="str">
        <f t="shared" si="156"/>
        <v/>
      </c>
      <c r="CM83" t="str">
        <f>IF(CL83="","",INDEX('Étape 1 - à remplir'!C$19:$L$28,MATCH(CL83,'Étape 1 - à remplir'!L$19:$L$28,0),1))</f>
        <v/>
      </c>
      <c r="CN83" t="str">
        <f>IF(CL83="","",INDEX('Étape 1 - à remplir'!C$19:$L$28,MATCH(CL83,'Étape 1 - à remplir'!L$19:$L$28,0),2))</f>
        <v/>
      </c>
      <c r="CO83" t="str">
        <f>IF(CL83="","",INDEX('Étape 1 - à remplir'!$C$19:$L$28,MATCH(CL83,'Étape 1 - à remplir'!$L$19:L$28,0),3))</f>
        <v/>
      </c>
      <c r="CP83" t="str">
        <f>IF(CL83="","",INDEX('Étape 1 - à remplir'!$C$19:$J34,MATCH(CL83,'Étape 1 - à remplir'!$L$19:$L$28,0),4))</f>
        <v/>
      </c>
      <c r="CQ83" t="str">
        <f>IF(CL83="","",INDEX('Étape 1 - à remplir'!$C$19:$L34,MATCH(CL83,'Étape 1 - à remplir'!$L$19:$L$28,0),5))</f>
        <v/>
      </c>
      <c r="CR83" t="str">
        <f t="shared" si="162"/>
        <v/>
      </c>
      <c r="CS83" s="63" t="str">
        <f t="shared" si="157"/>
        <v/>
      </c>
      <c r="DM83" s="63"/>
      <c r="EA83" s="194" t="str">
        <f t="shared" ca="1" si="139"/>
        <v/>
      </c>
      <c r="EB83" s="226" t="str">
        <f>IFERROR(IF(ED83=0,"",COUNTIF(ED$4:ED$600,"&gt;"&amp;ED83)+COUNTIF(ED$4:ED83,ED83)),"")</f>
        <v/>
      </c>
      <c r="EC83" t="str">
        <f t="shared" si="140"/>
        <v>CAFMIX LINCOMYCINE 8.8 ENTERITE PORC</v>
      </c>
      <c r="ED83" t="e">
        <f>IF(IF(EL$2="Catégorie",IF(EL$3="Toutes",SUMIFS('Étape 1 - à remplir'!$F$31:$F$400,'Étape 1 - à remplir'!$E$31:$E$400,MASQ2!EC83,'Étape 1 - à remplir'!$G$31:$G$400,"kg"),SUMIFS('Étape 1 - à remplir'!$F$31:$F$400,'Étape 1 - à remplir'!$E$31:$E$400,MASQ2!EC83,'Étape 1 - à remplir'!$C$31:$C$400,EL$3)),IF(EL$2="Âge",IF(EL$3="Tous",SUMIFS('Étape 1 - à remplir'!$F$31:$F$400,'Étape 1 - à remplir'!$E$31:$E$400,MASQ2!EC83,'Étape 1 - à remplir'!$G$31:$G$400,"kg"),SUMIFS('Étape 1 - à remplir'!$F$31:$F$400,'Étape 1 - à remplir'!$E$31:$E$400,MASQ2!EC83,'Étape 1 - à remplir'!$P$31:$P$400,EL$3,'Étape 1 - à remplir'!$G$31:$G$400,"kg")),IF(EL$2="Atelier",IF(EL$3="Tous",SUMIFS('Étape 1 - à remplir'!$F$31:$F$400,'Étape 1 - à remplir'!$E$31:$E$400,MASQ2!EC83,'Étape 1 - à remplir'!$G$31:$G$400,"kg"),SUMIFS('Étape 1 - à remplir'!$F$31:$F$400,'Étape 1 - à remplir'!$E$31:$E$400,MASQ2!EC83,'Étape 1 - à remplir'!$O$31:$O$400,EL$3,'Étape 1 - à remplir'!$G$31:$G$400,"kg")),IF(EL$2="Espèce",IF(EL$3="Toutes",SUMIFS('Étape 1 - à remplir'!$F$31:$F$400,'Étape 1 - à remplir'!$E$31:$E$400,MASQ2!EC83,'Étape 1 - à remplir'!$G$31:$G$400,"kg"),SUMIFS('Étape 1 - à remplir'!$F$31:$F$400,'Étape 1 - à remplir'!$E$31:$E$400,MASQ2!EC83,'Étape 1 - à remplir'!$N$31:$N$400,EL$3,'Étape 1 - à remplir'!$G$31:$G$400,"kg"))))))=0,NA(),IF(EL$2="Catégorie",IF(EL$3="Toutes",SUMIFS('Étape 1 - à remplir'!$F$31:$F$400,'Étape 1 - à remplir'!$E$31:$E$400,MASQ2!EC83,'Étape 1 - à remplir'!$G$31:$G$400,"kg"),SUMIFS('Étape 1 - à remplir'!$F$31:$F$400,'Étape 1 - à remplir'!$E$31:$E$400,MASQ2!EC83,'Étape 1 - à remplir'!$C$31:$C$400,EL$3)),IF(EL$2="Âge",IF(EL$3="Tous",SUMIFS('Étape 1 - à remplir'!$F$31:$F$400,'Étape 1 - à remplir'!$E$31:$E$400,MASQ2!EC83,'Étape 1 - à remplir'!$G$31:$G$400,"kg"),SUMIFS('Étape 1 - à remplir'!$F$31:$F$400,'Étape 1 - à remplir'!$E$31:$E$400,MASQ2!EC83,'Étape 1 - à remplir'!$P$31:$P$400,EL$3,'Étape 1 - à remplir'!$G$31:$G$400,"kg")),IF(EL$2="Atelier",IF(EL$3="Tous",SUMIFS('Étape 1 - à remplir'!$F$31:$F$400,'Étape 1 - à remplir'!$E$31:$E$400,MASQ2!EC83,'Étape 1 - à remplir'!$G$31:$G$400,"kg"),SUMIFS('Étape 1 - à remplir'!$F$31:$F$400,'Étape 1 - à remplir'!$E$31:$E$400,MASQ2!EC83,'Étape 1 - à remplir'!$O$31:$O$400,EL$3,'Étape 1 - à remplir'!$G$31:$G$400,"kg")),IF(EL$2="Espèce",IF(EL$3="Toutes",SUMIFS('Étape 1 - à remplir'!$F$31:$F$400,'Étape 1 - à remplir'!$E$31:$E$400,MASQ2!EC83,'Étape 1 - à remplir'!$G$31:$G$400,"kg"),SUMIFS('Étape 1 - à remplir'!$F$31:$F$400,'Étape 1 - à remplir'!$E$31:$E$400,MASQ2!EC83,'Étape 1 - à remplir'!$N$31:$N$400,EL$3,'Étape 1 - à remplir'!$G$31:$G$400,"kg")))))))</f>
        <v>#N/A</v>
      </c>
      <c r="EE83" s="76">
        <f t="shared" si="150"/>
        <v>0</v>
      </c>
      <c r="EF83" t="str">
        <f t="shared" si="141"/>
        <v>Lincomycine</v>
      </c>
      <c r="EG83" t="str">
        <f t="shared" si="142"/>
        <v/>
      </c>
      <c r="EH83" t="str">
        <f t="shared" si="143"/>
        <v/>
      </c>
      <c r="EI83" t="str">
        <f t="shared" si="144"/>
        <v>Lincosamides</v>
      </c>
      <c r="EJ83" t="str">
        <f t="shared" si="145"/>
        <v/>
      </c>
      <c r="EK83" s="63" t="str">
        <f t="shared" si="146"/>
        <v/>
      </c>
      <c r="EN83" s="42">
        <v>80</v>
      </c>
      <c r="EO83" t="e">
        <f t="shared" si="152"/>
        <v>#N/A</v>
      </c>
      <c r="EP83" s="63" t="e">
        <f t="shared" si="153"/>
        <v>#N/A</v>
      </c>
      <c r="ER83" s="42">
        <v>7</v>
      </c>
      <c r="ES83" t="str">
        <f t="shared" si="158"/>
        <v/>
      </c>
      <c r="ET83" t="str">
        <f>IF(ES83="","",INDEX('Étape 1 - à remplir'!C$19:$L34,MATCH(ES83,'Étape 1 - à remplir'!L$19:$L34,0),1))</f>
        <v/>
      </c>
      <c r="EU83" t="str">
        <f>IF(ES83="","",INDEX('Étape 1 - à remplir'!C$19:$L34,MATCH(ES83,'Étape 1 - à remplir'!L$19:$L34,0),2))</f>
        <v/>
      </c>
      <c r="EV83" t="str">
        <f>IF(ES83="","",INDEX('Étape 1 - à remplir'!C$19:$L34,MATCH(ES83,'Étape 1 - à remplir'!L$19:$L34,0),3))</f>
        <v/>
      </c>
      <c r="EW83" t="str">
        <f>IF(ES83="","",INDEX('Étape 1 - à remplir'!C$19:$L34,MATCH(ES83,'Étape 1 - à remplir'!L$19:$L34,0),4))</f>
        <v/>
      </c>
      <c r="EX83" t="str">
        <f>IF(ES83="","",INDEX('Étape 1 - à remplir'!C$19:$L34,MATCH(ES83,'Étape 1 - à remplir'!L$19:$L34,0),5))</f>
        <v/>
      </c>
      <c r="EY83" t="str">
        <f t="shared" si="159"/>
        <v/>
      </c>
      <c r="EZ83" s="63" t="str">
        <f t="shared" si="160"/>
        <v/>
      </c>
      <c r="FT83" s="63"/>
    </row>
    <row r="84" spans="2:176" x14ac:dyDescent="0.3">
      <c r="B84" s="42"/>
      <c r="M84" s="194" t="str">
        <f ca="1">INDEX(Données_ATB!BD:BU,MATCH(MASQ2!O84,Données_ATB!BD:BD,0),18)</f>
        <v/>
      </c>
      <c r="N84" s="14" t="str">
        <f>IFERROR(IF(Q84=0,"",COUNTIF(Q$4:Q$600,"&gt;"&amp;Q84)+COUNTIF(Q$4:Q84,Q84)),"")</f>
        <v/>
      </c>
      <c r="O84" t="str">
        <f>Données_ATB!BD83</f>
        <v>CALFLOR 300 MG/ML SOLUTION INJECTABLE POUR BOVINS ET PORCINS</v>
      </c>
      <c r="P84" t="e">
        <f>IF(IF(X$2="Catégorie",IF(X$3="Toutes",SUMIFS('Étape 1 - à remplir'!$F$31:$F$400,'Étape 1 - à remplir'!$E$31:$E$400,MASQ2!O84,'Étape 1 - à remplir'!$G$31:$G$400,"animaux"),SUMIFS('Étape 1 - à remplir'!$F$31:$F$400,'Étape 1 - à remplir'!$E$31:$E$400,MASQ2!O84,'Étape 1 - à remplir'!$C$31:$C$400,X$3)),IF(X$2="Âge",IF(X$3="Tous",SUMIFS('Étape 1 - à remplir'!$F$31:$F$400,'Étape 1 - à remplir'!$E$31:$E$400,MASQ2!O84,'Étape 1 - à remplir'!$G$31:$G$400,"animaux"),SUMIFS('Étape 1 - à remplir'!$F$31:$F$400,'Étape 1 - à remplir'!$E$31:$E$400,MASQ2!O84,'Étape 1 - à remplir'!$P$31:$P$400,X$3)),IF(X$2="Atelier",IF(X$3="Tous",SUMIFS('Étape 1 - à remplir'!$F$31:$F$400,'Étape 1 - à remplir'!$E$31:$E$400,MASQ2!O84,'Étape 1 - à remplir'!$G$31:$G$400,"animaux"),SUMIFS('Étape 1 - à remplir'!$F$31:$F$400,'Étape 1 - à remplir'!$E$31:$E$400,MASQ2!O84,'Étape 1 - à remplir'!$O$31:$O$400,X$3)),IF(X$2="Espèce",IF(X$3="Toutes",SUMIFS('Étape 1 - à remplir'!$F$31:$F$400,'Étape 1 - à remplir'!$E$31:$E$400,MASQ2!O84,'Étape 1 - à remplir'!$G$31:$G$400,"animaux"),SUMIFS('Étape 1 - à remplir'!$F$31:$F$400,'Étape 1 - à remplir'!$E$31:$E$400,MASQ2!O84,'Étape 1 - à remplir'!$N$31:$N$400,X$3))))))=0,NA(),IF(X$2="Catégorie",IF(X$3="Toutes",SUMIFS('Étape 1 - à remplir'!$F$31:$F$400,'Étape 1 - à remplir'!$E$31:$E$400,MASQ2!O84,'Étape 1 - à remplir'!$G$31:$G$400,"animaux"),SUMIFS('Étape 1 - à remplir'!$F$31:$F$400,'Étape 1 - à remplir'!$E$31:$E$400,MASQ2!O84,'Étape 1 - à remplir'!$C$31:$C$400,X$3)),IF(X$2="Âge",IF(X$3="Tous",SUMIFS('Étape 1 - à remplir'!$F$31:$F$400,'Étape 1 - à remplir'!$E$31:$E$400,MASQ2!O84,'Étape 1 - à remplir'!$G$31:$G$400,"animaux"),SUMIFS('Étape 1 - à remplir'!$F$31:$F$400,'Étape 1 - à remplir'!$E$31:$E$400,MASQ2!O84,'Étape 1 - à remplir'!$P$31:$P$400,X$3)),IF(X$2="Atelier",IF(X$3="Tous",SUMIFS('Étape 1 - à remplir'!$F$31:$F$400,'Étape 1 - à remplir'!$E$31:$E$400,MASQ2!O84,'Étape 1 - à remplir'!$G$31:$G$400,"animaux"),SUMIFS('Étape 1 - à remplir'!$F$31:$F$400,'Étape 1 - à remplir'!$E$31:$E$400,MASQ2!O84,'Étape 1 - à remplir'!$O$31:$O$400,X$3)),IF(X$2="Espèce",IF(X$3="Toutes",SUMIFS('Étape 1 - à remplir'!$F$31:$F$400,'Étape 1 - à remplir'!$E$31:$E$400,MASQ2!O84,'Étape 1 - à remplir'!$G$31:$G$400,"animaux"),SUMIFS('Étape 1 - à remplir'!$F$31:$F$400,'Étape 1 - à remplir'!$E$31:$E$400,MASQ2!O84,'Étape 1 - à remplir'!$N$31:$N$400,X$3)))))))</f>
        <v>#N/A</v>
      </c>
      <c r="Q84" s="63">
        <f t="shared" si="151"/>
        <v>0</v>
      </c>
      <c r="R84" t="str">
        <f>Données_ATB!BM83</f>
        <v>Florfénicol</v>
      </c>
      <c r="S84" t="str">
        <f>Données_ATB!BN83</f>
        <v/>
      </c>
      <c r="T84" s="63" t="str">
        <f>Données_ATB!BO83</f>
        <v/>
      </c>
      <c r="U84" s="42" t="str">
        <f>Données_ATB!BQ83</f>
        <v>Phenicoles</v>
      </c>
      <c r="V84" t="str">
        <f>Données_ATB!BR83</f>
        <v/>
      </c>
      <c r="W84" s="63" t="str">
        <f>Données_ATB!BS83</f>
        <v/>
      </c>
      <c r="Z84" s="42">
        <v>81</v>
      </c>
      <c r="AA84" t="e">
        <f t="shared" si="147"/>
        <v>#N/A</v>
      </c>
      <c r="AB84" s="63" t="e">
        <f t="shared" si="148"/>
        <v>#N/A</v>
      </c>
      <c r="AD84" s="42">
        <v>8</v>
      </c>
      <c r="AE84" t="str">
        <f t="shared" si="154"/>
        <v/>
      </c>
      <c r="AF84" t="str">
        <f>IF(AE84="","",INDEX('Étape 1 - à remplir'!C$19:$L35,MATCH(AE84,'Étape 1 - à remplir'!L$19:$L$28,0),1))</f>
        <v/>
      </c>
      <c r="AG84" t="str">
        <f>IF(AE84="","",INDEX('Étape 1 - à remplir'!C$19:$L35,MATCH(AE84,'Étape 1 - à remplir'!L$19:$L$28,0),2))</f>
        <v/>
      </c>
      <c r="AH84" t="str">
        <f>IF(AE84="","",INDEX('Étape 1 - à remplir'!C$19:$L35,MATCH(AE84,'Étape 1 - à remplir'!L$19:$L$28,0),3))</f>
        <v/>
      </c>
      <c r="AI84" t="str">
        <f>IF(AE84="","",INDEX('Étape 1 - à remplir'!C$19:$L35,MATCH(AE84,'Étape 1 - à remplir'!L$19:$L$28,0),4))</f>
        <v/>
      </c>
      <c r="AJ84" t="str">
        <f>IF(AE84="","",INDEX('Étape 1 - à remplir'!C$19:$L35,MATCH(AE84,'Étape 1 - à remplir'!L$19:$L$28,0),5))</f>
        <v/>
      </c>
      <c r="AK84" t="str">
        <f t="shared" si="161"/>
        <v/>
      </c>
      <c r="AL84" s="63" t="str">
        <f t="shared" si="155"/>
        <v/>
      </c>
      <c r="BF84" s="63"/>
      <c r="BT84" s="194" t="str">
        <f t="shared" ca="1" si="131"/>
        <v/>
      </c>
      <c r="BU84" s="219" t="str">
        <f>IFERROR(IF(BX84=0,"",COUNTIF(BX$4:BX$600,"&gt;"&amp;BX84)+COUNTIF(BX$4:BX84,BX84)),"")</f>
        <v/>
      </c>
      <c r="BV84" s="42" t="str">
        <f t="shared" si="132"/>
        <v>CALFLOR 300 MG/ML SOLUTION INJECTABLE POUR BOVINS ET PORCINS</v>
      </c>
      <c r="BW84" t="e">
        <f>IF(IF(CE$2="Catégorie",IF(CE$3="Toutes",SUMIFS('Étape 1 - à remplir'!$F$31:$F$400,'Étape 1 - à remplir'!$E$31:$E$400,MASQ2!BV84,'Étape 1 - à remplir'!$G$31:$G$400,"lots"),SUMIFS('Étape 1 - à remplir'!$F$31:$F$400,'Étape 1 - à remplir'!$E$31:$E$400,MASQ2!BV84,'Étape 1 - à remplir'!$C$31:$C$400,CE$3)),IF(CE$2="Âge",IF(CE$3="Tous",SUMIFS('Étape 1 - à remplir'!$F$31:$F$400,'Étape 1 - à remplir'!$E$31:$E$400,MASQ2!BV84,'Étape 1 - à remplir'!$G$31:$G$400,"lots"),SUMIFS('Étape 1 - à remplir'!$F$31:$F$400,'Étape 1 - à remplir'!$E$31:$E$400,MASQ2!BV84,'Étape 1 - à remplir'!$P$31:$P$400,CE$3,'Étape 1 - à remplir'!$G$31:$G$400,"lots")),IF(CE$2="Atelier",IF(CE$3="Tous",SUMIFS('Étape 1 - à remplir'!$F$31:$F$400,'Étape 1 - à remplir'!$E$31:$E$400,MASQ2!BV84,'Étape 1 - à remplir'!$G$31:$G$400,"lots"),SUMIFS('Étape 1 - à remplir'!$F$31:$F$400,'Étape 1 - à remplir'!$E$31:$E$400,MASQ2!BV84,'Étape 1 - à remplir'!$O$31:$O$400,CE$3,'Étape 1 - à remplir'!$G$31:$G$400,"lots")),IF(CE$2="Espèce",IF(CE$3="Toutes",SUMIFS('Étape 1 - à remplir'!$F$31:$F$400,'Étape 1 - à remplir'!$E$31:$E$400,MASQ2!BV84,'Étape 1 - à remplir'!$G$31:$G$400,"lots"),SUMIFS('Étape 1 - à remplir'!$F$31:$F$400,'Étape 1 - à remplir'!$E$31:$E$400,MASQ2!BV84,'Étape 1 - à remplir'!$N$31:$N$400,CE$3,'Étape 1 - à remplir'!$G$31:$G$400,"lots"))))))=0,NA(),IF(CE$2="Catégorie",IF(CE$3="Toutes",SUMIFS('Étape 1 - à remplir'!$F$31:$F$400,'Étape 1 - à remplir'!$E$31:$E$400,MASQ2!BV84,'Étape 1 - à remplir'!$G$31:$G$400,"lots"),SUMIFS('Étape 1 - à remplir'!$F$31:$F$400,'Étape 1 - à remplir'!$E$31:$E$400,MASQ2!BV84,'Étape 1 - à remplir'!$C$31:$C$400,CE$3)),IF(CE$2="Âge",IF(CE$3="Tous",SUMIFS('Étape 1 - à remplir'!$F$31:$F$400,'Étape 1 - à remplir'!$E$31:$E$400,MASQ2!BV84,'Étape 1 - à remplir'!$G$31:$G$400,"lots"),SUMIFS('Étape 1 - à remplir'!$F$31:$F$400,'Étape 1 - à remplir'!$E$31:$E$400,MASQ2!BV84,'Étape 1 - à remplir'!$P$31:$P$400,CE$3,'Étape 1 - à remplir'!$G$31:$G$400,"lots")),IF(CE$2="Atelier",IF(CE$3="Tous",SUMIFS('Étape 1 - à remplir'!$F$31:$F$400,'Étape 1 - à remplir'!$E$31:$E$400,MASQ2!BV84,'Étape 1 - à remplir'!$G$31:$G$400,"lots"),SUMIFS('Étape 1 - à remplir'!$F$31:$F$400,'Étape 1 - à remplir'!$E$31:$E$400,MASQ2!BV84,'Étape 1 - à remplir'!$O$31:$O$400,CE$3,'Étape 1 - à remplir'!$G$31:$G$400,"lots")),IF(CE$2="Espèce",IF(CE$3="Toutes",SUMIFS('Étape 1 - à remplir'!$F$31:$F$400,'Étape 1 - à remplir'!$E$31:$E$400,MASQ2!BV84,'Étape 1 - à remplir'!$G$31:$G$400,"lots"),SUMIFS('Étape 1 - à remplir'!$F$31:$F$400,'Étape 1 - à remplir'!$E$31:$E$400,MASQ2!BV84,'Étape 1 - à remplir'!$N$31:$N$400,CE$3,'Étape 1 - à remplir'!$G$31:$G$400,"lots")))))))</f>
        <v>#N/A</v>
      </c>
      <c r="BX84">
        <f t="shared" si="149"/>
        <v>0</v>
      </c>
      <c r="BY84" t="str">
        <f t="shared" si="133"/>
        <v>Florfénicol</v>
      </c>
      <c r="BZ84" t="str">
        <f t="shared" si="134"/>
        <v/>
      </c>
      <c r="CA84" t="str">
        <f t="shared" si="135"/>
        <v/>
      </c>
      <c r="CB84" t="str">
        <f t="shared" si="136"/>
        <v>Phenicoles</v>
      </c>
      <c r="CC84" t="str">
        <f t="shared" si="137"/>
        <v/>
      </c>
      <c r="CD84" s="63" t="str">
        <f t="shared" si="138"/>
        <v/>
      </c>
      <c r="CG84" s="42">
        <v>81</v>
      </c>
      <c r="CH84" s="42" t="e">
        <f t="shared" si="163"/>
        <v>#N/A</v>
      </c>
      <c r="CI84" s="63" t="e">
        <f t="shared" si="164"/>
        <v>#N/A</v>
      </c>
      <c r="CK84" s="42">
        <v>8</v>
      </c>
      <c r="CL84" t="str">
        <f t="shared" si="156"/>
        <v/>
      </c>
      <c r="CM84" t="str">
        <f>IF(CL84="","",INDEX('Étape 1 - à remplir'!C$19:$L$28,MATCH(CL84,'Étape 1 - à remplir'!L$19:$L$28,0),1))</f>
        <v/>
      </c>
      <c r="CN84" t="str">
        <f>IF(CL84="","",INDEX('Étape 1 - à remplir'!C$19:$L$28,MATCH(CL84,'Étape 1 - à remplir'!L$19:$L$28,0),2))</f>
        <v/>
      </c>
      <c r="CO84" t="str">
        <f>IF(CL84="","",INDEX('Étape 1 - à remplir'!$C$19:$L$28,MATCH(CL84,'Étape 1 - à remplir'!$L$19:L$28,0),3))</f>
        <v/>
      </c>
      <c r="CP84" t="str">
        <f>IF(CL84="","",INDEX('Étape 1 - à remplir'!$C$19:$J35,MATCH(CL84,'Étape 1 - à remplir'!$L$19:$L$28,0),4))</f>
        <v/>
      </c>
      <c r="CQ84" t="str">
        <f>IF(CL84="","",INDEX('Étape 1 - à remplir'!$C$19:$L35,MATCH(CL84,'Étape 1 - à remplir'!$L$19:$L$28,0),5))</f>
        <v/>
      </c>
      <c r="CR84" t="str">
        <f t="shared" si="162"/>
        <v/>
      </c>
      <c r="CS84" s="63" t="str">
        <f t="shared" si="157"/>
        <v/>
      </c>
      <c r="DM84" s="63"/>
      <c r="EA84" s="194" t="str">
        <f t="shared" ca="1" si="139"/>
        <v/>
      </c>
      <c r="EB84" s="226" t="str">
        <f>IFERROR(IF(ED84=0,"",COUNTIF(ED$4:ED$600,"&gt;"&amp;ED84)+COUNTIF(ED$4:ED84,ED84)),"")</f>
        <v/>
      </c>
      <c r="EC84" t="str">
        <f t="shared" si="140"/>
        <v>CALFLOR 300 MG/ML SOLUTION INJECTABLE POUR BOVINS ET PORCINS</v>
      </c>
      <c r="ED84" t="e">
        <f>IF(IF(EL$2="Catégorie",IF(EL$3="Toutes",SUMIFS('Étape 1 - à remplir'!$F$31:$F$400,'Étape 1 - à remplir'!$E$31:$E$400,MASQ2!EC84,'Étape 1 - à remplir'!$G$31:$G$400,"kg"),SUMIFS('Étape 1 - à remplir'!$F$31:$F$400,'Étape 1 - à remplir'!$E$31:$E$400,MASQ2!EC84,'Étape 1 - à remplir'!$C$31:$C$400,EL$3)),IF(EL$2="Âge",IF(EL$3="Tous",SUMIFS('Étape 1 - à remplir'!$F$31:$F$400,'Étape 1 - à remplir'!$E$31:$E$400,MASQ2!EC84,'Étape 1 - à remplir'!$G$31:$G$400,"kg"),SUMIFS('Étape 1 - à remplir'!$F$31:$F$400,'Étape 1 - à remplir'!$E$31:$E$400,MASQ2!EC84,'Étape 1 - à remplir'!$P$31:$P$400,EL$3,'Étape 1 - à remplir'!$G$31:$G$400,"kg")),IF(EL$2="Atelier",IF(EL$3="Tous",SUMIFS('Étape 1 - à remplir'!$F$31:$F$400,'Étape 1 - à remplir'!$E$31:$E$400,MASQ2!EC84,'Étape 1 - à remplir'!$G$31:$G$400,"kg"),SUMIFS('Étape 1 - à remplir'!$F$31:$F$400,'Étape 1 - à remplir'!$E$31:$E$400,MASQ2!EC84,'Étape 1 - à remplir'!$O$31:$O$400,EL$3,'Étape 1 - à remplir'!$G$31:$G$400,"kg")),IF(EL$2="Espèce",IF(EL$3="Toutes",SUMIFS('Étape 1 - à remplir'!$F$31:$F$400,'Étape 1 - à remplir'!$E$31:$E$400,MASQ2!EC84,'Étape 1 - à remplir'!$G$31:$G$400,"kg"),SUMIFS('Étape 1 - à remplir'!$F$31:$F$400,'Étape 1 - à remplir'!$E$31:$E$400,MASQ2!EC84,'Étape 1 - à remplir'!$N$31:$N$400,EL$3,'Étape 1 - à remplir'!$G$31:$G$400,"kg"))))))=0,NA(),IF(EL$2="Catégorie",IF(EL$3="Toutes",SUMIFS('Étape 1 - à remplir'!$F$31:$F$400,'Étape 1 - à remplir'!$E$31:$E$400,MASQ2!EC84,'Étape 1 - à remplir'!$G$31:$G$400,"kg"),SUMIFS('Étape 1 - à remplir'!$F$31:$F$400,'Étape 1 - à remplir'!$E$31:$E$400,MASQ2!EC84,'Étape 1 - à remplir'!$C$31:$C$400,EL$3)),IF(EL$2="Âge",IF(EL$3="Tous",SUMIFS('Étape 1 - à remplir'!$F$31:$F$400,'Étape 1 - à remplir'!$E$31:$E$400,MASQ2!EC84,'Étape 1 - à remplir'!$G$31:$G$400,"kg"),SUMIFS('Étape 1 - à remplir'!$F$31:$F$400,'Étape 1 - à remplir'!$E$31:$E$400,MASQ2!EC84,'Étape 1 - à remplir'!$P$31:$P$400,EL$3,'Étape 1 - à remplir'!$G$31:$G$400,"kg")),IF(EL$2="Atelier",IF(EL$3="Tous",SUMIFS('Étape 1 - à remplir'!$F$31:$F$400,'Étape 1 - à remplir'!$E$31:$E$400,MASQ2!EC84,'Étape 1 - à remplir'!$G$31:$G$400,"kg"),SUMIFS('Étape 1 - à remplir'!$F$31:$F$400,'Étape 1 - à remplir'!$E$31:$E$400,MASQ2!EC84,'Étape 1 - à remplir'!$O$31:$O$400,EL$3,'Étape 1 - à remplir'!$G$31:$G$400,"kg")),IF(EL$2="Espèce",IF(EL$3="Toutes",SUMIFS('Étape 1 - à remplir'!$F$31:$F$400,'Étape 1 - à remplir'!$E$31:$E$400,MASQ2!EC84,'Étape 1 - à remplir'!$G$31:$G$400,"kg"),SUMIFS('Étape 1 - à remplir'!$F$31:$F$400,'Étape 1 - à remplir'!$E$31:$E$400,MASQ2!EC84,'Étape 1 - à remplir'!$N$31:$N$400,EL$3,'Étape 1 - à remplir'!$G$31:$G$400,"kg")))))))</f>
        <v>#N/A</v>
      </c>
      <c r="EE84" s="76">
        <f t="shared" si="150"/>
        <v>0</v>
      </c>
      <c r="EF84" t="str">
        <f t="shared" si="141"/>
        <v>Florfénicol</v>
      </c>
      <c r="EG84" t="str">
        <f t="shared" si="142"/>
        <v/>
      </c>
      <c r="EH84" t="str">
        <f t="shared" si="143"/>
        <v/>
      </c>
      <c r="EI84" t="str">
        <f t="shared" si="144"/>
        <v>Phenicoles</v>
      </c>
      <c r="EJ84" t="str">
        <f t="shared" si="145"/>
        <v/>
      </c>
      <c r="EK84" s="63" t="str">
        <f t="shared" si="146"/>
        <v/>
      </c>
      <c r="EN84" s="42">
        <v>81</v>
      </c>
      <c r="EO84" t="e">
        <f t="shared" si="152"/>
        <v>#N/A</v>
      </c>
      <c r="EP84" s="63" t="e">
        <f t="shared" si="153"/>
        <v>#N/A</v>
      </c>
      <c r="ER84" s="42">
        <v>8</v>
      </c>
      <c r="ES84" t="str">
        <f t="shared" si="158"/>
        <v/>
      </c>
      <c r="ET84" t="str">
        <f>IF(ES84="","",INDEX('Étape 1 - à remplir'!C$19:$L35,MATCH(ES84,'Étape 1 - à remplir'!L$19:$L35,0),1))</f>
        <v/>
      </c>
      <c r="EU84" t="str">
        <f>IF(ES84="","",INDEX('Étape 1 - à remplir'!C$19:$L35,MATCH(ES84,'Étape 1 - à remplir'!L$19:$L35,0),2))</f>
        <v/>
      </c>
      <c r="EV84" t="str">
        <f>IF(ES84="","",INDEX('Étape 1 - à remplir'!C$19:$L35,MATCH(ES84,'Étape 1 - à remplir'!L$19:$L35,0),3))</f>
        <v/>
      </c>
      <c r="EW84" t="str">
        <f>IF(ES84="","",INDEX('Étape 1 - à remplir'!C$19:$L35,MATCH(ES84,'Étape 1 - à remplir'!L$19:$L35,0),4))</f>
        <v/>
      </c>
      <c r="EX84" t="str">
        <f>IF(ES84="","",INDEX('Étape 1 - à remplir'!C$19:$L35,MATCH(ES84,'Étape 1 - à remplir'!L$19:$L35,0),5))</f>
        <v/>
      </c>
      <c r="EY84" t="str">
        <f t="shared" si="159"/>
        <v/>
      </c>
      <c r="EZ84" s="63" t="str">
        <f t="shared" si="160"/>
        <v/>
      </c>
      <c r="FT84" s="63"/>
    </row>
    <row r="85" spans="2:176" x14ac:dyDescent="0.3">
      <c r="B85" s="42"/>
      <c r="M85" s="194" t="str">
        <f ca="1">INDEX(Données_ATB!BD:BU,MATCH(MASQ2!O85,Données_ATB!BD:BD,0),18)</f>
        <v/>
      </c>
      <c r="N85" s="14" t="str">
        <f>IFERROR(IF(Q85=0,"",COUNTIF(Q$4:Q$600,"&gt;"&amp;Q85)+COUNTIF(Q$4:Q85,Q85)),"")</f>
        <v/>
      </c>
      <c r="O85" t="str">
        <f>Données_ATB!BD84</f>
        <v>CALF-MEAL</v>
      </c>
      <c r="P85" t="e">
        <f>IF(IF(X$2="Catégorie",IF(X$3="Toutes",SUMIFS('Étape 1 - à remplir'!$F$31:$F$400,'Étape 1 - à remplir'!$E$31:$E$400,MASQ2!O85,'Étape 1 - à remplir'!$G$31:$G$400,"animaux"),SUMIFS('Étape 1 - à remplir'!$F$31:$F$400,'Étape 1 - à remplir'!$E$31:$E$400,MASQ2!O85,'Étape 1 - à remplir'!$C$31:$C$400,X$3)),IF(X$2="Âge",IF(X$3="Tous",SUMIFS('Étape 1 - à remplir'!$F$31:$F$400,'Étape 1 - à remplir'!$E$31:$E$400,MASQ2!O85,'Étape 1 - à remplir'!$G$31:$G$400,"animaux"),SUMIFS('Étape 1 - à remplir'!$F$31:$F$400,'Étape 1 - à remplir'!$E$31:$E$400,MASQ2!O85,'Étape 1 - à remplir'!$P$31:$P$400,X$3)),IF(X$2="Atelier",IF(X$3="Tous",SUMIFS('Étape 1 - à remplir'!$F$31:$F$400,'Étape 1 - à remplir'!$E$31:$E$400,MASQ2!O85,'Étape 1 - à remplir'!$G$31:$G$400,"animaux"),SUMIFS('Étape 1 - à remplir'!$F$31:$F$400,'Étape 1 - à remplir'!$E$31:$E$400,MASQ2!O85,'Étape 1 - à remplir'!$O$31:$O$400,X$3)),IF(X$2="Espèce",IF(X$3="Toutes",SUMIFS('Étape 1 - à remplir'!$F$31:$F$400,'Étape 1 - à remplir'!$E$31:$E$400,MASQ2!O85,'Étape 1 - à remplir'!$G$31:$G$400,"animaux"),SUMIFS('Étape 1 - à remplir'!$F$31:$F$400,'Étape 1 - à remplir'!$E$31:$E$400,MASQ2!O85,'Étape 1 - à remplir'!$N$31:$N$400,X$3))))))=0,NA(),IF(X$2="Catégorie",IF(X$3="Toutes",SUMIFS('Étape 1 - à remplir'!$F$31:$F$400,'Étape 1 - à remplir'!$E$31:$E$400,MASQ2!O85,'Étape 1 - à remplir'!$G$31:$G$400,"animaux"),SUMIFS('Étape 1 - à remplir'!$F$31:$F$400,'Étape 1 - à remplir'!$E$31:$E$400,MASQ2!O85,'Étape 1 - à remplir'!$C$31:$C$400,X$3)),IF(X$2="Âge",IF(X$3="Tous",SUMIFS('Étape 1 - à remplir'!$F$31:$F$400,'Étape 1 - à remplir'!$E$31:$E$400,MASQ2!O85,'Étape 1 - à remplir'!$G$31:$G$400,"animaux"),SUMIFS('Étape 1 - à remplir'!$F$31:$F$400,'Étape 1 - à remplir'!$E$31:$E$400,MASQ2!O85,'Étape 1 - à remplir'!$P$31:$P$400,X$3)),IF(X$2="Atelier",IF(X$3="Tous",SUMIFS('Étape 1 - à remplir'!$F$31:$F$400,'Étape 1 - à remplir'!$E$31:$E$400,MASQ2!O85,'Étape 1 - à remplir'!$G$31:$G$400,"animaux"),SUMIFS('Étape 1 - à remplir'!$F$31:$F$400,'Étape 1 - à remplir'!$E$31:$E$400,MASQ2!O85,'Étape 1 - à remplir'!$O$31:$O$400,X$3)),IF(X$2="Espèce",IF(X$3="Toutes",SUMIFS('Étape 1 - à remplir'!$F$31:$F$400,'Étape 1 - à remplir'!$E$31:$E$400,MASQ2!O85,'Étape 1 - à remplir'!$G$31:$G$400,"animaux"),SUMIFS('Étape 1 - à remplir'!$F$31:$F$400,'Étape 1 - à remplir'!$E$31:$E$400,MASQ2!O85,'Étape 1 - à remplir'!$N$31:$N$400,X$3)))))))</f>
        <v>#N/A</v>
      </c>
      <c r="Q85" s="63">
        <f t="shared" si="151"/>
        <v>0</v>
      </c>
      <c r="R85" t="str">
        <f>Données_ATB!BM84</f>
        <v>Sulfadimidine</v>
      </c>
      <c r="S85" t="str">
        <f>Données_ATB!BN84</f>
        <v>Néomycine</v>
      </c>
      <c r="T85" s="63" t="str">
        <f>Données_ATB!BO84</f>
        <v/>
      </c>
      <c r="U85" s="42" t="str">
        <f>Données_ATB!BQ84</f>
        <v>Sulfamides</v>
      </c>
      <c r="V85" t="str">
        <f>Données_ATB!BR84</f>
        <v>Aminoglycosides</v>
      </c>
      <c r="W85" s="63" t="str">
        <f>Données_ATB!BS84</f>
        <v/>
      </c>
      <c r="Z85" s="42">
        <v>82</v>
      </c>
      <c r="AA85" t="e">
        <f t="shared" si="147"/>
        <v>#N/A</v>
      </c>
      <c r="AB85" s="63" t="e">
        <f t="shared" si="148"/>
        <v>#N/A</v>
      </c>
      <c r="AD85" s="42">
        <v>9</v>
      </c>
      <c r="AE85" t="str">
        <f t="shared" si="154"/>
        <v/>
      </c>
      <c r="AF85" t="str">
        <f>IF(AE85="","",INDEX('Étape 1 - à remplir'!C$19:$L36,MATCH(AE85,'Étape 1 - à remplir'!L$19:$L$28,0),1))</f>
        <v/>
      </c>
      <c r="AG85" t="str">
        <f>IF(AE85="","",INDEX('Étape 1 - à remplir'!C$19:$L36,MATCH(AE85,'Étape 1 - à remplir'!L$19:$L$28,0),2))</f>
        <v/>
      </c>
      <c r="AH85" t="str">
        <f>IF(AE85="","",INDEX('Étape 1 - à remplir'!C$19:$L36,MATCH(AE85,'Étape 1 - à remplir'!L$19:$L$28,0),3))</f>
        <v/>
      </c>
      <c r="AI85" t="str">
        <f>IF(AE85="","",INDEX('Étape 1 - à remplir'!C$19:$L36,MATCH(AE85,'Étape 1 - à remplir'!L$19:$L$28,0),4))</f>
        <v/>
      </c>
      <c r="AJ85" t="str">
        <f>IF(AE85="","",INDEX('Étape 1 - à remplir'!C$19:$L36,MATCH(AE85,'Étape 1 - à remplir'!L$19:$L$28,0),5))</f>
        <v/>
      </c>
      <c r="AK85" t="str">
        <f t="shared" si="161"/>
        <v/>
      </c>
      <c r="AL85" s="63" t="str">
        <f t="shared" si="155"/>
        <v/>
      </c>
      <c r="BF85" s="63"/>
      <c r="BT85" s="194" t="str">
        <f t="shared" ca="1" si="131"/>
        <v/>
      </c>
      <c r="BU85" s="219" t="str">
        <f>IFERROR(IF(BX85=0,"",COUNTIF(BX$4:BX$600,"&gt;"&amp;BX85)+COUNTIF(BX$4:BX85,BX85)),"")</f>
        <v/>
      </c>
      <c r="BV85" s="42" t="str">
        <f t="shared" si="132"/>
        <v>CALF-MEAL</v>
      </c>
      <c r="BW85" t="e">
        <f>IF(IF(CE$2="Catégorie",IF(CE$3="Toutes",SUMIFS('Étape 1 - à remplir'!$F$31:$F$400,'Étape 1 - à remplir'!$E$31:$E$400,MASQ2!BV85,'Étape 1 - à remplir'!$G$31:$G$400,"lots"),SUMIFS('Étape 1 - à remplir'!$F$31:$F$400,'Étape 1 - à remplir'!$E$31:$E$400,MASQ2!BV85,'Étape 1 - à remplir'!$C$31:$C$400,CE$3)),IF(CE$2="Âge",IF(CE$3="Tous",SUMIFS('Étape 1 - à remplir'!$F$31:$F$400,'Étape 1 - à remplir'!$E$31:$E$400,MASQ2!BV85,'Étape 1 - à remplir'!$G$31:$G$400,"lots"),SUMIFS('Étape 1 - à remplir'!$F$31:$F$400,'Étape 1 - à remplir'!$E$31:$E$400,MASQ2!BV85,'Étape 1 - à remplir'!$P$31:$P$400,CE$3,'Étape 1 - à remplir'!$G$31:$G$400,"lots")),IF(CE$2="Atelier",IF(CE$3="Tous",SUMIFS('Étape 1 - à remplir'!$F$31:$F$400,'Étape 1 - à remplir'!$E$31:$E$400,MASQ2!BV85,'Étape 1 - à remplir'!$G$31:$G$400,"lots"),SUMIFS('Étape 1 - à remplir'!$F$31:$F$400,'Étape 1 - à remplir'!$E$31:$E$400,MASQ2!BV85,'Étape 1 - à remplir'!$O$31:$O$400,CE$3,'Étape 1 - à remplir'!$G$31:$G$400,"lots")),IF(CE$2="Espèce",IF(CE$3="Toutes",SUMIFS('Étape 1 - à remplir'!$F$31:$F$400,'Étape 1 - à remplir'!$E$31:$E$400,MASQ2!BV85,'Étape 1 - à remplir'!$G$31:$G$400,"lots"),SUMIFS('Étape 1 - à remplir'!$F$31:$F$400,'Étape 1 - à remplir'!$E$31:$E$400,MASQ2!BV85,'Étape 1 - à remplir'!$N$31:$N$400,CE$3,'Étape 1 - à remplir'!$G$31:$G$400,"lots"))))))=0,NA(),IF(CE$2="Catégorie",IF(CE$3="Toutes",SUMIFS('Étape 1 - à remplir'!$F$31:$F$400,'Étape 1 - à remplir'!$E$31:$E$400,MASQ2!BV85,'Étape 1 - à remplir'!$G$31:$G$400,"lots"),SUMIFS('Étape 1 - à remplir'!$F$31:$F$400,'Étape 1 - à remplir'!$E$31:$E$400,MASQ2!BV85,'Étape 1 - à remplir'!$C$31:$C$400,CE$3)),IF(CE$2="Âge",IF(CE$3="Tous",SUMIFS('Étape 1 - à remplir'!$F$31:$F$400,'Étape 1 - à remplir'!$E$31:$E$400,MASQ2!BV85,'Étape 1 - à remplir'!$G$31:$G$400,"lots"),SUMIFS('Étape 1 - à remplir'!$F$31:$F$400,'Étape 1 - à remplir'!$E$31:$E$400,MASQ2!BV85,'Étape 1 - à remplir'!$P$31:$P$400,CE$3,'Étape 1 - à remplir'!$G$31:$G$400,"lots")),IF(CE$2="Atelier",IF(CE$3="Tous",SUMIFS('Étape 1 - à remplir'!$F$31:$F$400,'Étape 1 - à remplir'!$E$31:$E$400,MASQ2!BV85,'Étape 1 - à remplir'!$G$31:$G$400,"lots"),SUMIFS('Étape 1 - à remplir'!$F$31:$F$400,'Étape 1 - à remplir'!$E$31:$E$400,MASQ2!BV85,'Étape 1 - à remplir'!$O$31:$O$400,CE$3,'Étape 1 - à remplir'!$G$31:$G$400,"lots")),IF(CE$2="Espèce",IF(CE$3="Toutes",SUMIFS('Étape 1 - à remplir'!$F$31:$F$400,'Étape 1 - à remplir'!$E$31:$E$400,MASQ2!BV85,'Étape 1 - à remplir'!$G$31:$G$400,"lots"),SUMIFS('Étape 1 - à remplir'!$F$31:$F$400,'Étape 1 - à remplir'!$E$31:$E$400,MASQ2!BV85,'Étape 1 - à remplir'!$N$31:$N$400,CE$3,'Étape 1 - à remplir'!$G$31:$G$400,"lots")))))))</f>
        <v>#N/A</v>
      </c>
      <c r="BX85">
        <f t="shared" si="149"/>
        <v>0</v>
      </c>
      <c r="BY85" t="str">
        <f t="shared" si="133"/>
        <v>Sulfadimidine</v>
      </c>
      <c r="BZ85" t="str">
        <f t="shared" si="134"/>
        <v>Néomycine</v>
      </c>
      <c r="CA85" t="str">
        <f t="shared" si="135"/>
        <v/>
      </c>
      <c r="CB85" t="str">
        <f t="shared" si="136"/>
        <v>Sulfamides</v>
      </c>
      <c r="CC85" t="str">
        <f t="shared" si="137"/>
        <v>Aminoglycosides</v>
      </c>
      <c r="CD85" s="63" t="str">
        <f t="shared" si="138"/>
        <v/>
      </c>
      <c r="CG85" s="42">
        <v>82</v>
      </c>
      <c r="CH85" s="42" t="e">
        <f t="shared" si="163"/>
        <v>#N/A</v>
      </c>
      <c r="CI85" s="63" t="e">
        <f t="shared" si="164"/>
        <v>#N/A</v>
      </c>
      <c r="CK85" s="42">
        <v>9</v>
      </c>
      <c r="CL85" t="str">
        <f t="shared" si="156"/>
        <v/>
      </c>
      <c r="CM85" t="str">
        <f>IF(CL85="","",INDEX('Étape 1 - à remplir'!C$19:$L$28,MATCH(CL85,'Étape 1 - à remplir'!L$19:$L$28,0),1))</f>
        <v/>
      </c>
      <c r="CN85" t="str">
        <f>IF(CL85="","",INDEX('Étape 1 - à remplir'!C$19:$L$28,MATCH(CL85,'Étape 1 - à remplir'!L$19:$L$28,0),2))</f>
        <v/>
      </c>
      <c r="CO85" t="str">
        <f>IF(CL85="","",INDEX('Étape 1 - à remplir'!$C$19:$L$28,MATCH(CL85,'Étape 1 - à remplir'!$L$19:L$28,0),3))</f>
        <v/>
      </c>
      <c r="CP85" t="str">
        <f>IF(CL85="","",INDEX('Étape 1 - à remplir'!$C$19:$J36,MATCH(CL85,'Étape 1 - à remplir'!$L$19:$L$28,0),4))</f>
        <v/>
      </c>
      <c r="CQ85" t="str">
        <f>IF(CL85="","",INDEX('Étape 1 - à remplir'!$C$19:$L36,MATCH(CL85,'Étape 1 - à remplir'!$L$19:$L$28,0),5))</f>
        <v/>
      </c>
      <c r="CR85" t="str">
        <f t="shared" si="162"/>
        <v/>
      </c>
      <c r="CS85" s="63" t="str">
        <f t="shared" si="157"/>
        <v/>
      </c>
      <c r="DM85" s="63"/>
      <c r="EA85" s="194" t="str">
        <f t="shared" ca="1" si="139"/>
        <v/>
      </c>
      <c r="EB85" s="226" t="str">
        <f>IFERROR(IF(ED85=0,"",COUNTIF(ED$4:ED$600,"&gt;"&amp;ED85)+COUNTIF(ED$4:ED85,ED85)),"")</f>
        <v/>
      </c>
      <c r="EC85" t="str">
        <f t="shared" si="140"/>
        <v>CALF-MEAL</v>
      </c>
      <c r="ED85" t="e">
        <f>IF(IF(EL$2="Catégorie",IF(EL$3="Toutes",SUMIFS('Étape 1 - à remplir'!$F$31:$F$400,'Étape 1 - à remplir'!$E$31:$E$400,MASQ2!EC85,'Étape 1 - à remplir'!$G$31:$G$400,"kg"),SUMIFS('Étape 1 - à remplir'!$F$31:$F$400,'Étape 1 - à remplir'!$E$31:$E$400,MASQ2!EC85,'Étape 1 - à remplir'!$C$31:$C$400,EL$3)),IF(EL$2="Âge",IF(EL$3="Tous",SUMIFS('Étape 1 - à remplir'!$F$31:$F$400,'Étape 1 - à remplir'!$E$31:$E$400,MASQ2!EC85,'Étape 1 - à remplir'!$G$31:$G$400,"kg"),SUMIFS('Étape 1 - à remplir'!$F$31:$F$400,'Étape 1 - à remplir'!$E$31:$E$400,MASQ2!EC85,'Étape 1 - à remplir'!$P$31:$P$400,EL$3,'Étape 1 - à remplir'!$G$31:$G$400,"kg")),IF(EL$2="Atelier",IF(EL$3="Tous",SUMIFS('Étape 1 - à remplir'!$F$31:$F$400,'Étape 1 - à remplir'!$E$31:$E$400,MASQ2!EC85,'Étape 1 - à remplir'!$G$31:$G$400,"kg"),SUMIFS('Étape 1 - à remplir'!$F$31:$F$400,'Étape 1 - à remplir'!$E$31:$E$400,MASQ2!EC85,'Étape 1 - à remplir'!$O$31:$O$400,EL$3,'Étape 1 - à remplir'!$G$31:$G$400,"kg")),IF(EL$2="Espèce",IF(EL$3="Toutes",SUMIFS('Étape 1 - à remplir'!$F$31:$F$400,'Étape 1 - à remplir'!$E$31:$E$400,MASQ2!EC85,'Étape 1 - à remplir'!$G$31:$G$400,"kg"),SUMIFS('Étape 1 - à remplir'!$F$31:$F$400,'Étape 1 - à remplir'!$E$31:$E$400,MASQ2!EC85,'Étape 1 - à remplir'!$N$31:$N$400,EL$3,'Étape 1 - à remplir'!$G$31:$G$400,"kg"))))))=0,NA(),IF(EL$2="Catégorie",IF(EL$3="Toutes",SUMIFS('Étape 1 - à remplir'!$F$31:$F$400,'Étape 1 - à remplir'!$E$31:$E$400,MASQ2!EC85,'Étape 1 - à remplir'!$G$31:$G$400,"kg"),SUMIFS('Étape 1 - à remplir'!$F$31:$F$400,'Étape 1 - à remplir'!$E$31:$E$400,MASQ2!EC85,'Étape 1 - à remplir'!$C$31:$C$400,EL$3)),IF(EL$2="Âge",IF(EL$3="Tous",SUMIFS('Étape 1 - à remplir'!$F$31:$F$400,'Étape 1 - à remplir'!$E$31:$E$400,MASQ2!EC85,'Étape 1 - à remplir'!$G$31:$G$400,"kg"),SUMIFS('Étape 1 - à remplir'!$F$31:$F$400,'Étape 1 - à remplir'!$E$31:$E$400,MASQ2!EC85,'Étape 1 - à remplir'!$P$31:$P$400,EL$3,'Étape 1 - à remplir'!$G$31:$G$400,"kg")),IF(EL$2="Atelier",IF(EL$3="Tous",SUMIFS('Étape 1 - à remplir'!$F$31:$F$400,'Étape 1 - à remplir'!$E$31:$E$400,MASQ2!EC85,'Étape 1 - à remplir'!$G$31:$G$400,"kg"),SUMIFS('Étape 1 - à remplir'!$F$31:$F$400,'Étape 1 - à remplir'!$E$31:$E$400,MASQ2!EC85,'Étape 1 - à remplir'!$O$31:$O$400,EL$3,'Étape 1 - à remplir'!$G$31:$G$400,"kg")),IF(EL$2="Espèce",IF(EL$3="Toutes",SUMIFS('Étape 1 - à remplir'!$F$31:$F$400,'Étape 1 - à remplir'!$E$31:$E$400,MASQ2!EC85,'Étape 1 - à remplir'!$G$31:$G$400,"kg"),SUMIFS('Étape 1 - à remplir'!$F$31:$F$400,'Étape 1 - à remplir'!$E$31:$E$400,MASQ2!EC85,'Étape 1 - à remplir'!$N$31:$N$400,EL$3,'Étape 1 - à remplir'!$G$31:$G$400,"kg")))))))</f>
        <v>#N/A</v>
      </c>
      <c r="EE85" s="76">
        <f t="shared" si="150"/>
        <v>0</v>
      </c>
      <c r="EF85" t="str">
        <f t="shared" si="141"/>
        <v>Sulfadimidine</v>
      </c>
      <c r="EG85" t="str">
        <f t="shared" si="142"/>
        <v>Néomycine</v>
      </c>
      <c r="EH85" t="str">
        <f t="shared" si="143"/>
        <v/>
      </c>
      <c r="EI85" t="str">
        <f t="shared" si="144"/>
        <v>Sulfamides</v>
      </c>
      <c r="EJ85" t="str">
        <f t="shared" si="145"/>
        <v>Aminoglycosides</v>
      </c>
      <c r="EK85" s="63" t="str">
        <f t="shared" si="146"/>
        <v/>
      </c>
      <c r="EN85" s="42">
        <v>82</v>
      </c>
      <c r="EO85" t="e">
        <f t="shared" si="152"/>
        <v>#N/A</v>
      </c>
      <c r="EP85" s="63" t="e">
        <f t="shared" si="153"/>
        <v>#N/A</v>
      </c>
      <c r="ER85" s="42">
        <v>9</v>
      </c>
      <c r="ES85" t="str">
        <f t="shared" si="158"/>
        <v/>
      </c>
      <c r="ET85" t="str">
        <f>IF(ES85="","",INDEX('Étape 1 - à remplir'!C$19:$L36,MATCH(ES85,'Étape 1 - à remplir'!L$19:$L36,0),1))</f>
        <v/>
      </c>
      <c r="EU85" t="str">
        <f>IF(ES85="","",INDEX('Étape 1 - à remplir'!C$19:$L36,MATCH(ES85,'Étape 1 - à remplir'!L$19:$L36,0),2))</f>
        <v/>
      </c>
      <c r="EV85" t="str">
        <f>IF(ES85="","",INDEX('Étape 1 - à remplir'!C$19:$L36,MATCH(ES85,'Étape 1 - à remplir'!L$19:$L36,0),3))</f>
        <v/>
      </c>
      <c r="EW85" t="str">
        <f>IF(ES85="","",INDEX('Étape 1 - à remplir'!C$19:$L36,MATCH(ES85,'Étape 1 - à remplir'!L$19:$L36,0),4))</f>
        <v/>
      </c>
      <c r="EX85" t="str">
        <f>IF(ES85="","",INDEX('Étape 1 - à remplir'!C$19:$L36,MATCH(ES85,'Étape 1 - à remplir'!L$19:$L36,0),5))</f>
        <v/>
      </c>
      <c r="EY85" t="str">
        <f t="shared" si="159"/>
        <v/>
      </c>
      <c r="EZ85" s="63" t="str">
        <f t="shared" si="160"/>
        <v/>
      </c>
      <c r="FT85" s="63"/>
    </row>
    <row r="86" spans="2:176" ht="15" thickBot="1" x14ac:dyDescent="0.35">
      <c r="B86" s="42"/>
      <c r="M86" s="194" t="str">
        <f ca="1">INDEX(Données_ATB!BD:BU,MATCH(MASQ2!O86,Données_ATB!BD:BD,0),18)</f>
        <v/>
      </c>
      <c r="N86" s="14" t="str">
        <f>IFERROR(IF(Q86=0,"",COUNTIF(Q$4:Q$600,"&gt;"&amp;Q86)+COUNTIF(Q$4:Q86,Q86)),"")</f>
        <v/>
      </c>
      <c r="O86" t="str">
        <f>Données_ATB!BD85</f>
        <v>CAPTALIN</v>
      </c>
      <c r="P86" t="e">
        <f>IF(IF(X$2="Catégorie",IF(X$3="Toutes",SUMIFS('Étape 1 - à remplir'!$F$31:$F$400,'Étape 1 - à remplir'!$E$31:$E$400,MASQ2!O86,'Étape 1 - à remplir'!$G$31:$G$400,"animaux"),SUMIFS('Étape 1 - à remplir'!$F$31:$F$400,'Étape 1 - à remplir'!$E$31:$E$400,MASQ2!O86,'Étape 1 - à remplir'!$C$31:$C$400,X$3)),IF(X$2="Âge",IF(X$3="Tous",SUMIFS('Étape 1 - à remplir'!$F$31:$F$400,'Étape 1 - à remplir'!$E$31:$E$400,MASQ2!O86,'Étape 1 - à remplir'!$G$31:$G$400,"animaux"),SUMIFS('Étape 1 - à remplir'!$F$31:$F$400,'Étape 1 - à remplir'!$E$31:$E$400,MASQ2!O86,'Étape 1 - à remplir'!$P$31:$P$400,X$3)),IF(X$2="Atelier",IF(X$3="Tous",SUMIFS('Étape 1 - à remplir'!$F$31:$F$400,'Étape 1 - à remplir'!$E$31:$E$400,MASQ2!O86,'Étape 1 - à remplir'!$G$31:$G$400,"animaux"),SUMIFS('Étape 1 - à remplir'!$F$31:$F$400,'Étape 1 - à remplir'!$E$31:$E$400,MASQ2!O86,'Étape 1 - à remplir'!$O$31:$O$400,X$3)),IF(X$2="Espèce",IF(X$3="Toutes",SUMIFS('Étape 1 - à remplir'!$F$31:$F$400,'Étape 1 - à remplir'!$E$31:$E$400,MASQ2!O86,'Étape 1 - à remplir'!$G$31:$G$400,"animaux"),SUMIFS('Étape 1 - à remplir'!$F$31:$F$400,'Étape 1 - à remplir'!$E$31:$E$400,MASQ2!O86,'Étape 1 - à remplir'!$N$31:$N$400,X$3))))))=0,NA(),IF(X$2="Catégorie",IF(X$3="Toutes",SUMIFS('Étape 1 - à remplir'!$F$31:$F$400,'Étape 1 - à remplir'!$E$31:$E$400,MASQ2!O86,'Étape 1 - à remplir'!$G$31:$G$400,"animaux"),SUMIFS('Étape 1 - à remplir'!$F$31:$F$400,'Étape 1 - à remplir'!$E$31:$E$400,MASQ2!O86,'Étape 1 - à remplir'!$C$31:$C$400,X$3)),IF(X$2="Âge",IF(X$3="Tous",SUMIFS('Étape 1 - à remplir'!$F$31:$F$400,'Étape 1 - à remplir'!$E$31:$E$400,MASQ2!O86,'Étape 1 - à remplir'!$G$31:$G$400,"animaux"),SUMIFS('Étape 1 - à remplir'!$F$31:$F$400,'Étape 1 - à remplir'!$E$31:$E$400,MASQ2!O86,'Étape 1 - à remplir'!$P$31:$P$400,X$3)),IF(X$2="Atelier",IF(X$3="Tous",SUMIFS('Étape 1 - à remplir'!$F$31:$F$400,'Étape 1 - à remplir'!$E$31:$E$400,MASQ2!O86,'Étape 1 - à remplir'!$G$31:$G$400,"animaux"),SUMIFS('Étape 1 - à remplir'!$F$31:$F$400,'Étape 1 - à remplir'!$E$31:$E$400,MASQ2!O86,'Étape 1 - à remplir'!$O$31:$O$400,X$3)),IF(X$2="Espèce",IF(X$3="Toutes",SUMIFS('Étape 1 - à remplir'!$F$31:$F$400,'Étape 1 - à remplir'!$E$31:$E$400,MASQ2!O86,'Étape 1 - à remplir'!$G$31:$G$400,"animaux"),SUMIFS('Étape 1 - à remplir'!$F$31:$F$400,'Étape 1 - à remplir'!$E$31:$E$400,MASQ2!O86,'Étape 1 - à remplir'!$N$31:$N$400,X$3)))))))</f>
        <v>#N/A</v>
      </c>
      <c r="Q86" s="63">
        <f t="shared" si="151"/>
        <v>0</v>
      </c>
      <c r="R86" t="str">
        <f>Données_ATB!BM85</f>
        <v>Spiramycine</v>
      </c>
      <c r="S86" t="str">
        <f>Données_ATB!BN85</f>
        <v/>
      </c>
      <c r="T86" s="63" t="str">
        <f>Données_ATB!BO85</f>
        <v/>
      </c>
      <c r="U86" s="42" t="str">
        <f>Données_ATB!BQ85</f>
        <v>Macrolides</v>
      </c>
      <c r="V86" t="str">
        <f>Données_ATB!BR85</f>
        <v/>
      </c>
      <c r="W86" s="63" t="str">
        <f>Données_ATB!BS85</f>
        <v/>
      </c>
      <c r="Z86" s="42">
        <v>83</v>
      </c>
      <c r="AA86" t="e">
        <f t="shared" si="147"/>
        <v>#N/A</v>
      </c>
      <c r="AB86" s="63" t="e">
        <f t="shared" si="148"/>
        <v>#N/A</v>
      </c>
      <c r="AD86" s="74">
        <v>10</v>
      </c>
      <c r="AE86" s="64" t="str">
        <f t="shared" si="154"/>
        <v/>
      </c>
      <c r="AF86" s="64" t="str">
        <f>IF(AE86="","",INDEX('Étape 1 - à remplir'!C$19:$L37,MATCH(AE86,'Étape 1 - à remplir'!L$19:$L$28,0),1))</f>
        <v/>
      </c>
      <c r="AG86" s="64" t="str">
        <f>IF(AE86="","",INDEX('Étape 1 - à remplir'!C$19:$L37,MATCH(AE86,'Étape 1 - à remplir'!L$19:$L$28,0),2))</f>
        <v/>
      </c>
      <c r="AH86" s="64" t="str">
        <f>IF(AE86="","",INDEX('Étape 1 - à remplir'!C$19:$L37,MATCH(AE86,'Étape 1 - à remplir'!L$19:$L$28,0),3))</f>
        <v/>
      </c>
      <c r="AI86" s="64" t="str">
        <f>IF(AE86="","",INDEX('Étape 1 - à remplir'!C$19:$L37,MATCH(AE86,'Étape 1 - à remplir'!L$19:$L$28,0),4))</f>
        <v/>
      </c>
      <c r="AJ86" s="64" t="str">
        <f>IF(AE86="","",INDEX('Étape 1 - à remplir'!C$19:$L37,MATCH(AE86,'Étape 1 - à remplir'!L$19:$L$28,0),5))</f>
        <v/>
      </c>
      <c r="AK86" s="64" t="str">
        <f t="shared" si="161"/>
        <v/>
      </c>
      <c r="AL86" s="65" t="str">
        <f t="shared" si="155"/>
        <v/>
      </c>
      <c r="BF86" s="63"/>
      <c r="BT86" s="194" t="str">
        <f t="shared" ca="1" si="131"/>
        <v/>
      </c>
      <c r="BU86" s="219" t="str">
        <f>IFERROR(IF(BX86=0,"",COUNTIF(BX$4:BX$600,"&gt;"&amp;BX86)+COUNTIF(BX$4:BX86,BX86)),"")</f>
        <v/>
      </c>
      <c r="BV86" s="42" t="str">
        <f t="shared" si="132"/>
        <v>CAPTALIN</v>
      </c>
      <c r="BW86" t="e">
        <f>IF(IF(CE$2="Catégorie",IF(CE$3="Toutes",SUMIFS('Étape 1 - à remplir'!$F$31:$F$400,'Étape 1 - à remplir'!$E$31:$E$400,MASQ2!BV86,'Étape 1 - à remplir'!$G$31:$G$400,"lots"),SUMIFS('Étape 1 - à remplir'!$F$31:$F$400,'Étape 1 - à remplir'!$E$31:$E$400,MASQ2!BV86,'Étape 1 - à remplir'!$C$31:$C$400,CE$3)),IF(CE$2="Âge",IF(CE$3="Tous",SUMIFS('Étape 1 - à remplir'!$F$31:$F$400,'Étape 1 - à remplir'!$E$31:$E$400,MASQ2!BV86,'Étape 1 - à remplir'!$G$31:$G$400,"lots"),SUMIFS('Étape 1 - à remplir'!$F$31:$F$400,'Étape 1 - à remplir'!$E$31:$E$400,MASQ2!BV86,'Étape 1 - à remplir'!$P$31:$P$400,CE$3,'Étape 1 - à remplir'!$G$31:$G$400,"lots")),IF(CE$2="Atelier",IF(CE$3="Tous",SUMIFS('Étape 1 - à remplir'!$F$31:$F$400,'Étape 1 - à remplir'!$E$31:$E$400,MASQ2!BV86,'Étape 1 - à remplir'!$G$31:$G$400,"lots"),SUMIFS('Étape 1 - à remplir'!$F$31:$F$400,'Étape 1 - à remplir'!$E$31:$E$400,MASQ2!BV86,'Étape 1 - à remplir'!$O$31:$O$400,CE$3,'Étape 1 - à remplir'!$G$31:$G$400,"lots")),IF(CE$2="Espèce",IF(CE$3="Toutes",SUMIFS('Étape 1 - à remplir'!$F$31:$F$400,'Étape 1 - à remplir'!$E$31:$E$400,MASQ2!BV86,'Étape 1 - à remplir'!$G$31:$G$400,"lots"),SUMIFS('Étape 1 - à remplir'!$F$31:$F$400,'Étape 1 - à remplir'!$E$31:$E$400,MASQ2!BV86,'Étape 1 - à remplir'!$N$31:$N$400,CE$3,'Étape 1 - à remplir'!$G$31:$G$400,"lots"))))))=0,NA(),IF(CE$2="Catégorie",IF(CE$3="Toutes",SUMIFS('Étape 1 - à remplir'!$F$31:$F$400,'Étape 1 - à remplir'!$E$31:$E$400,MASQ2!BV86,'Étape 1 - à remplir'!$G$31:$G$400,"lots"),SUMIFS('Étape 1 - à remplir'!$F$31:$F$400,'Étape 1 - à remplir'!$E$31:$E$400,MASQ2!BV86,'Étape 1 - à remplir'!$C$31:$C$400,CE$3)),IF(CE$2="Âge",IF(CE$3="Tous",SUMIFS('Étape 1 - à remplir'!$F$31:$F$400,'Étape 1 - à remplir'!$E$31:$E$400,MASQ2!BV86,'Étape 1 - à remplir'!$G$31:$G$400,"lots"),SUMIFS('Étape 1 - à remplir'!$F$31:$F$400,'Étape 1 - à remplir'!$E$31:$E$400,MASQ2!BV86,'Étape 1 - à remplir'!$P$31:$P$400,CE$3,'Étape 1 - à remplir'!$G$31:$G$400,"lots")),IF(CE$2="Atelier",IF(CE$3="Tous",SUMIFS('Étape 1 - à remplir'!$F$31:$F$400,'Étape 1 - à remplir'!$E$31:$E$400,MASQ2!BV86,'Étape 1 - à remplir'!$G$31:$G$400,"lots"),SUMIFS('Étape 1 - à remplir'!$F$31:$F$400,'Étape 1 - à remplir'!$E$31:$E$400,MASQ2!BV86,'Étape 1 - à remplir'!$O$31:$O$400,CE$3,'Étape 1 - à remplir'!$G$31:$G$400,"lots")),IF(CE$2="Espèce",IF(CE$3="Toutes",SUMIFS('Étape 1 - à remplir'!$F$31:$F$400,'Étape 1 - à remplir'!$E$31:$E$400,MASQ2!BV86,'Étape 1 - à remplir'!$G$31:$G$400,"lots"),SUMIFS('Étape 1 - à remplir'!$F$31:$F$400,'Étape 1 - à remplir'!$E$31:$E$400,MASQ2!BV86,'Étape 1 - à remplir'!$N$31:$N$400,CE$3,'Étape 1 - à remplir'!$G$31:$G$400,"lots")))))))</f>
        <v>#N/A</v>
      </c>
      <c r="BX86">
        <f t="shared" si="149"/>
        <v>0</v>
      </c>
      <c r="BY86" t="str">
        <f t="shared" si="133"/>
        <v>Spiramycine</v>
      </c>
      <c r="BZ86" t="str">
        <f t="shared" si="134"/>
        <v/>
      </c>
      <c r="CA86" t="str">
        <f t="shared" si="135"/>
        <v/>
      </c>
      <c r="CB86" t="str">
        <f t="shared" si="136"/>
        <v>Macrolides</v>
      </c>
      <c r="CC86" t="str">
        <f t="shared" si="137"/>
        <v/>
      </c>
      <c r="CD86" s="63" t="str">
        <f t="shared" si="138"/>
        <v/>
      </c>
      <c r="CG86" s="42">
        <v>83</v>
      </c>
      <c r="CH86" s="42" t="e">
        <f t="shared" si="163"/>
        <v>#N/A</v>
      </c>
      <c r="CI86" s="63" t="e">
        <f t="shared" si="164"/>
        <v>#N/A</v>
      </c>
      <c r="CK86" s="74">
        <v>10</v>
      </c>
      <c r="CL86" s="64" t="str">
        <f t="shared" si="156"/>
        <v/>
      </c>
      <c r="CM86" s="64" t="str">
        <f>IF(CL86="","",INDEX('Étape 1 - à remplir'!C$19:$L$28,MATCH(CL86,'Étape 1 - à remplir'!L$19:$L$28,0),1))</f>
        <v/>
      </c>
      <c r="CN86" s="64" t="str">
        <f>IF(CL86="","",INDEX('Étape 1 - à remplir'!C$19:$L$28,MATCH(CL86,'Étape 1 - à remplir'!L$19:$L$28,0),2))</f>
        <v/>
      </c>
      <c r="CO86" s="64" t="str">
        <f>IF(CL86="","",INDEX('Étape 1 - à remplir'!$C$19:$L$28,MATCH(CL86,'Étape 1 - à remplir'!$L$19:L$28,0),3))</f>
        <v/>
      </c>
      <c r="CP86" s="64" t="str">
        <f>IF(CL86="","",INDEX('Étape 1 - à remplir'!$C$19:$J37,MATCH(CL86,'Étape 1 - à remplir'!$L$19:$L$28,0),4))</f>
        <v/>
      </c>
      <c r="CQ86" s="64" t="str">
        <f>IF(CL86="","",INDEX('Étape 1 - à remplir'!$C$19:$L37,MATCH(CL86,'Étape 1 - à remplir'!$L$19:$L$28,0),5))</f>
        <v/>
      </c>
      <c r="CR86" s="64" t="str">
        <f t="shared" si="162"/>
        <v/>
      </c>
      <c r="CS86" s="65" t="str">
        <f t="shared" si="157"/>
        <v/>
      </c>
      <c r="DM86" s="63"/>
      <c r="EA86" s="194" t="str">
        <f t="shared" ca="1" si="139"/>
        <v/>
      </c>
      <c r="EB86" s="226" t="str">
        <f>IFERROR(IF(ED86=0,"",COUNTIF(ED$4:ED$600,"&gt;"&amp;ED86)+COUNTIF(ED$4:ED86,ED86)),"")</f>
        <v/>
      </c>
      <c r="EC86" t="str">
        <f t="shared" si="140"/>
        <v>CAPTALIN</v>
      </c>
      <c r="ED86" t="e">
        <f>IF(IF(EL$2="Catégorie",IF(EL$3="Toutes",SUMIFS('Étape 1 - à remplir'!$F$31:$F$400,'Étape 1 - à remplir'!$E$31:$E$400,MASQ2!EC86,'Étape 1 - à remplir'!$G$31:$G$400,"kg"),SUMIFS('Étape 1 - à remplir'!$F$31:$F$400,'Étape 1 - à remplir'!$E$31:$E$400,MASQ2!EC86,'Étape 1 - à remplir'!$C$31:$C$400,EL$3)),IF(EL$2="Âge",IF(EL$3="Tous",SUMIFS('Étape 1 - à remplir'!$F$31:$F$400,'Étape 1 - à remplir'!$E$31:$E$400,MASQ2!EC86,'Étape 1 - à remplir'!$G$31:$G$400,"kg"),SUMIFS('Étape 1 - à remplir'!$F$31:$F$400,'Étape 1 - à remplir'!$E$31:$E$400,MASQ2!EC86,'Étape 1 - à remplir'!$P$31:$P$400,EL$3,'Étape 1 - à remplir'!$G$31:$G$400,"kg")),IF(EL$2="Atelier",IF(EL$3="Tous",SUMIFS('Étape 1 - à remplir'!$F$31:$F$400,'Étape 1 - à remplir'!$E$31:$E$400,MASQ2!EC86,'Étape 1 - à remplir'!$G$31:$G$400,"kg"),SUMIFS('Étape 1 - à remplir'!$F$31:$F$400,'Étape 1 - à remplir'!$E$31:$E$400,MASQ2!EC86,'Étape 1 - à remplir'!$O$31:$O$400,EL$3,'Étape 1 - à remplir'!$G$31:$G$400,"kg")),IF(EL$2="Espèce",IF(EL$3="Toutes",SUMIFS('Étape 1 - à remplir'!$F$31:$F$400,'Étape 1 - à remplir'!$E$31:$E$400,MASQ2!EC86,'Étape 1 - à remplir'!$G$31:$G$400,"kg"),SUMIFS('Étape 1 - à remplir'!$F$31:$F$400,'Étape 1 - à remplir'!$E$31:$E$400,MASQ2!EC86,'Étape 1 - à remplir'!$N$31:$N$400,EL$3,'Étape 1 - à remplir'!$G$31:$G$400,"kg"))))))=0,NA(),IF(EL$2="Catégorie",IF(EL$3="Toutes",SUMIFS('Étape 1 - à remplir'!$F$31:$F$400,'Étape 1 - à remplir'!$E$31:$E$400,MASQ2!EC86,'Étape 1 - à remplir'!$G$31:$G$400,"kg"),SUMIFS('Étape 1 - à remplir'!$F$31:$F$400,'Étape 1 - à remplir'!$E$31:$E$400,MASQ2!EC86,'Étape 1 - à remplir'!$C$31:$C$400,EL$3)),IF(EL$2="Âge",IF(EL$3="Tous",SUMIFS('Étape 1 - à remplir'!$F$31:$F$400,'Étape 1 - à remplir'!$E$31:$E$400,MASQ2!EC86,'Étape 1 - à remplir'!$G$31:$G$400,"kg"),SUMIFS('Étape 1 - à remplir'!$F$31:$F$400,'Étape 1 - à remplir'!$E$31:$E$400,MASQ2!EC86,'Étape 1 - à remplir'!$P$31:$P$400,EL$3,'Étape 1 - à remplir'!$G$31:$G$400,"kg")),IF(EL$2="Atelier",IF(EL$3="Tous",SUMIFS('Étape 1 - à remplir'!$F$31:$F$400,'Étape 1 - à remplir'!$E$31:$E$400,MASQ2!EC86,'Étape 1 - à remplir'!$G$31:$G$400,"kg"),SUMIFS('Étape 1 - à remplir'!$F$31:$F$400,'Étape 1 - à remplir'!$E$31:$E$400,MASQ2!EC86,'Étape 1 - à remplir'!$O$31:$O$400,EL$3,'Étape 1 - à remplir'!$G$31:$G$400,"kg")),IF(EL$2="Espèce",IF(EL$3="Toutes",SUMIFS('Étape 1 - à remplir'!$F$31:$F$400,'Étape 1 - à remplir'!$E$31:$E$400,MASQ2!EC86,'Étape 1 - à remplir'!$G$31:$G$400,"kg"),SUMIFS('Étape 1 - à remplir'!$F$31:$F$400,'Étape 1 - à remplir'!$E$31:$E$400,MASQ2!EC86,'Étape 1 - à remplir'!$N$31:$N$400,EL$3,'Étape 1 - à remplir'!$G$31:$G$400,"kg")))))))</f>
        <v>#N/A</v>
      </c>
      <c r="EE86" s="76">
        <f t="shared" si="150"/>
        <v>0</v>
      </c>
      <c r="EF86" t="str">
        <f t="shared" si="141"/>
        <v>Spiramycine</v>
      </c>
      <c r="EG86" t="str">
        <f t="shared" si="142"/>
        <v/>
      </c>
      <c r="EH86" t="str">
        <f t="shared" si="143"/>
        <v/>
      </c>
      <c r="EI86" t="str">
        <f t="shared" si="144"/>
        <v>Macrolides</v>
      </c>
      <c r="EJ86" t="str">
        <f t="shared" si="145"/>
        <v/>
      </c>
      <c r="EK86" s="63" t="str">
        <f t="shared" si="146"/>
        <v/>
      </c>
      <c r="EN86" s="42">
        <v>83</v>
      </c>
      <c r="EO86" t="e">
        <f t="shared" si="152"/>
        <v>#N/A</v>
      </c>
      <c r="EP86" s="63" t="e">
        <f t="shared" si="153"/>
        <v>#N/A</v>
      </c>
      <c r="ER86" s="74">
        <v>10</v>
      </c>
      <c r="ES86" s="64" t="str">
        <f t="shared" si="158"/>
        <v/>
      </c>
      <c r="ET86" s="64" t="str">
        <f>IF(ES86="","",INDEX('Étape 1 - à remplir'!C$19:$L37,MATCH(ES86,'Étape 1 - à remplir'!L$19:$L37,0),1))</f>
        <v/>
      </c>
      <c r="EU86" s="64" t="str">
        <f>IF(ES86="","",INDEX('Étape 1 - à remplir'!C$19:$L37,MATCH(ES86,'Étape 1 - à remplir'!L$19:$L37,0),2))</f>
        <v/>
      </c>
      <c r="EV86" s="64" t="str">
        <f>IF(ES86="","",INDEX('Étape 1 - à remplir'!C$19:$L37,MATCH(ES86,'Étape 1 - à remplir'!L$19:$L37,0),3))</f>
        <v/>
      </c>
      <c r="EW86" s="64" t="str">
        <f>IF(ES86="","",INDEX('Étape 1 - à remplir'!C$19:$L37,MATCH(ES86,'Étape 1 - à remplir'!L$19:$L37,0),4))</f>
        <v/>
      </c>
      <c r="EX86" s="64" t="str">
        <f>IF(ES86="","",INDEX('Étape 1 - à remplir'!C$19:$L37,MATCH(ES86,'Étape 1 - à remplir'!L$19:$L37,0),5))</f>
        <v/>
      </c>
      <c r="EY86" s="64" t="str">
        <f t="shared" si="159"/>
        <v/>
      </c>
      <c r="EZ86" s="65" t="str">
        <f t="shared" si="160"/>
        <v/>
      </c>
      <c r="FT86" s="63"/>
    </row>
    <row r="87" spans="2:176" x14ac:dyDescent="0.3">
      <c r="B87" s="42"/>
      <c r="M87" s="194" t="str">
        <f ca="1">INDEX(Données_ATB!BD:BU,MATCH(MASQ2!O87,Données_ATB!BD:BD,0),18)</f>
        <v>x</v>
      </c>
      <c r="N87" s="14" t="str">
        <f>IFERROR(IF(Q87=0,"",COUNTIF(Q$4:Q$600,"&gt;"&amp;Q87)+COUNTIF(Q$4:Q87,Q87)),"")</f>
        <v/>
      </c>
      <c r="O87" t="str">
        <f>Données_ATB!BD86</f>
        <v>CEFENIL 50 MG/ML</v>
      </c>
      <c r="P87" t="e">
        <f>IF(IF(X$2="Catégorie",IF(X$3="Toutes",SUMIFS('Étape 1 - à remplir'!$F$31:$F$400,'Étape 1 - à remplir'!$E$31:$E$400,MASQ2!O87,'Étape 1 - à remplir'!$G$31:$G$400,"animaux"),SUMIFS('Étape 1 - à remplir'!$F$31:$F$400,'Étape 1 - à remplir'!$E$31:$E$400,MASQ2!O87,'Étape 1 - à remplir'!$C$31:$C$400,X$3)),IF(X$2="Âge",IF(X$3="Tous",SUMIFS('Étape 1 - à remplir'!$F$31:$F$400,'Étape 1 - à remplir'!$E$31:$E$400,MASQ2!O87,'Étape 1 - à remplir'!$G$31:$G$400,"animaux"),SUMIFS('Étape 1 - à remplir'!$F$31:$F$400,'Étape 1 - à remplir'!$E$31:$E$400,MASQ2!O87,'Étape 1 - à remplir'!$P$31:$P$400,X$3)),IF(X$2="Atelier",IF(X$3="Tous",SUMIFS('Étape 1 - à remplir'!$F$31:$F$400,'Étape 1 - à remplir'!$E$31:$E$400,MASQ2!O87,'Étape 1 - à remplir'!$G$31:$G$400,"animaux"),SUMIFS('Étape 1 - à remplir'!$F$31:$F$400,'Étape 1 - à remplir'!$E$31:$E$400,MASQ2!O87,'Étape 1 - à remplir'!$O$31:$O$400,X$3)),IF(X$2="Espèce",IF(X$3="Toutes",SUMIFS('Étape 1 - à remplir'!$F$31:$F$400,'Étape 1 - à remplir'!$E$31:$E$400,MASQ2!O87,'Étape 1 - à remplir'!$G$31:$G$400,"animaux"),SUMIFS('Étape 1 - à remplir'!$F$31:$F$400,'Étape 1 - à remplir'!$E$31:$E$400,MASQ2!O87,'Étape 1 - à remplir'!$N$31:$N$400,X$3))))))=0,NA(),IF(X$2="Catégorie",IF(X$3="Toutes",SUMIFS('Étape 1 - à remplir'!$F$31:$F$400,'Étape 1 - à remplir'!$E$31:$E$400,MASQ2!O87,'Étape 1 - à remplir'!$G$31:$G$400,"animaux"),SUMIFS('Étape 1 - à remplir'!$F$31:$F$400,'Étape 1 - à remplir'!$E$31:$E$400,MASQ2!O87,'Étape 1 - à remplir'!$C$31:$C$400,X$3)),IF(X$2="Âge",IF(X$3="Tous",SUMIFS('Étape 1 - à remplir'!$F$31:$F$400,'Étape 1 - à remplir'!$E$31:$E$400,MASQ2!O87,'Étape 1 - à remplir'!$G$31:$G$400,"animaux"),SUMIFS('Étape 1 - à remplir'!$F$31:$F$400,'Étape 1 - à remplir'!$E$31:$E$400,MASQ2!O87,'Étape 1 - à remplir'!$P$31:$P$400,X$3)),IF(X$2="Atelier",IF(X$3="Tous",SUMIFS('Étape 1 - à remplir'!$F$31:$F$400,'Étape 1 - à remplir'!$E$31:$E$400,MASQ2!O87,'Étape 1 - à remplir'!$G$31:$G$400,"animaux"),SUMIFS('Étape 1 - à remplir'!$F$31:$F$400,'Étape 1 - à remplir'!$E$31:$E$400,MASQ2!O87,'Étape 1 - à remplir'!$O$31:$O$400,X$3)),IF(X$2="Espèce",IF(X$3="Toutes",SUMIFS('Étape 1 - à remplir'!$F$31:$F$400,'Étape 1 - à remplir'!$E$31:$E$400,MASQ2!O87,'Étape 1 - à remplir'!$G$31:$G$400,"animaux"),SUMIFS('Étape 1 - à remplir'!$F$31:$F$400,'Étape 1 - à remplir'!$E$31:$E$400,MASQ2!O87,'Étape 1 - à remplir'!$N$31:$N$400,X$3)))))))</f>
        <v>#N/A</v>
      </c>
      <c r="Q87" s="63">
        <f t="shared" si="151"/>
        <v>0</v>
      </c>
      <c r="R87" t="str">
        <f>Données_ATB!BM86</f>
        <v>Ceftiofur</v>
      </c>
      <c r="S87" t="str">
        <f>Données_ATB!BN86</f>
        <v/>
      </c>
      <c r="T87" s="63" t="str">
        <f>Données_ATB!BO86</f>
        <v/>
      </c>
      <c r="U87" s="42" t="str">
        <f>Données_ATB!BQ86</f>
        <v>Cephalosporines 3&amp;4G</v>
      </c>
      <c r="V87" t="str">
        <f>Données_ATB!BR86</f>
        <v/>
      </c>
      <c r="W87" s="63" t="str">
        <f>Données_ATB!BS86</f>
        <v/>
      </c>
      <c r="Z87" s="42">
        <v>84</v>
      </c>
      <c r="AA87" t="e">
        <f t="shared" si="147"/>
        <v>#N/A</v>
      </c>
      <c r="AB87" s="63" t="e">
        <f t="shared" si="148"/>
        <v>#N/A</v>
      </c>
      <c r="BF87" s="63"/>
      <c r="BT87" s="194" t="str">
        <f t="shared" ca="1" si="131"/>
        <v>x</v>
      </c>
      <c r="BU87" s="219" t="str">
        <f>IFERROR(IF(BX87=0,"",COUNTIF(BX$4:BX$600,"&gt;"&amp;BX87)+COUNTIF(BX$4:BX87,BX87)),"")</f>
        <v/>
      </c>
      <c r="BV87" s="42" t="str">
        <f t="shared" si="132"/>
        <v>CEFENIL 50 MG/ML</v>
      </c>
      <c r="BW87" t="e">
        <f>IF(IF(CE$2="Catégorie",IF(CE$3="Toutes",SUMIFS('Étape 1 - à remplir'!$F$31:$F$400,'Étape 1 - à remplir'!$E$31:$E$400,MASQ2!BV87,'Étape 1 - à remplir'!$G$31:$G$400,"lots"),SUMIFS('Étape 1 - à remplir'!$F$31:$F$400,'Étape 1 - à remplir'!$E$31:$E$400,MASQ2!BV87,'Étape 1 - à remplir'!$C$31:$C$400,CE$3)),IF(CE$2="Âge",IF(CE$3="Tous",SUMIFS('Étape 1 - à remplir'!$F$31:$F$400,'Étape 1 - à remplir'!$E$31:$E$400,MASQ2!BV87,'Étape 1 - à remplir'!$G$31:$G$400,"lots"),SUMIFS('Étape 1 - à remplir'!$F$31:$F$400,'Étape 1 - à remplir'!$E$31:$E$400,MASQ2!BV87,'Étape 1 - à remplir'!$P$31:$P$400,CE$3,'Étape 1 - à remplir'!$G$31:$G$400,"lots")),IF(CE$2="Atelier",IF(CE$3="Tous",SUMIFS('Étape 1 - à remplir'!$F$31:$F$400,'Étape 1 - à remplir'!$E$31:$E$400,MASQ2!BV87,'Étape 1 - à remplir'!$G$31:$G$400,"lots"),SUMIFS('Étape 1 - à remplir'!$F$31:$F$400,'Étape 1 - à remplir'!$E$31:$E$400,MASQ2!BV87,'Étape 1 - à remplir'!$O$31:$O$400,CE$3,'Étape 1 - à remplir'!$G$31:$G$400,"lots")),IF(CE$2="Espèce",IF(CE$3="Toutes",SUMIFS('Étape 1 - à remplir'!$F$31:$F$400,'Étape 1 - à remplir'!$E$31:$E$400,MASQ2!BV87,'Étape 1 - à remplir'!$G$31:$G$400,"lots"),SUMIFS('Étape 1 - à remplir'!$F$31:$F$400,'Étape 1 - à remplir'!$E$31:$E$400,MASQ2!BV87,'Étape 1 - à remplir'!$N$31:$N$400,CE$3,'Étape 1 - à remplir'!$G$31:$G$400,"lots"))))))=0,NA(),IF(CE$2="Catégorie",IF(CE$3="Toutes",SUMIFS('Étape 1 - à remplir'!$F$31:$F$400,'Étape 1 - à remplir'!$E$31:$E$400,MASQ2!BV87,'Étape 1 - à remplir'!$G$31:$G$400,"lots"),SUMIFS('Étape 1 - à remplir'!$F$31:$F$400,'Étape 1 - à remplir'!$E$31:$E$400,MASQ2!BV87,'Étape 1 - à remplir'!$C$31:$C$400,CE$3)),IF(CE$2="Âge",IF(CE$3="Tous",SUMIFS('Étape 1 - à remplir'!$F$31:$F$400,'Étape 1 - à remplir'!$E$31:$E$400,MASQ2!BV87,'Étape 1 - à remplir'!$G$31:$G$400,"lots"),SUMIFS('Étape 1 - à remplir'!$F$31:$F$400,'Étape 1 - à remplir'!$E$31:$E$400,MASQ2!BV87,'Étape 1 - à remplir'!$P$31:$P$400,CE$3,'Étape 1 - à remplir'!$G$31:$G$400,"lots")),IF(CE$2="Atelier",IF(CE$3="Tous",SUMIFS('Étape 1 - à remplir'!$F$31:$F$400,'Étape 1 - à remplir'!$E$31:$E$400,MASQ2!BV87,'Étape 1 - à remplir'!$G$31:$G$400,"lots"),SUMIFS('Étape 1 - à remplir'!$F$31:$F$400,'Étape 1 - à remplir'!$E$31:$E$400,MASQ2!BV87,'Étape 1 - à remplir'!$O$31:$O$400,CE$3,'Étape 1 - à remplir'!$G$31:$G$400,"lots")),IF(CE$2="Espèce",IF(CE$3="Toutes",SUMIFS('Étape 1 - à remplir'!$F$31:$F$400,'Étape 1 - à remplir'!$E$31:$E$400,MASQ2!BV87,'Étape 1 - à remplir'!$G$31:$G$400,"lots"),SUMIFS('Étape 1 - à remplir'!$F$31:$F$400,'Étape 1 - à remplir'!$E$31:$E$400,MASQ2!BV87,'Étape 1 - à remplir'!$N$31:$N$400,CE$3,'Étape 1 - à remplir'!$G$31:$G$400,"lots")))))))</f>
        <v>#N/A</v>
      </c>
      <c r="BX87">
        <f t="shared" si="149"/>
        <v>0</v>
      </c>
      <c r="BY87" t="str">
        <f t="shared" si="133"/>
        <v>Ceftiofur</v>
      </c>
      <c r="BZ87" t="str">
        <f t="shared" si="134"/>
        <v/>
      </c>
      <c r="CA87" t="str">
        <f t="shared" si="135"/>
        <v/>
      </c>
      <c r="CB87" t="str">
        <f t="shared" si="136"/>
        <v>Cephalosporines 3&amp;4G</v>
      </c>
      <c r="CC87" t="str">
        <f t="shared" si="137"/>
        <v/>
      </c>
      <c r="CD87" s="63" t="str">
        <f t="shared" si="138"/>
        <v/>
      </c>
      <c r="CG87" s="42">
        <v>84</v>
      </c>
      <c r="CH87" s="42" t="e">
        <f t="shared" si="163"/>
        <v>#N/A</v>
      </c>
      <c r="CI87" s="63" t="e">
        <f t="shared" si="164"/>
        <v>#N/A</v>
      </c>
      <c r="DM87" s="63"/>
      <c r="EA87" s="194" t="str">
        <f t="shared" ca="1" si="139"/>
        <v>x</v>
      </c>
      <c r="EB87" s="226" t="str">
        <f>IFERROR(IF(ED87=0,"",COUNTIF(ED$4:ED$600,"&gt;"&amp;ED87)+COUNTIF(ED$4:ED87,ED87)),"")</f>
        <v/>
      </c>
      <c r="EC87" t="str">
        <f t="shared" si="140"/>
        <v>CEFENIL 50 MG/ML</v>
      </c>
      <c r="ED87" t="e">
        <f>IF(IF(EL$2="Catégorie",IF(EL$3="Toutes",SUMIFS('Étape 1 - à remplir'!$F$31:$F$400,'Étape 1 - à remplir'!$E$31:$E$400,MASQ2!EC87,'Étape 1 - à remplir'!$G$31:$G$400,"kg"),SUMIFS('Étape 1 - à remplir'!$F$31:$F$400,'Étape 1 - à remplir'!$E$31:$E$400,MASQ2!EC87,'Étape 1 - à remplir'!$C$31:$C$400,EL$3)),IF(EL$2="Âge",IF(EL$3="Tous",SUMIFS('Étape 1 - à remplir'!$F$31:$F$400,'Étape 1 - à remplir'!$E$31:$E$400,MASQ2!EC87,'Étape 1 - à remplir'!$G$31:$G$400,"kg"),SUMIFS('Étape 1 - à remplir'!$F$31:$F$400,'Étape 1 - à remplir'!$E$31:$E$400,MASQ2!EC87,'Étape 1 - à remplir'!$P$31:$P$400,EL$3,'Étape 1 - à remplir'!$G$31:$G$400,"kg")),IF(EL$2="Atelier",IF(EL$3="Tous",SUMIFS('Étape 1 - à remplir'!$F$31:$F$400,'Étape 1 - à remplir'!$E$31:$E$400,MASQ2!EC87,'Étape 1 - à remplir'!$G$31:$G$400,"kg"),SUMIFS('Étape 1 - à remplir'!$F$31:$F$400,'Étape 1 - à remplir'!$E$31:$E$400,MASQ2!EC87,'Étape 1 - à remplir'!$O$31:$O$400,EL$3,'Étape 1 - à remplir'!$G$31:$G$400,"kg")),IF(EL$2="Espèce",IF(EL$3="Toutes",SUMIFS('Étape 1 - à remplir'!$F$31:$F$400,'Étape 1 - à remplir'!$E$31:$E$400,MASQ2!EC87,'Étape 1 - à remplir'!$G$31:$G$400,"kg"),SUMIFS('Étape 1 - à remplir'!$F$31:$F$400,'Étape 1 - à remplir'!$E$31:$E$400,MASQ2!EC87,'Étape 1 - à remplir'!$N$31:$N$400,EL$3,'Étape 1 - à remplir'!$G$31:$G$400,"kg"))))))=0,NA(),IF(EL$2="Catégorie",IF(EL$3="Toutes",SUMIFS('Étape 1 - à remplir'!$F$31:$F$400,'Étape 1 - à remplir'!$E$31:$E$400,MASQ2!EC87,'Étape 1 - à remplir'!$G$31:$G$400,"kg"),SUMIFS('Étape 1 - à remplir'!$F$31:$F$400,'Étape 1 - à remplir'!$E$31:$E$400,MASQ2!EC87,'Étape 1 - à remplir'!$C$31:$C$400,EL$3)),IF(EL$2="Âge",IF(EL$3="Tous",SUMIFS('Étape 1 - à remplir'!$F$31:$F$400,'Étape 1 - à remplir'!$E$31:$E$400,MASQ2!EC87,'Étape 1 - à remplir'!$G$31:$G$400,"kg"),SUMIFS('Étape 1 - à remplir'!$F$31:$F$400,'Étape 1 - à remplir'!$E$31:$E$400,MASQ2!EC87,'Étape 1 - à remplir'!$P$31:$P$400,EL$3,'Étape 1 - à remplir'!$G$31:$G$400,"kg")),IF(EL$2="Atelier",IF(EL$3="Tous",SUMIFS('Étape 1 - à remplir'!$F$31:$F$400,'Étape 1 - à remplir'!$E$31:$E$400,MASQ2!EC87,'Étape 1 - à remplir'!$G$31:$G$400,"kg"),SUMIFS('Étape 1 - à remplir'!$F$31:$F$400,'Étape 1 - à remplir'!$E$31:$E$400,MASQ2!EC87,'Étape 1 - à remplir'!$O$31:$O$400,EL$3,'Étape 1 - à remplir'!$G$31:$G$400,"kg")),IF(EL$2="Espèce",IF(EL$3="Toutes",SUMIFS('Étape 1 - à remplir'!$F$31:$F$400,'Étape 1 - à remplir'!$E$31:$E$400,MASQ2!EC87,'Étape 1 - à remplir'!$G$31:$G$400,"kg"),SUMIFS('Étape 1 - à remplir'!$F$31:$F$400,'Étape 1 - à remplir'!$E$31:$E$400,MASQ2!EC87,'Étape 1 - à remplir'!$N$31:$N$400,EL$3,'Étape 1 - à remplir'!$G$31:$G$400,"kg")))))))</f>
        <v>#N/A</v>
      </c>
      <c r="EE87" s="76">
        <f t="shared" si="150"/>
        <v>0</v>
      </c>
      <c r="EF87" t="str">
        <f t="shared" si="141"/>
        <v>Ceftiofur</v>
      </c>
      <c r="EG87" t="str">
        <f t="shared" si="142"/>
        <v/>
      </c>
      <c r="EH87" t="str">
        <f t="shared" si="143"/>
        <v/>
      </c>
      <c r="EI87" t="str">
        <f t="shared" si="144"/>
        <v>Cephalosporines 3&amp;4G</v>
      </c>
      <c r="EJ87" t="str">
        <f t="shared" si="145"/>
        <v/>
      </c>
      <c r="EK87" s="63" t="str">
        <f t="shared" si="146"/>
        <v/>
      </c>
      <c r="EN87" s="42">
        <v>84</v>
      </c>
      <c r="EO87" t="e">
        <f t="shared" si="152"/>
        <v>#N/A</v>
      </c>
      <c r="EP87" s="63" t="e">
        <f t="shared" si="153"/>
        <v>#N/A</v>
      </c>
      <c r="FT87" s="63"/>
    </row>
    <row r="88" spans="2:176" x14ac:dyDescent="0.3">
      <c r="B88" s="42"/>
      <c r="M88" s="194" t="str">
        <f ca="1">INDEX(Données_ATB!BD:BU,MATCH(MASQ2!O88,Données_ATB!BD:BD,0),18)</f>
        <v>x</v>
      </c>
      <c r="N88" s="14" t="str">
        <f>IFERROR(IF(Q88=0,"",COUNTIF(Q$4:Q$600,"&gt;"&amp;Q88)+COUNTIF(Q$4:Q88,Q88)),"")</f>
        <v/>
      </c>
      <c r="O88" t="str">
        <f>Données_ATB!BD87</f>
        <v>CEFENIL RTU VET 50 MG/ML SUSPENSION INJECTABLE POUR PORCS ET BOVINS</v>
      </c>
      <c r="P88" t="e">
        <f>IF(IF(X$2="Catégorie",IF(X$3="Toutes",SUMIFS('Étape 1 - à remplir'!$F$31:$F$400,'Étape 1 - à remplir'!$E$31:$E$400,MASQ2!O88,'Étape 1 - à remplir'!$G$31:$G$400,"animaux"),SUMIFS('Étape 1 - à remplir'!$F$31:$F$400,'Étape 1 - à remplir'!$E$31:$E$400,MASQ2!O88,'Étape 1 - à remplir'!$C$31:$C$400,X$3)),IF(X$2="Âge",IF(X$3="Tous",SUMIFS('Étape 1 - à remplir'!$F$31:$F$400,'Étape 1 - à remplir'!$E$31:$E$400,MASQ2!O88,'Étape 1 - à remplir'!$G$31:$G$400,"animaux"),SUMIFS('Étape 1 - à remplir'!$F$31:$F$400,'Étape 1 - à remplir'!$E$31:$E$400,MASQ2!O88,'Étape 1 - à remplir'!$P$31:$P$400,X$3)),IF(X$2="Atelier",IF(X$3="Tous",SUMIFS('Étape 1 - à remplir'!$F$31:$F$400,'Étape 1 - à remplir'!$E$31:$E$400,MASQ2!O88,'Étape 1 - à remplir'!$G$31:$G$400,"animaux"),SUMIFS('Étape 1 - à remplir'!$F$31:$F$400,'Étape 1 - à remplir'!$E$31:$E$400,MASQ2!O88,'Étape 1 - à remplir'!$O$31:$O$400,X$3)),IF(X$2="Espèce",IF(X$3="Toutes",SUMIFS('Étape 1 - à remplir'!$F$31:$F$400,'Étape 1 - à remplir'!$E$31:$E$400,MASQ2!O88,'Étape 1 - à remplir'!$G$31:$G$400,"animaux"),SUMIFS('Étape 1 - à remplir'!$F$31:$F$400,'Étape 1 - à remplir'!$E$31:$E$400,MASQ2!O88,'Étape 1 - à remplir'!$N$31:$N$400,X$3))))))=0,NA(),IF(X$2="Catégorie",IF(X$3="Toutes",SUMIFS('Étape 1 - à remplir'!$F$31:$F$400,'Étape 1 - à remplir'!$E$31:$E$400,MASQ2!O88,'Étape 1 - à remplir'!$G$31:$G$400,"animaux"),SUMIFS('Étape 1 - à remplir'!$F$31:$F$400,'Étape 1 - à remplir'!$E$31:$E$400,MASQ2!O88,'Étape 1 - à remplir'!$C$31:$C$400,X$3)),IF(X$2="Âge",IF(X$3="Tous",SUMIFS('Étape 1 - à remplir'!$F$31:$F$400,'Étape 1 - à remplir'!$E$31:$E$400,MASQ2!O88,'Étape 1 - à remplir'!$G$31:$G$400,"animaux"),SUMIFS('Étape 1 - à remplir'!$F$31:$F$400,'Étape 1 - à remplir'!$E$31:$E$400,MASQ2!O88,'Étape 1 - à remplir'!$P$31:$P$400,X$3)),IF(X$2="Atelier",IF(X$3="Tous",SUMIFS('Étape 1 - à remplir'!$F$31:$F$400,'Étape 1 - à remplir'!$E$31:$E$400,MASQ2!O88,'Étape 1 - à remplir'!$G$31:$G$400,"animaux"),SUMIFS('Étape 1 - à remplir'!$F$31:$F$400,'Étape 1 - à remplir'!$E$31:$E$400,MASQ2!O88,'Étape 1 - à remplir'!$O$31:$O$400,X$3)),IF(X$2="Espèce",IF(X$3="Toutes",SUMIFS('Étape 1 - à remplir'!$F$31:$F$400,'Étape 1 - à remplir'!$E$31:$E$400,MASQ2!O88,'Étape 1 - à remplir'!$G$31:$G$400,"animaux"),SUMIFS('Étape 1 - à remplir'!$F$31:$F$400,'Étape 1 - à remplir'!$E$31:$E$400,MASQ2!O88,'Étape 1 - à remplir'!$N$31:$N$400,X$3)))))))</f>
        <v>#N/A</v>
      </c>
      <c r="Q88" s="63">
        <f t="shared" si="151"/>
        <v>0</v>
      </c>
      <c r="R88" t="str">
        <f>Données_ATB!BM87</f>
        <v>Ceftiofur</v>
      </c>
      <c r="S88" t="str">
        <f>Données_ATB!BN87</f>
        <v/>
      </c>
      <c r="T88" s="63" t="str">
        <f>Données_ATB!BO87</f>
        <v/>
      </c>
      <c r="U88" s="42" t="str">
        <f>Données_ATB!BQ87</f>
        <v>Cephalosporines 3&amp;4G</v>
      </c>
      <c r="V88" t="str">
        <f>Données_ATB!BR87</f>
        <v/>
      </c>
      <c r="W88" s="63" t="str">
        <f>Données_ATB!BS87</f>
        <v/>
      </c>
      <c r="Z88" s="42">
        <v>85</v>
      </c>
      <c r="AA88" t="e">
        <f t="shared" si="147"/>
        <v>#N/A</v>
      </c>
      <c r="AB88" s="63" t="e">
        <f t="shared" si="148"/>
        <v>#N/A</v>
      </c>
      <c r="BF88" s="63"/>
      <c r="BT88" s="194" t="str">
        <f t="shared" ca="1" si="131"/>
        <v>x</v>
      </c>
      <c r="BU88" s="219" t="str">
        <f>IFERROR(IF(BX88=0,"",COUNTIF(BX$4:BX$600,"&gt;"&amp;BX88)+COUNTIF(BX$4:BX88,BX88)),"")</f>
        <v/>
      </c>
      <c r="BV88" s="42" t="str">
        <f t="shared" si="132"/>
        <v>CEFENIL RTU VET 50 MG/ML SUSPENSION INJECTABLE POUR PORCS ET BOVINS</v>
      </c>
      <c r="BW88" t="e">
        <f>IF(IF(CE$2="Catégorie",IF(CE$3="Toutes",SUMIFS('Étape 1 - à remplir'!$F$31:$F$400,'Étape 1 - à remplir'!$E$31:$E$400,MASQ2!BV88,'Étape 1 - à remplir'!$G$31:$G$400,"lots"),SUMIFS('Étape 1 - à remplir'!$F$31:$F$400,'Étape 1 - à remplir'!$E$31:$E$400,MASQ2!BV88,'Étape 1 - à remplir'!$C$31:$C$400,CE$3)),IF(CE$2="Âge",IF(CE$3="Tous",SUMIFS('Étape 1 - à remplir'!$F$31:$F$400,'Étape 1 - à remplir'!$E$31:$E$400,MASQ2!BV88,'Étape 1 - à remplir'!$G$31:$G$400,"lots"),SUMIFS('Étape 1 - à remplir'!$F$31:$F$400,'Étape 1 - à remplir'!$E$31:$E$400,MASQ2!BV88,'Étape 1 - à remplir'!$P$31:$P$400,CE$3,'Étape 1 - à remplir'!$G$31:$G$400,"lots")),IF(CE$2="Atelier",IF(CE$3="Tous",SUMIFS('Étape 1 - à remplir'!$F$31:$F$400,'Étape 1 - à remplir'!$E$31:$E$400,MASQ2!BV88,'Étape 1 - à remplir'!$G$31:$G$400,"lots"),SUMIFS('Étape 1 - à remplir'!$F$31:$F$400,'Étape 1 - à remplir'!$E$31:$E$400,MASQ2!BV88,'Étape 1 - à remplir'!$O$31:$O$400,CE$3,'Étape 1 - à remplir'!$G$31:$G$400,"lots")),IF(CE$2="Espèce",IF(CE$3="Toutes",SUMIFS('Étape 1 - à remplir'!$F$31:$F$400,'Étape 1 - à remplir'!$E$31:$E$400,MASQ2!BV88,'Étape 1 - à remplir'!$G$31:$G$400,"lots"),SUMIFS('Étape 1 - à remplir'!$F$31:$F$400,'Étape 1 - à remplir'!$E$31:$E$400,MASQ2!BV88,'Étape 1 - à remplir'!$N$31:$N$400,CE$3,'Étape 1 - à remplir'!$G$31:$G$400,"lots"))))))=0,NA(),IF(CE$2="Catégorie",IF(CE$3="Toutes",SUMIFS('Étape 1 - à remplir'!$F$31:$F$400,'Étape 1 - à remplir'!$E$31:$E$400,MASQ2!BV88,'Étape 1 - à remplir'!$G$31:$G$400,"lots"),SUMIFS('Étape 1 - à remplir'!$F$31:$F$400,'Étape 1 - à remplir'!$E$31:$E$400,MASQ2!BV88,'Étape 1 - à remplir'!$C$31:$C$400,CE$3)),IF(CE$2="Âge",IF(CE$3="Tous",SUMIFS('Étape 1 - à remplir'!$F$31:$F$400,'Étape 1 - à remplir'!$E$31:$E$400,MASQ2!BV88,'Étape 1 - à remplir'!$G$31:$G$400,"lots"),SUMIFS('Étape 1 - à remplir'!$F$31:$F$400,'Étape 1 - à remplir'!$E$31:$E$400,MASQ2!BV88,'Étape 1 - à remplir'!$P$31:$P$400,CE$3,'Étape 1 - à remplir'!$G$31:$G$400,"lots")),IF(CE$2="Atelier",IF(CE$3="Tous",SUMIFS('Étape 1 - à remplir'!$F$31:$F$400,'Étape 1 - à remplir'!$E$31:$E$400,MASQ2!BV88,'Étape 1 - à remplir'!$G$31:$G$400,"lots"),SUMIFS('Étape 1 - à remplir'!$F$31:$F$400,'Étape 1 - à remplir'!$E$31:$E$400,MASQ2!BV88,'Étape 1 - à remplir'!$O$31:$O$400,CE$3,'Étape 1 - à remplir'!$G$31:$G$400,"lots")),IF(CE$2="Espèce",IF(CE$3="Toutes",SUMIFS('Étape 1 - à remplir'!$F$31:$F$400,'Étape 1 - à remplir'!$E$31:$E$400,MASQ2!BV88,'Étape 1 - à remplir'!$G$31:$G$400,"lots"),SUMIFS('Étape 1 - à remplir'!$F$31:$F$400,'Étape 1 - à remplir'!$E$31:$E$400,MASQ2!BV88,'Étape 1 - à remplir'!$N$31:$N$400,CE$3,'Étape 1 - à remplir'!$G$31:$G$400,"lots")))))))</f>
        <v>#N/A</v>
      </c>
      <c r="BX88">
        <f t="shared" si="149"/>
        <v>0</v>
      </c>
      <c r="BY88" t="str">
        <f t="shared" si="133"/>
        <v>Ceftiofur</v>
      </c>
      <c r="BZ88" t="str">
        <f t="shared" si="134"/>
        <v/>
      </c>
      <c r="CA88" t="str">
        <f t="shared" si="135"/>
        <v/>
      </c>
      <c r="CB88" t="str">
        <f t="shared" si="136"/>
        <v>Cephalosporines 3&amp;4G</v>
      </c>
      <c r="CC88" t="str">
        <f t="shared" si="137"/>
        <v/>
      </c>
      <c r="CD88" s="63" t="str">
        <f t="shared" si="138"/>
        <v/>
      </c>
      <c r="CG88" s="42">
        <v>85</v>
      </c>
      <c r="CH88" s="42" t="e">
        <f t="shared" si="163"/>
        <v>#N/A</v>
      </c>
      <c r="CI88" s="63" t="e">
        <f t="shared" si="164"/>
        <v>#N/A</v>
      </c>
      <c r="DM88" s="63"/>
      <c r="EA88" s="194" t="str">
        <f t="shared" ca="1" si="139"/>
        <v>x</v>
      </c>
      <c r="EB88" s="226" t="str">
        <f>IFERROR(IF(ED88=0,"",COUNTIF(ED$4:ED$600,"&gt;"&amp;ED88)+COUNTIF(ED$4:ED88,ED88)),"")</f>
        <v/>
      </c>
      <c r="EC88" t="str">
        <f t="shared" si="140"/>
        <v>CEFENIL RTU VET 50 MG/ML SUSPENSION INJECTABLE POUR PORCS ET BOVINS</v>
      </c>
      <c r="ED88" t="e">
        <f>IF(IF(EL$2="Catégorie",IF(EL$3="Toutes",SUMIFS('Étape 1 - à remplir'!$F$31:$F$400,'Étape 1 - à remplir'!$E$31:$E$400,MASQ2!EC88,'Étape 1 - à remplir'!$G$31:$G$400,"kg"),SUMIFS('Étape 1 - à remplir'!$F$31:$F$400,'Étape 1 - à remplir'!$E$31:$E$400,MASQ2!EC88,'Étape 1 - à remplir'!$C$31:$C$400,EL$3)),IF(EL$2="Âge",IF(EL$3="Tous",SUMIFS('Étape 1 - à remplir'!$F$31:$F$400,'Étape 1 - à remplir'!$E$31:$E$400,MASQ2!EC88,'Étape 1 - à remplir'!$G$31:$G$400,"kg"),SUMIFS('Étape 1 - à remplir'!$F$31:$F$400,'Étape 1 - à remplir'!$E$31:$E$400,MASQ2!EC88,'Étape 1 - à remplir'!$P$31:$P$400,EL$3,'Étape 1 - à remplir'!$G$31:$G$400,"kg")),IF(EL$2="Atelier",IF(EL$3="Tous",SUMIFS('Étape 1 - à remplir'!$F$31:$F$400,'Étape 1 - à remplir'!$E$31:$E$400,MASQ2!EC88,'Étape 1 - à remplir'!$G$31:$G$400,"kg"),SUMIFS('Étape 1 - à remplir'!$F$31:$F$400,'Étape 1 - à remplir'!$E$31:$E$400,MASQ2!EC88,'Étape 1 - à remplir'!$O$31:$O$400,EL$3,'Étape 1 - à remplir'!$G$31:$G$400,"kg")),IF(EL$2="Espèce",IF(EL$3="Toutes",SUMIFS('Étape 1 - à remplir'!$F$31:$F$400,'Étape 1 - à remplir'!$E$31:$E$400,MASQ2!EC88,'Étape 1 - à remplir'!$G$31:$G$400,"kg"),SUMIFS('Étape 1 - à remplir'!$F$31:$F$400,'Étape 1 - à remplir'!$E$31:$E$400,MASQ2!EC88,'Étape 1 - à remplir'!$N$31:$N$400,EL$3,'Étape 1 - à remplir'!$G$31:$G$400,"kg"))))))=0,NA(),IF(EL$2="Catégorie",IF(EL$3="Toutes",SUMIFS('Étape 1 - à remplir'!$F$31:$F$400,'Étape 1 - à remplir'!$E$31:$E$400,MASQ2!EC88,'Étape 1 - à remplir'!$G$31:$G$400,"kg"),SUMIFS('Étape 1 - à remplir'!$F$31:$F$400,'Étape 1 - à remplir'!$E$31:$E$400,MASQ2!EC88,'Étape 1 - à remplir'!$C$31:$C$400,EL$3)),IF(EL$2="Âge",IF(EL$3="Tous",SUMIFS('Étape 1 - à remplir'!$F$31:$F$400,'Étape 1 - à remplir'!$E$31:$E$400,MASQ2!EC88,'Étape 1 - à remplir'!$G$31:$G$400,"kg"),SUMIFS('Étape 1 - à remplir'!$F$31:$F$400,'Étape 1 - à remplir'!$E$31:$E$400,MASQ2!EC88,'Étape 1 - à remplir'!$P$31:$P$400,EL$3,'Étape 1 - à remplir'!$G$31:$G$400,"kg")),IF(EL$2="Atelier",IF(EL$3="Tous",SUMIFS('Étape 1 - à remplir'!$F$31:$F$400,'Étape 1 - à remplir'!$E$31:$E$400,MASQ2!EC88,'Étape 1 - à remplir'!$G$31:$G$400,"kg"),SUMIFS('Étape 1 - à remplir'!$F$31:$F$400,'Étape 1 - à remplir'!$E$31:$E$400,MASQ2!EC88,'Étape 1 - à remplir'!$O$31:$O$400,EL$3,'Étape 1 - à remplir'!$G$31:$G$400,"kg")),IF(EL$2="Espèce",IF(EL$3="Toutes",SUMIFS('Étape 1 - à remplir'!$F$31:$F$400,'Étape 1 - à remplir'!$E$31:$E$400,MASQ2!EC88,'Étape 1 - à remplir'!$G$31:$G$400,"kg"),SUMIFS('Étape 1 - à remplir'!$F$31:$F$400,'Étape 1 - à remplir'!$E$31:$E$400,MASQ2!EC88,'Étape 1 - à remplir'!$N$31:$N$400,EL$3,'Étape 1 - à remplir'!$G$31:$G$400,"kg")))))))</f>
        <v>#N/A</v>
      </c>
      <c r="EE88" s="76">
        <f t="shared" si="150"/>
        <v>0</v>
      </c>
      <c r="EF88" t="str">
        <f t="shared" si="141"/>
        <v>Ceftiofur</v>
      </c>
      <c r="EG88" t="str">
        <f t="shared" si="142"/>
        <v/>
      </c>
      <c r="EH88" t="str">
        <f t="shared" si="143"/>
        <v/>
      </c>
      <c r="EI88" t="str">
        <f t="shared" si="144"/>
        <v>Cephalosporines 3&amp;4G</v>
      </c>
      <c r="EJ88" t="str">
        <f t="shared" si="145"/>
        <v/>
      </c>
      <c r="EK88" s="63" t="str">
        <f t="shared" si="146"/>
        <v/>
      </c>
      <c r="EN88" s="42">
        <v>85</v>
      </c>
      <c r="EO88" t="e">
        <f t="shared" si="152"/>
        <v>#N/A</v>
      </c>
      <c r="EP88" s="63" t="e">
        <f t="shared" si="153"/>
        <v>#N/A</v>
      </c>
      <c r="FT88" s="63"/>
    </row>
    <row r="89" spans="2:176" x14ac:dyDescent="0.3">
      <c r="B89" s="42"/>
      <c r="M89" s="194" t="str">
        <f ca="1">INDEX(Données_ATB!BD:BU,MATCH(MASQ2!O89,Données_ATB!BD:BD,0),18)</f>
        <v>x</v>
      </c>
      <c r="N89" s="14" t="str">
        <f>IFERROR(IF(Q89=0,"",COUNTIF(Q$4:Q$600,"&gt;"&amp;Q89)+COUNTIF(Q$4:Q89,Q89)),"")</f>
        <v/>
      </c>
      <c r="O89" t="str">
        <f>Données_ATB!BD88</f>
        <v>CEFOKEL 50 MG/ML SUSPENSION INJECTABLE POUR PORCINS ET BOVINS</v>
      </c>
      <c r="P89" t="e">
        <f>IF(IF(X$2="Catégorie",IF(X$3="Toutes",SUMIFS('Étape 1 - à remplir'!$F$31:$F$400,'Étape 1 - à remplir'!$E$31:$E$400,MASQ2!O89,'Étape 1 - à remplir'!$G$31:$G$400,"animaux"),SUMIFS('Étape 1 - à remplir'!$F$31:$F$400,'Étape 1 - à remplir'!$E$31:$E$400,MASQ2!O89,'Étape 1 - à remplir'!$C$31:$C$400,X$3)),IF(X$2="Âge",IF(X$3="Tous",SUMIFS('Étape 1 - à remplir'!$F$31:$F$400,'Étape 1 - à remplir'!$E$31:$E$400,MASQ2!O89,'Étape 1 - à remplir'!$G$31:$G$400,"animaux"),SUMIFS('Étape 1 - à remplir'!$F$31:$F$400,'Étape 1 - à remplir'!$E$31:$E$400,MASQ2!O89,'Étape 1 - à remplir'!$P$31:$P$400,X$3)),IF(X$2="Atelier",IF(X$3="Tous",SUMIFS('Étape 1 - à remplir'!$F$31:$F$400,'Étape 1 - à remplir'!$E$31:$E$400,MASQ2!O89,'Étape 1 - à remplir'!$G$31:$G$400,"animaux"),SUMIFS('Étape 1 - à remplir'!$F$31:$F$400,'Étape 1 - à remplir'!$E$31:$E$400,MASQ2!O89,'Étape 1 - à remplir'!$O$31:$O$400,X$3)),IF(X$2="Espèce",IF(X$3="Toutes",SUMIFS('Étape 1 - à remplir'!$F$31:$F$400,'Étape 1 - à remplir'!$E$31:$E$400,MASQ2!O89,'Étape 1 - à remplir'!$G$31:$G$400,"animaux"),SUMIFS('Étape 1 - à remplir'!$F$31:$F$400,'Étape 1 - à remplir'!$E$31:$E$400,MASQ2!O89,'Étape 1 - à remplir'!$N$31:$N$400,X$3))))))=0,NA(),IF(X$2="Catégorie",IF(X$3="Toutes",SUMIFS('Étape 1 - à remplir'!$F$31:$F$400,'Étape 1 - à remplir'!$E$31:$E$400,MASQ2!O89,'Étape 1 - à remplir'!$G$31:$G$400,"animaux"),SUMIFS('Étape 1 - à remplir'!$F$31:$F$400,'Étape 1 - à remplir'!$E$31:$E$400,MASQ2!O89,'Étape 1 - à remplir'!$C$31:$C$400,X$3)),IF(X$2="Âge",IF(X$3="Tous",SUMIFS('Étape 1 - à remplir'!$F$31:$F$400,'Étape 1 - à remplir'!$E$31:$E$400,MASQ2!O89,'Étape 1 - à remplir'!$G$31:$G$400,"animaux"),SUMIFS('Étape 1 - à remplir'!$F$31:$F$400,'Étape 1 - à remplir'!$E$31:$E$400,MASQ2!O89,'Étape 1 - à remplir'!$P$31:$P$400,X$3)),IF(X$2="Atelier",IF(X$3="Tous",SUMIFS('Étape 1 - à remplir'!$F$31:$F$400,'Étape 1 - à remplir'!$E$31:$E$400,MASQ2!O89,'Étape 1 - à remplir'!$G$31:$G$400,"animaux"),SUMIFS('Étape 1 - à remplir'!$F$31:$F$400,'Étape 1 - à remplir'!$E$31:$E$400,MASQ2!O89,'Étape 1 - à remplir'!$O$31:$O$400,X$3)),IF(X$2="Espèce",IF(X$3="Toutes",SUMIFS('Étape 1 - à remplir'!$F$31:$F$400,'Étape 1 - à remplir'!$E$31:$E$400,MASQ2!O89,'Étape 1 - à remplir'!$G$31:$G$400,"animaux"),SUMIFS('Étape 1 - à remplir'!$F$31:$F$400,'Étape 1 - à remplir'!$E$31:$E$400,MASQ2!O89,'Étape 1 - à remplir'!$N$31:$N$400,X$3)))))))</f>
        <v>#N/A</v>
      </c>
      <c r="Q89" s="63">
        <f t="shared" si="151"/>
        <v>0</v>
      </c>
      <c r="R89" t="str">
        <f>Données_ATB!BM88</f>
        <v>Ceftiofur</v>
      </c>
      <c r="S89" t="str">
        <f>Données_ATB!BN88</f>
        <v/>
      </c>
      <c r="T89" s="63" t="str">
        <f>Données_ATB!BO88</f>
        <v/>
      </c>
      <c r="U89" s="42" t="str">
        <f>Données_ATB!BQ88</f>
        <v>Cephalosporines 3&amp;4G</v>
      </c>
      <c r="V89" t="str">
        <f>Données_ATB!BR88</f>
        <v/>
      </c>
      <c r="W89" s="63" t="str">
        <f>Données_ATB!BS88</f>
        <v/>
      </c>
      <c r="Z89" s="42">
        <v>86</v>
      </c>
      <c r="AA89" t="e">
        <f t="shared" si="147"/>
        <v>#N/A</v>
      </c>
      <c r="AB89" s="63" t="e">
        <f t="shared" si="148"/>
        <v>#N/A</v>
      </c>
      <c r="BF89" s="63"/>
      <c r="BT89" s="194" t="str">
        <f t="shared" ca="1" si="131"/>
        <v>x</v>
      </c>
      <c r="BU89" s="219" t="str">
        <f>IFERROR(IF(BX89=0,"",COUNTIF(BX$4:BX$600,"&gt;"&amp;BX89)+COUNTIF(BX$4:BX89,BX89)),"")</f>
        <v/>
      </c>
      <c r="BV89" s="42" t="str">
        <f t="shared" si="132"/>
        <v>CEFOKEL 50 MG/ML SUSPENSION INJECTABLE POUR PORCINS ET BOVINS</v>
      </c>
      <c r="BW89" t="e">
        <f>IF(IF(CE$2="Catégorie",IF(CE$3="Toutes",SUMIFS('Étape 1 - à remplir'!$F$31:$F$400,'Étape 1 - à remplir'!$E$31:$E$400,MASQ2!BV89,'Étape 1 - à remplir'!$G$31:$G$400,"lots"),SUMIFS('Étape 1 - à remplir'!$F$31:$F$400,'Étape 1 - à remplir'!$E$31:$E$400,MASQ2!BV89,'Étape 1 - à remplir'!$C$31:$C$400,CE$3)),IF(CE$2="Âge",IF(CE$3="Tous",SUMIFS('Étape 1 - à remplir'!$F$31:$F$400,'Étape 1 - à remplir'!$E$31:$E$400,MASQ2!BV89,'Étape 1 - à remplir'!$G$31:$G$400,"lots"),SUMIFS('Étape 1 - à remplir'!$F$31:$F$400,'Étape 1 - à remplir'!$E$31:$E$400,MASQ2!BV89,'Étape 1 - à remplir'!$P$31:$P$400,CE$3,'Étape 1 - à remplir'!$G$31:$G$400,"lots")),IF(CE$2="Atelier",IF(CE$3="Tous",SUMIFS('Étape 1 - à remplir'!$F$31:$F$400,'Étape 1 - à remplir'!$E$31:$E$400,MASQ2!BV89,'Étape 1 - à remplir'!$G$31:$G$400,"lots"),SUMIFS('Étape 1 - à remplir'!$F$31:$F$400,'Étape 1 - à remplir'!$E$31:$E$400,MASQ2!BV89,'Étape 1 - à remplir'!$O$31:$O$400,CE$3,'Étape 1 - à remplir'!$G$31:$G$400,"lots")),IF(CE$2="Espèce",IF(CE$3="Toutes",SUMIFS('Étape 1 - à remplir'!$F$31:$F$400,'Étape 1 - à remplir'!$E$31:$E$400,MASQ2!BV89,'Étape 1 - à remplir'!$G$31:$G$400,"lots"),SUMIFS('Étape 1 - à remplir'!$F$31:$F$400,'Étape 1 - à remplir'!$E$31:$E$400,MASQ2!BV89,'Étape 1 - à remplir'!$N$31:$N$400,CE$3,'Étape 1 - à remplir'!$G$31:$G$400,"lots"))))))=0,NA(),IF(CE$2="Catégorie",IF(CE$3="Toutes",SUMIFS('Étape 1 - à remplir'!$F$31:$F$400,'Étape 1 - à remplir'!$E$31:$E$400,MASQ2!BV89,'Étape 1 - à remplir'!$G$31:$G$400,"lots"),SUMIFS('Étape 1 - à remplir'!$F$31:$F$400,'Étape 1 - à remplir'!$E$31:$E$400,MASQ2!BV89,'Étape 1 - à remplir'!$C$31:$C$400,CE$3)),IF(CE$2="Âge",IF(CE$3="Tous",SUMIFS('Étape 1 - à remplir'!$F$31:$F$400,'Étape 1 - à remplir'!$E$31:$E$400,MASQ2!BV89,'Étape 1 - à remplir'!$G$31:$G$400,"lots"),SUMIFS('Étape 1 - à remplir'!$F$31:$F$400,'Étape 1 - à remplir'!$E$31:$E$400,MASQ2!BV89,'Étape 1 - à remplir'!$P$31:$P$400,CE$3,'Étape 1 - à remplir'!$G$31:$G$400,"lots")),IF(CE$2="Atelier",IF(CE$3="Tous",SUMIFS('Étape 1 - à remplir'!$F$31:$F$400,'Étape 1 - à remplir'!$E$31:$E$400,MASQ2!BV89,'Étape 1 - à remplir'!$G$31:$G$400,"lots"),SUMIFS('Étape 1 - à remplir'!$F$31:$F$400,'Étape 1 - à remplir'!$E$31:$E$400,MASQ2!BV89,'Étape 1 - à remplir'!$O$31:$O$400,CE$3,'Étape 1 - à remplir'!$G$31:$G$400,"lots")),IF(CE$2="Espèce",IF(CE$3="Toutes",SUMIFS('Étape 1 - à remplir'!$F$31:$F$400,'Étape 1 - à remplir'!$E$31:$E$400,MASQ2!BV89,'Étape 1 - à remplir'!$G$31:$G$400,"lots"),SUMIFS('Étape 1 - à remplir'!$F$31:$F$400,'Étape 1 - à remplir'!$E$31:$E$400,MASQ2!BV89,'Étape 1 - à remplir'!$N$31:$N$400,CE$3,'Étape 1 - à remplir'!$G$31:$G$400,"lots")))))))</f>
        <v>#N/A</v>
      </c>
      <c r="BX89">
        <f t="shared" si="149"/>
        <v>0</v>
      </c>
      <c r="BY89" t="str">
        <f t="shared" si="133"/>
        <v>Ceftiofur</v>
      </c>
      <c r="BZ89" t="str">
        <f t="shared" si="134"/>
        <v/>
      </c>
      <c r="CA89" t="str">
        <f t="shared" si="135"/>
        <v/>
      </c>
      <c r="CB89" t="str">
        <f t="shared" si="136"/>
        <v>Cephalosporines 3&amp;4G</v>
      </c>
      <c r="CC89" t="str">
        <f t="shared" si="137"/>
        <v/>
      </c>
      <c r="CD89" s="63" t="str">
        <f t="shared" si="138"/>
        <v/>
      </c>
      <c r="CG89" s="42">
        <v>86</v>
      </c>
      <c r="CH89" s="42" t="e">
        <f t="shared" si="163"/>
        <v>#N/A</v>
      </c>
      <c r="CI89" s="63" t="e">
        <f t="shared" si="164"/>
        <v>#N/A</v>
      </c>
      <c r="DM89" s="63"/>
      <c r="EA89" s="194" t="str">
        <f t="shared" ca="1" si="139"/>
        <v>x</v>
      </c>
      <c r="EB89" s="226" t="str">
        <f>IFERROR(IF(ED89=0,"",COUNTIF(ED$4:ED$600,"&gt;"&amp;ED89)+COUNTIF(ED$4:ED89,ED89)),"")</f>
        <v/>
      </c>
      <c r="EC89" t="str">
        <f t="shared" si="140"/>
        <v>CEFOKEL 50 MG/ML SUSPENSION INJECTABLE POUR PORCINS ET BOVINS</v>
      </c>
      <c r="ED89" t="e">
        <f>IF(IF(EL$2="Catégorie",IF(EL$3="Toutes",SUMIFS('Étape 1 - à remplir'!$F$31:$F$400,'Étape 1 - à remplir'!$E$31:$E$400,MASQ2!EC89,'Étape 1 - à remplir'!$G$31:$G$400,"kg"),SUMIFS('Étape 1 - à remplir'!$F$31:$F$400,'Étape 1 - à remplir'!$E$31:$E$400,MASQ2!EC89,'Étape 1 - à remplir'!$C$31:$C$400,EL$3)),IF(EL$2="Âge",IF(EL$3="Tous",SUMIFS('Étape 1 - à remplir'!$F$31:$F$400,'Étape 1 - à remplir'!$E$31:$E$400,MASQ2!EC89,'Étape 1 - à remplir'!$G$31:$G$400,"kg"),SUMIFS('Étape 1 - à remplir'!$F$31:$F$400,'Étape 1 - à remplir'!$E$31:$E$400,MASQ2!EC89,'Étape 1 - à remplir'!$P$31:$P$400,EL$3,'Étape 1 - à remplir'!$G$31:$G$400,"kg")),IF(EL$2="Atelier",IF(EL$3="Tous",SUMIFS('Étape 1 - à remplir'!$F$31:$F$400,'Étape 1 - à remplir'!$E$31:$E$400,MASQ2!EC89,'Étape 1 - à remplir'!$G$31:$G$400,"kg"),SUMIFS('Étape 1 - à remplir'!$F$31:$F$400,'Étape 1 - à remplir'!$E$31:$E$400,MASQ2!EC89,'Étape 1 - à remplir'!$O$31:$O$400,EL$3,'Étape 1 - à remplir'!$G$31:$G$400,"kg")),IF(EL$2="Espèce",IF(EL$3="Toutes",SUMIFS('Étape 1 - à remplir'!$F$31:$F$400,'Étape 1 - à remplir'!$E$31:$E$400,MASQ2!EC89,'Étape 1 - à remplir'!$G$31:$G$400,"kg"),SUMIFS('Étape 1 - à remplir'!$F$31:$F$400,'Étape 1 - à remplir'!$E$31:$E$400,MASQ2!EC89,'Étape 1 - à remplir'!$N$31:$N$400,EL$3,'Étape 1 - à remplir'!$G$31:$G$400,"kg"))))))=0,NA(),IF(EL$2="Catégorie",IF(EL$3="Toutes",SUMIFS('Étape 1 - à remplir'!$F$31:$F$400,'Étape 1 - à remplir'!$E$31:$E$400,MASQ2!EC89,'Étape 1 - à remplir'!$G$31:$G$400,"kg"),SUMIFS('Étape 1 - à remplir'!$F$31:$F$400,'Étape 1 - à remplir'!$E$31:$E$400,MASQ2!EC89,'Étape 1 - à remplir'!$C$31:$C$400,EL$3)),IF(EL$2="Âge",IF(EL$3="Tous",SUMIFS('Étape 1 - à remplir'!$F$31:$F$400,'Étape 1 - à remplir'!$E$31:$E$400,MASQ2!EC89,'Étape 1 - à remplir'!$G$31:$G$400,"kg"),SUMIFS('Étape 1 - à remplir'!$F$31:$F$400,'Étape 1 - à remplir'!$E$31:$E$400,MASQ2!EC89,'Étape 1 - à remplir'!$P$31:$P$400,EL$3,'Étape 1 - à remplir'!$G$31:$G$400,"kg")),IF(EL$2="Atelier",IF(EL$3="Tous",SUMIFS('Étape 1 - à remplir'!$F$31:$F$400,'Étape 1 - à remplir'!$E$31:$E$400,MASQ2!EC89,'Étape 1 - à remplir'!$G$31:$G$400,"kg"),SUMIFS('Étape 1 - à remplir'!$F$31:$F$400,'Étape 1 - à remplir'!$E$31:$E$400,MASQ2!EC89,'Étape 1 - à remplir'!$O$31:$O$400,EL$3,'Étape 1 - à remplir'!$G$31:$G$400,"kg")),IF(EL$2="Espèce",IF(EL$3="Toutes",SUMIFS('Étape 1 - à remplir'!$F$31:$F$400,'Étape 1 - à remplir'!$E$31:$E$400,MASQ2!EC89,'Étape 1 - à remplir'!$G$31:$G$400,"kg"),SUMIFS('Étape 1 - à remplir'!$F$31:$F$400,'Étape 1 - à remplir'!$E$31:$E$400,MASQ2!EC89,'Étape 1 - à remplir'!$N$31:$N$400,EL$3,'Étape 1 - à remplir'!$G$31:$G$400,"kg")))))))</f>
        <v>#N/A</v>
      </c>
      <c r="EE89" s="76">
        <f t="shared" si="150"/>
        <v>0</v>
      </c>
      <c r="EF89" t="str">
        <f t="shared" si="141"/>
        <v>Ceftiofur</v>
      </c>
      <c r="EG89" t="str">
        <f t="shared" si="142"/>
        <v/>
      </c>
      <c r="EH89" t="str">
        <f t="shared" si="143"/>
        <v/>
      </c>
      <c r="EI89" t="str">
        <f t="shared" si="144"/>
        <v>Cephalosporines 3&amp;4G</v>
      </c>
      <c r="EJ89" t="str">
        <f t="shared" si="145"/>
        <v/>
      </c>
      <c r="EK89" s="63" t="str">
        <f t="shared" si="146"/>
        <v/>
      </c>
      <c r="EN89" s="42">
        <v>86</v>
      </c>
      <c r="EO89" t="e">
        <f t="shared" si="152"/>
        <v>#N/A</v>
      </c>
      <c r="EP89" s="63" t="e">
        <f t="shared" si="153"/>
        <v>#N/A</v>
      </c>
      <c r="FT89" s="63"/>
    </row>
    <row r="90" spans="2:176" x14ac:dyDescent="0.3">
      <c r="B90" s="42"/>
      <c r="M90" s="194" t="str">
        <f ca="1">INDEX(Données_ATB!BD:BU,MATCH(MASQ2!O90,Données_ATB!BD:BD,0),18)</f>
        <v/>
      </c>
      <c r="N90" s="14" t="str">
        <f>IFERROR(IF(Q90=0,"",COUNTIF(Q$4:Q$600,"&gt;"&amp;Q90)+COUNTIF(Q$4:Q90,Q90)),"")</f>
        <v/>
      </c>
      <c r="O90" t="str">
        <f>Données_ATB!BD89</f>
        <v>CEFOVET</v>
      </c>
      <c r="P90" t="e">
        <f>IF(IF(X$2="Catégorie",IF(X$3="Toutes",SUMIFS('Étape 1 - à remplir'!$F$31:$F$400,'Étape 1 - à remplir'!$E$31:$E$400,MASQ2!O90,'Étape 1 - à remplir'!$G$31:$G$400,"animaux"),SUMIFS('Étape 1 - à remplir'!$F$31:$F$400,'Étape 1 - à remplir'!$E$31:$E$400,MASQ2!O90,'Étape 1 - à remplir'!$C$31:$C$400,X$3)),IF(X$2="Âge",IF(X$3="Tous",SUMIFS('Étape 1 - à remplir'!$F$31:$F$400,'Étape 1 - à remplir'!$E$31:$E$400,MASQ2!O90,'Étape 1 - à remplir'!$G$31:$G$400,"animaux"),SUMIFS('Étape 1 - à remplir'!$F$31:$F$400,'Étape 1 - à remplir'!$E$31:$E$400,MASQ2!O90,'Étape 1 - à remplir'!$P$31:$P$400,X$3)),IF(X$2="Atelier",IF(X$3="Tous",SUMIFS('Étape 1 - à remplir'!$F$31:$F$400,'Étape 1 - à remplir'!$E$31:$E$400,MASQ2!O90,'Étape 1 - à remplir'!$G$31:$G$400,"animaux"),SUMIFS('Étape 1 - à remplir'!$F$31:$F$400,'Étape 1 - à remplir'!$E$31:$E$400,MASQ2!O90,'Étape 1 - à remplir'!$O$31:$O$400,X$3)),IF(X$2="Espèce",IF(X$3="Toutes",SUMIFS('Étape 1 - à remplir'!$F$31:$F$400,'Étape 1 - à remplir'!$E$31:$E$400,MASQ2!O90,'Étape 1 - à remplir'!$G$31:$G$400,"animaux"),SUMIFS('Étape 1 - à remplir'!$F$31:$F$400,'Étape 1 - à remplir'!$E$31:$E$400,MASQ2!O90,'Étape 1 - à remplir'!$N$31:$N$400,X$3))))))=0,NA(),IF(X$2="Catégorie",IF(X$3="Toutes",SUMIFS('Étape 1 - à remplir'!$F$31:$F$400,'Étape 1 - à remplir'!$E$31:$E$400,MASQ2!O90,'Étape 1 - à remplir'!$G$31:$G$400,"animaux"),SUMIFS('Étape 1 - à remplir'!$F$31:$F$400,'Étape 1 - à remplir'!$E$31:$E$400,MASQ2!O90,'Étape 1 - à remplir'!$C$31:$C$400,X$3)),IF(X$2="Âge",IF(X$3="Tous",SUMIFS('Étape 1 - à remplir'!$F$31:$F$400,'Étape 1 - à remplir'!$E$31:$E$400,MASQ2!O90,'Étape 1 - à remplir'!$G$31:$G$400,"animaux"),SUMIFS('Étape 1 - à remplir'!$F$31:$F$400,'Étape 1 - à remplir'!$E$31:$E$400,MASQ2!O90,'Étape 1 - à remplir'!$P$31:$P$400,X$3)),IF(X$2="Atelier",IF(X$3="Tous",SUMIFS('Étape 1 - à remplir'!$F$31:$F$400,'Étape 1 - à remplir'!$E$31:$E$400,MASQ2!O90,'Étape 1 - à remplir'!$G$31:$G$400,"animaux"),SUMIFS('Étape 1 - à remplir'!$F$31:$F$400,'Étape 1 - à remplir'!$E$31:$E$400,MASQ2!O90,'Étape 1 - à remplir'!$O$31:$O$400,X$3)),IF(X$2="Espèce",IF(X$3="Toutes",SUMIFS('Étape 1 - à remplir'!$F$31:$F$400,'Étape 1 - à remplir'!$E$31:$E$400,MASQ2!O90,'Étape 1 - à remplir'!$G$31:$G$400,"animaux"),SUMIFS('Étape 1 - à remplir'!$F$31:$F$400,'Étape 1 - à remplir'!$E$31:$E$400,MASQ2!O90,'Étape 1 - à remplir'!$N$31:$N$400,X$3)))))))</f>
        <v>#N/A</v>
      </c>
      <c r="Q90" s="63">
        <f t="shared" si="151"/>
        <v>0</v>
      </c>
      <c r="R90" t="str">
        <f>Données_ATB!BM89</f>
        <v>Céfazoline</v>
      </c>
      <c r="S90" t="str">
        <f>Données_ATB!BN89</f>
        <v/>
      </c>
      <c r="T90" s="63" t="str">
        <f>Données_ATB!BO89</f>
        <v/>
      </c>
      <c r="U90" s="42" t="str">
        <f>Données_ATB!BQ89</f>
        <v>Cephalosporines 1&amp;2G</v>
      </c>
      <c r="V90" t="str">
        <f>Données_ATB!BR89</f>
        <v/>
      </c>
      <c r="W90" s="63" t="str">
        <f>Données_ATB!BS89</f>
        <v/>
      </c>
      <c r="Z90" s="42">
        <v>87</v>
      </c>
      <c r="AA90" t="e">
        <f t="shared" si="147"/>
        <v>#N/A</v>
      </c>
      <c r="AB90" s="63" t="e">
        <f t="shared" si="148"/>
        <v>#N/A</v>
      </c>
      <c r="BF90" s="63"/>
      <c r="BT90" s="194" t="str">
        <f t="shared" ca="1" si="131"/>
        <v/>
      </c>
      <c r="BU90" s="219" t="str">
        <f>IFERROR(IF(BX90=0,"",COUNTIF(BX$4:BX$600,"&gt;"&amp;BX90)+COUNTIF(BX$4:BX90,BX90)),"")</f>
        <v/>
      </c>
      <c r="BV90" s="42" t="str">
        <f t="shared" si="132"/>
        <v>CEFOVET</v>
      </c>
      <c r="BW90" t="e">
        <f>IF(IF(CE$2="Catégorie",IF(CE$3="Toutes",SUMIFS('Étape 1 - à remplir'!$F$31:$F$400,'Étape 1 - à remplir'!$E$31:$E$400,MASQ2!BV90,'Étape 1 - à remplir'!$G$31:$G$400,"lots"),SUMIFS('Étape 1 - à remplir'!$F$31:$F$400,'Étape 1 - à remplir'!$E$31:$E$400,MASQ2!BV90,'Étape 1 - à remplir'!$C$31:$C$400,CE$3)),IF(CE$2="Âge",IF(CE$3="Tous",SUMIFS('Étape 1 - à remplir'!$F$31:$F$400,'Étape 1 - à remplir'!$E$31:$E$400,MASQ2!BV90,'Étape 1 - à remplir'!$G$31:$G$400,"lots"),SUMIFS('Étape 1 - à remplir'!$F$31:$F$400,'Étape 1 - à remplir'!$E$31:$E$400,MASQ2!BV90,'Étape 1 - à remplir'!$P$31:$P$400,CE$3,'Étape 1 - à remplir'!$G$31:$G$400,"lots")),IF(CE$2="Atelier",IF(CE$3="Tous",SUMIFS('Étape 1 - à remplir'!$F$31:$F$400,'Étape 1 - à remplir'!$E$31:$E$400,MASQ2!BV90,'Étape 1 - à remplir'!$G$31:$G$400,"lots"),SUMIFS('Étape 1 - à remplir'!$F$31:$F$400,'Étape 1 - à remplir'!$E$31:$E$400,MASQ2!BV90,'Étape 1 - à remplir'!$O$31:$O$400,CE$3,'Étape 1 - à remplir'!$G$31:$G$400,"lots")),IF(CE$2="Espèce",IF(CE$3="Toutes",SUMIFS('Étape 1 - à remplir'!$F$31:$F$400,'Étape 1 - à remplir'!$E$31:$E$400,MASQ2!BV90,'Étape 1 - à remplir'!$G$31:$G$400,"lots"),SUMIFS('Étape 1 - à remplir'!$F$31:$F$400,'Étape 1 - à remplir'!$E$31:$E$400,MASQ2!BV90,'Étape 1 - à remplir'!$N$31:$N$400,CE$3,'Étape 1 - à remplir'!$G$31:$G$400,"lots"))))))=0,NA(),IF(CE$2="Catégorie",IF(CE$3="Toutes",SUMIFS('Étape 1 - à remplir'!$F$31:$F$400,'Étape 1 - à remplir'!$E$31:$E$400,MASQ2!BV90,'Étape 1 - à remplir'!$G$31:$G$400,"lots"),SUMIFS('Étape 1 - à remplir'!$F$31:$F$400,'Étape 1 - à remplir'!$E$31:$E$400,MASQ2!BV90,'Étape 1 - à remplir'!$C$31:$C$400,CE$3)),IF(CE$2="Âge",IF(CE$3="Tous",SUMIFS('Étape 1 - à remplir'!$F$31:$F$400,'Étape 1 - à remplir'!$E$31:$E$400,MASQ2!BV90,'Étape 1 - à remplir'!$G$31:$G$400,"lots"),SUMIFS('Étape 1 - à remplir'!$F$31:$F$400,'Étape 1 - à remplir'!$E$31:$E$400,MASQ2!BV90,'Étape 1 - à remplir'!$P$31:$P$400,CE$3,'Étape 1 - à remplir'!$G$31:$G$400,"lots")),IF(CE$2="Atelier",IF(CE$3="Tous",SUMIFS('Étape 1 - à remplir'!$F$31:$F$400,'Étape 1 - à remplir'!$E$31:$E$400,MASQ2!BV90,'Étape 1 - à remplir'!$G$31:$G$400,"lots"),SUMIFS('Étape 1 - à remplir'!$F$31:$F$400,'Étape 1 - à remplir'!$E$31:$E$400,MASQ2!BV90,'Étape 1 - à remplir'!$O$31:$O$400,CE$3,'Étape 1 - à remplir'!$G$31:$G$400,"lots")),IF(CE$2="Espèce",IF(CE$3="Toutes",SUMIFS('Étape 1 - à remplir'!$F$31:$F$400,'Étape 1 - à remplir'!$E$31:$E$400,MASQ2!BV90,'Étape 1 - à remplir'!$G$31:$G$400,"lots"),SUMIFS('Étape 1 - à remplir'!$F$31:$F$400,'Étape 1 - à remplir'!$E$31:$E$400,MASQ2!BV90,'Étape 1 - à remplir'!$N$31:$N$400,CE$3,'Étape 1 - à remplir'!$G$31:$G$400,"lots")))))))</f>
        <v>#N/A</v>
      </c>
      <c r="BX90">
        <f t="shared" si="149"/>
        <v>0</v>
      </c>
      <c r="BY90" t="str">
        <f t="shared" si="133"/>
        <v>Céfazoline</v>
      </c>
      <c r="BZ90" t="str">
        <f t="shared" si="134"/>
        <v/>
      </c>
      <c r="CA90" t="str">
        <f t="shared" si="135"/>
        <v/>
      </c>
      <c r="CB90" t="str">
        <f t="shared" si="136"/>
        <v>Cephalosporines 1&amp;2G</v>
      </c>
      <c r="CC90" t="str">
        <f t="shared" si="137"/>
        <v/>
      </c>
      <c r="CD90" s="63" t="str">
        <f t="shared" si="138"/>
        <v/>
      </c>
      <c r="CG90" s="42">
        <v>87</v>
      </c>
      <c r="CH90" s="42" t="e">
        <f t="shared" si="163"/>
        <v>#N/A</v>
      </c>
      <c r="CI90" s="63" t="e">
        <f t="shared" si="164"/>
        <v>#N/A</v>
      </c>
      <c r="DM90" s="63"/>
      <c r="EA90" s="194" t="str">
        <f t="shared" ca="1" si="139"/>
        <v/>
      </c>
      <c r="EB90" s="226" t="str">
        <f>IFERROR(IF(ED90=0,"",COUNTIF(ED$4:ED$600,"&gt;"&amp;ED90)+COUNTIF(ED$4:ED90,ED90)),"")</f>
        <v/>
      </c>
      <c r="EC90" t="str">
        <f t="shared" si="140"/>
        <v>CEFOVET</v>
      </c>
      <c r="ED90" t="e">
        <f>IF(IF(EL$2="Catégorie",IF(EL$3="Toutes",SUMIFS('Étape 1 - à remplir'!$F$31:$F$400,'Étape 1 - à remplir'!$E$31:$E$400,MASQ2!EC90,'Étape 1 - à remplir'!$G$31:$G$400,"kg"),SUMIFS('Étape 1 - à remplir'!$F$31:$F$400,'Étape 1 - à remplir'!$E$31:$E$400,MASQ2!EC90,'Étape 1 - à remplir'!$C$31:$C$400,EL$3)),IF(EL$2="Âge",IF(EL$3="Tous",SUMIFS('Étape 1 - à remplir'!$F$31:$F$400,'Étape 1 - à remplir'!$E$31:$E$400,MASQ2!EC90,'Étape 1 - à remplir'!$G$31:$G$400,"kg"),SUMIFS('Étape 1 - à remplir'!$F$31:$F$400,'Étape 1 - à remplir'!$E$31:$E$400,MASQ2!EC90,'Étape 1 - à remplir'!$P$31:$P$400,EL$3,'Étape 1 - à remplir'!$G$31:$G$400,"kg")),IF(EL$2="Atelier",IF(EL$3="Tous",SUMIFS('Étape 1 - à remplir'!$F$31:$F$400,'Étape 1 - à remplir'!$E$31:$E$400,MASQ2!EC90,'Étape 1 - à remplir'!$G$31:$G$400,"kg"),SUMIFS('Étape 1 - à remplir'!$F$31:$F$400,'Étape 1 - à remplir'!$E$31:$E$400,MASQ2!EC90,'Étape 1 - à remplir'!$O$31:$O$400,EL$3,'Étape 1 - à remplir'!$G$31:$G$400,"kg")),IF(EL$2="Espèce",IF(EL$3="Toutes",SUMIFS('Étape 1 - à remplir'!$F$31:$F$400,'Étape 1 - à remplir'!$E$31:$E$400,MASQ2!EC90,'Étape 1 - à remplir'!$G$31:$G$400,"kg"),SUMIFS('Étape 1 - à remplir'!$F$31:$F$400,'Étape 1 - à remplir'!$E$31:$E$400,MASQ2!EC90,'Étape 1 - à remplir'!$N$31:$N$400,EL$3,'Étape 1 - à remplir'!$G$31:$G$400,"kg"))))))=0,NA(),IF(EL$2="Catégorie",IF(EL$3="Toutes",SUMIFS('Étape 1 - à remplir'!$F$31:$F$400,'Étape 1 - à remplir'!$E$31:$E$400,MASQ2!EC90,'Étape 1 - à remplir'!$G$31:$G$400,"kg"),SUMIFS('Étape 1 - à remplir'!$F$31:$F$400,'Étape 1 - à remplir'!$E$31:$E$400,MASQ2!EC90,'Étape 1 - à remplir'!$C$31:$C$400,EL$3)),IF(EL$2="Âge",IF(EL$3="Tous",SUMIFS('Étape 1 - à remplir'!$F$31:$F$400,'Étape 1 - à remplir'!$E$31:$E$400,MASQ2!EC90,'Étape 1 - à remplir'!$G$31:$G$400,"kg"),SUMIFS('Étape 1 - à remplir'!$F$31:$F$400,'Étape 1 - à remplir'!$E$31:$E$400,MASQ2!EC90,'Étape 1 - à remplir'!$P$31:$P$400,EL$3,'Étape 1 - à remplir'!$G$31:$G$400,"kg")),IF(EL$2="Atelier",IF(EL$3="Tous",SUMIFS('Étape 1 - à remplir'!$F$31:$F$400,'Étape 1 - à remplir'!$E$31:$E$400,MASQ2!EC90,'Étape 1 - à remplir'!$G$31:$G$400,"kg"),SUMIFS('Étape 1 - à remplir'!$F$31:$F$400,'Étape 1 - à remplir'!$E$31:$E$400,MASQ2!EC90,'Étape 1 - à remplir'!$O$31:$O$400,EL$3,'Étape 1 - à remplir'!$G$31:$G$400,"kg")),IF(EL$2="Espèce",IF(EL$3="Toutes",SUMIFS('Étape 1 - à remplir'!$F$31:$F$400,'Étape 1 - à remplir'!$E$31:$E$400,MASQ2!EC90,'Étape 1 - à remplir'!$G$31:$G$400,"kg"),SUMIFS('Étape 1 - à remplir'!$F$31:$F$400,'Étape 1 - à remplir'!$E$31:$E$400,MASQ2!EC90,'Étape 1 - à remplir'!$N$31:$N$400,EL$3,'Étape 1 - à remplir'!$G$31:$G$400,"kg")))))))</f>
        <v>#N/A</v>
      </c>
      <c r="EE90" s="76">
        <f t="shared" si="150"/>
        <v>0</v>
      </c>
      <c r="EF90" t="str">
        <f t="shared" si="141"/>
        <v>Céfazoline</v>
      </c>
      <c r="EG90" t="str">
        <f t="shared" si="142"/>
        <v/>
      </c>
      <c r="EH90" t="str">
        <f t="shared" si="143"/>
        <v/>
      </c>
      <c r="EI90" t="str">
        <f t="shared" si="144"/>
        <v>Cephalosporines 1&amp;2G</v>
      </c>
      <c r="EJ90" t="str">
        <f t="shared" si="145"/>
        <v/>
      </c>
      <c r="EK90" s="63" t="str">
        <f t="shared" si="146"/>
        <v/>
      </c>
      <c r="EN90" s="42">
        <v>87</v>
      </c>
      <c r="EO90" t="e">
        <f t="shared" si="152"/>
        <v>#N/A</v>
      </c>
      <c r="EP90" s="63" t="e">
        <f t="shared" si="153"/>
        <v>#N/A</v>
      </c>
      <c r="FT90" s="63"/>
    </row>
    <row r="91" spans="2:176" x14ac:dyDescent="0.3">
      <c r="B91" s="42"/>
      <c r="M91" s="194" t="str">
        <f ca="1">INDEX(Données_ATB!BD:BU,MATCH(MASQ2!O91,Données_ATB!BD:BD,0),18)</f>
        <v/>
      </c>
      <c r="N91" s="14" t="str">
        <f>IFERROR(IF(Q91=0,"",COUNTIF(Q$4:Q$600,"&gt;"&amp;Q91)+COUNTIF(Q$4:Q91,Q91)),"")</f>
        <v/>
      </c>
      <c r="O91" t="str">
        <f>Données_ATB!BD90</f>
        <v>CEFOVET HL</v>
      </c>
      <c r="P91" t="e">
        <f>IF(IF(X$2="Catégorie",IF(X$3="Toutes",SUMIFS('Étape 1 - à remplir'!$F$31:$F$400,'Étape 1 - à remplir'!$E$31:$E$400,MASQ2!O91,'Étape 1 - à remplir'!$G$31:$G$400,"animaux"),SUMIFS('Étape 1 - à remplir'!$F$31:$F$400,'Étape 1 - à remplir'!$E$31:$E$400,MASQ2!O91,'Étape 1 - à remplir'!$C$31:$C$400,X$3)),IF(X$2="Âge",IF(X$3="Tous",SUMIFS('Étape 1 - à remplir'!$F$31:$F$400,'Étape 1 - à remplir'!$E$31:$E$400,MASQ2!O91,'Étape 1 - à remplir'!$G$31:$G$400,"animaux"),SUMIFS('Étape 1 - à remplir'!$F$31:$F$400,'Étape 1 - à remplir'!$E$31:$E$400,MASQ2!O91,'Étape 1 - à remplir'!$P$31:$P$400,X$3)),IF(X$2="Atelier",IF(X$3="Tous",SUMIFS('Étape 1 - à remplir'!$F$31:$F$400,'Étape 1 - à remplir'!$E$31:$E$400,MASQ2!O91,'Étape 1 - à remplir'!$G$31:$G$400,"animaux"),SUMIFS('Étape 1 - à remplir'!$F$31:$F$400,'Étape 1 - à remplir'!$E$31:$E$400,MASQ2!O91,'Étape 1 - à remplir'!$O$31:$O$400,X$3)),IF(X$2="Espèce",IF(X$3="Toutes",SUMIFS('Étape 1 - à remplir'!$F$31:$F$400,'Étape 1 - à remplir'!$E$31:$E$400,MASQ2!O91,'Étape 1 - à remplir'!$G$31:$G$400,"animaux"),SUMIFS('Étape 1 - à remplir'!$F$31:$F$400,'Étape 1 - à remplir'!$E$31:$E$400,MASQ2!O91,'Étape 1 - à remplir'!$N$31:$N$400,X$3))))))=0,NA(),IF(X$2="Catégorie",IF(X$3="Toutes",SUMIFS('Étape 1 - à remplir'!$F$31:$F$400,'Étape 1 - à remplir'!$E$31:$E$400,MASQ2!O91,'Étape 1 - à remplir'!$G$31:$G$400,"animaux"),SUMIFS('Étape 1 - à remplir'!$F$31:$F$400,'Étape 1 - à remplir'!$E$31:$E$400,MASQ2!O91,'Étape 1 - à remplir'!$C$31:$C$400,X$3)),IF(X$2="Âge",IF(X$3="Tous",SUMIFS('Étape 1 - à remplir'!$F$31:$F$400,'Étape 1 - à remplir'!$E$31:$E$400,MASQ2!O91,'Étape 1 - à remplir'!$G$31:$G$400,"animaux"),SUMIFS('Étape 1 - à remplir'!$F$31:$F$400,'Étape 1 - à remplir'!$E$31:$E$400,MASQ2!O91,'Étape 1 - à remplir'!$P$31:$P$400,X$3)),IF(X$2="Atelier",IF(X$3="Tous",SUMIFS('Étape 1 - à remplir'!$F$31:$F$400,'Étape 1 - à remplir'!$E$31:$E$400,MASQ2!O91,'Étape 1 - à remplir'!$G$31:$G$400,"animaux"),SUMIFS('Étape 1 - à remplir'!$F$31:$F$400,'Étape 1 - à remplir'!$E$31:$E$400,MASQ2!O91,'Étape 1 - à remplir'!$O$31:$O$400,X$3)),IF(X$2="Espèce",IF(X$3="Toutes",SUMIFS('Étape 1 - à remplir'!$F$31:$F$400,'Étape 1 - à remplir'!$E$31:$E$400,MASQ2!O91,'Étape 1 - à remplir'!$G$31:$G$400,"animaux"),SUMIFS('Étape 1 - à remplir'!$F$31:$F$400,'Étape 1 - à remplir'!$E$31:$E$400,MASQ2!O91,'Étape 1 - à remplir'!$N$31:$N$400,X$3)))))))</f>
        <v>#N/A</v>
      </c>
      <c r="Q91" s="63">
        <f t="shared" si="151"/>
        <v>0</v>
      </c>
      <c r="R91" t="str">
        <f>Données_ATB!BM90</f>
        <v>Céfazoline</v>
      </c>
      <c r="S91" t="str">
        <f>Données_ATB!BN90</f>
        <v/>
      </c>
      <c r="T91" s="63" t="str">
        <f>Données_ATB!BO90</f>
        <v/>
      </c>
      <c r="U91" s="42" t="str">
        <f>Données_ATB!BQ90</f>
        <v>Cephalosporines 1&amp;2G</v>
      </c>
      <c r="V91" t="str">
        <f>Données_ATB!BR90</f>
        <v/>
      </c>
      <c r="W91" s="63" t="str">
        <f>Données_ATB!BS90</f>
        <v/>
      </c>
      <c r="Z91" s="42">
        <v>88</v>
      </c>
      <c r="AA91" t="e">
        <f t="shared" si="147"/>
        <v>#N/A</v>
      </c>
      <c r="AB91" s="63" t="e">
        <f t="shared" si="148"/>
        <v>#N/A</v>
      </c>
      <c r="BF91" s="63"/>
      <c r="BT91" s="194" t="str">
        <f t="shared" ca="1" si="131"/>
        <v/>
      </c>
      <c r="BU91" s="219" t="str">
        <f>IFERROR(IF(BX91=0,"",COUNTIF(BX$4:BX$600,"&gt;"&amp;BX91)+COUNTIF(BX$4:BX91,BX91)),"")</f>
        <v/>
      </c>
      <c r="BV91" s="42" t="str">
        <f t="shared" si="132"/>
        <v>CEFOVET HL</v>
      </c>
      <c r="BW91" t="e">
        <f>IF(IF(CE$2="Catégorie",IF(CE$3="Toutes",SUMIFS('Étape 1 - à remplir'!$F$31:$F$400,'Étape 1 - à remplir'!$E$31:$E$400,MASQ2!BV91,'Étape 1 - à remplir'!$G$31:$G$400,"lots"),SUMIFS('Étape 1 - à remplir'!$F$31:$F$400,'Étape 1 - à remplir'!$E$31:$E$400,MASQ2!BV91,'Étape 1 - à remplir'!$C$31:$C$400,CE$3)),IF(CE$2="Âge",IF(CE$3="Tous",SUMIFS('Étape 1 - à remplir'!$F$31:$F$400,'Étape 1 - à remplir'!$E$31:$E$400,MASQ2!BV91,'Étape 1 - à remplir'!$G$31:$G$400,"lots"),SUMIFS('Étape 1 - à remplir'!$F$31:$F$400,'Étape 1 - à remplir'!$E$31:$E$400,MASQ2!BV91,'Étape 1 - à remplir'!$P$31:$P$400,CE$3,'Étape 1 - à remplir'!$G$31:$G$400,"lots")),IF(CE$2="Atelier",IF(CE$3="Tous",SUMIFS('Étape 1 - à remplir'!$F$31:$F$400,'Étape 1 - à remplir'!$E$31:$E$400,MASQ2!BV91,'Étape 1 - à remplir'!$G$31:$G$400,"lots"),SUMIFS('Étape 1 - à remplir'!$F$31:$F$400,'Étape 1 - à remplir'!$E$31:$E$400,MASQ2!BV91,'Étape 1 - à remplir'!$O$31:$O$400,CE$3,'Étape 1 - à remplir'!$G$31:$G$400,"lots")),IF(CE$2="Espèce",IF(CE$3="Toutes",SUMIFS('Étape 1 - à remplir'!$F$31:$F$400,'Étape 1 - à remplir'!$E$31:$E$400,MASQ2!BV91,'Étape 1 - à remplir'!$G$31:$G$400,"lots"),SUMIFS('Étape 1 - à remplir'!$F$31:$F$400,'Étape 1 - à remplir'!$E$31:$E$400,MASQ2!BV91,'Étape 1 - à remplir'!$N$31:$N$400,CE$3,'Étape 1 - à remplir'!$G$31:$G$400,"lots"))))))=0,NA(),IF(CE$2="Catégorie",IF(CE$3="Toutes",SUMIFS('Étape 1 - à remplir'!$F$31:$F$400,'Étape 1 - à remplir'!$E$31:$E$400,MASQ2!BV91,'Étape 1 - à remplir'!$G$31:$G$400,"lots"),SUMIFS('Étape 1 - à remplir'!$F$31:$F$400,'Étape 1 - à remplir'!$E$31:$E$400,MASQ2!BV91,'Étape 1 - à remplir'!$C$31:$C$400,CE$3)),IF(CE$2="Âge",IF(CE$3="Tous",SUMIFS('Étape 1 - à remplir'!$F$31:$F$400,'Étape 1 - à remplir'!$E$31:$E$400,MASQ2!BV91,'Étape 1 - à remplir'!$G$31:$G$400,"lots"),SUMIFS('Étape 1 - à remplir'!$F$31:$F$400,'Étape 1 - à remplir'!$E$31:$E$400,MASQ2!BV91,'Étape 1 - à remplir'!$P$31:$P$400,CE$3,'Étape 1 - à remplir'!$G$31:$G$400,"lots")),IF(CE$2="Atelier",IF(CE$3="Tous",SUMIFS('Étape 1 - à remplir'!$F$31:$F$400,'Étape 1 - à remplir'!$E$31:$E$400,MASQ2!BV91,'Étape 1 - à remplir'!$G$31:$G$400,"lots"),SUMIFS('Étape 1 - à remplir'!$F$31:$F$400,'Étape 1 - à remplir'!$E$31:$E$400,MASQ2!BV91,'Étape 1 - à remplir'!$O$31:$O$400,CE$3,'Étape 1 - à remplir'!$G$31:$G$400,"lots")),IF(CE$2="Espèce",IF(CE$3="Toutes",SUMIFS('Étape 1 - à remplir'!$F$31:$F$400,'Étape 1 - à remplir'!$E$31:$E$400,MASQ2!BV91,'Étape 1 - à remplir'!$G$31:$G$400,"lots"),SUMIFS('Étape 1 - à remplir'!$F$31:$F$400,'Étape 1 - à remplir'!$E$31:$E$400,MASQ2!BV91,'Étape 1 - à remplir'!$N$31:$N$400,CE$3,'Étape 1 - à remplir'!$G$31:$G$400,"lots")))))))</f>
        <v>#N/A</v>
      </c>
      <c r="BX91">
        <f t="shared" si="149"/>
        <v>0</v>
      </c>
      <c r="BY91" t="str">
        <f t="shared" si="133"/>
        <v>Céfazoline</v>
      </c>
      <c r="BZ91" t="str">
        <f t="shared" si="134"/>
        <v/>
      </c>
      <c r="CA91" t="str">
        <f t="shared" si="135"/>
        <v/>
      </c>
      <c r="CB91" t="str">
        <f t="shared" si="136"/>
        <v>Cephalosporines 1&amp;2G</v>
      </c>
      <c r="CC91" t="str">
        <f t="shared" si="137"/>
        <v/>
      </c>
      <c r="CD91" s="63" t="str">
        <f t="shared" si="138"/>
        <v/>
      </c>
      <c r="CG91" s="42">
        <v>88</v>
      </c>
      <c r="CH91" s="42" t="e">
        <f t="shared" si="163"/>
        <v>#N/A</v>
      </c>
      <c r="CI91" s="63" t="e">
        <f t="shared" si="164"/>
        <v>#N/A</v>
      </c>
      <c r="DM91" s="63"/>
      <c r="EA91" s="194" t="str">
        <f t="shared" ca="1" si="139"/>
        <v/>
      </c>
      <c r="EB91" s="226" t="str">
        <f>IFERROR(IF(ED91=0,"",COUNTIF(ED$4:ED$600,"&gt;"&amp;ED91)+COUNTIF(ED$4:ED91,ED91)),"")</f>
        <v/>
      </c>
      <c r="EC91" t="str">
        <f t="shared" si="140"/>
        <v>CEFOVET HL</v>
      </c>
      <c r="ED91" t="e">
        <f>IF(IF(EL$2="Catégorie",IF(EL$3="Toutes",SUMIFS('Étape 1 - à remplir'!$F$31:$F$400,'Étape 1 - à remplir'!$E$31:$E$400,MASQ2!EC91,'Étape 1 - à remplir'!$G$31:$G$400,"kg"),SUMIFS('Étape 1 - à remplir'!$F$31:$F$400,'Étape 1 - à remplir'!$E$31:$E$400,MASQ2!EC91,'Étape 1 - à remplir'!$C$31:$C$400,EL$3)),IF(EL$2="Âge",IF(EL$3="Tous",SUMIFS('Étape 1 - à remplir'!$F$31:$F$400,'Étape 1 - à remplir'!$E$31:$E$400,MASQ2!EC91,'Étape 1 - à remplir'!$G$31:$G$400,"kg"),SUMIFS('Étape 1 - à remplir'!$F$31:$F$400,'Étape 1 - à remplir'!$E$31:$E$400,MASQ2!EC91,'Étape 1 - à remplir'!$P$31:$P$400,EL$3,'Étape 1 - à remplir'!$G$31:$G$400,"kg")),IF(EL$2="Atelier",IF(EL$3="Tous",SUMIFS('Étape 1 - à remplir'!$F$31:$F$400,'Étape 1 - à remplir'!$E$31:$E$400,MASQ2!EC91,'Étape 1 - à remplir'!$G$31:$G$400,"kg"),SUMIFS('Étape 1 - à remplir'!$F$31:$F$400,'Étape 1 - à remplir'!$E$31:$E$400,MASQ2!EC91,'Étape 1 - à remplir'!$O$31:$O$400,EL$3,'Étape 1 - à remplir'!$G$31:$G$400,"kg")),IF(EL$2="Espèce",IF(EL$3="Toutes",SUMIFS('Étape 1 - à remplir'!$F$31:$F$400,'Étape 1 - à remplir'!$E$31:$E$400,MASQ2!EC91,'Étape 1 - à remplir'!$G$31:$G$400,"kg"),SUMIFS('Étape 1 - à remplir'!$F$31:$F$400,'Étape 1 - à remplir'!$E$31:$E$400,MASQ2!EC91,'Étape 1 - à remplir'!$N$31:$N$400,EL$3,'Étape 1 - à remplir'!$G$31:$G$400,"kg"))))))=0,NA(),IF(EL$2="Catégorie",IF(EL$3="Toutes",SUMIFS('Étape 1 - à remplir'!$F$31:$F$400,'Étape 1 - à remplir'!$E$31:$E$400,MASQ2!EC91,'Étape 1 - à remplir'!$G$31:$G$400,"kg"),SUMIFS('Étape 1 - à remplir'!$F$31:$F$400,'Étape 1 - à remplir'!$E$31:$E$400,MASQ2!EC91,'Étape 1 - à remplir'!$C$31:$C$400,EL$3)),IF(EL$2="Âge",IF(EL$3="Tous",SUMIFS('Étape 1 - à remplir'!$F$31:$F$400,'Étape 1 - à remplir'!$E$31:$E$400,MASQ2!EC91,'Étape 1 - à remplir'!$G$31:$G$400,"kg"),SUMIFS('Étape 1 - à remplir'!$F$31:$F$400,'Étape 1 - à remplir'!$E$31:$E$400,MASQ2!EC91,'Étape 1 - à remplir'!$P$31:$P$400,EL$3,'Étape 1 - à remplir'!$G$31:$G$400,"kg")),IF(EL$2="Atelier",IF(EL$3="Tous",SUMIFS('Étape 1 - à remplir'!$F$31:$F$400,'Étape 1 - à remplir'!$E$31:$E$400,MASQ2!EC91,'Étape 1 - à remplir'!$G$31:$G$400,"kg"),SUMIFS('Étape 1 - à remplir'!$F$31:$F$400,'Étape 1 - à remplir'!$E$31:$E$400,MASQ2!EC91,'Étape 1 - à remplir'!$O$31:$O$400,EL$3,'Étape 1 - à remplir'!$G$31:$G$400,"kg")),IF(EL$2="Espèce",IF(EL$3="Toutes",SUMIFS('Étape 1 - à remplir'!$F$31:$F$400,'Étape 1 - à remplir'!$E$31:$E$400,MASQ2!EC91,'Étape 1 - à remplir'!$G$31:$G$400,"kg"),SUMIFS('Étape 1 - à remplir'!$F$31:$F$400,'Étape 1 - à remplir'!$E$31:$E$400,MASQ2!EC91,'Étape 1 - à remplir'!$N$31:$N$400,EL$3,'Étape 1 - à remplir'!$G$31:$G$400,"kg")))))))</f>
        <v>#N/A</v>
      </c>
      <c r="EE91" s="76">
        <f t="shared" si="150"/>
        <v>0</v>
      </c>
      <c r="EF91" t="str">
        <f t="shared" si="141"/>
        <v>Céfazoline</v>
      </c>
      <c r="EG91" t="str">
        <f t="shared" si="142"/>
        <v/>
      </c>
      <c r="EH91" t="str">
        <f t="shared" si="143"/>
        <v/>
      </c>
      <c r="EI91" t="str">
        <f t="shared" si="144"/>
        <v>Cephalosporines 1&amp;2G</v>
      </c>
      <c r="EJ91" t="str">
        <f t="shared" si="145"/>
        <v/>
      </c>
      <c r="EK91" s="63" t="str">
        <f t="shared" si="146"/>
        <v/>
      </c>
      <c r="EN91" s="42">
        <v>88</v>
      </c>
      <c r="EO91" t="e">
        <f t="shared" si="152"/>
        <v>#N/A</v>
      </c>
      <c r="EP91" s="63" t="e">
        <f t="shared" si="153"/>
        <v>#N/A</v>
      </c>
      <c r="FT91" s="63"/>
    </row>
    <row r="92" spans="2:176" x14ac:dyDescent="0.3">
      <c r="B92" s="42"/>
      <c r="M92" s="194" t="str">
        <f ca="1">INDEX(Données_ATB!BD:BU,MATCH(MASQ2!O92,Données_ATB!BD:BD,0),18)</f>
        <v/>
      </c>
      <c r="N92" s="14" t="str">
        <f>IFERROR(IF(Q92=0,"",COUNTIF(Q$4:Q$600,"&gt;"&amp;Q92)+COUNTIF(Q$4:Q92,Q92)),"")</f>
        <v/>
      </c>
      <c r="O92" t="str">
        <f>Données_ATB!BD91</f>
        <v>CEFSHOT 250 MG SUSPENSION INTRAMAMMAIRE POUR VACHES AU TARISSEMENT</v>
      </c>
      <c r="P92" t="e">
        <f>IF(IF(X$2="Catégorie",IF(X$3="Toutes",SUMIFS('Étape 1 - à remplir'!$F$31:$F$400,'Étape 1 - à remplir'!$E$31:$E$400,MASQ2!O92,'Étape 1 - à remplir'!$G$31:$G$400,"animaux"),SUMIFS('Étape 1 - à remplir'!$F$31:$F$400,'Étape 1 - à remplir'!$E$31:$E$400,MASQ2!O92,'Étape 1 - à remplir'!$C$31:$C$400,X$3)),IF(X$2="Âge",IF(X$3="Tous",SUMIFS('Étape 1 - à remplir'!$F$31:$F$400,'Étape 1 - à remplir'!$E$31:$E$400,MASQ2!O92,'Étape 1 - à remplir'!$G$31:$G$400,"animaux"),SUMIFS('Étape 1 - à remplir'!$F$31:$F$400,'Étape 1 - à remplir'!$E$31:$E$400,MASQ2!O92,'Étape 1 - à remplir'!$P$31:$P$400,X$3)),IF(X$2="Atelier",IF(X$3="Tous",SUMIFS('Étape 1 - à remplir'!$F$31:$F$400,'Étape 1 - à remplir'!$E$31:$E$400,MASQ2!O92,'Étape 1 - à remplir'!$G$31:$G$400,"animaux"),SUMIFS('Étape 1 - à remplir'!$F$31:$F$400,'Étape 1 - à remplir'!$E$31:$E$400,MASQ2!O92,'Étape 1 - à remplir'!$O$31:$O$400,X$3)),IF(X$2="Espèce",IF(X$3="Toutes",SUMIFS('Étape 1 - à remplir'!$F$31:$F$400,'Étape 1 - à remplir'!$E$31:$E$400,MASQ2!O92,'Étape 1 - à remplir'!$G$31:$G$400,"animaux"),SUMIFS('Étape 1 - à remplir'!$F$31:$F$400,'Étape 1 - à remplir'!$E$31:$E$400,MASQ2!O92,'Étape 1 - à remplir'!$N$31:$N$400,X$3))))))=0,NA(),IF(X$2="Catégorie",IF(X$3="Toutes",SUMIFS('Étape 1 - à remplir'!$F$31:$F$400,'Étape 1 - à remplir'!$E$31:$E$400,MASQ2!O92,'Étape 1 - à remplir'!$G$31:$G$400,"animaux"),SUMIFS('Étape 1 - à remplir'!$F$31:$F$400,'Étape 1 - à remplir'!$E$31:$E$400,MASQ2!O92,'Étape 1 - à remplir'!$C$31:$C$400,X$3)),IF(X$2="Âge",IF(X$3="Tous",SUMIFS('Étape 1 - à remplir'!$F$31:$F$400,'Étape 1 - à remplir'!$E$31:$E$400,MASQ2!O92,'Étape 1 - à remplir'!$G$31:$G$400,"animaux"),SUMIFS('Étape 1 - à remplir'!$F$31:$F$400,'Étape 1 - à remplir'!$E$31:$E$400,MASQ2!O92,'Étape 1 - à remplir'!$P$31:$P$400,X$3)),IF(X$2="Atelier",IF(X$3="Tous",SUMIFS('Étape 1 - à remplir'!$F$31:$F$400,'Étape 1 - à remplir'!$E$31:$E$400,MASQ2!O92,'Étape 1 - à remplir'!$G$31:$G$400,"animaux"),SUMIFS('Étape 1 - à remplir'!$F$31:$F$400,'Étape 1 - à remplir'!$E$31:$E$400,MASQ2!O92,'Étape 1 - à remplir'!$O$31:$O$400,X$3)),IF(X$2="Espèce",IF(X$3="Toutes",SUMIFS('Étape 1 - à remplir'!$F$31:$F$400,'Étape 1 - à remplir'!$E$31:$E$400,MASQ2!O92,'Étape 1 - à remplir'!$G$31:$G$400,"animaux"),SUMIFS('Étape 1 - à remplir'!$F$31:$F$400,'Étape 1 - à remplir'!$E$31:$E$400,MASQ2!O92,'Étape 1 - à remplir'!$N$31:$N$400,X$3)))))))</f>
        <v>#N/A</v>
      </c>
      <c r="Q92" s="63">
        <f t="shared" si="151"/>
        <v>0</v>
      </c>
      <c r="R92" t="str">
        <f>Données_ATB!BM91</f>
        <v>Céfalonium</v>
      </c>
      <c r="S92" t="str">
        <f>Données_ATB!BN91</f>
        <v/>
      </c>
      <c r="T92" s="63" t="str">
        <f>Données_ATB!BO91</f>
        <v/>
      </c>
      <c r="U92" s="42" t="str">
        <f>Données_ATB!BQ91</f>
        <v>Cephalosporines 1&amp;2G</v>
      </c>
      <c r="V92" t="str">
        <f>Données_ATB!BR91</f>
        <v/>
      </c>
      <c r="W92" s="63" t="str">
        <f>Données_ATB!BS91</f>
        <v/>
      </c>
      <c r="Z92" s="42">
        <v>89</v>
      </c>
      <c r="AA92" t="e">
        <f t="shared" si="147"/>
        <v>#N/A</v>
      </c>
      <c r="AB92" s="63" t="e">
        <f t="shared" si="148"/>
        <v>#N/A</v>
      </c>
      <c r="BF92" s="63"/>
      <c r="BT92" s="194" t="str">
        <f t="shared" ca="1" si="131"/>
        <v/>
      </c>
      <c r="BU92" s="219" t="str">
        <f>IFERROR(IF(BX92=0,"",COUNTIF(BX$4:BX$600,"&gt;"&amp;BX92)+COUNTIF(BX$4:BX92,BX92)),"")</f>
        <v/>
      </c>
      <c r="BV92" s="42" t="str">
        <f t="shared" si="132"/>
        <v>CEFSHOT 250 MG SUSPENSION INTRAMAMMAIRE POUR VACHES AU TARISSEMENT</v>
      </c>
      <c r="BW92" t="e">
        <f>IF(IF(CE$2="Catégorie",IF(CE$3="Toutes",SUMIFS('Étape 1 - à remplir'!$F$31:$F$400,'Étape 1 - à remplir'!$E$31:$E$400,MASQ2!BV92,'Étape 1 - à remplir'!$G$31:$G$400,"lots"),SUMIFS('Étape 1 - à remplir'!$F$31:$F$400,'Étape 1 - à remplir'!$E$31:$E$400,MASQ2!BV92,'Étape 1 - à remplir'!$C$31:$C$400,CE$3)),IF(CE$2="Âge",IF(CE$3="Tous",SUMIFS('Étape 1 - à remplir'!$F$31:$F$400,'Étape 1 - à remplir'!$E$31:$E$400,MASQ2!BV92,'Étape 1 - à remplir'!$G$31:$G$400,"lots"),SUMIFS('Étape 1 - à remplir'!$F$31:$F$400,'Étape 1 - à remplir'!$E$31:$E$400,MASQ2!BV92,'Étape 1 - à remplir'!$P$31:$P$400,CE$3,'Étape 1 - à remplir'!$G$31:$G$400,"lots")),IF(CE$2="Atelier",IF(CE$3="Tous",SUMIFS('Étape 1 - à remplir'!$F$31:$F$400,'Étape 1 - à remplir'!$E$31:$E$400,MASQ2!BV92,'Étape 1 - à remplir'!$G$31:$G$400,"lots"),SUMIFS('Étape 1 - à remplir'!$F$31:$F$400,'Étape 1 - à remplir'!$E$31:$E$400,MASQ2!BV92,'Étape 1 - à remplir'!$O$31:$O$400,CE$3,'Étape 1 - à remplir'!$G$31:$G$400,"lots")),IF(CE$2="Espèce",IF(CE$3="Toutes",SUMIFS('Étape 1 - à remplir'!$F$31:$F$400,'Étape 1 - à remplir'!$E$31:$E$400,MASQ2!BV92,'Étape 1 - à remplir'!$G$31:$G$400,"lots"),SUMIFS('Étape 1 - à remplir'!$F$31:$F$400,'Étape 1 - à remplir'!$E$31:$E$400,MASQ2!BV92,'Étape 1 - à remplir'!$N$31:$N$400,CE$3,'Étape 1 - à remplir'!$G$31:$G$400,"lots"))))))=0,NA(),IF(CE$2="Catégorie",IF(CE$3="Toutes",SUMIFS('Étape 1 - à remplir'!$F$31:$F$400,'Étape 1 - à remplir'!$E$31:$E$400,MASQ2!BV92,'Étape 1 - à remplir'!$G$31:$G$400,"lots"),SUMIFS('Étape 1 - à remplir'!$F$31:$F$400,'Étape 1 - à remplir'!$E$31:$E$400,MASQ2!BV92,'Étape 1 - à remplir'!$C$31:$C$400,CE$3)),IF(CE$2="Âge",IF(CE$3="Tous",SUMIFS('Étape 1 - à remplir'!$F$31:$F$400,'Étape 1 - à remplir'!$E$31:$E$400,MASQ2!BV92,'Étape 1 - à remplir'!$G$31:$G$400,"lots"),SUMIFS('Étape 1 - à remplir'!$F$31:$F$400,'Étape 1 - à remplir'!$E$31:$E$400,MASQ2!BV92,'Étape 1 - à remplir'!$P$31:$P$400,CE$3,'Étape 1 - à remplir'!$G$31:$G$400,"lots")),IF(CE$2="Atelier",IF(CE$3="Tous",SUMIFS('Étape 1 - à remplir'!$F$31:$F$400,'Étape 1 - à remplir'!$E$31:$E$400,MASQ2!BV92,'Étape 1 - à remplir'!$G$31:$G$400,"lots"),SUMIFS('Étape 1 - à remplir'!$F$31:$F$400,'Étape 1 - à remplir'!$E$31:$E$400,MASQ2!BV92,'Étape 1 - à remplir'!$O$31:$O$400,CE$3,'Étape 1 - à remplir'!$G$31:$G$400,"lots")),IF(CE$2="Espèce",IF(CE$3="Toutes",SUMIFS('Étape 1 - à remplir'!$F$31:$F$400,'Étape 1 - à remplir'!$E$31:$E$400,MASQ2!BV92,'Étape 1 - à remplir'!$G$31:$G$400,"lots"),SUMIFS('Étape 1 - à remplir'!$F$31:$F$400,'Étape 1 - à remplir'!$E$31:$E$400,MASQ2!BV92,'Étape 1 - à remplir'!$N$31:$N$400,CE$3,'Étape 1 - à remplir'!$G$31:$G$400,"lots")))))))</f>
        <v>#N/A</v>
      </c>
      <c r="BX92">
        <f t="shared" si="149"/>
        <v>0</v>
      </c>
      <c r="BY92" t="str">
        <f t="shared" si="133"/>
        <v>Céfalonium</v>
      </c>
      <c r="BZ92" t="str">
        <f t="shared" si="134"/>
        <v/>
      </c>
      <c r="CA92" t="str">
        <f t="shared" si="135"/>
        <v/>
      </c>
      <c r="CB92" t="str">
        <f t="shared" si="136"/>
        <v>Cephalosporines 1&amp;2G</v>
      </c>
      <c r="CC92" t="str">
        <f t="shared" si="137"/>
        <v/>
      </c>
      <c r="CD92" s="63" t="str">
        <f t="shared" si="138"/>
        <v/>
      </c>
      <c r="CG92" s="42">
        <v>89</v>
      </c>
      <c r="CH92" s="42" t="e">
        <f t="shared" si="163"/>
        <v>#N/A</v>
      </c>
      <c r="CI92" s="63" t="e">
        <f t="shared" si="164"/>
        <v>#N/A</v>
      </c>
      <c r="DM92" s="63"/>
      <c r="EA92" s="194" t="str">
        <f t="shared" ca="1" si="139"/>
        <v/>
      </c>
      <c r="EB92" s="226" t="str">
        <f>IFERROR(IF(ED92=0,"",COUNTIF(ED$4:ED$600,"&gt;"&amp;ED92)+COUNTIF(ED$4:ED92,ED92)),"")</f>
        <v/>
      </c>
      <c r="EC92" t="str">
        <f t="shared" si="140"/>
        <v>CEFSHOT 250 MG SUSPENSION INTRAMAMMAIRE POUR VACHES AU TARISSEMENT</v>
      </c>
      <c r="ED92" t="e">
        <f>IF(IF(EL$2="Catégorie",IF(EL$3="Toutes",SUMIFS('Étape 1 - à remplir'!$F$31:$F$400,'Étape 1 - à remplir'!$E$31:$E$400,MASQ2!EC92,'Étape 1 - à remplir'!$G$31:$G$400,"kg"),SUMIFS('Étape 1 - à remplir'!$F$31:$F$400,'Étape 1 - à remplir'!$E$31:$E$400,MASQ2!EC92,'Étape 1 - à remplir'!$C$31:$C$400,EL$3)),IF(EL$2="Âge",IF(EL$3="Tous",SUMIFS('Étape 1 - à remplir'!$F$31:$F$400,'Étape 1 - à remplir'!$E$31:$E$400,MASQ2!EC92,'Étape 1 - à remplir'!$G$31:$G$400,"kg"),SUMIFS('Étape 1 - à remplir'!$F$31:$F$400,'Étape 1 - à remplir'!$E$31:$E$400,MASQ2!EC92,'Étape 1 - à remplir'!$P$31:$P$400,EL$3,'Étape 1 - à remplir'!$G$31:$G$400,"kg")),IF(EL$2="Atelier",IF(EL$3="Tous",SUMIFS('Étape 1 - à remplir'!$F$31:$F$400,'Étape 1 - à remplir'!$E$31:$E$400,MASQ2!EC92,'Étape 1 - à remplir'!$G$31:$G$400,"kg"),SUMIFS('Étape 1 - à remplir'!$F$31:$F$400,'Étape 1 - à remplir'!$E$31:$E$400,MASQ2!EC92,'Étape 1 - à remplir'!$O$31:$O$400,EL$3,'Étape 1 - à remplir'!$G$31:$G$400,"kg")),IF(EL$2="Espèce",IF(EL$3="Toutes",SUMIFS('Étape 1 - à remplir'!$F$31:$F$400,'Étape 1 - à remplir'!$E$31:$E$400,MASQ2!EC92,'Étape 1 - à remplir'!$G$31:$G$400,"kg"),SUMIFS('Étape 1 - à remplir'!$F$31:$F$400,'Étape 1 - à remplir'!$E$31:$E$400,MASQ2!EC92,'Étape 1 - à remplir'!$N$31:$N$400,EL$3,'Étape 1 - à remplir'!$G$31:$G$400,"kg"))))))=0,NA(),IF(EL$2="Catégorie",IF(EL$3="Toutes",SUMIFS('Étape 1 - à remplir'!$F$31:$F$400,'Étape 1 - à remplir'!$E$31:$E$400,MASQ2!EC92,'Étape 1 - à remplir'!$G$31:$G$400,"kg"),SUMIFS('Étape 1 - à remplir'!$F$31:$F$400,'Étape 1 - à remplir'!$E$31:$E$400,MASQ2!EC92,'Étape 1 - à remplir'!$C$31:$C$400,EL$3)),IF(EL$2="Âge",IF(EL$3="Tous",SUMIFS('Étape 1 - à remplir'!$F$31:$F$400,'Étape 1 - à remplir'!$E$31:$E$400,MASQ2!EC92,'Étape 1 - à remplir'!$G$31:$G$400,"kg"),SUMIFS('Étape 1 - à remplir'!$F$31:$F$400,'Étape 1 - à remplir'!$E$31:$E$400,MASQ2!EC92,'Étape 1 - à remplir'!$P$31:$P$400,EL$3,'Étape 1 - à remplir'!$G$31:$G$400,"kg")),IF(EL$2="Atelier",IF(EL$3="Tous",SUMIFS('Étape 1 - à remplir'!$F$31:$F$400,'Étape 1 - à remplir'!$E$31:$E$400,MASQ2!EC92,'Étape 1 - à remplir'!$G$31:$G$400,"kg"),SUMIFS('Étape 1 - à remplir'!$F$31:$F$400,'Étape 1 - à remplir'!$E$31:$E$400,MASQ2!EC92,'Étape 1 - à remplir'!$O$31:$O$400,EL$3,'Étape 1 - à remplir'!$G$31:$G$400,"kg")),IF(EL$2="Espèce",IF(EL$3="Toutes",SUMIFS('Étape 1 - à remplir'!$F$31:$F$400,'Étape 1 - à remplir'!$E$31:$E$400,MASQ2!EC92,'Étape 1 - à remplir'!$G$31:$G$400,"kg"),SUMIFS('Étape 1 - à remplir'!$F$31:$F$400,'Étape 1 - à remplir'!$E$31:$E$400,MASQ2!EC92,'Étape 1 - à remplir'!$N$31:$N$400,EL$3,'Étape 1 - à remplir'!$G$31:$G$400,"kg")))))))</f>
        <v>#N/A</v>
      </c>
      <c r="EE92" s="76">
        <f t="shared" si="150"/>
        <v>0</v>
      </c>
      <c r="EF92" t="str">
        <f t="shared" si="141"/>
        <v>Céfalonium</v>
      </c>
      <c r="EG92" t="str">
        <f t="shared" si="142"/>
        <v/>
      </c>
      <c r="EH92" t="str">
        <f t="shared" si="143"/>
        <v/>
      </c>
      <c r="EI92" t="str">
        <f t="shared" si="144"/>
        <v>Cephalosporines 1&amp;2G</v>
      </c>
      <c r="EJ92" t="str">
        <f t="shared" si="145"/>
        <v/>
      </c>
      <c r="EK92" s="63" t="str">
        <f t="shared" si="146"/>
        <v/>
      </c>
      <c r="EN92" s="42">
        <v>89</v>
      </c>
      <c r="EO92" t="e">
        <f t="shared" si="152"/>
        <v>#N/A</v>
      </c>
      <c r="EP92" s="63" t="e">
        <f t="shared" si="153"/>
        <v>#N/A</v>
      </c>
      <c r="FT92" s="63"/>
    </row>
    <row r="93" spans="2:176" x14ac:dyDescent="0.3">
      <c r="B93" s="42"/>
      <c r="M93" s="194" t="str">
        <f ca="1">INDEX(Données_ATB!BD:BU,MATCH(MASQ2!O93,Données_ATB!BD:BD,0),18)</f>
        <v>x</v>
      </c>
      <c r="N93" s="14" t="str">
        <f>IFERROR(IF(Q93=0,"",COUNTIF(Q$4:Q$600,"&gt;"&amp;Q93)+COUNTIF(Q$4:Q93,Q93)),"")</f>
        <v/>
      </c>
      <c r="O93" t="str">
        <f>Données_ATB!BD92</f>
        <v>CEFTIOCYL 50 MG/ML SUSPENSION INJECTABLE POUR BOVINS ET PORCINS</v>
      </c>
      <c r="P93" t="e">
        <f>IF(IF(X$2="Catégorie",IF(X$3="Toutes",SUMIFS('Étape 1 - à remplir'!$F$31:$F$400,'Étape 1 - à remplir'!$E$31:$E$400,MASQ2!O93,'Étape 1 - à remplir'!$G$31:$G$400,"animaux"),SUMIFS('Étape 1 - à remplir'!$F$31:$F$400,'Étape 1 - à remplir'!$E$31:$E$400,MASQ2!O93,'Étape 1 - à remplir'!$C$31:$C$400,X$3)),IF(X$2="Âge",IF(X$3="Tous",SUMIFS('Étape 1 - à remplir'!$F$31:$F$400,'Étape 1 - à remplir'!$E$31:$E$400,MASQ2!O93,'Étape 1 - à remplir'!$G$31:$G$400,"animaux"),SUMIFS('Étape 1 - à remplir'!$F$31:$F$400,'Étape 1 - à remplir'!$E$31:$E$400,MASQ2!O93,'Étape 1 - à remplir'!$P$31:$P$400,X$3)),IF(X$2="Atelier",IF(X$3="Tous",SUMIFS('Étape 1 - à remplir'!$F$31:$F$400,'Étape 1 - à remplir'!$E$31:$E$400,MASQ2!O93,'Étape 1 - à remplir'!$G$31:$G$400,"animaux"),SUMIFS('Étape 1 - à remplir'!$F$31:$F$400,'Étape 1 - à remplir'!$E$31:$E$400,MASQ2!O93,'Étape 1 - à remplir'!$O$31:$O$400,X$3)),IF(X$2="Espèce",IF(X$3="Toutes",SUMIFS('Étape 1 - à remplir'!$F$31:$F$400,'Étape 1 - à remplir'!$E$31:$E$400,MASQ2!O93,'Étape 1 - à remplir'!$G$31:$G$400,"animaux"),SUMIFS('Étape 1 - à remplir'!$F$31:$F$400,'Étape 1 - à remplir'!$E$31:$E$400,MASQ2!O93,'Étape 1 - à remplir'!$N$31:$N$400,X$3))))))=0,NA(),IF(X$2="Catégorie",IF(X$3="Toutes",SUMIFS('Étape 1 - à remplir'!$F$31:$F$400,'Étape 1 - à remplir'!$E$31:$E$400,MASQ2!O93,'Étape 1 - à remplir'!$G$31:$G$400,"animaux"),SUMIFS('Étape 1 - à remplir'!$F$31:$F$400,'Étape 1 - à remplir'!$E$31:$E$400,MASQ2!O93,'Étape 1 - à remplir'!$C$31:$C$400,X$3)),IF(X$2="Âge",IF(X$3="Tous",SUMIFS('Étape 1 - à remplir'!$F$31:$F$400,'Étape 1 - à remplir'!$E$31:$E$400,MASQ2!O93,'Étape 1 - à remplir'!$G$31:$G$400,"animaux"),SUMIFS('Étape 1 - à remplir'!$F$31:$F$400,'Étape 1 - à remplir'!$E$31:$E$400,MASQ2!O93,'Étape 1 - à remplir'!$P$31:$P$400,X$3)),IF(X$2="Atelier",IF(X$3="Tous",SUMIFS('Étape 1 - à remplir'!$F$31:$F$400,'Étape 1 - à remplir'!$E$31:$E$400,MASQ2!O93,'Étape 1 - à remplir'!$G$31:$G$400,"animaux"),SUMIFS('Étape 1 - à remplir'!$F$31:$F$400,'Étape 1 - à remplir'!$E$31:$E$400,MASQ2!O93,'Étape 1 - à remplir'!$O$31:$O$400,X$3)),IF(X$2="Espèce",IF(X$3="Toutes",SUMIFS('Étape 1 - à remplir'!$F$31:$F$400,'Étape 1 - à remplir'!$E$31:$E$400,MASQ2!O93,'Étape 1 - à remplir'!$G$31:$G$400,"animaux"),SUMIFS('Étape 1 - à remplir'!$F$31:$F$400,'Étape 1 - à remplir'!$E$31:$E$400,MASQ2!O93,'Étape 1 - à remplir'!$N$31:$N$400,X$3)))))))</f>
        <v>#N/A</v>
      </c>
      <c r="Q93" s="63">
        <f t="shared" si="151"/>
        <v>0</v>
      </c>
      <c r="R93" t="str">
        <f>Données_ATB!BM92</f>
        <v>Ceftiofur</v>
      </c>
      <c r="S93" t="str">
        <f>Données_ATB!BN92</f>
        <v/>
      </c>
      <c r="T93" s="63" t="str">
        <f>Données_ATB!BO92</f>
        <v/>
      </c>
      <c r="U93" s="42" t="str">
        <f>Données_ATB!BQ92</f>
        <v>Cephalosporines 3&amp;4G</v>
      </c>
      <c r="V93" t="str">
        <f>Données_ATB!BR92</f>
        <v/>
      </c>
      <c r="W93" s="63" t="str">
        <f>Données_ATB!BS92</f>
        <v/>
      </c>
      <c r="Z93" s="42">
        <v>90</v>
      </c>
      <c r="AA93" t="e">
        <f t="shared" si="147"/>
        <v>#N/A</v>
      </c>
      <c r="AB93" s="63" t="e">
        <f t="shared" si="148"/>
        <v>#N/A</v>
      </c>
      <c r="BF93" s="63"/>
      <c r="BT93" s="194" t="str">
        <f t="shared" ca="1" si="131"/>
        <v>x</v>
      </c>
      <c r="BU93" s="219" t="str">
        <f>IFERROR(IF(BX93=0,"",COUNTIF(BX$4:BX$600,"&gt;"&amp;BX93)+COUNTIF(BX$4:BX93,BX93)),"")</f>
        <v/>
      </c>
      <c r="BV93" s="42" t="str">
        <f t="shared" si="132"/>
        <v>CEFTIOCYL 50 MG/ML SUSPENSION INJECTABLE POUR BOVINS ET PORCINS</v>
      </c>
      <c r="BW93" t="e">
        <f>IF(IF(CE$2="Catégorie",IF(CE$3="Toutes",SUMIFS('Étape 1 - à remplir'!$F$31:$F$400,'Étape 1 - à remplir'!$E$31:$E$400,MASQ2!BV93,'Étape 1 - à remplir'!$G$31:$G$400,"lots"),SUMIFS('Étape 1 - à remplir'!$F$31:$F$400,'Étape 1 - à remplir'!$E$31:$E$400,MASQ2!BV93,'Étape 1 - à remplir'!$C$31:$C$400,CE$3)),IF(CE$2="Âge",IF(CE$3="Tous",SUMIFS('Étape 1 - à remplir'!$F$31:$F$400,'Étape 1 - à remplir'!$E$31:$E$400,MASQ2!BV93,'Étape 1 - à remplir'!$G$31:$G$400,"lots"),SUMIFS('Étape 1 - à remplir'!$F$31:$F$400,'Étape 1 - à remplir'!$E$31:$E$400,MASQ2!BV93,'Étape 1 - à remplir'!$P$31:$P$400,CE$3,'Étape 1 - à remplir'!$G$31:$G$400,"lots")),IF(CE$2="Atelier",IF(CE$3="Tous",SUMIFS('Étape 1 - à remplir'!$F$31:$F$400,'Étape 1 - à remplir'!$E$31:$E$400,MASQ2!BV93,'Étape 1 - à remplir'!$G$31:$G$400,"lots"),SUMIFS('Étape 1 - à remplir'!$F$31:$F$400,'Étape 1 - à remplir'!$E$31:$E$400,MASQ2!BV93,'Étape 1 - à remplir'!$O$31:$O$400,CE$3,'Étape 1 - à remplir'!$G$31:$G$400,"lots")),IF(CE$2="Espèce",IF(CE$3="Toutes",SUMIFS('Étape 1 - à remplir'!$F$31:$F$400,'Étape 1 - à remplir'!$E$31:$E$400,MASQ2!BV93,'Étape 1 - à remplir'!$G$31:$G$400,"lots"),SUMIFS('Étape 1 - à remplir'!$F$31:$F$400,'Étape 1 - à remplir'!$E$31:$E$400,MASQ2!BV93,'Étape 1 - à remplir'!$N$31:$N$400,CE$3,'Étape 1 - à remplir'!$G$31:$G$400,"lots"))))))=0,NA(),IF(CE$2="Catégorie",IF(CE$3="Toutes",SUMIFS('Étape 1 - à remplir'!$F$31:$F$400,'Étape 1 - à remplir'!$E$31:$E$400,MASQ2!BV93,'Étape 1 - à remplir'!$G$31:$G$400,"lots"),SUMIFS('Étape 1 - à remplir'!$F$31:$F$400,'Étape 1 - à remplir'!$E$31:$E$400,MASQ2!BV93,'Étape 1 - à remplir'!$C$31:$C$400,CE$3)),IF(CE$2="Âge",IF(CE$3="Tous",SUMIFS('Étape 1 - à remplir'!$F$31:$F$400,'Étape 1 - à remplir'!$E$31:$E$400,MASQ2!BV93,'Étape 1 - à remplir'!$G$31:$G$400,"lots"),SUMIFS('Étape 1 - à remplir'!$F$31:$F$400,'Étape 1 - à remplir'!$E$31:$E$400,MASQ2!BV93,'Étape 1 - à remplir'!$P$31:$P$400,CE$3,'Étape 1 - à remplir'!$G$31:$G$400,"lots")),IF(CE$2="Atelier",IF(CE$3="Tous",SUMIFS('Étape 1 - à remplir'!$F$31:$F$400,'Étape 1 - à remplir'!$E$31:$E$400,MASQ2!BV93,'Étape 1 - à remplir'!$G$31:$G$400,"lots"),SUMIFS('Étape 1 - à remplir'!$F$31:$F$400,'Étape 1 - à remplir'!$E$31:$E$400,MASQ2!BV93,'Étape 1 - à remplir'!$O$31:$O$400,CE$3,'Étape 1 - à remplir'!$G$31:$G$400,"lots")),IF(CE$2="Espèce",IF(CE$3="Toutes",SUMIFS('Étape 1 - à remplir'!$F$31:$F$400,'Étape 1 - à remplir'!$E$31:$E$400,MASQ2!BV93,'Étape 1 - à remplir'!$G$31:$G$400,"lots"),SUMIFS('Étape 1 - à remplir'!$F$31:$F$400,'Étape 1 - à remplir'!$E$31:$E$400,MASQ2!BV93,'Étape 1 - à remplir'!$N$31:$N$400,CE$3,'Étape 1 - à remplir'!$G$31:$G$400,"lots")))))))</f>
        <v>#N/A</v>
      </c>
      <c r="BX93">
        <f t="shared" si="149"/>
        <v>0</v>
      </c>
      <c r="BY93" t="str">
        <f t="shared" si="133"/>
        <v>Ceftiofur</v>
      </c>
      <c r="BZ93" t="str">
        <f t="shared" si="134"/>
        <v/>
      </c>
      <c r="CA93" t="str">
        <f t="shared" si="135"/>
        <v/>
      </c>
      <c r="CB93" t="str">
        <f t="shared" si="136"/>
        <v>Cephalosporines 3&amp;4G</v>
      </c>
      <c r="CC93" t="str">
        <f t="shared" si="137"/>
        <v/>
      </c>
      <c r="CD93" s="63" t="str">
        <f t="shared" si="138"/>
        <v/>
      </c>
      <c r="CG93" s="42">
        <v>90</v>
      </c>
      <c r="CH93" s="42" t="e">
        <f t="shared" si="163"/>
        <v>#N/A</v>
      </c>
      <c r="CI93" s="63" t="e">
        <f t="shared" si="164"/>
        <v>#N/A</v>
      </c>
      <c r="DM93" s="63"/>
      <c r="EA93" s="194" t="str">
        <f t="shared" ca="1" si="139"/>
        <v>x</v>
      </c>
      <c r="EB93" s="226" t="str">
        <f>IFERROR(IF(ED93=0,"",COUNTIF(ED$4:ED$600,"&gt;"&amp;ED93)+COUNTIF(ED$4:ED93,ED93)),"")</f>
        <v/>
      </c>
      <c r="EC93" t="str">
        <f t="shared" si="140"/>
        <v>CEFTIOCYL 50 MG/ML SUSPENSION INJECTABLE POUR BOVINS ET PORCINS</v>
      </c>
      <c r="ED93" t="e">
        <f>IF(IF(EL$2="Catégorie",IF(EL$3="Toutes",SUMIFS('Étape 1 - à remplir'!$F$31:$F$400,'Étape 1 - à remplir'!$E$31:$E$400,MASQ2!EC93,'Étape 1 - à remplir'!$G$31:$G$400,"kg"),SUMIFS('Étape 1 - à remplir'!$F$31:$F$400,'Étape 1 - à remplir'!$E$31:$E$400,MASQ2!EC93,'Étape 1 - à remplir'!$C$31:$C$400,EL$3)),IF(EL$2="Âge",IF(EL$3="Tous",SUMIFS('Étape 1 - à remplir'!$F$31:$F$400,'Étape 1 - à remplir'!$E$31:$E$400,MASQ2!EC93,'Étape 1 - à remplir'!$G$31:$G$400,"kg"),SUMIFS('Étape 1 - à remplir'!$F$31:$F$400,'Étape 1 - à remplir'!$E$31:$E$400,MASQ2!EC93,'Étape 1 - à remplir'!$P$31:$P$400,EL$3,'Étape 1 - à remplir'!$G$31:$G$400,"kg")),IF(EL$2="Atelier",IF(EL$3="Tous",SUMIFS('Étape 1 - à remplir'!$F$31:$F$400,'Étape 1 - à remplir'!$E$31:$E$400,MASQ2!EC93,'Étape 1 - à remplir'!$G$31:$G$400,"kg"),SUMIFS('Étape 1 - à remplir'!$F$31:$F$400,'Étape 1 - à remplir'!$E$31:$E$400,MASQ2!EC93,'Étape 1 - à remplir'!$O$31:$O$400,EL$3,'Étape 1 - à remplir'!$G$31:$G$400,"kg")),IF(EL$2="Espèce",IF(EL$3="Toutes",SUMIFS('Étape 1 - à remplir'!$F$31:$F$400,'Étape 1 - à remplir'!$E$31:$E$400,MASQ2!EC93,'Étape 1 - à remplir'!$G$31:$G$400,"kg"),SUMIFS('Étape 1 - à remplir'!$F$31:$F$400,'Étape 1 - à remplir'!$E$31:$E$400,MASQ2!EC93,'Étape 1 - à remplir'!$N$31:$N$400,EL$3,'Étape 1 - à remplir'!$G$31:$G$400,"kg"))))))=0,NA(),IF(EL$2="Catégorie",IF(EL$3="Toutes",SUMIFS('Étape 1 - à remplir'!$F$31:$F$400,'Étape 1 - à remplir'!$E$31:$E$400,MASQ2!EC93,'Étape 1 - à remplir'!$G$31:$G$400,"kg"),SUMIFS('Étape 1 - à remplir'!$F$31:$F$400,'Étape 1 - à remplir'!$E$31:$E$400,MASQ2!EC93,'Étape 1 - à remplir'!$C$31:$C$400,EL$3)),IF(EL$2="Âge",IF(EL$3="Tous",SUMIFS('Étape 1 - à remplir'!$F$31:$F$400,'Étape 1 - à remplir'!$E$31:$E$400,MASQ2!EC93,'Étape 1 - à remplir'!$G$31:$G$400,"kg"),SUMIFS('Étape 1 - à remplir'!$F$31:$F$400,'Étape 1 - à remplir'!$E$31:$E$400,MASQ2!EC93,'Étape 1 - à remplir'!$P$31:$P$400,EL$3,'Étape 1 - à remplir'!$G$31:$G$400,"kg")),IF(EL$2="Atelier",IF(EL$3="Tous",SUMIFS('Étape 1 - à remplir'!$F$31:$F$400,'Étape 1 - à remplir'!$E$31:$E$400,MASQ2!EC93,'Étape 1 - à remplir'!$G$31:$G$400,"kg"),SUMIFS('Étape 1 - à remplir'!$F$31:$F$400,'Étape 1 - à remplir'!$E$31:$E$400,MASQ2!EC93,'Étape 1 - à remplir'!$O$31:$O$400,EL$3,'Étape 1 - à remplir'!$G$31:$G$400,"kg")),IF(EL$2="Espèce",IF(EL$3="Toutes",SUMIFS('Étape 1 - à remplir'!$F$31:$F$400,'Étape 1 - à remplir'!$E$31:$E$400,MASQ2!EC93,'Étape 1 - à remplir'!$G$31:$G$400,"kg"),SUMIFS('Étape 1 - à remplir'!$F$31:$F$400,'Étape 1 - à remplir'!$E$31:$E$400,MASQ2!EC93,'Étape 1 - à remplir'!$N$31:$N$400,EL$3,'Étape 1 - à remplir'!$G$31:$G$400,"kg")))))))</f>
        <v>#N/A</v>
      </c>
      <c r="EE93" s="76">
        <f t="shared" si="150"/>
        <v>0</v>
      </c>
      <c r="EF93" t="str">
        <f t="shared" si="141"/>
        <v>Ceftiofur</v>
      </c>
      <c r="EG93" t="str">
        <f t="shared" si="142"/>
        <v/>
      </c>
      <c r="EH93" t="str">
        <f t="shared" si="143"/>
        <v/>
      </c>
      <c r="EI93" t="str">
        <f t="shared" si="144"/>
        <v>Cephalosporines 3&amp;4G</v>
      </c>
      <c r="EJ93" t="str">
        <f t="shared" si="145"/>
        <v/>
      </c>
      <c r="EK93" s="63" t="str">
        <f t="shared" si="146"/>
        <v/>
      </c>
      <c r="EN93" s="42">
        <v>90</v>
      </c>
      <c r="EO93" t="e">
        <f t="shared" si="152"/>
        <v>#N/A</v>
      </c>
      <c r="EP93" s="63" t="e">
        <f t="shared" si="153"/>
        <v>#N/A</v>
      </c>
      <c r="FT93" s="63"/>
    </row>
    <row r="94" spans="2:176" x14ac:dyDescent="0.3">
      <c r="B94" s="42"/>
      <c r="M94" s="194" t="str">
        <f ca="1">INDEX(Données_ATB!BD:BU,MATCH(MASQ2!O94,Données_ATB!BD:BD,0),18)</f>
        <v>x</v>
      </c>
      <c r="N94" s="14" t="str">
        <f>IFERROR(IF(Q94=0,"",COUNTIF(Q$4:Q$600,"&gt;"&amp;Q94)+COUNTIF(Q$4:Q94,Q94)),"")</f>
        <v/>
      </c>
      <c r="O94" t="str">
        <f>Données_ATB!BD93</f>
        <v>CEMAY 50 MG/ML SUSPENSION INJECTABLE POUR PORCS ET BOVINS</v>
      </c>
      <c r="P94" t="e">
        <f>IF(IF(X$2="Catégorie",IF(X$3="Toutes",SUMIFS('Étape 1 - à remplir'!$F$31:$F$400,'Étape 1 - à remplir'!$E$31:$E$400,MASQ2!O94,'Étape 1 - à remplir'!$G$31:$G$400,"animaux"),SUMIFS('Étape 1 - à remplir'!$F$31:$F$400,'Étape 1 - à remplir'!$E$31:$E$400,MASQ2!O94,'Étape 1 - à remplir'!$C$31:$C$400,X$3)),IF(X$2="Âge",IF(X$3="Tous",SUMIFS('Étape 1 - à remplir'!$F$31:$F$400,'Étape 1 - à remplir'!$E$31:$E$400,MASQ2!O94,'Étape 1 - à remplir'!$G$31:$G$400,"animaux"),SUMIFS('Étape 1 - à remplir'!$F$31:$F$400,'Étape 1 - à remplir'!$E$31:$E$400,MASQ2!O94,'Étape 1 - à remplir'!$P$31:$P$400,X$3)),IF(X$2="Atelier",IF(X$3="Tous",SUMIFS('Étape 1 - à remplir'!$F$31:$F$400,'Étape 1 - à remplir'!$E$31:$E$400,MASQ2!O94,'Étape 1 - à remplir'!$G$31:$G$400,"animaux"),SUMIFS('Étape 1 - à remplir'!$F$31:$F$400,'Étape 1 - à remplir'!$E$31:$E$400,MASQ2!O94,'Étape 1 - à remplir'!$O$31:$O$400,X$3)),IF(X$2="Espèce",IF(X$3="Toutes",SUMIFS('Étape 1 - à remplir'!$F$31:$F$400,'Étape 1 - à remplir'!$E$31:$E$400,MASQ2!O94,'Étape 1 - à remplir'!$G$31:$G$400,"animaux"),SUMIFS('Étape 1 - à remplir'!$F$31:$F$400,'Étape 1 - à remplir'!$E$31:$E$400,MASQ2!O94,'Étape 1 - à remplir'!$N$31:$N$400,X$3))))))=0,NA(),IF(X$2="Catégorie",IF(X$3="Toutes",SUMIFS('Étape 1 - à remplir'!$F$31:$F$400,'Étape 1 - à remplir'!$E$31:$E$400,MASQ2!O94,'Étape 1 - à remplir'!$G$31:$G$400,"animaux"),SUMIFS('Étape 1 - à remplir'!$F$31:$F$400,'Étape 1 - à remplir'!$E$31:$E$400,MASQ2!O94,'Étape 1 - à remplir'!$C$31:$C$400,X$3)),IF(X$2="Âge",IF(X$3="Tous",SUMIFS('Étape 1 - à remplir'!$F$31:$F$400,'Étape 1 - à remplir'!$E$31:$E$400,MASQ2!O94,'Étape 1 - à remplir'!$G$31:$G$400,"animaux"),SUMIFS('Étape 1 - à remplir'!$F$31:$F$400,'Étape 1 - à remplir'!$E$31:$E$400,MASQ2!O94,'Étape 1 - à remplir'!$P$31:$P$400,X$3)),IF(X$2="Atelier",IF(X$3="Tous",SUMIFS('Étape 1 - à remplir'!$F$31:$F$400,'Étape 1 - à remplir'!$E$31:$E$400,MASQ2!O94,'Étape 1 - à remplir'!$G$31:$G$400,"animaux"),SUMIFS('Étape 1 - à remplir'!$F$31:$F$400,'Étape 1 - à remplir'!$E$31:$E$400,MASQ2!O94,'Étape 1 - à remplir'!$O$31:$O$400,X$3)),IF(X$2="Espèce",IF(X$3="Toutes",SUMIFS('Étape 1 - à remplir'!$F$31:$F$400,'Étape 1 - à remplir'!$E$31:$E$400,MASQ2!O94,'Étape 1 - à remplir'!$G$31:$G$400,"animaux"),SUMIFS('Étape 1 - à remplir'!$F$31:$F$400,'Étape 1 - à remplir'!$E$31:$E$400,MASQ2!O94,'Étape 1 - à remplir'!$N$31:$N$400,X$3)))))))</f>
        <v>#N/A</v>
      </c>
      <c r="Q94" s="63">
        <f t="shared" si="151"/>
        <v>0</v>
      </c>
      <c r="R94" t="str">
        <f>Données_ATB!BM93</f>
        <v>Ceftiofur</v>
      </c>
      <c r="S94" t="str">
        <f>Données_ATB!BN93</f>
        <v/>
      </c>
      <c r="T94" s="63" t="str">
        <f>Données_ATB!BO93</f>
        <v/>
      </c>
      <c r="U94" s="42" t="str">
        <f>Données_ATB!BQ93</f>
        <v>Cephalosporines 3&amp;4G</v>
      </c>
      <c r="V94" t="str">
        <f>Données_ATB!BR93</f>
        <v/>
      </c>
      <c r="W94" s="63" t="str">
        <f>Données_ATB!BS93</f>
        <v/>
      </c>
      <c r="Z94" s="42">
        <v>91</v>
      </c>
      <c r="AA94" t="e">
        <f t="shared" si="147"/>
        <v>#N/A</v>
      </c>
      <c r="AB94" s="63" t="e">
        <f t="shared" si="148"/>
        <v>#N/A</v>
      </c>
      <c r="BF94" s="63"/>
      <c r="BT94" s="194" t="str">
        <f t="shared" ca="1" si="131"/>
        <v>x</v>
      </c>
      <c r="BU94" s="219" t="str">
        <f>IFERROR(IF(BX94=0,"",COUNTIF(BX$4:BX$600,"&gt;"&amp;BX94)+COUNTIF(BX$4:BX94,BX94)),"")</f>
        <v/>
      </c>
      <c r="BV94" s="42" t="str">
        <f t="shared" si="132"/>
        <v>CEMAY 50 MG/ML SUSPENSION INJECTABLE POUR PORCS ET BOVINS</v>
      </c>
      <c r="BW94" t="e">
        <f>IF(IF(CE$2="Catégorie",IF(CE$3="Toutes",SUMIFS('Étape 1 - à remplir'!$F$31:$F$400,'Étape 1 - à remplir'!$E$31:$E$400,MASQ2!BV94,'Étape 1 - à remplir'!$G$31:$G$400,"lots"),SUMIFS('Étape 1 - à remplir'!$F$31:$F$400,'Étape 1 - à remplir'!$E$31:$E$400,MASQ2!BV94,'Étape 1 - à remplir'!$C$31:$C$400,CE$3)),IF(CE$2="Âge",IF(CE$3="Tous",SUMIFS('Étape 1 - à remplir'!$F$31:$F$400,'Étape 1 - à remplir'!$E$31:$E$400,MASQ2!BV94,'Étape 1 - à remplir'!$G$31:$G$400,"lots"),SUMIFS('Étape 1 - à remplir'!$F$31:$F$400,'Étape 1 - à remplir'!$E$31:$E$400,MASQ2!BV94,'Étape 1 - à remplir'!$P$31:$P$400,CE$3,'Étape 1 - à remplir'!$G$31:$G$400,"lots")),IF(CE$2="Atelier",IF(CE$3="Tous",SUMIFS('Étape 1 - à remplir'!$F$31:$F$400,'Étape 1 - à remplir'!$E$31:$E$400,MASQ2!BV94,'Étape 1 - à remplir'!$G$31:$G$400,"lots"),SUMIFS('Étape 1 - à remplir'!$F$31:$F$400,'Étape 1 - à remplir'!$E$31:$E$400,MASQ2!BV94,'Étape 1 - à remplir'!$O$31:$O$400,CE$3,'Étape 1 - à remplir'!$G$31:$G$400,"lots")),IF(CE$2="Espèce",IF(CE$3="Toutes",SUMIFS('Étape 1 - à remplir'!$F$31:$F$400,'Étape 1 - à remplir'!$E$31:$E$400,MASQ2!BV94,'Étape 1 - à remplir'!$G$31:$G$400,"lots"),SUMIFS('Étape 1 - à remplir'!$F$31:$F$400,'Étape 1 - à remplir'!$E$31:$E$400,MASQ2!BV94,'Étape 1 - à remplir'!$N$31:$N$400,CE$3,'Étape 1 - à remplir'!$G$31:$G$400,"lots"))))))=0,NA(),IF(CE$2="Catégorie",IF(CE$3="Toutes",SUMIFS('Étape 1 - à remplir'!$F$31:$F$400,'Étape 1 - à remplir'!$E$31:$E$400,MASQ2!BV94,'Étape 1 - à remplir'!$G$31:$G$400,"lots"),SUMIFS('Étape 1 - à remplir'!$F$31:$F$400,'Étape 1 - à remplir'!$E$31:$E$400,MASQ2!BV94,'Étape 1 - à remplir'!$C$31:$C$400,CE$3)),IF(CE$2="Âge",IF(CE$3="Tous",SUMIFS('Étape 1 - à remplir'!$F$31:$F$400,'Étape 1 - à remplir'!$E$31:$E$400,MASQ2!BV94,'Étape 1 - à remplir'!$G$31:$G$400,"lots"),SUMIFS('Étape 1 - à remplir'!$F$31:$F$400,'Étape 1 - à remplir'!$E$31:$E$400,MASQ2!BV94,'Étape 1 - à remplir'!$P$31:$P$400,CE$3,'Étape 1 - à remplir'!$G$31:$G$400,"lots")),IF(CE$2="Atelier",IF(CE$3="Tous",SUMIFS('Étape 1 - à remplir'!$F$31:$F$400,'Étape 1 - à remplir'!$E$31:$E$400,MASQ2!BV94,'Étape 1 - à remplir'!$G$31:$G$400,"lots"),SUMIFS('Étape 1 - à remplir'!$F$31:$F$400,'Étape 1 - à remplir'!$E$31:$E$400,MASQ2!BV94,'Étape 1 - à remplir'!$O$31:$O$400,CE$3,'Étape 1 - à remplir'!$G$31:$G$400,"lots")),IF(CE$2="Espèce",IF(CE$3="Toutes",SUMIFS('Étape 1 - à remplir'!$F$31:$F$400,'Étape 1 - à remplir'!$E$31:$E$400,MASQ2!BV94,'Étape 1 - à remplir'!$G$31:$G$400,"lots"),SUMIFS('Étape 1 - à remplir'!$F$31:$F$400,'Étape 1 - à remplir'!$E$31:$E$400,MASQ2!BV94,'Étape 1 - à remplir'!$N$31:$N$400,CE$3,'Étape 1 - à remplir'!$G$31:$G$400,"lots")))))))</f>
        <v>#N/A</v>
      </c>
      <c r="BX94">
        <f t="shared" si="149"/>
        <v>0</v>
      </c>
      <c r="BY94" t="str">
        <f t="shared" si="133"/>
        <v>Ceftiofur</v>
      </c>
      <c r="BZ94" t="str">
        <f t="shared" si="134"/>
        <v/>
      </c>
      <c r="CA94" t="str">
        <f t="shared" si="135"/>
        <v/>
      </c>
      <c r="CB94" t="str">
        <f t="shared" si="136"/>
        <v>Cephalosporines 3&amp;4G</v>
      </c>
      <c r="CC94" t="str">
        <f t="shared" si="137"/>
        <v/>
      </c>
      <c r="CD94" s="63" t="str">
        <f t="shared" si="138"/>
        <v/>
      </c>
      <c r="CG94" s="42">
        <v>91</v>
      </c>
      <c r="CH94" s="42" t="e">
        <f t="shared" si="163"/>
        <v>#N/A</v>
      </c>
      <c r="CI94" s="63" t="e">
        <f t="shared" si="164"/>
        <v>#N/A</v>
      </c>
      <c r="DM94" s="63"/>
      <c r="EA94" s="194" t="str">
        <f t="shared" ca="1" si="139"/>
        <v>x</v>
      </c>
      <c r="EB94" s="226" t="str">
        <f>IFERROR(IF(ED94=0,"",COUNTIF(ED$4:ED$600,"&gt;"&amp;ED94)+COUNTIF(ED$4:ED94,ED94)),"")</f>
        <v/>
      </c>
      <c r="EC94" t="str">
        <f t="shared" si="140"/>
        <v>CEMAY 50 MG/ML SUSPENSION INJECTABLE POUR PORCS ET BOVINS</v>
      </c>
      <c r="ED94" t="e">
        <f>IF(IF(EL$2="Catégorie",IF(EL$3="Toutes",SUMIFS('Étape 1 - à remplir'!$F$31:$F$400,'Étape 1 - à remplir'!$E$31:$E$400,MASQ2!EC94,'Étape 1 - à remplir'!$G$31:$G$400,"kg"),SUMIFS('Étape 1 - à remplir'!$F$31:$F$400,'Étape 1 - à remplir'!$E$31:$E$400,MASQ2!EC94,'Étape 1 - à remplir'!$C$31:$C$400,EL$3)),IF(EL$2="Âge",IF(EL$3="Tous",SUMIFS('Étape 1 - à remplir'!$F$31:$F$400,'Étape 1 - à remplir'!$E$31:$E$400,MASQ2!EC94,'Étape 1 - à remplir'!$G$31:$G$400,"kg"),SUMIFS('Étape 1 - à remplir'!$F$31:$F$400,'Étape 1 - à remplir'!$E$31:$E$400,MASQ2!EC94,'Étape 1 - à remplir'!$P$31:$P$400,EL$3,'Étape 1 - à remplir'!$G$31:$G$400,"kg")),IF(EL$2="Atelier",IF(EL$3="Tous",SUMIFS('Étape 1 - à remplir'!$F$31:$F$400,'Étape 1 - à remplir'!$E$31:$E$400,MASQ2!EC94,'Étape 1 - à remplir'!$G$31:$G$400,"kg"),SUMIFS('Étape 1 - à remplir'!$F$31:$F$400,'Étape 1 - à remplir'!$E$31:$E$400,MASQ2!EC94,'Étape 1 - à remplir'!$O$31:$O$400,EL$3,'Étape 1 - à remplir'!$G$31:$G$400,"kg")),IF(EL$2="Espèce",IF(EL$3="Toutes",SUMIFS('Étape 1 - à remplir'!$F$31:$F$400,'Étape 1 - à remplir'!$E$31:$E$400,MASQ2!EC94,'Étape 1 - à remplir'!$G$31:$G$400,"kg"),SUMIFS('Étape 1 - à remplir'!$F$31:$F$400,'Étape 1 - à remplir'!$E$31:$E$400,MASQ2!EC94,'Étape 1 - à remplir'!$N$31:$N$400,EL$3,'Étape 1 - à remplir'!$G$31:$G$400,"kg"))))))=0,NA(),IF(EL$2="Catégorie",IF(EL$3="Toutes",SUMIFS('Étape 1 - à remplir'!$F$31:$F$400,'Étape 1 - à remplir'!$E$31:$E$400,MASQ2!EC94,'Étape 1 - à remplir'!$G$31:$G$400,"kg"),SUMIFS('Étape 1 - à remplir'!$F$31:$F$400,'Étape 1 - à remplir'!$E$31:$E$400,MASQ2!EC94,'Étape 1 - à remplir'!$C$31:$C$400,EL$3)),IF(EL$2="Âge",IF(EL$3="Tous",SUMIFS('Étape 1 - à remplir'!$F$31:$F$400,'Étape 1 - à remplir'!$E$31:$E$400,MASQ2!EC94,'Étape 1 - à remplir'!$G$31:$G$400,"kg"),SUMIFS('Étape 1 - à remplir'!$F$31:$F$400,'Étape 1 - à remplir'!$E$31:$E$400,MASQ2!EC94,'Étape 1 - à remplir'!$P$31:$P$400,EL$3,'Étape 1 - à remplir'!$G$31:$G$400,"kg")),IF(EL$2="Atelier",IF(EL$3="Tous",SUMIFS('Étape 1 - à remplir'!$F$31:$F$400,'Étape 1 - à remplir'!$E$31:$E$400,MASQ2!EC94,'Étape 1 - à remplir'!$G$31:$G$400,"kg"),SUMIFS('Étape 1 - à remplir'!$F$31:$F$400,'Étape 1 - à remplir'!$E$31:$E$400,MASQ2!EC94,'Étape 1 - à remplir'!$O$31:$O$400,EL$3,'Étape 1 - à remplir'!$G$31:$G$400,"kg")),IF(EL$2="Espèce",IF(EL$3="Toutes",SUMIFS('Étape 1 - à remplir'!$F$31:$F$400,'Étape 1 - à remplir'!$E$31:$E$400,MASQ2!EC94,'Étape 1 - à remplir'!$G$31:$G$400,"kg"),SUMIFS('Étape 1 - à remplir'!$F$31:$F$400,'Étape 1 - à remplir'!$E$31:$E$400,MASQ2!EC94,'Étape 1 - à remplir'!$N$31:$N$400,EL$3,'Étape 1 - à remplir'!$G$31:$G$400,"kg")))))))</f>
        <v>#N/A</v>
      </c>
      <c r="EE94" s="76">
        <f t="shared" si="150"/>
        <v>0</v>
      </c>
      <c r="EF94" t="str">
        <f t="shared" si="141"/>
        <v>Ceftiofur</v>
      </c>
      <c r="EG94" t="str">
        <f t="shared" si="142"/>
        <v/>
      </c>
      <c r="EH94" t="str">
        <f t="shared" si="143"/>
        <v/>
      </c>
      <c r="EI94" t="str">
        <f t="shared" si="144"/>
        <v>Cephalosporines 3&amp;4G</v>
      </c>
      <c r="EJ94" t="str">
        <f t="shared" si="145"/>
        <v/>
      </c>
      <c r="EK94" s="63" t="str">
        <f t="shared" si="146"/>
        <v/>
      </c>
      <c r="EN94" s="42">
        <v>91</v>
      </c>
      <c r="EO94" t="e">
        <f t="shared" si="152"/>
        <v>#N/A</v>
      </c>
      <c r="EP94" s="63" t="e">
        <f t="shared" si="153"/>
        <v>#N/A</v>
      </c>
      <c r="FT94" s="63"/>
    </row>
    <row r="95" spans="2:176" x14ac:dyDescent="0.3">
      <c r="B95" s="42"/>
      <c r="M95" s="194" t="str">
        <f ca="1">INDEX(Données_ATB!BD:BU,MATCH(MASQ2!O95,Données_ATB!BD:BD,0),18)</f>
        <v/>
      </c>
      <c r="N95" s="14" t="str">
        <f>IFERROR(IF(Q95=0,"",COUNTIF(Q$4:Q$600,"&gt;"&amp;Q95)+COUNTIF(Q$4:Q95,Q95)),"")</f>
        <v/>
      </c>
      <c r="O95" t="str">
        <f>Données_ATB!BD94</f>
        <v>CENTRAUREO</v>
      </c>
      <c r="P95" t="e">
        <f>IF(IF(X$2="Catégorie",IF(X$3="Toutes",SUMIFS('Étape 1 - à remplir'!$F$31:$F$400,'Étape 1 - à remplir'!$E$31:$E$400,MASQ2!O95,'Étape 1 - à remplir'!$G$31:$G$400,"animaux"),SUMIFS('Étape 1 - à remplir'!$F$31:$F$400,'Étape 1 - à remplir'!$E$31:$E$400,MASQ2!O95,'Étape 1 - à remplir'!$C$31:$C$400,X$3)),IF(X$2="Âge",IF(X$3="Tous",SUMIFS('Étape 1 - à remplir'!$F$31:$F$400,'Étape 1 - à remplir'!$E$31:$E$400,MASQ2!O95,'Étape 1 - à remplir'!$G$31:$G$400,"animaux"),SUMIFS('Étape 1 - à remplir'!$F$31:$F$400,'Étape 1 - à remplir'!$E$31:$E$400,MASQ2!O95,'Étape 1 - à remplir'!$P$31:$P$400,X$3)),IF(X$2="Atelier",IF(X$3="Tous",SUMIFS('Étape 1 - à remplir'!$F$31:$F$400,'Étape 1 - à remplir'!$E$31:$E$400,MASQ2!O95,'Étape 1 - à remplir'!$G$31:$G$400,"animaux"),SUMIFS('Étape 1 - à remplir'!$F$31:$F$400,'Étape 1 - à remplir'!$E$31:$E$400,MASQ2!O95,'Étape 1 - à remplir'!$O$31:$O$400,X$3)),IF(X$2="Espèce",IF(X$3="Toutes",SUMIFS('Étape 1 - à remplir'!$F$31:$F$400,'Étape 1 - à remplir'!$E$31:$E$400,MASQ2!O95,'Étape 1 - à remplir'!$G$31:$G$400,"animaux"),SUMIFS('Étape 1 - à remplir'!$F$31:$F$400,'Étape 1 - à remplir'!$E$31:$E$400,MASQ2!O95,'Étape 1 - à remplir'!$N$31:$N$400,X$3))))))=0,NA(),IF(X$2="Catégorie",IF(X$3="Toutes",SUMIFS('Étape 1 - à remplir'!$F$31:$F$400,'Étape 1 - à remplir'!$E$31:$E$400,MASQ2!O95,'Étape 1 - à remplir'!$G$31:$G$400,"animaux"),SUMIFS('Étape 1 - à remplir'!$F$31:$F$400,'Étape 1 - à remplir'!$E$31:$E$400,MASQ2!O95,'Étape 1 - à remplir'!$C$31:$C$400,X$3)),IF(X$2="Âge",IF(X$3="Tous",SUMIFS('Étape 1 - à remplir'!$F$31:$F$400,'Étape 1 - à remplir'!$E$31:$E$400,MASQ2!O95,'Étape 1 - à remplir'!$G$31:$G$400,"animaux"),SUMIFS('Étape 1 - à remplir'!$F$31:$F$400,'Étape 1 - à remplir'!$E$31:$E$400,MASQ2!O95,'Étape 1 - à remplir'!$P$31:$P$400,X$3)),IF(X$2="Atelier",IF(X$3="Tous",SUMIFS('Étape 1 - à remplir'!$F$31:$F$400,'Étape 1 - à remplir'!$E$31:$E$400,MASQ2!O95,'Étape 1 - à remplir'!$G$31:$G$400,"animaux"),SUMIFS('Étape 1 - à remplir'!$F$31:$F$400,'Étape 1 - à remplir'!$E$31:$E$400,MASQ2!O95,'Étape 1 - à remplir'!$O$31:$O$400,X$3)),IF(X$2="Espèce",IF(X$3="Toutes",SUMIFS('Étape 1 - à remplir'!$F$31:$F$400,'Étape 1 - à remplir'!$E$31:$E$400,MASQ2!O95,'Étape 1 - à remplir'!$G$31:$G$400,"animaux"),SUMIFS('Étape 1 - à remplir'!$F$31:$F$400,'Étape 1 - à remplir'!$E$31:$E$400,MASQ2!O95,'Étape 1 - à remplir'!$N$31:$N$400,X$3)))))))</f>
        <v>#N/A</v>
      </c>
      <c r="Q95" s="63">
        <f t="shared" si="151"/>
        <v>0</v>
      </c>
      <c r="R95" t="str">
        <f>Données_ATB!BM94</f>
        <v>Chlortétracycline</v>
      </c>
      <c r="S95" t="str">
        <f>Données_ATB!BN94</f>
        <v/>
      </c>
      <c r="T95" s="63" t="str">
        <f>Données_ATB!BO94</f>
        <v/>
      </c>
      <c r="U95" s="42" t="str">
        <f>Données_ATB!BQ94</f>
        <v>Tetracyclines</v>
      </c>
      <c r="V95" t="str">
        <f>Données_ATB!BR94</f>
        <v/>
      </c>
      <c r="W95" s="63" t="str">
        <f>Données_ATB!BS94</f>
        <v/>
      </c>
      <c r="Z95" s="42">
        <v>92</v>
      </c>
      <c r="AA95" t="e">
        <f t="shared" si="147"/>
        <v>#N/A</v>
      </c>
      <c r="AB95" s="63" t="e">
        <f t="shared" si="148"/>
        <v>#N/A</v>
      </c>
      <c r="BF95" s="63"/>
      <c r="BT95" s="194" t="str">
        <f t="shared" ca="1" si="131"/>
        <v/>
      </c>
      <c r="BU95" s="219" t="str">
        <f>IFERROR(IF(BX95=0,"",COUNTIF(BX$4:BX$600,"&gt;"&amp;BX95)+COUNTIF(BX$4:BX95,BX95)),"")</f>
        <v/>
      </c>
      <c r="BV95" s="42" t="str">
        <f t="shared" si="132"/>
        <v>CENTRAUREO</v>
      </c>
      <c r="BW95" t="e">
        <f>IF(IF(CE$2="Catégorie",IF(CE$3="Toutes",SUMIFS('Étape 1 - à remplir'!$F$31:$F$400,'Étape 1 - à remplir'!$E$31:$E$400,MASQ2!BV95,'Étape 1 - à remplir'!$G$31:$G$400,"lots"),SUMIFS('Étape 1 - à remplir'!$F$31:$F$400,'Étape 1 - à remplir'!$E$31:$E$400,MASQ2!BV95,'Étape 1 - à remplir'!$C$31:$C$400,CE$3)),IF(CE$2="Âge",IF(CE$3="Tous",SUMIFS('Étape 1 - à remplir'!$F$31:$F$400,'Étape 1 - à remplir'!$E$31:$E$400,MASQ2!BV95,'Étape 1 - à remplir'!$G$31:$G$400,"lots"),SUMIFS('Étape 1 - à remplir'!$F$31:$F$400,'Étape 1 - à remplir'!$E$31:$E$400,MASQ2!BV95,'Étape 1 - à remplir'!$P$31:$P$400,CE$3,'Étape 1 - à remplir'!$G$31:$G$400,"lots")),IF(CE$2="Atelier",IF(CE$3="Tous",SUMIFS('Étape 1 - à remplir'!$F$31:$F$400,'Étape 1 - à remplir'!$E$31:$E$400,MASQ2!BV95,'Étape 1 - à remplir'!$G$31:$G$400,"lots"),SUMIFS('Étape 1 - à remplir'!$F$31:$F$400,'Étape 1 - à remplir'!$E$31:$E$400,MASQ2!BV95,'Étape 1 - à remplir'!$O$31:$O$400,CE$3,'Étape 1 - à remplir'!$G$31:$G$400,"lots")),IF(CE$2="Espèce",IF(CE$3="Toutes",SUMIFS('Étape 1 - à remplir'!$F$31:$F$400,'Étape 1 - à remplir'!$E$31:$E$400,MASQ2!BV95,'Étape 1 - à remplir'!$G$31:$G$400,"lots"),SUMIFS('Étape 1 - à remplir'!$F$31:$F$400,'Étape 1 - à remplir'!$E$31:$E$400,MASQ2!BV95,'Étape 1 - à remplir'!$N$31:$N$400,CE$3,'Étape 1 - à remplir'!$G$31:$G$400,"lots"))))))=0,NA(),IF(CE$2="Catégorie",IF(CE$3="Toutes",SUMIFS('Étape 1 - à remplir'!$F$31:$F$400,'Étape 1 - à remplir'!$E$31:$E$400,MASQ2!BV95,'Étape 1 - à remplir'!$G$31:$G$400,"lots"),SUMIFS('Étape 1 - à remplir'!$F$31:$F$400,'Étape 1 - à remplir'!$E$31:$E$400,MASQ2!BV95,'Étape 1 - à remplir'!$C$31:$C$400,CE$3)),IF(CE$2="Âge",IF(CE$3="Tous",SUMIFS('Étape 1 - à remplir'!$F$31:$F$400,'Étape 1 - à remplir'!$E$31:$E$400,MASQ2!BV95,'Étape 1 - à remplir'!$G$31:$G$400,"lots"),SUMIFS('Étape 1 - à remplir'!$F$31:$F$400,'Étape 1 - à remplir'!$E$31:$E$400,MASQ2!BV95,'Étape 1 - à remplir'!$P$31:$P$400,CE$3,'Étape 1 - à remplir'!$G$31:$G$400,"lots")),IF(CE$2="Atelier",IF(CE$3="Tous",SUMIFS('Étape 1 - à remplir'!$F$31:$F$400,'Étape 1 - à remplir'!$E$31:$E$400,MASQ2!BV95,'Étape 1 - à remplir'!$G$31:$G$400,"lots"),SUMIFS('Étape 1 - à remplir'!$F$31:$F$400,'Étape 1 - à remplir'!$E$31:$E$400,MASQ2!BV95,'Étape 1 - à remplir'!$O$31:$O$400,CE$3,'Étape 1 - à remplir'!$G$31:$G$400,"lots")),IF(CE$2="Espèce",IF(CE$3="Toutes",SUMIFS('Étape 1 - à remplir'!$F$31:$F$400,'Étape 1 - à remplir'!$E$31:$E$400,MASQ2!BV95,'Étape 1 - à remplir'!$G$31:$G$400,"lots"),SUMIFS('Étape 1 - à remplir'!$F$31:$F$400,'Étape 1 - à remplir'!$E$31:$E$400,MASQ2!BV95,'Étape 1 - à remplir'!$N$31:$N$400,CE$3,'Étape 1 - à remplir'!$G$31:$G$400,"lots")))))))</f>
        <v>#N/A</v>
      </c>
      <c r="BX95">
        <f t="shared" si="149"/>
        <v>0</v>
      </c>
      <c r="BY95" t="str">
        <f t="shared" si="133"/>
        <v>Chlortétracycline</v>
      </c>
      <c r="BZ95" t="str">
        <f t="shared" si="134"/>
        <v/>
      </c>
      <c r="CA95" t="str">
        <f t="shared" si="135"/>
        <v/>
      </c>
      <c r="CB95" t="str">
        <f t="shared" si="136"/>
        <v>Tetracyclines</v>
      </c>
      <c r="CC95" t="str">
        <f t="shared" si="137"/>
        <v/>
      </c>
      <c r="CD95" s="63" t="str">
        <f t="shared" si="138"/>
        <v/>
      </c>
      <c r="CG95" s="42">
        <v>92</v>
      </c>
      <c r="CH95" s="42" t="e">
        <f t="shared" si="163"/>
        <v>#N/A</v>
      </c>
      <c r="CI95" s="63" t="e">
        <f t="shared" si="164"/>
        <v>#N/A</v>
      </c>
      <c r="DM95" s="63"/>
      <c r="EA95" s="194" t="str">
        <f t="shared" ca="1" si="139"/>
        <v/>
      </c>
      <c r="EB95" s="226" t="str">
        <f>IFERROR(IF(ED95=0,"",COUNTIF(ED$4:ED$600,"&gt;"&amp;ED95)+COUNTIF(ED$4:ED95,ED95)),"")</f>
        <v/>
      </c>
      <c r="EC95" t="str">
        <f t="shared" si="140"/>
        <v>CENTRAUREO</v>
      </c>
      <c r="ED95" t="e">
        <f>IF(IF(EL$2="Catégorie",IF(EL$3="Toutes",SUMIFS('Étape 1 - à remplir'!$F$31:$F$400,'Étape 1 - à remplir'!$E$31:$E$400,MASQ2!EC95,'Étape 1 - à remplir'!$G$31:$G$400,"kg"),SUMIFS('Étape 1 - à remplir'!$F$31:$F$400,'Étape 1 - à remplir'!$E$31:$E$400,MASQ2!EC95,'Étape 1 - à remplir'!$C$31:$C$400,EL$3)),IF(EL$2="Âge",IF(EL$3="Tous",SUMIFS('Étape 1 - à remplir'!$F$31:$F$400,'Étape 1 - à remplir'!$E$31:$E$400,MASQ2!EC95,'Étape 1 - à remplir'!$G$31:$G$400,"kg"),SUMIFS('Étape 1 - à remplir'!$F$31:$F$400,'Étape 1 - à remplir'!$E$31:$E$400,MASQ2!EC95,'Étape 1 - à remplir'!$P$31:$P$400,EL$3,'Étape 1 - à remplir'!$G$31:$G$400,"kg")),IF(EL$2="Atelier",IF(EL$3="Tous",SUMIFS('Étape 1 - à remplir'!$F$31:$F$400,'Étape 1 - à remplir'!$E$31:$E$400,MASQ2!EC95,'Étape 1 - à remplir'!$G$31:$G$400,"kg"),SUMIFS('Étape 1 - à remplir'!$F$31:$F$400,'Étape 1 - à remplir'!$E$31:$E$400,MASQ2!EC95,'Étape 1 - à remplir'!$O$31:$O$400,EL$3,'Étape 1 - à remplir'!$G$31:$G$400,"kg")),IF(EL$2="Espèce",IF(EL$3="Toutes",SUMIFS('Étape 1 - à remplir'!$F$31:$F$400,'Étape 1 - à remplir'!$E$31:$E$400,MASQ2!EC95,'Étape 1 - à remplir'!$G$31:$G$400,"kg"),SUMIFS('Étape 1 - à remplir'!$F$31:$F$400,'Étape 1 - à remplir'!$E$31:$E$400,MASQ2!EC95,'Étape 1 - à remplir'!$N$31:$N$400,EL$3,'Étape 1 - à remplir'!$G$31:$G$400,"kg"))))))=0,NA(),IF(EL$2="Catégorie",IF(EL$3="Toutes",SUMIFS('Étape 1 - à remplir'!$F$31:$F$400,'Étape 1 - à remplir'!$E$31:$E$400,MASQ2!EC95,'Étape 1 - à remplir'!$G$31:$G$400,"kg"),SUMIFS('Étape 1 - à remplir'!$F$31:$F$400,'Étape 1 - à remplir'!$E$31:$E$400,MASQ2!EC95,'Étape 1 - à remplir'!$C$31:$C$400,EL$3)),IF(EL$2="Âge",IF(EL$3="Tous",SUMIFS('Étape 1 - à remplir'!$F$31:$F$400,'Étape 1 - à remplir'!$E$31:$E$400,MASQ2!EC95,'Étape 1 - à remplir'!$G$31:$G$400,"kg"),SUMIFS('Étape 1 - à remplir'!$F$31:$F$400,'Étape 1 - à remplir'!$E$31:$E$400,MASQ2!EC95,'Étape 1 - à remplir'!$P$31:$P$400,EL$3,'Étape 1 - à remplir'!$G$31:$G$400,"kg")),IF(EL$2="Atelier",IF(EL$3="Tous",SUMIFS('Étape 1 - à remplir'!$F$31:$F$400,'Étape 1 - à remplir'!$E$31:$E$400,MASQ2!EC95,'Étape 1 - à remplir'!$G$31:$G$400,"kg"),SUMIFS('Étape 1 - à remplir'!$F$31:$F$400,'Étape 1 - à remplir'!$E$31:$E$400,MASQ2!EC95,'Étape 1 - à remplir'!$O$31:$O$400,EL$3,'Étape 1 - à remplir'!$G$31:$G$400,"kg")),IF(EL$2="Espèce",IF(EL$3="Toutes",SUMIFS('Étape 1 - à remplir'!$F$31:$F$400,'Étape 1 - à remplir'!$E$31:$E$400,MASQ2!EC95,'Étape 1 - à remplir'!$G$31:$G$400,"kg"),SUMIFS('Étape 1 - à remplir'!$F$31:$F$400,'Étape 1 - à remplir'!$E$31:$E$400,MASQ2!EC95,'Étape 1 - à remplir'!$N$31:$N$400,EL$3,'Étape 1 - à remplir'!$G$31:$G$400,"kg")))))))</f>
        <v>#N/A</v>
      </c>
      <c r="EE95" s="76">
        <f t="shared" si="150"/>
        <v>0</v>
      </c>
      <c r="EF95" t="str">
        <f t="shared" si="141"/>
        <v>Chlortétracycline</v>
      </c>
      <c r="EG95" t="str">
        <f t="shared" si="142"/>
        <v/>
      </c>
      <c r="EH95" t="str">
        <f t="shared" si="143"/>
        <v/>
      </c>
      <c r="EI95" t="str">
        <f t="shared" si="144"/>
        <v>Tetracyclines</v>
      </c>
      <c r="EJ95" t="str">
        <f t="shared" si="145"/>
        <v/>
      </c>
      <c r="EK95" s="63" t="str">
        <f t="shared" si="146"/>
        <v/>
      </c>
      <c r="EN95" s="42">
        <v>92</v>
      </c>
      <c r="EO95" t="e">
        <f t="shared" si="152"/>
        <v>#N/A</v>
      </c>
      <c r="EP95" s="63" t="e">
        <f t="shared" si="153"/>
        <v>#N/A</v>
      </c>
      <c r="FT95" s="63"/>
    </row>
    <row r="96" spans="2:176" x14ac:dyDescent="0.3">
      <c r="B96" s="42"/>
      <c r="M96" s="194" t="str">
        <f ca="1">INDEX(Données_ATB!BD:BU,MATCH(MASQ2!O96,Données_ATB!BD:BD,0),18)</f>
        <v/>
      </c>
      <c r="N96" s="14" t="str">
        <f>IFERROR(IF(Q96=0,"",COUNTIF(Q$4:Q$600,"&gt;"&amp;Q96)+COUNTIF(Q$4:Q96,Q96)),"")</f>
        <v/>
      </c>
      <c r="O96" t="str">
        <f>Données_ATB!BD95</f>
        <v>CEPRAVIN</v>
      </c>
      <c r="P96" t="e">
        <f>IF(IF(X$2="Catégorie",IF(X$3="Toutes",SUMIFS('Étape 1 - à remplir'!$F$31:$F$400,'Étape 1 - à remplir'!$E$31:$E$400,MASQ2!O96,'Étape 1 - à remplir'!$G$31:$G$400,"animaux"),SUMIFS('Étape 1 - à remplir'!$F$31:$F$400,'Étape 1 - à remplir'!$E$31:$E$400,MASQ2!O96,'Étape 1 - à remplir'!$C$31:$C$400,X$3)),IF(X$2="Âge",IF(X$3="Tous",SUMIFS('Étape 1 - à remplir'!$F$31:$F$400,'Étape 1 - à remplir'!$E$31:$E$400,MASQ2!O96,'Étape 1 - à remplir'!$G$31:$G$400,"animaux"),SUMIFS('Étape 1 - à remplir'!$F$31:$F$400,'Étape 1 - à remplir'!$E$31:$E$400,MASQ2!O96,'Étape 1 - à remplir'!$P$31:$P$400,X$3)),IF(X$2="Atelier",IF(X$3="Tous",SUMIFS('Étape 1 - à remplir'!$F$31:$F$400,'Étape 1 - à remplir'!$E$31:$E$400,MASQ2!O96,'Étape 1 - à remplir'!$G$31:$G$400,"animaux"),SUMIFS('Étape 1 - à remplir'!$F$31:$F$400,'Étape 1 - à remplir'!$E$31:$E$400,MASQ2!O96,'Étape 1 - à remplir'!$O$31:$O$400,X$3)),IF(X$2="Espèce",IF(X$3="Toutes",SUMIFS('Étape 1 - à remplir'!$F$31:$F$400,'Étape 1 - à remplir'!$E$31:$E$400,MASQ2!O96,'Étape 1 - à remplir'!$G$31:$G$400,"animaux"),SUMIFS('Étape 1 - à remplir'!$F$31:$F$400,'Étape 1 - à remplir'!$E$31:$E$400,MASQ2!O96,'Étape 1 - à remplir'!$N$31:$N$400,X$3))))))=0,NA(),IF(X$2="Catégorie",IF(X$3="Toutes",SUMIFS('Étape 1 - à remplir'!$F$31:$F$400,'Étape 1 - à remplir'!$E$31:$E$400,MASQ2!O96,'Étape 1 - à remplir'!$G$31:$G$400,"animaux"),SUMIFS('Étape 1 - à remplir'!$F$31:$F$400,'Étape 1 - à remplir'!$E$31:$E$400,MASQ2!O96,'Étape 1 - à remplir'!$C$31:$C$400,X$3)),IF(X$2="Âge",IF(X$3="Tous",SUMIFS('Étape 1 - à remplir'!$F$31:$F$400,'Étape 1 - à remplir'!$E$31:$E$400,MASQ2!O96,'Étape 1 - à remplir'!$G$31:$G$400,"animaux"),SUMIFS('Étape 1 - à remplir'!$F$31:$F$400,'Étape 1 - à remplir'!$E$31:$E$400,MASQ2!O96,'Étape 1 - à remplir'!$P$31:$P$400,X$3)),IF(X$2="Atelier",IF(X$3="Tous",SUMIFS('Étape 1 - à remplir'!$F$31:$F$400,'Étape 1 - à remplir'!$E$31:$E$400,MASQ2!O96,'Étape 1 - à remplir'!$G$31:$G$400,"animaux"),SUMIFS('Étape 1 - à remplir'!$F$31:$F$400,'Étape 1 - à remplir'!$E$31:$E$400,MASQ2!O96,'Étape 1 - à remplir'!$O$31:$O$400,X$3)),IF(X$2="Espèce",IF(X$3="Toutes",SUMIFS('Étape 1 - à remplir'!$F$31:$F$400,'Étape 1 - à remplir'!$E$31:$E$400,MASQ2!O96,'Étape 1 - à remplir'!$G$31:$G$400,"animaux"),SUMIFS('Étape 1 - à remplir'!$F$31:$F$400,'Étape 1 - à remplir'!$E$31:$E$400,MASQ2!O96,'Étape 1 - à remplir'!$N$31:$N$400,X$3)))))))</f>
        <v>#N/A</v>
      </c>
      <c r="Q96" s="63">
        <f t="shared" si="151"/>
        <v>0</v>
      </c>
      <c r="R96" t="str">
        <f>Données_ATB!BM95</f>
        <v>Céfalonium</v>
      </c>
      <c r="S96" t="str">
        <f>Données_ATB!BN95</f>
        <v/>
      </c>
      <c r="T96" s="63" t="str">
        <f>Données_ATB!BO95</f>
        <v/>
      </c>
      <c r="U96" s="42" t="str">
        <f>Données_ATB!BQ95</f>
        <v>Cephalosporines 1&amp;2G</v>
      </c>
      <c r="V96" t="str">
        <f>Données_ATB!BR95</f>
        <v/>
      </c>
      <c r="W96" s="63" t="str">
        <f>Données_ATB!BS95</f>
        <v/>
      </c>
      <c r="Z96" s="42">
        <v>93</v>
      </c>
      <c r="AA96" t="e">
        <f t="shared" si="147"/>
        <v>#N/A</v>
      </c>
      <c r="AB96" s="63" t="e">
        <f t="shared" si="148"/>
        <v>#N/A</v>
      </c>
      <c r="BF96" s="63"/>
      <c r="BT96" s="194" t="str">
        <f t="shared" ca="1" si="131"/>
        <v/>
      </c>
      <c r="BU96" s="219" t="str">
        <f>IFERROR(IF(BX96=0,"",COUNTIF(BX$4:BX$600,"&gt;"&amp;BX96)+COUNTIF(BX$4:BX96,BX96)),"")</f>
        <v/>
      </c>
      <c r="BV96" s="42" t="str">
        <f t="shared" si="132"/>
        <v>CEPRAVIN</v>
      </c>
      <c r="BW96" t="e">
        <f>IF(IF(CE$2="Catégorie",IF(CE$3="Toutes",SUMIFS('Étape 1 - à remplir'!$F$31:$F$400,'Étape 1 - à remplir'!$E$31:$E$400,MASQ2!BV96,'Étape 1 - à remplir'!$G$31:$G$400,"lots"),SUMIFS('Étape 1 - à remplir'!$F$31:$F$400,'Étape 1 - à remplir'!$E$31:$E$400,MASQ2!BV96,'Étape 1 - à remplir'!$C$31:$C$400,CE$3)),IF(CE$2="Âge",IF(CE$3="Tous",SUMIFS('Étape 1 - à remplir'!$F$31:$F$400,'Étape 1 - à remplir'!$E$31:$E$400,MASQ2!BV96,'Étape 1 - à remplir'!$G$31:$G$400,"lots"),SUMIFS('Étape 1 - à remplir'!$F$31:$F$400,'Étape 1 - à remplir'!$E$31:$E$400,MASQ2!BV96,'Étape 1 - à remplir'!$P$31:$P$400,CE$3,'Étape 1 - à remplir'!$G$31:$G$400,"lots")),IF(CE$2="Atelier",IF(CE$3="Tous",SUMIFS('Étape 1 - à remplir'!$F$31:$F$400,'Étape 1 - à remplir'!$E$31:$E$400,MASQ2!BV96,'Étape 1 - à remplir'!$G$31:$G$400,"lots"),SUMIFS('Étape 1 - à remplir'!$F$31:$F$400,'Étape 1 - à remplir'!$E$31:$E$400,MASQ2!BV96,'Étape 1 - à remplir'!$O$31:$O$400,CE$3,'Étape 1 - à remplir'!$G$31:$G$400,"lots")),IF(CE$2="Espèce",IF(CE$3="Toutes",SUMIFS('Étape 1 - à remplir'!$F$31:$F$400,'Étape 1 - à remplir'!$E$31:$E$400,MASQ2!BV96,'Étape 1 - à remplir'!$G$31:$G$400,"lots"),SUMIFS('Étape 1 - à remplir'!$F$31:$F$400,'Étape 1 - à remplir'!$E$31:$E$400,MASQ2!BV96,'Étape 1 - à remplir'!$N$31:$N$400,CE$3,'Étape 1 - à remplir'!$G$31:$G$400,"lots"))))))=0,NA(),IF(CE$2="Catégorie",IF(CE$3="Toutes",SUMIFS('Étape 1 - à remplir'!$F$31:$F$400,'Étape 1 - à remplir'!$E$31:$E$400,MASQ2!BV96,'Étape 1 - à remplir'!$G$31:$G$400,"lots"),SUMIFS('Étape 1 - à remplir'!$F$31:$F$400,'Étape 1 - à remplir'!$E$31:$E$400,MASQ2!BV96,'Étape 1 - à remplir'!$C$31:$C$400,CE$3)),IF(CE$2="Âge",IF(CE$3="Tous",SUMIFS('Étape 1 - à remplir'!$F$31:$F$400,'Étape 1 - à remplir'!$E$31:$E$400,MASQ2!BV96,'Étape 1 - à remplir'!$G$31:$G$400,"lots"),SUMIFS('Étape 1 - à remplir'!$F$31:$F$400,'Étape 1 - à remplir'!$E$31:$E$400,MASQ2!BV96,'Étape 1 - à remplir'!$P$31:$P$400,CE$3,'Étape 1 - à remplir'!$G$31:$G$400,"lots")),IF(CE$2="Atelier",IF(CE$3="Tous",SUMIFS('Étape 1 - à remplir'!$F$31:$F$400,'Étape 1 - à remplir'!$E$31:$E$400,MASQ2!BV96,'Étape 1 - à remplir'!$G$31:$G$400,"lots"),SUMIFS('Étape 1 - à remplir'!$F$31:$F$400,'Étape 1 - à remplir'!$E$31:$E$400,MASQ2!BV96,'Étape 1 - à remplir'!$O$31:$O$400,CE$3,'Étape 1 - à remplir'!$G$31:$G$400,"lots")),IF(CE$2="Espèce",IF(CE$3="Toutes",SUMIFS('Étape 1 - à remplir'!$F$31:$F$400,'Étape 1 - à remplir'!$E$31:$E$400,MASQ2!BV96,'Étape 1 - à remplir'!$G$31:$G$400,"lots"),SUMIFS('Étape 1 - à remplir'!$F$31:$F$400,'Étape 1 - à remplir'!$E$31:$E$400,MASQ2!BV96,'Étape 1 - à remplir'!$N$31:$N$400,CE$3,'Étape 1 - à remplir'!$G$31:$G$400,"lots")))))))</f>
        <v>#N/A</v>
      </c>
      <c r="BX96">
        <f t="shared" si="149"/>
        <v>0</v>
      </c>
      <c r="BY96" t="str">
        <f t="shared" si="133"/>
        <v>Céfalonium</v>
      </c>
      <c r="BZ96" t="str">
        <f t="shared" si="134"/>
        <v/>
      </c>
      <c r="CA96" t="str">
        <f t="shared" si="135"/>
        <v/>
      </c>
      <c r="CB96" t="str">
        <f t="shared" si="136"/>
        <v>Cephalosporines 1&amp;2G</v>
      </c>
      <c r="CC96" t="str">
        <f t="shared" si="137"/>
        <v/>
      </c>
      <c r="CD96" s="63" t="str">
        <f t="shared" si="138"/>
        <v/>
      </c>
      <c r="CG96" s="42">
        <v>93</v>
      </c>
      <c r="CH96" s="42" t="e">
        <f t="shared" si="163"/>
        <v>#N/A</v>
      </c>
      <c r="CI96" s="63" t="e">
        <f t="shared" si="164"/>
        <v>#N/A</v>
      </c>
      <c r="DM96" s="63"/>
      <c r="EA96" s="194" t="str">
        <f t="shared" ca="1" si="139"/>
        <v/>
      </c>
      <c r="EB96" s="226" t="str">
        <f>IFERROR(IF(ED96=0,"",COUNTIF(ED$4:ED$600,"&gt;"&amp;ED96)+COUNTIF(ED$4:ED96,ED96)),"")</f>
        <v/>
      </c>
      <c r="EC96" t="str">
        <f t="shared" si="140"/>
        <v>CEPRAVIN</v>
      </c>
      <c r="ED96" t="e">
        <f>IF(IF(EL$2="Catégorie",IF(EL$3="Toutes",SUMIFS('Étape 1 - à remplir'!$F$31:$F$400,'Étape 1 - à remplir'!$E$31:$E$400,MASQ2!EC96,'Étape 1 - à remplir'!$G$31:$G$400,"kg"),SUMIFS('Étape 1 - à remplir'!$F$31:$F$400,'Étape 1 - à remplir'!$E$31:$E$400,MASQ2!EC96,'Étape 1 - à remplir'!$C$31:$C$400,EL$3)),IF(EL$2="Âge",IF(EL$3="Tous",SUMIFS('Étape 1 - à remplir'!$F$31:$F$400,'Étape 1 - à remplir'!$E$31:$E$400,MASQ2!EC96,'Étape 1 - à remplir'!$G$31:$G$400,"kg"),SUMIFS('Étape 1 - à remplir'!$F$31:$F$400,'Étape 1 - à remplir'!$E$31:$E$400,MASQ2!EC96,'Étape 1 - à remplir'!$P$31:$P$400,EL$3,'Étape 1 - à remplir'!$G$31:$G$400,"kg")),IF(EL$2="Atelier",IF(EL$3="Tous",SUMIFS('Étape 1 - à remplir'!$F$31:$F$400,'Étape 1 - à remplir'!$E$31:$E$400,MASQ2!EC96,'Étape 1 - à remplir'!$G$31:$G$400,"kg"),SUMIFS('Étape 1 - à remplir'!$F$31:$F$400,'Étape 1 - à remplir'!$E$31:$E$400,MASQ2!EC96,'Étape 1 - à remplir'!$O$31:$O$400,EL$3,'Étape 1 - à remplir'!$G$31:$G$400,"kg")),IF(EL$2="Espèce",IF(EL$3="Toutes",SUMIFS('Étape 1 - à remplir'!$F$31:$F$400,'Étape 1 - à remplir'!$E$31:$E$400,MASQ2!EC96,'Étape 1 - à remplir'!$G$31:$G$400,"kg"),SUMIFS('Étape 1 - à remplir'!$F$31:$F$400,'Étape 1 - à remplir'!$E$31:$E$400,MASQ2!EC96,'Étape 1 - à remplir'!$N$31:$N$400,EL$3,'Étape 1 - à remplir'!$G$31:$G$400,"kg"))))))=0,NA(),IF(EL$2="Catégorie",IF(EL$3="Toutes",SUMIFS('Étape 1 - à remplir'!$F$31:$F$400,'Étape 1 - à remplir'!$E$31:$E$400,MASQ2!EC96,'Étape 1 - à remplir'!$G$31:$G$400,"kg"),SUMIFS('Étape 1 - à remplir'!$F$31:$F$400,'Étape 1 - à remplir'!$E$31:$E$400,MASQ2!EC96,'Étape 1 - à remplir'!$C$31:$C$400,EL$3)),IF(EL$2="Âge",IF(EL$3="Tous",SUMIFS('Étape 1 - à remplir'!$F$31:$F$400,'Étape 1 - à remplir'!$E$31:$E$400,MASQ2!EC96,'Étape 1 - à remplir'!$G$31:$G$400,"kg"),SUMIFS('Étape 1 - à remplir'!$F$31:$F$400,'Étape 1 - à remplir'!$E$31:$E$400,MASQ2!EC96,'Étape 1 - à remplir'!$P$31:$P$400,EL$3,'Étape 1 - à remplir'!$G$31:$G$400,"kg")),IF(EL$2="Atelier",IF(EL$3="Tous",SUMIFS('Étape 1 - à remplir'!$F$31:$F$400,'Étape 1 - à remplir'!$E$31:$E$400,MASQ2!EC96,'Étape 1 - à remplir'!$G$31:$G$400,"kg"),SUMIFS('Étape 1 - à remplir'!$F$31:$F$400,'Étape 1 - à remplir'!$E$31:$E$400,MASQ2!EC96,'Étape 1 - à remplir'!$O$31:$O$400,EL$3,'Étape 1 - à remplir'!$G$31:$G$400,"kg")),IF(EL$2="Espèce",IF(EL$3="Toutes",SUMIFS('Étape 1 - à remplir'!$F$31:$F$400,'Étape 1 - à remplir'!$E$31:$E$400,MASQ2!EC96,'Étape 1 - à remplir'!$G$31:$G$400,"kg"),SUMIFS('Étape 1 - à remplir'!$F$31:$F$400,'Étape 1 - à remplir'!$E$31:$E$400,MASQ2!EC96,'Étape 1 - à remplir'!$N$31:$N$400,EL$3,'Étape 1 - à remplir'!$G$31:$G$400,"kg")))))))</f>
        <v>#N/A</v>
      </c>
      <c r="EE96" s="76">
        <f t="shared" si="150"/>
        <v>0</v>
      </c>
      <c r="EF96" t="str">
        <f t="shared" si="141"/>
        <v>Céfalonium</v>
      </c>
      <c r="EG96" t="str">
        <f t="shared" si="142"/>
        <v/>
      </c>
      <c r="EH96" t="str">
        <f t="shared" si="143"/>
        <v/>
      </c>
      <c r="EI96" t="str">
        <f t="shared" si="144"/>
        <v>Cephalosporines 1&amp;2G</v>
      </c>
      <c r="EJ96" t="str">
        <f t="shared" si="145"/>
        <v/>
      </c>
      <c r="EK96" s="63" t="str">
        <f t="shared" si="146"/>
        <v/>
      </c>
      <c r="EN96" s="42">
        <v>93</v>
      </c>
      <c r="EO96" t="e">
        <f t="shared" si="152"/>
        <v>#N/A</v>
      </c>
      <c r="EP96" s="63" t="e">
        <f t="shared" si="153"/>
        <v>#N/A</v>
      </c>
      <c r="FT96" s="63"/>
    </row>
    <row r="97" spans="2:176" x14ac:dyDescent="0.3">
      <c r="B97" s="42"/>
      <c r="M97" s="194" t="str">
        <f ca="1">INDEX(Données_ATB!BD:BU,MATCH(MASQ2!O97,Données_ATB!BD:BD,0),18)</f>
        <v/>
      </c>
      <c r="N97" s="14" t="str">
        <f>IFERROR(IF(Q97=0,"",COUNTIF(Q$4:Q$600,"&gt;"&amp;Q97)+COUNTIF(Q$4:Q97,Q97)),"")</f>
        <v/>
      </c>
      <c r="O97" t="str">
        <f>Données_ATB!BD96</f>
        <v>CEVAMULINE SOLUTION LAPIN</v>
      </c>
      <c r="P97" t="e">
        <f>IF(IF(X$2="Catégorie",IF(X$3="Toutes",SUMIFS('Étape 1 - à remplir'!$F$31:$F$400,'Étape 1 - à remplir'!$E$31:$E$400,MASQ2!O97,'Étape 1 - à remplir'!$G$31:$G$400,"animaux"),SUMIFS('Étape 1 - à remplir'!$F$31:$F$400,'Étape 1 - à remplir'!$E$31:$E$400,MASQ2!O97,'Étape 1 - à remplir'!$C$31:$C$400,X$3)),IF(X$2="Âge",IF(X$3="Tous",SUMIFS('Étape 1 - à remplir'!$F$31:$F$400,'Étape 1 - à remplir'!$E$31:$E$400,MASQ2!O97,'Étape 1 - à remplir'!$G$31:$G$400,"animaux"),SUMIFS('Étape 1 - à remplir'!$F$31:$F$400,'Étape 1 - à remplir'!$E$31:$E$400,MASQ2!O97,'Étape 1 - à remplir'!$P$31:$P$400,X$3)),IF(X$2="Atelier",IF(X$3="Tous",SUMIFS('Étape 1 - à remplir'!$F$31:$F$400,'Étape 1 - à remplir'!$E$31:$E$400,MASQ2!O97,'Étape 1 - à remplir'!$G$31:$G$400,"animaux"),SUMIFS('Étape 1 - à remplir'!$F$31:$F$400,'Étape 1 - à remplir'!$E$31:$E$400,MASQ2!O97,'Étape 1 - à remplir'!$O$31:$O$400,X$3)),IF(X$2="Espèce",IF(X$3="Toutes",SUMIFS('Étape 1 - à remplir'!$F$31:$F$400,'Étape 1 - à remplir'!$E$31:$E$400,MASQ2!O97,'Étape 1 - à remplir'!$G$31:$G$400,"animaux"),SUMIFS('Étape 1 - à remplir'!$F$31:$F$400,'Étape 1 - à remplir'!$E$31:$E$400,MASQ2!O97,'Étape 1 - à remplir'!$N$31:$N$400,X$3))))))=0,NA(),IF(X$2="Catégorie",IF(X$3="Toutes",SUMIFS('Étape 1 - à remplir'!$F$31:$F$400,'Étape 1 - à remplir'!$E$31:$E$400,MASQ2!O97,'Étape 1 - à remplir'!$G$31:$G$400,"animaux"),SUMIFS('Étape 1 - à remplir'!$F$31:$F$400,'Étape 1 - à remplir'!$E$31:$E$400,MASQ2!O97,'Étape 1 - à remplir'!$C$31:$C$400,X$3)),IF(X$2="Âge",IF(X$3="Tous",SUMIFS('Étape 1 - à remplir'!$F$31:$F$400,'Étape 1 - à remplir'!$E$31:$E$400,MASQ2!O97,'Étape 1 - à remplir'!$G$31:$G$400,"animaux"),SUMIFS('Étape 1 - à remplir'!$F$31:$F$400,'Étape 1 - à remplir'!$E$31:$E$400,MASQ2!O97,'Étape 1 - à remplir'!$P$31:$P$400,X$3)),IF(X$2="Atelier",IF(X$3="Tous",SUMIFS('Étape 1 - à remplir'!$F$31:$F$400,'Étape 1 - à remplir'!$E$31:$E$400,MASQ2!O97,'Étape 1 - à remplir'!$G$31:$G$400,"animaux"),SUMIFS('Étape 1 - à remplir'!$F$31:$F$400,'Étape 1 - à remplir'!$E$31:$E$400,MASQ2!O97,'Étape 1 - à remplir'!$O$31:$O$400,X$3)),IF(X$2="Espèce",IF(X$3="Toutes",SUMIFS('Étape 1 - à remplir'!$F$31:$F$400,'Étape 1 - à remplir'!$E$31:$E$400,MASQ2!O97,'Étape 1 - à remplir'!$G$31:$G$400,"animaux"),SUMIFS('Étape 1 - à remplir'!$F$31:$F$400,'Étape 1 - à remplir'!$E$31:$E$400,MASQ2!O97,'Étape 1 - à remplir'!$N$31:$N$400,X$3)))))))</f>
        <v>#N/A</v>
      </c>
      <c r="Q97" s="63">
        <f t="shared" si="151"/>
        <v>0</v>
      </c>
      <c r="R97" t="str">
        <f>Données_ATB!BM96</f>
        <v>Tiamuline</v>
      </c>
      <c r="S97" t="str">
        <f>Données_ATB!BN96</f>
        <v/>
      </c>
      <c r="T97" s="63" t="str">
        <f>Données_ATB!BO96</f>
        <v/>
      </c>
      <c r="U97" s="42" t="str">
        <f>Données_ATB!BQ96</f>
        <v>Pleuromutilines</v>
      </c>
      <c r="V97" t="str">
        <f>Données_ATB!BR96</f>
        <v/>
      </c>
      <c r="W97" s="63" t="str">
        <f>Données_ATB!BS96</f>
        <v/>
      </c>
      <c r="Z97" s="42">
        <v>94</v>
      </c>
      <c r="AA97" t="e">
        <f t="shared" si="147"/>
        <v>#N/A</v>
      </c>
      <c r="AB97" s="63" t="e">
        <f t="shared" si="148"/>
        <v>#N/A</v>
      </c>
      <c r="BF97" s="63"/>
      <c r="BT97" s="194" t="str">
        <f t="shared" ca="1" si="131"/>
        <v/>
      </c>
      <c r="BU97" s="219" t="str">
        <f>IFERROR(IF(BX97=0,"",COUNTIF(BX$4:BX$600,"&gt;"&amp;BX97)+COUNTIF(BX$4:BX97,BX97)),"")</f>
        <v/>
      </c>
      <c r="BV97" s="42" t="str">
        <f t="shared" si="132"/>
        <v>CEVAMULINE SOLUTION LAPIN</v>
      </c>
      <c r="BW97" t="e">
        <f>IF(IF(CE$2="Catégorie",IF(CE$3="Toutes",SUMIFS('Étape 1 - à remplir'!$F$31:$F$400,'Étape 1 - à remplir'!$E$31:$E$400,MASQ2!BV97,'Étape 1 - à remplir'!$G$31:$G$400,"lots"),SUMIFS('Étape 1 - à remplir'!$F$31:$F$400,'Étape 1 - à remplir'!$E$31:$E$400,MASQ2!BV97,'Étape 1 - à remplir'!$C$31:$C$400,CE$3)),IF(CE$2="Âge",IF(CE$3="Tous",SUMIFS('Étape 1 - à remplir'!$F$31:$F$400,'Étape 1 - à remplir'!$E$31:$E$400,MASQ2!BV97,'Étape 1 - à remplir'!$G$31:$G$400,"lots"),SUMIFS('Étape 1 - à remplir'!$F$31:$F$400,'Étape 1 - à remplir'!$E$31:$E$400,MASQ2!BV97,'Étape 1 - à remplir'!$P$31:$P$400,CE$3,'Étape 1 - à remplir'!$G$31:$G$400,"lots")),IF(CE$2="Atelier",IF(CE$3="Tous",SUMIFS('Étape 1 - à remplir'!$F$31:$F$400,'Étape 1 - à remplir'!$E$31:$E$400,MASQ2!BV97,'Étape 1 - à remplir'!$G$31:$G$400,"lots"),SUMIFS('Étape 1 - à remplir'!$F$31:$F$400,'Étape 1 - à remplir'!$E$31:$E$400,MASQ2!BV97,'Étape 1 - à remplir'!$O$31:$O$400,CE$3,'Étape 1 - à remplir'!$G$31:$G$400,"lots")),IF(CE$2="Espèce",IF(CE$3="Toutes",SUMIFS('Étape 1 - à remplir'!$F$31:$F$400,'Étape 1 - à remplir'!$E$31:$E$400,MASQ2!BV97,'Étape 1 - à remplir'!$G$31:$G$400,"lots"),SUMIFS('Étape 1 - à remplir'!$F$31:$F$400,'Étape 1 - à remplir'!$E$31:$E$400,MASQ2!BV97,'Étape 1 - à remplir'!$N$31:$N$400,CE$3,'Étape 1 - à remplir'!$G$31:$G$400,"lots"))))))=0,NA(),IF(CE$2="Catégorie",IF(CE$3="Toutes",SUMIFS('Étape 1 - à remplir'!$F$31:$F$400,'Étape 1 - à remplir'!$E$31:$E$400,MASQ2!BV97,'Étape 1 - à remplir'!$G$31:$G$400,"lots"),SUMIFS('Étape 1 - à remplir'!$F$31:$F$400,'Étape 1 - à remplir'!$E$31:$E$400,MASQ2!BV97,'Étape 1 - à remplir'!$C$31:$C$400,CE$3)),IF(CE$2="Âge",IF(CE$3="Tous",SUMIFS('Étape 1 - à remplir'!$F$31:$F$400,'Étape 1 - à remplir'!$E$31:$E$400,MASQ2!BV97,'Étape 1 - à remplir'!$G$31:$G$400,"lots"),SUMIFS('Étape 1 - à remplir'!$F$31:$F$400,'Étape 1 - à remplir'!$E$31:$E$400,MASQ2!BV97,'Étape 1 - à remplir'!$P$31:$P$400,CE$3,'Étape 1 - à remplir'!$G$31:$G$400,"lots")),IF(CE$2="Atelier",IF(CE$3="Tous",SUMIFS('Étape 1 - à remplir'!$F$31:$F$400,'Étape 1 - à remplir'!$E$31:$E$400,MASQ2!BV97,'Étape 1 - à remplir'!$G$31:$G$400,"lots"),SUMIFS('Étape 1 - à remplir'!$F$31:$F$400,'Étape 1 - à remplir'!$E$31:$E$400,MASQ2!BV97,'Étape 1 - à remplir'!$O$31:$O$400,CE$3,'Étape 1 - à remplir'!$G$31:$G$400,"lots")),IF(CE$2="Espèce",IF(CE$3="Toutes",SUMIFS('Étape 1 - à remplir'!$F$31:$F$400,'Étape 1 - à remplir'!$E$31:$E$400,MASQ2!BV97,'Étape 1 - à remplir'!$G$31:$G$400,"lots"),SUMIFS('Étape 1 - à remplir'!$F$31:$F$400,'Étape 1 - à remplir'!$E$31:$E$400,MASQ2!BV97,'Étape 1 - à remplir'!$N$31:$N$400,CE$3,'Étape 1 - à remplir'!$G$31:$G$400,"lots")))))))</f>
        <v>#N/A</v>
      </c>
      <c r="BX97">
        <f t="shared" si="149"/>
        <v>0</v>
      </c>
      <c r="BY97" t="str">
        <f t="shared" si="133"/>
        <v>Tiamuline</v>
      </c>
      <c r="BZ97" t="str">
        <f t="shared" si="134"/>
        <v/>
      </c>
      <c r="CA97" t="str">
        <f t="shared" si="135"/>
        <v/>
      </c>
      <c r="CB97" t="str">
        <f t="shared" si="136"/>
        <v>Pleuromutilines</v>
      </c>
      <c r="CC97" t="str">
        <f t="shared" si="137"/>
        <v/>
      </c>
      <c r="CD97" s="63" t="str">
        <f t="shared" si="138"/>
        <v/>
      </c>
      <c r="CG97" s="42">
        <v>94</v>
      </c>
      <c r="CH97" s="42" t="e">
        <f t="shared" si="163"/>
        <v>#N/A</v>
      </c>
      <c r="CI97" s="63" t="e">
        <f t="shared" si="164"/>
        <v>#N/A</v>
      </c>
      <c r="DM97" s="63"/>
      <c r="EA97" s="194" t="str">
        <f t="shared" ca="1" si="139"/>
        <v/>
      </c>
      <c r="EB97" s="226" t="str">
        <f>IFERROR(IF(ED97=0,"",COUNTIF(ED$4:ED$600,"&gt;"&amp;ED97)+COUNTIF(ED$4:ED97,ED97)),"")</f>
        <v/>
      </c>
      <c r="EC97" t="str">
        <f t="shared" si="140"/>
        <v>CEVAMULINE SOLUTION LAPIN</v>
      </c>
      <c r="ED97" t="e">
        <f>IF(IF(EL$2="Catégorie",IF(EL$3="Toutes",SUMIFS('Étape 1 - à remplir'!$F$31:$F$400,'Étape 1 - à remplir'!$E$31:$E$400,MASQ2!EC97,'Étape 1 - à remplir'!$G$31:$G$400,"kg"),SUMIFS('Étape 1 - à remplir'!$F$31:$F$400,'Étape 1 - à remplir'!$E$31:$E$400,MASQ2!EC97,'Étape 1 - à remplir'!$C$31:$C$400,EL$3)),IF(EL$2="Âge",IF(EL$3="Tous",SUMIFS('Étape 1 - à remplir'!$F$31:$F$400,'Étape 1 - à remplir'!$E$31:$E$400,MASQ2!EC97,'Étape 1 - à remplir'!$G$31:$G$400,"kg"),SUMIFS('Étape 1 - à remplir'!$F$31:$F$400,'Étape 1 - à remplir'!$E$31:$E$400,MASQ2!EC97,'Étape 1 - à remplir'!$P$31:$P$400,EL$3,'Étape 1 - à remplir'!$G$31:$G$400,"kg")),IF(EL$2="Atelier",IF(EL$3="Tous",SUMIFS('Étape 1 - à remplir'!$F$31:$F$400,'Étape 1 - à remplir'!$E$31:$E$400,MASQ2!EC97,'Étape 1 - à remplir'!$G$31:$G$400,"kg"),SUMIFS('Étape 1 - à remplir'!$F$31:$F$400,'Étape 1 - à remplir'!$E$31:$E$400,MASQ2!EC97,'Étape 1 - à remplir'!$O$31:$O$400,EL$3,'Étape 1 - à remplir'!$G$31:$G$400,"kg")),IF(EL$2="Espèce",IF(EL$3="Toutes",SUMIFS('Étape 1 - à remplir'!$F$31:$F$400,'Étape 1 - à remplir'!$E$31:$E$400,MASQ2!EC97,'Étape 1 - à remplir'!$G$31:$G$400,"kg"),SUMIFS('Étape 1 - à remplir'!$F$31:$F$400,'Étape 1 - à remplir'!$E$31:$E$400,MASQ2!EC97,'Étape 1 - à remplir'!$N$31:$N$400,EL$3,'Étape 1 - à remplir'!$G$31:$G$400,"kg"))))))=0,NA(),IF(EL$2="Catégorie",IF(EL$3="Toutes",SUMIFS('Étape 1 - à remplir'!$F$31:$F$400,'Étape 1 - à remplir'!$E$31:$E$400,MASQ2!EC97,'Étape 1 - à remplir'!$G$31:$G$400,"kg"),SUMIFS('Étape 1 - à remplir'!$F$31:$F$400,'Étape 1 - à remplir'!$E$31:$E$400,MASQ2!EC97,'Étape 1 - à remplir'!$C$31:$C$400,EL$3)),IF(EL$2="Âge",IF(EL$3="Tous",SUMIFS('Étape 1 - à remplir'!$F$31:$F$400,'Étape 1 - à remplir'!$E$31:$E$400,MASQ2!EC97,'Étape 1 - à remplir'!$G$31:$G$400,"kg"),SUMIFS('Étape 1 - à remplir'!$F$31:$F$400,'Étape 1 - à remplir'!$E$31:$E$400,MASQ2!EC97,'Étape 1 - à remplir'!$P$31:$P$400,EL$3,'Étape 1 - à remplir'!$G$31:$G$400,"kg")),IF(EL$2="Atelier",IF(EL$3="Tous",SUMIFS('Étape 1 - à remplir'!$F$31:$F$400,'Étape 1 - à remplir'!$E$31:$E$400,MASQ2!EC97,'Étape 1 - à remplir'!$G$31:$G$400,"kg"),SUMIFS('Étape 1 - à remplir'!$F$31:$F$400,'Étape 1 - à remplir'!$E$31:$E$400,MASQ2!EC97,'Étape 1 - à remplir'!$O$31:$O$400,EL$3,'Étape 1 - à remplir'!$G$31:$G$400,"kg")),IF(EL$2="Espèce",IF(EL$3="Toutes",SUMIFS('Étape 1 - à remplir'!$F$31:$F$400,'Étape 1 - à remplir'!$E$31:$E$400,MASQ2!EC97,'Étape 1 - à remplir'!$G$31:$G$400,"kg"),SUMIFS('Étape 1 - à remplir'!$F$31:$F$400,'Étape 1 - à remplir'!$E$31:$E$400,MASQ2!EC97,'Étape 1 - à remplir'!$N$31:$N$400,EL$3,'Étape 1 - à remplir'!$G$31:$G$400,"kg")))))))</f>
        <v>#N/A</v>
      </c>
      <c r="EE97" s="76">
        <f t="shared" si="150"/>
        <v>0</v>
      </c>
      <c r="EF97" t="str">
        <f t="shared" si="141"/>
        <v>Tiamuline</v>
      </c>
      <c r="EG97" t="str">
        <f t="shared" si="142"/>
        <v/>
      </c>
      <c r="EH97" t="str">
        <f t="shared" si="143"/>
        <v/>
      </c>
      <c r="EI97" t="str">
        <f t="shared" si="144"/>
        <v>Pleuromutilines</v>
      </c>
      <c r="EJ97" t="str">
        <f t="shared" si="145"/>
        <v/>
      </c>
      <c r="EK97" s="63" t="str">
        <f t="shared" si="146"/>
        <v/>
      </c>
      <c r="EN97" s="42">
        <v>94</v>
      </c>
      <c r="EO97" t="e">
        <f t="shared" si="152"/>
        <v>#N/A</v>
      </c>
      <c r="EP97" s="63" t="e">
        <f t="shared" si="153"/>
        <v>#N/A</v>
      </c>
      <c r="FT97" s="63"/>
    </row>
    <row r="98" spans="2:176" x14ac:dyDescent="0.3">
      <c r="B98" s="42"/>
      <c r="M98" s="194" t="str">
        <f ca="1">INDEX(Données_ATB!BD:BU,MATCH(MASQ2!O98,Données_ATB!BD:BD,0),18)</f>
        <v>x</v>
      </c>
      <c r="N98" s="14" t="str">
        <f>IFERROR(IF(Q98=0,"",COUNTIF(Q$4:Q$600,"&gt;"&amp;Q98)+COUNTIF(Q$4:Q98,Q98)),"")</f>
        <v/>
      </c>
      <c r="O98" t="str">
        <f>Données_ATB!BD97</f>
        <v>CEVAXEL 50 MG/ML</v>
      </c>
      <c r="P98" t="e">
        <f>IF(IF(X$2="Catégorie",IF(X$3="Toutes",SUMIFS('Étape 1 - à remplir'!$F$31:$F$400,'Étape 1 - à remplir'!$E$31:$E$400,MASQ2!O98,'Étape 1 - à remplir'!$G$31:$G$400,"animaux"),SUMIFS('Étape 1 - à remplir'!$F$31:$F$400,'Étape 1 - à remplir'!$E$31:$E$400,MASQ2!O98,'Étape 1 - à remplir'!$C$31:$C$400,X$3)),IF(X$2="Âge",IF(X$3="Tous",SUMIFS('Étape 1 - à remplir'!$F$31:$F$400,'Étape 1 - à remplir'!$E$31:$E$400,MASQ2!O98,'Étape 1 - à remplir'!$G$31:$G$400,"animaux"),SUMIFS('Étape 1 - à remplir'!$F$31:$F$400,'Étape 1 - à remplir'!$E$31:$E$400,MASQ2!O98,'Étape 1 - à remplir'!$P$31:$P$400,X$3)),IF(X$2="Atelier",IF(X$3="Tous",SUMIFS('Étape 1 - à remplir'!$F$31:$F$400,'Étape 1 - à remplir'!$E$31:$E$400,MASQ2!O98,'Étape 1 - à remplir'!$G$31:$G$400,"animaux"),SUMIFS('Étape 1 - à remplir'!$F$31:$F$400,'Étape 1 - à remplir'!$E$31:$E$400,MASQ2!O98,'Étape 1 - à remplir'!$O$31:$O$400,X$3)),IF(X$2="Espèce",IF(X$3="Toutes",SUMIFS('Étape 1 - à remplir'!$F$31:$F$400,'Étape 1 - à remplir'!$E$31:$E$400,MASQ2!O98,'Étape 1 - à remplir'!$G$31:$G$400,"animaux"),SUMIFS('Étape 1 - à remplir'!$F$31:$F$400,'Étape 1 - à remplir'!$E$31:$E$400,MASQ2!O98,'Étape 1 - à remplir'!$N$31:$N$400,X$3))))))=0,NA(),IF(X$2="Catégorie",IF(X$3="Toutes",SUMIFS('Étape 1 - à remplir'!$F$31:$F$400,'Étape 1 - à remplir'!$E$31:$E$400,MASQ2!O98,'Étape 1 - à remplir'!$G$31:$G$400,"animaux"),SUMIFS('Étape 1 - à remplir'!$F$31:$F$400,'Étape 1 - à remplir'!$E$31:$E$400,MASQ2!O98,'Étape 1 - à remplir'!$C$31:$C$400,X$3)),IF(X$2="Âge",IF(X$3="Tous",SUMIFS('Étape 1 - à remplir'!$F$31:$F$400,'Étape 1 - à remplir'!$E$31:$E$400,MASQ2!O98,'Étape 1 - à remplir'!$G$31:$G$400,"animaux"),SUMIFS('Étape 1 - à remplir'!$F$31:$F$400,'Étape 1 - à remplir'!$E$31:$E$400,MASQ2!O98,'Étape 1 - à remplir'!$P$31:$P$400,X$3)),IF(X$2="Atelier",IF(X$3="Tous",SUMIFS('Étape 1 - à remplir'!$F$31:$F$400,'Étape 1 - à remplir'!$E$31:$E$400,MASQ2!O98,'Étape 1 - à remplir'!$G$31:$G$400,"animaux"),SUMIFS('Étape 1 - à remplir'!$F$31:$F$400,'Étape 1 - à remplir'!$E$31:$E$400,MASQ2!O98,'Étape 1 - à remplir'!$O$31:$O$400,X$3)),IF(X$2="Espèce",IF(X$3="Toutes",SUMIFS('Étape 1 - à remplir'!$F$31:$F$400,'Étape 1 - à remplir'!$E$31:$E$400,MASQ2!O98,'Étape 1 - à remplir'!$G$31:$G$400,"animaux"),SUMIFS('Étape 1 - à remplir'!$F$31:$F$400,'Étape 1 - à remplir'!$E$31:$E$400,MASQ2!O98,'Étape 1 - à remplir'!$N$31:$N$400,X$3)))))))</f>
        <v>#N/A</v>
      </c>
      <c r="Q98" s="63">
        <f t="shared" si="151"/>
        <v>0</v>
      </c>
      <c r="R98" t="str">
        <f>Données_ATB!BM97</f>
        <v>Ceftiofur</v>
      </c>
      <c r="S98" t="str">
        <f>Données_ATB!BN97</f>
        <v/>
      </c>
      <c r="T98" s="63" t="str">
        <f>Données_ATB!BO97</f>
        <v/>
      </c>
      <c r="U98" s="42" t="str">
        <f>Données_ATB!BQ97</f>
        <v>Cephalosporines 3&amp;4G</v>
      </c>
      <c r="V98" t="str">
        <f>Données_ATB!BR97</f>
        <v/>
      </c>
      <c r="W98" s="63" t="str">
        <f>Données_ATB!BS97</f>
        <v/>
      </c>
      <c r="Z98" s="42">
        <v>95</v>
      </c>
      <c r="AA98" t="e">
        <f t="shared" si="147"/>
        <v>#N/A</v>
      </c>
      <c r="AB98" s="63" t="e">
        <f t="shared" si="148"/>
        <v>#N/A</v>
      </c>
      <c r="BF98" s="63"/>
      <c r="BT98" s="194" t="str">
        <f t="shared" ca="1" si="131"/>
        <v>x</v>
      </c>
      <c r="BU98" s="219" t="str">
        <f>IFERROR(IF(BX98=0,"",COUNTIF(BX$4:BX$600,"&gt;"&amp;BX98)+COUNTIF(BX$4:BX98,BX98)),"")</f>
        <v/>
      </c>
      <c r="BV98" s="42" t="str">
        <f t="shared" si="132"/>
        <v>CEVAXEL 50 MG/ML</v>
      </c>
      <c r="BW98" t="e">
        <f>IF(IF(CE$2="Catégorie",IF(CE$3="Toutes",SUMIFS('Étape 1 - à remplir'!$F$31:$F$400,'Étape 1 - à remplir'!$E$31:$E$400,MASQ2!BV98,'Étape 1 - à remplir'!$G$31:$G$400,"lots"),SUMIFS('Étape 1 - à remplir'!$F$31:$F$400,'Étape 1 - à remplir'!$E$31:$E$400,MASQ2!BV98,'Étape 1 - à remplir'!$C$31:$C$400,CE$3)),IF(CE$2="Âge",IF(CE$3="Tous",SUMIFS('Étape 1 - à remplir'!$F$31:$F$400,'Étape 1 - à remplir'!$E$31:$E$400,MASQ2!BV98,'Étape 1 - à remplir'!$G$31:$G$400,"lots"),SUMIFS('Étape 1 - à remplir'!$F$31:$F$400,'Étape 1 - à remplir'!$E$31:$E$400,MASQ2!BV98,'Étape 1 - à remplir'!$P$31:$P$400,CE$3,'Étape 1 - à remplir'!$G$31:$G$400,"lots")),IF(CE$2="Atelier",IF(CE$3="Tous",SUMIFS('Étape 1 - à remplir'!$F$31:$F$400,'Étape 1 - à remplir'!$E$31:$E$400,MASQ2!BV98,'Étape 1 - à remplir'!$G$31:$G$400,"lots"),SUMIFS('Étape 1 - à remplir'!$F$31:$F$400,'Étape 1 - à remplir'!$E$31:$E$400,MASQ2!BV98,'Étape 1 - à remplir'!$O$31:$O$400,CE$3,'Étape 1 - à remplir'!$G$31:$G$400,"lots")),IF(CE$2="Espèce",IF(CE$3="Toutes",SUMIFS('Étape 1 - à remplir'!$F$31:$F$400,'Étape 1 - à remplir'!$E$31:$E$400,MASQ2!BV98,'Étape 1 - à remplir'!$G$31:$G$400,"lots"),SUMIFS('Étape 1 - à remplir'!$F$31:$F$400,'Étape 1 - à remplir'!$E$31:$E$400,MASQ2!BV98,'Étape 1 - à remplir'!$N$31:$N$400,CE$3,'Étape 1 - à remplir'!$G$31:$G$400,"lots"))))))=0,NA(),IF(CE$2="Catégorie",IF(CE$3="Toutes",SUMIFS('Étape 1 - à remplir'!$F$31:$F$400,'Étape 1 - à remplir'!$E$31:$E$400,MASQ2!BV98,'Étape 1 - à remplir'!$G$31:$G$400,"lots"),SUMIFS('Étape 1 - à remplir'!$F$31:$F$400,'Étape 1 - à remplir'!$E$31:$E$400,MASQ2!BV98,'Étape 1 - à remplir'!$C$31:$C$400,CE$3)),IF(CE$2="Âge",IF(CE$3="Tous",SUMIFS('Étape 1 - à remplir'!$F$31:$F$400,'Étape 1 - à remplir'!$E$31:$E$400,MASQ2!BV98,'Étape 1 - à remplir'!$G$31:$G$400,"lots"),SUMIFS('Étape 1 - à remplir'!$F$31:$F$400,'Étape 1 - à remplir'!$E$31:$E$400,MASQ2!BV98,'Étape 1 - à remplir'!$P$31:$P$400,CE$3,'Étape 1 - à remplir'!$G$31:$G$400,"lots")),IF(CE$2="Atelier",IF(CE$3="Tous",SUMIFS('Étape 1 - à remplir'!$F$31:$F$400,'Étape 1 - à remplir'!$E$31:$E$400,MASQ2!BV98,'Étape 1 - à remplir'!$G$31:$G$400,"lots"),SUMIFS('Étape 1 - à remplir'!$F$31:$F$400,'Étape 1 - à remplir'!$E$31:$E$400,MASQ2!BV98,'Étape 1 - à remplir'!$O$31:$O$400,CE$3,'Étape 1 - à remplir'!$G$31:$G$400,"lots")),IF(CE$2="Espèce",IF(CE$3="Toutes",SUMIFS('Étape 1 - à remplir'!$F$31:$F$400,'Étape 1 - à remplir'!$E$31:$E$400,MASQ2!BV98,'Étape 1 - à remplir'!$G$31:$G$400,"lots"),SUMIFS('Étape 1 - à remplir'!$F$31:$F$400,'Étape 1 - à remplir'!$E$31:$E$400,MASQ2!BV98,'Étape 1 - à remplir'!$N$31:$N$400,CE$3,'Étape 1 - à remplir'!$G$31:$G$400,"lots")))))))</f>
        <v>#N/A</v>
      </c>
      <c r="BX98">
        <f t="shared" si="149"/>
        <v>0</v>
      </c>
      <c r="BY98" t="str">
        <f t="shared" si="133"/>
        <v>Ceftiofur</v>
      </c>
      <c r="BZ98" t="str">
        <f t="shared" si="134"/>
        <v/>
      </c>
      <c r="CA98" t="str">
        <f t="shared" si="135"/>
        <v/>
      </c>
      <c r="CB98" t="str">
        <f t="shared" si="136"/>
        <v>Cephalosporines 3&amp;4G</v>
      </c>
      <c r="CC98" t="str">
        <f t="shared" si="137"/>
        <v/>
      </c>
      <c r="CD98" s="63" t="str">
        <f t="shared" si="138"/>
        <v/>
      </c>
      <c r="CG98" s="42">
        <v>95</v>
      </c>
      <c r="CH98" s="42" t="e">
        <f t="shared" si="163"/>
        <v>#N/A</v>
      </c>
      <c r="CI98" s="63" t="e">
        <f t="shared" si="164"/>
        <v>#N/A</v>
      </c>
      <c r="CV98" s="224"/>
      <c r="CW98" s="224"/>
      <c r="DM98" s="63"/>
      <c r="EA98" s="194" t="str">
        <f t="shared" ca="1" si="139"/>
        <v>x</v>
      </c>
      <c r="EB98" s="226" t="str">
        <f>IFERROR(IF(ED98=0,"",COUNTIF(ED$4:ED$600,"&gt;"&amp;ED98)+COUNTIF(ED$4:ED98,ED98)),"")</f>
        <v/>
      </c>
      <c r="EC98" t="str">
        <f t="shared" si="140"/>
        <v>CEVAXEL 50 MG/ML</v>
      </c>
      <c r="ED98" t="e">
        <f>IF(IF(EL$2="Catégorie",IF(EL$3="Toutes",SUMIFS('Étape 1 - à remplir'!$F$31:$F$400,'Étape 1 - à remplir'!$E$31:$E$400,MASQ2!EC98,'Étape 1 - à remplir'!$G$31:$G$400,"kg"),SUMIFS('Étape 1 - à remplir'!$F$31:$F$400,'Étape 1 - à remplir'!$E$31:$E$400,MASQ2!EC98,'Étape 1 - à remplir'!$C$31:$C$400,EL$3)),IF(EL$2="Âge",IF(EL$3="Tous",SUMIFS('Étape 1 - à remplir'!$F$31:$F$400,'Étape 1 - à remplir'!$E$31:$E$400,MASQ2!EC98,'Étape 1 - à remplir'!$G$31:$G$400,"kg"),SUMIFS('Étape 1 - à remplir'!$F$31:$F$400,'Étape 1 - à remplir'!$E$31:$E$400,MASQ2!EC98,'Étape 1 - à remplir'!$P$31:$P$400,EL$3,'Étape 1 - à remplir'!$G$31:$G$400,"kg")),IF(EL$2="Atelier",IF(EL$3="Tous",SUMIFS('Étape 1 - à remplir'!$F$31:$F$400,'Étape 1 - à remplir'!$E$31:$E$400,MASQ2!EC98,'Étape 1 - à remplir'!$G$31:$G$400,"kg"),SUMIFS('Étape 1 - à remplir'!$F$31:$F$400,'Étape 1 - à remplir'!$E$31:$E$400,MASQ2!EC98,'Étape 1 - à remplir'!$O$31:$O$400,EL$3,'Étape 1 - à remplir'!$G$31:$G$400,"kg")),IF(EL$2="Espèce",IF(EL$3="Toutes",SUMIFS('Étape 1 - à remplir'!$F$31:$F$400,'Étape 1 - à remplir'!$E$31:$E$400,MASQ2!EC98,'Étape 1 - à remplir'!$G$31:$G$400,"kg"),SUMIFS('Étape 1 - à remplir'!$F$31:$F$400,'Étape 1 - à remplir'!$E$31:$E$400,MASQ2!EC98,'Étape 1 - à remplir'!$N$31:$N$400,EL$3,'Étape 1 - à remplir'!$G$31:$G$400,"kg"))))))=0,NA(),IF(EL$2="Catégorie",IF(EL$3="Toutes",SUMIFS('Étape 1 - à remplir'!$F$31:$F$400,'Étape 1 - à remplir'!$E$31:$E$400,MASQ2!EC98,'Étape 1 - à remplir'!$G$31:$G$400,"kg"),SUMIFS('Étape 1 - à remplir'!$F$31:$F$400,'Étape 1 - à remplir'!$E$31:$E$400,MASQ2!EC98,'Étape 1 - à remplir'!$C$31:$C$400,EL$3)),IF(EL$2="Âge",IF(EL$3="Tous",SUMIFS('Étape 1 - à remplir'!$F$31:$F$400,'Étape 1 - à remplir'!$E$31:$E$400,MASQ2!EC98,'Étape 1 - à remplir'!$G$31:$G$400,"kg"),SUMIFS('Étape 1 - à remplir'!$F$31:$F$400,'Étape 1 - à remplir'!$E$31:$E$400,MASQ2!EC98,'Étape 1 - à remplir'!$P$31:$P$400,EL$3,'Étape 1 - à remplir'!$G$31:$G$400,"kg")),IF(EL$2="Atelier",IF(EL$3="Tous",SUMIFS('Étape 1 - à remplir'!$F$31:$F$400,'Étape 1 - à remplir'!$E$31:$E$400,MASQ2!EC98,'Étape 1 - à remplir'!$G$31:$G$400,"kg"),SUMIFS('Étape 1 - à remplir'!$F$31:$F$400,'Étape 1 - à remplir'!$E$31:$E$400,MASQ2!EC98,'Étape 1 - à remplir'!$O$31:$O$400,EL$3,'Étape 1 - à remplir'!$G$31:$G$400,"kg")),IF(EL$2="Espèce",IF(EL$3="Toutes",SUMIFS('Étape 1 - à remplir'!$F$31:$F$400,'Étape 1 - à remplir'!$E$31:$E$400,MASQ2!EC98,'Étape 1 - à remplir'!$G$31:$G$400,"kg"),SUMIFS('Étape 1 - à remplir'!$F$31:$F$400,'Étape 1 - à remplir'!$E$31:$E$400,MASQ2!EC98,'Étape 1 - à remplir'!$N$31:$N$400,EL$3,'Étape 1 - à remplir'!$G$31:$G$400,"kg")))))))</f>
        <v>#N/A</v>
      </c>
      <c r="EE98" s="76">
        <f t="shared" si="150"/>
        <v>0</v>
      </c>
      <c r="EF98" t="str">
        <f t="shared" si="141"/>
        <v>Ceftiofur</v>
      </c>
      <c r="EG98" t="str">
        <f t="shared" si="142"/>
        <v/>
      </c>
      <c r="EH98" t="str">
        <f t="shared" si="143"/>
        <v/>
      </c>
      <c r="EI98" t="str">
        <f t="shared" si="144"/>
        <v>Cephalosporines 3&amp;4G</v>
      </c>
      <c r="EJ98" t="str">
        <f t="shared" si="145"/>
        <v/>
      </c>
      <c r="EK98" s="63" t="str">
        <f t="shared" si="146"/>
        <v/>
      </c>
      <c r="EN98" s="42">
        <v>95</v>
      </c>
      <c r="EO98" t="e">
        <f t="shared" si="152"/>
        <v>#N/A</v>
      </c>
      <c r="EP98" s="63" t="e">
        <f t="shared" si="153"/>
        <v>#N/A</v>
      </c>
      <c r="FT98" s="63"/>
    </row>
    <row r="99" spans="2:176" x14ac:dyDescent="0.3">
      <c r="B99" s="42"/>
      <c r="M99" s="194" t="str">
        <f ca="1">INDEX(Données_ATB!BD:BU,MATCH(MASQ2!O99,Données_ATB!BD:BD,0),18)</f>
        <v>x</v>
      </c>
      <c r="N99" s="14" t="str">
        <f>IFERROR(IF(Q99=0,"",COUNTIF(Q$4:Q$600,"&gt;"&amp;Q99)+COUNTIF(Q$4:Q99,Q99)),"")</f>
        <v/>
      </c>
      <c r="O99" t="str">
        <f>Données_ATB!BD98</f>
        <v>CEVAXEL-RTU 50 MG/ML SUSPENSION INJECTABLE POUR BOVINS ET PORCINS</v>
      </c>
      <c r="P99" t="e">
        <f>IF(IF(X$2="Catégorie",IF(X$3="Toutes",SUMIFS('Étape 1 - à remplir'!$F$31:$F$400,'Étape 1 - à remplir'!$E$31:$E$400,MASQ2!O99,'Étape 1 - à remplir'!$G$31:$G$400,"animaux"),SUMIFS('Étape 1 - à remplir'!$F$31:$F$400,'Étape 1 - à remplir'!$E$31:$E$400,MASQ2!O99,'Étape 1 - à remplir'!$C$31:$C$400,X$3)),IF(X$2="Âge",IF(X$3="Tous",SUMIFS('Étape 1 - à remplir'!$F$31:$F$400,'Étape 1 - à remplir'!$E$31:$E$400,MASQ2!O99,'Étape 1 - à remplir'!$G$31:$G$400,"animaux"),SUMIFS('Étape 1 - à remplir'!$F$31:$F$400,'Étape 1 - à remplir'!$E$31:$E$400,MASQ2!O99,'Étape 1 - à remplir'!$P$31:$P$400,X$3)),IF(X$2="Atelier",IF(X$3="Tous",SUMIFS('Étape 1 - à remplir'!$F$31:$F$400,'Étape 1 - à remplir'!$E$31:$E$400,MASQ2!O99,'Étape 1 - à remplir'!$G$31:$G$400,"animaux"),SUMIFS('Étape 1 - à remplir'!$F$31:$F$400,'Étape 1 - à remplir'!$E$31:$E$400,MASQ2!O99,'Étape 1 - à remplir'!$O$31:$O$400,X$3)),IF(X$2="Espèce",IF(X$3="Toutes",SUMIFS('Étape 1 - à remplir'!$F$31:$F$400,'Étape 1 - à remplir'!$E$31:$E$400,MASQ2!O99,'Étape 1 - à remplir'!$G$31:$G$400,"animaux"),SUMIFS('Étape 1 - à remplir'!$F$31:$F$400,'Étape 1 - à remplir'!$E$31:$E$400,MASQ2!O99,'Étape 1 - à remplir'!$N$31:$N$400,X$3))))))=0,NA(),IF(X$2="Catégorie",IF(X$3="Toutes",SUMIFS('Étape 1 - à remplir'!$F$31:$F$400,'Étape 1 - à remplir'!$E$31:$E$400,MASQ2!O99,'Étape 1 - à remplir'!$G$31:$G$400,"animaux"),SUMIFS('Étape 1 - à remplir'!$F$31:$F$400,'Étape 1 - à remplir'!$E$31:$E$400,MASQ2!O99,'Étape 1 - à remplir'!$C$31:$C$400,X$3)),IF(X$2="Âge",IF(X$3="Tous",SUMIFS('Étape 1 - à remplir'!$F$31:$F$400,'Étape 1 - à remplir'!$E$31:$E$400,MASQ2!O99,'Étape 1 - à remplir'!$G$31:$G$400,"animaux"),SUMIFS('Étape 1 - à remplir'!$F$31:$F$400,'Étape 1 - à remplir'!$E$31:$E$400,MASQ2!O99,'Étape 1 - à remplir'!$P$31:$P$400,X$3)),IF(X$2="Atelier",IF(X$3="Tous",SUMIFS('Étape 1 - à remplir'!$F$31:$F$400,'Étape 1 - à remplir'!$E$31:$E$400,MASQ2!O99,'Étape 1 - à remplir'!$G$31:$G$400,"animaux"),SUMIFS('Étape 1 - à remplir'!$F$31:$F$400,'Étape 1 - à remplir'!$E$31:$E$400,MASQ2!O99,'Étape 1 - à remplir'!$O$31:$O$400,X$3)),IF(X$2="Espèce",IF(X$3="Toutes",SUMIFS('Étape 1 - à remplir'!$F$31:$F$400,'Étape 1 - à remplir'!$E$31:$E$400,MASQ2!O99,'Étape 1 - à remplir'!$G$31:$G$400,"animaux"),SUMIFS('Étape 1 - à remplir'!$F$31:$F$400,'Étape 1 - à remplir'!$E$31:$E$400,MASQ2!O99,'Étape 1 - à remplir'!$N$31:$N$400,X$3)))))))</f>
        <v>#N/A</v>
      </c>
      <c r="Q99" s="63">
        <f t="shared" si="151"/>
        <v>0</v>
      </c>
      <c r="R99" t="str">
        <f>Données_ATB!BM98</f>
        <v>Ceftiofur</v>
      </c>
      <c r="S99" t="str">
        <f>Données_ATB!BN98</f>
        <v/>
      </c>
      <c r="T99" s="63" t="str">
        <f>Données_ATB!BO98</f>
        <v/>
      </c>
      <c r="U99" s="42" t="str">
        <f>Données_ATB!BQ98</f>
        <v>Cephalosporines 3&amp;4G</v>
      </c>
      <c r="V99" t="str">
        <f>Données_ATB!BR98</f>
        <v/>
      </c>
      <c r="W99" s="63" t="str">
        <f>Données_ATB!BS98</f>
        <v/>
      </c>
      <c r="Z99" s="42">
        <v>96</v>
      </c>
      <c r="AA99" t="e">
        <f t="shared" si="147"/>
        <v>#N/A</v>
      </c>
      <c r="AB99" s="63" t="e">
        <f t="shared" si="148"/>
        <v>#N/A</v>
      </c>
      <c r="BF99" s="63"/>
      <c r="BT99" s="194" t="str">
        <f t="shared" ca="1" si="131"/>
        <v>x</v>
      </c>
      <c r="BU99" s="219" t="str">
        <f>IFERROR(IF(BX99=0,"",COUNTIF(BX$4:BX$600,"&gt;"&amp;BX99)+COUNTIF(BX$4:BX99,BX99)),"")</f>
        <v/>
      </c>
      <c r="BV99" s="42" t="str">
        <f t="shared" si="132"/>
        <v>CEVAXEL-RTU 50 MG/ML SUSPENSION INJECTABLE POUR BOVINS ET PORCINS</v>
      </c>
      <c r="BW99" t="e">
        <f>IF(IF(CE$2="Catégorie",IF(CE$3="Toutes",SUMIFS('Étape 1 - à remplir'!$F$31:$F$400,'Étape 1 - à remplir'!$E$31:$E$400,MASQ2!BV99,'Étape 1 - à remplir'!$G$31:$G$400,"lots"),SUMIFS('Étape 1 - à remplir'!$F$31:$F$400,'Étape 1 - à remplir'!$E$31:$E$400,MASQ2!BV99,'Étape 1 - à remplir'!$C$31:$C$400,CE$3)),IF(CE$2="Âge",IF(CE$3="Tous",SUMIFS('Étape 1 - à remplir'!$F$31:$F$400,'Étape 1 - à remplir'!$E$31:$E$400,MASQ2!BV99,'Étape 1 - à remplir'!$G$31:$G$400,"lots"),SUMIFS('Étape 1 - à remplir'!$F$31:$F$400,'Étape 1 - à remplir'!$E$31:$E$400,MASQ2!BV99,'Étape 1 - à remplir'!$P$31:$P$400,CE$3,'Étape 1 - à remplir'!$G$31:$G$400,"lots")),IF(CE$2="Atelier",IF(CE$3="Tous",SUMIFS('Étape 1 - à remplir'!$F$31:$F$400,'Étape 1 - à remplir'!$E$31:$E$400,MASQ2!BV99,'Étape 1 - à remplir'!$G$31:$G$400,"lots"),SUMIFS('Étape 1 - à remplir'!$F$31:$F$400,'Étape 1 - à remplir'!$E$31:$E$400,MASQ2!BV99,'Étape 1 - à remplir'!$O$31:$O$400,CE$3,'Étape 1 - à remplir'!$G$31:$G$400,"lots")),IF(CE$2="Espèce",IF(CE$3="Toutes",SUMIFS('Étape 1 - à remplir'!$F$31:$F$400,'Étape 1 - à remplir'!$E$31:$E$400,MASQ2!BV99,'Étape 1 - à remplir'!$G$31:$G$400,"lots"),SUMIFS('Étape 1 - à remplir'!$F$31:$F$400,'Étape 1 - à remplir'!$E$31:$E$400,MASQ2!BV99,'Étape 1 - à remplir'!$N$31:$N$400,CE$3,'Étape 1 - à remplir'!$G$31:$G$400,"lots"))))))=0,NA(),IF(CE$2="Catégorie",IF(CE$3="Toutes",SUMIFS('Étape 1 - à remplir'!$F$31:$F$400,'Étape 1 - à remplir'!$E$31:$E$400,MASQ2!BV99,'Étape 1 - à remplir'!$G$31:$G$400,"lots"),SUMIFS('Étape 1 - à remplir'!$F$31:$F$400,'Étape 1 - à remplir'!$E$31:$E$400,MASQ2!BV99,'Étape 1 - à remplir'!$C$31:$C$400,CE$3)),IF(CE$2="Âge",IF(CE$3="Tous",SUMIFS('Étape 1 - à remplir'!$F$31:$F$400,'Étape 1 - à remplir'!$E$31:$E$400,MASQ2!BV99,'Étape 1 - à remplir'!$G$31:$G$400,"lots"),SUMIFS('Étape 1 - à remplir'!$F$31:$F$400,'Étape 1 - à remplir'!$E$31:$E$400,MASQ2!BV99,'Étape 1 - à remplir'!$P$31:$P$400,CE$3,'Étape 1 - à remplir'!$G$31:$G$400,"lots")),IF(CE$2="Atelier",IF(CE$3="Tous",SUMIFS('Étape 1 - à remplir'!$F$31:$F$400,'Étape 1 - à remplir'!$E$31:$E$400,MASQ2!BV99,'Étape 1 - à remplir'!$G$31:$G$400,"lots"),SUMIFS('Étape 1 - à remplir'!$F$31:$F$400,'Étape 1 - à remplir'!$E$31:$E$400,MASQ2!BV99,'Étape 1 - à remplir'!$O$31:$O$400,CE$3,'Étape 1 - à remplir'!$G$31:$G$400,"lots")),IF(CE$2="Espèce",IF(CE$3="Toutes",SUMIFS('Étape 1 - à remplir'!$F$31:$F$400,'Étape 1 - à remplir'!$E$31:$E$400,MASQ2!BV99,'Étape 1 - à remplir'!$G$31:$G$400,"lots"),SUMIFS('Étape 1 - à remplir'!$F$31:$F$400,'Étape 1 - à remplir'!$E$31:$E$400,MASQ2!BV99,'Étape 1 - à remplir'!$N$31:$N$400,CE$3,'Étape 1 - à remplir'!$G$31:$G$400,"lots")))))))</f>
        <v>#N/A</v>
      </c>
      <c r="BX99">
        <f t="shared" si="149"/>
        <v>0</v>
      </c>
      <c r="BY99" t="str">
        <f t="shared" si="133"/>
        <v>Ceftiofur</v>
      </c>
      <c r="BZ99" t="str">
        <f t="shared" si="134"/>
        <v/>
      </c>
      <c r="CA99" t="str">
        <f t="shared" si="135"/>
        <v/>
      </c>
      <c r="CB99" t="str">
        <f t="shared" si="136"/>
        <v>Cephalosporines 3&amp;4G</v>
      </c>
      <c r="CC99" t="str">
        <f t="shared" si="137"/>
        <v/>
      </c>
      <c r="CD99" s="63" t="str">
        <f t="shared" si="138"/>
        <v/>
      </c>
      <c r="CG99" s="42">
        <v>96</v>
      </c>
      <c r="CH99" s="42" t="e">
        <f t="shared" si="163"/>
        <v>#N/A</v>
      </c>
      <c r="CI99" s="63" t="e">
        <f t="shared" si="164"/>
        <v>#N/A</v>
      </c>
      <c r="DM99" s="63"/>
      <c r="EA99" s="194" t="str">
        <f t="shared" ca="1" si="139"/>
        <v>x</v>
      </c>
      <c r="EB99" s="226" t="str">
        <f>IFERROR(IF(ED99=0,"",COUNTIF(ED$4:ED$600,"&gt;"&amp;ED99)+COUNTIF(ED$4:ED99,ED99)),"")</f>
        <v/>
      </c>
      <c r="EC99" t="str">
        <f t="shared" si="140"/>
        <v>CEVAXEL-RTU 50 MG/ML SUSPENSION INJECTABLE POUR BOVINS ET PORCINS</v>
      </c>
      <c r="ED99" t="e">
        <f>IF(IF(EL$2="Catégorie",IF(EL$3="Toutes",SUMIFS('Étape 1 - à remplir'!$F$31:$F$400,'Étape 1 - à remplir'!$E$31:$E$400,MASQ2!EC99,'Étape 1 - à remplir'!$G$31:$G$400,"kg"),SUMIFS('Étape 1 - à remplir'!$F$31:$F$400,'Étape 1 - à remplir'!$E$31:$E$400,MASQ2!EC99,'Étape 1 - à remplir'!$C$31:$C$400,EL$3)),IF(EL$2="Âge",IF(EL$3="Tous",SUMIFS('Étape 1 - à remplir'!$F$31:$F$400,'Étape 1 - à remplir'!$E$31:$E$400,MASQ2!EC99,'Étape 1 - à remplir'!$G$31:$G$400,"kg"),SUMIFS('Étape 1 - à remplir'!$F$31:$F$400,'Étape 1 - à remplir'!$E$31:$E$400,MASQ2!EC99,'Étape 1 - à remplir'!$P$31:$P$400,EL$3,'Étape 1 - à remplir'!$G$31:$G$400,"kg")),IF(EL$2="Atelier",IF(EL$3="Tous",SUMIFS('Étape 1 - à remplir'!$F$31:$F$400,'Étape 1 - à remplir'!$E$31:$E$400,MASQ2!EC99,'Étape 1 - à remplir'!$G$31:$G$400,"kg"),SUMIFS('Étape 1 - à remplir'!$F$31:$F$400,'Étape 1 - à remplir'!$E$31:$E$400,MASQ2!EC99,'Étape 1 - à remplir'!$O$31:$O$400,EL$3,'Étape 1 - à remplir'!$G$31:$G$400,"kg")),IF(EL$2="Espèce",IF(EL$3="Toutes",SUMIFS('Étape 1 - à remplir'!$F$31:$F$400,'Étape 1 - à remplir'!$E$31:$E$400,MASQ2!EC99,'Étape 1 - à remplir'!$G$31:$G$400,"kg"),SUMIFS('Étape 1 - à remplir'!$F$31:$F$400,'Étape 1 - à remplir'!$E$31:$E$400,MASQ2!EC99,'Étape 1 - à remplir'!$N$31:$N$400,EL$3,'Étape 1 - à remplir'!$G$31:$G$400,"kg"))))))=0,NA(),IF(EL$2="Catégorie",IF(EL$3="Toutes",SUMIFS('Étape 1 - à remplir'!$F$31:$F$400,'Étape 1 - à remplir'!$E$31:$E$400,MASQ2!EC99,'Étape 1 - à remplir'!$G$31:$G$400,"kg"),SUMIFS('Étape 1 - à remplir'!$F$31:$F$400,'Étape 1 - à remplir'!$E$31:$E$400,MASQ2!EC99,'Étape 1 - à remplir'!$C$31:$C$400,EL$3)),IF(EL$2="Âge",IF(EL$3="Tous",SUMIFS('Étape 1 - à remplir'!$F$31:$F$400,'Étape 1 - à remplir'!$E$31:$E$400,MASQ2!EC99,'Étape 1 - à remplir'!$G$31:$G$400,"kg"),SUMIFS('Étape 1 - à remplir'!$F$31:$F$400,'Étape 1 - à remplir'!$E$31:$E$400,MASQ2!EC99,'Étape 1 - à remplir'!$P$31:$P$400,EL$3,'Étape 1 - à remplir'!$G$31:$G$400,"kg")),IF(EL$2="Atelier",IF(EL$3="Tous",SUMIFS('Étape 1 - à remplir'!$F$31:$F$400,'Étape 1 - à remplir'!$E$31:$E$400,MASQ2!EC99,'Étape 1 - à remplir'!$G$31:$G$400,"kg"),SUMIFS('Étape 1 - à remplir'!$F$31:$F$400,'Étape 1 - à remplir'!$E$31:$E$400,MASQ2!EC99,'Étape 1 - à remplir'!$O$31:$O$400,EL$3,'Étape 1 - à remplir'!$G$31:$G$400,"kg")),IF(EL$2="Espèce",IF(EL$3="Toutes",SUMIFS('Étape 1 - à remplir'!$F$31:$F$400,'Étape 1 - à remplir'!$E$31:$E$400,MASQ2!EC99,'Étape 1 - à remplir'!$G$31:$G$400,"kg"),SUMIFS('Étape 1 - à remplir'!$F$31:$F$400,'Étape 1 - à remplir'!$E$31:$E$400,MASQ2!EC99,'Étape 1 - à remplir'!$N$31:$N$400,EL$3,'Étape 1 - à remplir'!$G$31:$G$400,"kg")))))))</f>
        <v>#N/A</v>
      </c>
      <c r="EE99" s="76">
        <f t="shared" si="150"/>
        <v>0</v>
      </c>
      <c r="EF99" t="str">
        <f t="shared" si="141"/>
        <v>Ceftiofur</v>
      </c>
      <c r="EG99" t="str">
        <f t="shared" si="142"/>
        <v/>
      </c>
      <c r="EH99" t="str">
        <f t="shared" si="143"/>
        <v/>
      </c>
      <c r="EI99" t="str">
        <f t="shared" si="144"/>
        <v>Cephalosporines 3&amp;4G</v>
      </c>
      <c r="EJ99" t="str">
        <f t="shared" si="145"/>
        <v/>
      </c>
      <c r="EK99" s="63" t="str">
        <f t="shared" si="146"/>
        <v/>
      </c>
      <c r="EN99" s="42">
        <v>96</v>
      </c>
      <c r="EO99" t="e">
        <f t="shared" si="152"/>
        <v>#N/A</v>
      </c>
      <c r="EP99" s="63" t="e">
        <f t="shared" si="153"/>
        <v>#N/A</v>
      </c>
      <c r="FT99" s="63"/>
    </row>
    <row r="100" spans="2:176" x14ac:dyDescent="0.3">
      <c r="B100" s="42"/>
      <c r="M100" s="194" t="str">
        <f ca="1">INDEX(Données_ATB!BD:BU,MATCH(MASQ2!O100,Données_ATB!BD:BD,0),18)</f>
        <v>x</v>
      </c>
      <c r="N100" s="14" t="str">
        <f>IFERROR(IF(Q100=0,"",COUNTIF(Q$4:Q$600,"&gt;"&amp;Q100)+COUNTIF(Q$4:Q100,Q100)),"")</f>
        <v/>
      </c>
      <c r="O100" t="str">
        <f>Données_ATB!BD99</f>
        <v>CHANENRO 100 MG/ML SOLUTION INJECTABLE POUR BOVINS ET PORCINS</v>
      </c>
      <c r="P100" t="e">
        <f>IF(IF(X$2="Catégorie",IF(X$3="Toutes",SUMIFS('Étape 1 - à remplir'!$F$31:$F$400,'Étape 1 - à remplir'!$E$31:$E$400,MASQ2!O100,'Étape 1 - à remplir'!$G$31:$G$400,"animaux"),SUMIFS('Étape 1 - à remplir'!$F$31:$F$400,'Étape 1 - à remplir'!$E$31:$E$400,MASQ2!O100,'Étape 1 - à remplir'!$C$31:$C$400,X$3)),IF(X$2="Âge",IF(X$3="Tous",SUMIFS('Étape 1 - à remplir'!$F$31:$F$400,'Étape 1 - à remplir'!$E$31:$E$400,MASQ2!O100,'Étape 1 - à remplir'!$G$31:$G$400,"animaux"),SUMIFS('Étape 1 - à remplir'!$F$31:$F$400,'Étape 1 - à remplir'!$E$31:$E$400,MASQ2!O100,'Étape 1 - à remplir'!$P$31:$P$400,X$3)),IF(X$2="Atelier",IF(X$3="Tous",SUMIFS('Étape 1 - à remplir'!$F$31:$F$400,'Étape 1 - à remplir'!$E$31:$E$400,MASQ2!O100,'Étape 1 - à remplir'!$G$31:$G$400,"animaux"),SUMIFS('Étape 1 - à remplir'!$F$31:$F$400,'Étape 1 - à remplir'!$E$31:$E$400,MASQ2!O100,'Étape 1 - à remplir'!$O$31:$O$400,X$3)),IF(X$2="Espèce",IF(X$3="Toutes",SUMIFS('Étape 1 - à remplir'!$F$31:$F$400,'Étape 1 - à remplir'!$E$31:$E$400,MASQ2!O100,'Étape 1 - à remplir'!$G$31:$G$400,"animaux"),SUMIFS('Étape 1 - à remplir'!$F$31:$F$400,'Étape 1 - à remplir'!$E$31:$E$400,MASQ2!O100,'Étape 1 - à remplir'!$N$31:$N$400,X$3))))))=0,NA(),IF(X$2="Catégorie",IF(X$3="Toutes",SUMIFS('Étape 1 - à remplir'!$F$31:$F$400,'Étape 1 - à remplir'!$E$31:$E$400,MASQ2!O100,'Étape 1 - à remplir'!$G$31:$G$400,"animaux"),SUMIFS('Étape 1 - à remplir'!$F$31:$F$400,'Étape 1 - à remplir'!$E$31:$E$400,MASQ2!O100,'Étape 1 - à remplir'!$C$31:$C$400,X$3)),IF(X$2="Âge",IF(X$3="Tous",SUMIFS('Étape 1 - à remplir'!$F$31:$F$400,'Étape 1 - à remplir'!$E$31:$E$400,MASQ2!O100,'Étape 1 - à remplir'!$G$31:$G$400,"animaux"),SUMIFS('Étape 1 - à remplir'!$F$31:$F$400,'Étape 1 - à remplir'!$E$31:$E$400,MASQ2!O100,'Étape 1 - à remplir'!$P$31:$P$400,X$3)),IF(X$2="Atelier",IF(X$3="Tous",SUMIFS('Étape 1 - à remplir'!$F$31:$F$400,'Étape 1 - à remplir'!$E$31:$E$400,MASQ2!O100,'Étape 1 - à remplir'!$G$31:$G$400,"animaux"),SUMIFS('Étape 1 - à remplir'!$F$31:$F$400,'Étape 1 - à remplir'!$E$31:$E$400,MASQ2!O100,'Étape 1 - à remplir'!$O$31:$O$400,X$3)),IF(X$2="Espèce",IF(X$3="Toutes",SUMIFS('Étape 1 - à remplir'!$F$31:$F$400,'Étape 1 - à remplir'!$E$31:$E$400,MASQ2!O100,'Étape 1 - à remplir'!$G$31:$G$400,"animaux"),SUMIFS('Étape 1 - à remplir'!$F$31:$F$400,'Étape 1 - à remplir'!$E$31:$E$400,MASQ2!O100,'Étape 1 - à remplir'!$N$31:$N$400,X$3)))))))</f>
        <v>#N/A</v>
      </c>
      <c r="Q100" s="63">
        <f t="shared" si="151"/>
        <v>0</v>
      </c>
      <c r="R100" t="str">
        <f>Données_ATB!BM99</f>
        <v>Enrofloxacine</v>
      </c>
      <c r="S100" t="str">
        <f>Données_ATB!BN99</f>
        <v/>
      </c>
      <c r="T100" s="63" t="str">
        <f>Données_ATB!BO99</f>
        <v/>
      </c>
      <c r="U100" s="42" t="str">
        <f>Données_ATB!BQ99</f>
        <v>Fluoroquinolones</v>
      </c>
      <c r="V100" t="str">
        <f>Données_ATB!BR99</f>
        <v/>
      </c>
      <c r="W100" s="63" t="str">
        <f>Données_ATB!BS99</f>
        <v/>
      </c>
      <c r="Z100" s="42">
        <v>97</v>
      </c>
      <c r="AA100" t="e">
        <f t="shared" si="147"/>
        <v>#N/A</v>
      </c>
      <c r="AB100" s="63" t="e">
        <f t="shared" si="148"/>
        <v>#N/A</v>
      </c>
      <c r="BF100" s="63"/>
      <c r="BT100" s="194" t="str">
        <f t="shared" ca="1" si="131"/>
        <v>x</v>
      </c>
      <c r="BU100" s="219" t="str">
        <f>IFERROR(IF(BX100=0,"",COUNTIF(BX$4:BX$600,"&gt;"&amp;BX100)+COUNTIF(BX$4:BX100,BX100)),"")</f>
        <v/>
      </c>
      <c r="BV100" s="42" t="str">
        <f t="shared" si="132"/>
        <v>CHANENRO 100 MG/ML SOLUTION INJECTABLE POUR BOVINS ET PORCINS</v>
      </c>
      <c r="BW100" t="e">
        <f>IF(IF(CE$2="Catégorie",IF(CE$3="Toutes",SUMIFS('Étape 1 - à remplir'!$F$31:$F$400,'Étape 1 - à remplir'!$E$31:$E$400,MASQ2!BV100,'Étape 1 - à remplir'!$G$31:$G$400,"lots"),SUMIFS('Étape 1 - à remplir'!$F$31:$F$400,'Étape 1 - à remplir'!$E$31:$E$400,MASQ2!BV100,'Étape 1 - à remplir'!$C$31:$C$400,CE$3)),IF(CE$2="Âge",IF(CE$3="Tous",SUMIFS('Étape 1 - à remplir'!$F$31:$F$400,'Étape 1 - à remplir'!$E$31:$E$400,MASQ2!BV100,'Étape 1 - à remplir'!$G$31:$G$400,"lots"),SUMIFS('Étape 1 - à remplir'!$F$31:$F$400,'Étape 1 - à remplir'!$E$31:$E$400,MASQ2!BV100,'Étape 1 - à remplir'!$P$31:$P$400,CE$3,'Étape 1 - à remplir'!$G$31:$G$400,"lots")),IF(CE$2="Atelier",IF(CE$3="Tous",SUMIFS('Étape 1 - à remplir'!$F$31:$F$400,'Étape 1 - à remplir'!$E$31:$E$400,MASQ2!BV100,'Étape 1 - à remplir'!$G$31:$G$400,"lots"),SUMIFS('Étape 1 - à remplir'!$F$31:$F$400,'Étape 1 - à remplir'!$E$31:$E$400,MASQ2!BV100,'Étape 1 - à remplir'!$O$31:$O$400,CE$3,'Étape 1 - à remplir'!$G$31:$G$400,"lots")),IF(CE$2="Espèce",IF(CE$3="Toutes",SUMIFS('Étape 1 - à remplir'!$F$31:$F$400,'Étape 1 - à remplir'!$E$31:$E$400,MASQ2!BV100,'Étape 1 - à remplir'!$G$31:$G$400,"lots"),SUMIFS('Étape 1 - à remplir'!$F$31:$F$400,'Étape 1 - à remplir'!$E$31:$E$400,MASQ2!BV100,'Étape 1 - à remplir'!$N$31:$N$400,CE$3,'Étape 1 - à remplir'!$G$31:$G$400,"lots"))))))=0,NA(),IF(CE$2="Catégorie",IF(CE$3="Toutes",SUMIFS('Étape 1 - à remplir'!$F$31:$F$400,'Étape 1 - à remplir'!$E$31:$E$400,MASQ2!BV100,'Étape 1 - à remplir'!$G$31:$G$400,"lots"),SUMIFS('Étape 1 - à remplir'!$F$31:$F$400,'Étape 1 - à remplir'!$E$31:$E$400,MASQ2!BV100,'Étape 1 - à remplir'!$C$31:$C$400,CE$3)),IF(CE$2="Âge",IF(CE$3="Tous",SUMIFS('Étape 1 - à remplir'!$F$31:$F$400,'Étape 1 - à remplir'!$E$31:$E$400,MASQ2!BV100,'Étape 1 - à remplir'!$G$31:$G$400,"lots"),SUMIFS('Étape 1 - à remplir'!$F$31:$F$400,'Étape 1 - à remplir'!$E$31:$E$400,MASQ2!BV100,'Étape 1 - à remplir'!$P$31:$P$400,CE$3,'Étape 1 - à remplir'!$G$31:$G$400,"lots")),IF(CE$2="Atelier",IF(CE$3="Tous",SUMIFS('Étape 1 - à remplir'!$F$31:$F$400,'Étape 1 - à remplir'!$E$31:$E$400,MASQ2!BV100,'Étape 1 - à remplir'!$G$31:$G$400,"lots"),SUMIFS('Étape 1 - à remplir'!$F$31:$F$400,'Étape 1 - à remplir'!$E$31:$E$400,MASQ2!BV100,'Étape 1 - à remplir'!$O$31:$O$400,CE$3,'Étape 1 - à remplir'!$G$31:$G$400,"lots")),IF(CE$2="Espèce",IF(CE$3="Toutes",SUMIFS('Étape 1 - à remplir'!$F$31:$F$400,'Étape 1 - à remplir'!$E$31:$E$400,MASQ2!BV100,'Étape 1 - à remplir'!$G$31:$G$400,"lots"),SUMIFS('Étape 1 - à remplir'!$F$31:$F$400,'Étape 1 - à remplir'!$E$31:$E$400,MASQ2!BV100,'Étape 1 - à remplir'!$N$31:$N$400,CE$3,'Étape 1 - à remplir'!$G$31:$G$400,"lots")))))))</f>
        <v>#N/A</v>
      </c>
      <c r="BX100">
        <f t="shared" si="149"/>
        <v>0</v>
      </c>
      <c r="BY100" t="str">
        <f t="shared" si="133"/>
        <v>Enrofloxacine</v>
      </c>
      <c r="BZ100" t="str">
        <f t="shared" si="134"/>
        <v/>
      </c>
      <c r="CA100" t="str">
        <f t="shared" si="135"/>
        <v/>
      </c>
      <c r="CB100" t="str">
        <f t="shared" si="136"/>
        <v>Fluoroquinolones</v>
      </c>
      <c r="CC100" t="str">
        <f t="shared" si="137"/>
        <v/>
      </c>
      <c r="CD100" s="63" t="str">
        <f t="shared" si="138"/>
        <v/>
      </c>
      <c r="CG100" s="42">
        <v>97</v>
      </c>
      <c r="CH100" s="42" t="e">
        <f t="shared" si="163"/>
        <v>#N/A</v>
      </c>
      <c r="CI100" s="63" t="e">
        <f t="shared" si="164"/>
        <v>#N/A</v>
      </c>
      <c r="DM100" s="63"/>
      <c r="EA100" s="194" t="str">
        <f t="shared" ca="1" si="139"/>
        <v>x</v>
      </c>
      <c r="EB100" s="226" t="str">
        <f>IFERROR(IF(ED100=0,"",COUNTIF(ED$4:ED$600,"&gt;"&amp;ED100)+COUNTIF(ED$4:ED100,ED100)),"")</f>
        <v/>
      </c>
      <c r="EC100" t="str">
        <f t="shared" si="140"/>
        <v>CHANENRO 100 MG/ML SOLUTION INJECTABLE POUR BOVINS ET PORCINS</v>
      </c>
      <c r="ED100" t="e">
        <f>IF(IF(EL$2="Catégorie",IF(EL$3="Toutes",SUMIFS('Étape 1 - à remplir'!$F$31:$F$400,'Étape 1 - à remplir'!$E$31:$E$400,MASQ2!EC100,'Étape 1 - à remplir'!$G$31:$G$400,"kg"),SUMIFS('Étape 1 - à remplir'!$F$31:$F$400,'Étape 1 - à remplir'!$E$31:$E$400,MASQ2!EC100,'Étape 1 - à remplir'!$C$31:$C$400,EL$3)),IF(EL$2="Âge",IF(EL$3="Tous",SUMIFS('Étape 1 - à remplir'!$F$31:$F$400,'Étape 1 - à remplir'!$E$31:$E$400,MASQ2!EC100,'Étape 1 - à remplir'!$G$31:$G$400,"kg"),SUMIFS('Étape 1 - à remplir'!$F$31:$F$400,'Étape 1 - à remplir'!$E$31:$E$400,MASQ2!EC100,'Étape 1 - à remplir'!$P$31:$P$400,EL$3,'Étape 1 - à remplir'!$G$31:$G$400,"kg")),IF(EL$2="Atelier",IF(EL$3="Tous",SUMIFS('Étape 1 - à remplir'!$F$31:$F$400,'Étape 1 - à remplir'!$E$31:$E$400,MASQ2!EC100,'Étape 1 - à remplir'!$G$31:$G$400,"kg"),SUMIFS('Étape 1 - à remplir'!$F$31:$F$400,'Étape 1 - à remplir'!$E$31:$E$400,MASQ2!EC100,'Étape 1 - à remplir'!$O$31:$O$400,EL$3,'Étape 1 - à remplir'!$G$31:$G$400,"kg")),IF(EL$2="Espèce",IF(EL$3="Toutes",SUMIFS('Étape 1 - à remplir'!$F$31:$F$400,'Étape 1 - à remplir'!$E$31:$E$400,MASQ2!EC100,'Étape 1 - à remplir'!$G$31:$G$400,"kg"),SUMIFS('Étape 1 - à remplir'!$F$31:$F$400,'Étape 1 - à remplir'!$E$31:$E$400,MASQ2!EC100,'Étape 1 - à remplir'!$N$31:$N$400,EL$3,'Étape 1 - à remplir'!$G$31:$G$400,"kg"))))))=0,NA(),IF(EL$2="Catégorie",IF(EL$3="Toutes",SUMIFS('Étape 1 - à remplir'!$F$31:$F$400,'Étape 1 - à remplir'!$E$31:$E$400,MASQ2!EC100,'Étape 1 - à remplir'!$G$31:$G$400,"kg"),SUMIFS('Étape 1 - à remplir'!$F$31:$F$400,'Étape 1 - à remplir'!$E$31:$E$400,MASQ2!EC100,'Étape 1 - à remplir'!$C$31:$C$400,EL$3)),IF(EL$2="Âge",IF(EL$3="Tous",SUMIFS('Étape 1 - à remplir'!$F$31:$F$400,'Étape 1 - à remplir'!$E$31:$E$400,MASQ2!EC100,'Étape 1 - à remplir'!$G$31:$G$400,"kg"),SUMIFS('Étape 1 - à remplir'!$F$31:$F$400,'Étape 1 - à remplir'!$E$31:$E$400,MASQ2!EC100,'Étape 1 - à remplir'!$P$31:$P$400,EL$3,'Étape 1 - à remplir'!$G$31:$G$400,"kg")),IF(EL$2="Atelier",IF(EL$3="Tous",SUMIFS('Étape 1 - à remplir'!$F$31:$F$400,'Étape 1 - à remplir'!$E$31:$E$400,MASQ2!EC100,'Étape 1 - à remplir'!$G$31:$G$400,"kg"),SUMIFS('Étape 1 - à remplir'!$F$31:$F$400,'Étape 1 - à remplir'!$E$31:$E$400,MASQ2!EC100,'Étape 1 - à remplir'!$O$31:$O$400,EL$3,'Étape 1 - à remplir'!$G$31:$G$400,"kg")),IF(EL$2="Espèce",IF(EL$3="Toutes",SUMIFS('Étape 1 - à remplir'!$F$31:$F$400,'Étape 1 - à remplir'!$E$31:$E$400,MASQ2!EC100,'Étape 1 - à remplir'!$G$31:$G$400,"kg"),SUMIFS('Étape 1 - à remplir'!$F$31:$F$400,'Étape 1 - à remplir'!$E$31:$E$400,MASQ2!EC100,'Étape 1 - à remplir'!$N$31:$N$400,EL$3,'Étape 1 - à remplir'!$G$31:$G$400,"kg")))))))</f>
        <v>#N/A</v>
      </c>
      <c r="EE100" s="76">
        <f t="shared" si="150"/>
        <v>0</v>
      </c>
      <c r="EF100" t="str">
        <f t="shared" si="141"/>
        <v>Enrofloxacine</v>
      </c>
      <c r="EG100" t="str">
        <f t="shared" si="142"/>
        <v/>
      </c>
      <c r="EH100" t="str">
        <f t="shared" si="143"/>
        <v/>
      </c>
      <c r="EI100" t="str">
        <f t="shared" si="144"/>
        <v>Fluoroquinolones</v>
      </c>
      <c r="EJ100" t="str">
        <f t="shared" si="145"/>
        <v/>
      </c>
      <c r="EK100" s="63" t="str">
        <f t="shared" si="146"/>
        <v/>
      </c>
      <c r="EN100" s="42">
        <v>97</v>
      </c>
      <c r="EO100" t="e">
        <f t="shared" si="152"/>
        <v>#N/A</v>
      </c>
      <c r="EP100" s="63" t="e">
        <f t="shared" si="153"/>
        <v>#N/A</v>
      </c>
      <c r="FT100" s="63"/>
    </row>
    <row r="101" spans="2:176" x14ac:dyDescent="0.3">
      <c r="B101" s="42"/>
      <c r="M101" s="194" t="str">
        <f ca="1">INDEX(Données_ATB!BD:BU,MATCH(MASQ2!O101,Données_ATB!BD:BD,0),18)</f>
        <v>x</v>
      </c>
      <c r="N101" s="14" t="str">
        <f>IFERROR(IF(Q101=0,"",COUNTIF(Q$4:Q$600,"&gt;"&amp;Q101)+COUNTIF(Q$4:Q101,Q101)),"")</f>
        <v/>
      </c>
      <c r="O101" t="str">
        <f>Données_ATB!BD100</f>
        <v>CHANENRO 50 MG/ML SOLUTION INJECTABLE POUR BOVINS, PORCINS, CHIENS ET CHATS</v>
      </c>
      <c r="P101" t="e">
        <f>IF(IF(X$2="Catégorie",IF(X$3="Toutes",SUMIFS('Étape 1 - à remplir'!$F$31:$F$400,'Étape 1 - à remplir'!$E$31:$E$400,MASQ2!O101,'Étape 1 - à remplir'!$G$31:$G$400,"animaux"),SUMIFS('Étape 1 - à remplir'!$F$31:$F$400,'Étape 1 - à remplir'!$E$31:$E$400,MASQ2!O101,'Étape 1 - à remplir'!$C$31:$C$400,X$3)),IF(X$2="Âge",IF(X$3="Tous",SUMIFS('Étape 1 - à remplir'!$F$31:$F$400,'Étape 1 - à remplir'!$E$31:$E$400,MASQ2!O101,'Étape 1 - à remplir'!$G$31:$G$400,"animaux"),SUMIFS('Étape 1 - à remplir'!$F$31:$F$400,'Étape 1 - à remplir'!$E$31:$E$400,MASQ2!O101,'Étape 1 - à remplir'!$P$31:$P$400,X$3)),IF(X$2="Atelier",IF(X$3="Tous",SUMIFS('Étape 1 - à remplir'!$F$31:$F$400,'Étape 1 - à remplir'!$E$31:$E$400,MASQ2!O101,'Étape 1 - à remplir'!$G$31:$G$400,"animaux"),SUMIFS('Étape 1 - à remplir'!$F$31:$F$400,'Étape 1 - à remplir'!$E$31:$E$400,MASQ2!O101,'Étape 1 - à remplir'!$O$31:$O$400,X$3)),IF(X$2="Espèce",IF(X$3="Toutes",SUMIFS('Étape 1 - à remplir'!$F$31:$F$400,'Étape 1 - à remplir'!$E$31:$E$400,MASQ2!O101,'Étape 1 - à remplir'!$G$31:$G$400,"animaux"),SUMIFS('Étape 1 - à remplir'!$F$31:$F$400,'Étape 1 - à remplir'!$E$31:$E$400,MASQ2!O101,'Étape 1 - à remplir'!$N$31:$N$400,X$3))))))=0,NA(),IF(X$2="Catégorie",IF(X$3="Toutes",SUMIFS('Étape 1 - à remplir'!$F$31:$F$400,'Étape 1 - à remplir'!$E$31:$E$400,MASQ2!O101,'Étape 1 - à remplir'!$G$31:$G$400,"animaux"),SUMIFS('Étape 1 - à remplir'!$F$31:$F$400,'Étape 1 - à remplir'!$E$31:$E$400,MASQ2!O101,'Étape 1 - à remplir'!$C$31:$C$400,X$3)),IF(X$2="Âge",IF(X$3="Tous",SUMIFS('Étape 1 - à remplir'!$F$31:$F$400,'Étape 1 - à remplir'!$E$31:$E$400,MASQ2!O101,'Étape 1 - à remplir'!$G$31:$G$400,"animaux"),SUMIFS('Étape 1 - à remplir'!$F$31:$F$400,'Étape 1 - à remplir'!$E$31:$E$400,MASQ2!O101,'Étape 1 - à remplir'!$P$31:$P$400,X$3)),IF(X$2="Atelier",IF(X$3="Tous",SUMIFS('Étape 1 - à remplir'!$F$31:$F$400,'Étape 1 - à remplir'!$E$31:$E$400,MASQ2!O101,'Étape 1 - à remplir'!$G$31:$G$400,"animaux"),SUMIFS('Étape 1 - à remplir'!$F$31:$F$400,'Étape 1 - à remplir'!$E$31:$E$400,MASQ2!O101,'Étape 1 - à remplir'!$O$31:$O$400,X$3)),IF(X$2="Espèce",IF(X$3="Toutes",SUMIFS('Étape 1 - à remplir'!$F$31:$F$400,'Étape 1 - à remplir'!$E$31:$E$400,MASQ2!O101,'Étape 1 - à remplir'!$G$31:$G$400,"animaux"),SUMIFS('Étape 1 - à remplir'!$F$31:$F$400,'Étape 1 - à remplir'!$E$31:$E$400,MASQ2!O101,'Étape 1 - à remplir'!$N$31:$N$400,X$3)))))))</f>
        <v>#N/A</v>
      </c>
      <c r="Q101" s="63">
        <f t="shared" si="151"/>
        <v>0</v>
      </c>
      <c r="R101" t="str">
        <f>Données_ATB!BM100</f>
        <v>Enrofloxacine</v>
      </c>
      <c r="S101" t="str">
        <f>Données_ATB!BN100</f>
        <v/>
      </c>
      <c r="T101" s="63" t="str">
        <f>Données_ATB!BO100</f>
        <v/>
      </c>
      <c r="U101" s="42" t="str">
        <f>Données_ATB!BQ100</f>
        <v>Fluoroquinolones</v>
      </c>
      <c r="V101" t="str">
        <f>Données_ATB!BR100</f>
        <v/>
      </c>
      <c r="W101" s="63" t="str">
        <f>Données_ATB!BS100</f>
        <v/>
      </c>
      <c r="Z101" s="42">
        <v>98</v>
      </c>
      <c r="AA101" t="e">
        <f t="shared" si="147"/>
        <v>#N/A</v>
      </c>
      <c r="AB101" s="63" t="e">
        <f t="shared" si="148"/>
        <v>#N/A</v>
      </c>
      <c r="BF101" s="63"/>
      <c r="BT101" s="194" t="str">
        <f t="shared" ca="1" si="131"/>
        <v>x</v>
      </c>
      <c r="BU101" s="219" t="str">
        <f>IFERROR(IF(BX101=0,"",COUNTIF(BX$4:BX$600,"&gt;"&amp;BX101)+COUNTIF(BX$4:BX101,BX101)),"")</f>
        <v/>
      </c>
      <c r="BV101" s="42" t="str">
        <f t="shared" si="132"/>
        <v>CHANENRO 50 MG/ML SOLUTION INJECTABLE POUR BOVINS, PORCINS, CHIENS ET CHATS</v>
      </c>
      <c r="BW101" t="e">
        <f>IF(IF(CE$2="Catégorie",IF(CE$3="Toutes",SUMIFS('Étape 1 - à remplir'!$F$31:$F$400,'Étape 1 - à remplir'!$E$31:$E$400,MASQ2!BV101,'Étape 1 - à remplir'!$G$31:$G$400,"lots"),SUMIFS('Étape 1 - à remplir'!$F$31:$F$400,'Étape 1 - à remplir'!$E$31:$E$400,MASQ2!BV101,'Étape 1 - à remplir'!$C$31:$C$400,CE$3)),IF(CE$2="Âge",IF(CE$3="Tous",SUMIFS('Étape 1 - à remplir'!$F$31:$F$400,'Étape 1 - à remplir'!$E$31:$E$400,MASQ2!BV101,'Étape 1 - à remplir'!$G$31:$G$400,"lots"),SUMIFS('Étape 1 - à remplir'!$F$31:$F$400,'Étape 1 - à remplir'!$E$31:$E$400,MASQ2!BV101,'Étape 1 - à remplir'!$P$31:$P$400,CE$3,'Étape 1 - à remplir'!$G$31:$G$400,"lots")),IF(CE$2="Atelier",IF(CE$3="Tous",SUMIFS('Étape 1 - à remplir'!$F$31:$F$400,'Étape 1 - à remplir'!$E$31:$E$400,MASQ2!BV101,'Étape 1 - à remplir'!$G$31:$G$400,"lots"),SUMIFS('Étape 1 - à remplir'!$F$31:$F$400,'Étape 1 - à remplir'!$E$31:$E$400,MASQ2!BV101,'Étape 1 - à remplir'!$O$31:$O$400,CE$3,'Étape 1 - à remplir'!$G$31:$G$400,"lots")),IF(CE$2="Espèce",IF(CE$3="Toutes",SUMIFS('Étape 1 - à remplir'!$F$31:$F$400,'Étape 1 - à remplir'!$E$31:$E$400,MASQ2!BV101,'Étape 1 - à remplir'!$G$31:$G$400,"lots"),SUMIFS('Étape 1 - à remplir'!$F$31:$F$400,'Étape 1 - à remplir'!$E$31:$E$400,MASQ2!BV101,'Étape 1 - à remplir'!$N$31:$N$400,CE$3,'Étape 1 - à remplir'!$G$31:$G$400,"lots"))))))=0,NA(),IF(CE$2="Catégorie",IF(CE$3="Toutes",SUMIFS('Étape 1 - à remplir'!$F$31:$F$400,'Étape 1 - à remplir'!$E$31:$E$400,MASQ2!BV101,'Étape 1 - à remplir'!$G$31:$G$400,"lots"),SUMIFS('Étape 1 - à remplir'!$F$31:$F$400,'Étape 1 - à remplir'!$E$31:$E$400,MASQ2!BV101,'Étape 1 - à remplir'!$C$31:$C$400,CE$3)),IF(CE$2="Âge",IF(CE$3="Tous",SUMIFS('Étape 1 - à remplir'!$F$31:$F$400,'Étape 1 - à remplir'!$E$31:$E$400,MASQ2!BV101,'Étape 1 - à remplir'!$G$31:$G$400,"lots"),SUMIFS('Étape 1 - à remplir'!$F$31:$F$400,'Étape 1 - à remplir'!$E$31:$E$400,MASQ2!BV101,'Étape 1 - à remplir'!$P$31:$P$400,CE$3,'Étape 1 - à remplir'!$G$31:$G$400,"lots")),IF(CE$2="Atelier",IF(CE$3="Tous",SUMIFS('Étape 1 - à remplir'!$F$31:$F$400,'Étape 1 - à remplir'!$E$31:$E$400,MASQ2!BV101,'Étape 1 - à remplir'!$G$31:$G$400,"lots"),SUMIFS('Étape 1 - à remplir'!$F$31:$F$400,'Étape 1 - à remplir'!$E$31:$E$400,MASQ2!BV101,'Étape 1 - à remplir'!$O$31:$O$400,CE$3,'Étape 1 - à remplir'!$G$31:$G$400,"lots")),IF(CE$2="Espèce",IF(CE$3="Toutes",SUMIFS('Étape 1 - à remplir'!$F$31:$F$400,'Étape 1 - à remplir'!$E$31:$E$400,MASQ2!BV101,'Étape 1 - à remplir'!$G$31:$G$400,"lots"),SUMIFS('Étape 1 - à remplir'!$F$31:$F$400,'Étape 1 - à remplir'!$E$31:$E$400,MASQ2!BV101,'Étape 1 - à remplir'!$N$31:$N$400,CE$3,'Étape 1 - à remplir'!$G$31:$G$400,"lots")))))))</f>
        <v>#N/A</v>
      </c>
      <c r="BX101">
        <f t="shared" si="149"/>
        <v>0</v>
      </c>
      <c r="BY101" t="str">
        <f t="shared" si="133"/>
        <v>Enrofloxacine</v>
      </c>
      <c r="BZ101" t="str">
        <f t="shared" si="134"/>
        <v/>
      </c>
      <c r="CA101" t="str">
        <f t="shared" si="135"/>
        <v/>
      </c>
      <c r="CB101" t="str">
        <f t="shared" si="136"/>
        <v>Fluoroquinolones</v>
      </c>
      <c r="CC101" t="str">
        <f t="shared" si="137"/>
        <v/>
      </c>
      <c r="CD101" s="63" t="str">
        <f t="shared" si="138"/>
        <v/>
      </c>
      <c r="CG101" s="42">
        <v>98</v>
      </c>
      <c r="CH101" s="42" t="e">
        <f t="shared" si="163"/>
        <v>#N/A</v>
      </c>
      <c r="CI101" s="63" t="e">
        <f t="shared" si="164"/>
        <v>#N/A</v>
      </c>
      <c r="DM101" s="63"/>
      <c r="EA101" s="194" t="str">
        <f t="shared" ca="1" si="139"/>
        <v>x</v>
      </c>
      <c r="EB101" s="226" t="str">
        <f>IFERROR(IF(ED101=0,"",COUNTIF(ED$4:ED$600,"&gt;"&amp;ED101)+COUNTIF(ED$4:ED101,ED101)),"")</f>
        <v/>
      </c>
      <c r="EC101" t="str">
        <f t="shared" si="140"/>
        <v>CHANENRO 50 MG/ML SOLUTION INJECTABLE POUR BOVINS, PORCINS, CHIENS ET CHATS</v>
      </c>
      <c r="ED101" t="e">
        <f>IF(IF(EL$2="Catégorie",IF(EL$3="Toutes",SUMIFS('Étape 1 - à remplir'!$F$31:$F$400,'Étape 1 - à remplir'!$E$31:$E$400,MASQ2!EC101,'Étape 1 - à remplir'!$G$31:$G$400,"kg"),SUMIFS('Étape 1 - à remplir'!$F$31:$F$400,'Étape 1 - à remplir'!$E$31:$E$400,MASQ2!EC101,'Étape 1 - à remplir'!$C$31:$C$400,EL$3)),IF(EL$2="Âge",IF(EL$3="Tous",SUMIFS('Étape 1 - à remplir'!$F$31:$F$400,'Étape 1 - à remplir'!$E$31:$E$400,MASQ2!EC101,'Étape 1 - à remplir'!$G$31:$G$400,"kg"),SUMIFS('Étape 1 - à remplir'!$F$31:$F$400,'Étape 1 - à remplir'!$E$31:$E$400,MASQ2!EC101,'Étape 1 - à remplir'!$P$31:$P$400,EL$3,'Étape 1 - à remplir'!$G$31:$G$400,"kg")),IF(EL$2="Atelier",IF(EL$3="Tous",SUMIFS('Étape 1 - à remplir'!$F$31:$F$400,'Étape 1 - à remplir'!$E$31:$E$400,MASQ2!EC101,'Étape 1 - à remplir'!$G$31:$G$400,"kg"),SUMIFS('Étape 1 - à remplir'!$F$31:$F$400,'Étape 1 - à remplir'!$E$31:$E$400,MASQ2!EC101,'Étape 1 - à remplir'!$O$31:$O$400,EL$3,'Étape 1 - à remplir'!$G$31:$G$400,"kg")),IF(EL$2="Espèce",IF(EL$3="Toutes",SUMIFS('Étape 1 - à remplir'!$F$31:$F$400,'Étape 1 - à remplir'!$E$31:$E$400,MASQ2!EC101,'Étape 1 - à remplir'!$G$31:$G$400,"kg"),SUMIFS('Étape 1 - à remplir'!$F$31:$F$400,'Étape 1 - à remplir'!$E$31:$E$400,MASQ2!EC101,'Étape 1 - à remplir'!$N$31:$N$400,EL$3,'Étape 1 - à remplir'!$G$31:$G$400,"kg"))))))=0,NA(),IF(EL$2="Catégorie",IF(EL$3="Toutes",SUMIFS('Étape 1 - à remplir'!$F$31:$F$400,'Étape 1 - à remplir'!$E$31:$E$400,MASQ2!EC101,'Étape 1 - à remplir'!$G$31:$G$400,"kg"),SUMIFS('Étape 1 - à remplir'!$F$31:$F$400,'Étape 1 - à remplir'!$E$31:$E$400,MASQ2!EC101,'Étape 1 - à remplir'!$C$31:$C$400,EL$3)),IF(EL$2="Âge",IF(EL$3="Tous",SUMIFS('Étape 1 - à remplir'!$F$31:$F$400,'Étape 1 - à remplir'!$E$31:$E$400,MASQ2!EC101,'Étape 1 - à remplir'!$G$31:$G$400,"kg"),SUMIFS('Étape 1 - à remplir'!$F$31:$F$400,'Étape 1 - à remplir'!$E$31:$E$400,MASQ2!EC101,'Étape 1 - à remplir'!$P$31:$P$400,EL$3,'Étape 1 - à remplir'!$G$31:$G$400,"kg")),IF(EL$2="Atelier",IF(EL$3="Tous",SUMIFS('Étape 1 - à remplir'!$F$31:$F$400,'Étape 1 - à remplir'!$E$31:$E$400,MASQ2!EC101,'Étape 1 - à remplir'!$G$31:$G$400,"kg"),SUMIFS('Étape 1 - à remplir'!$F$31:$F$400,'Étape 1 - à remplir'!$E$31:$E$400,MASQ2!EC101,'Étape 1 - à remplir'!$O$31:$O$400,EL$3,'Étape 1 - à remplir'!$G$31:$G$400,"kg")),IF(EL$2="Espèce",IF(EL$3="Toutes",SUMIFS('Étape 1 - à remplir'!$F$31:$F$400,'Étape 1 - à remplir'!$E$31:$E$400,MASQ2!EC101,'Étape 1 - à remplir'!$G$31:$G$400,"kg"),SUMIFS('Étape 1 - à remplir'!$F$31:$F$400,'Étape 1 - à remplir'!$E$31:$E$400,MASQ2!EC101,'Étape 1 - à remplir'!$N$31:$N$400,EL$3,'Étape 1 - à remplir'!$G$31:$G$400,"kg")))))))</f>
        <v>#N/A</v>
      </c>
      <c r="EE101" s="76">
        <f t="shared" si="150"/>
        <v>0</v>
      </c>
      <c r="EF101" t="str">
        <f t="shared" si="141"/>
        <v>Enrofloxacine</v>
      </c>
      <c r="EG101" t="str">
        <f t="shared" si="142"/>
        <v/>
      </c>
      <c r="EH101" t="str">
        <f t="shared" si="143"/>
        <v/>
      </c>
      <c r="EI101" t="str">
        <f t="shared" si="144"/>
        <v>Fluoroquinolones</v>
      </c>
      <c r="EJ101" t="str">
        <f t="shared" si="145"/>
        <v/>
      </c>
      <c r="EK101" s="63" t="str">
        <f t="shared" si="146"/>
        <v/>
      </c>
      <c r="EN101" s="42">
        <v>98</v>
      </c>
      <c r="EO101" t="e">
        <f t="shared" si="152"/>
        <v>#N/A</v>
      </c>
      <c r="EP101" s="63" t="e">
        <f t="shared" si="153"/>
        <v>#N/A</v>
      </c>
      <c r="FT101" s="63"/>
    </row>
    <row r="102" spans="2:176" x14ac:dyDescent="0.3">
      <c r="B102" s="42"/>
      <c r="M102" s="194" t="str">
        <f ca="1">INDEX(Données_ATB!BD:BU,MATCH(MASQ2!O102,Données_ATB!BD:BD,0),18)</f>
        <v/>
      </c>
      <c r="N102" s="14" t="str">
        <f>IFERROR(IF(Q102=0,"",COUNTIF(Q$4:Q$600,"&gt;"&amp;Q102)+COUNTIF(Q$4:Q102,Q102)),"")</f>
        <v/>
      </c>
      <c r="O102" t="str">
        <f>Données_ATB!BD101</f>
        <v>CHLORIDAZINE S</v>
      </c>
      <c r="P102" t="e">
        <f>IF(IF(X$2="Catégorie",IF(X$3="Toutes",SUMIFS('Étape 1 - à remplir'!$F$31:$F$400,'Étape 1 - à remplir'!$E$31:$E$400,MASQ2!O102,'Étape 1 - à remplir'!$G$31:$G$400,"animaux"),SUMIFS('Étape 1 - à remplir'!$F$31:$F$400,'Étape 1 - à remplir'!$E$31:$E$400,MASQ2!O102,'Étape 1 - à remplir'!$C$31:$C$400,X$3)),IF(X$2="Âge",IF(X$3="Tous",SUMIFS('Étape 1 - à remplir'!$F$31:$F$400,'Étape 1 - à remplir'!$E$31:$E$400,MASQ2!O102,'Étape 1 - à remplir'!$G$31:$G$400,"animaux"),SUMIFS('Étape 1 - à remplir'!$F$31:$F$400,'Étape 1 - à remplir'!$E$31:$E$400,MASQ2!O102,'Étape 1 - à remplir'!$P$31:$P$400,X$3)),IF(X$2="Atelier",IF(X$3="Tous",SUMIFS('Étape 1 - à remplir'!$F$31:$F$400,'Étape 1 - à remplir'!$E$31:$E$400,MASQ2!O102,'Étape 1 - à remplir'!$G$31:$G$400,"animaux"),SUMIFS('Étape 1 - à remplir'!$F$31:$F$400,'Étape 1 - à remplir'!$E$31:$E$400,MASQ2!O102,'Étape 1 - à remplir'!$O$31:$O$400,X$3)),IF(X$2="Espèce",IF(X$3="Toutes",SUMIFS('Étape 1 - à remplir'!$F$31:$F$400,'Étape 1 - à remplir'!$E$31:$E$400,MASQ2!O102,'Étape 1 - à remplir'!$G$31:$G$400,"animaux"),SUMIFS('Étape 1 - à remplir'!$F$31:$F$400,'Étape 1 - à remplir'!$E$31:$E$400,MASQ2!O102,'Étape 1 - à remplir'!$N$31:$N$400,X$3))))))=0,NA(),IF(X$2="Catégorie",IF(X$3="Toutes",SUMIFS('Étape 1 - à remplir'!$F$31:$F$400,'Étape 1 - à remplir'!$E$31:$E$400,MASQ2!O102,'Étape 1 - à remplir'!$G$31:$G$400,"animaux"),SUMIFS('Étape 1 - à remplir'!$F$31:$F$400,'Étape 1 - à remplir'!$E$31:$E$400,MASQ2!O102,'Étape 1 - à remplir'!$C$31:$C$400,X$3)),IF(X$2="Âge",IF(X$3="Tous",SUMIFS('Étape 1 - à remplir'!$F$31:$F$400,'Étape 1 - à remplir'!$E$31:$E$400,MASQ2!O102,'Étape 1 - à remplir'!$G$31:$G$400,"animaux"),SUMIFS('Étape 1 - à remplir'!$F$31:$F$400,'Étape 1 - à remplir'!$E$31:$E$400,MASQ2!O102,'Étape 1 - à remplir'!$P$31:$P$400,X$3)),IF(X$2="Atelier",IF(X$3="Tous",SUMIFS('Étape 1 - à remplir'!$F$31:$F$400,'Étape 1 - à remplir'!$E$31:$E$400,MASQ2!O102,'Étape 1 - à remplir'!$G$31:$G$400,"animaux"),SUMIFS('Étape 1 - à remplir'!$F$31:$F$400,'Étape 1 - à remplir'!$E$31:$E$400,MASQ2!O102,'Étape 1 - à remplir'!$O$31:$O$400,X$3)),IF(X$2="Espèce",IF(X$3="Toutes",SUMIFS('Étape 1 - à remplir'!$F$31:$F$400,'Étape 1 - à remplir'!$E$31:$E$400,MASQ2!O102,'Étape 1 - à remplir'!$G$31:$G$400,"animaux"),SUMIFS('Étape 1 - à remplir'!$F$31:$F$400,'Étape 1 - à remplir'!$E$31:$E$400,MASQ2!O102,'Étape 1 - à remplir'!$N$31:$N$400,X$3)))))))</f>
        <v>#N/A</v>
      </c>
      <c r="Q102" s="63">
        <f t="shared" si="151"/>
        <v>0</v>
      </c>
      <c r="R102" t="str">
        <f>Données_ATB!BM101</f>
        <v>Chlortétracycline</v>
      </c>
      <c r="S102" t="str">
        <f>Données_ATB!BN101</f>
        <v>Sulfaméthoxypyridazine</v>
      </c>
      <c r="T102" s="63" t="str">
        <f>Données_ATB!BO101</f>
        <v/>
      </c>
      <c r="U102" s="42" t="str">
        <f>Données_ATB!BQ101</f>
        <v>Tetracyclines</v>
      </c>
      <c r="V102" t="str">
        <f>Données_ATB!BR101</f>
        <v>Sulfamides</v>
      </c>
      <c r="W102" s="63" t="str">
        <f>Données_ATB!BS101</f>
        <v/>
      </c>
      <c r="Z102" s="42">
        <v>99</v>
      </c>
      <c r="AA102" t="e">
        <f t="shared" si="147"/>
        <v>#N/A</v>
      </c>
      <c r="AB102" s="63" t="e">
        <f t="shared" si="148"/>
        <v>#N/A</v>
      </c>
      <c r="BF102" s="63"/>
      <c r="BT102" s="194" t="str">
        <f t="shared" ca="1" si="131"/>
        <v/>
      </c>
      <c r="BU102" s="219" t="str">
        <f>IFERROR(IF(BX102=0,"",COUNTIF(BX$4:BX$600,"&gt;"&amp;BX102)+COUNTIF(BX$4:BX102,BX102)),"")</f>
        <v/>
      </c>
      <c r="BV102" s="42" t="str">
        <f t="shared" si="132"/>
        <v>CHLORIDAZINE S</v>
      </c>
      <c r="BW102" t="e">
        <f>IF(IF(CE$2="Catégorie",IF(CE$3="Toutes",SUMIFS('Étape 1 - à remplir'!$F$31:$F$400,'Étape 1 - à remplir'!$E$31:$E$400,MASQ2!BV102,'Étape 1 - à remplir'!$G$31:$G$400,"lots"),SUMIFS('Étape 1 - à remplir'!$F$31:$F$400,'Étape 1 - à remplir'!$E$31:$E$400,MASQ2!BV102,'Étape 1 - à remplir'!$C$31:$C$400,CE$3)),IF(CE$2="Âge",IF(CE$3="Tous",SUMIFS('Étape 1 - à remplir'!$F$31:$F$400,'Étape 1 - à remplir'!$E$31:$E$400,MASQ2!BV102,'Étape 1 - à remplir'!$G$31:$G$400,"lots"),SUMIFS('Étape 1 - à remplir'!$F$31:$F$400,'Étape 1 - à remplir'!$E$31:$E$400,MASQ2!BV102,'Étape 1 - à remplir'!$P$31:$P$400,CE$3,'Étape 1 - à remplir'!$G$31:$G$400,"lots")),IF(CE$2="Atelier",IF(CE$3="Tous",SUMIFS('Étape 1 - à remplir'!$F$31:$F$400,'Étape 1 - à remplir'!$E$31:$E$400,MASQ2!BV102,'Étape 1 - à remplir'!$G$31:$G$400,"lots"),SUMIFS('Étape 1 - à remplir'!$F$31:$F$400,'Étape 1 - à remplir'!$E$31:$E$400,MASQ2!BV102,'Étape 1 - à remplir'!$O$31:$O$400,CE$3,'Étape 1 - à remplir'!$G$31:$G$400,"lots")),IF(CE$2="Espèce",IF(CE$3="Toutes",SUMIFS('Étape 1 - à remplir'!$F$31:$F$400,'Étape 1 - à remplir'!$E$31:$E$400,MASQ2!BV102,'Étape 1 - à remplir'!$G$31:$G$400,"lots"),SUMIFS('Étape 1 - à remplir'!$F$31:$F$400,'Étape 1 - à remplir'!$E$31:$E$400,MASQ2!BV102,'Étape 1 - à remplir'!$N$31:$N$400,CE$3,'Étape 1 - à remplir'!$G$31:$G$400,"lots"))))))=0,NA(),IF(CE$2="Catégorie",IF(CE$3="Toutes",SUMIFS('Étape 1 - à remplir'!$F$31:$F$400,'Étape 1 - à remplir'!$E$31:$E$400,MASQ2!BV102,'Étape 1 - à remplir'!$G$31:$G$400,"lots"),SUMIFS('Étape 1 - à remplir'!$F$31:$F$400,'Étape 1 - à remplir'!$E$31:$E$400,MASQ2!BV102,'Étape 1 - à remplir'!$C$31:$C$400,CE$3)),IF(CE$2="Âge",IF(CE$3="Tous",SUMIFS('Étape 1 - à remplir'!$F$31:$F$400,'Étape 1 - à remplir'!$E$31:$E$400,MASQ2!BV102,'Étape 1 - à remplir'!$G$31:$G$400,"lots"),SUMIFS('Étape 1 - à remplir'!$F$31:$F$400,'Étape 1 - à remplir'!$E$31:$E$400,MASQ2!BV102,'Étape 1 - à remplir'!$P$31:$P$400,CE$3,'Étape 1 - à remplir'!$G$31:$G$400,"lots")),IF(CE$2="Atelier",IF(CE$3="Tous",SUMIFS('Étape 1 - à remplir'!$F$31:$F$400,'Étape 1 - à remplir'!$E$31:$E$400,MASQ2!BV102,'Étape 1 - à remplir'!$G$31:$G$400,"lots"),SUMIFS('Étape 1 - à remplir'!$F$31:$F$400,'Étape 1 - à remplir'!$E$31:$E$400,MASQ2!BV102,'Étape 1 - à remplir'!$O$31:$O$400,CE$3,'Étape 1 - à remplir'!$G$31:$G$400,"lots")),IF(CE$2="Espèce",IF(CE$3="Toutes",SUMIFS('Étape 1 - à remplir'!$F$31:$F$400,'Étape 1 - à remplir'!$E$31:$E$400,MASQ2!BV102,'Étape 1 - à remplir'!$G$31:$G$400,"lots"),SUMIFS('Étape 1 - à remplir'!$F$31:$F$400,'Étape 1 - à remplir'!$E$31:$E$400,MASQ2!BV102,'Étape 1 - à remplir'!$N$31:$N$400,CE$3,'Étape 1 - à remplir'!$G$31:$G$400,"lots")))))))</f>
        <v>#N/A</v>
      </c>
      <c r="BX102">
        <f t="shared" si="149"/>
        <v>0</v>
      </c>
      <c r="BY102" t="str">
        <f t="shared" si="133"/>
        <v>Chlortétracycline</v>
      </c>
      <c r="BZ102" t="str">
        <f t="shared" si="134"/>
        <v>Sulfaméthoxypyridazine</v>
      </c>
      <c r="CA102" t="str">
        <f t="shared" si="135"/>
        <v/>
      </c>
      <c r="CB102" t="str">
        <f t="shared" si="136"/>
        <v>Tetracyclines</v>
      </c>
      <c r="CC102" t="str">
        <f t="shared" si="137"/>
        <v>Sulfamides</v>
      </c>
      <c r="CD102" s="63" t="str">
        <f t="shared" si="138"/>
        <v/>
      </c>
      <c r="CG102" s="42">
        <v>99</v>
      </c>
      <c r="CH102" s="42" t="e">
        <f t="shared" si="163"/>
        <v>#N/A</v>
      </c>
      <c r="CI102" s="63" t="e">
        <f t="shared" si="164"/>
        <v>#N/A</v>
      </c>
      <c r="DM102" s="63"/>
      <c r="EA102" s="194" t="str">
        <f t="shared" ca="1" si="139"/>
        <v/>
      </c>
      <c r="EB102" s="226" t="str">
        <f>IFERROR(IF(ED102=0,"",COUNTIF(ED$4:ED$600,"&gt;"&amp;ED102)+COUNTIF(ED$4:ED102,ED102)),"")</f>
        <v/>
      </c>
      <c r="EC102" t="str">
        <f t="shared" si="140"/>
        <v>CHLORIDAZINE S</v>
      </c>
      <c r="ED102" t="e">
        <f>IF(IF(EL$2="Catégorie",IF(EL$3="Toutes",SUMIFS('Étape 1 - à remplir'!$F$31:$F$400,'Étape 1 - à remplir'!$E$31:$E$400,MASQ2!EC102,'Étape 1 - à remplir'!$G$31:$G$400,"kg"),SUMIFS('Étape 1 - à remplir'!$F$31:$F$400,'Étape 1 - à remplir'!$E$31:$E$400,MASQ2!EC102,'Étape 1 - à remplir'!$C$31:$C$400,EL$3)),IF(EL$2="Âge",IF(EL$3="Tous",SUMIFS('Étape 1 - à remplir'!$F$31:$F$400,'Étape 1 - à remplir'!$E$31:$E$400,MASQ2!EC102,'Étape 1 - à remplir'!$G$31:$G$400,"kg"),SUMIFS('Étape 1 - à remplir'!$F$31:$F$400,'Étape 1 - à remplir'!$E$31:$E$400,MASQ2!EC102,'Étape 1 - à remplir'!$P$31:$P$400,EL$3,'Étape 1 - à remplir'!$G$31:$G$400,"kg")),IF(EL$2="Atelier",IF(EL$3="Tous",SUMIFS('Étape 1 - à remplir'!$F$31:$F$400,'Étape 1 - à remplir'!$E$31:$E$400,MASQ2!EC102,'Étape 1 - à remplir'!$G$31:$G$400,"kg"),SUMIFS('Étape 1 - à remplir'!$F$31:$F$400,'Étape 1 - à remplir'!$E$31:$E$400,MASQ2!EC102,'Étape 1 - à remplir'!$O$31:$O$400,EL$3,'Étape 1 - à remplir'!$G$31:$G$400,"kg")),IF(EL$2="Espèce",IF(EL$3="Toutes",SUMIFS('Étape 1 - à remplir'!$F$31:$F$400,'Étape 1 - à remplir'!$E$31:$E$400,MASQ2!EC102,'Étape 1 - à remplir'!$G$31:$G$400,"kg"),SUMIFS('Étape 1 - à remplir'!$F$31:$F$400,'Étape 1 - à remplir'!$E$31:$E$400,MASQ2!EC102,'Étape 1 - à remplir'!$N$31:$N$400,EL$3,'Étape 1 - à remplir'!$G$31:$G$400,"kg"))))))=0,NA(),IF(EL$2="Catégorie",IF(EL$3="Toutes",SUMIFS('Étape 1 - à remplir'!$F$31:$F$400,'Étape 1 - à remplir'!$E$31:$E$400,MASQ2!EC102,'Étape 1 - à remplir'!$G$31:$G$400,"kg"),SUMIFS('Étape 1 - à remplir'!$F$31:$F$400,'Étape 1 - à remplir'!$E$31:$E$400,MASQ2!EC102,'Étape 1 - à remplir'!$C$31:$C$400,EL$3)),IF(EL$2="Âge",IF(EL$3="Tous",SUMIFS('Étape 1 - à remplir'!$F$31:$F$400,'Étape 1 - à remplir'!$E$31:$E$400,MASQ2!EC102,'Étape 1 - à remplir'!$G$31:$G$400,"kg"),SUMIFS('Étape 1 - à remplir'!$F$31:$F$400,'Étape 1 - à remplir'!$E$31:$E$400,MASQ2!EC102,'Étape 1 - à remplir'!$P$31:$P$400,EL$3,'Étape 1 - à remplir'!$G$31:$G$400,"kg")),IF(EL$2="Atelier",IF(EL$3="Tous",SUMIFS('Étape 1 - à remplir'!$F$31:$F$400,'Étape 1 - à remplir'!$E$31:$E$400,MASQ2!EC102,'Étape 1 - à remplir'!$G$31:$G$400,"kg"),SUMIFS('Étape 1 - à remplir'!$F$31:$F$400,'Étape 1 - à remplir'!$E$31:$E$400,MASQ2!EC102,'Étape 1 - à remplir'!$O$31:$O$400,EL$3,'Étape 1 - à remplir'!$G$31:$G$400,"kg")),IF(EL$2="Espèce",IF(EL$3="Toutes",SUMIFS('Étape 1 - à remplir'!$F$31:$F$400,'Étape 1 - à remplir'!$E$31:$E$400,MASQ2!EC102,'Étape 1 - à remplir'!$G$31:$G$400,"kg"),SUMIFS('Étape 1 - à remplir'!$F$31:$F$400,'Étape 1 - à remplir'!$E$31:$E$400,MASQ2!EC102,'Étape 1 - à remplir'!$N$31:$N$400,EL$3,'Étape 1 - à remplir'!$G$31:$G$400,"kg")))))))</f>
        <v>#N/A</v>
      </c>
      <c r="EE102" s="76">
        <f t="shared" si="150"/>
        <v>0</v>
      </c>
      <c r="EF102" t="str">
        <f t="shared" si="141"/>
        <v>Chlortétracycline</v>
      </c>
      <c r="EG102" t="str">
        <f t="shared" si="142"/>
        <v>Sulfaméthoxypyridazine</v>
      </c>
      <c r="EH102" t="str">
        <f t="shared" si="143"/>
        <v/>
      </c>
      <c r="EI102" t="str">
        <f t="shared" si="144"/>
        <v>Tetracyclines</v>
      </c>
      <c r="EJ102" t="str">
        <f t="shared" si="145"/>
        <v>Sulfamides</v>
      </c>
      <c r="EK102" s="63" t="str">
        <f t="shared" si="146"/>
        <v/>
      </c>
      <c r="EN102" s="42">
        <v>99</v>
      </c>
      <c r="EO102" t="e">
        <f t="shared" si="152"/>
        <v>#N/A</v>
      </c>
      <c r="EP102" s="63" t="e">
        <f t="shared" si="153"/>
        <v>#N/A</v>
      </c>
      <c r="FT102" s="63"/>
    </row>
    <row r="103" spans="2:176" x14ac:dyDescent="0.3">
      <c r="B103" s="42"/>
      <c r="M103" s="194" t="str">
        <f ca="1">INDEX(Données_ATB!BD:BU,MATCH(MASQ2!O103,Données_ATB!BD:BD,0),18)</f>
        <v/>
      </c>
      <c r="N103" s="14" t="str">
        <f>IFERROR(IF(Q103=0,"",COUNTIF(Q$4:Q$600,"&gt;"&amp;Q103)+COUNTIF(Q$4:Q103,Q103)),"")</f>
        <v/>
      </c>
      <c r="O103" t="str">
        <f>Données_ATB!BD102</f>
        <v>CHLORTERACYCLINE 0,50G VETOQUINOL</v>
      </c>
      <c r="P103" t="e">
        <f>IF(IF(X$2="Catégorie",IF(X$3="Toutes",SUMIFS('Étape 1 - à remplir'!$F$31:$F$400,'Étape 1 - à remplir'!$E$31:$E$400,MASQ2!O103,'Étape 1 - à remplir'!$G$31:$G$400,"animaux"),SUMIFS('Étape 1 - à remplir'!$F$31:$F$400,'Étape 1 - à remplir'!$E$31:$E$400,MASQ2!O103,'Étape 1 - à remplir'!$C$31:$C$400,X$3)),IF(X$2="Âge",IF(X$3="Tous",SUMIFS('Étape 1 - à remplir'!$F$31:$F$400,'Étape 1 - à remplir'!$E$31:$E$400,MASQ2!O103,'Étape 1 - à remplir'!$G$31:$G$400,"animaux"),SUMIFS('Étape 1 - à remplir'!$F$31:$F$400,'Étape 1 - à remplir'!$E$31:$E$400,MASQ2!O103,'Étape 1 - à remplir'!$P$31:$P$400,X$3)),IF(X$2="Atelier",IF(X$3="Tous",SUMIFS('Étape 1 - à remplir'!$F$31:$F$400,'Étape 1 - à remplir'!$E$31:$E$400,MASQ2!O103,'Étape 1 - à remplir'!$G$31:$G$400,"animaux"),SUMIFS('Étape 1 - à remplir'!$F$31:$F$400,'Étape 1 - à remplir'!$E$31:$E$400,MASQ2!O103,'Étape 1 - à remplir'!$O$31:$O$400,X$3)),IF(X$2="Espèce",IF(X$3="Toutes",SUMIFS('Étape 1 - à remplir'!$F$31:$F$400,'Étape 1 - à remplir'!$E$31:$E$400,MASQ2!O103,'Étape 1 - à remplir'!$G$31:$G$400,"animaux"),SUMIFS('Étape 1 - à remplir'!$F$31:$F$400,'Étape 1 - à remplir'!$E$31:$E$400,MASQ2!O103,'Étape 1 - à remplir'!$N$31:$N$400,X$3))))))=0,NA(),IF(X$2="Catégorie",IF(X$3="Toutes",SUMIFS('Étape 1 - à remplir'!$F$31:$F$400,'Étape 1 - à remplir'!$E$31:$E$400,MASQ2!O103,'Étape 1 - à remplir'!$G$31:$G$400,"animaux"),SUMIFS('Étape 1 - à remplir'!$F$31:$F$400,'Étape 1 - à remplir'!$E$31:$E$400,MASQ2!O103,'Étape 1 - à remplir'!$C$31:$C$400,X$3)),IF(X$2="Âge",IF(X$3="Tous",SUMIFS('Étape 1 - à remplir'!$F$31:$F$400,'Étape 1 - à remplir'!$E$31:$E$400,MASQ2!O103,'Étape 1 - à remplir'!$G$31:$G$400,"animaux"),SUMIFS('Étape 1 - à remplir'!$F$31:$F$400,'Étape 1 - à remplir'!$E$31:$E$400,MASQ2!O103,'Étape 1 - à remplir'!$P$31:$P$400,X$3)),IF(X$2="Atelier",IF(X$3="Tous",SUMIFS('Étape 1 - à remplir'!$F$31:$F$400,'Étape 1 - à remplir'!$E$31:$E$400,MASQ2!O103,'Étape 1 - à remplir'!$G$31:$G$400,"animaux"),SUMIFS('Étape 1 - à remplir'!$F$31:$F$400,'Étape 1 - à remplir'!$E$31:$E$400,MASQ2!O103,'Étape 1 - à remplir'!$O$31:$O$400,X$3)),IF(X$2="Espèce",IF(X$3="Toutes",SUMIFS('Étape 1 - à remplir'!$F$31:$F$400,'Étape 1 - à remplir'!$E$31:$E$400,MASQ2!O103,'Étape 1 - à remplir'!$G$31:$G$400,"animaux"),SUMIFS('Étape 1 - à remplir'!$F$31:$F$400,'Étape 1 - à remplir'!$E$31:$E$400,MASQ2!O103,'Étape 1 - à remplir'!$N$31:$N$400,X$3)))))))</f>
        <v>#N/A</v>
      </c>
      <c r="Q103" s="63">
        <f t="shared" si="151"/>
        <v>0</v>
      </c>
      <c r="R103" t="str">
        <f>Données_ATB!BM102</f>
        <v>Chlortétracycline</v>
      </c>
      <c r="S103" t="str">
        <f>Données_ATB!BN102</f>
        <v/>
      </c>
      <c r="T103" s="63" t="str">
        <f>Données_ATB!BO102</f>
        <v/>
      </c>
      <c r="U103" s="42" t="str">
        <f>Données_ATB!BQ102</f>
        <v>Tetracyclines</v>
      </c>
      <c r="V103" t="str">
        <f>Données_ATB!BR102</f>
        <v/>
      </c>
      <c r="W103" s="63" t="str">
        <f>Données_ATB!BS102</f>
        <v/>
      </c>
      <c r="Z103" s="42">
        <v>100</v>
      </c>
      <c r="AA103" t="e">
        <f t="shared" si="147"/>
        <v>#N/A</v>
      </c>
      <c r="AB103" s="63" t="e">
        <f t="shared" si="148"/>
        <v>#N/A</v>
      </c>
      <c r="BF103" s="63"/>
      <c r="BT103" s="194" t="str">
        <f t="shared" ca="1" si="131"/>
        <v/>
      </c>
      <c r="BU103" s="219" t="str">
        <f>IFERROR(IF(BX103=0,"",COUNTIF(BX$4:BX$600,"&gt;"&amp;BX103)+COUNTIF(BX$4:BX103,BX103)),"")</f>
        <v/>
      </c>
      <c r="BV103" s="42" t="str">
        <f t="shared" si="132"/>
        <v>CHLORTERACYCLINE 0,50G VETOQUINOL</v>
      </c>
      <c r="BW103" t="e">
        <f>IF(IF(CE$2="Catégorie",IF(CE$3="Toutes",SUMIFS('Étape 1 - à remplir'!$F$31:$F$400,'Étape 1 - à remplir'!$E$31:$E$400,MASQ2!BV103,'Étape 1 - à remplir'!$G$31:$G$400,"lots"),SUMIFS('Étape 1 - à remplir'!$F$31:$F$400,'Étape 1 - à remplir'!$E$31:$E$400,MASQ2!BV103,'Étape 1 - à remplir'!$C$31:$C$400,CE$3)),IF(CE$2="Âge",IF(CE$3="Tous",SUMIFS('Étape 1 - à remplir'!$F$31:$F$400,'Étape 1 - à remplir'!$E$31:$E$400,MASQ2!BV103,'Étape 1 - à remplir'!$G$31:$G$400,"lots"),SUMIFS('Étape 1 - à remplir'!$F$31:$F$400,'Étape 1 - à remplir'!$E$31:$E$400,MASQ2!BV103,'Étape 1 - à remplir'!$P$31:$P$400,CE$3,'Étape 1 - à remplir'!$G$31:$G$400,"lots")),IF(CE$2="Atelier",IF(CE$3="Tous",SUMIFS('Étape 1 - à remplir'!$F$31:$F$400,'Étape 1 - à remplir'!$E$31:$E$400,MASQ2!BV103,'Étape 1 - à remplir'!$G$31:$G$400,"lots"),SUMIFS('Étape 1 - à remplir'!$F$31:$F$400,'Étape 1 - à remplir'!$E$31:$E$400,MASQ2!BV103,'Étape 1 - à remplir'!$O$31:$O$400,CE$3,'Étape 1 - à remplir'!$G$31:$G$400,"lots")),IF(CE$2="Espèce",IF(CE$3="Toutes",SUMIFS('Étape 1 - à remplir'!$F$31:$F$400,'Étape 1 - à remplir'!$E$31:$E$400,MASQ2!BV103,'Étape 1 - à remplir'!$G$31:$G$400,"lots"),SUMIFS('Étape 1 - à remplir'!$F$31:$F$400,'Étape 1 - à remplir'!$E$31:$E$400,MASQ2!BV103,'Étape 1 - à remplir'!$N$31:$N$400,CE$3,'Étape 1 - à remplir'!$G$31:$G$400,"lots"))))))=0,NA(),IF(CE$2="Catégorie",IF(CE$3="Toutes",SUMIFS('Étape 1 - à remplir'!$F$31:$F$400,'Étape 1 - à remplir'!$E$31:$E$400,MASQ2!BV103,'Étape 1 - à remplir'!$G$31:$G$400,"lots"),SUMIFS('Étape 1 - à remplir'!$F$31:$F$400,'Étape 1 - à remplir'!$E$31:$E$400,MASQ2!BV103,'Étape 1 - à remplir'!$C$31:$C$400,CE$3)),IF(CE$2="Âge",IF(CE$3="Tous",SUMIFS('Étape 1 - à remplir'!$F$31:$F$400,'Étape 1 - à remplir'!$E$31:$E$400,MASQ2!BV103,'Étape 1 - à remplir'!$G$31:$G$400,"lots"),SUMIFS('Étape 1 - à remplir'!$F$31:$F$400,'Étape 1 - à remplir'!$E$31:$E$400,MASQ2!BV103,'Étape 1 - à remplir'!$P$31:$P$400,CE$3,'Étape 1 - à remplir'!$G$31:$G$400,"lots")),IF(CE$2="Atelier",IF(CE$3="Tous",SUMIFS('Étape 1 - à remplir'!$F$31:$F$400,'Étape 1 - à remplir'!$E$31:$E$400,MASQ2!BV103,'Étape 1 - à remplir'!$G$31:$G$400,"lots"),SUMIFS('Étape 1 - à remplir'!$F$31:$F$400,'Étape 1 - à remplir'!$E$31:$E$400,MASQ2!BV103,'Étape 1 - à remplir'!$O$31:$O$400,CE$3,'Étape 1 - à remplir'!$G$31:$G$400,"lots")),IF(CE$2="Espèce",IF(CE$3="Toutes",SUMIFS('Étape 1 - à remplir'!$F$31:$F$400,'Étape 1 - à remplir'!$E$31:$E$400,MASQ2!BV103,'Étape 1 - à remplir'!$G$31:$G$400,"lots"),SUMIFS('Étape 1 - à remplir'!$F$31:$F$400,'Étape 1 - à remplir'!$E$31:$E$400,MASQ2!BV103,'Étape 1 - à remplir'!$N$31:$N$400,CE$3,'Étape 1 - à remplir'!$G$31:$G$400,"lots")))))))</f>
        <v>#N/A</v>
      </c>
      <c r="BX103">
        <f t="shared" si="149"/>
        <v>0</v>
      </c>
      <c r="BY103" t="str">
        <f t="shared" si="133"/>
        <v>Chlortétracycline</v>
      </c>
      <c r="BZ103" t="str">
        <f t="shared" si="134"/>
        <v/>
      </c>
      <c r="CA103" t="str">
        <f t="shared" si="135"/>
        <v/>
      </c>
      <c r="CB103" t="str">
        <f t="shared" si="136"/>
        <v>Tetracyclines</v>
      </c>
      <c r="CC103" t="str">
        <f t="shared" si="137"/>
        <v/>
      </c>
      <c r="CD103" s="63" t="str">
        <f t="shared" si="138"/>
        <v/>
      </c>
      <c r="CG103" s="42">
        <v>100</v>
      </c>
      <c r="CH103" s="42" t="e">
        <f t="shared" si="163"/>
        <v>#N/A</v>
      </c>
      <c r="CI103" s="63" t="e">
        <f t="shared" si="164"/>
        <v>#N/A</v>
      </c>
      <c r="DM103" s="63"/>
      <c r="EA103" s="194" t="str">
        <f t="shared" ca="1" si="139"/>
        <v/>
      </c>
      <c r="EB103" s="226" t="str">
        <f>IFERROR(IF(ED103=0,"",COUNTIF(ED$4:ED$600,"&gt;"&amp;ED103)+COUNTIF(ED$4:ED103,ED103)),"")</f>
        <v/>
      </c>
      <c r="EC103" t="str">
        <f t="shared" si="140"/>
        <v>CHLORTERACYCLINE 0,50G VETOQUINOL</v>
      </c>
      <c r="ED103" t="e">
        <f>IF(IF(EL$2="Catégorie",IF(EL$3="Toutes",SUMIFS('Étape 1 - à remplir'!$F$31:$F$400,'Étape 1 - à remplir'!$E$31:$E$400,MASQ2!EC103,'Étape 1 - à remplir'!$G$31:$G$400,"kg"),SUMIFS('Étape 1 - à remplir'!$F$31:$F$400,'Étape 1 - à remplir'!$E$31:$E$400,MASQ2!EC103,'Étape 1 - à remplir'!$C$31:$C$400,EL$3)),IF(EL$2="Âge",IF(EL$3="Tous",SUMIFS('Étape 1 - à remplir'!$F$31:$F$400,'Étape 1 - à remplir'!$E$31:$E$400,MASQ2!EC103,'Étape 1 - à remplir'!$G$31:$G$400,"kg"),SUMIFS('Étape 1 - à remplir'!$F$31:$F$400,'Étape 1 - à remplir'!$E$31:$E$400,MASQ2!EC103,'Étape 1 - à remplir'!$P$31:$P$400,EL$3,'Étape 1 - à remplir'!$G$31:$G$400,"kg")),IF(EL$2="Atelier",IF(EL$3="Tous",SUMIFS('Étape 1 - à remplir'!$F$31:$F$400,'Étape 1 - à remplir'!$E$31:$E$400,MASQ2!EC103,'Étape 1 - à remplir'!$G$31:$G$400,"kg"),SUMIFS('Étape 1 - à remplir'!$F$31:$F$400,'Étape 1 - à remplir'!$E$31:$E$400,MASQ2!EC103,'Étape 1 - à remplir'!$O$31:$O$400,EL$3,'Étape 1 - à remplir'!$G$31:$G$400,"kg")),IF(EL$2="Espèce",IF(EL$3="Toutes",SUMIFS('Étape 1 - à remplir'!$F$31:$F$400,'Étape 1 - à remplir'!$E$31:$E$400,MASQ2!EC103,'Étape 1 - à remplir'!$G$31:$G$400,"kg"),SUMIFS('Étape 1 - à remplir'!$F$31:$F$400,'Étape 1 - à remplir'!$E$31:$E$400,MASQ2!EC103,'Étape 1 - à remplir'!$N$31:$N$400,EL$3,'Étape 1 - à remplir'!$G$31:$G$400,"kg"))))))=0,NA(),IF(EL$2="Catégorie",IF(EL$3="Toutes",SUMIFS('Étape 1 - à remplir'!$F$31:$F$400,'Étape 1 - à remplir'!$E$31:$E$400,MASQ2!EC103,'Étape 1 - à remplir'!$G$31:$G$400,"kg"),SUMIFS('Étape 1 - à remplir'!$F$31:$F$400,'Étape 1 - à remplir'!$E$31:$E$400,MASQ2!EC103,'Étape 1 - à remplir'!$C$31:$C$400,EL$3)),IF(EL$2="Âge",IF(EL$3="Tous",SUMIFS('Étape 1 - à remplir'!$F$31:$F$400,'Étape 1 - à remplir'!$E$31:$E$400,MASQ2!EC103,'Étape 1 - à remplir'!$G$31:$G$400,"kg"),SUMIFS('Étape 1 - à remplir'!$F$31:$F$400,'Étape 1 - à remplir'!$E$31:$E$400,MASQ2!EC103,'Étape 1 - à remplir'!$P$31:$P$400,EL$3,'Étape 1 - à remplir'!$G$31:$G$400,"kg")),IF(EL$2="Atelier",IF(EL$3="Tous",SUMIFS('Étape 1 - à remplir'!$F$31:$F$400,'Étape 1 - à remplir'!$E$31:$E$400,MASQ2!EC103,'Étape 1 - à remplir'!$G$31:$G$400,"kg"),SUMIFS('Étape 1 - à remplir'!$F$31:$F$400,'Étape 1 - à remplir'!$E$31:$E$400,MASQ2!EC103,'Étape 1 - à remplir'!$O$31:$O$400,EL$3,'Étape 1 - à remplir'!$G$31:$G$400,"kg")),IF(EL$2="Espèce",IF(EL$3="Toutes",SUMIFS('Étape 1 - à remplir'!$F$31:$F$400,'Étape 1 - à remplir'!$E$31:$E$400,MASQ2!EC103,'Étape 1 - à remplir'!$G$31:$G$400,"kg"),SUMIFS('Étape 1 - à remplir'!$F$31:$F$400,'Étape 1 - à remplir'!$E$31:$E$400,MASQ2!EC103,'Étape 1 - à remplir'!$N$31:$N$400,EL$3,'Étape 1 - à remplir'!$G$31:$G$400,"kg")))))))</f>
        <v>#N/A</v>
      </c>
      <c r="EE103" s="76">
        <f t="shared" si="150"/>
        <v>0</v>
      </c>
      <c r="EF103" t="str">
        <f t="shared" si="141"/>
        <v>Chlortétracycline</v>
      </c>
      <c r="EG103" t="str">
        <f t="shared" si="142"/>
        <v/>
      </c>
      <c r="EH103" t="str">
        <f t="shared" si="143"/>
        <v/>
      </c>
      <c r="EI103" t="str">
        <f t="shared" si="144"/>
        <v>Tetracyclines</v>
      </c>
      <c r="EJ103" t="str">
        <f t="shared" si="145"/>
        <v/>
      </c>
      <c r="EK103" s="63" t="str">
        <f t="shared" si="146"/>
        <v/>
      </c>
      <c r="EN103" s="42">
        <v>100</v>
      </c>
      <c r="EO103" t="e">
        <f t="shared" si="152"/>
        <v>#N/A</v>
      </c>
      <c r="EP103" s="63" t="e">
        <f t="shared" si="153"/>
        <v>#N/A</v>
      </c>
      <c r="FT103" s="63"/>
    </row>
    <row r="104" spans="2:176" x14ac:dyDescent="0.3">
      <c r="B104" s="42"/>
      <c r="M104" s="194" t="str">
        <f ca="1">INDEX(Données_ATB!BD:BU,MATCH(MASQ2!O104,Données_ATB!BD:BD,0),18)</f>
        <v/>
      </c>
      <c r="N104" s="14" t="str">
        <f>IFERROR(IF(Q104=0,"",COUNTIF(Q$4:Q$600,"&gt;"&amp;Q104)+COUNTIF(Q$4:Q104,Q104)),"")</f>
        <v/>
      </c>
      <c r="O104" t="str">
        <f>Données_ATB!BD103</f>
        <v>CHLORTETRACYCLINE 100 PORC ET AGNEAU-CHEVREAU SEVRES SANTAMIX</v>
      </c>
      <c r="P104" t="e">
        <f>IF(IF(X$2="Catégorie",IF(X$3="Toutes",SUMIFS('Étape 1 - à remplir'!$F$31:$F$400,'Étape 1 - à remplir'!$E$31:$E$400,MASQ2!O104,'Étape 1 - à remplir'!$G$31:$G$400,"animaux"),SUMIFS('Étape 1 - à remplir'!$F$31:$F$400,'Étape 1 - à remplir'!$E$31:$E$400,MASQ2!O104,'Étape 1 - à remplir'!$C$31:$C$400,X$3)),IF(X$2="Âge",IF(X$3="Tous",SUMIFS('Étape 1 - à remplir'!$F$31:$F$400,'Étape 1 - à remplir'!$E$31:$E$400,MASQ2!O104,'Étape 1 - à remplir'!$G$31:$G$400,"animaux"),SUMIFS('Étape 1 - à remplir'!$F$31:$F$400,'Étape 1 - à remplir'!$E$31:$E$400,MASQ2!O104,'Étape 1 - à remplir'!$P$31:$P$400,X$3)),IF(X$2="Atelier",IF(X$3="Tous",SUMIFS('Étape 1 - à remplir'!$F$31:$F$400,'Étape 1 - à remplir'!$E$31:$E$400,MASQ2!O104,'Étape 1 - à remplir'!$G$31:$G$400,"animaux"),SUMIFS('Étape 1 - à remplir'!$F$31:$F$400,'Étape 1 - à remplir'!$E$31:$E$400,MASQ2!O104,'Étape 1 - à remplir'!$O$31:$O$400,X$3)),IF(X$2="Espèce",IF(X$3="Toutes",SUMIFS('Étape 1 - à remplir'!$F$31:$F$400,'Étape 1 - à remplir'!$E$31:$E$400,MASQ2!O104,'Étape 1 - à remplir'!$G$31:$G$400,"animaux"),SUMIFS('Étape 1 - à remplir'!$F$31:$F$400,'Étape 1 - à remplir'!$E$31:$E$400,MASQ2!O104,'Étape 1 - à remplir'!$N$31:$N$400,X$3))))))=0,NA(),IF(X$2="Catégorie",IF(X$3="Toutes",SUMIFS('Étape 1 - à remplir'!$F$31:$F$400,'Étape 1 - à remplir'!$E$31:$E$400,MASQ2!O104,'Étape 1 - à remplir'!$G$31:$G$400,"animaux"),SUMIFS('Étape 1 - à remplir'!$F$31:$F$400,'Étape 1 - à remplir'!$E$31:$E$400,MASQ2!O104,'Étape 1 - à remplir'!$C$31:$C$400,X$3)),IF(X$2="Âge",IF(X$3="Tous",SUMIFS('Étape 1 - à remplir'!$F$31:$F$400,'Étape 1 - à remplir'!$E$31:$E$400,MASQ2!O104,'Étape 1 - à remplir'!$G$31:$G$400,"animaux"),SUMIFS('Étape 1 - à remplir'!$F$31:$F$400,'Étape 1 - à remplir'!$E$31:$E$400,MASQ2!O104,'Étape 1 - à remplir'!$P$31:$P$400,X$3)),IF(X$2="Atelier",IF(X$3="Tous",SUMIFS('Étape 1 - à remplir'!$F$31:$F$400,'Étape 1 - à remplir'!$E$31:$E$400,MASQ2!O104,'Étape 1 - à remplir'!$G$31:$G$400,"animaux"),SUMIFS('Étape 1 - à remplir'!$F$31:$F$400,'Étape 1 - à remplir'!$E$31:$E$400,MASQ2!O104,'Étape 1 - à remplir'!$O$31:$O$400,X$3)),IF(X$2="Espèce",IF(X$3="Toutes",SUMIFS('Étape 1 - à remplir'!$F$31:$F$400,'Étape 1 - à remplir'!$E$31:$E$400,MASQ2!O104,'Étape 1 - à remplir'!$G$31:$G$400,"animaux"),SUMIFS('Étape 1 - à remplir'!$F$31:$F$400,'Étape 1 - à remplir'!$E$31:$E$400,MASQ2!O104,'Étape 1 - à remplir'!$N$31:$N$400,X$3)))))))</f>
        <v>#N/A</v>
      </c>
      <c r="Q104" s="63">
        <f t="shared" si="151"/>
        <v>0</v>
      </c>
      <c r="R104" t="str">
        <f>Données_ATB!BM103</f>
        <v>Chlortétracycline</v>
      </c>
      <c r="S104" t="str">
        <f>Données_ATB!BN103</f>
        <v/>
      </c>
      <c r="T104" s="63" t="str">
        <f>Données_ATB!BO103</f>
        <v/>
      </c>
      <c r="U104" s="42" t="str">
        <f>Données_ATB!BQ103</f>
        <v>Tetracyclines</v>
      </c>
      <c r="V104" t="str">
        <f>Données_ATB!BR103</f>
        <v/>
      </c>
      <c r="W104" s="63" t="str">
        <f>Données_ATB!BS103</f>
        <v/>
      </c>
      <c r="Z104" s="42">
        <v>101</v>
      </c>
      <c r="AA104" t="e">
        <f t="shared" si="147"/>
        <v>#N/A</v>
      </c>
      <c r="AB104" s="63" t="e">
        <f t="shared" si="148"/>
        <v>#N/A</v>
      </c>
      <c r="BF104" s="63"/>
      <c r="BT104" s="194" t="str">
        <f t="shared" ca="1" si="131"/>
        <v/>
      </c>
      <c r="BU104" s="219" t="str">
        <f>IFERROR(IF(BX104=0,"",COUNTIF(BX$4:BX$600,"&gt;"&amp;BX104)+COUNTIF(BX$4:BX104,BX104)),"")</f>
        <v/>
      </c>
      <c r="BV104" s="42" t="str">
        <f t="shared" si="132"/>
        <v>CHLORTETRACYCLINE 100 PORC ET AGNEAU-CHEVREAU SEVRES SANTAMIX</v>
      </c>
      <c r="BW104" t="e">
        <f>IF(IF(CE$2="Catégorie",IF(CE$3="Toutes",SUMIFS('Étape 1 - à remplir'!$F$31:$F$400,'Étape 1 - à remplir'!$E$31:$E$400,MASQ2!BV104,'Étape 1 - à remplir'!$G$31:$G$400,"lots"),SUMIFS('Étape 1 - à remplir'!$F$31:$F$400,'Étape 1 - à remplir'!$E$31:$E$400,MASQ2!BV104,'Étape 1 - à remplir'!$C$31:$C$400,CE$3)),IF(CE$2="Âge",IF(CE$3="Tous",SUMIFS('Étape 1 - à remplir'!$F$31:$F$400,'Étape 1 - à remplir'!$E$31:$E$400,MASQ2!BV104,'Étape 1 - à remplir'!$G$31:$G$400,"lots"),SUMIFS('Étape 1 - à remplir'!$F$31:$F$400,'Étape 1 - à remplir'!$E$31:$E$400,MASQ2!BV104,'Étape 1 - à remplir'!$P$31:$P$400,CE$3,'Étape 1 - à remplir'!$G$31:$G$400,"lots")),IF(CE$2="Atelier",IF(CE$3="Tous",SUMIFS('Étape 1 - à remplir'!$F$31:$F$400,'Étape 1 - à remplir'!$E$31:$E$400,MASQ2!BV104,'Étape 1 - à remplir'!$G$31:$G$400,"lots"),SUMIFS('Étape 1 - à remplir'!$F$31:$F$400,'Étape 1 - à remplir'!$E$31:$E$400,MASQ2!BV104,'Étape 1 - à remplir'!$O$31:$O$400,CE$3,'Étape 1 - à remplir'!$G$31:$G$400,"lots")),IF(CE$2="Espèce",IF(CE$3="Toutes",SUMIFS('Étape 1 - à remplir'!$F$31:$F$400,'Étape 1 - à remplir'!$E$31:$E$400,MASQ2!BV104,'Étape 1 - à remplir'!$G$31:$G$400,"lots"),SUMIFS('Étape 1 - à remplir'!$F$31:$F$400,'Étape 1 - à remplir'!$E$31:$E$400,MASQ2!BV104,'Étape 1 - à remplir'!$N$31:$N$400,CE$3,'Étape 1 - à remplir'!$G$31:$G$400,"lots"))))))=0,NA(),IF(CE$2="Catégorie",IF(CE$3="Toutes",SUMIFS('Étape 1 - à remplir'!$F$31:$F$400,'Étape 1 - à remplir'!$E$31:$E$400,MASQ2!BV104,'Étape 1 - à remplir'!$G$31:$G$400,"lots"),SUMIFS('Étape 1 - à remplir'!$F$31:$F$400,'Étape 1 - à remplir'!$E$31:$E$400,MASQ2!BV104,'Étape 1 - à remplir'!$C$31:$C$400,CE$3)),IF(CE$2="Âge",IF(CE$3="Tous",SUMIFS('Étape 1 - à remplir'!$F$31:$F$400,'Étape 1 - à remplir'!$E$31:$E$400,MASQ2!BV104,'Étape 1 - à remplir'!$G$31:$G$400,"lots"),SUMIFS('Étape 1 - à remplir'!$F$31:$F$400,'Étape 1 - à remplir'!$E$31:$E$400,MASQ2!BV104,'Étape 1 - à remplir'!$P$31:$P$400,CE$3,'Étape 1 - à remplir'!$G$31:$G$400,"lots")),IF(CE$2="Atelier",IF(CE$3="Tous",SUMIFS('Étape 1 - à remplir'!$F$31:$F$400,'Étape 1 - à remplir'!$E$31:$E$400,MASQ2!BV104,'Étape 1 - à remplir'!$G$31:$G$400,"lots"),SUMIFS('Étape 1 - à remplir'!$F$31:$F$400,'Étape 1 - à remplir'!$E$31:$E$400,MASQ2!BV104,'Étape 1 - à remplir'!$O$31:$O$400,CE$3,'Étape 1 - à remplir'!$G$31:$G$400,"lots")),IF(CE$2="Espèce",IF(CE$3="Toutes",SUMIFS('Étape 1 - à remplir'!$F$31:$F$400,'Étape 1 - à remplir'!$E$31:$E$400,MASQ2!BV104,'Étape 1 - à remplir'!$G$31:$G$400,"lots"),SUMIFS('Étape 1 - à remplir'!$F$31:$F$400,'Étape 1 - à remplir'!$E$31:$E$400,MASQ2!BV104,'Étape 1 - à remplir'!$N$31:$N$400,CE$3,'Étape 1 - à remplir'!$G$31:$G$400,"lots")))))))</f>
        <v>#N/A</v>
      </c>
      <c r="BX104">
        <f t="shared" si="149"/>
        <v>0</v>
      </c>
      <c r="BY104" t="str">
        <f t="shared" si="133"/>
        <v>Chlortétracycline</v>
      </c>
      <c r="BZ104" t="str">
        <f t="shared" si="134"/>
        <v/>
      </c>
      <c r="CA104" t="str">
        <f t="shared" si="135"/>
        <v/>
      </c>
      <c r="CB104" t="str">
        <f t="shared" si="136"/>
        <v>Tetracyclines</v>
      </c>
      <c r="CC104" t="str">
        <f t="shared" si="137"/>
        <v/>
      </c>
      <c r="CD104" s="63" t="str">
        <f t="shared" si="138"/>
        <v/>
      </c>
      <c r="CG104" s="42">
        <v>101</v>
      </c>
      <c r="CH104" s="42" t="e">
        <f t="shared" si="163"/>
        <v>#N/A</v>
      </c>
      <c r="CI104" s="63" t="e">
        <f t="shared" si="164"/>
        <v>#N/A</v>
      </c>
      <c r="DM104" s="63"/>
      <c r="EA104" s="194" t="str">
        <f t="shared" ca="1" si="139"/>
        <v/>
      </c>
      <c r="EB104" s="226" t="str">
        <f>IFERROR(IF(ED104=0,"",COUNTIF(ED$4:ED$600,"&gt;"&amp;ED104)+COUNTIF(ED$4:ED104,ED104)),"")</f>
        <v/>
      </c>
      <c r="EC104" t="str">
        <f t="shared" si="140"/>
        <v>CHLORTETRACYCLINE 100 PORC ET AGNEAU-CHEVREAU SEVRES SANTAMIX</v>
      </c>
      <c r="ED104" t="e">
        <f>IF(IF(EL$2="Catégorie",IF(EL$3="Toutes",SUMIFS('Étape 1 - à remplir'!$F$31:$F$400,'Étape 1 - à remplir'!$E$31:$E$400,MASQ2!EC104,'Étape 1 - à remplir'!$G$31:$G$400,"kg"),SUMIFS('Étape 1 - à remplir'!$F$31:$F$400,'Étape 1 - à remplir'!$E$31:$E$400,MASQ2!EC104,'Étape 1 - à remplir'!$C$31:$C$400,EL$3)),IF(EL$2="Âge",IF(EL$3="Tous",SUMIFS('Étape 1 - à remplir'!$F$31:$F$400,'Étape 1 - à remplir'!$E$31:$E$400,MASQ2!EC104,'Étape 1 - à remplir'!$G$31:$G$400,"kg"),SUMIFS('Étape 1 - à remplir'!$F$31:$F$400,'Étape 1 - à remplir'!$E$31:$E$400,MASQ2!EC104,'Étape 1 - à remplir'!$P$31:$P$400,EL$3,'Étape 1 - à remplir'!$G$31:$G$400,"kg")),IF(EL$2="Atelier",IF(EL$3="Tous",SUMIFS('Étape 1 - à remplir'!$F$31:$F$400,'Étape 1 - à remplir'!$E$31:$E$400,MASQ2!EC104,'Étape 1 - à remplir'!$G$31:$G$400,"kg"),SUMIFS('Étape 1 - à remplir'!$F$31:$F$400,'Étape 1 - à remplir'!$E$31:$E$400,MASQ2!EC104,'Étape 1 - à remplir'!$O$31:$O$400,EL$3,'Étape 1 - à remplir'!$G$31:$G$400,"kg")),IF(EL$2="Espèce",IF(EL$3="Toutes",SUMIFS('Étape 1 - à remplir'!$F$31:$F$400,'Étape 1 - à remplir'!$E$31:$E$400,MASQ2!EC104,'Étape 1 - à remplir'!$G$31:$G$400,"kg"),SUMIFS('Étape 1 - à remplir'!$F$31:$F$400,'Étape 1 - à remplir'!$E$31:$E$400,MASQ2!EC104,'Étape 1 - à remplir'!$N$31:$N$400,EL$3,'Étape 1 - à remplir'!$G$31:$G$400,"kg"))))))=0,NA(),IF(EL$2="Catégorie",IF(EL$3="Toutes",SUMIFS('Étape 1 - à remplir'!$F$31:$F$400,'Étape 1 - à remplir'!$E$31:$E$400,MASQ2!EC104,'Étape 1 - à remplir'!$G$31:$G$400,"kg"),SUMIFS('Étape 1 - à remplir'!$F$31:$F$400,'Étape 1 - à remplir'!$E$31:$E$400,MASQ2!EC104,'Étape 1 - à remplir'!$C$31:$C$400,EL$3)),IF(EL$2="Âge",IF(EL$3="Tous",SUMIFS('Étape 1 - à remplir'!$F$31:$F$400,'Étape 1 - à remplir'!$E$31:$E$400,MASQ2!EC104,'Étape 1 - à remplir'!$G$31:$G$400,"kg"),SUMIFS('Étape 1 - à remplir'!$F$31:$F$400,'Étape 1 - à remplir'!$E$31:$E$400,MASQ2!EC104,'Étape 1 - à remplir'!$P$31:$P$400,EL$3,'Étape 1 - à remplir'!$G$31:$G$400,"kg")),IF(EL$2="Atelier",IF(EL$3="Tous",SUMIFS('Étape 1 - à remplir'!$F$31:$F$400,'Étape 1 - à remplir'!$E$31:$E$400,MASQ2!EC104,'Étape 1 - à remplir'!$G$31:$G$400,"kg"),SUMIFS('Étape 1 - à remplir'!$F$31:$F$400,'Étape 1 - à remplir'!$E$31:$E$400,MASQ2!EC104,'Étape 1 - à remplir'!$O$31:$O$400,EL$3,'Étape 1 - à remplir'!$G$31:$G$400,"kg")),IF(EL$2="Espèce",IF(EL$3="Toutes",SUMIFS('Étape 1 - à remplir'!$F$31:$F$400,'Étape 1 - à remplir'!$E$31:$E$400,MASQ2!EC104,'Étape 1 - à remplir'!$G$31:$G$400,"kg"),SUMIFS('Étape 1 - à remplir'!$F$31:$F$400,'Étape 1 - à remplir'!$E$31:$E$400,MASQ2!EC104,'Étape 1 - à remplir'!$N$31:$N$400,EL$3,'Étape 1 - à remplir'!$G$31:$G$400,"kg")))))))</f>
        <v>#N/A</v>
      </c>
      <c r="EE104" s="76">
        <f t="shared" si="150"/>
        <v>0</v>
      </c>
      <c r="EF104" t="str">
        <f t="shared" si="141"/>
        <v>Chlortétracycline</v>
      </c>
      <c r="EG104" t="str">
        <f t="shared" si="142"/>
        <v/>
      </c>
      <c r="EH104" t="str">
        <f t="shared" si="143"/>
        <v/>
      </c>
      <c r="EI104" t="str">
        <f t="shared" si="144"/>
        <v>Tetracyclines</v>
      </c>
      <c r="EJ104" t="str">
        <f t="shared" si="145"/>
        <v/>
      </c>
      <c r="EK104" s="63" t="str">
        <f t="shared" si="146"/>
        <v/>
      </c>
      <c r="EN104" s="42">
        <v>101</v>
      </c>
      <c r="EO104" t="e">
        <f t="shared" si="152"/>
        <v>#N/A</v>
      </c>
      <c r="EP104" s="63" t="e">
        <f t="shared" si="153"/>
        <v>#N/A</v>
      </c>
      <c r="FT104" s="63"/>
    </row>
    <row r="105" spans="2:176" x14ac:dyDescent="0.3">
      <c r="B105" s="42"/>
      <c r="M105" s="194" t="str">
        <f ca="1">INDEX(Données_ATB!BD:BU,MATCH(MASQ2!O105,Données_ATB!BD:BD,0),18)</f>
        <v/>
      </c>
      <c r="N105" s="14" t="str">
        <f>IFERROR(IF(Q105=0,"",COUNTIF(Q$4:Q$600,"&gt;"&amp;Q105)+COUNTIF(Q$4:Q105,Q105)),"")</f>
        <v/>
      </c>
      <c r="O105" t="str">
        <f>Données_ATB!BD104</f>
        <v>CHLORTETRACYCLINE 40 LAPIN-VOLAILLE-PORC ET AGNEAU-CHEVREAU SEVRES SANTAMIX</v>
      </c>
      <c r="P105" t="e">
        <f>IF(IF(X$2="Catégorie",IF(X$3="Toutes",SUMIFS('Étape 1 - à remplir'!$F$31:$F$400,'Étape 1 - à remplir'!$E$31:$E$400,MASQ2!O105,'Étape 1 - à remplir'!$G$31:$G$400,"animaux"),SUMIFS('Étape 1 - à remplir'!$F$31:$F$400,'Étape 1 - à remplir'!$E$31:$E$400,MASQ2!O105,'Étape 1 - à remplir'!$C$31:$C$400,X$3)),IF(X$2="Âge",IF(X$3="Tous",SUMIFS('Étape 1 - à remplir'!$F$31:$F$400,'Étape 1 - à remplir'!$E$31:$E$400,MASQ2!O105,'Étape 1 - à remplir'!$G$31:$G$400,"animaux"),SUMIFS('Étape 1 - à remplir'!$F$31:$F$400,'Étape 1 - à remplir'!$E$31:$E$400,MASQ2!O105,'Étape 1 - à remplir'!$P$31:$P$400,X$3)),IF(X$2="Atelier",IF(X$3="Tous",SUMIFS('Étape 1 - à remplir'!$F$31:$F$400,'Étape 1 - à remplir'!$E$31:$E$400,MASQ2!O105,'Étape 1 - à remplir'!$G$31:$G$400,"animaux"),SUMIFS('Étape 1 - à remplir'!$F$31:$F$400,'Étape 1 - à remplir'!$E$31:$E$400,MASQ2!O105,'Étape 1 - à remplir'!$O$31:$O$400,X$3)),IF(X$2="Espèce",IF(X$3="Toutes",SUMIFS('Étape 1 - à remplir'!$F$31:$F$400,'Étape 1 - à remplir'!$E$31:$E$400,MASQ2!O105,'Étape 1 - à remplir'!$G$31:$G$400,"animaux"),SUMIFS('Étape 1 - à remplir'!$F$31:$F$400,'Étape 1 - à remplir'!$E$31:$E$400,MASQ2!O105,'Étape 1 - à remplir'!$N$31:$N$400,X$3))))))=0,NA(),IF(X$2="Catégorie",IF(X$3="Toutes",SUMIFS('Étape 1 - à remplir'!$F$31:$F$400,'Étape 1 - à remplir'!$E$31:$E$400,MASQ2!O105,'Étape 1 - à remplir'!$G$31:$G$400,"animaux"),SUMIFS('Étape 1 - à remplir'!$F$31:$F$400,'Étape 1 - à remplir'!$E$31:$E$400,MASQ2!O105,'Étape 1 - à remplir'!$C$31:$C$400,X$3)),IF(X$2="Âge",IF(X$3="Tous",SUMIFS('Étape 1 - à remplir'!$F$31:$F$400,'Étape 1 - à remplir'!$E$31:$E$400,MASQ2!O105,'Étape 1 - à remplir'!$G$31:$G$400,"animaux"),SUMIFS('Étape 1 - à remplir'!$F$31:$F$400,'Étape 1 - à remplir'!$E$31:$E$400,MASQ2!O105,'Étape 1 - à remplir'!$P$31:$P$400,X$3)),IF(X$2="Atelier",IF(X$3="Tous",SUMIFS('Étape 1 - à remplir'!$F$31:$F$400,'Étape 1 - à remplir'!$E$31:$E$400,MASQ2!O105,'Étape 1 - à remplir'!$G$31:$G$400,"animaux"),SUMIFS('Étape 1 - à remplir'!$F$31:$F$400,'Étape 1 - à remplir'!$E$31:$E$400,MASQ2!O105,'Étape 1 - à remplir'!$O$31:$O$400,X$3)),IF(X$2="Espèce",IF(X$3="Toutes",SUMIFS('Étape 1 - à remplir'!$F$31:$F$400,'Étape 1 - à remplir'!$E$31:$E$400,MASQ2!O105,'Étape 1 - à remplir'!$G$31:$G$400,"animaux"),SUMIFS('Étape 1 - à remplir'!$F$31:$F$400,'Étape 1 - à remplir'!$E$31:$E$400,MASQ2!O105,'Étape 1 - à remplir'!$N$31:$N$400,X$3)))))))</f>
        <v>#N/A</v>
      </c>
      <c r="Q105" s="63">
        <f t="shared" si="151"/>
        <v>0</v>
      </c>
      <c r="R105" t="str">
        <f>Données_ATB!BM104</f>
        <v>Chlortétracycline</v>
      </c>
      <c r="S105" t="str">
        <f>Données_ATB!BN104</f>
        <v/>
      </c>
      <c r="T105" s="63" t="str">
        <f>Données_ATB!BO104</f>
        <v/>
      </c>
      <c r="U105" s="42" t="str">
        <f>Données_ATB!BQ104</f>
        <v>Tetracyclines</v>
      </c>
      <c r="V105" t="str">
        <f>Données_ATB!BR104</f>
        <v/>
      </c>
      <c r="W105" s="63" t="str">
        <f>Données_ATB!BS104</f>
        <v/>
      </c>
      <c r="Z105" s="42">
        <v>102</v>
      </c>
      <c r="AA105" t="e">
        <f t="shared" si="147"/>
        <v>#N/A</v>
      </c>
      <c r="AB105" s="63" t="e">
        <f t="shared" si="148"/>
        <v>#N/A</v>
      </c>
      <c r="BF105" s="63"/>
      <c r="BT105" s="194" t="str">
        <f t="shared" ca="1" si="131"/>
        <v/>
      </c>
      <c r="BU105" s="219" t="str">
        <f>IFERROR(IF(BX105=0,"",COUNTIF(BX$4:BX$600,"&gt;"&amp;BX105)+COUNTIF(BX$4:BX105,BX105)),"")</f>
        <v/>
      </c>
      <c r="BV105" s="42" t="str">
        <f t="shared" si="132"/>
        <v>CHLORTETRACYCLINE 40 LAPIN-VOLAILLE-PORC ET AGNEAU-CHEVREAU SEVRES SANTAMIX</v>
      </c>
      <c r="BW105" t="e">
        <f>IF(IF(CE$2="Catégorie",IF(CE$3="Toutes",SUMIFS('Étape 1 - à remplir'!$F$31:$F$400,'Étape 1 - à remplir'!$E$31:$E$400,MASQ2!BV105,'Étape 1 - à remplir'!$G$31:$G$400,"lots"),SUMIFS('Étape 1 - à remplir'!$F$31:$F$400,'Étape 1 - à remplir'!$E$31:$E$400,MASQ2!BV105,'Étape 1 - à remplir'!$C$31:$C$400,CE$3)),IF(CE$2="Âge",IF(CE$3="Tous",SUMIFS('Étape 1 - à remplir'!$F$31:$F$400,'Étape 1 - à remplir'!$E$31:$E$400,MASQ2!BV105,'Étape 1 - à remplir'!$G$31:$G$400,"lots"),SUMIFS('Étape 1 - à remplir'!$F$31:$F$400,'Étape 1 - à remplir'!$E$31:$E$400,MASQ2!BV105,'Étape 1 - à remplir'!$P$31:$P$400,CE$3,'Étape 1 - à remplir'!$G$31:$G$400,"lots")),IF(CE$2="Atelier",IF(CE$3="Tous",SUMIFS('Étape 1 - à remplir'!$F$31:$F$400,'Étape 1 - à remplir'!$E$31:$E$400,MASQ2!BV105,'Étape 1 - à remplir'!$G$31:$G$400,"lots"),SUMIFS('Étape 1 - à remplir'!$F$31:$F$400,'Étape 1 - à remplir'!$E$31:$E$400,MASQ2!BV105,'Étape 1 - à remplir'!$O$31:$O$400,CE$3,'Étape 1 - à remplir'!$G$31:$G$400,"lots")),IF(CE$2="Espèce",IF(CE$3="Toutes",SUMIFS('Étape 1 - à remplir'!$F$31:$F$400,'Étape 1 - à remplir'!$E$31:$E$400,MASQ2!BV105,'Étape 1 - à remplir'!$G$31:$G$400,"lots"),SUMIFS('Étape 1 - à remplir'!$F$31:$F$400,'Étape 1 - à remplir'!$E$31:$E$400,MASQ2!BV105,'Étape 1 - à remplir'!$N$31:$N$400,CE$3,'Étape 1 - à remplir'!$G$31:$G$400,"lots"))))))=0,NA(),IF(CE$2="Catégorie",IF(CE$3="Toutes",SUMIFS('Étape 1 - à remplir'!$F$31:$F$400,'Étape 1 - à remplir'!$E$31:$E$400,MASQ2!BV105,'Étape 1 - à remplir'!$G$31:$G$400,"lots"),SUMIFS('Étape 1 - à remplir'!$F$31:$F$400,'Étape 1 - à remplir'!$E$31:$E$400,MASQ2!BV105,'Étape 1 - à remplir'!$C$31:$C$400,CE$3)),IF(CE$2="Âge",IF(CE$3="Tous",SUMIFS('Étape 1 - à remplir'!$F$31:$F$400,'Étape 1 - à remplir'!$E$31:$E$400,MASQ2!BV105,'Étape 1 - à remplir'!$G$31:$G$400,"lots"),SUMIFS('Étape 1 - à remplir'!$F$31:$F$400,'Étape 1 - à remplir'!$E$31:$E$400,MASQ2!BV105,'Étape 1 - à remplir'!$P$31:$P$400,CE$3,'Étape 1 - à remplir'!$G$31:$G$400,"lots")),IF(CE$2="Atelier",IF(CE$3="Tous",SUMIFS('Étape 1 - à remplir'!$F$31:$F$400,'Étape 1 - à remplir'!$E$31:$E$400,MASQ2!BV105,'Étape 1 - à remplir'!$G$31:$G$400,"lots"),SUMIFS('Étape 1 - à remplir'!$F$31:$F$400,'Étape 1 - à remplir'!$E$31:$E$400,MASQ2!BV105,'Étape 1 - à remplir'!$O$31:$O$400,CE$3,'Étape 1 - à remplir'!$G$31:$G$400,"lots")),IF(CE$2="Espèce",IF(CE$3="Toutes",SUMIFS('Étape 1 - à remplir'!$F$31:$F$400,'Étape 1 - à remplir'!$E$31:$E$400,MASQ2!BV105,'Étape 1 - à remplir'!$G$31:$G$400,"lots"),SUMIFS('Étape 1 - à remplir'!$F$31:$F$400,'Étape 1 - à remplir'!$E$31:$E$400,MASQ2!BV105,'Étape 1 - à remplir'!$N$31:$N$400,CE$3,'Étape 1 - à remplir'!$G$31:$G$400,"lots")))))))</f>
        <v>#N/A</v>
      </c>
      <c r="BX105">
        <f t="shared" si="149"/>
        <v>0</v>
      </c>
      <c r="BY105" t="str">
        <f t="shared" si="133"/>
        <v>Chlortétracycline</v>
      </c>
      <c r="BZ105" t="str">
        <f t="shared" si="134"/>
        <v/>
      </c>
      <c r="CA105" t="str">
        <f t="shared" si="135"/>
        <v/>
      </c>
      <c r="CB105" t="str">
        <f t="shared" si="136"/>
        <v>Tetracyclines</v>
      </c>
      <c r="CC105" t="str">
        <f t="shared" si="137"/>
        <v/>
      </c>
      <c r="CD105" s="63" t="str">
        <f t="shared" si="138"/>
        <v/>
      </c>
      <c r="CG105" s="42">
        <v>102</v>
      </c>
      <c r="CH105" s="42" t="e">
        <f t="shared" si="163"/>
        <v>#N/A</v>
      </c>
      <c r="CI105" s="63" t="e">
        <f t="shared" si="164"/>
        <v>#N/A</v>
      </c>
      <c r="DM105" s="63"/>
      <c r="EA105" s="194" t="str">
        <f t="shared" ca="1" si="139"/>
        <v/>
      </c>
      <c r="EB105" s="226" t="str">
        <f>IFERROR(IF(ED105=0,"",COUNTIF(ED$4:ED$600,"&gt;"&amp;ED105)+COUNTIF(ED$4:ED105,ED105)),"")</f>
        <v/>
      </c>
      <c r="EC105" t="str">
        <f t="shared" si="140"/>
        <v>CHLORTETRACYCLINE 40 LAPIN-VOLAILLE-PORC ET AGNEAU-CHEVREAU SEVRES SANTAMIX</v>
      </c>
      <c r="ED105" t="e">
        <f>IF(IF(EL$2="Catégorie",IF(EL$3="Toutes",SUMIFS('Étape 1 - à remplir'!$F$31:$F$400,'Étape 1 - à remplir'!$E$31:$E$400,MASQ2!EC105,'Étape 1 - à remplir'!$G$31:$G$400,"kg"),SUMIFS('Étape 1 - à remplir'!$F$31:$F$400,'Étape 1 - à remplir'!$E$31:$E$400,MASQ2!EC105,'Étape 1 - à remplir'!$C$31:$C$400,EL$3)),IF(EL$2="Âge",IF(EL$3="Tous",SUMIFS('Étape 1 - à remplir'!$F$31:$F$400,'Étape 1 - à remplir'!$E$31:$E$400,MASQ2!EC105,'Étape 1 - à remplir'!$G$31:$G$400,"kg"),SUMIFS('Étape 1 - à remplir'!$F$31:$F$400,'Étape 1 - à remplir'!$E$31:$E$400,MASQ2!EC105,'Étape 1 - à remplir'!$P$31:$P$400,EL$3,'Étape 1 - à remplir'!$G$31:$G$400,"kg")),IF(EL$2="Atelier",IF(EL$3="Tous",SUMIFS('Étape 1 - à remplir'!$F$31:$F$400,'Étape 1 - à remplir'!$E$31:$E$400,MASQ2!EC105,'Étape 1 - à remplir'!$G$31:$G$400,"kg"),SUMIFS('Étape 1 - à remplir'!$F$31:$F$400,'Étape 1 - à remplir'!$E$31:$E$400,MASQ2!EC105,'Étape 1 - à remplir'!$O$31:$O$400,EL$3,'Étape 1 - à remplir'!$G$31:$G$400,"kg")),IF(EL$2="Espèce",IF(EL$3="Toutes",SUMIFS('Étape 1 - à remplir'!$F$31:$F$400,'Étape 1 - à remplir'!$E$31:$E$400,MASQ2!EC105,'Étape 1 - à remplir'!$G$31:$G$400,"kg"),SUMIFS('Étape 1 - à remplir'!$F$31:$F$400,'Étape 1 - à remplir'!$E$31:$E$400,MASQ2!EC105,'Étape 1 - à remplir'!$N$31:$N$400,EL$3,'Étape 1 - à remplir'!$G$31:$G$400,"kg"))))))=0,NA(),IF(EL$2="Catégorie",IF(EL$3="Toutes",SUMIFS('Étape 1 - à remplir'!$F$31:$F$400,'Étape 1 - à remplir'!$E$31:$E$400,MASQ2!EC105,'Étape 1 - à remplir'!$G$31:$G$400,"kg"),SUMIFS('Étape 1 - à remplir'!$F$31:$F$400,'Étape 1 - à remplir'!$E$31:$E$400,MASQ2!EC105,'Étape 1 - à remplir'!$C$31:$C$400,EL$3)),IF(EL$2="Âge",IF(EL$3="Tous",SUMIFS('Étape 1 - à remplir'!$F$31:$F$400,'Étape 1 - à remplir'!$E$31:$E$400,MASQ2!EC105,'Étape 1 - à remplir'!$G$31:$G$400,"kg"),SUMIFS('Étape 1 - à remplir'!$F$31:$F$400,'Étape 1 - à remplir'!$E$31:$E$400,MASQ2!EC105,'Étape 1 - à remplir'!$P$31:$P$400,EL$3,'Étape 1 - à remplir'!$G$31:$G$400,"kg")),IF(EL$2="Atelier",IF(EL$3="Tous",SUMIFS('Étape 1 - à remplir'!$F$31:$F$400,'Étape 1 - à remplir'!$E$31:$E$400,MASQ2!EC105,'Étape 1 - à remplir'!$G$31:$G$400,"kg"),SUMIFS('Étape 1 - à remplir'!$F$31:$F$400,'Étape 1 - à remplir'!$E$31:$E$400,MASQ2!EC105,'Étape 1 - à remplir'!$O$31:$O$400,EL$3,'Étape 1 - à remplir'!$G$31:$G$400,"kg")),IF(EL$2="Espèce",IF(EL$3="Toutes",SUMIFS('Étape 1 - à remplir'!$F$31:$F$400,'Étape 1 - à remplir'!$E$31:$E$400,MASQ2!EC105,'Étape 1 - à remplir'!$G$31:$G$400,"kg"),SUMIFS('Étape 1 - à remplir'!$F$31:$F$400,'Étape 1 - à remplir'!$E$31:$E$400,MASQ2!EC105,'Étape 1 - à remplir'!$N$31:$N$400,EL$3,'Étape 1 - à remplir'!$G$31:$G$400,"kg")))))))</f>
        <v>#N/A</v>
      </c>
      <c r="EE105" s="76">
        <f t="shared" si="150"/>
        <v>0</v>
      </c>
      <c r="EF105" t="str">
        <f t="shared" si="141"/>
        <v>Chlortétracycline</v>
      </c>
      <c r="EG105" t="str">
        <f t="shared" si="142"/>
        <v/>
      </c>
      <c r="EH105" t="str">
        <f t="shared" si="143"/>
        <v/>
      </c>
      <c r="EI105" t="str">
        <f t="shared" si="144"/>
        <v>Tetracyclines</v>
      </c>
      <c r="EJ105" t="str">
        <f t="shared" si="145"/>
        <v/>
      </c>
      <c r="EK105" s="63" t="str">
        <f t="shared" si="146"/>
        <v/>
      </c>
      <c r="EN105" s="42">
        <v>102</v>
      </c>
      <c r="EO105" t="e">
        <f t="shared" si="152"/>
        <v>#N/A</v>
      </c>
      <c r="EP105" s="63" t="e">
        <f t="shared" si="153"/>
        <v>#N/A</v>
      </c>
      <c r="FT105" s="63"/>
    </row>
    <row r="106" spans="2:176" x14ac:dyDescent="0.3">
      <c r="B106" s="42"/>
      <c r="M106" s="194" t="str">
        <f ca="1">INDEX(Données_ATB!BD:BU,MATCH(MASQ2!O106,Données_ATB!BD:BD,0),18)</f>
        <v/>
      </c>
      <c r="N106" s="14" t="str">
        <f>IFERROR(IF(Q106=0,"",COUNTIF(Q$4:Q$600,"&gt;"&amp;Q106)+COUNTIF(Q$4:Q106,Q106)),"")</f>
        <v/>
      </c>
      <c r="O106" t="str">
        <f>Données_ATB!BD105</f>
        <v>CITRAMOX L.A. 150 MG/ML SUSPENSION INJECTABLE POUR BOVINS ET PORCINS</v>
      </c>
      <c r="P106" t="e">
        <f>IF(IF(X$2="Catégorie",IF(X$3="Toutes",SUMIFS('Étape 1 - à remplir'!$F$31:$F$400,'Étape 1 - à remplir'!$E$31:$E$400,MASQ2!O106,'Étape 1 - à remplir'!$G$31:$G$400,"animaux"),SUMIFS('Étape 1 - à remplir'!$F$31:$F$400,'Étape 1 - à remplir'!$E$31:$E$400,MASQ2!O106,'Étape 1 - à remplir'!$C$31:$C$400,X$3)),IF(X$2="Âge",IF(X$3="Tous",SUMIFS('Étape 1 - à remplir'!$F$31:$F$400,'Étape 1 - à remplir'!$E$31:$E$400,MASQ2!O106,'Étape 1 - à remplir'!$G$31:$G$400,"animaux"),SUMIFS('Étape 1 - à remplir'!$F$31:$F$400,'Étape 1 - à remplir'!$E$31:$E$400,MASQ2!O106,'Étape 1 - à remplir'!$P$31:$P$400,X$3)),IF(X$2="Atelier",IF(X$3="Tous",SUMIFS('Étape 1 - à remplir'!$F$31:$F$400,'Étape 1 - à remplir'!$E$31:$E$400,MASQ2!O106,'Étape 1 - à remplir'!$G$31:$G$400,"animaux"),SUMIFS('Étape 1 - à remplir'!$F$31:$F$400,'Étape 1 - à remplir'!$E$31:$E$400,MASQ2!O106,'Étape 1 - à remplir'!$O$31:$O$400,X$3)),IF(X$2="Espèce",IF(X$3="Toutes",SUMIFS('Étape 1 - à remplir'!$F$31:$F$400,'Étape 1 - à remplir'!$E$31:$E$400,MASQ2!O106,'Étape 1 - à remplir'!$G$31:$G$400,"animaux"),SUMIFS('Étape 1 - à remplir'!$F$31:$F$400,'Étape 1 - à remplir'!$E$31:$E$400,MASQ2!O106,'Étape 1 - à remplir'!$N$31:$N$400,X$3))))))=0,NA(),IF(X$2="Catégorie",IF(X$3="Toutes",SUMIFS('Étape 1 - à remplir'!$F$31:$F$400,'Étape 1 - à remplir'!$E$31:$E$400,MASQ2!O106,'Étape 1 - à remplir'!$G$31:$G$400,"animaux"),SUMIFS('Étape 1 - à remplir'!$F$31:$F$400,'Étape 1 - à remplir'!$E$31:$E$400,MASQ2!O106,'Étape 1 - à remplir'!$C$31:$C$400,X$3)),IF(X$2="Âge",IF(X$3="Tous",SUMIFS('Étape 1 - à remplir'!$F$31:$F$400,'Étape 1 - à remplir'!$E$31:$E$400,MASQ2!O106,'Étape 1 - à remplir'!$G$31:$G$400,"animaux"),SUMIFS('Étape 1 - à remplir'!$F$31:$F$400,'Étape 1 - à remplir'!$E$31:$E$400,MASQ2!O106,'Étape 1 - à remplir'!$P$31:$P$400,X$3)),IF(X$2="Atelier",IF(X$3="Tous",SUMIFS('Étape 1 - à remplir'!$F$31:$F$400,'Étape 1 - à remplir'!$E$31:$E$400,MASQ2!O106,'Étape 1 - à remplir'!$G$31:$G$400,"animaux"),SUMIFS('Étape 1 - à remplir'!$F$31:$F$400,'Étape 1 - à remplir'!$E$31:$E$400,MASQ2!O106,'Étape 1 - à remplir'!$O$31:$O$400,X$3)),IF(X$2="Espèce",IF(X$3="Toutes",SUMIFS('Étape 1 - à remplir'!$F$31:$F$400,'Étape 1 - à remplir'!$E$31:$E$400,MASQ2!O106,'Étape 1 - à remplir'!$G$31:$G$400,"animaux"),SUMIFS('Étape 1 - à remplir'!$F$31:$F$400,'Étape 1 - à remplir'!$E$31:$E$400,MASQ2!O106,'Étape 1 - à remplir'!$N$31:$N$400,X$3)))))))</f>
        <v>#N/A</v>
      </c>
      <c r="Q106" s="63">
        <f t="shared" si="151"/>
        <v>0</v>
      </c>
      <c r="R106" t="str">
        <f>Données_ATB!BM105</f>
        <v>Amoxicilline</v>
      </c>
      <c r="S106" t="str">
        <f>Données_ATB!BN105</f>
        <v/>
      </c>
      <c r="T106" s="63" t="str">
        <f>Données_ATB!BO105</f>
        <v/>
      </c>
      <c r="U106" s="42" t="str">
        <f>Données_ATB!BQ105</f>
        <v>Penicillines</v>
      </c>
      <c r="V106" t="str">
        <f>Données_ATB!BR105</f>
        <v/>
      </c>
      <c r="W106" s="63" t="str">
        <f>Données_ATB!BS105</f>
        <v/>
      </c>
      <c r="Z106" s="42">
        <v>103</v>
      </c>
      <c r="AA106" t="e">
        <f t="shared" si="147"/>
        <v>#N/A</v>
      </c>
      <c r="AB106" s="63" t="e">
        <f t="shared" si="148"/>
        <v>#N/A</v>
      </c>
      <c r="BF106" s="63"/>
      <c r="BT106" s="194" t="str">
        <f t="shared" ca="1" si="131"/>
        <v/>
      </c>
      <c r="BU106" s="219" t="str">
        <f>IFERROR(IF(BX106=0,"",COUNTIF(BX$4:BX$600,"&gt;"&amp;BX106)+COUNTIF(BX$4:BX106,BX106)),"")</f>
        <v/>
      </c>
      <c r="BV106" s="42" t="str">
        <f t="shared" si="132"/>
        <v>CITRAMOX L.A. 150 MG/ML SUSPENSION INJECTABLE POUR BOVINS ET PORCINS</v>
      </c>
      <c r="BW106" t="e">
        <f>IF(IF(CE$2="Catégorie",IF(CE$3="Toutes",SUMIFS('Étape 1 - à remplir'!$F$31:$F$400,'Étape 1 - à remplir'!$E$31:$E$400,MASQ2!BV106,'Étape 1 - à remplir'!$G$31:$G$400,"lots"),SUMIFS('Étape 1 - à remplir'!$F$31:$F$400,'Étape 1 - à remplir'!$E$31:$E$400,MASQ2!BV106,'Étape 1 - à remplir'!$C$31:$C$400,CE$3)),IF(CE$2="Âge",IF(CE$3="Tous",SUMIFS('Étape 1 - à remplir'!$F$31:$F$400,'Étape 1 - à remplir'!$E$31:$E$400,MASQ2!BV106,'Étape 1 - à remplir'!$G$31:$G$400,"lots"),SUMIFS('Étape 1 - à remplir'!$F$31:$F$400,'Étape 1 - à remplir'!$E$31:$E$400,MASQ2!BV106,'Étape 1 - à remplir'!$P$31:$P$400,CE$3,'Étape 1 - à remplir'!$G$31:$G$400,"lots")),IF(CE$2="Atelier",IF(CE$3="Tous",SUMIFS('Étape 1 - à remplir'!$F$31:$F$400,'Étape 1 - à remplir'!$E$31:$E$400,MASQ2!BV106,'Étape 1 - à remplir'!$G$31:$G$400,"lots"),SUMIFS('Étape 1 - à remplir'!$F$31:$F$400,'Étape 1 - à remplir'!$E$31:$E$400,MASQ2!BV106,'Étape 1 - à remplir'!$O$31:$O$400,CE$3,'Étape 1 - à remplir'!$G$31:$G$400,"lots")),IF(CE$2="Espèce",IF(CE$3="Toutes",SUMIFS('Étape 1 - à remplir'!$F$31:$F$400,'Étape 1 - à remplir'!$E$31:$E$400,MASQ2!BV106,'Étape 1 - à remplir'!$G$31:$G$400,"lots"),SUMIFS('Étape 1 - à remplir'!$F$31:$F$400,'Étape 1 - à remplir'!$E$31:$E$400,MASQ2!BV106,'Étape 1 - à remplir'!$N$31:$N$400,CE$3,'Étape 1 - à remplir'!$G$31:$G$400,"lots"))))))=0,NA(),IF(CE$2="Catégorie",IF(CE$3="Toutes",SUMIFS('Étape 1 - à remplir'!$F$31:$F$400,'Étape 1 - à remplir'!$E$31:$E$400,MASQ2!BV106,'Étape 1 - à remplir'!$G$31:$G$400,"lots"),SUMIFS('Étape 1 - à remplir'!$F$31:$F$400,'Étape 1 - à remplir'!$E$31:$E$400,MASQ2!BV106,'Étape 1 - à remplir'!$C$31:$C$400,CE$3)),IF(CE$2="Âge",IF(CE$3="Tous",SUMIFS('Étape 1 - à remplir'!$F$31:$F$400,'Étape 1 - à remplir'!$E$31:$E$400,MASQ2!BV106,'Étape 1 - à remplir'!$G$31:$G$400,"lots"),SUMIFS('Étape 1 - à remplir'!$F$31:$F$400,'Étape 1 - à remplir'!$E$31:$E$400,MASQ2!BV106,'Étape 1 - à remplir'!$P$31:$P$400,CE$3,'Étape 1 - à remplir'!$G$31:$G$400,"lots")),IF(CE$2="Atelier",IF(CE$3="Tous",SUMIFS('Étape 1 - à remplir'!$F$31:$F$400,'Étape 1 - à remplir'!$E$31:$E$400,MASQ2!BV106,'Étape 1 - à remplir'!$G$31:$G$400,"lots"),SUMIFS('Étape 1 - à remplir'!$F$31:$F$400,'Étape 1 - à remplir'!$E$31:$E$400,MASQ2!BV106,'Étape 1 - à remplir'!$O$31:$O$400,CE$3,'Étape 1 - à remplir'!$G$31:$G$400,"lots")),IF(CE$2="Espèce",IF(CE$3="Toutes",SUMIFS('Étape 1 - à remplir'!$F$31:$F$400,'Étape 1 - à remplir'!$E$31:$E$400,MASQ2!BV106,'Étape 1 - à remplir'!$G$31:$G$400,"lots"),SUMIFS('Étape 1 - à remplir'!$F$31:$F$400,'Étape 1 - à remplir'!$E$31:$E$400,MASQ2!BV106,'Étape 1 - à remplir'!$N$31:$N$400,CE$3,'Étape 1 - à remplir'!$G$31:$G$400,"lots")))))))</f>
        <v>#N/A</v>
      </c>
      <c r="BX106">
        <f t="shared" si="149"/>
        <v>0</v>
      </c>
      <c r="BY106" t="str">
        <f t="shared" si="133"/>
        <v>Amoxicilline</v>
      </c>
      <c r="BZ106" t="str">
        <f t="shared" si="134"/>
        <v/>
      </c>
      <c r="CA106" t="str">
        <f t="shared" si="135"/>
        <v/>
      </c>
      <c r="CB106" t="str">
        <f t="shared" si="136"/>
        <v>Penicillines</v>
      </c>
      <c r="CC106" t="str">
        <f t="shared" si="137"/>
        <v/>
      </c>
      <c r="CD106" s="63" t="str">
        <f t="shared" si="138"/>
        <v/>
      </c>
      <c r="CG106" s="42">
        <v>103</v>
      </c>
      <c r="CH106" s="42" t="e">
        <f t="shared" si="163"/>
        <v>#N/A</v>
      </c>
      <c r="CI106" s="63" t="e">
        <f t="shared" si="164"/>
        <v>#N/A</v>
      </c>
      <c r="DM106" s="63"/>
      <c r="EA106" s="194" t="str">
        <f t="shared" ca="1" si="139"/>
        <v/>
      </c>
      <c r="EB106" s="226" t="str">
        <f>IFERROR(IF(ED106=0,"",COUNTIF(ED$4:ED$600,"&gt;"&amp;ED106)+COUNTIF(ED$4:ED106,ED106)),"")</f>
        <v/>
      </c>
      <c r="EC106" t="str">
        <f t="shared" si="140"/>
        <v>CITRAMOX L.A. 150 MG/ML SUSPENSION INJECTABLE POUR BOVINS ET PORCINS</v>
      </c>
      <c r="ED106" t="e">
        <f>IF(IF(EL$2="Catégorie",IF(EL$3="Toutes",SUMIFS('Étape 1 - à remplir'!$F$31:$F$400,'Étape 1 - à remplir'!$E$31:$E$400,MASQ2!EC106,'Étape 1 - à remplir'!$G$31:$G$400,"kg"),SUMIFS('Étape 1 - à remplir'!$F$31:$F$400,'Étape 1 - à remplir'!$E$31:$E$400,MASQ2!EC106,'Étape 1 - à remplir'!$C$31:$C$400,EL$3)),IF(EL$2="Âge",IF(EL$3="Tous",SUMIFS('Étape 1 - à remplir'!$F$31:$F$400,'Étape 1 - à remplir'!$E$31:$E$400,MASQ2!EC106,'Étape 1 - à remplir'!$G$31:$G$400,"kg"),SUMIFS('Étape 1 - à remplir'!$F$31:$F$400,'Étape 1 - à remplir'!$E$31:$E$400,MASQ2!EC106,'Étape 1 - à remplir'!$P$31:$P$400,EL$3,'Étape 1 - à remplir'!$G$31:$G$400,"kg")),IF(EL$2="Atelier",IF(EL$3="Tous",SUMIFS('Étape 1 - à remplir'!$F$31:$F$400,'Étape 1 - à remplir'!$E$31:$E$400,MASQ2!EC106,'Étape 1 - à remplir'!$G$31:$G$400,"kg"),SUMIFS('Étape 1 - à remplir'!$F$31:$F$400,'Étape 1 - à remplir'!$E$31:$E$400,MASQ2!EC106,'Étape 1 - à remplir'!$O$31:$O$400,EL$3,'Étape 1 - à remplir'!$G$31:$G$400,"kg")),IF(EL$2="Espèce",IF(EL$3="Toutes",SUMIFS('Étape 1 - à remplir'!$F$31:$F$400,'Étape 1 - à remplir'!$E$31:$E$400,MASQ2!EC106,'Étape 1 - à remplir'!$G$31:$G$400,"kg"),SUMIFS('Étape 1 - à remplir'!$F$31:$F$400,'Étape 1 - à remplir'!$E$31:$E$400,MASQ2!EC106,'Étape 1 - à remplir'!$N$31:$N$400,EL$3,'Étape 1 - à remplir'!$G$31:$G$400,"kg"))))))=0,NA(),IF(EL$2="Catégorie",IF(EL$3="Toutes",SUMIFS('Étape 1 - à remplir'!$F$31:$F$400,'Étape 1 - à remplir'!$E$31:$E$400,MASQ2!EC106,'Étape 1 - à remplir'!$G$31:$G$400,"kg"),SUMIFS('Étape 1 - à remplir'!$F$31:$F$400,'Étape 1 - à remplir'!$E$31:$E$400,MASQ2!EC106,'Étape 1 - à remplir'!$C$31:$C$400,EL$3)),IF(EL$2="Âge",IF(EL$3="Tous",SUMIFS('Étape 1 - à remplir'!$F$31:$F$400,'Étape 1 - à remplir'!$E$31:$E$400,MASQ2!EC106,'Étape 1 - à remplir'!$G$31:$G$400,"kg"),SUMIFS('Étape 1 - à remplir'!$F$31:$F$400,'Étape 1 - à remplir'!$E$31:$E$400,MASQ2!EC106,'Étape 1 - à remplir'!$P$31:$P$400,EL$3,'Étape 1 - à remplir'!$G$31:$G$400,"kg")),IF(EL$2="Atelier",IF(EL$3="Tous",SUMIFS('Étape 1 - à remplir'!$F$31:$F$400,'Étape 1 - à remplir'!$E$31:$E$400,MASQ2!EC106,'Étape 1 - à remplir'!$G$31:$G$400,"kg"),SUMIFS('Étape 1 - à remplir'!$F$31:$F$400,'Étape 1 - à remplir'!$E$31:$E$400,MASQ2!EC106,'Étape 1 - à remplir'!$O$31:$O$400,EL$3,'Étape 1 - à remplir'!$G$31:$G$400,"kg")),IF(EL$2="Espèce",IF(EL$3="Toutes",SUMIFS('Étape 1 - à remplir'!$F$31:$F$400,'Étape 1 - à remplir'!$E$31:$E$400,MASQ2!EC106,'Étape 1 - à remplir'!$G$31:$G$400,"kg"),SUMIFS('Étape 1 - à remplir'!$F$31:$F$400,'Étape 1 - à remplir'!$E$31:$E$400,MASQ2!EC106,'Étape 1 - à remplir'!$N$31:$N$400,EL$3,'Étape 1 - à remplir'!$G$31:$G$400,"kg")))))))</f>
        <v>#N/A</v>
      </c>
      <c r="EE106" s="76">
        <f t="shared" si="150"/>
        <v>0</v>
      </c>
      <c r="EF106" t="str">
        <f t="shared" si="141"/>
        <v>Amoxicilline</v>
      </c>
      <c r="EG106" t="str">
        <f t="shared" si="142"/>
        <v/>
      </c>
      <c r="EH106" t="str">
        <f t="shared" si="143"/>
        <v/>
      </c>
      <c r="EI106" t="str">
        <f t="shared" si="144"/>
        <v>Penicillines</v>
      </c>
      <c r="EJ106" t="str">
        <f t="shared" si="145"/>
        <v/>
      </c>
      <c r="EK106" s="63" t="str">
        <f t="shared" si="146"/>
        <v/>
      </c>
      <c r="EN106" s="42">
        <v>103</v>
      </c>
      <c r="EO106" t="e">
        <f t="shared" si="152"/>
        <v>#N/A</v>
      </c>
      <c r="EP106" s="63" t="e">
        <f t="shared" si="153"/>
        <v>#N/A</v>
      </c>
      <c r="FT106" s="63"/>
    </row>
    <row r="107" spans="2:176" x14ac:dyDescent="0.3">
      <c r="B107" s="42"/>
      <c r="M107" s="194" t="str">
        <f ca="1">INDEX(Données_ATB!BD:BU,MATCH(MASQ2!O107,Données_ATB!BD:BD,0),18)</f>
        <v>x</v>
      </c>
      <c r="N107" s="14" t="str">
        <f>IFERROR(IF(Q107=0,"",COUNTIF(Q$4:Q$600,"&gt;"&amp;Q107)+COUNTIF(Q$4:Q107,Q107)),"")</f>
        <v/>
      </c>
      <c r="O107" t="str">
        <f>Données_ATB!BD106</f>
        <v>CK 2 - COLISTINE 2 000 000 UI/ML</v>
      </c>
      <c r="P107" t="e">
        <f>IF(IF(X$2="Catégorie",IF(X$3="Toutes",SUMIFS('Étape 1 - à remplir'!$F$31:$F$400,'Étape 1 - à remplir'!$E$31:$E$400,MASQ2!O107,'Étape 1 - à remplir'!$G$31:$G$400,"animaux"),SUMIFS('Étape 1 - à remplir'!$F$31:$F$400,'Étape 1 - à remplir'!$E$31:$E$400,MASQ2!O107,'Étape 1 - à remplir'!$C$31:$C$400,X$3)),IF(X$2="Âge",IF(X$3="Tous",SUMIFS('Étape 1 - à remplir'!$F$31:$F$400,'Étape 1 - à remplir'!$E$31:$E$400,MASQ2!O107,'Étape 1 - à remplir'!$G$31:$G$400,"animaux"),SUMIFS('Étape 1 - à remplir'!$F$31:$F$400,'Étape 1 - à remplir'!$E$31:$E$400,MASQ2!O107,'Étape 1 - à remplir'!$P$31:$P$400,X$3)),IF(X$2="Atelier",IF(X$3="Tous",SUMIFS('Étape 1 - à remplir'!$F$31:$F$400,'Étape 1 - à remplir'!$E$31:$E$400,MASQ2!O107,'Étape 1 - à remplir'!$G$31:$G$400,"animaux"),SUMIFS('Étape 1 - à remplir'!$F$31:$F$400,'Étape 1 - à remplir'!$E$31:$E$400,MASQ2!O107,'Étape 1 - à remplir'!$O$31:$O$400,X$3)),IF(X$2="Espèce",IF(X$3="Toutes",SUMIFS('Étape 1 - à remplir'!$F$31:$F$400,'Étape 1 - à remplir'!$E$31:$E$400,MASQ2!O107,'Étape 1 - à remplir'!$G$31:$G$400,"animaux"),SUMIFS('Étape 1 - à remplir'!$F$31:$F$400,'Étape 1 - à remplir'!$E$31:$E$400,MASQ2!O107,'Étape 1 - à remplir'!$N$31:$N$400,X$3))))))=0,NA(),IF(X$2="Catégorie",IF(X$3="Toutes",SUMIFS('Étape 1 - à remplir'!$F$31:$F$400,'Étape 1 - à remplir'!$E$31:$E$400,MASQ2!O107,'Étape 1 - à remplir'!$G$31:$G$400,"animaux"),SUMIFS('Étape 1 - à remplir'!$F$31:$F$400,'Étape 1 - à remplir'!$E$31:$E$400,MASQ2!O107,'Étape 1 - à remplir'!$C$31:$C$400,X$3)),IF(X$2="Âge",IF(X$3="Tous",SUMIFS('Étape 1 - à remplir'!$F$31:$F$400,'Étape 1 - à remplir'!$E$31:$E$400,MASQ2!O107,'Étape 1 - à remplir'!$G$31:$G$400,"animaux"),SUMIFS('Étape 1 - à remplir'!$F$31:$F$400,'Étape 1 - à remplir'!$E$31:$E$400,MASQ2!O107,'Étape 1 - à remplir'!$P$31:$P$400,X$3)),IF(X$2="Atelier",IF(X$3="Tous",SUMIFS('Étape 1 - à remplir'!$F$31:$F$400,'Étape 1 - à remplir'!$E$31:$E$400,MASQ2!O107,'Étape 1 - à remplir'!$G$31:$G$400,"animaux"),SUMIFS('Étape 1 - à remplir'!$F$31:$F$400,'Étape 1 - à remplir'!$E$31:$E$400,MASQ2!O107,'Étape 1 - à remplir'!$O$31:$O$400,X$3)),IF(X$2="Espèce",IF(X$3="Toutes",SUMIFS('Étape 1 - à remplir'!$F$31:$F$400,'Étape 1 - à remplir'!$E$31:$E$400,MASQ2!O107,'Étape 1 - à remplir'!$G$31:$G$400,"animaux"),SUMIFS('Étape 1 - à remplir'!$F$31:$F$400,'Étape 1 - à remplir'!$E$31:$E$400,MASQ2!O107,'Étape 1 - à remplir'!$N$31:$N$400,X$3)))))))</f>
        <v>#N/A</v>
      </c>
      <c r="Q107" s="63">
        <f t="shared" si="151"/>
        <v>0</v>
      </c>
      <c r="R107" t="str">
        <f>Données_ATB!BM106</f>
        <v>Colistine</v>
      </c>
      <c r="S107" t="str">
        <f>Données_ATB!BN106</f>
        <v/>
      </c>
      <c r="T107" s="63" t="str">
        <f>Données_ATB!BO106</f>
        <v/>
      </c>
      <c r="U107" s="42" t="str">
        <f>Données_ATB!BQ106</f>
        <v>Polypeptides</v>
      </c>
      <c r="V107" t="str">
        <f>Données_ATB!BR106</f>
        <v/>
      </c>
      <c r="W107" s="63" t="str">
        <f>Données_ATB!BS106</f>
        <v/>
      </c>
      <c r="Z107" s="42">
        <v>104</v>
      </c>
      <c r="AA107" t="e">
        <f t="shared" si="147"/>
        <v>#N/A</v>
      </c>
      <c r="AB107" s="63" t="e">
        <f t="shared" si="148"/>
        <v>#N/A</v>
      </c>
      <c r="BF107" s="63"/>
      <c r="BT107" s="194" t="str">
        <f t="shared" ca="1" si="131"/>
        <v>x</v>
      </c>
      <c r="BU107" s="219" t="str">
        <f>IFERROR(IF(BX107=0,"",COUNTIF(BX$4:BX$600,"&gt;"&amp;BX107)+COUNTIF(BX$4:BX107,BX107)),"")</f>
        <v/>
      </c>
      <c r="BV107" s="42" t="str">
        <f t="shared" si="132"/>
        <v>CK 2 - COLISTINE 2 000 000 UI/ML</v>
      </c>
      <c r="BW107" t="e">
        <f>IF(IF(CE$2="Catégorie",IF(CE$3="Toutes",SUMIFS('Étape 1 - à remplir'!$F$31:$F$400,'Étape 1 - à remplir'!$E$31:$E$400,MASQ2!BV107,'Étape 1 - à remplir'!$G$31:$G$400,"lots"),SUMIFS('Étape 1 - à remplir'!$F$31:$F$400,'Étape 1 - à remplir'!$E$31:$E$400,MASQ2!BV107,'Étape 1 - à remplir'!$C$31:$C$400,CE$3)),IF(CE$2="Âge",IF(CE$3="Tous",SUMIFS('Étape 1 - à remplir'!$F$31:$F$400,'Étape 1 - à remplir'!$E$31:$E$400,MASQ2!BV107,'Étape 1 - à remplir'!$G$31:$G$400,"lots"),SUMIFS('Étape 1 - à remplir'!$F$31:$F$400,'Étape 1 - à remplir'!$E$31:$E$400,MASQ2!BV107,'Étape 1 - à remplir'!$P$31:$P$400,CE$3,'Étape 1 - à remplir'!$G$31:$G$400,"lots")),IF(CE$2="Atelier",IF(CE$3="Tous",SUMIFS('Étape 1 - à remplir'!$F$31:$F$400,'Étape 1 - à remplir'!$E$31:$E$400,MASQ2!BV107,'Étape 1 - à remplir'!$G$31:$G$400,"lots"),SUMIFS('Étape 1 - à remplir'!$F$31:$F$400,'Étape 1 - à remplir'!$E$31:$E$400,MASQ2!BV107,'Étape 1 - à remplir'!$O$31:$O$400,CE$3,'Étape 1 - à remplir'!$G$31:$G$400,"lots")),IF(CE$2="Espèce",IF(CE$3="Toutes",SUMIFS('Étape 1 - à remplir'!$F$31:$F$400,'Étape 1 - à remplir'!$E$31:$E$400,MASQ2!BV107,'Étape 1 - à remplir'!$G$31:$G$400,"lots"),SUMIFS('Étape 1 - à remplir'!$F$31:$F$400,'Étape 1 - à remplir'!$E$31:$E$400,MASQ2!BV107,'Étape 1 - à remplir'!$N$31:$N$400,CE$3,'Étape 1 - à remplir'!$G$31:$G$400,"lots"))))))=0,NA(),IF(CE$2="Catégorie",IF(CE$3="Toutes",SUMIFS('Étape 1 - à remplir'!$F$31:$F$400,'Étape 1 - à remplir'!$E$31:$E$400,MASQ2!BV107,'Étape 1 - à remplir'!$G$31:$G$400,"lots"),SUMIFS('Étape 1 - à remplir'!$F$31:$F$400,'Étape 1 - à remplir'!$E$31:$E$400,MASQ2!BV107,'Étape 1 - à remplir'!$C$31:$C$400,CE$3)),IF(CE$2="Âge",IF(CE$3="Tous",SUMIFS('Étape 1 - à remplir'!$F$31:$F$400,'Étape 1 - à remplir'!$E$31:$E$400,MASQ2!BV107,'Étape 1 - à remplir'!$G$31:$G$400,"lots"),SUMIFS('Étape 1 - à remplir'!$F$31:$F$400,'Étape 1 - à remplir'!$E$31:$E$400,MASQ2!BV107,'Étape 1 - à remplir'!$P$31:$P$400,CE$3,'Étape 1 - à remplir'!$G$31:$G$400,"lots")),IF(CE$2="Atelier",IF(CE$3="Tous",SUMIFS('Étape 1 - à remplir'!$F$31:$F$400,'Étape 1 - à remplir'!$E$31:$E$400,MASQ2!BV107,'Étape 1 - à remplir'!$G$31:$G$400,"lots"),SUMIFS('Étape 1 - à remplir'!$F$31:$F$400,'Étape 1 - à remplir'!$E$31:$E$400,MASQ2!BV107,'Étape 1 - à remplir'!$O$31:$O$400,CE$3,'Étape 1 - à remplir'!$G$31:$G$400,"lots")),IF(CE$2="Espèce",IF(CE$3="Toutes",SUMIFS('Étape 1 - à remplir'!$F$31:$F$400,'Étape 1 - à remplir'!$E$31:$E$400,MASQ2!BV107,'Étape 1 - à remplir'!$G$31:$G$400,"lots"),SUMIFS('Étape 1 - à remplir'!$F$31:$F$400,'Étape 1 - à remplir'!$E$31:$E$400,MASQ2!BV107,'Étape 1 - à remplir'!$N$31:$N$400,CE$3,'Étape 1 - à remplir'!$G$31:$G$400,"lots")))))))</f>
        <v>#N/A</v>
      </c>
      <c r="BX107">
        <f t="shared" si="149"/>
        <v>0</v>
      </c>
      <c r="BY107" t="str">
        <f t="shared" si="133"/>
        <v>Colistine</v>
      </c>
      <c r="BZ107" t="str">
        <f t="shared" si="134"/>
        <v/>
      </c>
      <c r="CA107" t="str">
        <f t="shared" si="135"/>
        <v/>
      </c>
      <c r="CB107" t="str">
        <f t="shared" si="136"/>
        <v>Polypeptides</v>
      </c>
      <c r="CC107" t="str">
        <f t="shared" si="137"/>
        <v/>
      </c>
      <c r="CD107" s="63" t="str">
        <f t="shared" si="138"/>
        <v/>
      </c>
      <c r="CG107" s="42">
        <v>104</v>
      </c>
      <c r="CH107" s="42" t="e">
        <f t="shared" si="163"/>
        <v>#N/A</v>
      </c>
      <c r="CI107" s="63" t="e">
        <f t="shared" si="164"/>
        <v>#N/A</v>
      </c>
      <c r="DM107" s="63"/>
      <c r="EA107" s="194" t="str">
        <f t="shared" ca="1" si="139"/>
        <v>x</v>
      </c>
      <c r="EB107" s="226" t="str">
        <f>IFERROR(IF(ED107=0,"",COUNTIF(ED$4:ED$600,"&gt;"&amp;ED107)+COUNTIF(ED$4:ED107,ED107)),"")</f>
        <v/>
      </c>
      <c r="EC107" t="str">
        <f t="shared" si="140"/>
        <v>CK 2 - COLISTINE 2 000 000 UI/ML</v>
      </c>
      <c r="ED107" t="e">
        <f>IF(IF(EL$2="Catégorie",IF(EL$3="Toutes",SUMIFS('Étape 1 - à remplir'!$F$31:$F$400,'Étape 1 - à remplir'!$E$31:$E$400,MASQ2!EC107,'Étape 1 - à remplir'!$G$31:$G$400,"kg"),SUMIFS('Étape 1 - à remplir'!$F$31:$F$400,'Étape 1 - à remplir'!$E$31:$E$400,MASQ2!EC107,'Étape 1 - à remplir'!$C$31:$C$400,EL$3)),IF(EL$2="Âge",IF(EL$3="Tous",SUMIFS('Étape 1 - à remplir'!$F$31:$F$400,'Étape 1 - à remplir'!$E$31:$E$400,MASQ2!EC107,'Étape 1 - à remplir'!$G$31:$G$400,"kg"),SUMIFS('Étape 1 - à remplir'!$F$31:$F$400,'Étape 1 - à remplir'!$E$31:$E$400,MASQ2!EC107,'Étape 1 - à remplir'!$P$31:$P$400,EL$3,'Étape 1 - à remplir'!$G$31:$G$400,"kg")),IF(EL$2="Atelier",IF(EL$3="Tous",SUMIFS('Étape 1 - à remplir'!$F$31:$F$400,'Étape 1 - à remplir'!$E$31:$E$400,MASQ2!EC107,'Étape 1 - à remplir'!$G$31:$G$400,"kg"),SUMIFS('Étape 1 - à remplir'!$F$31:$F$400,'Étape 1 - à remplir'!$E$31:$E$400,MASQ2!EC107,'Étape 1 - à remplir'!$O$31:$O$400,EL$3,'Étape 1 - à remplir'!$G$31:$G$400,"kg")),IF(EL$2="Espèce",IF(EL$3="Toutes",SUMIFS('Étape 1 - à remplir'!$F$31:$F$400,'Étape 1 - à remplir'!$E$31:$E$400,MASQ2!EC107,'Étape 1 - à remplir'!$G$31:$G$400,"kg"),SUMIFS('Étape 1 - à remplir'!$F$31:$F$400,'Étape 1 - à remplir'!$E$31:$E$400,MASQ2!EC107,'Étape 1 - à remplir'!$N$31:$N$400,EL$3,'Étape 1 - à remplir'!$G$31:$G$400,"kg"))))))=0,NA(),IF(EL$2="Catégorie",IF(EL$3="Toutes",SUMIFS('Étape 1 - à remplir'!$F$31:$F$400,'Étape 1 - à remplir'!$E$31:$E$400,MASQ2!EC107,'Étape 1 - à remplir'!$G$31:$G$400,"kg"),SUMIFS('Étape 1 - à remplir'!$F$31:$F$400,'Étape 1 - à remplir'!$E$31:$E$400,MASQ2!EC107,'Étape 1 - à remplir'!$C$31:$C$400,EL$3)),IF(EL$2="Âge",IF(EL$3="Tous",SUMIFS('Étape 1 - à remplir'!$F$31:$F$400,'Étape 1 - à remplir'!$E$31:$E$400,MASQ2!EC107,'Étape 1 - à remplir'!$G$31:$G$400,"kg"),SUMIFS('Étape 1 - à remplir'!$F$31:$F$400,'Étape 1 - à remplir'!$E$31:$E$400,MASQ2!EC107,'Étape 1 - à remplir'!$P$31:$P$400,EL$3,'Étape 1 - à remplir'!$G$31:$G$400,"kg")),IF(EL$2="Atelier",IF(EL$3="Tous",SUMIFS('Étape 1 - à remplir'!$F$31:$F$400,'Étape 1 - à remplir'!$E$31:$E$400,MASQ2!EC107,'Étape 1 - à remplir'!$G$31:$G$400,"kg"),SUMIFS('Étape 1 - à remplir'!$F$31:$F$400,'Étape 1 - à remplir'!$E$31:$E$400,MASQ2!EC107,'Étape 1 - à remplir'!$O$31:$O$400,EL$3,'Étape 1 - à remplir'!$G$31:$G$400,"kg")),IF(EL$2="Espèce",IF(EL$3="Toutes",SUMIFS('Étape 1 - à remplir'!$F$31:$F$400,'Étape 1 - à remplir'!$E$31:$E$400,MASQ2!EC107,'Étape 1 - à remplir'!$G$31:$G$400,"kg"),SUMIFS('Étape 1 - à remplir'!$F$31:$F$400,'Étape 1 - à remplir'!$E$31:$E$400,MASQ2!EC107,'Étape 1 - à remplir'!$N$31:$N$400,EL$3,'Étape 1 - à remplir'!$G$31:$G$400,"kg")))))))</f>
        <v>#N/A</v>
      </c>
      <c r="EE107" s="76">
        <f t="shared" si="150"/>
        <v>0</v>
      </c>
      <c r="EF107" t="str">
        <f t="shared" si="141"/>
        <v>Colistine</v>
      </c>
      <c r="EG107" t="str">
        <f t="shared" si="142"/>
        <v/>
      </c>
      <c r="EH107" t="str">
        <f t="shared" si="143"/>
        <v/>
      </c>
      <c r="EI107" t="str">
        <f t="shared" si="144"/>
        <v>Polypeptides</v>
      </c>
      <c r="EJ107" t="str">
        <f t="shared" si="145"/>
        <v/>
      </c>
      <c r="EK107" s="63" t="str">
        <f t="shared" si="146"/>
        <v/>
      </c>
      <c r="EN107" s="42">
        <v>104</v>
      </c>
      <c r="EO107" t="e">
        <f t="shared" si="152"/>
        <v>#N/A</v>
      </c>
      <c r="EP107" s="63" t="e">
        <f t="shared" si="153"/>
        <v>#N/A</v>
      </c>
      <c r="FT107" s="63"/>
    </row>
    <row r="108" spans="2:176" x14ac:dyDescent="0.3">
      <c r="B108" s="42"/>
      <c r="M108" s="194" t="str">
        <f ca="1">INDEX(Données_ATB!BD:BU,MATCH(MASQ2!O108,Données_ATB!BD:BD,0),18)</f>
        <v/>
      </c>
      <c r="N108" s="14" t="str">
        <f>IFERROR(IF(Q108=0,"",COUNTIF(Q$4:Q$600,"&gt;"&amp;Q108)+COUNTIF(Q$4:Q108,Q108)),"")</f>
        <v/>
      </c>
      <c r="O108" t="str">
        <f>Données_ATB!BD107</f>
        <v>CK 4 - DOXYCYCLINE 50 MG/G</v>
      </c>
      <c r="P108" t="e">
        <f>IF(IF(X$2="Catégorie",IF(X$3="Toutes",SUMIFS('Étape 1 - à remplir'!$F$31:$F$400,'Étape 1 - à remplir'!$E$31:$E$400,MASQ2!O108,'Étape 1 - à remplir'!$G$31:$G$400,"animaux"),SUMIFS('Étape 1 - à remplir'!$F$31:$F$400,'Étape 1 - à remplir'!$E$31:$E$400,MASQ2!O108,'Étape 1 - à remplir'!$C$31:$C$400,X$3)),IF(X$2="Âge",IF(X$3="Tous",SUMIFS('Étape 1 - à remplir'!$F$31:$F$400,'Étape 1 - à remplir'!$E$31:$E$400,MASQ2!O108,'Étape 1 - à remplir'!$G$31:$G$400,"animaux"),SUMIFS('Étape 1 - à remplir'!$F$31:$F$400,'Étape 1 - à remplir'!$E$31:$E$400,MASQ2!O108,'Étape 1 - à remplir'!$P$31:$P$400,X$3)),IF(X$2="Atelier",IF(X$3="Tous",SUMIFS('Étape 1 - à remplir'!$F$31:$F$400,'Étape 1 - à remplir'!$E$31:$E$400,MASQ2!O108,'Étape 1 - à remplir'!$G$31:$G$400,"animaux"),SUMIFS('Étape 1 - à remplir'!$F$31:$F$400,'Étape 1 - à remplir'!$E$31:$E$400,MASQ2!O108,'Étape 1 - à remplir'!$O$31:$O$400,X$3)),IF(X$2="Espèce",IF(X$3="Toutes",SUMIFS('Étape 1 - à remplir'!$F$31:$F$400,'Étape 1 - à remplir'!$E$31:$E$400,MASQ2!O108,'Étape 1 - à remplir'!$G$31:$G$400,"animaux"),SUMIFS('Étape 1 - à remplir'!$F$31:$F$400,'Étape 1 - à remplir'!$E$31:$E$400,MASQ2!O108,'Étape 1 - à remplir'!$N$31:$N$400,X$3))))))=0,NA(),IF(X$2="Catégorie",IF(X$3="Toutes",SUMIFS('Étape 1 - à remplir'!$F$31:$F$400,'Étape 1 - à remplir'!$E$31:$E$400,MASQ2!O108,'Étape 1 - à remplir'!$G$31:$G$400,"animaux"),SUMIFS('Étape 1 - à remplir'!$F$31:$F$400,'Étape 1 - à remplir'!$E$31:$E$400,MASQ2!O108,'Étape 1 - à remplir'!$C$31:$C$400,X$3)),IF(X$2="Âge",IF(X$3="Tous",SUMIFS('Étape 1 - à remplir'!$F$31:$F$400,'Étape 1 - à remplir'!$E$31:$E$400,MASQ2!O108,'Étape 1 - à remplir'!$G$31:$G$400,"animaux"),SUMIFS('Étape 1 - à remplir'!$F$31:$F$400,'Étape 1 - à remplir'!$E$31:$E$400,MASQ2!O108,'Étape 1 - à remplir'!$P$31:$P$400,X$3)),IF(X$2="Atelier",IF(X$3="Tous",SUMIFS('Étape 1 - à remplir'!$F$31:$F$400,'Étape 1 - à remplir'!$E$31:$E$400,MASQ2!O108,'Étape 1 - à remplir'!$G$31:$G$400,"animaux"),SUMIFS('Étape 1 - à remplir'!$F$31:$F$400,'Étape 1 - à remplir'!$E$31:$E$400,MASQ2!O108,'Étape 1 - à remplir'!$O$31:$O$400,X$3)),IF(X$2="Espèce",IF(X$3="Toutes",SUMIFS('Étape 1 - à remplir'!$F$31:$F$400,'Étape 1 - à remplir'!$E$31:$E$400,MASQ2!O108,'Étape 1 - à remplir'!$G$31:$G$400,"animaux"),SUMIFS('Étape 1 - à remplir'!$F$31:$F$400,'Étape 1 - à remplir'!$E$31:$E$400,MASQ2!O108,'Étape 1 - à remplir'!$N$31:$N$400,X$3)))))))</f>
        <v>#N/A</v>
      </c>
      <c r="Q108" s="63">
        <f t="shared" si="151"/>
        <v>0</v>
      </c>
      <c r="R108" t="str">
        <f>Données_ATB!BM107</f>
        <v>Doxycycline</v>
      </c>
      <c r="S108" t="str">
        <f>Données_ATB!BN107</f>
        <v/>
      </c>
      <c r="T108" s="63" t="str">
        <f>Données_ATB!BO107</f>
        <v/>
      </c>
      <c r="U108" s="42" t="str">
        <f>Données_ATB!BQ107</f>
        <v>Tetracyclines</v>
      </c>
      <c r="V108" t="str">
        <f>Données_ATB!BR107</f>
        <v/>
      </c>
      <c r="W108" s="63" t="str">
        <f>Données_ATB!BS107</f>
        <v/>
      </c>
      <c r="Z108" s="42">
        <v>105</v>
      </c>
      <c r="AA108" t="e">
        <f t="shared" si="147"/>
        <v>#N/A</v>
      </c>
      <c r="AB108" s="63" t="e">
        <f t="shared" si="148"/>
        <v>#N/A</v>
      </c>
      <c r="BF108" s="63"/>
      <c r="BT108" s="194" t="str">
        <f t="shared" ca="1" si="131"/>
        <v/>
      </c>
      <c r="BU108" s="219" t="str">
        <f>IFERROR(IF(BX108=0,"",COUNTIF(BX$4:BX$600,"&gt;"&amp;BX108)+COUNTIF(BX$4:BX108,BX108)),"")</f>
        <v/>
      </c>
      <c r="BV108" s="42" t="str">
        <f t="shared" si="132"/>
        <v>CK 4 - DOXYCYCLINE 50 MG/G</v>
      </c>
      <c r="BW108" t="e">
        <f>IF(IF(CE$2="Catégorie",IF(CE$3="Toutes",SUMIFS('Étape 1 - à remplir'!$F$31:$F$400,'Étape 1 - à remplir'!$E$31:$E$400,MASQ2!BV108,'Étape 1 - à remplir'!$G$31:$G$400,"lots"),SUMIFS('Étape 1 - à remplir'!$F$31:$F$400,'Étape 1 - à remplir'!$E$31:$E$400,MASQ2!BV108,'Étape 1 - à remplir'!$C$31:$C$400,CE$3)),IF(CE$2="Âge",IF(CE$3="Tous",SUMIFS('Étape 1 - à remplir'!$F$31:$F$400,'Étape 1 - à remplir'!$E$31:$E$400,MASQ2!BV108,'Étape 1 - à remplir'!$G$31:$G$400,"lots"),SUMIFS('Étape 1 - à remplir'!$F$31:$F$400,'Étape 1 - à remplir'!$E$31:$E$400,MASQ2!BV108,'Étape 1 - à remplir'!$P$31:$P$400,CE$3,'Étape 1 - à remplir'!$G$31:$G$400,"lots")),IF(CE$2="Atelier",IF(CE$3="Tous",SUMIFS('Étape 1 - à remplir'!$F$31:$F$400,'Étape 1 - à remplir'!$E$31:$E$400,MASQ2!BV108,'Étape 1 - à remplir'!$G$31:$G$400,"lots"),SUMIFS('Étape 1 - à remplir'!$F$31:$F$400,'Étape 1 - à remplir'!$E$31:$E$400,MASQ2!BV108,'Étape 1 - à remplir'!$O$31:$O$400,CE$3,'Étape 1 - à remplir'!$G$31:$G$400,"lots")),IF(CE$2="Espèce",IF(CE$3="Toutes",SUMIFS('Étape 1 - à remplir'!$F$31:$F$400,'Étape 1 - à remplir'!$E$31:$E$400,MASQ2!BV108,'Étape 1 - à remplir'!$G$31:$G$400,"lots"),SUMIFS('Étape 1 - à remplir'!$F$31:$F$400,'Étape 1 - à remplir'!$E$31:$E$400,MASQ2!BV108,'Étape 1 - à remplir'!$N$31:$N$400,CE$3,'Étape 1 - à remplir'!$G$31:$G$400,"lots"))))))=0,NA(),IF(CE$2="Catégorie",IF(CE$3="Toutes",SUMIFS('Étape 1 - à remplir'!$F$31:$F$400,'Étape 1 - à remplir'!$E$31:$E$400,MASQ2!BV108,'Étape 1 - à remplir'!$G$31:$G$400,"lots"),SUMIFS('Étape 1 - à remplir'!$F$31:$F$400,'Étape 1 - à remplir'!$E$31:$E$400,MASQ2!BV108,'Étape 1 - à remplir'!$C$31:$C$400,CE$3)),IF(CE$2="Âge",IF(CE$3="Tous",SUMIFS('Étape 1 - à remplir'!$F$31:$F$400,'Étape 1 - à remplir'!$E$31:$E$400,MASQ2!BV108,'Étape 1 - à remplir'!$G$31:$G$400,"lots"),SUMIFS('Étape 1 - à remplir'!$F$31:$F$400,'Étape 1 - à remplir'!$E$31:$E$400,MASQ2!BV108,'Étape 1 - à remplir'!$P$31:$P$400,CE$3,'Étape 1 - à remplir'!$G$31:$G$400,"lots")),IF(CE$2="Atelier",IF(CE$3="Tous",SUMIFS('Étape 1 - à remplir'!$F$31:$F$400,'Étape 1 - à remplir'!$E$31:$E$400,MASQ2!BV108,'Étape 1 - à remplir'!$G$31:$G$400,"lots"),SUMIFS('Étape 1 - à remplir'!$F$31:$F$400,'Étape 1 - à remplir'!$E$31:$E$400,MASQ2!BV108,'Étape 1 - à remplir'!$O$31:$O$400,CE$3,'Étape 1 - à remplir'!$G$31:$G$400,"lots")),IF(CE$2="Espèce",IF(CE$3="Toutes",SUMIFS('Étape 1 - à remplir'!$F$31:$F$400,'Étape 1 - à remplir'!$E$31:$E$400,MASQ2!BV108,'Étape 1 - à remplir'!$G$31:$G$400,"lots"),SUMIFS('Étape 1 - à remplir'!$F$31:$F$400,'Étape 1 - à remplir'!$E$31:$E$400,MASQ2!BV108,'Étape 1 - à remplir'!$N$31:$N$400,CE$3,'Étape 1 - à remplir'!$G$31:$G$400,"lots")))))))</f>
        <v>#N/A</v>
      </c>
      <c r="BX108">
        <f t="shared" si="149"/>
        <v>0</v>
      </c>
      <c r="BY108" t="str">
        <f t="shared" si="133"/>
        <v>Doxycycline</v>
      </c>
      <c r="BZ108" t="str">
        <f t="shared" si="134"/>
        <v/>
      </c>
      <c r="CA108" t="str">
        <f t="shared" si="135"/>
        <v/>
      </c>
      <c r="CB108" t="str">
        <f t="shared" si="136"/>
        <v>Tetracyclines</v>
      </c>
      <c r="CC108" t="str">
        <f t="shared" si="137"/>
        <v/>
      </c>
      <c r="CD108" s="63" t="str">
        <f t="shared" si="138"/>
        <v/>
      </c>
      <c r="CG108" s="42">
        <v>105</v>
      </c>
      <c r="CH108" s="42" t="e">
        <f t="shared" si="163"/>
        <v>#N/A</v>
      </c>
      <c r="CI108" s="63" t="e">
        <f t="shared" si="164"/>
        <v>#N/A</v>
      </c>
      <c r="DM108" s="63"/>
      <c r="EA108" s="194" t="str">
        <f t="shared" ca="1" si="139"/>
        <v/>
      </c>
      <c r="EB108" s="226" t="str">
        <f>IFERROR(IF(ED108=0,"",COUNTIF(ED$4:ED$600,"&gt;"&amp;ED108)+COUNTIF(ED$4:ED108,ED108)),"")</f>
        <v/>
      </c>
      <c r="EC108" t="str">
        <f t="shared" si="140"/>
        <v>CK 4 - DOXYCYCLINE 50 MG/G</v>
      </c>
      <c r="ED108" t="e">
        <f>IF(IF(EL$2="Catégorie",IF(EL$3="Toutes",SUMIFS('Étape 1 - à remplir'!$F$31:$F$400,'Étape 1 - à remplir'!$E$31:$E$400,MASQ2!EC108,'Étape 1 - à remplir'!$G$31:$G$400,"kg"),SUMIFS('Étape 1 - à remplir'!$F$31:$F$400,'Étape 1 - à remplir'!$E$31:$E$400,MASQ2!EC108,'Étape 1 - à remplir'!$C$31:$C$400,EL$3)),IF(EL$2="Âge",IF(EL$3="Tous",SUMIFS('Étape 1 - à remplir'!$F$31:$F$400,'Étape 1 - à remplir'!$E$31:$E$400,MASQ2!EC108,'Étape 1 - à remplir'!$G$31:$G$400,"kg"),SUMIFS('Étape 1 - à remplir'!$F$31:$F$400,'Étape 1 - à remplir'!$E$31:$E$400,MASQ2!EC108,'Étape 1 - à remplir'!$P$31:$P$400,EL$3,'Étape 1 - à remplir'!$G$31:$G$400,"kg")),IF(EL$2="Atelier",IF(EL$3="Tous",SUMIFS('Étape 1 - à remplir'!$F$31:$F$400,'Étape 1 - à remplir'!$E$31:$E$400,MASQ2!EC108,'Étape 1 - à remplir'!$G$31:$G$400,"kg"),SUMIFS('Étape 1 - à remplir'!$F$31:$F$400,'Étape 1 - à remplir'!$E$31:$E$400,MASQ2!EC108,'Étape 1 - à remplir'!$O$31:$O$400,EL$3,'Étape 1 - à remplir'!$G$31:$G$400,"kg")),IF(EL$2="Espèce",IF(EL$3="Toutes",SUMIFS('Étape 1 - à remplir'!$F$31:$F$400,'Étape 1 - à remplir'!$E$31:$E$400,MASQ2!EC108,'Étape 1 - à remplir'!$G$31:$G$400,"kg"),SUMIFS('Étape 1 - à remplir'!$F$31:$F$400,'Étape 1 - à remplir'!$E$31:$E$400,MASQ2!EC108,'Étape 1 - à remplir'!$N$31:$N$400,EL$3,'Étape 1 - à remplir'!$G$31:$G$400,"kg"))))))=0,NA(),IF(EL$2="Catégorie",IF(EL$3="Toutes",SUMIFS('Étape 1 - à remplir'!$F$31:$F$400,'Étape 1 - à remplir'!$E$31:$E$400,MASQ2!EC108,'Étape 1 - à remplir'!$G$31:$G$400,"kg"),SUMIFS('Étape 1 - à remplir'!$F$31:$F$400,'Étape 1 - à remplir'!$E$31:$E$400,MASQ2!EC108,'Étape 1 - à remplir'!$C$31:$C$400,EL$3)),IF(EL$2="Âge",IF(EL$3="Tous",SUMIFS('Étape 1 - à remplir'!$F$31:$F$400,'Étape 1 - à remplir'!$E$31:$E$400,MASQ2!EC108,'Étape 1 - à remplir'!$G$31:$G$400,"kg"),SUMIFS('Étape 1 - à remplir'!$F$31:$F$400,'Étape 1 - à remplir'!$E$31:$E$400,MASQ2!EC108,'Étape 1 - à remplir'!$P$31:$P$400,EL$3,'Étape 1 - à remplir'!$G$31:$G$400,"kg")),IF(EL$2="Atelier",IF(EL$3="Tous",SUMIFS('Étape 1 - à remplir'!$F$31:$F$400,'Étape 1 - à remplir'!$E$31:$E$400,MASQ2!EC108,'Étape 1 - à remplir'!$G$31:$G$400,"kg"),SUMIFS('Étape 1 - à remplir'!$F$31:$F$400,'Étape 1 - à remplir'!$E$31:$E$400,MASQ2!EC108,'Étape 1 - à remplir'!$O$31:$O$400,EL$3,'Étape 1 - à remplir'!$G$31:$G$400,"kg")),IF(EL$2="Espèce",IF(EL$3="Toutes",SUMIFS('Étape 1 - à remplir'!$F$31:$F$400,'Étape 1 - à remplir'!$E$31:$E$400,MASQ2!EC108,'Étape 1 - à remplir'!$G$31:$G$400,"kg"),SUMIFS('Étape 1 - à remplir'!$F$31:$F$400,'Étape 1 - à remplir'!$E$31:$E$400,MASQ2!EC108,'Étape 1 - à remplir'!$N$31:$N$400,EL$3,'Étape 1 - à remplir'!$G$31:$G$400,"kg")))))))</f>
        <v>#N/A</v>
      </c>
      <c r="EE108" s="76">
        <f t="shared" si="150"/>
        <v>0</v>
      </c>
      <c r="EF108" t="str">
        <f t="shared" si="141"/>
        <v>Doxycycline</v>
      </c>
      <c r="EG108" t="str">
        <f t="shared" si="142"/>
        <v/>
      </c>
      <c r="EH108" t="str">
        <f t="shared" si="143"/>
        <v/>
      </c>
      <c r="EI108" t="str">
        <f t="shared" si="144"/>
        <v>Tetracyclines</v>
      </c>
      <c r="EJ108" t="str">
        <f t="shared" si="145"/>
        <v/>
      </c>
      <c r="EK108" s="63" t="str">
        <f t="shared" si="146"/>
        <v/>
      </c>
      <c r="EN108" s="42">
        <v>105</v>
      </c>
      <c r="EO108" t="e">
        <f t="shared" si="152"/>
        <v>#N/A</v>
      </c>
      <c r="EP108" s="63" t="e">
        <f t="shared" si="153"/>
        <v>#N/A</v>
      </c>
      <c r="FT108" s="63"/>
    </row>
    <row r="109" spans="2:176" x14ac:dyDescent="0.3">
      <c r="B109" s="42"/>
      <c r="M109" s="194" t="str">
        <f ca="1">INDEX(Données_ATB!BD:BU,MATCH(MASQ2!O109,Données_ATB!BD:BD,0),18)</f>
        <v/>
      </c>
      <c r="N109" s="14" t="str">
        <f>IFERROR(IF(Q109=0,"",COUNTIF(Q$4:Q$600,"&gt;"&amp;Q109)+COUNTIF(Q$4:Q109,Q109)),"")</f>
        <v/>
      </c>
      <c r="O109" t="str">
        <f>Données_ATB!BD108</f>
        <v>CK 5 - OXYTETRACYCLINE 500 MG/G</v>
      </c>
      <c r="P109" t="e">
        <f>IF(IF(X$2="Catégorie",IF(X$3="Toutes",SUMIFS('Étape 1 - à remplir'!$F$31:$F$400,'Étape 1 - à remplir'!$E$31:$E$400,MASQ2!O109,'Étape 1 - à remplir'!$G$31:$G$400,"animaux"),SUMIFS('Étape 1 - à remplir'!$F$31:$F$400,'Étape 1 - à remplir'!$E$31:$E$400,MASQ2!O109,'Étape 1 - à remplir'!$C$31:$C$400,X$3)),IF(X$2="Âge",IF(X$3="Tous",SUMIFS('Étape 1 - à remplir'!$F$31:$F$400,'Étape 1 - à remplir'!$E$31:$E$400,MASQ2!O109,'Étape 1 - à remplir'!$G$31:$G$400,"animaux"),SUMIFS('Étape 1 - à remplir'!$F$31:$F$400,'Étape 1 - à remplir'!$E$31:$E$400,MASQ2!O109,'Étape 1 - à remplir'!$P$31:$P$400,X$3)),IF(X$2="Atelier",IF(X$3="Tous",SUMIFS('Étape 1 - à remplir'!$F$31:$F$400,'Étape 1 - à remplir'!$E$31:$E$400,MASQ2!O109,'Étape 1 - à remplir'!$G$31:$G$400,"animaux"),SUMIFS('Étape 1 - à remplir'!$F$31:$F$400,'Étape 1 - à remplir'!$E$31:$E$400,MASQ2!O109,'Étape 1 - à remplir'!$O$31:$O$400,X$3)),IF(X$2="Espèce",IF(X$3="Toutes",SUMIFS('Étape 1 - à remplir'!$F$31:$F$400,'Étape 1 - à remplir'!$E$31:$E$400,MASQ2!O109,'Étape 1 - à remplir'!$G$31:$G$400,"animaux"),SUMIFS('Étape 1 - à remplir'!$F$31:$F$400,'Étape 1 - à remplir'!$E$31:$E$400,MASQ2!O109,'Étape 1 - à remplir'!$N$31:$N$400,X$3))))))=0,NA(),IF(X$2="Catégorie",IF(X$3="Toutes",SUMIFS('Étape 1 - à remplir'!$F$31:$F$400,'Étape 1 - à remplir'!$E$31:$E$400,MASQ2!O109,'Étape 1 - à remplir'!$G$31:$G$400,"animaux"),SUMIFS('Étape 1 - à remplir'!$F$31:$F$400,'Étape 1 - à remplir'!$E$31:$E$400,MASQ2!O109,'Étape 1 - à remplir'!$C$31:$C$400,X$3)),IF(X$2="Âge",IF(X$3="Tous",SUMIFS('Étape 1 - à remplir'!$F$31:$F$400,'Étape 1 - à remplir'!$E$31:$E$400,MASQ2!O109,'Étape 1 - à remplir'!$G$31:$G$400,"animaux"),SUMIFS('Étape 1 - à remplir'!$F$31:$F$400,'Étape 1 - à remplir'!$E$31:$E$400,MASQ2!O109,'Étape 1 - à remplir'!$P$31:$P$400,X$3)),IF(X$2="Atelier",IF(X$3="Tous",SUMIFS('Étape 1 - à remplir'!$F$31:$F$400,'Étape 1 - à remplir'!$E$31:$E$400,MASQ2!O109,'Étape 1 - à remplir'!$G$31:$G$400,"animaux"),SUMIFS('Étape 1 - à remplir'!$F$31:$F$400,'Étape 1 - à remplir'!$E$31:$E$400,MASQ2!O109,'Étape 1 - à remplir'!$O$31:$O$400,X$3)),IF(X$2="Espèce",IF(X$3="Toutes",SUMIFS('Étape 1 - à remplir'!$F$31:$F$400,'Étape 1 - à remplir'!$E$31:$E$400,MASQ2!O109,'Étape 1 - à remplir'!$G$31:$G$400,"animaux"),SUMIFS('Étape 1 - à remplir'!$F$31:$F$400,'Étape 1 - à remplir'!$E$31:$E$400,MASQ2!O109,'Étape 1 - à remplir'!$N$31:$N$400,X$3)))))))</f>
        <v>#N/A</v>
      </c>
      <c r="Q109" s="63">
        <f t="shared" si="151"/>
        <v>0</v>
      </c>
      <c r="R109" t="str">
        <f>Données_ATB!BM108</f>
        <v>Oxytétracycline</v>
      </c>
      <c r="S109" t="str">
        <f>Données_ATB!BN108</f>
        <v/>
      </c>
      <c r="T109" s="63" t="str">
        <f>Données_ATB!BO108</f>
        <v/>
      </c>
      <c r="U109" s="42" t="str">
        <f>Données_ATB!BQ108</f>
        <v>Tetracyclines</v>
      </c>
      <c r="V109" t="str">
        <f>Données_ATB!BR108</f>
        <v/>
      </c>
      <c r="W109" s="63" t="str">
        <f>Données_ATB!BS108</f>
        <v/>
      </c>
      <c r="Z109" s="42">
        <v>106</v>
      </c>
      <c r="AA109" t="e">
        <f t="shared" si="147"/>
        <v>#N/A</v>
      </c>
      <c r="AB109" s="63" t="e">
        <f t="shared" si="148"/>
        <v>#N/A</v>
      </c>
      <c r="BF109" s="63"/>
      <c r="BT109" s="194" t="str">
        <f t="shared" ca="1" si="131"/>
        <v/>
      </c>
      <c r="BU109" s="219" t="str">
        <f>IFERROR(IF(BX109=0,"",COUNTIF(BX$4:BX$600,"&gt;"&amp;BX109)+COUNTIF(BX$4:BX109,BX109)),"")</f>
        <v/>
      </c>
      <c r="BV109" s="42" t="str">
        <f t="shared" si="132"/>
        <v>CK 5 - OXYTETRACYCLINE 500 MG/G</v>
      </c>
      <c r="BW109" t="e">
        <f>IF(IF(CE$2="Catégorie",IF(CE$3="Toutes",SUMIFS('Étape 1 - à remplir'!$F$31:$F$400,'Étape 1 - à remplir'!$E$31:$E$400,MASQ2!BV109,'Étape 1 - à remplir'!$G$31:$G$400,"lots"),SUMIFS('Étape 1 - à remplir'!$F$31:$F$400,'Étape 1 - à remplir'!$E$31:$E$400,MASQ2!BV109,'Étape 1 - à remplir'!$C$31:$C$400,CE$3)),IF(CE$2="Âge",IF(CE$3="Tous",SUMIFS('Étape 1 - à remplir'!$F$31:$F$400,'Étape 1 - à remplir'!$E$31:$E$400,MASQ2!BV109,'Étape 1 - à remplir'!$G$31:$G$400,"lots"),SUMIFS('Étape 1 - à remplir'!$F$31:$F$400,'Étape 1 - à remplir'!$E$31:$E$400,MASQ2!BV109,'Étape 1 - à remplir'!$P$31:$P$400,CE$3,'Étape 1 - à remplir'!$G$31:$G$400,"lots")),IF(CE$2="Atelier",IF(CE$3="Tous",SUMIFS('Étape 1 - à remplir'!$F$31:$F$400,'Étape 1 - à remplir'!$E$31:$E$400,MASQ2!BV109,'Étape 1 - à remplir'!$G$31:$G$400,"lots"),SUMIFS('Étape 1 - à remplir'!$F$31:$F$400,'Étape 1 - à remplir'!$E$31:$E$400,MASQ2!BV109,'Étape 1 - à remplir'!$O$31:$O$400,CE$3,'Étape 1 - à remplir'!$G$31:$G$400,"lots")),IF(CE$2="Espèce",IF(CE$3="Toutes",SUMIFS('Étape 1 - à remplir'!$F$31:$F$400,'Étape 1 - à remplir'!$E$31:$E$400,MASQ2!BV109,'Étape 1 - à remplir'!$G$31:$G$400,"lots"),SUMIFS('Étape 1 - à remplir'!$F$31:$F$400,'Étape 1 - à remplir'!$E$31:$E$400,MASQ2!BV109,'Étape 1 - à remplir'!$N$31:$N$400,CE$3,'Étape 1 - à remplir'!$G$31:$G$400,"lots"))))))=0,NA(),IF(CE$2="Catégorie",IF(CE$3="Toutes",SUMIFS('Étape 1 - à remplir'!$F$31:$F$400,'Étape 1 - à remplir'!$E$31:$E$400,MASQ2!BV109,'Étape 1 - à remplir'!$G$31:$G$400,"lots"),SUMIFS('Étape 1 - à remplir'!$F$31:$F$400,'Étape 1 - à remplir'!$E$31:$E$400,MASQ2!BV109,'Étape 1 - à remplir'!$C$31:$C$400,CE$3)),IF(CE$2="Âge",IF(CE$3="Tous",SUMIFS('Étape 1 - à remplir'!$F$31:$F$400,'Étape 1 - à remplir'!$E$31:$E$400,MASQ2!BV109,'Étape 1 - à remplir'!$G$31:$G$400,"lots"),SUMIFS('Étape 1 - à remplir'!$F$31:$F$400,'Étape 1 - à remplir'!$E$31:$E$400,MASQ2!BV109,'Étape 1 - à remplir'!$P$31:$P$400,CE$3,'Étape 1 - à remplir'!$G$31:$G$400,"lots")),IF(CE$2="Atelier",IF(CE$3="Tous",SUMIFS('Étape 1 - à remplir'!$F$31:$F$400,'Étape 1 - à remplir'!$E$31:$E$400,MASQ2!BV109,'Étape 1 - à remplir'!$G$31:$G$400,"lots"),SUMIFS('Étape 1 - à remplir'!$F$31:$F$400,'Étape 1 - à remplir'!$E$31:$E$400,MASQ2!BV109,'Étape 1 - à remplir'!$O$31:$O$400,CE$3,'Étape 1 - à remplir'!$G$31:$G$400,"lots")),IF(CE$2="Espèce",IF(CE$3="Toutes",SUMIFS('Étape 1 - à remplir'!$F$31:$F$400,'Étape 1 - à remplir'!$E$31:$E$400,MASQ2!BV109,'Étape 1 - à remplir'!$G$31:$G$400,"lots"),SUMIFS('Étape 1 - à remplir'!$F$31:$F$400,'Étape 1 - à remplir'!$E$31:$E$400,MASQ2!BV109,'Étape 1 - à remplir'!$N$31:$N$400,CE$3,'Étape 1 - à remplir'!$G$31:$G$400,"lots")))))))</f>
        <v>#N/A</v>
      </c>
      <c r="BX109">
        <f t="shared" si="149"/>
        <v>0</v>
      </c>
      <c r="BY109" t="str">
        <f t="shared" si="133"/>
        <v>Oxytétracycline</v>
      </c>
      <c r="BZ109" t="str">
        <f t="shared" si="134"/>
        <v/>
      </c>
      <c r="CA109" t="str">
        <f t="shared" si="135"/>
        <v/>
      </c>
      <c r="CB109" t="str">
        <f t="shared" si="136"/>
        <v>Tetracyclines</v>
      </c>
      <c r="CC109" t="str">
        <f t="shared" si="137"/>
        <v/>
      </c>
      <c r="CD109" s="63" t="str">
        <f t="shared" si="138"/>
        <v/>
      </c>
      <c r="CG109" s="42">
        <v>106</v>
      </c>
      <c r="CH109" s="42" t="e">
        <f t="shared" si="163"/>
        <v>#N/A</v>
      </c>
      <c r="CI109" s="63" t="e">
        <f t="shared" si="164"/>
        <v>#N/A</v>
      </c>
      <c r="DM109" s="63"/>
      <c r="EA109" s="194" t="str">
        <f t="shared" ca="1" si="139"/>
        <v/>
      </c>
      <c r="EB109" s="226" t="str">
        <f>IFERROR(IF(ED109=0,"",COUNTIF(ED$4:ED$600,"&gt;"&amp;ED109)+COUNTIF(ED$4:ED109,ED109)),"")</f>
        <v/>
      </c>
      <c r="EC109" t="str">
        <f t="shared" si="140"/>
        <v>CK 5 - OXYTETRACYCLINE 500 MG/G</v>
      </c>
      <c r="ED109" t="e">
        <f>IF(IF(EL$2="Catégorie",IF(EL$3="Toutes",SUMIFS('Étape 1 - à remplir'!$F$31:$F$400,'Étape 1 - à remplir'!$E$31:$E$400,MASQ2!EC109,'Étape 1 - à remplir'!$G$31:$G$400,"kg"),SUMIFS('Étape 1 - à remplir'!$F$31:$F$400,'Étape 1 - à remplir'!$E$31:$E$400,MASQ2!EC109,'Étape 1 - à remplir'!$C$31:$C$400,EL$3)),IF(EL$2="Âge",IF(EL$3="Tous",SUMIFS('Étape 1 - à remplir'!$F$31:$F$400,'Étape 1 - à remplir'!$E$31:$E$400,MASQ2!EC109,'Étape 1 - à remplir'!$G$31:$G$400,"kg"),SUMIFS('Étape 1 - à remplir'!$F$31:$F$400,'Étape 1 - à remplir'!$E$31:$E$400,MASQ2!EC109,'Étape 1 - à remplir'!$P$31:$P$400,EL$3,'Étape 1 - à remplir'!$G$31:$G$400,"kg")),IF(EL$2="Atelier",IF(EL$3="Tous",SUMIFS('Étape 1 - à remplir'!$F$31:$F$400,'Étape 1 - à remplir'!$E$31:$E$400,MASQ2!EC109,'Étape 1 - à remplir'!$G$31:$G$400,"kg"),SUMIFS('Étape 1 - à remplir'!$F$31:$F$400,'Étape 1 - à remplir'!$E$31:$E$400,MASQ2!EC109,'Étape 1 - à remplir'!$O$31:$O$400,EL$3,'Étape 1 - à remplir'!$G$31:$G$400,"kg")),IF(EL$2="Espèce",IF(EL$3="Toutes",SUMIFS('Étape 1 - à remplir'!$F$31:$F$400,'Étape 1 - à remplir'!$E$31:$E$400,MASQ2!EC109,'Étape 1 - à remplir'!$G$31:$G$400,"kg"),SUMIFS('Étape 1 - à remplir'!$F$31:$F$400,'Étape 1 - à remplir'!$E$31:$E$400,MASQ2!EC109,'Étape 1 - à remplir'!$N$31:$N$400,EL$3,'Étape 1 - à remplir'!$G$31:$G$400,"kg"))))))=0,NA(),IF(EL$2="Catégorie",IF(EL$3="Toutes",SUMIFS('Étape 1 - à remplir'!$F$31:$F$400,'Étape 1 - à remplir'!$E$31:$E$400,MASQ2!EC109,'Étape 1 - à remplir'!$G$31:$G$400,"kg"),SUMIFS('Étape 1 - à remplir'!$F$31:$F$400,'Étape 1 - à remplir'!$E$31:$E$400,MASQ2!EC109,'Étape 1 - à remplir'!$C$31:$C$400,EL$3)),IF(EL$2="Âge",IF(EL$3="Tous",SUMIFS('Étape 1 - à remplir'!$F$31:$F$400,'Étape 1 - à remplir'!$E$31:$E$400,MASQ2!EC109,'Étape 1 - à remplir'!$G$31:$G$400,"kg"),SUMIFS('Étape 1 - à remplir'!$F$31:$F$400,'Étape 1 - à remplir'!$E$31:$E$400,MASQ2!EC109,'Étape 1 - à remplir'!$P$31:$P$400,EL$3,'Étape 1 - à remplir'!$G$31:$G$400,"kg")),IF(EL$2="Atelier",IF(EL$3="Tous",SUMIFS('Étape 1 - à remplir'!$F$31:$F$400,'Étape 1 - à remplir'!$E$31:$E$400,MASQ2!EC109,'Étape 1 - à remplir'!$G$31:$G$400,"kg"),SUMIFS('Étape 1 - à remplir'!$F$31:$F$400,'Étape 1 - à remplir'!$E$31:$E$400,MASQ2!EC109,'Étape 1 - à remplir'!$O$31:$O$400,EL$3,'Étape 1 - à remplir'!$G$31:$G$400,"kg")),IF(EL$2="Espèce",IF(EL$3="Toutes",SUMIFS('Étape 1 - à remplir'!$F$31:$F$400,'Étape 1 - à remplir'!$E$31:$E$400,MASQ2!EC109,'Étape 1 - à remplir'!$G$31:$G$400,"kg"),SUMIFS('Étape 1 - à remplir'!$F$31:$F$400,'Étape 1 - à remplir'!$E$31:$E$400,MASQ2!EC109,'Étape 1 - à remplir'!$N$31:$N$400,EL$3,'Étape 1 - à remplir'!$G$31:$G$400,"kg")))))))</f>
        <v>#N/A</v>
      </c>
      <c r="EE109" s="76">
        <f t="shared" si="150"/>
        <v>0</v>
      </c>
      <c r="EF109" t="str">
        <f t="shared" si="141"/>
        <v>Oxytétracycline</v>
      </c>
      <c r="EG109" t="str">
        <f t="shared" si="142"/>
        <v/>
      </c>
      <c r="EH109" t="str">
        <f t="shared" si="143"/>
        <v/>
      </c>
      <c r="EI109" t="str">
        <f t="shared" si="144"/>
        <v>Tetracyclines</v>
      </c>
      <c r="EJ109" t="str">
        <f t="shared" si="145"/>
        <v/>
      </c>
      <c r="EK109" s="63" t="str">
        <f t="shared" si="146"/>
        <v/>
      </c>
      <c r="EN109" s="42">
        <v>106</v>
      </c>
      <c r="EO109" t="e">
        <f t="shared" si="152"/>
        <v>#N/A</v>
      </c>
      <c r="EP109" s="63" t="e">
        <f t="shared" si="153"/>
        <v>#N/A</v>
      </c>
      <c r="FT109" s="63"/>
    </row>
    <row r="110" spans="2:176" x14ac:dyDescent="0.3">
      <c r="B110" s="42"/>
      <c r="M110" s="194" t="str">
        <f ca="1">INDEX(Données_ATB!BD:BU,MATCH(MASQ2!O110,Données_ATB!BD:BD,0),18)</f>
        <v/>
      </c>
      <c r="N110" s="14" t="str">
        <f>IFERROR(IF(Q110=0,"",COUNTIF(Q$4:Q$600,"&gt;"&amp;Q110)+COUNTIF(Q$4:Q110,Q110)),"")</f>
        <v/>
      </c>
      <c r="O110" t="str">
        <f>Données_ATB!BD109</f>
        <v>CK 7 - TRIMETHOPRIME 16,65 MG/ML SULFADIAZINE 83,35 MG/ML</v>
      </c>
      <c r="P110" t="e">
        <f>IF(IF(X$2="Catégorie",IF(X$3="Toutes",SUMIFS('Étape 1 - à remplir'!$F$31:$F$400,'Étape 1 - à remplir'!$E$31:$E$400,MASQ2!O110,'Étape 1 - à remplir'!$G$31:$G$400,"animaux"),SUMIFS('Étape 1 - à remplir'!$F$31:$F$400,'Étape 1 - à remplir'!$E$31:$E$400,MASQ2!O110,'Étape 1 - à remplir'!$C$31:$C$400,X$3)),IF(X$2="Âge",IF(X$3="Tous",SUMIFS('Étape 1 - à remplir'!$F$31:$F$400,'Étape 1 - à remplir'!$E$31:$E$400,MASQ2!O110,'Étape 1 - à remplir'!$G$31:$G$400,"animaux"),SUMIFS('Étape 1 - à remplir'!$F$31:$F$400,'Étape 1 - à remplir'!$E$31:$E$400,MASQ2!O110,'Étape 1 - à remplir'!$P$31:$P$400,X$3)),IF(X$2="Atelier",IF(X$3="Tous",SUMIFS('Étape 1 - à remplir'!$F$31:$F$400,'Étape 1 - à remplir'!$E$31:$E$400,MASQ2!O110,'Étape 1 - à remplir'!$G$31:$G$400,"animaux"),SUMIFS('Étape 1 - à remplir'!$F$31:$F$400,'Étape 1 - à remplir'!$E$31:$E$400,MASQ2!O110,'Étape 1 - à remplir'!$O$31:$O$400,X$3)),IF(X$2="Espèce",IF(X$3="Toutes",SUMIFS('Étape 1 - à remplir'!$F$31:$F$400,'Étape 1 - à remplir'!$E$31:$E$400,MASQ2!O110,'Étape 1 - à remplir'!$G$31:$G$400,"animaux"),SUMIFS('Étape 1 - à remplir'!$F$31:$F$400,'Étape 1 - à remplir'!$E$31:$E$400,MASQ2!O110,'Étape 1 - à remplir'!$N$31:$N$400,X$3))))))=0,NA(),IF(X$2="Catégorie",IF(X$3="Toutes",SUMIFS('Étape 1 - à remplir'!$F$31:$F$400,'Étape 1 - à remplir'!$E$31:$E$400,MASQ2!O110,'Étape 1 - à remplir'!$G$31:$G$400,"animaux"),SUMIFS('Étape 1 - à remplir'!$F$31:$F$400,'Étape 1 - à remplir'!$E$31:$E$400,MASQ2!O110,'Étape 1 - à remplir'!$C$31:$C$400,X$3)),IF(X$2="Âge",IF(X$3="Tous",SUMIFS('Étape 1 - à remplir'!$F$31:$F$400,'Étape 1 - à remplir'!$E$31:$E$400,MASQ2!O110,'Étape 1 - à remplir'!$G$31:$G$400,"animaux"),SUMIFS('Étape 1 - à remplir'!$F$31:$F$400,'Étape 1 - à remplir'!$E$31:$E$400,MASQ2!O110,'Étape 1 - à remplir'!$P$31:$P$400,X$3)),IF(X$2="Atelier",IF(X$3="Tous",SUMIFS('Étape 1 - à remplir'!$F$31:$F$400,'Étape 1 - à remplir'!$E$31:$E$400,MASQ2!O110,'Étape 1 - à remplir'!$G$31:$G$400,"animaux"),SUMIFS('Étape 1 - à remplir'!$F$31:$F$400,'Étape 1 - à remplir'!$E$31:$E$400,MASQ2!O110,'Étape 1 - à remplir'!$O$31:$O$400,X$3)),IF(X$2="Espèce",IF(X$3="Toutes",SUMIFS('Étape 1 - à remplir'!$F$31:$F$400,'Étape 1 - à remplir'!$E$31:$E$400,MASQ2!O110,'Étape 1 - à remplir'!$G$31:$G$400,"animaux"),SUMIFS('Étape 1 - à remplir'!$F$31:$F$400,'Étape 1 - à remplir'!$E$31:$E$400,MASQ2!O110,'Étape 1 - à remplir'!$N$31:$N$400,X$3)))))))</f>
        <v>#N/A</v>
      </c>
      <c r="Q110" s="63">
        <f t="shared" si="151"/>
        <v>0</v>
      </c>
      <c r="R110" t="str">
        <f>Données_ATB!BM109</f>
        <v>Sulfadiazine</v>
      </c>
      <c r="S110" t="str">
        <f>Données_ATB!BN109</f>
        <v>Triméthoprime</v>
      </c>
      <c r="T110" s="63" t="str">
        <f>Données_ATB!BO109</f>
        <v/>
      </c>
      <c r="U110" s="42" t="str">
        <f>Données_ATB!BQ109</f>
        <v>Sulfamides</v>
      </c>
      <c r="V110" t="str">
        <f>Données_ATB!BR109</f>
        <v>Trimethoprime</v>
      </c>
      <c r="W110" s="63" t="str">
        <f>Données_ATB!BS109</f>
        <v/>
      </c>
      <c r="Z110" s="42">
        <v>107</v>
      </c>
      <c r="AA110" t="e">
        <f t="shared" si="147"/>
        <v>#N/A</v>
      </c>
      <c r="AB110" s="63" t="e">
        <f t="shared" si="148"/>
        <v>#N/A</v>
      </c>
      <c r="BF110" s="63"/>
      <c r="BT110" s="194" t="str">
        <f t="shared" ca="1" si="131"/>
        <v/>
      </c>
      <c r="BU110" s="219" t="str">
        <f>IFERROR(IF(BX110=0,"",COUNTIF(BX$4:BX$600,"&gt;"&amp;BX110)+COUNTIF(BX$4:BX110,BX110)),"")</f>
        <v/>
      </c>
      <c r="BV110" s="42" t="str">
        <f t="shared" si="132"/>
        <v>CK 7 - TRIMETHOPRIME 16,65 MG/ML SULFADIAZINE 83,35 MG/ML</v>
      </c>
      <c r="BW110" t="e">
        <f>IF(IF(CE$2="Catégorie",IF(CE$3="Toutes",SUMIFS('Étape 1 - à remplir'!$F$31:$F$400,'Étape 1 - à remplir'!$E$31:$E$400,MASQ2!BV110,'Étape 1 - à remplir'!$G$31:$G$400,"lots"),SUMIFS('Étape 1 - à remplir'!$F$31:$F$400,'Étape 1 - à remplir'!$E$31:$E$400,MASQ2!BV110,'Étape 1 - à remplir'!$C$31:$C$400,CE$3)),IF(CE$2="Âge",IF(CE$3="Tous",SUMIFS('Étape 1 - à remplir'!$F$31:$F$400,'Étape 1 - à remplir'!$E$31:$E$400,MASQ2!BV110,'Étape 1 - à remplir'!$G$31:$G$400,"lots"),SUMIFS('Étape 1 - à remplir'!$F$31:$F$400,'Étape 1 - à remplir'!$E$31:$E$400,MASQ2!BV110,'Étape 1 - à remplir'!$P$31:$P$400,CE$3,'Étape 1 - à remplir'!$G$31:$G$400,"lots")),IF(CE$2="Atelier",IF(CE$3="Tous",SUMIFS('Étape 1 - à remplir'!$F$31:$F$400,'Étape 1 - à remplir'!$E$31:$E$400,MASQ2!BV110,'Étape 1 - à remplir'!$G$31:$G$400,"lots"),SUMIFS('Étape 1 - à remplir'!$F$31:$F$400,'Étape 1 - à remplir'!$E$31:$E$400,MASQ2!BV110,'Étape 1 - à remplir'!$O$31:$O$400,CE$3,'Étape 1 - à remplir'!$G$31:$G$400,"lots")),IF(CE$2="Espèce",IF(CE$3="Toutes",SUMIFS('Étape 1 - à remplir'!$F$31:$F$400,'Étape 1 - à remplir'!$E$31:$E$400,MASQ2!BV110,'Étape 1 - à remplir'!$G$31:$G$400,"lots"),SUMIFS('Étape 1 - à remplir'!$F$31:$F$400,'Étape 1 - à remplir'!$E$31:$E$400,MASQ2!BV110,'Étape 1 - à remplir'!$N$31:$N$400,CE$3,'Étape 1 - à remplir'!$G$31:$G$400,"lots"))))))=0,NA(),IF(CE$2="Catégorie",IF(CE$3="Toutes",SUMIFS('Étape 1 - à remplir'!$F$31:$F$400,'Étape 1 - à remplir'!$E$31:$E$400,MASQ2!BV110,'Étape 1 - à remplir'!$G$31:$G$400,"lots"),SUMIFS('Étape 1 - à remplir'!$F$31:$F$400,'Étape 1 - à remplir'!$E$31:$E$400,MASQ2!BV110,'Étape 1 - à remplir'!$C$31:$C$400,CE$3)),IF(CE$2="Âge",IF(CE$3="Tous",SUMIFS('Étape 1 - à remplir'!$F$31:$F$400,'Étape 1 - à remplir'!$E$31:$E$400,MASQ2!BV110,'Étape 1 - à remplir'!$G$31:$G$400,"lots"),SUMIFS('Étape 1 - à remplir'!$F$31:$F$400,'Étape 1 - à remplir'!$E$31:$E$400,MASQ2!BV110,'Étape 1 - à remplir'!$P$31:$P$400,CE$3,'Étape 1 - à remplir'!$G$31:$G$400,"lots")),IF(CE$2="Atelier",IF(CE$3="Tous",SUMIFS('Étape 1 - à remplir'!$F$31:$F$400,'Étape 1 - à remplir'!$E$31:$E$400,MASQ2!BV110,'Étape 1 - à remplir'!$G$31:$G$400,"lots"),SUMIFS('Étape 1 - à remplir'!$F$31:$F$400,'Étape 1 - à remplir'!$E$31:$E$400,MASQ2!BV110,'Étape 1 - à remplir'!$O$31:$O$400,CE$3,'Étape 1 - à remplir'!$G$31:$G$400,"lots")),IF(CE$2="Espèce",IF(CE$3="Toutes",SUMIFS('Étape 1 - à remplir'!$F$31:$F$400,'Étape 1 - à remplir'!$E$31:$E$400,MASQ2!BV110,'Étape 1 - à remplir'!$G$31:$G$400,"lots"),SUMIFS('Étape 1 - à remplir'!$F$31:$F$400,'Étape 1 - à remplir'!$E$31:$E$400,MASQ2!BV110,'Étape 1 - à remplir'!$N$31:$N$400,CE$3,'Étape 1 - à remplir'!$G$31:$G$400,"lots")))))))</f>
        <v>#N/A</v>
      </c>
      <c r="BX110">
        <f t="shared" si="149"/>
        <v>0</v>
      </c>
      <c r="BY110" t="str">
        <f t="shared" si="133"/>
        <v>Sulfadiazine</v>
      </c>
      <c r="BZ110" t="str">
        <f t="shared" si="134"/>
        <v>Triméthoprime</v>
      </c>
      <c r="CA110" t="str">
        <f t="shared" si="135"/>
        <v/>
      </c>
      <c r="CB110" t="str">
        <f t="shared" si="136"/>
        <v>Sulfamides</v>
      </c>
      <c r="CC110" t="str">
        <f t="shared" si="137"/>
        <v>Trimethoprime</v>
      </c>
      <c r="CD110" s="63" t="str">
        <f t="shared" si="138"/>
        <v/>
      </c>
      <c r="CG110" s="42">
        <v>107</v>
      </c>
      <c r="CH110" s="42" t="e">
        <f t="shared" si="163"/>
        <v>#N/A</v>
      </c>
      <c r="CI110" s="63" t="e">
        <f t="shared" si="164"/>
        <v>#N/A</v>
      </c>
      <c r="DM110" s="63"/>
      <c r="EA110" s="194" t="str">
        <f t="shared" ca="1" si="139"/>
        <v/>
      </c>
      <c r="EB110" s="226" t="str">
        <f>IFERROR(IF(ED110=0,"",COUNTIF(ED$4:ED$600,"&gt;"&amp;ED110)+COUNTIF(ED$4:ED110,ED110)),"")</f>
        <v/>
      </c>
      <c r="EC110" t="str">
        <f t="shared" si="140"/>
        <v>CK 7 - TRIMETHOPRIME 16,65 MG/ML SULFADIAZINE 83,35 MG/ML</v>
      </c>
      <c r="ED110" t="e">
        <f>IF(IF(EL$2="Catégorie",IF(EL$3="Toutes",SUMIFS('Étape 1 - à remplir'!$F$31:$F$400,'Étape 1 - à remplir'!$E$31:$E$400,MASQ2!EC110,'Étape 1 - à remplir'!$G$31:$G$400,"kg"),SUMIFS('Étape 1 - à remplir'!$F$31:$F$400,'Étape 1 - à remplir'!$E$31:$E$400,MASQ2!EC110,'Étape 1 - à remplir'!$C$31:$C$400,EL$3)),IF(EL$2="Âge",IF(EL$3="Tous",SUMIFS('Étape 1 - à remplir'!$F$31:$F$400,'Étape 1 - à remplir'!$E$31:$E$400,MASQ2!EC110,'Étape 1 - à remplir'!$G$31:$G$400,"kg"),SUMIFS('Étape 1 - à remplir'!$F$31:$F$400,'Étape 1 - à remplir'!$E$31:$E$400,MASQ2!EC110,'Étape 1 - à remplir'!$P$31:$P$400,EL$3,'Étape 1 - à remplir'!$G$31:$G$400,"kg")),IF(EL$2="Atelier",IF(EL$3="Tous",SUMIFS('Étape 1 - à remplir'!$F$31:$F$400,'Étape 1 - à remplir'!$E$31:$E$400,MASQ2!EC110,'Étape 1 - à remplir'!$G$31:$G$400,"kg"),SUMIFS('Étape 1 - à remplir'!$F$31:$F$400,'Étape 1 - à remplir'!$E$31:$E$400,MASQ2!EC110,'Étape 1 - à remplir'!$O$31:$O$400,EL$3,'Étape 1 - à remplir'!$G$31:$G$400,"kg")),IF(EL$2="Espèce",IF(EL$3="Toutes",SUMIFS('Étape 1 - à remplir'!$F$31:$F$400,'Étape 1 - à remplir'!$E$31:$E$400,MASQ2!EC110,'Étape 1 - à remplir'!$G$31:$G$400,"kg"),SUMIFS('Étape 1 - à remplir'!$F$31:$F$400,'Étape 1 - à remplir'!$E$31:$E$400,MASQ2!EC110,'Étape 1 - à remplir'!$N$31:$N$400,EL$3,'Étape 1 - à remplir'!$G$31:$G$400,"kg"))))))=0,NA(),IF(EL$2="Catégorie",IF(EL$3="Toutes",SUMIFS('Étape 1 - à remplir'!$F$31:$F$400,'Étape 1 - à remplir'!$E$31:$E$400,MASQ2!EC110,'Étape 1 - à remplir'!$G$31:$G$400,"kg"),SUMIFS('Étape 1 - à remplir'!$F$31:$F$400,'Étape 1 - à remplir'!$E$31:$E$400,MASQ2!EC110,'Étape 1 - à remplir'!$C$31:$C$400,EL$3)),IF(EL$2="Âge",IF(EL$3="Tous",SUMIFS('Étape 1 - à remplir'!$F$31:$F$400,'Étape 1 - à remplir'!$E$31:$E$400,MASQ2!EC110,'Étape 1 - à remplir'!$G$31:$G$400,"kg"),SUMIFS('Étape 1 - à remplir'!$F$31:$F$400,'Étape 1 - à remplir'!$E$31:$E$400,MASQ2!EC110,'Étape 1 - à remplir'!$P$31:$P$400,EL$3,'Étape 1 - à remplir'!$G$31:$G$400,"kg")),IF(EL$2="Atelier",IF(EL$3="Tous",SUMIFS('Étape 1 - à remplir'!$F$31:$F$400,'Étape 1 - à remplir'!$E$31:$E$400,MASQ2!EC110,'Étape 1 - à remplir'!$G$31:$G$400,"kg"),SUMIFS('Étape 1 - à remplir'!$F$31:$F$400,'Étape 1 - à remplir'!$E$31:$E$400,MASQ2!EC110,'Étape 1 - à remplir'!$O$31:$O$400,EL$3,'Étape 1 - à remplir'!$G$31:$G$400,"kg")),IF(EL$2="Espèce",IF(EL$3="Toutes",SUMIFS('Étape 1 - à remplir'!$F$31:$F$400,'Étape 1 - à remplir'!$E$31:$E$400,MASQ2!EC110,'Étape 1 - à remplir'!$G$31:$G$400,"kg"),SUMIFS('Étape 1 - à remplir'!$F$31:$F$400,'Étape 1 - à remplir'!$E$31:$E$400,MASQ2!EC110,'Étape 1 - à remplir'!$N$31:$N$400,EL$3,'Étape 1 - à remplir'!$G$31:$G$400,"kg")))))))</f>
        <v>#N/A</v>
      </c>
      <c r="EE110" s="76">
        <f t="shared" si="150"/>
        <v>0</v>
      </c>
      <c r="EF110" t="str">
        <f t="shared" si="141"/>
        <v>Sulfadiazine</v>
      </c>
      <c r="EG110" t="str">
        <f t="shared" si="142"/>
        <v>Triméthoprime</v>
      </c>
      <c r="EH110" t="str">
        <f t="shared" si="143"/>
        <v/>
      </c>
      <c r="EI110" t="str">
        <f t="shared" si="144"/>
        <v>Sulfamides</v>
      </c>
      <c r="EJ110" t="str">
        <f t="shared" si="145"/>
        <v>Trimethoprime</v>
      </c>
      <c r="EK110" s="63" t="str">
        <f t="shared" si="146"/>
        <v/>
      </c>
      <c r="EN110" s="42">
        <v>107</v>
      </c>
      <c r="EO110" t="e">
        <f t="shared" si="152"/>
        <v>#N/A</v>
      </c>
      <c r="EP110" s="63" t="e">
        <f t="shared" si="153"/>
        <v>#N/A</v>
      </c>
      <c r="FT110" s="63"/>
    </row>
    <row r="111" spans="2:176" x14ac:dyDescent="0.3">
      <c r="B111" s="42"/>
      <c r="M111" s="194" t="str">
        <f ca="1">INDEX(Données_ATB!BD:BU,MATCH(MASQ2!O111,Données_ATB!BD:BD,0),18)</f>
        <v/>
      </c>
      <c r="N111" s="14" t="str">
        <f>IFERROR(IF(Q111=0,"",COUNTIF(Q$4:Q$600,"&gt;"&amp;Q111)+COUNTIF(Q$4:Q111,Q111)),"")</f>
        <v/>
      </c>
      <c r="O111" t="str">
        <f>Données_ATB!BD110</f>
        <v>CK 8 - TYLOSINE 100 MUI</v>
      </c>
      <c r="P111" t="e">
        <f>IF(IF(X$2="Catégorie",IF(X$3="Toutes",SUMIFS('Étape 1 - à remplir'!$F$31:$F$400,'Étape 1 - à remplir'!$E$31:$E$400,MASQ2!O111,'Étape 1 - à remplir'!$G$31:$G$400,"animaux"),SUMIFS('Étape 1 - à remplir'!$F$31:$F$400,'Étape 1 - à remplir'!$E$31:$E$400,MASQ2!O111,'Étape 1 - à remplir'!$C$31:$C$400,X$3)),IF(X$2="Âge",IF(X$3="Tous",SUMIFS('Étape 1 - à remplir'!$F$31:$F$400,'Étape 1 - à remplir'!$E$31:$E$400,MASQ2!O111,'Étape 1 - à remplir'!$G$31:$G$400,"animaux"),SUMIFS('Étape 1 - à remplir'!$F$31:$F$400,'Étape 1 - à remplir'!$E$31:$E$400,MASQ2!O111,'Étape 1 - à remplir'!$P$31:$P$400,X$3)),IF(X$2="Atelier",IF(X$3="Tous",SUMIFS('Étape 1 - à remplir'!$F$31:$F$400,'Étape 1 - à remplir'!$E$31:$E$400,MASQ2!O111,'Étape 1 - à remplir'!$G$31:$G$400,"animaux"),SUMIFS('Étape 1 - à remplir'!$F$31:$F$400,'Étape 1 - à remplir'!$E$31:$E$400,MASQ2!O111,'Étape 1 - à remplir'!$O$31:$O$400,X$3)),IF(X$2="Espèce",IF(X$3="Toutes",SUMIFS('Étape 1 - à remplir'!$F$31:$F$400,'Étape 1 - à remplir'!$E$31:$E$400,MASQ2!O111,'Étape 1 - à remplir'!$G$31:$G$400,"animaux"),SUMIFS('Étape 1 - à remplir'!$F$31:$F$400,'Étape 1 - à remplir'!$E$31:$E$400,MASQ2!O111,'Étape 1 - à remplir'!$N$31:$N$400,X$3))))))=0,NA(),IF(X$2="Catégorie",IF(X$3="Toutes",SUMIFS('Étape 1 - à remplir'!$F$31:$F$400,'Étape 1 - à remplir'!$E$31:$E$400,MASQ2!O111,'Étape 1 - à remplir'!$G$31:$G$400,"animaux"),SUMIFS('Étape 1 - à remplir'!$F$31:$F$400,'Étape 1 - à remplir'!$E$31:$E$400,MASQ2!O111,'Étape 1 - à remplir'!$C$31:$C$400,X$3)),IF(X$2="Âge",IF(X$3="Tous",SUMIFS('Étape 1 - à remplir'!$F$31:$F$400,'Étape 1 - à remplir'!$E$31:$E$400,MASQ2!O111,'Étape 1 - à remplir'!$G$31:$G$400,"animaux"),SUMIFS('Étape 1 - à remplir'!$F$31:$F$400,'Étape 1 - à remplir'!$E$31:$E$400,MASQ2!O111,'Étape 1 - à remplir'!$P$31:$P$400,X$3)),IF(X$2="Atelier",IF(X$3="Tous",SUMIFS('Étape 1 - à remplir'!$F$31:$F$400,'Étape 1 - à remplir'!$E$31:$E$400,MASQ2!O111,'Étape 1 - à remplir'!$G$31:$G$400,"animaux"),SUMIFS('Étape 1 - à remplir'!$F$31:$F$400,'Étape 1 - à remplir'!$E$31:$E$400,MASQ2!O111,'Étape 1 - à remplir'!$O$31:$O$400,X$3)),IF(X$2="Espèce",IF(X$3="Toutes",SUMIFS('Étape 1 - à remplir'!$F$31:$F$400,'Étape 1 - à remplir'!$E$31:$E$400,MASQ2!O111,'Étape 1 - à remplir'!$G$31:$G$400,"animaux"),SUMIFS('Étape 1 - à remplir'!$F$31:$F$400,'Étape 1 - à remplir'!$E$31:$E$400,MASQ2!O111,'Étape 1 - à remplir'!$N$31:$N$400,X$3)))))))</f>
        <v>#N/A</v>
      </c>
      <c r="Q111" s="63">
        <f t="shared" si="151"/>
        <v>0</v>
      </c>
      <c r="R111" t="str">
        <f>Données_ATB!BM110</f>
        <v>Tylosine</v>
      </c>
      <c r="S111" t="str">
        <f>Données_ATB!BN110</f>
        <v/>
      </c>
      <c r="T111" s="63" t="str">
        <f>Données_ATB!BO110</f>
        <v/>
      </c>
      <c r="U111" s="42" t="str">
        <f>Données_ATB!BQ110</f>
        <v>Macrolides</v>
      </c>
      <c r="V111" t="str">
        <f>Données_ATB!BR110</f>
        <v/>
      </c>
      <c r="W111" s="63" t="str">
        <f>Données_ATB!BS110</f>
        <v/>
      </c>
      <c r="Z111" s="42">
        <v>108</v>
      </c>
      <c r="AA111" t="e">
        <f t="shared" si="147"/>
        <v>#N/A</v>
      </c>
      <c r="AB111" s="63" t="e">
        <f t="shared" si="148"/>
        <v>#N/A</v>
      </c>
      <c r="BF111" s="63"/>
      <c r="BT111" s="194" t="str">
        <f t="shared" ca="1" si="131"/>
        <v/>
      </c>
      <c r="BU111" s="219" t="str">
        <f>IFERROR(IF(BX111=0,"",COUNTIF(BX$4:BX$600,"&gt;"&amp;BX111)+COUNTIF(BX$4:BX111,BX111)),"")</f>
        <v/>
      </c>
      <c r="BV111" s="42" t="str">
        <f t="shared" si="132"/>
        <v>CK 8 - TYLOSINE 100 MUI</v>
      </c>
      <c r="BW111" t="e">
        <f>IF(IF(CE$2="Catégorie",IF(CE$3="Toutes",SUMIFS('Étape 1 - à remplir'!$F$31:$F$400,'Étape 1 - à remplir'!$E$31:$E$400,MASQ2!BV111,'Étape 1 - à remplir'!$G$31:$G$400,"lots"),SUMIFS('Étape 1 - à remplir'!$F$31:$F$400,'Étape 1 - à remplir'!$E$31:$E$400,MASQ2!BV111,'Étape 1 - à remplir'!$C$31:$C$400,CE$3)),IF(CE$2="Âge",IF(CE$3="Tous",SUMIFS('Étape 1 - à remplir'!$F$31:$F$400,'Étape 1 - à remplir'!$E$31:$E$400,MASQ2!BV111,'Étape 1 - à remplir'!$G$31:$G$400,"lots"),SUMIFS('Étape 1 - à remplir'!$F$31:$F$400,'Étape 1 - à remplir'!$E$31:$E$400,MASQ2!BV111,'Étape 1 - à remplir'!$P$31:$P$400,CE$3,'Étape 1 - à remplir'!$G$31:$G$400,"lots")),IF(CE$2="Atelier",IF(CE$3="Tous",SUMIFS('Étape 1 - à remplir'!$F$31:$F$400,'Étape 1 - à remplir'!$E$31:$E$400,MASQ2!BV111,'Étape 1 - à remplir'!$G$31:$G$400,"lots"),SUMIFS('Étape 1 - à remplir'!$F$31:$F$400,'Étape 1 - à remplir'!$E$31:$E$400,MASQ2!BV111,'Étape 1 - à remplir'!$O$31:$O$400,CE$3,'Étape 1 - à remplir'!$G$31:$G$400,"lots")),IF(CE$2="Espèce",IF(CE$3="Toutes",SUMIFS('Étape 1 - à remplir'!$F$31:$F$400,'Étape 1 - à remplir'!$E$31:$E$400,MASQ2!BV111,'Étape 1 - à remplir'!$G$31:$G$400,"lots"),SUMIFS('Étape 1 - à remplir'!$F$31:$F$400,'Étape 1 - à remplir'!$E$31:$E$400,MASQ2!BV111,'Étape 1 - à remplir'!$N$31:$N$400,CE$3,'Étape 1 - à remplir'!$G$31:$G$400,"lots"))))))=0,NA(),IF(CE$2="Catégorie",IF(CE$3="Toutes",SUMIFS('Étape 1 - à remplir'!$F$31:$F$400,'Étape 1 - à remplir'!$E$31:$E$400,MASQ2!BV111,'Étape 1 - à remplir'!$G$31:$G$400,"lots"),SUMIFS('Étape 1 - à remplir'!$F$31:$F$400,'Étape 1 - à remplir'!$E$31:$E$400,MASQ2!BV111,'Étape 1 - à remplir'!$C$31:$C$400,CE$3)),IF(CE$2="Âge",IF(CE$3="Tous",SUMIFS('Étape 1 - à remplir'!$F$31:$F$400,'Étape 1 - à remplir'!$E$31:$E$400,MASQ2!BV111,'Étape 1 - à remplir'!$G$31:$G$400,"lots"),SUMIFS('Étape 1 - à remplir'!$F$31:$F$400,'Étape 1 - à remplir'!$E$31:$E$400,MASQ2!BV111,'Étape 1 - à remplir'!$P$31:$P$400,CE$3,'Étape 1 - à remplir'!$G$31:$G$400,"lots")),IF(CE$2="Atelier",IF(CE$3="Tous",SUMIFS('Étape 1 - à remplir'!$F$31:$F$400,'Étape 1 - à remplir'!$E$31:$E$400,MASQ2!BV111,'Étape 1 - à remplir'!$G$31:$G$400,"lots"),SUMIFS('Étape 1 - à remplir'!$F$31:$F$400,'Étape 1 - à remplir'!$E$31:$E$400,MASQ2!BV111,'Étape 1 - à remplir'!$O$31:$O$400,CE$3,'Étape 1 - à remplir'!$G$31:$G$400,"lots")),IF(CE$2="Espèce",IF(CE$3="Toutes",SUMIFS('Étape 1 - à remplir'!$F$31:$F$400,'Étape 1 - à remplir'!$E$31:$E$400,MASQ2!BV111,'Étape 1 - à remplir'!$G$31:$G$400,"lots"),SUMIFS('Étape 1 - à remplir'!$F$31:$F$400,'Étape 1 - à remplir'!$E$31:$E$400,MASQ2!BV111,'Étape 1 - à remplir'!$N$31:$N$400,CE$3,'Étape 1 - à remplir'!$G$31:$G$400,"lots")))))))</f>
        <v>#N/A</v>
      </c>
      <c r="BX111">
        <f t="shared" si="149"/>
        <v>0</v>
      </c>
      <c r="BY111" t="str">
        <f t="shared" si="133"/>
        <v>Tylosine</v>
      </c>
      <c r="BZ111" t="str">
        <f t="shared" si="134"/>
        <v/>
      </c>
      <c r="CA111" t="str">
        <f t="shared" si="135"/>
        <v/>
      </c>
      <c r="CB111" t="str">
        <f t="shared" si="136"/>
        <v>Macrolides</v>
      </c>
      <c r="CC111" t="str">
        <f t="shared" si="137"/>
        <v/>
      </c>
      <c r="CD111" s="63" t="str">
        <f t="shared" si="138"/>
        <v/>
      </c>
      <c r="CG111" s="42">
        <v>108</v>
      </c>
      <c r="CH111" s="42" t="e">
        <f t="shared" si="163"/>
        <v>#N/A</v>
      </c>
      <c r="CI111" s="63" t="e">
        <f t="shared" si="164"/>
        <v>#N/A</v>
      </c>
      <c r="DM111" s="63"/>
      <c r="EA111" s="194" t="str">
        <f t="shared" ca="1" si="139"/>
        <v/>
      </c>
      <c r="EB111" s="226" t="str">
        <f>IFERROR(IF(ED111=0,"",COUNTIF(ED$4:ED$600,"&gt;"&amp;ED111)+COUNTIF(ED$4:ED111,ED111)),"")</f>
        <v/>
      </c>
      <c r="EC111" t="str">
        <f t="shared" si="140"/>
        <v>CK 8 - TYLOSINE 100 MUI</v>
      </c>
      <c r="ED111" t="e">
        <f>IF(IF(EL$2="Catégorie",IF(EL$3="Toutes",SUMIFS('Étape 1 - à remplir'!$F$31:$F$400,'Étape 1 - à remplir'!$E$31:$E$400,MASQ2!EC111,'Étape 1 - à remplir'!$G$31:$G$400,"kg"),SUMIFS('Étape 1 - à remplir'!$F$31:$F$400,'Étape 1 - à remplir'!$E$31:$E$400,MASQ2!EC111,'Étape 1 - à remplir'!$C$31:$C$400,EL$3)),IF(EL$2="Âge",IF(EL$3="Tous",SUMIFS('Étape 1 - à remplir'!$F$31:$F$400,'Étape 1 - à remplir'!$E$31:$E$400,MASQ2!EC111,'Étape 1 - à remplir'!$G$31:$G$400,"kg"),SUMIFS('Étape 1 - à remplir'!$F$31:$F$400,'Étape 1 - à remplir'!$E$31:$E$400,MASQ2!EC111,'Étape 1 - à remplir'!$P$31:$P$400,EL$3,'Étape 1 - à remplir'!$G$31:$G$400,"kg")),IF(EL$2="Atelier",IF(EL$3="Tous",SUMIFS('Étape 1 - à remplir'!$F$31:$F$400,'Étape 1 - à remplir'!$E$31:$E$400,MASQ2!EC111,'Étape 1 - à remplir'!$G$31:$G$400,"kg"),SUMIFS('Étape 1 - à remplir'!$F$31:$F$400,'Étape 1 - à remplir'!$E$31:$E$400,MASQ2!EC111,'Étape 1 - à remplir'!$O$31:$O$400,EL$3,'Étape 1 - à remplir'!$G$31:$G$400,"kg")),IF(EL$2="Espèce",IF(EL$3="Toutes",SUMIFS('Étape 1 - à remplir'!$F$31:$F$400,'Étape 1 - à remplir'!$E$31:$E$400,MASQ2!EC111,'Étape 1 - à remplir'!$G$31:$G$400,"kg"),SUMIFS('Étape 1 - à remplir'!$F$31:$F$400,'Étape 1 - à remplir'!$E$31:$E$400,MASQ2!EC111,'Étape 1 - à remplir'!$N$31:$N$400,EL$3,'Étape 1 - à remplir'!$G$31:$G$400,"kg"))))))=0,NA(),IF(EL$2="Catégorie",IF(EL$3="Toutes",SUMIFS('Étape 1 - à remplir'!$F$31:$F$400,'Étape 1 - à remplir'!$E$31:$E$400,MASQ2!EC111,'Étape 1 - à remplir'!$G$31:$G$400,"kg"),SUMIFS('Étape 1 - à remplir'!$F$31:$F$400,'Étape 1 - à remplir'!$E$31:$E$400,MASQ2!EC111,'Étape 1 - à remplir'!$C$31:$C$400,EL$3)),IF(EL$2="Âge",IF(EL$3="Tous",SUMIFS('Étape 1 - à remplir'!$F$31:$F$400,'Étape 1 - à remplir'!$E$31:$E$400,MASQ2!EC111,'Étape 1 - à remplir'!$G$31:$G$400,"kg"),SUMIFS('Étape 1 - à remplir'!$F$31:$F$400,'Étape 1 - à remplir'!$E$31:$E$400,MASQ2!EC111,'Étape 1 - à remplir'!$P$31:$P$400,EL$3,'Étape 1 - à remplir'!$G$31:$G$400,"kg")),IF(EL$2="Atelier",IF(EL$3="Tous",SUMIFS('Étape 1 - à remplir'!$F$31:$F$400,'Étape 1 - à remplir'!$E$31:$E$400,MASQ2!EC111,'Étape 1 - à remplir'!$G$31:$G$400,"kg"),SUMIFS('Étape 1 - à remplir'!$F$31:$F$400,'Étape 1 - à remplir'!$E$31:$E$400,MASQ2!EC111,'Étape 1 - à remplir'!$O$31:$O$400,EL$3,'Étape 1 - à remplir'!$G$31:$G$400,"kg")),IF(EL$2="Espèce",IF(EL$3="Toutes",SUMIFS('Étape 1 - à remplir'!$F$31:$F$400,'Étape 1 - à remplir'!$E$31:$E$400,MASQ2!EC111,'Étape 1 - à remplir'!$G$31:$G$400,"kg"),SUMIFS('Étape 1 - à remplir'!$F$31:$F$400,'Étape 1 - à remplir'!$E$31:$E$400,MASQ2!EC111,'Étape 1 - à remplir'!$N$31:$N$400,EL$3,'Étape 1 - à remplir'!$G$31:$G$400,"kg")))))))</f>
        <v>#N/A</v>
      </c>
      <c r="EE111" s="76">
        <f t="shared" si="150"/>
        <v>0</v>
      </c>
      <c r="EF111" t="str">
        <f t="shared" si="141"/>
        <v>Tylosine</v>
      </c>
      <c r="EG111" t="str">
        <f t="shared" si="142"/>
        <v/>
      </c>
      <c r="EH111" t="str">
        <f t="shared" si="143"/>
        <v/>
      </c>
      <c r="EI111" t="str">
        <f t="shared" si="144"/>
        <v>Macrolides</v>
      </c>
      <c r="EJ111" t="str">
        <f t="shared" si="145"/>
        <v/>
      </c>
      <c r="EK111" s="63" t="str">
        <f t="shared" si="146"/>
        <v/>
      </c>
      <c r="EN111" s="42">
        <v>108</v>
      </c>
      <c r="EO111" t="e">
        <f t="shared" si="152"/>
        <v>#N/A</v>
      </c>
      <c r="EP111" s="63" t="e">
        <f t="shared" si="153"/>
        <v>#N/A</v>
      </c>
      <c r="FT111" s="63"/>
    </row>
    <row r="112" spans="2:176" x14ac:dyDescent="0.3">
      <c r="B112" s="42"/>
      <c r="M112" s="194" t="str">
        <f ca="1">INDEX(Données_ATB!BD:BU,MATCH(MASQ2!O112,Données_ATB!BD:BD,0),18)</f>
        <v/>
      </c>
      <c r="N112" s="14" t="str">
        <f>IFERROR(IF(Q112=0,"",COUNTIF(Q$4:Q$600,"&gt;"&amp;Q112)+COUNTIF(Q$4:Q112,Q112)),"")</f>
        <v/>
      </c>
      <c r="O112" t="str">
        <f>Données_ATB!BD111</f>
        <v>CK 9 - TYLOSINE 92 000 UI/G</v>
      </c>
      <c r="P112" t="e">
        <f>IF(IF(X$2="Catégorie",IF(X$3="Toutes",SUMIFS('Étape 1 - à remplir'!$F$31:$F$400,'Étape 1 - à remplir'!$E$31:$E$400,MASQ2!O112,'Étape 1 - à remplir'!$G$31:$G$400,"animaux"),SUMIFS('Étape 1 - à remplir'!$F$31:$F$400,'Étape 1 - à remplir'!$E$31:$E$400,MASQ2!O112,'Étape 1 - à remplir'!$C$31:$C$400,X$3)),IF(X$2="Âge",IF(X$3="Tous",SUMIFS('Étape 1 - à remplir'!$F$31:$F$400,'Étape 1 - à remplir'!$E$31:$E$400,MASQ2!O112,'Étape 1 - à remplir'!$G$31:$G$400,"animaux"),SUMIFS('Étape 1 - à remplir'!$F$31:$F$400,'Étape 1 - à remplir'!$E$31:$E$400,MASQ2!O112,'Étape 1 - à remplir'!$P$31:$P$400,X$3)),IF(X$2="Atelier",IF(X$3="Tous",SUMIFS('Étape 1 - à remplir'!$F$31:$F$400,'Étape 1 - à remplir'!$E$31:$E$400,MASQ2!O112,'Étape 1 - à remplir'!$G$31:$G$400,"animaux"),SUMIFS('Étape 1 - à remplir'!$F$31:$F$400,'Étape 1 - à remplir'!$E$31:$E$400,MASQ2!O112,'Étape 1 - à remplir'!$O$31:$O$400,X$3)),IF(X$2="Espèce",IF(X$3="Toutes",SUMIFS('Étape 1 - à remplir'!$F$31:$F$400,'Étape 1 - à remplir'!$E$31:$E$400,MASQ2!O112,'Étape 1 - à remplir'!$G$31:$G$400,"animaux"),SUMIFS('Étape 1 - à remplir'!$F$31:$F$400,'Étape 1 - à remplir'!$E$31:$E$400,MASQ2!O112,'Étape 1 - à remplir'!$N$31:$N$400,X$3))))))=0,NA(),IF(X$2="Catégorie",IF(X$3="Toutes",SUMIFS('Étape 1 - à remplir'!$F$31:$F$400,'Étape 1 - à remplir'!$E$31:$E$400,MASQ2!O112,'Étape 1 - à remplir'!$G$31:$G$400,"animaux"),SUMIFS('Étape 1 - à remplir'!$F$31:$F$400,'Étape 1 - à remplir'!$E$31:$E$400,MASQ2!O112,'Étape 1 - à remplir'!$C$31:$C$400,X$3)),IF(X$2="Âge",IF(X$3="Tous",SUMIFS('Étape 1 - à remplir'!$F$31:$F$400,'Étape 1 - à remplir'!$E$31:$E$400,MASQ2!O112,'Étape 1 - à remplir'!$G$31:$G$400,"animaux"),SUMIFS('Étape 1 - à remplir'!$F$31:$F$400,'Étape 1 - à remplir'!$E$31:$E$400,MASQ2!O112,'Étape 1 - à remplir'!$P$31:$P$400,X$3)),IF(X$2="Atelier",IF(X$3="Tous",SUMIFS('Étape 1 - à remplir'!$F$31:$F$400,'Étape 1 - à remplir'!$E$31:$E$400,MASQ2!O112,'Étape 1 - à remplir'!$G$31:$G$400,"animaux"),SUMIFS('Étape 1 - à remplir'!$F$31:$F$400,'Étape 1 - à remplir'!$E$31:$E$400,MASQ2!O112,'Étape 1 - à remplir'!$O$31:$O$400,X$3)),IF(X$2="Espèce",IF(X$3="Toutes",SUMIFS('Étape 1 - à remplir'!$F$31:$F$400,'Étape 1 - à remplir'!$E$31:$E$400,MASQ2!O112,'Étape 1 - à remplir'!$G$31:$G$400,"animaux"),SUMIFS('Étape 1 - à remplir'!$F$31:$F$400,'Étape 1 - à remplir'!$E$31:$E$400,MASQ2!O112,'Étape 1 - à remplir'!$N$31:$N$400,X$3)))))))</f>
        <v>#N/A</v>
      </c>
      <c r="Q112" s="63">
        <f t="shared" si="151"/>
        <v>0</v>
      </c>
      <c r="R112" t="str">
        <f>Données_ATB!BM111</f>
        <v>Tylosine</v>
      </c>
      <c r="S112" t="str">
        <f>Données_ATB!BN111</f>
        <v/>
      </c>
      <c r="T112" s="63" t="str">
        <f>Données_ATB!BO111</f>
        <v/>
      </c>
      <c r="U112" s="42" t="str">
        <f>Données_ATB!BQ111</f>
        <v>Macrolides</v>
      </c>
      <c r="V112" t="str">
        <f>Données_ATB!BR111</f>
        <v/>
      </c>
      <c r="W112" s="63" t="str">
        <f>Données_ATB!BS111</f>
        <v/>
      </c>
      <c r="Z112" s="42">
        <v>109</v>
      </c>
      <c r="AA112" t="e">
        <f t="shared" si="147"/>
        <v>#N/A</v>
      </c>
      <c r="AB112" s="63" t="e">
        <f t="shared" si="148"/>
        <v>#N/A</v>
      </c>
      <c r="BF112" s="63"/>
      <c r="BT112" s="194" t="str">
        <f t="shared" ca="1" si="131"/>
        <v/>
      </c>
      <c r="BU112" s="219" t="str">
        <f>IFERROR(IF(BX112=0,"",COUNTIF(BX$4:BX$600,"&gt;"&amp;BX112)+COUNTIF(BX$4:BX112,BX112)),"")</f>
        <v/>
      </c>
      <c r="BV112" s="42" t="str">
        <f t="shared" si="132"/>
        <v>CK 9 - TYLOSINE 92 000 UI/G</v>
      </c>
      <c r="BW112" t="e">
        <f>IF(IF(CE$2="Catégorie",IF(CE$3="Toutes",SUMIFS('Étape 1 - à remplir'!$F$31:$F$400,'Étape 1 - à remplir'!$E$31:$E$400,MASQ2!BV112,'Étape 1 - à remplir'!$G$31:$G$400,"lots"),SUMIFS('Étape 1 - à remplir'!$F$31:$F$400,'Étape 1 - à remplir'!$E$31:$E$400,MASQ2!BV112,'Étape 1 - à remplir'!$C$31:$C$400,CE$3)),IF(CE$2="Âge",IF(CE$3="Tous",SUMIFS('Étape 1 - à remplir'!$F$31:$F$400,'Étape 1 - à remplir'!$E$31:$E$400,MASQ2!BV112,'Étape 1 - à remplir'!$G$31:$G$400,"lots"),SUMIFS('Étape 1 - à remplir'!$F$31:$F$400,'Étape 1 - à remplir'!$E$31:$E$400,MASQ2!BV112,'Étape 1 - à remplir'!$P$31:$P$400,CE$3,'Étape 1 - à remplir'!$G$31:$G$400,"lots")),IF(CE$2="Atelier",IF(CE$3="Tous",SUMIFS('Étape 1 - à remplir'!$F$31:$F$400,'Étape 1 - à remplir'!$E$31:$E$400,MASQ2!BV112,'Étape 1 - à remplir'!$G$31:$G$400,"lots"),SUMIFS('Étape 1 - à remplir'!$F$31:$F$400,'Étape 1 - à remplir'!$E$31:$E$400,MASQ2!BV112,'Étape 1 - à remplir'!$O$31:$O$400,CE$3,'Étape 1 - à remplir'!$G$31:$G$400,"lots")),IF(CE$2="Espèce",IF(CE$3="Toutes",SUMIFS('Étape 1 - à remplir'!$F$31:$F$400,'Étape 1 - à remplir'!$E$31:$E$400,MASQ2!BV112,'Étape 1 - à remplir'!$G$31:$G$400,"lots"),SUMIFS('Étape 1 - à remplir'!$F$31:$F$400,'Étape 1 - à remplir'!$E$31:$E$400,MASQ2!BV112,'Étape 1 - à remplir'!$N$31:$N$400,CE$3,'Étape 1 - à remplir'!$G$31:$G$400,"lots"))))))=0,NA(),IF(CE$2="Catégorie",IF(CE$3="Toutes",SUMIFS('Étape 1 - à remplir'!$F$31:$F$400,'Étape 1 - à remplir'!$E$31:$E$400,MASQ2!BV112,'Étape 1 - à remplir'!$G$31:$G$400,"lots"),SUMIFS('Étape 1 - à remplir'!$F$31:$F$400,'Étape 1 - à remplir'!$E$31:$E$400,MASQ2!BV112,'Étape 1 - à remplir'!$C$31:$C$400,CE$3)),IF(CE$2="Âge",IF(CE$3="Tous",SUMIFS('Étape 1 - à remplir'!$F$31:$F$400,'Étape 1 - à remplir'!$E$31:$E$400,MASQ2!BV112,'Étape 1 - à remplir'!$G$31:$G$400,"lots"),SUMIFS('Étape 1 - à remplir'!$F$31:$F$400,'Étape 1 - à remplir'!$E$31:$E$400,MASQ2!BV112,'Étape 1 - à remplir'!$P$31:$P$400,CE$3,'Étape 1 - à remplir'!$G$31:$G$400,"lots")),IF(CE$2="Atelier",IF(CE$3="Tous",SUMIFS('Étape 1 - à remplir'!$F$31:$F$400,'Étape 1 - à remplir'!$E$31:$E$400,MASQ2!BV112,'Étape 1 - à remplir'!$G$31:$G$400,"lots"),SUMIFS('Étape 1 - à remplir'!$F$31:$F$400,'Étape 1 - à remplir'!$E$31:$E$400,MASQ2!BV112,'Étape 1 - à remplir'!$O$31:$O$400,CE$3,'Étape 1 - à remplir'!$G$31:$G$400,"lots")),IF(CE$2="Espèce",IF(CE$3="Toutes",SUMIFS('Étape 1 - à remplir'!$F$31:$F$400,'Étape 1 - à remplir'!$E$31:$E$400,MASQ2!BV112,'Étape 1 - à remplir'!$G$31:$G$400,"lots"),SUMIFS('Étape 1 - à remplir'!$F$31:$F$400,'Étape 1 - à remplir'!$E$31:$E$400,MASQ2!BV112,'Étape 1 - à remplir'!$N$31:$N$400,CE$3,'Étape 1 - à remplir'!$G$31:$G$400,"lots")))))))</f>
        <v>#N/A</v>
      </c>
      <c r="BX112">
        <f t="shared" si="149"/>
        <v>0</v>
      </c>
      <c r="BY112" t="str">
        <f t="shared" si="133"/>
        <v>Tylosine</v>
      </c>
      <c r="BZ112" t="str">
        <f t="shared" si="134"/>
        <v/>
      </c>
      <c r="CA112" t="str">
        <f t="shared" si="135"/>
        <v/>
      </c>
      <c r="CB112" t="str">
        <f t="shared" si="136"/>
        <v>Macrolides</v>
      </c>
      <c r="CC112" t="str">
        <f t="shared" si="137"/>
        <v/>
      </c>
      <c r="CD112" s="63" t="str">
        <f t="shared" si="138"/>
        <v/>
      </c>
      <c r="CG112" s="42">
        <v>109</v>
      </c>
      <c r="CH112" s="42" t="e">
        <f t="shared" si="163"/>
        <v>#N/A</v>
      </c>
      <c r="CI112" s="63" t="e">
        <f t="shared" si="164"/>
        <v>#N/A</v>
      </c>
      <c r="DM112" s="63"/>
      <c r="EA112" s="194" t="str">
        <f t="shared" ca="1" si="139"/>
        <v/>
      </c>
      <c r="EB112" s="226" t="str">
        <f>IFERROR(IF(ED112=0,"",COUNTIF(ED$4:ED$600,"&gt;"&amp;ED112)+COUNTIF(ED$4:ED112,ED112)),"")</f>
        <v/>
      </c>
      <c r="EC112" t="str">
        <f t="shared" si="140"/>
        <v>CK 9 - TYLOSINE 92 000 UI/G</v>
      </c>
      <c r="ED112" t="e">
        <f>IF(IF(EL$2="Catégorie",IF(EL$3="Toutes",SUMIFS('Étape 1 - à remplir'!$F$31:$F$400,'Étape 1 - à remplir'!$E$31:$E$400,MASQ2!EC112,'Étape 1 - à remplir'!$G$31:$G$400,"kg"),SUMIFS('Étape 1 - à remplir'!$F$31:$F$400,'Étape 1 - à remplir'!$E$31:$E$400,MASQ2!EC112,'Étape 1 - à remplir'!$C$31:$C$400,EL$3)),IF(EL$2="Âge",IF(EL$3="Tous",SUMIFS('Étape 1 - à remplir'!$F$31:$F$400,'Étape 1 - à remplir'!$E$31:$E$400,MASQ2!EC112,'Étape 1 - à remplir'!$G$31:$G$400,"kg"),SUMIFS('Étape 1 - à remplir'!$F$31:$F$400,'Étape 1 - à remplir'!$E$31:$E$400,MASQ2!EC112,'Étape 1 - à remplir'!$P$31:$P$400,EL$3,'Étape 1 - à remplir'!$G$31:$G$400,"kg")),IF(EL$2="Atelier",IF(EL$3="Tous",SUMIFS('Étape 1 - à remplir'!$F$31:$F$400,'Étape 1 - à remplir'!$E$31:$E$400,MASQ2!EC112,'Étape 1 - à remplir'!$G$31:$G$400,"kg"),SUMIFS('Étape 1 - à remplir'!$F$31:$F$400,'Étape 1 - à remplir'!$E$31:$E$400,MASQ2!EC112,'Étape 1 - à remplir'!$O$31:$O$400,EL$3,'Étape 1 - à remplir'!$G$31:$G$400,"kg")),IF(EL$2="Espèce",IF(EL$3="Toutes",SUMIFS('Étape 1 - à remplir'!$F$31:$F$400,'Étape 1 - à remplir'!$E$31:$E$400,MASQ2!EC112,'Étape 1 - à remplir'!$G$31:$G$400,"kg"),SUMIFS('Étape 1 - à remplir'!$F$31:$F$400,'Étape 1 - à remplir'!$E$31:$E$400,MASQ2!EC112,'Étape 1 - à remplir'!$N$31:$N$400,EL$3,'Étape 1 - à remplir'!$G$31:$G$400,"kg"))))))=0,NA(),IF(EL$2="Catégorie",IF(EL$3="Toutes",SUMIFS('Étape 1 - à remplir'!$F$31:$F$400,'Étape 1 - à remplir'!$E$31:$E$400,MASQ2!EC112,'Étape 1 - à remplir'!$G$31:$G$400,"kg"),SUMIFS('Étape 1 - à remplir'!$F$31:$F$400,'Étape 1 - à remplir'!$E$31:$E$400,MASQ2!EC112,'Étape 1 - à remplir'!$C$31:$C$400,EL$3)),IF(EL$2="Âge",IF(EL$3="Tous",SUMIFS('Étape 1 - à remplir'!$F$31:$F$400,'Étape 1 - à remplir'!$E$31:$E$400,MASQ2!EC112,'Étape 1 - à remplir'!$G$31:$G$400,"kg"),SUMIFS('Étape 1 - à remplir'!$F$31:$F$400,'Étape 1 - à remplir'!$E$31:$E$400,MASQ2!EC112,'Étape 1 - à remplir'!$P$31:$P$400,EL$3,'Étape 1 - à remplir'!$G$31:$G$400,"kg")),IF(EL$2="Atelier",IF(EL$3="Tous",SUMIFS('Étape 1 - à remplir'!$F$31:$F$400,'Étape 1 - à remplir'!$E$31:$E$400,MASQ2!EC112,'Étape 1 - à remplir'!$G$31:$G$400,"kg"),SUMIFS('Étape 1 - à remplir'!$F$31:$F$400,'Étape 1 - à remplir'!$E$31:$E$400,MASQ2!EC112,'Étape 1 - à remplir'!$O$31:$O$400,EL$3,'Étape 1 - à remplir'!$G$31:$G$400,"kg")),IF(EL$2="Espèce",IF(EL$3="Toutes",SUMIFS('Étape 1 - à remplir'!$F$31:$F$400,'Étape 1 - à remplir'!$E$31:$E$400,MASQ2!EC112,'Étape 1 - à remplir'!$G$31:$G$400,"kg"),SUMIFS('Étape 1 - à remplir'!$F$31:$F$400,'Étape 1 - à remplir'!$E$31:$E$400,MASQ2!EC112,'Étape 1 - à remplir'!$N$31:$N$400,EL$3,'Étape 1 - à remplir'!$G$31:$G$400,"kg")))))))</f>
        <v>#N/A</v>
      </c>
      <c r="EE112" s="76">
        <f t="shared" si="150"/>
        <v>0</v>
      </c>
      <c r="EF112" t="str">
        <f t="shared" si="141"/>
        <v>Tylosine</v>
      </c>
      <c r="EG112" t="str">
        <f t="shared" si="142"/>
        <v/>
      </c>
      <c r="EH112" t="str">
        <f t="shared" si="143"/>
        <v/>
      </c>
      <c r="EI112" t="str">
        <f t="shared" si="144"/>
        <v>Macrolides</v>
      </c>
      <c r="EJ112" t="str">
        <f t="shared" si="145"/>
        <v/>
      </c>
      <c r="EK112" s="63" t="str">
        <f t="shared" si="146"/>
        <v/>
      </c>
      <c r="EN112" s="42">
        <v>109</v>
      </c>
      <c r="EO112" t="e">
        <f t="shared" si="152"/>
        <v>#N/A</v>
      </c>
      <c r="EP112" s="63" t="e">
        <f t="shared" si="153"/>
        <v>#N/A</v>
      </c>
      <c r="FT112" s="63"/>
    </row>
    <row r="113" spans="2:176" x14ac:dyDescent="0.3">
      <c r="B113" s="42"/>
      <c r="M113" s="194" t="str">
        <f ca="1">INDEX(Données_ATB!BD:BU,MATCH(MASQ2!O113,Données_ATB!BD:BD,0),18)</f>
        <v/>
      </c>
      <c r="N113" s="14" t="str">
        <f>IFERROR(IF(Q113=0,"",COUNTIF(Q$4:Q$600,"&gt;"&amp;Q113)+COUNTIF(Q$4:Q113,Q113)),"")</f>
        <v/>
      </c>
      <c r="O113" t="str">
        <f>Données_ATB!BD112</f>
        <v>CK6 - SOLU OXYTETRACYCLINE 500 MG/G</v>
      </c>
      <c r="P113" t="e">
        <f>IF(IF(X$2="Catégorie",IF(X$3="Toutes",SUMIFS('Étape 1 - à remplir'!$F$31:$F$400,'Étape 1 - à remplir'!$E$31:$E$400,MASQ2!O113,'Étape 1 - à remplir'!$G$31:$G$400,"animaux"),SUMIFS('Étape 1 - à remplir'!$F$31:$F$400,'Étape 1 - à remplir'!$E$31:$E$400,MASQ2!O113,'Étape 1 - à remplir'!$C$31:$C$400,X$3)),IF(X$2="Âge",IF(X$3="Tous",SUMIFS('Étape 1 - à remplir'!$F$31:$F$400,'Étape 1 - à remplir'!$E$31:$E$400,MASQ2!O113,'Étape 1 - à remplir'!$G$31:$G$400,"animaux"),SUMIFS('Étape 1 - à remplir'!$F$31:$F$400,'Étape 1 - à remplir'!$E$31:$E$400,MASQ2!O113,'Étape 1 - à remplir'!$P$31:$P$400,X$3)),IF(X$2="Atelier",IF(X$3="Tous",SUMIFS('Étape 1 - à remplir'!$F$31:$F$400,'Étape 1 - à remplir'!$E$31:$E$400,MASQ2!O113,'Étape 1 - à remplir'!$G$31:$G$400,"animaux"),SUMIFS('Étape 1 - à remplir'!$F$31:$F$400,'Étape 1 - à remplir'!$E$31:$E$400,MASQ2!O113,'Étape 1 - à remplir'!$O$31:$O$400,X$3)),IF(X$2="Espèce",IF(X$3="Toutes",SUMIFS('Étape 1 - à remplir'!$F$31:$F$400,'Étape 1 - à remplir'!$E$31:$E$400,MASQ2!O113,'Étape 1 - à remplir'!$G$31:$G$400,"animaux"),SUMIFS('Étape 1 - à remplir'!$F$31:$F$400,'Étape 1 - à remplir'!$E$31:$E$400,MASQ2!O113,'Étape 1 - à remplir'!$N$31:$N$400,X$3))))))=0,NA(),IF(X$2="Catégorie",IF(X$3="Toutes",SUMIFS('Étape 1 - à remplir'!$F$31:$F$400,'Étape 1 - à remplir'!$E$31:$E$400,MASQ2!O113,'Étape 1 - à remplir'!$G$31:$G$400,"animaux"),SUMIFS('Étape 1 - à remplir'!$F$31:$F$400,'Étape 1 - à remplir'!$E$31:$E$400,MASQ2!O113,'Étape 1 - à remplir'!$C$31:$C$400,X$3)),IF(X$2="Âge",IF(X$3="Tous",SUMIFS('Étape 1 - à remplir'!$F$31:$F$400,'Étape 1 - à remplir'!$E$31:$E$400,MASQ2!O113,'Étape 1 - à remplir'!$G$31:$G$400,"animaux"),SUMIFS('Étape 1 - à remplir'!$F$31:$F$400,'Étape 1 - à remplir'!$E$31:$E$400,MASQ2!O113,'Étape 1 - à remplir'!$P$31:$P$400,X$3)),IF(X$2="Atelier",IF(X$3="Tous",SUMIFS('Étape 1 - à remplir'!$F$31:$F$400,'Étape 1 - à remplir'!$E$31:$E$400,MASQ2!O113,'Étape 1 - à remplir'!$G$31:$G$400,"animaux"),SUMIFS('Étape 1 - à remplir'!$F$31:$F$400,'Étape 1 - à remplir'!$E$31:$E$400,MASQ2!O113,'Étape 1 - à remplir'!$O$31:$O$400,X$3)),IF(X$2="Espèce",IF(X$3="Toutes",SUMIFS('Étape 1 - à remplir'!$F$31:$F$400,'Étape 1 - à remplir'!$E$31:$E$400,MASQ2!O113,'Étape 1 - à remplir'!$G$31:$G$400,"animaux"),SUMIFS('Étape 1 - à remplir'!$F$31:$F$400,'Étape 1 - à remplir'!$E$31:$E$400,MASQ2!O113,'Étape 1 - à remplir'!$N$31:$N$400,X$3)))))))</f>
        <v>#N/A</v>
      </c>
      <c r="Q113" s="63">
        <f t="shared" si="151"/>
        <v>0</v>
      </c>
      <c r="R113" t="str">
        <f>Données_ATB!BM112</f>
        <v>Oxytétracycline</v>
      </c>
      <c r="S113" t="str">
        <f>Données_ATB!BN112</f>
        <v/>
      </c>
      <c r="T113" s="63" t="str">
        <f>Données_ATB!BO112</f>
        <v/>
      </c>
      <c r="U113" s="42" t="str">
        <f>Données_ATB!BQ112</f>
        <v>Tetracyclines</v>
      </c>
      <c r="V113" t="str">
        <f>Données_ATB!BR112</f>
        <v/>
      </c>
      <c r="W113" s="63" t="str">
        <f>Données_ATB!BS112</f>
        <v/>
      </c>
      <c r="Z113" s="42">
        <v>110</v>
      </c>
      <c r="AA113" t="e">
        <f t="shared" si="147"/>
        <v>#N/A</v>
      </c>
      <c r="AB113" s="63" t="e">
        <f t="shared" si="148"/>
        <v>#N/A</v>
      </c>
      <c r="BF113" s="63"/>
      <c r="BT113" s="194" t="str">
        <f t="shared" ca="1" si="131"/>
        <v/>
      </c>
      <c r="BU113" s="219" t="str">
        <f>IFERROR(IF(BX113=0,"",COUNTIF(BX$4:BX$600,"&gt;"&amp;BX113)+COUNTIF(BX$4:BX113,BX113)),"")</f>
        <v/>
      </c>
      <c r="BV113" s="42" t="str">
        <f t="shared" si="132"/>
        <v>CK6 - SOLU OXYTETRACYCLINE 500 MG/G</v>
      </c>
      <c r="BW113" t="e">
        <f>IF(IF(CE$2="Catégorie",IF(CE$3="Toutes",SUMIFS('Étape 1 - à remplir'!$F$31:$F$400,'Étape 1 - à remplir'!$E$31:$E$400,MASQ2!BV113,'Étape 1 - à remplir'!$G$31:$G$400,"lots"),SUMIFS('Étape 1 - à remplir'!$F$31:$F$400,'Étape 1 - à remplir'!$E$31:$E$400,MASQ2!BV113,'Étape 1 - à remplir'!$C$31:$C$400,CE$3)),IF(CE$2="Âge",IF(CE$3="Tous",SUMIFS('Étape 1 - à remplir'!$F$31:$F$400,'Étape 1 - à remplir'!$E$31:$E$400,MASQ2!BV113,'Étape 1 - à remplir'!$G$31:$G$400,"lots"),SUMIFS('Étape 1 - à remplir'!$F$31:$F$400,'Étape 1 - à remplir'!$E$31:$E$400,MASQ2!BV113,'Étape 1 - à remplir'!$P$31:$P$400,CE$3,'Étape 1 - à remplir'!$G$31:$G$400,"lots")),IF(CE$2="Atelier",IF(CE$3="Tous",SUMIFS('Étape 1 - à remplir'!$F$31:$F$400,'Étape 1 - à remplir'!$E$31:$E$400,MASQ2!BV113,'Étape 1 - à remplir'!$G$31:$G$400,"lots"),SUMIFS('Étape 1 - à remplir'!$F$31:$F$400,'Étape 1 - à remplir'!$E$31:$E$400,MASQ2!BV113,'Étape 1 - à remplir'!$O$31:$O$400,CE$3,'Étape 1 - à remplir'!$G$31:$G$400,"lots")),IF(CE$2="Espèce",IF(CE$3="Toutes",SUMIFS('Étape 1 - à remplir'!$F$31:$F$400,'Étape 1 - à remplir'!$E$31:$E$400,MASQ2!BV113,'Étape 1 - à remplir'!$G$31:$G$400,"lots"),SUMIFS('Étape 1 - à remplir'!$F$31:$F$400,'Étape 1 - à remplir'!$E$31:$E$400,MASQ2!BV113,'Étape 1 - à remplir'!$N$31:$N$400,CE$3,'Étape 1 - à remplir'!$G$31:$G$400,"lots"))))))=0,NA(),IF(CE$2="Catégorie",IF(CE$3="Toutes",SUMIFS('Étape 1 - à remplir'!$F$31:$F$400,'Étape 1 - à remplir'!$E$31:$E$400,MASQ2!BV113,'Étape 1 - à remplir'!$G$31:$G$400,"lots"),SUMIFS('Étape 1 - à remplir'!$F$31:$F$400,'Étape 1 - à remplir'!$E$31:$E$400,MASQ2!BV113,'Étape 1 - à remplir'!$C$31:$C$400,CE$3)),IF(CE$2="Âge",IF(CE$3="Tous",SUMIFS('Étape 1 - à remplir'!$F$31:$F$400,'Étape 1 - à remplir'!$E$31:$E$400,MASQ2!BV113,'Étape 1 - à remplir'!$G$31:$G$400,"lots"),SUMIFS('Étape 1 - à remplir'!$F$31:$F$400,'Étape 1 - à remplir'!$E$31:$E$400,MASQ2!BV113,'Étape 1 - à remplir'!$P$31:$P$400,CE$3,'Étape 1 - à remplir'!$G$31:$G$400,"lots")),IF(CE$2="Atelier",IF(CE$3="Tous",SUMIFS('Étape 1 - à remplir'!$F$31:$F$400,'Étape 1 - à remplir'!$E$31:$E$400,MASQ2!BV113,'Étape 1 - à remplir'!$G$31:$G$400,"lots"),SUMIFS('Étape 1 - à remplir'!$F$31:$F$400,'Étape 1 - à remplir'!$E$31:$E$400,MASQ2!BV113,'Étape 1 - à remplir'!$O$31:$O$400,CE$3,'Étape 1 - à remplir'!$G$31:$G$400,"lots")),IF(CE$2="Espèce",IF(CE$3="Toutes",SUMIFS('Étape 1 - à remplir'!$F$31:$F$400,'Étape 1 - à remplir'!$E$31:$E$400,MASQ2!BV113,'Étape 1 - à remplir'!$G$31:$G$400,"lots"),SUMIFS('Étape 1 - à remplir'!$F$31:$F$400,'Étape 1 - à remplir'!$E$31:$E$400,MASQ2!BV113,'Étape 1 - à remplir'!$N$31:$N$400,CE$3,'Étape 1 - à remplir'!$G$31:$G$400,"lots")))))))</f>
        <v>#N/A</v>
      </c>
      <c r="BX113">
        <f t="shared" si="149"/>
        <v>0</v>
      </c>
      <c r="BY113" t="str">
        <f t="shared" si="133"/>
        <v>Oxytétracycline</v>
      </c>
      <c r="BZ113" t="str">
        <f t="shared" si="134"/>
        <v/>
      </c>
      <c r="CA113" t="str">
        <f t="shared" si="135"/>
        <v/>
      </c>
      <c r="CB113" t="str">
        <f t="shared" si="136"/>
        <v>Tetracyclines</v>
      </c>
      <c r="CC113" t="str">
        <f t="shared" si="137"/>
        <v/>
      </c>
      <c r="CD113" s="63" t="str">
        <f t="shared" si="138"/>
        <v/>
      </c>
      <c r="CG113" s="42">
        <v>110</v>
      </c>
      <c r="CH113" s="42" t="e">
        <f t="shared" si="163"/>
        <v>#N/A</v>
      </c>
      <c r="CI113" s="63" t="e">
        <f t="shared" si="164"/>
        <v>#N/A</v>
      </c>
      <c r="DM113" s="63"/>
      <c r="EA113" s="194" t="str">
        <f t="shared" ca="1" si="139"/>
        <v/>
      </c>
      <c r="EB113" s="226" t="str">
        <f>IFERROR(IF(ED113=0,"",COUNTIF(ED$4:ED$600,"&gt;"&amp;ED113)+COUNTIF(ED$4:ED113,ED113)),"")</f>
        <v/>
      </c>
      <c r="EC113" t="str">
        <f t="shared" si="140"/>
        <v>CK6 - SOLU OXYTETRACYCLINE 500 MG/G</v>
      </c>
      <c r="ED113" t="e">
        <f>IF(IF(EL$2="Catégorie",IF(EL$3="Toutes",SUMIFS('Étape 1 - à remplir'!$F$31:$F$400,'Étape 1 - à remplir'!$E$31:$E$400,MASQ2!EC113,'Étape 1 - à remplir'!$G$31:$G$400,"kg"),SUMIFS('Étape 1 - à remplir'!$F$31:$F$400,'Étape 1 - à remplir'!$E$31:$E$400,MASQ2!EC113,'Étape 1 - à remplir'!$C$31:$C$400,EL$3)),IF(EL$2="Âge",IF(EL$3="Tous",SUMIFS('Étape 1 - à remplir'!$F$31:$F$400,'Étape 1 - à remplir'!$E$31:$E$400,MASQ2!EC113,'Étape 1 - à remplir'!$G$31:$G$400,"kg"),SUMIFS('Étape 1 - à remplir'!$F$31:$F$400,'Étape 1 - à remplir'!$E$31:$E$400,MASQ2!EC113,'Étape 1 - à remplir'!$P$31:$P$400,EL$3,'Étape 1 - à remplir'!$G$31:$G$400,"kg")),IF(EL$2="Atelier",IF(EL$3="Tous",SUMIFS('Étape 1 - à remplir'!$F$31:$F$400,'Étape 1 - à remplir'!$E$31:$E$400,MASQ2!EC113,'Étape 1 - à remplir'!$G$31:$G$400,"kg"),SUMIFS('Étape 1 - à remplir'!$F$31:$F$400,'Étape 1 - à remplir'!$E$31:$E$400,MASQ2!EC113,'Étape 1 - à remplir'!$O$31:$O$400,EL$3,'Étape 1 - à remplir'!$G$31:$G$400,"kg")),IF(EL$2="Espèce",IF(EL$3="Toutes",SUMIFS('Étape 1 - à remplir'!$F$31:$F$400,'Étape 1 - à remplir'!$E$31:$E$400,MASQ2!EC113,'Étape 1 - à remplir'!$G$31:$G$400,"kg"),SUMIFS('Étape 1 - à remplir'!$F$31:$F$400,'Étape 1 - à remplir'!$E$31:$E$400,MASQ2!EC113,'Étape 1 - à remplir'!$N$31:$N$400,EL$3,'Étape 1 - à remplir'!$G$31:$G$400,"kg"))))))=0,NA(),IF(EL$2="Catégorie",IF(EL$3="Toutes",SUMIFS('Étape 1 - à remplir'!$F$31:$F$400,'Étape 1 - à remplir'!$E$31:$E$400,MASQ2!EC113,'Étape 1 - à remplir'!$G$31:$G$400,"kg"),SUMIFS('Étape 1 - à remplir'!$F$31:$F$400,'Étape 1 - à remplir'!$E$31:$E$400,MASQ2!EC113,'Étape 1 - à remplir'!$C$31:$C$400,EL$3)),IF(EL$2="Âge",IF(EL$3="Tous",SUMIFS('Étape 1 - à remplir'!$F$31:$F$400,'Étape 1 - à remplir'!$E$31:$E$400,MASQ2!EC113,'Étape 1 - à remplir'!$G$31:$G$400,"kg"),SUMIFS('Étape 1 - à remplir'!$F$31:$F$400,'Étape 1 - à remplir'!$E$31:$E$400,MASQ2!EC113,'Étape 1 - à remplir'!$P$31:$P$400,EL$3,'Étape 1 - à remplir'!$G$31:$G$400,"kg")),IF(EL$2="Atelier",IF(EL$3="Tous",SUMIFS('Étape 1 - à remplir'!$F$31:$F$400,'Étape 1 - à remplir'!$E$31:$E$400,MASQ2!EC113,'Étape 1 - à remplir'!$G$31:$G$400,"kg"),SUMIFS('Étape 1 - à remplir'!$F$31:$F$400,'Étape 1 - à remplir'!$E$31:$E$400,MASQ2!EC113,'Étape 1 - à remplir'!$O$31:$O$400,EL$3,'Étape 1 - à remplir'!$G$31:$G$400,"kg")),IF(EL$2="Espèce",IF(EL$3="Toutes",SUMIFS('Étape 1 - à remplir'!$F$31:$F$400,'Étape 1 - à remplir'!$E$31:$E$400,MASQ2!EC113,'Étape 1 - à remplir'!$G$31:$G$400,"kg"),SUMIFS('Étape 1 - à remplir'!$F$31:$F$400,'Étape 1 - à remplir'!$E$31:$E$400,MASQ2!EC113,'Étape 1 - à remplir'!$N$31:$N$400,EL$3,'Étape 1 - à remplir'!$G$31:$G$400,"kg")))))))</f>
        <v>#N/A</v>
      </c>
      <c r="EE113" s="76">
        <f t="shared" si="150"/>
        <v>0</v>
      </c>
      <c r="EF113" t="str">
        <f t="shared" si="141"/>
        <v>Oxytétracycline</v>
      </c>
      <c r="EG113" t="str">
        <f t="shared" si="142"/>
        <v/>
      </c>
      <c r="EH113" t="str">
        <f t="shared" si="143"/>
        <v/>
      </c>
      <c r="EI113" t="str">
        <f t="shared" si="144"/>
        <v>Tetracyclines</v>
      </c>
      <c r="EJ113" t="str">
        <f t="shared" si="145"/>
        <v/>
      </c>
      <c r="EK113" s="63" t="str">
        <f t="shared" si="146"/>
        <v/>
      </c>
      <c r="EN113" s="42">
        <v>110</v>
      </c>
      <c r="EO113" t="e">
        <f t="shared" si="152"/>
        <v>#N/A</v>
      </c>
      <c r="EP113" s="63" t="e">
        <f t="shared" si="153"/>
        <v>#N/A</v>
      </c>
      <c r="FT113" s="63"/>
    </row>
    <row r="114" spans="2:176" x14ac:dyDescent="0.3">
      <c r="B114" s="42"/>
      <c r="M114" s="194" t="str">
        <f ca="1">INDEX(Données_ATB!BD:BU,MATCH(MASQ2!O114,Données_ATB!BD:BD,0),18)</f>
        <v/>
      </c>
      <c r="N114" s="14" t="str">
        <f>IFERROR(IF(Q114=0,"",COUNTIF(Q$4:Q$600,"&gt;"&amp;Q114)+COUNTIF(Q$4:Q114,Q114)),"")</f>
        <v/>
      </c>
      <c r="O114" t="str">
        <f>Données_ATB!BD113</f>
        <v>CLAMOXYL LA</v>
      </c>
      <c r="P114" t="e">
        <f>IF(IF(X$2="Catégorie",IF(X$3="Toutes",SUMIFS('Étape 1 - à remplir'!$F$31:$F$400,'Étape 1 - à remplir'!$E$31:$E$400,MASQ2!O114,'Étape 1 - à remplir'!$G$31:$G$400,"animaux"),SUMIFS('Étape 1 - à remplir'!$F$31:$F$400,'Étape 1 - à remplir'!$E$31:$E$400,MASQ2!O114,'Étape 1 - à remplir'!$C$31:$C$400,X$3)),IF(X$2="Âge",IF(X$3="Tous",SUMIFS('Étape 1 - à remplir'!$F$31:$F$400,'Étape 1 - à remplir'!$E$31:$E$400,MASQ2!O114,'Étape 1 - à remplir'!$G$31:$G$400,"animaux"),SUMIFS('Étape 1 - à remplir'!$F$31:$F$400,'Étape 1 - à remplir'!$E$31:$E$400,MASQ2!O114,'Étape 1 - à remplir'!$P$31:$P$400,X$3)),IF(X$2="Atelier",IF(X$3="Tous",SUMIFS('Étape 1 - à remplir'!$F$31:$F$400,'Étape 1 - à remplir'!$E$31:$E$400,MASQ2!O114,'Étape 1 - à remplir'!$G$31:$G$400,"animaux"),SUMIFS('Étape 1 - à remplir'!$F$31:$F$400,'Étape 1 - à remplir'!$E$31:$E$400,MASQ2!O114,'Étape 1 - à remplir'!$O$31:$O$400,X$3)),IF(X$2="Espèce",IF(X$3="Toutes",SUMIFS('Étape 1 - à remplir'!$F$31:$F$400,'Étape 1 - à remplir'!$E$31:$E$400,MASQ2!O114,'Étape 1 - à remplir'!$G$31:$G$400,"animaux"),SUMIFS('Étape 1 - à remplir'!$F$31:$F$400,'Étape 1 - à remplir'!$E$31:$E$400,MASQ2!O114,'Étape 1 - à remplir'!$N$31:$N$400,X$3))))))=0,NA(),IF(X$2="Catégorie",IF(X$3="Toutes",SUMIFS('Étape 1 - à remplir'!$F$31:$F$400,'Étape 1 - à remplir'!$E$31:$E$400,MASQ2!O114,'Étape 1 - à remplir'!$G$31:$G$400,"animaux"),SUMIFS('Étape 1 - à remplir'!$F$31:$F$400,'Étape 1 - à remplir'!$E$31:$E$400,MASQ2!O114,'Étape 1 - à remplir'!$C$31:$C$400,X$3)),IF(X$2="Âge",IF(X$3="Tous",SUMIFS('Étape 1 - à remplir'!$F$31:$F$400,'Étape 1 - à remplir'!$E$31:$E$400,MASQ2!O114,'Étape 1 - à remplir'!$G$31:$G$400,"animaux"),SUMIFS('Étape 1 - à remplir'!$F$31:$F$400,'Étape 1 - à remplir'!$E$31:$E$400,MASQ2!O114,'Étape 1 - à remplir'!$P$31:$P$400,X$3)),IF(X$2="Atelier",IF(X$3="Tous",SUMIFS('Étape 1 - à remplir'!$F$31:$F$400,'Étape 1 - à remplir'!$E$31:$E$400,MASQ2!O114,'Étape 1 - à remplir'!$G$31:$G$400,"animaux"),SUMIFS('Étape 1 - à remplir'!$F$31:$F$400,'Étape 1 - à remplir'!$E$31:$E$400,MASQ2!O114,'Étape 1 - à remplir'!$O$31:$O$400,X$3)),IF(X$2="Espèce",IF(X$3="Toutes",SUMIFS('Étape 1 - à remplir'!$F$31:$F$400,'Étape 1 - à remplir'!$E$31:$E$400,MASQ2!O114,'Étape 1 - à remplir'!$G$31:$G$400,"animaux"),SUMIFS('Étape 1 - à remplir'!$F$31:$F$400,'Étape 1 - à remplir'!$E$31:$E$400,MASQ2!O114,'Étape 1 - à remplir'!$N$31:$N$400,X$3)))))))</f>
        <v>#N/A</v>
      </c>
      <c r="Q114" s="63">
        <f t="shared" si="151"/>
        <v>0</v>
      </c>
      <c r="R114" t="str">
        <f>Données_ATB!BM113</f>
        <v>Amoxicilline</v>
      </c>
      <c r="S114" t="str">
        <f>Données_ATB!BN113</f>
        <v/>
      </c>
      <c r="T114" s="63" t="str">
        <f>Données_ATB!BO113</f>
        <v/>
      </c>
      <c r="U114" s="42" t="str">
        <f>Données_ATB!BQ113</f>
        <v>Penicillines</v>
      </c>
      <c r="V114" t="str">
        <f>Données_ATB!BR113</f>
        <v/>
      </c>
      <c r="W114" s="63" t="str">
        <f>Données_ATB!BS113</f>
        <v/>
      </c>
      <c r="Z114" s="42">
        <v>111</v>
      </c>
      <c r="AA114" t="e">
        <f t="shared" si="147"/>
        <v>#N/A</v>
      </c>
      <c r="AB114" s="63" t="e">
        <f t="shared" si="148"/>
        <v>#N/A</v>
      </c>
      <c r="BF114" s="63"/>
      <c r="BT114" s="194" t="str">
        <f t="shared" ca="1" si="131"/>
        <v/>
      </c>
      <c r="BU114" s="219" t="str">
        <f>IFERROR(IF(BX114=0,"",COUNTIF(BX$4:BX$600,"&gt;"&amp;BX114)+COUNTIF(BX$4:BX114,BX114)),"")</f>
        <v/>
      </c>
      <c r="BV114" s="42" t="str">
        <f t="shared" si="132"/>
        <v>CLAMOXYL LA</v>
      </c>
      <c r="BW114" t="e">
        <f>IF(IF(CE$2="Catégorie",IF(CE$3="Toutes",SUMIFS('Étape 1 - à remplir'!$F$31:$F$400,'Étape 1 - à remplir'!$E$31:$E$400,MASQ2!BV114,'Étape 1 - à remplir'!$G$31:$G$400,"lots"),SUMIFS('Étape 1 - à remplir'!$F$31:$F$400,'Étape 1 - à remplir'!$E$31:$E$400,MASQ2!BV114,'Étape 1 - à remplir'!$C$31:$C$400,CE$3)),IF(CE$2="Âge",IF(CE$3="Tous",SUMIFS('Étape 1 - à remplir'!$F$31:$F$400,'Étape 1 - à remplir'!$E$31:$E$400,MASQ2!BV114,'Étape 1 - à remplir'!$G$31:$G$400,"lots"),SUMIFS('Étape 1 - à remplir'!$F$31:$F$400,'Étape 1 - à remplir'!$E$31:$E$400,MASQ2!BV114,'Étape 1 - à remplir'!$P$31:$P$400,CE$3,'Étape 1 - à remplir'!$G$31:$G$400,"lots")),IF(CE$2="Atelier",IF(CE$3="Tous",SUMIFS('Étape 1 - à remplir'!$F$31:$F$400,'Étape 1 - à remplir'!$E$31:$E$400,MASQ2!BV114,'Étape 1 - à remplir'!$G$31:$G$400,"lots"),SUMIFS('Étape 1 - à remplir'!$F$31:$F$400,'Étape 1 - à remplir'!$E$31:$E$400,MASQ2!BV114,'Étape 1 - à remplir'!$O$31:$O$400,CE$3,'Étape 1 - à remplir'!$G$31:$G$400,"lots")),IF(CE$2="Espèce",IF(CE$3="Toutes",SUMIFS('Étape 1 - à remplir'!$F$31:$F$400,'Étape 1 - à remplir'!$E$31:$E$400,MASQ2!BV114,'Étape 1 - à remplir'!$G$31:$G$400,"lots"),SUMIFS('Étape 1 - à remplir'!$F$31:$F$400,'Étape 1 - à remplir'!$E$31:$E$400,MASQ2!BV114,'Étape 1 - à remplir'!$N$31:$N$400,CE$3,'Étape 1 - à remplir'!$G$31:$G$400,"lots"))))))=0,NA(),IF(CE$2="Catégorie",IF(CE$3="Toutes",SUMIFS('Étape 1 - à remplir'!$F$31:$F$400,'Étape 1 - à remplir'!$E$31:$E$400,MASQ2!BV114,'Étape 1 - à remplir'!$G$31:$G$400,"lots"),SUMIFS('Étape 1 - à remplir'!$F$31:$F$400,'Étape 1 - à remplir'!$E$31:$E$400,MASQ2!BV114,'Étape 1 - à remplir'!$C$31:$C$400,CE$3)),IF(CE$2="Âge",IF(CE$3="Tous",SUMIFS('Étape 1 - à remplir'!$F$31:$F$400,'Étape 1 - à remplir'!$E$31:$E$400,MASQ2!BV114,'Étape 1 - à remplir'!$G$31:$G$400,"lots"),SUMIFS('Étape 1 - à remplir'!$F$31:$F$400,'Étape 1 - à remplir'!$E$31:$E$400,MASQ2!BV114,'Étape 1 - à remplir'!$P$31:$P$400,CE$3,'Étape 1 - à remplir'!$G$31:$G$400,"lots")),IF(CE$2="Atelier",IF(CE$3="Tous",SUMIFS('Étape 1 - à remplir'!$F$31:$F$400,'Étape 1 - à remplir'!$E$31:$E$400,MASQ2!BV114,'Étape 1 - à remplir'!$G$31:$G$400,"lots"),SUMIFS('Étape 1 - à remplir'!$F$31:$F$400,'Étape 1 - à remplir'!$E$31:$E$400,MASQ2!BV114,'Étape 1 - à remplir'!$O$31:$O$400,CE$3,'Étape 1 - à remplir'!$G$31:$G$400,"lots")),IF(CE$2="Espèce",IF(CE$3="Toutes",SUMIFS('Étape 1 - à remplir'!$F$31:$F$400,'Étape 1 - à remplir'!$E$31:$E$400,MASQ2!BV114,'Étape 1 - à remplir'!$G$31:$G$400,"lots"),SUMIFS('Étape 1 - à remplir'!$F$31:$F$400,'Étape 1 - à remplir'!$E$31:$E$400,MASQ2!BV114,'Étape 1 - à remplir'!$N$31:$N$400,CE$3,'Étape 1 - à remplir'!$G$31:$G$400,"lots")))))))</f>
        <v>#N/A</v>
      </c>
      <c r="BX114">
        <f t="shared" si="149"/>
        <v>0</v>
      </c>
      <c r="BY114" t="str">
        <f t="shared" si="133"/>
        <v>Amoxicilline</v>
      </c>
      <c r="BZ114" t="str">
        <f t="shared" si="134"/>
        <v/>
      </c>
      <c r="CA114" t="str">
        <f t="shared" si="135"/>
        <v/>
      </c>
      <c r="CB114" t="str">
        <f t="shared" si="136"/>
        <v>Penicillines</v>
      </c>
      <c r="CC114" t="str">
        <f t="shared" si="137"/>
        <v/>
      </c>
      <c r="CD114" s="63" t="str">
        <f t="shared" si="138"/>
        <v/>
      </c>
      <c r="CG114" s="42">
        <v>111</v>
      </c>
      <c r="CH114" s="42" t="e">
        <f t="shared" si="163"/>
        <v>#N/A</v>
      </c>
      <c r="CI114" s="63" t="e">
        <f t="shared" si="164"/>
        <v>#N/A</v>
      </c>
      <c r="DM114" s="63"/>
      <c r="EA114" s="194" t="str">
        <f t="shared" ca="1" si="139"/>
        <v/>
      </c>
      <c r="EB114" s="226" t="str">
        <f>IFERROR(IF(ED114=0,"",COUNTIF(ED$4:ED$600,"&gt;"&amp;ED114)+COUNTIF(ED$4:ED114,ED114)),"")</f>
        <v/>
      </c>
      <c r="EC114" t="str">
        <f t="shared" si="140"/>
        <v>CLAMOXYL LA</v>
      </c>
      <c r="ED114" t="e">
        <f>IF(IF(EL$2="Catégorie",IF(EL$3="Toutes",SUMIFS('Étape 1 - à remplir'!$F$31:$F$400,'Étape 1 - à remplir'!$E$31:$E$400,MASQ2!EC114,'Étape 1 - à remplir'!$G$31:$G$400,"kg"),SUMIFS('Étape 1 - à remplir'!$F$31:$F$400,'Étape 1 - à remplir'!$E$31:$E$400,MASQ2!EC114,'Étape 1 - à remplir'!$C$31:$C$400,EL$3)),IF(EL$2="Âge",IF(EL$3="Tous",SUMIFS('Étape 1 - à remplir'!$F$31:$F$400,'Étape 1 - à remplir'!$E$31:$E$400,MASQ2!EC114,'Étape 1 - à remplir'!$G$31:$G$400,"kg"),SUMIFS('Étape 1 - à remplir'!$F$31:$F$400,'Étape 1 - à remplir'!$E$31:$E$400,MASQ2!EC114,'Étape 1 - à remplir'!$P$31:$P$400,EL$3,'Étape 1 - à remplir'!$G$31:$G$400,"kg")),IF(EL$2="Atelier",IF(EL$3="Tous",SUMIFS('Étape 1 - à remplir'!$F$31:$F$400,'Étape 1 - à remplir'!$E$31:$E$400,MASQ2!EC114,'Étape 1 - à remplir'!$G$31:$G$400,"kg"),SUMIFS('Étape 1 - à remplir'!$F$31:$F$400,'Étape 1 - à remplir'!$E$31:$E$400,MASQ2!EC114,'Étape 1 - à remplir'!$O$31:$O$400,EL$3,'Étape 1 - à remplir'!$G$31:$G$400,"kg")),IF(EL$2="Espèce",IF(EL$3="Toutes",SUMIFS('Étape 1 - à remplir'!$F$31:$F$400,'Étape 1 - à remplir'!$E$31:$E$400,MASQ2!EC114,'Étape 1 - à remplir'!$G$31:$G$400,"kg"),SUMIFS('Étape 1 - à remplir'!$F$31:$F$400,'Étape 1 - à remplir'!$E$31:$E$400,MASQ2!EC114,'Étape 1 - à remplir'!$N$31:$N$400,EL$3,'Étape 1 - à remplir'!$G$31:$G$400,"kg"))))))=0,NA(),IF(EL$2="Catégorie",IF(EL$3="Toutes",SUMIFS('Étape 1 - à remplir'!$F$31:$F$400,'Étape 1 - à remplir'!$E$31:$E$400,MASQ2!EC114,'Étape 1 - à remplir'!$G$31:$G$400,"kg"),SUMIFS('Étape 1 - à remplir'!$F$31:$F$400,'Étape 1 - à remplir'!$E$31:$E$400,MASQ2!EC114,'Étape 1 - à remplir'!$C$31:$C$400,EL$3)),IF(EL$2="Âge",IF(EL$3="Tous",SUMIFS('Étape 1 - à remplir'!$F$31:$F$400,'Étape 1 - à remplir'!$E$31:$E$400,MASQ2!EC114,'Étape 1 - à remplir'!$G$31:$G$400,"kg"),SUMIFS('Étape 1 - à remplir'!$F$31:$F$400,'Étape 1 - à remplir'!$E$31:$E$400,MASQ2!EC114,'Étape 1 - à remplir'!$P$31:$P$400,EL$3,'Étape 1 - à remplir'!$G$31:$G$400,"kg")),IF(EL$2="Atelier",IF(EL$3="Tous",SUMIFS('Étape 1 - à remplir'!$F$31:$F$400,'Étape 1 - à remplir'!$E$31:$E$400,MASQ2!EC114,'Étape 1 - à remplir'!$G$31:$G$400,"kg"),SUMIFS('Étape 1 - à remplir'!$F$31:$F$400,'Étape 1 - à remplir'!$E$31:$E$400,MASQ2!EC114,'Étape 1 - à remplir'!$O$31:$O$400,EL$3,'Étape 1 - à remplir'!$G$31:$G$400,"kg")),IF(EL$2="Espèce",IF(EL$3="Toutes",SUMIFS('Étape 1 - à remplir'!$F$31:$F$400,'Étape 1 - à remplir'!$E$31:$E$400,MASQ2!EC114,'Étape 1 - à remplir'!$G$31:$G$400,"kg"),SUMIFS('Étape 1 - à remplir'!$F$31:$F$400,'Étape 1 - à remplir'!$E$31:$E$400,MASQ2!EC114,'Étape 1 - à remplir'!$N$31:$N$400,EL$3,'Étape 1 - à remplir'!$G$31:$G$400,"kg")))))))</f>
        <v>#N/A</v>
      </c>
      <c r="EE114" s="76">
        <f t="shared" si="150"/>
        <v>0</v>
      </c>
      <c r="EF114" t="str">
        <f t="shared" si="141"/>
        <v>Amoxicilline</v>
      </c>
      <c r="EG114" t="str">
        <f t="shared" si="142"/>
        <v/>
      </c>
      <c r="EH114" t="str">
        <f t="shared" si="143"/>
        <v/>
      </c>
      <c r="EI114" t="str">
        <f t="shared" si="144"/>
        <v>Penicillines</v>
      </c>
      <c r="EJ114" t="str">
        <f t="shared" si="145"/>
        <v/>
      </c>
      <c r="EK114" s="63" t="str">
        <f t="shared" si="146"/>
        <v/>
      </c>
      <c r="EN114" s="42">
        <v>111</v>
      </c>
      <c r="EO114" t="e">
        <f t="shared" si="152"/>
        <v>#N/A</v>
      </c>
      <c r="EP114" s="63" t="e">
        <f t="shared" si="153"/>
        <v>#N/A</v>
      </c>
      <c r="FT114" s="63"/>
    </row>
    <row r="115" spans="2:176" x14ac:dyDescent="0.3">
      <c r="B115" s="42"/>
      <c r="M115" s="194" t="str">
        <f ca="1">INDEX(Données_ATB!BD:BU,MATCH(MASQ2!O115,Données_ATB!BD:BD,0),18)</f>
        <v/>
      </c>
      <c r="N115" s="14" t="str">
        <f>IFERROR(IF(Q115=0,"",COUNTIF(Q$4:Q$600,"&gt;"&amp;Q115)+COUNTIF(Q$4:Q115,Q115)),"")</f>
        <v/>
      </c>
      <c r="O115" t="str">
        <f>Données_ATB!BD114</f>
        <v>CLAMOXYL OBLET GYNECOLOGIQUE</v>
      </c>
      <c r="P115" t="e">
        <f>IF(IF(X$2="Catégorie",IF(X$3="Toutes",SUMIFS('Étape 1 - à remplir'!$F$31:$F$400,'Étape 1 - à remplir'!$E$31:$E$400,MASQ2!O115,'Étape 1 - à remplir'!$G$31:$G$400,"animaux"),SUMIFS('Étape 1 - à remplir'!$F$31:$F$400,'Étape 1 - à remplir'!$E$31:$E$400,MASQ2!O115,'Étape 1 - à remplir'!$C$31:$C$400,X$3)),IF(X$2="Âge",IF(X$3="Tous",SUMIFS('Étape 1 - à remplir'!$F$31:$F$400,'Étape 1 - à remplir'!$E$31:$E$400,MASQ2!O115,'Étape 1 - à remplir'!$G$31:$G$400,"animaux"),SUMIFS('Étape 1 - à remplir'!$F$31:$F$400,'Étape 1 - à remplir'!$E$31:$E$400,MASQ2!O115,'Étape 1 - à remplir'!$P$31:$P$400,X$3)),IF(X$2="Atelier",IF(X$3="Tous",SUMIFS('Étape 1 - à remplir'!$F$31:$F$400,'Étape 1 - à remplir'!$E$31:$E$400,MASQ2!O115,'Étape 1 - à remplir'!$G$31:$G$400,"animaux"),SUMIFS('Étape 1 - à remplir'!$F$31:$F$400,'Étape 1 - à remplir'!$E$31:$E$400,MASQ2!O115,'Étape 1 - à remplir'!$O$31:$O$400,X$3)),IF(X$2="Espèce",IF(X$3="Toutes",SUMIFS('Étape 1 - à remplir'!$F$31:$F$400,'Étape 1 - à remplir'!$E$31:$E$400,MASQ2!O115,'Étape 1 - à remplir'!$G$31:$G$400,"animaux"),SUMIFS('Étape 1 - à remplir'!$F$31:$F$400,'Étape 1 - à remplir'!$E$31:$E$400,MASQ2!O115,'Étape 1 - à remplir'!$N$31:$N$400,X$3))))))=0,NA(),IF(X$2="Catégorie",IF(X$3="Toutes",SUMIFS('Étape 1 - à remplir'!$F$31:$F$400,'Étape 1 - à remplir'!$E$31:$E$400,MASQ2!O115,'Étape 1 - à remplir'!$G$31:$G$400,"animaux"),SUMIFS('Étape 1 - à remplir'!$F$31:$F$400,'Étape 1 - à remplir'!$E$31:$E$400,MASQ2!O115,'Étape 1 - à remplir'!$C$31:$C$400,X$3)),IF(X$2="Âge",IF(X$3="Tous",SUMIFS('Étape 1 - à remplir'!$F$31:$F$400,'Étape 1 - à remplir'!$E$31:$E$400,MASQ2!O115,'Étape 1 - à remplir'!$G$31:$G$400,"animaux"),SUMIFS('Étape 1 - à remplir'!$F$31:$F$400,'Étape 1 - à remplir'!$E$31:$E$400,MASQ2!O115,'Étape 1 - à remplir'!$P$31:$P$400,X$3)),IF(X$2="Atelier",IF(X$3="Tous",SUMIFS('Étape 1 - à remplir'!$F$31:$F$400,'Étape 1 - à remplir'!$E$31:$E$400,MASQ2!O115,'Étape 1 - à remplir'!$G$31:$G$400,"animaux"),SUMIFS('Étape 1 - à remplir'!$F$31:$F$400,'Étape 1 - à remplir'!$E$31:$E$400,MASQ2!O115,'Étape 1 - à remplir'!$O$31:$O$400,X$3)),IF(X$2="Espèce",IF(X$3="Toutes",SUMIFS('Étape 1 - à remplir'!$F$31:$F$400,'Étape 1 - à remplir'!$E$31:$E$400,MASQ2!O115,'Étape 1 - à remplir'!$G$31:$G$400,"animaux"),SUMIFS('Étape 1 - à remplir'!$F$31:$F$400,'Étape 1 - à remplir'!$E$31:$E$400,MASQ2!O115,'Étape 1 - à remplir'!$N$31:$N$400,X$3)))))))</f>
        <v>#N/A</v>
      </c>
      <c r="Q115" s="63">
        <f t="shared" si="151"/>
        <v>0</v>
      </c>
      <c r="R115" t="str">
        <f>Données_ATB!BM114</f>
        <v>Amoxicilline</v>
      </c>
      <c r="S115" t="str">
        <f>Données_ATB!BN114</f>
        <v/>
      </c>
      <c r="T115" s="63" t="str">
        <f>Données_ATB!BO114</f>
        <v/>
      </c>
      <c r="U115" s="42" t="str">
        <f>Données_ATB!BQ114</f>
        <v>Penicillines</v>
      </c>
      <c r="V115" t="str">
        <f>Données_ATB!BR114</f>
        <v/>
      </c>
      <c r="W115" s="63" t="str">
        <f>Données_ATB!BS114</f>
        <v/>
      </c>
      <c r="Z115" s="42">
        <v>112</v>
      </c>
      <c r="AA115" t="e">
        <f t="shared" si="147"/>
        <v>#N/A</v>
      </c>
      <c r="AB115" s="63" t="e">
        <f t="shared" si="148"/>
        <v>#N/A</v>
      </c>
      <c r="BF115" s="63"/>
      <c r="BT115" s="194" t="str">
        <f t="shared" ca="1" si="131"/>
        <v/>
      </c>
      <c r="BU115" s="219" t="str">
        <f>IFERROR(IF(BX115=0,"",COUNTIF(BX$4:BX$600,"&gt;"&amp;BX115)+COUNTIF(BX$4:BX115,BX115)),"")</f>
        <v/>
      </c>
      <c r="BV115" s="42" t="str">
        <f t="shared" si="132"/>
        <v>CLAMOXYL OBLET GYNECOLOGIQUE</v>
      </c>
      <c r="BW115" t="e">
        <f>IF(IF(CE$2="Catégorie",IF(CE$3="Toutes",SUMIFS('Étape 1 - à remplir'!$F$31:$F$400,'Étape 1 - à remplir'!$E$31:$E$400,MASQ2!BV115,'Étape 1 - à remplir'!$G$31:$G$400,"lots"),SUMIFS('Étape 1 - à remplir'!$F$31:$F$400,'Étape 1 - à remplir'!$E$31:$E$400,MASQ2!BV115,'Étape 1 - à remplir'!$C$31:$C$400,CE$3)),IF(CE$2="Âge",IF(CE$3="Tous",SUMIFS('Étape 1 - à remplir'!$F$31:$F$400,'Étape 1 - à remplir'!$E$31:$E$400,MASQ2!BV115,'Étape 1 - à remplir'!$G$31:$G$400,"lots"),SUMIFS('Étape 1 - à remplir'!$F$31:$F$400,'Étape 1 - à remplir'!$E$31:$E$400,MASQ2!BV115,'Étape 1 - à remplir'!$P$31:$P$400,CE$3,'Étape 1 - à remplir'!$G$31:$G$400,"lots")),IF(CE$2="Atelier",IF(CE$3="Tous",SUMIFS('Étape 1 - à remplir'!$F$31:$F$400,'Étape 1 - à remplir'!$E$31:$E$400,MASQ2!BV115,'Étape 1 - à remplir'!$G$31:$G$400,"lots"),SUMIFS('Étape 1 - à remplir'!$F$31:$F$400,'Étape 1 - à remplir'!$E$31:$E$400,MASQ2!BV115,'Étape 1 - à remplir'!$O$31:$O$400,CE$3,'Étape 1 - à remplir'!$G$31:$G$400,"lots")),IF(CE$2="Espèce",IF(CE$3="Toutes",SUMIFS('Étape 1 - à remplir'!$F$31:$F$400,'Étape 1 - à remplir'!$E$31:$E$400,MASQ2!BV115,'Étape 1 - à remplir'!$G$31:$G$400,"lots"),SUMIFS('Étape 1 - à remplir'!$F$31:$F$400,'Étape 1 - à remplir'!$E$31:$E$400,MASQ2!BV115,'Étape 1 - à remplir'!$N$31:$N$400,CE$3,'Étape 1 - à remplir'!$G$31:$G$400,"lots"))))))=0,NA(),IF(CE$2="Catégorie",IF(CE$3="Toutes",SUMIFS('Étape 1 - à remplir'!$F$31:$F$400,'Étape 1 - à remplir'!$E$31:$E$400,MASQ2!BV115,'Étape 1 - à remplir'!$G$31:$G$400,"lots"),SUMIFS('Étape 1 - à remplir'!$F$31:$F$400,'Étape 1 - à remplir'!$E$31:$E$400,MASQ2!BV115,'Étape 1 - à remplir'!$C$31:$C$400,CE$3)),IF(CE$2="Âge",IF(CE$3="Tous",SUMIFS('Étape 1 - à remplir'!$F$31:$F$400,'Étape 1 - à remplir'!$E$31:$E$400,MASQ2!BV115,'Étape 1 - à remplir'!$G$31:$G$400,"lots"),SUMIFS('Étape 1 - à remplir'!$F$31:$F$400,'Étape 1 - à remplir'!$E$31:$E$400,MASQ2!BV115,'Étape 1 - à remplir'!$P$31:$P$400,CE$3,'Étape 1 - à remplir'!$G$31:$G$400,"lots")),IF(CE$2="Atelier",IF(CE$3="Tous",SUMIFS('Étape 1 - à remplir'!$F$31:$F$400,'Étape 1 - à remplir'!$E$31:$E$400,MASQ2!BV115,'Étape 1 - à remplir'!$G$31:$G$400,"lots"),SUMIFS('Étape 1 - à remplir'!$F$31:$F$400,'Étape 1 - à remplir'!$E$31:$E$400,MASQ2!BV115,'Étape 1 - à remplir'!$O$31:$O$400,CE$3,'Étape 1 - à remplir'!$G$31:$G$400,"lots")),IF(CE$2="Espèce",IF(CE$3="Toutes",SUMIFS('Étape 1 - à remplir'!$F$31:$F$400,'Étape 1 - à remplir'!$E$31:$E$400,MASQ2!BV115,'Étape 1 - à remplir'!$G$31:$G$400,"lots"),SUMIFS('Étape 1 - à remplir'!$F$31:$F$400,'Étape 1 - à remplir'!$E$31:$E$400,MASQ2!BV115,'Étape 1 - à remplir'!$N$31:$N$400,CE$3,'Étape 1 - à remplir'!$G$31:$G$400,"lots")))))))</f>
        <v>#N/A</v>
      </c>
      <c r="BX115">
        <f t="shared" si="149"/>
        <v>0</v>
      </c>
      <c r="BY115" t="str">
        <f t="shared" si="133"/>
        <v>Amoxicilline</v>
      </c>
      <c r="BZ115" t="str">
        <f t="shared" si="134"/>
        <v/>
      </c>
      <c r="CA115" t="str">
        <f t="shared" si="135"/>
        <v/>
      </c>
      <c r="CB115" t="str">
        <f t="shared" si="136"/>
        <v>Penicillines</v>
      </c>
      <c r="CC115" t="str">
        <f t="shared" si="137"/>
        <v/>
      </c>
      <c r="CD115" s="63" t="str">
        <f t="shared" si="138"/>
        <v/>
      </c>
      <c r="CG115" s="42">
        <v>112</v>
      </c>
      <c r="CH115" s="42" t="e">
        <f t="shared" si="163"/>
        <v>#N/A</v>
      </c>
      <c r="CI115" s="63" t="e">
        <f t="shared" si="164"/>
        <v>#N/A</v>
      </c>
      <c r="DM115" s="63"/>
      <c r="EA115" s="194" t="str">
        <f t="shared" ca="1" si="139"/>
        <v/>
      </c>
      <c r="EB115" s="226" t="str">
        <f>IFERROR(IF(ED115=0,"",COUNTIF(ED$4:ED$600,"&gt;"&amp;ED115)+COUNTIF(ED$4:ED115,ED115)),"")</f>
        <v/>
      </c>
      <c r="EC115" t="str">
        <f t="shared" si="140"/>
        <v>CLAMOXYL OBLET GYNECOLOGIQUE</v>
      </c>
      <c r="ED115" t="e">
        <f>IF(IF(EL$2="Catégorie",IF(EL$3="Toutes",SUMIFS('Étape 1 - à remplir'!$F$31:$F$400,'Étape 1 - à remplir'!$E$31:$E$400,MASQ2!EC115,'Étape 1 - à remplir'!$G$31:$G$400,"kg"),SUMIFS('Étape 1 - à remplir'!$F$31:$F$400,'Étape 1 - à remplir'!$E$31:$E$400,MASQ2!EC115,'Étape 1 - à remplir'!$C$31:$C$400,EL$3)),IF(EL$2="Âge",IF(EL$3="Tous",SUMIFS('Étape 1 - à remplir'!$F$31:$F$400,'Étape 1 - à remplir'!$E$31:$E$400,MASQ2!EC115,'Étape 1 - à remplir'!$G$31:$G$400,"kg"),SUMIFS('Étape 1 - à remplir'!$F$31:$F$400,'Étape 1 - à remplir'!$E$31:$E$400,MASQ2!EC115,'Étape 1 - à remplir'!$P$31:$P$400,EL$3,'Étape 1 - à remplir'!$G$31:$G$400,"kg")),IF(EL$2="Atelier",IF(EL$3="Tous",SUMIFS('Étape 1 - à remplir'!$F$31:$F$400,'Étape 1 - à remplir'!$E$31:$E$400,MASQ2!EC115,'Étape 1 - à remplir'!$G$31:$G$400,"kg"),SUMIFS('Étape 1 - à remplir'!$F$31:$F$400,'Étape 1 - à remplir'!$E$31:$E$400,MASQ2!EC115,'Étape 1 - à remplir'!$O$31:$O$400,EL$3,'Étape 1 - à remplir'!$G$31:$G$400,"kg")),IF(EL$2="Espèce",IF(EL$3="Toutes",SUMIFS('Étape 1 - à remplir'!$F$31:$F$400,'Étape 1 - à remplir'!$E$31:$E$400,MASQ2!EC115,'Étape 1 - à remplir'!$G$31:$G$400,"kg"),SUMIFS('Étape 1 - à remplir'!$F$31:$F$400,'Étape 1 - à remplir'!$E$31:$E$400,MASQ2!EC115,'Étape 1 - à remplir'!$N$31:$N$400,EL$3,'Étape 1 - à remplir'!$G$31:$G$400,"kg"))))))=0,NA(),IF(EL$2="Catégorie",IF(EL$3="Toutes",SUMIFS('Étape 1 - à remplir'!$F$31:$F$400,'Étape 1 - à remplir'!$E$31:$E$400,MASQ2!EC115,'Étape 1 - à remplir'!$G$31:$G$400,"kg"),SUMIFS('Étape 1 - à remplir'!$F$31:$F$400,'Étape 1 - à remplir'!$E$31:$E$400,MASQ2!EC115,'Étape 1 - à remplir'!$C$31:$C$400,EL$3)),IF(EL$2="Âge",IF(EL$3="Tous",SUMIFS('Étape 1 - à remplir'!$F$31:$F$400,'Étape 1 - à remplir'!$E$31:$E$400,MASQ2!EC115,'Étape 1 - à remplir'!$G$31:$G$400,"kg"),SUMIFS('Étape 1 - à remplir'!$F$31:$F$400,'Étape 1 - à remplir'!$E$31:$E$400,MASQ2!EC115,'Étape 1 - à remplir'!$P$31:$P$400,EL$3,'Étape 1 - à remplir'!$G$31:$G$400,"kg")),IF(EL$2="Atelier",IF(EL$3="Tous",SUMIFS('Étape 1 - à remplir'!$F$31:$F$400,'Étape 1 - à remplir'!$E$31:$E$400,MASQ2!EC115,'Étape 1 - à remplir'!$G$31:$G$400,"kg"),SUMIFS('Étape 1 - à remplir'!$F$31:$F$400,'Étape 1 - à remplir'!$E$31:$E$400,MASQ2!EC115,'Étape 1 - à remplir'!$O$31:$O$400,EL$3,'Étape 1 - à remplir'!$G$31:$G$400,"kg")),IF(EL$2="Espèce",IF(EL$3="Toutes",SUMIFS('Étape 1 - à remplir'!$F$31:$F$400,'Étape 1 - à remplir'!$E$31:$E$400,MASQ2!EC115,'Étape 1 - à remplir'!$G$31:$G$400,"kg"),SUMIFS('Étape 1 - à remplir'!$F$31:$F$400,'Étape 1 - à remplir'!$E$31:$E$400,MASQ2!EC115,'Étape 1 - à remplir'!$N$31:$N$400,EL$3,'Étape 1 - à remplir'!$G$31:$G$400,"kg")))))))</f>
        <v>#N/A</v>
      </c>
      <c r="EE115" s="76">
        <f t="shared" si="150"/>
        <v>0</v>
      </c>
      <c r="EF115" t="str">
        <f t="shared" si="141"/>
        <v>Amoxicilline</v>
      </c>
      <c r="EG115" t="str">
        <f t="shared" si="142"/>
        <v/>
      </c>
      <c r="EH115" t="str">
        <f t="shared" si="143"/>
        <v/>
      </c>
      <c r="EI115" t="str">
        <f t="shared" si="144"/>
        <v>Penicillines</v>
      </c>
      <c r="EJ115" t="str">
        <f t="shared" si="145"/>
        <v/>
      </c>
      <c r="EK115" s="63" t="str">
        <f t="shared" si="146"/>
        <v/>
      </c>
      <c r="EN115" s="42">
        <v>112</v>
      </c>
      <c r="EO115" t="e">
        <f t="shared" si="152"/>
        <v>#N/A</v>
      </c>
      <c r="EP115" s="63" t="e">
        <f t="shared" si="153"/>
        <v>#N/A</v>
      </c>
      <c r="FT115" s="63"/>
    </row>
    <row r="116" spans="2:176" x14ac:dyDescent="0.3">
      <c r="B116" s="42"/>
      <c r="M116" s="194" t="str">
        <f ca="1">INDEX(Données_ATB!BD:BU,MATCH(MASQ2!O116,Données_ATB!BD:BD,0),18)</f>
        <v/>
      </c>
      <c r="N116" s="14" t="str">
        <f>IFERROR(IF(Q116=0,"",COUNTIF(Q$4:Q$600,"&gt;"&amp;Q116)+COUNTIF(Q$4:Q116,Q116)),"")</f>
        <v/>
      </c>
      <c r="O116" t="str">
        <f>Données_ATB!BD115</f>
        <v>CLAMOXYL SUSPENSION</v>
      </c>
      <c r="P116" t="e">
        <f>IF(IF(X$2="Catégorie",IF(X$3="Toutes",SUMIFS('Étape 1 - à remplir'!$F$31:$F$400,'Étape 1 - à remplir'!$E$31:$E$400,MASQ2!O116,'Étape 1 - à remplir'!$G$31:$G$400,"animaux"),SUMIFS('Étape 1 - à remplir'!$F$31:$F$400,'Étape 1 - à remplir'!$E$31:$E$400,MASQ2!O116,'Étape 1 - à remplir'!$C$31:$C$400,X$3)),IF(X$2="Âge",IF(X$3="Tous",SUMIFS('Étape 1 - à remplir'!$F$31:$F$400,'Étape 1 - à remplir'!$E$31:$E$400,MASQ2!O116,'Étape 1 - à remplir'!$G$31:$G$400,"animaux"),SUMIFS('Étape 1 - à remplir'!$F$31:$F$400,'Étape 1 - à remplir'!$E$31:$E$400,MASQ2!O116,'Étape 1 - à remplir'!$P$31:$P$400,X$3)),IF(X$2="Atelier",IF(X$3="Tous",SUMIFS('Étape 1 - à remplir'!$F$31:$F$400,'Étape 1 - à remplir'!$E$31:$E$400,MASQ2!O116,'Étape 1 - à remplir'!$G$31:$G$400,"animaux"),SUMIFS('Étape 1 - à remplir'!$F$31:$F$400,'Étape 1 - à remplir'!$E$31:$E$400,MASQ2!O116,'Étape 1 - à remplir'!$O$31:$O$400,X$3)),IF(X$2="Espèce",IF(X$3="Toutes",SUMIFS('Étape 1 - à remplir'!$F$31:$F$400,'Étape 1 - à remplir'!$E$31:$E$400,MASQ2!O116,'Étape 1 - à remplir'!$G$31:$G$400,"animaux"),SUMIFS('Étape 1 - à remplir'!$F$31:$F$400,'Étape 1 - à remplir'!$E$31:$E$400,MASQ2!O116,'Étape 1 - à remplir'!$N$31:$N$400,X$3))))))=0,NA(),IF(X$2="Catégorie",IF(X$3="Toutes",SUMIFS('Étape 1 - à remplir'!$F$31:$F$400,'Étape 1 - à remplir'!$E$31:$E$400,MASQ2!O116,'Étape 1 - à remplir'!$G$31:$G$400,"animaux"),SUMIFS('Étape 1 - à remplir'!$F$31:$F$400,'Étape 1 - à remplir'!$E$31:$E$400,MASQ2!O116,'Étape 1 - à remplir'!$C$31:$C$400,X$3)),IF(X$2="Âge",IF(X$3="Tous",SUMIFS('Étape 1 - à remplir'!$F$31:$F$400,'Étape 1 - à remplir'!$E$31:$E$400,MASQ2!O116,'Étape 1 - à remplir'!$G$31:$G$400,"animaux"),SUMIFS('Étape 1 - à remplir'!$F$31:$F$400,'Étape 1 - à remplir'!$E$31:$E$400,MASQ2!O116,'Étape 1 - à remplir'!$P$31:$P$400,X$3)),IF(X$2="Atelier",IF(X$3="Tous",SUMIFS('Étape 1 - à remplir'!$F$31:$F$400,'Étape 1 - à remplir'!$E$31:$E$400,MASQ2!O116,'Étape 1 - à remplir'!$G$31:$G$400,"animaux"),SUMIFS('Étape 1 - à remplir'!$F$31:$F$400,'Étape 1 - à remplir'!$E$31:$E$400,MASQ2!O116,'Étape 1 - à remplir'!$O$31:$O$400,X$3)),IF(X$2="Espèce",IF(X$3="Toutes",SUMIFS('Étape 1 - à remplir'!$F$31:$F$400,'Étape 1 - à remplir'!$E$31:$E$400,MASQ2!O116,'Étape 1 - à remplir'!$G$31:$G$400,"animaux"),SUMIFS('Étape 1 - à remplir'!$F$31:$F$400,'Étape 1 - à remplir'!$E$31:$E$400,MASQ2!O116,'Étape 1 - à remplir'!$N$31:$N$400,X$3)))))))</f>
        <v>#N/A</v>
      </c>
      <c r="Q116" s="63">
        <f t="shared" si="151"/>
        <v>0</v>
      </c>
      <c r="R116" t="str">
        <f>Données_ATB!BM115</f>
        <v>Amoxicilline</v>
      </c>
      <c r="S116" t="str">
        <f>Données_ATB!BN115</f>
        <v/>
      </c>
      <c r="T116" s="63" t="str">
        <f>Données_ATB!BO115</f>
        <v/>
      </c>
      <c r="U116" s="42" t="str">
        <f>Données_ATB!BQ115</f>
        <v>Penicillines</v>
      </c>
      <c r="V116" t="str">
        <f>Données_ATB!BR115</f>
        <v/>
      </c>
      <c r="W116" s="63" t="str">
        <f>Données_ATB!BS115</f>
        <v/>
      </c>
      <c r="Z116" s="42">
        <v>113</v>
      </c>
      <c r="AA116" t="e">
        <f t="shared" si="147"/>
        <v>#N/A</v>
      </c>
      <c r="AB116" s="63" t="e">
        <f t="shared" si="148"/>
        <v>#N/A</v>
      </c>
      <c r="BF116" s="63"/>
      <c r="BT116" s="194" t="str">
        <f t="shared" ca="1" si="131"/>
        <v/>
      </c>
      <c r="BU116" s="219" t="str">
        <f>IFERROR(IF(BX116=0,"",COUNTIF(BX$4:BX$600,"&gt;"&amp;BX116)+COUNTIF(BX$4:BX116,BX116)),"")</f>
        <v/>
      </c>
      <c r="BV116" s="42" t="str">
        <f t="shared" si="132"/>
        <v>CLAMOXYL SUSPENSION</v>
      </c>
      <c r="BW116" t="e">
        <f>IF(IF(CE$2="Catégorie",IF(CE$3="Toutes",SUMIFS('Étape 1 - à remplir'!$F$31:$F$400,'Étape 1 - à remplir'!$E$31:$E$400,MASQ2!BV116,'Étape 1 - à remplir'!$G$31:$G$400,"lots"),SUMIFS('Étape 1 - à remplir'!$F$31:$F$400,'Étape 1 - à remplir'!$E$31:$E$400,MASQ2!BV116,'Étape 1 - à remplir'!$C$31:$C$400,CE$3)),IF(CE$2="Âge",IF(CE$3="Tous",SUMIFS('Étape 1 - à remplir'!$F$31:$F$400,'Étape 1 - à remplir'!$E$31:$E$400,MASQ2!BV116,'Étape 1 - à remplir'!$G$31:$G$400,"lots"),SUMIFS('Étape 1 - à remplir'!$F$31:$F$400,'Étape 1 - à remplir'!$E$31:$E$400,MASQ2!BV116,'Étape 1 - à remplir'!$P$31:$P$400,CE$3,'Étape 1 - à remplir'!$G$31:$G$400,"lots")),IF(CE$2="Atelier",IF(CE$3="Tous",SUMIFS('Étape 1 - à remplir'!$F$31:$F$400,'Étape 1 - à remplir'!$E$31:$E$400,MASQ2!BV116,'Étape 1 - à remplir'!$G$31:$G$400,"lots"),SUMIFS('Étape 1 - à remplir'!$F$31:$F$400,'Étape 1 - à remplir'!$E$31:$E$400,MASQ2!BV116,'Étape 1 - à remplir'!$O$31:$O$400,CE$3,'Étape 1 - à remplir'!$G$31:$G$400,"lots")),IF(CE$2="Espèce",IF(CE$3="Toutes",SUMIFS('Étape 1 - à remplir'!$F$31:$F$400,'Étape 1 - à remplir'!$E$31:$E$400,MASQ2!BV116,'Étape 1 - à remplir'!$G$31:$G$400,"lots"),SUMIFS('Étape 1 - à remplir'!$F$31:$F$400,'Étape 1 - à remplir'!$E$31:$E$400,MASQ2!BV116,'Étape 1 - à remplir'!$N$31:$N$400,CE$3,'Étape 1 - à remplir'!$G$31:$G$400,"lots"))))))=0,NA(),IF(CE$2="Catégorie",IF(CE$3="Toutes",SUMIFS('Étape 1 - à remplir'!$F$31:$F$400,'Étape 1 - à remplir'!$E$31:$E$400,MASQ2!BV116,'Étape 1 - à remplir'!$G$31:$G$400,"lots"),SUMIFS('Étape 1 - à remplir'!$F$31:$F$400,'Étape 1 - à remplir'!$E$31:$E$400,MASQ2!BV116,'Étape 1 - à remplir'!$C$31:$C$400,CE$3)),IF(CE$2="Âge",IF(CE$3="Tous",SUMIFS('Étape 1 - à remplir'!$F$31:$F$400,'Étape 1 - à remplir'!$E$31:$E$400,MASQ2!BV116,'Étape 1 - à remplir'!$G$31:$G$400,"lots"),SUMIFS('Étape 1 - à remplir'!$F$31:$F$400,'Étape 1 - à remplir'!$E$31:$E$400,MASQ2!BV116,'Étape 1 - à remplir'!$P$31:$P$400,CE$3,'Étape 1 - à remplir'!$G$31:$G$400,"lots")),IF(CE$2="Atelier",IF(CE$3="Tous",SUMIFS('Étape 1 - à remplir'!$F$31:$F$400,'Étape 1 - à remplir'!$E$31:$E$400,MASQ2!BV116,'Étape 1 - à remplir'!$G$31:$G$400,"lots"),SUMIFS('Étape 1 - à remplir'!$F$31:$F$400,'Étape 1 - à remplir'!$E$31:$E$400,MASQ2!BV116,'Étape 1 - à remplir'!$O$31:$O$400,CE$3,'Étape 1 - à remplir'!$G$31:$G$400,"lots")),IF(CE$2="Espèce",IF(CE$3="Toutes",SUMIFS('Étape 1 - à remplir'!$F$31:$F$400,'Étape 1 - à remplir'!$E$31:$E$400,MASQ2!BV116,'Étape 1 - à remplir'!$G$31:$G$400,"lots"),SUMIFS('Étape 1 - à remplir'!$F$31:$F$400,'Étape 1 - à remplir'!$E$31:$E$400,MASQ2!BV116,'Étape 1 - à remplir'!$N$31:$N$400,CE$3,'Étape 1 - à remplir'!$G$31:$G$400,"lots")))))))</f>
        <v>#N/A</v>
      </c>
      <c r="BX116">
        <f t="shared" si="149"/>
        <v>0</v>
      </c>
      <c r="BY116" t="str">
        <f t="shared" si="133"/>
        <v>Amoxicilline</v>
      </c>
      <c r="BZ116" t="str">
        <f t="shared" si="134"/>
        <v/>
      </c>
      <c r="CA116" t="str">
        <f t="shared" si="135"/>
        <v/>
      </c>
      <c r="CB116" t="str">
        <f t="shared" si="136"/>
        <v>Penicillines</v>
      </c>
      <c r="CC116" t="str">
        <f t="shared" si="137"/>
        <v/>
      </c>
      <c r="CD116" s="63" t="str">
        <f t="shared" si="138"/>
        <v/>
      </c>
      <c r="CG116" s="42">
        <v>113</v>
      </c>
      <c r="CH116" s="42" t="e">
        <f t="shared" si="163"/>
        <v>#N/A</v>
      </c>
      <c r="CI116" s="63" t="e">
        <f t="shared" si="164"/>
        <v>#N/A</v>
      </c>
      <c r="DM116" s="63"/>
      <c r="EA116" s="194" t="str">
        <f t="shared" ca="1" si="139"/>
        <v/>
      </c>
      <c r="EB116" s="226" t="str">
        <f>IFERROR(IF(ED116=0,"",COUNTIF(ED$4:ED$600,"&gt;"&amp;ED116)+COUNTIF(ED$4:ED116,ED116)),"")</f>
        <v/>
      </c>
      <c r="EC116" t="str">
        <f t="shared" si="140"/>
        <v>CLAMOXYL SUSPENSION</v>
      </c>
      <c r="ED116" t="e">
        <f>IF(IF(EL$2="Catégorie",IF(EL$3="Toutes",SUMIFS('Étape 1 - à remplir'!$F$31:$F$400,'Étape 1 - à remplir'!$E$31:$E$400,MASQ2!EC116,'Étape 1 - à remplir'!$G$31:$G$400,"kg"),SUMIFS('Étape 1 - à remplir'!$F$31:$F$400,'Étape 1 - à remplir'!$E$31:$E$400,MASQ2!EC116,'Étape 1 - à remplir'!$C$31:$C$400,EL$3)),IF(EL$2="Âge",IF(EL$3="Tous",SUMIFS('Étape 1 - à remplir'!$F$31:$F$400,'Étape 1 - à remplir'!$E$31:$E$400,MASQ2!EC116,'Étape 1 - à remplir'!$G$31:$G$400,"kg"),SUMIFS('Étape 1 - à remplir'!$F$31:$F$400,'Étape 1 - à remplir'!$E$31:$E$400,MASQ2!EC116,'Étape 1 - à remplir'!$P$31:$P$400,EL$3,'Étape 1 - à remplir'!$G$31:$G$400,"kg")),IF(EL$2="Atelier",IF(EL$3="Tous",SUMIFS('Étape 1 - à remplir'!$F$31:$F$400,'Étape 1 - à remplir'!$E$31:$E$400,MASQ2!EC116,'Étape 1 - à remplir'!$G$31:$G$400,"kg"),SUMIFS('Étape 1 - à remplir'!$F$31:$F$400,'Étape 1 - à remplir'!$E$31:$E$400,MASQ2!EC116,'Étape 1 - à remplir'!$O$31:$O$400,EL$3,'Étape 1 - à remplir'!$G$31:$G$400,"kg")),IF(EL$2="Espèce",IF(EL$3="Toutes",SUMIFS('Étape 1 - à remplir'!$F$31:$F$400,'Étape 1 - à remplir'!$E$31:$E$400,MASQ2!EC116,'Étape 1 - à remplir'!$G$31:$G$400,"kg"),SUMIFS('Étape 1 - à remplir'!$F$31:$F$400,'Étape 1 - à remplir'!$E$31:$E$400,MASQ2!EC116,'Étape 1 - à remplir'!$N$31:$N$400,EL$3,'Étape 1 - à remplir'!$G$31:$G$400,"kg"))))))=0,NA(),IF(EL$2="Catégorie",IF(EL$3="Toutes",SUMIFS('Étape 1 - à remplir'!$F$31:$F$400,'Étape 1 - à remplir'!$E$31:$E$400,MASQ2!EC116,'Étape 1 - à remplir'!$G$31:$G$400,"kg"),SUMIFS('Étape 1 - à remplir'!$F$31:$F$400,'Étape 1 - à remplir'!$E$31:$E$400,MASQ2!EC116,'Étape 1 - à remplir'!$C$31:$C$400,EL$3)),IF(EL$2="Âge",IF(EL$3="Tous",SUMIFS('Étape 1 - à remplir'!$F$31:$F$400,'Étape 1 - à remplir'!$E$31:$E$400,MASQ2!EC116,'Étape 1 - à remplir'!$G$31:$G$400,"kg"),SUMIFS('Étape 1 - à remplir'!$F$31:$F$400,'Étape 1 - à remplir'!$E$31:$E$400,MASQ2!EC116,'Étape 1 - à remplir'!$P$31:$P$400,EL$3,'Étape 1 - à remplir'!$G$31:$G$400,"kg")),IF(EL$2="Atelier",IF(EL$3="Tous",SUMIFS('Étape 1 - à remplir'!$F$31:$F$400,'Étape 1 - à remplir'!$E$31:$E$400,MASQ2!EC116,'Étape 1 - à remplir'!$G$31:$G$400,"kg"),SUMIFS('Étape 1 - à remplir'!$F$31:$F$400,'Étape 1 - à remplir'!$E$31:$E$400,MASQ2!EC116,'Étape 1 - à remplir'!$O$31:$O$400,EL$3,'Étape 1 - à remplir'!$G$31:$G$400,"kg")),IF(EL$2="Espèce",IF(EL$3="Toutes",SUMIFS('Étape 1 - à remplir'!$F$31:$F$400,'Étape 1 - à remplir'!$E$31:$E$400,MASQ2!EC116,'Étape 1 - à remplir'!$G$31:$G$400,"kg"),SUMIFS('Étape 1 - à remplir'!$F$31:$F$400,'Étape 1 - à remplir'!$E$31:$E$400,MASQ2!EC116,'Étape 1 - à remplir'!$N$31:$N$400,EL$3,'Étape 1 - à remplir'!$G$31:$G$400,"kg")))))))</f>
        <v>#N/A</v>
      </c>
      <c r="EE116" s="76">
        <f t="shared" si="150"/>
        <v>0</v>
      </c>
      <c r="EF116" t="str">
        <f t="shared" si="141"/>
        <v>Amoxicilline</v>
      </c>
      <c r="EG116" t="str">
        <f t="shared" si="142"/>
        <v/>
      </c>
      <c r="EH116" t="str">
        <f t="shared" si="143"/>
        <v/>
      </c>
      <c r="EI116" t="str">
        <f t="shared" si="144"/>
        <v>Penicillines</v>
      </c>
      <c r="EJ116" t="str">
        <f t="shared" si="145"/>
        <v/>
      </c>
      <c r="EK116" s="63" t="str">
        <f t="shared" si="146"/>
        <v/>
      </c>
      <c r="EN116" s="42">
        <v>113</v>
      </c>
      <c r="EO116" t="e">
        <f t="shared" si="152"/>
        <v>#N/A</v>
      </c>
      <c r="EP116" s="63" t="e">
        <f t="shared" si="153"/>
        <v>#N/A</v>
      </c>
      <c r="FT116" s="63"/>
    </row>
    <row r="117" spans="2:176" x14ac:dyDescent="0.3">
      <c r="B117" s="42"/>
      <c r="M117" s="194" t="str">
        <f ca="1">INDEX(Données_ATB!BD:BU,MATCH(MASQ2!O117,Données_ATB!BD:BD,0),18)</f>
        <v/>
      </c>
      <c r="N117" s="14" t="str">
        <f>IFERROR(IF(Q117=0,"",COUNTIF(Q$4:Q$600,"&gt;"&amp;Q117)+COUNTIF(Q$4:Q117,Q117)),"")</f>
        <v/>
      </c>
      <c r="O117" t="str">
        <f>Données_ATB!BD116</f>
        <v>CLAVOBAY SUSPENSION INJECTABLE</v>
      </c>
      <c r="P117" t="e">
        <f>IF(IF(X$2="Catégorie",IF(X$3="Toutes",SUMIFS('Étape 1 - à remplir'!$F$31:$F$400,'Étape 1 - à remplir'!$E$31:$E$400,MASQ2!O117,'Étape 1 - à remplir'!$G$31:$G$400,"animaux"),SUMIFS('Étape 1 - à remplir'!$F$31:$F$400,'Étape 1 - à remplir'!$E$31:$E$400,MASQ2!O117,'Étape 1 - à remplir'!$C$31:$C$400,X$3)),IF(X$2="Âge",IF(X$3="Tous",SUMIFS('Étape 1 - à remplir'!$F$31:$F$400,'Étape 1 - à remplir'!$E$31:$E$400,MASQ2!O117,'Étape 1 - à remplir'!$G$31:$G$400,"animaux"),SUMIFS('Étape 1 - à remplir'!$F$31:$F$400,'Étape 1 - à remplir'!$E$31:$E$400,MASQ2!O117,'Étape 1 - à remplir'!$P$31:$P$400,X$3)),IF(X$2="Atelier",IF(X$3="Tous",SUMIFS('Étape 1 - à remplir'!$F$31:$F$400,'Étape 1 - à remplir'!$E$31:$E$400,MASQ2!O117,'Étape 1 - à remplir'!$G$31:$G$400,"animaux"),SUMIFS('Étape 1 - à remplir'!$F$31:$F$400,'Étape 1 - à remplir'!$E$31:$E$400,MASQ2!O117,'Étape 1 - à remplir'!$O$31:$O$400,X$3)),IF(X$2="Espèce",IF(X$3="Toutes",SUMIFS('Étape 1 - à remplir'!$F$31:$F$400,'Étape 1 - à remplir'!$E$31:$E$400,MASQ2!O117,'Étape 1 - à remplir'!$G$31:$G$400,"animaux"),SUMIFS('Étape 1 - à remplir'!$F$31:$F$400,'Étape 1 - à remplir'!$E$31:$E$400,MASQ2!O117,'Étape 1 - à remplir'!$N$31:$N$400,X$3))))))=0,NA(),IF(X$2="Catégorie",IF(X$3="Toutes",SUMIFS('Étape 1 - à remplir'!$F$31:$F$400,'Étape 1 - à remplir'!$E$31:$E$400,MASQ2!O117,'Étape 1 - à remplir'!$G$31:$G$400,"animaux"),SUMIFS('Étape 1 - à remplir'!$F$31:$F$400,'Étape 1 - à remplir'!$E$31:$E$400,MASQ2!O117,'Étape 1 - à remplir'!$C$31:$C$400,X$3)),IF(X$2="Âge",IF(X$3="Tous",SUMIFS('Étape 1 - à remplir'!$F$31:$F$400,'Étape 1 - à remplir'!$E$31:$E$400,MASQ2!O117,'Étape 1 - à remplir'!$G$31:$G$400,"animaux"),SUMIFS('Étape 1 - à remplir'!$F$31:$F$400,'Étape 1 - à remplir'!$E$31:$E$400,MASQ2!O117,'Étape 1 - à remplir'!$P$31:$P$400,X$3)),IF(X$2="Atelier",IF(X$3="Tous",SUMIFS('Étape 1 - à remplir'!$F$31:$F$400,'Étape 1 - à remplir'!$E$31:$E$400,MASQ2!O117,'Étape 1 - à remplir'!$G$31:$G$400,"animaux"),SUMIFS('Étape 1 - à remplir'!$F$31:$F$400,'Étape 1 - à remplir'!$E$31:$E$400,MASQ2!O117,'Étape 1 - à remplir'!$O$31:$O$400,X$3)),IF(X$2="Espèce",IF(X$3="Toutes",SUMIFS('Étape 1 - à remplir'!$F$31:$F$400,'Étape 1 - à remplir'!$E$31:$E$400,MASQ2!O117,'Étape 1 - à remplir'!$G$31:$G$400,"animaux"),SUMIFS('Étape 1 - à remplir'!$F$31:$F$400,'Étape 1 - à remplir'!$E$31:$E$400,MASQ2!O117,'Étape 1 - à remplir'!$N$31:$N$400,X$3)))))))</f>
        <v>#N/A</v>
      </c>
      <c r="Q117" s="63">
        <f t="shared" si="151"/>
        <v>0</v>
      </c>
      <c r="R117" t="str">
        <f>Données_ATB!BM116</f>
        <v>Amoxicilline</v>
      </c>
      <c r="S117" t="str">
        <f>Données_ATB!BN116</f>
        <v>Acide clavulanique</v>
      </c>
      <c r="T117" s="63" t="str">
        <f>Données_ATB!BO116</f>
        <v/>
      </c>
      <c r="U117" s="42" t="str">
        <f>Données_ATB!BQ116</f>
        <v>Penicillines</v>
      </c>
      <c r="V117" t="str">
        <f>Données_ATB!BR116</f>
        <v>Acide clavulanique</v>
      </c>
      <c r="W117" s="63" t="str">
        <f>Données_ATB!BS116</f>
        <v/>
      </c>
      <c r="Z117" s="42">
        <v>114</v>
      </c>
      <c r="AA117" t="e">
        <f t="shared" si="147"/>
        <v>#N/A</v>
      </c>
      <c r="AB117" s="63" t="e">
        <f t="shared" si="148"/>
        <v>#N/A</v>
      </c>
      <c r="BF117" s="63"/>
      <c r="BT117" s="194" t="str">
        <f t="shared" ca="1" si="131"/>
        <v/>
      </c>
      <c r="BU117" s="219" t="str">
        <f>IFERROR(IF(BX117=0,"",COUNTIF(BX$4:BX$600,"&gt;"&amp;BX117)+COUNTIF(BX$4:BX117,BX117)),"")</f>
        <v/>
      </c>
      <c r="BV117" s="42" t="str">
        <f t="shared" si="132"/>
        <v>CLAVOBAY SUSPENSION INJECTABLE</v>
      </c>
      <c r="BW117" t="e">
        <f>IF(IF(CE$2="Catégorie",IF(CE$3="Toutes",SUMIFS('Étape 1 - à remplir'!$F$31:$F$400,'Étape 1 - à remplir'!$E$31:$E$400,MASQ2!BV117,'Étape 1 - à remplir'!$G$31:$G$400,"lots"),SUMIFS('Étape 1 - à remplir'!$F$31:$F$400,'Étape 1 - à remplir'!$E$31:$E$400,MASQ2!BV117,'Étape 1 - à remplir'!$C$31:$C$400,CE$3)),IF(CE$2="Âge",IF(CE$3="Tous",SUMIFS('Étape 1 - à remplir'!$F$31:$F$400,'Étape 1 - à remplir'!$E$31:$E$400,MASQ2!BV117,'Étape 1 - à remplir'!$G$31:$G$400,"lots"),SUMIFS('Étape 1 - à remplir'!$F$31:$F$400,'Étape 1 - à remplir'!$E$31:$E$400,MASQ2!BV117,'Étape 1 - à remplir'!$P$31:$P$400,CE$3,'Étape 1 - à remplir'!$G$31:$G$400,"lots")),IF(CE$2="Atelier",IF(CE$3="Tous",SUMIFS('Étape 1 - à remplir'!$F$31:$F$400,'Étape 1 - à remplir'!$E$31:$E$400,MASQ2!BV117,'Étape 1 - à remplir'!$G$31:$G$400,"lots"),SUMIFS('Étape 1 - à remplir'!$F$31:$F$400,'Étape 1 - à remplir'!$E$31:$E$400,MASQ2!BV117,'Étape 1 - à remplir'!$O$31:$O$400,CE$3,'Étape 1 - à remplir'!$G$31:$G$400,"lots")),IF(CE$2="Espèce",IF(CE$3="Toutes",SUMIFS('Étape 1 - à remplir'!$F$31:$F$400,'Étape 1 - à remplir'!$E$31:$E$400,MASQ2!BV117,'Étape 1 - à remplir'!$G$31:$G$400,"lots"),SUMIFS('Étape 1 - à remplir'!$F$31:$F$400,'Étape 1 - à remplir'!$E$31:$E$400,MASQ2!BV117,'Étape 1 - à remplir'!$N$31:$N$400,CE$3,'Étape 1 - à remplir'!$G$31:$G$400,"lots"))))))=0,NA(),IF(CE$2="Catégorie",IF(CE$3="Toutes",SUMIFS('Étape 1 - à remplir'!$F$31:$F$400,'Étape 1 - à remplir'!$E$31:$E$400,MASQ2!BV117,'Étape 1 - à remplir'!$G$31:$G$400,"lots"),SUMIFS('Étape 1 - à remplir'!$F$31:$F$400,'Étape 1 - à remplir'!$E$31:$E$400,MASQ2!BV117,'Étape 1 - à remplir'!$C$31:$C$400,CE$3)),IF(CE$2="Âge",IF(CE$3="Tous",SUMIFS('Étape 1 - à remplir'!$F$31:$F$400,'Étape 1 - à remplir'!$E$31:$E$400,MASQ2!BV117,'Étape 1 - à remplir'!$G$31:$G$400,"lots"),SUMIFS('Étape 1 - à remplir'!$F$31:$F$400,'Étape 1 - à remplir'!$E$31:$E$400,MASQ2!BV117,'Étape 1 - à remplir'!$P$31:$P$400,CE$3,'Étape 1 - à remplir'!$G$31:$G$400,"lots")),IF(CE$2="Atelier",IF(CE$3="Tous",SUMIFS('Étape 1 - à remplir'!$F$31:$F$400,'Étape 1 - à remplir'!$E$31:$E$400,MASQ2!BV117,'Étape 1 - à remplir'!$G$31:$G$400,"lots"),SUMIFS('Étape 1 - à remplir'!$F$31:$F$400,'Étape 1 - à remplir'!$E$31:$E$400,MASQ2!BV117,'Étape 1 - à remplir'!$O$31:$O$400,CE$3,'Étape 1 - à remplir'!$G$31:$G$400,"lots")),IF(CE$2="Espèce",IF(CE$3="Toutes",SUMIFS('Étape 1 - à remplir'!$F$31:$F$400,'Étape 1 - à remplir'!$E$31:$E$400,MASQ2!BV117,'Étape 1 - à remplir'!$G$31:$G$400,"lots"),SUMIFS('Étape 1 - à remplir'!$F$31:$F$400,'Étape 1 - à remplir'!$E$31:$E$400,MASQ2!BV117,'Étape 1 - à remplir'!$N$31:$N$400,CE$3,'Étape 1 - à remplir'!$G$31:$G$400,"lots")))))))</f>
        <v>#N/A</v>
      </c>
      <c r="BX117">
        <f t="shared" si="149"/>
        <v>0</v>
      </c>
      <c r="BY117" t="str">
        <f t="shared" si="133"/>
        <v>Amoxicilline</v>
      </c>
      <c r="BZ117" t="str">
        <f t="shared" si="134"/>
        <v>Acide clavulanique</v>
      </c>
      <c r="CA117" t="str">
        <f t="shared" si="135"/>
        <v/>
      </c>
      <c r="CB117" t="str">
        <f t="shared" si="136"/>
        <v>Penicillines</v>
      </c>
      <c r="CC117" t="str">
        <f t="shared" si="137"/>
        <v>Acide clavulanique</v>
      </c>
      <c r="CD117" s="63" t="str">
        <f t="shared" si="138"/>
        <v/>
      </c>
      <c r="CG117" s="42">
        <v>114</v>
      </c>
      <c r="CH117" s="42" t="e">
        <f t="shared" si="163"/>
        <v>#N/A</v>
      </c>
      <c r="CI117" s="63" t="e">
        <f t="shared" si="164"/>
        <v>#N/A</v>
      </c>
      <c r="DM117" s="63"/>
      <c r="EA117" s="194" t="str">
        <f t="shared" ca="1" si="139"/>
        <v/>
      </c>
      <c r="EB117" s="226" t="str">
        <f>IFERROR(IF(ED117=0,"",COUNTIF(ED$4:ED$600,"&gt;"&amp;ED117)+COUNTIF(ED$4:ED117,ED117)),"")</f>
        <v/>
      </c>
      <c r="EC117" t="str">
        <f t="shared" si="140"/>
        <v>CLAVOBAY SUSPENSION INJECTABLE</v>
      </c>
      <c r="ED117" t="e">
        <f>IF(IF(EL$2="Catégorie",IF(EL$3="Toutes",SUMIFS('Étape 1 - à remplir'!$F$31:$F$400,'Étape 1 - à remplir'!$E$31:$E$400,MASQ2!EC117,'Étape 1 - à remplir'!$G$31:$G$400,"kg"),SUMIFS('Étape 1 - à remplir'!$F$31:$F$400,'Étape 1 - à remplir'!$E$31:$E$400,MASQ2!EC117,'Étape 1 - à remplir'!$C$31:$C$400,EL$3)),IF(EL$2="Âge",IF(EL$3="Tous",SUMIFS('Étape 1 - à remplir'!$F$31:$F$400,'Étape 1 - à remplir'!$E$31:$E$400,MASQ2!EC117,'Étape 1 - à remplir'!$G$31:$G$400,"kg"),SUMIFS('Étape 1 - à remplir'!$F$31:$F$400,'Étape 1 - à remplir'!$E$31:$E$400,MASQ2!EC117,'Étape 1 - à remplir'!$P$31:$P$400,EL$3,'Étape 1 - à remplir'!$G$31:$G$400,"kg")),IF(EL$2="Atelier",IF(EL$3="Tous",SUMIFS('Étape 1 - à remplir'!$F$31:$F$400,'Étape 1 - à remplir'!$E$31:$E$400,MASQ2!EC117,'Étape 1 - à remplir'!$G$31:$G$400,"kg"),SUMIFS('Étape 1 - à remplir'!$F$31:$F$400,'Étape 1 - à remplir'!$E$31:$E$400,MASQ2!EC117,'Étape 1 - à remplir'!$O$31:$O$400,EL$3,'Étape 1 - à remplir'!$G$31:$G$400,"kg")),IF(EL$2="Espèce",IF(EL$3="Toutes",SUMIFS('Étape 1 - à remplir'!$F$31:$F$400,'Étape 1 - à remplir'!$E$31:$E$400,MASQ2!EC117,'Étape 1 - à remplir'!$G$31:$G$400,"kg"),SUMIFS('Étape 1 - à remplir'!$F$31:$F$400,'Étape 1 - à remplir'!$E$31:$E$400,MASQ2!EC117,'Étape 1 - à remplir'!$N$31:$N$400,EL$3,'Étape 1 - à remplir'!$G$31:$G$400,"kg"))))))=0,NA(),IF(EL$2="Catégorie",IF(EL$3="Toutes",SUMIFS('Étape 1 - à remplir'!$F$31:$F$400,'Étape 1 - à remplir'!$E$31:$E$400,MASQ2!EC117,'Étape 1 - à remplir'!$G$31:$G$400,"kg"),SUMIFS('Étape 1 - à remplir'!$F$31:$F$400,'Étape 1 - à remplir'!$E$31:$E$400,MASQ2!EC117,'Étape 1 - à remplir'!$C$31:$C$400,EL$3)),IF(EL$2="Âge",IF(EL$3="Tous",SUMIFS('Étape 1 - à remplir'!$F$31:$F$400,'Étape 1 - à remplir'!$E$31:$E$400,MASQ2!EC117,'Étape 1 - à remplir'!$G$31:$G$400,"kg"),SUMIFS('Étape 1 - à remplir'!$F$31:$F$400,'Étape 1 - à remplir'!$E$31:$E$400,MASQ2!EC117,'Étape 1 - à remplir'!$P$31:$P$400,EL$3,'Étape 1 - à remplir'!$G$31:$G$400,"kg")),IF(EL$2="Atelier",IF(EL$3="Tous",SUMIFS('Étape 1 - à remplir'!$F$31:$F$400,'Étape 1 - à remplir'!$E$31:$E$400,MASQ2!EC117,'Étape 1 - à remplir'!$G$31:$G$400,"kg"),SUMIFS('Étape 1 - à remplir'!$F$31:$F$400,'Étape 1 - à remplir'!$E$31:$E$400,MASQ2!EC117,'Étape 1 - à remplir'!$O$31:$O$400,EL$3,'Étape 1 - à remplir'!$G$31:$G$400,"kg")),IF(EL$2="Espèce",IF(EL$3="Toutes",SUMIFS('Étape 1 - à remplir'!$F$31:$F$400,'Étape 1 - à remplir'!$E$31:$E$400,MASQ2!EC117,'Étape 1 - à remplir'!$G$31:$G$400,"kg"),SUMIFS('Étape 1 - à remplir'!$F$31:$F$400,'Étape 1 - à remplir'!$E$31:$E$400,MASQ2!EC117,'Étape 1 - à remplir'!$N$31:$N$400,EL$3,'Étape 1 - à remplir'!$G$31:$G$400,"kg")))))))</f>
        <v>#N/A</v>
      </c>
      <c r="EE117" s="76">
        <f t="shared" si="150"/>
        <v>0</v>
      </c>
      <c r="EF117" t="str">
        <f t="shared" si="141"/>
        <v>Amoxicilline</v>
      </c>
      <c r="EG117" t="str">
        <f t="shared" si="142"/>
        <v>Acide clavulanique</v>
      </c>
      <c r="EH117" t="str">
        <f t="shared" si="143"/>
        <v/>
      </c>
      <c r="EI117" t="str">
        <f t="shared" si="144"/>
        <v>Penicillines</v>
      </c>
      <c r="EJ117" t="str">
        <f t="shared" si="145"/>
        <v>Acide clavulanique</v>
      </c>
      <c r="EK117" s="63" t="str">
        <f t="shared" si="146"/>
        <v/>
      </c>
      <c r="EN117" s="42">
        <v>114</v>
      </c>
      <c r="EO117" t="e">
        <f t="shared" si="152"/>
        <v>#N/A</v>
      </c>
      <c r="EP117" s="63" t="e">
        <f t="shared" si="153"/>
        <v>#N/A</v>
      </c>
      <c r="FT117" s="63"/>
    </row>
    <row r="118" spans="2:176" x14ac:dyDescent="0.3">
      <c r="B118" s="42"/>
      <c r="M118" s="194" t="str">
        <f ca="1">INDEX(Données_ATB!BD:BU,MATCH(MASQ2!O118,Données_ATB!BD:BD,0),18)</f>
        <v/>
      </c>
      <c r="N118" s="14" t="str">
        <f>IFERROR(IF(Q118=0,"",COUNTIF(Q$4:Q$600,"&gt;"&amp;Q118)+COUNTIF(Q$4:Q118,Q118)),"")</f>
        <v/>
      </c>
      <c r="O118" t="str">
        <f>Données_ATB!BD117</f>
        <v>CLOXAGEL HL 500</v>
      </c>
      <c r="P118" t="e">
        <f>IF(IF(X$2="Catégorie",IF(X$3="Toutes",SUMIFS('Étape 1 - à remplir'!$F$31:$F$400,'Étape 1 - à remplir'!$E$31:$E$400,MASQ2!O118,'Étape 1 - à remplir'!$G$31:$G$400,"animaux"),SUMIFS('Étape 1 - à remplir'!$F$31:$F$400,'Étape 1 - à remplir'!$E$31:$E$400,MASQ2!O118,'Étape 1 - à remplir'!$C$31:$C$400,X$3)),IF(X$2="Âge",IF(X$3="Tous",SUMIFS('Étape 1 - à remplir'!$F$31:$F$400,'Étape 1 - à remplir'!$E$31:$E$400,MASQ2!O118,'Étape 1 - à remplir'!$G$31:$G$400,"animaux"),SUMIFS('Étape 1 - à remplir'!$F$31:$F$400,'Étape 1 - à remplir'!$E$31:$E$400,MASQ2!O118,'Étape 1 - à remplir'!$P$31:$P$400,X$3)),IF(X$2="Atelier",IF(X$3="Tous",SUMIFS('Étape 1 - à remplir'!$F$31:$F$400,'Étape 1 - à remplir'!$E$31:$E$400,MASQ2!O118,'Étape 1 - à remplir'!$G$31:$G$400,"animaux"),SUMIFS('Étape 1 - à remplir'!$F$31:$F$400,'Étape 1 - à remplir'!$E$31:$E$400,MASQ2!O118,'Étape 1 - à remplir'!$O$31:$O$400,X$3)),IF(X$2="Espèce",IF(X$3="Toutes",SUMIFS('Étape 1 - à remplir'!$F$31:$F$400,'Étape 1 - à remplir'!$E$31:$E$400,MASQ2!O118,'Étape 1 - à remplir'!$G$31:$G$400,"animaux"),SUMIFS('Étape 1 - à remplir'!$F$31:$F$400,'Étape 1 - à remplir'!$E$31:$E$400,MASQ2!O118,'Étape 1 - à remplir'!$N$31:$N$400,X$3))))))=0,NA(),IF(X$2="Catégorie",IF(X$3="Toutes",SUMIFS('Étape 1 - à remplir'!$F$31:$F$400,'Étape 1 - à remplir'!$E$31:$E$400,MASQ2!O118,'Étape 1 - à remplir'!$G$31:$G$400,"animaux"),SUMIFS('Étape 1 - à remplir'!$F$31:$F$400,'Étape 1 - à remplir'!$E$31:$E$400,MASQ2!O118,'Étape 1 - à remplir'!$C$31:$C$400,X$3)),IF(X$2="Âge",IF(X$3="Tous",SUMIFS('Étape 1 - à remplir'!$F$31:$F$400,'Étape 1 - à remplir'!$E$31:$E$400,MASQ2!O118,'Étape 1 - à remplir'!$G$31:$G$400,"animaux"),SUMIFS('Étape 1 - à remplir'!$F$31:$F$400,'Étape 1 - à remplir'!$E$31:$E$400,MASQ2!O118,'Étape 1 - à remplir'!$P$31:$P$400,X$3)),IF(X$2="Atelier",IF(X$3="Tous",SUMIFS('Étape 1 - à remplir'!$F$31:$F$400,'Étape 1 - à remplir'!$E$31:$E$400,MASQ2!O118,'Étape 1 - à remplir'!$G$31:$G$400,"animaux"),SUMIFS('Étape 1 - à remplir'!$F$31:$F$400,'Étape 1 - à remplir'!$E$31:$E$400,MASQ2!O118,'Étape 1 - à remplir'!$O$31:$O$400,X$3)),IF(X$2="Espèce",IF(X$3="Toutes",SUMIFS('Étape 1 - à remplir'!$F$31:$F$400,'Étape 1 - à remplir'!$E$31:$E$400,MASQ2!O118,'Étape 1 - à remplir'!$G$31:$G$400,"animaux"),SUMIFS('Étape 1 - à remplir'!$F$31:$F$400,'Étape 1 - à remplir'!$E$31:$E$400,MASQ2!O118,'Étape 1 - à remplir'!$N$31:$N$400,X$3)))))))</f>
        <v>#N/A</v>
      </c>
      <c r="Q118" s="63">
        <f t="shared" si="151"/>
        <v>0</v>
      </c>
      <c r="R118" t="str">
        <f>Données_ATB!BM117</f>
        <v>Cloxacilline</v>
      </c>
      <c r="S118" t="str">
        <f>Données_ATB!BN117</f>
        <v>Néomycine</v>
      </c>
      <c r="T118" s="63" t="str">
        <f>Données_ATB!BO117</f>
        <v/>
      </c>
      <c r="U118" s="42" t="str">
        <f>Données_ATB!BQ117</f>
        <v>Penicillines</v>
      </c>
      <c r="V118" t="str">
        <f>Données_ATB!BR117</f>
        <v>Aminoglycosides</v>
      </c>
      <c r="W118" s="63" t="str">
        <f>Données_ATB!BS117</f>
        <v/>
      </c>
      <c r="Z118" s="42">
        <v>115</v>
      </c>
      <c r="AA118" t="e">
        <f t="shared" si="147"/>
        <v>#N/A</v>
      </c>
      <c r="AB118" s="63" t="e">
        <f t="shared" si="148"/>
        <v>#N/A</v>
      </c>
      <c r="BF118" s="63"/>
      <c r="BT118" s="194" t="str">
        <f t="shared" ca="1" si="131"/>
        <v/>
      </c>
      <c r="BU118" s="219" t="str">
        <f>IFERROR(IF(BX118=0,"",COUNTIF(BX$4:BX$600,"&gt;"&amp;BX118)+COUNTIF(BX$4:BX118,BX118)),"")</f>
        <v/>
      </c>
      <c r="BV118" s="42" t="str">
        <f t="shared" si="132"/>
        <v>CLOXAGEL HL 500</v>
      </c>
      <c r="BW118" t="e">
        <f>IF(IF(CE$2="Catégorie",IF(CE$3="Toutes",SUMIFS('Étape 1 - à remplir'!$F$31:$F$400,'Étape 1 - à remplir'!$E$31:$E$400,MASQ2!BV118,'Étape 1 - à remplir'!$G$31:$G$400,"lots"),SUMIFS('Étape 1 - à remplir'!$F$31:$F$400,'Étape 1 - à remplir'!$E$31:$E$400,MASQ2!BV118,'Étape 1 - à remplir'!$C$31:$C$400,CE$3)),IF(CE$2="Âge",IF(CE$3="Tous",SUMIFS('Étape 1 - à remplir'!$F$31:$F$400,'Étape 1 - à remplir'!$E$31:$E$400,MASQ2!BV118,'Étape 1 - à remplir'!$G$31:$G$400,"lots"),SUMIFS('Étape 1 - à remplir'!$F$31:$F$400,'Étape 1 - à remplir'!$E$31:$E$400,MASQ2!BV118,'Étape 1 - à remplir'!$P$31:$P$400,CE$3,'Étape 1 - à remplir'!$G$31:$G$400,"lots")),IF(CE$2="Atelier",IF(CE$3="Tous",SUMIFS('Étape 1 - à remplir'!$F$31:$F$400,'Étape 1 - à remplir'!$E$31:$E$400,MASQ2!BV118,'Étape 1 - à remplir'!$G$31:$G$400,"lots"),SUMIFS('Étape 1 - à remplir'!$F$31:$F$400,'Étape 1 - à remplir'!$E$31:$E$400,MASQ2!BV118,'Étape 1 - à remplir'!$O$31:$O$400,CE$3,'Étape 1 - à remplir'!$G$31:$G$400,"lots")),IF(CE$2="Espèce",IF(CE$3="Toutes",SUMIFS('Étape 1 - à remplir'!$F$31:$F$400,'Étape 1 - à remplir'!$E$31:$E$400,MASQ2!BV118,'Étape 1 - à remplir'!$G$31:$G$400,"lots"),SUMIFS('Étape 1 - à remplir'!$F$31:$F$400,'Étape 1 - à remplir'!$E$31:$E$400,MASQ2!BV118,'Étape 1 - à remplir'!$N$31:$N$400,CE$3,'Étape 1 - à remplir'!$G$31:$G$400,"lots"))))))=0,NA(),IF(CE$2="Catégorie",IF(CE$3="Toutes",SUMIFS('Étape 1 - à remplir'!$F$31:$F$400,'Étape 1 - à remplir'!$E$31:$E$400,MASQ2!BV118,'Étape 1 - à remplir'!$G$31:$G$400,"lots"),SUMIFS('Étape 1 - à remplir'!$F$31:$F$400,'Étape 1 - à remplir'!$E$31:$E$400,MASQ2!BV118,'Étape 1 - à remplir'!$C$31:$C$400,CE$3)),IF(CE$2="Âge",IF(CE$3="Tous",SUMIFS('Étape 1 - à remplir'!$F$31:$F$400,'Étape 1 - à remplir'!$E$31:$E$400,MASQ2!BV118,'Étape 1 - à remplir'!$G$31:$G$400,"lots"),SUMIFS('Étape 1 - à remplir'!$F$31:$F$400,'Étape 1 - à remplir'!$E$31:$E$400,MASQ2!BV118,'Étape 1 - à remplir'!$P$31:$P$400,CE$3,'Étape 1 - à remplir'!$G$31:$G$400,"lots")),IF(CE$2="Atelier",IF(CE$3="Tous",SUMIFS('Étape 1 - à remplir'!$F$31:$F$400,'Étape 1 - à remplir'!$E$31:$E$400,MASQ2!BV118,'Étape 1 - à remplir'!$G$31:$G$400,"lots"),SUMIFS('Étape 1 - à remplir'!$F$31:$F$400,'Étape 1 - à remplir'!$E$31:$E$400,MASQ2!BV118,'Étape 1 - à remplir'!$O$31:$O$400,CE$3,'Étape 1 - à remplir'!$G$31:$G$400,"lots")),IF(CE$2="Espèce",IF(CE$3="Toutes",SUMIFS('Étape 1 - à remplir'!$F$31:$F$400,'Étape 1 - à remplir'!$E$31:$E$400,MASQ2!BV118,'Étape 1 - à remplir'!$G$31:$G$400,"lots"),SUMIFS('Étape 1 - à remplir'!$F$31:$F$400,'Étape 1 - à remplir'!$E$31:$E$400,MASQ2!BV118,'Étape 1 - à remplir'!$N$31:$N$400,CE$3,'Étape 1 - à remplir'!$G$31:$G$400,"lots")))))))</f>
        <v>#N/A</v>
      </c>
      <c r="BX118">
        <f t="shared" si="149"/>
        <v>0</v>
      </c>
      <c r="BY118" t="str">
        <f t="shared" si="133"/>
        <v>Cloxacilline</v>
      </c>
      <c r="BZ118" t="str">
        <f t="shared" si="134"/>
        <v>Néomycine</v>
      </c>
      <c r="CA118" t="str">
        <f t="shared" si="135"/>
        <v/>
      </c>
      <c r="CB118" t="str">
        <f t="shared" si="136"/>
        <v>Penicillines</v>
      </c>
      <c r="CC118" t="str">
        <f t="shared" si="137"/>
        <v>Aminoglycosides</v>
      </c>
      <c r="CD118" s="63" t="str">
        <f t="shared" si="138"/>
        <v/>
      </c>
      <c r="CG118" s="42">
        <v>115</v>
      </c>
      <c r="CH118" s="42" t="e">
        <f t="shared" si="163"/>
        <v>#N/A</v>
      </c>
      <c r="CI118" s="63" t="e">
        <f t="shared" si="164"/>
        <v>#N/A</v>
      </c>
      <c r="DM118" s="63"/>
      <c r="EA118" s="194" t="str">
        <f t="shared" ca="1" si="139"/>
        <v/>
      </c>
      <c r="EB118" s="226" t="str">
        <f>IFERROR(IF(ED118=0,"",COUNTIF(ED$4:ED$600,"&gt;"&amp;ED118)+COUNTIF(ED$4:ED118,ED118)),"")</f>
        <v/>
      </c>
      <c r="EC118" t="str">
        <f t="shared" si="140"/>
        <v>CLOXAGEL HL 500</v>
      </c>
      <c r="ED118" t="e">
        <f>IF(IF(EL$2="Catégorie",IF(EL$3="Toutes",SUMIFS('Étape 1 - à remplir'!$F$31:$F$400,'Étape 1 - à remplir'!$E$31:$E$400,MASQ2!EC118,'Étape 1 - à remplir'!$G$31:$G$400,"kg"),SUMIFS('Étape 1 - à remplir'!$F$31:$F$400,'Étape 1 - à remplir'!$E$31:$E$400,MASQ2!EC118,'Étape 1 - à remplir'!$C$31:$C$400,EL$3)),IF(EL$2="Âge",IF(EL$3="Tous",SUMIFS('Étape 1 - à remplir'!$F$31:$F$400,'Étape 1 - à remplir'!$E$31:$E$400,MASQ2!EC118,'Étape 1 - à remplir'!$G$31:$G$400,"kg"),SUMIFS('Étape 1 - à remplir'!$F$31:$F$400,'Étape 1 - à remplir'!$E$31:$E$400,MASQ2!EC118,'Étape 1 - à remplir'!$P$31:$P$400,EL$3,'Étape 1 - à remplir'!$G$31:$G$400,"kg")),IF(EL$2="Atelier",IF(EL$3="Tous",SUMIFS('Étape 1 - à remplir'!$F$31:$F$400,'Étape 1 - à remplir'!$E$31:$E$400,MASQ2!EC118,'Étape 1 - à remplir'!$G$31:$G$400,"kg"),SUMIFS('Étape 1 - à remplir'!$F$31:$F$400,'Étape 1 - à remplir'!$E$31:$E$400,MASQ2!EC118,'Étape 1 - à remplir'!$O$31:$O$400,EL$3,'Étape 1 - à remplir'!$G$31:$G$400,"kg")),IF(EL$2="Espèce",IF(EL$3="Toutes",SUMIFS('Étape 1 - à remplir'!$F$31:$F$400,'Étape 1 - à remplir'!$E$31:$E$400,MASQ2!EC118,'Étape 1 - à remplir'!$G$31:$G$400,"kg"),SUMIFS('Étape 1 - à remplir'!$F$31:$F$400,'Étape 1 - à remplir'!$E$31:$E$400,MASQ2!EC118,'Étape 1 - à remplir'!$N$31:$N$400,EL$3,'Étape 1 - à remplir'!$G$31:$G$400,"kg"))))))=0,NA(),IF(EL$2="Catégorie",IF(EL$3="Toutes",SUMIFS('Étape 1 - à remplir'!$F$31:$F$400,'Étape 1 - à remplir'!$E$31:$E$400,MASQ2!EC118,'Étape 1 - à remplir'!$G$31:$G$400,"kg"),SUMIFS('Étape 1 - à remplir'!$F$31:$F$400,'Étape 1 - à remplir'!$E$31:$E$400,MASQ2!EC118,'Étape 1 - à remplir'!$C$31:$C$400,EL$3)),IF(EL$2="Âge",IF(EL$3="Tous",SUMIFS('Étape 1 - à remplir'!$F$31:$F$400,'Étape 1 - à remplir'!$E$31:$E$400,MASQ2!EC118,'Étape 1 - à remplir'!$G$31:$G$400,"kg"),SUMIFS('Étape 1 - à remplir'!$F$31:$F$400,'Étape 1 - à remplir'!$E$31:$E$400,MASQ2!EC118,'Étape 1 - à remplir'!$P$31:$P$400,EL$3,'Étape 1 - à remplir'!$G$31:$G$400,"kg")),IF(EL$2="Atelier",IF(EL$3="Tous",SUMIFS('Étape 1 - à remplir'!$F$31:$F$400,'Étape 1 - à remplir'!$E$31:$E$400,MASQ2!EC118,'Étape 1 - à remplir'!$G$31:$G$400,"kg"),SUMIFS('Étape 1 - à remplir'!$F$31:$F$400,'Étape 1 - à remplir'!$E$31:$E$400,MASQ2!EC118,'Étape 1 - à remplir'!$O$31:$O$400,EL$3,'Étape 1 - à remplir'!$G$31:$G$400,"kg")),IF(EL$2="Espèce",IF(EL$3="Toutes",SUMIFS('Étape 1 - à remplir'!$F$31:$F$400,'Étape 1 - à remplir'!$E$31:$E$400,MASQ2!EC118,'Étape 1 - à remplir'!$G$31:$G$400,"kg"),SUMIFS('Étape 1 - à remplir'!$F$31:$F$400,'Étape 1 - à remplir'!$E$31:$E$400,MASQ2!EC118,'Étape 1 - à remplir'!$N$31:$N$400,EL$3,'Étape 1 - à remplir'!$G$31:$G$400,"kg")))))))</f>
        <v>#N/A</v>
      </c>
      <c r="EE118" s="76">
        <f t="shared" si="150"/>
        <v>0</v>
      </c>
      <c r="EF118" t="str">
        <f t="shared" si="141"/>
        <v>Cloxacilline</v>
      </c>
      <c r="EG118" t="str">
        <f t="shared" si="142"/>
        <v>Néomycine</v>
      </c>
      <c r="EH118" t="str">
        <f t="shared" si="143"/>
        <v/>
      </c>
      <c r="EI118" t="str">
        <f t="shared" si="144"/>
        <v>Penicillines</v>
      </c>
      <c r="EJ118" t="str">
        <f t="shared" si="145"/>
        <v>Aminoglycosides</v>
      </c>
      <c r="EK118" s="63" t="str">
        <f t="shared" si="146"/>
        <v/>
      </c>
      <c r="EN118" s="42">
        <v>115</v>
      </c>
      <c r="EO118" t="e">
        <f t="shared" si="152"/>
        <v>#N/A</v>
      </c>
      <c r="EP118" s="63" t="e">
        <f t="shared" si="153"/>
        <v>#N/A</v>
      </c>
      <c r="FT118" s="63"/>
    </row>
    <row r="119" spans="2:176" x14ac:dyDescent="0.3">
      <c r="B119" s="42"/>
      <c r="M119" s="194" t="str">
        <f ca="1">INDEX(Données_ATB!BD:BU,MATCH(MASQ2!O119,Données_ATB!BD:BD,0),18)</f>
        <v/>
      </c>
      <c r="N119" s="14" t="str">
        <f>IFERROR(IF(Q119=0,"",COUNTIF(Q$4:Q$600,"&gt;"&amp;Q119)+COUNTIF(Q$4:Q119,Q119)),"")</f>
        <v/>
      </c>
      <c r="O119" t="str">
        <f>Données_ATB!BD118</f>
        <v>CLOXAMAM</v>
      </c>
      <c r="P119" t="e">
        <f>IF(IF(X$2="Catégorie",IF(X$3="Toutes",SUMIFS('Étape 1 - à remplir'!$F$31:$F$400,'Étape 1 - à remplir'!$E$31:$E$400,MASQ2!O119,'Étape 1 - à remplir'!$G$31:$G$400,"animaux"),SUMIFS('Étape 1 - à remplir'!$F$31:$F$400,'Étape 1 - à remplir'!$E$31:$E$400,MASQ2!O119,'Étape 1 - à remplir'!$C$31:$C$400,X$3)),IF(X$2="Âge",IF(X$3="Tous",SUMIFS('Étape 1 - à remplir'!$F$31:$F$400,'Étape 1 - à remplir'!$E$31:$E$400,MASQ2!O119,'Étape 1 - à remplir'!$G$31:$G$400,"animaux"),SUMIFS('Étape 1 - à remplir'!$F$31:$F$400,'Étape 1 - à remplir'!$E$31:$E$400,MASQ2!O119,'Étape 1 - à remplir'!$P$31:$P$400,X$3)),IF(X$2="Atelier",IF(X$3="Tous",SUMIFS('Étape 1 - à remplir'!$F$31:$F$400,'Étape 1 - à remplir'!$E$31:$E$400,MASQ2!O119,'Étape 1 - à remplir'!$G$31:$G$400,"animaux"),SUMIFS('Étape 1 - à remplir'!$F$31:$F$400,'Étape 1 - à remplir'!$E$31:$E$400,MASQ2!O119,'Étape 1 - à remplir'!$O$31:$O$400,X$3)),IF(X$2="Espèce",IF(X$3="Toutes",SUMIFS('Étape 1 - à remplir'!$F$31:$F$400,'Étape 1 - à remplir'!$E$31:$E$400,MASQ2!O119,'Étape 1 - à remplir'!$G$31:$G$400,"animaux"),SUMIFS('Étape 1 - à remplir'!$F$31:$F$400,'Étape 1 - à remplir'!$E$31:$E$400,MASQ2!O119,'Étape 1 - à remplir'!$N$31:$N$400,X$3))))))=0,NA(),IF(X$2="Catégorie",IF(X$3="Toutes",SUMIFS('Étape 1 - à remplir'!$F$31:$F$400,'Étape 1 - à remplir'!$E$31:$E$400,MASQ2!O119,'Étape 1 - à remplir'!$G$31:$G$400,"animaux"),SUMIFS('Étape 1 - à remplir'!$F$31:$F$400,'Étape 1 - à remplir'!$E$31:$E$400,MASQ2!O119,'Étape 1 - à remplir'!$C$31:$C$400,X$3)),IF(X$2="Âge",IF(X$3="Tous",SUMIFS('Étape 1 - à remplir'!$F$31:$F$400,'Étape 1 - à remplir'!$E$31:$E$400,MASQ2!O119,'Étape 1 - à remplir'!$G$31:$G$400,"animaux"),SUMIFS('Étape 1 - à remplir'!$F$31:$F$400,'Étape 1 - à remplir'!$E$31:$E$400,MASQ2!O119,'Étape 1 - à remplir'!$P$31:$P$400,X$3)),IF(X$2="Atelier",IF(X$3="Tous",SUMIFS('Étape 1 - à remplir'!$F$31:$F$400,'Étape 1 - à remplir'!$E$31:$E$400,MASQ2!O119,'Étape 1 - à remplir'!$G$31:$G$400,"animaux"),SUMIFS('Étape 1 - à remplir'!$F$31:$F$400,'Étape 1 - à remplir'!$E$31:$E$400,MASQ2!O119,'Étape 1 - à remplir'!$O$31:$O$400,X$3)),IF(X$2="Espèce",IF(X$3="Toutes",SUMIFS('Étape 1 - à remplir'!$F$31:$F$400,'Étape 1 - à remplir'!$E$31:$E$400,MASQ2!O119,'Étape 1 - à remplir'!$G$31:$G$400,"animaux"),SUMIFS('Étape 1 - à remplir'!$F$31:$F$400,'Étape 1 - à remplir'!$E$31:$E$400,MASQ2!O119,'Étape 1 - à remplir'!$N$31:$N$400,X$3)))))))</f>
        <v>#N/A</v>
      </c>
      <c r="Q119" s="63">
        <f t="shared" si="151"/>
        <v>0</v>
      </c>
      <c r="R119" t="str">
        <f>Données_ATB!BM118</f>
        <v>Cloxacilline</v>
      </c>
      <c r="S119" t="str">
        <f>Données_ATB!BN118</f>
        <v/>
      </c>
      <c r="T119" s="63" t="str">
        <f>Données_ATB!BO118</f>
        <v/>
      </c>
      <c r="U119" s="42" t="str">
        <f>Données_ATB!BQ118</f>
        <v>Penicillines</v>
      </c>
      <c r="V119" t="str">
        <f>Données_ATB!BR118</f>
        <v/>
      </c>
      <c r="W119" s="63" t="str">
        <f>Données_ATB!BS118</f>
        <v/>
      </c>
      <c r="Z119" s="42">
        <v>116</v>
      </c>
      <c r="AA119" t="e">
        <f t="shared" si="147"/>
        <v>#N/A</v>
      </c>
      <c r="AB119" s="63" t="e">
        <f t="shared" si="148"/>
        <v>#N/A</v>
      </c>
      <c r="BF119" s="63"/>
      <c r="BT119" s="194" t="str">
        <f t="shared" ca="1" si="131"/>
        <v/>
      </c>
      <c r="BU119" s="219" t="str">
        <f>IFERROR(IF(BX119=0,"",COUNTIF(BX$4:BX$600,"&gt;"&amp;BX119)+COUNTIF(BX$4:BX119,BX119)),"")</f>
        <v/>
      </c>
      <c r="BV119" s="42" t="str">
        <f t="shared" si="132"/>
        <v>CLOXAMAM</v>
      </c>
      <c r="BW119" t="e">
        <f>IF(IF(CE$2="Catégorie",IF(CE$3="Toutes",SUMIFS('Étape 1 - à remplir'!$F$31:$F$400,'Étape 1 - à remplir'!$E$31:$E$400,MASQ2!BV119,'Étape 1 - à remplir'!$G$31:$G$400,"lots"),SUMIFS('Étape 1 - à remplir'!$F$31:$F$400,'Étape 1 - à remplir'!$E$31:$E$400,MASQ2!BV119,'Étape 1 - à remplir'!$C$31:$C$400,CE$3)),IF(CE$2="Âge",IF(CE$3="Tous",SUMIFS('Étape 1 - à remplir'!$F$31:$F$400,'Étape 1 - à remplir'!$E$31:$E$400,MASQ2!BV119,'Étape 1 - à remplir'!$G$31:$G$400,"lots"),SUMIFS('Étape 1 - à remplir'!$F$31:$F$400,'Étape 1 - à remplir'!$E$31:$E$400,MASQ2!BV119,'Étape 1 - à remplir'!$P$31:$P$400,CE$3,'Étape 1 - à remplir'!$G$31:$G$400,"lots")),IF(CE$2="Atelier",IF(CE$3="Tous",SUMIFS('Étape 1 - à remplir'!$F$31:$F$400,'Étape 1 - à remplir'!$E$31:$E$400,MASQ2!BV119,'Étape 1 - à remplir'!$G$31:$G$400,"lots"),SUMIFS('Étape 1 - à remplir'!$F$31:$F$400,'Étape 1 - à remplir'!$E$31:$E$400,MASQ2!BV119,'Étape 1 - à remplir'!$O$31:$O$400,CE$3,'Étape 1 - à remplir'!$G$31:$G$400,"lots")),IF(CE$2="Espèce",IF(CE$3="Toutes",SUMIFS('Étape 1 - à remplir'!$F$31:$F$400,'Étape 1 - à remplir'!$E$31:$E$400,MASQ2!BV119,'Étape 1 - à remplir'!$G$31:$G$400,"lots"),SUMIFS('Étape 1 - à remplir'!$F$31:$F$400,'Étape 1 - à remplir'!$E$31:$E$400,MASQ2!BV119,'Étape 1 - à remplir'!$N$31:$N$400,CE$3,'Étape 1 - à remplir'!$G$31:$G$400,"lots"))))))=0,NA(),IF(CE$2="Catégorie",IF(CE$3="Toutes",SUMIFS('Étape 1 - à remplir'!$F$31:$F$400,'Étape 1 - à remplir'!$E$31:$E$400,MASQ2!BV119,'Étape 1 - à remplir'!$G$31:$G$400,"lots"),SUMIFS('Étape 1 - à remplir'!$F$31:$F$400,'Étape 1 - à remplir'!$E$31:$E$400,MASQ2!BV119,'Étape 1 - à remplir'!$C$31:$C$400,CE$3)),IF(CE$2="Âge",IF(CE$3="Tous",SUMIFS('Étape 1 - à remplir'!$F$31:$F$400,'Étape 1 - à remplir'!$E$31:$E$400,MASQ2!BV119,'Étape 1 - à remplir'!$G$31:$G$400,"lots"),SUMIFS('Étape 1 - à remplir'!$F$31:$F$400,'Étape 1 - à remplir'!$E$31:$E$400,MASQ2!BV119,'Étape 1 - à remplir'!$P$31:$P$400,CE$3,'Étape 1 - à remplir'!$G$31:$G$400,"lots")),IF(CE$2="Atelier",IF(CE$3="Tous",SUMIFS('Étape 1 - à remplir'!$F$31:$F$400,'Étape 1 - à remplir'!$E$31:$E$400,MASQ2!BV119,'Étape 1 - à remplir'!$G$31:$G$400,"lots"),SUMIFS('Étape 1 - à remplir'!$F$31:$F$400,'Étape 1 - à remplir'!$E$31:$E$400,MASQ2!BV119,'Étape 1 - à remplir'!$O$31:$O$400,CE$3,'Étape 1 - à remplir'!$G$31:$G$400,"lots")),IF(CE$2="Espèce",IF(CE$3="Toutes",SUMIFS('Étape 1 - à remplir'!$F$31:$F$400,'Étape 1 - à remplir'!$E$31:$E$400,MASQ2!BV119,'Étape 1 - à remplir'!$G$31:$G$400,"lots"),SUMIFS('Étape 1 - à remplir'!$F$31:$F$400,'Étape 1 - à remplir'!$E$31:$E$400,MASQ2!BV119,'Étape 1 - à remplir'!$N$31:$N$400,CE$3,'Étape 1 - à remplir'!$G$31:$G$400,"lots")))))))</f>
        <v>#N/A</v>
      </c>
      <c r="BX119">
        <f t="shared" si="149"/>
        <v>0</v>
      </c>
      <c r="BY119" t="str">
        <f t="shared" si="133"/>
        <v>Cloxacilline</v>
      </c>
      <c r="BZ119" t="str">
        <f t="shared" si="134"/>
        <v/>
      </c>
      <c r="CA119" t="str">
        <f t="shared" si="135"/>
        <v/>
      </c>
      <c r="CB119" t="str">
        <f t="shared" si="136"/>
        <v>Penicillines</v>
      </c>
      <c r="CC119" t="str">
        <f t="shared" si="137"/>
        <v/>
      </c>
      <c r="CD119" s="63" t="str">
        <f t="shared" si="138"/>
        <v/>
      </c>
      <c r="CG119" s="42">
        <v>116</v>
      </c>
      <c r="CH119" s="42" t="e">
        <f t="shared" si="163"/>
        <v>#N/A</v>
      </c>
      <c r="CI119" s="63" t="e">
        <f t="shared" si="164"/>
        <v>#N/A</v>
      </c>
      <c r="DM119" s="63"/>
      <c r="EA119" s="194" t="str">
        <f t="shared" ca="1" si="139"/>
        <v/>
      </c>
      <c r="EB119" s="226" t="str">
        <f>IFERROR(IF(ED119=0,"",COUNTIF(ED$4:ED$600,"&gt;"&amp;ED119)+COUNTIF(ED$4:ED119,ED119)),"")</f>
        <v/>
      </c>
      <c r="EC119" t="str">
        <f t="shared" si="140"/>
        <v>CLOXAMAM</v>
      </c>
      <c r="ED119" t="e">
        <f>IF(IF(EL$2="Catégorie",IF(EL$3="Toutes",SUMIFS('Étape 1 - à remplir'!$F$31:$F$400,'Étape 1 - à remplir'!$E$31:$E$400,MASQ2!EC119,'Étape 1 - à remplir'!$G$31:$G$400,"kg"),SUMIFS('Étape 1 - à remplir'!$F$31:$F$400,'Étape 1 - à remplir'!$E$31:$E$400,MASQ2!EC119,'Étape 1 - à remplir'!$C$31:$C$400,EL$3)),IF(EL$2="Âge",IF(EL$3="Tous",SUMIFS('Étape 1 - à remplir'!$F$31:$F$400,'Étape 1 - à remplir'!$E$31:$E$400,MASQ2!EC119,'Étape 1 - à remplir'!$G$31:$G$400,"kg"),SUMIFS('Étape 1 - à remplir'!$F$31:$F$400,'Étape 1 - à remplir'!$E$31:$E$400,MASQ2!EC119,'Étape 1 - à remplir'!$P$31:$P$400,EL$3,'Étape 1 - à remplir'!$G$31:$G$400,"kg")),IF(EL$2="Atelier",IF(EL$3="Tous",SUMIFS('Étape 1 - à remplir'!$F$31:$F$400,'Étape 1 - à remplir'!$E$31:$E$400,MASQ2!EC119,'Étape 1 - à remplir'!$G$31:$G$400,"kg"),SUMIFS('Étape 1 - à remplir'!$F$31:$F$400,'Étape 1 - à remplir'!$E$31:$E$400,MASQ2!EC119,'Étape 1 - à remplir'!$O$31:$O$400,EL$3,'Étape 1 - à remplir'!$G$31:$G$400,"kg")),IF(EL$2="Espèce",IF(EL$3="Toutes",SUMIFS('Étape 1 - à remplir'!$F$31:$F$400,'Étape 1 - à remplir'!$E$31:$E$400,MASQ2!EC119,'Étape 1 - à remplir'!$G$31:$G$400,"kg"),SUMIFS('Étape 1 - à remplir'!$F$31:$F$400,'Étape 1 - à remplir'!$E$31:$E$400,MASQ2!EC119,'Étape 1 - à remplir'!$N$31:$N$400,EL$3,'Étape 1 - à remplir'!$G$31:$G$400,"kg"))))))=0,NA(),IF(EL$2="Catégorie",IF(EL$3="Toutes",SUMIFS('Étape 1 - à remplir'!$F$31:$F$400,'Étape 1 - à remplir'!$E$31:$E$400,MASQ2!EC119,'Étape 1 - à remplir'!$G$31:$G$400,"kg"),SUMIFS('Étape 1 - à remplir'!$F$31:$F$400,'Étape 1 - à remplir'!$E$31:$E$400,MASQ2!EC119,'Étape 1 - à remplir'!$C$31:$C$400,EL$3)),IF(EL$2="Âge",IF(EL$3="Tous",SUMIFS('Étape 1 - à remplir'!$F$31:$F$400,'Étape 1 - à remplir'!$E$31:$E$400,MASQ2!EC119,'Étape 1 - à remplir'!$G$31:$G$400,"kg"),SUMIFS('Étape 1 - à remplir'!$F$31:$F$400,'Étape 1 - à remplir'!$E$31:$E$400,MASQ2!EC119,'Étape 1 - à remplir'!$P$31:$P$400,EL$3,'Étape 1 - à remplir'!$G$31:$G$400,"kg")),IF(EL$2="Atelier",IF(EL$3="Tous",SUMIFS('Étape 1 - à remplir'!$F$31:$F$400,'Étape 1 - à remplir'!$E$31:$E$400,MASQ2!EC119,'Étape 1 - à remplir'!$G$31:$G$400,"kg"),SUMIFS('Étape 1 - à remplir'!$F$31:$F$400,'Étape 1 - à remplir'!$E$31:$E$400,MASQ2!EC119,'Étape 1 - à remplir'!$O$31:$O$400,EL$3,'Étape 1 - à remplir'!$G$31:$G$400,"kg")),IF(EL$2="Espèce",IF(EL$3="Toutes",SUMIFS('Étape 1 - à remplir'!$F$31:$F$400,'Étape 1 - à remplir'!$E$31:$E$400,MASQ2!EC119,'Étape 1 - à remplir'!$G$31:$G$400,"kg"),SUMIFS('Étape 1 - à remplir'!$F$31:$F$400,'Étape 1 - à remplir'!$E$31:$E$400,MASQ2!EC119,'Étape 1 - à remplir'!$N$31:$N$400,EL$3,'Étape 1 - à remplir'!$G$31:$G$400,"kg")))))))</f>
        <v>#N/A</v>
      </c>
      <c r="EE119" s="76">
        <f t="shared" si="150"/>
        <v>0</v>
      </c>
      <c r="EF119" t="str">
        <f t="shared" si="141"/>
        <v>Cloxacilline</v>
      </c>
      <c r="EG119" t="str">
        <f t="shared" si="142"/>
        <v/>
      </c>
      <c r="EH119" t="str">
        <f t="shared" si="143"/>
        <v/>
      </c>
      <c r="EI119" t="str">
        <f t="shared" si="144"/>
        <v>Penicillines</v>
      </c>
      <c r="EJ119" t="str">
        <f t="shared" si="145"/>
        <v/>
      </c>
      <c r="EK119" s="63" t="str">
        <f t="shared" si="146"/>
        <v/>
      </c>
      <c r="EN119" s="42">
        <v>116</v>
      </c>
      <c r="EO119" t="e">
        <f t="shared" si="152"/>
        <v>#N/A</v>
      </c>
      <c r="EP119" s="63" t="e">
        <f t="shared" si="153"/>
        <v>#N/A</v>
      </c>
      <c r="FT119" s="63"/>
    </row>
    <row r="120" spans="2:176" x14ac:dyDescent="0.3">
      <c r="B120" s="42"/>
      <c r="M120" s="194" t="str">
        <f ca="1">INDEX(Données_ATB!BD:BU,MATCH(MASQ2!O120,Données_ATB!BD:BD,0),18)</f>
        <v/>
      </c>
      <c r="N120" s="14" t="str">
        <f>IFERROR(IF(Q120=0,"",COUNTIF(Q$4:Q$600,"&gt;"&amp;Q120)+COUNTIF(Q$4:Q120,Q120)),"")</f>
        <v/>
      </c>
      <c r="O120" t="str">
        <f>Données_ATB!BD119</f>
        <v>CLOXINE HL</v>
      </c>
      <c r="P120" t="e">
        <f>IF(IF(X$2="Catégorie",IF(X$3="Toutes",SUMIFS('Étape 1 - à remplir'!$F$31:$F$400,'Étape 1 - à remplir'!$E$31:$E$400,MASQ2!O120,'Étape 1 - à remplir'!$G$31:$G$400,"animaux"),SUMIFS('Étape 1 - à remplir'!$F$31:$F$400,'Étape 1 - à remplir'!$E$31:$E$400,MASQ2!O120,'Étape 1 - à remplir'!$C$31:$C$400,X$3)),IF(X$2="Âge",IF(X$3="Tous",SUMIFS('Étape 1 - à remplir'!$F$31:$F$400,'Étape 1 - à remplir'!$E$31:$E$400,MASQ2!O120,'Étape 1 - à remplir'!$G$31:$G$400,"animaux"),SUMIFS('Étape 1 - à remplir'!$F$31:$F$400,'Étape 1 - à remplir'!$E$31:$E$400,MASQ2!O120,'Étape 1 - à remplir'!$P$31:$P$400,X$3)),IF(X$2="Atelier",IF(X$3="Tous",SUMIFS('Étape 1 - à remplir'!$F$31:$F$400,'Étape 1 - à remplir'!$E$31:$E$400,MASQ2!O120,'Étape 1 - à remplir'!$G$31:$G$400,"animaux"),SUMIFS('Étape 1 - à remplir'!$F$31:$F$400,'Étape 1 - à remplir'!$E$31:$E$400,MASQ2!O120,'Étape 1 - à remplir'!$O$31:$O$400,X$3)),IF(X$2="Espèce",IF(X$3="Toutes",SUMIFS('Étape 1 - à remplir'!$F$31:$F$400,'Étape 1 - à remplir'!$E$31:$E$400,MASQ2!O120,'Étape 1 - à remplir'!$G$31:$G$400,"animaux"),SUMIFS('Étape 1 - à remplir'!$F$31:$F$400,'Étape 1 - à remplir'!$E$31:$E$400,MASQ2!O120,'Étape 1 - à remplir'!$N$31:$N$400,X$3))))))=0,NA(),IF(X$2="Catégorie",IF(X$3="Toutes",SUMIFS('Étape 1 - à remplir'!$F$31:$F$400,'Étape 1 - à remplir'!$E$31:$E$400,MASQ2!O120,'Étape 1 - à remplir'!$G$31:$G$400,"animaux"),SUMIFS('Étape 1 - à remplir'!$F$31:$F$400,'Étape 1 - à remplir'!$E$31:$E$400,MASQ2!O120,'Étape 1 - à remplir'!$C$31:$C$400,X$3)),IF(X$2="Âge",IF(X$3="Tous",SUMIFS('Étape 1 - à remplir'!$F$31:$F$400,'Étape 1 - à remplir'!$E$31:$E$400,MASQ2!O120,'Étape 1 - à remplir'!$G$31:$G$400,"animaux"),SUMIFS('Étape 1 - à remplir'!$F$31:$F$400,'Étape 1 - à remplir'!$E$31:$E$400,MASQ2!O120,'Étape 1 - à remplir'!$P$31:$P$400,X$3)),IF(X$2="Atelier",IF(X$3="Tous",SUMIFS('Étape 1 - à remplir'!$F$31:$F$400,'Étape 1 - à remplir'!$E$31:$E$400,MASQ2!O120,'Étape 1 - à remplir'!$G$31:$G$400,"animaux"),SUMIFS('Étape 1 - à remplir'!$F$31:$F$400,'Étape 1 - à remplir'!$E$31:$E$400,MASQ2!O120,'Étape 1 - à remplir'!$O$31:$O$400,X$3)),IF(X$2="Espèce",IF(X$3="Toutes",SUMIFS('Étape 1 - à remplir'!$F$31:$F$400,'Étape 1 - à remplir'!$E$31:$E$400,MASQ2!O120,'Étape 1 - à remplir'!$G$31:$G$400,"animaux"),SUMIFS('Étape 1 - à remplir'!$F$31:$F$400,'Étape 1 - à remplir'!$E$31:$E$400,MASQ2!O120,'Étape 1 - à remplir'!$N$31:$N$400,X$3)))))))</f>
        <v>#N/A</v>
      </c>
      <c r="Q120" s="63">
        <f t="shared" si="151"/>
        <v>0</v>
      </c>
      <c r="R120" t="str">
        <f>Données_ATB!BM119</f>
        <v>Cloxacilline</v>
      </c>
      <c r="S120" t="str">
        <f>Données_ATB!BN119</f>
        <v/>
      </c>
      <c r="T120" s="63" t="str">
        <f>Données_ATB!BO119</f>
        <v/>
      </c>
      <c r="U120" s="42" t="str">
        <f>Données_ATB!BQ119</f>
        <v>Penicillines</v>
      </c>
      <c r="V120" t="str">
        <f>Données_ATB!BR119</f>
        <v/>
      </c>
      <c r="W120" s="63" t="str">
        <f>Données_ATB!BS119</f>
        <v/>
      </c>
      <c r="Z120" s="42">
        <v>117</v>
      </c>
      <c r="AA120" t="e">
        <f t="shared" si="147"/>
        <v>#N/A</v>
      </c>
      <c r="AB120" s="63" t="e">
        <f t="shared" si="148"/>
        <v>#N/A</v>
      </c>
      <c r="BF120" s="63"/>
      <c r="BT120" s="194" t="str">
        <f t="shared" ca="1" si="131"/>
        <v/>
      </c>
      <c r="BU120" s="219" t="str">
        <f>IFERROR(IF(BX120=0,"",COUNTIF(BX$4:BX$600,"&gt;"&amp;BX120)+COUNTIF(BX$4:BX120,BX120)),"")</f>
        <v/>
      </c>
      <c r="BV120" s="42" t="str">
        <f t="shared" si="132"/>
        <v>CLOXINE HL</v>
      </c>
      <c r="BW120" t="e">
        <f>IF(IF(CE$2="Catégorie",IF(CE$3="Toutes",SUMIFS('Étape 1 - à remplir'!$F$31:$F$400,'Étape 1 - à remplir'!$E$31:$E$400,MASQ2!BV120,'Étape 1 - à remplir'!$G$31:$G$400,"lots"),SUMIFS('Étape 1 - à remplir'!$F$31:$F$400,'Étape 1 - à remplir'!$E$31:$E$400,MASQ2!BV120,'Étape 1 - à remplir'!$C$31:$C$400,CE$3)),IF(CE$2="Âge",IF(CE$3="Tous",SUMIFS('Étape 1 - à remplir'!$F$31:$F$400,'Étape 1 - à remplir'!$E$31:$E$400,MASQ2!BV120,'Étape 1 - à remplir'!$G$31:$G$400,"lots"),SUMIFS('Étape 1 - à remplir'!$F$31:$F$400,'Étape 1 - à remplir'!$E$31:$E$400,MASQ2!BV120,'Étape 1 - à remplir'!$P$31:$P$400,CE$3,'Étape 1 - à remplir'!$G$31:$G$400,"lots")),IF(CE$2="Atelier",IF(CE$3="Tous",SUMIFS('Étape 1 - à remplir'!$F$31:$F$400,'Étape 1 - à remplir'!$E$31:$E$400,MASQ2!BV120,'Étape 1 - à remplir'!$G$31:$G$400,"lots"),SUMIFS('Étape 1 - à remplir'!$F$31:$F$400,'Étape 1 - à remplir'!$E$31:$E$400,MASQ2!BV120,'Étape 1 - à remplir'!$O$31:$O$400,CE$3,'Étape 1 - à remplir'!$G$31:$G$400,"lots")),IF(CE$2="Espèce",IF(CE$3="Toutes",SUMIFS('Étape 1 - à remplir'!$F$31:$F$400,'Étape 1 - à remplir'!$E$31:$E$400,MASQ2!BV120,'Étape 1 - à remplir'!$G$31:$G$400,"lots"),SUMIFS('Étape 1 - à remplir'!$F$31:$F$400,'Étape 1 - à remplir'!$E$31:$E$400,MASQ2!BV120,'Étape 1 - à remplir'!$N$31:$N$400,CE$3,'Étape 1 - à remplir'!$G$31:$G$400,"lots"))))))=0,NA(),IF(CE$2="Catégorie",IF(CE$3="Toutes",SUMIFS('Étape 1 - à remplir'!$F$31:$F$400,'Étape 1 - à remplir'!$E$31:$E$400,MASQ2!BV120,'Étape 1 - à remplir'!$G$31:$G$400,"lots"),SUMIFS('Étape 1 - à remplir'!$F$31:$F$400,'Étape 1 - à remplir'!$E$31:$E$400,MASQ2!BV120,'Étape 1 - à remplir'!$C$31:$C$400,CE$3)),IF(CE$2="Âge",IF(CE$3="Tous",SUMIFS('Étape 1 - à remplir'!$F$31:$F$400,'Étape 1 - à remplir'!$E$31:$E$400,MASQ2!BV120,'Étape 1 - à remplir'!$G$31:$G$400,"lots"),SUMIFS('Étape 1 - à remplir'!$F$31:$F$400,'Étape 1 - à remplir'!$E$31:$E$400,MASQ2!BV120,'Étape 1 - à remplir'!$P$31:$P$400,CE$3,'Étape 1 - à remplir'!$G$31:$G$400,"lots")),IF(CE$2="Atelier",IF(CE$3="Tous",SUMIFS('Étape 1 - à remplir'!$F$31:$F$400,'Étape 1 - à remplir'!$E$31:$E$400,MASQ2!BV120,'Étape 1 - à remplir'!$G$31:$G$400,"lots"),SUMIFS('Étape 1 - à remplir'!$F$31:$F$400,'Étape 1 - à remplir'!$E$31:$E$400,MASQ2!BV120,'Étape 1 - à remplir'!$O$31:$O$400,CE$3,'Étape 1 - à remplir'!$G$31:$G$400,"lots")),IF(CE$2="Espèce",IF(CE$3="Toutes",SUMIFS('Étape 1 - à remplir'!$F$31:$F$400,'Étape 1 - à remplir'!$E$31:$E$400,MASQ2!BV120,'Étape 1 - à remplir'!$G$31:$G$400,"lots"),SUMIFS('Étape 1 - à remplir'!$F$31:$F$400,'Étape 1 - à remplir'!$E$31:$E$400,MASQ2!BV120,'Étape 1 - à remplir'!$N$31:$N$400,CE$3,'Étape 1 - à remplir'!$G$31:$G$400,"lots")))))))</f>
        <v>#N/A</v>
      </c>
      <c r="BX120">
        <f t="shared" si="149"/>
        <v>0</v>
      </c>
      <c r="BY120" t="str">
        <f t="shared" si="133"/>
        <v>Cloxacilline</v>
      </c>
      <c r="BZ120" t="str">
        <f t="shared" si="134"/>
        <v/>
      </c>
      <c r="CA120" t="str">
        <f t="shared" si="135"/>
        <v/>
      </c>
      <c r="CB120" t="str">
        <f t="shared" si="136"/>
        <v>Penicillines</v>
      </c>
      <c r="CC120" t="str">
        <f t="shared" si="137"/>
        <v/>
      </c>
      <c r="CD120" s="63" t="str">
        <f t="shared" si="138"/>
        <v/>
      </c>
      <c r="CG120" s="42">
        <v>117</v>
      </c>
      <c r="CH120" s="42" t="e">
        <f t="shared" si="163"/>
        <v>#N/A</v>
      </c>
      <c r="CI120" s="63" t="e">
        <f t="shared" si="164"/>
        <v>#N/A</v>
      </c>
      <c r="DM120" s="63"/>
      <c r="EA120" s="194" t="str">
        <f t="shared" ca="1" si="139"/>
        <v/>
      </c>
      <c r="EB120" s="226" t="str">
        <f>IFERROR(IF(ED120=0,"",COUNTIF(ED$4:ED$600,"&gt;"&amp;ED120)+COUNTIF(ED$4:ED120,ED120)),"")</f>
        <v/>
      </c>
      <c r="EC120" t="str">
        <f t="shared" si="140"/>
        <v>CLOXINE HL</v>
      </c>
      <c r="ED120" t="e">
        <f>IF(IF(EL$2="Catégorie",IF(EL$3="Toutes",SUMIFS('Étape 1 - à remplir'!$F$31:$F$400,'Étape 1 - à remplir'!$E$31:$E$400,MASQ2!EC120,'Étape 1 - à remplir'!$G$31:$G$400,"kg"),SUMIFS('Étape 1 - à remplir'!$F$31:$F$400,'Étape 1 - à remplir'!$E$31:$E$400,MASQ2!EC120,'Étape 1 - à remplir'!$C$31:$C$400,EL$3)),IF(EL$2="Âge",IF(EL$3="Tous",SUMIFS('Étape 1 - à remplir'!$F$31:$F$400,'Étape 1 - à remplir'!$E$31:$E$400,MASQ2!EC120,'Étape 1 - à remplir'!$G$31:$G$400,"kg"),SUMIFS('Étape 1 - à remplir'!$F$31:$F$400,'Étape 1 - à remplir'!$E$31:$E$400,MASQ2!EC120,'Étape 1 - à remplir'!$P$31:$P$400,EL$3,'Étape 1 - à remplir'!$G$31:$G$400,"kg")),IF(EL$2="Atelier",IF(EL$3="Tous",SUMIFS('Étape 1 - à remplir'!$F$31:$F$400,'Étape 1 - à remplir'!$E$31:$E$400,MASQ2!EC120,'Étape 1 - à remplir'!$G$31:$G$400,"kg"),SUMIFS('Étape 1 - à remplir'!$F$31:$F$400,'Étape 1 - à remplir'!$E$31:$E$400,MASQ2!EC120,'Étape 1 - à remplir'!$O$31:$O$400,EL$3,'Étape 1 - à remplir'!$G$31:$G$400,"kg")),IF(EL$2="Espèce",IF(EL$3="Toutes",SUMIFS('Étape 1 - à remplir'!$F$31:$F$400,'Étape 1 - à remplir'!$E$31:$E$400,MASQ2!EC120,'Étape 1 - à remplir'!$G$31:$G$400,"kg"),SUMIFS('Étape 1 - à remplir'!$F$31:$F$400,'Étape 1 - à remplir'!$E$31:$E$400,MASQ2!EC120,'Étape 1 - à remplir'!$N$31:$N$400,EL$3,'Étape 1 - à remplir'!$G$31:$G$400,"kg"))))))=0,NA(),IF(EL$2="Catégorie",IF(EL$3="Toutes",SUMIFS('Étape 1 - à remplir'!$F$31:$F$400,'Étape 1 - à remplir'!$E$31:$E$400,MASQ2!EC120,'Étape 1 - à remplir'!$G$31:$G$400,"kg"),SUMIFS('Étape 1 - à remplir'!$F$31:$F$400,'Étape 1 - à remplir'!$E$31:$E$400,MASQ2!EC120,'Étape 1 - à remplir'!$C$31:$C$400,EL$3)),IF(EL$2="Âge",IF(EL$3="Tous",SUMIFS('Étape 1 - à remplir'!$F$31:$F$400,'Étape 1 - à remplir'!$E$31:$E$400,MASQ2!EC120,'Étape 1 - à remplir'!$G$31:$G$400,"kg"),SUMIFS('Étape 1 - à remplir'!$F$31:$F$400,'Étape 1 - à remplir'!$E$31:$E$400,MASQ2!EC120,'Étape 1 - à remplir'!$P$31:$P$400,EL$3,'Étape 1 - à remplir'!$G$31:$G$400,"kg")),IF(EL$2="Atelier",IF(EL$3="Tous",SUMIFS('Étape 1 - à remplir'!$F$31:$F$400,'Étape 1 - à remplir'!$E$31:$E$400,MASQ2!EC120,'Étape 1 - à remplir'!$G$31:$G$400,"kg"),SUMIFS('Étape 1 - à remplir'!$F$31:$F$400,'Étape 1 - à remplir'!$E$31:$E$400,MASQ2!EC120,'Étape 1 - à remplir'!$O$31:$O$400,EL$3,'Étape 1 - à remplir'!$G$31:$G$400,"kg")),IF(EL$2="Espèce",IF(EL$3="Toutes",SUMIFS('Étape 1 - à remplir'!$F$31:$F$400,'Étape 1 - à remplir'!$E$31:$E$400,MASQ2!EC120,'Étape 1 - à remplir'!$G$31:$G$400,"kg"),SUMIFS('Étape 1 - à remplir'!$F$31:$F$400,'Étape 1 - à remplir'!$E$31:$E$400,MASQ2!EC120,'Étape 1 - à remplir'!$N$31:$N$400,EL$3,'Étape 1 - à remplir'!$G$31:$G$400,"kg")))))))</f>
        <v>#N/A</v>
      </c>
      <c r="EE120" s="76">
        <f t="shared" si="150"/>
        <v>0</v>
      </c>
      <c r="EF120" t="str">
        <f t="shared" si="141"/>
        <v>Cloxacilline</v>
      </c>
      <c r="EG120" t="str">
        <f t="shared" si="142"/>
        <v/>
      </c>
      <c r="EH120" t="str">
        <f t="shared" si="143"/>
        <v/>
      </c>
      <c r="EI120" t="str">
        <f t="shared" si="144"/>
        <v>Penicillines</v>
      </c>
      <c r="EJ120" t="str">
        <f t="shared" si="145"/>
        <v/>
      </c>
      <c r="EK120" s="63" t="str">
        <f t="shared" si="146"/>
        <v/>
      </c>
      <c r="EN120" s="42">
        <v>117</v>
      </c>
      <c r="EO120" t="e">
        <f t="shared" si="152"/>
        <v>#N/A</v>
      </c>
      <c r="EP120" s="63" t="e">
        <f t="shared" si="153"/>
        <v>#N/A</v>
      </c>
      <c r="FT120" s="63"/>
    </row>
    <row r="121" spans="2:176" x14ac:dyDescent="0.3">
      <c r="B121" s="42"/>
      <c r="M121" s="194" t="str">
        <f ca="1">INDEX(Données_ATB!BD:BU,MATCH(MASQ2!O121,Données_ATB!BD:BD,0),18)</f>
        <v>x</v>
      </c>
      <c r="N121" s="14" t="str">
        <f>IFERROR(IF(Q121=0,"",COUNTIF(Q$4:Q$600,"&gt;"&amp;Q121)+COUNTIF(Q$4:Q121,Q121)),"")</f>
        <v/>
      </c>
      <c r="O121" t="str">
        <f>Données_ATB!BD120</f>
        <v>COBACTAN 2,5 %</v>
      </c>
      <c r="P121" t="e">
        <f>IF(IF(X$2="Catégorie",IF(X$3="Toutes",SUMIFS('Étape 1 - à remplir'!$F$31:$F$400,'Étape 1 - à remplir'!$E$31:$E$400,MASQ2!O121,'Étape 1 - à remplir'!$G$31:$G$400,"animaux"),SUMIFS('Étape 1 - à remplir'!$F$31:$F$400,'Étape 1 - à remplir'!$E$31:$E$400,MASQ2!O121,'Étape 1 - à remplir'!$C$31:$C$400,X$3)),IF(X$2="Âge",IF(X$3="Tous",SUMIFS('Étape 1 - à remplir'!$F$31:$F$400,'Étape 1 - à remplir'!$E$31:$E$400,MASQ2!O121,'Étape 1 - à remplir'!$G$31:$G$400,"animaux"),SUMIFS('Étape 1 - à remplir'!$F$31:$F$400,'Étape 1 - à remplir'!$E$31:$E$400,MASQ2!O121,'Étape 1 - à remplir'!$P$31:$P$400,X$3)),IF(X$2="Atelier",IF(X$3="Tous",SUMIFS('Étape 1 - à remplir'!$F$31:$F$400,'Étape 1 - à remplir'!$E$31:$E$400,MASQ2!O121,'Étape 1 - à remplir'!$G$31:$G$400,"animaux"),SUMIFS('Étape 1 - à remplir'!$F$31:$F$400,'Étape 1 - à remplir'!$E$31:$E$400,MASQ2!O121,'Étape 1 - à remplir'!$O$31:$O$400,X$3)),IF(X$2="Espèce",IF(X$3="Toutes",SUMIFS('Étape 1 - à remplir'!$F$31:$F$400,'Étape 1 - à remplir'!$E$31:$E$400,MASQ2!O121,'Étape 1 - à remplir'!$G$31:$G$400,"animaux"),SUMIFS('Étape 1 - à remplir'!$F$31:$F$400,'Étape 1 - à remplir'!$E$31:$E$400,MASQ2!O121,'Étape 1 - à remplir'!$N$31:$N$400,X$3))))))=0,NA(),IF(X$2="Catégorie",IF(X$3="Toutes",SUMIFS('Étape 1 - à remplir'!$F$31:$F$400,'Étape 1 - à remplir'!$E$31:$E$400,MASQ2!O121,'Étape 1 - à remplir'!$G$31:$G$400,"animaux"),SUMIFS('Étape 1 - à remplir'!$F$31:$F$400,'Étape 1 - à remplir'!$E$31:$E$400,MASQ2!O121,'Étape 1 - à remplir'!$C$31:$C$400,X$3)),IF(X$2="Âge",IF(X$3="Tous",SUMIFS('Étape 1 - à remplir'!$F$31:$F$400,'Étape 1 - à remplir'!$E$31:$E$400,MASQ2!O121,'Étape 1 - à remplir'!$G$31:$G$400,"animaux"),SUMIFS('Étape 1 - à remplir'!$F$31:$F$400,'Étape 1 - à remplir'!$E$31:$E$400,MASQ2!O121,'Étape 1 - à remplir'!$P$31:$P$400,X$3)),IF(X$2="Atelier",IF(X$3="Tous",SUMIFS('Étape 1 - à remplir'!$F$31:$F$400,'Étape 1 - à remplir'!$E$31:$E$400,MASQ2!O121,'Étape 1 - à remplir'!$G$31:$G$400,"animaux"),SUMIFS('Étape 1 - à remplir'!$F$31:$F$400,'Étape 1 - à remplir'!$E$31:$E$400,MASQ2!O121,'Étape 1 - à remplir'!$O$31:$O$400,X$3)),IF(X$2="Espèce",IF(X$3="Toutes",SUMIFS('Étape 1 - à remplir'!$F$31:$F$400,'Étape 1 - à remplir'!$E$31:$E$400,MASQ2!O121,'Étape 1 - à remplir'!$G$31:$G$400,"animaux"),SUMIFS('Étape 1 - à remplir'!$F$31:$F$400,'Étape 1 - à remplir'!$E$31:$E$400,MASQ2!O121,'Étape 1 - à remplir'!$N$31:$N$400,X$3)))))))</f>
        <v>#N/A</v>
      </c>
      <c r="Q121" s="63">
        <f t="shared" si="151"/>
        <v>0</v>
      </c>
      <c r="R121" t="str">
        <f>Données_ATB!BM120</f>
        <v>Cefquinome</v>
      </c>
      <c r="S121" t="str">
        <f>Données_ATB!BN120</f>
        <v/>
      </c>
      <c r="T121" s="63" t="str">
        <f>Données_ATB!BO120</f>
        <v/>
      </c>
      <c r="U121" s="42" t="str">
        <f>Données_ATB!BQ120</f>
        <v>Cephalosporines 3&amp;4G</v>
      </c>
      <c r="V121" t="str">
        <f>Données_ATB!BR120</f>
        <v/>
      </c>
      <c r="W121" s="63" t="str">
        <f>Données_ATB!BS120</f>
        <v/>
      </c>
      <c r="Z121" s="42">
        <v>118</v>
      </c>
      <c r="AA121" t="e">
        <f t="shared" si="147"/>
        <v>#N/A</v>
      </c>
      <c r="AB121" s="63" t="e">
        <f t="shared" si="148"/>
        <v>#N/A</v>
      </c>
      <c r="BF121" s="63"/>
      <c r="BT121" s="194" t="str">
        <f t="shared" ca="1" si="131"/>
        <v>x</v>
      </c>
      <c r="BU121" s="219" t="str">
        <f>IFERROR(IF(BX121=0,"",COUNTIF(BX$4:BX$600,"&gt;"&amp;BX121)+COUNTIF(BX$4:BX121,BX121)),"")</f>
        <v/>
      </c>
      <c r="BV121" s="42" t="str">
        <f t="shared" si="132"/>
        <v>COBACTAN 2,5 %</v>
      </c>
      <c r="BW121" t="e">
        <f>IF(IF(CE$2="Catégorie",IF(CE$3="Toutes",SUMIFS('Étape 1 - à remplir'!$F$31:$F$400,'Étape 1 - à remplir'!$E$31:$E$400,MASQ2!BV121,'Étape 1 - à remplir'!$G$31:$G$400,"lots"),SUMIFS('Étape 1 - à remplir'!$F$31:$F$400,'Étape 1 - à remplir'!$E$31:$E$400,MASQ2!BV121,'Étape 1 - à remplir'!$C$31:$C$400,CE$3)),IF(CE$2="Âge",IF(CE$3="Tous",SUMIFS('Étape 1 - à remplir'!$F$31:$F$400,'Étape 1 - à remplir'!$E$31:$E$400,MASQ2!BV121,'Étape 1 - à remplir'!$G$31:$G$400,"lots"),SUMIFS('Étape 1 - à remplir'!$F$31:$F$400,'Étape 1 - à remplir'!$E$31:$E$400,MASQ2!BV121,'Étape 1 - à remplir'!$P$31:$P$400,CE$3,'Étape 1 - à remplir'!$G$31:$G$400,"lots")),IF(CE$2="Atelier",IF(CE$3="Tous",SUMIFS('Étape 1 - à remplir'!$F$31:$F$400,'Étape 1 - à remplir'!$E$31:$E$400,MASQ2!BV121,'Étape 1 - à remplir'!$G$31:$G$400,"lots"),SUMIFS('Étape 1 - à remplir'!$F$31:$F$400,'Étape 1 - à remplir'!$E$31:$E$400,MASQ2!BV121,'Étape 1 - à remplir'!$O$31:$O$400,CE$3,'Étape 1 - à remplir'!$G$31:$G$400,"lots")),IF(CE$2="Espèce",IF(CE$3="Toutes",SUMIFS('Étape 1 - à remplir'!$F$31:$F$400,'Étape 1 - à remplir'!$E$31:$E$400,MASQ2!BV121,'Étape 1 - à remplir'!$G$31:$G$400,"lots"),SUMIFS('Étape 1 - à remplir'!$F$31:$F$400,'Étape 1 - à remplir'!$E$31:$E$400,MASQ2!BV121,'Étape 1 - à remplir'!$N$31:$N$400,CE$3,'Étape 1 - à remplir'!$G$31:$G$400,"lots"))))))=0,NA(),IF(CE$2="Catégorie",IF(CE$3="Toutes",SUMIFS('Étape 1 - à remplir'!$F$31:$F$400,'Étape 1 - à remplir'!$E$31:$E$400,MASQ2!BV121,'Étape 1 - à remplir'!$G$31:$G$400,"lots"),SUMIFS('Étape 1 - à remplir'!$F$31:$F$400,'Étape 1 - à remplir'!$E$31:$E$400,MASQ2!BV121,'Étape 1 - à remplir'!$C$31:$C$400,CE$3)),IF(CE$2="Âge",IF(CE$3="Tous",SUMIFS('Étape 1 - à remplir'!$F$31:$F$400,'Étape 1 - à remplir'!$E$31:$E$400,MASQ2!BV121,'Étape 1 - à remplir'!$G$31:$G$400,"lots"),SUMIFS('Étape 1 - à remplir'!$F$31:$F$400,'Étape 1 - à remplir'!$E$31:$E$400,MASQ2!BV121,'Étape 1 - à remplir'!$P$31:$P$400,CE$3,'Étape 1 - à remplir'!$G$31:$G$400,"lots")),IF(CE$2="Atelier",IF(CE$3="Tous",SUMIFS('Étape 1 - à remplir'!$F$31:$F$400,'Étape 1 - à remplir'!$E$31:$E$400,MASQ2!BV121,'Étape 1 - à remplir'!$G$31:$G$400,"lots"),SUMIFS('Étape 1 - à remplir'!$F$31:$F$400,'Étape 1 - à remplir'!$E$31:$E$400,MASQ2!BV121,'Étape 1 - à remplir'!$O$31:$O$400,CE$3,'Étape 1 - à remplir'!$G$31:$G$400,"lots")),IF(CE$2="Espèce",IF(CE$3="Toutes",SUMIFS('Étape 1 - à remplir'!$F$31:$F$400,'Étape 1 - à remplir'!$E$31:$E$400,MASQ2!BV121,'Étape 1 - à remplir'!$G$31:$G$400,"lots"),SUMIFS('Étape 1 - à remplir'!$F$31:$F$400,'Étape 1 - à remplir'!$E$31:$E$400,MASQ2!BV121,'Étape 1 - à remplir'!$N$31:$N$400,CE$3,'Étape 1 - à remplir'!$G$31:$G$400,"lots")))))))</f>
        <v>#N/A</v>
      </c>
      <c r="BX121">
        <f t="shared" si="149"/>
        <v>0</v>
      </c>
      <c r="BY121" t="str">
        <f t="shared" si="133"/>
        <v>Cefquinome</v>
      </c>
      <c r="BZ121" t="str">
        <f t="shared" si="134"/>
        <v/>
      </c>
      <c r="CA121" t="str">
        <f t="shared" si="135"/>
        <v/>
      </c>
      <c r="CB121" t="str">
        <f t="shared" si="136"/>
        <v>Cephalosporines 3&amp;4G</v>
      </c>
      <c r="CC121" t="str">
        <f t="shared" si="137"/>
        <v/>
      </c>
      <c r="CD121" s="63" t="str">
        <f t="shared" si="138"/>
        <v/>
      </c>
      <c r="CG121" s="42">
        <v>118</v>
      </c>
      <c r="CH121" s="42" t="e">
        <f t="shared" si="163"/>
        <v>#N/A</v>
      </c>
      <c r="CI121" s="63" t="e">
        <f t="shared" si="164"/>
        <v>#N/A</v>
      </c>
      <c r="CV121" s="224"/>
      <c r="CW121" s="224"/>
      <c r="DM121" s="63"/>
      <c r="EA121" s="194" t="str">
        <f t="shared" ca="1" si="139"/>
        <v>x</v>
      </c>
      <c r="EB121" s="226" t="str">
        <f>IFERROR(IF(ED121=0,"",COUNTIF(ED$4:ED$600,"&gt;"&amp;ED121)+COUNTIF(ED$4:ED121,ED121)),"")</f>
        <v/>
      </c>
      <c r="EC121" t="str">
        <f t="shared" si="140"/>
        <v>COBACTAN 2,5 %</v>
      </c>
      <c r="ED121" t="e">
        <f>IF(IF(EL$2="Catégorie",IF(EL$3="Toutes",SUMIFS('Étape 1 - à remplir'!$F$31:$F$400,'Étape 1 - à remplir'!$E$31:$E$400,MASQ2!EC121,'Étape 1 - à remplir'!$G$31:$G$400,"kg"),SUMIFS('Étape 1 - à remplir'!$F$31:$F$400,'Étape 1 - à remplir'!$E$31:$E$400,MASQ2!EC121,'Étape 1 - à remplir'!$C$31:$C$400,EL$3)),IF(EL$2="Âge",IF(EL$3="Tous",SUMIFS('Étape 1 - à remplir'!$F$31:$F$400,'Étape 1 - à remplir'!$E$31:$E$400,MASQ2!EC121,'Étape 1 - à remplir'!$G$31:$G$400,"kg"),SUMIFS('Étape 1 - à remplir'!$F$31:$F$400,'Étape 1 - à remplir'!$E$31:$E$400,MASQ2!EC121,'Étape 1 - à remplir'!$P$31:$P$400,EL$3,'Étape 1 - à remplir'!$G$31:$G$400,"kg")),IF(EL$2="Atelier",IF(EL$3="Tous",SUMIFS('Étape 1 - à remplir'!$F$31:$F$400,'Étape 1 - à remplir'!$E$31:$E$400,MASQ2!EC121,'Étape 1 - à remplir'!$G$31:$G$400,"kg"),SUMIFS('Étape 1 - à remplir'!$F$31:$F$400,'Étape 1 - à remplir'!$E$31:$E$400,MASQ2!EC121,'Étape 1 - à remplir'!$O$31:$O$400,EL$3,'Étape 1 - à remplir'!$G$31:$G$400,"kg")),IF(EL$2="Espèce",IF(EL$3="Toutes",SUMIFS('Étape 1 - à remplir'!$F$31:$F$400,'Étape 1 - à remplir'!$E$31:$E$400,MASQ2!EC121,'Étape 1 - à remplir'!$G$31:$G$400,"kg"),SUMIFS('Étape 1 - à remplir'!$F$31:$F$400,'Étape 1 - à remplir'!$E$31:$E$400,MASQ2!EC121,'Étape 1 - à remplir'!$N$31:$N$400,EL$3,'Étape 1 - à remplir'!$G$31:$G$400,"kg"))))))=0,NA(),IF(EL$2="Catégorie",IF(EL$3="Toutes",SUMIFS('Étape 1 - à remplir'!$F$31:$F$400,'Étape 1 - à remplir'!$E$31:$E$400,MASQ2!EC121,'Étape 1 - à remplir'!$G$31:$G$400,"kg"),SUMIFS('Étape 1 - à remplir'!$F$31:$F$400,'Étape 1 - à remplir'!$E$31:$E$400,MASQ2!EC121,'Étape 1 - à remplir'!$C$31:$C$400,EL$3)),IF(EL$2="Âge",IF(EL$3="Tous",SUMIFS('Étape 1 - à remplir'!$F$31:$F$400,'Étape 1 - à remplir'!$E$31:$E$400,MASQ2!EC121,'Étape 1 - à remplir'!$G$31:$G$400,"kg"),SUMIFS('Étape 1 - à remplir'!$F$31:$F$400,'Étape 1 - à remplir'!$E$31:$E$400,MASQ2!EC121,'Étape 1 - à remplir'!$P$31:$P$400,EL$3,'Étape 1 - à remplir'!$G$31:$G$400,"kg")),IF(EL$2="Atelier",IF(EL$3="Tous",SUMIFS('Étape 1 - à remplir'!$F$31:$F$400,'Étape 1 - à remplir'!$E$31:$E$400,MASQ2!EC121,'Étape 1 - à remplir'!$G$31:$G$400,"kg"),SUMIFS('Étape 1 - à remplir'!$F$31:$F$400,'Étape 1 - à remplir'!$E$31:$E$400,MASQ2!EC121,'Étape 1 - à remplir'!$O$31:$O$400,EL$3,'Étape 1 - à remplir'!$G$31:$G$400,"kg")),IF(EL$2="Espèce",IF(EL$3="Toutes",SUMIFS('Étape 1 - à remplir'!$F$31:$F$400,'Étape 1 - à remplir'!$E$31:$E$400,MASQ2!EC121,'Étape 1 - à remplir'!$G$31:$G$400,"kg"),SUMIFS('Étape 1 - à remplir'!$F$31:$F$400,'Étape 1 - à remplir'!$E$31:$E$400,MASQ2!EC121,'Étape 1 - à remplir'!$N$31:$N$400,EL$3,'Étape 1 - à remplir'!$G$31:$G$400,"kg")))))))</f>
        <v>#N/A</v>
      </c>
      <c r="EE121" s="76">
        <f t="shared" si="150"/>
        <v>0</v>
      </c>
      <c r="EF121" t="str">
        <f t="shared" si="141"/>
        <v>Cefquinome</v>
      </c>
      <c r="EG121" t="str">
        <f t="shared" si="142"/>
        <v/>
      </c>
      <c r="EH121" t="str">
        <f t="shared" si="143"/>
        <v/>
      </c>
      <c r="EI121" t="str">
        <f t="shared" si="144"/>
        <v>Cephalosporines 3&amp;4G</v>
      </c>
      <c r="EJ121" t="str">
        <f t="shared" si="145"/>
        <v/>
      </c>
      <c r="EK121" s="63" t="str">
        <f t="shared" si="146"/>
        <v/>
      </c>
      <c r="EN121" s="42">
        <v>118</v>
      </c>
      <c r="EO121" t="e">
        <f t="shared" si="152"/>
        <v>#N/A</v>
      </c>
      <c r="EP121" s="63" t="e">
        <f t="shared" si="153"/>
        <v>#N/A</v>
      </c>
      <c r="FT121" s="63"/>
    </row>
    <row r="122" spans="2:176" x14ac:dyDescent="0.3">
      <c r="B122" s="42"/>
      <c r="M122" s="194" t="str">
        <f ca="1">INDEX(Données_ATB!BD:BU,MATCH(MASQ2!O122,Données_ATB!BD:BD,0),18)</f>
        <v>x</v>
      </c>
      <c r="N122" s="14" t="str">
        <f>IFERROR(IF(Q122=0,"",COUNTIF(Q$4:Q$600,"&gt;"&amp;Q122)+COUNTIF(Q$4:Q122,Q122)),"")</f>
        <v/>
      </c>
      <c r="O122" t="str">
        <f>Données_ATB!BD121</f>
        <v>COBACTAN 4,5 % PS</v>
      </c>
      <c r="P122" t="e">
        <f>IF(IF(X$2="Catégorie",IF(X$3="Toutes",SUMIFS('Étape 1 - à remplir'!$F$31:$F$400,'Étape 1 - à remplir'!$E$31:$E$400,MASQ2!O122,'Étape 1 - à remplir'!$G$31:$G$400,"animaux"),SUMIFS('Étape 1 - à remplir'!$F$31:$F$400,'Étape 1 - à remplir'!$E$31:$E$400,MASQ2!O122,'Étape 1 - à remplir'!$C$31:$C$400,X$3)),IF(X$2="Âge",IF(X$3="Tous",SUMIFS('Étape 1 - à remplir'!$F$31:$F$400,'Étape 1 - à remplir'!$E$31:$E$400,MASQ2!O122,'Étape 1 - à remplir'!$G$31:$G$400,"animaux"),SUMIFS('Étape 1 - à remplir'!$F$31:$F$400,'Étape 1 - à remplir'!$E$31:$E$400,MASQ2!O122,'Étape 1 - à remplir'!$P$31:$P$400,X$3)),IF(X$2="Atelier",IF(X$3="Tous",SUMIFS('Étape 1 - à remplir'!$F$31:$F$400,'Étape 1 - à remplir'!$E$31:$E$400,MASQ2!O122,'Étape 1 - à remplir'!$G$31:$G$400,"animaux"),SUMIFS('Étape 1 - à remplir'!$F$31:$F$400,'Étape 1 - à remplir'!$E$31:$E$400,MASQ2!O122,'Étape 1 - à remplir'!$O$31:$O$400,X$3)),IF(X$2="Espèce",IF(X$3="Toutes",SUMIFS('Étape 1 - à remplir'!$F$31:$F$400,'Étape 1 - à remplir'!$E$31:$E$400,MASQ2!O122,'Étape 1 - à remplir'!$G$31:$G$400,"animaux"),SUMIFS('Étape 1 - à remplir'!$F$31:$F$400,'Étape 1 - à remplir'!$E$31:$E$400,MASQ2!O122,'Étape 1 - à remplir'!$N$31:$N$400,X$3))))))=0,NA(),IF(X$2="Catégorie",IF(X$3="Toutes",SUMIFS('Étape 1 - à remplir'!$F$31:$F$400,'Étape 1 - à remplir'!$E$31:$E$400,MASQ2!O122,'Étape 1 - à remplir'!$G$31:$G$400,"animaux"),SUMIFS('Étape 1 - à remplir'!$F$31:$F$400,'Étape 1 - à remplir'!$E$31:$E$400,MASQ2!O122,'Étape 1 - à remplir'!$C$31:$C$400,X$3)),IF(X$2="Âge",IF(X$3="Tous",SUMIFS('Étape 1 - à remplir'!$F$31:$F$400,'Étape 1 - à remplir'!$E$31:$E$400,MASQ2!O122,'Étape 1 - à remplir'!$G$31:$G$400,"animaux"),SUMIFS('Étape 1 - à remplir'!$F$31:$F$400,'Étape 1 - à remplir'!$E$31:$E$400,MASQ2!O122,'Étape 1 - à remplir'!$P$31:$P$400,X$3)),IF(X$2="Atelier",IF(X$3="Tous",SUMIFS('Étape 1 - à remplir'!$F$31:$F$400,'Étape 1 - à remplir'!$E$31:$E$400,MASQ2!O122,'Étape 1 - à remplir'!$G$31:$G$400,"animaux"),SUMIFS('Étape 1 - à remplir'!$F$31:$F$400,'Étape 1 - à remplir'!$E$31:$E$400,MASQ2!O122,'Étape 1 - à remplir'!$O$31:$O$400,X$3)),IF(X$2="Espèce",IF(X$3="Toutes",SUMIFS('Étape 1 - à remplir'!$F$31:$F$400,'Étape 1 - à remplir'!$E$31:$E$400,MASQ2!O122,'Étape 1 - à remplir'!$G$31:$G$400,"animaux"),SUMIFS('Étape 1 - à remplir'!$F$31:$F$400,'Étape 1 - à remplir'!$E$31:$E$400,MASQ2!O122,'Étape 1 - à remplir'!$N$31:$N$400,X$3)))))))</f>
        <v>#N/A</v>
      </c>
      <c r="Q122" s="63">
        <f t="shared" si="151"/>
        <v>0</v>
      </c>
      <c r="R122" t="str">
        <f>Données_ATB!BM121</f>
        <v>Cefquinome</v>
      </c>
      <c r="S122" t="str">
        <f>Données_ATB!BN121</f>
        <v/>
      </c>
      <c r="T122" s="63" t="str">
        <f>Données_ATB!BO121</f>
        <v/>
      </c>
      <c r="U122" s="42" t="str">
        <f>Données_ATB!BQ121</f>
        <v>Cephalosporines 3&amp;4G</v>
      </c>
      <c r="V122" t="str">
        <f>Données_ATB!BR121</f>
        <v/>
      </c>
      <c r="W122" s="63" t="str">
        <f>Données_ATB!BS121</f>
        <v/>
      </c>
      <c r="Z122" s="42">
        <v>119</v>
      </c>
      <c r="AA122" t="e">
        <f t="shared" si="147"/>
        <v>#N/A</v>
      </c>
      <c r="AB122" s="63" t="e">
        <f t="shared" si="148"/>
        <v>#N/A</v>
      </c>
      <c r="BF122" s="63"/>
      <c r="BT122" s="194" t="str">
        <f t="shared" ca="1" si="131"/>
        <v>x</v>
      </c>
      <c r="BU122" s="219" t="str">
        <f>IFERROR(IF(BX122=0,"",COUNTIF(BX$4:BX$600,"&gt;"&amp;BX122)+COUNTIF(BX$4:BX122,BX122)),"")</f>
        <v/>
      </c>
      <c r="BV122" s="42" t="str">
        <f t="shared" si="132"/>
        <v>COBACTAN 4,5 % PS</v>
      </c>
      <c r="BW122" t="e">
        <f>IF(IF(CE$2="Catégorie",IF(CE$3="Toutes",SUMIFS('Étape 1 - à remplir'!$F$31:$F$400,'Étape 1 - à remplir'!$E$31:$E$400,MASQ2!BV122,'Étape 1 - à remplir'!$G$31:$G$400,"lots"),SUMIFS('Étape 1 - à remplir'!$F$31:$F$400,'Étape 1 - à remplir'!$E$31:$E$400,MASQ2!BV122,'Étape 1 - à remplir'!$C$31:$C$400,CE$3)),IF(CE$2="Âge",IF(CE$3="Tous",SUMIFS('Étape 1 - à remplir'!$F$31:$F$400,'Étape 1 - à remplir'!$E$31:$E$400,MASQ2!BV122,'Étape 1 - à remplir'!$G$31:$G$400,"lots"),SUMIFS('Étape 1 - à remplir'!$F$31:$F$400,'Étape 1 - à remplir'!$E$31:$E$400,MASQ2!BV122,'Étape 1 - à remplir'!$P$31:$P$400,CE$3,'Étape 1 - à remplir'!$G$31:$G$400,"lots")),IF(CE$2="Atelier",IF(CE$3="Tous",SUMIFS('Étape 1 - à remplir'!$F$31:$F$400,'Étape 1 - à remplir'!$E$31:$E$400,MASQ2!BV122,'Étape 1 - à remplir'!$G$31:$G$400,"lots"),SUMIFS('Étape 1 - à remplir'!$F$31:$F$400,'Étape 1 - à remplir'!$E$31:$E$400,MASQ2!BV122,'Étape 1 - à remplir'!$O$31:$O$400,CE$3,'Étape 1 - à remplir'!$G$31:$G$400,"lots")),IF(CE$2="Espèce",IF(CE$3="Toutes",SUMIFS('Étape 1 - à remplir'!$F$31:$F$400,'Étape 1 - à remplir'!$E$31:$E$400,MASQ2!BV122,'Étape 1 - à remplir'!$G$31:$G$400,"lots"),SUMIFS('Étape 1 - à remplir'!$F$31:$F$400,'Étape 1 - à remplir'!$E$31:$E$400,MASQ2!BV122,'Étape 1 - à remplir'!$N$31:$N$400,CE$3,'Étape 1 - à remplir'!$G$31:$G$400,"lots"))))))=0,NA(),IF(CE$2="Catégorie",IF(CE$3="Toutes",SUMIFS('Étape 1 - à remplir'!$F$31:$F$400,'Étape 1 - à remplir'!$E$31:$E$400,MASQ2!BV122,'Étape 1 - à remplir'!$G$31:$G$400,"lots"),SUMIFS('Étape 1 - à remplir'!$F$31:$F$400,'Étape 1 - à remplir'!$E$31:$E$400,MASQ2!BV122,'Étape 1 - à remplir'!$C$31:$C$400,CE$3)),IF(CE$2="Âge",IF(CE$3="Tous",SUMIFS('Étape 1 - à remplir'!$F$31:$F$400,'Étape 1 - à remplir'!$E$31:$E$400,MASQ2!BV122,'Étape 1 - à remplir'!$G$31:$G$400,"lots"),SUMIFS('Étape 1 - à remplir'!$F$31:$F$400,'Étape 1 - à remplir'!$E$31:$E$400,MASQ2!BV122,'Étape 1 - à remplir'!$P$31:$P$400,CE$3,'Étape 1 - à remplir'!$G$31:$G$400,"lots")),IF(CE$2="Atelier",IF(CE$3="Tous",SUMIFS('Étape 1 - à remplir'!$F$31:$F$400,'Étape 1 - à remplir'!$E$31:$E$400,MASQ2!BV122,'Étape 1 - à remplir'!$G$31:$G$400,"lots"),SUMIFS('Étape 1 - à remplir'!$F$31:$F$400,'Étape 1 - à remplir'!$E$31:$E$400,MASQ2!BV122,'Étape 1 - à remplir'!$O$31:$O$400,CE$3,'Étape 1 - à remplir'!$G$31:$G$400,"lots")),IF(CE$2="Espèce",IF(CE$3="Toutes",SUMIFS('Étape 1 - à remplir'!$F$31:$F$400,'Étape 1 - à remplir'!$E$31:$E$400,MASQ2!BV122,'Étape 1 - à remplir'!$G$31:$G$400,"lots"),SUMIFS('Étape 1 - à remplir'!$F$31:$F$400,'Étape 1 - à remplir'!$E$31:$E$400,MASQ2!BV122,'Étape 1 - à remplir'!$N$31:$N$400,CE$3,'Étape 1 - à remplir'!$G$31:$G$400,"lots")))))))</f>
        <v>#N/A</v>
      </c>
      <c r="BX122">
        <f t="shared" si="149"/>
        <v>0</v>
      </c>
      <c r="BY122" t="str">
        <f t="shared" si="133"/>
        <v>Cefquinome</v>
      </c>
      <c r="BZ122" t="str">
        <f t="shared" si="134"/>
        <v/>
      </c>
      <c r="CA122" t="str">
        <f t="shared" si="135"/>
        <v/>
      </c>
      <c r="CB122" t="str">
        <f t="shared" si="136"/>
        <v>Cephalosporines 3&amp;4G</v>
      </c>
      <c r="CC122" t="str">
        <f t="shared" si="137"/>
        <v/>
      </c>
      <c r="CD122" s="63" t="str">
        <f t="shared" si="138"/>
        <v/>
      </c>
      <c r="CG122" s="42">
        <v>119</v>
      </c>
      <c r="CH122" s="42" t="e">
        <f t="shared" si="163"/>
        <v>#N/A</v>
      </c>
      <c r="CI122" s="63" t="e">
        <f t="shared" si="164"/>
        <v>#N/A</v>
      </c>
      <c r="DM122" s="63"/>
      <c r="EA122" s="194" t="str">
        <f t="shared" ca="1" si="139"/>
        <v>x</v>
      </c>
      <c r="EB122" s="226" t="str">
        <f>IFERROR(IF(ED122=0,"",COUNTIF(ED$4:ED$600,"&gt;"&amp;ED122)+COUNTIF(ED$4:ED122,ED122)),"")</f>
        <v/>
      </c>
      <c r="EC122" t="str">
        <f t="shared" si="140"/>
        <v>COBACTAN 4,5 % PS</v>
      </c>
      <c r="ED122" t="e">
        <f>IF(IF(EL$2="Catégorie",IF(EL$3="Toutes",SUMIFS('Étape 1 - à remplir'!$F$31:$F$400,'Étape 1 - à remplir'!$E$31:$E$400,MASQ2!EC122,'Étape 1 - à remplir'!$G$31:$G$400,"kg"),SUMIFS('Étape 1 - à remplir'!$F$31:$F$400,'Étape 1 - à remplir'!$E$31:$E$400,MASQ2!EC122,'Étape 1 - à remplir'!$C$31:$C$400,EL$3)),IF(EL$2="Âge",IF(EL$3="Tous",SUMIFS('Étape 1 - à remplir'!$F$31:$F$400,'Étape 1 - à remplir'!$E$31:$E$400,MASQ2!EC122,'Étape 1 - à remplir'!$G$31:$G$400,"kg"),SUMIFS('Étape 1 - à remplir'!$F$31:$F$400,'Étape 1 - à remplir'!$E$31:$E$400,MASQ2!EC122,'Étape 1 - à remplir'!$P$31:$P$400,EL$3,'Étape 1 - à remplir'!$G$31:$G$400,"kg")),IF(EL$2="Atelier",IF(EL$3="Tous",SUMIFS('Étape 1 - à remplir'!$F$31:$F$400,'Étape 1 - à remplir'!$E$31:$E$400,MASQ2!EC122,'Étape 1 - à remplir'!$G$31:$G$400,"kg"),SUMIFS('Étape 1 - à remplir'!$F$31:$F$400,'Étape 1 - à remplir'!$E$31:$E$400,MASQ2!EC122,'Étape 1 - à remplir'!$O$31:$O$400,EL$3,'Étape 1 - à remplir'!$G$31:$G$400,"kg")),IF(EL$2="Espèce",IF(EL$3="Toutes",SUMIFS('Étape 1 - à remplir'!$F$31:$F$400,'Étape 1 - à remplir'!$E$31:$E$400,MASQ2!EC122,'Étape 1 - à remplir'!$G$31:$G$400,"kg"),SUMIFS('Étape 1 - à remplir'!$F$31:$F$400,'Étape 1 - à remplir'!$E$31:$E$400,MASQ2!EC122,'Étape 1 - à remplir'!$N$31:$N$400,EL$3,'Étape 1 - à remplir'!$G$31:$G$400,"kg"))))))=0,NA(),IF(EL$2="Catégorie",IF(EL$3="Toutes",SUMIFS('Étape 1 - à remplir'!$F$31:$F$400,'Étape 1 - à remplir'!$E$31:$E$400,MASQ2!EC122,'Étape 1 - à remplir'!$G$31:$G$400,"kg"),SUMIFS('Étape 1 - à remplir'!$F$31:$F$400,'Étape 1 - à remplir'!$E$31:$E$400,MASQ2!EC122,'Étape 1 - à remplir'!$C$31:$C$400,EL$3)),IF(EL$2="Âge",IF(EL$3="Tous",SUMIFS('Étape 1 - à remplir'!$F$31:$F$400,'Étape 1 - à remplir'!$E$31:$E$400,MASQ2!EC122,'Étape 1 - à remplir'!$G$31:$G$400,"kg"),SUMIFS('Étape 1 - à remplir'!$F$31:$F$400,'Étape 1 - à remplir'!$E$31:$E$400,MASQ2!EC122,'Étape 1 - à remplir'!$P$31:$P$400,EL$3,'Étape 1 - à remplir'!$G$31:$G$400,"kg")),IF(EL$2="Atelier",IF(EL$3="Tous",SUMIFS('Étape 1 - à remplir'!$F$31:$F$400,'Étape 1 - à remplir'!$E$31:$E$400,MASQ2!EC122,'Étape 1 - à remplir'!$G$31:$G$400,"kg"),SUMIFS('Étape 1 - à remplir'!$F$31:$F$400,'Étape 1 - à remplir'!$E$31:$E$400,MASQ2!EC122,'Étape 1 - à remplir'!$O$31:$O$400,EL$3,'Étape 1 - à remplir'!$G$31:$G$400,"kg")),IF(EL$2="Espèce",IF(EL$3="Toutes",SUMIFS('Étape 1 - à remplir'!$F$31:$F$400,'Étape 1 - à remplir'!$E$31:$E$400,MASQ2!EC122,'Étape 1 - à remplir'!$G$31:$G$400,"kg"),SUMIFS('Étape 1 - à remplir'!$F$31:$F$400,'Étape 1 - à remplir'!$E$31:$E$400,MASQ2!EC122,'Étape 1 - à remplir'!$N$31:$N$400,EL$3,'Étape 1 - à remplir'!$G$31:$G$400,"kg")))))))</f>
        <v>#N/A</v>
      </c>
      <c r="EE122" s="76">
        <f t="shared" si="150"/>
        <v>0</v>
      </c>
      <c r="EF122" t="str">
        <f t="shared" si="141"/>
        <v>Cefquinome</v>
      </c>
      <c r="EG122" t="str">
        <f t="shared" si="142"/>
        <v/>
      </c>
      <c r="EH122" t="str">
        <f t="shared" si="143"/>
        <v/>
      </c>
      <c r="EI122" t="str">
        <f t="shared" si="144"/>
        <v>Cephalosporines 3&amp;4G</v>
      </c>
      <c r="EJ122" t="str">
        <f t="shared" si="145"/>
        <v/>
      </c>
      <c r="EK122" s="63" t="str">
        <f t="shared" si="146"/>
        <v/>
      </c>
      <c r="EN122" s="42">
        <v>119</v>
      </c>
      <c r="EO122" t="e">
        <f t="shared" si="152"/>
        <v>#N/A</v>
      </c>
      <c r="EP122" s="63" t="e">
        <f t="shared" si="153"/>
        <v>#N/A</v>
      </c>
      <c r="FT122" s="63"/>
    </row>
    <row r="123" spans="2:176" x14ac:dyDescent="0.3">
      <c r="B123" s="42"/>
      <c r="M123" s="194" t="str">
        <f ca="1">INDEX(Données_ATB!BD:BU,MATCH(MASQ2!O123,Données_ATB!BD:BD,0),18)</f>
        <v>x</v>
      </c>
      <c r="N123" s="14" t="str">
        <f>IFERROR(IF(Q123=0,"",COUNTIF(Q$4:Q$600,"&gt;"&amp;Q123)+COUNTIF(Q$4:Q123,Q123)),"")</f>
        <v/>
      </c>
      <c r="O123" t="str">
        <f>Données_ATB!BD122</f>
        <v>COBACTAN LA 7,5 % SUSPENSION INJECTABLE POUR BOVINS</v>
      </c>
      <c r="P123" t="e">
        <f>IF(IF(X$2="Catégorie",IF(X$3="Toutes",SUMIFS('Étape 1 - à remplir'!$F$31:$F$400,'Étape 1 - à remplir'!$E$31:$E$400,MASQ2!O123,'Étape 1 - à remplir'!$G$31:$G$400,"animaux"),SUMIFS('Étape 1 - à remplir'!$F$31:$F$400,'Étape 1 - à remplir'!$E$31:$E$400,MASQ2!O123,'Étape 1 - à remplir'!$C$31:$C$400,X$3)),IF(X$2="Âge",IF(X$3="Tous",SUMIFS('Étape 1 - à remplir'!$F$31:$F$400,'Étape 1 - à remplir'!$E$31:$E$400,MASQ2!O123,'Étape 1 - à remplir'!$G$31:$G$400,"animaux"),SUMIFS('Étape 1 - à remplir'!$F$31:$F$400,'Étape 1 - à remplir'!$E$31:$E$400,MASQ2!O123,'Étape 1 - à remplir'!$P$31:$P$400,X$3)),IF(X$2="Atelier",IF(X$3="Tous",SUMIFS('Étape 1 - à remplir'!$F$31:$F$400,'Étape 1 - à remplir'!$E$31:$E$400,MASQ2!O123,'Étape 1 - à remplir'!$G$31:$G$400,"animaux"),SUMIFS('Étape 1 - à remplir'!$F$31:$F$400,'Étape 1 - à remplir'!$E$31:$E$400,MASQ2!O123,'Étape 1 - à remplir'!$O$31:$O$400,X$3)),IF(X$2="Espèce",IF(X$3="Toutes",SUMIFS('Étape 1 - à remplir'!$F$31:$F$400,'Étape 1 - à remplir'!$E$31:$E$400,MASQ2!O123,'Étape 1 - à remplir'!$G$31:$G$400,"animaux"),SUMIFS('Étape 1 - à remplir'!$F$31:$F$400,'Étape 1 - à remplir'!$E$31:$E$400,MASQ2!O123,'Étape 1 - à remplir'!$N$31:$N$400,X$3))))))=0,NA(),IF(X$2="Catégorie",IF(X$3="Toutes",SUMIFS('Étape 1 - à remplir'!$F$31:$F$400,'Étape 1 - à remplir'!$E$31:$E$400,MASQ2!O123,'Étape 1 - à remplir'!$G$31:$G$400,"animaux"),SUMIFS('Étape 1 - à remplir'!$F$31:$F$400,'Étape 1 - à remplir'!$E$31:$E$400,MASQ2!O123,'Étape 1 - à remplir'!$C$31:$C$400,X$3)),IF(X$2="Âge",IF(X$3="Tous",SUMIFS('Étape 1 - à remplir'!$F$31:$F$400,'Étape 1 - à remplir'!$E$31:$E$400,MASQ2!O123,'Étape 1 - à remplir'!$G$31:$G$400,"animaux"),SUMIFS('Étape 1 - à remplir'!$F$31:$F$400,'Étape 1 - à remplir'!$E$31:$E$400,MASQ2!O123,'Étape 1 - à remplir'!$P$31:$P$400,X$3)),IF(X$2="Atelier",IF(X$3="Tous",SUMIFS('Étape 1 - à remplir'!$F$31:$F$400,'Étape 1 - à remplir'!$E$31:$E$400,MASQ2!O123,'Étape 1 - à remplir'!$G$31:$G$400,"animaux"),SUMIFS('Étape 1 - à remplir'!$F$31:$F$400,'Étape 1 - à remplir'!$E$31:$E$400,MASQ2!O123,'Étape 1 - à remplir'!$O$31:$O$400,X$3)),IF(X$2="Espèce",IF(X$3="Toutes",SUMIFS('Étape 1 - à remplir'!$F$31:$F$400,'Étape 1 - à remplir'!$E$31:$E$400,MASQ2!O123,'Étape 1 - à remplir'!$G$31:$G$400,"animaux"),SUMIFS('Étape 1 - à remplir'!$F$31:$F$400,'Étape 1 - à remplir'!$E$31:$E$400,MASQ2!O123,'Étape 1 - à remplir'!$N$31:$N$400,X$3)))))))</f>
        <v>#N/A</v>
      </c>
      <c r="Q123" s="63">
        <f t="shared" si="151"/>
        <v>0</v>
      </c>
      <c r="R123" t="str">
        <f>Données_ATB!BM122</f>
        <v>Cefquinome</v>
      </c>
      <c r="S123" t="str">
        <f>Données_ATB!BN122</f>
        <v/>
      </c>
      <c r="T123" s="63" t="str">
        <f>Données_ATB!BO122</f>
        <v/>
      </c>
      <c r="U123" s="42" t="str">
        <f>Données_ATB!BQ122</f>
        <v>Cephalosporines 3&amp;4G</v>
      </c>
      <c r="V123" t="str">
        <f>Données_ATB!BR122</f>
        <v/>
      </c>
      <c r="W123" s="63" t="str">
        <f>Données_ATB!BS122</f>
        <v/>
      </c>
      <c r="Z123" s="42">
        <v>120</v>
      </c>
      <c r="AA123" t="e">
        <f t="shared" si="147"/>
        <v>#N/A</v>
      </c>
      <c r="AB123" s="63" t="e">
        <f t="shared" si="148"/>
        <v>#N/A</v>
      </c>
      <c r="BF123" s="63"/>
      <c r="BT123" s="194" t="str">
        <f t="shared" ca="1" si="131"/>
        <v>x</v>
      </c>
      <c r="BU123" s="219" t="str">
        <f>IFERROR(IF(BX123=0,"",COUNTIF(BX$4:BX$600,"&gt;"&amp;BX123)+COUNTIF(BX$4:BX123,BX123)),"")</f>
        <v/>
      </c>
      <c r="BV123" s="42" t="str">
        <f t="shared" si="132"/>
        <v>COBACTAN LA 7,5 % SUSPENSION INJECTABLE POUR BOVINS</v>
      </c>
      <c r="BW123" t="e">
        <f>IF(IF(CE$2="Catégorie",IF(CE$3="Toutes",SUMIFS('Étape 1 - à remplir'!$F$31:$F$400,'Étape 1 - à remplir'!$E$31:$E$400,MASQ2!BV123,'Étape 1 - à remplir'!$G$31:$G$400,"lots"),SUMIFS('Étape 1 - à remplir'!$F$31:$F$400,'Étape 1 - à remplir'!$E$31:$E$400,MASQ2!BV123,'Étape 1 - à remplir'!$C$31:$C$400,CE$3)),IF(CE$2="Âge",IF(CE$3="Tous",SUMIFS('Étape 1 - à remplir'!$F$31:$F$400,'Étape 1 - à remplir'!$E$31:$E$400,MASQ2!BV123,'Étape 1 - à remplir'!$G$31:$G$400,"lots"),SUMIFS('Étape 1 - à remplir'!$F$31:$F$400,'Étape 1 - à remplir'!$E$31:$E$400,MASQ2!BV123,'Étape 1 - à remplir'!$P$31:$P$400,CE$3,'Étape 1 - à remplir'!$G$31:$G$400,"lots")),IF(CE$2="Atelier",IF(CE$3="Tous",SUMIFS('Étape 1 - à remplir'!$F$31:$F$400,'Étape 1 - à remplir'!$E$31:$E$400,MASQ2!BV123,'Étape 1 - à remplir'!$G$31:$G$400,"lots"),SUMIFS('Étape 1 - à remplir'!$F$31:$F$400,'Étape 1 - à remplir'!$E$31:$E$400,MASQ2!BV123,'Étape 1 - à remplir'!$O$31:$O$400,CE$3,'Étape 1 - à remplir'!$G$31:$G$400,"lots")),IF(CE$2="Espèce",IF(CE$3="Toutes",SUMIFS('Étape 1 - à remplir'!$F$31:$F$400,'Étape 1 - à remplir'!$E$31:$E$400,MASQ2!BV123,'Étape 1 - à remplir'!$G$31:$G$400,"lots"),SUMIFS('Étape 1 - à remplir'!$F$31:$F$400,'Étape 1 - à remplir'!$E$31:$E$400,MASQ2!BV123,'Étape 1 - à remplir'!$N$31:$N$400,CE$3,'Étape 1 - à remplir'!$G$31:$G$400,"lots"))))))=0,NA(),IF(CE$2="Catégorie",IF(CE$3="Toutes",SUMIFS('Étape 1 - à remplir'!$F$31:$F$400,'Étape 1 - à remplir'!$E$31:$E$400,MASQ2!BV123,'Étape 1 - à remplir'!$G$31:$G$400,"lots"),SUMIFS('Étape 1 - à remplir'!$F$31:$F$400,'Étape 1 - à remplir'!$E$31:$E$400,MASQ2!BV123,'Étape 1 - à remplir'!$C$31:$C$400,CE$3)),IF(CE$2="Âge",IF(CE$3="Tous",SUMIFS('Étape 1 - à remplir'!$F$31:$F$400,'Étape 1 - à remplir'!$E$31:$E$400,MASQ2!BV123,'Étape 1 - à remplir'!$G$31:$G$400,"lots"),SUMIFS('Étape 1 - à remplir'!$F$31:$F$400,'Étape 1 - à remplir'!$E$31:$E$400,MASQ2!BV123,'Étape 1 - à remplir'!$P$31:$P$400,CE$3,'Étape 1 - à remplir'!$G$31:$G$400,"lots")),IF(CE$2="Atelier",IF(CE$3="Tous",SUMIFS('Étape 1 - à remplir'!$F$31:$F$400,'Étape 1 - à remplir'!$E$31:$E$400,MASQ2!BV123,'Étape 1 - à remplir'!$G$31:$G$400,"lots"),SUMIFS('Étape 1 - à remplir'!$F$31:$F$400,'Étape 1 - à remplir'!$E$31:$E$400,MASQ2!BV123,'Étape 1 - à remplir'!$O$31:$O$400,CE$3,'Étape 1 - à remplir'!$G$31:$G$400,"lots")),IF(CE$2="Espèce",IF(CE$3="Toutes",SUMIFS('Étape 1 - à remplir'!$F$31:$F$400,'Étape 1 - à remplir'!$E$31:$E$400,MASQ2!BV123,'Étape 1 - à remplir'!$G$31:$G$400,"lots"),SUMIFS('Étape 1 - à remplir'!$F$31:$F$400,'Étape 1 - à remplir'!$E$31:$E$400,MASQ2!BV123,'Étape 1 - à remplir'!$N$31:$N$400,CE$3,'Étape 1 - à remplir'!$G$31:$G$400,"lots")))))))</f>
        <v>#N/A</v>
      </c>
      <c r="BX123">
        <f t="shared" si="149"/>
        <v>0</v>
      </c>
      <c r="BY123" t="str">
        <f t="shared" si="133"/>
        <v>Cefquinome</v>
      </c>
      <c r="BZ123" t="str">
        <f t="shared" si="134"/>
        <v/>
      </c>
      <c r="CA123" t="str">
        <f t="shared" si="135"/>
        <v/>
      </c>
      <c r="CB123" t="str">
        <f t="shared" si="136"/>
        <v>Cephalosporines 3&amp;4G</v>
      </c>
      <c r="CC123" t="str">
        <f t="shared" si="137"/>
        <v/>
      </c>
      <c r="CD123" s="63" t="str">
        <f t="shared" si="138"/>
        <v/>
      </c>
      <c r="CG123" s="42">
        <v>120</v>
      </c>
      <c r="CH123" s="42" t="e">
        <f t="shared" si="163"/>
        <v>#N/A</v>
      </c>
      <c r="CI123" s="63" t="e">
        <f t="shared" si="164"/>
        <v>#N/A</v>
      </c>
      <c r="CV123" s="224"/>
      <c r="CW123" s="224"/>
      <c r="DM123" s="63"/>
      <c r="EA123" s="194" t="str">
        <f t="shared" ca="1" si="139"/>
        <v>x</v>
      </c>
      <c r="EB123" s="226" t="str">
        <f>IFERROR(IF(ED123=0,"",COUNTIF(ED$4:ED$600,"&gt;"&amp;ED123)+COUNTIF(ED$4:ED123,ED123)),"")</f>
        <v/>
      </c>
      <c r="EC123" t="str">
        <f t="shared" si="140"/>
        <v>COBACTAN LA 7,5 % SUSPENSION INJECTABLE POUR BOVINS</v>
      </c>
      <c r="ED123" t="e">
        <f>IF(IF(EL$2="Catégorie",IF(EL$3="Toutes",SUMIFS('Étape 1 - à remplir'!$F$31:$F$400,'Étape 1 - à remplir'!$E$31:$E$400,MASQ2!EC123,'Étape 1 - à remplir'!$G$31:$G$400,"kg"),SUMIFS('Étape 1 - à remplir'!$F$31:$F$400,'Étape 1 - à remplir'!$E$31:$E$400,MASQ2!EC123,'Étape 1 - à remplir'!$C$31:$C$400,EL$3)),IF(EL$2="Âge",IF(EL$3="Tous",SUMIFS('Étape 1 - à remplir'!$F$31:$F$400,'Étape 1 - à remplir'!$E$31:$E$400,MASQ2!EC123,'Étape 1 - à remplir'!$G$31:$G$400,"kg"),SUMIFS('Étape 1 - à remplir'!$F$31:$F$400,'Étape 1 - à remplir'!$E$31:$E$400,MASQ2!EC123,'Étape 1 - à remplir'!$P$31:$P$400,EL$3,'Étape 1 - à remplir'!$G$31:$G$400,"kg")),IF(EL$2="Atelier",IF(EL$3="Tous",SUMIFS('Étape 1 - à remplir'!$F$31:$F$400,'Étape 1 - à remplir'!$E$31:$E$400,MASQ2!EC123,'Étape 1 - à remplir'!$G$31:$G$400,"kg"),SUMIFS('Étape 1 - à remplir'!$F$31:$F$400,'Étape 1 - à remplir'!$E$31:$E$400,MASQ2!EC123,'Étape 1 - à remplir'!$O$31:$O$400,EL$3,'Étape 1 - à remplir'!$G$31:$G$400,"kg")),IF(EL$2="Espèce",IF(EL$3="Toutes",SUMIFS('Étape 1 - à remplir'!$F$31:$F$400,'Étape 1 - à remplir'!$E$31:$E$400,MASQ2!EC123,'Étape 1 - à remplir'!$G$31:$G$400,"kg"),SUMIFS('Étape 1 - à remplir'!$F$31:$F$400,'Étape 1 - à remplir'!$E$31:$E$400,MASQ2!EC123,'Étape 1 - à remplir'!$N$31:$N$400,EL$3,'Étape 1 - à remplir'!$G$31:$G$400,"kg"))))))=0,NA(),IF(EL$2="Catégorie",IF(EL$3="Toutes",SUMIFS('Étape 1 - à remplir'!$F$31:$F$400,'Étape 1 - à remplir'!$E$31:$E$400,MASQ2!EC123,'Étape 1 - à remplir'!$G$31:$G$400,"kg"),SUMIFS('Étape 1 - à remplir'!$F$31:$F$400,'Étape 1 - à remplir'!$E$31:$E$400,MASQ2!EC123,'Étape 1 - à remplir'!$C$31:$C$400,EL$3)),IF(EL$2="Âge",IF(EL$3="Tous",SUMIFS('Étape 1 - à remplir'!$F$31:$F$400,'Étape 1 - à remplir'!$E$31:$E$400,MASQ2!EC123,'Étape 1 - à remplir'!$G$31:$G$400,"kg"),SUMIFS('Étape 1 - à remplir'!$F$31:$F$400,'Étape 1 - à remplir'!$E$31:$E$400,MASQ2!EC123,'Étape 1 - à remplir'!$P$31:$P$400,EL$3,'Étape 1 - à remplir'!$G$31:$G$400,"kg")),IF(EL$2="Atelier",IF(EL$3="Tous",SUMIFS('Étape 1 - à remplir'!$F$31:$F$400,'Étape 1 - à remplir'!$E$31:$E$400,MASQ2!EC123,'Étape 1 - à remplir'!$G$31:$G$400,"kg"),SUMIFS('Étape 1 - à remplir'!$F$31:$F$400,'Étape 1 - à remplir'!$E$31:$E$400,MASQ2!EC123,'Étape 1 - à remplir'!$O$31:$O$400,EL$3,'Étape 1 - à remplir'!$G$31:$G$400,"kg")),IF(EL$2="Espèce",IF(EL$3="Toutes",SUMIFS('Étape 1 - à remplir'!$F$31:$F$400,'Étape 1 - à remplir'!$E$31:$E$400,MASQ2!EC123,'Étape 1 - à remplir'!$G$31:$G$400,"kg"),SUMIFS('Étape 1 - à remplir'!$F$31:$F$400,'Étape 1 - à remplir'!$E$31:$E$400,MASQ2!EC123,'Étape 1 - à remplir'!$N$31:$N$400,EL$3,'Étape 1 - à remplir'!$G$31:$G$400,"kg")))))))</f>
        <v>#N/A</v>
      </c>
      <c r="EE123" s="76">
        <f t="shared" si="150"/>
        <v>0</v>
      </c>
      <c r="EF123" t="str">
        <f t="shared" si="141"/>
        <v>Cefquinome</v>
      </c>
      <c r="EG123" t="str">
        <f t="shared" si="142"/>
        <v/>
      </c>
      <c r="EH123" t="str">
        <f t="shared" si="143"/>
        <v/>
      </c>
      <c r="EI123" t="str">
        <f t="shared" si="144"/>
        <v>Cephalosporines 3&amp;4G</v>
      </c>
      <c r="EJ123" t="str">
        <f t="shared" si="145"/>
        <v/>
      </c>
      <c r="EK123" s="63" t="str">
        <f t="shared" si="146"/>
        <v/>
      </c>
      <c r="EN123" s="42">
        <v>120</v>
      </c>
      <c r="EO123" t="e">
        <f t="shared" si="152"/>
        <v>#N/A</v>
      </c>
      <c r="EP123" s="63" t="e">
        <f t="shared" si="153"/>
        <v>#N/A</v>
      </c>
      <c r="FT123" s="63"/>
    </row>
    <row r="124" spans="2:176" x14ac:dyDescent="0.3">
      <c r="B124" s="42"/>
      <c r="M124" s="194" t="str">
        <f ca="1">INDEX(Données_ATB!BD:BU,MATCH(MASQ2!O124,Données_ATB!BD:BD,0),18)</f>
        <v>x</v>
      </c>
      <c r="N124" s="14" t="str">
        <f>IFERROR(IF(Q124=0,"",COUNTIF(Q$4:Q$600,"&gt;"&amp;Q124)+COUNTIF(Q$4:Q124,Q124)),"")</f>
        <v/>
      </c>
      <c r="O124" t="str">
        <f>Données_ATB!BD123</f>
        <v>COBACTAN LC POMMADE INTRAMAMMAIRE</v>
      </c>
      <c r="P124" t="e">
        <f>IF(IF(X$2="Catégorie",IF(X$3="Toutes",SUMIFS('Étape 1 - à remplir'!$F$31:$F$400,'Étape 1 - à remplir'!$E$31:$E$400,MASQ2!O124,'Étape 1 - à remplir'!$G$31:$G$400,"animaux"),SUMIFS('Étape 1 - à remplir'!$F$31:$F$400,'Étape 1 - à remplir'!$E$31:$E$400,MASQ2!O124,'Étape 1 - à remplir'!$C$31:$C$400,X$3)),IF(X$2="Âge",IF(X$3="Tous",SUMIFS('Étape 1 - à remplir'!$F$31:$F$400,'Étape 1 - à remplir'!$E$31:$E$400,MASQ2!O124,'Étape 1 - à remplir'!$G$31:$G$400,"animaux"),SUMIFS('Étape 1 - à remplir'!$F$31:$F$400,'Étape 1 - à remplir'!$E$31:$E$400,MASQ2!O124,'Étape 1 - à remplir'!$P$31:$P$400,X$3)),IF(X$2="Atelier",IF(X$3="Tous",SUMIFS('Étape 1 - à remplir'!$F$31:$F$400,'Étape 1 - à remplir'!$E$31:$E$400,MASQ2!O124,'Étape 1 - à remplir'!$G$31:$G$400,"animaux"),SUMIFS('Étape 1 - à remplir'!$F$31:$F$400,'Étape 1 - à remplir'!$E$31:$E$400,MASQ2!O124,'Étape 1 - à remplir'!$O$31:$O$400,X$3)),IF(X$2="Espèce",IF(X$3="Toutes",SUMIFS('Étape 1 - à remplir'!$F$31:$F$400,'Étape 1 - à remplir'!$E$31:$E$400,MASQ2!O124,'Étape 1 - à remplir'!$G$31:$G$400,"animaux"),SUMIFS('Étape 1 - à remplir'!$F$31:$F$400,'Étape 1 - à remplir'!$E$31:$E$400,MASQ2!O124,'Étape 1 - à remplir'!$N$31:$N$400,X$3))))))=0,NA(),IF(X$2="Catégorie",IF(X$3="Toutes",SUMIFS('Étape 1 - à remplir'!$F$31:$F$400,'Étape 1 - à remplir'!$E$31:$E$400,MASQ2!O124,'Étape 1 - à remplir'!$G$31:$G$400,"animaux"),SUMIFS('Étape 1 - à remplir'!$F$31:$F$400,'Étape 1 - à remplir'!$E$31:$E$400,MASQ2!O124,'Étape 1 - à remplir'!$C$31:$C$400,X$3)),IF(X$2="Âge",IF(X$3="Tous",SUMIFS('Étape 1 - à remplir'!$F$31:$F$400,'Étape 1 - à remplir'!$E$31:$E$400,MASQ2!O124,'Étape 1 - à remplir'!$G$31:$G$400,"animaux"),SUMIFS('Étape 1 - à remplir'!$F$31:$F$400,'Étape 1 - à remplir'!$E$31:$E$400,MASQ2!O124,'Étape 1 - à remplir'!$P$31:$P$400,X$3)),IF(X$2="Atelier",IF(X$3="Tous",SUMIFS('Étape 1 - à remplir'!$F$31:$F$400,'Étape 1 - à remplir'!$E$31:$E$400,MASQ2!O124,'Étape 1 - à remplir'!$G$31:$G$400,"animaux"),SUMIFS('Étape 1 - à remplir'!$F$31:$F$400,'Étape 1 - à remplir'!$E$31:$E$400,MASQ2!O124,'Étape 1 - à remplir'!$O$31:$O$400,X$3)),IF(X$2="Espèce",IF(X$3="Toutes",SUMIFS('Étape 1 - à remplir'!$F$31:$F$400,'Étape 1 - à remplir'!$E$31:$E$400,MASQ2!O124,'Étape 1 - à remplir'!$G$31:$G$400,"animaux"),SUMIFS('Étape 1 - à remplir'!$F$31:$F$400,'Étape 1 - à remplir'!$E$31:$E$400,MASQ2!O124,'Étape 1 - à remplir'!$N$31:$N$400,X$3)))))))</f>
        <v>#N/A</v>
      </c>
      <c r="Q124" s="63">
        <f t="shared" si="151"/>
        <v>0</v>
      </c>
      <c r="R124" t="str">
        <f>Données_ATB!BM123</f>
        <v>Cefquinome</v>
      </c>
      <c r="S124" t="str">
        <f>Données_ATB!BN123</f>
        <v/>
      </c>
      <c r="T124" s="63" t="str">
        <f>Données_ATB!BO123</f>
        <v/>
      </c>
      <c r="U124" s="42" t="str">
        <f>Données_ATB!BQ123</f>
        <v>Cephalosporines 3&amp;4G</v>
      </c>
      <c r="V124" t="str">
        <f>Données_ATB!BR123</f>
        <v/>
      </c>
      <c r="W124" s="63" t="str">
        <f>Données_ATB!BS123</f>
        <v/>
      </c>
      <c r="Z124" s="42">
        <v>121</v>
      </c>
      <c r="AA124" t="e">
        <f t="shared" si="147"/>
        <v>#N/A</v>
      </c>
      <c r="AB124" s="63" t="e">
        <f t="shared" si="148"/>
        <v>#N/A</v>
      </c>
      <c r="BF124" s="63"/>
      <c r="BT124" s="194" t="str">
        <f t="shared" ca="1" si="131"/>
        <v>x</v>
      </c>
      <c r="BU124" s="219" t="str">
        <f>IFERROR(IF(BX124=0,"",COUNTIF(BX$4:BX$600,"&gt;"&amp;BX124)+COUNTIF(BX$4:BX124,BX124)),"")</f>
        <v/>
      </c>
      <c r="BV124" s="42" t="str">
        <f t="shared" si="132"/>
        <v>COBACTAN LC POMMADE INTRAMAMMAIRE</v>
      </c>
      <c r="BW124" t="e">
        <f>IF(IF(CE$2="Catégorie",IF(CE$3="Toutes",SUMIFS('Étape 1 - à remplir'!$F$31:$F$400,'Étape 1 - à remplir'!$E$31:$E$400,MASQ2!BV124,'Étape 1 - à remplir'!$G$31:$G$400,"lots"),SUMIFS('Étape 1 - à remplir'!$F$31:$F$400,'Étape 1 - à remplir'!$E$31:$E$400,MASQ2!BV124,'Étape 1 - à remplir'!$C$31:$C$400,CE$3)),IF(CE$2="Âge",IF(CE$3="Tous",SUMIFS('Étape 1 - à remplir'!$F$31:$F$400,'Étape 1 - à remplir'!$E$31:$E$400,MASQ2!BV124,'Étape 1 - à remplir'!$G$31:$G$400,"lots"),SUMIFS('Étape 1 - à remplir'!$F$31:$F$400,'Étape 1 - à remplir'!$E$31:$E$400,MASQ2!BV124,'Étape 1 - à remplir'!$P$31:$P$400,CE$3,'Étape 1 - à remplir'!$G$31:$G$400,"lots")),IF(CE$2="Atelier",IF(CE$3="Tous",SUMIFS('Étape 1 - à remplir'!$F$31:$F$400,'Étape 1 - à remplir'!$E$31:$E$400,MASQ2!BV124,'Étape 1 - à remplir'!$G$31:$G$400,"lots"),SUMIFS('Étape 1 - à remplir'!$F$31:$F$400,'Étape 1 - à remplir'!$E$31:$E$400,MASQ2!BV124,'Étape 1 - à remplir'!$O$31:$O$400,CE$3,'Étape 1 - à remplir'!$G$31:$G$400,"lots")),IF(CE$2="Espèce",IF(CE$3="Toutes",SUMIFS('Étape 1 - à remplir'!$F$31:$F$400,'Étape 1 - à remplir'!$E$31:$E$400,MASQ2!BV124,'Étape 1 - à remplir'!$G$31:$G$400,"lots"),SUMIFS('Étape 1 - à remplir'!$F$31:$F$400,'Étape 1 - à remplir'!$E$31:$E$400,MASQ2!BV124,'Étape 1 - à remplir'!$N$31:$N$400,CE$3,'Étape 1 - à remplir'!$G$31:$G$400,"lots"))))))=0,NA(),IF(CE$2="Catégorie",IF(CE$3="Toutes",SUMIFS('Étape 1 - à remplir'!$F$31:$F$400,'Étape 1 - à remplir'!$E$31:$E$400,MASQ2!BV124,'Étape 1 - à remplir'!$G$31:$G$400,"lots"),SUMIFS('Étape 1 - à remplir'!$F$31:$F$400,'Étape 1 - à remplir'!$E$31:$E$400,MASQ2!BV124,'Étape 1 - à remplir'!$C$31:$C$400,CE$3)),IF(CE$2="Âge",IF(CE$3="Tous",SUMIFS('Étape 1 - à remplir'!$F$31:$F$400,'Étape 1 - à remplir'!$E$31:$E$400,MASQ2!BV124,'Étape 1 - à remplir'!$G$31:$G$400,"lots"),SUMIFS('Étape 1 - à remplir'!$F$31:$F$400,'Étape 1 - à remplir'!$E$31:$E$400,MASQ2!BV124,'Étape 1 - à remplir'!$P$31:$P$400,CE$3,'Étape 1 - à remplir'!$G$31:$G$400,"lots")),IF(CE$2="Atelier",IF(CE$3="Tous",SUMIFS('Étape 1 - à remplir'!$F$31:$F$400,'Étape 1 - à remplir'!$E$31:$E$400,MASQ2!BV124,'Étape 1 - à remplir'!$G$31:$G$400,"lots"),SUMIFS('Étape 1 - à remplir'!$F$31:$F$400,'Étape 1 - à remplir'!$E$31:$E$400,MASQ2!BV124,'Étape 1 - à remplir'!$O$31:$O$400,CE$3,'Étape 1 - à remplir'!$G$31:$G$400,"lots")),IF(CE$2="Espèce",IF(CE$3="Toutes",SUMIFS('Étape 1 - à remplir'!$F$31:$F$400,'Étape 1 - à remplir'!$E$31:$E$400,MASQ2!BV124,'Étape 1 - à remplir'!$G$31:$G$400,"lots"),SUMIFS('Étape 1 - à remplir'!$F$31:$F$400,'Étape 1 - à remplir'!$E$31:$E$400,MASQ2!BV124,'Étape 1 - à remplir'!$N$31:$N$400,CE$3,'Étape 1 - à remplir'!$G$31:$G$400,"lots")))))))</f>
        <v>#N/A</v>
      </c>
      <c r="BX124">
        <f t="shared" si="149"/>
        <v>0</v>
      </c>
      <c r="BY124" t="str">
        <f t="shared" si="133"/>
        <v>Cefquinome</v>
      </c>
      <c r="BZ124" t="str">
        <f t="shared" si="134"/>
        <v/>
      </c>
      <c r="CA124" t="str">
        <f t="shared" si="135"/>
        <v/>
      </c>
      <c r="CB124" t="str">
        <f t="shared" si="136"/>
        <v>Cephalosporines 3&amp;4G</v>
      </c>
      <c r="CC124" t="str">
        <f t="shared" si="137"/>
        <v/>
      </c>
      <c r="CD124" s="63" t="str">
        <f t="shared" si="138"/>
        <v/>
      </c>
      <c r="CG124" s="42">
        <v>121</v>
      </c>
      <c r="CH124" s="42" t="e">
        <f t="shared" si="163"/>
        <v>#N/A</v>
      </c>
      <c r="CI124" s="63" t="e">
        <f t="shared" si="164"/>
        <v>#N/A</v>
      </c>
      <c r="DM124" s="63"/>
      <c r="EA124" s="194" t="str">
        <f t="shared" ca="1" si="139"/>
        <v>x</v>
      </c>
      <c r="EB124" s="226" t="str">
        <f>IFERROR(IF(ED124=0,"",COUNTIF(ED$4:ED$600,"&gt;"&amp;ED124)+COUNTIF(ED$4:ED124,ED124)),"")</f>
        <v/>
      </c>
      <c r="EC124" t="str">
        <f t="shared" si="140"/>
        <v>COBACTAN LC POMMADE INTRAMAMMAIRE</v>
      </c>
      <c r="ED124" t="e">
        <f>IF(IF(EL$2="Catégorie",IF(EL$3="Toutes",SUMIFS('Étape 1 - à remplir'!$F$31:$F$400,'Étape 1 - à remplir'!$E$31:$E$400,MASQ2!EC124,'Étape 1 - à remplir'!$G$31:$G$400,"kg"),SUMIFS('Étape 1 - à remplir'!$F$31:$F$400,'Étape 1 - à remplir'!$E$31:$E$400,MASQ2!EC124,'Étape 1 - à remplir'!$C$31:$C$400,EL$3)),IF(EL$2="Âge",IF(EL$3="Tous",SUMIFS('Étape 1 - à remplir'!$F$31:$F$400,'Étape 1 - à remplir'!$E$31:$E$400,MASQ2!EC124,'Étape 1 - à remplir'!$G$31:$G$400,"kg"),SUMIFS('Étape 1 - à remplir'!$F$31:$F$400,'Étape 1 - à remplir'!$E$31:$E$400,MASQ2!EC124,'Étape 1 - à remplir'!$P$31:$P$400,EL$3,'Étape 1 - à remplir'!$G$31:$G$400,"kg")),IF(EL$2="Atelier",IF(EL$3="Tous",SUMIFS('Étape 1 - à remplir'!$F$31:$F$400,'Étape 1 - à remplir'!$E$31:$E$400,MASQ2!EC124,'Étape 1 - à remplir'!$G$31:$G$400,"kg"),SUMIFS('Étape 1 - à remplir'!$F$31:$F$400,'Étape 1 - à remplir'!$E$31:$E$400,MASQ2!EC124,'Étape 1 - à remplir'!$O$31:$O$400,EL$3,'Étape 1 - à remplir'!$G$31:$G$400,"kg")),IF(EL$2="Espèce",IF(EL$3="Toutes",SUMIFS('Étape 1 - à remplir'!$F$31:$F$400,'Étape 1 - à remplir'!$E$31:$E$400,MASQ2!EC124,'Étape 1 - à remplir'!$G$31:$G$400,"kg"),SUMIFS('Étape 1 - à remplir'!$F$31:$F$400,'Étape 1 - à remplir'!$E$31:$E$400,MASQ2!EC124,'Étape 1 - à remplir'!$N$31:$N$400,EL$3,'Étape 1 - à remplir'!$G$31:$G$400,"kg"))))))=0,NA(),IF(EL$2="Catégorie",IF(EL$3="Toutes",SUMIFS('Étape 1 - à remplir'!$F$31:$F$400,'Étape 1 - à remplir'!$E$31:$E$400,MASQ2!EC124,'Étape 1 - à remplir'!$G$31:$G$400,"kg"),SUMIFS('Étape 1 - à remplir'!$F$31:$F$400,'Étape 1 - à remplir'!$E$31:$E$400,MASQ2!EC124,'Étape 1 - à remplir'!$C$31:$C$400,EL$3)),IF(EL$2="Âge",IF(EL$3="Tous",SUMIFS('Étape 1 - à remplir'!$F$31:$F$400,'Étape 1 - à remplir'!$E$31:$E$400,MASQ2!EC124,'Étape 1 - à remplir'!$G$31:$G$400,"kg"),SUMIFS('Étape 1 - à remplir'!$F$31:$F$400,'Étape 1 - à remplir'!$E$31:$E$400,MASQ2!EC124,'Étape 1 - à remplir'!$P$31:$P$400,EL$3,'Étape 1 - à remplir'!$G$31:$G$400,"kg")),IF(EL$2="Atelier",IF(EL$3="Tous",SUMIFS('Étape 1 - à remplir'!$F$31:$F$400,'Étape 1 - à remplir'!$E$31:$E$400,MASQ2!EC124,'Étape 1 - à remplir'!$G$31:$G$400,"kg"),SUMIFS('Étape 1 - à remplir'!$F$31:$F$400,'Étape 1 - à remplir'!$E$31:$E$400,MASQ2!EC124,'Étape 1 - à remplir'!$O$31:$O$400,EL$3,'Étape 1 - à remplir'!$G$31:$G$400,"kg")),IF(EL$2="Espèce",IF(EL$3="Toutes",SUMIFS('Étape 1 - à remplir'!$F$31:$F$400,'Étape 1 - à remplir'!$E$31:$E$400,MASQ2!EC124,'Étape 1 - à remplir'!$G$31:$G$400,"kg"),SUMIFS('Étape 1 - à remplir'!$F$31:$F$400,'Étape 1 - à remplir'!$E$31:$E$400,MASQ2!EC124,'Étape 1 - à remplir'!$N$31:$N$400,EL$3,'Étape 1 - à remplir'!$G$31:$G$400,"kg")))))))</f>
        <v>#N/A</v>
      </c>
      <c r="EE124" s="76">
        <f t="shared" si="150"/>
        <v>0</v>
      </c>
      <c r="EF124" t="str">
        <f t="shared" si="141"/>
        <v>Cefquinome</v>
      </c>
      <c r="EG124" t="str">
        <f t="shared" si="142"/>
        <v/>
      </c>
      <c r="EH124" t="str">
        <f t="shared" si="143"/>
        <v/>
      </c>
      <c r="EI124" t="str">
        <f t="shared" si="144"/>
        <v>Cephalosporines 3&amp;4G</v>
      </c>
      <c r="EJ124" t="str">
        <f t="shared" si="145"/>
        <v/>
      </c>
      <c r="EK124" s="63" t="str">
        <f t="shared" si="146"/>
        <v/>
      </c>
      <c r="EN124" s="42">
        <v>121</v>
      </c>
      <c r="EO124" t="e">
        <f t="shared" si="152"/>
        <v>#N/A</v>
      </c>
      <c r="EP124" s="63" t="e">
        <f t="shared" si="153"/>
        <v>#N/A</v>
      </c>
      <c r="FT124" s="63"/>
    </row>
    <row r="125" spans="2:176" x14ac:dyDescent="0.3">
      <c r="B125" s="42"/>
      <c r="M125" s="194" t="str">
        <f ca="1">INDEX(Données_ATB!BD:BU,MATCH(MASQ2!O125,Données_ATB!BD:BD,0),18)</f>
        <v>x</v>
      </c>
      <c r="N125" s="14" t="str">
        <f>IFERROR(IF(Q125=0,"",COUNTIF(Q$4:Q$600,"&gt;"&amp;Q125)+COUNTIF(Q$4:Q125,Q125)),"")</f>
        <v/>
      </c>
      <c r="O125" t="str">
        <f>Données_ATB!BD124</f>
        <v>COFACOLI POUDRE</v>
      </c>
      <c r="P125" t="e">
        <f>IF(IF(X$2="Catégorie",IF(X$3="Toutes",SUMIFS('Étape 1 - à remplir'!$F$31:$F$400,'Étape 1 - à remplir'!$E$31:$E$400,MASQ2!O125,'Étape 1 - à remplir'!$G$31:$G$400,"animaux"),SUMIFS('Étape 1 - à remplir'!$F$31:$F$400,'Étape 1 - à remplir'!$E$31:$E$400,MASQ2!O125,'Étape 1 - à remplir'!$C$31:$C$400,X$3)),IF(X$2="Âge",IF(X$3="Tous",SUMIFS('Étape 1 - à remplir'!$F$31:$F$400,'Étape 1 - à remplir'!$E$31:$E$400,MASQ2!O125,'Étape 1 - à remplir'!$G$31:$G$400,"animaux"),SUMIFS('Étape 1 - à remplir'!$F$31:$F$400,'Étape 1 - à remplir'!$E$31:$E$400,MASQ2!O125,'Étape 1 - à remplir'!$P$31:$P$400,X$3)),IF(X$2="Atelier",IF(X$3="Tous",SUMIFS('Étape 1 - à remplir'!$F$31:$F$400,'Étape 1 - à remplir'!$E$31:$E$400,MASQ2!O125,'Étape 1 - à remplir'!$G$31:$G$400,"animaux"),SUMIFS('Étape 1 - à remplir'!$F$31:$F$400,'Étape 1 - à remplir'!$E$31:$E$400,MASQ2!O125,'Étape 1 - à remplir'!$O$31:$O$400,X$3)),IF(X$2="Espèce",IF(X$3="Toutes",SUMIFS('Étape 1 - à remplir'!$F$31:$F$400,'Étape 1 - à remplir'!$E$31:$E$400,MASQ2!O125,'Étape 1 - à remplir'!$G$31:$G$400,"animaux"),SUMIFS('Étape 1 - à remplir'!$F$31:$F$400,'Étape 1 - à remplir'!$E$31:$E$400,MASQ2!O125,'Étape 1 - à remplir'!$N$31:$N$400,X$3))))))=0,NA(),IF(X$2="Catégorie",IF(X$3="Toutes",SUMIFS('Étape 1 - à remplir'!$F$31:$F$400,'Étape 1 - à remplir'!$E$31:$E$400,MASQ2!O125,'Étape 1 - à remplir'!$G$31:$G$400,"animaux"),SUMIFS('Étape 1 - à remplir'!$F$31:$F$400,'Étape 1 - à remplir'!$E$31:$E$400,MASQ2!O125,'Étape 1 - à remplir'!$C$31:$C$400,X$3)),IF(X$2="Âge",IF(X$3="Tous",SUMIFS('Étape 1 - à remplir'!$F$31:$F$400,'Étape 1 - à remplir'!$E$31:$E$400,MASQ2!O125,'Étape 1 - à remplir'!$G$31:$G$400,"animaux"),SUMIFS('Étape 1 - à remplir'!$F$31:$F$400,'Étape 1 - à remplir'!$E$31:$E$400,MASQ2!O125,'Étape 1 - à remplir'!$P$31:$P$400,X$3)),IF(X$2="Atelier",IF(X$3="Tous",SUMIFS('Étape 1 - à remplir'!$F$31:$F$400,'Étape 1 - à remplir'!$E$31:$E$400,MASQ2!O125,'Étape 1 - à remplir'!$G$31:$G$400,"animaux"),SUMIFS('Étape 1 - à remplir'!$F$31:$F$400,'Étape 1 - à remplir'!$E$31:$E$400,MASQ2!O125,'Étape 1 - à remplir'!$O$31:$O$400,X$3)),IF(X$2="Espèce",IF(X$3="Toutes",SUMIFS('Étape 1 - à remplir'!$F$31:$F$400,'Étape 1 - à remplir'!$E$31:$E$400,MASQ2!O125,'Étape 1 - à remplir'!$G$31:$G$400,"animaux"),SUMIFS('Étape 1 - à remplir'!$F$31:$F$400,'Étape 1 - à remplir'!$E$31:$E$400,MASQ2!O125,'Étape 1 - à remplir'!$N$31:$N$400,X$3)))))))</f>
        <v>#N/A</v>
      </c>
      <c r="Q125" s="63">
        <f t="shared" si="151"/>
        <v>0</v>
      </c>
      <c r="R125" t="str">
        <f>Données_ATB!BM124</f>
        <v>Colistine</v>
      </c>
      <c r="S125" t="str">
        <f>Données_ATB!BN124</f>
        <v/>
      </c>
      <c r="T125" s="63" t="str">
        <f>Données_ATB!BO124</f>
        <v/>
      </c>
      <c r="U125" s="42" t="str">
        <f>Données_ATB!BQ124</f>
        <v>Polypeptides</v>
      </c>
      <c r="V125" t="str">
        <f>Données_ATB!BR124</f>
        <v/>
      </c>
      <c r="W125" s="63" t="str">
        <f>Données_ATB!BS124</f>
        <v/>
      </c>
      <c r="Z125" s="42">
        <v>122</v>
      </c>
      <c r="AA125" t="e">
        <f t="shared" si="147"/>
        <v>#N/A</v>
      </c>
      <c r="AB125" s="63" t="e">
        <f t="shared" si="148"/>
        <v>#N/A</v>
      </c>
      <c r="BF125" s="63"/>
      <c r="BT125" s="194" t="str">
        <f t="shared" ca="1" si="131"/>
        <v>x</v>
      </c>
      <c r="BU125" s="219" t="str">
        <f>IFERROR(IF(BX125=0,"",COUNTIF(BX$4:BX$600,"&gt;"&amp;BX125)+COUNTIF(BX$4:BX125,BX125)),"")</f>
        <v/>
      </c>
      <c r="BV125" s="42" t="str">
        <f t="shared" si="132"/>
        <v>COFACOLI POUDRE</v>
      </c>
      <c r="BW125" t="e">
        <f>IF(IF(CE$2="Catégorie",IF(CE$3="Toutes",SUMIFS('Étape 1 - à remplir'!$F$31:$F$400,'Étape 1 - à remplir'!$E$31:$E$400,MASQ2!BV125,'Étape 1 - à remplir'!$G$31:$G$400,"lots"),SUMIFS('Étape 1 - à remplir'!$F$31:$F$400,'Étape 1 - à remplir'!$E$31:$E$400,MASQ2!BV125,'Étape 1 - à remplir'!$C$31:$C$400,CE$3)),IF(CE$2="Âge",IF(CE$3="Tous",SUMIFS('Étape 1 - à remplir'!$F$31:$F$400,'Étape 1 - à remplir'!$E$31:$E$400,MASQ2!BV125,'Étape 1 - à remplir'!$G$31:$G$400,"lots"),SUMIFS('Étape 1 - à remplir'!$F$31:$F$400,'Étape 1 - à remplir'!$E$31:$E$400,MASQ2!BV125,'Étape 1 - à remplir'!$P$31:$P$400,CE$3,'Étape 1 - à remplir'!$G$31:$G$400,"lots")),IF(CE$2="Atelier",IF(CE$3="Tous",SUMIFS('Étape 1 - à remplir'!$F$31:$F$400,'Étape 1 - à remplir'!$E$31:$E$400,MASQ2!BV125,'Étape 1 - à remplir'!$G$31:$G$400,"lots"),SUMIFS('Étape 1 - à remplir'!$F$31:$F$400,'Étape 1 - à remplir'!$E$31:$E$400,MASQ2!BV125,'Étape 1 - à remplir'!$O$31:$O$400,CE$3,'Étape 1 - à remplir'!$G$31:$G$400,"lots")),IF(CE$2="Espèce",IF(CE$3="Toutes",SUMIFS('Étape 1 - à remplir'!$F$31:$F$400,'Étape 1 - à remplir'!$E$31:$E$400,MASQ2!BV125,'Étape 1 - à remplir'!$G$31:$G$400,"lots"),SUMIFS('Étape 1 - à remplir'!$F$31:$F$400,'Étape 1 - à remplir'!$E$31:$E$400,MASQ2!BV125,'Étape 1 - à remplir'!$N$31:$N$400,CE$3,'Étape 1 - à remplir'!$G$31:$G$400,"lots"))))))=0,NA(),IF(CE$2="Catégorie",IF(CE$3="Toutes",SUMIFS('Étape 1 - à remplir'!$F$31:$F$400,'Étape 1 - à remplir'!$E$31:$E$400,MASQ2!BV125,'Étape 1 - à remplir'!$G$31:$G$400,"lots"),SUMIFS('Étape 1 - à remplir'!$F$31:$F$400,'Étape 1 - à remplir'!$E$31:$E$400,MASQ2!BV125,'Étape 1 - à remplir'!$C$31:$C$400,CE$3)),IF(CE$2="Âge",IF(CE$3="Tous",SUMIFS('Étape 1 - à remplir'!$F$31:$F$400,'Étape 1 - à remplir'!$E$31:$E$400,MASQ2!BV125,'Étape 1 - à remplir'!$G$31:$G$400,"lots"),SUMIFS('Étape 1 - à remplir'!$F$31:$F$400,'Étape 1 - à remplir'!$E$31:$E$400,MASQ2!BV125,'Étape 1 - à remplir'!$P$31:$P$400,CE$3,'Étape 1 - à remplir'!$G$31:$G$400,"lots")),IF(CE$2="Atelier",IF(CE$3="Tous",SUMIFS('Étape 1 - à remplir'!$F$31:$F$400,'Étape 1 - à remplir'!$E$31:$E$400,MASQ2!BV125,'Étape 1 - à remplir'!$G$31:$G$400,"lots"),SUMIFS('Étape 1 - à remplir'!$F$31:$F$400,'Étape 1 - à remplir'!$E$31:$E$400,MASQ2!BV125,'Étape 1 - à remplir'!$O$31:$O$400,CE$3,'Étape 1 - à remplir'!$G$31:$G$400,"lots")),IF(CE$2="Espèce",IF(CE$3="Toutes",SUMIFS('Étape 1 - à remplir'!$F$31:$F$400,'Étape 1 - à remplir'!$E$31:$E$400,MASQ2!BV125,'Étape 1 - à remplir'!$G$31:$G$400,"lots"),SUMIFS('Étape 1 - à remplir'!$F$31:$F$400,'Étape 1 - à remplir'!$E$31:$E$400,MASQ2!BV125,'Étape 1 - à remplir'!$N$31:$N$400,CE$3,'Étape 1 - à remplir'!$G$31:$G$400,"lots")))))))</f>
        <v>#N/A</v>
      </c>
      <c r="BX125">
        <f t="shared" si="149"/>
        <v>0</v>
      </c>
      <c r="BY125" t="str">
        <f t="shared" si="133"/>
        <v>Colistine</v>
      </c>
      <c r="BZ125" t="str">
        <f t="shared" si="134"/>
        <v/>
      </c>
      <c r="CA125" t="str">
        <f t="shared" si="135"/>
        <v/>
      </c>
      <c r="CB125" t="str">
        <f t="shared" si="136"/>
        <v>Polypeptides</v>
      </c>
      <c r="CC125" t="str">
        <f t="shared" si="137"/>
        <v/>
      </c>
      <c r="CD125" s="63" t="str">
        <f t="shared" si="138"/>
        <v/>
      </c>
      <c r="CG125" s="42">
        <v>122</v>
      </c>
      <c r="CH125" s="42" t="e">
        <f t="shared" si="163"/>
        <v>#N/A</v>
      </c>
      <c r="CI125" s="63" t="e">
        <f t="shared" si="164"/>
        <v>#N/A</v>
      </c>
      <c r="DM125" s="63"/>
      <c r="EA125" s="194" t="str">
        <f t="shared" ca="1" si="139"/>
        <v>x</v>
      </c>
      <c r="EB125" s="226" t="str">
        <f>IFERROR(IF(ED125=0,"",COUNTIF(ED$4:ED$600,"&gt;"&amp;ED125)+COUNTIF(ED$4:ED125,ED125)),"")</f>
        <v/>
      </c>
      <c r="EC125" t="str">
        <f t="shared" si="140"/>
        <v>COFACOLI POUDRE</v>
      </c>
      <c r="ED125" t="e">
        <f>IF(IF(EL$2="Catégorie",IF(EL$3="Toutes",SUMIFS('Étape 1 - à remplir'!$F$31:$F$400,'Étape 1 - à remplir'!$E$31:$E$400,MASQ2!EC125,'Étape 1 - à remplir'!$G$31:$G$400,"kg"),SUMIFS('Étape 1 - à remplir'!$F$31:$F$400,'Étape 1 - à remplir'!$E$31:$E$400,MASQ2!EC125,'Étape 1 - à remplir'!$C$31:$C$400,EL$3)),IF(EL$2="Âge",IF(EL$3="Tous",SUMIFS('Étape 1 - à remplir'!$F$31:$F$400,'Étape 1 - à remplir'!$E$31:$E$400,MASQ2!EC125,'Étape 1 - à remplir'!$G$31:$G$400,"kg"),SUMIFS('Étape 1 - à remplir'!$F$31:$F$400,'Étape 1 - à remplir'!$E$31:$E$400,MASQ2!EC125,'Étape 1 - à remplir'!$P$31:$P$400,EL$3,'Étape 1 - à remplir'!$G$31:$G$400,"kg")),IF(EL$2="Atelier",IF(EL$3="Tous",SUMIFS('Étape 1 - à remplir'!$F$31:$F$400,'Étape 1 - à remplir'!$E$31:$E$400,MASQ2!EC125,'Étape 1 - à remplir'!$G$31:$G$400,"kg"),SUMIFS('Étape 1 - à remplir'!$F$31:$F$400,'Étape 1 - à remplir'!$E$31:$E$400,MASQ2!EC125,'Étape 1 - à remplir'!$O$31:$O$400,EL$3,'Étape 1 - à remplir'!$G$31:$G$400,"kg")),IF(EL$2="Espèce",IF(EL$3="Toutes",SUMIFS('Étape 1 - à remplir'!$F$31:$F$400,'Étape 1 - à remplir'!$E$31:$E$400,MASQ2!EC125,'Étape 1 - à remplir'!$G$31:$G$400,"kg"),SUMIFS('Étape 1 - à remplir'!$F$31:$F$400,'Étape 1 - à remplir'!$E$31:$E$400,MASQ2!EC125,'Étape 1 - à remplir'!$N$31:$N$400,EL$3,'Étape 1 - à remplir'!$G$31:$G$400,"kg"))))))=0,NA(),IF(EL$2="Catégorie",IF(EL$3="Toutes",SUMIFS('Étape 1 - à remplir'!$F$31:$F$400,'Étape 1 - à remplir'!$E$31:$E$400,MASQ2!EC125,'Étape 1 - à remplir'!$G$31:$G$400,"kg"),SUMIFS('Étape 1 - à remplir'!$F$31:$F$400,'Étape 1 - à remplir'!$E$31:$E$400,MASQ2!EC125,'Étape 1 - à remplir'!$C$31:$C$400,EL$3)),IF(EL$2="Âge",IF(EL$3="Tous",SUMIFS('Étape 1 - à remplir'!$F$31:$F$400,'Étape 1 - à remplir'!$E$31:$E$400,MASQ2!EC125,'Étape 1 - à remplir'!$G$31:$G$400,"kg"),SUMIFS('Étape 1 - à remplir'!$F$31:$F$400,'Étape 1 - à remplir'!$E$31:$E$400,MASQ2!EC125,'Étape 1 - à remplir'!$P$31:$P$400,EL$3,'Étape 1 - à remplir'!$G$31:$G$400,"kg")),IF(EL$2="Atelier",IF(EL$3="Tous",SUMIFS('Étape 1 - à remplir'!$F$31:$F$400,'Étape 1 - à remplir'!$E$31:$E$400,MASQ2!EC125,'Étape 1 - à remplir'!$G$31:$G$400,"kg"),SUMIFS('Étape 1 - à remplir'!$F$31:$F$400,'Étape 1 - à remplir'!$E$31:$E$400,MASQ2!EC125,'Étape 1 - à remplir'!$O$31:$O$400,EL$3,'Étape 1 - à remplir'!$G$31:$G$400,"kg")),IF(EL$2="Espèce",IF(EL$3="Toutes",SUMIFS('Étape 1 - à remplir'!$F$31:$F$400,'Étape 1 - à remplir'!$E$31:$E$400,MASQ2!EC125,'Étape 1 - à remplir'!$G$31:$G$400,"kg"),SUMIFS('Étape 1 - à remplir'!$F$31:$F$400,'Étape 1 - à remplir'!$E$31:$E$400,MASQ2!EC125,'Étape 1 - à remplir'!$N$31:$N$400,EL$3,'Étape 1 - à remplir'!$G$31:$G$400,"kg")))))))</f>
        <v>#N/A</v>
      </c>
      <c r="EE125" s="76">
        <f t="shared" si="150"/>
        <v>0</v>
      </c>
      <c r="EF125" t="str">
        <f t="shared" si="141"/>
        <v>Colistine</v>
      </c>
      <c r="EG125" t="str">
        <f t="shared" si="142"/>
        <v/>
      </c>
      <c r="EH125" t="str">
        <f t="shared" si="143"/>
        <v/>
      </c>
      <c r="EI125" t="str">
        <f t="shared" si="144"/>
        <v>Polypeptides</v>
      </c>
      <c r="EJ125" t="str">
        <f t="shared" si="145"/>
        <v/>
      </c>
      <c r="EK125" s="63" t="str">
        <f t="shared" si="146"/>
        <v/>
      </c>
      <c r="EN125" s="42">
        <v>122</v>
      </c>
      <c r="EO125" t="e">
        <f t="shared" si="152"/>
        <v>#N/A</v>
      </c>
      <c r="EP125" s="63" t="e">
        <f t="shared" si="153"/>
        <v>#N/A</v>
      </c>
      <c r="FT125" s="63"/>
    </row>
    <row r="126" spans="2:176" x14ac:dyDescent="0.3">
      <c r="B126" s="42"/>
      <c r="M126" s="194" t="str">
        <f ca="1">INDEX(Données_ATB!BD:BU,MATCH(MASQ2!O126,Données_ATB!BD:BD,0),18)</f>
        <v>x</v>
      </c>
      <c r="N126" s="14" t="str">
        <f>IFERROR(IF(Q126=0,"",COUNTIF(Q$4:Q$600,"&gt;"&amp;Q126)+COUNTIF(Q$4:Q126,Q126)),"")</f>
        <v/>
      </c>
      <c r="O126" t="str">
        <f>Données_ATB!BD125</f>
        <v>COFACOLI SOLUTION</v>
      </c>
      <c r="P126" t="e">
        <f>IF(IF(X$2="Catégorie",IF(X$3="Toutes",SUMIFS('Étape 1 - à remplir'!$F$31:$F$400,'Étape 1 - à remplir'!$E$31:$E$400,MASQ2!O126,'Étape 1 - à remplir'!$G$31:$G$400,"animaux"),SUMIFS('Étape 1 - à remplir'!$F$31:$F$400,'Étape 1 - à remplir'!$E$31:$E$400,MASQ2!O126,'Étape 1 - à remplir'!$C$31:$C$400,X$3)),IF(X$2="Âge",IF(X$3="Tous",SUMIFS('Étape 1 - à remplir'!$F$31:$F$400,'Étape 1 - à remplir'!$E$31:$E$400,MASQ2!O126,'Étape 1 - à remplir'!$G$31:$G$400,"animaux"),SUMIFS('Étape 1 - à remplir'!$F$31:$F$400,'Étape 1 - à remplir'!$E$31:$E$400,MASQ2!O126,'Étape 1 - à remplir'!$P$31:$P$400,X$3)),IF(X$2="Atelier",IF(X$3="Tous",SUMIFS('Étape 1 - à remplir'!$F$31:$F$400,'Étape 1 - à remplir'!$E$31:$E$400,MASQ2!O126,'Étape 1 - à remplir'!$G$31:$G$400,"animaux"),SUMIFS('Étape 1 - à remplir'!$F$31:$F$400,'Étape 1 - à remplir'!$E$31:$E$400,MASQ2!O126,'Étape 1 - à remplir'!$O$31:$O$400,X$3)),IF(X$2="Espèce",IF(X$3="Toutes",SUMIFS('Étape 1 - à remplir'!$F$31:$F$400,'Étape 1 - à remplir'!$E$31:$E$400,MASQ2!O126,'Étape 1 - à remplir'!$G$31:$G$400,"animaux"),SUMIFS('Étape 1 - à remplir'!$F$31:$F$400,'Étape 1 - à remplir'!$E$31:$E$400,MASQ2!O126,'Étape 1 - à remplir'!$N$31:$N$400,X$3))))))=0,NA(),IF(X$2="Catégorie",IF(X$3="Toutes",SUMIFS('Étape 1 - à remplir'!$F$31:$F$400,'Étape 1 - à remplir'!$E$31:$E$400,MASQ2!O126,'Étape 1 - à remplir'!$G$31:$G$400,"animaux"),SUMIFS('Étape 1 - à remplir'!$F$31:$F$400,'Étape 1 - à remplir'!$E$31:$E$400,MASQ2!O126,'Étape 1 - à remplir'!$C$31:$C$400,X$3)),IF(X$2="Âge",IF(X$3="Tous",SUMIFS('Étape 1 - à remplir'!$F$31:$F$400,'Étape 1 - à remplir'!$E$31:$E$400,MASQ2!O126,'Étape 1 - à remplir'!$G$31:$G$400,"animaux"),SUMIFS('Étape 1 - à remplir'!$F$31:$F$400,'Étape 1 - à remplir'!$E$31:$E$400,MASQ2!O126,'Étape 1 - à remplir'!$P$31:$P$400,X$3)),IF(X$2="Atelier",IF(X$3="Tous",SUMIFS('Étape 1 - à remplir'!$F$31:$F$400,'Étape 1 - à remplir'!$E$31:$E$400,MASQ2!O126,'Étape 1 - à remplir'!$G$31:$G$400,"animaux"),SUMIFS('Étape 1 - à remplir'!$F$31:$F$400,'Étape 1 - à remplir'!$E$31:$E$400,MASQ2!O126,'Étape 1 - à remplir'!$O$31:$O$400,X$3)),IF(X$2="Espèce",IF(X$3="Toutes",SUMIFS('Étape 1 - à remplir'!$F$31:$F$400,'Étape 1 - à remplir'!$E$31:$E$400,MASQ2!O126,'Étape 1 - à remplir'!$G$31:$G$400,"animaux"),SUMIFS('Étape 1 - à remplir'!$F$31:$F$400,'Étape 1 - à remplir'!$E$31:$E$400,MASQ2!O126,'Étape 1 - à remplir'!$N$31:$N$400,X$3)))))))</f>
        <v>#N/A</v>
      </c>
      <c r="Q126" s="63">
        <f t="shared" si="151"/>
        <v>0</v>
      </c>
      <c r="R126" t="str">
        <f>Données_ATB!BM125</f>
        <v>Colistine</v>
      </c>
      <c r="S126" t="str">
        <f>Données_ATB!BN125</f>
        <v/>
      </c>
      <c r="T126" s="63" t="str">
        <f>Données_ATB!BO125</f>
        <v/>
      </c>
      <c r="U126" s="42" t="str">
        <f>Données_ATB!BQ125</f>
        <v>Polypeptides</v>
      </c>
      <c r="V126" t="str">
        <f>Données_ATB!BR125</f>
        <v/>
      </c>
      <c r="W126" s="63" t="str">
        <f>Données_ATB!BS125</f>
        <v/>
      </c>
      <c r="Z126" s="42">
        <v>123</v>
      </c>
      <c r="AA126" t="e">
        <f t="shared" si="147"/>
        <v>#N/A</v>
      </c>
      <c r="AB126" s="63" t="e">
        <f t="shared" si="148"/>
        <v>#N/A</v>
      </c>
      <c r="BF126" s="63"/>
      <c r="BT126" s="194" t="str">
        <f t="shared" ca="1" si="131"/>
        <v>x</v>
      </c>
      <c r="BU126" s="219" t="str">
        <f>IFERROR(IF(BX126=0,"",COUNTIF(BX$4:BX$600,"&gt;"&amp;BX126)+COUNTIF(BX$4:BX126,BX126)),"")</f>
        <v/>
      </c>
      <c r="BV126" s="42" t="str">
        <f t="shared" si="132"/>
        <v>COFACOLI SOLUTION</v>
      </c>
      <c r="BW126" t="e">
        <f>IF(IF(CE$2="Catégorie",IF(CE$3="Toutes",SUMIFS('Étape 1 - à remplir'!$F$31:$F$400,'Étape 1 - à remplir'!$E$31:$E$400,MASQ2!BV126,'Étape 1 - à remplir'!$G$31:$G$400,"lots"),SUMIFS('Étape 1 - à remplir'!$F$31:$F$400,'Étape 1 - à remplir'!$E$31:$E$400,MASQ2!BV126,'Étape 1 - à remplir'!$C$31:$C$400,CE$3)),IF(CE$2="Âge",IF(CE$3="Tous",SUMIFS('Étape 1 - à remplir'!$F$31:$F$400,'Étape 1 - à remplir'!$E$31:$E$400,MASQ2!BV126,'Étape 1 - à remplir'!$G$31:$G$400,"lots"),SUMIFS('Étape 1 - à remplir'!$F$31:$F$400,'Étape 1 - à remplir'!$E$31:$E$400,MASQ2!BV126,'Étape 1 - à remplir'!$P$31:$P$400,CE$3,'Étape 1 - à remplir'!$G$31:$G$400,"lots")),IF(CE$2="Atelier",IF(CE$3="Tous",SUMIFS('Étape 1 - à remplir'!$F$31:$F$400,'Étape 1 - à remplir'!$E$31:$E$400,MASQ2!BV126,'Étape 1 - à remplir'!$G$31:$G$400,"lots"),SUMIFS('Étape 1 - à remplir'!$F$31:$F$400,'Étape 1 - à remplir'!$E$31:$E$400,MASQ2!BV126,'Étape 1 - à remplir'!$O$31:$O$400,CE$3,'Étape 1 - à remplir'!$G$31:$G$400,"lots")),IF(CE$2="Espèce",IF(CE$3="Toutes",SUMIFS('Étape 1 - à remplir'!$F$31:$F$400,'Étape 1 - à remplir'!$E$31:$E$400,MASQ2!BV126,'Étape 1 - à remplir'!$G$31:$G$400,"lots"),SUMIFS('Étape 1 - à remplir'!$F$31:$F$400,'Étape 1 - à remplir'!$E$31:$E$400,MASQ2!BV126,'Étape 1 - à remplir'!$N$31:$N$400,CE$3,'Étape 1 - à remplir'!$G$31:$G$400,"lots"))))))=0,NA(),IF(CE$2="Catégorie",IF(CE$3="Toutes",SUMIFS('Étape 1 - à remplir'!$F$31:$F$400,'Étape 1 - à remplir'!$E$31:$E$400,MASQ2!BV126,'Étape 1 - à remplir'!$G$31:$G$400,"lots"),SUMIFS('Étape 1 - à remplir'!$F$31:$F$400,'Étape 1 - à remplir'!$E$31:$E$400,MASQ2!BV126,'Étape 1 - à remplir'!$C$31:$C$400,CE$3)),IF(CE$2="Âge",IF(CE$3="Tous",SUMIFS('Étape 1 - à remplir'!$F$31:$F$400,'Étape 1 - à remplir'!$E$31:$E$400,MASQ2!BV126,'Étape 1 - à remplir'!$G$31:$G$400,"lots"),SUMIFS('Étape 1 - à remplir'!$F$31:$F$400,'Étape 1 - à remplir'!$E$31:$E$400,MASQ2!BV126,'Étape 1 - à remplir'!$P$31:$P$400,CE$3,'Étape 1 - à remplir'!$G$31:$G$400,"lots")),IF(CE$2="Atelier",IF(CE$3="Tous",SUMIFS('Étape 1 - à remplir'!$F$31:$F$400,'Étape 1 - à remplir'!$E$31:$E$400,MASQ2!BV126,'Étape 1 - à remplir'!$G$31:$G$400,"lots"),SUMIFS('Étape 1 - à remplir'!$F$31:$F$400,'Étape 1 - à remplir'!$E$31:$E$400,MASQ2!BV126,'Étape 1 - à remplir'!$O$31:$O$400,CE$3,'Étape 1 - à remplir'!$G$31:$G$400,"lots")),IF(CE$2="Espèce",IF(CE$3="Toutes",SUMIFS('Étape 1 - à remplir'!$F$31:$F$400,'Étape 1 - à remplir'!$E$31:$E$400,MASQ2!BV126,'Étape 1 - à remplir'!$G$31:$G$400,"lots"),SUMIFS('Étape 1 - à remplir'!$F$31:$F$400,'Étape 1 - à remplir'!$E$31:$E$400,MASQ2!BV126,'Étape 1 - à remplir'!$N$31:$N$400,CE$3,'Étape 1 - à remplir'!$G$31:$G$400,"lots")))))))</f>
        <v>#N/A</v>
      </c>
      <c r="BX126">
        <f t="shared" si="149"/>
        <v>0</v>
      </c>
      <c r="BY126" t="str">
        <f t="shared" si="133"/>
        <v>Colistine</v>
      </c>
      <c r="BZ126" t="str">
        <f t="shared" si="134"/>
        <v/>
      </c>
      <c r="CA126" t="str">
        <f t="shared" si="135"/>
        <v/>
      </c>
      <c r="CB126" t="str">
        <f t="shared" si="136"/>
        <v>Polypeptides</v>
      </c>
      <c r="CC126" t="str">
        <f t="shared" si="137"/>
        <v/>
      </c>
      <c r="CD126" s="63" t="str">
        <f t="shared" si="138"/>
        <v/>
      </c>
      <c r="CG126" s="42">
        <v>123</v>
      </c>
      <c r="CH126" s="42" t="e">
        <f t="shared" si="163"/>
        <v>#N/A</v>
      </c>
      <c r="CI126" s="63" t="e">
        <f t="shared" si="164"/>
        <v>#N/A</v>
      </c>
      <c r="CV126" s="224"/>
      <c r="CW126" s="224"/>
      <c r="DM126" s="63"/>
      <c r="EA126" s="194" t="str">
        <f t="shared" ca="1" si="139"/>
        <v>x</v>
      </c>
      <c r="EB126" s="226" t="str">
        <f>IFERROR(IF(ED126=0,"",COUNTIF(ED$4:ED$600,"&gt;"&amp;ED126)+COUNTIF(ED$4:ED126,ED126)),"")</f>
        <v/>
      </c>
      <c r="EC126" t="str">
        <f t="shared" si="140"/>
        <v>COFACOLI SOLUTION</v>
      </c>
      <c r="ED126" t="e">
        <f>IF(IF(EL$2="Catégorie",IF(EL$3="Toutes",SUMIFS('Étape 1 - à remplir'!$F$31:$F$400,'Étape 1 - à remplir'!$E$31:$E$400,MASQ2!EC126,'Étape 1 - à remplir'!$G$31:$G$400,"kg"),SUMIFS('Étape 1 - à remplir'!$F$31:$F$400,'Étape 1 - à remplir'!$E$31:$E$400,MASQ2!EC126,'Étape 1 - à remplir'!$C$31:$C$400,EL$3)),IF(EL$2="Âge",IF(EL$3="Tous",SUMIFS('Étape 1 - à remplir'!$F$31:$F$400,'Étape 1 - à remplir'!$E$31:$E$400,MASQ2!EC126,'Étape 1 - à remplir'!$G$31:$G$400,"kg"),SUMIFS('Étape 1 - à remplir'!$F$31:$F$400,'Étape 1 - à remplir'!$E$31:$E$400,MASQ2!EC126,'Étape 1 - à remplir'!$P$31:$P$400,EL$3,'Étape 1 - à remplir'!$G$31:$G$400,"kg")),IF(EL$2="Atelier",IF(EL$3="Tous",SUMIFS('Étape 1 - à remplir'!$F$31:$F$400,'Étape 1 - à remplir'!$E$31:$E$400,MASQ2!EC126,'Étape 1 - à remplir'!$G$31:$G$400,"kg"),SUMIFS('Étape 1 - à remplir'!$F$31:$F$400,'Étape 1 - à remplir'!$E$31:$E$400,MASQ2!EC126,'Étape 1 - à remplir'!$O$31:$O$400,EL$3,'Étape 1 - à remplir'!$G$31:$G$400,"kg")),IF(EL$2="Espèce",IF(EL$3="Toutes",SUMIFS('Étape 1 - à remplir'!$F$31:$F$400,'Étape 1 - à remplir'!$E$31:$E$400,MASQ2!EC126,'Étape 1 - à remplir'!$G$31:$G$400,"kg"),SUMIFS('Étape 1 - à remplir'!$F$31:$F$400,'Étape 1 - à remplir'!$E$31:$E$400,MASQ2!EC126,'Étape 1 - à remplir'!$N$31:$N$400,EL$3,'Étape 1 - à remplir'!$G$31:$G$400,"kg"))))))=0,NA(),IF(EL$2="Catégorie",IF(EL$3="Toutes",SUMIFS('Étape 1 - à remplir'!$F$31:$F$400,'Étape 1 - à remplir'!$E$31:$E$400,MASQ2!EC126,'Étape 1 - à remplir'!$G$31:$G$400,"kg"),SUMIFS('Étape 1 - à remplir'!$F$31:$F$400,'Étape 1 - à remplir'!$E$31:$E$400,MASQ2!EC126,'Étape 1 - à remplir'!$C$31:$C$400,EL$3)),IF(EL$2="Âge",IF(EL$3="Tous",SUMIFS('Étape 1 - à remplir'!$F$31:$F$400,'Étape 1 - à remplir'!$E$31:$E$400,MASQ2!EC126,'Étape 1 - à remplir'!$G$31:$G$400,"kg"),SUMIFS('Étape 1 - à remplir'!$F$31:$F$400,'Étape 1 - à remplir'!$E$31:$E$400,MASQ2!EC126,'Étape 1 - à remplir'!$P$31:$P$400,EL$3,'Étape 1 - à remplir'!$G$31:$G$400,"kg")),IF(EL$2="Atelier",IF(EL$3="Tous",SUMIFS('Étape 1 - à remplir'!$F$31:$F$400,'Étape 1 - à remplir'!$E$31:$E$400,MASQ2!EC126,'Étape 1 - à remplir'!$G$31:$G$400,"kg"),SUMIFS('Étape 1 - à remplir'!$F$31:$F$400,'Étape 1 - à remplir'!$E$31:$E$400,MASQ2!EC126,'Étape 1 - à remplir'!$O$31:$O$400,EL$3,'Étape 1 - à remplir'!$G$31:$G$400,"kg")),IF(EL$2="Espèce",IF(EL$3="Toutes",SUMIFS('Étape 1 - à remplir'!$F$31:$F$400,'Étape 1 - à remplir'!$E$31:$E$400,MASQ2!EC126,'Étape 1 - à remplir'!$G$31:$G$400,"kg"),SUMIFS('Étape 1 - à remplir'!$F$31:$F$400,'Étape 1 - à remplir'!$E$31:$E$400,MASQ2!EC126,'Étape 1 - à remplir'!$N$31:$N$400,EL$3,'Étape 1 - à remplir'!$G$31:$G$400,"kg")))))))</f>
        <v>#N/A</v>
      </c>
      <c r="EE126" s="76">
        <f t="shared" si="150"/>
        <v>0</v>
      </c>
      <c r="EF126" t="str">
        <f t="shared" si="141"/>
        <v>Colistine</v>
      </c>
      <c r="EG126" t="str">
        <f t="shared" si="142"/>
        <v/>
      </c>
      <c r="EH126" t="str">
        <f t="shared" si="143"/>
        <v/>
      </c>
      <c r="EI126" t="str">
        <f t="shared" si="144"/>
        <v>Polypeptides</v>
      </c>
      <c r="EJ126" t="str">
        <f t="shared" si="145"/>
        <v/>
      </c>
      <c r="EK126" s="63" t="str">
        <f t="shared" si="146"/>
        <v/>
      </c>
      <c r="EN126" s="42">
        <v>123</v>
      </c>
      <c r="EO126" t="e">
        <f t="shared" si="152"/>
        <v>#N/A</v>
      </c>
      <c r="EP126" s="63" t="e">
        <f t="shared" si="153"/>
        <v>#N/A</v>
      </c>
      <c r="FT126" s="63"/>
    </row>
    <row r="127" spans="2:176" x14ac:dyDescent="0.3">
      <c r="B127" s="42"/>
      <c r="M127" s="194" t="str">
        <f ca="1">INDEX(Données_ATB!BD:BU,MATCH(MASQ2!O127,Données_ATB!BD:BD,0),18)</f>
        <v>x</v>
      </c>
      <c r="N127" s="14" t="str">
        <f>IFERROR(IF(Q127=0,"",COUNTIF(Q$4:Q$600,"&gt;"&amp;Q127)+COUNTIF(Q$4:Q127,Q127)),"")</f>
        <v/>
      </c>
      <c r="O127" t="str">
        <f>Données_ATB!BD126</f>
        <v>COFALAC</v>
      </c>
      <c r="P127" t="e">
        <f>IF(IF(X$2="Catégorie",IF(X$3="Toutes",SUMIFS('Étape 1 - à remplir'!$F$31:$F$400,'Étape 1 - à remplir'!$E$31:$E$400,MASQ2!O127,'Étape 1 - à remplir'!$G$31:$G$400,"animaux"),SUMIFS('Étape 1 - à remplir'!$F$31:$F$400,'Étape 1 - à remplir'!$E$31:$E$400,MASQ2!O127,'Étape 1 - à remplir'!$C$31:$C$400,X$3)),IF(X$2="Âge",IF(X$3="Tous",SUMIFS('Étape 1 - à remplir'!$F$31:$F$400,'Étape 1 - à remplir'!$E$31:$E$400,MASQ2!O127,'Étape 1 - à remplir'!$G$31:$G$400,"animaux"),SUMIFS('Étape 1 - à remplir'!$F$31:$F$400,'Étape 1 - à remplir'!$E$31:$E$400,MASQ2!O127,'Étape 1 - à remplir'!$P$31:$P$400,X$3)),IF(X$2="Atelier",IF(X$3="Tous",SUMIFS('Étape 1 - à remplir'!$F$31:$F$400,'Étape 1 - à remplir'!$E$31:$E$400,MASQ2!O127,'Étape 1 - à remplir'!$G$31:$G$400,"animaux"),SUMIFS('Étape 1 - à remplir'!$F$31:$F$400,'Étape 1 - à remplir'!$E$31:$E$400,MASQ2!O127,'Étape 1 - à remplir'!$O$31:$O$400,X$3)),IF(X$2="Espèce",IF(X$3="Toutes",SUMIFS('Étape 1 - à remplir'!$F$31:$F$400,'Étape 1 - à remplir'!$E$31:$E$400,MASQ2!O127,'Étape 1 - à remplir'!$G$31:$G$400,"animaux"),SUMIFS('Étape 1 - à remplir'!$F$31:$F$400,'Étape 1 - à remplir'!$E$31:$E$400,MASQ2!O127,'Étape 1 - à remplir'!$N$31:$N$400,X$3))))))=0,NA(),IF(X$2="Catégorie",IF(X$3="Toutes",SUMIFS('Étape 1 - à remplir'!$F$31:$F$400,'Étape 1 - à remplir'!$E$31:$E$400,MASQ2!O127,'Étape 1 - à remplir'!$G$31:$G$400,"animaux"),SUMIFS('Étape 1 - à remplir'!$F$31:$F$400,'Étape 1 - à remplir'!$E$31:$E$400,MASQ2!O127,'Étape 1 - à remplir'!$C$31:$C$400,X$3)),IF(X$2="Âge",IF(X$3="Tous",SUMIFS('Étape 1 - à remplir'!$F$31:$F$400,'Étape 1 - à remplir'!$E$31:$E$400,MASQ2!O127,'Étape 1 - à remplir'!$G$31:$G$400,"animaux"),SUMIFS('Étape 1 - à remplir'!$F$31:$F$400,'Étape 1 - à remplir'!$E$31:$E$400,MASQ2!O127,'Étape 1 - à remplir'!$P$31:$P$400,X$3)),IF(X$2="Atelier",IF(X$3="Tous",SUMIFS('Étape 1 - à remplir'!$F$31:$F$400,'Étape 1 - à remplir'!$E$31:$E$400,MASQ2!O127,'Étape 1 - à remplir'!$G$31:$G$400,"animaux"),SUMIFS('Étape 1 - à remplir'!$F$31:$F$400,'Étape 1 - à remplir'!$E$31:$E$400,MASQ2!O127,'Étape 1 - à remplir'!$O$31:$O$400,X$3)),IF(X$2="Espèce",IF(X$3="Toutes",SUMIFS('Étape 1 - à remplir'!$F$31:$F$400,'Étape 1 - à remplir'!$E$31:$E$400,MASQ2!O127,'Étape 1 - à remplir'!$G$31:$G$400,"animaux"),SUMIFS('Étape 1 - à remplir'!$F$31:$F$400,'Étape 1 - à remplir'!$E$31:$E$400,MASQ2!O127,'Étape 1 - à remplir'!$N$31:$N$400,X$3)))))))</f>
        <v>#N/A</v>
      </c>
      <c r="Q127" s="63">
        <f t="shared" si="151"/>
        <v>0</v>
      </c>
      <c r="R127" t="str">
        <f>Données_ATB!BM126</f>
        <v>Colistine</v>
      </c>
      <c r="S127" t="str">
        <f>Données_ATB!BN126</f>
        <v/>
      </c>
      <c r="T127" s="63" t="str">
        <f>Données_ATB!BO126</f>
        <v/>
      </c>
      <c r="U127" s="42" t="str">
        <f>Données_ATB!BQ126</f>
        <v>Polypeptides</v>
      </c>
      <c r="V127" t="str">
        <f>Données_ATB!BR126</f>
        <v/>
      </c>
      <c r="W127" s="63" t="str">
        <f>Données_ATB!BS126</f>
        <v/>
      </c>
      <c r="Z127" s="42">
        <v>124</v>
      </c>
      <c r="AA127" t="e">
        <f t="shared" si="147"/>
        <v>#N/A</v>
      </c>
      <c r="AB127" s="63" t="e">
        <f t="shared" si="148"/>
        <v>#N/A</v>
      </c>
      <c r="BF127" s="63"/>
      <c r="BT127" s="194" t="str">
        <f t="shared" ca="1" si="131"/>
        <v>x</v>
      </c>
      <c r="BU127" s="219" t="str">
        <f>IFERROR(IF(BX127=0,"",COUNTIF(BX$4:BX$600,"&gt;"&amp;BX127)+COUNTIF(BX$4:BX127,BX127)),"")</f>
        <v/>
      </c>
      <c r="BV127" s="42" t="str">
        <f t="shared" si="132"/>
        <v>COFALAC</v>
      </c>
      <c r="BW127" t="e">
        <f>IF(IF(CE$2="Catégorie",IF(CE$3="Toutes",SUMIFS('Étape 1 - à remplir'!$F$31:$F$400,'Étape 1 - à remplir'!$E$31:$E$400,MASQ2!BV127,'Étape 1 - à remplir'!$G$31:$G$400,"lots"),SUMIFS('Étape 1 - à remplir'!$F$31:$F$400,'Étape 1 - à remplir'!$E$31:$E$400,MASQ2!BV127,'Étape 1 - à remplir'!$C$31:$C$400,CE$3)),IF(CE$2="Âge",IF(CE$3="Tous",SUMIFS('Étape 1 - à remplir'!$F$31:$F$400,'Étape 1 - à remplir'!$E$31:$E$400,MASQ2!BV127,'Étape 1 - à remplir'!$G$31:$G$400,"lots"),SUMIFS('Étape 1 - à remplir'!$F$31:$F$400,'Étape 1 - à remplir'!$E$31:$E$400,MASQ2!BV127,'Étape 1 - à remplir'!$P$31:$P$400,CE$3,'Étape 1 - à remplir'!$G$31:$G$400,"lots")),IF(CE$2="Atelier",IF(CE$3="Tous",SUMIFS('Étape 1 - à remplir'!$F$31:$F$400,'Étape 1 - à remplir'!$E$31:$E$400,MASQ2!BV127,'Étape 1 - à remplir'!$G$31:$G$400,"lots"),SUMIFS('Étape 1 - à remplir'!$F$31:$F$400,'Étape 1 - à remplir'!$E$31:$E$400,MASQ2!BV127,'Étape 1 - à remplir'!$O$31:$O$400,CE$3,'Étape 1 - à remplir'!$G$31:$G$400,"lots")),IF(CE$2="Espèce",IF(CE$3="Toutes",SUMIFS('Étape 1 - à remplir'!$F$31:$F$400,'Étape 1 - à remplir'!$E$31:$E$400,MASQ2!BV127,'Étape 1 - à remplir'!$G$31:$G$400,"lots"),SUMIFS('Étape 1 - à remplir'!$F$31:$F$400,'Étape 1 - à remplir'!$E$31:$E$400,MASQ2!BV127,'Étape 1 - à remplir'!$N$31:$N$400,CE$3,'Étape 1 - à remplir'!$G$31:$G$400,"lots"))))))=0,NA(),IF(CE$2="Catégorie",IF(CE$3="Toutes",SUMIFS('Étape 1 - à remplir'!$F$31:$F$400,'Étape 1 - à remplir'!$E$31:$E$400,MASQ2!BV127,'Étape 1 - à remplir'!$G$31:$G$400,"lots"),SUMIFS('Étape 1 - à remplir'!$F$31:$F$400,'Étape 1 - à remplir'!$E$31:$E$400,MASQ2!BV127,'Étape 1 - à remplir'!$C$31:$C$400,CE$3)),IF(CE$2="Âge",IF(CE$3="Tous",SUMIFS('Étape 1 - à remplir'!$F$31:$F$400,'Étape 1 - à remplir'!$E$31:$E$400,MASQ2!BV127,'Étape 1 - à remplir'!$G$31:$G$400,"lots"),SUMIFS('Étape 1 - à remplir'!$F$31:$F$400,'Étape 1 - à remplir'!$E$31:$E$400,MASQ2!BV127,'Étape 1 - à remplir'!$P$31:$P$400,CE$3,'Étape 1 - à remplir'!$G$31:$G$400,"lots")),IF(CE$2="Atelier",IF(CE$3="Tous",SUMIFS('Étape 1 - à remplir'!$F$31:$F$400,'Étape 1 - à remplir'!$E$31:$E$400,MASQ2!BV127,'Étape 1 - à remplir'!$G$31:$G$400,"lots"),SUMIFS('Étape 1 - à remplir'!$F$31:$F$400,'Étape 1 - à remplir'!$E$31:$E$400,MASQ2!BV127,'Étape 1 - à remplir'!$O$31:$O$400,CE$3,'Étape 1 - à remplir'!$G$31:$G$400,"lots")),IF(CE$2="Espèce",IF(CE$3="Toutes",SUMIFS('Étape 1 - à remplir'!$F$31:$F$400,'Étape 1 - à remplir'!$E$31:$E$400,MASQ2!BV127,'Étape 1 - à remplir'!$G$31:$G$400,"lots"),SUMIFS('Étape 1 - à remplir'!$F$31:$F$400,'Étape 1 - à remplir'!$E$31:$E$400,MASQ2!BV127,'Étape 1 - à remplir'!$N$31:$N$400,CE$3,'Étape 1 - à remplir'!$G$31:$G$400,"lots")))))))</f>
        <v>#N/A</v>
      </c>
      <c r="BX127">
        <f t="shared" si="149"/>
        <v>0</v>
      </c>
      <c r="BY127" t="str">
        <f t="shared" si="133"/>
        <v>Colistine</v>
      </c>
      <c r="BZ127" t="str">
        <f t="shared" si="134"/>
        <v/>
      </c>
      <c r="CA127" t="str">
        <f t="shared" si="135"/>
        <v/>
      </c>
      <c r="CB127" t="str">
        <f t="shared" si="136"/>
        <v>Polypeptides</v>
      </c>
      <c r="CC127" t="str">
        <f t="shared" si="137"/>
        <v/>
      </c>
      <c r="CD127" s="63" t="str">
        <f t="shared" si="138"/>
        <v/>
      </c>
      <c r="CG127" s="42">
        <v>124</v>
      </c>
      <c r="CH127" s="42" t="e">
        <f t="shared" si="163"/>
        <v>#N/A</v>
      </c>
      <c r="CI127" s="63" t="e">
        <f t="shared" si="164"/>
        <v>#N/A</v>
      </c>
      <c r="DM127" s="63"/>
      <c r="EA127" s="194" t="str">
        <f t="shared" ca="1" si="139"/>
        <v>x</v>
      </c>
      <c r="EB127" s="226" t="str">
        <f>IFERROR(IF(ED127=0,"",COUNTIF(ED$4:ED$600,"&gt;"&amp;ED127)+COUNTIF(ED$4:ED127,ED127)),"")</f>
        <v/>
      </c>
      <c r="EC127" t="str">
        <f t="shared" si="140"/>
        <v>COFALAC</v>
      </c>
      <c r="ED127" t="e">
        <f>IF(IF(EL$2="Catégorie",IF(EL$3="Toutes",SUMIFS('Étape 1 - à remplir'!$F$31:$F$400,'Étape 1 - à remplir'!$E$31:$E$400,MASQ2!EC127,'Étape 1 - à remplir'!$G$31:$G$400,"kg"),SUMIFS('Étape 1 - à remplir'!$F$31:$F$400,'Étape 1 - à remplir'!$E$31:$E$400,MASQ2!EC127,'Étape 1 - à remplir'!$C$31:$C$400,EL$3)),IF(EL$2="Âge",IF(EL$3="Tous",SUMIFS('Étape 1 - à remplir'!$F$31:$F$400,'Étape 1 - à remplir'!$E$31:$E$400,MASQ2!EC127,'Étape 1 - à remplir'!$G$31:$G$400,"kg"),SUMIFS('Étape 1 - à remplir'!$F$31:$F$400,'Étape 1 - à remplir'!$E$31:$E$400,MASQ2!EC127,'Étape 1 - à remplir'!$P$31:$P$400,EL$3,'Étape 1 - à remplir'!$G$31:$G$400,"kg")),IF(EL$2="Atelier",IF(EL$3="Tous",SUMIFS('Étape 1 - à remplir'!$F$31:$F$400,'Étape 1 - à remplir'!$E$31:$E$400,MASQ2!EC127,'Étape 1 - à remplir'!$G$31:$G$400,"kg"),SUMIFS('Étape 1 - à remplir'!$F$31:$F$400,'Étape 1 - à remplir'!$E$31:$E$400,MASQ2!EC127,'Étape 1 - à remplir'!$O$31:$O$400,EL$3,'Étape 1 - à remplir'!$G$31:$G$400,"kg")),IF(EL$2="Espèce",IF(EL$3="Toutes",SUMIFS('Étape 1 - à remplir'!$F$31:$F$400,'Étape 1 - à remplir'!$E$31:$E$400,MASQ2!EC127,'Étape 1 - à remplir'!$G$31:$G$400,"kg"),SUMIFS('Étape 1 - à remplir'!$F$31:$F$400,'Étape 1 - à remplir'!$E$31:$E$400,MASQ2!EC127,'Étape 1 - à remplir'!$N$31:$N$400,EL$3,'Étape 1 - à remplir'!$G$31:$G$400,"kg"))))))=0,NA(),IF(EL$2="Catégorie",IF(EL$3="Toutes",SUMIFS('Étape 1 - à remplir'!$F$31:$F$400,'Étape 1 - à remplir'!$E$31:$E$400,MASQ2!EC127,'Étape 1 - à remplir'!$G$31:$G$400,"kg"),SUMIFS('Étape 1 - à remplir'!$F$31:$F$400,'Étape 1 - à remplir'!$E$31:$E$400,MASQ2!EC127,'Étape 1 - à remplir'!$C$31:$C$400,EL$3)),IF(EL$2="Âge",IF(EL$3="Tous",SUMIFS('Étape 1 - à remplir'!$F$31:$F$400,'Étape 1 - à remplir'!$E$31:$E$400,MASQ2!EC127,'Étape 1 - à remplir'!$G$31:$G$400,"kg"),SUMIFS('Étape 1 - à remplir'!$F$31:$F$400,'Étape 1 - à remplir'!$E$31:$E$400,MASQ2!EC127,'Étape 1 - à remplir'!$P$31:$P$400,EL$3,'Étape 1 - à remplir'!$G$31:$G$400,"kg")),IF(EL$2="Atelier",IF(EL$3="Tous",SUMIFS('Étape 1 - à remplir'!$F$31:$F$400,'Étape 1 - à remplir'!$E$31:$E$400,MASQ2!EC127,'Étape 1 - à remplir'!$G$31:$G$400,"kg"),SUMIFS('Étape 1 - à remplir'!$F$31:$F$400,'Étape 1 - à remplir'!$E$31:$E$400,MASQ2!EC127,'Étape 1 - à remplir'!$O$31:$O$400,EL$3,'Étape 1 - à remplir'!$G$31:$G$400,"kg")),IF(EL$2="Espèce",IF(EL$3="Toutes",SUMIFS('Étape 1 - à remplir'!$F$31:$F$400,'Étape 1 - à remplir'!$E$31:$E$400,MASQ2!EC127,'Étape 1 - à remplir'!$G$31:$G$400,"kg"),SUMIFS('Étape 1 - à remplir'!$F$31:$F$400,'Étape 1 - à remplir'!$E$31:$E$400,MASQ2!EC127,'Étape 1 - à remplir'!$N$31:$N$400,EL$3,'Étape 1 - à remplir'!$G$31:$G$400,"kg")))))))</f>
        <v>#N/A</v>
      </c>
      <c r="EE127" s="76">
        <f t="shared" si="150"/>
        <v>0</v>
      </c>
      <c r="EF127" t="str">
        <f t="shared" si="141"/>
        <v>Colistine</v>
      </c>
      <c r="EG127" t="str">
        <f t="shared" si="142"/>
        <v/>
      </c>
      <c r="EH127" t="str">
        <f t="shared" si="143"/>
        <v/>
      </c>
      <c r="EI127" t="str">
        <f t="shared" si="144"/>
        <v>Polypeptides</v>
      </c>
      <c r="EJ127" t="str">
        <f t="shared" si="145"/>
        <v/>
      </c>
      <c r="EK127" s="63" t="str">
        <f t="shared" si="146"/>
        <v/>
      </c>
      <c r="EN127" s="42">
        <v>124</v>
      </c>
      <c r="EO127" t="e">
        <f t="shared" si="152"/>
        <v>#N/A</v>
      </c>
      <c r="EP127" s="63" t="e">
        <f t="shared" si="153"/>
        <v>#N/A</v>
      </c>
      <c r="FT127" s="63"/>
    </row>
    <row r="128" spans="2:176" x14ac:dyDescent="0.3">
      <c r="B128" s="42"/>
      <c r="M128" s="194" t="str">
        <f ca="1">INDEX(Données_ATB!BD:BU,MATCH(MASQ2!O128,Données_ATB!BD:BD,0),18)</f>
        <v/>
      </c>
      <c r="N128" s="14" t="str">
        <f>IFERROR(IF(Q128=0,"",COUNTIF(Q$4:Q$600,"&gt;"&amp;Q128)+COUNTIF(Q$4:Q128,Q128)),"")</f>
        <v/>
      </c>
      <c r="O128" t="str">
        <f>Données_ATB!BD127</f>
        <v>COFAMIX ACIDE OXOLINIQUE 40 VOLAILLE</v>
      </c>
      <c r="P128" t="e">
        <f>IF(IF(X$2="Catégorie",IF(X$3="Toutes",SUMIFS('Étape 1 - à remplir'!$F$31:$F$400,'Étape 1 - à remplir'!$E$31:$E$400,MASQ2!O128,'Étape 1 - à remplir'!$G$31:$G$400,"animaux"),SUMIFS('Étape 1 - à remplir'!$F$31:$F$400,'Étape 1 - à remplir'!$E$31:$E$400,MASQ2!O128,'Étape 1 - à remplir'!$C$31:$C$400,X$3)),IF(X$2="Âge",IF(X$3="Tous",SUMIFS('Étape 1 - à remplir'!$F$31:$F$400,'Étape 1 - à remplir'!$E$31:$E$400,MASQ2!O128,'Étape 1 - à remplir'!$G$31:$G$400,"animaux"),SUMIFS('Étape 1 - à remplir'!$F$31:$F$400,'Étape 1 - à remplir'!$E$31:$E$400,MASQ2!O128,'Étape 1 - à remplir'!$P$31:$P$400,X$3)),IF(X$2="Atelier",IF(X$3="Tous",SUMIFS('Étape 1 - à remplir'!$F$31:$F$400,'Étape 1 - à remplir'!$E$31:$E$400,MASQ2!O128,'Étape 1 - à remplir'!$G$31:$G$400,"animaux"),SUMIFS('Étape 1 - à remplir'!$F$31:$F$400,'Étape 1 - à remplir'!$E$31:$E$400,MASQ2!O128,'Étape 1 - à remplir'!$O$31:$O$400,X$3)),IF(X$2="Espèce",IF(X$3="Toutes",SUMIFS('Étape 1 - à remplir'!$F$31:$F$400,'Étape 1 - à remplir'!$E$31:$E$400,MASQ2!O128,'Étape 1 - à remplir'!$G$31:$G$400,"animaux"),SUMIFS('Étape 1 - à remplir'!$F$31:$F$400,'Étape 1 - à remplir'!$E$31:$E$400,MASQ2!O128,'Étape 1 - à remplir'!$N$31:$N$400,X$3))))))=0,NA(),IF(X$2="Catégorie",IF(X$3="Toutes",SUMIFS('Étape 1 - à remplir'!$F$31:$F$400,'Étape 1 - à remplir'!$E$31:$E$400,MASQ2!O128,'Étape 1 - à remplir'!$G$31:$G$400,"animaux"),SUMIFS('Étape 1 - à remplir'!$F$31:$F$400,'Étape 1 - à remplir'!$E$31:$E$400,MASQ2!O128,'Étape 1 - à remplir'!$C$31:$C$400,X$3)),IF(X$2="Âge",IF(X$3="Tous",SUMIFS('Étape 1 - à remplir'!$F$31:$F$400,'Étape 1 - à remplir'!$E$31:$E$400,MASQ2!O128,'Étape 1 - à remplir'!$G$31:$G$400,"animaux"),SUMIFS('Étape 1 - à remplir'!$F$31:$F$400,'Étape 1 - à remplir'!$E$31:$E$400,MASQ2!O128,'Étape 1 - à remplir'!$P$31:$P$400,X$3)),IF(X$2="Atelier",IF(X$3="Tous",SUMIFS('Étape 1 - à remplir'!$F$31:$F$400,'Étape 1 - à remplir'!$E$31:$E$400,MASQ2!O128,'Étape 1 - à remplir'!$G$31:$G$400,"animaux"),SUMIFS('Étape 1 - à remplir'!$F$31:$F$400,'Étape 1 - à remplir'!$E$31:$E$400,MASQ2!O128,'Étape 1 - à remplir'!$O$31:$O$400,X$3)),IF(X$2="Espèce",IF(X$3="Toutes",SUMIFS('Étape 1 - à remplir'!$F$31:$F$400,'Étape 1 - à remplir'!$E$31:$E$400,MASQ2!O128,'Étape 1 - à remplir'!$G$31:$G$400,"animaux"),SUMIFS('Étape 1 - à remplir'!$F$31:$F$400,'Étape 1 - à remplir'!$E$31:$E$400,MASQ2!O128,'Étape 1 - à remplir'!$N$31:$N$400,X$3)))))))</f>
        <v>#N/A</v>
      </c>
      <c r="Q128" s="63">
        <f t="shared" si="151"/>
        <v>0</v>
      </c>
      <c r="R128" t="str">
        <f>Données_ATB!BM127</f>
        <v>Acide oxolinique</v>
      </c>
      <c r="S128" t="str">
        <f>Données_ATB!BN127</f>
        <v/>
      </c>
      <c r="T128" s="63" t="str">
        <f>Données_ATB!BO127</f>
        <v/>
      </c>
      <c r="U128" s="42" t="str">
        <f>Données_ATB!BQ127</f>
        <v>Quinolones</v>
      </c>
      <c r="V128" t="str">
        <f>Données_ATB!BR127</f>
        <v/>
      </c>
      <c r="W128" s="63" t="str">
        <f>Données_ATB!BS127</f>
        <v/>
      </c>
      <c r="Z128" s="42">
        <v>125</v>
      </c>
      <c r="AA128" t="e">
        <f t="shared" si="147"/>
        <v>#N/A</v>
      </c>
      <c r="AB128" s="63" t="e">
        <f t="shared" si="148"/>
        <v>#N/A</v>
      </c>
      <c r="BF128" s="63"/>
      <c r="BT128" s="194" t="str">
        <f t="shared" ca="1" si="131"/>
        <v/>
      </c>
      <c r="BU128" s="219" t="str">
        <f>IFERROR(IF(BX128=0,"",COUNTIF(BX$4:BX$600,"&gt;"&amp;BX128)+COUNTIF(BX$4:BX128,BX128)),"")</f>
        <v/>
      </c>
      <c r="BV128" s="42" t="str">
        <f t="shared" si="132"/>
        <v>COFAMIX ACIDE OXOLINIQUE 40 VOLAILLE</v>
      </c>
      <c r="BW128" t="e">
        <f>IF(IF(CE$2="Catégorie",IF(CE$3="Toutes",SUMIFS('Étape 1 - à remplir'!$F$31:$F$400,'Étape 1 - à remplir'!$E$31:$E$400,MASQ2!BV128,'Étape 1 - à remplir'!$G$31:$G$400,"lots"),SUMIFS('Étape 1 - à remplir'!$F$31:$F$400,'Étape 1 - à remplir'!$E$31:$E$400,MASQ2!BV128,'Étape 1 - à remplir'!$C$31:$C$400,CE$3)),IF(CE$2="Âge",IF(CE$3="Tous",SUMIFS('Étape 1 - à remplir'!$F$31:$F$400,'Étape 1 - à remplir'!$E$31:$E$400,MASQ2!BV128,'Étape 1 - à remplir'!$G$31:$G$400,"lots"),SUMIFS('Étape 1 - à remplir'!$F$31:$F$400,'Étape 1 - à remplir'!$E$31:$E$400,MASQ2!BV128,'Étape 1 - à remplir'!$P$31:$P$400,CE$3,'Étape 1 - à remplir'!$G$31:$G$400,"lots")),IF(CE$2="Atelier",IF(CE$3="Tous",SUMIFS('Étape 1 - à remplir'!$F$31:$F$400,'Étape 1 - à remplir'!$E$31:$E$400,MASQ2!BV128,'Étape 1 - à remplir'!$G$31:$G$400,"lots"),SUMIFS('Étape 1 - à remplir'!$F$31:$F$400,'Étape 1 - à remplir'!$E$31:$E$400,MASQ2!BV128,'Étape 1 - à remplir'!$O$31:$O$400,CE$3,'Étape 1 - à remplir'!$G$31:$G$400,"lots")),IF(CE$2="Espèce",IF(CE$3="Toutes",SUMIFS('Étape 1 - à remplir'!$F$31:$F$400,'Étape 1 - à remplir'!$E$31:$E$400,MASQ2!BV128,'Étape 1 - à remplir'!$G$31:$G$400,"lots"),SUMIFS('Étape 1 - à remplir'!$F$31:$F$400,'Étape 1 - à remplir'!$E$31:$E$400,MASQ2!BV128,'Étape 1 - à remplir'!$N$31:$N$400,CE$3,'Étape 1 - à remplir'!$G$31:$G$400,"lots"))))))=0,NA(),IF(CE$2="Catégorie",IF(CE$3="Toutes",SUMIFS('Étape 1 - à remplir'!$F$31:$F$400,'Étape 1 - à remplir'!$E$31:$E$400,MASQ2!BV128,'Étape 1 - à remplir'!$G$31:$G$400,"lots"),SUMIFS('Étape 1 - à remplir'!$F$31:$F$400,'Étape 1 - à remplir'!$E$31:$E$400,MASQ2!BV128,'Étape 1 - à remplir'!$C$31:$C$400,CE$3)),IF(CE$2="Âge",IF(CE$3="Tous",SUMIFS('Étape 1 - à remplir'!$F$31:$F$400,'Étape 1 - à remplir'!$E$31:$E$400,MASQ2!BV128,'Étape 1 - à remplir'!$G$31:$G$400,"lots"),SUMIFS('Étape 1 - à remplir'!$F$31:$F$400,'Étape 1 - à remplir'!$E$31:$E$400,MASQ2!BV128,'Étape 1 - à remplir'!$P$31:$P$400,CE$3,'Étape 1 - à remplir'!$G$31:$G$400,"lots")),IF(CE$2="Atelier",IF(CE$3="Tous",SUMIFS('Étape 1 - à remplir'!$F$31:$F$400,'Étape 1 - à remplir'!$E$31:$E$400,MASQ2!BV128,'Étape 1 - à remplir'!$G$31:$G$400,"lots"),SUMIFS('Étape 1 - à remplir'!$F$31:$F$400,'Étape 1 - à remplir'!$E$31:$E$400,MASQ2!BV128,'Étape 1 - à remplir'!$O$31:$O$400,CE$3,'Étape 1 - à remplir'!$G$31:$G$400,"lots")),IF(CE$2="Espèce",IF(CE$3="Toutes",SUMIFS('Étape 1 - à remplir'!$F$31:$F$400,'Étape 1 - à remplir'!$E$31:$E$400,MASQ2!BV128,'Étape 1 - à remplir'!$G$31:$G$400,"lots"),SUMIFS('Étape 1 - à remplir'!$F$31:$F$400,'Étape 1 - à remplir'!$E$31:$E$400,MASQ2!BV128,'Étape 1 - à remplir'!$N$31:$N$400,CE$3,'Étape 1 - à remplir'!$G$31:$G$400,"lots")))))))</f>
        <v>#N/A</v>
      </c>
      <c r="BX128">
        <f t="shared" si="149"/>
        <v>0</v>
      </c>
      <c r="BY128" t="str">
        <f t="shared" si="133"/>
        <v>Acide oxolinique</v>
      </c>
      <c r="BZ128" t="str">
        <f t="shared" si="134"/>
        <v/>
      </c>
      <c r="CA128" t="str">
        <f t="shared" si="135"/>
        <v/>
      </c>
      <c r="CB128" t="str">
        <f t="shared" si="136"/>
        <v>Quinolones</v>
      </c>
      <c r="CC128" t="str">
        <f t="shared" si="137"/>
        <v/>
      </c>
      <c r="CD128" s="63" t="str">
        <f t="shared" si="138"/>
        <v/>
      </c>
      <c r="CG128" s="42">
        <v>125</v>
      </c>
      <c r="CH128" s="42" t="e">
        <f t="shared" si="163"/>
        <v>#N/A</v>
      </c>
      <c r="CI128" s="63" t="e">
        <f t="shared" si="164"/>
        <v>#N/A</v>
      </c>
      <c r="DM128" s="63"/>
      <c r="EA128" s="194" t="str">
        <f t="shared" ca="1" si="139"/>
        <v/>
      </c>
      <c r="EB128" s="226" t="str">
        <f>IFERROR(IF(ED128=0,"",COUNTIF(ED$4:ED$600,"&gt;"&amp;ED128)+COUNTIF(ED$4:ED128,ED128)),"")</f>
        <v/>
      </c>
      <c r="EC128" t="str">
        <f t="shared" si="140"/>
        <v>COFAMIX ACIDE OXOLINIQUE 40 VOLAILLE</v>
      </c>
      <c r="ED128" t="e">
        <f>IF(IF(EL$2="Catégorie",IF(EL$3="Toutes",SUMIFS('Étape 1 - à remplir'!$F$31:$F$400,'Étape 1 - à remplir'!$E$31:$E$400,MASQ2!EC128,'Étape 1 - à remplir'!$G$31:$G$400,"kg"),SUMIFS('Étape 1 - à remplir'!$F$31:$F$400,'Étape 1 - à remplir'!$E$31:$E$400,MASQ2!EC128,'Étape 1 - à remplir'!$C$31:$C$400,EL$3)),IF(EL$2="Âge",IF(EL$3="Tous",SUMIFS('Étape 1 - à remplir'!$F$31:$F$400,'Étape 1 - à remplir'!$E$31:$E$400,MASQ2!EC128,'Étape 1 - à remplir'!$G$31:$G$400,"kg"),SUMIFS('Étape 1 - à remplir'!$F$31:$F$400,'Étape 1 - à remplir'!$E$31:$E$400,MASQ2!EC128,'Étape 1 - à remplir'!$P$31:$P$400,EL$3,'Étape 1 - à remplir'!$G$31:$G$400,"kg")),IF(EL$2="Atelier",IF(EL$3="Tous",SUMIFS('Étape 1 - à remplir'!$F$31:$F$400,'Étape 1 - à remplir'!$E$31:$E$400,MASQ2!EC128,'Étape 1 - à remplir'!$G$31:$G$400,"kg"),SUMIFS('Étape 1 - à remplir'!$F$31:$F$400,'Étape 1 - à remplir'!$E$31:$E$400,MASQ2!EC128,'Étape 1 - à remplir'!$O$31:$O$400,EL$3,'Étape 1 - à remplir'!$G$31:$G$400,"kg")),IF(EL$2="Espèce",IF(EL$3="Toutes",SUMIFS('Étape 1 - à remplir'!$F$31:$F$400,'Étape 1 - à remplir'!$E$31:$E$400,MASQ2!EC128,'Étape 1 - à remplir'!$G$31:$G$400,"kg"),SUMIFS('Étape 1 - à remplir'!$F$31:$F$400,'Étape 1 - à remplir'!$E$31:$E$400,MASQ2!EC128,'Étape 1 - à remplir'!$N$31:$N$400,EL$3,'Étape 1 - à remplir'!$G$31:$G$400,"kg"))))))=0,NA(),IF(EL$2="Catégorie",IF(EL$3="Toutes",SUMIFS('Étape 1 - à remplir'!$F$31:$F$400,'Étape 1 - à remplir'!$E$31:$E$400,MASQ2!EC128,'Étape 1 - à remplir'!$G$31:$G$400,"kg"),SUMIFS('Étape 1 - à remplir'!$F$31:$F$400,'Étape 1 - à remplir'!$E$31:$E$400,MASQ2!EC128,'Étape 1 - à remplir'!$C$31:$C$400,EL$3)),IF(EL$2="Âge",IF(EL$3="Tous",SUMIFS('Étape 1 - à remplir'!$F$31:$F$400,'Étape 1 - à remplir'!$E$31:$E$400,MASQ2!EC128,'Étape 1 - à remplir'!$G$31:$G$400,"kg"),SUMIFS('Étape 1 - à remplir'!$F$31:$F$400,'Étape 1 - à remplir'!$E$31:$E$400,MASQ2!EC128,'Étape 1 - à remplir'!$P$31:$P$400,EL$3,'Étape 1 - à remplir'!$G$31:$G$400,"kg")),IF(EL$2="Atelier",IF(EL$3="Tous",SUMIFS('Étape 1 - à remplir'!$F$31:$F$400,'Étape 1 - à remplir'!$E$31:$E$400,MASQ2!EC128,'Étape 1 - à remplir'!$G$31:$G$400,"kg"),SUMIFS('Étape 1 - à remplir'!$F$31:$F$400,'Étape 1 - à remplir'!$E$31:$E$400,MASQ2!EC128,'Étape 1 - à remplir'!$O$31:$O$400,EL$3,'Étape 1 - à remplir'!$G$31:$G$400,"kg")),IF(EL$2="Espèce",IF(EL$3="Toutes",SUMIFS('Étape 1 - à remplir'!$F$31:$F$400,'Étape 1 - à remplir'!$E$31:$E$400,MASQ2!EC128,'Étape 1 - à remplir'!$G$31:$G$400,"kg"),SUMIFS('Étape 1 - à remplir'!$F$31:$F$400,'Étape 1 - à remplir'!$E$31:$E$400,MASQ2!EC128,'Étape 1 - à remplir'!$N$31:$N$400,EL$3,'Étape 1 - à remplir'!$G$31:$G$400,"kg")))))))</f>
        <v>#N/A</v>
      </c>
      <c r="EE128" s="76">
        <f t="shared" si="150"/>
        <v>0</v>
      </c>
      <c r="EF128" t="str">
        <f t="shared" si="141"/>
        <v>Acide oxolinique</v>
      </c>
      <c r="EG128" t="str">
        <f t="shared" si="142"/>
        <v/>
      </c>
      <c r="EH128" t="str">
        <f t="shared" si="143"/>
        <v/>
      </c>
      <c r="EI128" t="str">
        <f t="shared" si="144"/>
        <v>Quinolones</v>
      </c>
      <c r="EJ128" t="str">
        <f t="shared" si="145"/>
        <v/>
      </c>
      <c r="EK128" s="63" t="str">
        <f t="shared" si="146"/>
        <v/>
      </c>
      <c r="EN128" s="42">
        <v>125</v>
      </c>
      <c r="EO128" t="e">
        <f t="shared" si="152"/>
        <v>#N/A</v>
      </c>
      <c r="EP128" s="63" t="e">
        <f t="shared" si="153"/>
        <v>#N/A</v>
      </c>
      <c r="FT128" s="63"/>
    </row>
    <row r="129" spans="2:176" x14ac:dyDescent="0.3">
      <c r="B129" s="42"/>
      <c r="M129" s="194" t="str">
        <f ca="1">INDEX(Données_ATB!BD:BU,MATCH(MASQ2!O129,Données_ATB!BD:BD,0),18)</f>
        <v/>
      </c>
      <c r="N129" s="14" t="str">
        <f>IFERROR(IF(Q129=0,"",COUNTIF(Q$4:Q$600,"&gt;"&amp;Q129)+COUNTIF(Q$4:Q129,Q129)),"")</f>
        <v/>
      </c>
      <c r="O129" t="str">
        <f>Données_ATB!BD128</f>
        <v>COFAMIX ACIDE OXOLINIQUE 80 porc</v>
      </c>
      <c r="P129" t="e">
        <f>IF(IF(X$2="Catégorie",IF(X$3="Toutes",SUMIFS('Étape 1 - à remplir'!$F$31:$F$400,'Étape 1 - à remplir'!$E$31:$E$400,MASQ2!O129,'Étape 1 - à remplir'!$G$31:$G$400,"animaux"),SUMIFS('Étape 1 - à remplir'!$F$31:$F$400,'Étape 1 - à remplir'!$E$31:$E$400,MASQ2!O129,'Étape 1 - à remplir'!$C$31:$C$400,X$3)),IF(X$2="Âge",IF(X$3="Tous",SUMIFS('Étape 1 - à remplir'!$F$31:$F$400,'Étape 1 - à remplir'!$E$31:$E$400,MASQ2!O129,'Étape 1 - à remplir'!$G$31:$G$400,"animaux"),SUMIFS('Étape 1 - à remplir'!$F$31:$F$400,'Étape 1 - à remplir'!$E$31:$E$400,MASQ2!O129,'Étape 1 - à remplir'!$P$31:$P$400,X$3)),IF(X$2="Atelier",IF(X$3="Tous",SUMIFS('Étape 1 - à remplir'!$F$31:$F$400,'Étape 1 - à remplir'!$E$31:$E$400,MASQ2!O129,'Étape 1 - à remplir'!$G$31:$G$400,"animaux"),SUMIFS('Étape 1 - à remplir'!$F$31:$F$400,'Étape 1 - à remplir'!$E$31:$E$400,MASQ2!O129,'Étape 1 - à remplir'!$O$31:$O$400,X$3)),IF(X$2="Espèce",IF(X$3="Toutes",SUMIFS('Étape 1 - à remplir'!$F$31:$F$400,'Étape 1 - à remplir'!$E$31:$E$400,MASQ2!O129,'Étape 1 - à remplir'!$G$31:$G$400,"animaux"),SUMIFS('Étape 1 - à remplir'!$F$31:$F$400,'Étape 1 - à remplir'!$E$31:$E$400,MASQ2!O129,'Étape 1 - à remplir'!$N$31:$N$400,X$3))))))=0,NA(),IF(X$2="Catégorie",IF(X$3="Toutes",SUMIFS('Étape 1 - à remplir'!$F$31:$F$400,'Étape 1 - à remplir'!$E$31:$E$400,MASQ2!O129,'Étape 1 - à remplir'!$G$31:$G$400,"animaux"),SUMIFS('Étape 1 - à remplir'!$F$31:$F$400,'Étape 1 - à remplir'!$E$31:$E$400,MASQ2!O129,'Étape 1 - à remplir'!$C$31:$C$400,X$3)),IF(X$2="Âge",IF(X$3="Tous",SUMIFS('Étape 1 - à remplir'!$F$31:$F$400,'Étape 1 - à remplir'!$E$31:$E$400,MASQ2!O129,'Étape 1 - à remplir'!$G$31:$G$400,"animaux"),SUMIFS('Étape 1 - à remplir'!$F$31:$F$400,'Étape 1 - à remplir'!$E$31:$E$400,MASQ2!O129,'Étape 1 - à remplir'!$P$31:$P$400,X$3)),IF(X$2="Atelier",IF(X$3="Tous",SUMIFS('Étape 1 - à remplir'!$F$31:$F$400,'Étape 1 - à remplir'!$E$31:$E$400,MASQ2!O129,'Étape 1 - à remplir'!$G$31:$G$400,"animaux"),SUMIFS('Étape 1 - à remplir'!$F$31:$F$400,'Étape 1 - à remplir'!$E$31:$E$400,MASQ2!O129,'Étape 1 - à remplir'!$O$31:$O$400,X$3)),IF(X$2="Espèce",IF(X$3="Toutes",SUMIFS('Étape 1 - à remplir'!$F$31:$F$400,'Étape 1 - à remplir'!$E$31:$E$400,MASQ2!O129,'Étape 1 - à remplir'!$G$31:$G$400,"animaux"),SUMIFS('Étape 1 - à remplir'!$F$31:$F$400,'Étape 1 - à remplir'!$E$31:$E$400,MASQ2!O129,'Étape 1 - à remplir'!$N$31:$N$400,X$3)))))))</f>
        <v>#N/A</v>
      </c>
      <c r="Q129" s="63">
        <f t="shared" si="151"/>
        <v>0</v>
      </c>
      <c r="R129" t="str">
        <f>Données_ATB!BM128</f>
        <v>Acide oxolinique</v>
      </c>
      <c r="S129" t="str">
        <f>Données_ATB!BN128</f>
        <v/>
      </c>
      <c r="T129" s="63" t="str">
        <f>Données_ATB!BO128</f>
        <v/>
      </c>
      <c r="U129" s="42" t="str">
        <f>Données_ATB!BQ128</f>
        <v>Quinolones</v>
      </c>
      <c r="V129" t="str">
        <f>Données_ATB!BR128</f>
        <v/>
      </c>
      <c r="W129" s="63" t="str">
        <f>Données_ATB!BS128</f>
        <v/>
      </c>
      <c r="Z129" s="42">
        <v>126</v>
      </c>
      <c r="AA129" t="e">
        <f t="shared" si="147"/>
        <v>#N/A</v>
      </c>
      <c r="AB129" s="63" t="e">
        <f t="shared" si="148"/>
        <v>#N/A</v>
      </c>
      <c r="BF129" s="63"/>
      <c r="BT129" s="194" t="str">
        <f t="shared" ca="1" si="131"/>
        <v/>
      </c>
      <c r="BU129" s="219" t="str">
        <f>IFERROR(IF(BX129=0,"",COUNTIF(BX$4:BX$600,"&gt;"&amp;BX129)+COUNTIF(BX$4:BX129,BX129)),"")</f>
        <v/>
      </c>
      <c r="BV129" s="42" t="str">
        <f t="shared" si="132"/>
        <v>COFAMIX ACIDE OXOLINIQUE 80 porc</v>
      </c>
      <c r="BW129" t="e">
        <f>IF(IF(CE$2="Catégorie",IF(CE$3="Toutes",SUMIFS('Étape 1 - à remplir'!$F$31:$F$400,'Étape 1 - à remplir'!$E$31:$E$400,MASQ2!BV129,'Étape 1 - à remplir'!$G$31:$G$400,"lots"),SUMIFS('Étape 1 - à remplir'!$F$31:$F$400,'Étape 1 - à remplir'!$E$31:$E$400,MASQ2!BV129,'Étape 1 - à remplir'!$C$31:$C$400,CE$3)),IF(CE$2="Âge",IF(CE$3="Tous",SUMIFS('Étape 1 - à remplir'!$F$31:$F$400,'Étape 1 - à remplir'!$E$31:$E$400,MASQ2!BV129,'Étape 1 - à remplir'!$G$31:$G$400,"lots"),SUMIFS('Étape 1 - à remplir'!$F$31:$F$400,'Étape 1 - à remplir'!$E$31:$E$400,MASQ2!BV129,'Étape 1 - à remplir'!$P$31:$P$400,CE$3,'Étape 1 - à remplir'!$G$31:$G$400,"lots")),IF(CE$2="Atelier",IF(CE$3="Tous",SUMIFS('Étape 1 - à remplir'!$F$31:$F$400,'Étape 1 - à remplir'!$E$31:$E$400,MASQ2!BV129,'Étape 1 - à remplir'!$G$31:$G$400,"lots"),SUMIFS('Étape 1 - à remplir'!$F$31:$F$400,'Étape 1 - à remplir'!$E$31:$E$400,MASQ2!BV129,'Étape 1 - à remplir'!$O$31:$O$400,CE$3,'Étape 1 - à remplir'!$G$31:$G$400,"lots")),IF(CE$2="Espèce",IF(CE$3="Toutes",SUMIFS('Étape 1 - à remplir'!$F$31:$F$400,'Étape 1 - à remplir'!$E$31:$E$400,MASQ2!BV129,'Étape 1 - à remplir'!$G$31:$G$400,"lots"),SUMIFS('Étape 1 - à remplir'!$F$31:$F$400,'Étape 1 - à remplir'!$E$31:$E$400,MASQ2!BV129,'Étape 1 - à remplir'!$N$31:$N$400,CE$3,'Étape 1 - à remplir'!$G$31:$G$400,"lots"))))))=0,NA(),IF(CE$2="Catégorie",IF(CE$3="Toutes",SUMIFS('Étape 1 - à remplir'!$F$31:$F$400,'Étape 1 - à remplir'!$E$31:$E$400,MASQ2!BV129,'Étape 1 - à remplir'!$G$31:$G$400,"lots"),SUMIFS('Étape 1 - à remplir'!$F$31:$F$400,'Étape 1 - à remplir'!$E$31:$E$400,MASQ2!BV129,'Étape 1 - à remplir'!$C$31:$C$400,CE$3)),IF(CE$2="Âge",IF(CE$3="Tous",SUMIFS('Étape 1 - à remplir'!$F$31:$F$400,'Étape 1 - à remplir'!$E$31:$E$400,MASQ2!BV129,'Étape 1 - à remplir'!$G$31:$G$400,"lots"),SUMIFS('Étape 1 - à remplir'!$F$31:$F$400,'Étape 1 - à remplir'!$E$31:$E$400,MASQ2!BV129,'Étape 1 - à remplir'!$P$31:$P$400,CE$3,'Étape 1 - à remplir'!$G$31:$G$400,"lots")),IF(CE$2="Atelier",IF(CE$3="Tous",SUMIFS('Étape 1 - à remplir'!$F$31:$F$400,'Étape 1 - à remplir'!$E$31:$E$400,MASQ2!BV129,'Étape 1 - à remplir'!$G$31:$G$400,"lots"),SUMIFS('Étape 1 - à remplir'!$F$31:$F$400,'Étape 1 - à remplir'!$E$31:$E$400,MASQ2!BV129,'Étape 1 - à remplir'!$O$31:$O$400,CE$3,'Étape 1 - à remplir'!$G$31:$G$400,"lots")),IF(CE$2="Espèce",IF(CE$3="Toutes",SUMIFS('Étape 1 - à remplir'!$F$31:$F$400,'Étape 1 - à remplir'!$E$31:$E$400,MASQ2!BV129,'Étape 1 - à remplir'!$G$31:$G$400,"lots"),SUMIFS('Étape 1 - à remplir'!$F$31:$F$400,'Étape 1 - à remplir'!$E$31:$E$400,MASQ2!BV129,'Étape 1 - à remplir'!$N$31:$N$400,CE$3,'Étape 1 - à remplir'!$G$31:$G$400,"lots")))))))</f>
        <v>#N/A</v>
      </c>
      <c r="BX129">
        <f t="shared" si="149"/>
        <v>0</v>
      </c>
      <c r="BY129" t="str">
        <f t="shared" si="133"/>
        <v>Acide oxolinique</v>
      </c>
      <c r="BZ129" t="str">
        <f t="shared" si="134"/>
        <v/>
      </c>
      <c r="CA129" t="str">
        <f t="shared" si="135"/>
        <v/>
      </c>
      <c r="CB129" t="str">
        <f t="shared" si="136"/>
        <v>Quinolones</v>
      </c>
      <c r="CC129" t="str">
        <f t="shared" si="137"/>
        <v/>
      </c>
      <c r="CD129" s="63" t="str">
        <f t="shared" si="138"/>
        <v/>
      </c>
      <c r="CG129" s="42">
        <v>126</v>
      </c>
      <c r="CH129" s="42" t="e">
        <f t="shared" si="163"/>
        <v>#N/A</v>
      </c>
      <c r="CI129" s="63" t="e">
        <f t="shared" si="164"/>
        <v>#N/A</v>
      </c>
      <c r="DM129" s="63"/>
      <c r="EA129" s="194" t="str">
        <f t="shared" ca="1" si="139"/>
        <v/>
      </c>
      <c r="EB129" s="226" t="str">
        <f>IFERROR(IF(ED129=0,"",COUNTIF(ED$4:ED$600,"&gt;"&amp;ED129)+COUNTIF(ED$4:ED129,ED129)),"")</f>
        <v/>
      </c>
      <c r="EC129" t="str">
        <f t="shared" si="140"/>
        <v>COFAMIX ACIDE OXOLINIQUE 80 porc</v>
      </c>
      <c r="ED129" t="e">
        <f>IF(IF(EL$2="Catégorie",IF(EL$3="Toutes",SUMIFS('Étape 1 - à remplir'!$F$31:$F$400,'Étape 1 - à remplir'!$E$31:$E$400,MASQ2!EC129,'Étape 1 - à remplir'!$G$31:$G$400,"kg"),SUMIFS('Étape 1 - à remplir'!$F$31:$F$400,'Étape 1 - à remplir'!$E$31:$E$400,MASQ2!EC129,'Étape 1 - à remplir'!$C$31:$C$400,EL$3)),IF(EL$2="Âge",IF(EL$3="Tous",SUMIFS('Étape 1 - à remplir'!$F$31:$F$400,'Étape 1 - à remplir'!$E$31:$E$400,MASQ2!EC129,'Étape 1 - à remplir'!$G$31:$G$400,"kg"),SUMIFS('Étape 1 - à remplir'!$F$31:$F$400,'Étape 1 - à remplir'!$E$31:$E$400,MASQ2!EC129,'Étape 1 - à remplir'!$P$31:$P$400,EL$3,'Étape 1 - à remplir'!$G$31:$G$400,"kg")),IF(EL$2="Atelier",IF(EL$3="Tous",SUMIFS('Étape 1 - à remplir'!$F$31:$F$400,'Étape 1 - à remplir'!$E$31:$E$400,MASQ2!EC129,'Étape 1 - à remplir'!$G$31:$G$400,"kg"),SUMIFS('Étape 1 - à remplir'!$F$31:$F$400,'Étape 1 - à remplir'!$E$31:$E$400,MASQ2!EC129,'Étape 1 - à remplir'!$O$31:$O$400,EL$3,'Étape 1 - à remplir'!$G$31:$G$400,"kg")),IF(EL$2="Espèce",IF(EL$3="Toutes",SUMIFS('Étape 1 - à remplir'!$F$31:$F$400,'Étape 1 - à remplir'!$E$31:$E$400,MASQ2!EC129,'Étape 1 - à remplir'!$G$31:$G$400,"kg"),SUMIFS('Étape 1 - à remplir'!$F$31:$F$400,'Étape 1 - à remplir'!$E$31:$E$400,MASQ2!EC129,'Étape 1 - à remplir'!$N$31:$N$400,EL$3,'Étape 1 - à remplir'!$G$31:$G$400,"kg"))))))=0,NA(),IF(EL$2="Catégorie",IF(EL$3="Toutes",SUMIFS('Étape 1 - à remplir'!$F$31:$F$400,'Étape 1 - à remplir'!$E$31:$E$400,MASQ2!EC129,'Étape 1 - à remplir'!$G$31:$G$400,"kg"),SUMIFS('Étape 1 - à remplir'!$F$31:$F$400,'Étape 1 - à remplir'!$E$31:$E$400,MASQ2!EC129,'Étape 1 - à remplir'!$C$31:$C$400,EL$3)),IF(EL$2="Âge",IF(EL$3="Tous",SUMIFS('Étape 1 - à remplir'!$F$31:$F$400,'Étape 1 - à remplir'!$E$31:$E$400,MASQ2!EC129,'Étape 1 - à remplir'!$G$31:$G$400,"kg"),SUMIFS('Étape 1 - à remplir'!$F$31:$F$400,'Étape 1 - à remplir'!$E$31:$E$400,MASQ2!EC129,'Étape 1 - à remplir'!$P$31:$P$400,EL$3,'Étape 1 - à remplir'!$G$31:$G$400,"kg")),IF(EL$2="Atelier",IF(EL$3="Tous",SUMIFS('Étape 1 - à remplir'!$F$31:$F$400,'Étape 1 - à remplir'!$E$31:$E$400,MASQ2!EC129,'Étape 1 - à remplir'!$G$31:$G$400,"kg"),SUMIFS('Étape 1 - à remplir'!$F$31:$F$400,'Étape 1 - à remplir'!$E$31:$E$400,MASQ2!EC129,'Étape 1 - à remplir'!$O$31:$O$400,EL$3,'Étape 1 - à remplir'!$G$31:$G$400,"kg")),IF(EL$2="Espèce",IF(EL$3="Toutes",SUMIFS('Étape 1 - à remplir'!$F$31:$F$400,'Étape 1 - à remplir'!$E$31:$E$400,MASQ2!EC129,'Étape 1 - à remplir'!$G$31:$G$400,"kg"),SUMIFS('Étape 1 - à remplir'!$F$31:$F$400,'Étape 1 - à remplir'!$E$31:$E$400,MASQ2!EC129,'Étape 1 - à remplir'!$N$31:$N$400,EL$3,'Étape 1 - à remplir'!$G$31:$G$400,"kg")))))))</f>
        <v>#N/A</v>
      </c>
      <c r="EE129" s="76">
        <f t="shared" si="150"/>
        <v>0</v>
      </c>
      <c r="EF129" t="str">
        <f t="shared" si="141"/>
        <v>Acide oxolinique</v>
      </c>
      <c r="EG129" t="str">
        <f t="shared" si="142"/>
        <v/>
      </c>
      <c r="EH129" t="str">
        <f t="shared" si="143"/>
        <v/>
      </c>
      <c r="EI129" t="str">
        <f t="shared" si="144"/>
        <v>Quinolones</v>
      </c>
      <c r="EJ129" t="str">
        <f t="shared" si="145"/>
        <v/>
      </c>
      <c r="EK129" s="63" t="str">
        <f t="shared" si="146"/>
        <v/>
      </c>
      <c r="EN129" s="42">
        <v>126</v>
      </c>
      <c r="EO129" t="e">
        <f t="shared" si="152"/>
        <v>#N/A</v>
      </c>
      <c r="EP129" s="63" t="e">
        <f t="shared" si="153"/>
        <v>#N/A</v>
      </c>
      <c r="FT129" s="63"/>
    </row>
    <row r="130" spans="2:176" x14ac:dyDescent="0.3">
      <c r="B130" s="42"/>
      <c r="M130" s="194" t="str">
        <f ca="1">INDEX(Données_ATB!BD:BU,MATCH(MASQ2!O130,Données_ATB!BD:BD,0),18)</f>
        <v/>
      </c>
      <c r="N130" s="14" t="str">
        <f>IFERROR(IF(Q130=0,"",COUNTIF(Q$4:Q$600,"&gt;"&amp;Q130)+COUNTIF(Q$4:Q130,Q130)),"")</f>
        <v/>
      </c>
      <c r="O130" t="str">
        <f>Données_ATB!BD129</f>
        <v>COFAMIX AMOXICILLINE 100 PORC</v>
      </c>
      <c r="P130" t="e">
        <f>IF(IF(X$2="Catégorie",IF(X$3="Toutes",SUMIFS('Étape 1 - à remplir'!$F$31:$F$400,'Étape 1 - à remplir'!$E$31:$E$400,MASQ2!O130,'Étape 1 - à remplir'!$G$31:$G$400,"animaux"),SUMIFS('Étape 1 - à remplir'!$F$31:$F$400,'Étape 1 - à remplir'!$E$31:$E$400,MASQ2!O130,'Étape 1 - à remplir'!$C$31:$C$400,X$3)),IF(X$2="Âge",IF(X$3="Tous",SUMIFS('Étape 1 - à remplir'!$F$31:$F$400,'Étape 1 - à remplir'!$E$31:$E$400,MASQ2!O130,'Étape 1 - à remplir'!$G$31:$G$400,"animaux"),SUMIFS('Étape 1 - à remplir'!$F$31:$F$400,'Étape 1 - à remplir'!$E$31:$E$400,MASQ2!O130,'Étape 1 - à remplir'!$P$31:$P$400,X$3)),IF(X$2="Atelier",IF(X$3="Tous",SUMIFS('Étape 1 - à remplir'!$F$31:$F$400,'Étape 1 - à remplir'!$E$31:$E$400,MASQ2!O130,'Étape 1 - à remplir'!$G$31:$G$400,"animaux"),SUMIFS('Étape 1 - à remplir'!$F$31:$F$400,'Étape 1 - à remplir'!$E$31:$E$400,MASQ2!O130,'Étape 1 - à remplir'!$O$31:$O$400,X$3)),IF(X$2="Espèce",IF(X$3="Toutes",SUMIFS('Étape 1 - à remplir'!$F$31:$F$400,'Étape 1 - à remplir'!$E$31:$E$400,MASQ2!O130,'Étape 1 - à remplir'!$G$31:$G$400,"animaux"),SUMIFS('Étape 1 - à remplir'!$F$31:$F$400,'Étape 1 - à remplir'!$E$31:$E$400,MASQ2!O130,'Étape 1 - à remplir'!$N$31:$N$400,X$3))))))=0,NA(),IF(X$2="Catégorie",IF(X$3="Toutes",SUMIFS('Étape 1 - à remplir'!$F$31:$F$400,'Étape 1 - à remplir'!$E$31:$E$400,MASQ2!O130,'Étape 1 - à remplir'!$G$31:$G$400,"animaux"),SUMIFS('Étape 1 - à remplir'!$F$31:$F$400,'Étape 1 - à remplir'!$E$31:$E$400,MASQ2!O130,'Étape 1 - à remplir'!$C$31:$C$400,X$3)),IF(X$2="Âge",IF(X$3="Tous",SUMIFS('Étape 1 - à remplir'!$F$31:$F$400,'Étape 1 - à remplir'!$E$31:$E$400,MASQ2!O130,'Étape 1 - à remplir'!$G$31:$G$400,"animaux"),SUMIFS('Étape 1 - à remplir'!$F$31:$F$400,'Étape 1 - à remplir'!$E$31:$E$400,MASQ2!O130,'Étape 1 - à remplir'!$P$31:$P$400,X$3)),IF(X$2="Atelier",IF(X$3="Tous",SUMIFS('Étape 1 - à remplir'!$F$31:$F$400,'Étape 1 - à remplir'!$E$31:$E$400,MASQ2!O130,'Étape 1 - à remplir'!$G$31:$G$400,"animaux"),SUMIFS('Étape 1 - à remplir'!$F$31:$F$400,'Étape 1 - à remplir'!$E$31:$E$400,MASQ2!O130,'Étape 1 - à remplir'!$O$31:$O$400,X$3)),IF(X$2="Espèce",IF(X$3="Toutes",SUMIFS('Étape 1 - à remplir'!$F$31:$F$400,'Étape 1 - à remplir'!$E$31:$E$400,MASQ2!O130,'Étape 1 - à remplir'!$G$31:$G$400,"animaux"),SUMIFS('Étape 1 - à remplir'!$F$31:$F$400,'Étape 1 - à remplir'!$E$31:$E$400,MASQ2!O130,'Étape 1 - à remplir'!$N$31:$N$400,X$3)))))))</f>
        <v>#N/A</v>
      </c>
      <c r="Q130" s="63">
        <f t="shared" si="151"/>
        <v>0</v>
      </c>
      <c r="R130" t="str">
        <f>Données_ATB!BM129</f>
        <v>Amoxicilline</v>
      </c>
      <c r="S130" t="str">
        <f>Données_ATB!BN129</f>
        <v/>
      </c>
      <c r="T130" s="63" t="str">
        <f>Données_ATB!BO129</f>
        <v/>
      </c>
      <c r="U130" s="42" t="str">
        <f>Données_ATB!BQ129</f>
        <v>Penicillines</v>
      </c>
      <c r="V130" t="str">
        <f>Données_ATB!BR129</f>
        <v/>
      </c>
      <c r="W130" s="63" t="str">
        <f>Données_ATB!BS129</f>
        <v/>
      </c>
      <c r="Z130" s="42">
        <v>127</v>
      </c>
      <c r="AA130" t="e">
        <f t="shared" si="147"/>
        <v>#N/A</v>
      </c>
      <c r="AB130" s="63" t="e">
        <f t="shared" si="148"/>
        <v>#N/A</v>
      </c>
      <c r="BF130" s="63"/>
      <c r="BT130" s="194" t="str">
        <f t="shared" ca="1" si="131"/>
        <v/>
      </c>
      <c r="BU130" s="219" t="str">
        <f>IFERROR(IF(BX130=0,"",COUNTIF(BX$4:BX$600,"&gt;"&amp;BX130)+COUNTIF(BX$4:BX130,BX130)),"")</f>
        <v/>
      </c>
      <c r="BV130" s="42" t="str">
        <f t="shared" si="132"/>
        <v>COFAMIX AMOXICILLINE 100 PORC</v>
      </c>
      <c r="BW130" t="e">
        <f>IF(IF(CE$2="Catégorie",IF(CE$3="Toutes",SUMIFS('Étape 1 - à remplir'!$F$31:$F$400,'Étape 1 - à remplir'!$E$31:$E$400,MASQ2!BV130,'Étape 1 - à remplir'!$G$31:$G$400,"lots"),SUMIFS('Étape 1 - à remplir'!$F$31:$F$400,'Étape 1 - à remplir'!$E$31:$E$400,MASQ2!BV130,'Étape 1 - à remplir'!$C$31:$C$400,CE$3)),IF(CE$2="Âge",IF(CE$3="Tous",SUMIFS('Étape 1 - à remplir'!$F$31:$F$400,'Étape 1 - à remplir'!$E$31:$E$400,MASQ2!BV130,'Étape 1 - à remplir'!$G$31:$G$400,"lots"),SUMIFS('Étape 1 - à remplir'!$F$31:$F$400,'Étape 1 - à remplir'!$E$31:$E$400,MASQ2!BV130,'Étape 1 - à remplir'!$P$31:$P$400,CE$3,'Étape 1 - à remplir'!$G$31:$G$400,"lots")),IF(CE$2="Atelier",IF(CE$3="Tous",SUMIFS('Étape 1 - à remplir'!$F$31:$F$400,'Étape 1 - à remplir'!$E$31:$E$400,MASQ2!BV130,'Étape 1 - à remplir'!$G$31:$G$400,"lots"),SUMIFS('Étape 1 - à remplir'!$F$31:$F$400,'Étape 1 - à remplir'!$E$31:$E$400,MASQ2!BV130,'Étape 1 - à remplir'!$O$31:$O$400,CE$3,'Étape 1 - à remplir'!$G$31:$G$400,"lots")),IF(CE$2="Espèce",IF(CE$3="Toutes",SUMIFS('Étape 1 - à remplir'!$F$31:$F$400,'Étape 1 - à remplir'!$E$31:$E$400,MASQ2!BV130,'Étape 1 - à remplir'!$G$31:$G$400,"lots"),SUMIFS('Étape 1 - à remplir'!$F$31:$F$400,'Étape 1 - à remplir'!$E$31:$E$400,MASQ2!BV130,'Étape 1 - à remplir'!$N$31:$N$400,CE$3,'Étape 1 - à remplir'!$G$31:$G$400,"lots"))))))=0,NA(),IF(CE$2="Catégorie",IF(CE$3="Toutes",SUMIFS('Étape 1 - à remplir'!$F$31:$F$400,'Étape 1 - à remplir'!$E$31:$E$400,MASQ2!BV130,'Étape 1 - à remplir'!$G$31:$G$400,"lots"),SUMIFS('Étape 1 - à remplir'!$F$31:$F$400,'Étape 1 - à remplir'!$E$31:$E$400,MASQ2!BV130,'Étape 1 - à remplir'!$C$31:$C$400,CE$3)),IF(CE$2="Âge",IF(CE$3="Tous",SUMIFS('Étape 1 - à remplir'!$F$31:$F$400,'Étape 1 - à remplir'!$E$31:$E$400,MASQ2!BV130,'Étape 1 - à remplir'!$G$31:$G$400,"lots"),SUMIFS('Étape 1 - à remplir'!$F$31:$F$400,'Étape 1 - à remplir'!$E$31:$E$400,MASQ2!BV130,'Étape 1 - à remplir'!$P$31:$P$400,CE$3,'Étape 1 - à remplir'!$G$31:$G$400,"lots")),IF(CE$2="Atelier",IF(CE$3="Tous",SUMIFS('Étape 1 - à remplir'!$F$31:$F$400,'Étape 1 - à remplir'!$E$31:$E$400,MASQ2!BV130,'Étape 1 - à remplir'!$G$31:$G$400,"lots"),SUMIFS('Étape 1 - à remplir'!$F$31:$F$400,'Étape 1 - à remplir'!$E$31:$E$400,MASQ2!BV130,'Étape 1 - à remplir'!$O$31:$O$400,CE$3,'Étape 1 - à remplir'!$G$31:$G$400,"lots")),IF(CE$2="Espèce",IF(CE$3="Toutes",SUMIFS('Étape 1 - à remplir'!$F$31:$F$400,'Étape 1 - à remplir'!$E$31:$E$400,MASQ2!BV130,'Étape 1 - à remplir'!$G$31:$G$400,"lots"),SUMIFS('Étape 1 - à remplir'!$F$31:$F$400,'Étape 1 - à remplir'!$E$31:$E$400,MASQ2!BV130,'Étape 1 - à remplir'!$N$31:$N$400,CE$3,'Étape 1 - à remplir'!$G$31:$G$400,"lots")))))))</f>
        <v>#N/A</v>
      </c>
      <c r="BX130">
        <f t="shared" si="149"/>
        <v>0</v>
      </c>
      <c r="BY130" t="str">
        <f t="shared" si="133"/>
        <v>Amoxicilline</v>
      </c>
      <c r="BZ130" t="str">
        <f t="shared" si="134"/>
        <v/>
      </c>
      <c r="CA130" t="str">
        <f t="shared" si="135"/>
        <v/>
      </c>
      <c r="CB130" t="str">
        <f t="shared" si="136"/>
        <v>Penicillines</v>
      </c>
      <c r="CC130" t="str">
        <f t="shared" si="137"/>
        <v/>
      </c>
      <c r="CD130" s="63" t="str">
        <f t="shared" si="138"/>
        <v/>
      </c>
      <c r="CG130" s="42">
        <v>127</v>
      </c>
      <c r="CH130" s="42" t="e">
        <f t="shared" si="163"/>
        <v>#N/A</v>
      </c>
      <c r="CI130" s="63" t="e">
        <f t="shared" si="164"/>
        <v>#N/A</v>
      </c>
      <c r="DM130" s="63"/>
      <c r="EA130" s="194" t="str">
        <f t="shared" ca="1" si="139"/>
        <v/>
      </c>
      <c r="EB130" s="226" t="str">
        <f>IFERROR(IF(ED130=0,"",COUNTIF(ED$4:ED$600,"&gt;"&amp;ED130)+COUNTIF(ED$4:ED130,ED130)),"")</f>
        <v/>
      </c>
      <c r="EC130" t="str">
        <f t="shared" si="140"/>
        <v>COFAMIX AMOXICILLINE 100 PORC</v>
      </c>
      <c r="ED130" t="e">
        <f>IF(IF(EL$2="Catégorie",IF(EL$3="Toutes",SUMIFS('Étape 1 - à remplir'!$F$31:$F$400,'Étape 1 - à remplir'!$E$31:$E$400,MASQ2!EC130,'Étape 1 - à remplir'!$G$31:$G$400,"kg"),SUMIFS('Étape 1 - à remplir'!$F$31:$F$400,'Étape 1 - à remplir'!$E$31:$E$400,MASQ2!EC130,'Étape 1 - à remplir'!$C$31:$C$400,EL$3)),IF(EL$2="Âge",IF(EL$3="Tous",SUMIFS('Étape 1 - à remplir'!$F$31:$F$400,'Étape 1 - à remplir'!$E$31:$E$400,MASQ2!EC130,'Étape 1 - à remplir'!$G$31:$G$400,"kg"),SUMIFS('Étape 1 - à remplir'!$F$31:$F$400,'Étape 1 - à remplir'!$E$31:$E$400,MASQ2!EC130,'Étape 1 - à remplir'!$P$31:$P$400,EL$3,'Étape 1 - à remplir'!$G$31:$G$400,"kg")),IF(EL$2="Atelier",IF(EL$3="Tous",SUMIFS('Étape 1 - à remplir'!$F$31:$F$400,'Étape 1 - à remplir'!$E$31:$E$400,MASQ2!EC130,'Étape 1 - à remplir'!$G$31:$G$400,"kg"),SUMIFS('Étape 1 - à remplir'!$F$31:$F$400,'Étape 1 - à remplir'!$E$31:$E$400,MASQ2!EC130,'Étape 1 - à remplir'!$O$31:$O$400,EL$3,'Étape 1 - à remplir'!$G$31:$G$400,"kg")),IF(EL$2="Espèce",IF(EL$3="Toutes",SUMIFS('Étape 1 - à remplir'!$F$31:$F$400,'Étape 1 - à remplir'!$E$31:$E$400,MASQ2!EC130,'Étape 1 - à remplir'!$G$31:$G$400,"kg"),SUMIFS('Étape 1 - à remplir'!$F$31:$F$400,'Étape 1 - à remplir'!$E$31:$E$400,MASQ2!EC130,'Étape 1 - à remplir'!$N$31:$N$400,EL$3,'Étape 1 - à remplir'!$G$31:$G$400,"kg"))))))=0,NA(),IF(EL$2="Catégorie",IF(EL$3="Toutes",SUMIFS('Étape 1 - à remplir'!$F$31:$F$400,'Étape 1 - à remplir'!$E$31:$E$400,MASQ2!EC130,'Étape 1 - à remplir'!$G$31:$G$400,"kg"),SUMIFS('Étape 1 - à remplir'!$F$31:$F$400,'Étape 1 - à remplir'!$E$31:$E$400,MASQ2!EC130,'Étape 1 - à remplir'!$C$31:$C$400,EL$3)),IF(EL$2="Âge",IF(EL$3="Tous",SUMIFS('Étape 1 - à remplir'!$F$31:$F$400,'Étape 1 - à remplir'!$E$31:$E$400,MASQ2!EC130,'Étape 1 - à remplir'!$G$31:$G$400,"kg"),SUMIFS('Étape 1 - à remplir'!$F$31:$F$400,'Étape 1 - à remplir'!$E$31:$E$400,MASQ2!EC130,'Étape 1 - à remplir'!$P$31:$P$400,EL$3,'Étape 1 - à remplir'!$G$31:$G$400,"kg")),IF(EL$2="Atelier",IF(EL$3="Tous",SUMIFS('Étape 1 - à remplir'!$F$31:$F$400,'Étape 1 - à remplir'!$E$31:$E$400,MASQ2!EC130,'Étape 1 - à remplir'!$G$31:$G$400,"kg"),SUMIFS('Étape 1 - à remplir'!$F$31:$F$400,'Étape 1 - à remplir'!$E$31:$E$400,MASQ2!EC130,'Étape 1 - à remplir'!$O$31:$O$400,EL$3,'Étape 1 - à remplir'!$G$31:$G$400,"kg")),IF(EL$2="Espèce",IF(EL$3="Toutes",SUMIFS('Étape 1 - à remplir'!$F$31:$F$400,'Étape 1 - à remplir'!$E$31:$E$400,MASQ2!EC130,'Étape 1 - à remplir'!$G$31:$G$400,"kg"),SUMIFS('Étape 1 - à remplir'!$F$31:$F$400,'Étape 1 - à remplir'!$E$31:$E$400,MASQ2!EC130,'Étape 1 - à remplir'!$N$31:$N$400,EL$3,'Étape 1 - à remplir'!$G$31:$G$400,"kg")))))))</f>
        <v>#N/A</v>
      </c>
      <c r="EE130" s="76">
        <f t="shared" si="150"/>
        <v>0</v>
      </c>
      <c r="EF130" t="str">
        <f t="shared" si="141"/>
        <v>Amoxicilline</v>
      </c>
      <c r="EG130" t="str">
        <f t="shared" si="142"/>
        <v/>
      </c>
      <c r="EH130" t="str">
        <f t="shared" si="143"/>
        <v/>
      </c>
      <c r="EI130" t="str">
        <f t="shared" si="144"/>
        <v>Penicillines</v>
      </c>
      <c r="EJ130" t="str">
        <f t="shared" si="145"/>
        <v/>
      </c>
      <c r="EK130" s="63" t="str">
        <f t="shared" si="146"/>
        <v/>
      </c>
      <c r="EN130" s="42">
        <v>127</v>
      </c>
      <c r="EO130" t="e">
        <f t="shared" si="152"/>
        <v>#N/A</v>
      </c>
      <c r="EP130" s="63" t="e">
        <f t="shared" si="153"/>
        <v>#N/A</v>
      </c>
      <c r="FT130" s="63"/>
    </row>
    <row r="131" spans="2:176" x14ac:dyDescent="0.3">
      <c r="B131" s="42"/>
      <c r="M131" s="194" t="str">
        <f ca="1">INDEX(Données_ATB!BD:BU,MATCH(MASQ2!O131,Données_ATB!BD:BD,0),18)</f>
        <v/>
      </c>
      <c r="N131" s="14" t="str">
        <f>IFERROR(IF(Q131=0,"",COUNTIF(Q$4:Q$600,"&gt;"&amp;Q131)+COUNTIF(Q$4:Q131,Q131)),"")</f>
        <v/>
      </c>
      <c r="O131" t="str">
        <f>Données_ATB!BD130</f>
        <v>COFAMOX 10</v>
      </c>
      <c r="P131" t="e">
        <f>IF(IF(X$2="Catégorie",IF(X$3="Toutes",SUMIFS('Étape 1 - à remplir'!$F$31:$F$400,'Étape 1 - à remplir'!$E$31:$E$400,MASQ2!O131,'Étape 1 - à remplir'!$G$31:$G$400,"animaux"),SUMIFS('Étape 1 - à remplir'!$F$31:$F$400,'Étape 1 - à remplir'!$E$31:$E$400,MASQ2!O131,'Étape 1 - à remplir'!$C$31:$C$400,X$3)),IF(X$2="Âge",IF(X$3="Tous",SUMIFS('Étape 1 - à remplir'!$F$31:$F$400,'Étape 1 - à remplir'!$E$31:$E$400,MASQ2!O131,'Étape 1 - à remplir'!$G$31:$G$400,"animaux"),SUMIFS('Étape 1 - à remplir'!$F$31:$F$400,'Étape 1 - à remplir'!$E$31:$E$400,MASQ2!O131,'Étape 1 - à remplir'!$P$31:$P$400,X$3)),IF(X$2="Atelier",IF(X$3="Tous",SUMIFS('Étape 1 - à remplir'!$F$31:$F$400,'Étape 1 - à remplir'!$E$31:$E$400,MASQ2!O131,'Étape 1 - à remplir'!$G$31:$G$400,"animaux"),SUMIFS('Étape 1 - à remplir'!$F$31:$F$400,'Étape 1 - à remplir'!$E$31:$E$400,MASQ2!O131,'Étape 1 - à remplir'!$O$31:$O$400,X$3)),IF(X$2="Espèce",IF(X$3="Toutes",SUMIFS('Étape 1 - à remplir'!$F$31:$F$400,'Étape 1 - à remplir'!$E$31:$E$400,MASQ2!O131,'Étape 1 - à remplir'!$G$31:$G$400,"animaux"),SUMIFS('Étape 1 - à remplir'!$F$31:$F$400,'Étape 1 - à remplir'!$E$31:$E$400,MASQ2!O131,'Étape 1 - à remplir'!$N$31:$N$400,X$3))))))=0,NA(),IF(X$2="Catégorie",IF(X$3="Toutes",SUMIFS('Étape 1 - à remplir'!$F$31:$F$400,'Étape 1 - à remplir'!$E$31:$E$400,MASQ2!O131,'Étape 1 - à remplir'!$G$31:$G$400,"animaux"),SUMIFS('Étape 1 - à remplir'!$F$31:$F$400,'Étape 1 - à remplir'!$E$31:$E$400,MASQ2!O131,'Étape 1 - à remplir'!$C$31:$C$400,X$3)),IF(X$2="Âge",IF(X$3="Tous",SUMIFS('Étape 1 - à remplir'!$F$31:$F$400,'Étape 1 - à remplir'!$E$31:$E$400,MASQ2!O131,'Étape 1 - à remplir'!$G$31:$G$400,"animaux"),SUMIFS('Étape 1 - à remplir'!$F$31:$F$400,'Étape 1 - à remplir'!$E$31:$E$400,MASQ2!O131,'Étape 1 - à remplir'!$P$31:$P$400,X$3)),IF(X$2="Atelier",IF(X$3="Tous",SUMIFS('Étape 1 - à remplir'!$F$31:$F$400,'Étape 1 - à remplir'!$E$31:$E$400,MASQ2!O131,'Étape 1 - à remplir'!$G$31:$G$400,"animaux"),SUMIFS('Étape 1 - à remplir'!$F$31:$F$400,'Étape 1 - à remplir'!$E$31:$E$400,MASQ2!O131,'Étape 1 - à remplir'!$O$31:$O$400,X$3)),IF(X$2="Espèce",IF(X$3="Toutes",SUMIFS('Étape 1 - à remplir'!$F$31:$F$400,'Étape 1 - à remplir'!$E$31:$E$400,MASQ2!O131,'Étape 1 - à remplir'!$G$31:$G$400,"animaux"),SUMIFS('Étape 1 - à remplir'!$F$31:$F$400,'Étape 1 - à remplir'!$E$31:$E$400,MASQ2!O131,'Étape 1 - à remplir'!$N$31:$N$400,X$3)))))))</f>
        <v>#N/A</v>
      </c>
      <c r="Q131" s="63">
        <f t="shared" si="151"/>
        <v>0</v>
      </c>
      <c r="R131" t="str">
        <f>Données_ATB!BM130</f>
        <v>Amoxicilline</v>
      </c>
      <c r="S131" t="str">
        <f>Données_ATB!BN130</f>
        <v/>
      </c>
      <c r="T131" s="63" t="str">
        <f>Données_ATB!BO130</f>
        <v/>
      </c>
      <c r="U131" s="42" t="str">
        <f>Données_ATB!BQ130</f>
        <v>Penicillines</v>
      </c>
      <c r="V131" t="str">
        <f>Données_ATB!BR130</f>
        <v/>
      </c>
      <c r="W131" s="63" t="str">
        <f>Données_ATB!BS130</f>
        <v/>
      </c>
      <c r="Z131" s="42">
        <v>128</v>
      </c>
      <c r="AA131" t="e">
        <f t="shared" si="147"/>
        <v>#N/A</v>
      </c>
      <c r="AB131" s="63" t="e">
        <f t="shared" si="148"/>
        <v>#N/A</v>
      </c>
      <c r="BF131" s="63"/>
      <c r="BT131" s="194" t="str">
        <f t="shared" ca="1" si="131"/>
        <v/>
      </c>
      <c r="BU131" s="219" t="str">
        <f>IFERROR(IF(BX131=0,"",COUNTIF(BX$4:BX$600,"&gt;"&amp;BX131)+COUNTIF(BX$4:BX131,BX131)),"")</f>
        <v/>
      </c>
      <c r="BV131" s="42" t="str">
        <f t="shared" si="132"/>
        <v>COFAMOX 10</v>
      </c>
      <c r="BW131" t="e">
        <f>IF(IF(CE$2="Catégorie",IF(CE$3="Toutes",SUMIFS('Étape 1 - à remplir'!$F$31:$F$400,'Étape 1 - à remplir'!$E$31:$E$400,MASQ2!BV131,'Étape 1 - à remplir'!$G$31:$G$400,"lots"),SUMIFS('Étape 1 - à remplir'!$F$31:$F$400,'Étape 1 - à remplir'!$E$31:$E$400,MASQ2!BV131,'Étape 1 - à remplir'!$C$31:$C$400,CE$3)),IF(CE$2="Âge",IF(CE$3="Tous",SUMIFS('Étape 1 - à remplir'!$F$31:$F$400,'Étape 1 - à remplir'!$E$31:$E$400,MASQ2!BV131,'Étape 1 - à remplir'!$G$31:$G$400,"lots"),SUMIFS('Étape 1 - à remplir'!$F$31:$F$400,'Étape 1 - à remplir'!$E$31:$E$400,MASQ2!BV131,'Étape 1 - à remplir'!$P$31:$P$400,CE$3,'Étape 1 - à remplir'!$G$31:$G$400,"lots")),IF(CE$2="Atelier",IF(CE$3="Tous",SUMIFS('Étape 1 - à remplir'!$F$31:$F$400,'Étape 1 - à remplir'!$E$31:$E$400,MASQ2!BV131,'Étape 1 - à remplir'!$G$31:$G$400,"lots"),SUMIFS('Étape 1 - à remplir'!$F$31:$F$400,'Étape 1 - à remplir'!$E$31:$E$400,MASQ2!BV131,'Étape 1 - à remplir'!$O$31:$O$400,CE$3,'Étape 1 - à remplir'!$G$31:$G$400,"lots")),IF(CE$2="Espèce",IF(CE$3="Toutes",SUMIFS('Étape 1 - à remplir'!$F$31:$F$400,'Étape 1 - à remplir'!$E$31:$E$400,MASQ2!BV131,'Étape 1 - à remplir'!$G$31:$G$400,"lots"),SUMIFS('Étape 1 - à remplir'!$F$31:$F$400,'Étape 1 - à remplir'!$E$31:$E$400,MASQ2!BV131,'Étape 1 - à remplir'!$N$31:$N$400,CE$3,'Étape 1 - à remplir'!$G$31:$G$400,"lots"))))))=0,NA(),IF(CE$2="Catégorie",IF(CE$3="Toutes",SUMIFS('Étape 1 - à remplir'!$F$31:$F$400,'Étape 1 - à remplir'!$E$31:$E$400,MASQ2!BV131,'Étape 1 - à remplir'!$G$31:$G$400,"lots"),SUMIFS('Étape 1 - à remplir'!$F$31:$F$400,'Étape 1 - à remplir'!$E$31:$E$400,MASQ2!BV131,'Étape 1 - à remplir'!$C$31:$C$400,CE$3)),IF(CE$2="Âge",IF(CE$3="Tous",SUMIFS('Étape 1 - à remplir'!$F$31:$F$400,'Étape 1 - à remplir'!$E$31:$E$400,MASQ2!BV131,'Étape 1 - à remplir'!$G$31:$G$400,"lots"),SUMIFS('Étape 1 - à remplir'!$F$31:$F$400,'Étape 1 - à remplir'!$E$31:$E$400,MASQ2!BV131,'Étape 1 - à remplir'!$P$31:$P$400,CE$3,'Étape 1 - à remplir'!$G$31:$G$400,"lots")),IF(CE$2="Atelier",IF(CE$3="Tous",SUMIFS('Étape 1 - à remplir'!$F$31:$F$400,'Étape 1 - à remplir'!$E$31:$E$400,MASQ2!BV131,'Étape 1 - à remplir'!$G$31:$G$400,"lots"),SUMIFS('Étape 1 - à remplir'!$F$31:$F$400,'Étape 1 - à remplir'!$E$31:$E$400,MASQ2!BV131,'Étape 1 - à remplir'!$O$31:$O$400,CE$3,'Étape 1 - à remplir'!$G$31:$G$400,"lots")),IF(CE$2="Espèce",IF(CE$3="Toutes",SUMIFS('Étape 1 - à remplir'!$F$31:$F$400,'Étape 1 - à remplir'!$E$31:$E$400,MASQ2!BV131,'Étape 1 - à remplir'!$G$31:$G$400,"lots"),SUMIFS('Étape 1 - à remplir'!$F$31:$F$400,'Étape 1 - à remplir'!$E$31:$E$400,MASQ2!BV131,'Étape 1 - à remplir'!$N$31:$N$400,CE$3,'Étape 1 - à remplir'!$G$31:$G$400,"lots")))))))</f>
        <v>#N/A</v>
      </c>
      <c r="BX131">
        <f t="shared" si="149"/>
        <v>0</v>
      </c>
      <c r="BY131" t="str">
        <f t="shared" si="133"/>
        <v>Amoxicilline</v>
      </c>
      <c r="BZ131" t="str">
        <f t="shared" si="134"/>
        <v/>
      </c>
      <c r="CA131" t="str">
        <f t="shared" si="135"/>
        <v/>
      </c>
      <c r="CB131" t="str">
        <f t="shared" si="136"/>
        <v>Penicillines</v>
      </c>
      <c r="CC131" t="str">
        <f t="shared" si="137"/>
        <v/>
      </c>
      <c r="CD131" s="63" t="str">
        <f t="shared" si="138"/>
        <v/>
      </c>
      <c r="CG131" s="42">
        <v>128</v>
      </c>
      <c r="CH131" s="42" t="e">
        <f t="shared" si="163"/>
        <v>#N/A</v>
      </c>
      <c r="CI131" s="63" t="e">
        <f t="shared" si="164"/>
        <v>#N/A</v>
      </c>
      <c r="DM131" s="63"/>
      <c r="EA131" s="194" t="str">
        <f t="shared" ca="1" si="139"/>
        <v/>
      </c>
      <c r="EB131" s="226" t="str">
        <f>IFERROR(IF(ED131=0,"",COUNTIF(ED$4:ED$600,"&gt;"&amp;ED131)+COUNTIF(ED$4:ED131,ED131)),"")</f>
        <v/>
      </c>
      <c r="EC131" t="str">
        <f t="shared" si="140"/>
        <v>COFAMOX 10</v>
      </c>
      <c r="ED131" t="e">
        <f>IF(IF(EL$2="Catégorie",IF(EL$3="Toutes",SUMIFS('Étape 1 - à remplir'!$F$31:$F$400,'Étape 1 - à remplir'!$E$31:$E$400,MASQ2!EC131,'Étape 1 - à remplir'!$G$31:$G$400,"kg"),SUMIFS('Étape 1 - à remplir'!$F$31:$F$400,'Étape 1 - à remplir'!$E$31:$E$400,MASQ2!EC131,'Étape 1 - à remplir'!$C$31:$C$400,EL$3)),IF(EL$2="Âge",IF(EL$3="Tous",SUMIFS('Étape 1 - à remplir'!$F$31:$F$400,'Étape 1 - à remplir'!$E$31:$E$400,MASQ2!EC131,'Étape 1 - à remplir'!$G$31:$G$400,"kg"),SUMIFS('Étape 1 - à remplir'!$F$31:$F$400,'Étape 1 - à remplir'!$E$31:$E$400,MASQ2!EC131,'Étape 1 - à remplir'!$P$31:$P$400,EL$3,'Étape 1 - à remplir'!$G$31:$G$400,"kg")),IF(EL$2="Atelier",IF(EL$3="Tous",SUMIFS('Étape 1 - à remplir'!$F$31:$F$400,'Étape 1 - à remplir'!$E$31:$E$400,MASQ2!EC131,'Étape 1 - à remplir'!$G$31:$G$400,"kg"),SUMIFS('Étape 1 - à remplir'!$F$31:$F$400,'Étape 1 - à remplir'!$E$31:$E$400,MASQ2!EC131,'Étape 1 - à remplir'!$O$31:$O$400,EL$3,'Étape 1 - à remplir'!$G$31:$G$400,"kg")),IF(EL$2="Espèce",IF(EL$3="Toutes",SUMIFS('Étape 1 - à remplir'!$F$31:$F$400,'Étape 1 - à remplir'!$E$31:$E$400,MASQ2!EC131,'Étape 1 - à remplir'!$G$31:$G$400,"kg"),SUMIFS('Étape 1 - à remplir'!$F$31:$F$400,'Étape 1 - à remplir'!$E$31:$E$400,MASQ2!EC131,'Étape 1 - à remplir'!$N$31:$N$400,EL$3,'Étape 1 - à remplir'!$G$31:$G$400,"kg"))))))=0,NA(),IF(EL$2="Catégorie",IF(EL$3="Toutes",SUMIFS('Étape 1 - à remplir'!$F$31:$F$400,'Étape 1 - à remplir'!$E$31:$E$400,MASQ2!EC131,'Étape 1 - à remplir'!$G$31:$G$400,"kg"),SUMIFS('Étape 1 - à remplir'!$F$31:$F$400,'Étape 1 - à remplir'!$E$31:$E$400,MASQ2!EC131,'Étape 1 - à remplir'!$C$31:$C$400,EL$3)),IF(EL$2="Âge",IF(EL$3="Tous",SUMIFS('Étape 1 - à remplir'!$F$31:$F$400,'Étape 1 - à remplir'!$E$31:$E$400,MASQ2!EC131,'Étape 1 - à remplir'!$G$31:$G$400,"kg"),SUMIFS('Étape 1 - à remplir'!$F$31:$F$400,'Étape 1 - à remplir'!$E$31:$E$400,MASQ2!EC131,'Étape 1 - à remplir'!$P$31:$P$400,EL$3,'Étape 1 - à remplir'!$G$31:$G$400,"kg")),IF(EL$2="Atelier",IF(EL$3="Tous",SUMIFS('Étape 1 - à remplir'!$F$31:$F$400,'Étape 1 - à remplir'!$E$31:$E$400,MASQ2!EC131,'Étape 1 - à remplir'!$G$31:$G$400,"kg"),SUMIFS('Étape 1 - à remplir'!$F$31:$F$400,'Étape 1 - à remplir'!$E$31:$E$400,MASQ2!EC131,'Étape 1 - à remplir'!$O$31:$O$400,EL$3,'Étape 1 - à remplir'!$G$31:$G$400,"kg")),IF(EL$2="Espèce",IF(EL$3="Toutes",SUMIFS('Étape 1 - à remplir'!$F$31:$F$400,'Étape 1 - à remplir'!$E$31:$E$400,MASQ2!EC131,'Étape 1 - à remplir'!$G$31:$G$400,"kg"),SUMIFS('Étape 1 - à remplir'!$F$31:$F$400,'Étape 1 - à remplir'!$E$31:$E$400,MASQ2!EC131,'Étape 1 - à remplir'!$N$31:$N$400,EL$3,'Étape 1 - à remplir'!$G$31:$G$400,"kg")))))))</f>
        <v>#N/A</v>
      </c>
      <c r="EE131" s="76">
        <f t="shared" si="150"/>
        <v>0</v>
      </c>
      <c r="EF131" t="str">
        <f t="shared" si="141"/>
        <v>Amoxicilline</v>
      </c>
      <c r="EG131" t="str">
        <f t="shared" si="142"/>
        <v/>
      </c>
      <c r="EH131" t="str">
        <f t="shared" si="143"/>
        <v/>
      </c>
      <c r="EI131" t="str">
        <f t="shared" si="144"/>
        <v>Penicillines</v>
      </c>
      <c r="EJ131" t="str">
        <f t="shared" si="145"/>
        <v/>
      </c>
      <c r="EK131" s="63" t="str">
        <f t="shared" si="146"/>
        <v/>
      </c>
      <c r="EN131" s="42">
        <v>128</v>
      </c>
      <c r="EO131" t="e">
        <f t="shared" si="152"/>
        <v>#N/A</v>
      </c>
      <c r="EP131" s="63" t="e">
        <f t="shared" si="153"/>
        <v>#N/A</v>
      </c>
      <c r="FT131" s="63"/>
    </row>
    <row r="132" spans="2:176" x14ac:dyDescent="0.3">
      <c r="B132" s="42"/>
      <c r="M132" s="194" t="str">
        <f ca="1">INDEX(Données_ATB!BD:BU,MATCH(MASQ2!O132,Données_ATB!BD:BD,0),18)</f>
        <v/>
      </c>
      <c r="N132" s="14" t="str">
        <f>IFERROR(IF(Q132=0,"",COUNTIF(Q$4:Q$600,"&gt;"&amp;Q132)+COUNTIF(Q$4:Q132,Q132)),"")</f>
        <v/>
      </c>
      <c r="O132" t="str">
        <f>Données_ATB!BD131</f>
        <v>COFAMOX 15 L.A.</v>
      </c>
      <c r="P132" t="e">
        <f>IF(IF(X$2="Catégorie",IF(X$3="Toutes",SUMIFS('Étape 1 - à remplir'!$F$31:$F$400,'Étape 1 - à remplir'!$E$31:$E$400,MASQ2!O132,'Étape 1 - à remplir'!$G$31:$G$400,"animaux"),SUMIFS('Étape 1 - à remplir'!$F$31:$F$400,'Étape 1 - à remplir'!$E$31:$E$400,MASQ2!O132,'Étape 1 - à remplir'!$C$31:$C$400,X$3)),IF(X$2="Âge",IF(X$3="Tous",SUMIFS('Étape 1 - à remplir'!$F$31:$F$400,'Étape 1 - à remplir'!$E$31:$E$400,MASQ2!O132,'Étape 1 - à remplir'!$G$31:$G$400,"animaux"),SUMIFS('Étape 1 - à remplir'!$F$31:$F$400,'Étape 1 - à remplir'!$E$31:$E$400,MASQ2!O132,'Étape 1 - à remplir'!$P$31:$P$400,X$3)),IF(X$2="Atelier",IF(X$3="Tous",SUMIFS('Étape 1 - à remplir'!$F$31:$F$400,'Étape 1 - à remplir'!$E$31:$E$400,MASQ2!O132,'Étape 1 - à remplir'!$G$31:$G$400,"animaux"),SUMIFS('Étape 1 - à remplir'!$F$31:$F$400,'Étape 1 - à remplir'!$E$31:$E$400,MASQ2!O132,'Étape 1 - à remplir'!$O$31:$O$400,X$3)),IF(X$2="Espèce",IF(X$3="Toutes",SUMIFS('Étape 1 - à remplir'!$F$31:$F$400,'Étape 1 - à remplir'!$E$31:$E$400,MASQ2!O132,'Étape 1 - à remplir'!$G$31:$G$400,"animaux"),SUMIFS('Étape 1 - à remplir'!$F$31:$F$400,'Étape 1 - à remplir'!$E$31:$E$400,MASQ2!O132,'Étape 1 - à remplir'!$N$31:$N$400,X$3))))))=0,NA(),IF(X$2="Catégorie",IF(X$3="Toutes",SUMIFS('Étape 1 - à remplir'!$F$31:$F$400,'Étape 1 - à remplir'!$E$31:$E$400,MASQ2!O132,'Étape 1 - à remplir'!$G$31:$G$400,"animaux"),SUMIFS('Étape 1 - à remplir'!$F$31:$F$400,'Étape 1 - à remplir'!$E$31:$E$400,MASQ2!O132,'Étape 1 - à remplir'!$C$31:$C$400,X$3)),IF(X$2="Âge",IF(X$3="Tous",SUMIFS('Étape 1 - à remplir'!$F$31:$F$400,'Étape 1 - à remplir'!$E$31:$E$400,MASQ2!O132,'Étape 1 - à remplir'!$G$31:$G$400,"animaux"),SUMIFS('Étape 1 - à remplir'!$F$31:$F$400,'Étape 1 - à remplir'!$E$31:$E$400,MASQ2!O132,'Étape 1 - à remplir'!$P$31:$P$400,X$3)),IF(X$2="Atelier",IF(X$3="Tous",SUMIFS('Étape 1 - à remplir'!$F$31:$F$400,'Étape 1 - à remplir'!$E$31:$E$400,MASQ2!O132,'Étape 1 - à remplir'!$G$31:$G$400,"animaux"),SUMIFS('Étape 1 - à remplir'!$F$31:$F$400,'Étape 1 - à remplir'!$E$31:$E$400,MASQ2!O132,'Étape 1 - à remplir'!$O$31:$O$400,X$3)),IF(X$2="Espèce",IF(X$3="Toutes",SUMIFS('Étape 1 - à remplir'!$F$31:$F$400,'Étape 1 - à remplir'!$E$31:$E$400,MASQ2!O132,'Étape 1 - à remplir'!$G$31:$G$400,"animaux"),SUMIFS('Étape 1 - à remplir'!$F$31:$F$400,'Étape 1 - à remplir'!$E$31:$E$400,MASQ2!O132,'Étape 1 - à remplir'!$N$31:$N$400,X$3)))))))</f>
        <v>#N/A</v>
      </c>
      <c r="Q132" s="63">
        <f t="shared" si="151"/>
        <v>0</v>
      </c>
      <c r="R132" t="str">
        <f>Données_ATB!BM131</f>
        <v>Amoxicilline</v>
      </c>
      <c r="S132" t="str">
        <f>Données_ATB!BN131</f>
        <v/>
      </c>
      <c r="T132" s="63" t="str">
        <f>Données_ATB!BO131</f>
        <v/>
      </c>
      <c r="U132" s="42" t="str">
        <f>Données_ATB!BQ131</f>
        <v>Penicillines</v>
      </c>
      <c r="V132" t="str">
        <f>Données_ATB!BR131</f>
        <v/>
      </c>
      <c r="W132" s="63" t="str">
        <f>Données_ATB!BS131</f>
        <v/>
      </c>
      <c r="Z132" s="42">
        <v>129</v>
      </c>
      <c r="AA132" t="e">
        <f t="shared" si="147"/>
        <v>#N/A</v>
      </c>
      <c r="AB132" s="63" t="e">
        <f t="shared" si="148"/>
        <v>#N/A</v>
      </c>
      <c r="BF132" s="63"/>
      <c r="BT132" s="194" t="str">
        <f t="shared" ref="BT132:BT195" ca="1" si="165">M132</f>
        <v/>
      </c>
      <c r="BU132" s="219" t="str">
        <f>IFERROR(IF(BX132=0,"",COUNTIF(BX$4:BX$600,"&gt;"&amp;BX132)+COUNTIF(BX$4:BX132,BX132)),"")</f>
        <v/>
      </c>
      <c r="BV132" s="42" t="str">
        <f t="shared" ref="BV132:BV195" si="166">O132</f>
        <v>COFAMOX 15 L.A.</v>
      </c>
      <c r="BW132" t="e">
        <f>IF(IF(CE$2="Catégorie",IF(CE$3="Toutes",SUMIFS('Étape 1 - à remplir'!$F$31:$F$400,'Étape 1 - à remplir'!$E$31:$E$400,MASQ2!BV132,'Étape 1 - à remplir'!$G$31:$G$400,"lots"),SUMIFS('Étape 1 - à remplir'!$F$31:$F$400,'Étape 1 - à remplir'!$E$31:$E$400,MASQ2!BV132,'Étape 1 - à remplir'!$C$31:$C$400,CE$3)),IF(CE$2="Âge",IF(CE$3="Tous",SUMIFS('Étape 1 - à remplir'!$F$31:$F$400,'Étape 1 - à remplir'!$E$31:$E$400,MASQ2!BV132,'Étape 1 - à remplir'!$G$31:$G$400,"lots"),SUMIFS('Étape 1 - à remplir'!$F$31:$F$400,'Étape 1 - à remplir'!$E$31:$E$400,MASQ2!BV132,'Étape 1 - à remplir'!$P$31:$P$400,CE$3,'Étape 1 - à remplir'!$G$31:$G$400,"lots")),IF(CE$2="Atelier",IF(CE$3="Tous",SUMIFS('Étape 1 - à remplir'!$F$31:$F$400,'Étape 1 - à remplir'!$E$31:$E$400,MASQ2!BV132,'Étape 1 - à remplir'!$G$31:$G$400,"lots"),SUMIFS('Étape 1 - à remplir'!$F$31:$F$400,'Étape 1 - à remplir'!$E$31:$E$400,MASQ2!BV132,'Étape 1 - à remplir'!$O$31:$O$400,CE$3,'Étape 1 - à remplir'!$G$31:$G$400,"lots")),IF(CE$2="Espèce",IF(CE$3="Toutes",SUMIFS('Étape 1 - à remplir'!$F$31:$F$400,'Étape 1 - à remplir'!$E$31:$E$400,MASQ2!BV132,'Étape 1 - à remplir'!$G$31:$G$400,"lots"),SUMIFS('Étape 1 - à remplir'!$F$31:$F$400,'Étape 1 - à remplir'!$E$31:$E$400,MASQ2!BV132,'Étape 1 - à remplir'!$N$31:$N$400,CE$3,'Étape 1 - à remplir'!$G$31:$G$400,"lots"))))))=0,NA(),IF(CE$2="Catégorie",IF(CE$3="Toutes",SUMIFS('Étape 1 - à remplir'!$F$31:$F$400,'Étape 1 - à remplir'!$E$31:$E$400,MASQ2!BV132,'Étape 1 - à remplir'!$G$31:$G$400,"lots"),SUMIFS('Étape 1 - à remplir'!$F$31:$F$400,'Étape 1 - à remplir'!$E$31:$E$400,MASQ2!BV132,'Étape 1 - à remplir'!$C$31:$C$400,CE$3)),IF(CE$2="Âge",IF(CE$3="Tous",SUMIFS('Étape 1 - à remplir'!$F$31:$F$400,'Étape 1 - à remplir'!$E$31:$E$400,MASQ2!BV132,'Étape 1 - à remplir'!$G$31:$G$400,"lots"),SUMIFS('Étape 1 - à remplir'!$F$31:$F$400,'Étape 1 - à remplir'!$E$31:$E$400,MASQ2!BV132,'Étape 1 - à remplir'!$P$31:$P$400,CE$3,'Étape 1 - à remplir'!$G$31:$G$400,"lots")),IF(CE$2="Atelier",IF(CE$3="Tous",SUMIFS('Étape 1 - à remplir'!$F$31:$F$400,'Étape 1 - à remplir'!$E$31:$E$400,MASQ2!BV132,'Étape 1 - à remplir'!$G$31:$G$400,"lots"),SUMIFS('Étape 1 - à remplir'!$F$31:$F$400,'Étape 1 - à remplir'!$E$31:$E$400,MASQ2!BV132,'Étape 1 - à remplir'!$O$31:$O$400,CE$3,'Étape 1 - à remplir'!$G$31:$G$400,"lots")),IF(CE$2="Espèce",IF(CE$3="Toutes",SUMIFS('Étape 1 - à remplir'!$F$31:$F$400,'Étape 1 - à remplir'!$E$31:$E$400,MASQ2!BV132,'Étape 1 - à remplir'!$G$31:$G$400,"lots"),SUMIFS('Étape 1 - à remplir'!$F$31:$F$400,'Étape 1 - à remplir'!$E$31:$E$400,MASQ2!BV132,'Étape 1 - à remplir'!$N$31:$N$400,CE$3,'Étape 1 - à remplir'!$G$31:$G$400,"lots")))))))</f>
        <v>#N/A</v>
      </c>
      <c r="BX132">
        <f t="shared" si="149"/>
        <v>0</v>
      </c>
      <c r="BY132" t="str">
        <f t="shared" ref="BY132:BY195" si="167">R132</f>
        <v>Amoxicilline</v>
      </c>
      <c r="BZ132" t="str">
        <f t="shared" ref="BZ132:BZ195" si="168">S132</f>
        <v/>
      </c>
      <c r="CA132" t="str">
        <f t="shared" ref="CA132:CA195" si="169">T132</f>
        <v/>
      </c>
      <c r="CB132" t="str">
        <f t="shared" ref="CB132:CB195" si="170">U132</f>
        <v>Penicillines</v>
      </c>
      <c r="CC132" t="str">
        <f t="shared" ref="CC132:CC195" si="171">V132</f>
        <v/>
      </c>
      <c r="CD132" s="63" t="str">
        <f t="shared" ref="CD132:CD195" si="172">W132</f>
        <v/>
      </c>
      <c r="CG132" s="42">
        <v>129</v>
      </c>
      <c r="CH132" s="42" t="e">
        <f t="shared" si="163"/>
        <v>#N/A</v>
      </c>
      <c r="CI132" s="63" t="e">
        <f t="shared" si="164"/>
        <v>#N/A</v>
      </c>
      <c r="DM132" s="63"/>
      <c r="EA132" s="194" t="str">
        <f t="shared" ref="EA132:EA195" ca="1" si="173">M132</f>
        <v/>
      </c>
      <c r="EB132" s="226" t="str">
        <f>IFERROR(IF(ED132=0,"",COUNTIF(ED$4:ED$600,"&gt;"&amp;ED132)+COUNTIF(ED$4:ED132,ED132)),"")</f>
        <v/>
      </c>
      <c r="EC132" t="str">
        <f t="shared" ref="EC132:EC195" si="174">O132</f>
        <v>COFAMOX 15 L.A.</v>
      </c>
      <c r="ED132" t="e">
        <f>IF(IF(EL$2="Catégorie",IF(EL$3="Toutes",SUMIFS('Étape 1 - à remplir'!$F$31:$F$400,'Étape 1 - à remplir'!$E$31:$E$400,MASQ2!EC132,'Étape 1 - à remplir'!$G$31:$G$400,"kg"),SUMIFS('Étape 1 - à remplir'!$F$31:$F$400,'Étape 1 - à remplir'!$E$31:$E$400,MASQ2!EC132,'Étape 1 - à remplir'!$C$31:$C$400,EL$3)),IF(EL$2="Âge",IF(EL$3="Tous",SUMIFS('Étape 1 - à remplir'!$F$31:$F$400,'Étape 1 - à remplir'!$E$31:$E$400,MASQ2!EC132,'Étape 1 - à remplir'!$G$31:$G$400,"kg"),SUMIFS('Étape 1 - à remplir'!$F$31:$F$400,'Étape 1 - à remplir'!$E$31:$E$400,MASQ2!EC132,'Étape 1 - à remplir'!$P$31:$P$400,EL$3,'Étape 1 - à remplir'!$G$31:$G$400,"kg")),IF(EL$2="Atelier",IF(EL$3="Tous",SUMIFS('Étape 1 - à remplir'!$F$31:$F$400,'Étape 1 - à remplir'!$E$31:$E$400,MASQ2!EC132,'Étape 1 - à remplir'!$G$31:$G$400,"kg"),SUMIFS('Étape 1 - à remplir'!$F$31:$F$400,'Étape 1 - à remplir'!$E$31:$E$400,MASQ2!EC132,'Étape 1 - à remplir'!$O$31:$O$400,EL$3,'Étape 1 - à remplir'!$G$31:$G$400,"kg")),IF(EL$2="Espèce",IF(EL$3="Toutes",SUMIFS('Étape 1 - à remplir'!$F$31:$F$400,'Étape 1 - à remplir'!$E$31:$E$400,MASQ2!EC132,'Étape 1 - à remplir'!$G$31:$G$400,"kg"),SUMIFS('Étape 1 - à remplir'!$F$31:$F$400,'Étape 1 - à remplir'!$E$31:$E$400,MASQ2!EC132,'Étape 1 - à remplir'!$N$31:$N$400,EL$3,'Étape 1 - à remplir'!$G$31:$G$400,"kg"))))))=0,NA(),IF(EL$2="Catégorie",IF(EL$3="Toutes",SUMIFS('Étape 1 - à remplir'!$F$31:$F$400,'Étape 1 - à remplir'!$E$31:$E$400,MASQ2!EC132,'Étape 1 - à remplir'!$G$31:$G$400,"kg"),SUMIFS('Étape 1 - à remplir'!$F$31:$F$400,'Étape 1 - à remplir'!$E$31:$E$400,MASQ2!EC132,'Étape 1 - à remplir'!$C$31:$C$400,EL$3)),IF(EL$2="Âge",IF(EL$3="Tous",SUMIFS('Étape 1 - à remplir'!$F$31:$F$400,'Étape 1 - à remplir'!$E$31:$E$400,MASQ2!EC132,'Étape 1 - à remplir'!$G$31:$G$400,"kg"),SUMIFS('Étape 1 - à remplir'!$F$31:$F$400,'Étape 1 - à remplir'!$E$31:$E$400,MASQ2!EC132,'Étape 1 - à remplir'!$P$31:$P$400,EL$3,'Étape 1 - à remplir'!$G$31:$G$400,"kg")),IF(EL$2="Atelier",IF(EL$3="Tous",SUMIFS('Étape 1 - à remplir'!$F$31:$F$400,'Étape 1 - à remplir'!$E$31:$E$400,MASQ2!EC132,'Étape 1 - à remplir'!$G$31:$G$400,"kg"),SUMIFS('Étape 1 - à remplir'!$F$31:$F$400,'Étape 1 - à remplir'!$E$31:$E$400,MASQ2!EC132,'Étape 1 - à remplir'!$O$31:$O$400,EL$3,'Étape 1 - à remplir'!$G$31:$G$400,"kg")),IF(EL$2="Espèce",IF(EL$3="Toutes",SUMIFS('Étape 1 - à remplir'!$F$31:$F$400,'Étape 1 - à remplir'!$E$31:$E$400,MASQ2!EC132,'Étape 1 - à remplir'!$G$31:$G$400,"kg"),SUMIFS('Étape 1 - à remplir'!$F$31:$F$400,'Étape 1 - à remplir'!$E$31:$E$400,MASQ2!EC132,'Étape 1 - à remplir'!$N$31:$N$400,EL$3,'Étape 1 - à remplir'!$G$31:$G$400,"kg")))))))</f>
        <v>#N/A</v>
      </c>
      <c r="EE132" s="76">
        <f t="shared" si="150"/>
        <v>0</v>
      </c>
      <c r="EF132" t="str">
        <f t="shared" ref="EF132:EF195" si="175">R132</f>
        <v>Amoxicilline</v>
      </c>
      <c r="EG132" t="str">
        <f t="shared" ref="EG132:EG195" si="176">S132</f>
        <v/>
      </c>
      <c r="EH132" t="str">
        <f t="shared" ref="EH132:EH195" si="177">T132</f>
        <v/>
      </c>
      <c r="EI132" t="str">
        <f t="shared" ref="EI132:EI195" si="178">U132</f>
        <v>Penicillines</v>
      </c>
      <c r="EJ132" t="str">
        <f t="shared" ref="EJ132:EJ195" si="179">V132</f>
        <v/>
      </c>
      <c r="EK132" s="63" t="str">
        <f t="shared" ref="EK132:EK195" si="180">W132</f>
        <v/>
      </c>
      <c r="EN132" s="42">
        <v>129</v>
      </c>
      <c r="EO132" t="e">
        <f t="shared" si="152"/>
        <v>#N/A</v>
      </c>
      <c r="EP132" s="63" t="e">
        <f t="shared" si="153"/>
        <v>#N/A</v>
      </c>
      <c r="FT132" s="63"/>
    </row>
    <row r="133" spans="2:176" x14ac:dyDescent="0.3">
      <c r="B133" s="42"/>
      <c r="M133" s="194" t="str">
        <f ca="1">INDEX(Données_ATB!BD:BU,MATCH(MASQ2!O133,Données_ATB!BD:BD,0),18)</f>
        <v/>
      </c>
      <c r="N133" s="14" t="str">
        <f>IFERROR(IF(Q133=0,"",COUNTIF(Q$4:Q$600,"&gt;"&amp;Q133)+COUNTIF(Q$4:Q133,Q133)),"")</f>
        <v/>
      </c>
      <c r="O133" t="str">
        <f>Données_ATB!BD132</f>
        <v>COFOXYL PO</v>
      </c>
      <c r="P133" t="e">
        <f>IF(IF(X$2="Catégorie",IF(X$3="Toutes",SUMIFS('Étape 1 - à remplir'!$F$31:$F$400,'Étape 1 - à remplir'!$E$31:$E$400,MASQ2!O133,'Étape 1 - à remplir'!$G$31:$G$400,"animaux"),SUMIFS('Étape 1 - à remplir'!$F$31:$F$400,'Étape 1 - à remplir'!$E$31:$E$400,MASQ2!O133,'Étape 1 - à remplir'!$C$31:$C$400,X$3)),IF(X$2="Âge",IF(X$3="Tous",SUMIFS('Étape 1 - à remplir'!$F$31:$F$400,'Étape 1 - à remplir'!$E$31:$E$400,MASQ2!O133,'Étape 1 - à remplir'!$G$31:$G$400,"animaux"),SUMIFS('Étape 1 - à remplir'!$F$31:$F$400,'Étape 1 - à remplir'!$E$31:$E$400,MASQ2!O133,'Étape 1 - à remplir'!$P$31:$P$400,X$3)),IF(X$2="Atelier",IF(X$3="Tous",SUMIFS('Étape 1 - à remplir'!$F$31:$F$400,'Étape 1 - à remplir'!$E$31:$E$400,MASQ2!O133,'Étape 1 - à remplir'!$G$31:$G$400,"animaux"),SUMIFS('Étape 1 - à remplir'!$F$31:$F$400,'Étape 1 - à remplir'!$E$31:$E$400,MASQ2!O133,'Étape 1 - à remplir'!$O$31:$O$400,X$3)),IF(X$2="Espèce",IF(X$3="Toutes",SUMIFS('Étape 1 - à remplir'!$F$31:$F$400,'Étape 1 - à remplir'!$E$31:$E$400,MASQ2!O133,'Étape 1 - à remplir'!$G$31:$G$400,"animaux"),SUMIFS('Étape 1 - à remplir'!$F$31:$F$400,'Étape 1 - à remplir'!$E$31:$E$400,MASQ2!O133,'Étape 1 - à remplir'!$N$31:$N$400,X$3))))))=0,NA(),IF(X$2="Catégorie",IF(X$3="Toutes",SUMIFS('Étape 1 - à remplir'!$F$31:$F$400,'Étape 1 - à remplir'!$E$31:$E$400,MASQ2!O133,'Étape 1 - à remplir'!$G$31:$G$400,"animaux"),SUMIFS('Étape 1 - à remplir'!$F$31:$F$400,'Étape 1 - à remplir'!$E$31:$E$400,MASQ2!O133,'Étape 1 - à remplir'!$C$31:$C$400,X$3)),IF(X$2="Âge",IF(X$3="Tous",SUMIFS('Étape 1 - à remplir'!$F$31:$F$400,'Étape 1 - à remplir'!$E$31:$E$400,MASQ2!O133,'Étape 1 - à remplir'!$G$31:$G$400,"animaux"),SUMIFS('Étape 1 - à remplir'!$F$31:$F$400,'Étape 1 - à remplir'!$E$31:$E$400,MASQ2!O133,'Étape 1 - à remplir'!$P$31:$P$400,X$3)),IF(X$2="Atelier",IF(X$3="Tous",SUMIFS('Étape 1 - à remplir'!$F$31:$F$400,'Étape 1 - à remplir'!$E$31:$E$400,MASQ2!O133,'Étape 1 - à remplir'!$G$31:$G$400,"animaux"),SUMIFS('Étape 1 - à remplir'!$F$31:$F$400,'Étape 1 - à remplir'!$E$31:$E$400,MASQ2!O133,'Étape 1 - à remplir'!$O$31:$O$400,X$3)),IF(X$2="Espèce",IF(X$3="Toutes",SUMIFS('Étape 1 - à remplir'!$F$31:$F$400,'Étape 1 - à remplir'!$E$31:$E$400,MASQ2!O133,'Étape 1 - à remplir'!$G$31:$G$400,"animaux"),SUMIFS('Étape 1 - à remplir'!$F$31:$F$400,'Étape 1 - à remplir'!$E$31:$E$400,MASQ2!O133,'Étape 1 - à remplir'!$N$31:$N$400,X$3)))))))</f>
        <v>#N/A</v>
      </c>
      <c r="Q133" s="63">
        <f t="shared" si="151"/>
        <v>0</v>
      </c>
      <c r="R133" t="str">
        <f>Données_ATB!BM132</f>
        <v>Acide oxolinique</v>
      </c>
      <c r="S133" t="str">
        <f>Données_ATB!BN132</f>
        <v/>
      </c>
      <c r="T133" s="63" t="str">
        <f>Données_ATB!BO132</f>
        <v/>
      </c>
      <c r="U133" s="42" t="str">
        <f>Données_ATB!BQ132</f>
        <v>Quinolones</v>
      </c>
      <c r="V133" t="str">
        <f>Données_ATB!BR132</f>
        <v/>
      </c>
      <c r="W133" s="63" t="str">
        <f>Données_ATB!BS132</f>
        <v/>
      </c>
      <c r="Z133" s="42">
        <v>130</v>
      </c>
      <c r="AA133" t="e">
        <f t="shared" ref="AA133:AA196" si="181">INDEX(N$3:Q$600,MATCH(Z133,N$3:N$600,0),2)</f>
        <v>#N/A</v>
      </c>
      <c r="AB133" s="63" t="e">
        <f t="shared" ref="AB133:AB196" si="182">INDEX(N$3:Q$600,MATCH(Z133,N$3:N$600,0),4)</f>
        <v>#N/A</v>
      </c>
      <c r="BF133" s="63"/>
      <c r="BT133" s="194" t="str">
        <f t="shared" ca="1" si="165"/>
        <v/>
      </c>
      <c r="BU133" s="219" t="str">
        <f>IFERROR(IF(BX133=0,"",COUNTIF(BX$4:BX$600,"&gt;"&amp;BX133)+COUNTIF(BX$4:BX133,BX133)),"")</f>
        <v/>
      </c>
      <c r="BV133" s="42" t="str">
        <f t="shared" si="166"/>
        <v>COFOXYL PO</v>
      </c>
      <c r="BW133" t="e">
        <f>IF(IF(CE$2="Catégorie",IF(CE$3="Toutes",SUMIFS('Étape 1 - à remplir'!$F$31:$F$400,'Étape 1 - à remplir'!$E$31:$E$400,MASQ2!BV133,'Étape 1 - à remplir'!$G$31:$G$400,"lots"),SUMIFS('Étape 1 - à remplir'!$F$31:$F$400,'Étape 1 - à remplir'!$E$31:$E$400,MASQ2!BV133,'Étape 1 - à remplir'!$C$31:$C$400,CE$3)),IF(CE$2="Âge",IF(CE$3="Tous",SUMIFS('Étape 1 - à remplir'!$F$31:$F$400,'Étape 1 - à remplir'!$E$31:$E$400,MASQ2!BV133,'Étape 1 - à remplir'!$G$31:$G$400,"lots"),SUMIFS('Étape 1 - à remplir'!$F$31:$F$400,'Étape 1 - à remplir'!$E$31:$E$400,MASQ2!BV133,'Étape 1 - à remplir'!$P$31:$P$400,CE$3,'Étape 1 - à remplir'!$G$31:$G$400,"lots")),IF(CE$2="Atelier",IF(CE$3="Tous",SUMIFS('Étape 1 - à remplir'!$F$31:$F$400,'Étape 1 - à remplir'!$E$31:$E$400,MASQ2!BV133,'Étape 1 - à remplir'!$G$31:$G$400,"lots"),SUMIFS('Étape 1 - à remplir'!$F$31:$F$400,'Étape 1 - à remplir'!$E$31:$E$400,MASQ2!BV133,'Étape 1 - à remplir'!$O$31:$O$400,CE$3,'Étape 1 - à remplir'!$G$31:$G$400,"lots")),IF(CE$2="Espèce",IF(CE$3="Toutes",SUMIFS('Étape 1 - à remplir'!$F$31:$F$400,'Étape 1 - à remplir'!$E$31:$E$400,MASQ2!BV133,'Étape 1 - à remplir'!$G$31:$G$400,"lots"),SUMIFS('Étape 1 - à remplir'!$F$31:$F$400,'Étape 1 - à remplir'!$E$31:$E$400,MASQ2!BV133,'Étape 1 - à remplir'!$N$31:$N$400,CE$3,'Étape 1 - à remplir'!$G$31:$G$400,"lots"))))))=0,NA(),IF(CE$2="Catégorie",IF(CE$3="Toutes",SUMIFS('Étape 1 - à remplir'!$F$31:$F$400,'Étape 1 - à remplir'!$E$31:$E$400,MASQ2!BV133,'Étape 1 - à remplir'!$G$31:$G$400,"lots"),SUMIFS('Étape 1 - à remplir'!$F$31:$F$400,'Étape 1 - à remplir'!$E$31:$E$400,MASQ2!BV133,'Étape 1 - à remplir'!$C$31:$C$400,CE$3)),IF(CE$2="Âge",IF(CE$3="Tous",SUMIFS('Étape 1 - à remplir'!$F$31:$F$400,'Étape 1 - à remplir'!$E$31:$E$400,MASQ2!BV133,'Étape 1 - à remplir'!$G$31:$G$400,"lots"),SUMIFS('Étape 1 - à remplir'!$F$31:$F$400,'Étape 1 - à remplir'!$E$31:$E$400,MASQ2!BV133,'Étape 1 - à remplir'!$P$31:$P$400,CE$3,'Étape 1 - à remplir'!$G$31:$G$400,"lots")),IF(CE$2="Atelier",IF(CE$3="Tous",SUMIFS('Étape 1 - à remplir'!$F$31:$F$400,'Étape 1 - à remplir'!$E$31:$E$400,MASQ2!BV133,'Étape 1 - à remplir'!$G$31:$G$400,"lots"),SUMIFS('Étape 1 - à remplir'!$F$31:$F$400,'Étape 1 - à remplir'!$E$31:$E$400,MASQ2!BV133,'Étape 1 - à remplir'!$O$31:$O$400,CE$3,'Étape 1 - à remplir'!$G$31:$G$400,"lots")),IF(CE$2="Espèce",IF(CE$3="Toutes",SUMIFS('Étape 1 - à remplir'!$F$31:$F$400,'Étape 1 - à remplir'!$E$31:$E$400,MASQ2!BV133,'Étape 1 - à remplir'!$G$31:$G$400,"lots"),SUMIFS('Étape 1 - à remplir'!$F$31:$F$400,'Étape 1 - à remplir'!$E$31:$E$400,MASQ2!BV133,'Étape 1 - à remplir'!$N$31:$N$400,CE$3,'Étape 1 - à remplir'!$G$31:$G$400,"lots")))))))</f>
        <v>#N/A</v>
      </c>
      <c r="BX133">
        <f t="shared" ref="BX133:BX196" si="183">IFERROR(BW133,0)</f>
        <v>0</v>
      </c>
      <c r="BY133" t="str">
        <f t="shared" si="167"/>
        <v>Acide oxolinique</v>
      </c>
      <c r="BZ133" t="str">
        <f t="shared" si="168"/>
        <v/>
      </c>
      <c r="CA133" t="str">
        <f t="shared" si="169"/>
        <v/>
      </c>
      <c r="CB133" t="str">
        <f t="shared" si="170"/>
        <v>Quinolones</v>
      </c>
      <c r="CC133" t="str">
        <f t="shared" si="171"/>
        <v/>
      </c>
      <c r="CD133" s="63" t="str">
        <f t="shared" si="172"/>
        <v/>
      </c>
      <c r="CG133" s="42">
        <v>130</v>
      </c>
      <c r="CH133" s="42" t="e">
        <f t="shared" si="163"/>
        <v>#N/A</v>
      </c>
      <c r="CI133" s="63" t="e">
        <f t="shared" si="164"/>
        <v>#N/A</v>
      </c>
      <c r="DM133" s="63"/>
      <c r="EA133" s="194" t="str">
        <f t="shared" ca="1" si="173"/>
        <v/>
      </c>
      <c r="EB133" s="226" t="str">
        <f>IFERROR(IF(ED133=0,"",COUNTIF(ED$4:ED$600,"&gt;"&amp;ED133)+COUNTIF(ED$4:ED133,ED133)),"")</f>
        <v/>
      </c>
      <c r="EC133" t="str">
        <f t="shared" si="174"/>
        <v>COFOXYL PO</v>
      </c>
      <c r="ED133" t="e">
        <f>IF(IF(EL$2="Catégorie",IF(EL$3="Toutes",SUMIFS('Étape 1 - à remplir'!$F$31:$F$400,'Étape 1 - à remplir'!$E$31:$E$400,MASQ2!EC133,'Étape 1 - à remplir'!$G$31:$G$400,"kg"),SUMIFS('Étape 1 - à remplir'!$F$31:$F$400,'Étape 1 - à remplir'!$E$31:$E$400,MASQ2!EC133,'Étape 1 - à remplir'!$C$31:$C$400,EL$3)),IF(EL$2="Âge",IF(EL$3="Tous",SUMIFS('Étape 1 - à remplir'!$F$31:$F$400,'Étape 1 - à remplir'!$E$31:$E$400,MASQ2!EC133,'Étape 1 - à remplir'!$G$31:$G$400,"kg"),SUMIFS('Étape 1 - à remplir'!$F$31:$F$400,'Étape 1 - à remplir'!$E$31:$E$400,MASQ2!EC133,'Étape 1 - à remplir'!$P$31:$P$400,EL$3,'Étape 1 - à remplir'!$G$31:$G$400,"kg")),IF(EL$2="Atelier",IF(EL$3="Tous",SUMIFS('Étape 1 - à remplir'!$F$31:$F$400,'Étape 1 - à remplir'!$E$31:$E$400,MASQ2!EC133,'Étape 1 - à remplir'!$G$31:$G$400,"kg"),SUMIFS('Étape 1 - à remplir'!$F$31:$F$400,'Étape 1 - à remplir'!$E$31:$E$400,MASQ2!EC133,'Étape 1 - à remplir'!$O$31:$O$400,EL$3,'Étape 1 - à remplir'!$G$31:$G$400,"kg")),IF(EL$2="Espèce",IF(EL$3="Toutes",SUMIFS('Étape 1 - à remplir'!$F$31:$F$400,'Étape 1 - à remplir'!$E$31:$E$400,MASQ2!EC133,'Étape 1 - à remplir'!$G$31:$G$400,"kg"),SUMIFS('Étape 1 - à remplir'!$F$31:$F$400,'Étape 1 - à remplir'!$E$31:$E$400,MASQ2!EC133,'Étape 1 - à remplir'!$N$31:$N$400,EL$3,'Étape 1 - à remplir'!$G$31:$G$400,"kg"))))))=0,NA(),IF(EL$2="Catégorie",IF(EL$3="Toutes",SUMIFS('Étape 1 - à remplir'!$F$31:$F$400,'Étape 1 - à remplir'!$E$31:$E$400,MASQ2!EC133,'Étape 1 - à remplir'!$G$31:$G$400,"kg"),SUMIFS('Étape 1 - à remplir'!$F$31:$F$400,'Étape 1 - à remplir'!$E$31:$E$400,MASQ2!EC133,'Étape 1 - à remplir'!$C$31:$C$400,EL$3)),IF(EL$2="Âge",IF(EL$3="Tous",SUMIFS('Étape 1 - à remplir'!$F$31:$F$400,'Étape 1 - à remplir'!$E$31:$E$400,MASQ2!EC133,'Étape 1 - à remplir'!$G$31:$G$400,"kg"),SUMIFS('Étape 1 - à remplir'!$F$31:$F$400,'Étape 1 - à remplir'!$E$31:$E$400,MASQ2!EC133,'Étape 1 - à remplir'!$P$31:$P$400,EL$3,'Étape 1 - à remplir'!$G$31:$G$400,"kg")),IF(EL$2="Atelier",IF(EL$3="Tous",SUMIFS('Étape 1 - à remplir'!$F$31:$F$400,'Étape 1 - à remplir'!$E$31:$E$400,MASQ2!EC133,'Étape 1 - à remplir'!$G$31:$G$400,"kg"),SUMIFS('Étape 1 - à remplir'!$F$31:$F$400,'Étape 1 - à remplir'!$E$31:$E$400,MASQ2!EC133,'Étape 1 - à remplir'!$O$31:$O$400,EL$3,'Étape 1 - à remplir'!$G$31:$G$400,"kg")),IF(EL$2="Espèce",IF(EL$3="Toutes",SUMIFS('Étape 1 - à remplir'!$F$31:$F$400,'Étape 1 - à remplir'!$E$31:$E$400,MASQ2!EC133,'Étape 1 - à remplir'!$G$31:$G$400,"kg"),SUMIFS('Étape 1 - à remplir'!$F$31:$F$400,'Étape 1 - à remplir'!$E$31:$E$400,MASQ2!EC133,'Étape 1 - à remplir'!$N$31:$N$400,EL$3,'Étape 1 - à remplir'!$G$31:$G$400,"kg")))))))</f>
        <v>#N/A</v>
      </c>
      <c r="EE133" s="76">
        <f t="shared" ref="EE133:EE196" si="184">IFERROR(ED133,0)</f>
        <v>0</v>
      </c>
      <c r="EF133" t="str">
        <f t="shared" si="175"/>
        <v>Acide oxolinique</v>
      </c>
      <c r="EG133" t="str">
        <f t="shared" si="176"/>
        <v/>
      </c>
      <c r="EH133" t="str">
        <f t="shared" si="177"/>
        <v/>
      </c>
      <c r="EI133" t="str">
        <f t="shared" si="178"/>
        <v>Quinolones</v>
      </c>
      <c r="EJ133" t="str">
        <f t="shared" si="179"/>
        <v/>
      </c>
      <c r="EK133" s="63" t="str">
        <f t="shared" si="180"/>
        <v/>
      </c>
      <c r="EN133" s="42">
        <v>130</v>
      </c>
      <c r="EO133" t="e">
        <f t="shared" si="152"/>
        <v>#N/A</v>
      </c>
      <c r="EP133" s="63" t="e">
        <f t="shared" si="153"/>
        <v>#N/A</v>
      </c>
      <c r="FT133" s="63"/>
    </row>
    <row r="134" spans="2:176" x14ac:dyDescent="0.3">
      <c r="B134" s="42"/>
      <c r="M134" s="194" t="str">
        <f ca="1">INDEX(Données_ATB!BD:BU,MATCH(MASQ2!O134,Données_ATB!BD:BD,0),18)</f>
        <v>x</v>
      </c>
      <c r="N134" s="14" t="str">
        <f>IFERROR(IF(Q134=0,"",COUNTIF(Q$4:Q$600,"&gt;"&amp;Q134)+COUNTIF(Q$4:Q134,Q134)),"")</f>
        <v/>
      </c>
      <c r="O134" t="str">
        <f>Données_ATB!BD133</f>
        <v>COLAMPI I</v>
      </c>
      <c r="P134" t="e">
        <f>IF(IF(X$2="Catégorie",IF(X$3="Toutes",SUMIFS('Étape 1 - à remplir'!$F$31:$F$400,'Étape 1 - à remplir'!$E$31:$E$400,MASQ2!O134,'Étape 1 - à remplir'!$G$31:$G$400,"animaux"),SUMIFS('Étape 1 - à remplir'!$F$31:$F$400,'Étape 1 - à remplir'!$E$31:$E$400,MASQ2!O134,'Étape 1 - à remplir'!$C$31:$C$400,X$3)),IF(X$2="Âge",IF(X$3="Tous",SUMIFS('Étape 1 - à remplir'!$F$31:$F$400,'Étape 1 - à remplir'!$E$31:$E$400,MASQ2!O134,'Étape 1 - à remplir'!$G$31:$G$400,"animaux"),SUMIFS('Étape 1 - à remplir'!$F$31:$F$400,'Étape 1 - à remplir'!$E$31:$E$400,MASQ2!O134,'Étape 1 - à remplir'!$P$31:$P$400,X$3)),IF(X$2="Atelier",IF(X$3="Tous",SUMIFS('Étape 1 - à remplir'!$F$31:$F$400,'Étape 1 - à remplir'!$E$31:$E$400,MASQ2!O134,'Étape 1 - à remplir'!$G$31:$G$400,"animaux"),SUMIFS('Étape 1 - à remplir'!$F$31:$F$400,'Étape 1 - à remplir'!$E$31:$E$400,MASQ2!O134,'Étape 1 - à remplir'!$O$31:$O$400,X$3)),IF(X$2="Espèce",IF(X$3="Toutes",SUMIFS('Étape 1 - à remplir'!$F$31:$F$400,'Étape 1 - à remplir'!$E$31:$E$400,MASQ2!O134,'Étape 1 - à remplir'!$G$31:$G$400,"animaux"),SUMIFS('Étape 1 - à remplir'!$F$31:$F$400,'Étape 1 - à remplir'!$E$31:$E$400,MASQ2!O134,'Étape 1 - à remplir'!$N$31:$N$400,X$3))))))=0,NA(),IF(X$2="Catégorie",IF(X$3="Toutes",SUMIFS('Étape 1 - à remplir'!$F$31:$F$400,'Étape 1 - à remplir'!$E$31:$E$400,MASQ2!O134,'Étape 1 - à remplir'!$G$31:$G$400,"animaux"),SUMIFS('Étape 1 - à remplir'!$F$31:$F$400,'Étape 1 - à remplir'!$E$31:$E$400,MASQ2!O134,'Étape 1 - à remplir'!$C$31:$C$400,X$3)),IF(X$2="Âge",IF(X$3="Tous",SUMIFS('Étape 1 - à remplir'!$F$31:$F$400,'Étape 1 - à remplir'!$E$31:$E$400,MASQ2!O134,'Étape 1 - à remplir'!$G$31:$G$400,"animaux"),SUMIFS('Étape 1 - à remplir'!$F$31:$F$400,'Étape 1 - à remplir'!$E$31:$E$400,MASQ2!O134,'Étape 1 - à remplir'!$P$31:$P$400,X$3)),IF(X$2="Atelier",IF(X$3="Tous",SUMIFS('Étape 1 - à remplir'!$F$31:$F$400,'Étape 1 - à remplir'!$E$31:$E$400,MASQ2!O134,'Étape 1 - à remplir'!$G$31:$G$400,"animaux"),SUMIFS('Étape 1 - à remplir'!$F$31:$F$400,'Étape 1 - à remplir'!$E$31:$E$400,MASQ2!O134,'Étape 1 - à remplir'!$O$31:$O$400,X$3)),IF(X$2="Espèce",IF(X$3="Toutes",SUMIFS('Étape 1 - à remplir'!$F$31:$F$400,'Étape 1 - à remplir'!$E$31:$E$400,MASQ2!O134,'Étape 1 - à remplir'!$G$31:$G$400,"animaux"),SUMIFS('Étape 1 - à remplir'!$F$31:$F$400,'Étape 1 - à remplir'!$E$31:$E$400,MASQ2!O134,'Étape 1 - à remplir'!$N$31:$N$400,X$3)))))))</f>
        <v>#N/A</v>
      </c>
      <c r="Q134" s="63">
        <f t="shared" ref="Q134:Q197" si="185">IFERROR(P134,0)</f>
        <v>0</v>
      </c>
      <c r="R134" t="str">
        <f>Données_ATB!BM133</f>
        <v>Ampicilline</v>
      </c>
      <c r="S134" t="str">
        <f>Données_ATB!BN133</f>
        <v>Colistine</v>
      </c>
      <c r="T134" s="63" t="str">
        <f>Données_ATB!BO133</f>
        <v/>
      </c>
      <c r="U134" s="42" t="str">
        <f>Données_ATB!BQ133</f>
        <v>Penicillines</v>
      </c>
      <c r="V134" t="str">
        <f>Données_ATB!BR133</f>
        <v>Polypeptides</v>
      </c>
      <c r="W134" s="63" t="str">
        <f>Données_ATB!BS133</f>
        <v/>
      </c>
      <c r="Z134" s="42">
        <v>131</v>
      </c>
      <c r="AA134" t="e">
        <f t="shared" si="181"/>
        <v>#N/A</v>
      </c>
      <c r="AB134" s="63" t="e">
        <f t="shared" si="182"/>
        <v>#N/A</v>
      </c>
      <c r="BF134" s="63"/>
      <c r="BT134" s="194" t="str">
        <f t="shared" ca="1" si="165"/>
        <v>x</v>
      </c>
      <c r="BU134" s="219" t="str">
        <f>IFERROR(IF(BX134=0,"",COUNTIF(BX$4:BX$600,"&gt;"&amp;BX134)+COUNTIF(BX$4:BX134,BX134)),"")</f>
        <v/>
      </c>
      <c r="BV134" s="42" t="str">
        <f t="shared" si="166"/>
        <v>COLAMPI I</v>
      </c>
      <c r="BW134" t="e">
        <f>IF(IF(CE$2="Catégorie",IF(CE$3="Toutes",SUMIFS('Étape 1 - à remplir'!$F$31:$F$400,'Étape 1 - à remplir'!$E$31:$E$400,MASQ2!BV134,'Étape 1 - à remplir'!$G$31:$G$400,"lots"),SUMIFS('Étape 1 - à remplir'!$F$31:$F$400,'Étape 1 - à remplir'!$E$31:$E$400,MASQ2!BV134,'Étape 1 - à remplir'!$C$31:$C$400,CE$3)),IF(CE$2="Âge",IF(CE$3="Tous",SUMIFS('Étape 1 - à remplir'!$F$31:$F$400,'Étape 1 - à remplir'!$E$31:$E$400,MASQ2!BV134,'Étape 1 - à remplir'!$G$31:$G$400,"lots"),SUMIFS('Étape 1 - à remplir'!$F$31:$F$400,'Étape 1 - à remplir'!$E$31:$E$400,MASQ2!BV134,'Étape 1 - à remplir'!$P$31:$P$400,CE$3,'Étape 1 - à remplir'!$G$31:$G$400,"lots")),IF(CE$2="Atelier",IF(CE$3="Tous",SUMIFS('Étape 1 - à remplir'!$F$31:$F$400,'Étape 1 - à remplir'!$E$31:$E$400,MASQ2!BV134,'Étape 1 - à remplir'!$G$31:$G$400,"lots"),SUMIFS('Étape 1 - à remplir'!$F$31:$F$400,'Étape 1 - à remplir'!$E$31:$E$400,MASQ2!BV134,'Étape 1 - à remplir'!$O$31:$O$400,CE$3,'Étape 1 - à remplir'!$G$31:$G$400,"lots")),IF(CE$2="Espèce",IF(CE$3="Toutes",SUMIFS('Étape 1 - à remplir'!$F$31:$F$400,'Étape 1 - à remplir'!$E$31:$E$400,MASQ2!BV134,'Étape 1 - à remplir'!$G$31:$G$400,"lots"),SUMIFS('Étape 1 - à remplir'!$F$31:$F$400,'Étape 1 - à remplir'!$E$31:$E$400,MASQ2!BV134,'Étape 1 - à remplir'!$N$31:$N$400,CE$3,'Étape 1 - à remplir'!$G$31:$G$400,"lots"))))))=0,NA(),IF(CE$2="Catégorie",IF(CE$3="Toutes",SUMIFS('Étape 1 - à remplir'!$F$31:$F$400,'Étape 1 - à remplir'!$E$31:$E$400,MASQ2!BV134,'Étape 1 - à remplir'!$G$31:$G$400,"lots"),SUMIFS('Étape 1 - à remplir'!$F$31:$F$400,'Étape 1 - à remplir'!$E$31:$E$400,MASQ2!BV134,'Étape 1 - à remplir'!$C$31:$C$400,CE$3)),IF(CE$2="Âge",IF(CE$3="Tous",SUMIFS('Étape 1 - à remplir'!$F$31:$F$400,'Étape 1 - à remplir'!$E$31:$E$400,MASQ2!BV134,'Étape 1 - à remplir'!$G$31:$G$400,"lots"),SUMIFS('Étape 1 - à remplir'!$F$31:$F$400,'Étape 1 - à remplir'!$E$31:$E$400,MASQ2!BV134,'Étape 1 - à remplir'!$P$31:$P$400,CE$3,'Étape 1 - à remplir'!$G$31:$G$400,"lots")),IF(CE$2="Atelier",IF(CE$3="Tous",SUMIFS('Étape 1 - à remplir'!$F$31:$F$400,'Étape 1 - à remplir'!$E$31:$E$400,MASQ2!BV134,'Étape 1 - à remplir'!$G$31:$G$400,"lots"),SUMIFS('Étape 1 - à remplir'!$F$31:$F$400,'Étape 1 - à remplir'!$E$31:$E$400,MASQ2!BV134,'Étape 1 - à remplir'!$O$31:$O$400,CE$3,'Étape 1 - à remplir'!$G$31:$G$400,"lots")),IF(CE$2="Espèce",IF(CE$3="Toutes",SUMIFS('Étape 1 - à remplir'!$F$31:$F$400,'Étape 1 - à remplir'!$E$31:$E$400,MASQ2!BV134,'Étape 1 - à remplir'!$G$31:$G$400,"lots"),SUMIFS('Étape 1 - à remplir'!$F$31:$F$400,'Étape 1 - à remplir'!$E$31:$E$400,MASQ2!BV134,'Étape 1 - à remplir'!$N$31:$N$400,CE$3,'Étape 1 - à remplir'!$G$31:$G$400,"lots")))))))</f>
        <v>#N/A</v>
      </c>
      <c r="BX134">
        <f t="shared" si="183"/>
        <v>0</v>
      </c>
      <c r="BY134" t="str">
        <f t="shared" si="167"/>
        <v>Ampicilline</v>
      </c>
      <c r="BZ134" t="str">
        <f t="shared" si="168"/>
        <v>Colistine</v>
      </c>
      <c r="CA134" t="str">
        <f t="shared" si="169"/>
        <v/>
      </c>
      <c r="CB134" t="str">
        <f t="shared" si="170"/>
        <v>Penicillines</v>
      </c>
      <c r="CC134" t="str">
        <f t="shared" si="171"/>
        <v>Polypeptides</v>
      </c>
      <c r="CD134" s="63" t="str">
        <f t="shared" si="172"/>
        <v/>
      </c>
      <c r="CG134" s="42">
        <v>131</v>
      </c>
      <c r="CH134" s="42" t="e">
        <f t="shared" si="163"/>
        <v>#N/A</v>
      </c>
      <c r="CI134" s="63" t="e">
        <f t="shared" si="164"/>
        <v>#N/A</v>
      </c>
      <c r="DM134" s="63"/>
      <c r="EA134" s="194" t="str">
        <f t="shared" ca="1" si="173"/>
        <v>x</v>
      </c>
      <c r="EB134" s="226" t="str">
        <f>IFERROR(IF(ED134=0,"",COUNTIF(ED$4:ED$600,"&gt;"&amp;ED134)+COUNTIF(ED$4:ED134,ED134)),"")</f>
        <v/>
      </c>
      <c r="EC134" t="str">
        <f t="shared" si="174"/>
        <v>COLAMPI I</v>
      </c>
      <c r="ED134" t="e">
        <f>IF(IF(EL$2="Catégorie",IF(EL$3="Toutes",SUMIFS('Étape 1 - à remplir'!$F$31:$F$400,'Étape 1 - à remplir'!$E$31:$E$400,MASQ2!EC134,'Étape 1 - à remplir'!$G$31:$G$400,"kg"),SUMIFS('Étape 1 - à remplir'!$F$31:$F$400,'Étape 1 - à remplir'!$E$31:$E$400,MASQ2!EC134,'Étape 1 - à remplir'!$C$31:$C$400,EL$3)),IF(EL$2="Âge",IF(EL$3="Tous",SUMIFS('Étape 1 - à remplir'!$F$31:$F$400,'Étape 1 - à remplir'!$E$31:$E$400,MASQ2!EC134,'Étape 1 - à remplir'!$G$31:$G$400,"kg"),SUMIFS('Étape 1 - à remplir'!$F$31:$F$400,'Étape 1 - à remplir'!$E$31:$E$400,MASQ2!EC134,'Étape 1 - à remplir'!$P$31:$P$400,EL$3,'Étape 1 - à remplir'!$G$31:$G$400,"kg")),IF(EL$2="Atelier",IF(EL$3="Tous",SUMIFS('Étape 1 - à remplir'!$F$31:$F$400,'Étape 1 - à remplir'!$E$31:$E$400,MASQ2!EC134,'Étape 1 - à remplir'!$G$31:$G$400,"kg"),SUMIFS('Étape 1 - à remplir'!$F$31:$F$400,'Étape 1 - à remplir'!$E$31:$E$400,MASQ2!EC134,'Étape 1 - à remplir'!$O$31:$O$400,EL$3,'Étape 1 - à remplir'!$G$31:$G$400,"kg")),IF(EL$2="Espèce",IF(EL$3="Toutes",SUMIFS('Étape 1 - à remplir'!$F$31:$F$400,'Étape 1 - à remplir'!$E$31:$E$400,MASQ2!EC134,'Étape 1 - à remplir'!$G$31:$G$400,"kg"),SUMIFS('Étape 1 - à remplir'!$F$31:$F$400,'Étape 1 - à remplir'!$E$31:$E$400,MASQ2!EC134,'Étape 1 - à remplir'!$N$31:$N$400,EL$3,'Étape 1 - à remplir'!$G$31:$G$400,"kg"))))))=0,NA(),IF(EL$2="Catégorie",IF(EL$3="Toutes",SUMIFS('Étape 1 - à remplir'!$F$31:$F$400,'Étape 1 - à remplir'!$E$31:$E$400,MASQ2!EC134,'Étape 1 - à remplir'!$G$31:$G$400,"kg"),SUMIFS('Étape 1 - à remplir'!$F$31:$F$400,'Étape 1 - à remplir'!$E$31:$E$400,MASQ2!EC134,'Étape 1 - à remplir'!$C$31:$C$400,EL$3)),IF(EL$2="Âge",IF(EL$3="Tous",SUMIFS('Étape 1 - à remplir'!$F$31:$F$400,'Étape 1 - à remplir'!$E$31:$E$400,MASQ2!EC134,'Étape 1 - à remplir'!$G$31:$G$400,"kg"),SUMIFS('Étape 1 - à remplir'!$F$31:$F$400,'Étape 1 - à remplir'!$E$31:$E$400,MASQ2!EC134,'Étape 1 - à remplir'!$P$31:$P$400,EL$3,'Étape 1 - à remplir'!$G$31:$G$400,"kg")),IF(EL$2="Atelier",IF(EL$3="Tous",SUMIFS('Étape 1 - à remplir'!$F$31:$F$400,'Étape 1 - à remplir'!$E$31:$E$400,MASQ2!EC134,'Étape 1 - à remplir'!$G$31:$G$400,"kg"),SUMIFS('Étape 1 - à remplir'!$F$31:$F$400,'Étape 1 - à remplir'!$E$31:$E$400,MASQ2!EC134,'Étape 1 - à remplir'!$O$31:$O$400,EL$3,'Étape 1 - à remplir'!$G$31:$G$400,"kg")),IF(EL$2="Espèce",IF(EL$3="Toutes",SUMIFS('Étape 1 - à remplir'!$F$31:$F$400,'Étape 1 - à remplir'!$E$31:$E$400,MASQ2!EC134,'Étape 1 - à remplir'!$G$31:$G$400,"kg"),SUMIFS('Étape 1 - à remplir'!$F$31:$F$400,'Étape 1 - à remplir'!$E$31:$E$400,MASQ2!EC134,'Étape 1 - à remplir'!$N$31:$N$400,EL$3,'Étape 1 - à remplir'!$G$31:$G$400,"kg")))))))</f>
        <v>#N/A</v>
      </c>
      <c r="EE134" s="76">
        <f t="shared" si="184"/>
        <v>0</v>
      </c>
      <c r="EF134" t="str">
        <f t="shared" si="175"/>
        <v>Ampicilline</v>
      </c>
      <c r="EG134" t="str">
        <f t="shared" si="176"/>
        <v>Colistine</v>
      </c>
      <c r="EH134" t="str">
        <f t="shared" si="177"/>
        <v/>
      </c>
      <c r="EI134" t="str">
        <f t="shared" si="178"/>
        <v>Penicillines</v>
      </c>
      <c r="EJ134" t="str">
        <f t="shared" si="179"/>
        <v>Polypeptides</v>
      </c>
      <c r="EK134" s="63" t="str">
        <f t="shared" si="180"/>
        <v/>
      </c>
      <c r="EN134" s="42">
        <v>131</v>
      </c>
      <c r="EO134" t="e">
        <f t="shared" si="152"/>
        <v>#N/A</v>
      </c>
      <c r="EP134" s="63" t="e">
        <f t="shared" si="153"/>
        <v>#N/A</v>
      </c>
      <c r="FT134" s="63"/>
    </row>
    <row r="135" spans="2:176" x14ac:dyDescent="0.3">
      <c r="B135" s="42"/>
      <c r="M135" s="194" t="str">
        <f ca="1">INDEX(Données_ATB!BD:BU,MATCH(MASQ2!O135,Données_ATB!BD:BD,0),18)</f>
        <v/>
      </c>
      <c r="N135" s="14" t="str">
        <f>IFERROR(IF(Q135=0,"",COUNTIF(Q$4:Q$600,"&gt;"&amp;Q135)+COUNTIF(Q$4:Q135,Q135)),"")</f>
        <v/>
      </c>
      <c r="O135" t="str">
        <f>Données_ATB!BD134</f>
        <v>COLFEN 300 MG/ML SOLUTION INJECTABLE POUR BOVINS ET PORCINS</v>
      </c>
      <c r="P135" t="e">
        <f>IF(IF(X$2="Catégorie",IF(X$3="Toutes",SUMIFS('Étape 1 - à remplir'!$F$31:$F$400,'Étape 1 - à remplir'!$E$31:$E$400,MASQ2!O135,'Étape 1 - à remplir'!$G$31:$G$400,"animaux"),SUMIFS('Étape 1 - à remplir'!$F$31:$F$400,'Étape 1 - à remplir'!$E$31:$E$400,MASQ2!O135,'Étape 1 - à remplir'!$C$31:$C$400,X$3)),IF(X$2="Âge",IF(X$3="Tous",SUMIFS('Étape 1 - à remplir'!$F$31:$F$400,'Étape 1 - à remplir'!$E$31:$E$400,MASQ2!O135,'Étape 1 - à remplir'!$G$31:$G$400,"animaux"),SUMIFS('Étape 1 - à remplir'!$F$31:$F$400,'Étape 1 - à remplir'!$E$31:$E$400,MASQ2!O135,'Étape 1 - à remplir'!$P$31:$P$400,X$3)),IF(X$2="Atelier",IF(X$3="Tous",SUMIFS('Étape 1 - à remplir'!$F$31:$F$400,'Étape 1 - à remplir'!$E$31:$E$400,MASQ2!O135,'Étape 1 - à remplir'!$G$31:$G$400,"animaux"),SUMIFS('Étape 1 - à remplir'!$F$31:$F$400,'Étape 1 - à remplir'!$E$31:$E$400,MASQ2!O135,'Étape 1 - à remplir'!$O$31:$O$400,X$3)),IF(X$2="Espèce",IF(X$3="Toutes",SUMIFS('Étape 1 - à remplir'!$F$31:$F$400,'Étape 1 - à remplir'!$E$31:$E$400,MASQ2!O135,'Étape 1 - à remplir'!$G$31:$G$400,"animaux"),SUMIFS('Étape 1 - à remplir'!$F$31:$F$400,'Étape 1 - à remplir'!$E$31:$E$400,MASQ2!O135,'Étape 1 - à remplir'!$N$31:$N$400,X$3))))))=0,NA(),IF(X$2="Catégorie",IF(X$3="Toutes",SUMIFS('Étape 1 - à remplir'!$F$31:$F$400,'Étape 1 - à remplir'!$E$31:$E$400,MASQ2!O135,'Étape 1 - à remplir'!$G$31:$G$400,"animaux"),SUMIFS('Étape 1 - à remplir'!$F$31:$F$400,'Étape 1 - à remplir'!$E$31:$E$400,MASQ2!O135,'Étape 1 - à remplir'!$C$31:$C$400,X$3)),IF(X$2="Âge",IF(X$3="Tous",SUMIFS('Étape 1 - à remplir'!$F$31:$F$400,'Étape 1 - à remplir'!$E$31:$E$400,MASQ2!O135,'Étape 1 - à remplir'!$G$31:$G$400,"animaux"),SUMIFS('Étape 1 - à remplir'!$F$31:$F$400,'Étape 1 - à remplir'!$E$31:$E$400,MASQ2!O135,'Étape 1 - à remplir'!$P$31:$P$400,X$3)),IF(X$2="Atelier",IF(X$3="Tous",SUMIFS('Étape 1 - à remplir'!$F$31:$F$400,'Étape 1 - à remplir'!$E$31:$E$400,MASQ2!O135,'Étape 1 - à remplir'!$G$31:$G$400,"animaux"),SUMIFS('Étape 1 - à remplir'!$F$31:$F$400,'Étape 1 - à remplir'!$E$31:$E$400,MASQ2!O135,'Étape 1 - à remplir'!$O$31:$O$400,X$3)),IF(X$2="Espèce",IF(X$3="Toutes",SUMIFS('Étape 1 - à remplir'!$F$31:$F$400,'Étape 1 - à remplir'!$E$31:$E$400,MASQ2!O135,'Étape 1 - à remplir'!$G$31:$G$400,"animaux"),SUMIFS('Étape 1 - à remplir'!$F$31:$F$400,'Étape 1 - à remplir'!$E$31:$E$400,MASQ2!O135,'Étape 1 - à remplir'!$N$31:$N$400,X$3)))))))</f>
        <v>#N/A</v>
      </c>
      <c r="Q135" s="63">
        <f t="shared" si="185"/>
        <v>0</v>
      </c>
      <c r="R135" t="str">
        <f>Données_ATB!BM134</f>
        <v>Florfénicol</v>
      </c>
      <c r="S135" t="str">
        <f>Données_ATB!BN134</f>
        <v/>
      </c>
      <c r="T135" s="63" t="str">
        <f>Données_ATB!BO134</f>
        <v/>
      </c>
      <c r="U135" s="42" t="str">
        <f>Données_ATB!BQ134</f>
        <v>Phenicoles</v>
      </c>
      <c r="V135" t="str">
        <f>Données_ATB!BR134</f>
        <v/>
      </c>
      <c r="W135" s="63" t="str">
        <f>Données_ATB!BS134</f>
        <v/>
      </c>
      <c r="Z135" s="42">
        <v>132</v>
      </c>
      <c r="AA135" t="e">
        <f t="shared" si="181"/>
        <v>#N/A</v>
      </c>
      <c r="AB135" s="63" t="e">
        <f t="shared" si="182"/>
        <v>#N/A</v>
      </c>
      <c r="BF135" s="63"/>
      <c r="BT135" s="194" t="str">
        <f t="shared" ca="1" si="165"/>
        <v/>
      </c>
      <c r="BU135" s="219" t="str">
        <f>IFERROR(IF(BX135=0,"",COUNTIF(BX$4:BX$600,"&gt;"&amp;BX135)+COUNTIF(BX$4:BX135,BX135)),"")</f>
        <v/>
      </c>
      <c r="BV135" s="42" t="str">
        <f t="shared" si="166"/>
        <v>COLFEN 300 MG/ML SOLUTION INJECTABLE POUR BOVINS ET PORCINS</v>
      </c>
      <c r="BW135" t="e">
        <f>IF(IF(CE$2="Catégorie",IF(CE$3="Toutes",SUMIFS('Étape 1 - à remplir'!$F$31:$F$400,'Étape 1 - à remplir'!$E$31:$E$400,MASQ2!BV135,'Étape 1 - à remplir'!$G$31:$G$400,"lots"),SUMIFS('Étape 1 - à remplir'!$F$31:$F$400,'Étape 1 - à remplir'!$E$31:$E$400,MASQ2!BV135,'Étape 1 - à remplir'!$C$31:$C$400,CE$3)),IF(CE$2="Âge",IF(CE$3="Tous",SUMIFS('Étape 1 - à remplir'!$F$31:$F$400,'Étape 1 - à remplir'!$E$31:$E$400,MASQ2!BV135,'Étape 1 - à remplir'!$G$31:$G$400,"lots"),SUMIFS('Étape 1 - à remplir'!$F$31:$F$400,'Étape 1 - à remplir'!$E$31:$E$400,MASQ2!BV135,'Étape 1 - à remplir'!$P$31:$P$400,CE$3,'Étape 1 - à remplir'!$G$31:$G$400,"lots")),IF(CE$2="Atelier",IF(CE$3="Tous",SUMIFS('Étape 1 - à remplir'!$F$31:$F$400,'Étape 1 - à remplir'!$E$31:$E$400,MASQ2!BV135,'Étape 1 - à remplir'!$G$31:$G$400,"lots"),SUMIFS('Étape 1 - à remplir'!$F$31:$F$400,'Étape 1 - à remplir'!$E$31:$E$400,MASQ2!BV135,'Étape 1 - à remplir'!$O$31:$O$400,CE$3,'Étape 1 - à remplir'!$G$31:$G$400,"lots")),IF(CE$2="Espèce",IF(CE$3="Toutes",SUMIFS('Étape 1 - à remplir'!$F$31:$F$400,'Étape 1 - à remplir'!$E$31:$E$400,MASQ2!BV135,'Étape 1 - à remplir'!$G$31:$G$400,"lots"),SUMIFS('Étape 1 - à remplir'!$F$31:$F$400,'Étape 1 - à remplir'!$E$31:$E$400,MASQ2!BV135,'Étape 1 - à remplir'!$N$31:$N$400,CE$3,'Étape 1 - à remplir'!$G$31:$G$400,"lots"))))))=0,NA(),IF(CE$2="Catégorie",IF(CE$3="Toutes",SUMIFS('Étape 1 - à remplir'!$F$31:$F$400,'Étape 1 - à remplir'!$E$31:$E$400,MASQ2!BV135,'Étape 1 - à remplir'!$G$31:$G$400,"lots"),SUMIFS('Étape 1 - à remplir'!$F$31:$F$400,'Étape 1 - à remplir'!$E$31:$E$400,MASQ2!BV135,'Étape 1 - à remplir'!$C$31:$C$400,CE$3)),IF(CE$2="Âge",IF(CE$3="Tous",SUMIFS('Étape 1 - à remplir'!$F$31:$F$400,'Étape 1 - à remplir'!$E$31:$E$400,MASQ2!BV135,'Étape 1 - à remplir'!$G$31:$G$400,"lots"),SUMIFS('Étape 1 - à remplir'!$F$31:$F$400,'Étape 1 - à remplir'!$E$31:$E$400,MASQ2!BV135,'Étape 1 - à remplir'!$P$31:$P$400,CE$3,'Étape 1 - à remplir'!$G$31:$G$400,"lots")),IF(CE$2="Atelier",IF(CE$3="Tous",SUMIFS('Étape 1 - à remplir'!$F$31:$F$400,'Étape 1 - à remplir'!$E$31:$E$400,MASQ2!BV135,'Étape 1 - à remplir'!$G$31:$G$400,"lots"),SUMIFS('Étape 1 - à remplir'!$F$31:$F$400,'Étape 1 - à remplir'!$E$31:$E$400,MASQ2!BV135,'Étape 1 - à remplir'!$O$31:$O$400,CE$3,'Étape 1 - à remplir'!$G$31:$G$400,"lots")),IF(CE$2="Espèce",IF(CE$3="Toutes",SUMIFS('Étape 1 - à remplir'!$F$31:$F$400,'Étape 1 - à remplir'!$E$31:$E$400,MASQ2!BV135,'Étape 1 - à remplir'!$G$31:$G$400,"lots"),SUMIFS('Étape 1 - à remplir'!$F$31:$F$400,'Étape 1 - à remplir'!$E$31:$E$400,MASQ2!BV135,'Étape 1 - à remplir'!$N$31:$N$400,CE$3,'Étape 1 - à remplir'!$G$31:$G$400,"lots")))))))</f>
        <v>#N/A</v>
      </c>
      <c r="BX135">
        <f t="shared" si="183"/>
        <v>0</v>
      </c>
      <c r="BY135" t="str">
        <f t="shared" si="167"/>
        <v>Florfénicol</v>
      </c>
      <c r="BZ135" t="str">
        <f t="shared" si="168"/>
        <v/>
      </c>
      <c r="CA135" t="str">
        <f t="shared" si="169"/>
        <v/>
      </c>
      <c r="CB135" t="str">
        <f t="shared" si="170"/>
        <v>Phenicoles</v>
      </c>
      <c r="CC135" t="str">
        <f t="shared" si="171"/>
        <v/>
      </c>
      <c r="CD135" s="63" t="str">
        <f t="shared" si="172"/>
        <v/>
      </c>
      <c r="CG135" s="42">
        <v>132</v>
      </c>
      <c r="CH135" s="42" t="e">
        <f t="shared" si="163"/>
        <v>#N/A</v>
      </c>
      <c r="CI135" s="63" t="e">
        <f t="shared" si="164"/>
        <v>#N/A</v>
      </c>
      <c r="DM135" s="63"/>
      <c r="EA135" s="194" t="str">
        <f t="shared" ca="1" si="173"/>
        <v/>
      </c>
      <c r="EB135" s="226" t="str">
        <f>IFERROR(IF(ED135=0,"",COUNTIF(ED$4:ED$600,"&gt;"&amp;ED135)+COUNTIF(ED$4:ED135,ED135)),"")</f>
        <v/>
      </c>
      <c r="EC135" t="str">
        <f t="shared" si="174"/>
        <v>COLFEN 300 MG/ML SOLUTION INJECTABLE POUR BOVINS ET PORCINS</v>
      </c>
      <c r="ED135" t="e">
        <f>IF(IF(EL$2="Catégorie",IF(EL$3="Toutes",SUMIFS('Étape 1 - à remplir'!$F$31:$F$400,'Étape 1 - à remplir'!$E$31:$E$400,MASQ2!EC135,'Étape 1 - à remplir'!$G$31:$G$400,"kg"),SUMIFS('Étape 1 - à remplir'!$F$31:$F$400,'Étape 1 - à remplir'!$E$31:$E$400,MASQ2!EC135,'Étape 1 - à remplir'!$C$31:$C$400,EL$3)),IF(EL$2="Âge",IF(EL$3="Tous",SUMIFS('Étape 1 - à remplir'!$F$31:$F$400,'Étape 1 - à remplir'!$E$31:$E$400,MASQ2!EC135,'Étape 1 - à remplir'!$G$31:$G$400,"kg"),SUMIFS('Étape 1 - à remplir'!$F$31:$F$400,'Étape 1 - à remplir'!$E$31:$E$400,MASQ2!EC135,'Étape 1 - à remplir'!$P$31:$P$400,EL$3,'Étape 1 - à remplir'!$G$31:$G$400,"kg")),IF(EL$2="Atelier",IF(EL$3="Tous",SUMIFS('Étape 1 - à remplir'!$F$31:$F$400,'Étape 1 - à remplir'!$E$31:$E$400,MASQ2!EC135,'Étape 1 - à remplir'!$G$31:$G$400,"kg"),SUMIFS('Étape 1 - à remplir'!$F$31:$F$400,'Étape 1 - à remplir'!$E$31:$E$400,MASQ2!EC135,'Étape 1 - à remplir'!$O$31:$O$400,EL$3,'Étape 1 - à remplir'!$G$31:$G$400,"kg")),IF(EL$2="Espèce",IF(EL$3="Toutes",SUMIFS('Étape 1 - à remplir'!$F$31:$F$400,'Étape 1 - à remplir'!$E$31:$E$400,MASQ2!EC135,'Étape 1 - à remplir'!$G$31:$G$400,"kg"),SUMIFS('Étape 1 - à remplir'!$F$31:$F$400,'Étape 1 - à remplir'!$E$31:$E$400,MASQ2!EC135,'Étape 1 - à remplir'!$N$31:$N$400,EL$3,'Étape 1 - à remplir'!$G$31:$G$400,"kg"))))))=0,NA(),IF(EL$2="Catégorie",IF(EL$3="Toutes",SUMIFS('Étape 1 - à remplir'!$F$31:$F$400,'Étape 1 - à remplir'!$E$31:$E$400,MASQ2!EC135,'Étape 1 - à remplir'!$G$31:$G$400,"kg"),SUMIFS('Étape 1 - à remplir'!$F$31:$F$400,'Étape 1 - à remplir'!$E$31:$E$400,MASQ2!EC135,'Étape 1 - à remplir'!$C$31:$C$400,EL$3)),IF(EL$2="Âge",IF(EL$3="Tous",SUMIFS('Étape 1 - à remplir'!$F$31:$F$400,'Étape 1 - à remplir'!$E$31:$E$400,MASQ2!EC135,'Étape 1 - à remplir'!$G$31:$G$400,"kg"),SUMIFS('Étape 1 - à remplir'!$F$31:$F$400,'Étape 1 - à remplir'!$E$31:$E$400,MASQ2!EC135,'Étape 1 - à remplir'!$P$31:$P$400,EL$3,'Étape 1 - à remplir'!$G$31:$G$400,"kg")),IF(EL$2="Atelier",IF(EL$3="Tous",SUMIFS('Étape 1 - à remplir'!$F$31:$F$400,'Étape 1 - à remplir'!$E$31:$E$400,MASQ2!EC135,'Étape 1 - à remplir'!$G$31:$G$400,"kg"),SUMIFS('Étape 1 - à remplir'!$F$31:$F$400,'Étape 1 - à remplir'!$E$31:$E$400,MASQ2!EC135,'Étape 1 - à remplir'!$O$31:$O$400,EL$3,'Étape 1 - à remplir'!$G$31:$G$400,"kg")),IF(EL$2="Espèce",IF(EL$3="Toutes",SUMIFS('Étape 1 - à remplir'!$F$31:$F$400,'Étape 1 - à remplir'!$E$31:$E$400,MASQ2!EC135,'Étape 1 - à remplir'!$G$31:$G$400,"kg"),SUMIFS('Étape 1 - à remplir'!$F$31:$F$400,'Étape 1 - à remplir'!$E$31:$E$400,MASQ2!EC135,'Étape 1 - à remplir'!$N$31:$N$400,EL$3,'Étape 1 - à remplir'!$G$31:$G$400,"kg")))))))</f>
        <v>#N/A</v>
      </c>
      <c r="EE135" s="76">
        <f t="shared" si="184"/>
        <v>0</v>
      </c>
      <c r="EF135" t="str">
        <f t="shared" si="175"/>
        <v>Florfénicol</v>
      </c>
      <c r="EG135" t="str">
        <f t="shared" si="176"/>
        <v/>
      </c>
      <c r="EH135" t="str">
        <f t="shared" si="177"/>
        <v/>
      </c>
      <c r="EI135" t="str">
        <f t="shared" si="178"/>
        <v>Phenicoles</v>
      </c>
      <c r="EJ135" t="str">
        <f t="shared" si="179"/>
        <v/>
      </c>
      <c r="EK135" s="63" t="str">
        <f t="shared" si="180"/>
        <v/>
      </c>
      <c r="EN135" s="42">
        <v>132</v>
      </c>
      <c r="EO135" t="e">
        <f t="shared" si="152"/>
        <v>#N/A</v>
      </c>
      <c r="EP135" s="63" t="e">
        <f t="shared" si="153"/>
        <v>#N/A</v>
      </c>
      <c r="FT135" s="63"/>
    </row>
    <row r="136" spans="2:176" x14ac:dyDescent="0.3">
      <c r="B136" s="42"/>
      <c r="M136" s="194" t="str">
        <f ca="1">INDEX(Données_ATB!BD:BU,MATCH(MASQ2!O136,Données_ATB!BD:BD,0),18)</f>
        <v>x</v>
      </c>
      <c r="N136" s="14" t="str">
        <f>IFERROR(IF(Q136=0,"",COUNTIF(Q$4:Q$600,"&gt;"&amp;Q136)+COUNTIF(Q$4:Q136,Q136)),"")</f>
        <v/>
      </c>
      <c r="O136" t="str">
        <f>Données_ATB!BD135</f>
        <v>COLFIVE 5 000 000 UI/ML CONCENTRE POUR SOLUTION BUVABLE POUR VEAUX PORCINS AGNEAUX POULETS ET DINDES</v>
      </c>
      <c r="P136" t="e">
        <f>IF(IF(X$2="Catégorie",IF(X$3="Toutes",SUMIFS('Étape 1 - à remplir'!$F$31:$F$400,'Étape 1 - à remplir'!$E$31:$E$400,MASQ2!O136,'Étape 1 - à remplir'!$G$31:$G$400,"animaux"),SUMIFS('Étape 1 - à remplir'!$F$31:$F$400,'Étape 1 - à remplir'!$E$31:$E$400,MASQ2!O136,'Étape 1 - à remplir'!$C$31:$C$400,X$3)),IF(X$2="Âge",IF(X$3="Tous",SUMIFS('Étape 1 - à remplir'!$F$31:$F$400,'Étape 1 - à remplir'!$E$31:$E$400,MASQ2!O136,'Étape 1 - à remplir'!$G$31:$G$400,"animaux"),SUMIFS('Étape 1 - à remplir'!$F$31:$F$400,'Étape 1 - à remplir'!$E$31:$E$400,MASQ2!O136,'Étape 1 - à remplir'!$P$31:$P$400,X$3)),IF(X$2="Atelier",IF(X$3="Tous",SUMIFS('Étape 1 - à remplir'!$F$31:$F$400,'Étape 1 - à remplir'!$E$31:$E$400,MASQ2!O136,'Étape 1 - à remplir'!$G$31:$G$400,"animaux"),SUMIFS('Étape 1 - à remplir'!$F$31:$F$400,'Étape 1 - à remplir'!$E$31:$E$400,MASQ2!O136,'Étape 1 - à remplir'!$O$31:$O$400,X$3)),IF(X$2="Espèce",IF(X$3="Toutes",SUMIFS('Étape 1 - à remplir'!$F$31:$F$400,'Étape 1 - à remplir'!$E$31:$E$400,MASQ2!O136,'Étape 1 - à remplir'!$G$31:$G$400,"animaux"),SUMIFS('Étape 1 - à remplir'!$F$31:$F$400,'Étape 1 - à remplir'!$E$31:$E$400,MASQ2!O136,'Étape 1 - à remplir'!$N$31:$N$400,X$3))))))=0,NA(),IF(X$2="Catégorie",IF(X$3="Toutes",SUMIFS('Étape 1 - à remplir'!$F$31:$F$400,'Étape 1 - à remplir'!$E$31:$E$400,MASQ2!O136,'Étape 1 - à remplir'!$G$31:$G$400,"animaux"),SUMIFS('Étape 1 - à remplir'!$F$31:$F$400,'Étape 1 - à remplir'!$E$31:$E$400,MASQ2!O136,'Étape 1 - à remplir'!$C$31:$C$400,X$3)),IF(X$2="Âge",IF(X$3="Tous",SUMIFS('Étape 1 - à remplir'!$F$31:$F$400,'Étape 1 - à remplir'!$E$31:$E$400,MASQ2!O136,'Étape 1 - à remplir'!$G$31:$G$400,"animaux"),SUMIFS('Étape 1 - à remplir'!$F$31:$F$400,'Étape 1 - à remplir'!$E$31:$E$400,MASQ2!O136,'Étape 1 - à remplir'!$P$31:$P$400,X$3)),IF(X$2="Atelier",IF(X$3="Tous",SUMIFS('Étape 1 - à remplir'!$F$31:$F$400,'Étape 1 - à remplir'!$E$31:$E$400,MASQ2!O136,'Étape 1 - à remplir'!$G$31:$G$400,"animaux"),SUMIFS('Étape 1 - à remplir'!$F$31:$F$400,'Étape 1 - à remplir'!$E$31:$E$400,MASQ2!O136,'Étape 1 - à remplir'!$O$31:$O$400,X$3)),IF(X$2="Espèce",IF(X$3="Toutes",SUMIFS('Étape 1 - à remplir'!$F$31:$F$400,'Étape 1 - à remplir'!$E$31:$E$400,MASQ2!O136,'Étape 1 - à remplir'!$G$31:$G$400,"animaux"),SUMIFS('Étape 1 - à remplir'!$F$31:$F$400,'Étape 1 - à remplir'!$E$31:$E$400,MASQ2!O136,'Étape 1 - à remplir'!$N$31:$N$400,X$3)))))))</f>
        <v>#N/A</v>
      </c>
      <c r="Q136" s="63">
        <f t="shared" si="185"/>
        <v>0</v>
      </c>
      <c r="R136" t="str">
        <f>Données_ATB!BM135</f>
        <v>Colistine</v>
      </c>
      <c r="S136" t="str">
        <f>Données_ATB!BN135</f>
        <v/>
      </c>
      <c r="T136" s="63" t="str">
        <f>Données_ATB!BO135</f>
        <v/>
      </c>
      <c r="U136" s="42" t="str">
        <f>Données_ATB!BQ135</f>
        <v>Polypeptides</v>
      </c>
      <c r="V136" t="str">
        <f>Données_ATB!BR135</f>
        <v/>
      </c>
      <c r="W136" s="63" t="str">
        <f>Données_ATB!BS135</f>
        <v/>
      </c>
      <c r="Z136" s="42">
        <v>133</v>
      </c>
      <c r="AA136" t="e">
        <f t="shared" si="181"/>
        <v>#N/A</v>
      </c>
      <c r="AB136" s="63" t="e">
        <f t="shared" si="182"/>
        <v>#N/A</v>
      </c>
      <c r="BF136" s="63"/>
      <c r="BT136" s="194" t="str">
        <f t="shared" ca="1" si="165"/>
        <v>x</v>
      </c>
      <c r="BU136" s="219" t="str">
        <f>IFERROR(IF(BX136=0,"",COUNTIF(BX$4:BX$600,"&gt;"&amp;BX136)+COUNTIF(BX$4:BX136,BX136)),"")</f>
        <v/>
      </c>
      <c r="BV136" s="42" t="str">
        <f t="shared" si="166"/>
        <v>COLFIVE 5 000 000 UI/ML CONCENTRE POUR SOLUTION BUVABLE POUR VEAUX PORCINS AGNEAUX POULETS ET DINDES</v>
      </c>
      <c r="BW136" t="e">
        <f>IF(IF(CE$2="Catégorie",IF(CE$3="Toutes",SUMIFS('Étape 1 - à remplir'!$F$31:$F$400,'Étape 1 - à remplir'!$E$31:$E$400,MASQ2!BV136,'Étape 1 - à remplir'!$G$31:$G$400,"lots"),SUMIFS('Étape 1 - à remplir'!$F$31:$F$400,'Étape 1 - à remplir'!$E$31:$E$400,MASQ2!BV136,'Étape 1 - à remplir'!$C$31:$C$400,CE$3)),IF(CE$2="Âge",IF(CE$3="Tous",SUMIFS('Étape 1 - à remplir'!$F$31:$F$400,'Étape 1 - à remplir'!$E$31:$E$400,MASQ2!BV136,'Étape 1 - à remplir'!$G$31:$G$400,"lots"),SUMIFS('Étape 1 - à remplir'!$F$31:$F$400,'Étape 1 - à remplir'!$E$31:$E$400,MASQ2!BV136,'Étape 1 - à remplir'!$P$31:$P$400,CE$3,'Étape 1 - à remplir'!$G$31:$G$400,"lots")),IF(CE$2="Atelier",IF(CE$3="Tous",SUMIFS('Étape 1 - à remplir'!$F$31:$F$400,'Étape 1 - à remplir'!$E$31:$E$400,MASQ2!BV136,'Étape 1 - à remplir'!$G$31:$G$400,"lots"),SUMIFS('Étape 1 - à remplir'!$F$31:$F$400,'Étape 1 - à remplir'!$E$31:$E$400,MASQ2!BV136,'Étape 1 - à remplir'!$O$31:$O$400,CE$3,'Étape 1 - à remplir'!$G$31:$G$400,"lots")),IF(CE$2="Espèce",IF(CE$3="Toutes",SUMIFS('Étape 1 - à remplir'!$F$31:$F$400,'Étape 1 - à remplir'!$E$31:$E$400,MASQ2!BV136,'Étape 1 - à remplir'!$G$31:$G$400,"lots"),SUMIFS('Étape 1 - à remplir'!$F$31:$F$400,'Étape 1 - à remplir'!$E$31:$E$400,MASQ2!BV136,'Étape 1 - à remplir'!$N$31:$N$400,CE$3,'Étape 1 - à remplir'!$G$31:$G$400,"lots"))))))=0,NA(),IF(CE$2="Catégorie",IF(CE$3="Toutes",SUMIFS('Étape 1 - à remplir'!$F$31:$F$400,'Étape 1 - à remplir'!$E$31:$E$400,MASQ2!BV136,'Étape 1 - à remplir'!$G$31:$G$400,"lots"),SUMIFS('Étape 1 - à remplir'!$F$31:$F$400,'Étape 1 - à remplir'!$E$31:$E$400,MASQ2!BV136,'Étape 1 - à remplir'!$C$31:$C$400,CE$3)),IF(CE$2="Âge",IF(CE$3="Tous",SUMIFS('Étape 1 - à remplir'!$F$31:$F$400,'Étape 1 - à remplir'!$E$31:$E$400,MASQ2!BV136,'Étape 1 - à remplir'!$G$31:$G$400,"lots"),SUMIFS('Étape 1 - à remplir'!$F$31:$F$400,'Étape 1 - à remplir'!$E$31:$E$400,MASQ2!BV136,'Étape 1 - à remplir'!$P$31:$P$400,CE$3,'Étape 1 - à remplir'!$G$31:$G$400,"lots")),IF(CE$2="Atelier",IF(CE$3="Tous",SUMIFS('Étape 1 - à remplir'!$F$31:$F$400,'Étape 1 - à remplir'!$E$31:$E$400,MASQ2!BV136,'Étape 1 - à remplir'!$G$31:$G$400,"lots"),SUMIFS('Étape 1 - à remplir'!$F$31:$F$400,'Étape 1 - à remplir'!$E$31:$E$400,MASQ2!BV136,'Étape 1 - à remplir'!$O$31:$O$400,CE$3,'Étape 1 - à remplir'!$G$31:$G$400,"lots")),IF(CE$2="Espèce",IF(CE$3="Toutes",SUMIFS('Étape 1 - à remplir'!$F$31:$F$400,'Étape 1 - à remplir'!$E$31:$E$400,MASQ2!BV136,'Étape 1 - à remplir'!$G$31:$G$400,"lots"),SUMIFS('Étape 1 - à remplir'!$F$31:$F$400,'Étape 1 - à remplir'!$E$31:$E$400,MASQ2!BV136,'Étape 1 - à remplir'!$N$31:$N$400,CE$3,'Étape 1 - à remplir'!$G$31:$G$400,"lots")))))))</f>
        <v>#N/A</v>
      </c>
      <c r="BX136">
        <f t="shared" si="183"/>
        <v>0</v>
      </c>
      <c r="BY136" t="str">
        <f t="shared" si="167"/>
        <v>Colistine</v>
      </c>
      <c r="BZ136" t="str">
        <f t="shared" si="168"/>
        <v/>
      </c>
      <c r="CA136" t="str">
        <f t="shared" si="169"/>
        <v/>
      </c>
      <c r="CB136" t="str">
        <f t="shared" si="170"/>
        <v>Polypeptides</v>
      </c>
      <c r="CC136" t="str">
        <f t="shared" si="171"/>
        <v/>
      </c>
      <c r="CD136" s="63" t="str">
        <f t="shared" si="172"/>
        <v/>
      </c>
      <c r="CG136" s="42">
        <v>133</v>
      </c>
      <c r="CH136" s="42" t="e">
        <f t="shared" si="163"/>
        <v>#N/A</v>
      </c>
      <c r="CI136" s="63" t="e">
        <f t="shared" si="164"/>
        <v>#N/A</v>
      </c>
      <c r="DM136" s="63"/>
      <c r="EA136" s="194" t="str">
        <f t="shared" ca="1" si="173"/>
        <v>x</v>
      </c>
      <c r="EB136" s="226" t="str">
        <f>IFERROR(IF(ED136=0,"",COUNTIF(ED$4:ED$600,"&gt;"&amp;ED136)+COUNTIF(ED$4:ED136,ED136)),"")</f>
        <v/>
      </c>
      <c r="EC136" t="str">
        <f t="shared" si="174"/>
        <v>COLFIVE 5 000 000 UI/ML CONCENTRE POUR SOLUTION BUVABLE POUR VEAUX PORCINS AGNEAUX POULETS ET DINDES</v>
      </c>
      <c r="ED136" t="e">
        <f>IF(IF(EL$2="Catégorie",IF(EL$3="Toutes",SUMIFS('Étape 1 - à remplir'!$F$31:$F$400,'Étape 1 - à remplir'!$E$31:$E$400,MASQ2!EC136,'Étape 1 - à remplir'!$G$31:$G$400,"kg"),SUMIFS('Étape 1 - à remplir'!$F$31:$F$400,'Étape 1 - à remplir'!$E$31:$E$400,MASQ2!EC136,'Étape 1 - à remplir'!$C$31:$C$400,EL$3)),IF(EL$2="Âge",IF(EL$3="Tous",SUMIFS('Étape 1 - à remplir'!$F$31:$F$400,'Étape 1 - à remplir'!$E$31:$E$400,MASQ2!EC136,'Étape 1 - à remplir'!$G$31:$G$400,"kg"),SUMIFS('Étape 1 - à remplir'!$F$31:$F$400,'Étape 1 - à remplir'!$E$31:$E$400,MASQ2!EC136,'Étape 1 - à remplir'!$P$31:$P$400,EL$3,'Étape 1 - à remplir'!$G$31:$G$400,"kg")),IF(EL$2="Atelier",IF(EL$3="Tous",SUMIFS('Étape 1 - à remplir'!$F$31:$F$400,'Étape 1 - à remplir'!$E$31:$E$400,MASQ2!EC136,'Étape 1 - à remplir'!$G$31:$G$400,"kg"),SUMIFS('Étape 1 - à remplir'!$F$31:$F$400,'Étape 1 - à remplir'!$E$31:$E$400,MASQ2!EC136,'Étape 1 - à remplir'!$O$31:$O$400,EL$3,'Étape 1 - à remplir'!$G$31:$G$400,"kg")),IF(EL$2="Espèce",IF(EL$3="Toutes",SUMIFS('Étape 1 - à remplir'!$F$31:$F$400,'Étape 1 - à remplir'!$E$31:$E$400,MASQ2!EC136,'Étape 1 - à remplir'!$G$31:$G$400,"kg"),SUMIFS('Étape 1 - à remplir'!$F$31:$F$400,'Étape 1 - à remplir'!$E$31:$E$400,MASQ2!EC136,'Étape 1 - à remplir'!$N$31:$N$400,EL$3,'Étape 1 - à remplir'!$G$31:$G$400,"kg"))))))=0,NA(),IF(EL$2="Catégorie",IF(EL$3="Toutes",SUMIFS('Étape 1 - à remplir'!$F$31:$F$400,'Étape 1 - à remplir'!$E$31:$E$400,MASQ2!EC136,'Étape 1 - à remplir'!$G$31:$G$400,"kg"),SUMIFS('Étape 1 - à remplir'!$F$31:$F$400,'Étape 1 - à remplir'!$E$31:$E$400,MASQ2!EC136,'Étape 1 - à remplir'!$C$31:$C$400,EL$3)),IF(EL$2="Âge",IF(EL$3="Tous",SUMIFS('Étape 1 - à remplir'!$F$31:$F$400,'Étape 1 - à remplir'!$E$31:$E$400,MASQ2!EC136,'Étape 1 - à remplir'!$G$31:$G$400,"kg"),SUMIFS('Étape 1 - à remplir'!$F$31:$F$400,'Étape 1 - à remplir'!$E$31:$E$400,MASQ2!EC136,'Étape 1 - à remplir'!$P$31:$P$400,EL$3,'Étape 1 - à remplir'!$G$31:$G$400,"kg")),IF(EL$2="Atelier",IF(EL$3="Tous",SUMIFS('Étape 1 - à remplir'!$F$31:$F$400,'Étape 1 - à remplir'!$E$31:$E$400,MASQ2!EC136,'Étape 1 - à remplir'!$G$31:$G$400,"kg"),SUMIFS('Étape 1 - à remplir'!$F$31:$F$400,'Étape 1 - à remplir'!$E$31:$E$400,MASQ2!EC136,'Étape 1 - à remplir'!$O$31:$O$400,EL$3,'Étape 1 - à remplir'!$G$31:$G$400,"kg")),IF(EL$2="Espèce",IF(EL$3="Toutes",SUMIFS('Étape 1 - à remplir'!$F$31:$F$400,'Étape 1 - à remplir'!$E$31:$E$400,MASQ2!EC136,'Étape 1 - à remplir'!$G$31:$G$400,"kg"),SUMIFS('Étape 1 - à remplir'!$F$31:$F$400,'Étape 1 - à remplir'!$E$31:$E$400,MASQ2!EC136,'Étape 1 - à remplir'!$N$31:$N$400,EL$3,'Étape 1 - à remplir'!$G$31:$G$400,"kg")))))))</f>
        <v>#N/A</v>
      </c>
      <c r="EE136" s="76">
        <f t="shared" si="184"/>
        <v>0</v>
      </c>
      <c r="EF136" t="str">
        <f t="shared" si="175"/>
        <v>Colistine</v>
      </c>
      <c r="EG136" t="str">
        <f t="shared" si="176"/>
        <v/>
      </c>
      <c r="EH136" t="str">
        <f t="shared" si="177"/>
        <v/>
      </c>
      <c r="EI136" t="str">
        <f t="shared" si="178"/>
        <v>Polypeptides</v>
      </c>
      <c r="EJ136" t="str">
        <f t="shared" si="179"/>
        <v/>
      </c>
      <c r="EK136" s="63" t="str">
        <f t="shared" si="180"/>
        <v/>
      </c>
      <c r="EN136" s="42">
        <v>133</v>
      </c>
      <c r="EO136" t="e">
        <f t="shared" si="152"/>
        <v>#N/A</v>
      </c>
      <c r="EP136" s="63" t="e">
        <f t="shared" si="153"/>
        <v>#N/A</v>
      </c>
      <c r="FT136" s="63"/>
    </row>
    <row r="137" spans="2:176" x14ac:dyDescent="0.3">
      <c r="B137" s="42"/>
      <c r="M137" s="194" t="str">
        <f ca="1">INDEX(Données_ATB!BD:BU,MATCH(MASQ2!O137,Données_ATB!BD:BD,0),18)</f>
        <v>x</v>
      </c>
      <c r="N137" s="14" t="str">
        <f>IFERROR(IF(Q137=0,"",COUNTIF(Q$4:Q$600,"&gt;"&amp;Q137)+COUNTIF(Q$4:Q137,Q137)),"")</f>
        <v/>
      </c>
      <c r="O137" t="str">
        <f>Données_ATB!BD136</f>
        <v>COLIBOLUS</v>
      </c>
      <c r="P137" t="e">
        <f>IF(IF(X$2="Catégorie",IF(X$3="Toutes",SUMIFS('Étape 1 - à remplir'!$F$31:$F$400,'Étape 1 - à remplir'!$E$31:$E$400,MASQ2!O137,'Étape 1 - à remplir'!$G$31:$G$400,"animaux"),SUMIFS('Étape 1 - à remplir'!$F$31:$F$400,'Étape 1 - à remplir'!$E$31:$E$400,MASQ2!O137,'Étape 1 - à remplir'!$C$31:$C$400,X$3)),IF(X$2="Âge",IF(X$3="Tous",SUMIFS('Étape 1 - à remplir'!$F$31:$F$400,'Étape 1 - à remplir'!$E$31:$E$400,MASQ2!O137,'Étape 1 - à remplir'!$G$31:$G$400,"animaux"),SUMIFS('Étape 1 - à remplir'!$F$31:$F$400,'Étape 1 - à remplir'!$E$31:$E$400,MASQ2!O137,'Étape 1 - à remplir'!$P$31:$P$400,X$3)),IF(X$2="Atelier",IF(X$3="Tous",SUMIFS('Étape 1 - à remplir'!$F$31:$F$400,'Étape 1 - à remplir'!$E$31:$E$400,MASQ2!O137,'Étape 1 - à remplir'!$G$31:$G$400,"animaux"),SUMIFS('Étape 1 - à remplir'!$F$31:$F$400,'Étape 1 - à remplir'!$E$31:$E$400,MASQ2!O137,'Étape 1 - à remplir'!$O$31:$O$400,X$3)),IF(X$2="Espèce",IF(X$3="Toutes",SUMIFS('Étape 1 - à remplir'!$F$31:$F$400,'Étape 1 - à remplir'!$E$31:$E$400,MASQ2!O137,'Étape 1 - à remplir'!$G$31:$G$400,"animaux"),SUMIFS('Étape 1 - à remplir'!$F$31:$F$400,'Étape 1 - à remplir'!$E$31:$E$400,MASQ2!O137,'Étape 1 - à remplir'!$N$31:$N$400,X$3))))))=0,NA(),IF(X$2="Catégorie",IF(X$3="Toutes",SUMIFS('Étape 1 - à remplir'!$F$31:$F$400,'Étape 1 - à remplir'!$E$31:$E$400,MASQ2!O137,'Étape 1 - à remplir'!$G$31:$G$400,"animaux"),SUMIFS('Étape 1 - à remplir'!$F$31:$F$400,'Étape 1 - à remplir'!$E$31:$E$400,MASQ2!O137,'Étape 1 - à remplir'!$C$31:$C$400,X$3)),IF(X$2="Âge",IF(X$3="Tous",SUMIFS('Étape 1 - à remplir'!$F$31:$F$400,'Étape 1 - à remplir'!$E$31:$E$400,MASQ2!O137,'Étape 1 - à remplir'!$G$31:$G$400,"animaux"),SUMIFS('Étape 1 - à remplir'!$F$31:$F$400,'Étape 1 - à remplir'!$E$31:$E$400,MASQ2!O137,'Étape 1 - à remplir'!$P$31:$P$400,X$3)),IF(X$2="Atelier",IF(X$3="Tous",SUMIFS('Étape 1 - à remplir'!$F$31:$F$400,'Étape 1 - à remplir'!$E$31:$E$400,MASQ2!O137,'Étape 1 - à remplir'!$G$31:$G$400,"animaux"),SUMIFS('Étape 1 - à remplir'!$F$31:$F$400,'Étape 1 - à remplir'!$E$31:$E$400,MASQ2!O137,'Étape 1 - à remplir'!$O$31:$O$400,X$3)),IF(X$2="Espèce",IF(X$3="Toutes",SUMIFS('Étape 1 - à remplir'!$F$31:$F$400,'Étape 1 - à remplir'!$E$31:$E$400,MASQ2!O137,'Étape 1 - à remplir'!$G$31:$G$400,"animaux"),SUMIFS('Étape 1 - à remplir'!$F$31:$F$400,'Étape 1 - à remplir'!$E$31:$E$400,MASQ2!O137,'Étape 1 - à remplir'!$N$31:$N$400,X$3)))))))</f>
        <v>#N/A</v>
      </c>
      <c r="Q137" s="63">
        <f t="shared" si="185"/>
        <v>0</v>
      </c>
      <c r="R137" t="str">
        <f>Données_ATB!BM136</f>
        <v>Colistine</v>
      </c>
      <c r="S137" t="str">
        <f>Données_ATB!BN136</f>
        <v/>
      </c>
      <c r="T137" s="63" t="str">
        <f>Données_ATB!BO136</f>
        <v/>
      </c>
      <c r="U137" s="42" t="str">
        <f>Données_ATB!BQ136</f>
        <v>Polypeptides</v>
      </c>
      <c r="V137" t="str">
        <f>Données_ATB!BR136</f>
        <v/>
      </c>
      <c r="W137" s="63" t="str">
        <f>Données_ATB!BS136</f>
        <v/>
      </c>
      <c r="Z137" s="42">
        <v>134</v>
      </c>
      <c r="AA137" t="e">
        <f t="shared" si="181"/>
        <v>#N/A</v>
      </c>
      <c r="AB137" s="63" t="e">
        <f t="shared" si="182"/>
        <v>#N/A</v>
      </c>
      <c r="BF137" s="63"/>
      <c r="BT137" s="194" t="str">
        <f t="shared" ca="1" si="165"/>
        <v>x</v>
      </c>
      <c r="BU137" s="219" t="str">
        <f>IFERROR(IF(BX137=0,"",COUNTIF(BX$4:BX$600,"&gt;"&amp;BX137)+COUNTIF(BX$4:BX137,BX137)),"")</f>
        <v/>
      </c>
      <c r="BV137" s="42" t="str">
        <f t="shared" si="166"/>
        <v>COLIBOLUS</v>
      </c>
      <c r="BW137" t="e">
        <f>IF(IF(CE$2="Catégorie",IF(CE$3="Toutes",SUMIFS('Étape 1 - à remplir'!$F$31:$F$400,'Étape 1 - à remplir'!$E$31:$E$400,MASQ2!BV137,'Étape 1 - à remplir'!$G$31:$G$400,"lots"),SUMIFS('Étape 1 - à remplir'!$F$31:$F$400,'Étape 1 - à remplir'!$E$31:$E$400,MASQ2!BV137,'Étape 1 - à remplir'!$C$31:$C$400,CE$3)),IF(CE$2="Âge",IF(CE$3="Tous",SUMIFS('Étape 1 - à remplir'!$F$31:$F$400,'Étape 1 - à remplir'!$E$31:$E$400,MASQ2!BV137,'Étape 1 - à remplir'!$G$31:$G$400,"lots"),SUMIFS('Étape 1 - à remplir'!$F$31:$F$400,'Étape 1 - à remplir'!$E$31:$E$400,MASQ2!BV137,'Étape 1 - à remplir'!$P$31:$P$400,CE$3,'Étape 1 - à remplir'!$G$31:$G$400,"lots")),IF(CE$2="Atelier",IF(CE$3="Tous",SUMIFS('Étape 1 - à remplir'!$F$31:$F$400,'Étape 1 - à remplir'!$E$31:$E$400,MASQ2!BV137,'Étape 1 - à remplir'!$G$31:$G$400,"lots"),SUMIFS('Étape 1 - à remplir'!$F$31:$F$400,'Étape 1 - à remplir'!$E$31:$E$400,MASQ2!BV137,'Étape 1 - à remplir'!$O$31:$O$400,CE$3,'Étape 1 - à remplir'!$G$31:$G$400,"lots")),IF(CE$2="Espèce",IF(CE$3="Toutes",SUMIFS('Étape 1 - à remplir'!$F$31:$F$400,'Étape 1 - à remplir'!$E$31:$E$400,MASQ2!BV137,'Étape 1 - à remplir'!$G$31:$G$400,"lots"),SUMIFS('Étape 1 - à remplir'!$F$31:$F$400,'Étape 1 - à remplir'!$E$31:$E$400,MASQ2!BV137,'Étape 1 - à remplir'!$N$31:$N$400,CE$3,'Étape 1 - à remplir'!$G$31:$G$400,"lots"))))))=0,NA(),IF(CE$2="Catégorie",IF(CE$3="Toutes",SUMIFS('Étape 1 - à remplir'!$F$31:$F$400,'Étape 1 - à remplir'!$E$31:$E$400,MASQ2!BV137,'Étape 1 - à remplir'!$G$31:$G$400,"lots"),SUMIFS('Étape 1 - à remplir'!$F$31:$F$400,'Étape 1 - à remplir'!$E$31:$E$400,MASQ2!BV137,'Étape 1 - à remplir'!$C$31:$C$400,CE$3)),IF(CE$2="Âge",IF(CE$3="Tous",SUMIFS('Étape 1 - à remplir'!$F$31:$F$400,'Étape 1 - à remplir'!$E$31:$E$400,MASQ2!BV137,'Étape 1 - à remplir'!$G$31:$G$400,"lots"),SUMIFS('Étape 1 - à remplir'!$F$31:$F$400,'Étape 1 - à remplir'!$E$31:$E$400,MASQ2!BV137,'Étape 1 - à remplir'!$P$31:$P$400,CE$3,'Étape 1 - à remplir'!$G$31:$G$400,"lots")),IF(CE$2="Atelier",IF(CE$3="Tous",SUMIFS('Étape 1 - à remplir'!$F$31:$F$400,'Étape 1 - à remplir'!$E$31:$E$400,MASQ2!BV137,'Étape 1 - à remplir'!$G$31:$G$400,"lots"),SUMIFS('Étape 1 - à remplir'!$F$31:$F$400,'Étape 1 - à remplir'!$E$31:$E$400,MASQ2!BV137,'Étape 1 - à remplir'!$O$31:$O$400,CE$3,'Étape 1 - à remplir'!$G$31:$G$400,"lots")),IF(CE$2="Espèce",IF(CE$3="Toutes",SUMIFS('Étape 1 - à remplir'!$F$31:$F$400,'Étape 1 - à remplir'!$E$31:$E$400,MASQ2!BV137,'Étape 1 - à remplir'!$G$31:$G$400,"lots"),SUMIFS('Étape 1 - à remplir'!$F$31:$F$400,'Étape 1 - à remplir'!$E$31:$E$400,MASQ2!BV137,'Étape 1 - à remplir'!$N$31:$N$400,CE$3,'Étape 1 - à remplir'!$G$31:$G$400,"lots")))))))</f>
        <v>#N/A</v>
      </c>
      <c r="BX137">
        <f t="shared" si="183"/>
        <v>0</v>
      </c>
      <c r="BY137" t="str">
        <f t="shared" si="167"/>
        <v>Colistine</v>
      </c>
      <c r="BZ137" t="str">
        <f t="shared" si="168"/>
        <v/>
      </c>
      <c r="CA137" t="str">
        <f t="shared" si="169"/>
        <v/>
      </c>
      <c r="CB137" t="str">
        <f t="shared" si="170"/>
        <v>Polypeptides</v>
      </c>
      <c r="CC137" t="str">
        <f t="shared" si="171"/>
        <v/>
      </c>
      <c r="CD137" s="63" t="str">
        <f t="shared" si="172"/>
        <v/>
      </c>
      <c r="CG137" s="42">
        <v>134</v>
      </c>
      <c r="CH137" s="42" t="e">
        <f t="shared" si="163"/>
        <v>#N/A</v>
      </c>
      <c r="CI137" s="63" t="e">
        <f t="shared" si="164"/>
        <v>#N/A</v>
      </c>
      <c r="DM137" s="63"/>
      <c r="EA137" s="194" t="str">
        <f t="shared" ca="1" si="173"/>
        <v>x</v>
      </c>
      <c r="EB137" s="226" t="str">
        <f>IFERROR(IF(ED137=0,"",COUNTIF(ED$4:ED$600,"&gt;"&amp;ED137)+COUNTIF(ED$4:ED137,ED137)),"")</f>
        <v/>
      </c>
      <c r="EC137" t="str">
        <f t="shared" si="174"/>
        <v>COLIBOLUS</v>
      </c>
      <c r="ED137" t="e">
        <f>IF(IF(EL$2="Catégorie",IF(EL$3="Toutes",SUMIFS('Étape 1 - à remplir'!$F$31:$F$400,'Étape 1 - à remplir'!$E$31:$E$400,MASQ2!EC137,'Étape 1 - à remplir'!$G$31:$G$400,"kg"),SUMIFS('Étape 1 - à remplir'!$F$31:$F$400,'Étape 1 - à remplir'!$E$31:$E$400,MASQ2!EC137,'Étape 1 - à remplir'!$C$31:$C$400,EL$3)),IF(EL$2="Âge",IF(EL$3="Tous",SUMIFS('Étape 1 - à remplir'!$F$31:$F$400,'Étape 1 - à remplir'!$E$31:$E$400,MASQ2!EC137,'Étape 1 - à remplir'!$G$31:$G$400,"kg"),SUMIFS('Étape 1 - à remplir'!$F$31:$F$400,'Étape 1 - à remplir'!$E$31:$E$400,MASQ2!EC137,'Étape 1 - à remplir'!$P$31:$P$400,EL$3,'Étape 1 - à remplir'!$G$31:$G$400,"kg")),IF(EL$2="Atelier",IF(EL$3="Tous",SUMIFS('Étape 1 - à remplir'!$F$31:$F$400,'Étape 1 - à remplir'!$E$31:$E$400,MASQ2!EC137,'Étape 1 - à remplir'!$G$31:$G$400,"kg"),SUMIFS('Étape 1 - à remplir'!$F$31:$F$400,'Étape 1 - à remplir'!$E$31:$E$400,MASQ2!EC137,'Étape 1 - à remplir'!$O$31:$O$400,EL$3,'Étape 1 - à remplir'!$G$31:$G$400,"kg")),IF(EL$2="Espèce",IF(EL$3="Toutes",SUMIFS('Étape 1 - à remplir'!$F$31:$F$400,'Étape 1 - à remplir'!$E$31:$E$400,MASQ2!EC137,'Étape 1 - à remplir'!$G$31:$G$400,"kg"),SUMIFS('Étape 1 - à remplir'!$F$31:$F$400,'Étape 1 - à remplir'!$E$31:$E$400,MASQ2!EC137,'Étape 1 - à remplir'!$N$31:$N$400,EL$3,'Étape 1 - à remplir'!$G$31:$G$400,"kg"))))))=0,NA(),IF(EL$2="Catégorie",IF(EL$3="Toutes",SUMIFS('Étape 1 - à remplir'!$F$31:$F$400,'Étape 1 - à remplir'!$E$31:$E$400,MASQ2!EC137,'Étape 1 - à remplir'!$G$31:$G$400,"kg"),SUMIFS('Étape 1 - à remplir'!$F$31:$F$400,'Étape 1 - à remplir'!$E$31:$E$400,MASQ2!EC137,'Étape 1 - à remplir'!$C$31:$C$400,EL$3)),IF(EL$2="Âge",IF(EL$3="Tous",SUMIFS('Étape 1 - à remplir'!$F$31:$F$400,'Étape 1 - à remplir'!$E$31:$E$400,MASQ2!EC137,'Étape 1 - à remplir'!$G$31:$G$400,"kg"),SUMIFS('Étape 1 - à remplir'!$F$31:$F$400,'Étape 1 - à remplir'!$E$31:$E$400,MASQ2!EC137,'Étape 1 - à remplir'!$P$31:$P$400,EL$3,'Étape 1 - à remplir'!$G$31:$G$400,"kg")),IF(EL$2="Atelier",IF(EL$3="Tous",SUMIFS('Étape 1 - à remplir'!$F$31:$F$400,'Étape 1 - à remplir'!$E$31:$E$400,MASQ2!EC137,'Étape 1 - à remplir'!$G$31:$G$400,"kg"),SUMIFS('Étape 1 - à remplir'!$F$31:$F$400,'Étape 1 - à remplir'!$E$31:$E$400,MASQ2!EC137,'Étape 1 - à remplir'!$O$31:$O$400,EL$3,'Étape 1 - à remplir'!$G$31:$G$400,"kg")),IF(EL$2="Espèce",IF(EL$3="Toutes",SUMIFS('Étape 1 - à remplir'!$F$31:$F$400,'Étape 1 - à remplir'!$E$31:$E$400,MASQ2!EC137,'Étape 1 - à remplir'!$G$31:$G$400,"kg"),SUMIFS('Étape 1 - à remplir'!$F$31:$F$400,'Étape 1 - à remplir'!$E$31:$E$400,MASQ2!EC137,'Étape 1 - à remplir'!$N$31:$N$400,EL$3,'Étape 1 - à remplir'!$G$31:$G$400,"kg")))))))</f>
        <v>#N/A</v>
      </c>
      <c r="EE137" s="76">
        <f t="shared" si="184"/>
        <v>0</v>
      </c>
      <c r="EF137" t="str">
        <f t="shared" si="175"/>
        <v>Colistine</v>
      </c>
      <c r="EG137" t="str">
        <f t="shared" si="176"/>
        <v/>
      </c>
      <c r="EH137" t="str">
        <f t="shared" si="177"/>
        <v/>
      </c>
      <c r="EI137" t="str">
        <f t="shared" si="178"/>
        <v>Polypeptides</v>
      </c>
      <c r="EJ137" t="str">
        <f t="shared" si="179"/>
        <v/>
      </c>
      <c r="EK137" s="63" t="str">
        <f t="shared" si="180"/>
        <v/>
      </c>
      <c r="EN137" s="42">
        <v>134</v>
      </c>
      <c r="EO137" t="e">
        <f t="shared" si="152"/>
        <v>#N/A</v>
      </c>
      <c r="EP137" s="63" t="e">
        <f t="shared" si="153"/>
        <v>#N/A</v>
      </c>
      <c r="FT137" s="63"/>
    </row>
    <row r="138" spans="2:176" x14ac:dyDescent="0.3">
      <c r="B138" s="42"/>
      <c r="M138" s="194" t="str">
        <f ca="1">INDEX(Données_ATB!BD:BU,MATCH(MASQ2!O138,Données_ATB!BD:BD,0),18)</f>
        <v>x</v>
      </c>
      <c r="N138" s="14" t="str">
        <f>IFERROR(IF(Q138=0,"",COUNTIF(Q$4:Q$600,"&gt;"&amp;Q138)+COUNTIF(Q$4:Q138,Q138)),"")</f>
        <v/>
      </c>
      <c r="O138" t="str">
        <f>Données_ATB!BD137</f>
        <v>COLICILLINE</v>
      </c>
      <c r="P138" t="e">
        <f>IF(IF(X$2="Catégorie",IF(X$3="Toutes",SUMIFS('Étape 1 - à remplir'!$F$31:$F$400,'Étape 1 - à remplir'!$E$31:$E$400,MASQ2!O138,'Étape 1 - à remplir'!$G$31:$G$400,"animaux"),SUMIFS('Étape 1 - à remplir'!$F$31:$F$400,'Étape 1 - à remplir'!$E$31:$E$400,MASQ2!O138,'Étape 1 - à remplir'!$C$31:$C$400,X$3)),IF(X$2="Âge",IF(X$3="Tous",SUMIFS('Étape 1 - à remplir'!$F$31:$F$400,'Étape 1 - à remplir'!$E$31:$E$400,MASQ2!O138,'Étape 1 - à remplir'!$G$31:$G$400,"animaux"),SUMIFS('Étape 1 - à remplir'!$F$31:$F$400,'Étape 1 - à remplir'!$E$31:$E$400,MASQ2!O138,'Étape 1 - à remplir'!$P$31:$P$400,X$3)),IF(X$2="Atelier",IF(X$3="Tous",SUMIFS('Étape 1 - à remplir'!$F$31:$F$400,'Étape 1 - à remplir'!$E$31:$E$400,MASQ2!O138,'Étape 1 - à remplir'!$G$31:$G$400,"animaux"),SUMIFS('Étape 1 - à remplir'!$F$31:$F$400,'Étape 1 - à remplir'!$E$31:$E$400,MASQ2!O138,'Étape 1 - à remplir'!$O$31:$O$400,X$3)),IF(X$2="Espèce",IF(X$3="Toutes",SUMIFS('Étape 1 - à remplir'!$F$31:$F$400,'Étape 1 - à remplir'!$E$31:$E$400,MASQ2!O138,'Étape 1 - à remplir'!$G$31:$G$400,"animaux"),SUMIFS('Étape 1 - à remplir'!$F$31:$F$400,'Étape 1 - à remplir'!$E$31:$E$400,MASQ2!O138,'Étape 1 - à remplir'!$N$31:$N$400,X$3))))))=0,NA(),IF(X$2="Catégorie",IF(X$3="Toutes",SUMIFS('Étape 1 - à remplir'!$F$31:$F$400,'Étape 1 - à remplir'!$E$31:$E$400,MASQ2!O138,'Étape 1 - à remplir'!$G$31:$G$400,"animaux"),SUMIFS('Étape 1 - à remplir'!$F$31:$F$400,'Étape 1 - à remplir'!$E$31:$E$400,MASQ2!O138,'Étape 1 - à remplir'!$C$31:$C$400,X$3)),IF(X$2="Âge",IF(X$3="Tous",SUMIFS('Étape 1 - à remplir'!$F$31:$F$400,'Étape 1 - à remplir'!$E$31:$E$400,MASQ2!O138,'Étape 1 - à remplir'!$G$31:$G$400,"animaux"),SUMIFS('Étape 1 - à remplir'!$F$31:$F$400,'Étape 1 - à remplir'!$E$31:$E$400,MASQ2!O138,'Étape 1 - à remplir'!$P$31:$P$400,X$3)),IF(X$2="Atelier",IF(X$3="Tous",SUMIFS('Étape 1 - à remplir'!$F$31:$F$400,'Étape 1 - à remplir'!$E$31:$E$400,MASQ2!O138,'Étape 1 - à remplir'!$G$31:$G$400,"animaux"),SUMIFS('Étape 1 - à remplir'!$F$31:$F$400,'Étape 1 - à remplir'!$E$31:$E$400,MASQ2!O138,'Étape 1 - à remplir'!$O$31:$O$400,X$3)),IF(X$2="Espèce",IF(X$3="Toutes",SUMIFS('Étape 1 - à remplir'!$F$31:$F$400,'Étape 1 - à remplir'!$E$31:$E$400,MASQ2!O138,'Étape 1 - à remplir'!$G$31:$G$400,"animaux"),SUMIFS('Étape 1 - à remplir'!$F$31:$F$400,'Étape 1 - à remplir'!$E$31:$E$400,MASQ2!O138,'Étape 1 - à remplir'!$N$31:$N$400,X$3)))))))</f>
        <v>#N/A</v>
      </c>
      <c r="Q138" s="63">
        <f t="shared" si="185"/>
        <v>0</v>
      </c>
      <c r="R138" t="str">
        <f>Données_ATB!BM137</f>
        <v>Ampicilline</v>
      </c>
      <c r="S138" t="str">
        <f>Données_ATB!BN137</f>
        <v>Colistine</v>
      </c>
      <c r="T138" s="63" t="str">
        <f>Données_ATB!BO137</f>
        <v/>
      </c>
      <c r="U138" s="42" t="str">
        <f>Données_ATB!BQ137</f>
        <v>Penicillines</v>
      </c>
      <c r="V138" t="str">
        <f>Données_ATB!BR137</f>
        <v>Polypeptides</v>
      </c>
      <c r="W138" s="63" t="str">
        <f>Données_ATB!BS137</f>
        <v/>
      </c>
      <c r="Z138" s="42">
        <v>135</v>
      </c>
      <c r="AA138" t="e">
        <f t="shared" si="181"/>
        <v>#N/A</v>
      </c>
      <c r="AB138" s="63" t="e">
        <f t="shared" si="182"/>
        <v>#N/A</v>
      </c>
      <c r="BF138" s="63"/>
      <c r="BT138" s="194" t="str">
        <f t="shared" ca="1" si="165"/>
        <v>x</v>
      </c>
      <c r="BU138" s="219" t="str">
        <f>IFERROR(IF(BX138=0,"",COUNTIF(BX$4:BX$600,"&gt;"&amp;BX138)+COUNTIF(BX$4:BX138,BX138)),"")</f>
        <v/>
      </c>
      <c r="BV138" s="42" t="str">
        <f t="shared" si="166"/>
        <v>COLICILLINE</v>
      </c>
      <c r="BW138" t="e">
        <f>IF(IF(CE$2="Catégorie",IF(CE$3="Toutes",SUMIFS('Étape 1 - à remplir'!$F$31:$F$400,'Étape 1 - à remplir'!$E$31:$E$400,MASQ2!BV138,'Étape 1 - à remplir'!$G$31:$G$400,"lots"),SUMIFS('Étape 1 - à remplir'!$F$31:$F$400,'Étape 1 - à remplir'!$E$31:$E$400,MASQ2!BV138,'Étape 1 - à remplir'!$C$31:$C$400,CE$3)),IF(CE$2="Âge",IF(CE$3="Tous",SUMIFS('Étape 1 - à remplir'!$F$31:$F$400,'Étape 1 - à remplir'!$E$31:$E$400,MASQ2!BV138,'Étape 1 - à remplir'!$G$31:$G$400,"lots"),SUMIFS('Étape 1 - à remplir'!$F$31:$F$400,'Étape 1 - à remplir'!$E$31:$E$400,MASQ2!BV138,'Étape 1 - à remplir'!$P$31:$P$400,CE$3,'Étape 1 - à remplir'!$G$31:$G$400,"lots")),IF(CE$2="Atelier",IF(CE$3="Tous",SUMIFS('Étape 1 - à remplir'!$F$31:$F$400,'Étape 1 - à remplir'!$E$31:$E$400,MASQ2!BV138,'Étape 1 - à remplir'!$G$31:$G$400,"lots"),SUMIFS('Étape 1 - à remplir'!$F$31:$F$400,'Étape 1 - à remplir'!$E$31:$E$400,MASQ2!BV138,'Étape 1 - à remplir'!$O$31:$O$400,CE$3,'Étape 1 - à remplir'!$G$31:$G$400,"lots")),IF(CE$2="Espèce",IF(CE$3="Toutes",SUMIFS('Étape 1 - à remplir'!$F$31:$F$400,'Étape 1 - à remplir'!$E$31:$E$400,MASQ2!BV138,'Étape 1 - à remplir'!$G$31:$G$400,"lots"),SUMIFS('Étape 1 - à remplir'!$F$31:$F$400,'Étape 1 - à remplir'!$E$31:$E$400,MASQ2!BV138,'Étape 1 - à remplir'!$N$31:$N$400,CE$3,'Étape 1 - à remplir'!$G$31:$G$400,"lots"))))))=0,NA(),IF(CE$2="Catégorie",IF(CE$3="Toutes",SUMIFS('Étape 1 - à remplir'!$F$31:$F$400,'Étape 1 - à remplir'!$E$31:$E$400,MASQ2!BV138,'Étape 1 - à remplir'!$G$31:$G$400,"lots"),SUMIFS('Étape 1 - à remplir'!$F$31:$F$400,'Étape 1 - à remplir'!$E$31:$E$400,MASQ2!BV138,'Étape 1 - à remplir'!$C$31:$C$400,CE$3)),IF(CE$2="Âge",IF(CE$3="Tous",SUMIFS('Étape 1 - à remplir'!$F$31:$F$400,'Étape 1 - à remplir'!$E$31:$E$400,MASQ2!BV138,'Étape 1 - à remplir'!$G$31:$G$400,"lots"),SUMIFS('Étape 1 - à remplir'!$F$31:$F$400,'Étape 1 - à remplir'!$E$31:$E$400,MASQ2!BV138,'Étape 1 - à remplir'!$P$31:$P$400,CE$3,'Étape 1 - à remplir'!$G$31:$G$400,"lots")),IF(CE$2="Atelier",IF(CE$3="Tous",SUMIFS('Étape 1 - à remplir'!$F$31:$F$400,'Étape 1 - à remplir'!$E$31:$E$400,MASQ2!BV138,'Étape 1 - à remplir'!$G$31:$G$400,"lots"),SUMIFS('Étape 1 - à remplir'!$F$31:$F$400,'Étape 1 - à remplir'!$E$31:$E$400,MASQ2!BV138,'Étape 1 - à remplir'!$O$31:$O$400,CE$3,'Étape 1 - à remplir'!$G$31:$G$400,"lots")),IF(CE$2="Espèce",IF(CE$3="Toutes",SUMIFS('Étape 1 - à remplir'!$F$31:$F$400,'Étape 1 - à remplir'!$E$31:$E$400,MASQ2!BV138,'Étape 1 - à remplir'!$G$31:$G$400,"lots"),SUMIFS('Étape 1 - à remplir'!$F$31:$F$400,'Étape 1 - à remplir'!$E$31:$E$400,MASQ2!BV138,'Étape 1 - à remplir'!$N$31:$N$400,CE$3,'Étape 1 - à remplir'!$G$31:$G$400,"lots")))))))</f>
        <v>#N/A</v>
      </c>
      <c r="BX138">
        <f t="shared" si="183"/>
        <v>0</v>
      </c>
      <c r="BY138" t="str">
        <f t="shared" si="167"/>
        <v>Ampicilline</v>
      </c>
      <c r="BZ138" t="str">
        <f t="shared" si="168"/>
        <v>Colistine</v>
      </c>
      <c r="CA138" t="str">
        <f t="shared" si="169"/>
        <v/>
      </c>
      <c r="CB138" t="str">
        <f t="shared" si="170"/>
        <v>Penicillines</v>
      </c>
      <c r="CC138" t="str">
        <f t="shared" si="171"/>
        <v>Polypeptides</v>
      </c>
      <c r="CD138" s="63" t="str">
        <f t="shared" si="172"/>
        <v/>
      </c>
      <c r="CG138" s="42">
        <v>135</v>
      </c>
      <c r="CH138" s="42" t="e">
        <f t="shared" si="163"/>
        <v>#N/A</v>
      </c>
      <c r="CI138" s="63" t="e">
        <f t="shared" si="164"/>
        <v>#N/A</v>
      </c>
      <c r="DM138" s="63"/>
      <c r="EA138" s="194" t="str">
        <f t="shared" ca="1" si="173"/>
        <v>x</v>
      </c>
      <c r="EB138" s="226" t="str">
        <f>IFERROR(IF(ED138=0,"",COUNTIF(ED$4:ED$600,"&gt;"&amp;ED138)+COUNTIF(ED$4:ED138,ED138)),"")</f>
        <v/>
      </c>
      <c r="EC138" t="str">
        <f t="shared" si="174"/>
        <v>COLICILLINE</v>
      </c>
      <c r="ED138" t="e">
        <f>IF(IF(EL$2="Catégorie",IF(EL$3="Toutes",SUMIFS('Étape 1 - à remplir'!$F$31:$F$400,'Étape 1 - à remplir'!$E$31:$E$400,MASQ2!EC138,'Étape 1 - à remplir'!$G$31:$G$400,"kg"),SUMIFS('Étape 1 - à remplir'!$F$31:$F$400,'Étape 1 - à remplir'!$E$31:$E$400,MASQ2!EC138,'Étape 1 - à remplir'!$C$31:$C$400,EL$3)),IF(EL$2="Âge",IF(EL$3="Tous",SUMIFS('Étape 1 - à remplir'!$F$31:$F$400,'Étape 1 - à remplir'!$E$31:$E$400,MASQ2!EC138,'Étape 1 - à remplir'!$G$31:$G$400,"kg"),SUMIFS('Étape 1 - à remplir'!$F$31:$F$400,'Étape 1 - à remplir'!$E$31:$E$400,MASQ2!EC138,'Étape 1 - à remplir'!$P$31:$P$400,EL$3,'Étape 1 - à remplir'!$G$31:$G$400,"kg")),IF(EL$2="Atelier",IF(EL$3="Tous",SUMIFS('Étape 1 - à remplir'!$F$31:$F$400,'Étape 1 - à remplir'!$E$31:$E$400,MASQ2!EC138,'Étape 1 - à remplir'!$G$31:$G$400,"kg"),SUMIFS('Étape 1 - à remplir'!$F$31:$F$400,'Étape 1 - à remplir'!$E$31:$E$400,MASQ2!EC138,'Étape 1 - à remplir'!$O$31:$O$400,EL$3,'Étape 1 - à remplir'!$G$31:$G$400,"kg")),IF(EL$2="Espèce",IF(EL$3="Toutes",SUMIFS('Étape 1 - à remplir'!$F$31:$F$400,'Étape 1 - à remplir'!$E$31:$E$400,MASQ2!EC138,'Étape 1 - à remplir'!$G$31:$G$400,"kg"),SUMIFS('Étape 1 - à remplir'!$F$31:$F$400,'Étape 1 - à remplir'!$E$31:$E$400,MASQ2!EC138,'Étape 1 - à remplir'!$N$31:$N$400,EL$3,'Étape 1 - à remplir'!$G$31:$G$400,"kg"))))))=0,NA(),IF(EL$2="Catégorie",IF(EL$3="Toutes",SUMIFS('Étape 1 - à remplir'!$F$31:$F$400,'Étape 1 - à remplir'!$E$31:$E$400,MASQ2!EC138,'Étape 1 - à remplir'!$G$31:$G$400,"kg"),SUMIFS('Étape 1 - à remplir'!$F$31:$F$400,'Étape 1 - à remplir'!$E$31:$E$400,MASQ2!EC138,'Étape 1 - à remplir'!$C$31:$C$400,EL$3)),IF(EL$2="Âge",IF(EL$3="Tous",SUMIFS('Étape 1 - à remplir'!$F$31:$F$400,'Étape 1 - à remplir'!$E$31:$E$400,MASQ2!EC138,'Étape 1 - à remplir'!$G$31:$G$400,"kg"),SUMIFS('Étape 1 - à remplir'!$F$31:$F$400,'Étape 1 - à remplir'!$E$31:$E$400,MASQ2!EC138,'Étape 1 - à remplir'!$P$31:$P$400,EL$3,'Étape 1 - à remplir'!$G$31:$G$400,"kg")),IF(EL$2="Atelier",IF(EL$3="Tous",SUMIFS('Étape 1 - à remplir'!$F$31:$F$400,'Étape 1 - à remplir'!$E$31:$E$400,MASQ2!EC138,'Étape 1 - à remplir'!$G$31:$G$400,"kg"),SUMIFS('Étape 1 - à remplir'!$F$31:$F$400,'Étape 1 - à remplir'!$E$31:$E$400,MASQ2!EC138,'Étape 1 - à remplir'!$O$31:$O$400,EL$3,'Étape 1 - à remplir'!$G$31:$G$400,"kg")),IF(EL$2="Espèce",IF(EL$3="Toutes",SUMIFS('Étape 1 - à remplir'!$F$31:$F$400,'Étape 1 - à remplir'!$E$31:$E$400,MASQ2!EC138,'Étape 1 - à remplir'!$G$31:$G$400,"kg"),SUMIFS('Étape 1 - à remplir'!$F$31:$F$400,'Étape 1 - à remplir'!$E$31:$E$400,MASQ2!EC138,'Étape 1 - à remplir'!$N$31:$N$400,EL$3,'Étape 1 - à remplir'!$G$31:$G$400,"kg")))))))</f>
        <v>#N/A</v>
      </c>
      <c r="EE138" s="76">
        <f t="shared" si="184"/>
        <v>0</v>
      </c>
      <c r="EF138" t="str">
        <f t="shared" si="175"/>
        <v>Ampicilline</v>
      </c>
      <c r="EG138" t="str">
        <f t="shared" si="176"/>
        <v>Colistine</v>
      </c>
      <c r="EH138" t="str">
        <f t="shared" si="177"/>
        <v/>
      </c>
      <c r="EI138" t="str">
        <f t="shared" si="178"/>
        <v>Penicillines</v>
      </c>
      <c r="EJ138" t="str">
        <f t="shared" si="179"/>
        <v>Polypeptides</v>
      </c>
      <c r="EK138" s="63" t="str">
        <f t="shared" si="180"/>
        <v/>
      </c>
      <c r="EN138" s="42">
        <v>135</v>
      </c>
      <c r="EO138" t="e">
        <f t="shared" ref="EO138:EO201" si="186">INDEX(EB$3:EE$600,MATCH(EN138,EB$3:EB$600,0),2)</f>
        <v>#N/A</v>
      </c>
      <c r="EP138" s="63" t="e">
        <f t="shared" ref="EP138:EP201" si="187">INDEX(EB$3:EE$600,MATCH(EN138,EB$3:EB$600,0),3)</f>
        <v>#N/A</v>
      </c>
      <c r="FT138" s="63"/>
    </row>
    <row r="139" spans="2:176" x14ac:dyDescent="0.3">
      <c r="B139" s="42"/>
      <c r="M139" s="194" t="str">
        <f ca="1">INDEX(Données_ATB!BD:BU,MATCH(MASQ2!O139,Données_ATB!BD:BD,0),18)</f>
        <v>x</v>
      </c>
      <c r="N139" s="14" t="str">
        <f>IFERROR(IF(Q139=0,"",COUNTIF(Q$4:Q$600,"&gt;"&amp;Q139)+COUNTIF(Q$4:Q139,Q139)),"")</f>
        <v/>
      </c>
      <c r="O139" t="str">
        <f>Données_ATB!BD138</f>
        <v>COLICLOX POMMADE</v>
      </c>
      <c r="P139" t="e">
        <f>IF(IF(X$2="Catégorie",IF(X$3="Toutes",SUMIFS('Étape 1 - à remplir'!$F$31:$F$400,'Étape 1 - à remplir'!$E$31:$E$400,MASQ2!O139,'Étape 1 - à remplir'!$G$31:$G$400,"animaux"),SUMIFS('Étape 1 - à remplir'!$F$31:$F$400,'Étape 1 - à remplir'!$E$31:$E$400,MASQ2!O139,'Étape 1 - à remplir'!$C$31:$C$400,X$3)),IF(X$2="Âge",IF(X$3="Tous",SUMIFS('Étape 1 - à remplir'!$F$31:$F$400,'Étape 1 - à remplir'!$E$31:$E$400,MASQ2!O139,'Étape 1 - à remplir'!$G$31:$G$400,"animaux"),SUMIFS('Étape 1 - à remplir'!$F$31:$F$400,'Étape 1 - à remplir'!$E$31:$E$400,MASQ2!O139,'Étape 1 - à remplir'!$P$31:$P$400,X$3)),IF(X$2="Atelier",IF(X$3="Tous",SUMIFS('Étape 1 - à remplir'!$F$31:$F$400,'Étape 1 - à remplir'!$E$31:$E$400,MASQ2!O139,'Étape 1 - à remplir'!$G$31:$G$400,"animaux"),SUMIFS('Étape 1 - à remplir'!$F$31:$F$400,'Étape 1 - à remplir'!$E$31:$E$400,MASQ2!O139,'Étape 1 - à remplir'!$O$31:$O$400,X$3)),IF(X$2="Espèce",IF(X$3="Toutes",SUMIFS('Étape 1 - à remplir'!$F$31:$F$400,'Étape 1 - à remplir'!$E$31:$E$400,MASQ2!O139,'Étape 1 - à remplir'!$G$31:$G$400,"animaux"),SUMIFS('Étape 1 - à remplir'!$F$31:$F$400,'Étape 1 - à remplir'!$E$31:$E$400,MASQ2!O139,'Étape 1 - à remplir'!$N$31:$N$400,X$3))))))=0,NA(),IF(X$2="Catégorie",IF(X$3="Toutes",SUMIFS('Étape 1 - à remplir'!$F$31:$F$400,'Étape 1 - à remplir'!$E$31:$E$400,MASQ2!O139,'Étape 1 - à remplir'!$G$31:$G$400,"animaux"),SUMIFS('Étape 1 - à remplir'!$F$31:$F$400,'Étape 1 - à remplir'!$E$31:$E$400,MASQ2!O139,'Étape 1 - à remplir'!$C$31:$C$400,X$3)),IF(X$2="Âge",IF(X$3="Tous",SUMIFS('Étape 1 - à remplir'!$F$31:$F$400,'Étape 1 - à remplir'!$E$31:$E$400,MASQ2!O139,'Étape 1 - à remplir'!$G$31:$G$400,"animaux"),SUMIFS('Étape 1 - à remplir'!$F$31:$F$400,'Étape 1 - à remplir'!$E$31:$E$400,MASQ2!O139,'Étape 1 - à remplir'!$P$31:$P$400,X$3)),IF(X$2="Atelier",IF(X$3="Tous",SUMIFS('Étape 1 - à remplir'!$F$31:$F$400,'Étape 1 - à remplir'!$E$31:$E$400,MASQ2!O139,'Étape 1 - à remplir'!$G$31:$G$400,"animaux"),SUMIFS('Étape 1 - à remplir'!$F$31:$F$400,'Étape 1 - à remplir'!$E$31:$E$400,MASQ2!O139,'Étape 1 - à remplir'!$O$31:$O$400,X$3)),IF(X$2="Espèce",IF(X$3="Toutes",SUMIFS('Étape 1 - à remplir'!$F$31:$F$400,'Étape 1 - à remplir'!$E$31:$E$400,MASQ2!O139,'Étape 1 - à remplir'!$G$31:$G$400,"animaux"),SUMIFS('Étape 1 - à remplir'!$F$31:$F$400,'Étape 1 - à remplir'!$E$31:$E$400,MASQ2!O139,'Étape 1 - à remplir'!$N$31:$N$400,X$3)))))))</f>
        <v>#N/A</v>
      </c>
      <c r="Q139" s="63">
        <f t="shared" si="185"/>
        <v>0</v>
      </c>
      <c r="R139" t="str">
        <f>Données_ATB!BM138</f>
        <v>Cloxacilline</v>
      </c>
      <c r="S139" t="str">
        <f>Données_ATB!BN138</f>
        <v>Colistine</v>
      </c>
      <c r="T139" s="63" t="str">
        <f>Données_ATB!BO138</f>
        <v/>
      </c>
      <c r="U139" s="42" t="str">
        <f>Données_ATB!BQ138</f>
        <v>Penicillines</v>
      </c>
      <c r="V139" t="str">
        <f>Données_ATB!BR138</f>
        <v>Polypeptides</v>
      </c>
      <c r="W139" s="63" t="str">
        <f>Données_ATB!BS138</f>
        <v/>
      </c>
      <c r="Z139" s="42">
        <v>136</v>
      </c>
      <c r="AA139" t="e">
        <f t="shared" si="181"/>
        <v>#N/A</v>
      </c>
      <c r="AB139" s="63" t="e">
        <f t="shared" si="182"/>
        <v>#N/A</v>
      </c>
      <c r="BF139" s="63"/>
      <c r="BT139" s="194" t="str">
        <f t="shared" ca="1" si="165"/>
        <v>x</v>
      </c>
      <c r="BU139" s="219" t="str">
        <f>IFERROR(IF(BX139=0,"",COUNTIF(BX$4:BX$600,"&gt;"&amp;BX139)+COUNTIF(BX$4:BX139,BX139)),"")</f>
        <v/>
      </c>
      <c r="BV139" s="42" t="str">
        <f t="shared" si="166"/>
        <v>COLICLOX POMMADE</v>
      </c>
      <c r="BW139" t="e">
        <f>IF(IF(CE$2="Catégorie",IF(CE$3="Toutes",SUMIFS('Étape 1 - à remplir'!$F$31:$F$400,'Étape 1 - à remplir'!$E$31:$E$400,MASQ2!BV139,'Étape 1 - à remplir'!$G$31:$G$400,"lots"),SUMIFS('Étape 1 - à remplir'!$F$31:$F$400,'Étape 1 - à remplir'!$E$31:$E$400,MASQ2!BV139,'Étape 1 - à remplir'!$C$31:$C$400,CE$3)),IF(CE$2="Âge",IF(CE$3="Tous",SUMIFS('Étape 1 - à remplir'!$F$31:$F$400,'Étape 1 - à remplir'!$E$31:$E$400,MASQ2!BV139,'Étape 1 - à remplir'!$G$31:$G$400,"lots"),SUMIFS('Étape 1 - à remplir'!$F$31:$F$400,'Étape 1 - à remplir'!$E$31:$E$400,MASQ2!BV139,'Étape 1 - à remplir'!$P$31:$P$400,CE$3,'Étape 1 - à remplir'!$G$31:$G$400,"lots")),IF(CE$2="Atelier",IF(CE$3="Tous",SUMIFS('Étape 1 - à remplir'!$F$31:$F$400,'Étape 1 - à remplir'!$E$31:$E$400,MASQ2!BV139,'Étape 1 - à remplir'!$G$31:$G$400,"lots"),SUMIFS('Étape 1 - à remplir'!$F$31:$F$400,'Étape 1 - à remplir'!$E$31:$E$400,MASQ2!BV139,'Étape 1 - à remplir'!$O$31:$O$400,CE$3,'Étape 1 - à remplir'!$G$31:$G$400,"lots")),IF(CE$2="Espèce",IF(CE$3="Toutes",SUMIFS('Étape 1 - à remplir'!$F$31:$F$400,'Étape 1 - à remplir'!$E$31:$E$400,MASQ2!BV139,'Étape 1 - à remplir'!$G$31:$G$400,"lots"),SUMIFS('Étape 1 - à remplir'!$F$31:$F$400,'Étape 1 - à remplir'!$E$31:$E$400,MASQ2!BV139,'Étape 1 - à remplir'!$N$31:$N$400,CE$3,'Étape 1 - à remplir'!$G$31:$G$400,"lots"))))))=0,NA(),IF(CE$2="Catégorie",IF(CE$3="Toutes",SUMIFS('Étape 1 - à remplir'!$F$31:$F$400,'Étape 1 - à remplir'!$E$31:$E$400,MASQ2!BV139,'Étape 1 - à remplir'!$G$31:$G$400,"lots"),SUMIFS('Étape 1 - à remplir'!$F$31:$F$400,'Étape 1 - à remplir'!$E$31:$E$400,MASQ2!BV139,'Étape 1 - à remplir'!$C$31:$C$400,CE$3)),IF(CE$2="Âge",IF(CE$3="Tous",SUMIFS('Étape 1 - à remplir'!$F$31:$F$400,'Étape 1 - à remplir'!$E$31:$E$400,MASQ2!BV139,'Étape 1 - à remplir'!$G$31:$G$400,"lots"),SUMIFS('Étape 1 - à remplir'!$F$31:$F$400,'Étape 1 - à remplir'!$E$31:$E$400,MASQ2!BV139,'Étape 1 - à remplir'!$P$31:$P$400,CE$3,'Étape 1 - à remplir'!$G$31:$G$400,"lots")),IF(CE$2="Atelier",IF(CE$3="Tous",SUMIFS('Étape 1 - à remplir'!$F$31:$F$400,'Étape 1 - à remplir'!$E$31:$E$400,MASQ2!BV139,'Étape 1 - à remplir'!$G$31:$G$400,"lots"),SUMIFS('Étape 1 - à remplir'!$F$31:$F$400,'Étape 1 - à remplir'!$E$31:$E$400,MASQ2!BV139,'Étape 1 - à remplir'!$O$31:$O$400,CE$3,'Étape 1 - à remplir'!$G$31:$G$400,"lots")),IF(CE$2="Espèce",IF(CE$3="Toutes",SUMIFS('Étape 1 - à remplir'!$F$31:$F$400,'Étape 1 - à remplir'!$E$31:$E$400,MASQ2!BV139,'Étape 1 - à remplir'!$G$31:$G$400,"lots"),SUMIFS('Étape 1 - à remplir'!$F$31:$F$400,'Étape 1 - à remplir'!$E$31:$E$400,MASQ2!BV139,'Étape 1 - à remplir'!$N$31:$N$400,CE$3,'Étape 1 - à remplir'!$G$31:$G$400,"lots")))))))</f>
        <v>#N/A</v>
      </c>
      <c r="BX139">
        <f t="shared" si="183"/>
        <v>0</v>
      </c>
      <c r="BY139" t="str">
        <f t="shared" si="167"/>
        <v>Cloxacilline</v>
      </c>
      <c r="BZ139" t="str">
        <f t="shared" si="168"/>
        <v>Colistine</v>
      </c>
      <c r="CA139" t="str">
        <f t="shared" si="169"/>
        <v/>
      </c>
      <c r="CB139" t="str">
        <f t="shared" si="170"/>
        <v>Penicillines</v>
      </c>
      <c r="CC139" t="str">
        <f t="shared" si="171"/>
        <v>Polypeptides</v>
      </c>
      <c r="CD139" s="63" t="str">
        <f t="shared" si="172"/>
        <v/>
      </c>
      <c r="CG139" s="42">
        <v>136</v>
      </c>
      <c r="CH139" s="42" t="e">
        <f t="shared" si="163"/>
        <v>#N/A</v>
      </c>
      <c r="CI139" s="63" t="e">
        <f t="shared" si="164"/>
        <v>#N/A</v>
      </c>
      <c r="DM139" s="63"/>
      <c r="EA139" s="194" t="str">
        <f t="shared" ca="1" si="173"/>
        <v>x</v>
      </c>
      <c r="EB139" s="226" t="str">
        <f>IFERROR(IF(ED139=0,"",COUNTIF(ED$4:ED$600,"&gt;"&amp;ED139)+COUNTIF(ED$4:ED139,ED139)),"")</f>
        <v/>
      </c>
      <c r="EC139" t="str">
        <f t="shared" si="174"/>
        <v>COLICLOX POMMADE</v>
      </c>
      <c r="ED139" t="e">
        <f>IF(IF(EL$2="Catégorie",IF(EL$3="Toutes",SUMIFS('Étape 1 - à remplir'!$F$31:$F$400,'Étape 1 - à remplir'!$E$31:$E$400,MASQ2!EC139,'Étape 1 - à remplir'!$G$31:$G$400,"kg"),SUMIFS('Étape 1 - à remplir'!$F$31:$F$400,'Étape 1 - à remplir'!$E$31:$E$400,MASQ2!EC139,'Étape 1 - à remplir'!$C$31:$C$400,EL$3)),IF(EL$2="Âge",IF(EL$3="Tous",SUMIFS('Étape 1 - à remplir'!$F$31:$F$400,'Étape 1 - à remplir'!$E$31:$E$400,MASQ2!EC139,'Étape 1 - à remplir'!$G$31:$G$400,"kg"),SUMIFS('Étape 1 - à remplir'!$F$31:$F$400,'Étape 1 - à remplir'!$E$31:$E$400,MASQ2!EC139,'Étape 1 - à remplir'!$P$31:$P$400,EL$3,'Étape 1 - à remplir'!$G$31:$G$400,"kg")),IF(EL$2="Atelier",IF(EL$3="Tous",SUMIFS('Étape 1 - à remplir'!$F$31:$F$400,'Étape 1 - à remplir'!$E$31:$E$400,MASQ2!EC139,'Étape 1 - à remplir'!$G$31:$G$400,"kg"),SUMIFS('Étape 1 - à remplir'!$F$31:$F$400,'Étape 1 - à remplir'!$E$31:$E$400,MASQ2!EC139,'Étape 1 - à remplir'!$O$31:$O$400,EL$3,'Étape 1 - à remplir'!$G$31:$G$400,"kg")),IF(EL$2="Espèce",IF(EL$3="Toutes",SUMIFS('Étape 1 - à remplir'!$F$31:$F$400,'Étape 1 - à remplir'!$E$31:$E$400,MASQ2!EC139,'Étape 1 - à remplir'!$G$31:$G$400,"kg"),SUMIFS('Étape 1 - à remplir'!$F$31:$F$400,'Étape 1 - à remplir'!$E$31:$E$400,MASQ2!EC139,'Étape 1 - à remplir'!$N$31:$N$400,EL$3,'Étape 1 - à remplir'!$G$31:$G$400,"kg"))))))=0,NA(),IF(EL$2="Catégorie",IF(EL$3="Toutes",SUMIFS('Étape 1 - à remplir'!$F$31:$F$400,'Étape 1 - à remplir'!$E$31:$E$400,MASQ2!EC139,'Étape 1 - à remplir'!$G$31:$G$400,"kg"),SUMIFS('Étape 1 - à remplir'!$F$31:$F$400,'Étape 1 - à remplir'!$E$31:$E$400,MASQ2!EC139,'Étape 1 - à remplir'!$C$31:$C$400,EL$3)),IF(EL$2="Âge",IF(EL$3="Tous",SUMIFS('Étape 1 - à remplir'!$F$31:$F$400,'Étape 1 - à remplir'!$E$31:$E$400,MASQ2!EC139,'Étape 1 - à remplir'!$G$31:$G$400,"kg"),SUMIFS('Étape 1 - à remplir'!$F$31:$F$400,'Étape 1 - à remplir'!$E$31:$E$400,MASQ2!EC139,'Étape 1 - à remplir'!$P$31:$P$400,EL$3,'Étape 1 - à remplir'!$G$31:$G$400,"kg")),IF(EL$2="Atelier",IF(EL$3="Tous",SUMIFS('Étape 1 - à remplir'!$F$31:$F$400,'Étape 1 - à remplir'!$E$31:$E$400,MASQ2!EC139,'Étape 1 - à remplir'!$G$31:$G$400,"kg"),SUMIFS('Étape 1 - à remplir'!$F$31:$F$400,'Étape 1 - à remplir'!$E$31:$E$400,MASQ2!EC139,'Étape 1 - à remplir'!$O$31:$O$400,EL$3,'Étape 1 - à remplir'!$G$31:$G$400,"kg")),IF(EL$2="Espèce",IF(EL$3="Toutes",SUMIFS('Étape 1 - à remplir'!$F$31:$F$400,'Étape 1 - à remplir'!$E$31:$E$400,MASQ2!EC139,'Étape 1 - à remplir'!$G$31:$G$400,"kg"),SUMIFS('Étape 1 - à remplir'!$F$31:$F$400,'Étape 1 - à remplir'!$E$31:$E$400,MASQ2!EC139,'Étape 1 - à remplir'!$N$31:$N$400,EL$3,'Étape 1 - à remplir'!$G$31:$G$400,"kg")))))))</f>
        <v>#N/A</v>
      </c>
      <c r="EE139" s="76">
        <f t="shared" si="184"/>
        <v>0</v>
      </c>
      <c r="EF139" t="str">
        <f t="shared" si="175"/>
        <v>Cloxacilline</v>
      </c>
      <c r="EG139" t="str">
        <f t="shared" si="176"/>
        <v>Colistine</v>
      </c>
      <c r="EH139" t="str">
        <f t="shared" si="177"/>
        <v/>
      </c>
      <c r="EI139" t="str">
        <f t="shared" si="178"/>
        <v>Penicillines</v>
      </c>
      <c r="EJ139" t="str">
        <f t="shared" si="179"/>
        <v>Polypeptides</v>
      </c>
      <c r="EK139" s="63" t="str">
        <f t="shared" si="180"/>
        <v/>
      </c>
      <c r="EN139" s="42">
        <v>136</v>
      </c>
      <c r="EO139" t="e">
        <f t="shared" si="186"/>
        <v>#N/A</v>
      </c>
      <c r="EP139" s="63" t="e">
        <f t="shared" si="187"/>
        <v>#N/A</v>
      </c>
      <c r="FT139" s="63"/>
    </row>
    <row r="140" spans="2:176" x14ac:dyDescent="0.3">
      <c r="B140" s="42"/>
      <c r="M140" s="194" t="str">
        <f ca="1">INDEX(Données_ATB!BD:BU,MATCH(MASQ2!O140,Données_ATB!BD:BD,0),18)</f>
        <v>x</v>
      </c>
      <c r="N140" s="14" t="str">
        <f>IFERROR(IF(Q140=0,"",COUNTIF(Q$4:Q$600,"&gt;"&amp;Q140)+COUNTIF(Q$4:Q140,Q140)),"")</f>
        <v/>
      </c>
      <c r="O140" t="str">
        <f>Données_ATB!BD139</f>
        <v>COLIDIARYL</v>
      </c>
      <c r="P140" t="e">
        <f>IF(IF(X$2="Catégorie",IF(X$3="Toutes",SUMIFS('Étape 1 - à remplir'!$F$31:$F$400,'Étape 1 - à remplir'!$E$31:$E$400,MASQ2!O140,'Étape 1 - à remplir'!$G$31:$G$400,"animaux"),SUMIFS('Étape 1 - à remplir'!$F$31:$F$400,'Étape 1 - à remplir'!$E$31:$E$400,MASQ2!O140,'Étape 1 - à remplir'!$C$31:$C$400,X$3)),IF(X$2="Âge",IF(X$3="Tous",SUMIFS('Étape 1 - à remplir'!$F$31:$F$400,'Étape 1 - à remplir'!$E$31:$E$400,MASQ2!O140,'Étape 1 - à remplir'!$G$31:$G$400,"animaux"),SUMIFS('Étape 1 - à remplir'!$F$31:$F$400,'Étape 1 - à remplir'!$E$31:$E$400,MASQ2!O140,'Étape 1 - à remplir'!$P$31:$P$400,X$3)),IF(X$2="Atelier",IF(X$3="Tous",SUMIFS('Étape 1 - à remplir'!$F$31:$F$400,'Étape 1 - à remplir'!$E$31:$E$400,MASQ2!O140,'Étape 1 - à remplir'!$G$31:$G$400,"animaux"),SUMIFS('Étape 1 - à remplir'!$F$31:$F$400,'Étape 1 - à remplir'!$E$31:$E$400,MASQ2!O140,'Étape 1 - à remplir'!$O$31:$O$400,X$3)),IF(X$2="Espèce",IF(X$3="Toutes",SUMIFS('Étape 1 - à remplir'!$F$31:$F$400,'Étape 1 - à remplir'!$E$31:$E$400,MASQ2!O140,'Étape 1 - à remplir'!$G$31:$G$400,"animaux"),SUMIFS('Étape 1 - à remplir'!$F$31:$F$400,'Étape 1 - à remplir'!$E$31:$E$400,MASQ2!O140,'Étape 1 - à remplir'!$N$31:$N$400,X$3))))))=0,NA(),IF(X$2="Catégorie",IF(X$3="Toutes",SUMIFS('Étape 1 - à remplir'!$F$31:$F$400,'Étape 1 - à remplir'!$E$31:$E$400,MASQ2!O140,'Étape 1 - à remplir'!$G$31:$G$400,"animaux"),SUMIFS('Étape 1 - à remplir'!$F$31:$F$400,'Étape 1 - à remplir'!$E$31:$E$400,MASQ2!O140,'Étape 1 - à remplir'!$C$31:$C$400,X$3)),IF(X$2="Âge",IF(X$3="Tous",SUMIFS('Étape 1 - à remplir'!$F$31:$F$400,'Étape 1 - à remplir'!$E$31:$E$400,MASQ2!O140,'Étape 1 - à remplir'!$G$31:$G$400,"animaux"),SUMIFS('Étape 1 - à remplir'!$F$31:$F$400,'Étape 1 - à remplir'!$E$31:$E$400,MASQ2!O140,'Étape 1 - à remplir'!$P$31:$P$400,X$3)),IF(X$2="Atelier",IF(X$3="Tous",SUMIFS('Étape 1 - à remplir'!$F$31:$F$400,'Étape 1 - à remplir'!$E$31:$E$400,MASQ2!O140,'Étape 1 - à remplir'!$G$31:$G$400,"animaux"),SUMIFS('Étape 1 - à remplir'!$F$31:$F$400,'Étape 1 - à remplir'!$E$31:$E$400,MASQ2!O140,'Étape 1 - à remplir'!$O$31:$O$400,X$3)),IF(X$2="Espèce",IF(X$3="Toutes",SUMIFS('Étape 1 - à remplir'!$F$31:$F$400,'Étape 1 - à remplir'!$E$31:$E$400,MASQ2!O140,'Étape 1 - à remplir'!$G$31:$G$400,"animaux"),SUMIFS('Étape 1 - à remplir'!$F$31:$F$400,'Étape 1 - à remplir'!$E$31:$E$400,MASQ2!O140,'Étape 1 - à remplir'!$N$31:$N$400,X$3)))))))</f>
        <v>#N/A</v>
      </c>
      <c r="Q140" s="63">
        <f t="shared" si="185"/>
        <v>0</v>
      </c>
      <c r="R140" t="str">
        <f>Données_ATB!BM139</f>
        <v>Erythromycine</v>
      </c>
      <c r="S140" t="str">
        <f>Données_ATB!BN139</f>
        <v>Colistine</v>
      </c>
      <c r="T140" s="63" t="str">
        <f>Données_ATB!BO139</f>
        <v/>
      </c>
      <c r="U140" s="42" t="str">
        <f>Données_ATB!BQ139</f>
        <v>Macrolides</v>
      </c>
      <c r="V140" t="str">
        <f>Données_ATB!BR139</f>
        <v>Polypeptides</v>
      </c>
      <c r="W140" s="63" t="str">
        <f>Données_ATB!BS139</f>
        <v/>
      </c>
      <c r="Z140" s="42">
        <v>137</v>
      </c>
      <c r="AA140" t="e">
        <f t="shared" si="181"/>
        <v>#N/A</v>
      </c>
      <c r="AB140" s="63" t="e">
        <f t="shared" si="182"/>
        <v>#N/A</v>
      </c>
      <c r="BF140" s="63"/>
      <c r="BT140" s="194" t="str">
        <f t="shared" ca="1" si="165"/>
        <v>x</v>
      </c>
      <c r="BU140" s="219" t="str">
        <f>IFERROR(IF(BX140=0,"",COUNTIF(BX$4:BX$600,"&gt;"&amp;BX140)+COUNTIF(BX$4:BX140,BX140)),"")</f>
        <v/>
      </c>
      <c r="BV140" s="42" t="str">
        <f t="shared" si="166"/>
        <v>COLIDIARYL</v>
      </c>
      <c r="BW140" t="e">
        <f>IF(IF(CE$2="Catégorie",IF(CE$3="Toutes",SUMIFS('Étape 1 - à remplir'!$F$31:$F$400,'Étape 1 - à remplir'!$E$31:$E$400,MASQ2!BV140,'Étape 1 - à remplir'!$G$31:$G$400,"lots"),SUMIFS('Étape 1 - à remplir'!$F$31:$F$400,'Étape 1 - à remplir'!$E$31:$E$400,MASQ2!BV140,'Étape 1 - à remplir'!$C$31:$C$400,CE$3)),IF(CE$2="Âge",IF(CE$3="Tous",SUMIFS('Étape 1 - à remplir'!$F$31:$F$400,'Étape 1 - à remplir'!$E$31:$E$400,MASQ2!BV140,'Étape 1 - à remplir'!$G$31:$G$400,"lots"),SUMIFS('Étape 1 - à remplir'!$F$31:$F$400,'Étape 1 - à remplir'!$E$31:$E$400,MASQ2!BV140,'Étape 1 - à remplir'!$P$31:$P$400,CE$3,'Étape 1 - à remplir'!$G$31:$G$400,"lots")),IF(CE$2="Atelier",IF(CE$3="Tous",SUMIFS('Étape 1 - à remplir'!$F$31:$F$400,'Étape 1 - à remplir'!$E$31:$E$400,MASQ2!BV140,'Étape 1 - à remplir'!$G$31:$G$400,"lots"),SUMIFS('Étape 1 - à remplir'!$F$31:$F$400,'Étape 1 - à remplir'!$E$31:$E$400,MASQ2!BV140,'Étape 1 - à remplir'!$O$31:$O$400,CE$3,'Étape 1 - à remplir'!$G$31:$G$400,"lots")),IF(CE$2="Espèce",IF(CE$3="Toutes",SUMIFS('Étape 1 - à remplir'!$F$31:$F$400,'Étape 1 - à remplir'!$E$31:$E$400,MASQ2!BV140,'Étape 1 - à remplir'!$G$31:$G$400,"lots"),SUMIFS('Étape 1 - à remplir'!$F$31:$F$400,'Étape 1 - à remplir'!$E$31:$E$400,MASQ2!BV140,'Étape 1 - à remplir'!$N$31:$N$400,CE$3,'Étape 1 - à remplir'!$G$31:$G$400,"lots"))))))=0,NA(),IF(CE$2="Catégorie",IF(CE$3="Toutes",SUMIFS('Étape 1 - à remplir'!$F$31:$F$400,'Étape 1 - à remplir'!$E$31:$E$400,MASQ2!BV140,'Étape 1 - à remplir'!$G$31:$G$400,"lots"),SUMIFS('Étape 1 - à remplir'!$F$31:$F$400,'Étape 1 - à remplir'!$E$31:$E$400,MASQ2!BV140,'Étape 1 - à remplir'!$C$31:$C$400,CE$3)),IF(CE$2="Âge",IF(CE$3="Tous",SUMIFS('Étape 1 - à remplir'!$F$31:$F$400,'Étape 1 - à remplir'!$E$31:$E$400,MASQ2!BV140,'Étape 1 - à remplir'!$G$31:$G$400,"lots"),SUMIFS('Étape 1 - à remplir'!$F$31:$F$400,'Étape 1 - à remplir'!$E$31:$E$400,MASQ2!BV140,'Étape 1 - à remplir'!$P$31:$P$400,CE$3,'Étape 1 - à remplir'!$G$31:$G$400,"lots")),IF(CE$2="Atelier",IF(CE$3="Tous",SUMIFS('Étape 1 - à remplir'!$F$31:$F$400,'Étape 1 - à remplir'!$E$31:$E$400,MASQ2!BV140,'Étape 1 - à remplir'!$G$31:$G$400,"lots"),SUMIFS('Étape 1 - à remplir'!$F$31:$F$400,'Étape 1 - à remplir'!$E$31:$E$400,MASQ2!BV140,'Étape 1 - à remplir'!$O$31:$O$400,CE$3,'Étape 1 - à remplir'!$G$31:$G$400,"lots")),IF(CE$2="Espèce",IF(CE$3="Toutes",SUMIFS('Étape 1 - à remplir'!$F$31:$F$400,'Étape 1 - à remplir'!$E$31:$E$400,MASQ2!BV140,'Étape 1 - à remplir'!$G$31:$G$400,"lots"),SUMIFS('Étape 1 - à remplir'!$F$31:$F$400,'Étape 1 - à remplir'!$E$31:$E$400,MASQ2!BV140,'Étape 1 - à remplir'!$N$31:$N$400,CE$3,'Étape 1 - à remplir'!$G$31:$G$400,"lots")))))))</f>
        <v>#N/A</v>
      </c>
      <c r="BX140">
        <f t="shared" si="183"/>
        <v>0</v>
      </c>
      <c r="BY140" t="str">
        <f t="shared" si="167"/>
        <v>Erythromycine</v>
      </c>
      <c r="BZ140" t="str">
        <f t="shared" si="168"/>
        <v>Colistine</v>
      </c>
      <c r="CA140" t="str">
        <f t="shared" si="169"/>
        <v/>
      </c>
      <c r="CB140" t="str">
        <f t="shared" si="170"/>
        <v>Macrolides</v>
      </c>
      <c r="CC140" t="str">
        <f t="shared" si="171"/>
        <v>Polypeptides</v>
      </c>
      <c r="CD140" s="63" t="str">
        <f t="shared" si="172"/>
        <v/>
      </c>
      <c r="CG140" s="42">
        <v>137</v>
      </c>
      <c r="CH140" s="42" t="e">
        <f t="shared" si="163"/>
        <v>#N/A</v>
      </c>
      <c r="CI140" s="63" t="e">
        <f t="shared" si="164"/>
        <v>#N/A</v>
      </c>
      <c r="DM140" s="63"/>
      <c r="EA140" s="194" t="str">
        <f t="shared" ca="1" si="173"/>
        <v>x</v>
      </c>
      <c r="EB140" s="226" t="str">
        <f>IFERROR(IF(ED140=0,"",COUNTIF(ED$4:ED$600,"&gt;"&amp;ED140)+COUNTIF(ED$4:ED140,ED140)),"")</f>
        <v/>
      </c>
      <c r="EC140" t="str">
        <f t="shared" si="174"/>
        <v>COLIDIARYL</v>
      </c>
      <c r="ED140" t="e">
        <f>IF(IF(EL$2="Catégorie",IF(EL$3="Toutes",SUMIFS('Étape 1 - à remplir'!$F$31:$F$400,'Étape 1 - à remplir'!$E$31:$E$400,MASQ2!EC140,'Étape 1 - à remplir'!$G$31:$G$400,"kg"),SUMIFS('Étape 1 - à remplir'!$F$31:$F$400,'Étape 1 - à remplir'!$E$31:$E$400,MASQ2!EC140,'Étape 1 - à remplir'!$C$31:$C$400,EL$3)),IF(EL$2="Âge",IF(EL$3="Tous",SUMIFS('Étape 1 - à remplir'!$F$31:$F$400,'Étape 1 - à remplir'!$E$31:$E$400,MASQ2!EC140,'Étape 1 - à remplir'!$G$31:$G$400,"kg"),SUMIFS('Étape 1 - à remplir'!$F$31:$F$400,'Étape 1 - à remplir'!$E$31:$E$400,MASQ2!EC140,'Étape 1 - à remplir'!$P$31:$P$400,EL$3,'Étape 1 - à remplir'!$G$31:$G$400,"kg")),IF(EL$2="Atelier",IF(EL$3="Tous",SUMIFS('Étape 1 - à remplir'!$F$31:$F$400,'Étape 1 - à remplir'!$E$31:$E$400,MASQ2!EC140,'Étape 1 - à remplir'!$G$31:$G$400,"kg"),SUMIFS('Étape 1 - à remplir'!$F$31:$F$400,'Étape 1 - à remplir'!$E$31:$E$400,MASQ2!EC140,'Étape 1 - à remplir'!$O$31:$O$400,EL$3,'Étape 1 - à remplir'!$G$31:$G$400,"kg")),IF(EL$2="Espèce",IF(EL$3="Toutes",SUMIFS('Étape 1 - à remplir'!$F$31:$F$400,'Étape 1 - à remplir'!$E$31:$E$400,MASQ2!EC140,'Étape 1 - à remplir'!$G$31:$G$400,"kg"),SUMIFS('Étape 1 - à remplir'!$F$31:$F$400,'Étape 1 - à remplir'!$E$31:$E$400,MASQ2!EC140,'Étape 1 - à remplir'!$N$31:$N$400,EL$3,'Étape 1 - à remplir'!$G$31:$G$400,"kg"))))))=0,NA(),IF(EL$2="Catégorie",IF(EL$3="Toutes",SUMIFS('Étape 1 - à remplir'!$F$31:$F$400,'Étape 1 - à remplir'!$E$31:$E$400,MASQ2!EC140,'Étape 1 - à remplir'!$G$31:$G$400,"kg"),SUMIFS('Étape 1 - à remplir'!$F$31:$F$400,'Étape 1 - à remplir'!$E$31:$E$400,MASQ2!EC140,'Étape 1 - à remplir'!$C$31:$C$400,EL$3)),IF(EL$2="Âge",IF(EL$3="Tous",SUMIFS('Étape 1 - à remplir'!$F$31:$F$400,'Étape 1 - à remplir'!$E$31:$E$400,MASQ2!EC140,'Étape 1 - à remplir'!$G$31:$G$400,"kg"),SUMIFS('Étape 1 - à remplir'!$F$31:$F$400,'Étape 1 - à remplir'!$E$31:$E$400,MASQ2!EC140,'Étape 1 - à remplir'!$P$31:$P$400,EL$3,'Étape 1 - à remplir'!$G$31:$G$400,"kg")),IF(EL$2="Atelier",IF(EL$3="Tous",SUMIFS('Étape 1 - à remplir'!$F$31:$F$400,'Étape 1 - à remplir'!$E$31:$E$400,MASQ2!EC140,'Étape 1 - à remplir'!$G$31:$G$400,"kg"),SUMIFS('Étape 1 - à remplir'!$F$31:$F$400,'Étape 1 - à remplir'!$E$31:$E$400,MASQ2!EC140,'Étape 1 - à remplir'!$O$31:$O$400,EL$3,'Étape 1 - à remplir'!$G$31:$G$400,"kg")),IF(EL$2="Espèce",IF(EL$3="Toutes",SUMIFS('Étape 1 - à remplir'!$F$31:$F$400,'Étape 1 - à remplir'!$E$31:$E$400,MASQ2!EC140,'Étape 1 - à remplir'!$G$31:$G$400,"kg"),SUMIFS('Étape 1 - à remplir'!$F$31:$F$400,'Étape 1 - à remplir'!$E$31:$E$400,MASQ2!EC140,'Étape 1 - à remplir'!$N$31:$N$400,EL$3,'Étape 1 - à remplir'!$G$31:$G$400,"kg")))))))</f>
        <v>#N/A</v>
      </c>
      <c r="EE140" s="76">
        <f t="shared" si="184"/>
        <v>0</v>
      </c>
      <c r="EF140" t="str">
        <f t="shared" si="175"/>
        <v>Erythromycine</v>
      </c>
      <c r="EG140" t="str">
        <f t="shared" si="176"/>
        <v>Colistine</v>
      </c>
      <c r="EH140" t="str">
        <f t="shared" si="177"/>
        <v/>
      </c>
      <c r="EI140" t="str">
        <f t="shared" si="178"/>
        <v>Macrolides</v>
      </c>
      <c r="EJ140" t="str">
        <f t="shared" si="179"/>
        <v>Polypeptides</v>
      </c>
      <c r="EK140" s="63" t="str">
        <f t="shared" si="180"/>
        <v/>
      </c>
      <c r="EN140" s="42">
        <v>137</v>
      </c>
      <c r="EO140" t="e">
        <f t="shared" si="186"/>
        <v>#N/A</v>
      </c>
      <c r="EP140" s="63" t="e">
        <f t="shared" si="187"/>
        <v>#N/A</v>
      </c>
      <c r="FT140" s="63"/>
    </row>
    <row r="141" spans="2:176" x14ac:dyDescent="0.3">
      <c r="B141" s="42"/>
      <c r="M141" s="194" t="str">
        <f ca="1">INDEX(Données_ATB!BD:BU,MATCH(MASQ2!O141,Données_ATB!BD:BD,0),18)</f>
        <v>x</v>
      </c>
      <c r="N141" s="14" t="str">
        <f>IFERROR(IF(Q141=0,"",COUNTIF(Q$4:Q$600,"&gt;"&amp;Q141)+COUNTIF(Q$4:Q141,Q141)),"")</f>
        <v/>
      </c>
      <c r="O141" t="str">
        <f>Données_ATB!BD140</f>
        <v>COLIPATE</v>
      </c>
      <c r="P141" t="e">
        <f>IF(IF(X$2="Catégorie",IF(X$3="Toutes",SUMIFS('Étape 1 - à remplir'!$F$31:$F$400,'Étape 1 - à remplir'!$E$31:$E$400,MASQ2!O141,'Étape 1 - à remplir'!$G$31:$G$400,"animaux"),SUMIFS('Étape 1 - à remplir'!$F$31:$F$400,'Étape 1 - à remplir'!$E$31:$E$400,MASQ2!O141,'Étape 1 - à remplir'!$C$31:$C$400,X$3)),IF(X$2="Âge",IF(X$3="Tous",SUMIFS('Étape 1 - à remplir'!$F$31:$F$400,'Étape 1 - à remplir'!$E$31:$E$400,MASQ2!O141,'Étape 1 - à remplir'!$G$31:$G$400,"animaux"),SUMIFS('Étape 1 - à remplir'!$F$31:$F$400,'Étape 1 - à remplir'!$E$31:$E$400,MASQ2!O141,'Étape 1 - à remplir'!$P$31:$P$400,X$3)),IF(X$2="Atelier",IF(X$3="Tous",SUMIFS('Étape 1 - à remplir'!$F$31:$F$400,'Étape 1 - à remplir'!$E$31:$E$400,MASQ2!O141,'Étape 1 - à remplir'!$G$31:$G$400,"animaux"),SUMIFS('Étape 1 - à remplir'!$F$31:$F$400,'Étape 1 - à remplir'!$E$31:$E$400,MASQ2!O141,'Étape 1 - à remplir'!$O$31:$O$400,X$3)),IF(X$2="Espèce",IF(X$3="Toutes",SUMIFS('Étape 1 - à remplir'!$F$31:$F$400,'Étape 1 - à remplir'!$E$31:$E$400,MASQ2!O141,'Étape 1 - à remplir'!$G$31:$G$400,"animaux"),SUMIFS('Étape 1 - à remplir'!$F$31:$F$400,'Étape 1 - à remplir'!$E$31:$E$400,MASQ2!O141,'Étape 1 - à remplir'!$N$31:$N$400,X$3))))))=0,NA(),IF(X$2="Catégorie",IF(X$3="Toutes",SUMIFS('Étape 1 - à remplir'!$F$31:$F$400,'Étape 1 - à remplir'!$E$31:$E$400,MASQ2!O141,'Étape 1 - à remplir'!$G$31:$G$400,"animaux"),SUMIFS('Étape 1 - à remplir'!$F$31:$F$400,'Étape 1 - à remplir'!$E$31:$E$400,MASQ2!O141,'Étape 1 - à remplir'!$C$31:$C$400,X$3)),IF(X$2="Âge",IF(X$3="Tous",SUMIFS('Étape 1 - à remplir'!$F$31:$F$400,'Étape 1 - à remplir'!$E$31:$E$400,MASQ2!O141,'Étape 1 - à remplir'!$G$31:$G$400,"animaux"),SUMIFS('Étape 1 - à remplir'!$F$31:$F$400,'Étape 1 - à remplir'!$E$31:$E$400,MASQ2!O141,'Étape 1 - à remplir'!$P$31:$P$400,X$3)),IF(X$2="Atelier",IF(X$3="Tous",SUMIFS('Étape 1 - à remplir'!$F$31:$F$400,'Étape 1 - à remplir'!$E$31:$E$400,MASQ2!O141,'Étape 1 - à remplir'!$G$31:$G$400,"animaux"),SUMIFS('Étape 1 - à remplir'!$F$31:$F$400,'Étape 1 - à remplir'!$E$31:$E$400,MASQ2!O141,'Étape 1 - à remplir'!$O$31:$O$400,X$3)),IF(X$2="Espèce",IF(X$3="Toutes",SUMIFS('Étape 1 - à remplir'!$F$31:$F$400,'Étape 1 - à remplir'!$E$31:$E$400,MASQ2!O141,'Étape 1 - à remplir'!$G$31:$G$400,"animaux"),SUMIFS('Étape 1 - à remplir'!$F$31:$F$400,'Étape 1 - à remplir'!$E$31:$E$400,MASQ2!O141,'Étape 1 - à remplir'!$N$31:$N$400,X$3)))))))</f>
        <v>#N/A</v>
      </c>
      <c r="Q141" s="63">
        <f t="shared" si="185"/>
        <v>0</v>
      </c>
      <c r="R141" t="str">
        <f>Données_ATB!BM140</f>
        <v>Colistine</v>
      </c>
      <c r="S141" t="str">
        <f>Données_ATB!BN140</f>
        <v/>
      </c>
      <c r="T141" s="63" t="str">
        <f>Données_ATB!BO140</f>
        <v/>
      </c>
      <c r="U141" s="42" t="str">
        <f>Données_ATB!BQ140</f>
        <v>Polypeptides</v>
      </c>
      <c r="V141" t="str">
        <f>Données_ATB!BR140</f>
        <v/>
      </c>
      <c r="W141" s="63" t="str">
        <f>Données_ATB!BS140</f>
        <v/>
      </c>
      <c r="Z141" s="42">
        <v>138</v>
      </c>
      <c r="AA141" t="e">
        <f t="shared" si="181"/>
        <v>#N/A</v>
      </c>
      <c r="AB141" s="63" t="e">
        <f t="shared" si="182"/>
        <v>#N/A</v>
      </c>
      <c r="BF141" s="63"/>
      <c r="BT141" s="194" t="str">
        <f t="shared" ca="1" si="165"/>
        <v>x</v>
      </c>
      <c r="BU141" s="219" t="str">
        <f>IFERROR(IF(BX141=0,"",COUNTIF(BX$4:BX$600,"&gt;"&amp;BX141)+COUNTIF(BX$4:BX141,BX141)),"")</f>
        <v/>
      </c>
      <c r="BV141" s="42" t="str">
        <f t="shared" si="166"/>
        <v>COLIPATE</v>
      </c>
      <c r="BW141" t="e">
        <f>IF(IF(CE$2="Catégorie",IF(CE$3="Toutes",SUMIFS('Étape 1 - à remplir'!$F$31:$F$400,'Étape 1 - à remplir'!$E$31:$E$400,MASQ2!BV141,'Étape 1 - à remplir'!$G$31:$G$400,"lots"),SUMIFS('Étape 1 - à remplir'!$F$31:$F$400,'Étape 1 - à remplir'!$E$31:$E$400,MASQ2!BV141,'Étape 1 - à remplir'!$C$31:$C$400,CE$3)),IF(CE$2="Âge",IF(CE$3="Tous",SUMIFS('Étape 1 - à remplir'!$F$31:$F$400,'Étape 1 - à remplir'!$E$31:$E$400,MASQ2!BV141,'Étape 1 - à remplir'!$G$31:$G$400,"lots"),SUMIFS('Étape 1 - à remplir'!$F$31:$F$400,'Étape 1 - à remplir'!$E$31:$E$400,MASQ2!BV141,'Étape 1 - à remplir'!$P$31:$P$400,CE$3,'Étape 1 - à remplir'!$G$31:$G$400,"lots")),IF(CE$2="Atelier",IF(CE$3="Tous",SUMIFS('Étape 1 - à remplir'!$F$31:$F$400,'Étape 1 - à remplir'!$E$31:$E$400,MASQ2!BV141,'Étape 1 - à remplir'!$G$31:$G$400,"lots"),SUMIFS('Étape 1 - à remplir'!$F$31:$F$400,'Étape 1 - à remplir'!$E$31:$E$400,MASQ2!BV141,'Étape 1 - à remplir'!$O$31:$O$400,CE$3,'Étape 1 - à remplir'!$G$31:$G$400,"lots")),IF(CE$2="Espèce",IF(CE$3="Toutes",SUMIFS('Étape 1 - à remplir'!$F$31:$F$400,'Étape 1 - à remplir'!$E$31:$E$400,MASQ2!BV141,'Étape 1 - à remplir'!$G$31:$G$400,"lots"),SUMIFS('Étape 1 - à remplir'!$F$31:$F$400,'Étape 1 - à remplir'!$E$31:$E$400,MASQ2!BV141,'Étape 1 - à remplir'!$N$31:$N$400,CE$3,'Étape 1 - à remplir'!$G$31:$G$400,"lots"))))))=0,NA(),IF(CE$2="Catégorie",IF(CE$3="Toutes",SUMIFS('Étape 1 - à remplir'!$F$31:$F$400,'Étape 1 - à remplir'!$E$31:$E$400,MASQ2!BV141,'Étape 1 - à remplir'!$G$31:$G$400,"lots"),SUMIFS('Étape 1 - à remplir'!$F$31:$F$400,'Étape 1 - à remplir'!$E$31:$E$400,MASQ2!BV141,'Étape 1 - à remplir'!$C$31:$C$400,CE$3)),IF(CE$2="Âge",IF(CE$3="Tous",SUMIFS('Étape 1 - à remplir'!$F$31:$F$400,'Étape 1 - à remplir'!$E$31:$E$400,MASQ2!BV141,'Étape 1 - à remplir'!$G$31:$G$400,"lots"),SUMIFS('Étape 1 - à remplir'!$F$31:$F$400,'Étape 1 - à remplir'!$E$31:$E$400,MASQ2!BV141,'Étape 1 - à remplir'!$P$31:$P$400,CE$3,'Étape 1 - à remplir'!$G$31:$G$400,"lots")),IF(CE$2="Atelier",IF(CE$3="Tous",SUMIFS('Étape 1 - à remplir'!$F$31:$F$400,'Étape 1 - à remplir'!$E$31:$E$400,MASQ2!BV141,'Étape 1 - à remplir'!$G$31:$G$400,"lots"),SUMIFS('Étape 1 - à remplir'!$F$31:$F$400,'Étape 1 - à remplir'!$E$31:$E$400,MASQ2!BV141,'Étape 1 - à remplir'!$O$31:$O$400,CE$3,'Étape 1 - à remplir'!$G$31:$G$400,"lots")),IF(CE$2="Espèce",IF(CE$3="Toutes",SUMIFS('Étape 1 - à remplir'!$F$31:$F$400,'Étape 1 - à remplir'!$E$31:$E$400,MASQ2!BV141,'Étape 1 - à remplir'!$G$31:$G$400,"lots"),SUMIFS('Étape 1 - à remplir'!$F$31:$F$400,'Étape 1 - à remplir'!$E$31:$E$400,MASQ2!BV141,'Étape 1 - à remplir'!$N$31:$N$400,CE$3,'Étape 1 - à remplir'!$G$31:$G$400,"lots")))))))</f>
        <v>#N/A</v>
      </c>
      <c r="BX141">
        <f t="shared" si="183"/>
        <v>0</v>
      </c>
      <c r="BY141" t="str">
        <f t="shared" si="167"/>
        <v>Colistine</v>
      </c>
      <c r="BZ141" t="str">
        <f t="shared" si="168"/>
        <v/>
      </c>
      <c r="CA141" t="str">
        <f t="shared" si="169"/>
        <v/>
      </c>
      <c r="CB141" t="str">
        <f t="shared" si="170"/>
        <v>Polypeptides</v>
      </c>
      <c r="CC141" t="str">
        <f t="shared" si="171"/>
        <v/>
      </c>
      <c r="CD141" s="63" t="str">
        <f t="shared" si="172"/>
        <v/>
      </c>
      <c r="CG141" s="42">
        <v>138</v>
      </c>
      <c r="CH141" s="42" t="e">
        <f t="shared" si="163"/>
        <v>#N/A</v>
      </c>
      <c r="CI141" s="63" t="e">
        <f t="shared" si="164"/>
        <v>#N/A</v>
      </c>
      <c r="DM141" s="63"/>
      <c r="EA141" s="194" t="str">
        <f t="shared" ca="1" si="173"/>
        <v>x</v>
      </c>
      <c r="EB141" s="226" t="str">
        <f>IFERROR(IF(ED141=0,"",COUNTIF(ED$4:ED$600,"&gt;"&amp;ED141)+COUNTIF(ED$4:ED141,ED141)),"")</f>
        <v/>
      </c>
      <c r="EC141" t="str">
        <f t="shared" si="174"/>
        <v>COLIPATE</v>
      </c>
      <c r="ED141" t="e">
        <f>IF(IF(EL$2="Catégorie",IF(EL$3="Toutes",SUMIFS('Étape 1 - à remplir'!$F$31:$F$400,'Étape 1 - à remplir'!$E$31:$E$400,MASQ2!EC141,'Étape 1 - à remplir'!$G$31:$G$400,"kg"),SUMIFS('Étape 1 - à remplir'!$F$31:$F$400,'Étape 1 - à remplir'!$E$31:$E$400,MASQ2!EC141,'Étape 1 - à remplir'!$C$31:$C$400,EL$3)),IF(EL$2="Âge",IF(EL$3="Tous",SUMIFS('Étape 1 - à remplir'!$F$31:$F$400,'Étape 1 - à remplir'!$E$31:$E$400,MASQ2!EC141,'Étape 1 - à remplir'!$G$31:$G$400,"kg"),SUMIFS('Étape 1 - à remplir'!$F$31:$F$400,'Étape 1 - à remplir'!$E$31:$E$400,MASQ2!EC141,'Étape 1 - à remplir'!$P$31:$P$400,EL$3,'Étape 1 - à remplir'!$G$31:$G$400,"kg")),IF(EL$2="Atelier",IF(EL$3="Tous",SUMIFS('Étape 1 - à remplir'!$F$31:$F$400,'Étape 1 - à remplir'!$E$31:$E$400,MASQ2!EC141,'Étape 1 - à remplir'!$G$31:$G$400,"kg"),SUMIFS('Étape 1 - à remplir'!$F$31:$F$400,'Étape 1 - à remplir'!$E$31:$E$400,MASQ2!EC141,'Étape 1 - à remplir'!$O$31:$O$400,EL$3,'Étape 1 - à remplir'!$G$31:$G$400,"kg")),IF(EL$2="Espèce",IF(EL$3="Toutes",SUMIFS('Étape 1 - à remplir'!$F$31:$F$400,'Étape 1 - à remplir'!$E$31:$E$400,MASQ2!EC141,'Étape 1 - à remplir'!$G$31:$G$400,"kg"),SUMIFS('Étape 1 - à remplir'!$F$31:$F$400,'Étape 1 - à remplir'!$E$31:$E$400,MASQ2!EC141,'Étape 1 - à remplir'!$N$31:$N$400,EL$3,'Étape 1 - à remplir'!$G$31:$G$400,"kg"))))))=0,NA(),IF(EL$2="Catégorie",IF(EL$3="Toutes",SUMIFS('Étape 1 - à remplir'!$F$31:$F$400,'Étape 1 - à remplir'!$E$31:$E$400,MASQ2!EC141,'Étape 1 - à remplir'!$G$31:$G$400,"kg"),SUMIFS('Étape 1 - à remplir'!$F$31:$F$400,'Étape 1 - à remplir'!$E$31:$E$400,MASQ2!EC141,'Étape 1 - à remplir'!$C$31:$C$400,EL$3)),IF(EL$2="Âge",IF(EL$3="Tous",SUMIFS('Étape 1 - à remplir'!$F$31:$F$400,'Étape 1 - à remplir'!$E$31:$E$400,MASQ2!EC141,'Étape 1 - à remplir'!$G$31:$G$400,"kg"),SUMIFS('Étape 1 - à remplir'!$F$31:$F$400,'Étape 1 - à remplir'!$E$31:$E$400,MASQ2!EC141,'Étape 1 - à remplir'!$P$31:$P$400,EL$3,'Étape 1 - à remplir'!$G$31:$G$400,"kg")),IF(EL$2="Atelier",IF(EL$3="Tous",SUMIFS('Étape 1 - à remplir'!$F$31:$F$400,'Étape 1 - à remplir'!$E$31:$E$400,MASQ2!EC141,'Étape 1 - à remplir'!$G$31:$G$400,"kg"),SUMIFS('Étape 1 - à remplir'!$F$31:$F$400,'Étape 1 - à remplir'!$E$31:$E$400,MASQ2!EC141,'Étape 1 - à remplir'!$O$31:$O$400,EL$3,'Étape 1 - à remplir'!$G$31:$G$400,"kg")),IF(EL$2="Espèce",IF(EL$3="Toutes",SUMIFS('Étape 1 - à remplir'!$F$31:$F$400,'Étape 1 - à remplir'!$E$31:$E$400,MASQ2!EC141,'Étape 1 - à remplir'!$G$31:$G$400,"kg"),SUMIFS('Étape 1 - à remplir'!$F$31:$F$400,'Étape 1 - à remplir'!$E$31:$E$400,MASQ2!EC141,'Étape 1 - à remplir'!$N$31:$N$400,EL$3,'Étape 1 - à remplir'!$G$31:$G$400,"kg")))))))</f>
        <v>#N/A</v>
      </c>
      <c r="EE141" s="76">
        <f t="shared" si="184"/>
        <v>0</v>
      </c>
      <c r="EF141" t="str">
        <f t="shared" si="175"/>
        <v>Colistine</v>
      </c>
      <c r="EG141" t="str">
        <f t="shared" si="176"/>
        <v/>
      </c>
      <c r="EH141" t="str">
        <f t="shared" si="177"/>
        <v/>
      </c>
      <c r="EI141" t="str">
        <f t="shared" si="178"/>
        <v>Polypeptides</v>
      </c>
      <c r="EJ141" t="str">
        <f t="shared" si="179"/>
        <v/>
      </c>
      <c r="EK141" s="63" t="str">
        <f t="shared" si="180"/>
        <v/>
      </c>
      <c r="EN141" s="42">
        <v>138</v>
      </c>
      <c r="EO141" t="e">
        <f t="shared" si="186"/>
        <v>#N/A</v>
      </c>
      <c r="EP141" s="63" t="e">
        <f t="shared" si="187"/>
        <v>#N/A</v>
      </c>
      <c r="FT141" s="63"/>
    </row>
    <row r="142" spans="2:176" x14ac:dyDescent="0.3">
      <c r="B142" s="42"/>
      <c r="M142" s="194" t="str">
        <f ca="1">INDEX(Données_ATB!BD:BU,MATCH(MASQ2!O142,Données_ATB!BD:BD,0),18)</f>
        <v>x</v>
      </c>
      <c r="N142" s="14" t="str">
        <f>IFERROR(IF(Q142=0,"",COUNTIF(Q$4:Q$600,"&gt;"&amp;Q142)+COUNTIF(Q$4:Q142,Q142)),"")</f>
        <v/>
      </c>
      <c r="O142" t="str">
        <f>Données_ATB!BD141</f>
        <v>COLIPRO 2 MUI/ML CONCENTRE POUR SOLUTION BUVABLE POUR PORCINS ET VOLAILLES</v>
      </c>
      <c r="P142" t="e">
        <f>IF(IF(X$2="Catégorie",IF(X$3="Toutes",SUMIFS('Étape 1 - à remplir'!$F$31:$F$400,'Étape 1 - à remplir'!$E$31:$E$400,MASQ2!O142,'Étape 1 - à remplir'!$G$31:$G$400,"animaux"),SUMIFS('Étape 1 - à remplir'!$F$31:$F$400,'Étape 1 - à remplir'!$E$31:$E$400,MASQ2!O142,'Étape 1 - à remplir'!$C$31:$C$400,X$3)),IF(X$2="Âge",IF(X$3="Tous",SUMIFS('Étape 1 - à remplir'!$F$31:$F$400,'Étape 1 - à remplir'!$E$31:$E$400,MASQ2!O142,'Étape 1 - à remplir'!$G$31:$G$400,"animaux"),SUMIFS('Étape 1 - à remplir'!$F$31:$F$400,'Étape 1 - à remplir'!$E$31:$E$400,MASQ2!O142,'Étape 1 - à remplir'!$P$31:$P$400,X$3)),IF(X$2="Atelier",IF(X$3="Tous",SUMIFS('Étape 1 - à remplir'!$F$31:$F$400,'Étape 1 - à remplir'!$E$31:$E$400,MASQ2!O142,'Étape 1 - à remplir'!$G$31:$G$400,"animaux"),SUMIFS('Étape 1 - à remplir'!$F$31:$F$400,'Étape 1 - à remplir'!$E$31:$E$400,MASQ2!O142,'Étape 1 - à remplir'!$O$31:$O$400,X$3)),IF(X$2="Espèce",IF(X$3="Toutes",SUMIFS('Étape 1 - à remplir'!$F$31:$F$400,'Étape 1 - à remplir'!$E$31:$E$400,MASQ2!O142,'Étape 1 - à remplir'!$G$31:$G$400,"animaux"),SUMIFS('Étape 1 - à remplir'!$F$31:$F$400,'Étape 1 - à remplir'!$E$31:$E$400,MASQ2!O142,'Étape 1 - à remplir'!$N$31:$N$400,X$3))))))=0,NA(),IF(X$2="Catégorie",IF(X$3="Toutes",SUMIFS('Étape 1 - à remplir'!$F$31:$F$400,'Étape 1 - à remplir'!$E$31:$E$400,MASQ2!O142,'Étape 1 - à remplir'!$G$31:$G$400,"animaux"),SUMIFS('Étape 1 - à remplir'!$F$31:$F$400,'Étape 1 - à remplir'!$E$31:$E$400,MASQ2!O142,'Étape 1 - à remplir'!$C$31:$C$400,X$3)),IF(X$2="Âge",IF(X$3="Tous",SUMIFS('Étape 1 - à remplir'!$F$31:$F$400,'Étape 1 - à remplir'!$E$31:$E$400,MASQ2!O142,'Étape 1 - à remplir'!$G$31:$G$400,"animaux"),SUMIFS('Étape 1 - à remplir'!$F$31:$F$400,'Étape 1 - à remplir'!$E$31:$E$400,MASQ2!O142,'Étape 1 - à remplir'!$P$31:$P$400,X$3)),IF(X$2="Atelier",IF(X$3="Tous",SUMIFS('Étape 1 - à remplir'!$F$31:$F$400,'Étape 1 - à remplir'!$E$31:$E$400,MASQ2!O142,'Étape 1 - à remplir'!$G$31:$G$400,"animaux"),SUMIFS('Étape 1 - à remplir'!$F$31:$F$400,'Étape 1 - à remplir'!$E$31:$E$400,MASQ2!O142,'Étape 1 - à remplir'!$O$31:$O$400,X$3)),IF(X$2="Espèce",IF(X$3="Toutes",SUMIFS('Étape 1 - à remplir'!$F$31:$F$400,'Étape 1 - à remplir'!$E$31:$E$400,MASQ2!O142,'Étape 1 - à remplir'!$G$31:$G$400,"animaux"),SUMIFS('Étape 1 - à remplir'!$F$31:$F$400,'Étape 1 - à remplir'!$E$31:$E$400,MASQ2!O142,'Étape 1 - à remplir'!$N$31:$N$400,X$3)))))))</f>
        <v>#N/A</v>
      </c>
      <c r="Q142" s="63">
        <f t="shared" si="185"/>
        <v>0</v>
      </c>
      <c r="R142" t="str">
        <f>Données_ATB!BM141</f>
        <v>Colistine</v>
      </c>
      <c r="S142" t="str">
        <f>Données_ATB!BN141</f>
        <v/>
      </c>
      <c r="T142" s="63" t="str">
        <f>Données_ATB!BO141</f>
        <v/>
      </c>
      <c r="U142" s="42" t="str">
        <f>Données_ATB!BQ141</f>
        <v>Polypeptides</v>
      </c>
      <c r="V142" t="str">
        <f>Données_ATB!BR141</f>
        <v/>
      </c>
      <c r="W142" s="63" t="str">
        <f>Données_ATB!BS141</f>
        <v/>
      </c>
      <c r="Z142" s="42">
        <v>139</v>
      </c>
      <c r="AA142" t="e">
        <f t="shared" si="181"/>
        <v>#N/A</v>
      </c>
      <c r="AB142" s="63" t="e">
        <f t="shared" si="182"/>
        <v>#N/A</v>
      </c>
      <c r="BF142" s="63"/>
      <c r="BT142" s="194" t="str">
        <f t="shared" ca="1" si="165"/>
        <v>x</v>
      </c>
      <c r="BU142" s="219" t="str">
        <f>IFERROR(IF(BX142=0,"",COUNTIF(BX$4:BX$600,"&gt;"&amp;BX142)+COUNTIF(BX$4:BX142,BX142)),"")</f>
        <v/>
      </c>
      <c r="BV142" s="42" t="str">
        <f t="shared" si="166"/>
        <v>COLIPRO 2 MUI/ML CONCENTRE POUR SOLUTION BUVABLE POUR PORCINS ET VOLAILLES</v>
      </c>
      <c r="BW142" t="e">
        <f>IF(IF(CE$2="Catégorie",IF(CE$3="Toutes",SUMIFS('Étape 1 - à remplir'!$F$31:$F$400,'Étape 1 - à remplir'!$E$31:$E$400,MASQ2!BV142,'Étape 1 - à remplir'!$G$31:$G$400,"lots"),SUMIFS('Étape 1 - à remplir'!$F$31:$F$400,'Étape 1 - à remplir'!$E$31:$E$400,MASQ2!BV142,'Étape 1 - à remplir'!$C$31:$C$400,CE$3)),IF(CE$2="Âge",IF(CE$3="Tous",SUMIFS('Étape 1 - à remplir'!$F$31:$F$400,'Étape 1 - à remplir'!$E$31:$E$400,MASQ2!BV142,'Étape 1 - à remplir'!$G$31:$G$400,"lots"),SUMIFS('Étape 1 - à remplir'!$F$31:$F$400,'Étape 1 - à remplir'!$E$31:$E$400,MASQ2!BV142,'Étape 1 - à remplir'!$P$31:$P$400,CE$3,'Étape 1 - à remplir'!$G$31:$G$400,"lots")),IF(CE$2="Atelier",IF(CE$3="Tous",SUMIFS('Étape 1 - à remplir'!$F$31:$F$400,'Étape 1 - à remplir'!$E$31:$E$400,MASQ2!BV142,'Étape 1 - à remplir'!$G$31:$G$400,"lots"),SUMIFS('Étape 1 - à remplir'!$F$31:$F$400,'Étape 1 - à remplir'!$E$31:$E$400,MASQ2!BV142,'Étape 1 - à remplir'!$O$31:$O$400,CE$3,'Étape 1 - à remplir'!$G$31:$G$400,"lots")),IF(CE$2="Espèce",IF(CE$3="Toutes",SUMIFS('Étape 1 - à remplir'!$F$31:$F$400,'Étape 1 - à remplir'!$E$31:$E$400,MASQ2!BV142,'Étape 1 - à remplir'!$G$31:$G$400,"lots"),SUMIFS('Étape 1 - à remplir'!$F$31:$F$400,'Étape 1 - à remplir'!$E$31:$E$400,MASQ2!BV142,'Étape 1 - à remplir'!$N$31:$N$400,CE$3,'Étape 1 - à remplir'!$G$31:$G$400,"lots"))))))=0,NA(),IF(CE$2="Catégorie",IF(CE$3="Toutes",SUMIFS('Étape 1 - à remplir'!$F$31:$F$400,'Étape 1 - à remplir'!$E$31:$E$400,MASQ2!BV142,'Étape 1 - à remplir'!$G$31:$G$400,"lots"),SUMIFS('Étape 1 - à remplir'!$F$31:$F$400,'Étape 1 - à remplir'!$E$31:$E$400,MASQ2!BV142,'Étape 1 - à remplir'!$C$31:$C$400,CE$3)),IF(CE$2="Âge",IF(CE$3="Tous",SUMIFS('Étape 1 - à remplir'!$F$31:$F$400,'Étape 1 - à remplir'!$E$31:$E$400,MASQ2!BV142,'Étape 1 - à remplir'!$G$31:$G$400,"lots"),SUMIFS('Étape 1 - à remplir'!$F$31:$F$400,'Étape 1 - à remplir'!$E$31:$E$400,MASQ2!BV142,'Étape 1 - à remplir'!$P$31:$P$400,CE$3,'Étape 1 - à remplir'!$G$31:$G$400,"lots")),IF(CE$2="Atelier",IF(CE$3="Tous",SUMIFS('Étape 1 - à remplir'!$F$31:$F$400,'Étape 1 - à remplir'!$E$31:$E$400,MASQ2!BV142,'Étape 1 - à remplir'!$G$31:$G$400,"lots"),SUMIFS('Étape 1 - à remplir'!$F$31:$F$400,'Étape 1 - à remplir'!$E$31:$E$400,MASQ2!BV142,'Étape 1 - à remplir'!$O$31:$O$400,CE$3,'Étape 1 - à remplir'!$G$31:$G$400,"lots")),IF(CE$2="Espèce",IF(CE$3="Toutes",SUMIFS('Étape 1 - à remplir'!$F$31:$F$400,'Étape 1 - à remplir'!$E$31:$E$400,MASQ2!BV142,'Étape 1 - à remplir'!$G$31:$G$400,"lots"),SUMIFS('Étape 1 - à remplir'!$F$31:$F$400,'Étape 1 - à remplir'!$E$31:$E$400,MASQ2!BV142,'Étape 1 - à remplir'!$N$31:$N$400,CE$3,'Étape 1 - à remplir'!$G$31:$G$400,"lots")))))))</f>
        <v>#N/A</v>
      </c>
      <c r="BX142">
        <f t="shared" si="183"/>
        <v>0</v>
      </c>
      <c r="BY142" t="str">
        <f t="shared" si="167"/>
        <v>Colistine</v>
      </c>
      <c r="BZ142" t="str">
        <f t="shared" si="168"/>
        <v/>
      </c>
      <c r="CA142" t="str">
        <f t="shared" si="169"/>
        <v/>
      </c>
      <c r="CB142" t="str">
        <f t="shared" si="170"/>
        <v>Polypeptides</v>
      </c>
      <c r="CC142" t="str">
        <f t="shared" si="171"/>
        <v/>
      </c>
      <c r="CD142" s="63" t="str">
        <f t="shared" si="172"/>
        <v/>
      </c>
      <c r="CG142" s="42">
        <v>139</v>
      </c>
      <c r="CH142" s="42" t="e">
        <f t="shared" si="163"/>
        <v>#N/A</v>
      </c>
      <c r="CI142" s="63" t="e">
        <f t="shared" si="164"/>
        <v>#N/A</v>
      </c>
      <c r="DM142" s="63"/>
      <c r="EA142" s="194" t="str">
        <f t="shared" ca="1" si="173"/>
        <v>x</v>
      </c>
      <c r="EB142" s="226" t="str">
        <f>IFERROR(IF(ED142=0,"",COUNTIF(ED$4:ED$600,"&gt;"&amp;ED142)+COUNTIF(ED$4:ED142,ED142)),"")</f>
        <v/>
      </c>
      <c r="EC142" t="str">
        <f t="shared" si="174"/>
        <v>COLIPRO 2 MUI/ML CONCENTRE POUR SOLUTION BUVABLE POUR PORCINS ET VOLAILLES</v>
      </c>
      <c r="ED142" t="e">
        <f>IF(IF(EL$2="Catégorie",IF(EL$3="Toutes",SUMIFS('Étape 1 - à remplir'!$F$31:$F$400,'Étape 1 - à remplir'!$E$31:$E$400,MASQ2!EC142,'Étape 1 - à remplir'!$G$31:$G$400,"kg"),SUMIFS('Étape 1 - à remplir'!$F$31:$F$400,'Étape 1 - à remplir'!$E$31:$E$400,MASQ2!EC142,'Étape 1 - à remplir'!$C$31:$C$400,EL$3)),IF(EL$2="Âge",IF(EL$3="Tous",SUMIFS('Étape 1 - à remplir'!$F$31:$F$400,'Étape 1 - à remplir'!$E$31:$E$400,MASQ2!EC142,'Étape 1 - à remplir'!$G$31:$G$400,"kg"),SUMIFS('Étape 1 - à remplir'!$F$31:$F$400,'Étape 1 - à remplir'!$E$31:$E$400,MASQ2!EC142,'Étape 1 - à remplir'!$P$31:$P$400,EL$3,'Étape 1 - à remplir'!$G$31:$G$400,"kg")),IF(EL$2="Atelier",IF(EL$3="Tous",SUMIFS('Étape 1 - à remplir'!$F$31:$F$400,'Étape 1 - à remplir'!$E$31:$E$400,MASQ2!EC142,'Étape 1 - à remplir'!$G$31:$G$400,"kg"),SUMIFS('Étape 1 - à remplir'!$F$31:$F$400,'Étape 1 - à remplir'!$E$31:$E$400,MASQ2!EC142,'Étape 1 - à remplir'!$O$31:$O$400,EL$3,'Étape 1 - à remplir'!$G$31:$G$400,"kg")),IF(EL$2="Espèce",IF(EL$3="Toutes",SUMIFS('Étape 1 - à remplir'!$F$31:$F$400,'Étape 1 - à remplir'!$E$31:$E$400,MASQ2!EC142,'Étape 1 - à remplir'!$G$31:$G$400,"kg"),SUMIFS('Étape 1 - à remplir'!$F$31:$F$400,'Étape 1 - à remplir'!$E$31:$E$400,MASQ2!EC142,'Étape 1 - à remplir'!$N$31:$N$400,EL$3,'Étape 1 - à remplir'!$G$31:$G$400,"kg"))))))=0,NA(),IF(EL$2="Catégorie",IF(EL$3="Toutes",SUMIFS('Étape 1 - à remplir'!$F$31:$F$400,'Étape 1 - à remplir'!$E$31:$E$400,MASQ2!EC142,'Étape 1 - à remplir'!$G$31:$G$400,"kg"),SUMIFS('Étape 1 - à remplir'!$F$31:$F$400,'Étape 1 - à remplir'!$E$31:$E$400,MASQ2!EC142,'Étape 1 - à remplir'!$C$31:$C$400,EL$3)),IF(EL$2="Âge",IF(EL$3="Tous",SUMIFS('Étape 1 - à remplir'!$F$31:$F$400,'Étape 1 - à remplir'!$E$31:$E$400,MASQ2!EC142,'Étape 1 - à remplir'!$G$31:$G$400,"kg"),SUMIFS('Étape 1 - à remplir'!$F$31:$F$400,'Étape 1 - à remplir'!$E$31:$E$400,MASQ2!EC142,'Étape 1 - à remplir'!$P$31:$P$400,EL$3,'Étape 1 - à remplir'!$G$31:$G$400,"kg")),IF(EL$2="Atelier",IF(EL$3="Tous",SUMIFS('Étape 1 - à remplir'!$F$31:$F$400,'Étape 1 - à remplir'!$E$31:$E$400,MASQ2!EC142,'Étape 1 - à remplir'!$G$31:$G$400,"kg"),SUMIFS('Étape 1 - à remplir'!$F$31:$F$400,'Étape 1 - à remplir'!$E$31:$E$400,MASQ2!EC142,'Étape 1 - à remplir'!$O$31:$O$400,EL$3,'Étape 1 - à remplir'!$G$31:$G$400,"kg")),IF(EL$2="Espèce",IF(EL$3="Toutes",SUMIFS('Étape 1 - à remplir'!$F$31:$F$400,'Étape 1 - à remplir'!$E$31:$E$400,MASQ2!EC142,'Étape 1 - à remplir'!$G$31:$G$400,"kg"),SUMIFS('Étape 1 - à remplir'!$F$31:$F$400,'Étape 1 - à remplir'!$E$31:$E$400,MASQ2!EC142,'Étape 1 - à remplir'!$N$31:$N$400,EL$3,'Étape 1 - à remplir'!$G$31:$G$400,"kg")))))))</f>
        <v>#N/A</v>
      </c>
      <c r="EE142" s="76">
        <f t="shared" si="184"/>
        <v>0</v>
      </c>
      <c r="EF142" t="str">
        <f t="shared" si="175"/>
        <v>Colistine</v>
      </c>
      <c r="EG142" t="str">
        <f t="shared" si="176"/>
        <v/>
      </c>
      <c r="EH142" t="str">
        <f t="shared" si="177"/>
        <v/>
      </c>
      <c r="EI142" t="str">
        <f t="shared" si="178"/>
        <v>Polypeptides</v>
      </c>
      <c r="EJ142" t="str">
        <f t="shared" si="179"/>
        <v/>
      </c>
      <c r="EK142" s="63" t="str">
        <f t="shared" si="180"/>
        <v/>
      </c>
      <c r="EN142" s="42">
        <v>139</v>
      </c>
      <c r="EO142" t="e">
        <f t="shared" si="186"/>
        <v>#N/A</v>
      </c>
      <c r="EP142" s="63" t="e">
        <f t="shared" si="187"/>
        <v>#N/A</v>
      </c>
      <c r="FT142" s="63"/>
    </row>
    <row r="143" spans="2:176" x14ac:dyDescent="0.3">
      <c r="B143" s="42"/>
      <c r="M143" s="194" t="str">
        <f ca="1">INDEX(Données_ATB!BD:BU,MATCH(MASQ2!O143,Données_ATB!BD:BD,0),18)</f>
        <v>x</v>
      </c>
      <c r="N143" s="14" t="str">
        <f>IFERROR(IF(Q143=0,"",COUNTIF(Q$4:Q$600,"&gt;"&amp;Q143)+COUNTIF(Q$4:Q143,Q143)),"")</f>
        <v/>
      </c>
      <c r="O143" t="str">
        <f>Données_ATB!BD142</f>
        <v>COLISTINE 200-CB LAPIN-VOLAILLE-PORC ET AGNEAU-CHEVREAU SEVRES FRANVET</v>
      </c>
      <c r="P143" t="e">
        <f>IF(IF(X$2="Catégorie",IF(X$3="Toutes",SUMIFS('Étape 1 - à remplir'!$F$31:$F$400,'Étape 1 - à remplir'!$E$31:$E$400,MASQ2!O143,'Étape 1 - à remplir'!$G$31:$G$400,"animaux"),SUMIFS('Étape 1 - à remplir'!$F$31:$F$400,'Étape 1 - à remplir'!$E$31:$E$400,MASQ2!O143,'Étape 1 - à remplir'!$C$31:$C$400,X$3)),IF(X$2="Âge",IF(X$3="Tous",SUMIFS('Étape 1 - à remplir'!$F$31:$F$400,'Étape 1 - à remplir'!$E$31:$E$400,MASQ2!O143,'Étape 1 - à remplir'!$G$31:$G$400,"animaux"),SUMIFS('Étape 1 - à remplir'!$F$31:$F$400,'Étape 1 - à remplir'!$E$31:$E$400,MASQ2!O143,'Étape 1 - à remplir'!$P$31:$P$400,X$3)),IF(X$2="Atelier",IF(X$3="Tous",SUMIFS('Étape 1 - à remplir'!$F$31:$F$400,'Étape 1 - à remplir'!$E$31:$E$400,MASQ2!O143,'Étape 1 - à remplir'!$G$31:$G$400,"animaux"),SUMIFS('Étape 1 - à remplir'!$F$31:$F$400,'Étape 1 - à remplir'!$E$31:$E$400,MASQ2!O143,'Étape 1 - à remplir'!$O$31:$O$400,X$3)),IF(X$2="Espèce",IF(X$3="Toutes",SUMIFS('Étape 1 - à remplir'!$F$31:$F$400,'Étape 1 - à remplir'!$E$31:$E$400,MASQ2!O143,'Étape 1 - à remplir'!$G$31:$G$400,"animaux"),SUMIFS('Étape 1 - à remplir'!$F$31:$F$400,'Étape 1 - à remplir'!$E$31:$E$400,MASQ2!O143,'Étape 1 - à remplir'!$N$31:$N$400,X$3))))))=0,NA(),IF(X$2="Catégorie",IF(X$3="Toutes",SUMIFS('Étape 1 - à remplir'!$F$31:$F$400,'Étape 1 - à remplir'!$E$31:$E$400,MASQ2!O143,'Étape 1 - à remplir'!$G$31:$G$400,"animaux"),SUMIFS('Étape 1 - à remplir'!$F$31:$F$400,'Étape 1 - à remplir'!$E$31:$E$400,MASQ2!O143,'Étape 1 - à remplir'!$C$31:$C$400,X$3)),IF(X$2="Âge",IF(X$3="Tous",SUMIFS('Étape 1 - à remplir'!$F$31:$F$400,'Étape 1 - à remplir'!$E$31:$E$400,MASQ2!O143,'Étape 1 - à remplir'!$G$31:$G$400,"animaux"),SUMIFS('Étape 1 - à remplir'!$F$31:$F$400,'Étape 1 - à remplir'!$E$31:$E$400,MASQ2!O143,'Étape 1 - à remplir'!$P$31:$P$400,X$3)),IF(X$2="Atelier",IF(X$3="Tous",SUMIFS('Étape 1 - à remplir'!$F$31:$F$400,'Étape 1 - à remplir'!$E$31:$E$400,MASQ2!O143,'Étape 1 - à remplir'!$G$31:$G$400,"animaux"),SUMIFS('Étape 1 - à remplir'!$F$31:$F$400,'Étape 1 - à remplir'!$E$31:$E$400,MASQ2!O143,'Étape 1 - à remplir'!$O$31:$O$400,X$3)),IF(X$2="Espèce",IF(X$3="Toutes",SUMIFS('Étape 1 - à remplir'!$F$31:$F$400,'Étape 1 - à remplir'!$E$31:$E$400,MASQ2!O143,'Étape 1 - à remplir'!$G$31:$G$400,"animaux"),SUMIFS('Étape 1 - à remplir'!$F$31:$F$400,'Étape 1 - à remplir'!$E$31:$E$400,MASQ2!O143,'Étape 1 - à remplir'!$N$31:$N$400,X$3)))))))</f>
        <v>#N/A</v>
      </c>
      <c r="Q143" s="63">
        <f t="shared" si="185"/>
        <v>0</v>
      </c>
      <c r="R143" t="str">
        <f>Données_ATB!BM142</f>
        <v>Colistine</v>
      </c>
      <c r="S143" t="str">
        <f>Données_ATB!BN142</f>
        <v/>
      </c>
      <c r="T143" s="63" t="str">
        <f>Données_ATB!BO142</f>
        <v/>
      </c>
      <c r="U143" s="42" t="str">
        <f>Données_ATB!BQ142</f>
        <v>Polypeptides</v>
      </c>
      <c r="V143" t="str">
        <f>Données_ATB!BR142</f>
        <v/>
      </c>
      <c r="W143" s="63" t="str">
        <f>Données_ATB!BS142</f>
        <v/>
      </c>
      <c r="Z143" s="42">
        <v>140</v>
      </c>
      <c r="AA143" t="e">
        <f t="shared" si="181"/>
        <v>#N/A</v>
      </c>
      <c r="AB143" s="63" t="e">
        <f t="shared" si="182"/>
        <v>#N/A</v>
      </c>
      <c r="BF143" s="63"/>
      <c r="BT143" s="194" t="str">
        <f t="shared" ca="1" si="165"/>
        <v>x</v>
      </c>
      <c r="BU143" s="219" t="str">
        <f>IFERROR(IF(BX143=0,"",COUNTIF(BX$4:BX$600,"&gt;"&amp;BX143)+COUNTIF(BX$4:BX143,BX143)),"")</f>
        <v/>
      </c>
      <c r="BV143" s="42" t="str">
        <f t="shared" si="166"/>
        <v>COLISTINE 200-CB LAPIN-VOLAILLE-PORC ET AGNEAU-CHEVREAU SEVRES FRANVET</v>
      </c>
      <c r="BW143" t="e">
        <f>IF(IF(CE$2="Catégorie",IF(CE$3="Toutes",SUMIFS('Étape 1 - à remplir'!$F$31:$F$400,'Étape 1 - à remplir'!$E$31:$E$400,MASQ2!BV143,'Étape 1 - à remplir'!$G$31:$G$400,"lots"),SUMIFS('Étape 1 - à remplir'!$F$31:$F$400,'Étape 1 - à remplir'!$E$31:$E$400,MASQ2!BV143,'Étape 1 - à remplir'!$C$31:$C$400,CE$3)),IF(CE$2="Âge",IF(CE$3="Tous",SUMIFS('Étape 1 - à remplir'!$F$31:$F$400,'Étape 1 - à remplir'!$E$31:$E$400,MASQ2!BV143,'Étape 1 - à remplir'!$G$31:$G$400,"lots"),SUMIFS('Étape 1 - à remplir'!$F$31:$F$400,'Étape 1 - à remplir'!$E$31:$E$400,MASQ2!BV143,'Étape 1 - à remplir'!$P$31:$P$400,CE$3,'Étape 1 - à remplir'!$G$31:$G$400,"lots")),IF(CE$2="Atelier",IF(CE$3="Tous",SUMIFS('Étape 1 - à remplir'!$F$31:$F$400,'Étape 1 - à remplir'!$E$31:$E$400,MASQ2!BV143,'Étape 1 - à remplir'!$G$31:$G$400,"lots"),SUMIFS('Étape 1 - à remplir'!$F$31:$F$400,'Étape 1 - à remplir'!$E$31:$E$400,MASQ2!BV143,'Étape 1 - à remplir'!$O$31:$O$400,CE$3,'Étape 1 - à remplir'!$G$31:$G$400,"lots")),IF(CE$2="Espèce",IF(CE$3="Toutes",SUMIFS('Étape 1 - à remplir'!$F$31:$F$400,'Étape 1 - à remplir'!$E$31:$E$400,MASQ2!BV143,'Étape 1 - à remplir'!$G$31:$G$400,"lots"),SUMIFS('Étape 1 - à remplir'!$F$31:$F$400,'Étape 1 - à remplir'!$E$31:$E$400,MASQ2!BV143,'Étape 1 - à remplir'!$N$31:$N$400,CE$3,'Étape 1 - à remplir'!$G$31:$G$400,"lots"))))))=0,NA(),IF(CE$2="Catégorie",IF(CE$3="Toutes",SUMIFS('Étape 1 - à remplir'!$F$31:$F$400,'Étape 1 - à remplir'!$E$31:$E$400,MASQ2!BV143,'Étape 1 - à remplir'!$G$31:$G$400,"lots"),SUMIFS('Étape 1 - à remplir'!$F$31:$F$400,'Étape 1 - à remplir'!$E$31:$E$400,MASQ2!BV143,'Étape 1 - à remplir'!$C$31:$C$400,CE$3)),IF(CE$2="Âge",IF(CE$3="Tous",SUMIFS('Étape 1 - à remplir'!$F$31:$F$400,'Étape 1 - à remplir'!$E$31:$E$400,MASQ2!BV143,'Étape 1 - à remplir'!$G$31:$G$400,"lots"),SUMIFS('Étape 1 - à remplir'!$F$31:$F$400,'Étape 1 - à remplir'!$E$31:$E$400,MASQ2!BV143,'Étape 1 - à remplir'!$P$31:$P$400,CE$3,'Étape 1 - à remplir'!$G$31:$G$400,"lots")),IF(CE$2="Atelier",IF(CE$3="Tous",SUMIFS('Étape 1 - à remplir'!$F$31:$F$400,'Étape 1 - à remplir'!$E$31:$E$400,MASQ2!BV143,'Étape 1 - à remplir'!$G$31:$G$400,"lots"),SUMIFS('Étape 1 - à remplir'!$F$31:$F$400,'Étape 1 - à remplir'!$E$31:$E$400,MASQ2!BV143,'Étape 1 - à remplir'!$O$31:$O$400,CE$3,'Étape 1 - à remplir'!$G$31:$G$400,"lots")),IF(CE$2="Espèce",IF(CE$3="Toutes",SUMIFS('Étape 1 - à remplir'!$F$31:$F$400,'Étape 1 - à remplir'!$E$31:$E$400,MASQ2!BV143,'Étape 1 - à remplir'!$G$31:$G$400,"lots"),SUMIFS('Étape 1 - à remplir'!$F$31:$F$400,'Étape 1 - à remplir'!$E$31:$E$400,MASQ2!BV143,'Étape 1 - à remplir'!$N$31:$N$400,CE$3,'Étape 1 - à remplir'!$G$31:$G$400,"lots")))))))</f>
        <v>#N/A</v>
      </c>
      <c r="BX143">
        <f t="shared" si="183"/>
        <v>0</v>
      </c>
      <c r="BY143" t="str">
        <f t="shared" si="167"/>
        <v>Colistine</v>
      </c>
      <c r="BZ143" t="str">
        <f t="shared" si="168"/>
        <v/>
      </c>
      <c r="CA143" t="str">
        <f t="shared" si="169"/>
        <v/>
      </c>
      <c r="CB143" t="str">
        <f t="shared" si="170"/>
        <v>Polypeptides</v>
      </c>
      <c r="CC143" t="str">
        <f t="shared" si="171"/>
        <v/>
      </c>
      <c r="CD143" s="63" t="str">
        <f t="shared" si="172"/>
        <v/>
      </c>
      <c r="CG143" s="42">
        <v>140</v>
      </c>
      <c r="CH143" s="42" t="e">
        <f t="shared" si="163"/>
        <v>#N/A</v>
      </c>
      <c r="CI143" s="63" t="e">
        <f t="shared" si="164"/>
        <v>#N/A</v>
      </c>
      <c r="DM143" s="63"/>
      <c r="EA143" s="194" t="str">
        <f t="shared" ca="1" si="173"/>
        <v>x</v>
      </c>
      <c r="EB143" s="226" t="str">
        <f>IFERROR(IF(ED143=0,"",COUNTIF(ED$4:ED$600,"&gt;"&amp;ED143)+COUNTIF(ED$4:ED143,ED143)),"")</f>
        <v/>
      </c>
      <c r="EC143" t="str">
        <f t="shared" si="174"/>
        <v>COLISTINE 200-CB LAPIN-VOLAILLE-PORC ET AGNEAU-CHEVREAU SEVRES FRANVET</v>
      </c>
      <c r="ED143" t="e">
        <f>IF(IF(EL$2="Catégorie",IF(EL$3="Toutes",SUMIFS('Étape 1 - à remplir'!$F$31:$F$400,'Étape 1 - à remplir'!$E$31:$E$400,MASQ2!EC143,'Étape 1 - à remplir'!$G$31:$G$400,"kg"),SUMIFS('Étape 1 - à remplir'!$F$31:$F$400,'Étape 1 - à remplir'!$E$31:$E$400,MASQ2!EC143,'Étape 1 - à remplir'!$C$31:$C$400,EL$3)),IF(EL$2="Âge",IF(EL$3="Tous",SUMIFS('Étape 1 - à remplir'!$F$31:$F$400,'Étape 1 - à remplir'!$E$31:$E$400,MASQ2!EC143,'Étape 1 - à remplir'!$G$31:$G$400,"kg"),SUMIFS('Étape 1 - à remplir'!$F$31:$F$400,'Étape 1 - à remplir'!$E$31:$E$400,MASQ2!EC143,'Étape 1 - à remplir'!$P$31:$P$400,EL$3,'Étape 1 - à remplir'!$G$31:$G$400,"kg")),IF(EL$2="Atelier",IF(EL$3="Tous",SUMIFS('Étape 1 - à remplir'!$F$31:$F$400,'Étape 1 - à remplir'!$E$31:$E$400,MASQ2!EC143,'Étape 1 - à remplir'!$G$31:$G$400,"kg"),SUMIFS('Étape 1 - à remplir'!$F$31:$F$400,'Étape 1 - à remplir'!$E$31:$E$400,MASQ2!EC143,'Étape 1 - à remplir'!$O$31:$O$400,EL$3,'Étape 1 - à remplir'!$G$31:$G$400,"kg")),IF(EL$2="Espèce",IF(EL$3="Toutes",SUMIFS('Étape 1 - à remplir'!$F$31:$F$400,'Étape 1 - à remplir'!$E$31:$E$400,MASQ2!EC143,'Étape 1 - à remplir'!$G$31:$G$400,"kg"),SUMIFS('Étape 1 - à remplir'!$F$31:$F$400,'Étape 1 - à remplir'!$E$31:$E$400,MASQ2!EC143,'Étape 1 - à remplir'!$N$31:$N$400,EL$3,'Étape 1 - à remplir'!$G$31:$G$400,"kg"))))))=0,NA(),IF(EL$2="Catégorie",IF(EL$3="Toutes",SUMIFS('Étape 1 - à remplir'!$F$31:$F$400,'Étape 1 - à remplir'!$E$31:$E$400,MASQ2!EC143,'Étape 1 - à remplir'!$G$31:$G$400,"kg"),SUMIFS('Étape 1 - à remplir'!$F$31:$F$400,'Étape 1 - à remplir'!$E$31:$E$400,MASQ2!EC143,'Étape 1 - à remplir'!$C$31:$C$400,EL$3)),IF(EL$2="Âge",IF(EL$3="Tous",SUMIFS('Étape 1 - à remplir'!$F$31:$F$400,'Étape 1 - à remplir'!$E$31:$E$400,MASQ2!EC143,'Étape 1 - à remplir'!$G$31:$G$400,"kg"),SUMIFS('Étape 1 - à remplir'!$F$31:$F$400,'Étape 1 - à remplir'!$E$31:$E$400,MASQ2!EC143,'Étape 1 - à remplir'!$P$31:$P$400,EL$3,'Étape 1 - à remplir'!$G$31:$G$400,"kg")),IF(EL$2="Atelier",IF(EL$3="Tous",SUMIFS('Étape 1 - à remplir'!$F$31:$F$400,'Étape 1 - à remplir'!$E$31:$E$400,MASQ2!EC143,'Étape 1 - à remplir'!$G$31:$G$400,"kg"),SUMIFS('Étape 1 - à remplir'!$F$31:$F$400,'Étape 1 - à remplir'!$E$31:$E$400,MASQ2!EC143,'Étape 1 - à remplir'!$O$31:$O$400,EL$3,'Étape 1 - à remplir'!$G$31:$G$400,"kg")),IF(EL$2="Espèce",IF(EL$3="Toutes",SUMIFS('Étape 1 - à remplir'!$F$31:$F$400,'Étape 1 - à remplir'!$E$31:$E$400,MASQ2!EC143,'Étape 1 - à remplir'!$G$31:$G$400,"kg"),SUMIFS('Étape 1 - à remplir'!$F$31:$F$400,'Étape 1 - à remplir'!$E$31:$E$400,MASQ2!EC143,'Étape 1 - à remplir'!$N$31:$N$400,EL$3,'Étape 1 - à remplir'!$G$31:$G$400,"kg")))))))</f>
        <v>#N/A</v>
      </c>
      <c r="EE143" s="76">
        <f t="shared" si="184"/>
        <v>0</v>
      </c>
      <c r="EF143" t="str">
        <f t="shared" si="175"/>
        <v>Colistine</v>
      </c>
      <c r="EG143" t="str">
        <f t="shared" si="176"/>
        <v/>
      </c>
      <c r="EH143" t="str">
        <f t="shared" si="177"/>
        <v/>
      </c>
      <c r="EI143" t="str">
        <f t="shared" si="178"/>
        <v>Polypeptides</v>
      </c>
      <c r="EJ143" t="str">
        <f t="shared" si="179"/>
        <v/>
      </c>
      <c r="EK143" s="63" t="str">
        <f t="shared" si="180"/>
        <v/>
      </c>
      <c r="EN143" s="42">
        <v>140</v>
      </c>
      <c r="EO143" t="e">
        <f t="shared" si="186"/>
        <v>#N/A</v>
      </c>
      <c r="EP143" s="63" t="e">
        <f t="shared" si="187"/>
        <v>#N/A</v>
      </c>
      <c r="FT143" s="63"/>
    </row>
    <row r="144" spans="2:176" x14ac:dyDescent="0.3">
      <c r="B144" s="42"/>
      <c r="M144" s="194" t="str">
        <f ca="1">INDEX(Données_ATB!BD:BU,MATCH(MASQ2!O144,Données_ATB!BD:BD,0),18)</f>
        <v>x</v>
      </c>
      <c r="N144" s="14" t="str">
        <f>IFERROR(IF(Q144=0,"",COUNTIF(Q$4:Q$600,"&gt;"&amp;Q144)+COUNTIF(Q$4:Q144,Q144)),"")</f>
        <v/>
      </c>
      <c r="O144" t="str">
        <f>Données_ATB!BD143</f>
        <v>COLISTINE 400-CB PORC ET AGNEAU-CHEVREAU SEVRES FRANVET</v>
      </c>
      <c r="P144" t="e">
        <f>IF(IF(X$2="Catégorie",IF(X$3="Toutes",SUMIFS('Étape 1 - à remplir'!$F$31:$F$400,'Étape 1 - à remplir'!$E$31:$E$400,MASQ2!O144,'Étape 1 - à remplir'!$G$31:$G$400,"animaux"),SUMIFS('Étape 1 - à remplir'!$F$31:$F$400,'Étape 1 - à remplir'!$E$31:$E$400,MASQ2!O144,'Étape 1 - à remplir'!$C$31:$C$400,X$3)),IF(X$2="Âge",IF(X$3="Tous",SUMIFS('Étape 1 - à remplir'!$F$31:$F$400,'Étape 1 - à remplir'!$E$31:$E$400,MASQ2!O144,'Étape 1 - à remplir'!$G$31:$G$400,"animaux"),SUMIFS('Étape 1 - à remplir'!$F$31:$F$400,'Étape 1 - à remplir'!$E$31:$E$400,MASQ2!O144,'Étape 1 - à remplir'!$P$31:$P$400,X$3)),IF(X$2="Atelier",IF(X$3="Tous",SUMIFS('Étape 1 - à remplir'!$F$31:$F$400,'Étape 1 - à remplir'!$E$31:$E$400,MASQ2!O144,'Étape 1 - à remplir'!$G$31:$G$400,"animaux"),SUMIFS('Étape 1 - à remplir'!$F$31:$F$400,'Étape 1 - à remplir'!$E$31:$E$400,MASQ2!O144,'Étape 1 - à remplir'!$O$31:$O$400,X$3)),IF(X$2="Espèce",IF(X$3="Toutes",SUMIFS('Étape 1 - à remplir'!$F$31:$F$400,'Étape 1 - à remplir'!$E$31:$E$400,MASQ2!O144,'Étape 1 - à remplir'!$G$31:$G$400,"animaux"),SUMIFS('Étape 1 - à remplir'!$F$31:$F$400,'Étape 1 - à remplir'!$E$31:$E$400,MASQ2!O144,'Étape 1 - à remplir'!$N$31:$N$400,X$3))))))=0,NA(),IF(X$2="Catégorie",IF(X$3="Toutes",SUMIFS('Étape 1 - à remplir'!$F$31:$F$400,'Étape 1 - à remplir'!$E$31:$E$400,MASQ2!O144,'Étape 1 - à remplir'!$G$31:$G$400,"animaux"),SUMIFS('Étape 1 - à remplir'!$F$31:$F$400,'Étape 1 - à remplir'!$E$31:$E$400,MASQ2!O144,'Étape 1 - à remplir'!$C$31:$C$400,X$3)),IF(X$2="Âge",IF(X$3="Tous",SUMIFS('Étape 1 - à remplir'!$F$31:$F$400,'Étape 1 - à remplir'!$E$31:$E$400,MASQ2!O144,'Étape 1 - à remplir'!$G$31:$G$400,"animaux"),SUMIFS('Étape 1 - à remplir'!$F$31:$F$400,'Étape 1 - à remplir'!$E$31:$E$400,MASQ2!O144,'Étape 1 - à remplir'!$P$31:$P$400,X$3)),IF(X$2="Atelier",IF(X$3="Tous",SUMIFS('Étape 1 - à remplir'!$F$31:$F$400,'Étape 1 - à remplir'!$E$31:$E$400,MASQ2!O144,'Étape 1 - à remplir'!$G$31:$G$400,"animaux"),SUMIFS('Étape 1 - à remplir'!$F$31:$F$400,'Étape 1 - à remplir'!$E$31:$E$400,MASQ2!O144,'Étape 1 - à remplir'!$O$31:$O$400,X$3)),IF(X$2="Espèce",IF(X$3="Toutes",SUMIFS('Étape 1 - à remplir'!$F$31:$F$400,'Étape 1 - à remplir'!$E$31:$E$400,MASQ2!O144,'Étape 1 - à remplir'!$G$31:$G$400,"animaux"),SUMIFS('Étape 1 - à remplir'!$F$31:$F$400,'Étape 1 - à remplir'!$E$31:$E$400,MASQ2!O144,'Étape 1 - à remplir'!$N$31:$N$400,X$3)))))))</f>
        <v>#N/A</v>
      </c>
      <c r="Q144" s="63">
        <f t="shared" si="185"/>
        <v>0</v>
      </c>
      <c r="R144" t="str">
        <f>Données_ATB!BM143</f>
        <v>Colistine</v>
      </c>
      <c r="S144" t="str">
        <f>Données_ATB!BN143</f>
        <v/>
      </c>
      <c r="T144" s="63" t="str">
        <f>Données_ATB!BO143</f>
        <v/>
      </c>
      <c r="U144" s="42" t="str">
        <f>Données_ATB!BQ143</f>
        <v>Polypeptides</v>
      </c>
      <c r="V144" t="str">
        <f>Données_ATB!BR143</f>
        <v/>
      </c>
      <c r="W144" s="63" t="str">
        <f>Données_ATB!BS143</f>
        <v/>
      </c>
      <c r="Z144" s="42">
        <v>141</v>
      </c>
      <c r="AA144" t="e">
        <f t="shared" si="181"/>
        <v>#N/A</v>
      </c>
      <c r="AB144" s="63" t="e">
        <f t="shared" si="182"/>
        <v>#N/A</v>
      </c>
      <c r="BF144" s="63"/>
      <c r="BT144" s="194" t="str">
        <f t="shared" ca="1" si="165"/>
        <v>x</v>
      </c>
      <c r="BU144" s="219" t="str">
        <f>IFERROR(IF(BX144=0,"",COUNTIF(BX$4:BX$600,"&gt;"&amp;BX144)+COUNTIF(BX$4:BX144,BX144)),"")</f>
        <v/>
      </c>
      <c r="BV144" s="42" t="str">
        <f t="shared" si="166"/>
        <v>COLISTINE 400-CB PORC ET AGNEAU-CHEVREAU SEVRES FRANVET</v>
      </c>
      <c r="BW144" t="e">
        <f>IF(IF(CE$2="Catégorie",IF(CE$3="Toutes",SUMIFS('Étape 1 - à remplir'!$F$31:$F$400,'Étape 1 - à remplir'!$E$31:$E$400,MASQ2!BV144,'Étape 1 - à remplir'!$G$31:$G$400,"lots"),SUMIFS('Étape 1 - à remplir'!$F$31:$F$400,'Étape 1 - à remplir'!$E$31:$E$400,MASQ2!BV144,'Étape 1 - à remplir'!$C$31:$C$400,CE$3)),IF(CE$2="Âge",IF(CE$3="Tous",SUMIFS('Étape 1 - à remplir'!$F$31:$F$400,'Étape 1 - à remplir'!$E$31:$E$400,MASQ2!BV144,'Étape 1 - à remplir'!$G$31:$G$400,"lots"),SUMIFS('Étape 1 - à remplir'!$F$31:$F$400,'Étape 1 - à remplir'!$E$31:$E$400,MASQ2!BV144,'Étape 1 - à remplir'!$P$31:$P$400,CE$3,'Étape 1 - à remplir'!$G$31:$G$400,"lots")),IF(CE$2="Atelier",IF(CE$3="Tous",SUMIFS('Étape 1 - à remplir'!$F$31:$F$400,'Étape 1 - à remplir'!$E$31:$E$400,MASQ2!BV144,'Étape 1 - à remplir'!$G$31:$G$400,"lots"),SUMIFS('Étape 1 - à remplir'!$F$31:$F$400,'Étape 1 - à remplir'!$E$31:$E$400,MASQ2!BV144,'Étape 1 - à remplir'!$O$31:$O$400,CE$3,'Étape 1 - à remplir'!$G$31:$G$400,"lots")),IF(CE$2="Espèce",IF(CE$3="Toutes",SUMIFS('Étape 1 - à remplir'!$F$31:$F$400,'Étape 1 - à remplir'!$E$31:$E$400,MASQ2!BV144,'Étape 1 - à remplir'!$G$31:$G$400,"lots"),SUMIFS('Étape 1 - à remplir'!$F$31:$F$400,'Étape 1 - à remplir'!$E$31:$E$400,MASQ2!BV144,'Étape 1 - à remplir'!$N$31:$N$400,CE$3,'Étape 1 - à remplir'!$G$31:$G$400,"lots"))))))=0,NA(),IF(CE$2="Catégorie",IF(CE$3="Toutes",SUMIFS('Étape 1 - à remplir'!$F$31:$F$400,'Étape 1 - à remplir'!$E$31:$E$400,MASQ2!BV144,'Étape 1 - à remplir'!$G$31:$G$400,"lots"),SUMIFS('Étape 1 - à remplir'!$F$31:$F$400,'Étape 1 - à remplir'!$E$31:$E$400,MASQ2!BV144,'Étape 1 - à remplir'!$C$31:$C$400,CE$3)),IF(CE$2="Âge",IF(CE$3="Tous",SUMIFS('Étape 1 - à remplir'!$F$31:$F$400,'Étape 1 - à remplir'!$E$31:$E$400,MASQ2!BV144,'Étape 1 - à remplir'!$G$31:$G$400,"lots"),SUMIFS('Étape 1 - à remplir'!$F$31:$F$400,'Étape 1 - à remplir'!$E$31:$E$400,MASQ2!BV144,'Étape 1 - à remplir'!$P$31:$P$400,CE$3,'Étape 1 - à remplir'!$G$31:$G$400,"lots")),IF(CE$2="Atelier",IF(CE$3="Tous",SUMIFS('Étape 1 - à remplir'!$F$31:$F$400,'Étape 1 - à remplir'!$E$31:$E$400,MASQ2!BV144,'Étape 1 - à remplir'!$G$31:$G$400,"lots"),SUMIFS('Étape 1 - à remplir'!$F$31:$F$400,'Étape 1 - à remplir'!$E$31:$E$400,MASQ2!BV144,'Étape 1 - à remplir'!$O$31:$O$400,CE$3,'Étape 1 - à remplir'!$G$31:$G$400,"lots")),IF(CE$2="Espèce",IF(CE$3="Toutes",SUMIFS('Étape 1 - à remplir'!$F$31:$F$400,'Étape 1 - à remplir'!$E$31:$E$400,MASQ2!BV144,'Étape 1 - à remplir'!$G$31:$G$400,"lots"),SUMIFS('Étape 1 - à remplir'!$F$31:$F$400,'Étape 1 - à remplir'!$E$31:$E$400,MASQ2!BV144,'Étape 1 - à remplir'!$N$31:$N$400,CE$3,'Étape 1 - à remplir'!$G$31:$G$400,"lots")))))))</f>
        <v>#N/A</v>
      </c>
      <c r="BX144">
        <f t="shared" si="183"/>
        <v>0</v>
      </c>
      <c r="BY144" t="str">
        <f t="shared" si="167"/>
        <v>Colistine</v>
      </c>
      <c r="BZ144" t="str">
        <f t="shared" si="168"/>
        <v/>
      </c>
      <c r="CA144" t="str">
        <f t="shared" si="169"/>
        <v/>
      </c>
      <c r="CB144" t="str">
        <f t="shared" si="170"/>
        <v>Polypeptides</v>
      </c>
      <c r="CC144" t="str">
        <f t="shared" si="171"/>
        <v/>
      </c>
      <c r="CD144" s="63" t="str">
        <f t="shared" si="172"/>
        <v/>
      </c>
      <c r="CG144" s="42">
        <v>141</v>
      </c>
      <c r="CH144" s="42" t="e">
        <f t="shared" si="163"/>
        <v>#N/A</v>
      </c>
      <c r="CI144" s="63" t="e">
        <f t="shared" si="164"/>
        <v>#N/A</v>
      </c>
      <c r="CV144" s="224"/>
      <c r="CW144" s="224"/>
      <c r="DM144" s="63"/>
      <c r="EA144" s="194" t="str">
        <f t="shared" ca="1" si="173"/>
        <v>x</v>
      </c>
      <c r="EB144" s="226" t="str">
        <f>IFERROR(IF(ED144=0,"",COUNTIF(ED$4:ED$600,"&gt;"&amp;ED144)+COUNTIF(ED$4:ED144,ED144)),"")</f>
        <v/>
      </c>
      <c r="EC144" t="str">
        <f t="shared" si="174"/>
        <v>COLISTINE 400-CB PORC ET AGNEAU-CHEVREAU SEVRES FRANVET</v>
      </c>
      <c r="ED144" t="e">
        <f>IF(IF(EL$2="Catégorie",IF(EL$3="Toutes",SUMIFS('Étape 1 - à remplir'!$F$31:$F$400,'Étape 1 - à remplir'!$E$31:$E$400,MASQ2!EC144,'Étape 1 - à remplir'!$G$31:$G$400,"kg"),SUMIFS('Étape 1 - à remplir'!$F$31:$F$400,'Étape 1 - à remplir'!$E$31:$E$400,MASQ2!EC144,'Étape 1 - à remplir'!$C$31:$C$400,EL$3)),IF(EL$2="Âge",IF(EL$3="Tous",SUMIFS('Étape 1 - à remplir'!$F$31:$F$400,'Étape 1 - à remplir'!$E$31:$E$400,MASQ2!EC144,'Étape 1 - à remplir'!$G$31:$G$400,"kg"),SUMIFS('Étape 1 - à remplir'!$F$31:$F$400,'Étape 1 - à remplir'!$E$31:$E$400,MASQ2!EC144,'Étape 1 - à remplir'!$P$31:$P$400,EL$3,'Étape 1 - à remplir'!$G$31:$G$400,"kg")),IF(EL$2="Atelier",IF(EL$3="Tous",SUMIFS('Étape 1 - à remplir'!$F$31:$F$400,'Étape 1 - à remplir'!$E$31:$E$400,MASQ2!EC144,'Étape 1 - à remplir'!$G$31:$G$400,"kg"),SUMIFS('Étape 1 - à remplir'!$F$31:$F$400,'Étape 1 - à remplir'!$E$31:$E$400,MASQ2!EC144,'Étape 1 - à remplir'!$O$31:$O$400,EL$3,'Étape 1 - à remplir'!$G$31:$G$400,"kg")),IF(EL$2="Espèce",IF(EL$3="Toutes",SUMIFS('Étape 1 - à remplir'!$F$31:$F$400,'Étape 1 - à remplir'!$E$31:$E$400,MASQ2!EC144,'Étape 1 - à remplir'!$G$31:$G$400,"kg"),SUMIFS('Étape 1 - à remplir'!$F$31:$F$400,'Étape 1 - à remplir'!$E$31:$E$400,MASQ2!EC144,'Étape 1 - à remplir'!$N$31:$N$400,EL$3,'Étape 1 - à remplir'!$G$31:$G$400,"kg"))))))=0,NA(),IF(EL$2="Catégorie",IF(EL$3="Toutes",SUMIFS('Étape 1 - à remplir'!$F$31:$F$400,'Étape 1 - à remplir'!$E$31:$E$400,MASQ2!EC144,'Étape 1 - à remplir'!$G$31:$G$400,"kg"),SUMIFS('Étape 1 - à remplir'!$F$31:$F$400,'Étape 1 - à remplir'!$E$31:$E$400,MASQ2!EC144,'Étape 1 - à remplir'!$C$31:$C$400,EL$3)),IF(EL$2="Âge",IF(EL$3="Tous",SUMIFS('Étape 1 - à remplir'!$F$31:$F$400,'Étape 1 - à remplir'!$E$31:$E$400,MASQ2!EC144,'Étape 1 - à remplir'!$G$31:$G$400,"kg"),SUMIFS('Étape 1 - à remplir'!$F$31:$F$400,'Étape 1 - à remplir'!$E$31:$E$400,MASQ2!EC144,'Étape 1 - à remplir'!$P$31:$P$400,EL$3,'Étape 1 - à remplir'!$G$31:$G$400,"kg")),IF(EL$2="Atelier",IF(EL$3="Tous",SUMIFS('Étape 1 - à remplir'!$F$31:$F$400,'Étape 1 - à remplir'!$E$31:$E$400,MASQ2!EC144,'Étape 1 - à remplir'!$G$31:$G$400,"kg"),SUMIFS('Étape 1 - à remplir'!$F$31:$F$400,'Étape 1 - à remplir'!$E$31:$E$400,MASQ2!EC144,'Étape 1 - à remplir'!$O$31:$O$400,EL$3,'Étape 1 - à remplir'!$G$31:$G$400,"kg")),IF(EL$2="Espèce",IF(EL$3="Toutes",SUMIFS('Étape 1 - à remplir'!$F$31:$F$400,'Étape 1 - à remplir'!$E$31:$E$400,MASQ2!EC144,'Étape 1 - à remplir'!$G$31:$G$400,"kg"),SUMIFS('Étape 1 - à remplir'!$F$31:$F$400,'Étape 1 - à remplir'!$E$31:$E$400,MASQ2!EC144,'Étape 1 - à remplir'!$N$31:$N$400,EL$3,'Étape 1 - à remplir'!$G$31:$G$400,"kg")))))))</f>
        <v>#N/A</v>
      </c>
      <c r="EE144" s="76">
        <f t="shared" si="184"/>
        <v>0</v>
      </c>
      <c r="EF144" t="str">
        <f t="shared" si="175"/>
        <v>Colistine</v>
      </c>
      <c r="EG144" t="str">
        <f t="shared" si="176"/>
        <v/>
      </c>
      <c r="EH144" t="str">
        <f t="shared" si="177"/>
        <v/>
      </c>
      <c r="EI144" t="str">
        <f t="shared" si="178"/>
        <v>Polypeptides</v>
      </c>
      <c r="EJ144" t="str">
        <f t="shared" si="179"/>
        <v/>
      </c>
      <c r="EK144" s="63" t="str">
        <f t="shared" si="180"/>
        <v/>
      </c>
      <c r="EN144" s="42">
        <v>141</v>
      </c>
      <c r="EO144" t="e">
        <f t="shared" si="186"/>
        <v>#N/A</v>
      </c>
      <c r="EP144" s="63" t="e">
        <f t="shared" si="187"/>
        <v>#N/A</v>
      </c>
      <c r="FT144" s="63"/>
    </row>
    <row r="145" spans="2:176" x14ac:dyDescent="0.3">
      <c r="B145" s="42"/>
      <c r="M145" s="194" t="str">
        <f ca="1">INDEX(Données_ATB!BD:BU,MATCH(MASQ2!O145,Données_ATB!BD:BD,0),18)</f>
        <v>x</v>
      </c>
      <c r="N145" s="14" t="str">
        <f>IFERROR(IF(Q145=0,"",COUNTIF(Q$4:Q$600,"&gt;"&amp;Q145)+COUNTIF(Q$4:Q145,Q145)),"")</f>
        <v/>
      </c>
      <c r="O145" t="str">
        <f>Données_ATB!BD144</f>
        <v>COLISTINE 400-F PORC ET AGNEAU-CHEVREAU SEVRES FRANVET</v>
      </c>
      <c r="P145" t="e">
        <f>IF(IF(X$2="Catégorie",IF(X$3="Toutes",SUMIFS('Étape 1 - à remplir'!$F$31:$F$400,'Étape 1 - à remplir'!$E$31:$E$400,MASQ2!O145,'Étape 1 - à remplir'!$G$31:$G$400,"animaux"),SUMIFS('Étape 1 - à remplir'!$F$31:$F$400,'Étape 1 - à remplir'!$E$31:$E$400,MASQ2!O145,'Étape 1 - à remplir'!$C$31:$C$400,X$3)),IF(X$2="Âge",IF(X$3="Tous",SUMIFS('Étape 1 - à remplir'!$F$31:$F$400,'Étape 1 - à remplir'!$E$31:$E$400,MASQ2!O145,'Étape 1 - à remplir'!$G$31:$G$400,"animaux"),SUMIFS('Étape 1 - à remplir'!$F$31:$F$400,'Étape 1 - à remplir'!$E$31:$E$400,MASQ2!O145,'Étape 1 - à remplir'!$P$31:$P$400,X$3)),IF(X$2="Atelier",IF(X$3="Tous",SUMIFS('Étape 1 - à remplir'!$F$31:$F$400,'Étape 1 - à remplir'!$E$31:$E$400,MASQ2!O145,'Étape 1 - à remplir'!$G$31:$G$400,"animaux"),SUMIFS('Étape 1 - à remplir'!$F$31:$F$400,'Étape 1 - à remplir'!$E$31:$E$400,MASQ2!O145,'Étape 1 - à remplir'!$O$31:$O$400,X$3)),IF(X$2="Espèce",IF(X$3="Toutes",SUMIFS('Étape 1 - à remplir'!$F$31:$F$400,'Étape 1 - à remplir'!$E$31:$E$400,MASQ2!O145,'Étape 1 - à remplir'!$G$31:$G$400,"animaux"),SUMIFS('Étape 1 - à remplir'!$F$31:$F$400,'Étape 1 - à remplir'!$E$31:$E$400,MASQ2!O145,'Étape 1 - à remplir'!$N$31:$N$400,X$3))))))=0,NA(),IF(X$2="Catégorie",IF(X$3="Toutes",SUMIFS('Étape 1 - à remplir'!$F$31:$F$400,'Étape 1 - à remplir'!$E$31:$E$400,MASQ2!O145,'Étape 1 - à remplir'!$G$31:$G$400,"animaux"),SUMIFS('Étape 1 - à remplir'!$F$31:$F$400,'Étape 1 - à remplir'!$E$31:$E$400,MASQ2!O145,'Étape 1 - à remplir'!$C$31:$C$400,X$3)),IF(X$2="Âge",IF(X$3="Tous",SUMIFS('Étape 1 - à remplir'!$F$31:$F$400,'Étape 1 - à remplir'!$E$31:$E$400,MASQ2!O145,'Étape 1 - à remplir'!$G$31:$G$400,"animaux"),SUMIFS('Étape 1 - à remplir'!$F$31:$F$400,'Étape 1 - à remplir'!$E$31:$E$400,MASQ2!O145,'Étape 1 - à remplir'!$P$31:$P$400,X$3)),IF(X$2="Atelier",IF(X$3="Tous",SUMIFS('Étape 1 - à remplir'!$F$31:$F$400,'Étape 1 - à remplir'!$E$31:$E$400,MASQ2!O145,'Étape 1 - à remplir'!$G$31:$G$400,"animaux"),SUMIFS('Étape 1 - à remplir'!$F$31:$F$400,'Étape 1 - à remplir'!$E$31:$E$400,MASQ2!O145,'Étape 1 - à remplir'!$O$31:$O$400,X$3)),IF(X$2="Espèce",IF(X$3="Toutes",SUMIFS('Étape 1 - à remplir'!$F$31:$F$400,'Étape 1 - à remplir'!$E$31:$E$400,MASQ2!O145,'Étape 1 - à remplir'!$G$31:$G$400,"animaux"),SUMIFS('Étape 1 - à remplir'!$F$31:$F$400,'Étape 1 - à remplir'!$E$31:$E$400,MASQ2!O145,'Étape 1 - à remplir'!$N$31:$N$400,X$3)))))))</f>
        <v>#N/A</v>
      </c>
      <c r="Q145" s="63">
        <f t="shared" si="185"/>
        <v>0</v>
      </c>
      <c r="R145" t="str">
        <f>Données_ATB!BM144</f>
        <v>Colistine</v>
      </c>
      <c r="S145" t="str">
        <f>Données_ATB!BN144</f>
        <v/>
      </c>
      <c r="T145" s="63" t="str">
        <f>Données_ATB!BO144</f>
        <v/>
      </c>
      <c r="U145" s="42" t="str">
        <f>Données_ATB!BQ144</f>
        <v>Polypeptides</v>
      </c>
      <c r="V145" t="str">
        <f>Données_ATB!BR144</f>
        <v/>
      </c>
      <c r="W145" s="63" t="str">
        <f>Données_ATB!BS144</f>
        <v/>
      </c>
      <c r="Z145" s="42">
        <v>142</v>
      </c>
      <c r="AA145" t="e">
        <f t="shared" si="181"/>
        <v>#N/A</v>
      </c>
      <c r="AB145" s="63" t="e">
        <f t="shared" si="182"/>
        <v>#N/A</v>
      </c>
      <c r="BF145" s="63"/>
      <c r="BT145" s="194" t="str">
        <f t="shared" ca="1" si="165"/>
        <v>x</v>
      </c>
      <c r="BU145" s="219" t="str">
        <f>IFERROR(IF(BX145=0,"",COUNTIF(BX$4:BX$600,"&gt;"&amp;BX145)+COUNTIF(BX$4:BX145,BX145)),"")</f>
        <v/>
      </c>
      <c r="BV145" s="42" t="str">
        <f t="shared" si="166"/>
        <v>COLISTINE 400-F PORC ET AGNEAU-CHEVREAU SEVRES FRANVET</v>
      </c>
      <c r="BW145" t="e">
        <f>IF(IF(CE$2="Catégorie",IF(CE$3="Toutes",SUMIFS('Étape 1 - à remplir'!$F$31:$F$400,'Étape 1 - à remplir'!$E$31:$E$400,MASQ2!BV145,'Étape 1 - à remplir'!$G$31:$G$400,"lots"),SUMIFS('Étape 1 - à remplir'!$F$31:$F$400,'Étape 1 - à remplir'!$E$31:$E$400,MASQ2!BV145,'Étape 1 - à remplir'!$C$31:$C$400,CE$3)),IF(CE$2="Âge",IF(CE$3="Tous",SUMIFS('Étape 1 - à remplir'!$F$31:$F$400,'Étape 1 - à remplir'!$E$31:$E$400,MASQ2!BV145,'Étape 1 - à remplir'!$G$31:$G$400,"lots"),SUMIFS('Étape 1 - à remplir'!$F$31:$F$400,'Étape 1 - à remplir'!$E$31:$E$400,MASQ2!BV145,'Étape 1 - à remplir'!$P$31:$P$400,CE$3,'Étape 1 - à remplir'!$G$31:$G$400,"lots")),IF(CE$2="Atelier",IF(CE$3="Tous",SUMIFS('Étape 1 - à remplir'!$F$31:$F$400,'Étape 1 - à remplir'!$E$31:$E$400,MASQ2!BV145,'Étape 1 - à remplir'!$G$31:$G$400,"lots"),SUMIFS('Étape 1 - à remplir'!$F$31:$F$400,'Étape 1 - à remplir'!$E$31:$E$400,MASQ2!BV145,'Étape 1 - à remplir'!$O$31:$O$400,CE$3,'Étape 1 - à remplir'!$G$31:$G$400,"lots")),IF(CE$2="Espèce",IF(CE$3="Toutes",SUMIFS('Étape 1 - à remplir'!$F$31:$F$400,'Étape 1 - à remplir'!$E$31:$E$400,MASQ2!BV145,'Étape 1 - à remplir'!$G$31:$G$400,"lots"),SUMIFS('Étape 1 - à remplir'!$F$31:$F$400,'Étape 1 - à remplir'!$E$31:$E$400,MASQ2!BV145,'Étape 1 - à remplir'!$N$31:$N$400,CE$3,'Étape 1 - à remplir'!$G$31:$G$400,"lots"))))))=0,NA(),IF(CE$2="Catégorie",IF(CE$3="Toutes",SUMIFS('Étape 1 - à remplir'!$F$31:$F$400,'Étape 1 - à remplir'!$E$31:$E$400,MASQ2!BV145,'Étape 1 - à remplir'!$G$31:$G$400,"lots"),SUMIFS('Étape 1 - à remplir'!$F$31:$F$400,'Étape 1 - à remplir'!$E$31:$E$400,MASQ2!BV145,'Étape 1 - à remplir'!$C$31:$C$400,CE$3)),IF(CE$2="Âge",IF(CE$3="Tous",SUMIFS('Étape 1 - à remplir'!$F$31:$F$400,'Étape 1 - à remplir'!$E$31:$E$400,MASQ2!BV145,'Étape 1 - à remplir'!$G$31:$G$400,"lots"),SUMIFS('Étape 1 - à remplir'!$F$31:$F$400,'Étape 1 - à remplir'!$E$31:$E$400,MASQ2!BV145,'Étape 1 - à remplir'!$P$31:$P$400,CE$3,'Étape 1 - à remplir'!$G$31:$G$400,"lots")),IF(CE$2="Atelier",IF(CE$3="Tous",SUMIFS('Étape 1 - à remplir'!$F$31:$F$400,'Étape 1 - à remplir'!$E$31:$E$400,MASQ2!BV145,'Étape 1 - à remplir'!$G$31:$G$400,"lots"),SUMIFS('Étape 1 - à remplir'!$F$31:$F$400,'Étape 1 - à remplir'!$E$31:$E$400,MASQ2!BV145,'Étape 1 - à remplir'!$O$31:$O$400,CE$3,'Étape 1 - à remplir'!$G$31:$G$400,"lots")),IF(CE$2="Espèce",IF(CE$3="Toutes",SUMIFS('Étape 1 - à remplir'!$F$31:$F$400,'Étape 1 - à remplir'!$E$31:$E$400,MASQ2!BV145,'Étape 1 - à remplir'!$G$31:$G$400,"lots"),SUMIFS('Étape 1 - à remplir'!$F$31:$F$400,'Étape 1 - à remplir'!$E$31:$E$400,MASQ2!BV145,'Étape 1 - à remplir'!$N$31:$N$400,CE$3,'Étape 1 - à remplir'!$G$31:$G$400,"lots")))))))</f>
        <v>#N/A</v>
      </c>
      <c r="BX145">
        <f t="shared" si="183"/>
        <v>0</v>
      </c>
      <c r="BY145" t="str">
        <f t="shared" si="167"/>
        <v>Colistine</v>
      </c>
      <c r="BZ145" t="str">
        <f t="shared" si="168"/>
        <v/>
      </c>
      <c r="CA145" t="str">
        <f t="shared" si="169"/>
        <v/>
      </c>
      <c r="CB145" t="str">
        <f t="shared" si="170"/>
        <v>Polypeptides</v>
      </c>
      <c r="CC145" t="str">
        <f t="shared" si="171"/>
        <v/>
      </c>
      <c r="CD145" s="63" t="str">
        <f t="shared" si="172"/>
        <v/>
      </c>
      <c r="CG145" s="42">
        <v>142</v>
      </c>
      <c r="CH145" s="42" t="e">
        <f t="shared" si="163"/>
        <v>#N/A</v>
      </c>
      <c r="CI145" s="63" t="e">
        <f t="shared" si="164"/>
        <v>#N/A</v>
      </c>
      <c r="DM145" s="63"/>
      <c r="EA145" s="194" t="str">
        <f t="shared" ca="1" si="173"/>
        <v>x</v>
      </c>
      <c r="EB145" s="226" t="str">
        <f>IFERROR(IF(ED145=0,"",COUNTIF(ED$4:ED$600,"&gt;"&amp;ED145)+COUNTIF(ED$4:ED145,ED145)),"")</f>
        <v/>
      </c>
      <c r="EC145" t="str">
        <f t="shared" si="174"/>
        <v>COLISTINE 400-F PORC ET AGNEAU-CHEVREAU SEVRES FRANVET</v>
      </c>
      <c r="ED145" t="e">
        <f>IF(IF(EL$2="Catégorie",IF(EL$3="Toutes",SUMIFS('Étape 1 - à remplir'!$F$31:$F$400,'Étape 1 - à remplir'!$E$31:$E$400,MASQ2!EC145,'Étape 1 - à remplir'!$G$31:$G$400,"kg"),SUMIFS('Étape 1 - à remplir'!$F$31:$F$400,'Étape 1 - à remplir'!$E$31:$E$400,MASQ2!EC145,'Étape 1 - à remplir'!$C$31:$C$400,EL$3)),IF(EL$2="Âge",IF(EL$3="Tous",SUMIFS('Étape 1 - à remplir'!$F$31:$F$400,'Étape 1 - à remplir'!$E$31:$E$400,MASQ2!EC145,'Étape 1 - à remplir'!$G$31:$G$400,"kg"),SUMIFS('Étape 1 - à remplir'!$F$31:$F$400,'Étape 1 - à remplir'!$E$31:$E$400,MASQ2!EC145,'Étape 1 - à remplir'!$P$31:$P$400,EL$3,'Étape 1 - à remplir'!$G$31:$G$400,"kg")),IF(EL$2="Atelier",IF(EL$3="Tous",SUMIFS('Étape 1 - à remplir'!$F$31:$F$400,'Étape 1 - à remplir'!$E$31:$E$400,MASQ2!EC145,'Étape 1 - à remplir'!$G$31:$G$400,"kg"),SUMIFS('Étape 1 - à remplir'!$F$31:$F$400,'Étape 1 - à remplir'!$E$31:$E$400,MASQ2!EC145,'Étape 1 - à remplir'!$O$31:$O$400,EL$3,'Étape 1 - à remplir'!$G$31:$G$400,"kg")),IF(EL$2="Espèce",IF(EL$3="Toutes",SUMIFS('Étape 1 - à remplir'!$F$31:$F$400,'Étape 1 - à remplir'!$E$31:$E$400,MASQ2!EC145,'Étape 1 - à remplir'!$G$31:$G$400,"kg"),SUMIFS('Étape 1 - à remplir'!$F$31:$F$400,'Étape 1 - à remplir'!$E$31:$E$400,MASQ2!EC145,'Étape 1 - à remplir'!$N$31:$N$400,EL$3,'Étape 1 - à remplir'!$G$31:$G$400,"kg"))))))=0,NA(),IF(EL$2="Catégorie",IF(EL$3="Toutes",SUMIFS('Étape 1 - à remplir'!$F$31:$F$400,'Étape 1 - à remplir'!$E$31:$E$400,MASQ2!EC145,'Étape 1 - à remplir'!$G$31:$G$400,"kg"),SUMIFS('Étape 1 - à remplir'!$F$31:$F$400,'Étape 1 - à remplir'!$E$31:$E$400,MASQ2!EC145,'Étape 1 - à remplir'!$C$31:$C$400,EL$3)),IF(EL$2="Âge",IF(EL$3="Tous",SUMIFS('Étape 1 - à remplir'!$F$31:$F$400,'Étape 1 - à remplir'!$E$31:$E$400,MASQ2!EC145,'Étape 1 - à remplir'!$G$31:$G$400,"kg"),SUMIFS('Étape 1 - à remplir'!$F$31:$F$400,'Étape 1 - à remplir'!$E$31:$E$400,MASQ2!EC145,'Étape 1 - à remplir'!$P$31:$P$400,EL$3,'Étape 1 - à remplir'!$G$31:$G$400,"kg")),IF(EL$2="Atelier",IF(EL$3="Tous",SUMIFS('Étape 1 - à remplir'!$F$31:$F$400,'Étape 1 - à remplir'!$E$31:$E$400,MASQ2!EC145,'Étape 1 - à remplir'!$G$31:$G$400,"kg"),SUMIFS('Étape 1 - à remplir'!$F$31:$F$400,'Étape 1 - à remplir'!$E$31:$E$400,MASQ2!EC145,'Étape 1 - à remplir'!$O$31:$O$400,EL$3,'Étape 1 - à remplir'!$G$31:$G$400,"kg")),IF(EL$2="Espèce",IF(EL$3="Toutes",SUMIFS('Étape 1 - à remplir'!$F$31:$F$400,'Étape 1 - à remplir'!$E$31:$E$400,MASQ2!EC145,'Étape 1 - à remplir'!$G$31:$G$400,"kg"),SUMIFS('Étape 1 - à remplir'!$F$31:$F$400,'Étape 1 - à remplir'!$E$31:$E$400,MASQ2!EC145,'Étape 1 - à remplir'!$N$31:$N$400,EL$3,'Étape 1 - à remplir'!$G$31:$G$400,"kg")))))))</f>
        <v>#N/A</v>
      </c>
      <c r="EE145" s="76">
        <f t="shared" si="184"/>
        <v>0</v>
      </c>
      <c r="EF145" t="str">
        <f t="shared" si="175"/>
        <v>Colistine</v>
      </c>
      <c r="EG145" t="str">
        <f t="shared" si="176"/>
        <v/>
      </c>
      <c r="EH145" t="str">
        <f t="shared" si="177"/>
        <v/>
      </c>
      <c r="EI145" t="str">
        <f t="shared" si="178"/>
        <v>Polypeptides</v>
      </c>
      <c r="EJ145" t="str">
        <f t="shared" si="179"/>
        <v/>
      </c>
      <c r="EK145" s="63" t="str">
        <f t="shared" si="180"/>
        <v/>
      </c>
      <c r="EN145" s="42">
        <v>142</v>
      </c>
      <c r="EO145" t="e">
        <f t="shared" si="186"/>
        <v>#N/A</v>
      </c>
      <c r="EP145" s="63" t="e">
        <f t="shared" si="187"/>
        <v>#N/A</v>
      </c>
      <c r="FT145" s="63"/>
    </row>
    <row r="146" spans="2:176" x14ac:dyDescent="0.3">
      <c r="B146" s="42"/>
      <c r="M146" s="194" t="str">
        <f ca="1">INDEX(Données_ATB!BD:BU,MATCH(MASQ2!O146,Données_ATB!BD:BD,0),18)</f>
        <v>x</v>
      </c>
      <c r="N146" s="14" t="str">
        <f>IFERROR(IF(Q146=0,"",COUNTIF(Q$4:Q$600,"&gt;"&amp;Q146)+COUNTIF(Q$4:Q146,Q146)),"")</f>
        <v/>
      </c>
      <c r="O146" t="str">
        <f>Données_ATB!BD145</f>
        <v>COLISTINE SULFATE 2 000 000 UI/ML BUVABLE VIRBAC</v>
      </c>
      <c r="P146" t="e">
        <f>IF(IF(X$2="Catégorie",IF(X$3="Toutes",SUMIFS('Étape 1 - à remplir'!$F$31:$F$400,'Étape 1 - à remplir'!$E$31:$E$400,MASQ2!O146,'Étape 1 - à remplir'!$G$31:$G$400,"animaux"),SUMIFS('Étape 1 - à remplir'!$F$31:$F$400,'Étape 1 - à remplir'!$E$31:$E$400,MASQ2!O146,'Étape 1 - à remplir'!$C$31:$C$400,X$3)),IF(X$2="Âge",IF(X$3="Tous",SUMIFS('Étape 1 - à remplir'!$F$31:$F$400,'Étape 1 - à remplir'!$E$31:$E$400,MASQ2!O146,'Étape 1 - à remplir'!$G$31:$G$400,"animaux"),SUMIFS('Étape 1 - à remplir'!$F$31:$F$400,'Étape 1 - à remplir'!$E$31:$E$400,MASQ2!O146,'Étape 1 - à remplir'!$P$31:$P$400,X$3)),IF(X$2="Atelier",IF(X$3="Tous",SUMIFS('Étape 1 - à remplir'!$F$31:$F$400,'Étape 1 - à remplir'!$E$31:$E$400,MASQ2!O146,'Étape 1 - à remplir'!$G$31:$G$400,"animaux"),SUMIFS('Étape 1 - à remplir'!$F$31:$F$400,'Étape 1 - à remplir'!$E$31:$E$400,MASQ2!O146,'Étape 1 - à remplir'!$O$31:$O$400,X$3)),IF(X$2="Espèce",IF(X$3="Toutes",SUMIFS('Étape 1 - à remplir'!$F$31:$F$400,'Étape 1 - à remplir'!$E$31:$E$400,MASQ2!O146,'Étape 1 - à remplir'!$G$31:$G$400,"animaux"),SUMIFS('Étape 1 - à remplir'!$F$31:$F$400,'Étape 1 - à remplir'!$E$31:$E$400,MASQ2!O146,'Étape 1 - à remplir'!$N$31:$N$400,X$3))))))=0,NA(),IF(X$2="Catégorie",IF(X$3="Toutes",SUMIFS('Étape 1 - à remplir'!$F$31:$F$400,'Étape 1 - à remplir'!$E$31:$E$400,MASQ2!O146,'Étape 1 - à remplir'!$G$31:$G$400,"animaux"),SUMIFS('Étape 1 - à remplir'!$F$31:$F$400,'Étape 1 - à remplir'!$E$31:$E$400,MASQ2!O146,'Étape 1 - à remplir'!$C$31:$C$400,X$3)),IF(X$2="Âge",IF(X$3="Tous",SUMIFS('Étape 1 - à remplir'!$F$31:$F$400,'Étape 1 - à remplir'!$E$31:$E$400,MASQ2!O146,'Étape 1 - à remplir'!$G$31:$G$400,"animaux"),SUMIFS('Étape 1 - à remplir'!$F$31:$F$400,'Étape 1 - à remplir'!$E$31:$E$400,MASQ2!O146,'Étape 1 - à remplir'!$P$31:$P$400,X$3)),IF(X$2="Atelier",IF(X$3="Tous",SUMIFS('Étape 1 - à remplir'!$F$31:$F$400,'Étape 1 - à remplir'!$E$31:$E$400,MASQ2!O146,'Étape 1 - à remplir'!$G$31:$G$400,"animaux"),SUMIFS('Étape 1 - à remplir'!$F$31:$F$400,'Étape 1 - à remplir'!$E$31:$E$400,MASQ2!O146,'Étape 1 - à remplir'!$O$31:$O$400,X$3)),IF(X$2="Espèce",IF(X$3="Toutes",SUMIFS('Étape 1 - à remplir'!$F$31:$F$400,'Étape 1 - à remplir'!$E$31:$E$400,MASQ2!O146,'Étape 1 - à remplir'!$G$31:$G$400,"animaux"),SUMIFS('Étape 1 - à remplir'!$F$31:$F$400,'Étape 1 - à remplir'!$E$31:$E$400,MASQ2!O146,'Étape 1 - à remplir'!$N$31:$N$400,X$3)))))))</f>
        <v>#N/A</v>
      </c>
      <c r="Q146" s="63">
        <f t="shared" si="185"/>
        <v>0</v>
      </c>
      <c r="R146" t="str">
        <f>Données_ATB!BM145</f>
        <v>Colistine</v>
      </c>
      <c r="S146" t="str">
        <f>Données_ATB!BN145</f>
        <v/>
      </c>
      <c r="T146" s="63" t="str">
        <f>Données_ATB!BO145</f>
        <v/>
      </c>
      <c r="U146" s="42" t="str">
        <f>Données_ATB!BQ145</f>
        <v>Polypeptides</v>
      </c>
      <c r="V146" t="str">
        <f>Données_ATB!BR145</f>
        <v/>
      </c>
      <c r="W146" s="63" t="str">
        <f>Données_ATB!BS145</f>
        <v/>
      </c>
      <c r="Z146" s="42">
        <v>143</v>
      </c>
      <c r="AA146" t="e">
        <f t="shared" si="181"/>
        <v>#N/A</v>
      </c>
      <c r="AB146" s="63" t="e">
        <f t="shared" si="182"/>
        <v>#N/A</v>
      </c>
      <c r="BF146" s="63"/>
      <c r="BT146" s="194" t="str">
        <f t="shared" ca="1" si="165"/>
        <v>x</v>
      </c>
      <c r="BU146" s="219" t="str">
        <f>IFERROR(IF(BX146=0,"",COUNTIF(BX$4:BX$600,"&gt;"&amp;BX146)+COUNTIF(BX$4:BX146,BX146)),"")</f>
        <v/>
      </c>
      <c r="BV146" s="42" t="str">
        <f t="shared" si="166"/>
        <v>COLISTINE SULFATE 2 000 000 UI/ML BUVABLE VIRBAC</v>
      </c>
      <c r="BW146" t="e">
        <f>IF(IF(CE$2="Catégorie",IF(CE$3="Toutes",SUMIFS('Étape 1 - à remplir'!$F$31:$F$400,'Étape 1 - à remplir'!$E$31:$E$400,MASQ2!BV146,'Étape 1 - à remplir'!$G$31:$G$400,"lots"),SUMIFS('Étape 1 - à remplir'!$F$31:$F$400,'Étape 1 - à remplir'!$E$31:$E$400,MASQ2!BV146,'Étape 1 - à remplir'!$C$31:$C$400,CE$3)),IF(CE$2="Âge",IF(CE$3="Tous",SUMIFS('Étape 1 - à remplir'!$F$31:$F$400,'Étape 1 - à remplir'!$E$31:$E$400,MASQ2!BV146,'Étape 1 - à remplir'!$G$31:$G$400,"lots"),SUMIFS('Étape 1 - à remplir'!$F$31:$F$400,'Étape 1 - à remplir'!$E$31:$E$400,MASQ2!BV146,'Étape 1 - à remplir'!$P$31:$P$400,CE$3,'Étape 1 - à remplir'!$G$31:$G$400,"lots")),IF(CE$2="Atelier",IF(CE$3="Tous",SUMIFS('Étape 1 - à remplir'!$F$31:$F$400,'Étape 1 - à remplir'!$E$31:$E$400,MASQ2!BV146,'Étape 1 - à remplir'!$G$31:$G$400,"lots"),SUMIFS('Étape 1 - à remplir'!$F$31:$F$400,'Étape 1 - à remplir'!$E$31:$E$400,MASQ2!BV146,'Étape 1 - à remplir'!$O$31:$O$400,CE$3,'Étape 1 - à remplir'!$G$31:$G$400,"lots")),IF(CE$2="Espèce",IF(CE$3="Toutes",SUMIFS('Étape 1 - à remplir'!$F$31:$F$400,'Étape 1 - à remplir'!$E$31:$E$400,MASQ2!BV146,'Étape 1 - à remplir'!$G$31:$G$400,"lots"),SUMIFS('Étape 1 - à remplir'!$F$31:$F$400,'Étape 1 - à remplir'!$E$31:$E$400,MASQ2!BV146,'Étape 1 - à remplir'!$N$31:$N$400,CE$3,'Étape 1 - à remplir'!$G$31:$G$400,"lots"))))))=0,NA(),IF(CE$2="Catégorie",IF(CE$3="Toutes",SUMIFS('Étape 1 - à remplir'!$F$31:$F$400,'Étape 1 - à remplir'!$E$31:$E$400,MASQ2!BV146,'Étape 1 - à remplir'!$G$31:$G$400,"lots"),SUMIFS('Étape 1 - à remplir'!$F$31:$F$400,'Étape 1 - à remplir'!$E$31:$E$400,MASQ2!BV146,'Étape 1 - à remplir'!$C$31:$C$400,CE$3)),IF(CE$2="Âge",IF(CE$3="Tous",SUMIFS('Étape 1 - à remplir'!$F$31:$F$400,'Étape 1 - à remplir'!$E$31:$E$400,MASQ2!BV146,'Étape 1 - à remplir'!$G$31:$G$400,"lots"),SUMIFS('Étape 1 - à remplir'!$F$31:$F$400,'Étape 1 - à remplir'!$E$31:$E$400,MASQ2!BV146,'Étape 1 - à remplir'!$P$31:$P$400,CE$3,'Étape 1 - à remplir'!$G$31:$G$400,"lots")),IF(CE$2="Atelier",IF(CE$3="Tous",SUMIFS('Étape 1 - à remplir'!$F$31:$F$400,'Étape 1 - à remplir'!$E$31:$E$400,MASQ2!BV146,'Étape 1 - à remplir'!$G$31:$G$400,"lots"),SUMIFS('Étape 1 - à remplir'!$F$31:$F$400,'Étape 1 - à remplir'!$E$31:$E$400,MASQ2!BV146,'Étape 1 - à remplir'!$O$31:$O$400,CE$3,'Étape 1 - à remplir'!$G$31:$G$400,"lots")),IF(CE$2="Espèce",IF(CE$3="Toutes",SUMIFS('Étape 1 - à remplir'!$F$31:$F$400,'Étape 1 - à remplir'!$E$31:$E$400,MASQ2!BV146,'Étape 1 - à remplir'!$G$31:$G$400,"lots"),SUMIFS('Étape 1 - à remplir'!$F$31:$F$400,'Étape 1 - à remplir'!$E$31:$E$400,MASQ2!BV146,'Étape 1 - à remplir'!$N$31:$N$400,CE$3,'Étape 1 - à remplir'!$G$31:$G$400,"lots")))))))</f>
        <v>#N/A</v>
      </c>
      <c r="BX146">
        <f t="shared" si="183"/>
        <v>0</v>
      </c>
      <c r="BY146" t="str">
        <f t="shared" si="167"/>
        <v>Colistine</v>
      </c>
      <c r="BZ146" t="str">
        <f t="shared" si="168"/>
        <v/>
      </c>
      <c r="CA146" t="str">
        <f t="shared" si="169"/>
        <v/>
      </c>
      <c r="CB146" t="str">
        <f t="shared" si="170"/>
        <v>Polypeptides</v>
      </c>
      <c r="CC146" t="str">
        <f t="shared" si="171"/>
        <v/>
      </c>
      <c r="CD146" s="63" t="str">
        <f t="shared" si="172"/>
        <v/>
      </c>
      <c r="CG146" s="42">
        <v>143</v>
      </c>
      <c r="CH146" s="42" t="e">
        <f t="shared" ref="CH146:CH209" si="188">INDEX(BU$3:BX$600,MATCH(CG146,BU$3:BU$600,0),2)</f>
        <v>#N/A</v>
      </c>
      <c r="CI146" s="63" t="e">
        <f t="shared" ref="CI146:CI209" si="189">INDEX(BU$3:BX$600,MATCH(CG146,BU$3:BU$600,0),3)</f>
        <v>#N/A</v>
      </c>
      <c r="DM146" s="63"/>
      <c r="EA146" s="194" t="str">
        <f t="shared" ca="1" si="173"/>
        <v>x</v>
      </c>
      <c r="EB146" s="226" t="str">
        <f>IFERROR(IF(ED146=0,"",COUNTIF(ED$4:ED$600,"&gt;"&amp;ED146)+COUNTIF(ED$4:ED146,ED146)),"")</f>
        <v/>
      </c>
      <c r="EC146" t="str">
        <f t="shared" si="174"/>
        <v>COLISTINE SULFATE 2 000 000 UI/ML BUVABLE VIRBAC</v>
      </c>
      <c r="ED146" t="e">
        <f>IF(IF(EL$2="Catégorie",IF(EL$3="Toutes",SUMIFS('Étape 1 - à remplir'!$F$31:$F$400,'Étape 1 - à remplir'!$E$31:$E$400,MASQ2!EC146,'Étape 1 - à remplir'!$G$31:$G$400,"kg"),SUMIFS('Étape 1 - à remplir'!$F$31:$F$400,'Étape 1 - à remplir'!$E$31:$E$400,MASQ2!EC146,'Étape 1 - à remplir'!$C$31:$C$400,EL$3)),IF(EL$2="Âge",IF(EL$3="Tous",SUMIFS('Étape 1 - à remplir'!$F$31:$F$400,'Étape 1 - à remplir'!$E$31:$E$400,MASQ2!EC146,'Étape 1 - à remplir'!$G$31:$G$400,"kg"),SUMIFS('Étape 1 - à remplir'!$F$31:$F$400,'Étape 1 - à remplir'!$E$31:$E$400,MASQ2!EC146,'Étape 1 - à remplir'!$P$31:$P$400,EL$3,'Étape 1 - à remplir'!$G$31:$G$400,"kg")),IF(EL$2="Atelier",IF(EL$3="Tous",SUMIFS('Étape 1 - à remplir'!$F$31:$F$400,'Étape 1 - à remplir'!$E$31:$E$400,MASQ2!EC146,'Étape 1 - à remplir'!$G$31:$G$400,"kg"),SUMIFS('Étape 1 - à remplir'!$F$31:$F$400,'Étape 1 - à remplir'!$E$31:$E$400,MASQ2!EC146,'Étape 1 - à remplir'!$O$31:$O$400,EL$3,'Étape 1 - à remplir'!$G$31:$G$400,"kg")),IF(EL$2="Espèce",IF(EL$3="Toutes",SUMIFS('Étape 1 - à remplir'!$F$31:$F$400,'Étape 1 - à remplir'!$E$31:$E$400,MASQ2!EC146,'Étape 1 - à remplir'!$G$31:$G$400,"kg"),SUMIFS('Étape 1 - à remplir'!$F$31:$F$400,'Étape 1 - à remplir'!$E$31:$E$400,MASQ2!EC146,'Étape 1 - à remplir'!$N$31:$N$400,EL$3,'Étape 1 - à remplir'!$G$31:$G$400,"kg"))))))=0,NA(),IF(EL$2="Catégorie",IF(EL$3="Toutes",SUMIFS('Étape 1 - à remplir'!$F$31:$F$400,'Étape 1 - à remplir'!$E$31:$E$400,MASQ2!EC146,'Étape 1 - à remplir'!$G$31:$G$400,"kg"),SUMIFS('Étape 1 - à remplir'!$F$31:$F$400,'Étape 1 - à remplir'!$E$31:$E$400,MASQ2!EC146,'Étape 1 - à remplir'!$C$31:$C$400,EL$3)),IF(EL$2="Âge",IF(EL$3="Tous",SUMIFS('Étape 1 - à remplir'!$F$31:$F$400,'Étape 1 - à remplir'!$E$31:$E$400,MASQ2!EC146,'Étape 1 - à remplir'!$G$31:$G$400,"kg"),SUMIFS('Étape 1 - à remplir'!$F$31:$F$400,'Étape 1 - à remplir'!$E$31:$E$400,MASQ2!EC146,'Étape 1 - à remplir'!$P$31:$P$400,EL$3,'Étape 1 - à remplir'!$G$31:$G$400,"kg")),IF(EL$2="Atelier",IF(EL$3="Tous",SUMIFS('Étape 1 - à remplir'!$F$31:$F$400,'Étape 1 - à remplir'!$E$31:$E$400,MASQ2!EC146,'Étape 1 - à remplir'!$G$31:$G$400,"kg"),SUMIFS('Étape 1 - à remplir'!$F$31:$F$400,'Étape 1 - à remplir'!$E$31:$E$400,MASQ2!EC146,'Étape 1 - à remplir'!$O$31:$O$400,EL$3,'Étape 1 - à remplir'!$G$31:$G$400,"kg")),IF(EL$2="Espèce",IF(EL$3="Toutes",SUMIFS('Étape 1 - à remplir'!$F$31:$F$400,'Étape 1 - à remplir'!$E$31:$E$400,MASQ2!EC146,'Étape 1 - à remplir'!$G$31:$G$400,"kg"),SUMIFS('Étape 1 - à remplir'!$F$31:$F$400,'Étape 1 - à remplir'!$E$31:$E$400,MASQ2!EC146,'Étape 1 - à remplir'!$N$31:$N$400,EL$3,'Étape 1 - à remplir'!$G$31:$G$400,"kg")))))))</f>
        <v>#N/A</v>
      </c>
      <c r="EE146" s="76">
        <f t="shared" si="184"/>
        <v>0</v>
      </c>
      <c r="EF146" t="str">
        <f t="shared" si="175"/>
        <v>Colistine</v>
      </c>
      <c r="EG146" t="str">
        <f t="shared" si="176"/>
        <v/>
      </c>
      <c r="EH146" t="str">
        <f t="shared" si="177"/>
        <v/>
      </c>
      <c r="EI146" t="str">
        <f t="shared" si="178"/>
        <v>Polypeptides</v>
      </c>
      <c r="EJ146" t="str">
        <f t="shared" si="179"/>
        <v/>
      </c>
      <c r="EK146" s="63" t="str">
        <f t="shared" si="180"/>
        <v/>
      </c>
      <c r="EN146" s="42">
        <v>143</v>
      </c>
      <c r="EO146" t="e">
        <f t="shared" si="186"/>
        <v>#N/A</v>
      </c>
      <c r="EP146" s="63" t="e">
        <f t="shared" si="187"/>
        <v>#N/A</v>
      </c>
      <c r="FT146" s="63"/>
    </row>
    <row r="147" spans="2:176" x14ac:dyDescent="0.3">
      <c r="B147" s="42"/>
      <c r="M147" s="194" t="str">
        <f ca="1">INDEX(Données_ATB!BD:BU,MATCH(MASQ2!O147,Données_ATB!BD:BD,0),18)</f>
        <v>x</v>
      </c>
      <c r="N147" s="14" t="str">
        <f>IFERROR(IF(Q147=0,"",COUNTIF(Q$4:Q$600,"&gt;"&amp;Q147)+COUNTIF(Q$4:Q147,Q147)),"")</f>
        <v/>
      </c>
      <c r="O147" t="str">
        <f>Données_ATB!BD146</f>
        <v>COLISULTRIX POUDRE</v>
      </c>
      <c r="P147" t="e">
        <f>IF(IF(X$2="Catégorie",IF(X$3="Toutes",SUMIFS('Étape 1 - à remplir'!$F$31:$F$400,'Étape 1 - à remplir'!$E$31:$E$400,MASQ2!O147,'Étape 1 - à remplir'!$G$31:$G$400,"animaux"),SUMIFS('Étape 1 - à remplir'!$F$31:$F$400,'Étape 1 - à remplir'!$E$31:$E$400,MASQ2!O147,'Étape 1 - à remplir'!$C$31:$C$400,X$3)),IF(X$2="Âge",IF(X$3="Tous",SUMIFS('Étape 1 - à remplir'!$F$31:$F$400,'Étape 1 - à remplir'!$E$31:$E$400,MASQ2!O147,'Étape 1 - à remplir'!$G$31:$G$400,"animaux"),SUMIFS('Étape 1 - à remplir'!$F$31:$F$400,'Étape 1 - à remplir'!$E$31:$E$400,MASQ2!O147,'Étape 1 - à remplir'!$P$31:$P$400,X$3)),IF(X$2="Atelier",IF(X$3="Tous",SUMIFS('Étape 1 - à remplir'!$F$31:$F$400,'Étape 1 - à remplir'!$E$31:$E$400,MASQ2!O147,'Étape 1 - à remplir'!$G$31:$G$400,"animaux"),SUMIFS('Étape 1 - à remplir'!$F$31:$F$400,'Étape 1 - à remplir'!$E$31:$E$400,MASQ2!O147,'Étape 1 - à remplir'!$O$31:$O$400,X$3)),IF(X$2="Espèce",IF(X$3="Toutes",SUMIFS('Étape 1 - à remplir'!$F$31:$F$400,'Étape 1 - à remplir'!$E$31:$E$400,MASQ2!O147,'Étape 1 - à remplir'!$G$31:$G$400,"animaux"),SUMIFS('Étape 1 - à remplir'!$F$31:$F$400,'Étape 1 - à remplir'!$E$31:$E$400,MASQ2!O147,'Étape 1 - à remplir'!$N$31:$N$400,X$3))))))=0,NA(),IF(X$2="Catégorie",IF(X$3="Toutes",SUMIFS('Étape 1 - à remplir'!$F$31:$F$400,'Étape 1 - à remplir'!$E$31:$E$400,MASQ2!O147,'Étape 1 - à remplir'!$G$31:$G$400,"animaux"),SUMIFS('Étape 1 - à remplir'!$F$31:$F$400,'Étape 1 - à remplir'!$E$31:$E$400,MASQ2!O147,'Étape 1 - à remplir'!$C$31:$C$400,X$3)),IF(X$2="Âge",IF(X$3="Tous",SUMIFS('Étape 1 - à remplir'!$F$31:$F$400,'Étape 1 - à remplir'!$E$31:$E$400,MASQ2!O147,'Étape 1 - à remplir'!$G$31:$G$400,"animaux"),SUMIFS('Étape 1 - à remplir'!$F$31:$F$400,'Étape 1 - à remplir'!$E$31:$E$400,MASQ2!O147,'Étape 1 - à remplir'!$P$31:$P$400,X$3)),IF(X$2="Atelier",IF(X$3="Tous",SUMIFS('Étape 1 - à remplir'!$F$31:$F$400,'Étape 1 - à remplir'!$E$31:$E$400,MASQ2!O147,'Étape 1 - à remplir'!$G$31:$G$400,"animaux"),SUMIFS('Étape 1 - à remplir'!$F$31:$F$400,'Étape 1 - à remplir'!$E$31:$E$400,MASQ2!O147,'Étape 1 - à remplir'!$O$31:$O$400,X$3)),IF(X$2="Espèce",IF(X$3="Toutes",SUMIFS('Étape 1 - à remplir'!$F$31:$F$400,'Étape 1 - à remplir'!$E$31:$E$400,MASQ2!O147,'Étape 1 - à remplir'!$G$31:$G$400,"animaux"),SUMIFS('Étape 1 - à remplir'!$F$31:$F$400,'Étape 1 - à remplir'!$E$31:$E$400,MASQ2!O147,'Étape 1 - à remplir'!$N$31:$N$400,X$3)))))))</f>
        <v>#N/A</v>
      </c>
      <c r="Q147" s="63">
        <f t="shared" si="185"/>
        <v>0</v>
      </c>
      <c r="R147" t="str">
        <f>Données_ATB!BM146</f>
        <v>Triméthoprime</v>
      </c>
      <c r="S147" t="str">
        <f>Données_ATB!BN146</f>
        <v>Colistine</v>
      </c>
      <c r="T147" s="63" t="str">
        <f>Données_ATB!BO146</f>
        <v/>
      </c>
      <c r="U147" s="42" t="str">
        <f>Données_ATB!BQ146</f>
        <v>Trimethoprime</v>
      </c>
      <c r="V147" t="str">
        <f>Données_ATB!BR146</f>
        <v>Polypeptides</v>
      </c>
      <c r="W147" s="63" t="str">
        <f>Données_ATB!BS146</f>
        <v/>
      </c>
      <c r="Z147" s="42">
        <v>144</v>
      </c>
      <c r="AA147" t="e">
        <f t="shared" si="181"/>
        <v>#N/A</v>
      </c>
      <c r="AB147" s="63" t="e">
        <f t="shared" si="182"/>
        <v>#N/A</v>
      </c>
      <c r="BF147" s="63"/>
      <c r="BT147" s="194" t="str">
        <f t="shared" ca="1" si="165"/>
        <v>x</v>
      </c>
      <c r="BU147" s="219" t="str">
        <f>IFERROR(IF(BX147=0,"",COUNTIF(BX$4:BX$600,"&gt;"&amp;BX147)+COUNTIF(BX$4:BX147,BX147)),"")</f>
        <v/>
      </c>
      <c r="BV147" s="42" t="str">
        <f t="shared" si="166"/>
        <v>COLISULTRIX POUDRE</v>
      </c>
      <c r="BW147" t="e">
        <f>IF(IF(CE$2="Catégorie",IF(CE$3="Toutes",SUMIFS('Étape 1 - à remplir'!$F$31:$F$400,'Étape 1 - à remplir'!$E$31:$E$400,MASQ2!BV147,'Étape 1 - à remplir'!$G$31:$G$400,"lots"),SUMIFS('Étape 1 - à remplir'!$F$31:$F$400,'Étape 1 - à remplir'!$E$31:$E$400,MASQ2!BV147,'Étape 1 - à remplir'!$C$31:$C$400,CE$3)),IF(CE$2="Âge",IF(CE$3="Tous",SUMIFS('Étape 1 - à remplir'!$F$31:$F$400,'Étape 1 - à remplir'!$E$31:$E$400,MASQ2!BV147,'Étape 1 - à remplir'!$G$31:$G$400,"lots"),SUMIFS('Étape 1 - à remplir'!$F$31:$F$400,'Étape 1 - à remplir'!$E$31:$E$400,MASQ2!BV147,'Étape 1 - à remplir'!$P$31:$P$400,CE$3,'Étape 1 - à remplir'!$G$31:$G$400,"lots")),IF(CE$2="Atelier",IF(CE$3="Tous",SUMIFS('Étape 1 - à remplir'!$F$31:$F$400,'Étape 1 - à remplir'!$E$31:$E$400,MASQ2!BV147,'Étape 1 - à remplir'!$G$31:$G$400,"lots"),SUMIFS('Étape 1 - à remplir'!$F$31:$F$400,'Étape 1 - à remplir'!$E$31:$E$400,MASQ2!BV147,'Étape 1 - à remplir'!$O$31:$O$400,CE$3,'Étape 1 - à remplir'!$G$31:$G$400,"lots")),IF(CE$2="Espèce",IF(CE$3="Toutes",SUMIFS('Étape 1 - à remplir'!$F$31:$F$400,'Étape 1 - à remplir'!$E$31:$E$400,MASQ2!BV147,'Étape 1 - à remplir'!$G$31:$G$400,"lots"),SUMIFS('Étape 1 - à remplir'!$F$31:$F$400,'Étape 1 - à remplir'!$E$31:$E$400,MASQ2!BV147,'Étape 1 - à remplir'!$N$31:$N$400,CE$3,'Étape 1 - à remplir'!$G$31:$G$400,"lots"))))))=0,NA(),IF(CE$2="Catégorie",IF(CE$3="Toutes",SUMIFS('Étape 1 - à remplir'!$F$31:$F$400,'Étape 1 - à remplir'!$E$31:$E$400,MASQ2!BV147,'Étape 1 - à remplir'!$G$31:$G$400,"lots"),SUMIFS('Étape 1 - à remplir'!$F$31:$F$400,'Étape 1 - à remplir'!$E$31:$E$400,MASQ2!BV147,'Étape 1 - à remplir'!$C$31:$C$400,CE$3)),IF(CE$2="Âge",IF(CE$3="Tous",SUMIFS('Étape 1 - à remplir'!$F$31:$F$400,'Étape 1 - à remplir'!$E$31:$E$400,MASQ2!BV147,'Étape 1 - à remplir'!$G$31:$G$400,"lots"),SUMIFS('Étape 1 - à remplir'!$F$31:$F$400,'Étape 1 - à remplir'!$E$31:$E$400,MASQ2!BV147,'Étape 1 - à remplir'!$P$31:$P$400,CE$3,'Étape 1 - à remplir'!$G$31:$G$400,"lots")),IF(CE$2="Atelier",IF(CE$3="Tous",SUMIFS('Étape 1 - à remplir'!$F$31:$F$400,'Étape 1 - à remplir'!$E$31:$E$400,MASQ2!BV147,'Étape 1 - à remplir'!$G$31:$G$400,"lots"),SUMIFS('Étape 1 - à remplir'!$F$31:$F$400,'Étape 1 - à remplir'!$E$31:$E$400,MASQ2!BV147,'Étape 1 - à remplir'!$O$31:$O$400,CE$3,'Étape 1 - à remplir'!$G$31:$G$400,"lots")),IF(CE$2="Espèce",IF(CE$3="Toutes",SUMIFS('Étape 1 - à remplir'!$F$31:$F$400,'Étape 1 - à remplir'!$E$31:$E$400,MASQ2!BV147,'Étape 1 - à remplir'!$G$31:$G$400,"lots"),SUMIFS('Étape 1 - à remplir'!$F$31:$F$400,'Étape 1 - à remplir'!$E$31:$E$400,MASQ2!BV147,'Étape 1 - à remplir'!$N$31:$N$400,CE$3,'Étape 1 - à remplir'!$G$31:$G$400,"lots")))))))</f>
        <v>#N/A</v>
      </c>
      <c r="BX147">
        <f t="shared" si="183"/>
        <v>0</v>
      </c>
      <c r="BY147" t="str">
        <f t="shared" si="167"/>
        <v>Triméthoprime</v>
      </c>
      <c r="BZ147" t="str">
        <f t="shared" si="168"/>
        <v>Colistine</v>
      </c>
      <c r="CA147" t="str">
        <f t="shared" si="169"/>
        <v/>
      </c>
      <c r="CB147" t="str">
        <f t="shared" si="170"/>
        <v>Trimethoprime</v>
      </c>
      <c r="CC147" t="str">
        <f t="shared" si="171"/>
        <v>Polypeptides</v>
      </c>
      <c r="CD147" s="63" t="str">
        <f t="shared" si="172"/>
        <v/>
      </c>
      <c r="CG147" s="42">
        <v>144</v>
      </c>
      <c r="CH147" s="42" t="e">
        <f t="shared" si="188"/>
        <v>#N/A</v>
      </c>
      <c r="CI147" s="63" t="e">
        <f t="shared" si="189"/>
        <v>#N/A</v>
      </c>
      <c r="DM147" s="63"/>
      <c r="EA147" s="194" t="str">
        <f t="shared" ca="1" si="173"/>
        <v>x</v>
      </c>
      <c r="EB147" s="226" t="str">
        <f>IFERROR(IF(ED147=0,"",COUNTIF(ED$4:ED$600,"&gt;"&amp;ED147)+COUNTIF(ED$4:ED147,ED147)),"")</f>
        <v/>
      </c>
      <c r="EC147" t="str">
        <f t="shared" si="174"/>
        <v>COLISULTRIX POUDRE</v>
      </c>
      <c r="ED147" t="e">
        <f>IF(IF(EL$2="Catégorie",IF(EL$3="Toutes",SUMIFS('Étape 1 - à remplir'!$F$31:$F$400,'Étape 1 - à remplir'!$E$31:$E$400,MASQ2!EC147,'Étape 1 - à remplir'!$G$31:$G$400,"kg"),SUMIFS('Étape 1 - à remplir'!$F$31:$F$400,'Étape 1 - à remplir'!$E$31:$E$400,MASQ2!EC147,'Étape 1 - à remplir'!$C$31:$C$400,EL$3)),IF(EL$2="Âge",IF(EL$3="Tous",SUMIFS('Étape 1 - à remplir'!$F$31:$F$400,'Étape 1 - à remplir'!$E$31:$E$400,MASQ2!EC147,'Étape 1 - à remplir'!$G$31:$G$400,"kg"),SUMIFS('Étape 1 - à remplir'!$F$31:$F$400,'Étape 1 - à remplir'!$E$31:$E$400,MASQ2!EC147,'Étape 1 - à remplir'!$P$31:$P$400,EL$3,'Étape 1 - à remplir'!$G$31:$G$400,"kg")),IF(EL$2="Atelier",IF(EL$3="Tous",SUMIFS('Étape 1 - à remplir'!$F$31:$F$400,'Étape 1 - à remplir'!$E$31:$E$400,MASQ2!EC147,'Étape 1 - à remplir'!$G$31:$G$400,"kg"),SUMIFS('Étape 1 - à remplir'!$F$31:$F$400,'Étape 1 - à remplir'!$E$31:$E$400,MASQ2!EC147,'Étape 1 - à remplir'!$O$31:$O$400,EL$3,'Étape 1 - à remplir'!$G$31:$G$400,"kg")),IF(EL$2="Espèce",IF(EL$3="Toutes",SUMIFS('Étape 1 - à remplir'!$F$31:$F$400,'Étape 1 - à remplir'!$E$31:$E$400,MASQ2!EC147,'Étape 1 - à remplir'!$G$31:$G$400,"kg"),SUMIFS('Étape 1 - à remplir'!$F$31:$F$400,'Étape 1 - à remplir'!$E$31:$E$400,MASQ2!EC147,'Étape 1 - à remplir'!$N$31:$N$400,EL$3,'Étape 1 - à remplir'!$G$31:$G$400,"kg"))))))=0,NA(),IF(EL$2="Catégorie",IF(EL$3="Toutes",SUMIFS('Étape 1 - à remplir'!$F$31:$F$400,'Étape 1 - à remplir'!$E$31:$E$400,MASQ2!EC147,'Étape 1 - à remplir'!$G$31:$G$400,"kg"),SUMIFS('Étape 1 - à remplir'!$F$31:$F$400,'Étape 1 - à remplir'!$E$31:$E$400,MASQ2!EC147,'Étape 1 - à remplir'!$C$31:$C$400,EL$3)),IF(EL$2="Âge",IF(EL$3="Tous",SUMIFS('Étape 1 - à remplir'!$F$31:$F$400,'Étape 1 - à remplir'!$E$31:$E$400,MASQ2!EC147,'Étape 1 - à remplir'!$G$31:$G$400,"kg"),SUMIFS('Étape 1 - à remplir'!$F$31:$F$400,'Étape 1 - à remplir'!$E$31:$E$400,MASQ2!EC147,'Étape 1 - à remplir'!$P$31:$P$400,EL$3,'Étape 1 - à remplir'!$G$31:$G$400,"kg")),IF(EL$2="Atelier",IF(EL$3="Tous",SUMIFS('Étape 1 - à remplir'!$F$31:$F$400,'Étape 1 - à remplir'!$E$31:$E$400,MASQ2!EC147,'Étape 1 - à remplir'!$G$31:$G$400,"kg"),SUMIFS('Étape 1 - à remplir'!$F$31:$F$400,'Étape 1 - à remplir'!$E$31:$E$400,MASQ2!EC147,'Étape 1 - à remplir'!$O$31:$O$400,EL$3,'Étape 1 - à remplir'!$G$31:$G$400,"kg")),IF(EL$2="Espèce",IF(EL$3="Toutes",SUMIFS('Étape 1 - à remplir'!$F$31:$F$400,'Étape 1 - à remplir'!$E$31:$E$400,MASQ2!EC147,'Étape 1 - à remplir'!$G$31:$G$400,"kg"),SUMIFS('Étape 1 - à remplir'!$F$31:$F$400,'Étape 1 - à remplir'!$E$31:$E$400,MASQ2!EC147,'Étape 1 - à remplir'!$N$31:$N$400,EL$3,'Étape 1 - à remplir'!$G$31:$G$400,"kg")))))))</f>
        <v>#N/A</v>
      </c>
      <c r="EE147" s="76">
        <f t="shared" si="184"/>
        <v>0</v>
      </c>
      <c r="EF147" t="str">
        <f t="shared" si="175"/>
        <v>Triméthoprime</v>
      </c>
      <c r="EG147" t="str">
        <f t="shared" si="176"/>
        <v>Colistine</v>
      </c>
      <c r="EH147" t="str">
        <f t="shared" si="177"/>
        <v/>
      </c>
      <c r="EI147" t="str">
        <f t="shared" si="178"/>
        <v>Trimethoprime</v>
      </c>
      <c r="EJ147" t="str">
        <f t="shared" si="179"/>
        <v>Polypeptides</v>
      </c>
      <c r="EK147" s="63" t="str">
        <f t="shared" si="180"/>
        <v/>
      </c>
      <c r="EN147" s="42">
        <v>144</v>
      </c>
      <c r="EO147" t="e">
        <f t="shared" si="186"/>
        <v>#N/A</v>
      </c>
      <c r="EP147" s="63" t="e">
        <f t="shared" si="187"/>
        <v>#N/A</v>
      </c>
      <c r="FT147" s="63"/>
    </row>
    <row r="148" spans="2:176" x14ac:dyDescent="0.3">
      <c r="B148" s="42"/>
      <c r="M148" s="194" t="str">
        <f ca="1">INDEX(Données_ATB!BD:BU,MATCH(MASQ2!O148,Données_ATB!BD:BD,0),18)</f>
        <v>x</v>
      </c>
      <c r="N148" s="14" t="str">
        <f>IFERROR(IF(Q148=0,"",COUNTIF(Q$4:Q$600,"&gt;"&amp;Q148)+COUNTIF(Q$4:Q148,Q148)),"")</f>
        <v/>
      </c>
      <c r="O148" t="str">
        <f>Données_ATB!BD147</f>
        <v>COLIVET</v>
      </c>
      <c r="P148" t="e">
        <f>IF(IF(X$2="Catégorie",IF(X$3="Toutes",SUMIFS('Étape 1 - à remplir'!$F$31:$F$400,'Étape 1 - à remplir'!$E$31:$E$400,MASQ2!O148,'Étape 1 - à remplir'!$G$31:$G$400,"animaux"),SUMIFS('Étape 1 - à remplir'!$F$31:$F$400,'Étape 1 - à remplir'!$E$31:$E$400,MASQ2!O148,'Étape 1 - à remplir'!$C$31:$C$400,X$3)),IF(X$2="Âge",IF(X$3="Tous",SUMIFS('Étape 1 - à remplir'!$F$31:$F$400,'Étape 1 - à remplir'!$E$31:$E$400,MASQ2!O148,'Étape 1 - à remplir'!$G$31:$G$400,"animaux"),SUMIFS('Étape 1 - à remplir'!$F$31:$F$400,'Étape 1 - à remplir'!$E$31:$E$400,MASQ2!O148,'Étape 1 - à remplir'!$P$31:$P$400,X$3)),IF(X$2="Atelier",IF(X$3="Tous",SUMIFS('Étape 1 - à remplir'!$F$31:$F$400,'Étape 1 - à remplir'!$E$31:$E$400,MASQ2!O148,'Étape 1 - à remplir'!$G$31:$G$400,"animaux"),SUMIFS('Étape 1 - à remplir'!$F$31:$F$400,'Étape 1 - à remplir'!$E$31:$E$400,MASQ2!O148,'Étape 1 - à remplir'!$O$31:$O$400,X$3)),IF(X$2="Espèce",IF(X$3="Toutes",SUMIFS('Étape 1 - à remplir'!$F$31:$F$400,'Étape 1 - à remplir'!$E$31:$E$400,MASQ2!O148,'Étape 1 - à remplir'!$G$31:$G$400,"animaux"),SUMIFS('Étape 1 - à remplir'!$F$31:$F$400,'Étape 1 - à remplir'!$E$31:$E$400,MASQ2!O148,'Étape 1 - à remplir'!$N$31:$N$400,X$3))))))=0,NA(),IF(X$2="Catégorie",IF(X$3="Toutes",SUMIFS('Étape 1 - à remplir'!$F$31:$F$400,'Étape 1 - à remplir'!$E$31:$E$400,MASQ2!O148,'Étape 1 - à remplir'!$G$31:$G$400,"animaux"),SUMIFS('Étape 1 - à remplir'!$F$31:$F$400,'Étape 1 - à remplir'!$E$31:$E$400,MASQ2!O148,'Étape 1 - à remplir'!$C$31:$C$400,X$3)),IF(X$2="Âge",IF(X$3="Tous",SUMIFS('Étape 1 - à remplir'!$F$31:$F$400,'Étape 1 - à remplir'!$E$31:$E$400,MASQ2!O148,'Étape 1 - à remplir'!$G$31:$G$400,"animaux"),SUMIFS('Étape 1 - à remplir'!$F$31:$F$400,'Étape 1 - à remplir'!$E$31:$E$400,MASQ2!O148,'Étape 1 - à remplir'!$P$31:$P$400,X$3)),IF(X$2="Atelier",IF(X$3="Tous",SUMIFS('Étape 1 - à remplir'!$F$31:$F$400,'Étape 1 - à remplir'!$E$31:$E$400,MASQ2!O148,'Étape 1 - à remplir'!$G$31:$G$400,"animaux"),SUMIFS('Étape 1 - à remplir'!$F$31:$F$400,'Étape 1 - à remplir'!$E$31:$E$400,MASQ2!O148,'Étape 1 - à remplir'!$O$31:$O$400,X$3)),IF(X$2="Espèce",IF(X$3="Toutes",SUMIFS('Étape 1 - à remplir'!$F$31:$F$400,'Étape 1 - à remplir'!$E$31:$E$400,MASQ2!O148,'Étape 1 - à remplir'!$G$31:$G$400,"animaux"),SUMIFS('Étape 1 - à remplir'!$F$31:$F$400,'Étape 1 - à remplir'!$E$31:$E$400,MASQ2!O148,'Étape 1 - à remplir'!$N$31:$N$400,X$3)))))))</f>
        <v>#N/A</v>
      </c>
      <c r="Q148" s="63">
        <f t="shared" si="185"/>
        <v>0</v>
      </c>
      <c r="R148" t="str">
        <f>Données_ATB!BM147</f>
        <v>Colistine</v>
      </c>
      <c r="S148" t="str">
        <f>Données_ATB!BN147</f>
        <v/>
      </c>
      <c r="T148" s="63" t="str">
        <f>Données_ATB!BO147</f>
        <v/>
      </c>
      <c r="U148" s="42" t="str">
        <f>Données_ATB!BQ147</f>
        <v>Polypeptides</v>
      </c>
      <c r="V148" t="str">
        <f>Données_ATB!BR147</f>
        <v/>
      </c>
      <c r="W148" s="63" t="str">
        <f>Données_ATB!BS147</f>
        <v/>
      </c>
      <c r="Z148" s="42">
        <v>145</v>
      </c>
      <c r="AA148" t="e">
        <f t="shared" si="181"/>
        <v>#N/A</v>
      </c>
      <c r="AB148" s="63" t="e">
        <f t="shared" si="182"/>
        <v>#N/A</v>
      </c>
      <c r="BF148" s="63"/>
      <c r="BT148" s="194" t="str">
        <f t="shared" ca="1" si="165"/>
        <v>x</v>
      </c>
      <c r="BU148" s="219" t="str">
        <f>IFERROR(IF(BX148=0,"",COUNTIF(BX$4:BX$600,"&gt;"&amp;BX148)+COUNTIF(BX$4:BX148,BX148)),"")</f>
        <v/>
      </c>
      <c r="BV148" s="42" t="str">
        <f t="shared" si="166"/>
        <v>COLIVET</v>
      </c>
      <c r="BW148" t="e">
        <f>IF(IF(CE$2="Catégorie",IF(CE$3="Toutes",SUMIFS('Étape 1 - à remplir'!$F$31:$F$400,'Étape 1 - à remplir'!$E$31:$E$400,MASQ2!BV148,'Étape 1 - à remplir'!$G$31:$G$400,"lots"),SUMIFS('Étape 1 - à remplir'!$F$31:$F$400,'Étape 1 - à remplir'!$E$31:$E$400,MASQ2!BV148,'Étape 1 - à remplir'!$C$31:$C$400,CE$3)),IF(CE$2="Âge",IF(CE$3="Tous",SUMIFS('Étape 1 - à remplir'!$F$31:$F$400,'Étape 1 - à remplir'!$E$31:$E$400,MASQ2!BV148,'Étape 1 - à remplir'!$G$31:$G$400,"lots"),SUMIFS('Étape 1 - à remplir'!$F$31:$F$400,'Étape 1 - à remplir'!$E$31:$E$400,MASQ2!BV148,'Étape 1 - à remplir'!$P$31:$P$400,CE$3,'Étape 1 - à remplir'!$G$31:$G$400,"lots")),IF(CE$2="Atelier",IF(CE$3="Tous",SUMIFS('Étape 1 - à remplir'!$F$31:$F$400,'Étape 1 - à remplir'!$E$31:$E$400,MASQ2!BV148,'Étape 1 - à remplir'!$G$31:$G$400,"lots"),SUMIFS('Étape 1 - à remplir'!$F$31:$F$400,'Étape 1 - à remplir'!$E$31:$E$400,MASQ2!BV148,'Étape 1 - à remplir'!$O$31:$O$400,CE$3,'Étape 1 - à remplir'!$G$31:$G$400,"lots")),IF(CE$2="Espèce",IF(CE$3="Toutes",SUMIFS('Étape 1 - à remplir'!$F$31:$F$400,'Étape 1 - à remplir'!$E$31:$E$400,MASQ2!BV148,'Étape 1 - à remplir'!$G$31:$G$400,"lots"),SUMIFS('Étape 1 - à remplir'!$F$31:$F$400,'Étape 1 - à remplir'!$E$31:$E$400,MASQ2!BV148,'Étape 1 - à remplir'!$N$31:$N$400,CE$3,'Étape 1 - à remplir'!$G$31:$G$400,"lots"))))))=0,NA(),IF(CE$2="Catégorie",IF(CE$3="Toutes",SUMIFS('Étape 1 - à remplir'!$F$31:$F$400,'Étape 1 - à remplir'!$E$31:$E$400,MASQ2!BV148,'Étape 1 - à remplir'!$G$31:$G$400,"lots"),SUMIFS('Étape 1 - à remplir'!$F$31:$F$400,'Étape 1 - à remplir'!$E$31:$E$400,MASQ2!BV148,'Étape 1 - à remplir'!$C$31:$C$400,CE$3)),IF(CE$2="Âge",IF(CE$3="Tous",SUMIFS('Étape 1 - à remplir'!$F$31:$F$400,'Étape 1 - à remplir'!$E$31:$E$400,MASQ2!BV148,'Étape 1 - à remplir'!$G$31:$G$400,"lots"),SUMIFS('Étape 1 - à remplir'!$F$31:$F$400,'Étape 1 - à remplir'!$E$31:$E$400,MASQ2!BV148,'Étape 1 - à remplir'!$P$31:$P$400,CE$3,'Étape 1 - à remplir'!$G$31:$G$400,"lots")),IF(CE$2="Atelier",IF(CE$3="Tous",SUMIFS('Étape 1 - à remplir'!$F$31:$F$400,'Étape 1 - à remplir'!$E$31:$E$400,MASQ2!BV148,'Étape 1 - à remplir'!$G$31:$G$400,"lots"),SUMIFS('Étape 1 - à remplir'!$F$31:$F$400,'Étape 1 - à remplir'!$E$31:$E$400,MASQ2!BV148,'Étape 1 - à remplir'!$O$31:$O$400,CE$3,'Étape 1 - à remplir'!$G$31:$G$400,"lots")),IF(CE$2="Espèce",IF(CE$3="Toutes",SUMIFS('Étape 1 - à remplir'!$F$31:$F$400,'Étape 1 - à remplir'!$E$31:$E$400,MASQ2!BV148,'Étape 1 - à remplir'!$G$31:$G$400,"lots"),SUMIFS('Étape 1 - à remplir'!$F$31:$F$400,'Étape 1 - à remplir'!$E$31:$E$400,MASQ2!BV148,'Étape 1 - à remplir'!$N$31:$N$400,CE$3,'Étape 1 - à remplir'!$G$31:$G$400,"lots")))))))</f>
        <v>#N/A</v>
      </c>
      <c r="BX148">
        <f t="shared" si="183"/>
        <v>0</v>
      </c>
      <c r="BY148" t="str">
        <f t="shared" si="167"/>
        <v>Colistine</v>
      </c>
      <c r="BZ148" t="str">
        <f t="shared" si="168"/>
        <v/>
      </c>
      <c r="CA148" t="str">
        <f t="shared" si="169"/>
        <v/>
      </c>
      <c r="CB148" t="str">
        <f t="shared" si="170"/>
        <v>Polypeptides</v>
      </c>
      <c r="CC148" t="str">
        <f t="shared" si="171"/>
        <v/>
      </c>
      <c r="CD148" s="63" t="str">
        <f t="shared" si="172"/>
        <v/>
      </c>
      <c r="CG148" s="42">
        <v>145</v>
      </c>
      <c r="CH148" s="42" t="e">
        <f t="shared" si="188"/>
        <v>#N/A</v>
      </c>
      <c r="CI148" s="63" t="e">
        <f t="shared" si="189"/>
        <v>#N/A</v>
      </c>
      <c r="DM148" s="63"/>
      <c r="EA148" s="194" t="str">
        <f t="shared" ca="1" si="173"/>
        <v>x</v>
      </c>
      <c r="EB148" s="226" t="str">
        <f>IFERROR(IF(ED148=0,"",COUNTIF(ED$4:ED$600,"&gt;"&amp;ED148)+COUNTIF(ED$4:ED148,ED148)),"")</f>
        <v/>
      </c>
      <c r="EC148" t="str">
        <f t="shared" si="174"/>
        <v>COLIVET</v>
      </c>
      <c r="ED148" t="e">
        <f>IF(IF(EL$2="Catégorie",IF(EL$3="Toutes",SUMIFS('Étape 1 - à remplir'!$F$31:$F$400,'Étape 1 - à remplir'!$E$31:$E$400,MASQ2!EC148,'Étape 1 - à remplir'!$G$31:$G$400,"kg"),SUMIFS('Étape 1 - à remplir'!$F$31:$F$400,'Étape 1 - à remplir'!$E$31:$E$400,MASQ2!EC148,'Étape 1 - à remplir'!$C$31:$C$400,EL$3)),IF(EL$2="Âge",IF(EL$3="Tous",SUMIFS('Étape 1 - à remplir'!$F$31:$F$400,'Étape 1 - à remplir'!$E$31:$E$400,MASQ2!EC148,'Étape 1 - à remplir'!$G$31:$G$400,"kg"),SUMIFS('Étape 1 - à remplir'!$F$31:$F$400,'Étape 1 - à remplir'!$E$31:$E$400,MASQ2!EC148,'Étape 1 - à remplir'!$P$31:$P$400,EL$3,'Étape 1 - à remplir'!$G$31:$G$400,"kg")),IF(EL$2="Atelier",IF(EL$3="Tous",SUMIFS('Étape 1 - à remplir'!$F$31:$F$400,'Étape 1 - à remplir'!$E$31:$E$400,MASQ2!EC148,'Étape 1 - à remplir'!$G$31:$G$400,"kg"),SUMIFS('Étape 1 - à remplir'!$F$31:$F$400,'Étape 1 - à remplir'!$E$31:$E$400,MASQ2!EC148,'Étape 1 - à remplir'!$O$31:$O$400,EL$3,'Étape 1 - à remplir'!$G$31:$G$400,"kg")),IF(EL$2="Espèce",IF(EL$3="Toutes",SUMIFS('Étape 1 - à remplir'!$F$31:$F$400,'Étape 1 - à remplir'!$E$31:$E$400,MASQ2!EC148,'Étape 1 - à remplir'!$G$31:$G$400,"kg"),SUMIFS('Étape 1 - à remplir'!$F$31:$F$400,'Étape 1 - à remplir'!$E$31:$E$400,MASQ2!EC148,'Étape 1 - à remplir'!$N$31:$N$400,EL$3,'Étape 1 - à remplir'!$G$31:$G$400,"kg"))))))=0,NA(),IF(EL$2="Catégorie",IF(EL$3="Toutes",SUMIFS('Étape 1 - à remplir'!$F$31:$F$400,'Étape 1 - à remplir'!$E$31:$E$400,MASQ2!EC148,'Étape 1 - à remplir'!$G$31:$G$400,"kg"),SUMIFS('Étape 1 - à remplir'!$F$31:$F$400,'Étape 1 - à remplir'!$E$31:$E$400,MASQ2!EC148,'Étape 1 - à remplir'!$C$31:$C$400,EL$3)),IF(EL$2="Âge",IF(EL$3="Tous",SUMIFS('Étape 1 - à remplir'!$F$31:$F$400,'Étape 1 - à remplir'!$E$31:$E$400,MASQ2!EC148,'Étape 1 - à remplir'!$G$31:$G$400,"kg"),SUMIFS('Étape 1 - à remplir'!$F$31:$F$400,'Étape 1 - à remplir'!$E$31:$E$400,MASQ2!EC148,'Étape 1 - à remplir'!$P$31:$P$400,EL$3,'Étape 1 - à remplir'!$G$31:$G$400,"kg")),IF(EL$2="Atelier",IF(EL$3="Tous",SUMIFS('Étape 1 - à remplir'!$F$31:$F$400,'Étape 1 - à remplir'!$E$31:$E$400,MASQ2!EC148,'Étape 1 - à remplir'!$G$31:$G$400,"kg"),SUMIFS('Étape 1 - à remplir'!$F$31:$F$400,'Étape 1 - à remplir'!$E$31:$E$400,MASQ2!EC148,'Étape 1 - à remplir'!$O$31:$O$400,EL$3,'Étape 1 - à remplir'!$G$31:$G$400,"kg")),IF(EL$2="Espèce",IF(EL$3="Toutes",SUMIFS('Étape 1 - à remplir'!$F$31:$F$400,'Étape 1 - à remplir'!$E$31:$E$400,MASQ2!EC148,'Étape 1 - à remplir'!$G$31:$G$400,"kg"),SUMIFS('Étape 1 - à remplir'!$F$31:$F$400,'Étape 1 - à remplir'!$E$31:$E$400,MASQ2!EC148,'Étape 1 - à remplir'!$N$31:$N$400,EL$3,'Étape 1 - à remplir'!$G$31:$G$400,"kg")))))))</f>
        <v>#N/A</v>
      </c>
      <c r="EE148" s="76">
        <f t="shared" si="184"/>
        <v>0</v>
      </c>
      <c r="EF148" t="str">
        <f t="shared" si="175"/>
        <v>Colistine</v>
      </c>
      <c r="EG148" t="str">
        <f t="shared" si="176"/>
        <v/>
      </c>
      <c r="EH148" t="str">
        <f t="shared" si="177"/>
        <v/>
      </c>
      <c r="EI148" t="str">
        <f t="shared" si="178"/>
        <v>Polypeptides</v>
      </c>
      <c r="EJ148" t="str">
        <f t="shared" si="179"/>
        <v/>
      </c>
      <c r="EK148" s="63" t="str">
        <f t="shared" si="180"/>
        <v/>
      </c>
      <c r="EN148" s="42">
        <v>145</v>
      </c>
      <c r="EO148" t="e">
        <f t="shared" si="186"/>
        <v>#N/A</v>
      </c>
      <c r="EP148" s="63" t="e">
        <f t="shared" si="187"/>
        <v>#N/A</v>
      </c>
      <c r="FT148" s="63"/>
    </row>
    <row r="149" spans="2:176" x14ac:dyDescent="0.3">
      <c r="B149" s="42"/>
      <c r="M149" s="194" t="str">
        <f ca="1">INDEX(Données_ATB!BD:BU,MATCH(MASQ2!O149,Données_ATB!BD:BD,0),18)</f>
        <v>x</v>
      </c>
      <c r="N149" s="14" t="str">
        <f>IFERROR(IF(Q149=0,"",COUNTIF(Q$4:Q$600,"&gt;"&amp;Q149)+COUNTIF(Q$4:Q149,Q149)),"")</f>
        <v/>
      </c>
      <c r="O149" t="str">
        <f>Données_ATB!BD148</f>
        <v>COLIVET SOLUTION</v>
      </c>
      <c r="P149" t="e">
        <f>IF(IF(X$2="Catégorie",IF(X$3="Toutes",SUMIFS('Étape 1 - à remplir'!$F$31:$F$400,'Étape 1 - à remplir'!$E$31:$E$400,MASQ2!O149,'Étape 1 - à remplir'!$G$31:$G$400,"animaux"),SUMIFS('Étape 1 - à remplir'!$F$31:$F$400,'Étape 1 - à remplir'!$E$31:$E$400,MASQ2!O149,'Étape 1 - à remplir'!$C$31:$C$400,X$3)),IF(X$2="Âge",IF(X$3="Tous",SUMIFS('Étape 1 - à remplir'!$F$31:$F$400,'Étape 1 - à remplir'!$E$31:$E$400,MASQ2!O149,'Étape 1 - à remplir'!$G$31:$G$400,"animaux"),SUMIFS('Étape 1 - à remplir'!$F$31:$F$400,'Étape 1 - à remplir'!$E$31:$E$400,MASQ2!O149,'Étape 1 - à remplir'!$P$31:$P$400,X$3)),IF(X$2="Atelier",IF(X$3="Tous",SUMIFS('Étape 1 - à remplir'!$F$31:$F$400,'Étape 1 - à remplir'!$E$31:$E$400,MASQ2!O149,'Étape 1 - à remplir'!$G$31:$G$400,"animaux"),SUMIFS('Étape 1 - à remplir'!$F$31:$F$400,'Étape 1 - à remplir'!$E$31:$E$400,MASQ2!O149,'Étape 1 - à remplir'!$O$31:$O$400,X$3)),IF(X$2="Espèce",IF(X$3="Toutes",SUMIFS('Étape 1 - à remplir'!$F$31:$F$400,'Étape 1 - à remplir'!$E$31:$E$400,MASQ2!O149,'Étape 1 - à remplir'!$G$31:$G$400,"animaux"),SUMIFS('Étape 1 - à remplir'!$F$31:$F$400,'Étape 1 - à remplir'!$E$31:$E$400,MASQ2!O149,'Étape 1 - à remplir'!$N$31:$N$400,X$3))))))=0,NA(),IF(X$2="Catégorie",IF(X$3="Toutes",SUMIFS('Étape 1 - à remplir'!$F$31:$F$400,'Étape 1 - à remplir'!$E$31:$E$400,MASQ2!O149,'Étape 1 - à remplir'!$G$31:$G$400,"animaux"),SUMIFS('Étape 1 - à remplir'!$F$31:$F$400,'Étape 1 - à remplir'!$E$31:$E$400,MASQ2!O149,'Étape 1 - à remplir'!$C$31:$C$400,X$3)),IF(X$2="Âge",IF(X$3="Tous",SUMIFS('Étape 1 - à remplir'!$F$31:$F$400,'Étape 1 - à remplir'!$E$31:$E$400,MASQ2!O149,'Étape 1 - à remplir'!$G$31:$G$400,"animaux"),SUMIFS('Étape 1 - à remplir'!$F$31:$F$400,'Étape 1 - à remplir'!$E$31:$E$400,MASQ2!O149,'Étape 1 - à remplir'!$P$31:$P$400,X$3)),IF(X$2="Atelier",IF(X$3="Tous",SUMIFS('Étape 1 - à remplir'!$F$31:$F$400,'Étape 1 - à remplir'!$E$31:$E$400,MASQ2!O149,'Étape 1 - à remplir'!$G$31:$G$400,"animaux"),SUMIFS('Étape 1 - à remplir'!$F$31:$F$400,'Étape 1 - à remplir'!$E$31:$E$400,MASQ2!O149,'Étape 1 - à remplir'!$O$31:$O$400,X$3)),IF(X$2="Espèce",IF(X$3="Toutes",SUMIFS('Étape 1 - à remplir'!$F$31:$F$400,'Étape 1 - à remplir'!$E$31:$E$400,MASQ2!O149,'Étape 1 - à remplir'!$G$31:$G$400,"animaux"),SUMIFS('Étape 1 - à remplir'!$F$31:$F$400,'Étape 1 - à remplir'!$E$31:$E$400,MASQ2!O149,'Étape 1 - à remplir'!$N$31:$N$400,X$3)))))))</f>
        <v>#N/A</v>
      </c>
      <c r="Q149" s="63">
        <f t="shared" si="185"/>
        <v>0</v>
      </c>
      <c r="R149" t="str">
        <f>Données_ATB!BM148</f>
        <v>Colistine</v>
      </c>
      <c r="S149" t="str">
        <f>Données_ATB!BN148</f>
        <v/>
      </c>
      <c r="T149" s="63" t="str">
        <f>Données_ATB!BO148</f>
        <v/>
      </c>
      <c r="U149" s="42" t="str">
        <f>Données_ATB!BQ148</f>
        <v>Polypeptides</v>
      </c>
      <c r="V149" t="str">
        <f>Données_ATB!BR148</f>
        <v/>
      </c>
      <c r="W149" s="63" t="str">
        <f>Données_ATB!BS148</f>
        <v/>
      </c>
      <c r="Z149" s="42">
        <v>146</v>
      </c>
      <c r="AA149" t="e">
        <f t="shared" si="181"/>
        <v>#N/A</v>
      </c>
      <c r="AB149" s="63" t="e">
        <f t="shared" si="182"/>
        <v>#N/A</v>
      </c>
      <c r="BF149" s="63"/>
      <c r="BT149" s="194" t="str">
        <f t="shared" ca="1" si="165"/>
        <v>x</v>
      </c>
      <c r="BU149" s="219" t="str">
        <f>IFERROR(IF(BX149=0,"",COUNTIF(BX$4:BX$600,"&gt;"&amp;BX149)+COUNTIF(BX$4:BX149,BX149)),"")</f>
        <v/>
      </c>
      <c r="BV149" s="42" t="str">
        <f t="shared" si="166"/>
        <v>COLIVET SOLUTION</v>
      </c>
      <c r="BW149" t="e">
        <f>IF(IF(CE$2="Catégorie",IF(CE$3="Toutes",SUMIFS('Étape 1 - à remplir'!$F$31:$F$400,'Étape 1 - à remplir'!$E$31:$E$400,MASQ2!BV149,'Étape 1 - à remplir'!$G$31:$G$400,"lots"),SUMIFS('Étape 1 - à remplir'!$F$31:$F$400,'Étape 1 - à remplir'!$E$31:$E$400,MASQ2!BV149,'Étape 1 - à remplir'!$C$31:$C$400,CE$3)),IF(CE$2="Âge",IF(CE$3="Tous",SUMIFS('Étape 1 - à remplir'!$F$31:$F$400,'Étape 1 - à remplir'!$E$31:$E$400,MASQ2!BV149,'Étape 1 - à remplir'!$G$31:$G$400,"lots"),SUMIFS('Étape 1 - à remplir'!$F$31:$F$400,'Étape 1 - à remplir'!$E$31:$E$400,MASQ2!BV149,'Étape 1 - à remplir'!$P$31:$P$400,CE$3,'Étape 1 - à remplir'!$G$31:$G$400,"lots")),IF(CE$2="Atelier",IF(CE$3="Tous",SUMIFS('Étape 1 - à remplir'!$F$31:$F$400,'Étape 1 - à remplir'!$E$31:$E$400,MASQ2!BV149,'Étape 1 - à remplir'!$G$31:$G$400,"lots"),SUMIFS('Étape 1 - à remplir'!$F$31:$F$400,'Étape 1 - à remplir'!$E$31:$E$400,MASQ2!BV149,'Étape 1 - à remplir'!$O$31:$O$400,CE$3,'Étape 1 - à remplir'!$G$31:$G$400,"lots")),IF(CE$2="Espèce",IF(CE$3="Toutes",SUMIFS('Étape 1 - à remplir'!$F$31:$F$400,'Étape 1 - à remplir'!$E$31:$E$400,MASQ2!BV149,'Étape 1 - à remplir'!$G$31:$G$400,"lots"),SUMIFS('Étape 1 - à remplir'!$F$31:$F$400,'Étape 1 - à remplir'!$E$31:$E$400,MASQ2!BV149,'Étape 1 - à remplir'!$N$31:$N$400,CE$3,'Étape 1 - à remplir'!$G$31:$G$400,"lots"))))))=0,NA(),IF(CE$2="Catégorie",IF(CE$3="Toutes",SUMIFS('Étape 1 - à remplir'!$F$31:$F$400,'Étape 1 - à remplir'!$E$31:$E$400,MASQ2!BV149,'Étape 1 - à remplir'!$G$31:$G$400,"lots"),SUMIFS('Étape 1 - à remplir'!$F$31:$F$400,'Étape 1 - à remplir'!$E$31:$E$400,MASQ2!BV149,'Étape 1 - à remplir'!$C$31:$C$400,CE$3)),IF(CE$2="Âge",IF(CE$3="Tous",SUMIFS('Étape 1 - à remplir'!$F$31:$F$400,'Étape 1 - à remplir'!$E$31:$E$400,MASQ2!BV149,'Étape 1 - à remplir'!$G$31:$G$400,"lots"),SUMIFS('Étape 1 - à remplir'!$F$31:$F$400,'Étape 1 - à remplir'!$E$31:$E$400,MASQ2!BV149,'Étape 1 - à remplir'!$P$31:$P$400,CE$3,'Étape 1 - à remplir'!$G$31:$G$400,"lots")),IF(CE$2="Atelier",IF(CE$3="Tous",SUMIFS('Étape 1 - à remplir'!$F$31:$F$400,'Étape 1 - à remplir'!$E$31:$E$400,MASQ2!BV149,'Étape 1 - à remplir'!$G$31:$G$400,"lots"),SUMIFS('Étape 1 - à remplir'!$F$31:$F$400,'Étape 1 - à remplir'!$E$31:$E$400,MASQ2!BV149,'Étape 1 - à remplir'!$O$31:$O$400,CE$3,'Étape 1 - à remplir'!$G$31:$G$400,"lots")),IF(CE$2="Espèce",IF(CE$3="Toutes",SUMIFS('Étape 1 - à remplir'!$F$31:$F$400,'Étape 1 - à remplir'!$E$31:$E$400,MASQ2!BV149,'Étape 1 - à remplir'!$G$31:$G$400,"lots"),SUMIFS('Étape 1 - à remplir'!$F$31:$F$400,'Étape 1 - à remplir'!$E$31:$E$400,MASQ2!BV149,'Étape 1 - à remplir'!$N$31:$N$400,CE$3,'Étape 1 - à remplir'!$G$31:$G$400,"lots")))))))</f>
        <v>#N/A</v>
      </c>
      <c r="BX149">
        <f t="shared" si="183"/>
        <v>0</v>
      </c>
      <c r="BY149" t="str">
        <f t="shared" si="167"/>
        <v>Colistine</v>
      </c>
      <c r="BZ149" t="str">
        <f t="shared" si="168"/>
        <v/>
      </c>
      <c r="CA149" t="str">
        <f t="shared" si="169"/>
        <v/>
      </c>
      <c r="CB149" t="str">
        <f t="shared" si="170"/>
        <v>Polypeptides</v>
      </c>
      <c r="CC149" t="str">
        <f t="shared" si="171"/>
        <v/>
      </c>
      <c r="CD149" s="63" t="str">
        <f t="shared" si="172"/>
        <v/>
      </c>
      <c r="CG149" s="42">
        <v>146</v>
      </c>
      <c r="CH149" s="42" t="e">
        <f t="shared" si="188"/>
        <v>#N/A</v>
      </c>
      <c r="CI149" s="63" t="e">
        <f t="shared" si="189"/>
        <v>#N/A</v>
      </c>
      <c r="DM149" s="63"/>
      <c r="EA149" s="194" t="str">
        <f t="shared" ca="1" si="173"/>
        <v>x</v>
      </c>
      <c r="EB149" s="226" t="str">
        <f>IFERROR(IF(ED149=0,"",COUNTIF(ED$4:ED$600,"&gt;"&amp;ED149)+COUNTIF(ED$4:ED149,ED149)),"")</f>
        <v/>
      </c>
      <c r="EC149" t="str">
        <f t="shared" si="174"/>
        <v>COLIVET SOLUTION</v>
      </c>
      <c r="ED149" t="e">
        <f>IF(IF(EL$2="Catégorie",IF(EL$3="Toutes",SUMIFS('Étape 1 - à remplir'!$F$31:$F$400,'Étape 1 - à remplir'!$E$31:$E$400,MASQ2!EC149,'Étape 1 - à remplir'!$G$31:$G$400,"kg"),SUMIFS('Étape 1 - à remplir'!$F$31:$F$400,'Étape 1 - à remplir'!$E$31:$E$400,MASQ2!EC149,'Étape 1 - à remplir'!$C$31:$C$400,EL$3)),IF(EL$2="Âge",IF(EL$3="Tous",SUMIFS('Étape 1 - à remplir'!$F$31:$F$400,'Étape 1 - à remplir'!$E$31:$E$400,MASQ2!EC149,'Étape 1 - à remplir'!$G$31:$G$400,"kg"),SUMIFS('Étape 1 - à remplir'!$F$31:$F$400,'Étape 1 - à remplir'!$E$31:$E$400,MASQ2!EC149,'Étape 1 - à remplir'!$P$31:$P$400,EL$3,'Étape 1 - à remplir'!$G$31:$G$400,"kg")),IF(EL$2="Atelier",IF(EL$3="Tous",SUMIFS('Étape 1 - à remplir'!$F$31:$F$400,'Étape 1 - à remplir'!$E$31:$E$400,MASQ2!EC149,'Étape 1 - à remplir'!$G$31:$G$400,"kg"),SUMIFS('Étape 1 - à remplir'!$F$31:$F$400,'Étape 1 - à remplir'!$E$31:$E$400,MASQ2!EC149,'Étape 1 - à remplir'!$O$31:$O$400,EL$3,'Étape 1 - à remplir'!$G$31:$G$400,"kg")),IF(EL$2="Espèce",IF(EL$3="Toutes",SUMIFS('Étape 1 - à remplir'!$F$31:$F$400,'Étape 1 - à remplir'!$E$31:$E$400,MASQ2!EC149,'Étape 1 - à remplir'!$G$31:$G$400,"kg"),SUMIFS('Étape 1 - à remplir'!$F$31:$F$400,'Étape 1 - à remplir'!$E$31:$E$400,MASQ2!EC149,'Étape 1 - à remplir'!$N$31:$N$400,EL$3,'Étape 1 - à remplir'!$G$31:$G$400,"kg"))))))=0,NA(),IF(EL$2="Catégorie",IF(EL$3="Toutes",SUMIFS('Étape 1 - à remplir'!$F$31:$F$400,'Étape 1 - à remplir'!$E$31:$E$400,MASQ2!EC149,'Étape 1 - à remplir'!$G$31:$G$400,"kg"),SUMIFS('Étape 1 - à remplir'!$F$31:$F$400,'Étape 1 - à remplir'!$E$31:$E$400,MASQ2!EC149,'Étape 1 - à remplir'!$C$31:$C$400,EL$3)),IF(EL$2="Âge",IF(EL$3="Tous",SUMIFS('Étape 1 - à remplir'!$F$31:$F$400,'Étape 1 - à remplir'!$E$31:$E$400,MASQ2!EC149,'Étape 1 - à remplir'!$G$31:$G$400,"kg"),SUMIFS('Étape 1 - à remplir'!$F$31:$F$400,'Étape 1 - à remplir'!$E$31:$E$400,MASQ2!EC149,'Étape 1 - à remplir'!$P$31:$P$400,EL$3,'Étape 1 - à remplir'!$G$31:$G$400,"kg")),IF(EL$2="Atelier",IF(EL$3="Tous",SUMIFS('Étape 1 - à remplir'!$F$31:$F$400,'Étape 1 - à remplir'!$E$31:$E$400,MASQ2!EC149,'Étape 1 - à remplir'!$G$31:$G$400,"kg"),SUMIFS('Étape 1 - à remplir'!$F$31:$F$400,'Étape 1 - à remplir'!$E$31:$E$400,MASQ2!EC149,'Étape 1 - à remplir'!$O$31:$O$400,EL$3,'Étape 1 - à remplir'!$G$31:$G$400,"kg")),IF(EL$2="Espèce",IF(EL$3="Toutes",SUMIFS('Étape 1 - à remplir'!$F$31:$F$400,'Étape 1 - à remplir'!$E$31:$E$400,MASQ2!EC149,'Étape 1 - à remplir'!$G$31:$G$400,"kg"),SUMIFS('Étape 1 - à remplir'!$F$31:$F$400,'Étape 1 - à remplir'!$E$31:$E$400,MASQ2!EC149,'Étape 1 - à remplir'!$N$31:$N$400,EL$3,'Étape 1 - à remplir'!$G$31:$G$400,"kg")))))))</f>
        <v>#N/A</v>
      </c>
      <c r="EE149" s="76">
        <f t="shared" si="184"/>
        <v>0</v>
      </c>
      <c r="EF149" t="str">
        <f t="shared" si="175"/>
        <v>Colistine</v>
      </c>
      <c r="EG149" t="str">
        <f t="shared" si="176"/>
        <v/>
      </c>
      <c r="EH149" t="str">
        <f t="shared" si="177"/>
        <v/>
      </c>
      <c r="EI149" t="str">
        <f t="shared" si="178"/>
        <v>Polypeptides</v>
      </c>
      <c r="EJ149" t="str">
        <f t="shared" si="179"/>
        <v/>
      </c>
      <c r="EK149" s="63" t="str">
        <f t="shared" si="180"/>
        <v/>
      </c>
      <c r="EN149" s="42">
        <v>146</v>
      </c>
      <c r="EO149" t="e">
        <f t="shared" si="186"/>
        <v>#N/A</v>
      </c>
      <c r="EP149" s="63" t="e">
        <f t="shared" si="187"/>
        <v>#N/A</v>
      </c>
      <c r="FT149" s="63"/>
    </row>
    <row r="150" spans="2:176" x14ac:dyDescent="0.3">
      <c r="B150" s="42"/>
      <c r="M150" s="194" t="str">
        <f ca="1">INDEX(Données_ATB!BD:BU,MATCH(MASQ2!O150,Données_ATB!BD:BD,0),18)</f>
        <v/>
      </c>
      <c r="N150" s="14" t="str">
        <f>IFERROR(IF(Q150=0,"",COUNTIF(Q$4:Q$600,"&gt;"&amp;Q150)+COUNTIF(Q$4:Q150,Q150)),"")</f>
        <v/>
      </c>
      <c r="O150" t="str">
        <f>Données_ATB!BD149</f>
        <v>COMPOMIX V AMPICILLINE</v>
      </c>
      <c r="P150" t="e">
        <f>IF(IF(X$2="Catégorie",IF(X$3="Toutes",SUMIFS('Étape 1 - à remplir'!$F$31:$F$400,'Étape 1 - à remplir'!$E$31:$E$400,MASQ2!O150,'Étape 1 - à remplir'!$G$31:$G$400,"animaux"),SUMIFS('Étape 1 - à remplir'!$F$31:$F$400,'Étape 1 - à remplir'!$E$31:$E$400,MASQ2!O150,'Étape 1 - à remplir'!$C$31:$C$400,X$3)),IF(X$2="Âge",IF(X$3="Tous",SUMIFS('Étape 1 - à remplir'!$F$31:$F$400,'Étape 1 - à remplir'!$E$31:$E$400,MASQ2!O150,'Étape 1 - à remplir'!$G$31:$G$400,"animaux"),SUMIFS('Étape 1 - à remplir'!$F$31:$F$400,'Étape 1 - à remplir'!$E$31:$E$400,MASQ2!O150,'Étape 1 - à remplir'!$P$31:$P$400,X$3)),IF(X$2="Atelier",IF(X$3="Tous",SUMIFS('Étape 1 - à remplir'!$F$31:$F$400,'Étape 1 - à remplir'!$E$31:$E$400,MASQ2!O150,'Étape 1 - à remplir'!$G$31:$G$400,"animaux"),SUMIFS('Étape 1 - à remplir'!$F$31:$F$400,'Étape 1 - à remplir'!$E$31:$E$400,MASQ2!O150,'Étape 1 - à remplir'!$O$31:$O$400,X$3)),IF(X$2="Espèce",IF(X$3="Toutes",SUMIFS('Étape 1 - à remplir'!$F$31:$F$400,'Étape 1 - à remplir'!$E$31:$E$400,MASQ2!O150,'Étape 1 - à remplir'!$G$31:$G$400,"animaux"),SUMIFS('Étape 1 - à remplir'!$F$31:$F$400,'Étape 1 - à remplir'!$E$31:$E$400,MASQ2!O150,'Étape 1 - à remplir'!$N$31:$N$400,X$3))))))=0,NA(),IF(X$2="Catégorie",IF(X$3="Toutes",SUMIFS('Étape 1 - à remplir'!$F$31:$F$400,'Étape 1 - à remplir'!$E$31:$E$400,MASQ2!O150,'Étape 1 - à remplir'!$G$31:$G$400,"animaux"),SUMIFS('Étape 1 - à remplir'!$F$31:$F$400,'Étape 1 - à remplir'!$E$31:$E$400,MASQ2!O150,'Étape 1 - à remplir'!$C$31:$C$400,X$3)),IF(X$2="Âge",IF(X$3="Tous",SUMIFS('Étape 1 - à remplir'!$F$31:$F$400,'Étape 1 - à remplir'!$E$31:$E$400,MASQ2!O150,'Étape 1 - à remplir'!$G$31:$G$400,"animaux"),SUMIFS('Étape 1 - à remplir'!$F$31:$F$400,'Étape 1 - à remplir'!$E$31:$E$400,MASQ2!O150,'Étape 1 - à remplir'!$P$31:$P$400,X$3)),IF(X$2="Atelier",IF(X$3="Tous",SUMIFS('Étape 1 - à remplir'!$F$31:$F$400,'Étape 1 - à remplir'!$E$31:$E$400,MASQ2!O150,'Étape 1 - à remplir'!$G$31:$G$400,"animaux"),SUMIFS('Étape 1 - à remplir'!$F$31:$F$400,'Étape 1 - à remplir'!$E$31:$E$400,MASQ2!O150,'Étape 1 - à remplir'!$O$31:$O$400,X$3)),IF(X$2="Espèce",IF(X$3="Toutes",SUMIFS('Étape 1 - à remplir'!$F$31:$F$400,'Étape 1 - à remplir'!$E$31:$E$400,MASQ2!O150,'Étape 1 - à remplir'!$G$31:$G$400,"animaux"),SUMIFS('Étape 1 - à remplir'!$F$31:$F$400,'Étape 1 - à remplir'!$E$31:$E$400,MASQ2!O150,'Étape 1 - à remplir'!$N$31:$N$400,X$3)))))))</f>
        <v>#N/A</v>
      </c>
      <c r="Q150" s="63">
        <f t="shared" si="185"/>
        <v>0</v>
      </c>
      <c r="R150" t="str">
        <f>Données_ATB!BM149</f>
        <v>Ampicilline</v>
      </c>
      <c r="S150" t="str">
        <f>Données_ATB!BN149</f>
        <v/>
      </c>
      <c r="T150" s="63" t="str">
        <f>Données_ATB!BO149</f>
        <v/>
      </c>
      <c r="U150" s="42" t="str">
        <f>Données_ATB!BQ149</f>
        <v>Penicillines</v>
      </c>
      <c r="V150" t="str">
        <f>Données_ATB!BR149</f>
        <v/>
      </c>
      <c r="W150" s="63" t="str">
        <f>Données_ATB!BS149</f>
        <v/>
      </c>
      <c r="Z150" s="42">
        <v>147</v>
      </c>
      <c r="AA150" t="e">
        <f t="shared" si="181"/>
        <v>#N/A</v>
      </c>
      <c r="AB150" s="63" t="e">
        <f t="shared" si="182"/>
        <v>#N/A</v>
      </c>
      <c r="BF150" s="63"/>
      <c r="BT150" s="194" t="str">
        <f t="shared" ca="1" si="165"/>
        <v/>
      </c>
      <c r="BU150" s="219" t="str">
        <f>IFERROR(IF(BX150=0,"",COUNTIF(BX$4:BX$600,"&gt;"&amp;BX150)+COUNTIF(BX$4:BX150,BX150)),"")</f>
        <v/>
      </c>
      <c r="BV150" s="42" t="str">
        <f t="shared" si="166"/>
        <v>COMPOMIX V AMPICILLINE</v>
      </c>
      <c r="BW150" t="e">
        <f>IF(IF(CE$2="Catégorie",IF(CE$3="Toutes",SUMIFS('Étape 1 - à remplir'!$F$31:$F$400,'Étape 1 - à remplir'!$E$31:$E$400,MASQ2!BV150,'Étape 1 - à remplir'!$G$31:$G$400,"lots"),SUMIFS('Étape 1 - à remplir'!$F$31:$F$400,'Étape 1 - à remplir'!$E$31:$E$400,MASQ2!BV150,'Étape 1 - à remplir'!$C$31:$C$400,CE$3)),IF(CE$2="Âge",IF(CE$3="Tous",SUMIFS('Étape 1 - à remplir'!$F$31:$F$400,'Étape 1 - à remplir'!$E$31:$E$400,MASQ2!BV150,'Étape 1 - à remplir'!$G$31:$G$400,"lots"),SUMIFS('Étape 1 - à remplir'!$F$31:$F$400,'Étape 1 - à remplir'!$E$31:$E$400,MASQ2!BV150,'Étape 1 - à remplir'!$P$31:$P$400,CE$3,'Étape 1 - à remplir'!$G$31:$G$400,"lots")),IF(CE$2="Atelier",IF(CE$3="Tous",SUMIFS('Étape 1 - à remplir'!$F$31:$F$400,'Étape 1 - à remplir'!$E$31:$E$400,MASQ2!BV150,'Étape 1 - à remplir'!$G$31:$G$400,"lots"),SUMIFS('Étape 1 - à remplir'!$F$31:$F$400,'Étape 1 - à remplir'!$E$31:$E$400,MASQ2!BV150,'Étape 1 - à remplir'!$O$31:$O$400,CE$3,'Étape 1 - à remplir'!$G$31:$G$400,"lots")),IF(CE$2="Espèce",IF(CE$3="Toutes",SUMIFS('Étape 1 - à remplir'!$F$31:$F$400,'Étape 1 - à remplir'!$E$31:$E$400,MASQ2!BV150,'Étape 1 - à remplir'!$G$31:$G$400,"lots"),SUMIFS('Étape 1 - à remplir'!$F$31:$F$400,'Étape 1 - à remplir'!$E$31:$E$400,MASQ2!BV150,'Étape 1 - à remplir'!$N$31:$N$400,CE$3,'Étape 1 - à remplir'!$G$31:$G$400,"lots"))))))=0,NA(),IF(CE$2="Catégorie",IF(CE$3="Toutes",SUMIFS('Étape 1 - à remplir'!$F$31:$F$400,'Étape 1 - à remplir'!$E$31:$E$400,MASQ2!BV150,'Étape 1 - à remplir'!$G$31:$G$400,"lots"),SUMIFS('Étape 1 - à remplir'!$F$31:$F$400,'Étape 1 - à remplir'!$E$31:$E$400,MASQ2!BV150,'Étape 1 - à remplir'!$C$31:$C$400,CE$3)),IF(CE$2="Âge",IF(CE$3="Tous",SUMIFS('Étape 1 - à remplir'!$F$31:$F$400,'Étape 1 - à remplir'!$E$31:$E$400,MASQ2!BV150,'Étape 1 - à remplir'!$G$31:$G$400,"lots"),SUMIFS('Étape 1 - à remplir'!$F$31:$F$400,'Étape 1 - à remplir'!$E$31:$E$400,MASQ2!BV150,'Étape 1 - à remplir'!$P$31:$P$400,CE$3,'Étape 1 - à remplir'!$G$31:$G$400,"lots")),IF(CE$2="Atelier",IF(CE$3="Tous",SUMIFS('Étape 1 - à remplir'!$F$31:$F$400,'Étape 1 - à remplir'!$E$31:$E$400,MASQ2!BV150,'Étape 1 - à remplir'!$G$31:$G$400,"lots"),SUMIFS('Étape 1 - à remplir'!$F$31:$F$400,'Étape 1 - à remplir'!$E$31:$E$400,MASQ2!BV150,'Étape 1 - à remplir'!$O$31:$O$400,CE$3,'Étape 1 - à remplir'!$G$31:$G$400,"lots")),IF(CE$2="Espèce",IF(CE$3="Toutes",SUMIFS('Étape 1 - à remplir'!$F$31:$F$400,'Étape 1 - à remplir'!$E$31:$E$400,MASQ2!BV150,'Étape 1 - à remplir'!$G$31:$G$400,"lots"),SUMIFS('Étape 1 - à remplir'!$F$31:$F$400,'Étape 1 - à remplir'!$E$31:$E$400,MASQ2!BV150,'Étape 1 - à remplir'!$N$31:$N$400,CE$3,'Étape 1 - à remplir'!$G$31:$G$400,"lots")))))))</f>
        <v>#N/A</v>
      </c>
      <c r="BX150">
        <f t="shared" si="183"/>
        <v>0</v>
      </c>
      <c r="BY150" t="str">
        <f t="shared" si="167"/>
        <v>Ampicilline</v>
      </c>
      <c r="BZ150" t="str">
        <f t="shared" si="168"/>
        <v/>
      </c>
      <c r="CA150" t="str">
        <f t="shared" si="169"/>
        <v/>
      </c>
      <c r="CB150" t="str">
        <f t="shared" si="170"/>
        <v>Penicillines</v>
      </c>
      <c r="CC150" t="str">
        <f t="shared" si="171"/>
        <v/>
      </c>
      <c r="CD150" s="63" t="str">
        <f t="shared" si="172"/>
        <v/>
      </c>
      <c r="CG150" s="42">
        <v>147</v>
      </c>
      <c r="CH150" s="42" t="e">
        <f t="shared" si="188"/>
        <v>#N/A</v>
      </c>
      <c r="CI150" s="63" t="e">
        <f t="shared" si="189"/>
        <v>#N/A</v>
      </c>
      <c r="CV150" s="224"/>
      <c r="CW150" s="224"/>
      <c r="DM150" s="63"/>
      <c r="EA150" s="194" t="str">
        <f t="shared" ca="1" si="173"/>
        <v/>
      </c>
      <c r="EB150" s="226" t="str">
        <f>IFERROR(IF(ED150=0,"",COUNTIF(ED$4:ED$600,"&gt;"&amp;ED150)+COUNTIF(ED$4:ED150,ED150)),"")</f>
        <v/>
      </c>
      <c r="EC150" t="str">
        <f t="shared" si="174"/>
        <v>COMPOMIX V AMPICILLINE</v>
      </c>
      <c r="ED150" t="e">
        <f>IF(IF(EL$2="Catégorie",IF(EL$3="Toutes",SUMIFS('Étape 1 - à remplir'!$F$31:$F$400,'Étape 1 - à remplir'!$E$31:$E$400,MASQ2!EC150,'Étape 1 - à remplir'!$G$31:$G$400,"kg"),SUMIFS('Étape 1 - à remplir'!$F$31:$F$400,'Étape 1 - à remplir'!$E$31:$E$400,MASQ2!EC150,'Étape 1 - à remplir'!$C$31:$C$400,EL$3)),IF(EL$2="Âge",IF(EL$3="Tous",SUMIFS('Étape 1 - à remplir'!$F$31:$F$400,'Étape 1 - à remplir'!$E$31:$E$400,MASQ2!EC150,'Étape 1 - à remplir'!$G$31:$G$400,"kg"),SUMIFS('Étape 1 - à remplir'!$F$31:$F$400,'Étape 1 - à remplir'!$E$31:$E$400,MASQ2!EC150,'Étape 1 - à remplir'!$P$31:$P$400,EL$3,'Étape 1 - à remplir'!$G$31:$G$400,"kg")),IF(EL$2="Atelier",IF(EL$3="Tous",SUMIFS('Étape 1 - à remplir'!$F$31:$F$400,'Étape 1 - à remplir'!$E$31:$E$400,MASQ2!EC150,'Étape 1 - à remplir'!$G$31:$G$400,"kg"),SUMIFS('Étape 1 - à remplir'!$F$31:$F$400,'Étape 1 - à remplir'!$E$31:$E$400,MASQ2!EC150,'Étape 1 - à remplir'!$O$31:$O$400,EL$3,'Étape 1 - à remplir'!$G$31:$G$400,"kg")),IF(EL$2="Espèce",IF(EL$3="Toutes",SUMIFS('Étape 1 - à remplir'!$F$31:$F$400,'Étape 1 - à remplir'!$E$31:$E$400,MASQ2!EC150,'Étape 1 - à remplir'!$G$31:$G$400,"kg"),SUMIFS('Étape 1 - à remplir'!$F$31:$F$400,'Étape 1 - à remplir'!$E$31:$E$400,MASQ2!EC150,'Étape 1 - à remplir'!$N$31:$N$400,EL$3,'Étape 1 - à remplir'!$G$31:$G$400,"kg"))))))=0,NA(),IF(EL$2="Catégorie",IF(EL$3="Toutes",SUMIFS('Étape 1 - à remplir'!$F$31:$F$400,'Étape 1 - à remplir'!$E$31:$E$400,MASQ2!EC150,'Étape 1 - à remplir'!$G$31:$G$400,"kg"),SUMIFS('Étape 1 - à remplir'!$F$31:$F$400,'Étape 1 - à remplir'!$E$31:$E$400,MASQ2!EC150,'Étape 1 - à remplir'!$C$31:$C$400,EL$3)),IF(EL$2="Âge",IF(EL$3="Tous",SUMIFS('Étape 1 - à remplir'!$F$31:$F$400,'Étape 1 - à remplir'!$E$31:$E$400,MASQ2!EC150,'Étape 1 - à remplir'!$G$31:$G$400,"kg"),SUMIFS('Étape 1 - à remplir'!$F$31:$F$400,'Étape 1 - à remplir'!$E$31:$E$400,MASQ2!EC150,'Étape 1 - à remplir'!$P$31:$P$400,EL$3,'Étape 1 - à remplir'!$G$31:$G$400,"kg")),IF(EL$2="Atelier",IF(EL$3="Tous",SUMIFS('Étape 1 - à remplir'!$F$31:$F$400,'Étape 1 - à remplir'!$E$31:$E$400,MASQ2!EC150,'Étape 1 - à remplir'!$G$31:$G$400,"kg"),SUMIFS('Étape 1 - à remplir'!$F$31:$F$400,'Étape 1 - à remplir'!$E$31:$E$400,MASQ2!EC150,'Étape 1 - à remplir'!$O$31:$O$400,EL$3,'Étape 1 - à remplir'!$G$31:$G$400,"kg")),IF(EL$2="Espèce",IF(EL$3="Toutes",SUMIFS('Étape 1 - à remplir'!$F$31:$F$400,'Étape 1 - à remplir'!$E$31:$E$400,MASQ2!EC150,'Étape 1 - à remplir'!$G$31:$G$400,"kg"),SUMIFS('Étape 1 - à remplir'!$F$31:$F$400,'Étape 1 - à remplir'!$E$31:$E$400,MASQ2!EC150,'Étape 1 - à remplir'!$N$31:$N$400,EL$3,'Étape 1 - à remplir'!$G$31:$G$400,"kg")))))))</f>
        <v>#N/A</v>
      </c>
      <c r="EE150" s="76">
        <f t="shared" si="184"/>
        <v>0</v>
      </c>
      <c r="EF150" t="str">
        <f t="shared" si="175"/>
        <v>Ampicilline</v>
      </c>
      <c r="EG150" t="str">
        <f t="shared" si="176"/>
        <v/>
      </c>
      <c r="EH150" t="str">
        <f t="shared" si="177"/>
        <v/>
      </c>
      <c r="EI150" t="str">
        <f t="shared" si="178"/>
        <v>Penicillines</v>
      </c>
      <c r="EJ150" t="str">
        <f t="shared" si="179"/>
        <v/>
      </c>
      <c r="EK150" s="63" t="str">
        <f t="shared" si="180"/>
        <v/>
      </c>
      <c r="EN150" s="42">
        <v>147</v>
      </c>
      <c r="EO150" t="e">
        <f t="shared" si="186"/>
        <v>#N/A</v>
      </c>
      <c r="EP150" s="63" t="e">
        <f t="shared" si="187"/>
        <v>#N/A</v>
      </c>
      <c r="FT150" s="63"/>
    </row>
    <row r="151" spans="2:176" x14ac:dyDescent="0.3">
      <c r="B151" s="42"/>
      <c r="M151" s="194" t="str">
        <f ca="1">INDEX(Données_ATB!BD:BU,MATCH(MASQ2!O151,Données_ATB!BD:BD,0),18)</f>
        <v>x</v>
      </c>
      <c r="N151" s="14" t="str">
        <f>IFERROR(IF(Q151=0,"",COUNTIF(Q$4:Q$600,"&gt;"&amp;Q151)+COUNTIF(Q$4:Q151,Q151)),"")</f>
        <v/>
      </c>
      <c r="O151" t="str">
        <f>Données_ATB!BD150</f>
        <v>COMPOMIX V COLI 1.000</v>
      </c>
      <c r="P151" t="e">
        <f>IF(IF(X$2="Catégorie",IF(X$3="Toutes",SUMIFS('Étape 1 - à remplir'!$F$31:$F$400,'Étape 1 - à remplir'!$E$31:$E$400,MASQ2!O151,'Étape 1 - à remplir'!$G$31:$G$400,"animaux"),SUMIFS('Étape 1 - à remplir'!$F$31:$F$400,'Étape 1 - à remplir'!$E$31:$E$400,MASQ2!O151,'Étape 1 - à remplir'!$C$31:$C$400,X$3)),IF(X$2="Âge",IF(X$3="Tous",SUMIFS('Étape 1 - à remplir'!$F$31:$F$400,'Étape 1 - à remplir'!$E$31:$E$400,MASQ2!O151,'Étape 1 - à remplir'!$G$31:$G$400,"animaux"),SUMIFS('Étape 1 - à remplir'!$F$31:$F$400,'Étape 1 - à remplir'!$E$31:$E$400,MASQ2!O151,'Étape 1 - à remplir'!$P$31:$P$400,X$3)),IF(X$2="Atelier",IF(X$3="Tous",SUMIFS('Étape 1 - à remplir'!$F$31:$F$400,'Étape 1 - à remplir'!$E$31:$E$400,MASQ2!O151,'Étape 1 - à remplir'!$G$31:$G$400,"animaux"),SUMIFS('Étape 1 - à remplir'!$F$31:$F$400,'Étape 1 - à remplir'!$E$31:$E$400,MASQ2!O151,'Étape 1 - à remplir'!$O$31:$O$400,X$3)),IF(X$2="Espèce",IF(X$3="Toutes",SUMIFS('Étape 1 - à remplir'!$F$31:$F$400,'Étape 1 - à remplir'!$E$31:$E$400,MASQ2!O151,'Étape 1 - à remplir'!$G$31:$G$400,"animaux"),SUMIFS('Étape 1 - à remplir'!$F$31:$F$400,'Étape 1 - à remplir'!$E$31:$E$400,MASQ2!O151,'Étape 1 - à remplir'!$N$31:$N$400,X$3))))))=0,NA(),IF(X$2="Catégorie",IF(X$3="Toutes",SUMIFS('Étape 1 - à remplir'!$F$31:$F$400,'Étape 1 - à remplir'!$E$31:$E$400,MASQ2!O151,'Étape 1 - à remplir'!$G$31:$G$400,"animaux"),SUMIFS('Étape 1 - à remplir'!$F$31:$F$400,'Étape 1 - à remplir'!$E$31:$E$400,MASQ2!O151,'Étape 1 - à remplir'!$C$31:$C$400,X$3)),IF(X$2="Âge",IF(X$3="Tous",SUMIFS('Étape 1 - à remplir'!$F$31:$F$400,'Étape 1 - à remplir'!$E$31:$E$400,MASQ2!O151,'Étape 1 - à remplir'!$G$31:$G$400,"animaux"),SUMIFS('Étape 1 - à remplir'!$F$31:$F$400,'Étape 1 - à remplir'!$E$31:$E$400,MASQ2!O151,'Étape 1 - à remplir'!$P$31:$P$400,X$3)),IF(X$2="Atelier",IF(X$3="Tous",SUMIFS('Étape 1 - à remplir'!$F$31:$F$400,'Étape 1 - à remplir'!$E$31:$E$400,MASQ2!O151,'Étape 1 - à remplir'!$G$31:$G$400,"animaux"),SUMIFS('Étape 1 - à remplir'!$F$31:$F$400,'Étape 1 - à remplir'!$E$31:$E$400,MASQ2!O151,'Étape 1 - à remplir'!$O$31:$O$400,X$3)),IF(X$2="Espèce",IF(X$3="Toutes",SUMIFS('Étape 1 - à remplir'!$F$31:$F$400,'Étape 1 - à remplir'!$E$31:$E$400,MASQ2!O151,'Étape 1 - à remplir'!$G$31:$G$400,"animaux"),SUMIFS('Étape 1 - à remplir'!$F$31:$F$400,'Étape 1 - à remplir'!$E$31:$E$400,MASQ2!O151,'Étape 1 - à remplir'!$N$31:$N$400,X$3)))))))</f>
        <v>#N/A</v>
      </c>
      <c r="Q151" s="63">
        <f t="shared" si="185"/>
        <v>0</v>
      </c>
      <c r="R151" t="str">
        <f>Données_ATB!BM150</f>
        <v>Colistine</v>
      </c>
      <c r="S151" t="str">
        <f>Données_ATB!BN150</f>
        <v/>
      </c>
      <c r="T151" s="63" t="str">
        <f>Données_ATB!BO150</f>
        <v/>
      </c>
      <c r="U151" s="42" t="str">
        <f>Données_ATB!BQ150</f>
        <v>Polypeptides</v>
      </c>
      <c r="V151" t="str">
        <f>Données_ATB!BR150</f>
        <v/>
      </c>
      <c r="W151" s="63" t="str">
        <f>Données_ATB!BS150</f>
        <v/>
      </c>
      <c r="Z151" s="42">
        <v>148</v>
      </c>
      <c r="AA151" t="e">
        <f t="shared" si="181"/>
        <v>#N/A</v>
      </c>
      <c r="AB151" s="63" t="e">
        <f t="shared" si="182"/>
        <v>#N/A</v>
      </c>
      <c r="BF151" s="63"/>
      <c r="BT151" s="194" t="str">
        <f t="shared" ca="1" si="165"/>
        <v>x</v>
      </c>
      <c r="BU151" s="219" t="str">
        <f>IFERROR(IF(BX151=0,"",COUNTIF(BX$4:BX$600,"&gt;"&amp;BX151)+COUNTIF(BX$4:BX151,BX151)),"")</f>
        <v/>
      </c>
      <c r="BV151" s="42" t="str">
        <f t="shared" si="166"/>
        <v>COMPOMIX V COLI 1.000</v>
      </c>
      <c r="BW151" t="e">
        <f>IF(IF(CE$2="Catégorie",IF(CE$3="Toutes",SUMIFS('Étape 1 - à remplir'!$F$31:$F$400,'Étape 1 - à remplir'!$E$31:$E$400,MASQ2!BV151,'Étape 1 - à remplir'!$G$31:$G$400,"lots"),SUMIFS('Étape 1 - à remplir'!$F$31:$F$400,'Étape 1 - à remplir'!$E$31:$E$400,MASQ2!BV151,'Étape 1 - à remplir'!$C$31:$C$400,CE$3)),IF(CE$2="Âge",IF(CE$3="Tous",SUMIFS('Étape 1 - à remplir'!$F$31:$F$400,'Étape 1 - à remplir'!$E$31:$E$400,MASQ2!BV151,'Étape 1 - à remplir'!$G$31:$G$400,"lots"),SUMIFS('Étape 1 - à remplir'!$F$31:$F$400,'Étape 1 - à remplir'!$E$31:$E$400,MASQ2!BV151,'Étape 1 - à remplir'!$P$31:$P$400,CE$3,'Étape 1 - à remplir'!$G$31:$G$400,"lots")),IF(CE$2="Atelier",IF(CE$3="Tous",SUMIFS('Étape 1 - à remplir'!$F$31:$F$400,'Étape 1 - à remplir'!$E$31:$E$400,MASQ2!BV151,'Étape 1 - à remplir'!$G$31:$G$400,"lots"),SUMIFS('Étape 1 - à remplir'!$F$31:$F$400,'Étape 1 - à remplir'!$E$31:$E$400,MASQ2!BV151,'Étape 1 - à remplir'!$O$31:$O$400,CE$3,'Étape 1 - à remplir'!$G$31:$G$400,"lots")),IF(CE$2="Espèce",IF(CE$3="Toutes",SUMIFS('Étape 1 - à remplir'!$F$31:$F$400,'Étape 1 - à remplir'!$E$31:$E$400,MASQ2!BV151,'Étape 1 - à remplir'!$G$31:$G$400,"lots"),SUMIFS('Étape 1 - à remplir'!$F$31:$F$400,'Étape 1 - à remplir'!$E$31:$E$400,MASQ2!BV151,'Étape 1 - à remplir'!$N$31:$N$400,CE$3,'Étape 1 - à remplir'!$G$31:$G$400,"lots"))))))=0,NA(),IF(CE$2="Catégorie",IF(CE$3="Toutes",SUMIFS('Étape 1 - à remplir'!$F$31:$F$400,'Étape 1 - à remplir'!$E$31:$E$400,MASQ2!BV151,'Étape 1 - à remplir'!$G$31:$G$400,"lots"),SUMIFS('Étape 1 - à remplir'!$F$31:$F$400,'Étape 1 - à remplir'!$E$31:$E$400,MASQ2!BV151,'Étape 1 - à remplir'!$C$31:$C$400,CE$3)),IF(CE$2="Âge",IF(CE$3="Tous",SUMIFS('Étape 1 - à remplir'!$F$31:$F$400,'Étape 1 - à remplir'!$E$31:$E$400,MASQ2!BV151,'Étape 1 - à remplir'!$G$31:$G$400,"lots"),SUMIFS('Étape 1 - à remplir'!$F$31:$F$400,'Étape 1 - à remplir'!$E$31:$E$400,MASQ2!BV151,'Étape 1 - à remplir'!$P$31:$P$400,CE$3,'Étape 1 - à remplir'!$G$31:$G$400,"lots")),IF(CE$2="Atelier",IF(CE$3="Tous",SUMIFS('Étape 1 - à remplir'!$F$31:$F$400,'Étape 1 - à remplir'!$E$31:$E$400,MASQ2!BV151,'Étape 1 - à remplir'!$G$31:$G$400,"lots"),SUMIFS('Étape 1 - à remplir'!$F$31:$F$400,'Étape 1 - à remplir'!$E$31:$E$400,MASQ2!BV151,'Étape 1 - à remplir'!$O$31:$O$400,CE$3,'Étape 1 - à remplir'!$G$31:$G$400,"lots")),IF(CE$2="Espèce",IF(CE$3="Toutes",SUMIFS('Étape 1 - à remplir'!$F$31:$F$400,'Étape 1 - à remplir'!$E$31:$E$400,MASQ2!BV151,'Étape 1 - à remplir'!$G$31:$G$400,"lots"),SUMIFS('Étape 1 - à remplir'!$F$31:$F$400,'Étape 1 - à remplir'!$E$31:$E$400,MASQ2!BV151,'Étape 1 - à remplir'!$N$31:$N$400,CE$3,'Étape 1 - à remplir'!$G$31:$G$400,"lots")))))))</f>
        <v>#N/A</v>
      </c>
      <c r="BX151">
        <f t="shared" si="183"/>
        <v>0</v>
      </c>
      <c r="BY151" t="str">
        <f t="shared" si="167"/>
        <v>Colistine</v>
      </c>
      <c r="BZ151" t="str">
        <f t="shared" si="168"/>
        <v/>
      </c>
      <c r="CA151" t="str">
        <f t="shared" si="169"/>
        <v/>
      </c>
      <c r="CB151" t="str">
        <f t="shared" si="170"/>
        <v>Polypeptides</v>
      </c>
      <c r="CC151" t="str">
        <f t="shared" si="171"/>
        <v/>
      </c>
      <c r="CD151" s="63" t="str">
        <f t="shared" si="172"/>
        <v/>
      </c>
      <c r="CG151" s="42">
        <v>148</v>
      </c>
      <c r="CH151" s="42" t="e">
        <f t="shared" si="188"/>
        <v>#N/A</v>
      </c>
      <c r="CI151" s="63" t="e">
        <f t="shared" si="189"/>
        <v>#N/A</v>
      </c>
      <c r="DM151" s="63"/>
      <c r="EA151" s="194" t="str">
        <f t="shared" ca="1" si="173"/>
        <v>x</v>
      </c>
      <c r="EB151" s="226" t="str">
        <f>IFERROR(IF(ED151=0,"",COUNTIF(ED$4:ED$600,"&gt;"&amp;ED151)+COUNTIF(ED$4:ED151,ED151)),"")</f>
        <v/>
      </c>
      <c r="EC151" t="str">
        <f t="shared" si="174"/>
        <v>COMPOMIX V COLI 1.000</v>
      </c>
      <c r="ED151" t="e">
        <f>IF(IF(EL$2="Catégorie",IF(EL$3="Toutes",SUMIFS('Étape 1 - à remplir'!$F$31:$F$400,'Étape 1 - à remplir'!$E$31:$E$400,MASQ2!EC151,'Étape 1 - à remplir'!$G$31:$G$400,"kg"),SUMIFS('Étape 1 - à remplir'!$F$31:$F$400,'Étape 1 - à remplir'!$E$31:$E$400,MASQ2!EC151,'Étape 1 - à remplir'!$C$31:$C$400,EL$3)),IF(EL$2="Âge",IF(EL$3="Tous",SUMIFS('Étape 1 - à remplir'!$F$31:$F$400,'Étape 1 - à remplir'!$E$31:$E$400,MASQ2!EC151,'Étape 1 - à remplir'!$G$31:$G$400,"kg"),SUMIFS('Étape 1 - à remplir'!$F$31:$F$400,'Étape 1 - à remplir'!$E$31:$E$400,MASQ2!EC151,'Étape 1 - à remplir'!$P$31:$P$400,EL$3,'Étape 1 - à remplir'!$G$31:$G$400,"kg")),IF(EL$2="Atelier",IF(EL$3="Tous",SUMIFS('Étape 1 - à remplir'!$F$31:$F$400,'Étape 1 - à remplir'!$E$31:$E$400,MASQ2!EC151,'Étape 1 - à remplir'!$G$31:$G$400,"kg"),SUMIFS('Étape 1 - à remplir'!$F$31:$F$400,'Étape 1 - à remplir'!$E$31:$E$400,MASQ2!EC151,'Étape 1 - à remplir'!$O$31:$O$400,EL$3,'Étape 1 - à remplir'!$G$31:$G$400,"kg")),IF(EL$2="Espèce",IF(EL$3="Toutes",SUMIFS('Étape 1 - à remplir'!$F$31:$F$400,'Étape 1 - à remplir'!$E$31:$E$400,MASQ2!EC151,'Étape 1 - à remplir'!$G$31:$G$400,"kg"),SUMIFS('Étape 1 - à remplir'!$F$31:$F$400,'Étape 1 - à remplir'!$E$31:$E$400,MASQ2!EC151,'Étape 1 - à remplir'!$N$31:$N$400,EL$3,'Étape 1 - à remplir'!$G$31:$G$400,"kg"))))))=0,NA(),IF(EL$2="Catégorie",IF(EL$3="Toutes",SUMIFS('Étape 1 - à remplir'!$F$31:$F$400,'Étape 1 - à remplir'!$E$31:$E$400,MASQ2!EC151,'Étape 1 - à remplir'!$G$31:$G$400,"kg"),SUMIFS('Étape 1 - à remplir'!$F$31:$F$400,'Étape 1 - à remplir'!$E$31:$E$400,MASQ2!EC151,'Étape 1 - à remplir'!$C$31:$C$400,EL$3)),IF(EL$2="Âge",IF(EL$3="Tous",SUMIFS('Étape 1 - à remplir'!$F$31:$F$400,'Étape 1 - à remplir'!$E$31:$E$400,MASQ2!EC151,'Étape 1 - à remplir'!$G$31:$G$400,"kg"),SUMIFS('Étape 1 - à remplir'!$F$31:$F$400,'Étape 1 - à remplir'!$E$31:$E$400,MASQ2!EC151,'Étape 1 - à remplir'!$P$31:$P$400,EL$3,'Étape 1 - à remplir'!$G$31:$G$400,"kg")),IF(EL$2="Atelier",IF(EL$3="Tous",SUMIFS('Étape 1 - à remplir'!$F$31:$F$400,'Étape 1 - à remplir'!$E$31:$E$400,MASQ2!EC151,'Étape 1 - à remplir'!$G$31:$G$400,"kg"),SUMIFS('Étape 1 - à remplir'!$F$31:$F$400,'Étape 1 - à remplir'!$E$31:$E$400,MASQ2!EC151,'Étape 1 - à remplir'!$O$31:$O$400,EL$3,'Étape 1 - à remplir'!$G$31:$G$400,"kg")),IF(EL$2="Espèce",IF(EL$3="Toutes",SUMIFS('Étape 1 - à remplir'!$F$31:$F$400,'Étape 1 - à remplir'!$E$31:$E$400,MASQ2!EC151,'Étape 1 - à remplir'!$G$31:$G$400,"kg"),SUMIFS('Étape 1 - à remplir'!$F$31:$F$400,'Étape 1 - à remplir'!$E$31:$E$400,MASQ2!EC151,'Étape 1 - à remplir'!$N$31:$N$400,EL$3,'Étape 1 - à remplir'!$G$31:$G$400,"kg")))))))</f>
        <v>#N/A</v>
      </c>
      <c r="EE151" s="76">
        <f t="shared" si="184"/>
        <v>0</v>
      </c>
      <c r="EF151" t="str">
        <f t="shared" si="175"/>
        <v>Colistine</v>
      </c>
      <c r="EG151" t="str">
        <f t="shared" si="176"/>
        <v/>
      </c>
      <c r="EH151" t="str">
        <f t="shared" si="177"/>
        <v/>
      </c>
      <c r="EI151" t="str">
        <f t="shared" si="178"/>
        <v>Polypeptides</v>
      </c>
      <c r="EJ151" t="str">
        <f t="shared" si="179"/>
        <v/>
      </c>
      <c r="EK151" s="63" t="str">
        <f t="shared" si="180"/>
        <v/>
      </c>
      <c r="EN151" s="42">
        <v>148</v>
      </c>
      <c r="EO151" t="e">
        <f t="shared" si="186"/>
        <v>#N/A</v>
      </c>
      <c r="EP151" s="63" t="e">
        <f t="shared" si="187"/>
        <v>#N/A</v>
      </c>
      <c r="FT151" s="63"/>
    </row>
    <row r="152" spans="2:176" x14ac:dyDescent="0.3">
      <c r="B152" s="42"/>
      <c r="M152" s="194" t="str">
        <f ca="1">INDEX(Données_ATB!BD:BU,MATCH(MASQ2!O152,Données_ATB!BD:BD,0),18)</f>
        <v/>
      </c>
      <c r="N152" s="14" t="str">
        <f>IFERROR(IF(Q152=0,"",COUNTIF(Q$4:Q$600,"&gt;"&amp;Q152)+COUNTIF(Q$4:Q152,Q152)),"")</f>
        <v/>
      </c>
      <c r="O152" t="str">
        <f>Données_ATB!BD151</f>
        <v>COMPOMIX V NEOSTARTER</v>
      </c>
      <c r="P152" t="e">
        <f>IF(IF(X$2="Catégorie",IF(X$3="Toutes",SUMIFS('Étape 1 - à remplir'!$F$31:$F$400,'Étape 1 - à remplir'!$E$31:$E$400,MASQ2!O152,'Étape 1 - à remplir'!$G$31:$G$400,"animaux"),SUMIFS('Étape 1 - à remplir'!$F$31:$F$400,'Étape 1 - à remplir'!$E$31:$E$400,MASQ2!O152,'Étape 1 - à remplir'!$C$31:$C$400,X$3)),IF(X$2="Âge",IF(X$3="Tous",SUMIFS('Étape 1 - à remplir'!$F$31:$F$400,'Étape 1 - à remplir'!$E$31:$E$400,MASQ2!O152,'Étape 1 - à remplir'!$G$31:$G$400,"animaux"),SUMIFS('Étape 1 - à remplir'!$F$31:$F$400,'Étape 1 - à remplir'!$E$31:$E$400,MASQ2!O152,'Étape 1 - à remplir'!$P$31:$P$400,X$3)),IF(X$2="Atelier",IF(X$3="Tous",SUMIFS('Étape 1 - à remplir'!$F$31:$F$400,'Étape 1 - à remplir'!$E$31:$E$400,MASQ2!O152,'Étape 1 - à remplir'!$G$31:$G$400,"animaux"),SUMIFS('Étape 1 - à remplir'!$F$31:$F$400,'Étape 1 - à remplir'!$E$31:$E$400,MASQ2!O152,'Étape 1 - à remplir'!$O$31:$O$400,X$3)),IF(X$2="Espèce",IF(X$3="Toutes",SUMIFS('Étape 1 - à remplir'!$F$31:$F$400,'Étape 1 - à remplir'!$E$31:$E$400,MASQ2!O152,'Étape 1 - à remplir'!$G$31:$G$400,"animaux"),SUMIFS('Étape 1 - à remplir'!$F$31:$F$400,'Étape 1 - à remplir'!$E$31:$E$400,MASQ2!O152,'Étape 1 - à remplir'!$N$31:$N$400,X$3))))))=0,NA(),IF(X$2="Catégorie",IF(X$3="Toutes",SUMIFS('Étape 1 - à remplir'!$F$31:$F$400,'Étape 1 - à remplir'!$E$31:$E$400,MASQ2!O152,'Étape 1 - à remplir'!$G$31:$G$400,"animaux"),SUMIFS('Étape 1 - à remplir'!$F$31:$F$400,'Étape 1 - à remplir'!$E$31:$E$400,MASQ2!O152,'Étape 1 - à remplir'!$C$31:$C$400,X$3)),IF(X$2="Âge",IF(X$3="Tous",SUMIFS('Étape 1 - à remplir'!$F$31:$F$400,'Étape 1 - à remplir'!$E$31:$E$400,MASQ2!O152,'Étape 1 - à remplir'!$G$31:$G$400,"animaux"),SUMIFS('Étape 1 - à remplir'!$F$31:$F$400,'Étape 1 - à remplir'!$E$31:$E$400,MASQ2!O152,'Étape 1 - à remplir'!$P$31:$P$400,X$3)),IF(X$2="Atelier",IF(X$3="Tous",SUMIFS('Étape 1 - à remplir'!$F$31:$F$400,'Étape 1 - à remplir'!$E$31:$E$400,MASQ2!O152,'Étape 1 - à remplir'!$G$31:$G$400,"animaux"),SUMIFS('Étape 1 - à remplir'!$F$31:$F$400,'Étape 1 - à remplir'!$E$31:$E$400,MASQ2!O152,'Étape 1 - à remplir'!$O$31:$O$400,X$3)),IF(X$2="Espèce",IF(X$3="Toutes",SUMIFS('Étape 1 - à remplir'!$F$31:$F$400,'Étape 1 - à remplir'!$E$31:$E$400,MASQ2!O152,'Étape 1 - à remplir'!$G$31:$G$400,"animaux"),SUMIFS('Étape 1 - à remplir'!$F$31:$F$400,'Étape 1 - à remplir'!$E$31:$E$400,MASQ2!O152,'Étape 1 - à remplir'!$N$31:$N$400,X$3)))))))</f>
        <v>#N/A</v>
      </c>
      <c r="Q152" s="63">
        <f t="shared" si="185"/>
        <v>0</v>
      </c>
      <c r="R152" t="str">
        <f>Données_ATB!BM151</f>
        <v>Oxytétracycline</v>
      </c>
      <c r="S152" t="str">
        <f>Données_ATB!BN151</f>
        <v>Néomycine</v>
      </c>
      <c r="T152" s="63" t="str">
        <f>Données_ATB!BO151</f>
        <v/>
      </c>
      <c r="U152" s="42" t="str">
        <f>Données_ATB!BQ151</f>
        <v>Tetracyclines</v>
      </c>
      <c r="V152" t="str">
        <f>Données_ATB!BR151</f>
        <v>Aminoglycosides</v>
      </c>
      <c r="W152" s="63" t="str">
        <f>Données_ATB!BS151</f>
        <v/>
      </c>
      <c r="Z152" s="42">
        <v>149</v>
      </c>
      <c r="AA152" t="e">
        <f t="shared" si="181"/>
        <v>#N/A</v>
      </c>
      <c r="AB152" s="63" t="e">
        <f t="shared" si="182"/>
        <v>#N/A</v>
      </c>
      <c r="BF152" s="63"/>
      <c r="BT152" s="194" t="str">
        <f t="shared" ca="1" si="165"/>
        <v/>
      </c>
      <c r="BU152" s="219" t="str">
        <f>IFERROR(IF(BX152=0,"",COUNTIF(BX$4:BX$600,"&gt;"&amp;BX152)+COUNTIF(BX$4:BX152,BX152)),"")</f>
        <v/>
      </c>
      <c r="BV152" s="42" t="str">
        <f t="shared" si="166"/>
        <v>COMPOMIX V NEOSTARTER</v>
      </c>
      <c r="BW152" t="e">
        <f>IF(IF(CE$2="Catégorie",IF(CE$3="Toutes",SUMIFS('Étape 1 - à remplir'!$F$31:$F$400,'Étape 1 - à remplir'!$E$31:$E$400,MASQ2!BV152,'Étape 1 - à remplir'!$G$31:$G$400,"lots"),SUMIFS('Étape 1 - à remplir'!$F$31:$F$400,'Étape 1 - à remplir'!$E$31:$E$400,MASQ2!BV152,'Étape 1 - à remplir'!$C$31:$C$400,CE$3)),IF(CE$2="Âge",IF(CE$3="Tous",SUMIFS('Étape 1 - à remplir'!$F$31:$F$400,'Étape 1 - à remplir'!$E$31:$E$400,MASQ2!BV152,'Étape 1 - à remplir'!$G$31:$G$400,"lots"),SUMIFS('Étape 1 - à remplir'!$F$31:$F$400,'Étape 1 - à remplir'!$E$31:$E$400,MASQ2!BV152,'Étape 1 - à remplir'!$P$31:$P$400,CE$3,'Étape 1 - à remplir'!$G$31:$G$400,"lots")),IF(CE$2="Atelier",IF(CE$3="Tous",SUMIFS('Étape 1 - à remplir'!$F$31:$F$400,'Étape 1 - à remplir'!$E$31:$E$400,MASQ2!BV152,'Étape 1 - à remplir'!$G$31:$G$400,"lots"),SUMIFS('Étape 1 - à remplir'!$F$31:$F$400,'Étape 1 - à remplir'!$E$31:$E$400,MASQ2!BV152,'Étape 1 - à remplir'!$O$31:$O$400,CE$3,'Étape 1 - à remplir'!$G$31:$G$400,"lots")),IF(CE$2="Espèce",IF(CE$3="Toutes",SUMIFS('Étape 1 - à remplir'!$F$31:$F$400,'Étape 1 - à remplir'!$E$31:$E$400,MASQ2!BV152,'Étape 1 - à remplir'!$G$31:$G$400,"lots"),SUMIFS('Étape 1 - à remplir'!$F$31:$F$400,'Étape 1 - à remplir'!$E$31:$E$400,MASQ2!BV152,'Étape 1 - à remplir'!$N$31:$N$400,CE$3,'Étape 1 - à remplir'!$G$31:$G$400,"lots"))))))=0,NA(),IF(CE$2="Catégorie",IF(CE$3="Toutes",SUMIFS('Étape 1 - à remplir'!$F$31:$F$400,'Étape 1 - à remplir'!$E$31:$E$400,MASQ2!BV152,'Étape 1 - à remplir'!$G$31:$G$400,"lots"),SUMIFS('Étape 1 - à remplir'!$F$31:$F$400,'Étape 1 - à remplir'!$E$31:$E$400,MASQ2!BV152,'Étape 1 - à remplir'!$C$31:$C$400,CE$3)),IF(CE$2="Âge",IF(CE$3="Tous",SUMIFS('Étape 1 - à remplir'!$F$31:$F$400,'Étape 1 - à remplir'!$E$31:$E$400,MASQ2!BV152,'Étape 1 - à remplir'!$G$31:$G$400,"lots"),SUMIFS('Étape 1 - à remplir'!$F$31:$F$400,'Étape 1 - à remplir'!$E$31:$E$400,MASQ2!BV152,'Étape 1 - à remplir'!$P$31:$P$400,CE$3,'Étape 1 - à remplir'!$G$31:$G$400,"lots")),IF(CE$2="Atelier",IF(CE$3="Tous",SUMIFS('Étape 1 - à remplir'!$F$31:$F$400,'Étape 1 - à remplir'!$E$31:$E$400,MASQ2!BV152,'Étape 1 - à remplir'!$G$31:$G$400,"lots"),SUMIFS('Étape 1 - à remplir'!$F$31:$F$400,'Étape 1 - à remplir'!$E$31:$E$400,MASQ2!BV152,'Étape 1 - à remplir'!$O$31:$O$400,CE$3,'Étape 1 - à remplir'!$G$31:$G$400,"lots")),IF(CE$2="Espèce",IF(CE$3="Toutes",SUMIFS('Étape 1 - à remplir'!$F$31:$F$400,'Étape 1 - à remplir'!$E$31:$E$400,MASQ2!BV152,'Étape 1 - à remplir'!$G$31:$G$400,"lots"),SUMIFS('Étape 1 - à remplir'!$F$31:$F$400,'Étape 1 - à remplir'!$E$31:$E$400,MASQ2!BV152,'Étape 1 - à remplir'!$N$31:$N$400,CE$3,'Étape 1 - à remplir'!$G$31:$G$400,"lots")))))))</f>
        <v>#N/A</v>
      </c>
      <c r="BX152">
        <f t="shared" si="183"/>
        <v>0</v>
      </c>
      <c r="BY152" t="str">
        <f t="shared" si="167"/>
        <v>Oxytétracycline</v>
      </c>
      <c r="BZ152" t="str">
        <f t="shared" si="168"/>
        <v>Néomycine</v>
      </c>
      <c r="CA152" t="str">
        <f t="shared" si="169"/>
        <v/>
      </c>
      <c r="CB152" t="str">
        <f t="shared" si="170"/>
        <v>Tetracyclines</v>
      </c>
      <c r="CC152" t="str">
        <f t="shared" si="171"/>
        <v>Aminoglycosides</v>
      </c>
      <c r="CD152" s="63" t="str">
        <f t="shared" si="172"/>
        <v/>
      </c>
      <c r="CG152" s="42">
        <v>149</v>
      </c>
      <c r="CH152" s="42" t="e">
        <f t="shared" si="188"/>
        <v>#N/A</v>
      </c>
      <c r="CI152" s="63" t="e">
        <f t="shared" si="189"/>
        <v>#N/A</v>
      </c>
      <c r="DM152" s="63"/>
      <c r="EA152" s="194" t="str">
        <f t="shared" ca="1" si="173"/>
        <v/>
      </c>
      <c r="EB152" s="226" t="str">
        <f>IFERROR(IF(ED152=0,"",COUNTIF(ED$4:ED$600,"&gt;"&amp;ED152)+COUNTIF(ED$4:ED152,ED152)),"")</f>
        <v/>
      </c>
      <c r="EC152" t="str">
        <f t="shared" si="174"/>
        <v>COMPOMIX V NEOSTARTER</v>
      </c>
      <c r="ED152" t="e">
        <f>IF(IF(EL$2="Catégorie",IF(EL$3="Toutes",SUMIFS('Étape 1 - à remplir'!$F$31:$F$400,'Étape 1 - à remplir'!$E$31:$E$400,MASQ2!EC152,'Étape 1 - à remplir'!$G$31:$G$400,"kg"),SUMIFS('Étape 1 - à remplir'!$F$31:$F$400,'Étape 1 - à remplir'!$E$31:$E$400,MASQ2!EC152,'Étape 1 - à remplir'!$C$31:$C$400,EL$3)),IF(EL$2="Âge",IF(EL$3="Tous",SUMIFS('Étape 1 - à remplir'!$F$31:$F$400,'Étape 1 - à remplir'!$E$31:$E$400,MASQ2!EC152,'Étape 1 - à remplir'!$G$31:$G$400,"kg"),SUMIFS('Étape 1 - à remplir'!$F$31:$F$400,'Étape 1 - à remplir'!$E$31:$E$400,MASQ2!EC152,'Étape 1 - à remplir'!$P$31:$P$400,EL$3,'Étape 1 - à remplir'!$G$31:$G$400,"kg")),IF(EL$2="Atelier",IF(EL$3="Tous",SUMIFS('Étape 1 - à remplir'!$F$31:$F$400,'Étape 1 - à remplir'!$E$31:$E$400,MASQ2!EC152,'Étape 1 - à remplir'!$G$31:$G$400,"kg"),SUMIFS('Étape 1 - à remplir'!$F$31:$F$400,'Étape 1 - à remplir'!$E$31:$E$400,MASQ2!EC152,'Étape 1 - à remplir'!$O$31:$O$400,EL$3,'Étape 1 - à remplir'!$G$31:$G$400,"kg")),IF(EL$2="Espèce",IF(EL$3="Toutes",SUMIFS('Étape 1 - à remplir'!$F$31:$F$400,'Étape 1 - à remplir'!$E$31:$E$400,MASQ2!EC152,'Étape 1 - à remplir'!$G$31:$G$400,"kg"),SUMIFS('Étape 1 - à remplir'!$F$31:$F$400,'Étape 1 - à remplir'!$E$31:$E$400,MASQ2!EC152,'Étape 1 - à remplir'!$N$31:$N$400,EL$3,'Étape 1 - à remplir'!$G$31:$G$400,"kg"))))))=0,NA(),IF(EL$2="Catégorie",IF(EL$3="Toutes",SUMIFS('Étape 1 - à remplir'!$F$31:$F$400,'Étape 1 - à remplir'!$E$31:$E$400,MASQ2!EC152,'Étape 1 - à remplir'!$G$31:$G$400,"kg"),SUMIFS('Étape 1 - à remplir'!$F$31:$F$400,'Étape 1 - à remplir'!$E$31:$E$400,MASQ2!EC152,'Étape 1 - à remplir'!$C$31:$C$400,EL$3)),IF(EL$2="Âge",IF(EL$3="Tous",SUMIFS('Étape 1 - à remplir'!$F$31:$F$400,'Étape 1 - à remplir'!$E$31:$E$400,MASQ2!EC152,'Étape 1 - à remplir'!$G$31:$G$400,"kg"),SUMIFS('Étape 1 - à remplir'!$F$31:$F$400,'Étape 1 - à remplir'!$E$31:$E$400,MASQ2!EC152,'Étape 1 - à remplir'!$P$31:$P$400,EL$3,'Étape 1 - à remplir'!$G$31:$G$400,"kg")),IF(EL$2="Atelier",IF(EL$3="Tous",SUMIFS('Étape 1 - à remplir'!$F$31:$F$400,'Étape 1 - à remplir'!$E$31:$E$400,MASQ2!EC152,'Étape 1 - à remplir'!$G$31:$G$400,"kg"),SUMIFS('Étape 1 - à remplir'!$F$31:$F$400,'Étape 1 - à remplir'!$E$31:$E$400,MASQ2!EC152,'Étape 1 - à remplir'!$O$31:$O$400,EL$3,'Étape 1 - à remplir'!$G$31:$G$400,"kg")),IF(EL$2="Espèce",IF(EL$3="Toutes",SUMIFS('Étape 1 - à remplir'!$F$31:$F$400,'Étape 1 - à remplir'!$E$31:$E$400,MASQ2!EC152,'Étape 1 - à remplir'!$G$31:$G$400,"kg"),SUMIFS('Étape 1 - à remplir'!$F$31:$F$400,'Étape 1 - à remplir'!$E$31:$E$400,MASQ2!EC152,'Étape 1 - à remplir'!$N$31:$N$400,EL$3,'Étape 1 - à remplir'!$G$31:$G$400,"kg")))))))</f>
        <v>#N/A</v>
      </c>
      <c r="EE152" s="76">
        <f t="shared" si="184"/>
        <v>0</v>
      </c>
      <c r="EF152" t="str">
        <f t="shared" si="175"/>
        <v>Oxytétracycline</v>
      </c>
      <c r="EG152" t="str">
        <f t="shared" si="176"/>
        <v>Néomycine</v>
      </c>
      <c r="EH152" t="str">
        <f t="shared" si="177"/>
        <v/>
      </c>
      <c r="EI152" t="str">
        <f t="shared" si="178"/>
        <v>Tetracyclines</v>
      </c>
      <c r="EJ152" t="str">
        <f t="shared" si="179"/>
        <v>Aminoglycosides</v>
      </c>
      <c r="EK152" s="63" t="str">
        <f t="shared" si="180"/>
        <v/>
      </c>
      <c r="EN152" s="42">
        <v>149</v>
      </c>
      <c r="EO152" t="e">
        <f t="shared" si="186"/>
        <v>#N/A</v>
      </c>
      <c r="EP152" s="63" t="e">
        <f t="shared" si="187"/>
        <v>#N/A</v>
      </c>
      <c r="FT152" s="63"/>
    </row>
    <row r="153" spans="2:176" x14ac:dyDescent="0.3">
      <c r="B153" s="42"/>
      <c r="M153" s="194" t="str">
        <f ca="1">INDEX(Données_ATB!BD:BU,MATCH(MASQ2!O153,Données_ATB!BD:BD,0),18)</f>
        <v/>
      </c>
      <c r="N153" s="14" t="str">
        <f>IFERROR(IF(Q153=0,"",COUNTIF(Q$4:Q$600,"&gt;"&amp;Q153)+COUNTIF(Q$4:Q153,Q153)),"")</f>
        <v/>
      </c>
      <c r="O153" t="str">
        <f>Données_ATB!BD152</f>
        <v>COMPOMIX V SULFAPRIM</v>
      </c>
      <c r="P153" t="e">
        <f>IF(IF(X$2="Catégorie",IF(X$3="Toutes",SUMIFS('Étape 1 - à remplir'!$F$31:$F$400,'Étape 1 - à remplir'!$E$31:$E$400,MASQ2!O153,'Étape 1 - à remplir'!$G$31:$G$400,"animaux"),SUMIFS('Étape 1 - à remplir'!$F$31:$F$400,'Étape 1 - à remplir'!$E$31:$E$400,MASQ2!O153,'Étape 1 - à remplir'!$C$31:$C$400,X$3)),IF(X$2="Âge",IF(X$3="Tous",SUMIFS('Étape 1 - à remplir'!$F$31:$F$400,'Étape 1 - à remplir'!$E$31:$E$400,MASQ2!O153,'Étape 1 - à remplir'!$G$31:$G$400,"animaux"),SUMIFS('Étape 1 - à remplir'!$F$31:$F$400,'Étape 1 - à remplir'!$E$31:$E$400,MASQ2!O153,'Étape 1 - à remplir'!$P$31:$P$400,X$3)),IF(X$2="Atelier",IF(X$3="Tous",SUMIFS('Étape 1 - à remplir'!$F$31:$F$400,'Étape 1 - à remplir'!$E$31:$E$400,MASQ2!O153,'Étape 1 - à remplir'!$G$31:$G$400,"animaux"),SUMIFS('Étape 1 - à remplir'!$F$31:$F$400,'Étape 1 - à remplir'!$E$31:$E$400,MASQ2!O153,'Étape 1 - à remplir'!$O$31:$O$400,X$3)),IF(X$2="Espèce",IF(X$3="Toutes",SUMIFS('Étape 1 - à remplir'!$F$31:$F$400,'Étape 1 - à remplir'!$E$31:$E$400,MASQ2!O153,'Étape 1 - à remplir'!$G$31:$G$400,"animaux"),SUMIFS('Étape 1 - à remplir'!$F$31:$F$400,'Étape 1 - à remplir'!$E$31:$E$400,MASQ2!O153,'Étape 1 - à remplir'!$N$31:$N$400,X$3))))))=0,NA(),IF(X$2="Catégorie",IF(X$3="Toutes",SUMIFS('Étape 1 - à remplir'!$F$31:$F$400,'Étape 1 - à remplir'!$E$31:$E$400,MASQ2!O153,'Étape 1 - à remplir'!$G$31:$G$400,"animaux"),SUMIFS('Étape 1 - à remplir'!$F$31:$F$400,'Étape 1 - à remplir'!$E$31:$E$400,MASQ2!O153,'Étape 1 - à remplir'!$C$31:$C$400,X$3)),IF(X$2="Âge",IF(X$3="Tous",SUMIFS('Étape 1 - à remplir'!$F$31:$F$400,'Étape 1 - à remplir'!$E$31:$E$400,MASQ2!O153,'Étape 1 - à remplir'!$G$31:$G$400,"animaux"),SUMIFS('Étape 1 - à remplir'!$F$31:$F$400,'Étape 1 - à remplir'!$E$31:$E$400,MASQ2!O153,'Étape 1 - à remplir'!$P$31:$P$400,X$3)),IF(X$2="Atelier",IF(X$3="Tous",SUMIFS('Étape 1 - à remplir'!$F$31:$F$400,'Étape 1 - à remplir'!$E$31:$E$400,MASQ2!O153,'Étape 1 - à remplir'!$G$31:$G$400,"animaux"),SUMIFS('Étape 1 - à remplir'!$F$31:$F$400,'Étape 1 - à remplir'!$E$31:$E$400,MASQ2!O153,'Étape 1 - à remplir'!$O$31:$O$400,X$3)),IF(X$2="Espèce",IF(X$3="Toutes",SUMIFS('Étape 1 - à remplir'!$F$31:$F$400,'Étape 1 - à remplir'!$E$31:$E$400,MASQ2!O153,'Étape 1 - à remplir'!$G$31:$G$400,"animaux"),SUMIFS('Étape 1 - à remplir'!$F$31:$F$400,'Étape 1 - à remplir'!$E$31:$E$400,MASQ2!O153,'Étape 1 - à remplir'!$N$31:$N$400,X$3)))))))</f>
        <v>#N/A</v>
      </c>
      <c r="Q153" s="63">
        <f t="shared" si="185"/>
        <v>0</v>
      </c>
      <c r="R153" t="str">
        <f>Données_ATB!BM152</f>
        <v>Sulfadiméthoxine</v>
      </c>
      <c r="S153" t="str">
        <f>Données_ATB!BN152</f>
        <v>Triméthoprime</v>
      </c>
      <c r="T153" s="63" t="str">
        <f>Données_ATB!BO152</f>
        <v/>
      </c>
      <c r="U153" s="42" t="str">
        <f>Données_ATB!BQ152</f>
        <v>Sulfamides</v>
      </c>
      <c r="V153" t="str">
        <f>Données_ATB!BR152</f>
        <v>Trimethoprime</v>
      </c>
      <c r="W153" s="63" t="str">
        <f>Données_ATB!BS152</f>
        <v/>
      </c>
      <c r="Z153" s="42">
        <v>150</v>
      </c>
      <c r="AA153" t="e">
        <f t="shared" si="181"/>
        <v>#N/A</v>
      </c>
      <c r="AB153" s="63" t="e">
        <f t="shared" si="182"/>
        <v>#N/A</v>
      </c>
      <c r="BF153" s="63"/>
      <c r="BT153" s="194" t="str">
        <f t="shared" ca="1" si="165"/>
        <v/>
      </c>
      <c r="BU153" s="219" t="str">
        <f>IFERROR(IF(BX153=0,"",COUNTIF(BX$4:BX$600,"&gt;"&amp;BX153)+COUNTIF(BX$4:BX153,BX153)),"")</f>
        <v/>
      </c>
      <c r="BV153" s="42" t="str">
        <f t="shared" si="166"/>
        <v>COMPOMIX V SULFAPRIM</v>
      </c>
      <c r="BW153" t="e">
        <f>IF(IF(CE$2="Catégorie",IF(CE$3="Toutes",SUMIFS('Étape 1 - à remplir'!$F$31:$F$400,'Étape 1 - à remplir'!$E$31:$E$400,MASQ2!BV153,'Étape 1 - à remplir'!$G$31:$G$400,"lots"),SUMIFS('Étape 1 - à remplir'!$F$31:$F$400,'Étape 1 - à remplir'!$E$31:$E$400,MASQ2!BV153,'Étape 1 - à remplir'!$C$31:$C$400,CE$3)),IF(CE$2="Âge",IF(CE$3="Tous",SUMIFS('Étape 1 - à remplir'!$F$31:$F$400,'Étape 1 - à remplir'!$E$31:$E$400,MASQ2!BV153,'Étape 1 - à remplir'!$G$31:$G$400,"lots"),SUMIFS('Étape 1 - à remplir'!$F$31:$F$400,'Étape 1 - à remplir'!$E$31:$E$400,MASQ2!BV153,'Étape 1 - à remplir'!$P$31:$P$400,CE$3,'Étape 1 - à remplir'!$G$31:$G$400,"lots")),IF(CE$2="Atelier",IF(CE$3="Tous",SUMIFS('Étape 1 - à remplir'!$F$31:$F$400,'Étape 1 - à remplir'!$E$31:$E$400,MASQ2!BV153,'Étape 1 - à remplir'!$G$31:$G$400,"lots"),SUMIFS('Étape 1 - à remplir'!$F$31:$F$400,'Étape 1 - à remplir'!$E$31:$E$400,MASQ2!BV153,'Étape 1 - à remplir'!$O$31:$O$400,CE$3,'Étape 1 - à remplir'!$G$31:$G$400,"lots")),IF(CE$2="Espèce",IF(CE$3="Toutes",SUMIFS('Étape 1 - à remplir'!$F$31:$F$400,'Étape 1 - à remplir'!$E$31:$E$400,MASQ2!BV153,'Étape 1 - à remplir'!$G$31:$G$400,"lots"),SUMIFS('Étape 1 - à remplir'!$F$31:$F$400,'Étape 1 - à remplir'!$E$31:$E$400,MASQ2!BV153,'Étape 1 - à remplir'!$N$31:$N$400,CE$3,'Étape 1 - à remplir'!$G$31:$G$400,"lots"))))))=0,NA(),IF(CE$2="Catégorie",IF(CE$3="Toutes",SUMIFS('Étape 1 - à remplir'!$F$31:$F$400,'Étape 1 - à remplir'!$E$31:$E$400,MASQ2!BV153,'Étape 1 - à remplir'!$G$31:$G$400,"lots"),SUMIFS('Étape 1 - à remplir'!$F$31:$F$400,'Étape 1 - à remplir'!$E$31:$E$400,MASQ2!BV153,'Étape 1 - à remplir'!$C$31:$C$400,CE$3)),IF(CE$2="Âge",IF(CE$3="Tous",SUMIFS('Étape 1 - à remplir'!$F$31:$F$400,'Étape 1 - à remplir'!$E$31:$E$400,MASQ2!BV153,'Étape 1 - à remplir'!$G$31:$G$400,"lots"),SUMIFS('Étape 1 - à remplir'!$F$31:$F$400,'Étape 1 - à remplir'!$E$31:$E$400,MASQ2!BV153,'Étape 1 - à remplir'!$P$31:$P$400,CE$3,'Étape 1 - à remplir'!$G$31:$G$400,"lots")),IF(CE$2="Atelier",IF(CE$3="Tous",SUMIFS('Étape 1 - à remplir'!$F$31:$F$400,'Étape 1 - à remplir'!$E$31:$E$400,MASQ2!BV153,'Étape 1 - à remplir'!$G$31:$G$400,"lots"),SUMIFS('Étape 1 - à remplir'!$F$31:$F$400,'Étape 1 - à remplir'!$E$31:$E$400,MASQ2!BV153,'Étape 1 - à remplir'!$O$31:$O$400,CE$3,'Étape 1 - à remplir'!$G$31:$G$400,"lots")),IF(CE$2="Espèce",IF(CE$3="Toutes",SUMIFS('Étape 1 - à remplir'!$F$31:$F$400,'Étape 1 - à remplir'!$E$31:$E$400,MASQ2!BV153,'Étape 1 - à remplir'!$G$31:$G$400,"lots"),SUMIFS('Étape 1 - à remplir'!$F$31:$F$400,'Étape 1 - à remplir'!$E$31:$E$400,MASQ2!BV153,'Étape 1 - à remplir'!$N$31:$N$400,CE$3,'Étape 1 - à remplir'!$G$31:$G$400,"lots")))))))</f>
        <v>#N/A</v>
      </c>
      <c r="BX153">
        <f t="shared" si="183"/>
        <v>0</v>
      </c>
      <c r="BY153" t="str">
        <f t="shared" si="167"/>
        <v>Sulfadiméthoxine</v>
      </c>
      <c r="BZ153" t="str">
        <f t="shared" si="168"/>
        <v>Triméthoprime</v>
      </c>
      <c r="CA153" t="str">
        <f t="shared" si="169"/>
        <v/>
      </c>
      <c r="CB153" t="str">
        <f t="shared" si="170"/>
        <v>Sulfamides</v>
      </c>
      <c r="CC153" t="str">
        <f t="shared" si="171"/>
        <v>Trimethoprime</v>
      </c>
      <c r="CD153" s="63" t="str">
        <f t="shared" si="172"/>
        <v/>
      </c>
      <c r="CG153" s="42">
        <v>150</v>
      </c>
      <c r="CH153" s="42" t="e">
        <f t="shared" si="188"/>
        <v>#N/A</v>
      </c>
      <c r="CI153" s="63" t="e">
        <f t="shared" si="189"/>
        <v>#N/A</v>
      </c>
      <c r="DM153" s="63"/>
      <c r="EA153" s="194" t="str">
        <f t="shared" ca="1" si="173"/>
        <v/>
      </c>
      <c r="EB153" s="226" t="str">
        <f>IFERROR(IF(ED153=0,"",COUNTIF(ED$4:ED$600,"&gt;"&amp;ED153)+COUNTIF(ED$4:ED153,ED153)),"")</f>
        <v/>
      </c>
      <c r="EC153" t="str">
        <f t="shared" si="174"/>
        <v>COMPOMIX V SULFAPRIM</v>
      </c>
      <c r="ED153" t="e">
        <f>IF(IF(EL$2="Catégorie",IF(EL$3="Toutes",SUMIFS('Étape 1 - à remplir'!$F$31:$F$400,'Étape 1 - à remplir'!$E$31:$E$400,MASQ2!EC153,'Étape 1 - à remplir'!$G$31:$G$400,"kg"),SUMIFS('Étape 1 - à remplir'!$F$31:$F$400,'Étape 1 - à remplir'!$E$31:$E$400,MASQ2!EC153,'Étape 1 - à remplir'!$C$31:$C$400,EL$3)),IF(EL$2="Âge",IF(EL$3="Tous",SUMIFS('Étape 1 - à remplir'!$F$31:$F$400,'Étape 1 - à remplir'!$E$31:$E$400,MASQ2!EC153,'Étape 1 - à remplir'!$G$31:$G$400,"kg"),SUMIFS('Étape 1 - à remplir'!$F$31:$F$400,'Étape 1 - à remplir'!$E$31:$E$400,MASQ2!EC153,'Étape 1 - à remplir'!$P$31:$P$400,EL$3,'Étape 1 - à remplir'!$G$31:$G$400,"kg")),IF(EL$2="Atelier",IF(EL$3="Tous",SUMIFS('Étape 1 - à remplir'!$F$31:$F$400,'Étape 1 - à remplir'!$E$31:$E$400,MASQ2!EC153,'Étape 1 - à remplir'!$G$31:$G$400,"kg"),SUMIFS('Étape 1 - à remplir'!$F$31:$F$400,'Étape 1 - à remplir'!$E$31:$E$400,MASQ2!EC153,'Étape 1 - à remplir'!$O$31:$O$400,EL$3,'Étape 1 - à remplir'!$G$31:$G$400,"kg")),IF(EL$2="Espèce",IF(EL$3="Toutes",SUMIFS('Étape 1 - à remplir'!$F$31:$F$400,'Étape 1 - à remplir'!$E$31:$E$400,MASQ2!EC153,'Étape 1 - à remplir'!$G$31:$G$400,"kg"),SUMIFS('Étape 1 - à remplir'!$F$31:$F$400,'Étape 1 - à remplir'!$E$31:$E$400,MASQ2!EC153,'Étape 1 - à remplir'!$N$31:$N$400,EL$3,'Étape 1 - à remplir'!$G$31:$G$400,"kg"))))))=0,NA(),IF(EL$2="Catégorie",IF(EL$3="Toutes",SUMIFS('Étape 1 - à remplir'!$F$31:$F$400,'Étape 1 - à remplir'!$E$31:$E$400,MASQ2!EC153,'Étape 1 - à remplir'!$G$31:$G$400,"kg"),SUMIFS('Étape 1 - à remplir'!$F$31:$F$400,'Étape 1 - à remplir'!$E$31:$E$400,MASQ2!EC153,'Étape 1 - à remplir'!$C$31:$C$400,EL$3)),IF(EL$2="Âge",IF(EL$3="Tous",SUMIFS('Étape 1 - à remplir'!$F$31:$F$400,'Étape 1 - à remplir'!$E$31:$E$400,MASQ2!EC153,'Étape 1 - à remplir'!$G$31:$G$400,"kg"),SUMIFS('Étape 1 - à remplir'!$F$31:$F$400,'Étape 1 - à remplir'!$E$31:$E$400,MASQ2!EC153,'Étape 1 - à remplir'!$P$31:$P$400,EL$3,'Étape 1 - à remplir'!$G$31:$G$400,"kg")),IF(EL$2="Atelier",IF(EL$3="Tous",SUMIFS('Étape 1 - à remplir'!$F$31:$F$400,'Étape 1 - à remplir'!$E$31:$E$400,MASQ2!EC153,'Étape 1 - à remplir'!$G$31:$G$400,"kg"),SUMIFS('Étape 1 - à remplir'!$F$31:$F$400,'Étape 1 - à remplir'!$E$31:$E$400,MASQ2!EC153,'Étape 1 - à remplir'!$O$31:$O$400,EL$3,'Étape 1 - à remplir'!$G$31:$G$400,"kg")),IF(EL$2="Espèce",IF(EL$3="Toutes",SUMIFS('Étape 1 - à remplir'!$F$31:$F$400,'Étape 1 - à remplir'!$E$31:$E$400,MASQ2!EC153,'Étape 1 - à remplir'!$G$31:$G$400,"kg"),SUMIFS('Étape 1 - à remplir'!$F$31:$F$400,'Étape 1 - à remplir'!$E$31:$E$400,MASQ2!EC153,'Étape 1 - à remplir'!$N$31:$N$400,EL$3,'Étape 1 - à remplir'!$G$31:$G$400,"kg")))))))</f>
        <v>#N/A</v>
      </c>
      <c r="EE153" s="76">
        <f t="shared" si="184"/>
        <v>0</v>
      </c>
      <c r="EF153" t="str">
        <f t="shared" si="175"/>
        <v>Sulfadiméthoxine</v>
      </c>
      <c r="EG153" t="str">
        <f t="shared" si="176"/>
        <v>Triméthoprime</v>
      </c>
      <c r="EH153" t="str">
        <f t="shared" si="177"/>
        <v/>
      </c>
      <c r="EI153" t="str">
        <f t="shared" si="178"/>
        <v>Sulfamides</v>
      </c>
      <c r="EJ153" t="str">
        <f t="shared" si="179"/>
        <v>Trimethoprime</v>
      </c>
      <c r="EK153" s="63" t="str">
        <f t="shared" si="180"/>
        <v/>
      </c>
      <c r="EN153" s="42">
        <v>150</v>
      </c>
      <c r="EO153" t="e">
        <f t="shared" si="186"/>
        <v>#N/A</v>
      </c>
      <c r="EP153" s="63" t="e">
        <f t="shared" si="187"/>
        <v>#N/A</v>
      </c>
      <c r="FT153" s="63"/>
    </row>
    <row r="154" spans="2:176" x14ac:dyDescent="0.3">
      <c r="B154" s="42"/>
      <c r="M154" s="194" t="str">
        <f ca="1">INDEX(Données_ATB!BD:BU,MATCH(MASQ2!O154,Données_ATB!BD:BD,0),18)</f>
        <v/>
      </c>
      <c r="N154" s="14" t="str">
        <f>IFERROR(IF(Q154=0,"",COUNTIF(Q$4:Q$600,"&gt;"&amp;Q154)+COUNTIF(Q$4:Q154,Q154)),"")</f>
        <v/>
      </c>
      <c r="O154" t="str">
        <f>Données_ATB!BD153</f>
        <v>CONCENTRAT V002 SPIRA 100</v>
      </c>
      <c r="P154" t="e">
        <f>IF(IF(X$2="Catégorie",IF(X$3="Toutes",SUMIFS('Étape 1 - à remplir'!$F$31:$F$400,'Étape 1 - à remplir'!$E$31:$E$400,MASQ2!O154,'Étape 1 - à remplir'!$G$31:$G$400,"animaux"),SUMIFS('Étape 1 - à remplir'!$F$31:$F$400,'Étape 1 - à remplir'!$E$31:$E$400,MASQ2!O154,'Étape 1 - à remplir'!$C$31:$C$400,X$3)),IF(X$2="Âge",IF(X$3="Tous",SUMIFS('Étape 1 - à remplir'!$F$31:$F$400,'Étape 1 - à remplir'!$E$31:$E$400,MASQ2!O154,'Étape 1 - à remplir'!$G$31:$G$400,"animaux"),SUMIFS('Étape 1 - à remplir'!$F$31:$F$400,'Étape 1 - à remplir'!$E$31:$E$400,MASQ2!O154,'Étape 1 - à remplir'!$P$31:$P$400,X$3)),IF(X$2="Atelier",IF(X$3="Tous",SUMIFS('Étape 1 - à remplir'!$F$31:$F$400,'Étape 1 - à remplir'!$E$31:$E$400,MASQ2!O154,'Étape 1 - à remplir'!$G$31:$G$400,"animaux"),SUMIFS('Étape 1 - à remplir'!$F$31:$F$400,'Étape 1 - à remplir'!$E$31:$E$400,MASQ2!O154,'Étape 1 - à remplir'!$O$31:$O$400,X$3)),IF(X$2="Espèce",IF(X$3="Toutes",SUMIFS('Étape 1 - à remplir'!$F$31:$F$400,'Étape 1 - à remplir'!$E$31:$E$400,MASQ2!O154,'Étape 1 - à remplir'!$G$31:$G$400,"animaux"),SUMIFS('Étape 1 - à remplir'!$F$31:$F$400,'Étape 1 - à remplir'!$E$31:$E$400,MASQ2!O154,'Étape 1 - à remplir'!$N$31:$N$400,X$3))))))=0,NA(),IF(X$2="Catégorie",IF(X$3="Toutes",SUMIFS('Étape 1 - à remplir'!$F$31:$F$400,'Étape 1 - à remplir'!$E$31:$E$400,MASQ2!O154,'Étape 1 - à remplir'!$G$31:$G$400,"animaux"),SUMIFS('Étape 1 - à remplir'!$F$31:$F$400,'Étape 1 - à remplir'!$E$31:$E$400,MASQ2!O154,'Étape 1 - à remplir'!$C$31:$C$400,X$3)),IF(X$2="Âge",IF(X$3="Tous",SUMIFS('Étape 1 - à remplir'!$F$31:$F$400,'Étape 1 - à remplir'!$E$31:$E$400,MASQ2!O154,'Étape 1 - à remplir'!$G$31:$G$400,"animaux"),SUMIFS('Étape 1 - à remplir'!$F$31:$F$400,'Étape 1 - à remplir'!$E$31:$E$400,MASQ2!O154,'Étape 1 - à remplir'!$P$31:$P$400,X$3)),IF(X$2="Atelier",IF(X$3="Tous",SUMIFS('Étape 1 - à remplir'!$F$31:$F$400,'Étape 1 - à remplir'!$E$31:$E$400,MASQ2!O154,'Étape 1 - à remplir'!$G$31:$G$400,"animaux"),SUMIFS('Étape 1 - à remplir'!$F$31:$F$400,'Étape 1 - à remplir'!$E$31:$E$400,MASQ2!O154,'Étape 1 - à remplir'!$O$31:$O$400,X$3)),IF(X$2="Espèce",IF(X$3="Toutes",SUMIFS('Étape 1 - à remplir'!$F$31:$F$400,'Étape 1 - à remplir'!$E$31:$E$400,MASQ2!O154,'Étape 1 - à remplir'!$G$31:$G$400,"animaux"),SUMIFS('Étape 1 - à remplir'!$F$31:$F$400,'Étape 1 - à remplir'!$E$31:$E$400,MASQ2!O154,'Étape 1 - à remplir'!$N$31:$N$400,X$3)))))))</f>
        <v>#N/A</v>
      </c>
      <c r="Q154" s="63">
        <f t="shared" si="185"/>
        <v>0</v>
      </c>
      <c r="R154" t="str">
        <f>Données_ATB!BM153</f>
        <v>Spiramycine</v>
      </c>
      <c r="S154" t="str">
        <f>Données_ATB!BN153</f>
        <v/>
      </c>
      <c r="T154" s="63" t="str">
        <f>Données_ATB!BO153</f>
        <v/>
      </c>
      <c r="U154" s="42" t="str">
        <f>Données_ATB!BQ153</f>
        <v>Macrolides</v>
      </c>
      <c r="V154" t="str">
        <f>Données_ATB!BR153</f>
        <v/>
      </c>
      <c r="W154" s="63" t="str">
        <f>Données_ATB!BS153</f>
        <v/>
      </c>
      <c r="Z154" s="42">
        <v>151</v>
      </c>
      <c r="AA154" t="e">
        <f t="shared" si="181"/>
        <v>#N/A</v>
      </c>
      <c r="AB154" s="63" t="e">
        <f t="shared" si="182"/>
        <v>#N/A</v>
      </c>
      <c r="BF154" s="63"/>
      <c r="BT154" s="194" t="str">
        <f t="shared" ca="1" si="165"/>
        <v/>
      </c>
      <c r="BU154" s="219" t="str">
        <f>IFERROR(IF(BX154=0,"",COUNTIF(BX$4:BX$600,"&gt;"&amp;BX154)+COUNTIF(BX$4:BX154,BX154)),"")</f>
        <v/>
      </c>
      <c r="BV154" s="42" t="str">
        <f t="shared" si="166"/>
        <v>CONCENTRAT V002 SPIRA 100</v>
      </c>
      <c r="BW154" t="e">
        <f>IF(IF(CE$2="Catégorie",IF(CE$3="Toutes",SUMIFS('Étape 1 - à remplir'!$F$31:$F$400,'Étape 1 - à remplir'!$E$31:$E$400,MASQ2!BV154,'Étape 1 - à remplir'!$G$31:$G$400,"lots"),SUMIFS('Étape 1 - à remplir'!$F$31:$F$400,'Étape 1 - à remplir'!$E$31:$E$400,MASQ2!BV154,'Étape 1 - à remplir'!$C$31:$C$400,CE$3)),IF(CE$2="Âge",IF(CE$3="Tous",SUMIFS('Étape 1 - à remplir'!$F$31:$F$400,'Étape 1 - à remplir'!$E$31:$E$400,MASQ2!BV154,'Étape 1 - à remplir'!$G$31:$G$400,"lots"),SUMIFS('Étape 1 - à remplir'!$F$31:$F$400,'Étape 1 - à remplir'!$E$31:$E$400,MASQ2!BV154,'Étape 1 - à remplir'!$P$31:$P$400,CE$3,'Étape 1 - à remplir'!$G$31:$G$400,"lots")),IF(CE$2="Atelier",IF(CE$3="Tous",SUMIFS('Étape 1 - à remplir'!$F$31:$F$400,'Étape 1 - à remplir'!$E$31:$E$400,MASQ2!BV154,'Étape 1 - à remplir'!$G$31:$G$400,"lots"),SUMIFS('Étape 1 - à remplir'!$F$31:$F$400,'Étape 1 - à remplir'!$E$31:$E$400,MASQ2!BV154,'Étape 1 - à remplir'!$O$31:$O$400,CE$3,'Étape 1 - à remplir'!$G$31:$G$400,"lots")),IF(CE$2="Espèce",IF(CE$3="Toutes",SUMIFS('Étape 1 - à remplir'!$F$31:$F$400,'Étape 1 - à remplir'!$E$31:$E$400,MASQ2!BV154,'Étape 1 - à remplir'!$G$31:$G$400,"lots"),SUMIFS('Étape 1 - à remplir'!$F$31:$F$400,'Étape 1 - à remplir'!$E$31:$E$400,MASQ2!BV154,'Étape 1 - à remplir'!$N$31:$N$400,CE$3,'Étape 1 - à remplir'!$G$31:$G$400,"lots"))))))=0,NA(),IF(CE$2="Catégorie",IF(CE$3="Toutes",SUMIFS('Étape 1 - à remplir'!$F$31:$F$400,'Étape 1 - à remplir'!$E$31:$E$400,MASQ2!BV154,'Étape 1 - à remplir'!$G$31:$G$400,"lots"),SUMIFS('Étape 1 - à remplir'!$F$31:$F$400,'Étape 1 - à remplir'!$E$31:$E$400,MASQ2!BV154,'Étape 1 - à remplir'!$C$31:$C$400,CE$3)),IF(CE$2="Âge",IF(CE$3="Tous",SUMIFS('Étape 1 - à remplir'!$F$31:$F$400,'Étape 1 - à remplir'!$E$31:$E$400,MASQ2!BV154,'Étape 1 - à remplir'!$G$31:$G$400,"lots"),SUMIFS('Étape 1 - à remplir'!$F$31:$F$400,'Étape 1 - à remplir'!$E$31:$E$400,MASQ2!BV154,'Étape 1 - à remplir'!$P$31:$P$400,CE$3,'Étape 1 - à remplir'!$G$31:$G$400,"lots")),IF(CE$2="Atelier",IF(CE$3="Tous",SUMIFS('Étape 1 - à remplir'!$F$31:$F$400,'Étape 1 - à remplir'!$E$31:$E$400,MASQ2!BV154,'Étape 1 - à remplir'!$G$31:$G$400,"lots"),SUMIFS('Étape 1 - à remplir'!$F$31:$F$400,'Étape 1 - à remplir'!$E$31:$E$400,MASQ2!BV154,'Étape 1 - à remplir'!$O$31:$O$400,CE$3,'Étape 1 - à remplir'!$G$31:$G$400,"lots")),IF(CE$2="Espèce",IF(CE$3="Toutes",SUMIFS('Étape 1 - à remplir'!$F$31:$F$400,'Étape 1 - à remplir'!$E$31:$E$400,MASQ2!BV154,'Étape 1 - à remplir'!$G$31:$G$400,"lots"),SUMIFS('Étape 1 - à remplir'!$F$31:$F$400,'Étape 1 - à remplir'!$E$31:$E$400,MASQ2!BV154,'Étape 1 - à remplir'!$N$31:$N$400,CE$3,'Étape 1 - à remplir'!$G$31:$G$400,"lots")))))))</f>
        <v>#N/A</v>
      </c>
      <c r="BX154">
        <f t="shared" si="183"/>
        <v>0</v>
      </c>
      <c r="BY154" t="str">
        <f t="shared" si="167"/>
        <v>Spiramycine</v>
      </c>
      <c r="BZ154" t="str">
        <f t="shared" si="168"/>
        <v/>
      </c>
      <c r="CA154" t="str">
        <f t="shared" si="169"/>
        <v/>
      </c>
      <c r="CB154" t="str">
        <f t="shared" si="170"/>
        <v>Macrolides</v>
      </c>
      <c r="CC154" t="str">
        <f t="shared" si="171"/>
        <v/>
      </c>
      <c r="CD154" s="63" t="str">
        <f t="shared" si="172"/>
        <v/>
      </c>
      <c r="CG154" s="42">
        <v>151</v>
      </c>
      <c r="CH154" s="42" t="e">
        <f t="shared" si="188"/>
        <v>#N/A</v>
      </c>
      <c r="CI154" s="63" t="e">
        <f t="shared" si="189"/>
        <v>#N/A</v>
      </c>
      <c r="DM154" s="63"/>
      <c r="EA154" s="194" t="str">
        <f t="shared" ca="1" si="173"/>
        <v/>
      </c>
      <c r="EB154" s="226" t="str">
        <f>IFERROR(IF(ED154=0,"",COUNTIF(ED$4:ED$600,"&gt;"&amp;ED154)+COUNTIF(ED$4:ED154,ED154)),"")</f>
        <v/>
      </c>
      <c r="EC154" t="str">
        <f t="shared" si="174"/>
        <v>CONCENTRAT V002 SPIRA 100</v>
      </c>
      <c r="ED154" t="e">
        <f>IF(IF(EL$2="Catégorie",IF(EL$3="Toutes",SUMIFS('Étape 1 - à remplir'!$F$31:$F$400,'Étape 1 - à remplir'!$E$31:$E$400,MASQ2!EC154,'Étape 1 - à remplir'!$G$31:$G$400,"kg"),SUMIFS('Étape 1 - à remplir'!$F$31:$F$400,'Étape 1 - à remplir'!$E$31:$E$400,MASQ2!EC154,'Étape 1 - à remplir'!$C$31:$C$400,EL$3)),IF(EL$2="Âge",IF(EL$3="Tous",SUMIFS('Étape 1 - à remplir'!$F$31:$F$400,'Étape 1 - à remplir'!$E$31:$E$400,MASQ2!EC154,'Étape 1 - à remplir'!$G$31:$G$400,"kg"),SUMIFS('Étape 1 - à remplir'!$F$31:$F$400,'Étape 1 - à remplir'!$E$31:$E$400,MASQ2!EC154,'Étape 1 - à remplir'!$P$31:$P$400,EL$3,'Étape 1 - à remplir'!$G$31:$G$400,"kg")),IF(EL$2="Atelier",IF(EL$3="Tous",SUMIFS('Étape 1 - à remplir'!$F$31:$F$400,'Étape 1 - à remplir'!$E$31:$E$400,MASQ2!EC154,'Étape 1 - à remplir'!$G$31:$G$400,"kg"),SUMIFS('Étape 1 - à remplir'!$F$31:$F$400,'Étape 1 - à remplir'!$E$31:$E$400,MASQ2!EC154,'Étape 1 - à remplir'!$O$31:$O$400,EL$3,'Étape 1 - à remplir'!$G$31:$G$400,"kg")),IF(EL$2="Espèce",IF(EL$3="Toutes",SUMIFS('Étape 1 - à remplir'!$F$31:$F$400,'Étape 1 - à remplir'!$E$31:$E$400,MASQ2!EC154,'Étape 1 - à remplir'!$G$31:$G$400,"kg"),SUMIFS('Étape 1 - à remplir'!$F$31:$F$400,'Étape 1 - à remplir'!$E$31:$E$400,MASQ2!EC154,'Étape 1 - à remplir'!$N$31:$N$400,EL$3,'Étape 1 - à remplir'!$G$31:$G$400,"kg"))))))=0,NA(),IF(EL$2="Catégorie",IF(EL$3="Toutes",SUMIFS('Étape 1 - à remplir'!$F$31:$F$400,'Étape 1 - à remplir'!$E$31:$E$400,MASQ2!EC154,'Étape 1 - à remplir'!$G$31:$G$400,"kg"),SUMIFS('Étape 1 - à remplir'!$F$31:$F$400,'Étape 1 - à remplir'!$E$31:$E$400,MASQ2!EC154,'Étape 1 - à remplir'!$C$31:$C$400,EL$3)),IF(EL$2="Âge",IF(EL$3="Tous",SUMIFS('Étape 1 - à remplir'!$F$31:$F$400,'Étape 1 - à remplir'!$E$31:$E$400,MASQ2!EC154,'Étape 1 - à remplir'!$G$31:$G$400,"kg"),SUMIFS('Étape 1 - à remplir'!$F$31:$F$400,'Étape 1 - à remplir'!$E$31:$E$400,MASQ2!EC154,'Étape 1 - à remplir'!$P$31:$P$400,EL$3,'Étape 1 - à remplir'!$G$31:$G$400,"kg")),IF(EL$2="Atelier",IF(EL$3="Tous",SUMIFS('Étape 1 - à remplir'!$F$31:$F$400,'Étape 1 - à remplir'!$E$31:$E$400,MASQ2!EC154,'Étape 1 - à remplir'!$G$31:$G$400,"kg"),SUMIFS('Étape 1 - à remplir'!$F$31:$F$400,'Étape 1 - à remplir'!$E$31:$E$400,MASQ2!EC154,'Étape 1 - à remplir'!$O$31:$O$400,EL$3,'Étape 1 - à remplir'!$G$31:$G$400,"kg")),IF(EL$2="Espèce",IF(EL$3="Toutes",SUMIFS('Étape 1 - à remplir'!$F$31:$F$400,'Étape 1 - à remplir'!$E$31:$E$400,MASQ2!EC154,'Étape 1 - à remplir'!$G$31:$G$400,"kg"),SUMIFS('Étape 1 - à remplir'!$F$31:$F$400,'Étape 1 - à remplir'!$E$31:$E$400,MASQ2!EC154,'Étape 1 - à remplir'!$N$31:$N$400,EL$3,'Étape 1 - à remplir'!$G$31:$G$400,"kg")))))))</f>
        <v>#N/A</v>
      </c>
      <c r="EE154" s="76">
        <f t="shared" si="184"/>
        <v>0</v>
      </c>
      <c r="EF154" t="str">
        <f t="shared" si="175"/>
        <v>Spiramycine</v>
      </c>
      <c r="EG154" t="str">
        <f t="shared" si="176"/>
        <v/>
      </c>
      <c r="EH154" t="str">
        <f t="shared" si="177"/>
        <v/>
      </c>
      <c r="EI154" t="str">
        <f t="shared" si="178"/>
        <v>Macrolides</v>
      </c>
      <c r="EJ154" t="str">
        <f t="shared" si="179"/>
        <v/>
      </c>
      <c r="EK154" s="63" t="str">
        <f t="shared" si="180"/>
        <v/>
      </c>
      <c r="EN154" s="42">
        <v>151</v>
      </c>
      <c r="EO154" t="e">
        <f t="shared" si="186"/>
        <v>#N/A</v>
      </c>
      <c r="EP154" s="63" t="e">
        <f t="shared" si="187"/>
        <v>#N/A</v>
      </c>
      <c r="FT154" s="63"/>
    </row>
    <row r="155" spans="2:176" x14ac:dyDescent="0.3">
      <c r="B155" s="42"/>
      <c r="M155" s="194" t="str">
        <f ca="1">INDEX(Données_ATB!BD:BU,MATCH(MASQ2!O155,Données_ATB!BD:BD,0),18)</f>
        <v/>
      </c>
      <c r="N155" s="14" t="str">
        <f>IFERROR(IF(Q155=0,"",COUNTIF(Q$4:Q$600,"&gt;"&amp;Q155)+COUNTIF(Q$4:Q155,Q155)),"")</f>
        <v/>
      </c>
      <c r="O155" t="str">
        <f>Données_ATB!BD154</f>
        <v>CONCENTRAT V007 TYLAN 100</v>
      </c>
      <c r="P155" t="e">
        <f>IF(IF(X$2="Catégorie",IF(X$3="Toutes",SUMIFS('Étape 1 - à remplir'!$F$31:$F$400,'Étape 1 - à remplir'!$E$31:$E$400,MASQ2!O155,'Étape 1 - à remplir'!$G$31:$G$400,"animaux"),SUMIFS('Étape 1 - à remplir'!$F$31:$F$400,'Étape 1 - à remplir'!$E$31:$E$400,MASQ2!O155,'Étape 1 - à remplir'!$C$31:$C$400,X$3)),IF(X$2="Âge",IF(X$3="Tous",SUMIFS('Étape 1 - à remplir'!$F$31:$F$400,'Étape 1 - à remplir'!$E$31:$E$400,MASQ2!O155,'Étape 1 - à remplir'!$G$31:$G$400,"animaux"),SUMIFS('Étape 1 - à remplir'!$F$31:$F$400,'Étape 1 - à remplir'!$E$31:$E$400,MASQ2!O155,'Étape 1 - à remplir'!$P$31:$P$400,X$3)),IF(X$2="Atelier",IF(X$3="Tous",SUMIFS('Étape 1 - à remplir'!$F$31:$F$400,'Étape 1 - à remplir'!$E$31:$E$400,MASQ2!O155,'Étape 1 - à remplir'!$G$31:$G$400,"animaux"),SUMIFS('Étape 1 - à remplir'!$F$31:$F$400,'Étape 1 - à remplir'!$E$31:$E$400,MASQ2!O155,'Étape 1 - à remplir'!$O$31:$O$400,X$3)),IF(X$2="Espèce",IF(X$3="Toutes",SUMIFS('Étape 1 - à remplir'!$F$31:$F$400,'Étape 1 - à remplir'!$E$31:$E$400,MASQ2!O155,'Étape 1 - à remplir'!$G$31:$G$400,"animaux"),SUMIFS('Étape 1 - à remplir'!$F$31:$F$400,'Étape 1 - à remplir'!$E$31:$E$400,MASQ2!O155,'Étape 1 - à remplir'!$N$31:$N$400,X$3))))))=0,NA(),IF(X$2="Catégorie",IF(X$3="Toutes",SUMIFS('Étape 1 - à remplir'!$F$31:$F$400,'Étape 1 - à remplir'!$E$31:$E$400,MASQ2!O155,'Étape 1 - à remplir'!$G$31:$G$400,"animaux"),SUMIFS('Étape 1 - à remplir'!$F$31:$F$400,'Étape 1 - à remplir'!$E$31:$E$400,MASQ2!O155,'Étape 1 - à remplir'!$C$31:$C$400,X$3)),IF(X$2="Âge",IF(X$3="Tous",SUMIFS('Étape 1 - à remplir'!$F$31:$F$400,'Étape 1 - à remplir'!$E$31:$E$400,MASQ2!O155,'Étape 1 - à remplir'!$G$31:$G$400,"animaux"),SUMIFS('Étape 1 - à remplir'!$F$31:$F$400,'Étape 1 - à remplir'!$E$31:$E$400,MASQ2!O155,'Étape 1 - à remplir'!$P$31:$P$400,X$3)),IF(X$2="Atelier",IF(X$3="Tous",SUMIFS('Étape 1 - à remplir'!$F$31:$F$400,'Étape 1 - à remplir'!$E$31:$E$400,MASQ2!O155,'Étape 1 - à remplir'!$G$31:$G$400,"animaux"),SUMIFS('Étape 1 - à remplir'!$F$31:$F$400,'Étape 1 - à remplir'!$E$31:$E$400,MASQ2!O155,'Étape 1 - à remplir'!$O$31:$O$400,X$3)),IF(X$2="Espèce",IF(X$3="Toutes",SUMIFS('Étape 1 - à remplir'!$F$31:$F$400,'Étape 1 - à remplir'!$E$31:$E$400,MASQ2!O155,'Étape 1 - à remplir'!$G$31:$G$400,"animaux"),SUMIFS('Étape 1 - à remplir'!$F$31:$F$400,'Étape 1 - à remplir'!$E$31:$E$400,MASQ2!O155,'Étape 1 - à remplir'!$N$31:$N$400,X$3)))))))</f>
        <v>#N/A</v>
      </c>
      <c r="Q155" s="63">
        <f t="shared" si="185"/>
        <v>0</v>
      </c>
      <c r="R155" t="str">
        <f>Données_ATB!BM154</f>
        <v>Tylosine</v>
      </c>
      <c r="S155" t="str">
        <f>Données_ATB!BN154</f>
        <v/>
      </c>
      <c r="T155" s="63" t="str">
        <f>Données_ATB!BO154</f>
        <v/>
      </c>
      <c r="U155" s="42" t="str">
        <f>Données_ATB!BQ154</f>
        <v>Macrolides</v>
      </c>
      <c r="V155" t="str">
        <f>Données_ATB!BR154</f>
        <v/>
      </c>
      <c r="W155" s="63" t="str">
        <f>Données_ATB!BS154</f>
        <v/>
      </c>
      <c r="Z155" s="42">
        <v>152</v>
      </c>
      <c r="AA155" t="e">
        <f t="shared" si="181"/>
        <v>#N/A</v>
      </c>
      <c r="AB155" s="63" t="e">
        <f t="shared" si="182"/>
        <v>#N/A</v>
      </c>
      <c r="BF155" s="63"/>
      <c r="BT155" s="194" t="str">
        <f t="shared" ca="1" si="165"/>
        <v/>
      </c>
      <c r="BU155" s="219" t="str">
        <f>IFERROR(IF(BX155=0,"",COUNTIF(BX$4:BX$600,"&gt;"&amp;BX155)+COUNTIF(BX$4:BX155,BX155)),"")</f>
        <v/>
      </c>
      <c r="BV155" s="42" t="str">
        <f t="shared" si="166"/>
        <v>CONCENTRAT V007 TYLAN 100</v>
      </c>
      <c r="BW155" t="e">
        <f>IF(IF(CE$2="Catégorie",IF(CE$3="Toutes",SUMIFS('Étape 1 - à remplir'!$F$31:$F$400,'Étape 1 - à remplir'!$E$31:$E$400,MASQ2!BV155,'Étape 1 - à remplir'!$G$31:$G$400,"lots"),SUMIFS('Étape 1 - à remplir'!$F$31:$F$400,'Étape 1 - à remplir'!$E$31:$E$400,MASQ2!BV155,'Étape 1 - à remplir'!$C$31:$C$400,CE$3)),IF(CE$2="Âge",IF(CE$3="Tous",SUMIFS('Étape 1 - à remplir'!$F$31:$F$400,'Étape 1 - à remplir'!$E$31:$E$400,MASQ2!BV155,'Étape 1 - à remplir'!$G$31:$G$400,"lots"),SUMIFS('Étape 1 - à remplir'!$F$31:$F$400,'Étape 1 - à remplir'!$E$31:$E$400,MASQ2!BV155,'Étape 1 - à remplir'!$P$31:$P$400,CE$3,'Étape 1 - à remplir'!$G$31:$G$400,"lots")),IF(CE$2="Atelier",IF(CE$3="Tous",SUMIFS('Étape 1 - à remplir'!$F$31:$F$400,'Étape 1 - à remplir'!$E$31:$E$400,MASQ2!BV155,'Étape 1 - à remplir'!$G$31:$G$400,"lots"),SUMIFS('Étape 1 - à remplir'!$F$31:$F$400,'Étape 1 - à remplir'!$E$31:$E$400,MASQ2!BV155,'Étape 1 - à remplir'!$O$31:$O$400,CE$3,'Étape 1 - à remplir'!$G$31:$G$400,"lots")),IF(CE$2="Espèce",IF(CE$3="Toutes",SUMIFS('Étape 1 - à remplir'!$F$31:$F$400,'Étape 1 - à remplir'!$E$31:$E$400,MASQ2!BV155,'Étape 1 - à remplir'!$G$31:$G$400,"lots"),SUMIFS('Étape 1 - à remplir'!$F$31:$F$400,'Étape 1 - à remplir'!$E$31:$E$400,MASQ2!BV155,'Étape 1 - à remplir'!$N$31:$N$400,CE$3,'Étape 1 - à remplir'!$G$31:$G$400,"lots"))))))=0,NA(),IF(CE$2="Catégorie",IF(CE$3="Toutes",SUMIFS('Étape 1 - à remplir'!$F$31:$F$400,'Étape 1 - à remplir'!$E$31:$E$400,MASQ2!BV155,'Étape 1 - à remplir'!$G$31:$G$400,"lots"),SUMIFS('Étape 1 - à remplir'!$F$31:$F$400,'Étape 1 - à remplir'!$E$31:$E$400,MASQ2!BV155,'Étape 1 - à remplir'!$C$31:$C$400,CE$3)),IF(CE$2="Âge",IF(CE$3="Tous",SUMIFS('Étape 1 - à remplir'!$F$31:$F$400,'Étape 1 - à remplir'!$E$31:$E$400,MASQ2!BV155,'Étape 1 - à remplir'!$G$31:$G$400,"lots"),SUMIFS('Étape 1 - à remplir'!$F$31:$F$400,'Étape 1 - à remplir'!$E$31:$E$400,MASQ2!BV155,'Étape 1 - à remplir'!$P$31:$P$400,CE$3,'Étape 1 - à remplir'!$G$31:$G$400,"lots")),IF(CE$2="Atelier",IF(CE$3="Tous",SUMIFS('Étape 1 - à remplir'!$F$31:$F$400,'Étape 1 - à remplir'!$E$31:$E$400,MASQ2!BV155,'Étape 1 - à remplir'!$G$31:$G$400,"lots"),SUMIFS('Étape 1 - à remplir'!$F$31:$F$400,'Étape 1 - à remplir'!$E$31:$E$400,MASQ2!BV155,'Étape 1 - à remplir'!$O$31:$O$400,CE$3,'Étape 1 - à remplir'!$G$31:$G$400,"lots")),IF(CE$2="Espèce",IF(CE$3="Toutes",SUMIFS('Étape 1 - à remplir'!$F$31:$F$400,'Étape 1 - à remplir'!$E$31:$E$400,MASQ2!BV155,'Étape 1 - à remplir'!$G$31:$G$400,"lots"),SUMIFS('Étape 1 - à remplir'!$F$31:$F$400,'Étape 1 - à remplir'!$E$31:$E$400,MASQ2!BV155,'Étape 1 - à remplir'!$N$31:$N$400,CE$3,'Étape 1 - à remplir'!$G$31:$G$400,"lots")))))))</f>
        <v>#N/A</v>
      </c>
      <c r="BX155">
        <f t="shared" si="183"/>
        <v>0</v>
      </c>
      <c r="BY155" t="str">
        <f t="shared" si="167"/>
        <v>Tylosine</v>
      </c>
      <c r="BZ155" t="str">
        <f t="shared" si="168"/>
        <v/>
      </c>
      <c r="CA155" t="str">
        <f t="shared" si="169"/>
        <v/>
      </c>
      <c r="CB155" t="str">
        <f t="shared" si="170"/>
        <v>Macrolides</v>
      </c>
      <c r="CC155" t="str">
        <f t="shared" si="171"/>
        <v/>
      </c>
      <c r="CD155" s="63" t="str">
        <f t="shared" si="172"/>
        <v/>
      </c>
      <c r="CG155" s="42">
        <v>152</v>
      </c>
      <c r="CH155" s="42" t="e">
        <f t="shared" si="188"/>
        <v>#N/A</v>
      </c>
      <c r="CI155" s="63" t="e">
        <f t="shared" si="189"/>
        <v>#N/A</v>
      </c>
      <c r="CV155" s="224"/>
      <c r="CW155" s="224"/>
      <c r="DM155" s="63"/>
      <c r="EA155" s="194" t="str">
        <f t="shared" ca="1" si="173"/>
        <v/>
      </c>
      <c r="EB155" s="226" t="str">
        <f>IFERROR(IF(ED155=0,"",COUNTIF(ED$4:ED$600,"&gt;"&amp;ED155)+COUNTIF(ED$4:ED155,ED155)),"")</f>
        <v/>
      </c>
      <c r="EC155" t="str">
        <f t="shared" si="174"/>
        <v>CONCENTRAT V007 TYLAN 100</v>
      </c>
      <c r="ED155" t="e">
        <f>IF(IF(EL$2="Catégorie",IF(EL$3="Toutes",SUMIFS('Étape 1 - à remplir'!$F$31:$F$400,'Étape 1 - à remplir'!$E$31:$E$400,MASQ2!EC155,'Étape 1 - à remplir'!$G$31:$G$400,"kg"),SUMIFS('Étape 1 - à remplir'!$F$31:$F$400,'Étape 1 - à remplir'!$E$31:$E$400,MASQ2!EC155,'Étape 1 - à remplir'!$C$31:$C$400,EL$3)),IF(EL$2="Âge",IF(EL$3="Tous",SUMIFS('Étape 1 - à remplir'!$F$31:$F$400,'Étape 1 - à remplir'!$E$31:$E$400,MASQ2!EC155,'Étape 1 - à remplir'!$G$31:$G$400,"kg"),SUMIFS('Étape 1 - à remplir'!$F$31:$F$400,'Étape 1 - à remplir'!$E$31:$E$400,MASQ2!EC155,'Étape 1 - à remplir'!$P$31:$P$400,EL$3,'Étape 1 - à remplir'!$G$31:$G$400,"kg")),IF(EL$2="Atelier",IF(EL$3="Tous",SUMIFS('Étape 1 - à remplir'!$F$31:$F$400,'Étape 1 - à remplir'!$E$31:$E$400,MASQ2!EC155,'Étape 1 - à remplir'!$G$31:$G$400,"kg"),SUMIFS('Étape 1 - à remplir'!$F$31:$F$400,'Étape 1 - à remplir'!$E$31:$E$400,MASQ2!EC155,'Étape 1 - à remplir'!$O$31:$O$400,EL$3,'Étape 1 - à remplir'!$G$31:$G$400,"kg")),IF(EL$2="Espèce",IF(EL$3="Toutes",SUMIFS('Étape 1 - à remplir'!$F$31:$F$400,'Étape 1 - à remplir'!$E$31:$E$400,MASQ2!EC155,'Étape 1 - à remplir'!$G$31:$G$400,"kg"),SUMIFS('Étape 1 - à remplir'!$F$31:$F$400,'Étape 1 - à remplir'!$E$31:$E$400,MASQ2!EC155,'Étape 1 - à remplir'!$N$31:$N$400,EL$3,'Étape 1 - à remplir'!$G$31:$G$400,"kg"))))))=0,NA(),IF(EL$2="Catégorie",IF(EL$3="Toutes",SUMIFS('Étape 1 - à remplir'!$F$31:$F$400,'Étape 1 - à remplir'!$E$31:$E$400,MASQ2!EC155,'Étape 1 - à remplir'!$G$31:$G$400,"kg"),SUMIFS('Étape 1 - à remplir'!$F$31:$F$400,'Étape 1 - à remplir'!$E$31:$E$400,MASQ2!EC155,'Étape 1 - à remplir'!$C$31:$C$400,EL$3)),IF(EL$2="Âge",IF(EL$3="Tous",SUMIFS('Étape 1 - à remplir'!$F$31:$F$400,'Étape 1 - à remplir'!$E$31:$E$400,MASQ2!EC155,'Étape 1 - à remplir'!$G$31:$G$400,"kg"),SUMIFS('Étape 1 - à remplir'!$F$31:$F$400,'Étape 1 - à remplir'!$E$31:$E$400,MASQ2!EC155,'Étape 1 - à remplir'!$P$31:$P$400,EL$3,'Étape 1 - à remplir'!$G$31:$G$400,"kg")),IF(EL$2="Atelier",IF(EL$3="Tous",SUMIFS('Étape 1 - à remplir'!$F$31:$F$400,'Étape 1 - à remplir'!$E$31:$E$400,MASQ2!EC155,'Étape 1 - à remplir'!$G$31:$G$400,"kg"),SUMIFS('Étape 1 - à remplir'!$F$31:$F$400,'Étape 1 - à remplir'!$E$31:$E$400,MASQ2!EC155,'Étape 1 - à remplir'!$O$31:$O$400,EL$3,'Étape 1 - à remplir'!$G$31:$G$400,"kg")),IF(EL$2="Espèce",IF(EL$3="Toutes",SUMIFS('Étape 1 - à remplir'!$F$31:$F$400,'Étape 1 - à remplir'!$E$31:$E$400,MASQ2!EC155,'Étape 1 - à remplir'!$G$31:$G$400,"kg"),SUMIFS('Étape 1 - à remplir'!$F$31:$F$400,'Étape 1 - à remplir'!$E$31:$E$400,MASQ2!EC155,'Étape 1 - à remplir'!$N$31:$N$400,EL$3,'Étape 1 - à remplir'!$G$31:$G$400,"kg")))))))</f>
        <v>#N/A</v>
      </c>
      <c r="EE155" s="76">
        <f t="shared" si="184"/>
        <v>0</v>
      </c>
      <c r="EF155" t="str">
        <f t="shared" si="175"/>
        <v>Tylosine</v>
      </c>
      <c r="EG155" t="str">
        <f t="shared" si="176"/>
        <v/>
      </c>
      <c r="EH155" t="str">
        <f t="shared" si="177"/>
        <v/>
      </c>
      <c r="EI155" t="str">
        <f t="shared" si="178"/>
        <v>Macrolides</v>
      </c>
      <c r="EJ155" t="str">
        <f t="shared" si="179"/>
        <v/>
      </c>
      <c r="EK155" s="63" t="str">
        <f t="shared" si="180"/>
        <v/>
      </c>
      <c r="EN155" s="42">
        <v>152</v>
      </c>
      <c r="EO155" t="e">
        <f t="shared" si="186"/>
        <v>#N/A</v>
      </c>
      <c r="EP155" s="63" t="e">
        <f t="shared" si="187"/>
        <v>#N/A</v>
      </c>
      <c r="FT155" s="63"/>
    </row>
    <row r="156" spans="2:176" x14ac:dyDescent="0.3">
      <c r="B156" s="42"/>
      <c r="M156" s="194" t="str">
        <f ca="1">INDEX(Données_ATB!BD:BU,MATCH(MASQ2!O156,Données_ATB!BD:BD,0),18)</f>
        <v/>
      </c>
      <c r="N156" s="14" t="str">
        <f>IFERROR(IF(Q156=0,"",COUNTIF(Q$4:Q$600,"&gt;"&amp;Q156)+COUNTIF(Q$4:Q156,Q156)),"")</f>
        <v/>
      </c>
      <c r="O156" t="str">
        <f>Données_ATB!BD155</f>
        <v>CONCENTRAT V028</v>
      </c>
      <c r="P156" t="e">
        <f>IF(IF(X$2="Catégorie",IF(X$3="Toutes",SUMIFS('Étape 1 - à remplir'!$F$31:$F$400,'Étape 1 - à remplir'!$E$31:$E$400,MASQ2!O156,'Étape 1 - à remplir'!$G$31:$G$400,"animaux"),SUMIFS('Étape 1 - à remplir'!$F$31:$F$400,'Étape 1 - à remplir'!$E$31:$E$400,MASQ2!O156,'Étape 1 - à remplir'!$C$31:$C$400,X$3)),IF(X$2="Âge",IF(X$3="Tous",SUMIFS('Étape 1 - à remplir'!$F$31:$F$400,'Étape 1 - à remplir'!$E$31:$E$400,MASQ2!O156,'Étape 1 - à remplir'!$G$31:$G$400,"animaux"),SUMIFS('Étape 1 - à remplir'!$F$31:$F$400,'Étape 1 - à remplir'!$E$31:$E$400,MASQ2!O156,'Étape 1 - à remplir'!$P$31:$P$400,X$3)),IF(X$2="Atelier",IF(X$3="Tous",SUMIFS('Étape 1 - à remplir'!$F$31:$F$400,'Étape 1 - à remplir'!$E$31:$E$400,MASQ2!O156,'Étape 1 - à remplir'!$G$31:$G$400,"animaux"),SUMIFS('Étape 1 - à remplir'!$F$31:$F$400,'Étape 1 - à remplir'!$E$31:$E$400,MASQ2!O156,'Étape 1 - à remplir'!$O$31:$O$400,X$3)),IF(X$2="Espèce",IF(X$3="Toutes",SUMIFS('Étape 1 - à remplir'!$F$31:$F$400,'Étape 1 - à remplir'!$E$31:$E$400,MASQ2!O156,'Étape 1 - à remplir'!$G$31:$G$400,"animaux"),SUMIFS('Étape 1 - à remplir'!$F$31:$F$400,'Étape 1 - à remplir'!$E$31:$E$400,MASQ2!O156,'Étape 1 - à remplir'!$N$31:$N$400,X$3))))))=0,NA(),IF(X$2="Catégorie",IF(X$3="Toutes",SUMIFS('Étape 1 - à remplir'!$F$31:$F$400,'Étape 1 - à remplir'!$E$31:$E$400,MASQ2!O156,'Étape 1 - à remplir'!$G$31:$G$400,"animaux"),SUMIFS('Étape 1 - à remplir'!$F$31:$F$400,'Étape 1 - à remplir'!$E$31:$E$400,MASQ2!O156,'Étape 1 - à remplir'!$C$31:$C$400,X$3)),IF(X$2="Âge",IF(X$3="Tous",SUMIFS('Étape 1 - à remplir'!$F$31:$F$400,'Étape 1 - à remplir'!$E$31:$E$400,MASQ2!O156,'Étape 1 - à remplir'!$G$31:$G$400,"animaux"),SUMIFS('Étape 1 - à remplir'!$F$31:$F$400,'Étape 1 - à remplir'!$E$31:$E$400,MASQ2!O156,'Étape 1 - à remplir'!$P$31:$P$400,X$3)),IF(X$2="Atelier",IF(X$3="Tous",SUMIFS('Étape 1 - à remplir'!$F$31:$F$400,'Étape 1 - à remplir'!$E$31:$E$400,MASQ2!O156,'Étape 1 - à remplir'!$G$31:$G$400,"animaux"),SUMIFS('Étape 1 - à remplir'!$F$31:$F$400,'Étape 1 - à remplir'!$E$31:$E$400,MASQ2!O156,'Étape 1 - à remplir'!$O$31:$O$400,X$3)),IF(X$2="Espèce",IF(X$3="Toutes",SUMIFS('Étape 1 - à remplir'!$F$31:$F$400,'Étape 1 - à remplir'!$E$31:$E$400,MASQ2!O156,'Étape 1 - à remplir'!$G$31:$G$400,"animaux"),SUMIFS('Étape 1 - à remplir'!$F$31:$F$400,'Étape 1 - à remplir'!$E$31:$E$400,MASQ2!O156,'Étape 1 - à remplir'!$N$31:$N$400,X$3)))))))</f>
        <v>#N/A</v>
      </c>
      <c r="Q156" s="63">
        <f t="shared" si="185"/>
        <v>0</v>
      </c>
      <c r="R156" t="str">
        <f>Données_ATB!BM155</f>
        <v>Chlortétracycline</v>
      </c>
      <c r="S156" t="str">
        <f>Données_ATB!BN155</f>
        <v>Sulfadimidine</v>
      </c>
      <c r="T156" s="63" t="str">
        <f>Données_ATB!BO155</f>
        <v/>
      </c>
      <c r="U156" s="42" t="str">
        <f>Données_ATB!BQ155</f>
        <v>Tetracyclines</v>
      </c>
      <c r="V156" t="str">
        <f>Données_ATB!BR155</f>
        <v>Sulfamides</v>
      </c>
      <c r="W156" s="63" t="str">
        <f>Données_ATB!BS155</f>
        <v/>
      </c>
      <c r="Z156" s="42">
        <v>153</v>
      </c>
      <c r="AA156" t="e">
        <f t="shared" si="181"/>
        <v>#N/A</v>
      </c>
      <c r="AB156" s="63" t="e">
        <f t="shared" si="182"/>
        <v>#N/A</v>
      </c>
      <c r="BF156" s="63"/>
      <c r="BT156" s="194" t="str">
        <f t="shared" ca="1" si="165"/>
        <v/>
      </c>
      <c r="BU156" s="219" t="str">
        <f>IFERROR(IF(BX156=0,"",COUNTIF(BX$4:BX$600,"&gt;"&amp;BX156)+COUNTIF(BX$4:BX156,BX156)),"")</f>
        <v/>
      </c>
      <c r="BV156" s="42" t="str">
        <f t="shared" si="166"/>
        <v>CONCENTRAT V028</v>
      </c>
      <c r="BW156" t="e">
        <f>IF(IF(CE$2="Catégorie",IF(CE$3="Toutes",SUMIFS('Étape 1 - à remplir'!$F$31:$F$400,'Étape 1 - à remplir'!$E$31:$E$400,MASQ2!BV156,'Étape 1 - à remplir'!$G$31:$G$400,"lots"),SUMIFS('Étape 1 - à remplir'!$F$31:$F$400,'Étape 1 - à remplir'!$E$31:$E$400,MASQ2!BV156,'Étape 1 - à remplir'!$C$31:$C$400,CE$3)),IF(CE$2="Âge",IF(CE$3="Tous",SUMIFS('Étape 1 - à remplir'!$F$31:$F$400,'Étape 1 - à remplir'!$E$31:$E$400,MASQ2!BV156,'Étape 1 - à remplir'!$G$31:$G$400,"lots"),SUMIFS('Étape 1 - à remplir'!$F$31:$F$400,'Étape 1 - à remplir'!$E$31:$E$400,MASQ2!BV156,'Étape 1 - à remplir'!$P$31:$P$400,CE$3,'Étape 1 - à remplir'!$G$31:$G$400,"lots")),IF(CE$2="Atelier",IF(CE$3="Tous",SUMIFS('Étape 1 - à remplir'!$F$31:$F$400,'Étape 1 - à remplir'!$E$31:$E$400,MASQ2!BV156,'Étape 1 - à remplir'!$G$31:$G$400,"lots"),SUMIFS('Étape 1 - à remplir'!$F$31:$F$400,'Étape 1 - à remplir'!$E$31:$E$400,MASQ2!BV156,'Étape 1 - à remplir'!$O$31:$O$400,CE$3,'Étape 1 - à remplir'!$G$31:$G$400,"lots")),IF(CE$2="Espèce",IF(CE$3="Toutes",SUMIFS('Étape 1 - à remplir'!$F$31:$F$400,'Étape 1 - à remplir'!$E$31:$E$400,MASQ2!BV156,'Étape 1 - à remplir'!$G$31:$G$400,"lots"),SUMIFS('Étape 1 - à remplir'!$F$31:$F$400,'Étape 1 - à remplir'!$E$31:$E$400,MASQ2!BV156,'Étape 1 - à remplir'!$N$31:$N$400,CE$3,'Étape 1 - à remplir'!$G$31:$G$400,"lots"))))))=0,NA(),IF(CE$2="Catégorie",IF(CE$3="Toutes",SUMIFS('Étape 1 - à remplir'!$F$31:$F$400,'Étape 1 - à remplir'!$E$31:$E$400,MASQ2!BV156,'Étape 1 - à remplir'!$G$31:$G$400,"lots"),SUMIFS('Étape 1 - à remplir'!$F$31:$F$400,'Étape 1 - à remplir'!$E$31:$E$400,MASQ2!BV156,'Étape 1 - à remplir'!$C$31:$C$400,CE$3)),IF(CE$2="Âge",IF(CE$3="Tous",SUMIFS('Étape 1 - à remplir'!$F$31:$F$400,'Étape 1 - à remplir'!$E$31:$E$400,MASQ2!BV156,'Étape 1 - à remplir'!$G$31:$G$400,"lots"),SUMIFS('Étape 1 - à remplir'!$F$31:$F$400,'Étape 1 - à remplir'!$E$31:$E$400,MASQ2!BV156,'Étape 1 - à remplir'!$P$31:$P$400,CE$3,'Étape 1 - à remplir'!$G$31:$G$400,"lots")),IF(CE$2="Atelier",IF(CE$3="Tous",SUMIFS('Étape 1 - à remplir'!$F$31:$F$400,'Étape 1 - à remplir'!$E$31:$E$400,MASQ2!BV156,'Étape 1 - à remplir'!$G$31:$G$400,"lots"),SUMIFS('Étape 1 - à remplir'!$F$31:$F$400,'Étape 1 - à remplir'!$E$31:$E$400,MASQ2!BV156,'Étape 1 - à remplir'!$O$31:$O$400,CE$3,'Étape 1 - à remplir'!$G$31:$G$400,"lots")),IF(CE$2="Espèce",IF(CE$3="Toutes",SUMIFS('Étape 1 - à remplir'!$F$31:$F$400,'Étape 1 - à remplir'!$E$31:$E$400,MASQ2!BV156,'Étape 1 - à remplir'!$G$31:$G$400,"lots"),SUMIFS('Étape 1 - à remplir'!$F$31:$F$400,'Étape 1 - à remplir'!$E$31:$E$400,MASQ2!BV156,'Étape 1 - à remplir'!$N$31:$N$400,CE$3,'Étape 1 - à remplir'!$G$31:$G$400,"lots")))))))</f>
        <v>#N/A</v>
      </c>
      <c r="BX156">
        <f t="shared" si="183"/>
        <v>0</v>
      </c>
      <c r="BY156" t="str">
        <f t="shared" si="167"/>
        <v>Chlortétracycline</v>
      </c>
      <c r="BZ156" t="str">
        <f t="shared" si="168"/>
        <v>Sulfadimidine</v>
      </c>
      <c r="CA156" t="str">
        <f t="shared" si="169"/>
        <v/>
      </c>
      <c r="CB156" t="str">
        <f t="shared" si="170"/>
        <v>Tetracyclines</v>
      </c>
      <c r="CC156" t="str">
        <f t="shared" si="171"/>
        <v>Sulfamides</v>
      </c>
      <c r="CD156" s="63" t="str">
        <f t="shared" si="172"/>
        <v/>
      </c>
      <c r="CG156" s="42">
        <v>153</v>
      </c>
      <c r="CH156" s="42" t="e">
        <f t="shared" si="188"/>
        <v>#N/A</v>
      </c>
      <c r="CI156" s="63" t="e">
        <f t="shared" si="189"/>
        <v>#N/A</v>
      </c>
      <c r="DM156" s="63"/>
      <c r="EA156" s="194" t="str">
        <f t="shared" ca="1" si="173"/>
        <v/>
      </c>
      <c r="EB156" s="226" t="str">
        <f>IFERROR(IF(ED156=0,"",COUNTIF(ED$4:ED$600,"&gt;"&amp;ED156)+COUNTIF(ED$4:ED156,ED156)),"")</f>
        <v/>
      </c>
      <c r="EC156" t="str">
        <f t="shared" si="174"/>
        <v>CONCENTRAT V028</v>
      </c>
      <c r="ED156" t="e">
        <f>IF(IF(EL$2="Catégorie",IF(EL$3="Toutes",SUMIFS('Étape 1 - à remplir'!$F$31:$F$400,'Étape 1 - à remplir'!$E$31:$E$400,MASQ2!EC156,'Étape 1 - à remplir'!$G$31:$G$400,"kg"),SUMIFS('Étape 1 - à remplir'!$F$31:$F$400,'Étape 1 - à remplir'!$E$31:$E$400,MASQ2!EC156,'Étape 1 - à remplir'!$C$31:$C$400,EL$3)),IF(EL$2="Âge",IF(EL$3="Tous",SUMIFS('Étape 1 - à remplir'!$F$31:$F$400,'Étape 1 - à remplir'!$E$31:$E$400,MASQ2!EC156,'Étape 1 - à remplir'!$G$31:$G$400,"kg"),SUMIFS('Étape 1 - à remplir'!$F$31:$F$400,'Étape 1 - à remplir'!$E$31:$E$400,MASQ2!EC156,'Étape 1 - à remplir'!$P$31:$P$400,EL$3,'Étape 1 - à remplir'!$G$31:$G$400,"kg")),IF(EL$2="Atelier",IF(EL$3="Tous",SUMIFS('Étape 1 - à remplir'!$F$31:$F$400,'Étape 1 - à remplir'!$E$31:$E$400,MASQ2!EC156,'Étape 1 - à remplir'!$G$31:$G$400,"kg"),SUMIFS('Étape 1 - à remplir'!$F$31:$F$400,'Étape 1 - à remplir'!$E$31:$E$400,MASQ2!EC156,'Étape 1 - à remplir'!$O$31:$O$400,EL$3,'Étape 1 - à remplir'!$G$31:$G$400,"kg")),IF(EL$2="Espèce",IF(EL$3="Toutes",SUMIFS('Étape 1 - à remplir'!$F$31:$F$400,'Étape 1 - à remplir'!$E$31:$E$400,MASQ2!EC156,'Étape 1 - à remplir'!$G$31:$G$400,"kg"),SUMIFS('Étape 1 - à remplir'!$F$31:$F$400,'Étape 1 - à remplir'!$E$31:$E$400,MASQ2!EC156,'Étape 1 - à remplir'!$N$31:$N$400,EL$3,'Étape 1 - à remplir'!$G$31:$G$400,"kg"))))))=0,NA(),IF(EL$2="Catégorie",IF(EL$3="Toutes",SUMIFS('Étape 1 - à remplir'!$F$31:$F$400,'Étape 1 - à remplir'!$E$31:$E$400,MASQ2!EC156,'Étape 1 - à remplir'!$G$31:$G$400,"kg"),SUMIFS('Étape 1 - à remplir'!$F$31:$F$400,'Étape 1 - à remplir'!$E$31:$E$400,MASQ2!EC156,'Étape 1 - à remplir'!$C$31:$C$400,EL$3)),IF(EL$2="Âge",IF(EL$3="Tous",SUMIFS('Étape 1 - à remplir'!$F$31:$F$400,'Étape 1 - à remplir'!$E$31:$E$400,MASQ2!EC156,'Étape 1 - à remplir'!$G$31:$G$400,"kg"),SUMIFS('Étape 1 - à remplir'!$F$31:$F$400,'Étape 1 - à remplir'!$E$31:$E$400,MASQ2!EC156,'Étape 1 - à remplir'!$P$31:$P$400,EL$3,'Étape 1 - à remplir'!$G$31:$G$400,"kg")),IF(EL$2="Atelier",IF(EL$3="Tous",SUMIFS('Étape 1 - à remplir'!$F$31:$F$400,'Étape 1 - à remplir'!$E$31:$E$400,MASQ2!EC156,'Étape 1 - à remplir'!$G$31:$G$400,"kg"),SUMIFS('Étape 1 - à remplir'!$F$31:$F$400,'Étape 1 - à remplir'!$E$31:$E$400,MASQ2!EC156,'Étape 1 - à remplir'!$O$31:$O$400,EL$3,'Étape 1 - à remplir'!$G$31:$G$400,"kg")),IF(EL$2="Espèce",IF(EL$3="Toutes",SUMIFS('Étape 1 - à remplir'!$F$31:$F$400,'Étape 1 - à remplir'!$E$31:$E$400,MASQ2!EC156,'Étape 1 - à remplir'!$G$31:$G$400,"kg"),SUMIFS('Étape 1 - à remplir'!$F$31:$F$400,'Étape 1 - à remplir'!$E$31:$E$400,MASQ2!EC156,'Étape 1 - à remplir'!$N$31:$N$400,EL$3,'Étape 1 - à remplir'!$G$31:$G$400,"kg")))))))</f>
        <v>#N/A</v>
      </c>
      <c r="EE156" s="76">
        <f t="shared" si="184"/>
        <v>0</v>
      </c>
      <c r="EF156" t="str">
        <f t="shared" si="175"/>
        <v>Chlortétracycline</v>
      </c>
      <c r="EG156" t="str">
        <f t="shared" si="176"/>
        <v>Sulfadimidine</v>
      </c>
      <c r="EH156" t="str">
        <f t="shared" si="177"/>
        <v/>
      </c>
      <c r="EI156" t="str">
        <f t="shared" si="178"/>
        <v>Tetracyclines</v>
      </c>
      <c r="EJ156" t="str">
        <f t="shared" si="179"/>
        <v>Sulfamides</v>
      </c>
      <c r="EK156" s="63" t="str">
        <f t="shared" si="180"/>
        <v/>
      </c>
      <c r="EN156" s="42">
        <v>153</v>
      </c>
      <c r="EO156" t="e">
        <f t="shared" si="186"/>
        <v>#N/A</v>
      </c>
      <c r="EP156" s="63" t="e">
        <f t="shared" si="187"/>
        <v>#N/A</v>
      </c>
      <c r="FT156" s="63"/>
    </row>
    <row r="157" spans="2:176" x14ac:dyDescent="0.3">
      <c r="B157" s="42"/>
      <c r="M157" s="194" t="str">
        <f ca="1">INDEX(Données_ATB!BD:BU,MATCH(MASQ2!O157,Données_ATB!BD:BD,0),18)</f>
        <v/>
      </c>
      <c r="N157" s="14" t="str">
        <f>IFERROR(IF(Q157=0,"",COUNTIF(Q$4:Q$600,"&gt;"&amp;Q157)+COUNTIF(Q$4:Q157,Q157)),"")</f>
        <v/>
      </c>
      <c r="O157" t="str">
        <f>Données_ATB!BD156</f>
        <v>CONCENTRAT V050 TS</v>
      </c>
      <c r="P157" t="e">
        <f>IF(IF(X$2="Catégorie",IF(X$3="Toutes",SUMIFS('Étape 1 - à remplir'!$F$31:$F$400,'Étape 1 - à remplir'!$E$31:$E$400,MASQ2!O157,'Étape 1 - à remplir'!$G$31:$G$400,"animaux"),SUMIFS('Étape 1 - à remplir'!$F$31:$F$400,'Étape 1 - à remplir'!$E$31:$E$400,MASQ2!O157,'Étape 1 - à remplir'!$C$31:$C$400,X$3)),IF(X$2="Âge",IF(X$3="Tous",SUMIFS('Étape 1 - à remplir'!$F$31:$F$400,'Étape 1 - à remplir'!$E$31:$E$400,MASQ2!O157,'Étape 1 - à remplir'!$G$31:$G$400,"animaux"),SUMIFS('Étape 1 - à remplir'!$F$31:$F$400,'Étape 1 - à remplir'!$E$31:$E$400,MASQ2!O157,'Étape 1 - à remplir'!$P$31:$P$400,X$3)),IF(X$2="Atelier",IF(X$3="Tous",SUMIFS('Étape 1 - à remplir'!$F$31:$F$400,'Étape 1 - à remplir'!$E$31:$E$400,MASQ2!O157,'Étape 1 - à remplir'!$G$31:$G$400,"animaux"),SUMIFS('Étape 1 - à remplir'!$F$31:$F$400,'Étape 1 - à remplir'!$E$31:$E$400,MASQ2!O157,'Étape 1 - à remplir'!$O$31:$O$400,X$3)),IF(X$2="Espèce",IF(X$3="Toutes",SUMIFS('Étape 1 - à remplir'!$F$31:$F$400,'Étape 1 - à remplir'!$E$31:$E$400,MASQ2!O157,'Étape 1 - à remplir'!$G$31:$G$400,"animaux"),SUMIFS('Étape 1 - à remplir'!$F$31:$F$400,'Étape 1 - à remplir'!$E$31:$E$400,MASQ2!O157,'Étape 1 - à remplir'!$N$31:$N$400,X$3))))))=0,NA(),IF(X$2="Catégorie",IF(X$3="Toutes",SUMIFS('Étape 1 - à remplir'!$F$31:$F$400,'Étape 1 - à remplir'!$E$31:$E$400,MASQ2!O157,'Étape 1 - à remplir'!$G$31:$G$400,"animaux"),SUMIFS('Étape 1 - à remplir'!$F$31:$F$400,'Étape 1 - à remplir'!$E$31:$E$400,MASQ2!O157,'Étape 1 - à remplir'!$C$31:$C$400,X$3)),IF(X$2="Âge",IF(X$3="Tous",SUMIFS('Étape 1 - à remplir'!$F$31:$F$400,'Étape 1 - à remplir'!$E$31:$E$400,MASQ2!O157,'Étape 1 - à remplir'!$G$31:$G$400,"animaux"),SUMIFS('Étape 1 - à remplir'!$F$31:$F$400,'Étape 1 - à remplir'!$E$31:$E$400,MASQ2!O157,'Étape 1 - à remplir'!$P$31:$P$400,X$3)),IF(X$2="Atelier",IF(X$3="Tous",SUMIFS('Étape 1 - à remplir'!$F$31:$F$400,'Étape 1 - à remplir'!$E$31:$E$400,MASQ2!O157,'Étape 1 - à remplir'!$G$31:$G$400,"animaux"),SUMIFS('Étape 1 - à remplir'!$F$31:$F$400,'Étape 1 - à remplir'!$E$31:$E$400,MASQ2!O157,'Étape 1 - à remplir'!$O$31:$O$400,X$3)),IF(X$2="Espèce",IF(X$3="Toutes",SUMIFS('Étape 1 - à remplir'!$F$31:$F$400,'Étape 1 - à remplir'!$E$31:$E$400,MASQ2!O157,'Étape 1 - à remplir'!$G$31:$G$400,"animaux"),SUMIFS('Étape 1 - à remplir'!$F$31:$F$400,'Étape 1 - à remplir'!$E$31:$E$400,MASQ2!O157,'Étape 1 - à remplir'!$N$31:$N$400,X$3)))))))</f>
        <v>#N/A</v>
      </c>
      <c r="Q157" s="63">
        <f t="shared" si="185"/>
        <v>0</v>
      </c>
      <c r="R157" t="str">
        <f>Données_ATB!BM156</f>
        <v>Sulfadiméthoxine</v>
      </c>
      <c r="S157" t="str">
        <f>Données_ATB!BN156</f>
        <v>Triméthoprime</v>
      </c>
      <c r="T157" s="63" t="str">
        <f>Données_ATB!BO156</f>
        <v/>
      </c>
      <c r="U157" s="42" t="str">
        <f>Données_ATB!BQ156</f>
        <v>Sulfamides</v>
      </c>
      <c r="V157" t="str">
        <f>Données_ATB!BR156</f>
        <v>Trimethoprime</v>
      </c>
      <c r="W157" s="63" t="str">
        <f>Données_ATB!BS156</f>
        <v/>
      </c>
      <c r="Z157" s="42">
        <v>154</v>
      </c>
      <c r="AA157" t="e">
        <f t="shared" si="181"/>
        <v>#N/A</v>
      </c>
      <c r="AB157" s="63" t="e">
        <f t="shared" si="182"/>
        <v>#N/A</v>
      </c>
      <c r="BF157" s="63"/>
      <c r="BT157" s="194" t="str">
        <f t="shared" ca="1" si="165"/>
        <v/>
      </c>
      <c r="BU157" s="219" t="str">
        <f>IFERROR(IF(BX157=0,"",COUNTIF(BX$4:BX$600,"&gt;"&amp;BX157)+COUNTIF(BX$4:BX157,BX157)),"")</f>
        <v/>
      </c>
      <c r="BV157" s="42" t="str">
        <f t="shared" si="166"/>
        <v>CONCENTRAT V050 TS</v>
      </c>
      <c r="BW157" t="e">
        <f>IF(IF(CE$2="Catégorie",IF(CE$3="Toutes",SUMIFS('Étape 1 - à remplir'!$F$31:$F$400,'Étape 1 - à remplir'!$E$31:$E$400,MASQ2!BV157,'Étape 1 - à remplir'!$G$31:$G$400,"lots"),SUMIFS('Étape 1 - à remplir'!$F$31:$F$400,'Étape 1 - à remplir'!$E$31:$E$400,MASQ2!BV157,'Étape 1 - à remplir'!$C$31:$C$400,CE$3)),IF(CE$2="Âge",IF(CE$3="Tous",SUMIFS('Étape 1 - à remplir'!$F$31:$F$400,'Étape 1 - à remplir'!$E$31:$E$400,MASQ2!BV157,'Étape 1 - à remplir'!$G$31:$G$400,"lots"),SUMIFS('Étape 1 - à remplir'!$F$31:$F$400,'Étape 1 - à remplir'!$E$31:$E$400,MASQ2!BV157,'Étape 1 - à remplir'!$P$31:$P$400,CE$3,'Étape 1 - à remplir'!$G$31:$G$400,"lots")),IF(CE$2="Atelier",IF(CE$3="Tous",SUMIFS('Étape 1 - à remplir'!$F$31:$F$400,'Étape 1 - à remplir'!$E$31:$E$400,MASQ2!BV157,'Étape 1 - à remplir'!$G$31:$G$400,"lots"),SUMIFS('Étape 1 - à remplir'!$F$31:$F$400,'Étape 1 - à remplir'!$E$31:$E$400,MASQ2!BV157,'Étape 1 - à remplir'!$O$31:$O$400,CE$3,'Étape 1 - à remplir'!$G$31:$G$400,"lots")),IF(CE$2="Espèce",IF(CE$3="Toutes",SUMIFS('Étape 1 - à remplir'!$F$31:$F$400,'Étape 1 - à remplir'!$E$31:$E$400,MASQ2!BV157,'Étape 1 - à remplir'!$G$31:$G$400,"lots"),SUMIFS('Étape 1 - à remplir'!$F$31:$F$400,'Étape 1 - à remplir'!$E$31:$E$400,MASQ2!BV157,'Étape 1 - à remplir'!$N$31:$N$400,CE$3,'Étape 1 - à remplir'!$G$31:$G$400,"lots"))))))=0,NA(),IF(CE$2="Catégorie",IF(CE$3="Toutes",SUMIFS('Étape 1 - à remplir'!$F$31:$F$400,'Étape 1 - à remplir'!$E$31:$E$400,MASQ2!BV157,'Étape 1 - à remplir'!$G$31:$G$400,"lots"),SUMIFS('Étape 1 - à remplir'!$F$31:$F$400,'Étape 1 - à remplir'!$E$31:$E$400,MASQ2!BV157,'Étape 1 - à remplir'!$C$31:$C$400,CE$3)),IF(CE$2="Âge",IF(CE$3="Tous",SUMIFS('Étape 1 - à remplir'!$F$31:$F$400,'Étape 1 - à remplir'!$E$31:$E$400,MASQ2!BV157,'Étape 1 - à remplir'!$G$31:$G$400,"lots"),SUMIFS('Étape 1 - à remplir'!$F$31:$F$400,'Étape 1 - à remplir'!$E$31:$E$400,MASQ2!BV157,'Étape 1 - à remplir'!$P$31:$P$400,CE$3,'Étape 1 - à remplir'!$G$31:$G$400,"lots")),IF(CE$2="Atelier",IF(CE$3="Tous",SUMIFS('Étape 1 - à remplir'!$F$31:$F$400,'Étape 1 - à remplir'!$E$31:$E$400,MASQ2!BV157,'Étape 1 - à remplir'!$G$31:$G$400,"lots"),SUMIFS('Étape 1 - à remplir'!$F$31:$F$400,'Étape 1 - à remplir'!$E$31:$E$400,MASQ2!BV157,'Étape 1 - à remplir'!$O$31:$O$400,CE$3,'Étape 1 - à remplir'!$G$31:$G$400,"lots")),IF(CE$2="Espèce",IF(CE$3="Toutes",SUMIFS('Étape 1 - à remplir'!$F$31:$F$400,'Étape 1 - à remplir'!$E$31:$E$400,MASQ2!BV157,'Étape 1 - à remplir'!$G$31:$G$400,"lots"),SUMIFS('Étape 1 - à remplir'!$F$31:$F$400,'Étape 1 - à remplir'!$E$31:$E$400,MASQ2!BV157,'Étape 1 - à remplir'!$N$31:$N$400,CE$3,'Étape 1 - à remplir'!$G$31:$G$400,"lots")))))))</f>
        <v>#N/A</v>
      </c>
      <c r="BX157">
        <f t="shared" si="183"/>
        <v>0</v>
      </c>
      <c r="BY157" t="str">
        <f t="shared" si="167"/>
        <v>Sulfadiméthoxine</v>
      </c>
      <c r="BZ157" t="str">
        <f t="shared" si="168"/>
        <v>Triméthoprime</v>
      </c>
      <c r="CA157" t="str">
        <f t="shared" si="169"/>
        <v/>
      </c>
      <c r="CB157" t="str">
        <f t="shared" si="170"/>
        <v>Sulfamides</v>
      </c>
      <c r="CC157" t="str">
        <f t="shared" si="171"/>
        <v>Trimethoprime</v>
      </c>
      <c r="CD157" s="63" t="str">
        <f t="shared" si="172"/>
        <v/>
      </c>
      <c r="CG157" s="42">
        <v>154</v>
      </c>
      <c r="CH157" s="42" t="e">
        <f t="shared" si="188"/>
        <v>#N/A</v>
      </c>
      <c r="CI157" s="63" t="e">
        <f t="shared" si="189"/>
        <v>#N/A</v>
      </c>
      <c r="CV157" s="224"/>
      <c r="CW157" s="224"/>
      <c r="DM157" s="63"/>
      <c r="EA157" s="194" t="str">
        <f t="shared" ca="1" si="173"/>
        <v/>
      </c>
      <c r="EB157" s="226" t="str">
        <f>IFERROR(IF(ED157=0,"",COUNTIF(ED$4:ED$600,"&gt;"&amp;ED157)+COUNTIF(ED$4:ED157,ED157)),"")</f>
        <v/>
      </c>
      <c r="EC157" t="str">
        <f t="shared" si="174"/>
        <v>CONCENTRAT V050 TS</v>
      </c>
      <c r="ED157" t="e">
        <f>IF(IF(EL$2="Catégorie",IF(EL$3="Toutes",SUMIFS('Étape 1 - à remplir'!$F$31:$F$400,'Étape 1 - à remplir'!$E$31:$E$400,MASQ2!EC157,'Étape 1 - à remplir'!$G$31:$G$400,"kg"),SUMIFS('Étape 1 - à remplir'!$F$31:$F$400,'Étape 1 - à remplir'!$E$31:$E$400,MASQ2!EC157,'Étape 1 - à remplir'!$C$31:$C$400,EL$3)),IF(EL$2="Âge",IF(EL$3="Tous",SUMIFS('Étape 1 - à remplir'!$F$31:$F$400,'Étape 1 - à remplir'!$E$31:$E$400,MASQ2!EC157,'Étape 1 - à remplir'!$G$31:$G$400,"kg"),SUMIFS('Étape 1 - à remplir'!$F$31:$F$400,'Étape 1 - à remplir'!$E$31:$E$400,MASQ2!EC157,'Étape 1 - à remplir'!$P$31:$P$400,EL$3,'Étape 1 - à remplir'!$G$31:$G$400,"kg")),IF(EL$2="Atelier",IF(EL$3="Tous",SUMIFS('Étape 1 - à remplir'!$F$31:$F$400,'Étape 1 - à remplir'!$E$31:$E$400,MASQ2!EC157,'Étape 1 - à remplir'!$G$31:$G$400,"kg"),SUMIFS('Étape 1 - à remplir'!$F$31:$F$400,'Étape 1 - à remplir'!$E$31:$E$400,MASQ2!EC157,'Étape 1 - à remplir'!$O$31:$O$400,EL$3,'Étape 1 - à remplir'!$G$31:$G$400,"kg")),IF(EL$2="Espèce",IF(EL$3="Toutes",SUMIFS('Étape 1 - à remplir'!$F$31:$F$400,'Étape 1 - à remplir'!$E$31:$E$400,MASQ2!EC157,'Étape 1 - à remplir'!$G$31:$G$400,"kg"),SUMIFS('Étape 1 - à remplir'!$F$31:$F$400,'Étape 1 - à remplir'!$E$31:$E$400,MASQ2!EC157,'Étape 1 - à remplir'!$N$31:$N$400,EL$3,'Étape 1 - à remplir'!$G$31:$G$400,"kg"))))))=0,NA(),IF(EL$2="Catégorie",IF(EL$3="Toutes",SUMIFS('Étape 1 - à remplir'!$F$31:$F$400,'Étape 1 - à remplir'!$E$31:$E$400,MASQ2!EC157,'Étape 1 - à remplir'!$G$31:$G$400,"kg"),SUMIFS('Étape 1 - à remplir'!$F$31:$F$400,'Étape 1 - à remplir'!$E$31:$E$400,MASQ2!EC157,'Étape 1 - à remplir'!$C$31:$C$400,EL$3)),IF(EL$2="Âge",IF(EL$3="Tous",SUMIFS('Étape 1 - à remplir'!$F$31:$F$400,'Étape 1 - à remplir'!$E$31:$E$400,MASQ2!EC157,'Étape 1 - à remplir'!$G$31:$G$400,"kg"),SUMIFS('Étape 1 - à remplir'!$F$31:$F$400,'Étape 1 - à remplir'!$E$31:$E$400,MASQ2!EC157,'Étape 1 - à remplir'!$P$31:$P$400,EL$3,'Étape 1 - à remplir'!$G$31:$G$400,"kg")),IF(EL$2="Atelier",IF(EL$3="Tous",SUMIFS('Étape 1 - à remplir'!$F$31:$F$400,'Étape 1 - à remplir'!$E$31:$E$400,MASQ2!EC157,'Étape 1 - à remplir'!$G$31:$G$400,"kg"),SUMIFS('Étape 1 - à remplir'!$F$31:$F$400,'Étape 1 - à remplir'!$E$31:$E$400,MASQ2!EC157,'Étape 1 - à remplir'!$O$31:$O$400,EL$3,'Étape 1 - à remplir'!$G$31:$G$400,"kg")),IF(EL$2="Espèce",IF(EL$3="Toutes",SUMIFS('Étape 1 - à remplir'!$F$31:$F$400,'Étape 1 - à remplir'!$E$31:$E$400,MASQ2!EC157,'Étape 1 - à remplir'!$G$31:$G$400,"kg"),SUMIFS('Étape 1 - à remplir'!$F$31:$F$400,'Étape 1 - à remplir'!$E$31:$E$400,MASQ2!EC157,'Étape 1 - à remplir'!$N$31:$N$400,EL$3,'Étape 1 - à remplir'!$G$31:$G$400,"kg")))))))</f>
        <v>#N/A</v>
      </c>
      <c r="EE157" s="76">
        <f t="shared" si="184"/>
        <v>0</v>
      </c>
      <c r="EF157" t="str">
        <f t="shared" si="175"/>
        <v>Sulfadiméthoxine</v>
      </c>
      <c r="EG157" t="str">
        <f t="shared" si="176"/>
        <v>Triméthoprime</v>
      </c>
      <c r="EH157" t="str">
        <f t="shared" si="177"/>
        <v/>
      </c>
      <c r="EI157" t="str">
        <f t="shared" si="178"/>
        <v>Sulfamides</v>
      </c>
      <c r="EJ157" t="str">
        <f t="shared" si="179"/>
        <v>Trimethoprime</v>
      </c>
      <c r="EK157" s="63" t="str">
        <f t="shared" si="180"/>
        <v/>
      </c>
      <c r="EN157" s="42">
        <v>154</v>
      </c>
      <c r="EO157" t="e">
        <f t="shared" si="186"/>
        <v>#N/A</v>
      </c>
      <c r="EP157" s="63" t="e">
        <f t="shared" si="187"/>
        <v>#N/A</v>
      </c>
      <c r="FT157" s="63"/>
    </row>
    <row r="158" spans="2:176" x14ac:dyDescent="0.3">
      <c r="B158" s="42"/>
      <c r="M158" s="194" t="str">
        <f ca="1">INDEX(Données_ATB!BD:BU,MATCH(MASQ2!O158,Données_ATB!BD:BD,0),18)</f>
        <v/>
      </c>
      <c r="N158" s="14" t="str">
        <f>IFERROR(IF(Q158=0,"",COUNTIF(Q$4:Q$600,"&gt;"&amp;Q158)+COUNTIF(Q$4:Q158,Q158)),"")</f>
        <v/>
      </c>
      <c r="O158" t="str">
        <f>Données_ATB!BD157</f>
        <v>CONCENTRAT V061 LINCOMYCINE 4.4 SPECTINOMYCINE 4.4 PORC</v>
      </c>
      <c r="P158" t="e">
        <f>IF(IF(X$2="Catégorie",IF(X$3="Toutes",SUMIFS('Étape 1 - à remplir'!$F$31:$F$400,'Étape 1 - à remplir'!$E$31:$E$400,MASQ2!O158,'Étape 1 - à remplir'!$G$31:$G$400,"animaux"),SUMIFS('Étape 1 - à remplir'!$F$31:$F$400,'Étape 1 - à remplir'!$E$31:$E$400,MASQ2!O158,'Étape 1 - à remplir'!$C$31:$C$400,X$3)),IF(X$2="Âge",IF(X$3="Tous",SUMIFS('Étape 1 - à remplir'!$F$31:$F$400,'Étape 1 - à remplir'!$E$31:$E$400,MASQ2!O158,'Étape 1 - à remplir'!$G$31:$G$400,"animaux"),SUMIFS('Étape 1 - à remplir'!$F$31:$F$400,'Étape 1 - à remplir'!$E$31:$E$400,MASQ2!O158,'Étape 1 - à remplir'!$P$31:$P$400,X$3)),IF(X$2="Atelier",IF(X$3="Tous",SUMIFS('Étape 1 - à remplir'!$F$31:$F$400,'Étape 1 - à remplir'!$E$31:$E$400,MASQ2!O158,'Étape 1 - à remplir'!$G$31:$G$400,"animaux"),SUMIFS('Étape 1 - à remplir'!$F$31:$F$400,'Étape 1 - à remplir'!$E$31:$E$400,MASQ2!O158,'Étape 1 - à remplir'!$O$31:$O$400,X$3)),IF(X$2="Espèce",IF(X$3="Toutes",SUMIFS('Étape 1 - à remplir'!$F$31:$F$400,'Étape 1 - à remplir'!$E$31:$E$400,MASQ2!O158,'Étape 1 - à remplir'!$G$31:$G$400,"animaux"),SUMIFS('Étape 1 - à remplir'!$F$31:$F$400,'Étape 1 - à remplir'!$E$31:$E$400,MASQ2!O158,'Étape 1 - à remplir'!$N$31:$N$400,X$3))))))=0,NA(),IF(X$2="Catégorie",IF(X$3="Toutes",SUMIFS('Étape 1 - à remplir'!$F$31:$F$400,'Étape 1 - à remplir'!$E$31:$E$400,MASQ2!O158,'Étape 1 - à remplir'!$G$31:$G$400,"animaux"),SUMIFS('Étape 1 - à remplir'!$F$31:$F$400,'Étape 1 - à remplir'!$E$31:$E$400,MASQ2!O158,'Étape 1 - à remplir'!$C$31:$C$400,X$3)),IF(X$2="Âge",IF(X$3="Tous",SUMIFS('Étape 1 - à remplir'!$F$31:$F$400,'Étape 1 - à remplir'!$E$31:$E$400,MASQ2!O158,'Étape 1 - à remplir'!$G$31:$G$400,"animaux"),SUMIFS('Étape 1 - à remplir'!$F$31:$F$400,'Étape 1 - à remplir'!$E$31:$E$400,MASQ2!O158,'Étape 1 - à remplir'!$P$31:$P$400,X$3)),IF(X$2="Atelier",IF(X$3="Tous",SUMIFS('Étape 1 - à remplir'!$F$31:$F$400,'Étape 1 - à remplir'!$E$31:$E$400,MASQ2!O158,'Étape 1 - à remplir'!$G$31:$G$400,"animaux"),SUMIFS('Étape 1 - à remplir'!$F$31:$F$400,'Étape 1 - à remplir'!$E$31:$E$400,MASQ2!O158,'Étape 1 - à remplir'!$O$31:$O$400,X$3)),IF(X$2="Espèce",IF(X$3="Toutes",SUMIFS('Étape 1 - à remplir'!$F$31:$F$400,'Étape 1 - à remplir'!$E$31:$E$400,MASQ2!O158,'Étape 1 - à remplir'!$G$31:$G$400,"animaux"),SUMIFS('Étape 1 - à remplir'!$F$31:$F$400,'Étape 1 - à remplir'!$E$31:$E$400,MASQ2!O158,'Étape 1 - à remplir'!$N$31:$N$400,X$3)))))))</f>
        <v>#N/A</v>
      </c>
      <c r="Q158" s="63">
        <f t="shared" si="185"/>
        <v>0</v>
      </c>
      <c r="R158" t="str">
        <f>Données_ATB!BM157</f>
        <v>Lincomycine</v>
      </c>
      <c r="S158" t="str">
        <f>Données_ATB!BN157</f>
        <v>Spectinomycine</v>
      </c>
      <c r="T158" s="63" t="str">
        <f>Données_ATB!BO157</f>
        <v/>
      </c>
      <c r="U158" s="42" t="str">
        <f>Données_ATB!BQ157</f>
        <v>Lincosamides</v>
      </c>
      <c r="V158" t="str">
        <f>Données_ATB!BR157</f>
        <v>Aminoglycosides</v>
      </c>
      <c r="W158" s="63" t="str">
        <f>Données_ATB!BS157</f>
        <v/>
      </c>
      <c r="Z158" s="42">
        <v>155</v>
      </c>
      <c r="AA158" t="e">
        <f t="shared" si="181"/>
        <v>#N/A</v>
      </c>
      <c r="AB158" s="63" t="e">
        <f t="shared" si="182"/>
        <v>#N/A</v>
      </c>
      <c r="BF158" s="63"/>
      <c r="BT158" s="194" t="str">
        <f t="shared" ca="1" si="165"/>
        <v/>
      </c>
      <c r="BU158" s="219" t="str">
        <f>IFERROR(IF(BX158=0,"",COUNTIF(BX$4:BX$600,"&gt;"&amp;BX158)+COUNTIF(BX$4:BX158,BX158)),"")</f>
        <v/>
      </c>
      <c r="BV158" s="42" t="str">
        <f t="shared" si="166"/>
        <v>CONCENTRAT V061 LINCOMYCINE 4.4 SPECTINOMYCINE 4.4 PORC</v>
      </c>
      <c r="BW158" t="e">
        <f>IF(IF(CE$2="Catégorie",IF(CE$3="Toutes",SUMIFS('Étape 1 - à remplir'!$F$31:$F$400,'Étape 1 - à remplir'!$E$31:$E$400,MASQ2!BV158,'Étape 1 - à remplir'!$G$31:$G$400,"lots"),SUMIFS('Étape 1 - à remplir'!$F$31:$F$400,'Étape 1 - à remplir'!$E$31:$E$400,MASQ2!BV158,'Étape 1 - à remplir'!$C$31:$C$400,CE$3)),IF(CE$2="Âge",IF(CE$3="Tous",SUMIFS('Étape 1 - à remplir'!$F$31:$F$400,'Étape 1 - à remplir'!$E$31:$E$400,MASQ2!BV158,'Étape 1 - à remplir'!$G$31:$G$400,"lots"),SUMIFS('Étape 1 - à remplir'!$F$31:$F$400,'Étape 1 - à remplir'!$E$31:$E$400,MASQ2!BV158,'Étape 1 - à remplir'!$P$31:$P$400,CE$3,'Étape 1 - à remplir'!$G$31:$G$400,"lots")),IF(CE$2="Atelier",IF(CE$3="Tous",SUMIFS('Étape 1 - à remplir'!$F$31:$F$400,'Étape 1 - à remplir'!$E$31:$E$400,MASQ2!BV158,'Étape 1 - à remplir'!$G$31:$G$400,"lots"),SUMIFS('Étape 1 - à remplir'!$F$31:$F$400,'Étape 1 - à remplir'!$E$31:$E$400,MASQ2!BV158,'Étape 1 - à remplir'!$O$31:$O$400,CE$3,'Étape 1 - à remplir'!$G$31:$G$400,"lots")),IF(CE$2="Espèce",IF(CE$3="Toutes",SUMIFS('Étape 1 - à remplir'!$F$31:$F$400,'Étape 1 - à remplir'!$E$31:$E$400,MASQ2!BV158,'Étape 1 - à remplir'!$G$31:$G$400,"lots"),SUMIFS('Étape 1 - à remplir'!$F$31:$F$400,'Étape 1 - à remplir'!$E$31:$E$400,MASQ2!BV158,'Étape 1 - à remplir'!$N$31:$N$400,CE$3,'Étape 1 - à remplir'!$G$31:$G$400,"lots"))))))=0,NA(),IF(CE$2="Catégorie",IF(CE$3="Toutes",SUMIFS('Étape 1 - à remplir'!$F$31:$F$400,'Étape 1 - à remplir'!$E$31:$E$400,MASQ2!BV158,'Étape 1 - à remplir'!$G$31:$G$400,"lots"),SUMIFS('Étape 1 - à remplir'!$F$31:$F$400,'Étape 1 - à remplir'!$E$31:$E$400,MASQ2!BV158,'Étape 1 - à remplir'!$C$31:$C$400,CE$3)),IF(CE$2="Âge",IF(CE$3="Tous",SUMIFS('Étape 1 - à remplir'!$F$31:$F$400,'Étape 1 - à remplir'!$E$31:$E$400,MASQ2!BV158,'Étape 1 - à remplir'!$G$31:$G$400,"lots"),SUMIFS('Étape 1 - à remplir'!$F$31:$F$400,'Étape 1 - à remplir'!$E$31:$E$400,MASQ2!BV158,'Étape 1 - à remplir'!$P$31:$P$400,CE$3,'Étape 1 - à remplir'!$G$31:$G$400,"lots")),IF(CE$2="Atelier",IF(CE$3="Tous",SUMIFS('Étape 1 - à remplir'!$F$31:$F$400,'Étape 1 - à remplir'!$E$31:$E$400,MASQ2!BV158,'Étape 1 - à remplir'!$G$31:$G$400,"lots"),SUMIFS('Étape 1 - à remplir'!$F$31:$F$400,'Étape 1 - à remplir'!$E$31:$E$400,MASQ2!BV158,'Étape 1 - à remplir'!$O$31:$O$400,CE$3,'Étape 1 - à remplir'!$G$31:$G$400,"lots")),IF(CE$2="Espèce",IF(CE$3="Toutes",SUMIFS('Étape 1 - à remplir'!$F$31:$F$400,'Étape 1 - à remplir'!$E$31:$E$400,MASQ2!BV158,'Étape 1 - à remplir'!$G$31:$G$400,"lots"),SUMIFS('Étape 1 - à remplir'!$F$31:$F$400,'Étape 1 - à remplir'!$E$31:$E$400,MASQ2!BV158,'Étape 1 - à remplir'!$N$31:$N$400,CE$3,'Étape 1 - à remplir'!$G$31:$G$400,"lots")))))))</f>
        <v>#N/A</v>
      </c>
      <c r="BX158">
        <f t="shared" si="183"/>
        <v>0</v>
      </c>
      <c r="BY158" t="str">
        <f t="shared" si="167"/>
        <v>Lincomycine</v>
      </c>
      <c r="BZ158" t="str">
        <f t="shared" si="168"/>
        <v>Spectinomycine</v>
      </c>
      <c r="CA158" t="str">
        <f t="shared" si="169"/>
        <v/>
      </c>
      <c r="CB158" t="str">
        <f t="shared" si="170"/>
        <v>Lincosamides</v>
      </c>
      <c r="CC158" t="str">
        <f t="shared" si="171"/>
        <v>Aminoglycosides</v>
      </c>
      <c r="CD158" s="63" t="str">
        <f t="shared" si="172"/>
        <v/>
      </c>
      <c r="CG158" s="42">
        <v>155</v>
      </c>
      <c r="CH158" s="42" t="e">
        <f t="shared" si="188"/>
        <v>#N/A</v>
      </c>
      <c r="CI158" s="63" t="e">
        <f t="shared" si="189"/>
        <v>#N/A</v>
      </c>
      <c r="DM158" s="63"/>
      <c r="EA158" s="194" t="str">
        <f t="shared" ca="1" si="173"/>
        <v/>
      </c>
      <c r="EB158" s="226" t="str">
        <f>IFERROR(IF(ED158=0,"",COUNTIF(ED$4:ED$600,"&gt;"&amp;ED158)+COUNTIF(ED$4:ED158,ED158)),"")</f>
        <v/>
      </c>
      <c r="EC158" t="str">
        <f t="shared" si="174"/>
        <v>CONCENTRAT V061 LINCOMYCINE 4.4 SPECTINOMYCINE 4.4 PORC</v>
      </c>
      <c r="ED158" t="e">
        <f>IF(IF(EL$2="Catégorie",IF(EL$3="Toutes",SUMIFS('Étape 1 - à remplir'!$F$31:$F$400,'Étape 1 - à remplir'!$E$31:$E$400,MASQ2!EC158,'Étape 1 - à remplir'!$G$31:$G$400,"kg"),SUMIFS('Étape 1 - à remplir'!$F$31:$F$400,'Étape 1 - à remplir'!$E$31:$E$400,MASQ2!EC158,'Étape 1 - à remplir'!$C$31:$C$400,EL$3)),IF(EL$2="Âge",IF(EL$3="Tous",SUMIFS('Étape 1 - à remplir'!$F$31:$F$400,'Étape 1 - à remplir'!$E$31:$E$400,MASQ2!EC158,'Étape 1 - à remplir'!$G$31:$G$400,"kg"),SUMIFS('Étape 1 - à remplir'!$F$31:$F$400,'Étape 1 - à remplir'!$E$31:$E$400,MASQ2!EC158,'Étape 1 - à remplir'!$P$31:$P$400,EL$3,'Étape 1 - à remplir'!$G$31:$G$400,"kg")),IF(EL$2="Atelier",IF(EL$3="Tous",SUMIFS('Étape 1 - à remplir'!$F$31:$F$400,'Étape 1 - à remplir'!$E$31:$E$400,MASQ2!EC158,'Étape 1 - à remplir'!$G$31:$G$400,"kg"),SUMIFS('Étape 1 - à remplir'!$F$31:$F$400,'Étape 1 - à remplir'!$E$31:$E$400,MASQ2!EC158,'Étape 1 - à remplir'!$O$31:$O$400,EL$3,'Étape 1 - à remplir'!$G$31:$G$400,"kg")),IF(EL$2="Espèce",IF(EL$3="Toutes",SUMIFS('Étape 1 - à remplir'!$F$31:$F$400,'Étape 1 - à remplir'!$E$31:$E$400,MASQ2!EC158,'Étape 1 - à remplir'!$G$31:$G$400,"kg"),SUMIFS('Étape 1 - à remplir'!$F$31:$F$400,'Étape 1 - à remplir'!$E$31:$E$400,MASQ2!EC158,'Étape 1 - à remplir'!$N$31:$N$400,EL$3,'Étape 1 - à remplir'!$G$31:$G$400,"kg"))))))=0,NA(),IF(EL$2="Catégorie",IF(EL$3="Toutes",SUMIFS('Étape 1 - à remplir'!$F$31:$F$400,'Étape 1 - à remplir'!$E$31:$E$400,MASQ2!EC158,'Étape 1 - à remplir'!$G$31:$G$400,"kg"),SUMIFS('Étape 1 - à remplir'!$F$31:$F$400,'Étape 1 - à remplir'!$E$31:$E$400,MASQ2!EC158,'Étape 1 - à remplir'!$C$31:$C$400,EL$3)),IF(EL$2="Âge",IF(EL$3="Tous",SUMIFS('Étape 1 - à remplir'!$F$31:$F$400,'Étape 1 - à remplir'!$E$31:$E$400,MASQ2!EC158,'Étape 1 - à remplir'!$G$31:$G$400,"kg"),SUMIFS('Étape 1 - à remplir'!$F$31:$F$400,'Étape 1 - à remplir'!$E$31:$E$400,MASQ2!EC158,'Étape 1 - à remplir'!$P$31:$P$400,EL$3,'Étape 1 - à remplir'!$G$31:$G$400,"kg")),IF(EL$2="Atelier",IF(EL$3="Tous",SUMIFS('Étape 1 - à remplir'!$F$31:$F$400,'Étape 1 - à remplir'!$E$31:$E$400,MASQ2!EC158,'Étape 1 - à remplir'!$G$31:$G$400,"kg"),SUMIFS('Étape 1 - à remplir'!$F$31:$F$400,'Étape 1 - à remplir'!$E$31:$E$400,MASQ2!EC158,'Étape 1 - à remplir'!$O$31:$O$400,EL$3,'Étape 1 - à remplir'!$G$31:$G$400,"kg")),IF(EL$2="Espèce",IF(EL$3="Toutes",SUMIFS('Étape 1 - à remplir'!$F$31:$F$400,'Étape 1 - à remplir'!$E$31:$E$400,MASQ2!EC158,'Étape 1 - à remplir'!$G$31:$G$400,"kg"),SUMIFS('Étape 1 - à remplir'!$F$31:$F$400,'Étape 1 - à remplir'!$E$31:$E$400,MASQ2!EC158,'Étape 1 - à remplir'!$N$31:$N$400,EL$3,'Étape 1 - à remplir'!$G$31:$G$400,"kg")))))))</f>
        <v>#N/A</v>
      </c>
      <c r="EE158" s="76">
        <f t="shared" si="184"/>
        <v>0</v>
      </c>
      <c r="EF158" t="str">
        <f t="shared" si="175"/>
        <v>Lincomycine</v>
      </c>
      <c r="EG158" t="str">
        <f t="shared" si="176"/>
        <v>Spectinomycine</v>
      </c>
      <c r="EH158" t="str">
        <f t="shared" si="177"/>
        <v/>
      </c>
      <c r="EI158" t="str">
        <f t="shared" si="178"/>
        <v>Lincosamides</v>
      </c>
      <c r="EJ158" t="str">
        <f t="shared" si="179"/>
        <v>Aminoglycosides</v>
      </c>
      <c r="EK158" s="63" t="str">
        <f t="shared" si="180"/>
        <v/>
      </c>
      <c r="EN158" s="42">
        <v>155</v>
      </c>
      <c r="EO158" t="e">
        <f t="shared" si="186"/>
        <v>#N/A</v>
      </c>
      <c r="EP158" s="63" t="e">
        <f t="shared" si="187"/>
        <v>#N/A</v>
      </c>
      <c r="FT158" s="63"/>
    </row>
    <row r="159" spans="2:176" x14ac:dyDescent="0.3">
      <c r="B159" s="42"/>
      <c r="M159" s="194" t="str">
        <f ca="1">INDEX(Données_ATB!BD:BU,MATCH(MASQ2!O159,Données_ATB!BD:BD,0),18)</f>
        <v/>
      </c>
      <c r="N159" s="14" t="str">
        <f>IFERROR(IF(Q159=0,"",COUNTIF(Q$4:Q$600,"&gt;"&amp;Q159)+COUNTIF(Q$4:Q159,Q159)),"")</f>
        <v/>
      </c>
      <c r="O159" t="str">
        <f>Données_ATB!BD158</f>
        <v>CONCENTRAT V069 ACIDE OXOLINIQUE 80 PORC</v>
      </c>
      <c r="P159" t="e">
        <f>IF(IF(X$2="Catégorie",IF(X$3="Toutes",SUMIFS('Étape 1 - à remplir'!$F$31:$F$400,'Étape 1 - à remplir'!$E$31:$E$400,MASQ2!O159,'Étape 1 - à remplir'!$G$31:$G$400,"animaux"),SUMIFS('Étape 1 - à remplir'!$F$31:$F$400,'Étape 1 - à remplir'!$E$31:$E$400,MASQ2!O159,'Étape 1 - à remplir'!$C$31:$C$400,X$3)),IF(X$2="Âge",IF(X$3="Tous",SUMIFS('Étape 1 - à remplir'!$F$31:$F$400,'Étape 1 - à remplir'!$E$31:$E$400,MASQ2!O159,'Étape 1 - à remplir'!$G$31:$G$400,"animaux"),SUMIFS('Étape 1 - à remplir'!$F$31:$F$400,'Étape 1 - à remplir'!$E$31:$E$400,MASQ2!O159,'Étape 1 - à remplir'!$P$31:$P$400,X$3)),IF(X$2="Atelier",IF(X$3="Tous",SUMIFS('Étape 1 - à remplir'!$F$31:$F$400,'Étape 1 - à remplir'!$E$31:$E$400,MASQ2!O159,'Étape 1 - à remplir'!$G$31:$G$400,"animaux"),SUMIFS('Étape 1 - à remplir'!$F$31:$F$400,'Étape 1 - à remplir'!$E$31:$E$400,MASQ2!O159,'Étape 1 - à remplir'!$O$31:$O$400,X$3)),IF(X$2="Espèce",IF(X$3="Toutes",SUMIFS('Étape 1 - à remplir'!$F$31:$F$400,'Étape 1 - à remplir'!$E$31:$E$400,MASQ2!O159,'Étape 1 - à remplir'!$G$31:$G$400,"animaux"),SUMIFS('Étape 1 - à remplir'!$F$31:$F$400,'Étape 1 - à remplir'!$E$31:$E$400,MASQ2!O159,'Étape 1 - à remplir'!$N$31:$N$400,X$3))))))=0,NA(),IF(X$2="Catégorie",IF(X$3="Toutes",SUMIFS('Étape 1 - à remplir'!$F$31:$F$400,'Étape 1 - à remplir'!$E$31:$E$400,MASQ2!O159,'Étape 1 - à remplir'!$G$31:$G$400,"animaux"),SUMIFS('Étape 1 - à remplir'!$F$31:$F$400,'Étape 1 - à remplir'!$E$31:$E$400,MASQ2!O159,'Étape 1 - à remplir'!$C$31:$C$400,X$3)),IF(X$2="Âge",IF(X$3="Tous",SUMIFS('Étape 1 - à remplir'!$F$31:$F$400,'Étape 1 - à remplir'!$E$31:$E$400,MASQ2!O159,'Étape 1 - à remplir'!$G$31:$G$400,"animaux"),SUMIFS('Étape 1 - à remplir'!$F$31:$F$400,'Étape 1 - à remplir'!$E$31:$E$400,MASQ2!O159,'Étape 1 - à remplir'!$P$31:$P$400,X$3)),IF(X$2="Atelier",IF(X$3="Tous",SUMIFS('Étape 1 - à remplir'!$F$31:$F$400,'Étape 1 - à remplir'!$E$31:$E$400,MASQ2!O159,'Étape 1 - à remplir'!$G$31:$G$400,"animaux"),SUMIFS('Étape 1 - à remplir'!$F$31:$F$400,'Étape 1 - à remplir'!$E$31:$E$400,MASQ2!O159,'Étape 1 - à remplir'!$O$31:$O$400,X$3)),IF(X$2="Espèce",IF(X$3="Toutes",SUMIFS('Étape 1 - à remplir'!$F$31:$F$400,'Étape 1 - à remplir'!$E$31:$E$400,MASQ2!O159,'Étape 1 - à remplir'!$G$31:$G$400,"animaux"),SUMIFS('Étape 1 - à remplir'!$F$31:$F$400,'Étape 1 - à remplir'!$E$31:$E$400,MASQ2!O159,'Étape 1 - à remplir'!$N$31:$N$400,X$3)))))))</f>
        <v>#N/A</v>
      </c>
      <c r="Q159" s="63">
        <f t="shared" si="185"/>
        <v>0</v>
      </c>
      <c r="R159" t="str">
        <f>Données_ATB!BM158</f>
        <v>Acide oxolinique</v>
      </c>
      <c r="S159" t="str">
        <f>Données_ATB!BN158</f>
        <v/>
      </c>
      <c r="T159" s="63" t="str">
        <f>Données_ATB!BO158</f>
        <v/>
      </c>
      <c r="U159" s="42" t="str">
        <f>Données_ATB!BQ158</f>
        <v>Quinolones</v>
      </c>
      <c r="V159" t="str">
        <f>Données_ATB!BR158</f>
        <v/>
      </c>
      <c r="W159" s="63" t="str">
        <f>Données_ATB!BS158</f>
        <v/>
      </c>
      <c r="Z159" s="42">
        <v>156</v>
      </c>
      <c r="AA159" t="e">
        <f t="shared" si="181"/>
        <v>#N/A</v>
      </c>
      <c r="AB159" s="63" t="e">
        <f t="shared" si="182"/>
        <v>#N/A</v>
      </c>
      <c r="BF159" s="63"/>
      <c r="BT159" s="194" t="str">
        <f t="shared" ca="1" si="165"/>
        <v/>
      </c>
      <c r="BU159" s="219" t="str">
        <f>IFERROR(IF(BX159=0,"",COUNTIF(BX$4:BX$600,"&gt;"&amp;BX159)+COUNTIF(BX$4:BX159,BX159)),"")</f>
        <v/>
      </c>
      <c r="BV159" s="42" t="str">
        <f t="shared" si="166"/>
        <v>CONCENTRAT V069 ACIDE OXOLINIQUE 80 PORC</v>
      </c>
      <c r="BW159" t="e">
        <f>IF(IF(CE$2="Catégorie",IF(CE$3="Toutes",SUMIFS('Étape 1 - à remplir'!$F$31:$F$400,'Étape 1 - à remplir'!$E$31:$E$400,MASQ2!BV159,'Étape 1 - à remplir'!$G$31:$G$400,"lots"),SUMIFS('Étape 1 - à remplir'!$F$31:$F$400,'Étape 1 - à remplir'!$E$31:$E$400,MASQ2!BV159,'Étape 1 - à remplir'!$C$31:$C$400,CE$3)),IF(CE$2="Âge",IF(CE$3="Tous",SUMIFS('Étape 1 - à remplir'!$F$31:$F$400,'Étape 1 - à remplir'!$E$31:$E$400,MASQ2!BV159,'Étape 1 - à remplir'!$G$31:$G$400,"lots"),SUMIFS('Étape 1 - à remplir'!$F$31:$F$400,'Étape 1 - à remplir'!$E$31:$E$400,MASQ2!BV159,'Étape 1 - à remplir'!$P$31:$P$400,CE$3,'Étape 1 - à remplir'!$G$31:$G$400,"lots")),IF(CE$2="Atelier",IF(CE$3="Tous",SUMIFS('Étape 1 - à remplir'!$F$31:$F$400,'Étape 1 - à remplir'!$E$31:$E$400,MASQ2!BV159,'Étape 1 - à remplir'!$G$31:$G$400,"lots"),SUMIFS('Étape 1 - à remplir'!$F$31:$F$400,'Étape 1 - à remplir'!$E$31:$E$400,MASQ2!BV159,'Étape 1 - à remplir'!$O$31:$O$400,CE$3,'Étape 1 - à remplir'!$G$31:$G$400,"lots")),IF(CE$2="Espèce",IF(CE$3="Toutes",SUMIFS('Étape 1 - à remplir'!$F$31:$F$400,'Étape 1 - à remplir'!$E$31:$E$400,MASQ2!BV159,'Étape 1 - à remplir'!$G$31:$G$400,"lots"),SUMIFS('Étape 1 - à remplir'!$F$31:$F$400,'Étape 1 - à remplir'!$E$31:$E$400,MASQ2!BV159,'Étape 1 - à remplir'!$N$31:$N$400,CE$3,'Étape 1 - à remplir'!$G$31:$G$400,"lots"))))))=0,NA(),IF(CE$2="Catégorie",IF(CE$3="Toutes",SUMIFS('Étape 1 - à remplir'!$F$31:$F$400,'Étape 1 - à remplir'!$E$31:$E$400,MASQ2!BV159,'Étape 1 - à remplir'!$G$31:$G$400,"lots"),SUMIFS('Étape 1 - à remplir'!$F$31:$F$400,'Étape 1 - à remplir'!$E$31:$E$400,MASQ2!BV159,'Étape 1 - à remplir'!$C$31:$C$400,CE$3)),IF(CE$2="Âge",IF(CE$3="Tous",SUMIFS('Étape 1 - à remplir'!$F$31:$F$400,'Étape 1 - à remplir'!$E$31:$E$400,MASQ2!BV159,'Étape 1 - à remplir'!$G$31:$G$400,"lots"),SUMIFS('Étape 1 - à remplir'!$F$31:$F$400,'Étape 1 - à remplir'!$E$31:$E$400,MASQ2!BV159,'Étape 1 - à remplir'!$P$31:$P$400,CE$3,'Étape 1 - à remplir'!$G$31:$G$400,"lots")),IF(CE$2="Atelier",IF(CE$3="Tous",SUMIFS('Étape 1 - à remplir'!$F$31:$F$400,'Étape 1 - à remplir'!$E$31:$E$400,MASQ2!BV159,'Étape 1 - à remplir'!$G$31:$G$400,"lots"),SUMIFS('Étape 1 - à remplir'!$F$31:$F$400,'Étape 1 - à remplir'!$E$31:$E$400,MASQ2!BV159,'Étape 1 - à remplir'!$O$31:$O$400,CE$3,'Étape 1 - à remplir'!$G$31:$G$400,"lots")),IF(CE$2="Espèce",IF(CE$3="Toutes",SUMIFS('Étape 1 - à remplir'!$F$31:$F$400,'Étape 1 - à remplir'!$E$31:$E$400,MASQ2!BV159,'Étape 1 - à remplir'!$G$31:$G$400,"lots"),SUMIFS('Étape 1 - à remplir'!$F$31:$F$400,'Étape 1 - à remplir'!$E$31:$E$400,MASQ2!BV159,'Étape 1 - à remplir'!$N$31:$N$400,CE$3,'Étape 1 - à remplir'!$G$31:$G$400,"lots")))))))</f>
        <v>#N/A</v>
      </c>
      <c r="BX159">
        <f t="shared" si="183"/>
        <v>0</v>
      </c>
      <c r="BY159" t="str">
        <f t="shared" si="167"/>
        <v>Acide oxolinique</v>
      </c>
      <c r="BZ159" t="str">
        <f t="shared" si="168"/>
        <v/>
      </c>
      <c r="CA159" t="str">
        <f t="shared" si="169"/>
        <v/>
      </c>
      <c r="CB159" t="str">
        <f t="shared" si="170"/>
        <v>Quinolones</v>
      </c>
      <c r="CC159" t="str">
        <f t="shared" si="171"/>
        <v/>
      </c>
      <c r="CD159" s="63" t="str">
        <f t="shared" si="172"/>
        <v/>
      </c>
      <c r="CG159" s="42">
        <v>156</v>
      </c>
      <c r="CH159" s="42" t="e">
        <f t="shared" si="188"/>
        <v>#N/A</v>
      </c>
      <c r="CI159" s="63" t="e">
        <f t="shared" si="189"/>
        <v>#N/A</v>
      </c>
      <c r="DM159" s="63"/>
      <c r="EA159" s="194" t="str">
        <f t="shared" ca="1" si="173"/>
        <v/>
      </c>
      <c r="EB159" s="226" t="str">
        <f>IFERROR(IF(ED159=0,"",COUNTIF(ED$4:ED$600,"&gt;"&amp;ED159)+COUNTIF(ED$4:ED159,ED159)),"")</f>
        <v/>
      </c>
      <c r="EC159" t="str">
        <f t="shared" si="174"/>
        <v>CONCENTRAT V069 ACIDE OXOLINIQUE 80 PORC</v>
      </c>
      <c r="ED159" t="e">
        <f>IF(IF(EL$2="Catégorie",IF(EL$3="Toutes",SUMIFS('Étape 1 - à remplir'!$F$31:$F$400,'Étape 1 - à remplir'!$E$31:$E$400,MASQ2!EC159,'Étape 1 - à remplir'!$G$31:$G$400,"kg"),SUMIFS('Étape 1 - à remplir'!$F$31:$F$400,'Étape 1 - à remplir'!$E$31:$E$400,MASQ2!EC159,'Étape 1 - à remplir'!$C$31:$C$400,EL$3)),IF(EL$2="Âge",IF(EL$3="Tous",SUMIFS('Étape 1 - à remplir'!$F$31:$F$400,'Étape 1 - à remplir'!$E$31:$E$400,MASQ2!EC159,'Étape 1 - à remplir'!$G$31:$G$400,"kg"),SUMIFS('Étape 1 - à remplir'!$F$31:$F$400,'Étape 1 - à remplir'!$E$31:$E$400,MASQ2!EC159,'Étape 1 - à remplir'!$P$31:$P$400,EL$3,'Étape 1 - à remplir'!$G$31:$G$400,"kg")),IF(EL$2="Atelier",IF(EL$3="Tous",SUMIFS('Étape 1 - à remplir'!$F$31:$F$400,'Étape 1 - à remplir'!$E$31:$E$400,MASQ2!EC159,'Étape 1 - à remplir'!$G$31:$G$400,"kg"),SUMIFS('Étape 1 - à remplir'!$F$31:$F$400,'Étape 1 - à remplir'!$E$31:$E$400,MASQ2!EC159,'Étape 1 - à remplir'!$O$31:$O$400,EL$3,'Étape 1 - à remplir'!$G$31:$G$400,"kg")),IF(EL$2="Espèce",IF(EL$3="Toutes",SUMIFS('Étape 1 - à remplir'!$F$31:$F$400,'Étape 1 - à remplir'!$E$31:$E$400,MASQ2!EC159,'Étape 1 - à remplir'!$G$31:$G$400,"kg"),SUMIFS('Étape 1 - à remplir'!$F$31:$F$400,'Étape 1 - à remplir'!$E$31:$E$400,MASQ2!EC159,'Étape 1 - à remplir'!$N$31:$N$400,EL$3,'Étape 1 - à remplir'!$G$31:$G$400,"kg"))))))=0,NA(),IF(EL$2="Catégorie",IF(EL$3="Toutes",SUMIFS('Étape 1 - à remplir'!$F$31:$F$400,'Étape 1 - à remplir'!$E$31:$E$400,MASQ2!EC159,'Étape 1 - à remplir'!$G$31:$G$400,"kg"),SUMIFS('Étape 1 - à remplir'!$F$31:$F$400,'Étape 1 - à remplir'!$E$31:$E$400,MASQ2!EC159,'Étape 1 - à remplir'!$C$31:$C$400,EL$3)),IF(EL$2="Âge",IF(EL$3="Tous",SUMIFS('Étape 1 - à remplir'!$F$31:$F$400,'Étape 1 - à remplir'!$E$31:$E$400,MASQ2!EC159,'Étape 1 - à remplir'!$G$31:$G$400,"kg"),SUMIFS('Étape 1 - à remplir'!$F$31:$F$400,'Étape 1 - à remplir'!$E$31:$E$400,MASQ2!EC159,'Étape 1 - à remplir'!$P$31:$P$400,EL$3,'Étape 1 - à remplir'!$G$31:$G$400,"kg")),IF(EL$2="Atelier",IF(EL$3="Tous",SUMIFS('Étape 1 - à remplir'!$F$31:$F$400,'Étape 1 - à remplir'!$E$31:$E$400,MASQ2!EC159,'Étape 1 - à remplir'!$G$31:$G$400,"kg"),SUMIFS('Étape 1 - à remplir'!$F$31:$F$400,'Étape 1 - à remplir'!$E$31:$E$400,MASQ2!EC159,'Étape 1 - à remplir'!$O$31:$O$400,EL$3,'Étape 1 - à remplir'!$G$31:$G$400,"kg")),IF(EL$2="Espèce",IF(EL$3="Toutes",SUMIFS('Étape 1 - à remplir'!$F$31:$F$400,'Étape 1 - à remplir'!$E$31:$E$400,MASQ2!EC159,'Étape 1 - à remplir'!$G$31:$G$400,"kg"),SUMIFS('Étape 1 - à remplir'!$F$31:$F$400,'Étape 1 - à remplir'!$E$31:$E$400,MASQ2!EC159,'Étape 1 - à remplir'!$N$31:$N$400,EL$3,'Étape 1 - à remplir'!$G$31:$G$400,"kg")))))))</f>
        <v>#N/A</v>
      </c>
      <c r="EE159" s="76">
        <f t="shared" si="184"/>
        <v>0</v>
      </c>
      <c r="EF159" t="str">
        <f t="shared" si="175"/>
        <v>Acide oxolinique</v>
      </c>
      <c r="EG159" t="str">
        <f t="shared" si="176"/>
        <v/>
      </c>
      <c r="EH159" t="str">
        <f t="shared" si="177"/>
        <v/>
      </c>
      <c r="EI159" t="str">
        <f t="shared" si="178"/>
        <v>Quinolones</v>
      </c>
      <c r="EJ159" t="str">
        <f t="shared" si="179"/>
        <v/>
      </c>
      <c r="EK159" s="63" t="str">
        <f t="shared" si="180"/>
        <v/>
      </c>
      <c r="EN159" s="42">
        <v>156</v>
      </c>
      <c r="EO159" t="e">
        <f t="shared" si="186"/>
        <v>#N/A</v>
      </c>
      <c r="EP159" s="63" t="e">
        <f t="shared" si="187"/>
        <v>#N/A</v>
      </c>
      <c r="FT159" s="63"/>
    </row>
    <row r="160" spans="2:176" x14ac:dyDescent="0.3">
      <c r="B160" s="42"/>
      <c r="M160" s="194" t="str">
        <f ca="1">INDEX(Données_ATB!BD:BU,MATCH(MASQ2!O160,Données_ATB!BD:BD,0),18)</f>
        <v/>
      </c>
      <c r="N160" s="14" t="str">
        <f>IFERROR(IF(Q160=0,"",COUNTIF(Q$4:Q$600,"&gt;"&amp;Q160)+COUNTIF(Q$4:Q160,Q160)),"")</f>
        <v/>
      </c>
      <c r="O160" t="str">
        <f>Données_ATB!BD159</f>
        <v>CONCENTRAT VO 08 TILMICOSINE PORCIN-LAPIN</v>
      </c>
      <c r="P160" t="e">
        <f>IF(IF(X$2="Catégorie",IF(X$3="Toutes",SUMIFS('Étape 1 - à remplir'!$F$31:$F$400,'Étape 1 - à remplir'!$E$31:$E$400,MASQ2!O160,'Étape 1 - à remplir'!$G$31:$G$400,"animaux"),SUMIFS('Étape 1 - à remplir'!$F$31:$F$400,'Étape 1 - à remplir'!$E$31:$E$400,MASQ2!O160,'Étape 1 - à remplir'!$C$31:$C$400,X$3)),IF(X$2="Âge",IF(X$3="Tous",SUMIFS('Étape 1 - à remplir'!$F$31:$F$400,'Étape 1 - à remplir'!$E$31:$E$400,MASQ2!O160,'Étape 1 - à remplir'!$G$31:$G$400,"animaux"),SUMIFS('Étape 1 - à remplir'!$F$31:$F$400,'Étape 1 - à remplir'!$E$31:$E$400,MASQ2!O160,'Étape 1 - à remplir'!$P$31:$P$400,X$3)),IF(X$2="Atelier",IF(X$3="Tous",SUMIFS('Étape 1 - à remplir'!$F$31:$F$400,'Étape 1 - à remplir'!$E$31:$E$400,MASQ2!O160,'Étape 1 - à remplir'!$G$31:$G$400,"animaux"),SUMIFS('Étape 1 - à remplir'!$F$31:$F$400,'Étape 1 - à remplir'!$E$31:$E$400,MASQ2!O160,'Étape 1 - à remplir'!$O$31:$O$400,X$3)),IF(X$2="Espèce",IF(X$3="Toutes",SUMIFS('Étape 1 - à remplir'!$F$31:$F$400,'Étape 1 - à remplir'!$E$31:$E$400,MASQ2!O160,'Étape 1 - à remplir'!$G$31:$G$400,"animaux"),SUMIFS('Étape 1 - à remplir'!$F$31:$F$400,'Étape 1 - à remplir'!$E$31:$E$400,MASQ2!O160,'Étape 1 - à remplir'!$N$31:$N$400,X$3))))))=0,NA(),IF(X$2="Catégorie",IF(X$3="Toutes",SUMIFS('Étape 1 - à remplir'!$F$31:$F$400,'Étape 1 - à remplir'!$E$31:$E$400,MASQ2!O160,'Étape 1 - à remplir'!$G$31:$G$400,"animaux"),SUMIFS('Étape 1 - à remplir'!$F$31:$F$400,'Étape 1 - à remplir'!$E$31:$E$400,MASQ2!O160,'Étape 1 - à remplir'!$C$31:$C$400,X$3)),IF(X$2="Âge",IF(X$3="Tous",SUMIFS('Étape 1 - à remplir'!$F$31:$F$400,'Étape 1 - à remplir'!$E$31:$E$400,MASQ2!O160,'Étape 1 - à remplir'!$G$31:$G$400,"animaux"),SUMIFS('Étape 1 - à remplir'!$F$31:$F$400,'Étape 1 - à remplir'!$E$31:$E$400,MASQ2!O160,'Étape 1 - à remplir'!$P$31:$P$400,X$3)),IF(X$2="Atelier",IF(X$3="Tous",SUMIFS('Étape 1 - à remplir'!$F$31:$F$400,'Étape 1 - à remplir'!$E$31:$E$400,MASQ2!O160,'Étape 1 - à remplir'!$G$31:$G$400,"animaux"),SUMIFS('Étape 1 - à remplir'!$F$31:$F$400,'Étape 1 - à remplir'!$E$31:$E$400,MASQ2!O160,'Étape 1 - à remplir'!$O$31:$O$400,X$3)),IF(X$2="Espèce",IF(X$3="Toutes",SUMIFS('Étape 1 - à remplir'!$F$31:$F$400,'Étape 1 - à remplir'!$E$31:$E$400,MASQ2!O160,'Étape 1 - à remplir'!$G$31:$G$400,"animaux"),SUMIFS('Étape 1 - à remplir'!$F$31:$F$400,'Étape 1 - à remplir'!$E$31:$E$400,MASQ2!O160,'Étape 1 - à remplir'!$N$31:$N$400,X$3)))))))</f>
        <v>#N/A</v>
      </c>
      <c r="Q160" s="63">
        <f t="shared" si="185"/>
        <v>0</v>
      </c>
      <c r="R160" t="str">
        <f>Données_ATB!BM159</f>
        <v>Tilmicosine</v>
      </c>
      <c r="S160" t="str">
        <f>Données_ATB!BN159</f>
        <v/>
      </c>
      <c r="T160" s="63" t="str">
        <f>Données_ATB!BO159</f>
        <v/>
      </c>
      <c r="U160" s="42" t="str">
        <f>Données_ATB!BQ159</f>
        <v>Macrolides</v>
      </c>
      <c r="V160" t="str">
        <f>Données_ATB!BR159</f>
        <v/>
      </c>
      <c r="W160" s="63" t="str">
        <f>Données_ATB!BS159</f>
        <v/>
      </c>
      <c r="Z160" s="42">
        <v>157</v>
      </c>
      <c r="AA160" t="e">
        <f t="shared" si="181"/>
        <v>#N/A</v>
      </c>
      <c r="AB160" s="63" t="e">
        <f t="shared" si="182"/>
        <v>#N/A</v>
      </c>
      <c r="BF160" s="63"/>
      <c r="BT160" s="194" t="str">
        <f t="shared" ca="1" si="165"/>
        <v/>
      </c>
      <c r="BU160" s="219" t="str">
        <f>IFERROR(IF(BX160=0,"",COUNTIF(BX$4:BX$600,"&gt;"&amp;BX160)+COUNTIF(BX$4:BX160,BX160)),"")</f>
        <v/>
      </c>
      <c r="BV160" s="42" t="str">
        <f t="shared" si="166"/>
        <v>CONCENTRAT VO 08 TILMICOSINE PORCIN-LAPIN</v>
      </c>
      <c r="BW160" t="e">
        <f>IF(IF(CE$2="Catégorie",IF(CE$3="Toutes",SUMIFS('Étape 1 - à remplir'!$F$31:$F$400,'Étape 1 - à remplir'!$E$31:$E$400,MASQ2!BV160,'Étape 1 - à remplir'!$G$31:$G$400,"lots"),SUMIFS('Étape 1 - à remplir'!$F$31:$F$400,'Étape 1 - à remplir'!$E$31:$E$400,MASQ2!BV160,'Étape 1 - à remplir'!$C$31:$C$400,CE$3)),IF(CE$2="Âge",IF(CE$3="Tous",SUMIFS('Étape 1 - à remplir'!$F$31:$F$400,'Étape 1 - à remplir'!$E$31:$E$400,MASQ2!BV160,'Étape 1 - à remplir'!$G$31:$G$400,"lots"),SUMIFS('Étape 1 - à remplir'!$F$31:$F$400,'Étape 1 - à remplir'!$E$31:$E$400,MASQ2!BV160,'Étape 1 - à remplir'!$P$31:$P$400,CE$3,'Étape 1 - à remplir'!$G$31:$G$400,"lots")),IF(CE$2="Atelier",IF(CE$3="Tous",SUMIFS('Étape 1 - à remplir'!$F$31:$F$400,'Étape 1 - à remplir'!$E$31:$E$400,MASQ2!BV160,'Étape 1 - à remplir'!$G$31:$G$400,"lots"),SUMIFS('Étape 1 - à remplir'!$F$31:$F$400,'Étape 1 - à remplir'!$E$31:$E$400,MASQ2!BV160,'Étape 1 - à remplir'!$O$31:$O$400,CE$3,'Étape 1 - à remplir'!$G$31:$G$400,"lots")),IF(CE$2="Espèce",IF(CE$3="Toutes",SUMIFS('Étape 1 - à remplir'!$F$31:$F$400,'Étape 1 - à remplir'!$E$31:$E$400,MASQ2!BV160,'Étape 1 - à remplir'!$G$31:$G$400,"lots"),SUMIFS('Étape 1 - à remplir'!$F$31:$F$400,'Étape 1 - à remplir'!$E$31:$E$400,MASQ2!BV160,'Étape 1 - à remplir'!$N$31:$N$400,CE$3,'Étape 1 - à remplir'!$G$31:$G$400,"lots"))))))=0,NA(),IF(CE$2="Catégorie",IF(CE$3="Toutes",SUMIFS('Étape 1 - à remplir'!$F$31:$F$400,'Étape 1 - à remplir'!$E$31:$E$400,MASQ2!BV160,'Étape 1 - à remplir'!$G$31:$G$400,"lots"),SUMIFS('Étape 1 - à remplir'!$F$31:$F$400,'Étape 1 - à remplir'!$E$31:$E$400,MASQ2!BV160,'Étape 1 - à remplir'!$C$31:$C$400,CE$3)),IF(CE$2="Âge",IF(CE$3="Tous",SUMIFS('Étape 1 - à remplir'!$F$31:$F$400,'Étape 1 - à remplir'!$E$31:$E$400,MASQ2!BV160,'Étape 1 - à remplir'!$G$31:$G$400,"lots"),SUMIFS('Étape 1 - à remplir'!$F$31:$F$400,'Étape 1 - à remplir'!$E$31:$E$400,MASQ2!BV160,'Étape 1 - à remplir'!$P$31:$P$400,CE$3,'Étape 1 - à remplir'!$G$31:$G$400,"lots")),IF(CE$2="Atelier",IF(CE$3="Tous",SUMIFS('Étape 1 - à remplir'!$F$31:$F$400,'Étape 1 - à remplir'!$E$31:$E$400,MASQ2!BV160,'Étape 1 - à remplir'!$G$31:$G$400,"lots"),SUMIFS('Étape 1 - à remplir'!$F$31:$F$400,'Étape 1 - à remplir'!$E$31:$E$400,MASQ2!BV160,'Étape 1 - à remplir'!$O$31:$O$400,CE$3,'Étape 1 - à remplir'!$G$31:$G$400,"lots")),IF(CE$2="Espèce",IF(CE$3="Toutes",SUMIFS('Étape 1 - à remplir'!$F$31:$F$400,'Étape 1 - à remplir'!$E$31:$E$400,MASQ2!BV160,'Étape 1 - à remplir'!$G$31:$G$400,"lots"),SUMIFS('Étape 1 - à remplir'!$F$31:$F$400,'Étape 1 - à remplir'!$E$31:$E$400,MASQ2!BV160,'Étape 1 - à remplir'!$N$31:$N$400,CE$3,'Étape 1 - à remplir'!$G$31:$G$400,"lots")))))))</f>
        <v>#N/A</v>
      </c>
      <c r="BX160">
        <f t="shared" si="183"/>
        <v>0</v>
      </c>
      <c r="BY160" t="str">
        <f t="shared" si="167"/>
        <v>Tilmicosine</v>
      </c>
      <c r="BZ160" t="str">
        <f t="shared" si="168"/>
        <v/>
      </c>
      <c r="CA160" t="str">
        <f t="shared" si="169"/>
        <v/>
      </c>
      <c r="CB160" t="str">
        <f t="shared" si="170"/>
        <v>Macrolides</v>
      </c>
      <c r="CC160" t="str">
        <f t="shared" si="171"/>
        <v/>
      </c>
      <c r="CD160" s="63" t="str">
        <f t="shared" si="172"/>
        <v/>
      </c>
      <c r="CG160" s="42">
        <v>157</v>
      </c>
      <c r="CH160" s="42" t="e">
        <f t="shared" si="188"/>
        <v>#N/A</v>
      </c>
      <c r="CI160" s="63" t="e">
        <f t="shared" si="189"/>
        <v>#N/A</v>
      </c>
      <c r="CV160" s="224"/>
      <c r="CW160" s="224"/>
      <c r="DM160" s="63"/>
      <c r="EA160" s="194" t="str">
        <f t="shared" ca="1" si="173"/>
        <v/>
      </c>
      <c r="EB160" s="226" t="str">
        <f>IFERROR(IF(ED160=0,"",COUNTIF(ED$4:ED$600,"&gt;"&amp;ED160)+COUNTIF(ED$4:ED160,ED160)),"")</f>
        <v/>
      </c>
      <c r="EC160" t="str">
        <f t="shared" si="174"/>
        <v>CONCENTRAT VO 08 TILMICOSINE PORCIN-LAPIN</v>
      </c>
      <c r="ED160" t="e">
        <f>IF(IF(EL$2="Catégorie",IF(EL$3="Toutes",SUMIFS('Étape 1 - à remplir'!$F$31:$F$400,'Étape 1 - à remplir'!$E$31:$E$400,MASQ2!EC160,'Étape 1 - à remplir'!$G$31:$G$400,"kg"),SUMIFS('Étape 1 - à remplir'!$F$31:$F$400,'Étape 1 - à remplir'!$E$31:$E$400,MASQ2!EC160,'Étape 1 - à remplir'!$C$31:$C$400,EL$3)),IF(EL$2="Âge",IF(EL$3="Tous",SUMIFS('Étape 1 - à remplir'!$F$31:$F$400,'Étape 1 - à remplir'!$E$31:$E$400,MASQ2!EC160,'Étape 1 - à remplir'!$G$31:$G$400,"kg"),SUMIFS('Étape 1 - à remplir'!$F$31:$F$400,'Étape 1 - à remplir'!$E$31:$E$400,MASQ2!EC160,'Étape 1 - à remplir'!$P$31:$P$400,EL$3,'Étape 1 - à remplir'!$G$31:$G$400,"kg")),IF(EL$2="Atelier",IF(EL$3="Tous",SUMIFS('Étape 1 - à remplir'!$F$31:$F$400,'Étape 1 - à remplir'!$E$31:$E$400,MASQ2!EC160,'Étape 1 - à remplir'!$G$31:$G$400,"kg"),SUMIFS('Étape 1 - à remplir'!$F$31:$F$400,'Étape 1 - à remplir'!$E$31:$E$400,MASQ2!EC160,'Étape 1 - à remplir'!$O$31:$O$400,EL$3,'Étape 1 - à remplir'!$G$31:$G$400,"kg")),IF(EL$2="Espèce",IF(EL$3="Toutes",SUMIFS('Étape 1 - à remplir'!$F$31:$F$400,'Étape 1 - à remplir'!$E$31:$E$400,MASQ2!EC160,'Étape 1 - à remplir'!$G$31:$G$400,"kg"),SUMIFS('Étape 1 - à remplir'!$F$31:$F$400,'Étape 1 - à remplir'!$E$31:$E$400,MASQ2!EC160,'Étape 1 - à remplir'!$N$31:$N$400,EL$3,'Étape 1 - à remplir'!$G$31:$G$400,"kg"))))))=0,NA(),IF(EL$2="Catégorie",IF(EL$3="Toutes",SUMIFS('Étape 1 - à remplir'!$F$31:$F$400,'Étape 1 - à remplir'!$E$31:$E$400,MASQ2!EC160,'Étape 1 - à remplir'!$G$31:$G$400,"kg"),SUMIFS('Étape 1 - à remplir'!$F$31:$F$400,'Étape 1 - à remplir'!$E$31:$E$400,MASQ2!EC160,'Étape 1 - à remplir'!$C$31:$C$400,EL$3)),IF(EL$2="Âge",IF(EL$3="Tous",SUMIFS('Étape 1 - à remplir'!$F$31:$F$400,'Étape 1 - à remplir'!$E$31:$E$400,MASQ2!EC160,'Étape 1 - à remplir'!$G$31:$G$400,"kg"),SUMIFS('Étape 1 - à remplir'!$F$31:$F$400,'Étape 1 - à remplir'!$E$31:$E$400,MASQ2!EC160,'Étape 1 - à remplir'!$P$31:$P$400,EL$3,'Étape 1 - à remplir'!$G$31:$G$400,"kg")),IF(EL$2="Atelier",IF(EL$3="Tous",SUMIFS('Étape 1 - à remplir'!$F$31:$F$400,'Étape 1 - à remplir'!$E$31:$E$400,MASQ2!EC160,'Étape 1 - à remplir'!$G$31:$G$400,"kg"),SUMIFS('Étape 1 - à remplir'!$F$31:$F$400,'Étape 1 - à remplir'!$E$31:$E$400,MASQ2!EC160,'Étape 1 - à remplir'!$O$31:$O$400,EL$3,'Étape 1 - à remplir'!$G$31:$G$400,"kg")),IF(EL$2="Espèce",IF(EL$3="Toutes",SUMIFS('Étape 1 - à remplir'!$F$31:$F$400,'Étape 1 - à remplir'!$E$31:$E$400,MASQ2!EC160,'Étape 1 - à remplir'!$G$31:$G$400,"kg"),SUMIFS('Étape 1 - à remplir'!$F$31:$F$400,'Étape 1 - à remplir'!$E$31:$E$400,MASQ2!EC160,'Étape 1 - à remplir'!$N$31:$N$400,EL$3,'Étape 1 - à remplir'!$G$31:$G$400,"kg")))))))</f>
        <v>#N/A</v>
      </c>
      <c r="EE160" s="76">
        <f t="shared" si="184"/>
        <v>0</v>
      </c>
      <c r="EF160" t="str">
        <f t="shared" si="175"/>
        <v>Tilmicosine</v>
      </c>
      <c r="EG160" t="str">
        <f t="shared" si="176"/>
        <v/>
      </c>
      <c r="EH160" t="str">
        <f t="shared" si="177"/>
        <v/>
      </c>
      <c r="EI160" t="str">
        <f t="shared" si="178"/>
        <v>Macrolides</v>
      </c>
      <c r="EJ160" t="str">
        <f t="shared" si="179"/>
        <v/>
      </c>
      <c r="EK160" s="63" t="str">
        <f t="shared" si="180"/>
        <v/>
      </c>
      <c r="EN160" s="42">
        <v>157</v>
      </c>
      <c r="EO160" t="e">
        <f t="shared" si="186"/>
        <v>#N/A</v>
      </c>
      <c r="EP160" s="63" t="e">
        <f t="shared" si="187"/>
        <v>#N/A</v>
      </c>
      <c r="FT160" s="63"/>
    </row>
    <row r="161" spans="2:176" x14ac:dyDescent="0.3">
      <c r="B161" s="42"/>
      <c r="M161" s="194" t="str">
        <f ca="1">INDEX(Données_ATB!BD:BU,MATCH(MASQ2!O161,Données_ATB!BD:BD,0),18)</f>
        <v/>
      </c>
      <c r="N161" s="14" t="str">
        <f>IFERROR(IF(Q161=0,"",COUNTIF(Q$4:Q$600,"&gt;"&amp;Q161)+COUNTIF(Q$4:Q161,Q161)),"")</f>
        <v/>
      </c>
      <c r="O161" t="str">
        <f>Données_ATB!BD160</f>
        <v>CONCENTRAT VO 31-1 OXYTETRACYCLINE 100 PORC ET AGNEAU-CHEVREAU SEVRES</v>
      </c>
      <c r="P161" t="e">
        <f>IF(IF(X$2="Catégorie",IF(X$3="Toutes",SUMIFS('Étape 1 - à remplir'!$F$31:$F$400,'Étape 1 - à remplir'!$E$31:$E$400,MASQ2!O161,'Étape 1 - à remplir'!$G$31:$G$400,"animaux"),SUMIFS('Étape 1 - à remplir'!$F$31:$F$400,'Étape 1 - à remplir'!$E$31:$E$400,MASQ2!O161,'Étape 1 - à remplir'!$C$31:$C$400,X$3)),IF(X$2="Âge",IF(X$3="Tous",SUMIFS('Étape 1 - à remplir'!$F$31:$F$400,'Étape 1 - à remplir'!$E$31:$E$400,MASQ2!O161,'Étape 1 - à remplir'!$G$31:$G$400,"animaux"),SUMIFS('Étape 1 - à remplir'!$F$31:$F$400,'Étape 1 - à remplir'!$E$31:$E$400,MASQ2!O161,'Étape 1 - à remplir'!$P$31:$P$400,X$3)),IF(X$2="Atelier",IF(X$3="Tous",SUMIFS('Étape 1 - à remplir'!$F$31:$F$400,'Étape 1 - à remplir'!$E$31:$E$400,MASQ2!O161,'Étape 1 - à remplir'!$G$31:$G$400,"animaux"),SUMIFS('Étape 1 - à remplir'!$F$31:$F$400,'Étape 1 - à remplir'!$E$31:$E$400,MASQ2!O161,'Étape 1 - à remplir'!$O$31:$O$400,X$3)),IF(X$2="Espèce",IF(X$3="Toutes",SUMIFS('Étape 1 - à remplir'!$F$31:$F$400,'Étape 1 - à remplir'!$E$31:$E$400,MASQ2!O161,'Étape 1 - à remplir'!$G$31:$G$400,"animaux"),SUMIFS('Étape 1 - à remplir'!$F$31:$F$400,'Étape 1 - à remplir'!$E$31:$E$400,MASQ2!O161,'Étape 1 - à remplir'!$N$31:$N$400,X$3))))))=0,NA(),IF(X$2="Catégorie",IF(X$3="Toutes",SUMIFS('Étape 1 - à remplir'!$F$31:$F$400,'Étape 1 - à remplir'!$E$31:$E$400,MASQ2!O161,'Étape 1 - à remplir'!$G$31:$G$400,"animaux"),SUMIFS('Étape 1 - à remplir'!$F$31:$F$400,'Étape 1 - à remplir'!$E$31:$E$400,MASQ2!O161,'Étape 1 - à remplir'!$C$31:$C$400,X$3)),IF(X$2="Âge",IF(X$3="Tous",SUMIFS('Étape 1 - à remplir'!$F$31:$F$400,'Étape 1 - à remplir'!$E$31:$E$400,MASQ2!O161,'Étape 1 - à remplir'!$G$31:$G$400,"animaux"),SUMIFS('Étape 1 - à remplir'!$F$31:$F$400,'Étape 1 - à remplir'!$E$31:$E$400,MASQ2!O161,'Étape 1 - à remplir'!$P$31:$P$400,X$3)),IF(X$2="Atelier",IF(X$3="Tous",SUMIFS('Étape 1 - à remplir'!$F$31:$F$400,'Étape 1 - à remplir'!$E$31:$E$400,MASQ2!O161,'Étape 1 - à remplir'!$G$31:$G$400,"animaux"),SUMIFS('Étape 1 - à remplir'!$F$31:$F$400,'Étape 1 - à remplir'!$E$31:$E$400,MASQ2!O161,'Étape 1 - à remplir'!$O$31:$O$400,X$3)),IF(X$2="Espèce",IF(X$3="Toutes",SUMIFS('Étape 1 - à remplir'!$F$31:$F$400,'Étape 1 - à remplir'!$E$31:$E$400,MASQ2!O161,'Étape 1 - à remplir'!$G$31:$G$400,"animaux"),SUMIFS('Étape 1 - à remplir'!$F$31:$F$400,'Étape 1 - à remplir'!$E$31:$E$400,MASQ2!O161,'Étape 1 - à remplir'!$N$31:$N$400,X$3)))))))</f>
        <v>#N/A</v>
      </c>
      <c r="Q161" s="63">
        <f t="shared" si="185"/>
        <v>0</v>
      </c>
      <c r="R161" t="str">
        <f>Données_ATB!BM160</f>
        <v>Oxytétracycline</v>
      </c>
      <c r="S161" t="str">
        <f>Données_ATB!BN160</f>
        <v/>
      </c>
      <c r="T161" s="63" t="str">
        <f>Données_ATB!BO160</f>
        <v/>
      </c>
      <c r="U161" s="42" t="str">
        <f>Données_ATB!BQ160</f>
        <v>Tetracyclines</v>
      </c>
      <c r="V161" t="str">
        <f>Données_ATB!BR160</f>
        <v/>
      </c>
      <c r="W161" s="63" t="str">
        <f>Données_ATB!BS160</f>
        <v/>
      </c>
      <c r="Z161" s="42">
        <v>158</v>
      </c>
      <c r="AA161" t="e">
        <f t="shared" si="181"/>
        <v>#N/A</v>
      </c>
      <c r="AB161" s="63" t="e">
        <f t="shared" si="182"/>
        <v>#N/A</v>
      </c>
      <c r="BF161" s="63"/>
      <c r="BT161" s="194" t="str">
        <f t="shared" ca="1" si="165"/>
        <v/>
      </c>
      <c r="BU161" s="219" t="str">
        <f>IFERROR(IF(BX161=0,"",COUNTIF(BX$4:BX$600,"&gt;"&amp;BX161)+COUNTIF(BX$4:BX161,BX161)),"")</f>
        <v/>
      </c>
      <c r="BV161" s="42" t="str">
        <f t="shared" si="166"/>
        <v>CONCENTRAT VO 31-1 OXYTETRACYCLINE 100 PORC ET AGNEAU-CHEVREAU SEVRES</v>
      </c>
      <c r="BW161" t="e">
        <f>IF(IF(CE$2="Catégorie",IF(CE$3="Toutes",SUMIFS('Étape 1 - à remplir'!$F$31:$F$400,'Étape 1 - à remplir'!$E$31:$E$400,MASQ2!BV161,'Étape 1 - à remplir'!$G$31:$G$400,"lots"),SUMIFS('Étape 1 - à remplir'!$F$31:$F$400,'Étape 1 - à remplir'!$E$31:$E$400,MASQ2!BV161,'Étape 1 - à remplir'!$C$31:$C$400,CE$3)),IF(CE$2="Âge",IF(CE$3="Tous",SUMIFS('Étape 1 - à remplir'!$F$31:$F$400,'Étape 1 - à remplir'!$E$31:$E$400,MASQ2!BV161,'Étape 1 - à remplir'!$G$31:$G$400,"lots"),SUMIFS('Étape 1 - à remplir'!$F$31:$F$400,'Étape 1 - à remplir'!$E$31:$E$400,MASQ2!BV161,'Étape 1 - à remplir'!$P$31:$P$400,CE$3,'Étape 1 - à remplir'!$G$31:$G$400,"lots")),IF(CE$2="Atelier",IF(CE$3="Tous",SUMIFS('Étape 1 - à remplir'!$F$31:$F$400,'Étape 1 - à remplir'!$E$31:$E$400,MASQ2!BV161,'Étape 1 - à remplir'!$G$31:$G$400,"lots"),SUMIFS('Étape 1 - à remplir'!$F$31:$F$400,'Étape 1 - à remplir'!$E$31:$E$400,MASQ2!BV161,'Étape 1 - à remplir'!$O$31:$O$400,CE$3,'Étape 1 - à remplir'!$G$31:$G$400,"lots")),IF(CE$2="Espèce",IF(CE$3="Toutes",SUMIFS('Étape 1 - à remplir'!$F$31:$F$400,'Étape 1 - à remplir'!$E$31:$E$400,MASQ2!BV161,'Étape 1 - à remplir'!$G$31:$G$400,"lots"),SUMIFS('Étape 1 - à remplir'!$F$31:$F$400,'Étape 1 - à remplir'!$E$31:$E$400,MASQ2!BV161,'Étape 1 - à remplir'!$N$31:$N$400,CE$3,'Étape 1 - à remplir'!$G$31:$G$400,"lots"))))))=0,NA(),IF(CE$2="Catégorie",IF(CE$3="Toutes",SUMIFS('Étape 1 - à remplir'!$F$31:$F$400,'Étape 1 - à remplir'!$E$31:$E$400,MASQ2!BV161,'Étape 1 - à remplir'!$G$31:$G$400,"lots"),SUMIFS('Étape 1 - à remplir'!$F$31:$F$400,'Étape 1 - à remplir'!$E$31:$E$400,MASQ2!BV161,'Étape 1 - à remplir'!$C$31:$C$400,CE$3)),IF(CE$2="Âge",IF(CE$3="Tous",SUMIFS('Étape 1 - à remplir'!$F$31:$F$400,'Étape 1 - à remplir'!$E$31:$E$400,MASQ2!BV161,'Étape 1 - à remplir'!$G$31:$G$400,"lots"),SUMIFS('Étape 1 - à remplir'!$F$31:$F$400,'Étape 1 - à remplir'!$E$31:$E$400,MASQ2!BV161,'Étape 1 - à remplir'!$P$31:$P$400,CE$3,'Étape 1 - à remplir'!$G$31:$G$400,"lots")),IF(CE$2="Atelier",IF(CE$3="Tous",SUMIFS('Étape 1 - à remplir'!$F$31:$F$400,'Étape 1 - à remplir'!$E$31:$E$400,MASQ2!BV161,'Étape 1 - à remplir'!$G$31:$G$400,"lots"),SUMIFS('Étape 1 - à remplir'!$F$31:$F$400,'Étape 1 - à remplir'!$E$31:$E$400,MASQ2!BV161,'Étape 1 - à remplir'!$O$31:$O$400,CE$3,'Étape 1 - à remplir'!$G$31:$G$400,"lots")),IF(CE$2="Espèce",IF(CE$3="Toutes",SUMIFS('Étape 1 - à remplir'!$F$31:$F$400,'Étape 1 - à remplir'!$E$31:$E$400,MASQ2!BV161,'Étape 1 - à remplir'!$G$31:$G$400,"lots"),SUMIFS('Étape 1 - à remplir'!$F$31:$F$400,'Étape 1 - à remplir'!$E$31:$E$400,MASQ2!BV161,'Étape 1 - à remplir'!$N$31:$N$400,CE$3,'Étape 1 - à remplir'!$G$31:$G$400,"lots")))))))</f>
        <v>#N/A</v>
      </c>
      <c r="BX161">
        <f t="shared" si="183"/>
        <v>0</v>
      </c>
      <c r="BY161" t="str">
        <f t="shared" si="167"/>
        <v>Oxytétracycline</v>
      </c>
      <c r="BZ161" t="str">
        <f t="shared" si="168"/>
        <v/>
      </c>
      <c r="CA161" t="str">
        <f t="shared" si="169"/>
        <v/>
      </c>
      <c r="CB161" t="str">
        <f t="shared" si="170"/>
        <v>Tetracyclines</v>
      </c>
      <c r="CC161" t="str">
        <f t="shared" si="171"/>
        <v/>
      </c>
      <c r="CD161" s="63" t="str">
        <f t="shared" si="172"/>
        <v/>
      </c>
      <c r="CG161" s="42">
        <v>158</v>
      </c>
      <c r="CH161" s="42" t="e">
        <f t="shared" si="188"/>
        <v>#N/A</v>
      </c>
      <c r="CI161" s="63" t="e">
        <f t="shared" si="189"/>
        <v>#N/A</v>
      </c>
      <c r="DM161" s="63"/>
      <c r="EA161" s="194" t="str">
        <f t="shared" ca="1" si="173"/>
        <v/>
      </c>
      <c r="EB161" s="226" t="str">
        <f>IFERROR(IF(ED161=0,"",COUNTIF(ED$4:ED$600,"&gt;"&amp;ED161)+COUNTIF(ED$4:ED161,ED161)),"")</f>
        <v/>
      </c>
      <c r="EC161" t="str">
        <f t="shared" si="174"/>
        <v>CONCENTRAT VO 31-1 OXYTETRACYCLINE 100 PORC ET AGNEAU-CHEVREAU SEVRES</v>
      </c>
      <c r="ED161" t="e">
        <f>IF(IF(EL$2="Catégorie",IF(EL$3="Toutes",SUMIFS('Étape 1 - à remplir'!$F$31:$F$400,'Étape 1 - à remplir'!$E$31:$E$400,MASQ2!EC161,'Étape 1 - à remplir'!$G$31:$G$400,"kg"),SUMIFS('Étape 1 - à remplir'!$F$31:$F$400,'Étape 1 - à remplir'!$E$31:$E$400,MASQ2!EC161,'Étape 1 - à remplir'!$C$31:$C$400,EL$3)),IF(EL$2="Âge",IF(EL$3="Tous",SUMIFS('Étape 1 - à remplir'!$F$31:$F$400,'Étape 1 - à remplir'!$E$31:$E$400,MASQ2!EC161,'Étape 1 - à remplir'!$G$31:$G$400,"kg"),SUMIFS('Étape 1 - à remplir'!$F$31:$F$400,'Étape 1 - à remplir'!$E$31:$E$400,MASQ2!EC161,'Étape 1 - à remplir'!$P$31:$P$400,EL$3,'Étape 1 - à remplir'!$G$31:$G$400,"kg")),IF(EL$2="Atelier",IF(EL$3="Tous",SUMIFS('Étape 1 - à remplir'!$F$31:$F$400,'Étape 1 - à remplir'!$E$31:$E$400,MASQ2!EC161,'Étape 1 - à remplir'!$G$31:$G$400,"kg"),SUMIFS('Étape 1 - à remplir'!$F$31:$F$400,'Étape 1 - à remplir'!$E$31:$E$400,MASQ2!EC161,'Étape 1 - à remplir'!$O$31:$O$400,EL$3,'Étape 1 - à remplir'!$G$31:$G$400,"kg")),IF(EL$2="Espèce",IF(EL$3="Toutes",SUMIFS('Étape 1 - à remplir'!$F$31:$F$400,'Étape 1 - à remplir'!$E$31:$E$400,MASQ2!EC161,'Étape 1 - à remplir'!$G$31:$G$400,"kg"),SUMIFS('Étape 1 - à remplir'!$F$31:$F$400,'Étape 1 - à remplir'!$E$31:$E$400,MASQ2!EC161,'Étape 1 - à remplir'!$N$31:$N$400,EL$3,'Étape 1 - à remplir'!$G$31:$G$400,"kg"))))))=0,NA(),IF(EL$2="Catégorie",IF(EL$3="Toutes",SUMIFS('Étape 1 - à remplir'!$F$31:$F$400,'Étape 1 - à remplir'!$E$31:$E$400,MASQ2!EC161,'Étape 1 - à remplir'!$G$31:$G$400,"kg"),SUMIFS('Étape 1 - à remplir'!$F$31:$F$400,'Étape 1 - à remplir'!$E$31:$E$400,MASQ2!EC161,'Étape 1 - à remplir'!$C$31:$C$400,EL$3)),IF(EL$2="Âge",IF(EL$3="Tous",SUMIFS('Étape 1 - à remplir'!$F$31:$F$400,'Étape 1 - à remplir'!$E$31:$E$400,MASQ2!EC161,'Étape 1 - à remplir'!$G$31:$G$400,"kg"),SUMIFS('Étape 1 - à remplir'!$F$31:$F$400,'Étape 1 - à remplir'!$E$31:$E$400,MASQ2!EC161,'Étape 1 - à remplir'!$P$31:$P$400,EL$3,'Étape 1 - à remplir'!$G$31:$G$400,"kg")),IF(EL$2="Atelier",IF(EL$3="Tous",SUMIFS('Étape 1 - à remplir'!$F$31:$F$400,'Étape 1 - à remplir'!$E$31:$E$400,MASQ2!EC161,'Étape 1 - à remplir'!$G$31:$G$400,"kg"),SUMIFS('Étape 1 - à remplir'!$F$31:$F$400,'Étape 1 - à remplir'!$E$31:$E$400,MASQ2!EC161,'Étape 1 - à remplir'!$O$31:$O$400,EL$3,'Étape 1 - à remplir'!$G$31:$G$400,"kg")),IF(EL$2="Espèce",IF(EL$3="Toutes",SUMIFS('Étape 1 - à remplir'!$F$31:$F$400,'Étape 1 - à remplir'!$E$31:$E$400,MASQ2!EC161,'Étape 1 - à remplir'!$G$31:$G$400,"kg"),SUMIFS('Étape 1 - à remplir'!$F$31:$F$400,'Étape 1 - à remplir'!$E$31:$E$400,MASQ2!EC161,'Étape 1 - à remplir'!$N$31:$N$400,EL$3,'Étape 1 - à remplir'!$G$31:$G$400,"kg")))))))</f>
        <v>#N/A</v>
      </c>
      <c r="EE161" s="76">
        <f t="shared" si="184"/>
        <v>0</v>
      </c>
      <c r="EF161" t="str">
        <f t="shared" si="175"/>
        <v>Oxytétracycline</v>
      </c>
      <c r="EG161" t="str">
        <f t="shared" si="176"/>
        <v/>
      </c>
      <c r="EH161" t="str">
        <f t="shared" si="177"/>
        <v/>
      </c>
      <c r="EI161" t="str">
        <f t="shared" si="178"/>
        <v>Tetracyclines</v>
      </c>
      <c r="EJ161" t="str">
        <f t="shared" si="179"/>
        <v/>
      </c>
      <c r="EK161" s="63" t="str">
        <f t="shared" si="180"/>
        <v/>
      </c>
      <c r="EN161" s="42">
        <v>158</v>
      </c>
      <c r="EO161" t="e">
        <f t="shared" si="186"/>
        <v>#N/A</v>
      </c>
      <c r="EP161" s="63" t="e">
        <f t="shared" si="187"/>
        <v>#N/A</v>
      </c>
      <c r="FT161" s="63"/>
    </row>
    <row r="162" spans="2:176" x14ac:dyDescent="0.3">
      <c r="B162" s="42"/>
      <c r="M162" s="194" t="str">
        <f ca="1">INDEX(Données_ATB!BD:BU,MATCH(MASQ2!O162,Données_ATB!BD:BD,0),18)</f>
        <v/>
      </c>
      <c r="N162" s="14" t="str">
        <f>IFERROR(IF(Q162=0,"",COUNTIF(Q$4:Q$600,"&gt;"&amp;Q162)+COUNTIF(Q$4:Q162,Q162)),"")</f>
        <v/>
      </c>
      <c r="O162" t="str">
        <f>Données_ATB!BD161</f>
        <v>CONCENTRAT VO 31-2 OXYTETRACYCLINE 40 LAPIN-VOLAILLE-PORC ET AGNEAU-CHEVREAU SEVRES</v>
      </c>
      <c r="P162" t="e">
        <f>IF(IF(X$2="Catégorie",IF(X$3="Toutes",SUMIFS('Étape 1 - à remplir'!$F$31:$F$400,'Étape 1 - à remplir'!$E$31:$E$400,MASQ2!O162,'Étape 1 - à remplir'!$G$31:$G$400,"animaux"),SUMIFS('Étape 1 - à remplir'!$F$31:$F$400,'Étape 1 - à remplir'!$E$31:$E$400,MASQ2!O162,'Étape 1 - à remplir'!$C$31:$C$400,X$3)),IF(X$2="Âge",IF(X$3="Tous",SUMIFS('Étape 1 - à remplir'!$F$31:$F$400,'Étape 1 - à remplir'!$E$31:$E$400,MASQ2!O162,'Étape 1 - à remplir'!$G$31:$G$400,"animaux"),SUMIFS('Étape 1 - à remplir'!$F$31:$F$400,'Étape 1 - à remplir'!$E$31:$E$400,MASQ2!O162,'Étape 1 - à remplir'!$P$31:$P$400,X$3)),IF(X$2="Atelier",IF(X$3="Tous",SUMIFS('Étape 1 - à remplir'!$F$31:$F$400,'Étape 1 - à remplir'!$E$31:$E$400,MASQ2!O162,'Étape 1 - à remplir'!$G$31:$G$400,"animaux"),SUMIFS('Étape 1 - à remplir'!$F$31:$F$400,'Étape 1 - à remplir'!$E$31:$E$400,MASQ2!O162,'Étape 1 - à remplir'!$O$31:$O$400,X$3)),IF(X$2="Espèce",IF(X$3="Toutes",SUMIFS('Étape 1 - à remplir'!$F$31:$F$400,'Étape 1 - à remplir'!$E$31:$E$400,MASQ2!O162,'Étape 1 - à remplir'!$G$31:$G$400,"animaux"),SUMIFS('Étape 1 - à remplir'!$F$31:$F$400,'Étape 1 - à remplir'!$E$31:$E$400,MASQ2!O162,'Étape 1 - à remplir'!$N$31:$N$400,X$3))))))=0,NA(),IF(X$2="Catégorie",IF(X$3="Toutes",SUMIFS('Étape 1 - à remplir'!$F$31:$F$400,'Étape 1 - à remplir'!$E$31:$E$400,MASQ2!O162,'Étape 1 - à remplir'!$G$31:$G$400,"animaux"),SUMIFS('Étape 1 - à remplir'!$F$31:$F$400,'Étape 1 - à remplir'!$E$31:$E$400,MASQ2!O162,'Étape 1 - à remplir'!$C$31:$C$400,X$3)),IF(X$2="Âge",IF(X$3="Tous",SUMIFS('Étape 1 - à remplir'!$F$31:$F$400,'Étape 1 - à remplir'!$E$31:$E$400,MASQ2!O162,'Étape 1 - à remplir'!$G$31:$G$400,"animaux"),SUMIFS('Étape 1 - à remplir'!$F$31:$F$400,'Étape 1 - à remplir'!$E$31:$E$400,MASQ2!O162,'Étape 1 - à remplir'!$P$31:$P$400,X$3)),IF(X$2="Atelier",IF(X$3="Tous",SUMIFS('Étape 1 - à remplir'!$F$31:$F$400,'Étape 1 - à remplir'!$E$31:$E$400,MASQ2!O162,'Étape 1 - à remplir'!$G$31:$G$400,"animaux"),SUMIFS('Étape 1 - à remplir'!$F$31:$F$400,'Étape 1 - à remplir'!$E$31:$E$400,MASQ2!O162,'Étape 1 - à remplir'!$O$31:$O$400,X$3)),IF(X$2="Espèce",IF(X$3="Toutes",SUMIFS('Étape 1 - à remplir'!$F$31:$F$400,'Étape 1 - à remplir'!$E$31:$E$400,MASQ2!O162,'Étape 1 - à remplir'!$G$31:$G$400,"animaux"),SUMIFS('Étape 1 - à remplir'!$F$31:$F$400,'Étape 1 - à remplir'!$E$31:$E$400,MASQ2!O162,'Étape 1 - à remplir'!$N$31:$N$400,X$3)))))))</f>
        <v>#N/A</v>
      </c>
      <c r="Q162" s="63">
        <f t="shared" si="185"/>
        <v>0</v>
      </c>
      <c r="R162" t="str">
        <f>Données_ATB!BM161</f>
        <v>Oxytétracycline</v>
      </c>
      <c r="S162" t="str">
        <f>Données_ATB!BN161</f>
        <v/>
      </c>
      <c r="T162" s="63" t="str">
        <f>Données_ATB!BO161</f>
        <v/>
      </c>
      <c r="U162" s="42" t="str">
        <f>Données_ATB!BQ161</f>
        <v>Tetracyclines</v>
      </c>
      <c r="V162" t="str">
        <f>Données_ATB!BR161</f>
        <v/>
      </c>
      <c r="W162" s="63" t="str">
        <f>Données_ATB!BS161</f>
        <v/>
      </c>
      <c r="Z162" s="42">
        <v>159</v>
      </c>
      <c r="AA162" t="e">
        <f t="shared" si="181"/>
        <v>#N/A</v>
      </c>
      <c r="AB162" s="63" t="e">
        <f t="shared" si="182"/>
        <v>#N/A</v>
      </c>
      <c r="BF162" s="63"/>
      <c r="BT162" s="194" t="str">
        <f t="shared" ca="1" si="165"/>
        <v/>
      </c>
      <c r="BU162" s="219" t="str">
        <f>IFERROR(IF(BX162=0,"",COUNTIF(BX$4:BX$600,"&gt;"&amp;BX162)+COUNTIF(BX$4:BX162,BX162)),"")</f>
        <v/>
      </c>
      <c r="BV162" s="42" t="str">
        <f t="shared" si="166"/>
        <v>CONCENTRAT VO 31-2 OXYTETRACYCLINE 40 LAPIN-VOLAILLE-PORC ET AGNEAU-CHEVREAU SEVRES</v>
      </c>
      <c r="BW162" t="e">
        <f>IF(IF(CE$2="Catégorie",IF(CE$3="Toutes",SUMIFS('Étape 1 - à remplir'!$F$31:$F$400,'Étape 1 - à remplir'!$E$31:$E$400,MASQ2!BV162,'Étape 1 - à remplir'!$G$31:$G$400,"lots"),SUMIFS('Étape 1 - à remplir'!$F$31:$F$400,'Étape 1 - à remplir'!$E$31:$E$400,MASQ2!BV162,'Étape 1 - à remplir'!$C$31:$C$400,CE$3)),IF(CE$2="Âge",IF(CE$3="Tous",SUMIFS('Étape 1 - à remplir'!$F$31:$F$400,'Étape 1 - à remplir'!$E$31:$E$400,MASQ2!BV162,'Étape 1 - à remplir'!$G$31:$G$400,"lots"),SUMIFS('Étape 1 - à remplir'!$F$31:$F$400,'Étape 1 - à remplir'!$E$31:$E$400,MASQ2!BV162,'Étape 1 - à remplir'!$P$31:$P$400,CE$3,'Étape 1 - à remplir'!$G$31:$G$400,"lots")),IF(CE$2="Atelier",IF(CE$3="Tous",SUMIFS('Étape 1 - à remplir'!$F$31:$F$400,'Étape 1 - à remplir'!$E$31:$E$400,MASQ2!BV162,'Étape 1 - à remplir'!$G$31:$G$400,"lots"),SUMIFS('Étape 1 - à remplir'!$F$31:$F$400,'Étape 1 - à remplir'!$E$31:$E$400,MASQ2!BV162,'Étape 1 - à remplir'!$O$31:$O$400,CE$3,'Étape 1 - à remplir'!$G$31:$G$400,"lots")),IF(CE$2="Espèce",IF(CE$3="Toutes",SUMIFS('Étape 1 - à remplir'!$F$31:$F$400,'Étape 1 - à remplir'!$E$31:$E$400,MASQ2!BV162,'Étape 1 - à remplir'!$G$31:$G$400,"lots"),SUMIFS('Étape 1 - à remplir'!$F$31:$F$400,'Étape 1 - à remplir'!$E$31:$E$400,MASQ2!BV162,'Étape 1 - à remplir'!$N$31:$N$400,CE$3,'Étape 1 - à remplir'!$G$31:$G$400,"lots"))))))=0,NA(),IF(CE$2="Catégorie",IF(CE$3="Toutes",SUMIFS('Étape 1 - à remplir'!$F$31:$F$400,'Étape 1 - à remplir'!$E$31:$E$400,MASQ2!BV162,'Étape 1 - à remplir'!$G$31:$G$400,"lots"),SUMIFS('Étape 1 - à remplir'!$F$31:$F$400,'Étape 1 - à remplir'!$E$31:$E$400,MASQ2!BV162,'Étape 1 - à remplir'!$C$31:$C$400,CE$3)),IF(CE$2="Âge",IF(CE$3="Tous",SUMIFS('Étape 1 - à remplir'!$F$31:$F$400,'Étape 1 - à remplir'!$E$31:$E$400,MASQ2!BV162,'Étape 1 - à remplir'!$G$31:$G$400,"lots"),SUMIFS('Étape 1 - à remplir'!$F$31:$F$400,'Étape 1 - à remplir'!$E$31:$E$400,MASQ2!BV162,'Étape 1 - à remplir'!$P$31:$P$400,CE$3,'Étape 1 - à remplir'!$G$31:$G$400,"lots")),IF(CE$2="Atelier",IF(CE$3="Tous",SUMIFS('Étape 1 - à remplir'!$F$31:$F$400,'Étape 1 - à remplir'!$E$31:$E$400,MASQ2!BV162,'Étape 1 - à remplir'!$G$31:$G$400,"lots"),SUMIFS('Étape 1 - à remplir'!$F$31:$F$400,'Étape 1 - à remplir'!$E$31:$E$400,MASQ2!BV162,'Étape 1 - à remplir'!$O$31:$O$400,CE$3,'Étape 1 - à remplir'!$G$31:$G$400,"lots")),IF(CE$2="Espèce",IF(CE$3="Toutes",SUMIFS('Étape 1 - à remplir'!$F$31:$F$400,'Étape 1 - à remplir'!$E$31:$E$400,MASQ2!BV162,'Étape 1 - à remplir'!$G$31:$G$400,"lots"),SUMIFS('Étape 1 - à remplir'!$F$31:$F$400,'Étape 1 - à remplir'!$E$31:$E$400,MASQ2!BV162,'Étape 1 - à remplir'!$N$31:$N$400,CE$3,'Étape 1 - à remplir'!$G$31:$G$400,"lots")))))))</f>
        <v>#N/A</v>
      </c>
      <c r="BX162">
        <f t="shared" si="183"/>
        <v>0</v>
      </c>
      <c r="BY162" t="str">
        <f t="shared" si="167"/>
        <v>Oxytétracycline</v>
      </c>
      <c r="BZ162" t="str">
        <f t="shared" si="168"/>
        <v/>
      </c>
      <c r="CA162" t="str">
        <f t="shared" si="169"/>
        <v/>
      </c>
      <c r="CB162" t="str">
        <f t="shared" si="170"/>
        <v>Tetracyclines</v>
      </c>
      <c r="CC162" t="str">
        <f t="shared" si="171"/>
        <v/>
      </c>
      <c r="CD162" s="63" t="str">
        <f t="shared" si="172"/>
        <v/>
      </c>
      <c r="CG162" s="42">
        <v>159</v>
      </c>
      <c r="CH162" s="42" t="e">
        <f t="shared" si="188"/>
        <v>#N/A</v>
      </c>
      <c r="CI162" s="63" t="e">
        <f t="shared" si="189"/>
        <v>#N/A</v>
      </c>
      <c r="DM162" s="63"/>
      <c r="EA162" s="194" t="str">
        <f t="shared" ca="1" si="173"/>
        <v/>
      </c>
      <c r="EB162" s="226" t="str">
        <f>IFERROR(IF(ED162=0,"",COUNTIF(ED$4:ED$600,"&gt;"&amp;ED162)+COUNTIF(ED$4:ED162,ED162)),"")</f>
        <v/>
      </c>
      <c r="EC162" t="str">
        <f t="shared" si="174"/>
        <v>CONCENTRAT VO 31-2 OXYTETRACYCLINE 40 LAPIN-VOLAILLE-PORC ET AGNEAU-CHEVREAU SEVRES</v>
      </c>
      <c r="ED162" t="e">
        <f>IF(IF(EL$2="Catégorie",IF(EL$3="Toutes",SUMIFS('Étape 1 - à remplir'!$F$31:$F$400,'Étape 1 - à remplir'!$E$31:$E$400,MASQ2!EC162,'Étape 1 - à remplir'!$G$31:$G$400,"kg"),SUMIFS('Étape 1 - à remplir'!$F$31:$F$400,'Étape 1 - à remplir'!$E$31:$E$400,MASQ2!EC162,'Étape 1 - à remplir'!$C$31:$C$400,EL$3)),IF(EL$2="Âge",IF(EL$3="Tous",SUMIFS('Étape 1 - à remplir'!$F$31:$F$400,'Étape 1 - à remplir'!$E$31:$E$400,MASQ2!EC162,'Étape 1 - à remplir'!$G$31:$G$400,"kg"),SUMIFS('Étape 1 - à remplir'!$F$31:$F$400,'Étape 1 - à remplir'!$E$31:$E$400,MASQ2!EC162,'Étape 1 - à remplir'!$P$31:$P$400,EL$3,'Étape 1 - à remplir'!$G$31:$G$400,"kg")),IF(EL$2="Atelier",IF(EL$3="Tous",SUMIFS('Étape 1 - à remplir'!$F$31:$F$400,'Étape 1 - à remplir'!$E$31:$E$400,MASQ2!EC162,'Étape 1 - à remplir'!$G$31:$G$400,"kg"),SUMIFS('Étape 1 - à remplir'!$F$31:$F$400,'Étape 1 - à remplir'!$E$31:$E$400,MASQ2!EC162,'Étape 1 - à remplir'!$O$31:$O$400,EL$3,'Étape 1 - à remplir'!$G$31:$G$400,"kg")),IF(EL$2="Espèce",IF(EL$3="Toutes",SUMIFS('Étape 1 - à remplir'!$F$31:$F$400,'Étape 1 - à remplir'!$E$31:$E$400,MASQ2!EC162,'Étape 1 - à remplir'!$G$31:$G$400,"kg"),SUMIFS('Étape 1 - à remplir'!$F$31:$F$400,'Étape 1 - à remplir'!$E$31:$E$400,MASQ2!EC162,'Étape 1 - à remplir'!$N$31:$N$400,EL$3,'Étape 1 - à remplir'!$G$31:$G$400,"kg"))))))=0,NA(),IF(EL$2="Catégorie",IF(EL$3="Toutes",SUMIFS('Étape 1 - à remplir'!$F$31:$F$400,'Étape 1 - à remplir'!$E$31:$E$400,MASQ2!EC162,'Étape 1 - à remplir'!$G$31:$G$400,"kg"),SUMIFS('Étape 1 - à remplir'!$F$31:$F$400,'Étape 1 - à remplir'!$E$31:$E$400,MASQ2!EC162,'Étape 1 - à remplir'!$C$31:$C$400,EL$3)),IF(EL$2="Âge",IF(EL$3="Tous",SUMIFS('Étape 1 - à remplir'!$F$31:$F$400,'Étape 1 - à remplir'!$E$31:$E$400,MASQ2!EC162,'Étape 1 - à remplir'!$G$31:$G$400,"kg"),SUMIFS('Étape 1 - à remplir'!$F$31:$F$400,'Étape 1 - à remplir'!$E$31:$E$400,MASQ2!EC162,'Étape 1 - à remplir'!$P$31:$P$400,EL$3,'Étape 1 - à remplir'!$G$31:$G$400,"kg")),IF(EL$2="Atelier",IF(EL$3="Tous",SUMIFS('Étape 1 - à remplir'!$F$31:$F$400,'Étape 1 - à remplir'!$E$31:$E$400,MASQ2!EC162,'Étape 1 - à remplir'!$G$31:$G$400,"kg"),SUMIFS('Étape 1 - à remplir'!$F$31:$F$400,'Étape 1 - à remplir'!$E$31:$E$400,MASQ2!EC162,'Étape 1 - à remplir'!$O$31:$O$400,EL$3,'Étape 1 - à remplir'!$G$31:$G$400,"kg")),IF(EL$2="Espèce",IF(EL$3="Toutes",SUMIFS('Étape 1 - à remplir'!$F$31:$F$400,'Étape 1 - à remplir'!$E$31:$E$400,MASQ2!EC162,'Étape 1 - à remplir'!$G$31:$G$400,"kg"),SUMIFS('Étape 1 - à remplir'!$F$31:$F$400,'Étape 1 - à remplir'!$E$31:$E$400,MASQ2!EC162,'Étape 1 - à remplir'!$N$31:$N$400,EL$3,'Étape 1 - à remplir'!$G$31:$G$400,"kg")))))))</f>
        <v>#N/A</v>
      </c>
      <c r="EE162" s="76">
        <f t="shared" si="184"/>
        <v>0</v>
      </c>
      <c r="EF162" t="str">
        <f t="shared" si="175"/>
        <v>Oxytétracycline</v>
      </c>
      <c r="EG162" t="str">
        <f t="shared" si="176"/>
        <v/>
      </c>
      <c r="EH162" t="str">
        <f t="shared" si="177"/>
        <v/>
      </c>
      <c r="EI162" t="str">
        <f t="shared" si="178"/>
        <v>Tetracyclines</v>
      </c>
      <c r="EJ162" t="str">
        <f t="shared" si="179"/>
        <v/>
      </c>
      <c r="EK162" s="63" t="str">
        <f t="shared" si="180"/>
        <v/>
      </c>
      <c r="EN162" s="42">
        <v>159</v>
      </c>
      <c r="EO162" t="e">
        <f t="shared" si="186"/>
        <v>#N/A</v>
      </c>
      <c r="EP162" s="63" t="e">
        <f t="shared" si="187"/>
        <v>#N/A</v>
      </c>
      <c r="FT162" s="63"/>
    </row>
    <row r="163" spans="2:176" x14ac:dyDescent="0.3">
      <c r="B163" s="42"/>
      <c r="M163" s="194" t="str">
        <f ca="1">INDEX(Données_ATB!BD:BU,MATCH(MASQ2!O163,Données_ATB!BD:BD,0),18)</f>
        <v>x</v>
      </c>
      <c r="N163" s="14" t="str">
        <f>IFERROR(IF(Q163=0,"",COUNTIF(Q$4:Q$600,"&gt;"&amp;Q163)+COUNTIF(Q$4:Q163,Q163)),"")</f>
        <v/>
      </c>
      <c r="O163" t="str">
        <f>Données_ATB!BD162</f>
        <v>CONCENTRAT VO 49-1 COLISTINE 400 PORC ET AGNEAU-CHEVREAU SEVRES</v>
      </c>
      <c r="P163" t="e">
        <f>IF(IF(X$2="Catégorie",IF(X$3="Toutes",SUMIFS('Étape 1 - à remplir'!$F$31:$F$400,'Étape 1 - à remplir'!$E$31:$E$400,MASQ2!O163,'Étape 1 - à remplir'!$G$31:$G$400,"animaux"),SUMIFS('Étape 1 - à remplir'!$F$31:$F$400,'Étape 1 - à remplir'!$E$31:$E$400,MASQ2!O163,'Étape 1 - à remplir'!$C$31:$C$400,X$3)),IF(X$2="Âge",IF(X$3="Tous",SUMIFS('Étape 1 - à remplir'!$F$31:$F$400,'Étape 1 - à remplir'!$E$31:$E$400,MASQ2!O163,'Étape 1 - à remplir'!$G$31:$G$400,"animaux"),SUMIFS('Étape 1 - à remplir'!$F$31:$F$400,'Étape 1 - à remplir'!$E$31:$E$400,MASQ2!O163,'Étape 1 - à remplir'!$P$31:$P$400,X$3)),IF(X$2="Atelier",IF(X$3="Tous",SUMIFS('Étape 1 - à remplir'!$F$31:$F$400,'Étape 1 - à remplir'!$E$31:$E$400,MASQ2!O163,'Étape 1 - à remplir'!$G$31:$G$400,"animaux"),SUMIFS('Étape 1 - à remplir'!$F$31:$F$400,'Étape 1 - à remplir'!$E$31:$E$400,MASQ2!O163,'Étape 1 - à remplir'!$O$31:$O$400,X$3)),IF(X$2="Espèce",IF(X$3="Toutes",SUMIFS('Étape 1 - à remplir'!$F$31:$F$400,'Étape 1 - à remplir'!$E$31:$E$400,MASQ2!O163,'Étape 1 - à remplir'!$G$31:$G$400,"animaux"),SUMIFS('Étape 1 - à remplir'!$F$31:$F$400,'Étape 1 - à remplir'!$E$31:$E$400,MASQ2!O163,'Étape 1 - à remplir'!$N$31:$N$400,X$3))))))=0,NA(),IF(X$2="Catégorie",IF(X$3="Toutes",SUMIFS('Étape 1 - à remplir'!$F$31:$F$400,'Étape 1 - à remplir'!$E$31:$E$400,MASQ2!O163,'Étape 1 - à remplir'!$G$31:$G$400,"animaux"),SUMIFS('Étape 1 - à remplir'!$F$31:$F$400,'Étape 1 - à remplir'!$E$31:$E$400,MASQ2!O163,'Étape 1 - à remplir'!$C$31:$C$400,X$3)),IF(X$2="Âge",IF(X$3="Tous",SUMIFS('Étape 1 - à remplir'!$F$31:$F$400,'Étape 1 - à remplir'!$E$31:$E$400,MASQ2!O163,'Étape 1 - à remplir'!$G$31:$G$400,"animaux"),SUMIFS('Étape 1 - à remplir'!$F$31:$F$400,'Étape 1 - à remplir'!$E$31:$E$400,MASQ2!O163,'Étape 1 - à remplir'!$P$31:$P$400,X$3)),IF(X$2="Atelier",IF(X$3="Tous",SUMIFS('Étape 1 - à remplir'!$F$31:$F$400,'Étape 1 - à remplir'!$E$31:$E$400,MASQ2!O163,'Étape 1 - à remplir'!$G$31:$G$400,"animaux"),SUMIFS('Étape 1 - à remplir'!$F$31:$F$400,'Étape 1 - à remplir'!$E$31:$E$400,MASQ2!O163,'Étape 1 - à remplir'!$O$31:$O$400,X$3)),IF(X$2="Espèce",IF(X$3="Toutes",SUMIFS('Étape 1 - à remplir'!$F$31:$F$400,'Étape 1 - à remplir'!$E$31:$E$400,MASQ2!O163,'Étape 1 - à remplir'!$G$31:$G$400,"animaux"),SUMIFS('Étape 1 - à remplir'!$F$31:$F$400,'Étape 1 - à remplir'!$E$31:$E$400,MASQ2!O163,'Étape 1 - à remplir'!$N$31:$N$400,X$3)))))))</f>
        <v>#N/A</v>
      </c>
      <c r="Q163" s="63">
        <f t="shared" si="185"/>
        <v>0</v>
      </c>
      <c r="R163" t="str">
        <f>Données_ATB!BM162</f>
        <v>Colistine</v>
      </c>
      <c r="S163" t="str">
        <f>Données_ATB!BN162</f>
        <v/>
      </c>
      <c r="T163" s="63" t="str">
        <f>Données_ATB!BO162</f>
        <v/>
      </c>
      <c r="U163" s="42" t="str">
        <f>Données_ATB!BQ162</f>
        <v>Polypeptides</v>
      </c>
      <c r="V163" t="str">
        <f>Données_ATB!BR162</f>
        <v/>
      </c>
      <c r="W163" s="63" t="str">
        <f>Données_ATB!BS162</f>
        <v/>
      </c>
      <c r="Z163" s="42">
        <v>160</v>
      </c>
      <c r="AA163" t="e">
        <f t="shared" si="181"/>
        <v>#N/A</v>
      </c>
      <c r="AB163" s="63" t="e">
        <f t="shared" si="182"/>
        <v>#N/A</v>
      </c>
      <c r="BF163" s="63"/>
      <c r="BT163" s="194" t="str">
        <f t="shared" ca="1" si="165"/>
        <v>x</v>
      </c>
      <c r="BU163" s="219" t="str">
        <f>IFERROR(IF(BX163=0,"",COUNTIF(BX$4:BX$600,"&gt;"&amp;BX163)+COUNTIF(BX$4:BX163,BX163)),"")</f>
        <v/>
      </c>
      <c r="BV163" s="42" t="str">
        <f t="shared" si="166"/>
        <v>CONCENTRAT VO 49-1 COLISTINE 400 PORC ET AGNEAU-CHEVREAU SEVRES</v>
      </c>
      <c r="BW163" t="e">
        <f>IF(IF(CE$2="Catégorie",IF(CE$3="Toutes",SUMIFS('Étape 1 - à remplir'!$F$31:$F$400,'Étape 1 - à remplir'!$E$31:$E$400,MASQ2!BV163,'Étape 1 - à remplir'!$G$31:$G$400,"lots"),SUMIFS('Étape 1 - à remplir'!$F$31:$F$400,'Étape 1 - à remplir'!$E$31:$E$400,MASQ2!BV163,'Étape 1 - à remplir'!$C$31:$C$400,CE$3)),IF(CE$2="Âge",IF(CE$3="Tous",SUMIFS('Étape 1 - à remplir'!$F$31:$F$400,'Étape 1 - à remplir'!$E$31:$E$400,MASQ2!BV163,'Étape 1 - à remplir'!$G$31:$G$400,"lots"),SUMIFS('Étape 1 - à remplir'!$F$31:$F$400,'Étape 1 - à remplir'!$E$31:$E$400,MASQ2!BV163,'Étape 1 - à remplir'!$P$31:$P$400,CE$3,'Étape 1 - à remplir'!$G$31:$G$400,"lots")),IF(CE$2="Atelier",IF(CE$3="Tous",SUMIFS('Étape 1 - à remplir'!$F$31:$F$400,'Étape 1 - à remplir'!$E$31:$E$400,MASQ2!BV163,'Étape 1 - à remplir'!$G$31:$G$400,"lots"),SUMIFS('Étape 1 - à remplir'!$F$31:$F$400,'Étape 1 - à remplir'!$E$31:$E$400,MASQ2!BV163,'Étape 1 - à remplir'!$O$31:$O$400,CE$3,'Étape 1 - à remplir'!$G$31:$G$400,"lots")),IF(CE$2="Espèce",IF(CE$3="Toutes",SUMIFS('Étape 1 - à remplir'!$F$31:$F$400,'Étape 1 - à remplir'!$E$31:$E$400,MASQ2!BV163,'Étape 1 - à remplir'!$G$31:$G$400,"lots"),SUMIFS('Étape 1 - à remplir'!$F$31:$F$400,'Étape 1 - à remplir'!$E$31:$E$400,MASQ2!BV163,'Étape 1 - à remplir'!$N$31:$N$400,CE$3,'Étape 1 - à remplir'!$G$31:$G$400,"lots"))))))=0,NA(),IF(CE$2="Catégorie",IF(CE$3="Toutes",SUMIFS('Étape 1 - à remplir'!$F$31:$F$400,'Étape 1 - à remplir'!$E$31:$E$400,MASQ2!BV163,'Étape 1 - à remplir'!$G$31:$G$400,"lots"),SUMIFS('Étape 1 - à remplir'!$F$31:$F$400,'Étape 1 - à remplir'!$E$31:$E$400,MASQ2!BV163,'Étape 1 - à remplir'!$C$31:$C$400,CE$3)),IF(CE$2="Âge",IF(CE$3="Tous",SUMIFS('Étape 1 - à remplir'!$F$31:$F$400,'Étape 1 - à remplir'!$E$31:$E$400,MASQ2!BV163,'Étape 1 - à remplir'!$G$31:$G$400,"lots"),SUMIFS('Étape 1 - à remplir'!$F$31:$F$400,'Étape 1 - à remplir'!$E$31:$E$400,MASQ2!BV163,'Étape 1 - à remplir'!$P$31:$P$400,CE$3,'Étape 1 - à remplir'!$G$31:$G$400,"lots")),IF(CE$2="Atelier",IF(CE$3="Tous",SUMIFS('Étape 1 - à remplir'!$F$31:$F$400,'Étape 1 - à remplir'!$E$31:$E$400,MASQ2!BV163,'Étape 1 - à remplir'!$G$31:$G$400,"lots"),SUMIFS('Étape 1 - à remplir'!$F$31:$F$400,'Étape 1 - à remplir'!$E$31:$E$400,MASQ2!BV163,'Étape 1 - à remplir'!$O$31:$O$400,CE$3,'Étape 1 - à remplir'!$G$31:$G$400,"lots")),IF(CE$2="Espèce",IF(CE$3="Toutes",SUMIFS('Étape 1 - à remplir'!$F$31:$F$400,'Étape 1 - à remplir'!$E$31:$E$400,MASQ2!BV163,'Étape 1 - à remplir'!$G$31:$G$400,"lots"),SUMIFS('Étape 1 - à remplir'!$F$31:$F$400,'Étape 1 - à remplir'!$E$31:$E$400,MASQ2!BV163,'Étape 1 - à remplir'!$N$31:$N$400,CE$3,'Étape 1 - à remplir'!$G$31:$G$400,"lots")))))))</f>
        <v>#N/A</v>
      </c>
      <c r="BX163">
        <f t="shared" si="183"/>
        <v>0</v>
      </c>
      <c r="BY163" t="str">
        <f t="shared" si="167"/>
        <v>Colistine</v>
      </c>
      <c r="BZ163" t="str">
        <f t="shared" si="168"/>
        <v/>
      </c>
      <c r="CA163" t="str">
        <f t="shared" si="169"/>
        <v/>
      </c>
      <c r="CB163" t="str">
        <f t="shared" si="170"/>
        <v>Polypeptides</v>
      </c>
      <c r="CC163" t="str">
        <f t="shared" si="171"/>
        <v/>
      </c>
      <c r="CD163" s="63" t="str">
        <f t="shared" si="172"/>
        <v/>
      </c>
      <c r="CG163" s="42">
        <v>160</v>
      </c>
      <c r="CH163" s="42" t="e">
        <f t="shared" si="188"/>
        <v>#N/A</v>
      </c>
      <c r="CI163" s="63" t="e">
        <f t="shared" si="189"/>
        <v>#N/A</v>
      </c>
      <c r="DM163" s="63"/>
      <c r="EA163" s="194" t="str">
        <f t="shared" ca="1" si="173"/>
        <v>x</v>
      </c>
      <c r="EB163" s="226" t="str">
        <f>IFERROR(IF(ED163=0,"",COUNTIF(ED$4:ED$600,"&gt;"&amp;ED163)+COUNTIF(ED$4:ED163,ED163)),"")</f>
        <v/>
      </c>
      <c r="EC163" t="str">
        <f t="shared" si="174"/>
        <v>CONCENTRAT VO 49-1 COLISTINE 400 PORC ET AGNEAU-CHEVREAU SEVRES</v>
      </c>
      <c r="ED163" t="e">
        <f>IF(IF(EL$2="Catégorie",IF(EL$3="Toutes",SUMIFS('Étape 1 - à remplir'!$F$31:$F$400,'Étape 1 - à remplir'!$E$31:$E$400,MASQ2!EC163,'Étape 1 - à remplir'!$G$31:$G$400,"kg"),SUMIFS('Étape 1 - à remplir'!$F$31:$F$400,'Étape 1 - à remplir'!$E$31:$E$400,MASQ2!EC163,'Étape 1 - à remplir'!$C$31:$C$400,EL$3)),IF(EL$2="Âge",IF(EL$3="Tous",SUMIFS('Étape 1 - à remplir'!$F$31:$F$400,'Étape 1 - à remplir'!$E$31:$E$400,MASQ2!EC163,'Étape 1 - à remplir'!$G$31:$G$400,"kg"),SUMIFS('Étape 1 - à remplir'!$F$31:$F$400,'Étape 1 - à remplir'!$E$31:$E$400,MASQ2!EC163,'Étape 1 - à remplir'!$P$31:$P$400,EL$3,'Étape 1 - à remplir'!$G$31:$G$400,"kg")),IF(EL$2="Atelier",IF(EL$3="Tous",SUMIFS('Étape 1 - à remplir'!$F$31:$F$400,'Étape 1 - à remplir'!$E$31:$E$400,MASQ2!EC163,'Étape 1 - à remplir'!$G$31:$G$400,"kg"),SUMIFS('Étape 1 - à remplir'!$F$31:$F$400,'Étape 1 - à remplir'!$E$31:$E$400,MASQ2!EC163,'Étape 1 - à remplir'!$O$31:$O$400,EL$3,'Étape 1 - à remplir'!$G$31:$G$400,"kg")),IF(EL$2="Espèce",IF(EL$3="Toutes",SUMIFS('Étape 1 - à remplir'!$F$31:$F$400,'Étape 1 - à remplir'!$E$31:$E$400,MASQ2!EC163,'Étape 1 - à remplir'!$G$31:$G$400,"kg"),SUMIFS('Étape 1 - à remplir'!$F$31:$F$400,'Étape 1 - à remplir'!$E$31:$E$400,MASQ2!EC163,'Étape 1 - à remplir'!$N$31:$N$400,EL$3,'Étape 1 - à remplir'!$G$31:$G$400,"kg"))))))=0,NA(),IF(EL$2="Catégorie",IF(EL$3="Toutes",SUMIFS('Étape 1 - à remplir'!$F$31:$F$400,'Étape 1 - à remplir'!$E$31:$E$400,MASQ2!EC163,'Étape 1 - à remplir'!$G$31:$G$400,"kg"),SUMIFS('Étape 1 - à remplir'!$F$31:$F$400,'Étape 1 - à remplir'!$E$31:$E$400,MASQ2!EC163,'Étape 1 - à remplir'!$C$31:$C$400,EL$3)),IF(EL$2="Âge",IF(EL$3="Tous",SUMIFS('Étape 1 - à remplir'!$F$31:$F$400,'Étape 1 - à remplir'!$E$31:$E$400,MASQ2!EC163,'Étape 1 - à remplir'!$G$31:$G$400,"kg"),SUMIFS('Étape 1 - à remplir'!$F$31:$F$400,'Étape 1 - à remplir'!$E$31:$E$400,MASQ2!EC163,'Étape 1 - à remplir'!$P$31:$P$400,EL$3,'Étape 1 - à remplir'!$G$31:$G$400,"kg")),IF(EL$2="Atelier",IF(EL$3="Tous",SUMIFS('Étape 1 - à remplir'!$F$31:$F$400,'Étape 1 - à remplir'!$E$31:$E$400,MASQ2!EC163,'Étape 1 - à remplir'!$G$31:$G$400,"kg"),SUMIFS('Étape 1 - à remplir'!$F$31:$F$400,'Étape 1 - à remplir'!$E$31:$E$400,MASQ2!EC163,'Étape 1 - à remplir'!$O$31:$O$400,EL$3,'Étape 1 - à remplir'!$G$31:$G$400,"kg")),IF(EL$2="Espèce",IF(EL$3="Toutes",SUMIFS('Étape 1 - à remplir'!$F$31:$F$400,'Étape 1 - à remplir'!$E$31:$E$400,MASQ2!EC163,'Étape 1 - à remplir'!$G$31:$G$400,"kg"),SUMIFS('Étape 1 - à remplir'!$F$31:$F$400,'Étape 1 - à remplir'!$E$31:$E$400,MASQ2!EC163,'Étape 1 - à remplir'!$N$31:$N$400,EL$3,'Étape 1 - à remplir'!$G$31:$G$400,"kg")))))))</f>
        <v>#N/A</v>
      </c>
      <c r="EE163" s="76">
        <f t="shared" si="184"/>
        <v>0</v>
      </c>
      <c r="EF163" t="str">
        <f t="shared" si="175"/>
        <v>Colistine</v>
      </c>
      <c r="EG163" t="str">
        <f t="shared" si="176"/>
        <v/>
      </c>
      <c r="EH163" t="str">
        <f t="shared" si="177"/>
        <v/>
      </c>
      <c r="EI163" t="str">
        <f t="shared" si="178"/>
        <v>Polypeptides</v>
      </c>
      <c r="EJ163" t="str">
        <f t="shared" si="179"/>
        <v/>
      </c>
      <c r="EK163" s="63" t="str">
        <f t="shared" si="180"/>
        <v/>
      </c>
      <c r="EN163" s="42">
        <v>160</v>
      </c>
      <c r="EO163" t="e">
        <f t="shared" si="186"/>
        <v>#N/A</v>
      </c>
      <c r="EP163" s="63" t="e">
        <f t="shared" si="187"/>
        <v>#N/A</v>
      </c>
      <c r="FT163" s="63"/>
    </row>
    <row r="164" spans="2:176" x14ac:dyDescent="0.3">
      <c r="B164" s="42"/>
      <c r="M164" s="194" t="str">
        <f ca="1">INDEX(Données_ATB!BD:BU,MATCH(MASQ2!O164,Données_ATB!BD:BD,0),18)</f>
        <v>x</v>
      </c>
      <c r="N164" s="14" t="str">
        <f>IFERROR(IF(Q164=0,"",COUNTIF(Q$4:Q$600,"&gt;"&amp;Q164)+COUNTIF(Q$4:Q164,Q164)),"")</f>
        <v/>
      </c>
      <c r="O164" t="str">
        <f>Données_ATB!BD163</f>
        <v>CONCENTRAT VO 49-2 COLISTINE 200 LAPIN-VOLAILLE-PORC ET AGNEAU-CHEVREAU SEVRES</v>
      </c>
      <c r="P164" t="e">
        <f>IF(IF(X$2="Catégorie",IF(X$3="Toutes",SUMIFS('Étape 1 - à remplir'!$F$31:$F$400,'Étape 1 - à remplir'!$E$31:$E$400,MASQ2!O164,'Étape 1 - à remplir'!$G$31:$G$400,"animaux"),SUMIFS('Étape 1 - à remplir'!$F$31:$F$400,'Étape 1 - à remplir'!$E$31:$E$400,MASQ2!O164,'Étape 1 - à remplir'!$C$31:$C$400,X$3)),IF(X$2="Âge",IF(X$3="Tous",SUMIFS('Étape 1 - à remplir'!$F$31:$F$400,'Étape 1 - à remplir'!$E$31:$E$400,MASQ2!O164,'Étape 1 - à remplir'!$G$31:$G$400,"animaux"),SUMIFS('Étape 1 - à remplir'!$F$31:$F$400,'Étape 1 - à remplir'!$E$31:$E$400,MASQ2!O164,'Étape 1 - à remplir'!$P$31:$P$400,X$3)),IF(X$2="Atelier",IF(X$3="Tous",SUMIFS('Étape 1 - à remplir'!$F$31:$F$400,'Étape 1 - à remplir'!$E$31:$E$400,MASQ2!O164,'Étape 1 - à remplir'!$G$31:$G$400,"animaux"),SUMIFS('Étape 1 - à remplir'!$F$31:$F$400,'Étape 1 - à remplir'!$E$31:$E$400,MASQ2!O164,'Étape 1 - à remplir'!$O$31:$O$400,X$3)),IF(X$2="Espèce",IF(X$3="Toutes",SUMIFS('Étape 1 - à remplir'!$F$31:$F$400,'Étape 1 - à remplir'!$E$31:$E$400,MASQ2!O164,'Étape 1 - à remplir'!$G$31:$G$400,"animaux"),SUMIFS('Étape 1 - à remplir'!$F$31:$F$400,'Étape 1 - à remplir'!$E$31:$E$400,MASQ2!O164,'Étape 1 - à remplir'!$N$31:$N$400,X$3))))))=0,NA(),IF(X$2="Catégorie",IF(X$3="Toutes",SUMIFS('Étape 1 - à remplir'!$F$31:$F$400,'Étape 1 - à remplir'!$E$31:$E$400,MASQ2!O164,'Étape 1 - à remplir'!$G$31:$G$400,"animaux"),SUMIFS('Étape 1 - à remplir'!$F$31:$F$400,'Étape 1 - à remplir'!$E$31:$E$400,MASQ2!O164,'Étape 1 - à remplir'!$C$31:$C$400,X$3)),IF(X$2="Âge",IF(X$3="Tous",SUMIFS('Étape 1 - à remplir'!$F$31:$F$400,'Étape 1 - à remplir'!$E$31:$E$400,MASQ2!O164,'Étape 1 - à remplir'!$G$31:$G$400,"animaux"),SUMIFS('Étape 1 - à remplir'!$F$31:$F$400,'Étape 1 - à remplir'!$E$31:$E$400,MASQ2!O164,'Étape 1 - à remplir'!$P$31:$P$400,X$3)),IF(X$2="Atelier",IF(X$3="Tous",SUMIFS('Étape 1 - à remplir'!$F$31:$F$400,'Étape 1 - à remplir'!$E$31:$E$400,MASQ2!O164,'Étape 1 - à remplir'!$G$31:$G$400,"animaux"),SUMIFS('Étape 1 - à remplir'!$F$31:$F$400,'Étape 1 - à remplir'!$E$31:$E$400,MASQ2!O164,'Étape 1 - à remplir'!$O$31:$O$400,X$3)),IF(X$2="Espèce",IF(X$3="Toutes",SUMIFS('Étape 1 - à remplir'!$F$31:$F$400,'Étape 1 - à remplir'!$E$31:$E$400,MASQ2!O164,'Étape 1 - à remplir'!$G$31:$G$400,"animaux"),SUMIFS('Étape 1 - à remplir'!$F$31:$F$400,'Étape 1 - à remplir'!$E$31:$E$400,MASQ2!O164,'Étape 1 - à remplir'!$N$31:$N$400,X$3)))))))</f>
        <v>#N/A</v>
      </c>
      <c r="Q164" s="63">
        <f t="shared" si="185"/>
        <v>0</v>
      </c>
      <c r="R164" t="str">
        <f>Données_ATB!BM163</f>
        <v>Colistine</v>
      </c>
      <c r="S164" t="str">
        <f>Données_ATB!BN163</f>
        <v/>
      </c>
      <c r="T164" s="63" t="str">
        <f>Données_ATB!BO163</f>
        <v/>
      </c>
      <c r="U164" s="42" t="str">
        <f>Données_ATB!BQ163</f>
        <v>Polypeptides</v>
      </c>
      <c r="V164" t="str">
        <f>Données_ATB!BR163</f>
        <v/>
      </c>
      <c r="W164" s="63" t="str">
        <f>Données_ATB!BS163</f>
        <v/>
      </c>
      <c r="Z164" s="42">
        <v>161</v>
      </c>
      <c r="AA164" t="e">
        <f t="shared" si="181"/>
        <v>#N/A</v>
      </c>
      <c r="AB164" s="63" t="e">
        <f t="shared" si="182"/>
        <v>#N/A</v>
      </c>
      <c r="BF164" s="63"/>
      <c r="BT164" s="194" t="str">
        <f t="shared" ca="1" si="165"/>
        <v>x</v>
      </c>
      <c r="BU164" s="219" t="str">
        <f>IFERROR(IF(BX164=0,"",COUNTIF(BX$4:BX$600,"&gt;"&amp;BX164)+COUNTIF(BX$4:BX164,BX164)),"")</f>
        <v/>
      </c>
      <c r="BV164" s="42" t="str">
        <f t="shared" si="166"/>
        <v>CONCENTRAT VO 49-2 COLISTINE 200 LAPIN-VOLAILLE-PORC ET AGNEAU-CHEVREAU SEVRES</v>
      </c>
      <c r="BW164" t="e">
        <f>IF(IF(CE$2="Catégorie",IF(CE$3="Toutes",SUMIFS('Étape 1 - à remplir'!$F$31:$F$400,'Étape 1 - à remplir'!$E$31:$E$400,MASQ2!BV164,'Étape 1 - à remplir'!$G$31:$G$400,"lots"),SUMIFS('Étape 1 - à remplir'!$F$31:$F$400,'Étape 1 - à remplir'!$E$31:$E$400,MASQ2!BV164,'Étape 1 - à remplir'!$C$31:$C$400,CE$3)),IF(CE$2="Âge",IF(CE$3="Tous",SUMIFS('Étape 1 - à remplir'!$F$31:$F$400,'Étape 1 - à remplir'!$E$31:$E$400,MASQ2!BV164,'Étape 1 - à remplir'!$G$31:$G$400,"lots"),SUMIFS('Étape 1 - à remplir'!$F$31:$F$400,'Étape 1 - à remplir'!$E$31:$E$400,MASQ2!BV164,'Étape 1 - à remplir'!$P$31:$P$400,CE$3,'Étape 1 - à remplir'!$G$31:$G$400,"lots")),IF(CE$2="Atelier",IF(CE$3="Tous",SUMIFS('Étape 1 - à remplir'!$F$31:$F$400,'Étape 1 - à remplir'!$E$31:$E$400,MASQ2!BV164,'Étape 1 - à remplir'!$G$31:$G$400,"lots"),SUMIFS('Étape 1 - à remplir'!$F$31:$F$400,'Étape 1 - à remplir'!$E$31:$E$400,MASQ2!BV164,'Étape 1 - à remplir'!$O$31:$O$400,CE$3,'Étape 1 - à remplir'!$G$31:$G$400,"lots")),IF(CE$2="Espèce",IF(CE$3="Toutes",SUMIFS('Étape 1 - à remplir'!$F$31:$F$400,'Étape 1 - à remplir'!$E$31:$E$400,MASQ2!BV164,'Étape 1 - à remplir'!$G$31:$G$400,"lots"),SUMIFS('Étape 1 - à remplir'!$F$31:$F$400,'Étape 1 - à remplir'!$E$31:$E$400,MASQ2!BV164,'Étape 1 - à remplir'!$N$31:$N$400,CE$3,'Étape 1 - à remplir'!$G$31:$G$400,"lots"))))))=0,NA(),IF(CE$2="Catégorie",IF(CE$3="Toutes",SUMIFS('Étape 1 - à remplir'!$F$31:$F$400,'Étape 1 - à remplir'!$E$31:$E$400,MASQ2!BV164,'Étape 1 - à remplir'!$G$31:$G$400,"lots"),SUMIFS('Étape 1 - à remplir'!$F$31:$F$400,'Étape 1 - à remplir'!$E$31:$E$400,MASQ2!BV164,'Étape 1 - à remplir'!$C$31:$C$400,CE$3)),IF(CE$2="Âge",IF(CE$3="Tous",SUMIFS('Étape 1 - à remplir'!$F$31:$F$400,'Étape 1 - à remplir'!$E$31:$E$400,MASQ2!BV164,'Étape 1 - à remplir'!$G$31:$G$400,"lots"),SUMIFS('Étape 1 - à remplir'!$F$31:$F$400,'Étape 1 - à remplir'!$E$31:$E$400,MASQ2!BV164,'Étape 1 - à remplir'!$P$31:$P$400,CE$3,'Étape 1 - à remplir'!$G$31:$G$400,"lots")),IF(CE$2="Atelier",IF(CE$3="Tous",SUMIFS('Étape 1 - à remplir'!$F$31:$F$400,'Étape 1 - à remplir'!$E$31:$E$400,MASQ2!BV164,'Étape 1 - à remplir'!$G$31:$G$400,"lots"),SUMIFS('Étape 1 - à remplir'!$F$31:$F$400,'Étape 1 - à remplir'!$E$31:$E$400,MASQ2!BV164,'Étape 1 - à remplir'!$O$31:$O$400,CE$3,'Étape 1 - à remplir'!$G$31:$G$400,"lots")),IF(CE$2="Espèce",IF(CE$3="Toutes",SUMIFS('Étape 1 - à remplir'!$F$31:$F$400,'Étape 1 - à remplir'!$E$31:$E$400,MASQ2!BV164,'Étape 1 - à remplir'!$G$31:$G$400,"lots"),SUMIFS('Étape 1 - à remplir'!$F$31:$F$400,'Étape 1 - à remplir'!$E$31:$E$400,MASQ2!BV164,'Étape 1 - à remplir'!$N$31:$N$400,CE$3,'Étape 1 - à remplir'!$G$31:$G$400,"lots")))))))</f>
        <v>#N/A</v>
      </c>
      <c r="BX164">
        <f t="shared" si="183"/>
        <v>0</v>
      </c>
      <c r="BY164" t="str">
        <f t="shared" si="167"/>
        <v>Colistine</v>
      </c>
      <c r="BZ164" t="str">
        <f t="shared" si="168"/>
        <v/>
      </c>
      <c r="CA164" t="str">
        <f t="shared" si="169"/>
        <v/>
      </c>
      <c r="CB164" t="str">
        <f t="shared" si="170"/>
        <v>Polypeptides</v>
      </c>
      <c r="CC164" t="str">
        <f t="shared" si="171"/>
        <v/>
      </c>
      <c r="CD164" s="63" t="str">
        <f t="shared" si="172"/>
        <v/>
      </c>
      <c r="CG164" s="42">
        <v>161</v>
      </c>
      <c r="CH164" s="42" t="e">
        <f t="shared" si="188"/>
        <v>#N/A</v>
      </c>
      <c r="CI164" s="63" t="e">
        <f t="shared" si="189"/>
        <v>#N/A</v>
      </c>
      <c r="DM164" s="63"/>
      <c r="EA164" s="194" t="str">
        <f t="shared" ca="1" si="173"/>
        <v>x</v>
      </c>
      <c r="EB164" s="226" t="str">
        <f>IFERROR(IF(ED164=0,"",COUNTIF(ED$4:ED$600,"&gt;"&amp;ED164)+COUNTIF(ED$4:ED164,ED164)),"")</f>
        <v/>
      </c>
      <c r="EC164" t="str">
        <f t="shared" si="174"/>
        <v>CONCENTRAT VO 49-2 COLISTINE 200 LAPIN-VOLAILLE-PORC ET AGNEAU-CHEVREAU SEVRES</v>
      </c>
      <c r="ED164" t="e">
        <f>IF(IF(EL$2="Catégorie",IF(EL$3="Toutes",SUMIFS('Étape 1 - à remplir'!$F$31:$F$400,'Étape 1 - à remplir'!$E$31:$E$400,MASQ2!EC164,'Étape 1 - à remplir'!$G$31:$G$400,"kg"),SUMIFS('Étape 1 - à remplir'!$F$31:$F$400,'Étape 1 - à remplir'!$E$31:$E$400,MASQ2!EC164,'Étape 1 - à remplir'!$C$31:$C$400,EL$3)),IF(EL$2="Âge",IF(EL$3="Tous",SUMIFS('Étape 1 - à remplir'!$F$31:$F$400,'Étape 1 - à remplir'!$E$31:$E$400,MASQ2!EC164,'Étape 1 - à remplir'!$G$31:$G$400,"kg"),SUMIFS('Étape 1 - à remplir'!$F$31:$F$400,'Étape 1 - à remplir'!$E$31:$E$400,MASQ2!EC164,'Étape 1 - à remplir'!$P$31:$P$400,EL$3,'Étape 1 - à remplir'!$G$31:$G$400,"kg")),IF(EL$2="Atelier",IF(EL$3="Tous",SUMIFS('Étape 1 - à remplir'!$F$31:$F$400,'Étape 1 - à remplir'!$E$31:$E$400,MASQ2!EC164,'Étape 1 - à remplir'!$G$31:$G$400,"kg"),SUMIFS('Étape 1 - à remplir'!$F$31:$F$400,'Étape 1 - à remplir'!$E$31:$E$400,MASQ2!EC164,'Étape 1 - à remplir'!$O$31:$O$400,EL$3,'Étape 1 - à remplir'!$G$31:$G$400,"kg")),IF(EL$2="Espèce",IF(EL$3="Toutes",SUMIFS('Étape 1 - à remplir'!$F$31:$F$400,'Étape 1 - à remplir'!$E$31:$E$400,MASQ2!EC164,'Étape 1 - à remplir'!$G$31:$G$400,"kg"),SUMIFS('Étape 1 - à remplir'!$F$31:$F$400,'Étape 1 - à remplir'!$E$31:$E$400,MASQ2!EC164,'Étape 1 - à remplir'!$N$31:$N$400,EL$3,'Étape 1 - à remplir'!$G$31:$G$400,"kg"))))))=0,NA(),IF(EL$2="Catégorie",IF(EL$3="Toutes",SUMIFS('Étape 1 - à remplir'!$F$31:$F$400,'Étape 1 - à remplir'!$E$31:$E$400,MASQ2!EC164,'Étape 1 - à remplir'!$G$31:$G$400,"kg"),SUMIFS('Étape 1 - à remplir'!$F$31:$F$400,'Étape 1 - à remplir'!$E$31:$E$400,MASQ2!EC164,'Étape 1 - à remplir'!$C$31:$C$400,EL$3)),IF(EL$2="Âge",IF(EL$3="Tous",SUMIFS('Étape 1 - à remplir'!$F$31:$F$400,'Étape 1 - à remplir'!$E$31:$E$400,MASQ2!EC164,'Étape 1 - à remplir'!$G$31:$G$400,"kg"),SUMIFS('Étape 1 - à remplir'!$F$31:$F$400,'Étape 1 - à remplir'!$E$31:$E$400,MASQ2!EC164,'Étape 1 - à remplir'!$P$31:$P$400,EL$3,'Étape 1 - à remplir'!$G$31:$G$400,"kg")),IF(EL$2="Atelier",IF(EL$3="Tous",SUMIFS('Étape 1 - à remplir'!$F$31:$F$400,'Étape 1 - à remplir'!$E$31:$E$400,MASQ2!EC164,'Étape 1 - à remplir'!$G$31:$G$400,"kg"),SUMIFS('Étape 1 - à remplir'!$F$31:$F$400,'Étape 1 - à remplir'!$E$31:$E$400,MASQ2!EC164,'Étape 1 - à remplir'!$O$31:$O$400,EL$3,'Étape 1 - à remplir'!$G$31:$G$400,"kg")),IF(EL$2="Espèce",IF(EL$3="Toutes",SUMIFS('Étape 1 - à remplir'!$F$31:$F$400,'Étape 1 - à remplir'!$E$31:$E$400,MASQ2!EC164,'Étape 1 - à remplir'!$G$31:$G$400,"kg"),SUMIFS('Étape 1 - à remplir'!$F$31:$F$400,'Étape 1 - à remplir'!$E$31:$E$400,MASQ2!EC164,'Étape 1 - à remplir'!$N$31:$N$400,EL$3,'Étape 1 - à remplir'!$G$31:$G$400,"kg")))))))</f>
        <v>#N/A</v>
      </c>
      <c r="EE164" s="76">
        <f t="shared" si="184"/>
        <v>0</v>
      </c>
      <c r="EF164" t="str">
        <f t="shared" si="175"/>
        <v>Colistine</v>
      </c>
      <c r="EG164" t="str">
        <f t="shared" si="176"/>
        <v/>
      </c>
      <c r="EH164" t="str">
        <f t="shared" si="177"/>
        <v/>
      </c>
      <c r="EI164" t="str">
        <f t="shared" si="178"/>
        <v>Polypeptides</v>
      </c>
      <c r="EJ164" t="str">
        <f t="shared" si="179"/>
        <v/>
      </c>
      <c r="EK164" s="63" t="str">
        <f t="shared" si="180"/>
        <v/>
      </c>
      <c r="EN164" s="42">
        <v>161</v>
      </c>
      <c r="EO164" t="e">
        <f t="shared" si="186"/>
        <v>#N/A</v>
      </c>
      <c r="EP164" s="63" t="e">
        <f t="shared" si="187"/>
        <v>#N/A</v>
      </c>
      <c r="FT164" s="63"/>
    </row>
    <row r="165" spans="2:176" x14ac:dyDescent="0.3">
      <c r="B165" s="42"/>
      <c r="M165" s="194" t="str">
        <f ca="1">INDEX(Données_ATB!BD:BU,MATCH(MASQ2!O165,Données_ATB!BD:BD,0),18)</f>
        <v/>
      </c>
      <c r="N165" s="14" t="str">
        <f>IFERROR(IF(Q165=0,"",COUNTIF(Q$4:Q$600,"&gt;"&amp;Q165)+COUNTIF(Q$4:Q165,Q165)),"")</f>
        <v/>
      </c>
      <c r="O165" t="str">
        <f>Données_ATB!BD164</f>
        <v>CONCENTRAT VO 57 APRAMYCINE 20 PORC-LAPIN</v>
      </c>
      <c r="P165" t="e">
        <f>IF(IF(X$2="Catégorie",IF(X$3="Toutes",SUMIFS('Étape 1 - à remplir'!$F$31:$F$400,'Étape 1 - à remplir'!$E$31:$E$400,MASQ2!O165,'Étape 1 - à remplir'!$G$31:$G$400,"animaux"),SUMIFS('Étape 1 - à remplir'!$F$31:$F$400,'Étape 1 - à remplir'!$E$31:$E$400,MASQ2!O165,'Étape 1 - à remplir'!$C$31:$C$400,X$3)),IF(X$2="Âge",IF(X$3="Tous",SUMIFS('Étape 1 - à remplir'!$F$31:$F$400,'Étape 1 - à remplir'!$E$31:$E$400,MASQ2!O165,'Étape 1 - à remplir'!$G$31:$G$400,"animaux"),SUMIFS('Étape 1 - à remplir'!$F$31:$F$400,'Étape 1 - à remplir'!$E$31:$E$400,MASQ2!O165,'Étape 1 - à remplir'!$P$31:$P$400,X$3)),IF(X$2="Atelier",IF(X$3="Tous",SUMIFS('Étape 1 - à remplir'!$F$31:$F$400,'Étape 1 - à remplir'!$E$31:$E$400,MASQ2!O165,'Étape 1 - à remplir'!$G$31:$G$400,"animaux"),SUMIFS('Étape 1 - à remplir'!$F$31:$F$400,'Étape 1 - à remplir'!$E$31:$E$400,MASQ2!O165,'Étape 1 - à remplir'!$O$31:$O$400,X$3)),IF(X$2="Espèce",IF(X$3="Toutes",SUMIFS('Étape 1 - à remplir'!$F$31:$F$400,'Étape 1 - à remplir'!$E$31:$E$400,MASQ2!O165,'Étape 1 - à remplir'!$G$31:$G$400,"animaux"),SUMIFS('Étape 1 - à remplir'!$F$31:$F$400,'Étape 1 - à remplir'!$E$31:$E$400,MASQ2!O165,'Étape 1 - à remplir'!$N$31:$N$400,X$3))))))=0,NA(),IF(X$2="Catégorie",IF(X$3="Toutes",SUMIFS('Étape 1 - à remplir'!$F$31:$F$400,'Étape 1 - à remplir'!$E$31:$E$400,MASQ2!O165,'Étape 1 - à remplir'!$G$31:$G$400,"animaux"),SUMIFS('Étape 1 - à remplir'!$F$31:$F$400,'Étape 1 - à remplir'!$E$31:$E$400,MASQ2!O165,'Étape 1 - à remplir'!$C$31:$C$400,X$3)),IF(X$2="Âge",IF(X$3="Tous",SUMIFS('Étape 1 - à remplir'!$F$31:$F$400,'Étape 1 - à remplir'!$E$31:$E$400,MASQ2!O165,'Étape 1 - à remplir'!$G$31:$G$400,"animaux"),SUMIFS('Étape 1 - à remplir'!$F$31:$F$400,'Étape 1 - à remplir'!$E$31:$E$400,MASQ2!O165,'Étape 1 - à remplir'!$P$31:$P$400,X$3)),IF(X$2="Atelier",IF(X$3="Tous",SUMIFS('Étape 1 - à remplir'!$F$31:$F$400,'Étape 1 - à remplir'!$E$31:$E$400,MASQ2!O165,'Étape 1 - à remplir'!$G$31:$G$400,"animaux"),SUMIFS('Étape 1 - à remplir'!$F$31:$F$400,'Étape 1 - à remplir'!$E$31:$E$400,MASQ2!O165,'Étape 1 - à remplir'!$O$31:$O$400,X$3)),IF(X$2="Espèce",IF(X$3="Toutes",SUMIFS('Étape 1 - à remplir'!$F$31:$F$400,'Étape 1 - à remplir'!$E$31:$E$400,MASQ2!O165,'Étape 1 - à remplir'!$G$31:$G$400,"animaux"),SUMIFS('Étape 1 - à remplir'!$F$31:$F$400,'Étape 1 - à remplir'!$E$31:$E$400,MASQ2!O165,'Étape 1 - à remplir'!$N$31:$N$400,X$3)))))))</f>
        <v>#N/A</v>
      </c>
      <c r="Q165" s="63">
        <f t="shared" si="185"/>
        <v>0</v>
      </c>
      <c r="R165" t="str">
        <f>Données_ATB!BM164</f>
        <v>Apramycine</v>
      </c>
      <c r="S165" t="str">
        <f>Données_ATB!BN164</f>
        <v/>
      </c>
      <c r="T165" s="63" t="str">
        <f>Données_ATB!BO164</f>
        <v/>
      </c>
      <c r="U165" s="42" t="str">
        <f>Données_ATB!BQ164</f>
        <v>Aminoglycosides</v>
      </c>
      <c r="V165" t="str">
        <f>Données_ATB!BR164</f>
        <v/>
      </c>
      <c r="W165" s="63" t="str">
        <f>Données_ATB!BS164</f>
        <v/>
      </c>
      <c r="Z165" s="42">
        <v>162</v>
      </c>
      <c r="AA165" t="e">
        <f t="shared" si="181"/>
        <v>#N/A</v>
      </c>
      <c r="AB165" s="63" t="e">
        <f t="shared" si="182"/>
        <v>#N/A</v>
      </c>
      <c r="BF165" s="63"/>
      <c r="BT165" s="194" t="str">
        <f t="shared" ca="1" si="165"/>
        <v/>
      </c>
      <c r="BU165" s="219" t="str">
        <f>IFERROR(IF(BX165=0,"",COUNTIF(BX$4:BX$600,"&gt;"&amp;BX165)+COUNTIF(BX$4:BX165,BX165)),"")</f>
        <v/>
      </c>
      <c r="BV165" s="42" t="str">
        <f t="shared" si="166"/>
        <v>CONCENTRAT VO 57 APRAMYCINE 20 PORC-LAPIN</v>
      </c>
      <c r="BW165" t="e">
        <f>IF(IF(CE$2="Catégorie",IF(CE$3="Toutes",SUMIFS('Étape 1 - à remplir'!$F$31:$F$400,'Étape 1 - à remplir'!$E$31:$E$400,MASQ2!BV165,'Étape 1 - à remplir'!$G$31:$G$400,"lots"),SUMIFS('Étape 1 - à remplir'!$F$31:$F$400,'Étape 1 - à remplir'!$E$31:$E$400,MASQ2!BV165,'Étape 1 - à remplir'!$C$31:$C$400,CE$3)),IF(CE$2="Âge",IF(CE$3="Tous",SUMIFS('Étape 1 - à remplir'!$F$31:$F$400,'Étape 1 - à remplir'!$E$31:$E$400,MASQ2!BV165,'Étape 1 - à remplir'!$G$31:$G$400,"lots"),SUMIFS('Étape 1 - à remplir'!$F$31:$F$400,'Étape 1 - à remplir'!$E$31:$E$400,MASQ2!BV165,'Étape 1 - à remplir'!$P$31:$P$400,CE$3,'Étape 1 - à remplir'!$G$31:$G$400,"lots")),IF(CE$2="Atelier",IF(CE$3="Tous",SUMIFS('Étape 1 - à remplir'!$F$31:$F$400,'Étape 1 - à remplir'!$E$31:$E$400,MASQ2!BV165,'Étape 1 - à remplir'!$G$31:$G$400,"lots"),SUMIFS('Étape 1 - à remplir'!$F$31:$F$400,'Étape 1 - à remplir'!$E$31:$E$400,MASQ2!BV165,'Étape 1 - à remplir'!$O$31:$O$400,CE$3,'Étape 1 - à remplir'!$G$31:$G$400,"lots")),IF(CE$2="Espèce",IF(CE$3="Toutes",SUMIFS('Étape 1 - à remplir'!$F$31:$F$400,'Étape 1 - à remplir'!$E$31:$E$400,MASQ2!BV165,'Étape 1 - à remplir'!$G$31:$G$400,"lots"),SUMIFS('Étape 1 - à remplir'!$F$31:$F$400,'Étape 1 - à remplir'!$E$31:$E$400,MASQ2!BV165,'Étape 1 - à remplir'!$N$31:$N$400,CE$3,'Étape 1 - à remplir'!$G$31:$G$400,"lots"))))))=0,NA(),IF(CE$2="Catégorie",IF(CE$3="Toutes",SUMIFS('Étape 1 - à remplir'!$F$31:$F$400,'Étape 1 - à remplir'!$E$31:$E$400,MASQ2!BV165,'Étape 1 - à remplir'!$G$31:$G$400,"lots"),SUMIFS('Étape 1 - à remplir'!$F$31:$F$400,'Étape 1 - à remplir'!$E$31:$E$400,MASQ2!BV165,'Étape 1 - à remplir'!$C$31:$C$400,CE$3)),IF(CE$2="Âge",IF(CE$3="Tous",SUMIFS('Étape 1 - à remplir'!$F$31:$F$400,'Étape 1 - à remplir'!$E$31:$E$400,MASQ2!BV165,'Étape 1 - à remplir'!$G$31:$G$400,"lots"),SUMIFS('Étape 1 - à remplir'!$F$31:$F$400,'Étape 1 - à remplir'!$E$31:$E$400,MASQ2!BV165,'Étape 1 - à remplir'!$P$31:$P$400,CE$3,'Étape 1 - à remplir'!$G$31:$G$400,"lots")),IF(CE$2="Atelier",IF(CE$3="Tous",SUMIFS('Étape 1 - à remplir'!$F$31:$F$400,'Étape 1 - à remplir'!$E$31:$E$400,MASQ2!BV165,'Étape 1 - à remplir'!$G$31:$G$400,"lots"),SUMIFS('Étape 1 - à remplir'!$F$31:$F$400,'Étape 1 - à remplir'!$E$31:$E$400,MASQ2!BV165,'Étape 1 - à remplir'!$O$31:$O$400,CE$3,'Étape 1 - à remplir'!$G$31:$G$400,"lots")),IF(CE$2="Espèce",IF(CE$3="Toutes",SUMIFS('Étape 1 - à remplir'!$F$31:$F$400,'Étape 1 - à remplir'!$E$31:$E$400,MASQ2!BV165,'Étape 1 - à remplir'!$G$31:$G$400,"lots"),SUMIFS('Étape 1 - à remplir'!$F$31:$F$400,'Étape 1 - à remplir'!$E$31:$E$400,MASQ2!BV165,'Étape 1 - à remplir'!$N$31:$N$400,CE$3,'Étape 1 - à remplir'!$G$31:$G$400,"lots")))))))</f>
        <v>#N/A</v>
      </c>
      <c r="BX165">
        <f t="shared" si="183"/>
        <v>0</v>
      </c>
      <c r="BY165" t="str">
        <f t="shared" si="167"/>
        <v>Apramycine</v>
      </c>
      <c r="BZ165" t="str">
        <f t="shared" si="168"/>
        <v/>
      </c>
      <c r="CA165" t="str">
        <f t="shared" si="169"/>
        <v/>
      </c>
      <c r="CB165" t="str">
        <f t="shared" si="170"/>
        <v>Aminoglycosides</v>
      </c>
      <c r="CC165" t="str">
        <f t="shared" si="171"/>
        <v/>
      </c>
      <c r="CD165" s="63" t="str">
        <f t="shared" si="172"/>
        <v/>
      </c>
      <c r="CG165" s="42">
        <v>162</v>
      </c>
      <c r="CH165" s="42" t="e">
        <f t="shared" si="188"/>
        <v>#N/A</v>
      </c>
      <c r="CI165" s="63" t="e">
        <f t="shared" si="189"/>
        <v>#N/A</v>
      </c>
      <c r="DM165" s="63"/>
      <c r="EA165" s="194" t="str">
        <f t="shared" ca="1" si="173"/>
        <v/>
      </c>
      <c r="EB165" s="226" t="str">
        <f>IFERROR(IF(ED165=0,"",COUNTIF(ED$4:ED$600,"&gt;"&amp;ED165)+COUNTIF(ED$4:ED165,ED165)),"")</f>
        <v/>
      </c>
      <c r="EC165" t="str">
        <f t="shared" si="174"/>
        <v>CONCENTRAT VO 57 APRAMYCINE 20 PORC-LAPIN</v>
      </c>
      <c r="ED165" t="e">
        <f>IF(IF(EL$2="Catégorie",IF(EL$3="Toutes",SUMIFS('Étape 1 - à remplir'!$F$31:$F$400,'Étape 1 - à remplir'!$E$31:$E$400,MASQ2!EC165,'Étape 1 - à remplir'!$G$31:$G$400,"kg"),SUMIFS('Étape 1 - à remplir'!$F$31:$F$400,'Étape 1 - à remplir'!$E$31:$E$400,MASQ2!EC165,'Étape 1 - à remplir'!$C$31:$C$400,EL$3)),IF(EL$2="Âge",IF(EL$3="Tous",SUMIFS('Étape 1 - à remplir'!$F$31:$F$400,'Étape 1 - à remplir'!$E$31:$E$400,MASQ2!EC165,'Étape 1 - à remplir'!$G$31:$G$400,"kg"),SUMIFS('Étape 1 - à remplir'!$F$31:$F$400,'Étape 1 - à remplir'!$E$31:$E$400,MASQ2!EC165,'Étape 1 - à remplir'!$P$31:$P$400,EL$3,'Étape 1 - à remplir'!$G$31:$G$400,"kg")),IF(EL$2="Atelier",IF(EL$3="Tous",SUMIFS('Étape 1 - à remplir'!$F$31:$F$400,'Étape 1 - à remplir'!$E$31:$E$400,MASQ2!EC165,'Étape 1 - à remplir'!$G$31:$G$400,"kg"),SUMIFS('Étape 1 - à remplir'!$F$31:$F$400,'Étape 1 - à remplir'!$E$31:$E$400,MASQ2!EC165,'Étape 1 - à remplir'!$O$31:$O$400,EL$3,'Étape 1 - à remplir'!$G$31:$G$400,"kg")),IF(EL$2="Espèce",IF(EL$3="Toutes",SUMIFS('Étape 1 - à remplir'!$F$31:$F$400,'Étape 1 - à remplir'!$E$31:$E$400,MASQ2!EC165,'Étape 1 - à remplir'!$G$31:$G$400,"kg"),SUMIFS('Étape 1 - à remplir'!$F$31:$F$400,'Étape 1 - à remplir'!$E$31:$E$400,MASQ2!EC165,'Étape 1 - à remplir'!$N$31:$N$400,EL$3,'Étape 1 - à remplir'!$G$31:$G$400,"kg"))))))=0,NA(),IF(EL$2="Catégorie",IF(EL$3="Toutes",SUMIFS('Étape 1 - à remplir'!$F$31:$F$400,'Étape 1 - à remplir'!$E$31:$E$400,MASQ2!EC165,'Étape 1 - à remplir'!$G$31:$G$400,"kg"),SUMIFS('Étape 1 - à remplir'!$F$31:$F$400,'Étape 1 - à remplir'!$E$31:$E$400,MASQ2!EC165,'Étape 1 - à remplir'!$C$31:$C$400,EL$3)),IF(EL$2="Âge",IF(EL$3="Tous",SUMIFS('Étape 1 - à remplir'!$F$31:$F$400,'Étape 1 - à remplir'!$E$31:$E$400,MASQ2!EC165,'Étape 1 - à remplir'!$G$31:$G$400,"kg"),SUMIFS('Étape 1 - à remplir'!$F$31:$F$400,'Étape 1 - à remplir'!$E$31:$E$400,MASQ2!EC165,'Étape 1 - à remplir'!$P$31:$P$400,EL$3,'Étape 1 - à remplir'!$G$31:$G$400,"kg")),IF(EL$2="Atelier",IF(EL$3="Tous",SUMIFS('Étape 1 - à remplir'!$F$31:$F$400,'Étape 1 - à remplir'!$E$31:$E$400,MASQ2!EC165,'Étape 1 - à remplir'!$G$31:$G$400,"kg"),SUMIFS('Étape 1 - à remplir'!$F$31:$F$400,'Étape 1 - à remplir'!$E$31:$E$400,MASQ2!EC165,'Étape 1 - à remplir'!$O$31:$O$400,EL$3,'Étape 1 - à remplir'!$G$31:$G$400,"kg")),IF(EL$2="Espèce",IF(EL$3="Toutes",SUMIFS('Étape 1 - à remplir'!$F$31:$F$400,'Étape 1 - à remplir'!$E$31:$E$400,MASQ2!EC165,'Étape 1 - à remplir'!$G$31:$G$400,"kg"),SUMIFS('Étape 1 - à remplir'!$F$31:$F$400,'Étape 1 - à remplir'!$E$31:$E$400,MASQ2!EC165,'Étape 1 - à remplir'!$N$31:$N$400,EL$3,'Étape 1 - à remplir'!$G$31:$G$400,"kg")))))))</f>
        <v>#N/A</v>
      </c>
      <c r="EE165" s="76">
        <f t="shared" si="184"/>
        <v>0</v>
      </c>
      <c r="EF165" t="str">
        <f t="shared" si="175"/>
        <v>Apramycine</v>
      </c>
      <c r="EG165" t="str">
        <f t="shared" si="176"/>
        <v/>
      </c>
      <c r="EH165" t="str">
        <f t="shared" si="177"/>
        <v/>
      </c>
      <c r="EI165" t="str">
        <f t="shared" si="178"/>
        <v>Aminoglycosides</v>
      </c>
      <c r="EJ165" t="str">
        <f t="shared" si="179"/>
        <v/>
      </c>
      <c r="EK165" s="63" t="str">
        <f t="shared" si="180"/>
        <v/>
      </c>
      <c r="EN165" s="42">
        <v>162</v>
      </c>
      <c r="EO165" t="e">
        <f t="shared" si="186"/>
        <v>#N/A</v>
      </c>
      <c r="EP165" s="63" t="e">
        <f t="shared" si="187"/>
        <v>#N/A</v>
      </c>
      <c r="FT165" s="63"/>
    </row>
    <row r="166" spans="2:176" x14ac:dyDescent="0.3">
      <c r="B166" s="42"/>
      <c r="M166" s="194" t="str">
        <f ca="1">INDEX(Données_ATB!BD:BU,MATCH(MASQ2!O166,Données_ATB!BD:BD,0),18)</f>
        <v/>
      </c>
      <c r="N166" s="14" t="str">
        <f>IFERROR(IF(Q166=0,"",COUNTIF(Q$4:Q$600,"&gt;"&amp;Q166)+COUNTIF(Q$4:Q166,Q166)),"")</f>
        <v/>
      </c>
      <c r="O166" t="str">
        <f>Données_ATB!BD165</f>
        <v>CONCENTRAT VO 59-1 NEOMYCINE 80 PORC</v>
      </c>
      <c r="P166" t="e">
        <f>IF(IF(X$2="Catégorie",IF(X$3="Toutes",SUMIFS('Étape 1 - à remplir'!$F$31:$F$400,'Étape 1 - à remplir'!$E$31:$E$400,MASQ2!O166,'Étape 1 - à remplir'!$G$31:$G$400,"animaux"),SUMIFS('Étape 1 - à remplir'!$F$31:$F$400,'Étape 1 - à remplir'!$E$31:$E$400,MASQ2!O166,'Étape 1 - à remplir'!$C$31:$C$400,X$3)),IF(X$2="Âge",IF(X$3="Tous",SUMIFS('Étape 1 - à remplir'!$F$31:$F$400,'Étape 1 - à remplir'!$E$31:$E$400,MASQ2!O166,'Étape 1 - à remplir'!$G$31:$G$400,"animaux"),SUMIFS('Étape 1 - à remplir'!$F$31:$F$400,'Étape 1 - à remplir'!$E$31:$E$400,MASQ2!O166,'Étape 1 - à remplir'!$P$31:$P$400,X$3)),IF(X$2="Atelier",IF(X$3="Tous",SUMIFS('Étape 1 - à remplir'!$F$31:$F$400,'Étape 1 - à remplir'!$E$31:$E$400,MASQ2!O166,'Étape 1 - à remplir'!$G$31:$G$400,"animaux"),SUMIFS('Étape 1 - à remplir'!$F$31:$F$400,'Étape 1 - à remplir'!$E$31:$E$400,MASQ2!O166,'Étape 1 - à remplir'!$O$31:$O$400,X$3)),IF(X$2="Espèce",IF(X$3="Toutes",SUMIFS('Étape 1 - à remplir'!$F$31:$F$400,'Étape 1 - à remplir'!$E$31:$E$400,MASQ2!O166,'Étape 1 - à remplir'!$G$31:$G$400,"animaux"),SUMIFS('Étape 1 - à remplir'!$F$31:$F$400,'Étape 1 - à remplir'!$E$31:$E$400,MASQ2!O166,'Étape 1 - à remplir'!$N$31:$N$400,X$3))))))=0,NA(),IF(X$2="Catégorie",IF(X$3="Toutes",SUMIFS('Étape 1 - à remplir'!$F$31:$F$400,'Étape 1 - à remplir'!$E$31:$E$400,MASQ2!O166,'Étape 1 - à remplir'!$G$31:$G$400,"animaux"),SUMIFS('Étape 1 - à remplir'!$F$31:$F$400,'Étape 1 - à remplir'!$E$31:$E$400,MASQ2!O166,'Étape 1 - à remplir'!$C$31:$C$400,X$3)),IF(X$2="Âge",IF(X$3="Tous",SUMIFS('Étape 1 - à remplir'!$F$31:$F$400,'Étape 1 - à remplir'!$E$31:$E$400,MASQ2!O166,'Étape 1 - à remplir'!$G$31:$G$400,"animaux"),SUMIFS('Étape 1 - à remplir'!$F$31:$F$400,'Étape 1 - à remplir'!$E$31:$E$400,MASQ2!O166,'Étape 1 - à remplir'!$P$31:$P$400,X$3)),IF(X$2="Atelier",IF(X$3="Tous",SUMIFS('Étape 1 - à remplir'!$F$31:$F$400,'Étape 1 - à remplir'!$E$31:$E$400,MASQ2!O166,'Étape 1 - à remplir'!$G$31:$G$400,"animaux"),SUMIFS('Étape 1 - à remplir'!$F$31:$F$400,'Étape 1 - à remplir'!$E$31:$E$400,MASQ2!O166,'Étape 1 - à remplir'!$O$31:$O$400,X$3)),IF(X$2="Espèce",IF(X$3="Toutes",SUMIFS('Étape 1 - à remplir'!$F$31:$F$400,'Étape 1 - à remplir'!$E$31:$E$400,MASQ2!O166,'Étape 1 - à remplir'!$G$31:$G$400,"animaux"),SUMIFS('Étape 1 - à remplir'!$F$31:$F$400,'Étape 1 - à remplir'!$E$31:$E$400,MASQ2!O166,'Étape 1 - à remplir'!$N$31:$N$400,X$3)))))))</f>
        <v>#N/A</v>
      </c>
      <c r="Q166" s="63">
        <f t="shared" si="185"/>
        <v>0</v>
      </c>
      <c r="R166" t="str">
        <f>Données_ATB!BM165</f>
        <v>Néomycine</v>
      </c>
      <c r="S166" t="str">
        <f>Données_ATB!BN165</f>
        <v/>
      </c>
      <c r="T166" s="63" t="str">
        <f>Données_ATB!BO165</f>
        <v/>
      </c>
      <c r="U166" s="42" t="str">
        <f>Données_ATB!BQ165</f>
        <v>Aminoglycosides</v>
      </c>
      <c r="V166" t="str">
        <f>Données_ATB!BR165</f>
        <v/>
      </c>
      <c r="W166" s="63" t="str">
        <f>Données_ATB!BS165</f>
        <v/>
      </c>
      <c r="Z166" s="42">
        <v>163</v>
      </c>
      <c r="AA166" t="e">
        <f t="shared" si="181"/>
        <v>#N/A</v>
      </c>
      <c r="AB166" s="63" t="e">
        <f t="shared" si="182"/>
        <v>#N/A</v>
      </c>
      <c r="BF166" s="63"/>
      <c r="BT166" s="194" t="str">
        <f t="shared" ca="1" si="165"/>
        <v/>
      </c>
      <c r="BU166" s="219" t="str">
        <f>IFERROR(IF(BX166=0,"",COUNTIF(BX$4:BX$600,"&gt;"&amp;BX166)+COUNTIF(BX$4:BX166,BX166)),"")</f>
        <v/>
      </c>
      <c r="BV166" s="42" t="str">
        <f t="shared" si="166"/>
        <v>CONCENTRAT VO 59-1 NEOMYCINE 80 PORC</v>
      </c>
      <c r="BW166" t="e">
        <f>IF(IF(CE$2="Catégorie",IF(CE$3="Toutes",SUMIFS('Étape 1 - à remplir'!$F$31:$F$400,'Étape 1 - à remplir'!$E$31:$E$400,MASQ2!BV166,'Étape 1 - à remplir'!$G$31:$G$400,"lots"),SUMIFS('Étape 1 - à remplir'!$F$31:$F$400,'Étape 1 - à remplir'!$E$31:$E$400,MASQ2!BV166,'Étape 1 - à remplir'!$C$31:$C$400,CE$3)),IF(CE$2="Âge",IF(CE$3="Tous",SUMIFS('Étape 1 - à remplir'!$F$31:$F$400,'Étape 1 - à remplir'!$E$31:$E$400,MASQ2!BV166,'Étape 1 - à remplir'!$G$31:$G$400,"lots"),SUMIFS('Étape 1 - à remplir'!$F$31:$F$400,'Étape 1 - à remplir'!$E$31:$E$400,MASQ2!BV166,'Étape 1 - à remplir'!$P$31:$P$400,CE$3,'Étape 1 - à remplir'!$G$31:$G$400,"lots")),IF(CE$2="Atelier",IF(CE$3="Tous",SUMIFS('Étape 1 - à remplir'!$F$31:$F$400,'Étape 1 - à remplir'!$E$31:$E$400,MASQ2!BV166,'Étape 1 - à remplir'!$G$31:$G$400,"lots"),SUMIFS('Étape 1 - à remplir'!$F$31:$F$400,'Étape 1 - à remplir'!$E$31:$E$400,MASQ2!BV166,'Étape 1 - à remplir'!$O$31:$O$400,CE$3,'Étape 1 - à remplir'!$G$31:$G$400,"lots")),IF(CE$2="Espèce",IF(CE$3="Toutes",SUMIFS('Étape 1 - à remplir'!$F$31:$F$400,'Étape 1 - à remplir'!$E$31:$E$400,MASQ2!BV166,'Étape 1 - à remplir'!$G$31:$G$400,"lots"),SUMIFS('Étape 1 - à remplir'!$F$31:$F$400,'Étape 1 - à remplir'!$E$31:$E$400,MASQ2!BV166,'Étape 1 - à remplir'!$N$31:$N$400,CE$3,'Étape 1 - à remplir'!$G$31:$G$400,"lots"))))))=0,NA(),IF(CE$2="Catégorie",IF(CE$3="Toutes",SUMIFS('Étape 1 - à remplir'!$F$31:$F$400,'Étape 1 - à remplir'!$E$31:$E$400,MASQ2!BV166,'Étape 1 - à remplir'!$G$31:$G$400,"lots"),SUMIFS('Étape 1 - à remplir'!$F$31:$F$400,'Étape 1 - à remplir'!$E$31:$E$400,MASQ2!BV166,'Étape 1 - à remplir'!$C$31:$C$400,CE$3)),IF(CE$2="Âge",IF(CE$3="Tous",SUMIFS('Étape 1 - à remplir'!$F$31:$F$400,'Étape 1 - à remplir'!$E$31:$E$400,MASQ2!BV166,'Étape 1 - à remplir'!$G$31:$G$400,"lots"),SUMIFS('Étape 1 - à remplir'!$F$31:$F$400,'Étape 1 - à remplir'!$E$31:$E$400,MASQ2!BV166,'Étape 1 - à remplir'!$P$31:$P$400,CE$3,'Étape 1 - à remplir'!$G$31:$G$400,"lots")),IF(CE$2="Atelier",IF(CE$3="Tous",SUMIFS('Étape 1 - à remplir'!$F$31:$F$400,'Étape 1 - à remplir'!$E$31:$E$400,MASQ2!BV166,'Étape 1 - à remplir'!$G$31:$G$400,"lots"),SUMIFS('Étape 1 - à remplir'!$F$31:$F$400,'Étape 1 - à remplir'!$E$31:$E$400,MASQ2!BV166,'Étape 1 - à remplir'!$O$31:$O$400,CE$3,'Étape 1 - à remplir'!$G$31:$G$400,"lots")),IF(CE$2="Espèce",IF(CE$3="Toutes",SUMIFS('Étape 1 - à remplir'!$F$31:$F$400,'Étape 1 - à remplir'!$E$31:$E$400,MASQ2!BV166,'Étape 1 - à remplir'!$G$31:$G$400,"lots"),SUMIFS('Étape 1 - à remplir'!$F$31:$F$400,'Étape 1 - à remplir'!$E$31:$E$400,MASQ2!BV166,'Étape 1 - à remplir'!$N$31:$N$400,CE$3,'Étape 1 - à remplir'!$G$31:$G$400,"lots")))))))</f>
        <v>#N/A</v>
      </c>
      <c r="BX166">
        <f t="shared" si="183"/>
        <v>0</v>
      </c>
      <c r="BY166" t="str">
        <f t="shared" si="167"/>
        <v>Néomycine</v>
      </c>
      <c r="BZ166" t="str">
        <f t="shared" si="168"/>
        <v/>
      </c>
      <c r="CA166" t="str">
        <f t="shared" si="169"/>
        <v/>
      </c>
      <c r="CB166" t="str">
        <f t="shared" si="170"/>
        <v>Aminoglycosides</v>
      </c>
      <c r="CC166" t="str">
        <f t="shared" si="171"/>
        <v/>
      </c>
      <c r="CD166" s="63" t="str">
        <f t="shared" si="172"/>
        <v/>
      </c>
      <c r="CG166" s="42">
        <v>163</v>
      </c>
      <c r="CH166" s="42" t="e">
        <f t="shared" si="188"/>
        <v>#N/A</v>
      </c>
      <c r="CI166" s="63" t="e">
        <f t="shared" si="189"/>
        <v>#N/A</v>
      </c>
      <c r="DM166" s="63"/>
      <c r="EA166" s="194" t="str">
        <f t="shared" ca="1" si="173"/>
        <v/>
      </c>
      <c r="EB166" s="226" t="str">
        <f>IFERROR(IF(ED166=0,"",COUNTIF(ED$4:ED$600,"&gt;"&amp;ED166)+COUNTIF(ED$4:ED166,ED166)),"")</f>
        <v/>
      </c>
      <c r="EC166" t="str">
        <f t="shared" si="174"/>
        <v>CONCENTRAT VO 59-1 NEOMYCINE 80 PORC</v>
      </c>
      <c r="ED166" t="e">
        <f>IF(IF(EL$2="Catégorie",IF(EL$3="Toutes",SUMIFS('Étape 1 - à remplir'!$F$31:$F$400,'Étape 1 - à remplir'!$E$31:$E$400,MASQ2!EC166,'Étape 1 - à remplir'!$G$31:$G$400,"kg"),SUMIFS('Étape 1 - à remplir'!$F$31:$F$400,'Étape 1 - à remplir'!$E$31:$E$400,MASQ2!EC166,'Étape 1 - à remplir'!$C$31:$C$400,EL$3)),IF(EL$2="Âge",IF(EL$3="Tous",SUMIFS('Étape 1 - à remplir'!$F$31:$F$400,'Étape 1 - à remplir'!$E$31:$E$400,MASQ2!EC166,'Étape 1 - à remplir'!$G$31:$G$400,"kg"),SUMIFS('Étape 1 - à remplir'!$F$31:$F$400,'Étape 1 - à remplir'!$E$31:$E$400,MASQ2!EC166,'Étape 1 - à remplir'!$P$31:$P$400,EL$3,'Étape 1 - à remplir'!$G$31:$G$400,"kg")),IF(EL$2="Atelier",IF(EL$3="Tous",SUMIFS('Étape 1 - à remplir'!$F$31:$F$400,'Étape 1 - à remplir'!$E$31:$E$400,MASQ2!EC166,'Étape 1 - à remplir'!$G$31:$G$400,"kg"),SUMIFS('Étape 1 - à remplir'!$F$31:$F$400,'Étape 1 - à remplir'!$E$31:$E$400,MASQ2!EC166,'Étape 1 - à remplir'!$O$31:$O$400,EL$3,'Étape 1 - à remplir'!$G$31:$G$400,"kg")),IF(EL$2="Espèce",IF(EL$3="Toutes",SUMIFS('Étape 1 - à remplir'!$F$31:$F$400,'Étape 1 - à remplir'!$E$31:$E$400,MASQ2!EC166,'Étape 1 - à remplir'!$G$31:$G$400,"kg"),SUMIFS('Étape 1 - à remplir'!$F$31:$F$400,'Étape 1 - à remplir'!$E$31:$E$400,MASQ2!EC166,'Étape 1 - à remplir'!$N$31:$N$400,EL$3,'Étape 1 - à remplir'!$G$31:$G$400,"kg"))))))=0,NA(),IF(EL$2="Catégorie",IF(EL$3="Toutes",SUMIFS('Étape 1 - à remplir'!$F$31:$F$400,'Étape 1 - à remplir'!$E$31:$E$400,MASQ2!EC166,'Étape 1 - à remplir'!$G$31:$G$400,"kg"),SUMIFS('Étape 1 - à remplir'!$F$31:$F$400,'Étape 1 - à remplir'!$E$31:$E$400,MASQ2!EC166,'Étape 1 - à remplir'!$C$31:$C$400,EL$3)),IF(EL$2="Âge",IF(EL$3="Tous",SUMIFS('Étape 1 - à remplir'!$F$31:$F$400,'Étape 1 - à remplir'!$E$31:$E$400,MASQ2!EC166,'Étape 1 - à remplir'!$G$31:$G$400,"kg"),SUMIFS('Étape 1 - à remplir'!$F$31:$F$400,'Étape 1 - à remplir'!$E$31:$E$400,MASQ2!EC166,'Étape 1 - à remplir'!$P$31:$P$400,EL$3,'Étape 1 - à remplir'!$G$31:$G$400,"kg")),IF(EL$2="Atelier",IF(EL$3="Tous",SUMIFS('Étape 1 - à remplir'!$F$31:$F$400,'Étape 1 - à remplir'!$E$31:$E$400,MASQ2!EC166,'Étape 1 - à remplir'!$G$31:$G$400,"kg"),SUMIFS('Étape 1 - à remplir'!$F$31:$F$400,'Étape 1 - à remplir'!$E$31:$E$400,MASQ2!EC166,'Étape 1 - à remplir'!$O$31:$O$400,EL$3,'Étape 1 - à remplir'!$G$31:$G$400,"kg")),IF(EL$2="Espèce",IF(EL$3="Toutes",SUMIFS('Étape 1 - à remplir'!$F$31:$F$400,'Étape 1 - à remplir'!$E$31:$E$400,MASQ2!EC166,'Étape 1 - à remplir'!$G$31:$G$400,"kg"),SUMIFS('Étape 1 - à remplir'!$F$31:$F$400,'Étape 1 - à remplir'!$E$31:$E$400,MASQ2!EC166,'Étape 1 - à remplir'!$N$31:$N$400,EL$3,'Étape 1 - à remplir'!$G$31:$G$400,"kg")))))))</f>
        <v>#N/A</v>
      </c>
      <c r="EE166" s="76">
        <f t="shared" si="184"/>
        <v>0</v>
      </c>
      <c r="EF166" t="str">
        <f t="shared" si="175"/>
        <v>Néomycine</v>
      </c>
      <c r="EG166" t="str">
        <f t="shared" si="176"/>
        <v/>
      </c>
      <c r="EH166" t="str">
        <f t="shared" si="177"/>
        <v/>
      </c>
      <c r="EI166" t="str">
        <f t="shared" si="178"/>
        <v>Aminoglycosides</v>
      </c>
      <c r="EJ166" t="str">
        <f t="shared" si="179"/>
        <v/>
      </c>
      <c r="EK166" s="63" t="str">
        <f t="shared" si="180"/>
        <v/>
      </c>
      <c r="EN166" s="42">
        <v>163</v>
      </c>
      <c r="EO166" t="e">
        <f t="shared" si="186"/>
        <v>#N/A</v>
      </c>
      <c r="EP166" s="63" t="e">
        <f t="shared" si="187"/>
        <v>#N/A</v>
      </c>
      <c r="FT166" s="63"/>
    </row>
    <row r="167" spans="2:176" x14ac:dyDescent="0.3">
      <c r="B167" s="42"/>
      <c r="M167" s="194" t="str">
        <f ca="1">INDEX(Données_ATB!BD:BU,MATCH(MASQ2!O167,Données_ATB!BD:BD,0),18)</f>
        <v/>
      </c>
      <c r="N167" s="14" t="str">
        <f>IFERROR(IF(Q167=0,"",COUNTIF(Q$4:Q$600,"&gt;"&amp;Q167)+COUNTIF(Q$4:Q167,Q167)),"")</f>
        <v/>
      </c>
      <c r="O167" t="str">
        <f>Données_ATB!BD166</f>
        <v>CONCENTRAT VO 59-2 NEOMYCINE 40 LAPIN-VOLAILLE-PORC</v>
      </c>
      <c r="P167" t="e">
        <f>IF(IF(X$2="Catégorie",IF(X$3="Toutes",SUMIFS('Étape 1 - à remplir'!$F$31:$F$400,'Étape 1 - à remplir'!$E$31:$E$400,MASQ2!O167,'Étape 1 - à remplir'!$G$31:$G$400,"animaux"),SUMIFS('Étape 1 - à remplir'!$F$31:$F$400,'Étape 1 - à remplir'!$E$31:$E$400,MASQ2!O167,'Étape 1 - à remplir'!$C$31:$C$400,X$3)),IF(X$2="Âge",IF(X$3="Tous",SUMIFS('Étape 1 - à remplir'!$F$31:$F$400,'Étape 1 - à remplir'!$E$31:$E$400,MASQ2!O167,'Étape 1 - à remplir'!$G$31:$G$400,"animaux"),SUMIFS('Étape 1 - à remplir'!$F$31:$F$400,'Étape 1 - à remplir'!$E$31:$E$400,MASQ2!O167,'Étape 1 - à remplir'!$P$31:$P$400,X$3)),IF(X$2="Atelier",IF(X$3="Tous",SUMIFS('Étape 1 - à remplir'!$F$31:$F$400,'Étape 1 - à remplir'!$E$31:$E$400,MASQ2!O167,'Étape 1 - à remplir'!$G$31:$G$400,"animaux"),SUMIFS('Étape 1 - à remplir'!$F$31:$F$400,'Étape 1 - à remplir'!$E$31:$E$400,MASQ2!O167,'Étape 1 - à remplir'!$O$31:$O$400,X$3)),IF(X$2="Espèce",IF(X$3="Toutes",SUMIFS('Étape 1 - à remplir'!$F$31:$F$400,'Étape 1 - à remplir'!$E$31:$E$400,MASQ2!O167,'Étape 1 - à remplir'!$G$31:$G$400,"animaux"),SUMIFS('Étape 1 - à remplir'!$F$31:$F$400,'Étape 1 - à remplir'!$E$31:$E$400,MASQ2!O167,'Étape 1 - à remplir'!$N$31:$N$400,X$3))))))=0,NA(),IF(X$2="Catégorie",IF(X$3="Toutes",SUMIFS('Étape 1 - à remplir'!$F$31:$F$400,'Étape 1 - à remplir'!$E$31:$E$400,MASQ2!O167,'Étape 1 - à remplir'!$G$31:$G$400,"animaux"),SUMIFS('Étape 1 - à remplir'!$F$31:$F$400,'Étape 1 - à remplir'!$E$31:$E$400,MASQ2!O167,'Étape 1 - à remplir'!$C$31:$C$400,X$3)),IF(X$2="Âge",IF(X$3="Tous",SUMIFS('Étape 1 - à remplir'!$F$31:$F$400,'Étape 1 - à remplir'!$E$31:$E$400,MASQ2!O167,'Étape 1 - à remplir'!$G$31:$G$400,"animaux"),SUMIFS('Étape 1 - à remplir'!$F$31:$F$400,'Étape 1 - à remplir'!$E$31:$E$400,MASQ2!O167,'Étape 1 - à remplir'!$P$31:$P$400,X$3)),IF(X$2="Atelier",IF(X$3="Tous",SUMIFS('Étape 1 - à remplir'!$F$31:$F$400,'Étape 1 - à remplir'!$E$31:$E$400,MASQ2!O167,'Étape 1 - à remplir'!$G$31:$G$400,"animaux"),SUMIFS('Étape 1 - à remplir'!$F$31:$F$400,'Étape 1 - à remplir'!$E$31:$E$400,MASQ2!O167,'Étape 1 - à remplir'!$O$31:$O$400,X$3)),IF(X$2="Espèce",IF(X$3="Toutes",SUMIFS('Étape 1 - à remplir'!$F$31:$F$400,'Étape 1 - à remplir'!$E$31:$E$400,MASQ2!O167,'Étape 1 - à remplir'!$G$31:$G$400,"animaux"),SUMIFS('Étape 1 - à remplir'!$F$31:$F$400,'Étape 1 - à remplir'!$E$31:$E$400,MASQ2!O167,'Étape 1 - à remplir'!$N$31:$N$400,X$3)))))))</f>
        <v>#N/A</v>
      </c>
      <c r="Q167" s="63">
        <f t="shared" si="185"/>
        <v>0</v>
      </c>
      <c r="R167" t="str">
        <f>Données_ATB!BM166</f>
        <v>Néomycine</v>
      </c>
      <c r="S167" t="str">
        <f>Données_ATB!BN166</f>
        <v/>
      </c>
      <c r="T167" s="63" t="str">
        <f>Données_ATB!BO166</f>
        <v/>
      </c>
      <c r="U167" s="42" t="str">
        <f>Données_ATB!BQ166</f>
        <v>Aminoglycosides</v>
      </c>
      <c r="V167" t="str">
        <f>Données_ATB!BR166</f>
        <v/>
      </c>
      <c r="W167" s="63" t="str">
        <f>Données_ATB!BS166</f>
        <v/>
      </c>
      <c r="Z167" s="42">
        <v>164</v>
      </c>
      <c r="AA167" t="e">
        <f t="shared" si="181"/>
        <v>#N/A</v>
      </c>
      <c r="AB167" s="63" t="e">
        <f t="shared" si="182"/>
        <v>#N/A</v>
      </c>
      <c r="BF167" s="63"/>
      <c r="BT167" s="194" t="str">
        <f t="shared" ca="1" si="165"/>
        <v/>
      </c>
      <c r="BU167" s="219" t="str">
        <f>IFERROR(IF(BX167=0,"",COUNTIF(BX$4:BX$600,"&gt;"&amp;BX167)+COUNTIF(BX$4:BX167,BX167)),"")</f>
        <v/>
      </c>
      <c r="BV167" s="42" t="str">
        <f t="shared" si="166"/>
        <v>CONCENTRAT VO 59-2 NEOMYCINE 40 LAPIN-VOLAILLE-PORC</v>
      </c>
      <c r="BW167" t="e">
        <f>IF(IF(CE$2="Catégorie",IF(CE$3="Toutes",SUMIFS('Étape 1 - à remplir'!$F$31:$F$400,'Étape 1 - à remplir'!$E$31:$E$400,MASQ2!BV167,'Étape 1 - à remplir'!$G$31:$G$400,"lots"),SUMIFS('Étape 1 - à remplir'!$F$31:$F$400,'Étape 1 - à remplir'!$E$31:$E$400,MASQ2!BV167,'Étape 1 - à remplir'!$C$31:$C$400,CE$3)),IF(CE$2="Âge",IF(CE$3="Tous",SUMIFS('Étape 1 - à remplir'!$F$31:$F$400,'Étape 1 - à remplir'!$E$31:$E$400,MASQ2!BV167,'Étape 1 - à remplir'!$G$31:$G$400,"lots"),SUMIFS('Étape 1 - à remplir'!$F$31:$F$400,'Étape 1 - à remplir'!$E$31:$E$400,MASQ2!BV167,'Étape 1 - à remplir'!$P$31:$P$400,CE$3,'Étape 1 - à remplir'!$G$31:$G$400,"lots")),IF(CE$2="Atelier",IF(CE$3="Tous",SUMIFS('Étape 1 - à remplir'!$F$31:$F$400,'Étape 1 - à remplir'!$E$31:$E$400,MASQ2!BV167,'Étape 1 - à remplir'!$G$31:$G$400,"lots"),SUMIFS('Étape 1 - à remplir'!$F$31:$F$400,'Étape 1 - à remplir'!$E$31:$E$400,MASQ2!BV167,'Étape 1 - à remplir'!$O$31:$O$400,CE$3,'Étape 1 - à remplir'!$G$31:$G$400,"lots")),IF(CE$2="Espèce",IF(CE$3="Toutes",SUMIFS('Étape 1 - à remplir'!$F$31:$F$400,'Étape 1 - à remplir'!$E$31:$E$400,MASQ2!BV167,'Étape 1 - à remplir'!$G$31:$G$400,"lots"),SUMIFS('Étape 1 - à remplir'!$F$31:$F$400,'Étape 1 - à remplir'!$E$31:$E$400,MASQ2!BV167,'Étape 1 - à remplir'!$N$31:$N$400,CE$3,'Étape 1 - à remplir'!$G$31:$G$400,"lots"))))))=0,NA(),IF(CE$2="Catégorie",IF(CE$3="Toutes",SUMIFS('Étape 1 - à remplir'!$F$31:$F$400,'Étape 1 - à remplir'!$E$31:$E$400,MASQ2!BV167,'Étape 1 - à remplir'!$G$31:$G$400,"lots"),SUMIFS('Étape 1 - à remplir'!$F$31:$F$400,'Étape 1 - à remplir'!$E$31:$E$400,MASQ2!BV167,'Étape 1 - à remplir'!$C$31:$C$400,CE$3)),IF(CE$2="Âge",IF(CE$3="Tous",SUMIFS('Étape 1 - à remplir'!$F$31:$F$400,'Étape 1 - à remplir'!$E$31:$E$400,MASQ2!BV167,'Étape 1 - à remplir'!$G$31:$G$400,"lots"),SUMIFS('Étape 1 - à remplir'!$F$31:$F$400,'Étape 1 - à remplir'!$E$31:$E$400,MASQ2!BV167,'Étape 1 - à remplir'!$P$31:$P$400,CE$3,'Étape 1 - à remplir'!$G$31:$G$400,"lots")),IF(CE$2="Atelier",IF(CE$3="Tous",SUMIFS('Étape 1 - à remplir'!$F$31:$F$400,'Étape 1 - à remplir'!$E$31:$E$400,MASQ2!BV167,'Étape 1 - à remplir'!$G$31:$G$400,"lots"),SUMIFS('Étape 1 - à remplir'!$F$31:$F$400,'Étape 1 - à remplir'!$E$31:$E$400,MASQ2!BV167,'Étape 1 - à remplir'!$O$31:$O$400,CE$3,'Étape 1 - à remplir'!$G$31:$G$400,"lots")),IF(CE$2="Espèce",IF(CE$3="Toutes",SUMIFS('Étape 1 - à remplir'!$F$31:$F$400,'Étape 1 - à remplir'!$E$31:$E$400,MASQ2!BV167,'Étape 1 - à remplir'!$G$31:$G$400,"lots"),SUMIFS('Étape 1 - à remplir'!$F$31:$F$400,'Étape 1 - à remplir'!$E$31:$E$400,MASQ2!BV167,'Étape 1 - à remplir'!$N$31:$N$400,CE$3,'Étape 1 - à remplir'!$G$31:$G$400,"lots")))))))</f>
        <v>#N/A</v>
      </c>
      <c r="BX167">
        <f t="shared" si="183"/>
        <v>0</v>
      </c>
      <c r="BY167" t="str">
        <f t="shared" si="167"/>
        <v>Néomycine</v>
      </c>
      <c r="BZ167" t="str">
        <f t="shared" si="168"/>
        <v/>
      </c>
      <c r="CA167" t="str">
        <f t="shared" si="169"/>
        <v/>
      </c>
      <c r="CB167" t="str">
        <f t="shared" si="170"/>
        <v>Aminoglycosides</v>
      </c>
      <c r="CC167" t="str">
        <f t="shared" si="171"/>
        <v/>
      </c>
      <c r="CD167" s="63" t="str">
        <f t="shared" si="172"/>
        <v/>
      </c>
      <c r="CG167" s="42">
        <v>164</v>
      </c>
      <c r="CH167" s="42" t="e">
        <f t="shared" si="188"/>
        <v>#N/A</v>
      </c>
      <c r="CI167" s="63" t="e">
        <f t="shared" si="189"/>
        <v>#N/A</v>
      </c>
      <c r="DM167" s="63"/>
      <c r="EA167" s="194" t="str">
        <f t="shared" ca="1" si="173"/>
        <v/>
      </c>
      <c r="EB167" s="226" t="str">
        <f>IFERROR(IF(ED167=0,"",COUNTIF(ED$4:ED$600,"&gt;"&amp;ED167)+COUNTIF(ED$4:ED167,ED167)),"")</f>
        <v/>
      </c>
      <c r="EC167" t="str">
        <f t="shared" si="174"/>
        <v>CONCENTRAT VO 59-2 NEOMYCINE 40 LAPIN-VOLAILLE-PORC</v>
      </c>
      <c r="ED167" t="e">
        <f>IF(IF(EL$2="Catégorie",IF(EL$3="Toutes",SUMIFS('Étape 1 - à remplir'!$F$31:$F$400,'Étape 1 - à remplir'!$E$31:$E$400,MASQ2!EC167,'Étape 1 - à remplir'!$G$31:$G$400,"kg"),SUMIFS('Étape 1 - à remplir'!$F$31:$F$400,'Étape 1 - à remplir'!$E$31:$E$400,MASQ2!EC167,'Étape 1 - à remplir'!$C$31:$C$400,EL$3)),IF(EL$2="Âge",IF(EL$3="Tous",SUMIFS('Étape 1 - à remplir'!$F$31:$F$400,'Étape 1 - à remplir'!$E$31:$E$400,MASQ2!EC167,'Étape 1 - à remplir'!$G$31:$G$400,"kg"),SUMIFS('Étape 1 - à remplir'!$F$31:$F$400,'Étape 1 - à remplir'!$E$31:$E$400,MASQ2!EC167,'Étape 1 - à remplir'!$P$31:$P$400,EL$3,'Étape 1 - à remplir'!$G$31:$G$400,"kg")),IF(EL$2="Atelier",IF(EL$3="Tous",SUMIFS('Étape 1 - à remplir'!$F$31:$F$400,'Étape 1 - à remplir'!$E$31:$E$400,MASQ2!EC167,'Étape 1 - à remplir'!$G$31:$G$400,"kg"),SUMIFS('Étape 1 - à remplir'!$F$31:$F$400,'Étape 1 - à remplir'!$E$31:$E$400,MASQ2!EC167,'Étape 1 - à remplir'!$O$31:$O$400,EL$3,'Étape 1 - à remplir'!$G$31:$G$400,"kg")),IF(EL$2="Espèce",IF(EL$3="Toutes",SUMIFS('Étape 1 - à remplir'!$F$31:$F$400,'Étape 1 - à remplir'!$E$31:$E$400,MASQ2!EC167,'Étape 1 - à remplir'!$G$31:$G$400,"kg"),SUMIFS('Étape 1 - à remplir'!$F$31:$F$400,'Étape 1 - à remplir'!$E$31:$E$400,MASQ2!EC167,'Étape 1 - à remplir'!$N$31:$N$400,EL$3,'Étape 1 - à remplir'!$G$31:$G$400,"kg"))))))=0,NA(),IF(EL$2="Catégorie",IF(EL$3="Toutes",SUMIFS('Étape 1 - à remplir'!$F$31:$F$400,'Étape 1 - à remplir'!$E$31:$E$400,MASQ2!EC167,'Étape 1 - à remplir'!$G$31:$G$400,"kg"),SUMIFS('Étape 1 - à remplir'!$F$31:$F$400,'Étape 1 - à remplir'!$E$31:$E$400,MASQ2!EC167,'Étape 1 - à remplir'!$C$31:$C$400,EL$3)),IF(EL$2="Âge",IF(EL$3="Tous",SUMIFS('Étape 1 - à remplir'!$F$31:$F$400,'Étape 1 - à remplir'!$E$31:$E$400,MASQ2!EC167,'Étape 1 - à remplir'!$G$31:$G$400,"kg"),SUMIFS('Étape 1 - à remplir'!$F$31:$F$400,'Étape 1 - à remplir'!$E$31:$E$400,MASQ2!EC167,'Étape 1 - à remplir'!$P$31:$P$400,EL$3,'Étape 1 - à remplir'!$G$31:$G$400,"kg")),IF(EL$2="Atelier",IF(EL$3="Tous",SUMIFS('Étape 1 - à remplir'!$F$31:$F$400,'Étape 1 - à remplir'!$E$31:$E$400,MASQ2!EC167,'Étape 1 - à remplir'!$G$31:$G$400,"kg"),SUMIFS('Étape 1 - à remplir'!$F$31:$F$400,'Étape 1 - à remplir'!$E$31:$E$400,MASQ2!EC167,'Étape 1 - à remplir'!$O$31:$O$400,EL$3,'Étape 1 - à remplir'!$G$31:$G$400,"kg")),IF(EL$2="Espèce",IF(EL$3="Toutes",SUMIFS('Étape 1 - à remplir'!$F$31:$F$400,'Étape 1 - à remplir'!$E$31:$E$400,MASQ2!EC167,'Étape 1 - à remplir'!$G$31:$G$400,"kg"),SUMIFS('Étape 1 - à remplir'!$F$31:$F$400,'Étape 1 - à remplir'!$E$31:$E$400,MASQ2!EC167,'Étape 1 - à remplir'!$N$31:$N$400,EL$3,'Étape 1 - à remplir'!$G$31:$G$400,"kg")))))))</f>
        <v>#N/A</v>
      </c>
      <c r="EE167" s="76">
        <f t="shared" si="184"/>
        <v>0</v>
      </c>
      <c r="EF167" t="str">
        <f t="shared" si="175"/>
        <v>Néomycine</v>
      </c>
      <c r="EG167" t="str">
        <f t="shared" si="176"/>
        <v/>
      </c>
      <c r="EH167" t="str">
        <f t="shared" si="177"/>
        <v/>
      </c>
      <c r="EI167" t="str">
        <f t="shared" si="178"/>
        <v>Aminoglycosides</v>
      </c>
      <c r="EJ167" t="str">
        <f t="shared" si="179"/>
        <v/>
      </c>
      <c r="EK167" s="63" t="str">
        <f t="shared" si="180"/>
        <v/>
      </c>
      <c r="EN167" s="42">
        <v>164</v>
      </c>
      <c r="EO167" t="e">
        <f t="shared" si="186"/>
        <v>#N/A</v>
      </c>
      <c r="EP167" s="63" t="e">
        <f t="shared" si="187"/>
        <v>#N/A</v>
      </c>
      <c r="FT167" s="63"/>
    </row>
    <row r="168" spans="2:176" x14ac:dyDescent="0.3">
      <c r="B168" s="42"/>
      <c r="M168" s="194" t="str">
        <f ca="1">INDEX(Données_ATB!BD:BU,MATCH(MASQ2!O168,Données_ATB!BD:BD,0),18)</f>
        <v/>
      </c>
      <c r="N168" s="14" t="str">
        <f>IFERROR(IF(Q168=0,"",COUNTIF(Q$4:Q$600,"&gt;"&amp;Q168)+COUNTIF(Q$4:Q168,Q168)),"")</f>
        <v/>
      </c>
      <c r="O168" t="str">
        <f>Données_ATB!BD167</f>
        <v>CORTEXILINE</v>
      </c>
      <c r="P168" t="e">
        <f>IF(IF(X$2="Catégorie",IF(X$3="Toutes",SUMIFS('Étape 1 - à remplir'!$F$31:$F$400,'Étape 1 - à remplir'!$E$31:$E$400,MASQ2!O168,'Étape 1 - à remplir'!$G$31:$G$400,"animaux"),SUMIFS('Étape 1 - à remplir'!$F$31:$F$400,'Étape 1 - à remplir'!$E$31:$E$400,MASQ2!O168,'Étape 1 - à remplir'!$C$31:$C$400,X$3)),IF(X$2="Âge",IF(X$3="Tous",SUMIFS('Étape 1 - à remplir'!$F$31:$F$400,'Étape 1 - à remplir'!$E$31:$E$400,MASQ2!O168,'Étape 1 - à remplir'!$G$31:$G$400,"animaux"),SUMIFS('Étape 1 - à remplir'!$F$31:$F$400,'Étape 1 - à remplir'!$E$31:$E$400,MASQ2!O168,'Étape 1 - à remplir'!$P$31:$P$400,X$3)),IF(X$2="Atelier",IF(X$3="Tous",SUMIFS('Étape 1 - à remplir'!$F$31:$F$400,'Étape 1 - à remplir'!$E$31:$E$400,MASQ2!O168,'Étape 1 - à remplir'!$G$31:$G$400,"animaux"),SUMIFS('Étape 1 - à remplir'!$F$31:$F$400,'Étape 1 - à remplir'!$E$31:$E$400,MASQ2!O168,'Étape 1 - à remplir'!$O$31:$O$400,X$3)),IF(X$2="Espèce",IF(X$3="Toutes",SUMIFS('Étape 1 - à remplir'!$F$31:$F$400,'Étape 1 - à remplir'!$E$31:$E$400,MASQ2!O168,'Étape 1 - à remplir'!$G$31:$G$400,"animaux"),SUMIFS('Étape 1 - à remplir'!$F$31:$F$400,'Étape 1 - à remplir'!$E$31:$E$400,MASQ2!O168,'Étape 1 - à remplir'!$N$31:$N$400,X$3))))))=0,NA(),IF(X$2="Catégorie",IF(X$3="Toutes",SUMIFS('Étape 1 - à remplir'!$F$31:$F$400,'Étape 1 - à remplir'!$E$31:$E$400,MASQ2!O168,'Étape 1 - à remplir'!$G$31:$G$400,"animaux"),SUMIFS('Étape 1 - à remplir'!$F$31:$F$400,'Étape 1 - à remplir'!$E$31:$E$400,MASQ2!O168,'Étape 1 - à remplir'!$C$31:$C$400,X$3)),IF(X$2="Âge",IF(X$3="Tous",SUMIFS('Étape 1 - à remplir'!$F$31:$F$400,'Étape 1 - à remplir'!$E$31:$E$400,MASQ2!O168,'Étape 1 - à remplir'!$G$31:$G$400,"animaux"),SUMIFS('Étape 1 - à remplir'!$F$31:$F$400,'Étape 1 - à remplir'!$E$31:$E$400,MASQ2!O168,'Étape 1 - à remplir'!$P$31:$P$400,X$3)),IF(X$2="Atelier",IF(X$3="Tous",SUMIFS('Étape 1 - à remplir'!$F$31:$F$400,'Étape 1 - à remplir'!$E$31:$E$400,MASQ2!O168,'Étape 1 - à remplir'!$G$31:$G$400,"animaux"),SUMIFS('Étape 1 - à remplir'!$F$31:$F$400,'Étape 1 - à remplir'!$E$31:$E$400,MASQ2!O168,'Étape 1 - à remplir'!$O$31:$O$400,X$3)),IF(X$2="Espèce",IF(X$3="Toutes",SUMIFS('Étape 1 - à remplir'!$F$31:$F$400,'Étape 1 - à remplir'!$E$31:$E$400,MASQ2!O168,'Étape 1 - à remplir'!$G$31:$G$400,"animaux"),SUMIFS('Étape 1 - à remplir'!$F$31:$F$400,'Étape 1 - à remplir'!$E$31:$E$400,MASQ2!O168,'Étape 1 - à remplir'!$N$31:$N$400,X$3)))))))</f>
        <v>#N/A</v>
      </c>
      <c r="Q168" s="63">
        <f t="shared" si="185"/>
        <v>0</v>
      </c>
      <c r="R168" t="str">
        <f>Données_ATB!BM167</f>
        <v>Néomycine</v>
      </c>
      <c r="S168" t="str">
        <f>Données_ATB!BN167</f>
        <v>Benzylpénicilline</v>
      </c>
      <c r="T168" s="63" t="str">
        <f>Données_ATB!BO167</f>
        <v/>
      </c>
      <c r="U168" s="42" t="str">
        <f>Données_ATB!BQ167</f>
        <v>Aminoglycosides</v>
      </c>
      <c r="V168" t="str">
        <f>Données_ATB!BR167</f>
        <v>Penicillines</v>
      </c>
      <c r="W168" s="63" t="str">
        <f>Données_ATB!BS167</f>
        <v/>
      </c>
      <c r="Z168" s="42">
        <v>165</v>
      </c>
      <c r="AA168" t="e">
        <f t="shared" si="181"/>
        <v>#N/A</v>
      </c>
      <c r="AB168" s="63" t="e">
        <f t="shared" si="182"/>
        <v>#N/A</v>
      </c>
      <c r="BF168" s="63"/>
      <c r="BT168" s="194" t="str">
        <f t="shared" ca="1" si="165"/>
        <v/>
      </c>
      <c r="BU168" s="219" t="str">
        <f>IFERROR(IF(BX168=0,"",COUNTIF(BX$4:BX$600,"&gt;"&amp;BX168)+COUNTIF(BX$4:BX168,BX168)),"")</f>
        <v/>
      </c>
      <c r="BV168" s="42" t="str">
        <f t="shared" si="166"/>
        <v>CORTEXILINE</v>
      </c>
      <c r="BW168" t="e">
        <f>IF(IF(CE$2="Catégorie",IF(CE$3="Toutes",SUMIFS('Étape 1 - à remplir'!$F$31:$F$400,'Étape 1 - à remplir'!$E$31:$E$400,MASQ2!BV168,'Étape 1 - à remplir'!$G$31:$G$400,"lots"),SUMIFS('Étape 1 - à remplir'!$F$31:$F$400,'Étape 1 - à remplir'!$E$31:$E$400,MASQ2!BV168,'Étape 1 - à remplir'!$C$31:$C$400,CE$3)),IF(CE$2="Âge",IF(CE$3="Tous",SUMIFS('Étape 1 - à remplir'!$F$31:$F$400,'Étape 1 - à remplir'!$E$31:$E$400,MASQ2!BV168,'Étape 1 - à remplir'!$G$31:$G$400,"lots"),SUMIFS('Étape 1 - à remplir'!$F$31:$F$400,'Étape 1 - à remplir'!$E$31:$E$400,MASQ2!BV168,'Étape 1 - à remplir'!$P$31:$P$400,CE$3,'Étape 1 - à remplir'!$G$31:$G$400,"lots")),IF(CE$2="Atelier",IF(CE$3="Tous",SUMIFS('Étape 1 - à remplir'!$F$31:$F$400,'Étape 1 - à remplir'!$E$31:$E$400,MASQ2!BV168,'Étape 1 - à remplir'!$G$31:$G$400,"lots"),SUMIFS('Étape 1 - à remplir'!$F$31:$F$400,'Étape 1 - à remplir'!$E$31:$E$400,MASQ2!BV168,'Étape 1 - à remplir'!$O$31:$O$400,CE$3,'Étape 1 - à remplir'!$G$31:$G$400,"lots")),IF(CE$2="Espèce",IF(CE$3="Toutes",SUMIFS('Étape 1 - à remplir'!$F$31:$F$400,'Étape 1 - à remplir'!$E$31:$E$400,MASQ2!BV168,'Étape 1 - à remplir'!$G$31:$G$400,"lots"),SUMIFS('Étape 1 - à remplir'!$F$31:$F$400,'Étape 1 - à remplir'!$E$31:$E$400,MASQ2!BV168,'Étape 1 - à remplir'!$N$31:$N$400,CE$3,'Étape 1 - à remplir'!$G$31:$G$400,"lots"))))))=0,NA(),IF(CE$2="Catégorie",IF(CE$3="Toutes",SUMIFS('Étape 1 - à remplir'!$F$31:$F$400,'Étape 1 - à remplir'!$E$31:$E$400,MASQ2!BV168,'Étape 1 - à remplir'!$G$31:$G$400,"lots"),SUMIFS('Étape 1 - à remplir'!$F$31:$F$400,'Étape 1 - à remplir'!$E$31:$E$400,MASQ2!BV168,'Étape 1 - à remplir'!$C$31:$C$400,CE$3)),IF(CE$2="Âge",IF(CE$3="Tous",SUMIFS('Étape 1 - à remplir'!$F$31:$F$400,'Étape 1 - à remplir'!$E$31:$E$400,MASQ2!BV168,'Étape 1 - à remplir'!$G$31:$G$400,"lots"),SUMIFS('Étape 1 - à remplir'!$F$31:$F$400,'Étape 1 - à remplir'!$E$31:$E$400,MASQ2!BV168,'Étape 1 - à remplir'!$P$31:$P$400,CE$3,'Étape 1 - à remplir'!$G$31:$G$400,"lots")),IF(CE$2="Atelier",IF(CE$3="Tous",SUMIFS('Étape 1 - à remplir'!$F$31:$F$400,'Étape 1 - à remplir'!$E$31:$E$400,MASQ2!BV168,'Étape 1 - à remplir'!$G$31:$G$400,"lots"),SUMIFS('Étape 1 - à remplir'!$F$31:$F$400,'Étape 1 - à remplir'!$E$31:$E$400,MASQ2!BV168,'Étape 1 - à remplir'!$O$31:$O$400,CE$3,'Étape 1 - à remplir'!$G$31:$G$400,"lots")),IF(CE$2="Espèce",IF(CE$3="Toutes",SUMIFS('Étape 1 - à remplir'!$F$31:$F$400,'Étape 1 - à remplir'!$E$31:$E$400,MASQ2!BV168,'Étape 1 - à remplir'!$G$31:$G$400,"lots"),SUMIFS('Étape 1 - à remplir'!$F$31:$F$400,'Étape 1 - à remplir'!$E$31:$E$400,MASQ2!BV168,'Étape 1 - à remplir'!$N$31:$N$400,CE$3,'Étape 1 - à remplir'!$G$31:$G$400,"lots")))))))</f>
        <v>#N/A</v>
      </c>
      <c r="BX168">
        <f t="shared" si="183"/>
        <v>0</v>
      </c>
      <c r="BY168" t="str">
        <f t="shared" si="167"/>
        <v>Néomycine</v>
      </c>
      <c r="BZ168" t="str">
        <f t="shared" si="168"/>
        <v>Benzylpénicilline</v>
      </c>
      <c r="CA168" t="str">
        <f t="shared" si="169"/>
        <v/>
      </c>
      <c r="CB168" t="str">
        <f t="shared" si="170"/>
        <v>Aminoglycosides</v>
      </c>
      <c r="CC168" t="str">
        <f t="shared" si="171"/>
        <v>Penicillines</v>
      </c>
      <c r="CD168" s="63" t="str">
        <f t="shared" si="172"/>
        <v/>
      </c>
      <c r="CG168" s="42">
        <v>165</v>
      </c>
      <c r="CH168" s="42" t="e">
        <f t="shared" si="188"/>
        <v>#N/A</v>
      </c>
      <c r="CI168" s="63" t="e">
        <f t="shared" si="189"/>
        <v>#N/A</v>
      </c>
      <c r="DM168" s="63"/>
      <c r="EA168" s="194" t="str">
        <f t="shared" ca="1" si="173"/>
        <v/>
      </c>
      <c r="EB168" s="226" t="str">
        <f>IFERROR(IF(ED168=0,"",COUNTIF(ED$4:ED$600,"&gt;"&amp;ED168)+COUNTIF(ED$4:ED168,ED168)),"")</f>
        <v/>
      </c>
      <c r="EC168" t="str">
        <f t="shared" si="174"/>
        <v>CORTEXILINE</v>
      </c>
      <c r="ED168" t="e">
        <f>IF(IF(EL$2="Catégorie",IF(EL$3="Toutes",SUMIFS('Étape 1 - à remplir'!$F$31:$F$400,'Étape 1 - à remplir'!$E$31:$E$400,MASQ2!EC168,'Étape 1 - à remplir'!$G$31:$G$400,"kg"),SUMIFS('Étape 1 - à remplir'!$F$31:$F$400,'Étape 1 - à remplir'!$E$31:$E$400,MASQ2!EC168,'Étape 1 - à remplir'!$C$31:$C$400,EL$3)),IF(EL$2="Âge",IF(EL$3="Tous",SUMIFS('Étape 1 - à remplir'!$F$31:$F$400,'Étape 1 - à remplir'!$E$31:$E$400,MASQ2!EC168,'Étape 1 - à remplir'!$G$31:$G$400,"kg"),SUMIFS('Étape 1 - à remplir'!$F$31:$F$400,'Étape 1 - à remplir'!$E$31:$E$400,MASQ2!EC168,'Étape 1 - à remplir'!$P$31:$P$400,EL$3,'Étape 1 - à remplir'!$G$31:$G$400,"kg")),IF(EL$2="Atelier",IF(EL$3="Tous",SUMIFS('Étape 1 - à remplir'!$F$31:$F$400,'Étape 1 - à remplir'!$E$31:$E$400,MASQ2!EC168,'Étape 1 - à remplir'!$G$31:$G$400,"kg"),SUMIFS('Étape 1 - à remplir'!$F$31:$F$400,'Étape 1 - à remplir'!$E$31:$E$400,MASQ2!EC168,'Étape 1 - à remplir'!$O$31:$O$400,EL$3,'Étape 1 - à remplir'!$G$31:$G$400,"kg")),IF(EL$2="Espèce",IF(EL$3="Toutes",SUMIFS('Étape 1 - à remplir'!$F$31:$F$400,'Étape 1 - à remplir'!$E$31:$E$400,MASQ2!EC168,'Étape 1 - à remplir'!$G$31:$G$400,"kg"),SUMIFS('Étape 1 - à remplir'!$F$31:$F$400,'Étape 1 - à remplir'!$E$31:$E$400,MASQ2!EC168,'Étape 1 - à remplir'!$N$31:$N$400,EL$3,'Étape 1 - à remplir'!$G$31:$G$400,"kg"))))))=0,NA(),IF(EL$2="Catégorie",IF(EL$3="Toutes",SUMIFS('Étape 1 - à remplir'!$F$31:$F$400,'Étape 1 - à remplir'!$E$31:$E$400,MASQ2!EC168,'Étape 1 - à remplir'!$G$31:$G$400,"kg"),SUMIFS('Étape 1 - à remplir'!$F$31:$F$400,'Étape 1 - à remplir'!$E$31:$E$400,MASQ2!EC168,'Étape 1 - à remplir'!$C$31:$C$400,EL$3)),IF(EL$2="Âge",IF(EL$3="Tous",SUMIFS('Étape 1 - à remplir'!$F$31:$F$400,'Étape 1 - à remplir'!$E$31:$E$400,MASQ2!EC168,'Étape 1 - à remplir'!$G$31:$G$400,"kg"),SUMIFS('Étape 1 - à remplir'!$F$31:$F$400,'Étape 1 - à remplir'!$E$31:$E$400,MASQ2!EC168,'Étape 1 - à remplir'!$P$31:$P$400,EL$3,'Étape 1 - à remplir'!$G$31:$G$400,"kg")),IF(EL$2="Atelier",IF(EL$3="Tous",SUMIFS('Étape 1 - à remplir'!$F$31:$F$400,'Étape 1 - à remplir'!$E$31:$E$400,MASQ2!EC168,'Étape 1 - à remplir'!$G$31:$G$400,"kg"),SUMIFS('Étape 1 - à remplir'!$F$31:$F$400,'Étape 1 - à remplir'!$E$31:$E$400,MASQ2!EC168,'Étape 1 - à remplir'!$O$31:$O$400,EL$3,'Étape 1 - à remplir'!$G$31:$G$400,"kg")),IF(EL$2="Espèce",IF(EL$3="Toutes",SUMIFS('Étape 1 - à remplir'!$F$31:$F$400,'Étape 1 - à remplir'!$E$31:$E$400,MASQ2!EC168,'Étape 1 - à remplir'!$G$31:$G$400,"kg"),SUMIFS('Étape 1 - à remplir'!$F$31:$F$400,'Étape 1 - à remplir'!$E$31:$E$400,MASQ2!EC168,'Étape 1 - à remplir'!$N$31:$N$400,EL$3,'Étape 1 - à remplir'!$G$31:$G$400,"kg")))))))</f>
        <v>#N/A</v>
      </c>
      <c r="EE168" s="76">
        <f t="shared" si="184"/>
        <v>0</v>
      </c>
      <c r="EF168" t="str">
        <f t="shared" si="175"/>
        <v>Néomycine</v>
      </c>
      <c r="EG168" t="str">
        <f t="shared" si="176"/>
        <v>Benzylpénicilline</v>
      </c>
      <c r="EH168" t="str">
        <f t="shared" si="177"/>
        <v/>
      </c>
      <c r="EI168" t="str">
        <f t="shared" si="178"/>
        <v>Aminoglycosides</v>
      </c>
      <c r="EJ168" t="str">
        <f t="shared" si="179"/>
        <v>Penicillines</v>
      </c>
      <c r="EK168" s="63" t="str">
        <f t="shared" si="180"/>
        <v/>
      </c>
      <c r="EN168" s="42">
        <v>165</v>
      </c>
      <c r="EO168" t="e">
        <f t="shared" si="186"/>
        <v>#N/A</v>
      </c>
      <c r="EP168" s="63" t="e">
        <f t="shared" si="187"/>
        <v>#N/A</v>
      </c>
      <c r="FT168" s="63"/>
    </row>
    <row r="169" spans="2:176" x14ac:dyDescent="0.3">
      <c r="B169" s="42"/>
      <c r="M169" s="194" t="str">
        <f ca="1">INDEX(Données_ATB!BD:BU,MATCH(MASQ2!O169,Données_ATB!BD:BD,0),18)</f>
        <v/>
      </c>
      <c r="N169" s="14" t="str">
        <f>IFERROR(IF(Q169=0,"",COUNTIF(Q$4:Q$600,"&gt;"&amp;Q169)+COUNTIF(Q$4:Q169,Q169)),"")</f>
        <v/>
      </c>
      <c r="O169" t="str">
        <f>Données_ATB!BD168</f>
        <v>CORYLAP</v>
      </c>
      <c r="P169" t="e">
        <f>IF(IF(X$2="Catégorie",IF(X$3="Toutes",SUMIFS('Étape 1 - à remplir'!$F$31:$F$400,'Étape 1 - à remplir'!$E$31:$E$400,MASQ2!O169,'Étape 1 - à remplir'!$G$31:$G$400,"animaux"),SUMIFS('Étape 1 - à remplir'!$F$31:$F$400,'Étape 1 - à remplir'!$E$31:$E$400,MASQ2!O169,'Étape 1 - à remplir'!$C$31:$C$400,X$3)),IF(X$2="Âge",IF(X$3="Tous",SUMIFS('Étape 1 - à remplir'!$F$31:$F$400,'Étape 1 - à remplir'!$E$31:$E$400,MASQ2!O169,'Étape 1 - à remplir'!$G$31:$G$400,"animaux"),SUMIFS('Étape 1 - à remplir'!$F$31:$F$400,'Étape 1 - à remplir'!$E$31:$E$400,MASQ2!O169,'Étape 1 - à remplir'!$P$31:$P$400,X$3)),IF(X$2="Atelier",IF(X$3="Tous",SUMIFS('Étape 1 - à remplir'!$F$31:$F$400,'Étape 1 - à remplir'!$E$31:$E$400,MASQ2!O169,'Étape 1 - à remplir'!$G$31:$G$400,"animaux"),SUMIFS('Étape 1 - à remplir'!$F$31:$F$400,'Étape 1 - à remplir'!$E$31:$E$400,MASQ2!O169,'Étape 1 - à remplir'!$O$31:$O$400,X$3)),IF(X$2="Espèce",IF(X$3="Toutes",SUMIFS('Étape 1 - à remplir'!$F$31:$F$400,'Étape 1 - à remplir'!$E$31:$E$400,MASQ2!O169,'Étape 1 - à remplir'!$G$31:$G$400,"animaux"),SUMIFS('Étape 1 - à remplir'!$F$31:$F$400,'Étape 1 - à remplir'!$E$31:$E$400,MASQ2!O169,'Étape 1 - à remplir'!$N$31:$N$400,X$3))))))=0,NA(),IF(X$2="Catégorie",IF(X$3="Toutes",SUMIFS('Étape 1 - à remplir'!$F$31:$F$400,'Étape 1 - à remplir'!$E$31:$E$400,MASQ2!O169,'Étape 1 - à remplir'!$G$31:$G$400,"animaux"),SUMIFS('Étape 1 - à remplir'!$F$31:$F$400,'Étape 1 - à remplir'!$E$31:$E$400,MASQ2!O169,'Étape 1 - à remplir'!$C$31:$C$400,X$3)),IF(X$2="Âge",IF(X$3="Tous",SUMIFS('Étape 1 - à remplir'!$F$31:$F$400,'Étape 1 - à remplir'!$E$31:$E$400,MASQ2!O169,'Étape 1 - à remplir'!$G$31:$G$400,"animaux"),SUMIFS('Étape 1 - à remplir'!$F$31:$F$400,'Étape 1 - à remplir'!$E$31:$E$400,MASQ2!O169,'Étape 1 - à remplir'!$P$31:$P$400,X$3)),IF(X$2="Atelier",IF(X$3="Tous",SUMIFS('Étape 1 - à remplir'!$F$31:$F$400,'Étape 1 - à remplir'!$E$31:$E$400,MASQ2!O169,'Étape 1 - à remplir'!$G$31:$G$400,"animaux"),SUMIFS('Étape 1 - à remplir'!$F$31:$F$400,'Étape 1 - à remplir'!$E$31:$E$400,MASQ2!O169,'Étape 1 - à remplir'!$O$31:$O$400,X$3)),IF(X$2="Espèce",IF(X$3="Toutes",SUMIFS('Étape 1 - à remplir'!$F$31:$F$400,'Étape 1 - à remplir'!$E$31:$E$400,MASQ2!O169,'Étape 1 - à remplir'!$G$31:$G$400,"animaux"),SUMIFS('Étape 1 - à remplir'!$F$31:$F$400,'Étape 1 - à remplir'!$E$31:$E$400,MASQ2!O169,'Étape 1 - à remplir'!$N$31:$N$400,X$3)))))))</f>
        <v>#N/A</v>
      </c>
      <c r="Q169" s="63">
        <f t="shared" si="185"/>
        <v>0</v>
      </c>
      <c r="R169" t="str">
        <f>Données_ATB!BM168</f>
        <v>Sulfadiméthoxine</v>
      </c>
      <c r="S169" t="str">
        <f>Données_ATB!BN168</f>
        <v>Triméthoprime</v>
      </c>
      <c r="T169" s="63" t="str">
        <f>Données_ATB!BO168</f>
        <v/>
      </c>
      <c r="U169" s="42" t="str">
        <f>Données_ATB!BQ168</f>
        <v>Sulfamides</v>
      </c>
      <c r="V169" t="str">
        <f>Données_ATB!BR168</f>
        <v>Trimethoprime</v>
      </c>
      <c r="W169" s="63" t="str">
        <f>Données_ATB!BS168</f>
        <v/>
      </c>
      <c r="Z169" s="42">
        <v>166</v>
      </c>
      <c r="AA169" t="e">
        <f t="shared" si="181"/>
        <v>#N/A</v>
      </c>
      <c r="AB169" s="63" t="e">
        <f t="shared" si="182"/>
        <v>#N/A</v>
      </c>
      <c r="BF169" s="63"/>
      <c r="BT169" s="194" t="str">
        <f t="shared" ca="1" si="165"/>
        <v/>
      </c>
      <c r="BU169" s="219" t="str">
        <f>IFERROR(IF(BX169=0,"",COUNTIF(BX$4:BX$600,"&gt;"&amp;BX169)+COUNTIF(BX$4:BX169,BX169)),"")</f>
        <v/>
      </c>
      <c r="BV169" s="42" t="str">
        <f t="shared" si="166"/>
        <v>CORYLAP</v>
      </c>
      <c r="BW169" t="e">
        <f>IF(IF(CE$2="Catégorie",IF(CE$3="Toutes",SUMIFS('Étape 1 - à remplir'!$F$31:$F$400,'Étape 1 - à remplir'!$E$31:$E$400,MASQ2!BV169,'Étape 1 - à remplir'!$G$31:$G$400,"lots"),SUMIFS('Étape 1 - à remplir'!$F$31:$F$400,'Étape 1 - à remplir'!$E$31:$E$400,MASQ2!BV169,'Étape 1 - à remplir'!$C$31:$C$400,CE$3)),IF(CE$2="Âge",IF(CE$3="Tous",SUMIFS('Étape 1 - à remplir'!$F$31:$F$400,'Étape 1 - à remplir'!$E$31:$E$400,MASQ2!BV169,'Étape 1 - à remplir'!$G$31:$G$400,"lots"),SUMIFS('Étape 1 - à remplir'!$F$31:$F$400,'Étape 1 - à remplir'!$E$31:$E$400,MASQ2!BV169,'Étape 1 - à remplir'!$P$31:$P$400,CE$3,'Étape 1 - à remplir'!$G$31:$G$400,"lots")),IF(CE$2="Atelier",IF(CE$3="Tous",SUMIFS('Étape 1 - à remplir'!$F$31:$F$400,'Étape 1 - à remplir'!$E$31:$E$400,MASQ2!BV169,'Étape 1 - à remplir'!$G$31:$G$400,"lots"),SUMIFS('Étape 1 - à remplir'!$F$31:$F$400,'Étape 1 - à remplir'!$E$31:$E$400,MASQ2!BV169,'Étape 1 - à remplir'!$O$31:$O$400,CE$3,'Étape 1 - à remplir'!$G$31:$G$400,"lots")),IF(CE$2="Espèce",IF(CE$3="Toutes",SUMIFS('Étape 1 - à remplir'!$F$31:$F$400,'Étape 1 - à remplir'!$E$31:$E$400,MASQ2!BV169,'Étape 1 - à remplir'!$G$31:$G$400,"lots"),SUMIFS('Étape 1 - à remplir'!$F$31:$F$400,'Étape 1 - à remplir'!$E$31:$E$400,MASQ2!BV169,'Étape 1 - à remplir'!$N$31:$N$400,CE$3,'Étape 1 - à remplir'!$G$31:$G$400,"lots"))))))=0,NA(),IF(CE$2="Catégorie",IF(CE$3="Toutes",SUMIFS('Étape 1 - à remplir'!$F$31:$F$400,'Étape 1 - à remplir'!$E$31:$E$400,MASQ2!BV169,'Étape 1 - à remplir'!$G$31:$G$400,"lots"),SUMIFS('Étape 1 - à remplir'!$F$31:$F$400,'Étape 1 - à remplir'!$E$31:$E$400,MASQ2!BV169,'Étape 1 - à remplir'!$C$31:$C$400,CE$3)),IF(CE$2="Âge",IF(CE$3="Tous",SUMIFS('Étape 1 - à remplir'!$F$31:$F$400,'Étape 1 - à remplir'!$E$31:$E$400,MASQ2!BV169,'Étape 1 - à remplir'!$G$31:$G$400,"lots"),SUMIFS('Étape 1 - à remplir'!$F$31:$F$400,'Étape 1 - à remplir'!$E$31:$E$400,MASQ2!BV169,'Étape 1 - à remplir'!$P$31:$P$400,CE$3,'Étape 1 - à remplir'!$G$31:$G$400,"lots")),IF(CE$2="Atelier",IF(CE$3="Tous",SUMIFS('Étape 1 - à remplir'!$F$31:$F$400,'Étape 1 - à remplir'!$E$31:$E$400,MASQ2!BV169,'Étape 1 - à remplir'!$G$31:$G$400,"lots"),SUMIFS('Étape 1 - à remplir'!$F$31:$F$400,'Étape 1 - à remplir'!$E$31:$E$400,MASQ2!BV169,'Étape 1 - à remplir'!$O$31:$O$400,CE$3,'Étape 1 - à remplir'!$G$31:$G$400,"lots")),IF(CE$2="Espèce",IF(CE$3="Toutes",SUMIFS('Étape 1 - à remplir'!$F$31:$F$400,'Étape 1 - à remplir'!$E$31:$E$400,MASQ2!BV169,'Étape 1 - à remplir'!$G$31:$G$400,"lots"),SUMIFS('Étape 1 - à remplir'!$F$31:$F$400,'Étape 1 - à remplir'!$E$31:$E$400,MASQ2!BV169,'Étape 1 - à remplir'!$N$31:$N$400,CE$3,'Étape 1 - à remplir'!$G$31:$G$400,"lots")))))))</f>
        <v>#N/A</v>
      </c>
      <c r="BX169">
        <f t="shared" si="183"/>
        <v>0</v>
      </c>
      <c r="BY169" t="str">
        <f t="shared" si="167"/>
        <v>Sulfadiméthoxine</v>
      </c>
      <c r="BZ169" t="str">
        <f t="shared" si="168"/>
        <v>Triméthoprime</v>
      </c>
      <c r="CA169" t="str">
        <f t="shared" si="169"/>
        <v/>
      </c>
      <c r="CB169" t="str">
        <f t="shared" si="170"/>
        <v>Sulfamides</v>
      </c>
      <c r="CC169" t="str">
        <f t="shared" si="171"/>
        <v>Trimethoprime</v>
      </c>
      <c r="CD169" s="63" t="str">
        <f t="shared" si="172"/>
        <v/>
      </c>
      <c r="CG169" s="42">
        <v>166</v>
      </c>
      <c r="CH169" s="42" t="e">
        <f t="shared" si="188"/>
        <v>#N/A</v>
      </c>
      <c r="CI169" s="63" t="e">
        <f t="shared" si="189"/>
        <v>#N/A</v>
      </c>
      <c r="DM169" s="63"/>
      <c r="EA169" s="194" t="str">
        <f t="shared" ca="1" si="173"/>
        <v/>
      </c>
      <c r="EB169" s="226" t="str">
        <f>IFERROR(IF(ED169=0,"",COUNTIF(ED$4:ED$600,"&gt;"&amp;ED169)+COUNTIF(ED$4:ED169,ED169)),"")</f>
        <v/>
      </c>
      <c r="EC169" t="str">
        <f t="shared" si="174"/>
        <v>CORYLAP</v>
      </c>
      <c r="ED169" t="e">
        <f>IF(IF(EL$2="Catégorie",IF(EL$3="Toutes",SUMIFS('Étape 1 - à remplir'!$F$31:$F$400,'Étape 1 - à remplir'!$E$31:$E$400,MASQ2!EC169,'Étape 1 - à remplir'!$G$31:$G$400,"kg"),SUMIFS('Étape 1 - à remplir'!$F$31:$F$400,'Étape 1 - à remplir'!$E$31:$E$400,MASQ2!EC169,'Étape 1 - à remplir'!$C$31:$C$400,EL$3)),IF(EL$2="Âge",IF(EL$3="Tous",SUMIFS('Étape 1 - à remplir'!$F$31:$F$400,'Étape 1 - à remplir'!$E$31:$E$400,MASQ2!EC169,'Étape 1 - à remplir'!$G$31:$G$400,"kg"),SUMIFS('Étape 1 - à remplir'!$F$31:$F$400,'Étape 1 - à remplir'!$E$31:$E$400,MASQ2!EC169,'Étape 1 - à remplir'!$P$31:$P$400,EL$3,'Étape 1 - à remplir'!$G$31:$G$400,"kg")),IF(EL$2="Atelier",IF(EL$3="Tous",SUMIFS('Étape 1 - à remplir'!$F$31:$F$400,'Étape 1 - à remplir'!$E$31:$E$400,MASQ2!EC169,'Étape 1 - à remplir'!$G$31:$G$400,"kg"),SUMIFS('Étape 1 - à remplir'!$F$31:$F$400,'Étape 1 - à remplir'!$E$31:$E$400,MASQ2!EC169,'Étape 1 - à remplir'!$O$31:$O$400,EL$3,'Étape 1 - à remplir'!$G$31:$G$400,"kg")),IF(EL$2="Espèce",IF(EL$3="Toutes",SUMIFS('Étape 1 - à remplir'!$F$31:$F$400,'Étape 1 - à remplir'!$E$31:$E$400,MASQ2!EC169,'Étape 1 - à remplir'!$G$31:$G$400,"kg"),SUMIFS('Étape 1 - à remplir'!$F$31:$F$400,'Étape 1 - à remplir'!$E$31:$E$400,MASQ2!EC169,'Étape 1 - à remplir'!$N$31:$N$400,EL$3,'Étape 1 - à remplir'!$G$31:$G$400,"kg"))))))=0,NA(),IF(EL$2="Catégorie",IF(EL$3="Toutes",SUMIFS('Étape 1 - à remplir'!$F$31:$F$400,'Étape 1 - à remplir'!$E$31:$E$400,MASQ2!EC169,'Étape 1 - à remplir'!$G$31:$G$400,"kg"),SUMIFS('Étape 1 - à remplir'!$F$31:$F$400,'Étape 1 - à remplir'!$E$31:$E$400,MASQ2!EC169,'Étape 1 - à remplir'!$C$31:$C$400,EL$3)),IF(EL$2="Âge",IF(EL$3="Tous",SUMIFS('Étape 1 - à remplir'!$F$31:$F$400,'Étape 1 - à remplir'!$E$31:$E$400,MASQ2!EC169,'Étape 1 - à remplir'!$G$31:$G$400,"kg"),SUMIFS('Étape 1 - à remplir'!$F$31:$F$400,'Étape 1 - à remplir'!$E$31:$E$400,MASQ2!EC169,'Étape 1 - à remplir'!$P$31:$P$400,EL$3,'Étape 1 - à remplir'!$G$31:$G$400,"kg")),IF(EL$2="Atelier",IF(EL$3="Tous",SUMIFS('Étape 1 - à remplir'!$F$31:$F$400,'Étape 1 - à remplir'!$E$31:$E$400,MASQ2!EC169,'Étape 1 - à remplir'!$G$31:$G$400,"kg"),SUMIFS('Étape 1 - à remplir'!$F$31:$F$400,'Étape 1 - à remplir'!$E$31:$E$400,MASQ2!EC169,'Étape 1 - à remplir'!$O$31:$O$400,EL$3,'Étape 1 - à remplir'!$G$31:$G$400,"kg")),IF(EL$2="Espèce",IF(EL$3="Toutes",SUMIFS('Étape 1 - à remplir'!$F$31:$F$400,'Étape 1 - à remplir'!$E$31:$E$400,MASQ2!EC169,'Étape 1 - à remplir'!$G$31:$G$400,"kg"),SUMIFS('Étape 1 - à remplir'!$F$31:$F$400,'Étape 1 - à remplir'!$E$31:$E$400,MASQ2!EC169,'Étape 1 - à remplir'!$N$31:$N$400,EL$3,'Étape 1 - à remplir'!$G$31:$G$400,"kg")))))))</f>
        <v>#N/A</v>
      </c>
      <c r="EE169" s="76">
        <f t="shared" si="184"/>
        <v>0</v>
      </c>
      <c r="EF169" t="str">
        <f t="shared" si="175"/>
        <v>Sulfadiméthoxine</v>
      </c>
      <c r="EG169" t="str">
        <f t="shared" si="176"/>
        <v>Triméthoprime</v>
      </c>
      <c r="EH169" t="str">
        <f t="shared" si="177"/>
        <v/>
      </c>
      <c r="EI169" t="str">
        <f t="shared" si="178"/>
        <v>Sulfamides</v>
      </c>
      <c r="EJ169" t="str">
        <f t="shared" si="179"/>
        <v>Trimethoprime</v>
      </c>
      <c r="EK169" s="63" t="str">
        <f t="shared" si="180"/>
        <v/>
      </c>
      <c r="EN169" s="42">
        <v>166</v>
      </c>
      <c r="EO169" t="e">
        <f t="shared" si="186"/>
        <v>#N/A</v>
      </c>
      <c r="EP169" s="63" t="e">
        <f t="shared" si="187"/>
        <v>#N/A</v>
      </c>
      <c r="FT169" s="63"/>
    </row>
    <row r="170" spans="2:176" x14ac:dyDescent="0.3">
      <c r="B170" s="42"/>
      <c r="M170" s="194" t="str">
        <f ca="1">INDEX(Données_ATB!BD:BU,MATCH(MASQ2!O170,Données_ATB!BD:BD,0),18)</f>
        <v/>
      </c>
      <c r="N170" s="14" t="str">
        <f>IFERROR(IF(Q170=0,"",COUNTIF(Q$4:Q$600,"&gt;"&amp;Q170)+COUNTIF(Q$4:Q170,Q170)),"")</f>
        <v/>
      </c>
      <c r="O170" t="str">
        <f>Données_ATB!BD169</f>
        <v>COVUNIL</v>
      </c>
      <c r="P170" t="e">
        <f>IF(IF(X$2="Catégorie",IF(X$3="Toutes",SUMIFS('Étape 1 - à remplir'!$F$31:$F$400,'Étape 1 - à remplir'!$E$31:$E$400,MASQ2!O170,'Étape 1 - à remplir'!$G$31:$G$400,"animaux"),SUMIFS('Étape 1 - à remplir'!$F$31:$F$400,'Étape 1 - à remplir'!$E$31:$E$400,MASQ2!O170,'Étape 1 - à remplir'!$C$31:$C$400,X$3)),IF(X$2="Âge",IF(X$3="Tous",SUMIFS('Étape 1 - à remplir'!$F$31:$F$400,'Étape 1 - à remplir'!$E$31:$E$400,MASQ2!O170,'Étape 1 - à remplir'!$G$31:$G$400,"animaux"),SUMIFS('Étape 1 - à remplir'!$F$31:$F$400,'Étape 1 - à remplir'!$E$31:$E$400,MASQ2!O170,'Étape 1 - à remplir'!$P$31:$P$400,X$3)),IF(X$2="Atelier",IF(X$3="Tous",SUMIFS('Étape 1 - à remplir'!$F$31:$F$400,'Étape 1 - à remplir'!$E$31:$E$400,MASQ2!O170,'Étape 1 - à remplir'!$G$31:$G$400,"animaux"),SUMIFS('Étape 1 - à remplir'!$F$31:$F$400,'Étape 1 - à remplir'!$E$31:$E$400,MASQ2!O170,'Étape 1 - à remplir'!$O$31:$O$400,X$3)),IF(X$2="Espèce",IF(X$3="Toutes",SUMIFS('Étape 1 - à remplir'!$F$31:$F$400,'Étape 1 - à remplir'!$E$31:$E$400,MASQ2!O170,'Étape 1 - à remplir'!$G$31:$G$400,"animaux"),SUMIFS('Étape 1 - à remplir'!$F$31:$F$400,'Étape 1 - à remplir'!$E$31:$E$400,MASQ2!O170,'Étape 1 - à remplir'!$N$31:$N$400,X$3))))))=0,NA(),IF(X$2="Catégorie",IF(X$3="Toutes",SUMIFS('Étape 1 - à remplir'!$F$31:$F$400,'Étape 1 - à remplir'!$E$31:$E$400,MASQ2!O170,'Étape 1 - à remplir'!$G$31:$G$400,"animaux"),SUMIFS('Étape 1 - à remplir'!$F$31:$F$400,'Étape 1 - à remplir'!$E$31:$E$400,MASQ2!O170,'Étape 1 - à remplir'!$C$31:$C$400,X$3)),IF(X$2="Âge",IF(X$3="Tous",SUMIFS('Étape 1 - à remplir'!$F$31:$F$400,'Étape 1 - à remplir'!$E$31:$E$400,MASQ2!O170,'Étape 1 - à remplir'!$G$31:$G$400,"animaux"),SUMIFS('Étape 1 - à remplir'!$F$31:$F$400,'Étape 1 - à remplir'!$E$31:$E$400,MASQ2!O170,'Étape 1 - à remplir'!$P$31:$P$400,X$3)),IF(X$2="Atelier",IF(X$3="Tous",SUMIFS('Étape 1 - à remplir'!$F$31:$F$400,'Étape 1 - à remplir'!$E$31:$E$400,MASQ2!O170,'Étape 1 - à remplir'!$G$31:$G$400,"animaux"),SUMIFS('Étape 1 - à remplir'!$F$31:$F$400,'Étape 1 - à remplir'!$E$31:$E$400,MASQ2!O170,'Étape 1 - à remplir'!$O$31:$O$400,X$3)),IF(X$2="Espèce",IF(X$3="Toutes",SUMIFS('Étape 1 - à remplir'!$F$31:$F$400,'Étape 1 - à remplir'!$E$31:$E$400,MASQ2!O170,'Étape 1 - à remplir'!$G$31:$G$400,"animaux"),SUMIFS('Étape 1 - à remplir'!$F$31:$F$400,'Étape 1 - à remplir'!$E$31:$E$400,MASQ2!O170,'Étape 1 - à remplir'!$N$31:$N$400,X$3)))))))</f>
        <v>#N/A</v>
      </c>
      <c r="Q170" s="63">
        <f t="shared" si="185"/>
        <v>0</v>
      </c>
      <c r="R170" t="str">
        <f>Données_ATB!BM169</f>
        <v>Oxytétracycline</v>
      </c>
      <c r="S170" t="str">
        <f>Données_ATB!BN169</f>
        <v/>
      </c>
      <c r="T170" s="63" t="str">
        <f>Données_ATB!BO169</f>
        <v/>
      </c>
      <c r="U170" s="42" t="str">
        <f>Données_ATB!BQ169</f>
        <v>Tetracyclines</v>
      </c>
      <c r="V170" t="str">
        <f>Données_ATB!BR169</f>
        <v/>
      </c>
      <c r="W170" s="63" t="str">
        <f>Données_ATB!BS169</f>
        <v/>
      </c>
      <c r="Z170" s="42">
        <v>167</v>
      </c>
      <c r="AA170" t="e">
        <f t="shared" si="181"/>
        <v>#N/A</v>
      </c>
      <c r="AB170" s="63" t="e">
        <f t="shared" si="182"/>
        <v>#N/A</v>
      </c>
      <c r="BF170" s="63"/>
      <c r="BT170" s="194" t="str">
        <f t="shared" ca="1" si="165"/>
        <v/>
      </c>
      <c r="BU170" s="219" t="str">
        <f>IFERROR(IF(BX170=0,"",COUNTIF(BX$4:BX$600,"&gt;"&amp;BX170)+COUNTIF(BX$4:BX170,BX170)),"")</f>
        <v/>
      </c>
      <c r="BV170" s="42" t="str">
        <f t="shared" si="166"/>
        <v>COVUNIL</v>
      </c>
      <c r="BW170" t="e">
        <f>IF(IF(CE$2="Catégorie",IF(CE$3="Toutes",SUMIFS('Étape 1 - à remplir'!$F$31:$F$400,'Étape 1 - à remplir'!$E$31:$E$400,MASQ2!BV170,'Étape 1 - à remplir'!$G$31:$G$400,"lots"),SUMIFS('Étape 1 - à remplir'!$F$31:$F$400,'Étape 1 - à remplir'!$E$31:$E$400,MASQ2!BV170,'Étape 1 - à remplir'!$C$31:$C$400,CE$3)),IF(CE$2="Âge",IF(CE$3="Tous",SUMIFS('Étape 1 - à remplir'!$F$31:$F$400,'Étape 1 - à remplir'!$E$31:$E$400,MASQ2!BV170,'Étape 1 - à remplir'!$G$31:$G$400,"lots"),SUMIFS('Étape 1 - à remplir'!$F$31:$F$400,'Étape 1 - à remplir'!$E$31:$E$400,MASQ2!BV170,'Étape 1 - à remplir'!$P$31:$P$400,CE$3,'Étape 1 - à remplir'!$G$31:$G$400,"lots")),IF(CE$2="Atelier",IF(CE$3="Tous",SUMIFS('Étape 1 - à remplir'!$F$31:$F$400,'Étape 1 - à remplir'!$E$31:$E$400,MASQ2!BV170,'Étape 1 - à remplir'!$G$31:$G$400,"lots"),SUMIFS('Étape 1 - à remplir'!$F$31:$F$400,'Étape 1 - à remplir'!$E$31:$E$400,MASQ2!BV170,'Étape 1 - à remplir'!$O$31:$O$400,CE$3,'Étape 1 - à remplir'!$G$31:$G$400,"lots")),IF(CE$2="Espèce",IF(CE$3="Toutes",SUMIFS('Étape 1 - à remplir'!$F$31:$F$400,'Étape 1 - à remplir'!$E$31:$E$400,MASQ2!BV170,'Étape 1 - à remplir'!$G$31:$G$400,"lots"),SUMIFS('Étape 1 - à remplir'!$F$31:$F$400,'Étape 1 - à remplir'!$E$31:$E$400,MASQ2!BV170,'Étape 1 - à remplir'!$N$31:$N$400,CE$3,'Étape 1 - à remplir'!$G$31:$G$400,"lots"))))))=0,NA(),IF(CE$2="Catégorie",IF(CE$3="Toutes",SUMIFS('Étape 1 - à remplir'!$F$31:$F$400,'Étape 1 - à remplir'!$E$31:$E$400,MASQ2!BV170,'Étape 1 - à remplir'!$G$31:$G$400,"lots"),SUMIFS('Étape 1 - à remplir'!$F$31:$F$400,'Étape 1 - à remplir'!$E$31:$E$400,MASQ2!BV170,'Étape 1 - à remplir'!$C$31:$C$400,CE$3)),IF(CE$2="Âge",IF(CE$3="Tous",SUMIFS('Étape 1 - à remplir'!$F$31:$F$400,'Étape 1 - à remplir'!$E$31:$E$400,MASQ2!BV170,'Étape 1 - à remplir'!$G$31:$G$400,"lots"),SUMIFS('Étape 1 - à remplir'!$F$31:$F$400,'Étape 1 - à remplir'!$E$31:$E$400,MASQ2!BV170,'Étape 1 - à remplir'!$P$31:$P$400,CE$3,'Étape 1 - à remplir'!$G$31:$G$400,"lots")),IF(CE$2="Atelier",IF(CE$3="Tous",SUMIFS('Étape 1 - à remplir'!$F$31:$F$400,'Étape 1 - à remplir'!$E$31:$E$400,MASQ2!BV170,'Étape 1 - à remplir'!$G$31:$G$400,"lots"),SUMIFS('Étape 1 - à remplir'!$F$31:$F$400,'Étape 1 - à remplir'!$E$31:$E$400,MASQ2!BV170,'Étape 1 - à remplir'!$O$31:$O$400,CE$3,'Étape 1 - à remplir'!$G$31:$G$400,"lots")),IF(CE$2="Espèce",IF(CE$3="Toutes",SUMIFS('Étape 1 - à remplir'!$F$31:$F$400,'Étape 1 - à remplir'!$E$31:$E$400,MASQ2!BV170,'Étape 1 - à remplir'!$G$31:$G$400,"lots"),SUMIFS('Étape 1 - à remplir'!$F$31:$F$400,'Étape 1 - à remplir'!$E$31:$E$400,MASQ2!BV170,'Étape 1 - à remplir'!$N$31:$N$400,CE$3,'Étape 1 - à remplir'!$G$31:$G$400,"lots")))))))</f>
        <v>#N/A</v>
      </c>
      <c r="BX170">
        <f t="shared" si="183"/>
        <v>0</v>
      </c>
      <c r="BY170" t="str">
        <f t="shared" si="167"/>
        <v>Oxytétracycline</v>
      </c>
      <c r="BZ170" t="str">
        <f t="shared" si="168"/>
        <v/>
      </c>
      <c r="CA170" t="str">
        <f t="shared" si="169"/>
        <v/>
      </c>
      <c r="CB170" t="str">
        <f t="shared" si="170"/>
        <v>Tetracyclines</v>
      </c>
      <c r="CC170" t="str">
        <f t="shared" si="171"/>
        <v/>
      </c>
      <c r="CD170" s="63" t="str">
        <f t="shared" si="172"/>
        <v/>
      </c>
      <c r="CG170" s="42">
        <v>167</v>
      </c>
      <c r="CH170" s="42" t="e">
        <f t="shared" si="188"/>
        <v>#N/A</v>
      </c>
      <c r="CI170" s="63" t="e">
        <f t="shared" si="189"/>
        <v>#N/A</v>
      </c>
      <c r="DM170" s="63"/>
      <c r="EA170" s="194" t="str">
        <f t="shared" ca="1" si="173"/>
        <v/>
      </c>
      <c r="EB170" s="226" t="str">
        <f>IFERROR(IF(ED170=0,"",COUNTIF(ED$4:ED$600,"&gt;"&amp;ED170)+COUNTIF(ED$4:ED170,ED170)),"")</f>
        <v/>
      </c>
      <c r="EC170" t="str">
        <f t="shared" si="174"/>
        <v>COVUNIL</v>
      </c>
      <c r="ED170" t="e">
        <f>IF(IF(EL$2="Catégorie",IF(EL$3="Toutes",SUMIFS('Étape 1 - à remplir'!$F$31:$F$400,'Étape 1 - à remplir'!$E$31:$E$400,MASQ2!EC170,'Étape 1 - à remplir'!$G$31:$G$400,"kg"),SUMIFS('Étape 1 - à remplir'!$F$31:$F$400,'Étape 1 - à remplir'!$E$31:$E$400,MASQ2!EC170,'Étape 1 - à remplir'!$C$31:$C$400,EL$3)),IF(EL$2="Âge",IF(EL$3="Tous",SUMIFS('Étape 1 - à remplir'!$F$31:$F$400,'Étape 1 - à remplir'!$E$31:$E$400,MASQ2!EC170,'Étape 1 - à remplir'!$G$31:$G$400,"kg"),SUMIFS('Étape 1 - à remplir'!$F$31:$F$400,'Étape 1 - à remplir'!$E$31:$E$400,MASQ2!EC170,'Étape 1 - à remplir'!$P$31:$P$400,EL$3,'Étape 1 - à remplir'!$G$31:$G$400,"kg")),IF(EL$2="Atelier",IF(EL$3="Tous",SUMIFS('Étape 1 - à remplir'!$F$31:$F$400,'Étape 1 - à remplir'!$E$31:$E$400,MASQ2!EC170,'Étape 1 - à remplir'!$G$31:$G$400,"kg"),SUMIFS('Étape 1 - à remplir'!$F$31:$F$400,'Étape 1 - à remplir'!$E$31:$E$400,MASQ2!EC170,'Étape 1 - à remplir'!$O$31:$O$400,EL$3,'Étape 1 - à remplir'!$G$31:$G$400,"kg")),IF(EL$2="Espèce",IF(EL$3="Toutes",SUMIFS('Étape 1 - à remplir'!$F$31:$F$400,'Étape 1 - à remplir'!$E$31:$E$400,MASQ2!EC170,'Étape 1 - à remplir'!$G$31:$G$400,"kg"),SUMIFS('Étape 1 - à remplir'!$F$31:$F$400,'Étape 1 - à remplir'!$E$31:$E$400,MASQ2!EC170,'Étape 1 - à remplir'!$N$31:$N$400,EL$3,'Étape 1 - à remplir'!$G$31:$G$400,"kg"))))))=0,NA(),IF(EL$2="Catégorie",IF(EL$3="Toutes",SUMIFS('Étape 1 - à remplir'!$F$31:$F$400,'Étape 1 - à remplir'!$E$31:$E$400,MASQ2!EC170,'Étape 1 - à remplir'!$G$31:$G$400,"kg"),SUMIFS('Étape 1 - à remplir'!$F$31:$F$400,'Étape 1 - à remplir'!$E$31:$E$400,MASQ2!EC170,'Étape 1 - à remplir'!$C$31:$C$400,EL$3)),IF(EL$2="Âge",IF(EL$3="Tous",SUMIFS('Étape 1 - à remplir'!$F$31:$F$400,'Étape 1 - à remplir'!$E$31:$E$400,MASQ2!EC170,'Étape 1 - à remplir'!$G$31:$G$400,"kg"),SUMIFS('Étape 1 - à remplir'!$F$31:$F$400,'Étape 1 - à remplir'!$E$31:$E$400,MASQ2!EC170,'Étape 1 - à remplir'!$P$31:$P$400,EL$3,'Étape 1 - à remplir'!$G$31:$G$400,"kg")),IF(EL$2="Atelier",IF(EL$3="Tous",SUMIFS('Étape 1 - à remplir'!$F$31:$F$400,'Étape 1 - à remplir'!$E$31:$E$400,MASQ2!EC170,'Étape 1 - à remplir'!$G$31:$G$400,"kg"),SUMIFS('Étape 1 - à remplir'!$F$31:$F$400,'Étape 1 - à remplir'!$E$31:$E$400,MASQ2!EC170,'Étape 1 - à remplir'!$O$31:$O$400,EL$3,'Étape 1 - à remplir'!$G$31:$G$400,"kg")),IF(EL$2="Espèce",IF(EL$3="Toutes",SUMIFS('Étape 1 - à remplir'!$F$31:$F$400,'Étape 1 - à remplir'!$E$31:$E$400,MASQ2!EC170,'Étape 1 - à remplir'!$G$31:$G$400,"kg"),SUMIFS('Étape 1 - à remplir'!$F$31:$F$400,'Étape 1 - à remplir'!$E$31:$E$400,MASQ2!EC170,'Étape 1 - à remplir'!$N$31:$N$400,EL$3,'Étape 1 - à remplir'!$G$31:$G$400,"kg")))))))</f>
        <v>#N/A</v>
      </c>
      <c r="EE170" s="76">
        <f t="shared" si="184"/>
        <v>0</v>
      </c>
      <c r="EF170" t="str">
        <f t="shared" si="175"/>
        <v>Oxytétracycline</v>
      </c>
      <c r="EG170" t="str">
        <f t="shared" si="176"/>
        <v/>
      </c>
      <c r="EH170" t="str">
        <f t="shared" si="177"/>
        <v/>
      </c>
      <c r="EI170" t="str">
        <f t="shared" si="178"/>
        <v>Tetracyclines</v>
      </c>
      <c r="EJ170" t="str">
        <f t="shared" si="179"/>
        <v/>
      </c>
      <c r="EK170" s="63" t="str">
        <f t="shared" si="180"/>
        <v/>
      </c>
      <c r="EN170" s="42">
        <v>167</v>
      </c>
      <c r="EO170" t="e">
        <f t="shared" si="186"/>
        <v>#N/A</v>
      </c>
      <c r="EP170" s="63" t="e">
        <f t="shared" si="187"/>
        <v>#N/A</v>
      </c>
      <c r="FT170" s="63"/>
    </row>
    <row r="171" spans="2:176" x14ac:dyDescent="0.3">
      <c r="B171" s="42"/>
      <c r="M171" s="194" t="str">
        <f ca="1">INDEX(Données_ATB!BD:BU,MATCH(MASQ2!O171,Données_ATB!BD:BD,0),18)</f>
        <v/>
      </c>
      <c r="N171" s="14" t="str">
        <f>IFERROR(IF(Q171=0,"",COUNTIF(Q$4:Q$600,"&gt;"&amp;Q171)+COUNTIF(Q$4:Q171,Q171)),"")</f>
        <v/>
      </c>
      <c r="O171" t="str">
        <f>Données_ATB!BD170</f>
        <v>CRD 92</v>
      </c>
      <c r="P171" t="e">
        <f>IF(IF(X$2="Catégorie",IF(X$3="Toutes",SUMIFS('Étape 1 - à remplir'!$F$31:$F$400,'Étape 1 - à remplir'!$E$31:$E$400,MASQ2!O171,'Étape 1 - à remplir'!$G$31:$G$400,"animaux"),SUMIFS('Étape 1 - à remplir'!$F$31:$F$400,'Étape 1 - à remplir'!$E$31:$E$400,MASQ2!O171,'Étape 1 - à remplir'!$C$31:$C$400,X$3)),IF(X$2="Âge",IF(X$3="Tous",SUMIFS('Étape 1 - à remplir'!$F$31:$F$400,'Étape 1 - à remplir'!$E$31:$E$400,MASQ2!O171,'Étape 1 - à remplir'!$G$31:$G$400,"animaux"),SUMIFS('Étape 1 - à remplir'!$F$31:$F$400,'Étape 1 - à remplir'!$E$31:$E$400,MASQ2!O171,'Étape 1 - à remplir'!$P$31:$P$400,X$3)),IF(X$2="Atelier",IF(X$3="Tous",SUMIFS('Étape 1 - à remplir'!$F$31:$F$400,'Étape 1 - à remplir'!$E$31:$E$400,MASQ2!O171,'Étape 1 - à remplir'!$G$31:$G$400,"animaux"),SUMIFS('Étape 1 - à remplir'!$F$31:$F$400,'Étape 1 - à remplir'!$E$31:$E$400,MASQ2!O171,'Étape 1 - à remplir'!$O$31:$O$400,X$3)),IF(X$2="Espèce",IF(X$3="Toutes",SUMIFS('Étape 1 - à remplir'!$F$31:$F$400,'Étape 1 - à remplir'!$E$31:$E$400,MASQ2!O171,'Étape 1 - à remplir'!$G$31:$G$400,"animaux"),SUMIFS('Étape 1 - à remplir'!$F$31:$F$400,'Étape 1 - à remplir'!$E$31:$E$400,MASQ2!O171,'Étape 1 - à remplir'!$N$31:$N$400,X$3))))))=0,NA(),IF(X$2="Catégorie",IF(X$3="Toutes",SUMIFS('Étape 1 - à remplir'!$F$31:$F$400,'Étape 1 - à remplir'!$E$31:$E$400,MASQ2!O171,'Étape 1 - à remplir'!$G$31:$G$400,"animaux"),SUMIFS('Étape 1 - à remplir'!$F$31:$F$400,'Étape 1 - à remplir'!$E$31:$E$400,MASQ2!O171,'Étape 1 - à remplir'!$C$31:$C$400,X$3)),IF(X$2="Âge",IF(X$3="Tous",SUMIFS('Étape 1 - à remplir'!$F$31:$F$400,'Étape 1 - à remplir'!$E$31:$E$400,MASQ2!O171,'Étape 1 - à remplir'!$G$31:$G$400,"animaux"),SUMIFS('Étape 1 - à remplir'!$F$31:$F$400,'Étape 1 - à remplir'!$E$31:$E$400,MASQ2!O171,'Étape 1 - à remplir'!$P$31:$P$400,X$3)),IF(X$2="Atelier",IF(X$3="Tous",SUMIFS('Étape 1 - à remplir'!$F$31:$F$400,'Étape 1 - à remplir'!$E$31:$E$400,MASQ2!O171,'Étape 1 - à remplir'!$G$31:$G$400,"animaux"),SUMIFS('Étape 1 - à remplir'!$F$31:$F$400,'Étape 1 - à remplir'!$E$31:$E$400,MASQ2!O171,'Étape 1 - à remplir'!$O$31:$O$400,X$3)),IF(X$2="Espèce",IF(X$3="Toutes",SUMIFS('Étape 1 - à remplir'!$F$31:$F$400,'Étape 1 - à remplir'!$E$31:$E$400,MASQ2!O171,'Étape 1 - à remplir'!$G$31:$G$400,"animaux"),SUMIFS('Étape 1 - à remplir'!$F$31:$F$400,'Étape 1 - à remplir'!$E$31:$E$400,MASQ2!O171,'Étape 1 - à remplir'!$N$31:$N$400,X$3)))))))</f>
        <v>#N/A</v>
      </c>
      <c r="Q171" s="63">
        <f t="shared" si="185"/>
        <v>0</v>
      </c>
      <c r="R171" t="str">
        <f>Données_ATB!BM170</f>
        <v>Spiramycine</v>
      </c>
      <c r="S171" t="str">
        <f>Données_ATB!BN170</f>
        <v>Triméthoprime</v>
      </c>
      <c r="T171" s="63" t="str">
        <f>Données_ATB!BO170</f>
        <v/>
      </c>
      <c r="U171" s="42" t="str">
        <f>Données_ATB!BQ170</f>
        <v>Macrolides</v>
      </c>
      <c r="V171" t="str">
        <f>Données_ATB!BR170</f>
        <v>Trimethoprime</v>
      </c>
      <c r="W171" s="63" t="str">
        <f>Données_ATB!BS170</f>
        <v/>
      </c>
      <c r="Z171" s="42">
        <v>168</v>
      </c>
      <c r="AA171" t="e">
        <f t="shared" si="181"/>
        <v>#N/A</v>
      </c>
      <c r="AB171" s="63" t="e">
        <f t="shared" si="182"/>
        <v>#N/A</v>
      </c>
      <c r="BF171" s="63"/>
      <c r="BT171" s="194" t="str">
        <f t="shared" ca="1" si="165"/>
        <v/>
      </c>
      <c r="BU171" s="219" t="str">
        <f>IFERROR(IF(BX171=0,"",COUNTIF(BX$4:BX$600,"&gt;"&amp;BX171)+COUNTIF(BX$4:BX171,BX171)),"")</f>
        <v/>
      </c>
      <c r="BV171" s="42" t="str">
        <f t="shared" si="166"/>
        <v>CRD 92</v>
      </c>
      <c r="BW171" t="e">
        <f>IF(IF(CE$2="Catégorie",IF(CE$3="Toutes",SUMIFS('Étape 1 - à remplir'!$F$31:$F$400,'Étape 1 - à remplir'!$E$31:$E$400,MASQ2!BV171,'Étape 1 - à remplir'!$G$31:$G$400,"lots"),SUMIFS('Étape 1 - à remplir'!$F$31:$F$400,'Étape 1 - à remplir'!$E$31:$E$400,MASQ2!BV171,'Étape 1 - à remplir'!$C$31:$C$400,CE$3)),IF(CE$2="Âge",IF(CE$3="Tous",SUMIFS('Étape 1 - à remplir'!$F$31:$F$400,'Étape 1 - à remplir'!$E$31:$E$400,MASQ2!BV171,'Étape 1 - à remplir'!$G$31:$G$400,"lots"),SUMIFS('Étape 1 - à remplir'!$F$31:$F$400,'Étape 1 - à remplir'!$E$31:$E$400,MASQ2!BV171,'Étape 1 - à remplir'!$P$31:$P$400,CE$3,'Étape 1 - à remplir'!$G$31:$G$400,"lots")),IF(CE$2="Atelier",IF(CE$3="Tous",SUMIFS('Étape 1 - à remplir'!$F$31:$F$400,'Étape 1 - à remplir'!$E$31:$E$400,MASQ2!BV171,'Étape 1 - à remplir'!$G$31:$G$400,"lots"),SUMIFS('Étape 1 - à remplir'!$F$31:$F$400,'Étape 1 - à remplir'!$E$31:$E$400,MASQ2!BV171,'Étape 1 - à remplir'!$O$31:$O$400,CE$3,'Étape 1 - à remplir'!$G$31:$G$400,"lots")),IF(CE$2="Espèce",IF(CE$3="Toutes",SUMIFS('Étape 1 - à remplir'!$F$31:$F$400,'Étape 1 - à remplir'!$E$31:$E$400,MASQ2!BV171,'Étape 1 - à remplir'!$G$31:$G$400,"lots"),SUMIFS('Étape 1 - à remplir'!$F$31:$F$400,'Étape 1 - à remplir'!$E$31:$E$400,MASQ2!BV171,'Étape 1 - à remplir'!$N$31:$N$400,CE$3,'Étape 1 - à remplir'!$G$31:$G$400,"lots"))))))=0,NA(),IF(CE$2="Catégorie",IF(CE$3="Toutes",SUMIFS('Étape 1 - à remplir'!$F$31:$F$400,'Étape 1 - à remplir'!$E$31:$E$400,MASQ2!BV171,'Étape 1 - à remplir'!$G$31:$G$400,"lots"),SUMIFS('Étape 1 - à remplir'!$F$31:$F$400,'Étape 1 - à remplir'!$E$31:$E$400,MASQ2!BV171,'Étape 1 - à remplir'!$C$31:$C$400,CE$3)),IF(CE$2="Âge",IF(CE$3="Tous",SUMIFS('Étape 1 - à remplir'!$F$31:$F$400,'Étape 1 - à remplir'!$E$31:$E$400,MASQ2!BV171,'Étape 1 - à remplir'!$G$31:$G$400,"lots"),SUMIFS('Étape 1 - à remplir'!$F$31:$F$400,'Étape 1 - à remplir'!$E$31:$E$400,MASQ2!BV171,'Étape 1 - à remplir'!$P$31:$P$400,CE$3,'Étape 1 - à remplir'!$G$31:$G$400,"lots")),IF(CE$2="Atelier",IF(CE$3="Tous",SUMIFS('Étape 1 - à remplir'!$F$31:$F$400,'Étape 1 - à remplir'!$E$31:$E$400,MASQ2!BV171,'Étape 1 - à remplir'!$G$31:$G$400,"lots"),SUMIFS('Étape 1 - à remplir'!$F$31:$F$400,'Étape 1 - à remplir'!$E$31:$E$400,MASQ2!BV171,'Étape 1 - à remplir'!$O$31:$O$400,CE$3,'Étape 1 - à remplir'!$G$31:$G$400,"lots")),IF(CE$2="Espèce",IF(CE$3="Toutes",SUMIFS('Étape 1 - à remplir'!$F$31:$F$400,'Étape 1 - à remplir'!$E$31:$E$400,MASQ2!BV171,'Étape 1 - à remplir'!$G$31:$G$400,"lots"),SUMIFS('Étape 1 - à remplir'!$F$31:$F$400,'Étape 1 - à remplir'!$E$31:$E$400,MASQ2!BV171,'Étape 1 - à remplir'!$N$31:$N$400,CE$3,'Étape 1 - à remplir'!$G$31:$G$400,"lots")))))))</f>
        <v>#N/A</v>
      </c>
      <c r="BX171">
        <f t="shared" si="183"/>
        <v>0</v>
      </c>
      <c r="BY171" t="str">
        <f t="shared" si="167"/>
        <v>Spiramycine</v>
      </c>
      <c r="BZ171" t="str">
        <f t="shared" si="168"/>
        <v>Triméthoprime</v>
      </c>
      <c r="CA171" t="str">
        <f t="shared" si="169"/>
        <v/>
      </c>
      <c r="CB171" t="str">
        <f t="shared" si="170"/>
        <v>Macrolides</v>
      </c>
      <c r="CC171" t="str">
        <f t="shared" si="171"/>
        <v>Trimethoprime</v>
      </c>
      <c r="CD171" s="63" t="str">
        <f t="shared" si="172"/>
        <v/>
      </c>
      <c r="CG171" s="42">
        <v>168</v>
      </c>
      <c r="CH171" s="42" t="e">
        <f t="shared" si="188"/>
        <v>#N/A</v>
      </c>
      <c r="CI171" s="63" t="e">
        <f t="shared" si="189"/>
        <v>#N/A</v>
      </c>
      <c r="DM171" s="63"/>
      <c r="EA171" s="194" t="str">
        <f t="shared" ca="1" si="173"/>
        <v/>
      </c>
      <c r="EB171" s="226" t="str">
        <f>IFERROR(IF(ED171=0,"",COUNTIF(ED$4:ED$600,"&gt;"&amp;ED171)+COUNTIF(ED$4:ED171,ED171)),"")</f>
        <v/>
      </c>
      <c r="EC171" t="str">
        <f t="shared" si="174"/>
        <v>CRD 92</v>
      </c>
      <c r="ED171" t="e">
        <f>IF(IF(EL$2="Catégorie",IF(EL$3="Toutes",SUMIFS('Étape 1 - à remplir'!$F$31:$F$400,'Étape 1 - à remplir'!$E$31:$E$400,MASQ2!EC171,'Étape 1 - à remplir'!$G$31:$G$400,"kg"),SUMIFS('Étape 1 - à remplir'!$F$31:$F$400,'Étape 1 - à remplir'!$E$31:$E$400,MASQ2!EC171,'Étape 1 - à remplir'!$C$31:$C$400,EL$3)),IF(EL$2="Âge",IF(EL$3="Tous",SUMIFS('Étape 1 - à remplir'!$F$31:$F$400,'Étape 1 - à remplir'!$E$31:$E$400,MASQ2!EC171,'Étape 1 - à remplir'!$G$31:$G$400,"kg"),SUMIFS('Étape 1 - à remplir'!$F$31:$F$400,'Étape 1 - à remplir'!$E$31:$E$400,MASQ2!EC171,'Étape 1 - à remplir'!$P$31:$P$400,EL$3,'Étape 1 - à remplir'!$G$31:$G$400,"kg")),IF(EL$2="Atelier",IF(EL$3="Tous",SUMIFS('Étape 1 - à remplir'!$F$31:$F$400,'Étape 1 - à remplir'!$E$31:$E$400,MASQ2!EC171,'Étape 1 - à remplir'!$G$31:$G$400,"kg"),SUMIFS('Étape 1 - à remplir'!$F$31:$F$400,'Étape 1 - à remplir'!$E$31:$E$400,MASQ2!EC171,'Étape 1 - à remplir'!$O$31:$O$400,EL$3,'Étape 1 - à remplir'!$G$31:$G$400,"kg")),IF(EL$2="Espèce",IF(EL$3="Toutes",SUMIFS('Étape 1 - à remplir'!$F$31:$F$400,'Étape 1 - à remplir'!$E$31:$E$400,MASQ2!EC171,'Étape 1 - à remplir'!$G$31:$G$400,"kg"),SUMIFS('Étape 1 - à remplir'!$F$31:$F$400,'Étape 1 - à remplir'!$E$31:$E$400,MASQ2!EC171,'Étape 1 - à remplir'!$N$31:$N$400,EL$3,'Étape 1 - à remplir'!$G$31:$G$400,"kg"))))))=0,NA(),IF(EL$2="Catégorie",IF(EL$3="Toutes",SUMIFS('Étape 1 - à remplir'!$F$31:$F$400,'Étape 1 - à remplir'!$E$31:$E$400,MASQ2!EC171,'Étape 1 - à remplir'!$G$31:$G$400,"kg"),SUMIFS('Étape 1 - à remplir'!$F$31:$F$400,'Étape 1 - à remplir'!$E$31:$E$400,MASQ2!EC171,'Étape 1 - à remplir'!$C$31:$C$400,EL$3)),IF(EL$2="Âge",IF(EL$3="Tous",SUMIFS('Étape 1 - à remplir'!$F$31:$F$400,'Étape 1 - à remplir'!$E$31:$E$400,MASQ2!EC171,'Étape 1 - à remplir'!$G$31:$G$400,"kg"),SUMIFS('Étape 1 - à remplir'!$F$31:$F$400,'Étape 1 - à remplir'!$E$31:$E$400,MASQ2!EC171,'Étape 1 - à remplir'!$P$31:$P$400,EL$3,'Étape 1 - à remplir'!$G$31:$G$400,"kg")),IF(EL$2="Atelier",IF(EL$3="Tous",SUMIFS('Étape 1 - à remplir'!$F$31:$F$400,'Étape 1 - à remplir'!$E$31:$E$400,MASQ2!EC171,'Étape 1 - à remplir'!$G$31:$G$400,"kg"),SUMIFS('Étape 1 - à remplir'!$F$31:$F$400,'Étape 1 - à remplir'!$E$31:$E$400,MASQ2!EC171,'Étape 1 - à remplir'!$O$31:$O$400,EL$3,'Étape 1 - à remplir'!$G$31:$G$400,"kg")),IF(EL$2="Espèce",IF(EL$3="Toutes",SUMIFS('Étape 1 - à remplir'!$F$31:$F$400,'Étape 1 - à remplir'!$E$31:$E$400,MASQ2!EC171,'Étape 1 - à remplir'!$G$31:$G$400,"kg"),SUMIFS('Étape 1 - à remplir'!$F$31:$F$400,'Étape 1 - à remplir'!$E$31:$E$400,MASQ2!EC171,'Étape 1 - à remplir'!$N$31:$N$400,EL$3,'Étape 1 - à remplir'!$G$31:$G$400,"kg")))))))</f>
        <v>#N/A</v>
      </c>
      <c r="EE171" s="76">
        <f t="shared" si="184"/>
        <v>0</v>
      </c>
      <c r="EF171" t="str">
        <f t="shared" si="175"/>
        <v>Spiramycine</v>
      </c>
      <c r="EG171" t="str">
        <f t="shared" si="176"/>
        <v>Triméthoprime</v>
      </c>
      <c r="EH171" t="str">
        <f t="shared" si="177"/>
        <v/>
      </c>
      <c r="EI171" t="str">
        <f t="shared" si="178"/>
        <v>Macrolides</v>
      </c>
      <c r="EJ171" t="str">
        <f t="shared" si="179"/>
        <v>Trimethoprime</v>
      </c>
      <c r="EK171" s="63" t="str">
        <f t="shared" si="180"/>
        <v/>
      </c>
      <c r="EN171" s="42">
        <v>168</v>
      </c>
      <c r="EO171" t="e">
        <f t="shared" si="186"/>
        <v>#N/A</v>
      </c>
      <c r="EP171" s="63" t="e">
        <f t="shared" si="187"/>
        <v>#N/A</v>
      </c>
      <c r="FT171" s="63"/>
    </row>
    <row r="172" spans="2:176" x14ac:dyDescent="0.3">
      <c r="B172" s="42"/>
      <c r="M172" s="194" t="str">
        <f ca="1">INDEX(Données_ATB!BD:BU,MATCH(MASQ2!O172,Données_ATB!BD:BD,0),18)</f>
        <v/>
      </c>
      <c r="N172" s="14" t="str">
        <f>IFERROR(IF(Q172=0,"",COUNTIF(Q$4:Q$600,"&gt;"&amp;Q172)+COUNTIF(Q$4:Q172,Q172)),"")</f>
        <v/>
      </c>
      <c r="O172" t="str">
        <f>Données_ATB!BD171</f>
        <v>CUBARMIX</v>
      </c>
      <c r="P172" t="e">
        <f>IF(IF(X$2="Catégorie",IF(X$3="Toutes",SUMIFS('Étape 1 - à remplir'!$F$31:$F$400,'Étape 1 - à remplir'!$E$31:$E$400,MASQ2!O172,'Étape 1 - à remplir'!$G$31:$G$400,"animaux"),SUMIFS('Étape 1 - à remplir'!$F$31:$F$400,'Étape 1 - à remplir'!$E$31:$E$400,MASQ2!O172,'Étape 1 - à remplir'!$C$31:$C$400,X$3)),IF(X$2="Âge",IF(X$3="Tous",SUMIFS('Étape 1 - à remplir'!$F$31:$F$400,'Étape 1 - à remplir'!$E$31:$E$400,MASQ2!O172,'Étape 1 - à remplir'!$G$31:$G$400,"animaux"),SUMIFS('Étape 1 - à remplir'!$F$31:$F$400,'Étape 1 - à remplir'!$E$31:$E$400,MASQ2!O172,'Étape 1 - à remplir'!$P$31:$P$400,X$3)),IF(X$2="Atelier",IF(X$3="Tous",SUMIFS('Étape 1 - à remplir'!$F$31:$F$400,'Étape 1 - à remplir'!$E$31:$E$400,MASQ2!O172,'Étape 1 - à remplir'!$G$31:$G$400,"animaux"),SUMIFS('Étape 1 - à remplir'!$F$31:$F$400,'Étape 1 - à remplir'!$E$31:$E$400,MASQ2!O172,'Étape 1 - à remplir'!$O$31:$O$400,X$3)),IF(X$2="Espèce",IF(X$3="Toutes",SUMIFS('Étape 1 - à remplir'!$F$31:$F$400,'Étape 1 - à remplir'!$E$31:$E$400,MASQ2!O172,'Étape 1 - à remplir'!$G$31:$G$400,"animaux"),SUMIFS('Étape 1 - à remplir'!$F$31:$F$400,'Étape 1 - à remplir'!$E$31:$E$400,MASQ2!O172,'Étape 1 - à remplir'!$N$31:$N$400,X$3))))))=0,NA(),IF(X$2="Catégorie",IF(X$3="Toutes",SUMIFS('Étape 1 - à remplir'!$F$31:$F$400,'Étape 1 - à remplir'!$E$31:$E$400,MASQ2!O172,'Étape 1 - à remplir'!$G$31:$G$400,"animaux"),SUMIFS('Étape 1 - à remplir'!$F$31:$F$400,'Étape 1 - à remplir'!$E$31:$E$400,MASQ2!O172,'Étape 1 - à remplir'!$C$31:$C$400,X$3)),IF(X$2="Âge",IF(X$3="Tous",SUMIFS('Étape 1 - à remplir'!$F$31:$F$400,'Étape 1 - à remplir'!$E$31:$E$400,MASQ2!O172,'Étape 1 - à remplir'!$G$31:$G$400,"animaux"),SUMIFS('Étape 1 - à remplir'!$F$31:$F$400,'Étape 1 - à remplir'!$E$31:$E$400,MASQ2!O172,'Étape 1 - à remplir'!$P$31:$P$400,X$3)),IF(X$2="Atelier",IF(X$3="Tous",SUMIFS('Étape 1 - à remplir'!$F$31:$F$400,'Étape 1 - à remplir'!$E$31:$E$400,MASQ2!O172,'Étape 1 - à remplir'!$G$31:$G$400,"animaux"),SUMIFS('Étape 1 - à remplir'!$F$31:$F$400,'Étape 1 - à remplir'!$E$31:$E$400,MASQ2!O172,'Étape 1 - à remplir'!$O$31:$O$400,X$3)),IF(X$2="Espèce",IF(X$3="Toutes",SUMIFS('Étape 1 - à remplir'!$F$31:$F$400,'Étape 1 - à remplir'!$E$31:$E$400,MASQ2!O172,'Étape 1 - à remplir'!$G$31:$G$400,"animaux"),SUMIFS('Étape 1 - à remplir'!$F$31:$F$400,'Étape 1 - à remplir'!$E$31:$E$400,MASQ2!O172,'Étape 1 - à remplir'!$N$31:$N$400,X$3)))))))</f>
        <v>#N/A</v>
      </c>
      <c r="Q172" s="63">
        <f t="shared" si="185"/>
        <v>0</v>
      </c>
      <c r="R172" t="str">
        <f>Données_ATB!BM171</f>
        <v>Sulfadiazine</v>
      </c>
      <c r="S172" t="str">
        <f>Données_ATB!BN171</f>
        <v>Triméthoprime</v>
      </c>
      <c r="T172" s="63" t="str">
        <f>Données_ATB!BO171</f>
        <v/>
      </c>
      <c r="U172" s="42" t="str">
        <f>Données_ATB!BQ171</f>
        <v>Sulfamides</v>
      </c>
      <c r="V172" t="str">
        <f>Données_ATB!BR171</f>
        <v>Trimethoprime</v>
      </c>
      <c r="W172" s="63" t="str">
        <f>Données_ATB!BS171</f>
        <v/>
      </c>
      <c r="Z172" s="42">
        <v>169</v>
      </c>
      <c r="AA172" t="e">
        <f t="shared" si="181"/>
        <v>#N/A</v>
      </c>
      <c r="AB172" s="63" t="e">
        <f t="shared" si="182"/>
        <v>#N/A</v>
      </c>
      <c r="BF172" s="63"/>
      <c r="BT172" s="194" t="str">
        <f t="shared" ca="1" si="165"/>
        <v/>
      </c>
      <c r="BU172" s="219" t="str">
        <f>IFERROR(IF(BX172=0,"",COUNTIF(BX$4:BX$600,"&gt;"&amp;BX172)+COUNTIF(BX$4:BX172,BX172)),"")</f>
        <v/>
      </c>
      <c r="BV172" s="42" t="str">
        <f t="shared" si="166"/>
        <v>CUBARMIX</v>
      </c>
      <c r="BW172" t="e">
        <f>IF(IF(CE$2="Catégorie",IF(CE$3="Toutes",SUMIFS('Étape 1 - à remplir'!$F$31:$F$400,'Étape 1 - à remplir'!$E$31:$E$400,MASQ2!BV172,'Étape 1 - à remplir'!$G$31:$G$400,"lots"),SUMIFS('Étape 1 - à remplir'!$F$31:$F$400,'Étape 1 - à remplir'!$E$31:$E$400,MASQ2!BV172,'Étape 1 - à remplir'!$C$31:$C$400,CE$3)),IF(CE$2="Âge",IF(CE$3="Tous",SUMIFS('Étape 1 - à remplir'!$F$31:$F$400,'Étape 1 - à remplir'!$E$31:$E$400,MASQ2!BV172,'Étape 1 - à remplir'!$G$31:$G$400,"lots"),SUMIFS('Étape 1 - à remplir'!$F$31:$F$400,'Étape 1 - à remplir'!$E$31:$E$400,MASQ2!BV172,'Étape 1 - à remplir'!$P$31:$P$400,CE$3,'Étape 1 - à remplir'!$G$31:$G$400,"lots")),IF(CE$2="Atelier",IF(CE$3="Tous",SUMIFS('Étape 1 - à remplir'!$F$31:$F$400,'Étape 1 - à remplir'!$E$31:$E$400,MASQ2!BV172,'Étape 1 - à remplir'!$G$31:$G$400,"lots"),SUMIFS('Étape 1 - à remplir'!$F$31:$F$400,'Étape 1 - à remplir'!$E$31:$E$400,MASQ2!BV172,'Étape 1 - à remplir'!$O$31:$O$400,CE$3,'Étape 1 - à remplir'!$G$31:$G$400,"lots")),IF(CE$2="Espèce",IF(CE$3="Toutes",SUMIFS('Étape 1 - à remplir'!$F$31:$F$400,'Étape 1 - à remplir'!$E$31:$E$400,MASQ2!BV172,'Étape 1 - à remplir'!$G$31:$G$400,"lots"),SUMIFS('Étape 1 - à remplir'!$F$31:$F$400,'Étape 1 - à remplir'!$E$31:$E$400,MASQ2!BV172,'Étape 1 - à remplir'!$N$31:$N$400,CE$3,'Étape 1 - à remplir'!$G$31:$G$400,"lots"))))))=0,NA(),IF(CE$2="Catégorie",IF(CE$3="Toutes",SUMIFS('Étape 1 - à remplir'!$F$31:$F$400,'Étape 1 - à remplir'!$E$31:$E$400,MASQ2!BV172,'Étape 1 - à remplir'!$G$31:$G$400,"lots"),SUMIFS('Étape 1 - à remplir'!$F$31:$F$400,'Étape 1 - à remplir'!$E$31:$E$400,MASQ2!BV172,'Étape 1 - à remplir'!$C$31:$C$400,CE$3)),IF(CE$2="Âge",IF(CE$3="Tous",SUMIFS('Étape 1 - à remplir'!$F$31:$F$400,'Étape 1 - à remplir'!$E$31:$E$400,MASQ2!BV172,'Étape 1 - à remplir'!$G$31:$G$400,"lots"),SUMIFS('Étape 1 - à remplir'!$F$31:$F$400,'Étape 1 - à remplir'!$E$31:$E$400,MASQ2!BV172,'Étape 1 - à remplir'!$P$31:$P$400,CE$3,'Étape 1 - à remplir'!$G$31:$G$400,"lots")),IF(CE$2="Atelier",IF(CE$3="Tous",SUMIFS('Étape 1 - à remplir'!$F$31:$F$400,'Étape 1 - à remplir'!$E$31:$E$400,MASQ2!BV172,'Étape 1 - à remplir'!$G$31:$G$400,"lots"),SUMIFS('Étape 1 - à remplir'!$F$31:$F$400,'Étape 1 - à remplir'!$E$31:$E$400,MASQ2!BV172,'Étape 1 - à remplir'!$O$31:$O$400,CE$3,'Étape 1 - à remplir'!$G$31:$G$400,"lots")),IF(CE$2="Espèce",IF(CE$3="Toutes",SUMIFS('Étape 1 - à remplir'!$F$31:$F$400,'Étape 1 - à remplir'!$E$31:$E$400,MASQ2!BV172,'Étape 1 - à remplir'!$G$31:$G$400,"lots"),SUMIFS('Étape 1 - à remplir'!$F$31:$F$400,'Étape 1 - à remplir'!$E$31:$E$400,MASQ2!BV172,'Étape 1 - à remplir'!$N$31:$N$400,CE$3,'Étape 1 - à remplir'!$G$31:$G$400,"lots")))))))</f>
        <v>#N/A</v>
      </c>
      <c r="BX172">
        <f t="shared" si="183"/>
        <v>0</v>
      </c>
      <c r="BY172" t="str">
        <f t="shared" si="167"/>
        <v>Sulfadiazine</v>
      </c>
      <c r="BZ172" t="str">
        <f t="shared" si="168"/>
        <v>Triméthoprime</v>
      </c>
      <c r="CA172" t="str">
        <f t="shared" si="169"/>
        <v/>
      </c>
      <c r="CB172" t="str">
        <f t="shared" si="170"/>
        <v>Sulfamides</v>
      </c>
      <c r="CC172" t="str">
        <f t="shared" si="171"/>
        <v>Trimethoprime</v>
      </c>
      <c r="CD172" s="63" t="str">
        <f t="shared" si="172"/>
        <v/>
      </c>
      <c r="CG172" s="42">
        <v>169</v>
      </c>
      <c r="CH172" s="42" t="e">
        <f t="shared" si="188"/>
        <v>#N/A</v>
      </c>
      <c r="CI172" s="63" t="e">
        <f t="shared" si="189"/>
        <v>#N/A</v>
      </c>
      <c r="DM172" s="63"/>
      <c r="EA172" s="194" t="str">
        <f t="shared" ca="1" si="173"/>
        <v/>
      </c>
      <c r="EB172" s="226" t="str">
        <f>IFERROR(IF(ED172=0,"",COUNTIF(ED$4:ED$600,"&gt;"&amp;ED172)+COUNTIF(ED$4:ED172,ED172)),"")</f>
        <v/>
      </c>
      <c r="EC172" t="str">
        <f t="shared" si="174"/>
        <v>CUBARMIX</v>
      </c>
      <c r="ED172" t="e">
        <f>IF(IF(EL$2="Catégorie",IF(EL$3="Toutes",SUMIFS('Étape 1 - à remplir'!$F$31:$F$400,'Étape 1 - à remplir'!$E$31:$E$400,MASQ2!EC172,'Étape 1 - à remplir'!$G$31:$G$400,"kg"),SUMIFS('Étape 1 - à remplir'!$F$31:$F$400,'Étape 1 - à remplir'!$E$31:$E$400,MASQ2!EC172,'Étape 1 - à remplir'!$C$31:$C$400,EL$3)),IF(EL$2="Âge",IF(EL$3="Tous",SUMIFS('Étape 1 - à remplir'!$F$31:$F$400,'Étape 1 - à remplir'!$E$31:$E$400,MASQ2!EC172,'Étape 1 - à remplir'!$G$31:$G$400,"kg"),SUMIFS('Étape 1 - à remplir'!$F$31:$F$400,'Étape 1 - à remplir'!$E$31:$E$400,MASQ2!EC172,'Étape 1 - à remplir'!$P$31:$P$400,EL$3,'Étape 1 - à remplir'!$G$31:$G$400,"kg")),IF(EL$2="Atelier",IF(EL$3="Tous",SUMIFS('Étape 1 - à remplir'!$F$31:$F$400,'Étape 1 - à remplir'!$E$31:$E$400,MASQ2!EC172,'Étape 1 - à remplir'!$G$31:$G$400,"kg"),SUMIFS('Étape 1 - à remplir'!$F$31:$F$400,'Étape 1 - à remplir'!$E$31:$E$400,MASQ2!EC172,'Étape 1 - à remplir'!$O$31:$O$400,EL$3,'Étape 1 - à remplir'!$G$31:$G$400,"kg")),IF(EL$2="Espèce",IF(EL$3="Toutes",SUMIFS('Étape 1 - à remplir'!$F$31:$F$400,'Étape 1 - à remplir'!$E$31:$E$400,MASQ2!EC172,'Étape 1 - à remplir'!$G$31:$G$400,"kg"),SUMIFS('Étape 1 - à remplir'!$F$31:$F$400,'Étape 1 - à remplir'!$E$31:$E$400,MASQ2!EC172,'Étape 1 - à remplir'!$N$31:$N$400,EL$3,'Étape 1 - à remplir'!$G$31:$G$400,"kg"))))))=0,NA(),IF(EL$2="Catégorie",IF(EL$3="Toutes",SUMIFS('Étape 1 - à remplir'!$F$31:$F$400,'Étape 1 - à remplir'!$E$31:$E$400,MASQ2!EC172,'Étape 1 - à remplir'!$G$31:$G$400,"kg"),SUMIFS('Étape 1 - à remplir'!$F$31:$F$400,'Étape 1 - à remplir'!$E$31:$E$400,MASQ2!EC172,'Étape 1 - à remplir'!$C$31:$C$400,EL$3)),IF(EL$2="Âge",IF(EL$3="Tous",SUMIFS('Étape 1 - à remplir'!$F$31:$F$400,'Étape 1 - à remplir'!$E$31:$E$400,MASQ2!EC172,'Étape 1 - à remplir'!$G$31:$G$400,"kg"),SUMIFS('Étape 1 - à remplir'!$F$31:$F$400,'Étape 1 - à remplir'!$E$31:$E$400,MASQ2!EC172,'Étape 1 - à remplir'!$P$31:$P$400,EL$3,'Étape 1 - à remplir'!$G$31:$G$400,"kg")),IF(EL$2="Atelier",IF(EL$3="Tous",SUMIFS('Étape 1 - à remplir'!$F$31:$F$400,'Étape 1 - à remplir'!$E$31:$E$400,MASQ2!EC172,'Étape 1 - à remplir'!$G$31:$G$400,"kg"),SUMIFS('Étape 1 - à remplir'!$F$31:$F$400,'Étape 1 - à remplir'!$E$31:$E$400,MASQ2!EC172,'Étape 1 - à remplir'!$O$31:$O$400,EL$3,'Étape 1 - à remplir'!$G$31:$G$400,"kg")),IF(EL$2="Espèce",IF(EL$3="Toutes",SUMIFS('Étape 1 - à remplir'!$F$31:$F$400,'Étape 1 - à remplir'!$E$31:$E$400,MASQ2!EC172,'Étape 1 - à remplir'!$G$31:$G$400,"kg"),SUMIFS('Étape 1 - à remplir'!$F$31:$F$400,'Étape 1 - à remplir'!$E$31:$E$400,MASQ2!EC172,'Étape 1 - à remplir'!$N$31:$N$400,EL$3,'Étape 1 - à remplir'!$G$31:$G$400,"kg")))))))</f>
        <v>#N/A</v>
      </c>
      <c r="EE172" s="76">
        <f t="shared" si="184"/>
        <v>0</v>
      </c>
      <c r="EF172" t="str">
        <f t="shared" si="175"/>
        <v>Sulfadiazine</v>
      </c>
      <c r="EG172" t="str">
        <f t="shared" si="176"/>
        <v>Triméthoprime</v>
      </c>
      <c r="EH172" t="str">
        <f t="shared" si="177"/>
        <v/>
      </c>
      <c r="EI172" t="str">
        <f t="shared" si="178"/>
        <v>Sulfamides</v>
      </c>
      <c r="EJ172" t="str">
        <f t="shared" si="179"/>
        <v>Trimethoprime</v>
      </c>
      <c r="EK172" s="63" t="str">
        <f t="shared" si="180"/>
        <v/>
      </c>
      <c r="EN172" s="42">
        <v>169</v>
      </c>
      <c r="EO172" t="e">
        <f t="shared" si="186"/>
        <v>#N/A</v>
      </c>
      <c r="EP172" s="63" t="e">
        <f t="shared" si="187"/>
        <v>#N/A</v>
      </c>
      <c r="FT172" s="63"/>
    </row>
    <row r="173" spans="2:176" x14ac:dyDescent="0.3">
      <c r="B173" s="42"/>
      <c r="M173" s="194" t="str">
        <f ca="1">INDEX(Données_ATB!BD:BU,MATCH(MASQ2!O173,Données_ATB!BD:BD,0),18)</f>
        <v/>
      </c>
      <c r="N173" s="14" t="str">
        <f>IFERROR(IF(Q173=0,"",COUNTIF(Q$4:Q$600,"&gt;"&amp;Q173)+COUNTIF(Q$4:Q173,Q173)),"")</f>
        <v/>
      </c>
      <c r="O173" t="str">
        <f>Données_ATB!BD172</f>
        <v>CUNICOXIL</v>
      </c>
      <c r="P173" t="e">
        <f>IF(IF(X$2="Catégorie",IF(X$3="Toutes",SUMIFS('Étape 1 - à remplir'!$F$31:$F$400,'Étape 1 - à remplir'!$E$31:$E$400,MASQ2!O173,'Étape 1 - à remplir'!$G$31:$G$400,"animaux"),SUMIFS('Étape 1 - à remplir'!$F$31:$F$400,'Étape 1 - à remplir'!$E$31:$E$400,MASQ2!O173,'Étape 1 - à remplir'!$C$31:$C$400,X$3)),IF(X$2="Âge",IF(X$3="Tous",SUMIFS('Étape 1 - à remplir'!$F$31:$F$400,'Étape 1 - à remplir'!$E$31:$E$400,MASQ2!O173,'Étape 1 - à remplir'!$G$31:$G$400,"animaux"),SUMIFS('Étape 1 - à remplir'!$F$31:$F$400,'Étape 1 - à remplir'!$E$31:$E$400,MASQ2!O173,'Étape 1 - à remplir'!$P$31:$P$400,X$3)),IF(X$2="Atelier",IF(X$3="Tous",SUMIFS('Étape 1 - à remplir'!$F$31:$F$400,'Étape 1 - à remplir'!$E$31:$E$400,MASQ2!O173,'Étape 1 - à remplir'!$G$31:$G$400,"animaux"),SUMIFS('Étape 1 - à remplir'!$F$31:$F$400,'Étape 1 - à remplir'!$E$31:$E$400,MASQ2!O173,'Étape 1 - à remplir'!$O$31:$O$400,X$3)),IF(X$2="Espèce",IF(X$3="Toutes",SUMIFS('Étape 1 - à remplir'!$F$31:$F$400,'Étape 1 - à remplir'!$E$31:$E$400,MASQ2!O173,'Étape 1 - à remplir'!$G$31:$G$400,"animaux"),SUMIFS('Étape 1 - à remplir'!$F$31:$F$400,'Étape 1 - à remplir'!$E$31:$E$400,MASQ2!O173,'Étape 1 - à remplir'!$N$31:$N$400,X$3))))))=0,NA(),IF(X$2="Catégorie",IF(X$3="Toutes",SUMIFS('Étape 1 - à remplir'!$F$31:$F$400,'Étape 1 - à remplir'!$E$31:$E$400,MASQ2!O173,'Étape 1 - à remplir'!$G$31:$G$400,"animaux"),SUMIFS('Étape 1 - à remplir'!$F$31:$F$400,'Étape 1 - à remplir'!$E$31:$E$400,MASQ2!O173,'Étape 1 - à remplir'!$C$31:$C$400,X$3)),IF(X$2="Âge",IF(X$3="Tous",SUMIFS('Étape 1 - à remplir'!$F$31:$F$400,'Étape 1 - à remplir'!$E$31:$E$400,MASQ2!O173,'Étape 1 - à remplir'!$G$31:$G$400,"animaux"),SUMIFS('Étape 1 - à remplir'!$F$31:$F$400,'Étape 1 - à remplir'!$E$31:$E$400,MASQ2!O173,'Étape 1 - à remplir'!$P$31:$P$400,X$3)),IF(X$2="Atelier",IF(X$3="Tous",SUMIFS('Étape 1 - à remplir'!$F$31:$F$400,'Étape 1 - à remplir'!$E$31:$E$400,MASQ2!O173,'Étape 1 - à remplir'!$G$31:$G$400,"animaux"),SUMIFS('Étape 1 - à remplir'!$F$31:$F$400,'Étape 1 - à remplir'!$E$31:$E$400,MASQ2!O173,'Étape 1 - à remplir'!$O$31:$O$400,X$3)),IF(X$2="Espèce",IF(X$3="Toutes",SUMIFS('Étape 1 - à remplir'!$F$31:$F$400,'Étape 1 - à remplir'!$E$31:$E$400,MASQ2!O173,'Étape 1 - à remplir'!$G$31:$G$400,"animaux"),SUMIFS('Étape 1 - à remplir'!$F$31:$F$400,'Étape 1 - à remplir'!$E$31:$E$400,MASQ2!O173,'Étape 1 - à remplir'!$N$31:$N$400,X$3)))))))</f>
        <v>#N/A</v>
      </c>
      <c r="Q173" s="63">
        <f t="shared" si="185"/>
        <v>0</v>
      </c>
      <c r="R173" t="str">
        <f>Données_ATB!BM172</f>
        <v>Sulfadiméthoxine</v>
      </c>
      <c r="S173" t="str">
        <f>Données_ATB!BN172</f>
        <v/>
      </c>
      <c r="T173" s="63" t="str">
        <f>Données_ATB!BO172</f>
        <v/>
      </c>
      <c r="U173" s="42" t="str">
        <f>Données_ATB!BQ172</f>
        <v>Sulfamides</v>
      </c>
      <c r="V173" t="str">
        <f>Données_ATB!BR172</f>
        <v/>
      </c>
      <c r="W173" s="63" t="str">
        <f>Données_ATB!BS172</f>
        <v/>
      </c>
      <c r="Z173" s="42">
        <v>170</v>
      </c>
      <c r="AA173" t="e">
        <f t="shared" si="181"/>
        <v>#N/A</v>
      </c>
      <c r="AB173" s="63" t="e">
        <f t="shared" si="182"/>
        <v>#N/A</v>
      </c>
      <c r="BF173" s="63"/>
      <c r="BT173" s="194" t="str">
        <f t="shared" ca="1" si="165"/>
        <v/>
      </c>
      <c r="BU173" s="219" t="str">
        <f>IFERROR(IF(BX173=0,"",COUNTIF(BX$4:BX$600,"&gt;"&amp;BX173)+COUNTIF(BX$4:BX173,BX173)),"")</f>
        <v/>
      </c>
      <c r="BV173" s="42" t="str">
        <f t="shared" si="166"/>
        <v>CUNICOXIL</v>
      </c>
      <c r="BW173" t="e">
        <f>IF(IF(CE$2="Catégorie",IF(CE$3="Toutes",SUMIFS('Étape 1 - à remplir'!$F$31:$F$400,'Étape 1 - à remplir'!$E$31:$E$400,MASQ2!BV173,'Étape 1 - à remplir'!$G$31:$G$400,"lots"),SUMIFS('Étape 1 - à remplir'!$F$31:$F$400,'Étape 1 - à remplir'!$E$31:$E$400,MASQ2!BV173,'Étape 1 - à remplir'!$C$31:$C$400,CE$3)),IF(CE$2="Âge",IF(CE$3="Tous",SUMIFS('Étape 1 - à remplir'!$F$31:$F$400,'Étape 1 - à remplir'!$E$31:$E$400,MASQ2!BV173,'Étape 1 - à remplir'!$G$31:$G$400,"lots"),SUMIFS('Étape 1 - à remplir'!$F$31:$F$400,'Étape 1 - à remplir'!$E$31:$E$400,MASQ2!BV173,'Étape 1 - à remplir'!$P$31:$P$400,CE$3,'Étape 1 - à remplir'!$G$31:$G$400,"lots")),IF(CE$2="Atelier",IF(CE$3="Tous",SUMIFS('Étape 1 - à remplir'!$F$31:$F$400,'Étape 1 - à remplir'!$E$31:$E$400,MASQ2!BV173,'Étape 1 - à remplir'!$G$31:$G$400,"lots"),SUMIFS('Étape 1 - à remplir'!$F$31:$F$400,'Étape 1 - à remplir'!$E$31:$E$400,MASQ2!BV173,'Étape 1 - à remplir'!$O$31:$O$400,CE$3,'Étape 1 - à remplir'!$G$31:$G$400,"lots")),IF(CE$2="Espèce",IF(CE$3="Toutes",SUMIFS('Étape 1 - à remplir'!$F$31:$F$400,'Étape 1 - à remplir'!$E$31:$E$400,MASQ2!BV173,'Étape 1 - à remplir'!$G$31:$G$400,"lots"),SUMIFS('Étape 1 - à remplir'!$F$31:$F$400,'Étape 1 - à remplir'!$E$31:$E$400,MASQ2!BV173,'Étape 1 - à remplir'!$N$31:$N$400,CE$3,'Étape 1 - à remplir'!$G$31:$G$400,"lots"))))))=0,NA(),IF(CE$2="Catégorie",IF(CE$3="Toutes",SUMIFS('Étape 1 - à remplir'!$F$31:$F$400,'Étape 1 - à remplir'!$E$31:$E$400,MASQ2!BV173,'Étape 1 - à remplir'!$G$31:$G$400,"lots"),SUMIFS('Étape 1 - à remplir'!$F$31:$F$400,'Étape 1 - à remplir'!$E$31:$E$400,MASQ2!BV173,'Étape 1 - à remplir'!$C$31:$C$400,CE$3)),IF(CE$2="Âge",IF(CE$3="Tous",SUMIFS('Étape 1 - à remplir'!$F$31:$F$400,'Étape 1 - à remplir'!$E$31:$E$400,MASQ2!BV173,'Étape 1 - à remplir'!$G$31:$G$400,"lots"),SUMIFS('Étape 1 - à remplir'!$F$31:$F$400,'Étape 1 - à remplir'!$E$31:$E$400,MASQ2!BV173,'Étape 1 - à remplir'!$P$31:$P$400,CE$3,'Étape 1 - à remplir'!$G$31:$G$400,"lots")),IF(CE$2="Atelier",IF(CE$3="Tous",SUMIFS('Étape 1 - à remplir'!$F$31:$F$400,'Étape 1 - à remplir'!$E$31:$E$400,MASQ2!BV173,'Étape 1 - à remplir'!$G$31:$G$400,"lots"),SUMIFS('Étape 1 - à remplir'!$F$31:$F$400,'Étape 1 - à remplir'!$E$31:$E$400,MASQ2!BV173,'Étape 1 - à remplir'!$O$31:$O$400,CE$3,'Étape 1 - à remplir'!$G$31:$G$400,"lots")),IF(CE$2="Espèce",IF(CE$3="Toutes",SUMIFS('Étape 1 - à remplir'!$F$31:$F$400,'Étape 1 - à remplir'!$E$31:$E$400,MASQ2!BV173,'Étape 1 - à remplir'!$G$31:$G$400,"lots"),SUMIFS('Étape 1 - à remplir'!$F$31:$F$400,'Étape 1 - à remplir'!$E$31:$E$400,MASQ2!BV173,'Étape 1 - à remplir'!$N$31:$N$400,CE$3,'Étape 1 - à remplir'!$G$31:$G$400,"lots")))))))</f>
        <v>#N/A</v>
      </c>
      <c r="BX173">
        <f t="shared" si="183"/>
        <v>0</v>
      </c>
      <c r="BY173" t="str">
        <f t="shared" si="167"/>
        <v>Sulfadiméthoxine</v>
      </c>
      <c r="BZ173" t="str">
        <f t="shared" si="168"/>
        <v/>
      </c>
      <c r="CA173" t="str">
        <f t="shared" si="169"/>
        <v/>
      </c>
      <c r="CB173" t="str">
        <f t="shared" si="170"/>
        <v>Sulfamides</v>
      </c>
      <c r="CC173" t="str">
        <f t="shared" si="171"/>
        <v/>
      </c>
      <c r="CD173" s="63" t="str">
        <f t="shared" si="172"/>
        <v/>
      </c>
      <c r="CG173" s="42">
        <v>170</v>
      </c>
      <c r="CH173" s="42" t="e">
        <f t="shared" si="188"/>
        <v>#N/A</v>
      </c>
      <c r="CI173" s="63" t="e">
        <f t="shared" si="189"/>
        <v>#N/A</v>
      </c>
      <c r="DM173" s="63"/>
      <c r="EA173" s="194" t="str">
        <f t="shared" ca="1" si="173"/>
        <v/>
      </c>
      <c r="EB173" s="226" t="str">
        <f>IFERROR(IF(ED173=0,"",COUNTIF(ED$4:ED$600,"&gt;"&amp;ED173)+COUNTIF(ED$4:ED173,ED173)),"")</f>
        <v/>
      </c>
      <c r="EC173" t="str">
        <f t="shared" si="174"/>
        <v>CUNICOXIL</v>
      </c>
      <c r="ED173" t="e">
        <f>IF(IF(EL$2="Catégorie",IF(EL$3="Toutes",SUMIFS('Étape 1 - à remplir'!$F$31:$F$400,'Étape 1 - à remplir'!$E$31:$E$400,MASQ2!EC173,'Étape 1 - à remplir'!$G$31:$G$400,"kg"),SUMIFS('Étape 1 - à remplir'!$F$31:$F$400,'Étape 1 - à remplir'!$E$31:$E$400,MASQ2!EC173,'Étape 1 - à remplir'!$C$31:$C$400,EL$3)),IF(EL$2="Âge",IF(EL$3="Tous",SUMIFS('Étape 1 - à remplir'!$F$31:$F$400,'Étape 1 - à remplir'!$E$31:$E$400,MASQ2!EC173,'Étape 1 - à remplir'!$G$31:$G$400,"kg"),SUMIFS('Étape 1 - à remplir'!$F$31:$F$400,'Étape 1 - à remplir'!$E$31:$E$400,MASQ2!EC173,'Étape 1 - à remplir'!$P$31:$P$400,EL$3,'Étape 1 - à remplir'!$G$31:$G$400,"kg")),IF(EL$2="Atelier",IF(EL$3="Tous",SUMIFS('Étape 1 - à remplir'!$F$31:$F$400,'Étape 1 - à remplir'!$E$31:$E$400,MASQ2!EC173,'Étape 1 - à remplir'!$G$31:$G$400,"kg"),SUMIFS('Étape 1 - à remplir'!$F$31:$F$400,'Étape 1 - à remplir'!$E$31:$E$400,MASQ2!EC173,'Étape 1 - à remplir'!$O$31:$O$400,EL$3,'Étape 1 - à remplir'!$G$31:$G$400,"kg")),IF(EL$2="Espèce",IF(EL$3="Toutes",SUMIFS('Étape 1 - à remplir'!$F$31:$F$400,'Étape 1 - à remplir'!$E$31:$E$400,MASQ2!EC173,'Étape 1 - à remplir'!$G$31:$G$400,"kg"),SUMIFS('Étape 1 - à remplir'!$F$31:$F$400,'Étape 1 - à remplir'!$E$31:$E$400,MASQ2!EC173,'Étape 1 - à remplir'!$N$31:$N$400,EL$3,'Étape 1 - à remplir'!$G$31:$G$400,"kg"))))))=0,NA(),IF(EL$2="Catégorie",IF(EL$3="Toutes",SUMIFS('Étape 1 - à remplir'!$F$31:$F$400,'Étape 1 - à remplir'!$E$31:$E$400,MASQ2!EC173,'Étape 1 - à remplir'!$G$31:$G$400,"kg"),SUMIFS('Étape 1 - à remplir'!$F$31:$F$400,'Étape 1 - à remplir'!$E$31:$E$400,MASQ2!EC173,'Étape 1 - à remplir'!$C$31:$C$400,EL$3)),IF(EL$2="Âge",IF(EL$3="Tous",SUMIFS('Étape 1 - à remplir'!$F$31:$F$400,'Étape 1 - à remplir'!$E$31:$E$400,MASQ2!EC173,'Étape 1 - à remplir'!$G$31:$G$400,"kg"),SUMIFS('Étape 1 - à remplir'!$F$31:$F$400,'Étape 1 - à remplir'!$E$31:$E$400,MASQ2!EC173,'Étape 1 - à remplir'!$P$31:$P$400,EL$3,'Étape 1 - à remplir'!$G$31:$G$400,"kg")),IF(EL$2="Atelier",IF(EL$3="Tous",SUMIFS('Étape 1 - à remplir'!$F$31:$F$400,'Étape 1 - à remplir'!$E$31:$E$400,MASQ2!EC173,'Étape 1 - à remplir'!$G$31:$G$400,"kg"),SUMIFS('Étape 1 - à remplir'!$F$31:$F$400,'Étape 1 - à remplir'!$E$31:$E$400,MASQ2!EC173,'Étape 1 - à remplir'!$O$31:$O$400,EL$3,'Étape 1 - à remplir'!$G$31:$G$400,"kg")),IF(EL$2="Espèce",IF(EL$3="Toutes",SUMIFS('Étape 1 - à remplir'!$F$31:$F$400,'Étape 1 - à remplir'!$E$31:$E$400,MASQ2!EC173,'Étape 1 - à remplir'!$G$31:$G$400,"kg"),SUMIFS('Étape 1 - à remplir'!$F$31:$F$400,'Étape 1 - à remplir'!$E$31:$E$400,MASQ2!EC173,'Étape 1 - à remplir'!$N$31:$N$400,EL$3,'Étape 1 - à remplir'!$G$31:$G$400,"kg")))))))</f>
        <v>#N/A</v>
      </c>
      <c r="EE173" s="76">
        <f t="shared" si="184"/>
        <v>0</v>
      </c>
      <c r="EF173" t="str">
        <f t="shared" si="175"/>
        <v>Sulfadiméthoxine</v>
      </c>
      <c r="EG173" t="str">
        <f t="shared" si="176"/>
        <v/>
      </c>
      <c r="EH173" t="str">
        <f t="shared" si="177"/>
        <v/>
      </c>
      <c r="EI173" t="str">
        <f t="shared" si="178"/>
        <v>Sulfamides</v>
      </c>
      <c r="EJ173" t="str">
        <f t="shared" si="179"/>
        <v/>
      </c>
      <c r="EK173" s="63" t="str">
        <f t="shared" si="180"/>
        <v/>
      </c>
      <c r="EN173" s="42">
        <v>170</v>
      </c>
      <c r="EO173" t="e">
        <f t="shared" si="186"/>
        <v>#N/A</v>
      </c>
      <c r="EP173" s="63" t="e">
        <f t="shared" si="187"/>
        <v>#N/A</v>
      </c>
      <c r="FT173" s="63"/>
    </row>
    <row r="174" spans="2:176" x14ac:dyDescent="0.3">
      <c r="B174" s="42"/>
      <c r="M174" s="194" t="str">
        <f ca="1">INDEX(Données_ATB!BD:BU,MATCH(MASQ2!O174,Données_ATB!BD:BD,0),18)</f>
        <v/>
      </c>
      <c r="N174" s="14" t="str">
        <f>IFERROR(IF(Q174=0,"",COUNTIF(Q$4:Q$600,"&gt;"&amp;Q174)+COUNTIF(Q$4:Q174,Q174)),"")</f>
        <v/>
      </c>
      <c r="O174" t="str">
        <f>Données_ATB!BD173</f>
        <v>CYCLO SPRAY</v>
      </c>
      <c r="P174" t="e">
        <f>IF(IF(X$2="Catégorie",IF(X$3="Toutes",SUMIFS('Étape 1 - à remplir'!$F$31:$F$400,'Étape 1 - à remplir'!$E$31:$E$400,MASQ2!O174,'Étape 1 - à remplir'!$G$31:$G$400,"animaux"),SUMIFS('Étape 1 - à remplir'!$F$31:$F$400,'Étape 1 - à remplir'!$E$31:$E$400,MASQ2!O174,'Étape 1 - à remplir'!$C$31:$C$400,X$3)),IF(X$2="Âge",IF(X$3="Tous",SUMIFS('Étape 1 - à remplir'!$F$31:$F$400,'Étape 1 - à remplir'!$E$31:$E$400,MASQ2!O174,'Étape 1 - à remplir'!$G$31:$G$400,"animaux"),SUMIFS('Étape 1 - à remplir'!$F$31:$F$400,'Étape 1 - à remplir'!$E$31:$E$400,MASQ2!O174,'Étape 1 - à remplir'!$P$31:$P$400,X$3)),IF(X$2="Atelier",IF(X$3="Tous",SUMIFS('Étape 1 - à remplir'!$F$31:$F$400,'Étape 1 - à remplir'!$E$31:$E$400,MASQ2!O174,'Étape 1 - à remplir'!$G$31:$G$400,"animaux"),SUMIFS('Étape 1 - à remplir'!$F$31:$F$400,'Étape 1 - à remplir'!$E$31:$E$400,MASQ2!O174,'Étape 1 - à remplir'!$O$31:$O$400,X$3)),IF(X$2="Espèce",IF(X$3="Toutes",SUMIFS('Étape 1 - à remplir'!$F$31:$F$400,'Étape 1 - à remplir'!$E$31:$E$400,MASQ2!O174,'Étape 1 - à remplir'!$G$31:$G$400,"animaux"),SUMIFS('Étape 1 - à remplir'!$F$31:$F$400,'Étape 1 - à remplir'!$E$31:$E$400,MASQ2!O174,'Étape 1 - à remplir'!$N$31:$N$400,X$3))))))=0,NA(),IF(X$2="Catégorie",IF(X$3="Toutes",SUMIFS('Étape 1 - à remplir'!$F$31:$F$400,'Étape 1 - à remplir'!$E$31:$E$400,MASQ2!O174,'Étape 1 - à remplir'!$G$31:$G$400,"animaux"),SUMIFS('Étape 1 - à remplir'!$F$31:$F$400,'Étape 1 - à remplir'!$E$31:$E$400,MASQ2!O174,'Étape 1 - à remplir'!$C$31:$C$400,X$3)),IF(X$2="Âge",IF(X$3="Tous",SUMIFS('Étape 1 - à remplir'!$F$31:$F$400,'Étape 1 - à remplir'!$E$31:$E$400,MASQ2!O174,'Étape 1 - à remplir'!$G$31:$G$400,"animaux"),SUMIFS('Étape 1 - à remplir'!$F$31:$F$400,'Étape 1 - à remplir'!$E$31:$E$400,MASQ2!O174,'Étape 1 - à remplir'!$P$31:$P$400,X$3)),IF(X$2="Atelier",IF(X$3="Tous",SUMIFS('Étape 1 - à remplir'!$F$31:$F$400,'Étape 1 - à remplir'!$E$31:$E$400,MASQ2!O174,'Étape 1 - à remplir'!$G$31:$G$400,"animaux"),SUMIFS('Étape 1 - à remplir'!$F$31:$F$400,'Étape 1 - à remplir'!$E$31:$E$400,MASQ2!O174,'Étape 1 - à remplir'!$O$31:$O$400,X$3)),IF(X$2="Espèce",IF(X$3="Toutes",SUMIFS('Étape 1 - à remplir'!$F$31:$F$400,'Étape 1 - à remplir'!$E$31:$E$400,MASQ2!O174,'Étape 1 - à remplir'!$G$31:$G$400,"animaux"),SUMIFS('Étape 1 - à remplir'!$F$31:$F$400,'Étape 1 - à remplir'!$E$31:$E$400,MASQ2!O174,'Étape 1 - à remplir'!$N$31:$N$400,X$3)))))))</f>
        <v>#N/A</v>
      </c>
      <c r="Q174" s="63">
        <f t="shared" si="185"/>
        <v>0</v>
      </c>
      <c r="R174" t="str">
        <f>Données_ATB!BM173</f>
        <v>Chlortétracycline</v>
      </c>
      <c r="S174" t="str">
        <f>Données_ATB!BN173</f>
        <v/>
      </c>
      <c r="T174" s="63" t="str">
        <f>Données_ATB!BO173</f>
        <v/>
      </c>
      <c r="U174" s="42" t="str">
        <f>Données_ATB!BQ173</f>
        <v>Tetracyclines</v>
      </c>
      <c r="V174" t="str">
        <f>Données_ATB!BR173</f>
        <v/>
      </c>
      <c r="W174" s="63" t="str">
        <f>Données_ATB!BS173</f>
        <v/>
      </c>
      <c r="Z174" s="42">
        <v>171</v>
      </c>
      <c r="AA174" t="e">
        <f t="shared" si="181"/>
        <v>#N/A</v>
      </c>
      <c r="AB174" s="63" t="e">
        <f t="shared" si="182"/>
        <v>#N/A</v>
      </c>
      <c r="BF174" s="63"/>
      <c r="BT174" s="194" t="str">
        <f t="shared" ca="1" si="165"/>
        <v/>
      </c>
      <c r="BU174" s="219" t="str">
        <f>IFERROR(IF(BX174=0,"",COUNTIF(BX$4:BX$600,"&gt;"&amp;BX174)+COUNTIF(BX$4:BX174,BX174)),"")</f>
        <v/>
      </c>
      <c r="BV174" s="42" t="str">
        <f t="shared" si="166"/>
        <v>CYCLO SPRAY</v>
      </c>
      <c r="BW174" t="e">
        <f>IF(IF(CE$2="Catégorie",IF(CE$3="Toutes",SUMIFS('Étape 1 - à remplir'!$F$31:$F$400,'Étape 1 - à remplir'!$E$31:$E$400,MASQ2!BV174,'Étape 1 - à remplir'!$G$31:$G$400,"lots"),SUMIFS('Étape 1 - à remplir'!$F$31:$F$400,'Étape 1 - à remplir'!$E$31:$E$400,MASQ2!BV174,'Étape 1 - à remplir'!$C$31:$C$400,CE$3)),IF(CE$2="Âge",IF(CE$3="Tous",SUMIFS('Étape 1 - à remplir'!$F$31:$F$400,'Étape 1 - à remplir'!$E$31:$E$400,MASQ2!BV174,'Étape 1 - à remplir'!$G$31:$G$400,"lots"),SUMIFS('Étape 1 - à remplir'!$F$31:$F$400,'Étape 1 - à remplir'!$E$31:$E$400,MASQ2!BV174,'Étape 1 - à remplir'!$P$31:$P$400,CE$3,'Étape 1 - à remplir'!$G$31:$G$400,"lots")),IF(CE$2="Atelier",IF(CE$3="Tous",SUMIFS('Étape 1 - à remplir'!$F$31:$F$400,'Étape 1 - à remplir'!$E$31:$E$400,MASQ2!BV174,'Étape 1 - à remplir'!$G$31:$G$400,"lots"),SUMIFS('Étape 1 - à remplir'!$F$31:$F$400,'Étape 1 - à remplir'!$E$31:$E$400,MASQ2!BV174,'Étape 1 - à remplir'!$O$31:$O$400,CE$3,'Étape 1 - à remplir'!$G$31:$G$400,"lots")),IF(CE$2="Espèce",IF(CE$3="Toutes",SUMIFS('Étape 1 - à remplir'!$F$31:$F$400,'Étape 1 - à remplir'!$E$31:$E$400,MASQ2!BV174,'Étape 1 - à remplir'!$G$31:$G$400,"lots"),SUMIFS('Étape 1 - à remplir'!$F$31:$F$400,'Étape 1 - à remplir'!$E$31:$E$400,MASQ2!BV174,'Étape 1 - à remplir'!$N$31:$N$400,CE$3,'Étape 1 - à remplir'!$G$31:$G$400,"lots"))))))=0,NA(),IF(CE$2="Catégorie",IF(CE$3="Toutes",SUMIFS('Étape 1 - à remplir'!$F$31:$F$400,'Étape 1 - à remplir'!$E$31:$E$400,MASQ2!BV174,'Étape 1 - à remplir'!$G$31:$G$400,"lots"),SUMIFS('Étape 1 - à remplir'!$F$31:$F$400,'Étape 1 - à remplir'!$E$31:$E$400,MASQ2!BV174,'Étape 1 - à remplir'!$C$31:$C$400,CE$3)),IF(CE$2="Âge",IF(CE$3="Tous",SUMIFS('Étape 1 - à remplir'!$F$31:$F$400,'Étape 1 - à remplir'!$E$31:$E$400,MASQ2!BV174,'Étape 1 - à remplir'!$G$31:$G$400,"lots"),SUMIFS('Étape 1 - à remplir'!$F$31:$F$400,'Étape 1 - à remplir'!$E$31:$E$400,MASQ2!BV174,'Étape 1 - à remplir'!$P$31:$P$400,CE$3,'Étape 1 - à remplir'!$G$31:$G$400,"lots")),IF(CE$2="Atelier",IF(CE$3="Tous",SUMIFS('Étape 1 - à remplir'!$F$31:$F$400,'Étape 1 - à remplir'!$E$31:$E$400,MASQ2!BV174,'Étape 1 - à remplir'!$G$31:$G$400,"lots"),SUMIFS('Étape 1 - à remplir'!$F$31:$F$400,'Étape 1 - à remplir'!$E$31:$E$400,MASQ2!BV174,'Étape 1 - à remplir'!$O$31:$O$400,CE$3,'Étape 1 - à remplir'!$G$31:$G$400,"lots")),IF(CE$2="Espèce",IF(CE$3="Toutes",SUMIFS('Étape 1 - à remplir'!$F$31:$F$400,'Étape 1 - à remplir'!$E$31:$E$400,MASQ2!BV174,'Étape 1 - à remplir'!$G$31:$G$400,"lots"),SUMIFS('Étape 1 - à remplir'!$F$31:$F$400,'Étape 1 - à remplir'!$E$31:$E$400,MASQ2!BV174,'Étape 1 - à remplir'!$N$31:$N$400,CE$3,'Étape 1 - à remplir'!$G$31:$G$400,"lots")))))))</f>
        <v>#N/A</v>
      </c>
      <c r="BX174">
        <f t="shared" si="183"/>
        <v>0</v>
      </c>
      <c r="BY174" t="str">
        <f t="shared" si="167"/>
        <v>Chlortétracycline</v>
      </c>
      <c r="BZ174" t="str">
        <f t="shared" si="168"/>
        <v/>
      </c>
      <c r="CA174" t="str">
        <f t="shared" si="169"/>
        <v/>
      </c>
      <c r="CB174" t="str">
        <f t="shared" si="170"/>
        <v>Tetracyclines</v>
      </c>
      <c r="CC174" t="str">
        <f t="shared" si="171"/>
        <v/>
      </c>
      <c r="CD174" s="63" t="str">
        <f t="shared" si="172"/>
        <v/>
      </c>
      <c r="CG174" s="42">
        <v>171</v>
      </c>
      <c r="CH174" s="42" t="e">
        <f t="shared" si="188"/>
        <v>#N/A</v>
      </c>
      <c r="CI174" s="63" t="e">
        <f t="shared" si="189"/>
        <v>#N/A</v>
      </c>
      <c r="DM174" s="63"/>
      <c r="EA174" s="194" t="str">
        <f t="shared" ca="1" si="173"/>
        <v/>
      </c>
      <c r="EB174" s="226" t="str">
        <f>IFERROR(IF(ED174=0,"",COUNTIF(ED$4:ED$600,"&gt;"&amp;ED174)+COUNTIF(ED$4:ED174,ED174)),"")</f>
        <v/>
      </c>
      <c r="EC174" t="str">
        <f t="shared" si="174"/>
        <v>CYCLO SPRAY</v>
      </c>
      <c r="ED174" t="e">
        <f>IF(IF(EL$2="Catégorie",IF(EL$3="Toutes",SUMIFS('Étape 1 - à remplir'!$F$31:$F$400,'Étape 1 - à remplir'!$E$31:$E$400,MASQ2!EC174,'Étape 1 - à remplir'!$G$31:$G$400,"kg"),SUMIFS('Étape 1 - à remplir'!$F$31:$F$400,'Étape 1 - à remplir'!$E$31:$E$400,MASQ2!EC174,'Étape 1 - à remplir'!$C$31:$C$400,EL$3)),IF(EL$2="Âge",IF(EL$3="Tous",SUMIFS('Étape 1 - à remplir'!$F$31:$F$400,'Étape 1 - à remplir'!$E$31:$E$400,MASQ2!EC174,'Étape 1 - à remplir'!$G$31:$G$400,"kg"),SUMIFS('Étape 1 - à remplir'!$F$31:$F$400,'Étape 1 - à remplir'!$E$31:$E$400,MASQ2!EC174,'Étape 1 - à remplir'!$P$31:$P$400,EL$3,'Étape 1 - à remplir'!$G$31:$G$400,"kg")),IF(EL$2="Atelier",IF(EL$3="Tous",SUMIFS('Étape 1 - à remplir'!$F$31:$F$400,'Étape 1 - à remplir'!$E$31:$E$400,MASQ2!EC174,'Étape 1 - à remplir'!$G$31:$G$400,"kg"),SUMIFS('Étape 1 - à remplir'!$F$31:$F$400,'Étape 1 - à remplir'!$E$31:$E$400,MASQ2!EC174,'Étape 1 - à remplir'!$O$31:$O$400,EL$3,'Étape 1 - à remplir'!$G$31:$G$400,"kg")),IF(EL$2="Espèce",IF(EL$3="Toutes",SUMIFS('Étape 1 - à remplir'!$F$31:$F$400,'Étape 1 - à remplir'!$E$31:$E$400,MASQ2!EC174,'Étape 1 - à remplir'!$G$31:$G$400,"kg"),SUMIFS('Étape 1 - à remplir'!$F$31:$F$400,'Étape 1 - à remplir'!$E$31:$E$400,MASQ2!EC174,'Étape 1 - à remplir'!$N$31:$N$400,EL$3,'Étape 1 - à remplir'!$G$31:$G$400,"kg"))))))=0,NA(),IF(EL$2="Catégorie",IF(EL$3="Toutes",SUMIFS('Étape 1 - à remplir'!$F$31:$F$400,'Étape 1 - à remplir'!$E$31:$E$400,MASQ2!EC174,'Étape 1 - à remplir'!$G$31:$G$400,"kg"),SUMIFS('Étape 1 - à remplir'!$F$31:$F$400,'Étape 1 - à remplir'!$E$31:$E$400,MASQ2!EC174,'Étape 1 - à remplir'!$C$31:$C$400,EL$3)),IF(EL$2="Âge",IF(EL$3="Tous",SUMIFS('Étape 1 - à remplir'!$F$31:$F$400,'Étape 1 - à remplir'!$E$31:$E$400,MASQ2!EC174,'Étape 1 - à remplir'!$G$31:$G$400,"kg"),SUMIFS('Étape 1 - à remplir'!$F$31:$F$400,'Étape 1 - à remplir'!$E$31:$E$400,MASQ2!EC174,'Étape 1 - à remplir'!$P$31:$P$400,EL$3,'Étape 1 - à remplir'!$G$31:$G$400,"kg")),IF(EL$2="Atelier",IF(EL$3="Tous",SUMIFS('Étape 1 - à remplir'!$F$31:$F$400,'Étape 1 - à remplir'!$E$31:$E$400,MASQ2!EC174,'Étape 1 - à remplir'!$G$31:$G$400,"kg"),SUMIFS('Étape 1 - à remplir'!$F$31:$F$400,'Étape 1 - à remplir'!$E$31:$E$400,MASQ2!EC174,'Étape 1 - à remplir'!$O$31:$O$400,EL$3,'Étape 1 - à remplir'!$G$31:$G$400,"kg")),IF(EL$2="Espèce",IF(EL$3="Toutes",SUMIFS('Étape 1 - à remplir'!$F$31:$F$400,'Étape 1 - à remplir'!$E$31:$E$400,MASQ2!EC174,'Étape 1 - à remplir'!$G$31:$G$400,"kg"),SUMIFS('Étape 1 - à remplir'!$F$31:$F$400,'Étape 1 - à remplir'!$E$31:$E$400,MASQ2!EC174,'Étape 1 - à remplir'!$N$31:$N$400,EL$3,'Étape 1 - à remplir'!$G$31:$G$400,"kg")))))))</f>
        <v>#N/A</v>
      </c>
      <c r="EE174" s="76">
        <f t="shared" si="184"/>
        <v>0</v>
      </c>
      <c r="EF174" t="str">
        <f t="shared" si="175"/>
        <v>Chlortétracycline</v>
      </c>
      <c r="EG174" t="str">
        <f t="shared" si="176"/>
        <v/>
      </c>
      <c r="EH174" t="str">
        <f t="shared" si="177"/>
        <v/>
      </c>
      <c r="EI174" t="str">
        <f t="shared" si="178"/>
        <v>Tetracyclines</v>
      </c>
      <c r="EJ174" t="str">
        <f t="shared" si="179"/>
        <v/>
      </c>
      <c r="EK174" s="63" t="str">
        <f t="shared" si="180"/>
        <v/>
      </c>
      <c r="EN174" s="42">
        <v>171</v>
      </c>
      <c r="EO174" t="e">
        <f t="shared" si="186"/>
        <v>#N/A</v>
      </c>
      <c r="EP174" s="63" t="e">
        <f t="shared" si="187"/>
        <v>#N/A</v>
      </c>
      <c r="FT174" s="63"/>
    </row>
    <row r="175" spans="2:176" x14ac:dyDescent="0.3">
      <c r="B175" s="42"/>
      <c r="M175" s="194" t="str">
        <f ca="1">INDEX(Données_ATB!BD:BU,MATCH(MASQ2!O175,Données_ATB!BD:BD,0),18)</f>
        <v/>
      </c>
      <c r="N175" s="14" t="str">
        <f>IFERROR(IF(Q175=0,"",COUNTIF(Q$4:Q$600,"&gt;"&amp;Q175)+COUNTIF(Q$4:Q175,Q175)),"")</f>
        <v/>
      </c>
      <c r="O175" t="str">
        <f>Données_ATB!BD174</f>
        <v>CYCLOSOL 200 LA</v>
      </c>
      <c r="P175" t="e">
        <f>IF(IF(X$2="Catégorie",IF(X$3="Toutes",SUMIFS('Étape 1 - à remplir'!$F$31:$F$400,'Étape 1 - à remplir'!$E$31:$E$400,MASQ2!O175,'Étape 1 - à remplir'!$G$31:$G$400,"animaux"),SUMIFS('Étape 1 - à remplir'!$F$31:$F$400,'Étape 1 - à remplir'!$E$31:$E$400,MASQ2!O175,'Étape 1 - à remplir'!$C$31:$C$400,X$3)),IF(X$2="Âge",IF(X$3="Tous",SUMIFS('Étape 1 - à remplir'!$F$31:$F$400,'Étape 1 - à remplir'!$E$31:$E$400,MASQ2!O175,'Étape 1 - à remplir'!$G$31:$G$400,"animaux"),SUMIFS('Étape 1 - à remplir'!$F$31:$F$400,'Étape 1 - à remplir'!$E$31:$E$400,MASQ2!O175,'Étape 1 - à remplir'!$P$31:$P$400,X$3)),IF(X$2="Atelier",IF(X$3="Tous",SUMIFS('Étape 1 - à remplir'!$F$31:$F$400,'Étape 1 - à remplir'!$E$31:$E$400,MASQ2!O175,'Étape 1 - à remplir'!$G$31:$G$400,"animaux"),SUMIFS('Étape 1 - à remplir'!$F$31:$F$400,'Étape 1 - à remplir'!$E$31:$E$400,MASQ2!O175,'Étape 1 - à remplir'!$O$31:$O$400,X$3)),IF(X$2="Espèce",IF(X$3="Toutes",SUMIFS('Étape 1 - à remplir'!$F$31:$F$400,'Étape 1 - à remplir'!$E$31:$E$400,MASQ2!O175,'Étape 1 - à remplir'!$G$31:$G$400,"animaux"),SUMIFS('Étape 1 - à remplir'!$F$31:$F$400,'Étape 1 - à remplir'!$E$31:$E$400,MASQ2!O175,'Étape 1 - à remplir'!$N$31:$N$400,X$3))))))=0,NA(),IF(X$2="Catégorie",IF(X$3="Toutes",SUMIFS('Étape 1 - à remplir'!$F$31:$F$400,'Étape 1 - à remplir'!$E$31:$E$400,MASQ2!O175,'Étape 1 - à remplir'!$G$31:$G$400,"animaux"),SUMIFS('Étape 1 - à remplir'!$F$31:$F$400,'Étape 1 - à remplir'!$E$31:$E$400,MASQ2!O175,'Étape 1 - à remplir'!$C$31:$C$400,X$3)),IF(X$2="Âge",IF(X$3="Tous",SUMIFS('Étape 1 - à remplir'!$F$31:$F$400,'Étape 1 - à remplir'!$E$31:$E$400,MASQ2!O175,'Étape 1 - à remplir'!$G$31:$G$400,"animaux"),SUMIFS('Étape 1 - à remplir'!$F$31:$F$400,'Étape 1 - à remplir'!$E$31:$E$400,MASQ2!O175,'Étape 1 - à remplir'!$P$31:$P$400,X$3)),IF(X$2="Atelier",IF(X$3="Tous",SUMIFS('Étape 1 - à remplir'!$F$31:$F$400,'Étape 1 - à remplir'!$E$31:$E$400,MASQ2!O175,'Étape 1 - à remplir'!$G$31:$G$400,"animaux"),SUMIFS('Étape 1 - à remplir'!$F$31:$F$400,'Étape 1 - à remplir'!$E$31:$E$400,MASQ2!O175,'Étape 1 - à remplir'!$O$31:$O$400,X$3)),IF(X$2="Espèce",IF(X$3="Toutes",SUMIFS('Étape 1 - à remplir'!$F$31:$F$400,'Étape 1 - à remplir'!$E$31:$E$400,MASQ2!O175,'Étape 1 - à remplir'!$G$31:$G$400,"animaux"),SUMIFS('Étape 1 - à remplir'!$F$31:$F$400,'Étape 1 - à remplir'!$E$31:$E$400,MASQ2!O175,'Étape 1 - à remplir'!$N$31:$N$400,X$3)))))))</f>
        <v>#N/A</v>
      </c>
      <c r="Q175" s="63">
        <f t="shared" si="185"/>
        <v>0</v>
      </c>
      <c r="R175" t="str">
        <f>Données_ATB!BM174</f>
        <v>Oxytétracycline</v>
      </c>
      <c r="S175" t="str">
        <f>Données_ATB!BN174</f>
        <v/>
      </c>
      <c r="T175" s="63" t="str">
        <f>Données_ATB!BO174</f>
        <v/>
      </c>
      <c r="U175" s="42" t="str">
        <f>Données_ATB!BQ174</f>
        <v>Tetracyclines</v>
      </c>
      <c r="V175" t="str">
        <f>Données_ATB!BR174</f>
        <v/>
      </c>
      <c r="W175" s="63" t="str">
        <f>Données_ATB!BS174</f>
        <v/>
      </c>
      <c r="Z175" s="42">
        <v>172</v>
      </c>
      <c r="AA175" t="e">
        <f t="shared" si="181"/>
        <v>#N/A</v>
      </c>
      <c r="AB175" s="63" t="e">
        <f t="shared" si="182"/>
        <v>#N/A</v>
      </c>
      <c r="BF175" s="63"/>
      <c r="BT175" s="194" t="str">
        <f t="shared" ca="1" si="165"/>
        <v/>
      </c>
      <c r="BU175" s="219" t="str">
        <f>IFERROR(IF(BX175=0,"",COUNTIF(BX$4:BX$600,"&gt;"&amp;BX175)+COUNTIF(BX$4:BX175,BX175)),"")</f>
        <v/>
      </c>
      <c r="BV175" s="42" t="str">
        <f t="shared" si="166"/>
        <v>CYCLOSOL 200 LA</v>
      </c>
      <c r="BW175" t="e">
        <f>IF(IF(CE$2="Catégorie",IF(CE$3="Toutes",SUMIFS('Étape 1 - à remplir'!$F$31:$F$400,'Étape 1 - à remplir'!$E$31:$E$400,MASQ2!BV175,'Étape 1 - à remplir'!$G$31:$G$400,"lots"),SUMIFS('Étape 1 - à remplir'!$F$31:$F$400,'Étape 1 - à remplir'!$E$31:$E$400,MASQ2!BV175,'Étape 1 - à remplir'!$C$31:$C$400,CE$3)),IF(CE$2="Âge",IF(CE$3="Tous",SUMIFS('Étape 1 - à remplir'!$F$31:$F$400,'Étape 1 - à remplir'!$E$31:$E$400,MASQ2!BV175,'Étape 1 - à remplir'!$G$31:$G$400,"lots"),SUMIFS('Étape 1 - à remplir'!$F$31:$F$400,'Étape 1 - à remplir'!$E$31:$E$400,MASQ2!BV175,'Étape 1 - à remplir'!$P$31:$P$400,CE$3,'Étape 1 - à remplir'!$G$31:$G$400,"lots")),IF(CE$2="Atelier",IF(CE$3="Tous",SUMIFS('Étape 1 - à remplir'!$F$31:$F$400,'Étape 1 - à remplir'!$E$31:$E$400,MASQ2!BV175,'Étape 1 - à remplir'!$G$31:$G$400,"lots"),SUMIFS('Étape 1 - à remplir'!$F$31:$F$400,'Étape 1 - à remplir'!$E$31:$E$400,MASQ2!BV175,'Étape 1 - à remplir'!$O$31:$O$400,CE$3,'Étape 1 - à remplir'!$G$31:$G$400,"lots")),IF(CE$2="Espèce",IF(CE$3="Toutes",SUMIFS('Étape 1 - à remplir'!$F$31:$F$400,'Étape 1 - à remplir'!$E$31:$E$400,MASQ2!BV175,'Étape 1 - à remplir'!$G$31:$G$400,"lots"),SUMIFS('Étape 1 - à remplir'!$F$31:$F$400,'Étape 1 - à remplir'!$E$31:$E$400,MASQ2!BV175,'Étape 1 - à remplir'!$N$31:$N$400,CE$3,'Étape 1 - à remplir'!$G$31:$G$400,"lots"))))))=0,NA(),IF(CE$2="Catégorie",IF(CE$3="Toutes",SUMIFS('Étape 1 - à remplir'!$F$31:$F$400,'Étape 1 - à remplir'!$E$31:$E$400,MASQ2!BV175,'Étape 1 - à remplir'!$G$31:$G$400,"lots"),SUMIFS('Étape 1 - à remplir'!$F$31:$F$400,'Étape 1 - à remplir'!$E$31:$E$400,MASQ2!BV175,'Étape 1 - à remplir'!$C$31:$C$400,CE$3)),IF(CE$2="Âge",IF(CE$3="Tous",SUMIFS('Étape 1 - à remplir'!$F$31:$F$400,'Étape 1 - à remplir'!$E$31:$E$400,MASQ2!BV175,'Étape 1 - à remplir'!$G$31:$G$400,"lots"),SUMIFS('Étape 1 - à remplir'!$F$31:$F$400,'Étape 1 - à remplir'!$E$31:$E$400,MASQ2!BV175,'Étape 1 - à remplir'!$P$31:$P$400,CE$3,'Étape 1 - à remplir'!$G$31:$G$400,"lots")),IF(CE$2="Atelier",IF(CE$3="Tous",SUMIFS('Étape 1 - à remplir'!$F$31:$F$400,'Étape 1 - à remplir'!$E$31:$E$400,MASQ2!BV175,'Étape 1 - à remplir'!$G$31:$G$400,"lots"),SUMIFS('Étape 1 - à remplir'!$F$31:$F$400,'Étape 1 - à remplir'!$E$31:$E$400,MASQ2!BV175,'Étape 1 - à remplir'!$O$31:$O$400,CE$3,'Étape 1 - à remplir'!$G$31:$G$400,"lots")),IF(CE$2="Espèce",IF(CE$3="Toutes",SUMIFS('Étape 1 - à remplir'!$F$31:$F$400,'Étape 1 - à remplir'!$E$31:$E$400,MASQ2!BV175,'Étape 1 - à remplir'!$G$31:$G$400,"lots"),SUMIFS('Étape 1 - à remplir'!$F$31:$F$400,'Étape 1 - à remplir'!$E$31:$E$400,MASQ2!BV175,'Étape 1 - à remplir'!$N$31:$N$400,CE$3,'Étape 1 - à remplir'!$G$31:$G$400,"lots")))))))</f>
        <v>#N/A</v>
      </c>
      <c r="BX175">
        <f t="shared" si="183"/>
        <v>0</v>
      </c>
      <c r="BY175" t="str">
        <f t="shared" si="167"/>
        <v>Oxytétracycline</v>
      </c>
      <c r="BZ175" t="str">
        <f t="shared" si="168"/>
        <v/>
      </c>
      <c r="CA175" t="str">
        <f t="shared" si="169"/>
        <v/>
      </c>
      <c r="CB175" t="str">
        <f t="shared" si="170"/>
        <v>Tetracyclines</v>
      </c>
      <c r="CC175" t="str">
        <f t="shared" si="171"/>
        <v/>
      </c>
      <c r="CD175" s="63" t="str">
        <f t="shared" si="172"/>
        <v/>
      </c>
      <c r="CG175" s="42">
        <v>172</v>
      </c>
      <c r="CH175" s="42" t="e">
        <f t="shared" si="188"/>
        <v>#N/A</v>
      </c>
      <c r="CI175" s="63" t="e">
        <f t="shared" si="189"/>
        <v>#N/A</v>
      </c>
      <c r="DM175" s="63"/>
      <c r="EA175" s="194" t="str">
        <f t="shared" ca="1" si="173"/>
        <v/>
      </c>
      <c r="EB175" s="226" t="str">
        <f>IFERROR(IF(ED175=0,"",COUNTIF(ED$4:ED$600,"&gt;"&amp;ED175)+COUNTIF(ED$4:ED175,ED175)),"")</f>
        <v/>
      </c>
      <c r="EC175" t="str">
        <f t="shared" si="174"/>
        <v>CYCLOSOL 200 LA</v>
      </c>
      <c r="ED175" t="e">
        <f>IF(IF(EL$2="Catégorie",IF(EL$3="Toutes",SUMIFS('Étape 1 - à remplir'!$F$31:$F$400,'Étape 1 - à remplir'!$E$31:$E$400,MASQ2!EC175,'Étape 1 - à remplir'!$G$31:$G$400,"kg"),SUMIFS('Étape 1 - à remplir'!$F$31:$F$400,'Étape 1 - à remplir'!$E$31:$E$400,MASQ2!EC175,'Étape 1 - à remplir'!$C$31:$C$400,EL$3)),IF(EL$2="Âge",IF(EL$3="Tous",SUMIFS('Étape 1 - à remplir'!$F$31:$F$400,'Étape 1 - à remplir'!$E$31:$E$400,MASQ2!EC175,'Étape 1 - à remplir'!$G$31:$G$400,"kg"),SUMIFS('Étape 1 - à remplir'!$F$31:$F$400,'Étape 1 - à remplir'!$E$31:$E$400,MASQ2!EC175,'Étape 1 - à remplir'!$P$31:$P$400,EL$3,'Étape 1 - à remplir'!$G$31:$G$400,"kg")),IF(EL$2="Atelier",IF(EL$3="Tous",SUMIFS('Étape 1 - à remplir'!$F$31:$F$400,'Étape 1 - à remplir'!$E$31:$E$400,MASQ2!EC175,'Étape 1 - à remplir'!$G$31:$G$400,"kg"),SUMIFS('Étape 1 - à remplir'!$F$31:$F$400,'Étape 1 - à remplir'!$E$31:$E$400,MASQ2!EC175,'Étape 1 - à remplir'!$O$31:$O$400,EL$3,'Étape 1 - à remplir'!$G$31:$G$400,"kg")),IF(EL$2="Espèce",IF(EL$3="Toutes",SUMIFS('Étape 1 - à remplir'!$F$31:$F$400,'Étape 1 - à remplir'!$E$31:$E$400,MASQ2!EC175,'Étape 1 - à remplir'!$G$31:$G$400,"kg"),SUMIFS('Étape 1 - à remplir'!$F$31:$F$400,'Étape 1 - à remplir'!$E$31:$E$400,MASQ2!EC175,'Étape 1 - à remplir'!$N$31:$N$400,EL$3,'Étape 1 - à remplir'!$G$31:$G$400,"kg"))))))=0,NA(),IF(EL$2="Catégorie",IF(EL$3="Toutes",SUMIFS('Étape 1 - à remplir'!$F$31:$F$400,'Étape 1 - à remplir'!$E$31:$E$400,MASQ2!EC175,'Étape 1 - à remplir'!$G$31:$G$400,"kg"),SUMIFS('Étape 1 - à remplir'!$F$31:$F$400,'Étape 1 - à remplir'!$E$31:$E$400,MASQ2!EC175,'Étape 1 - à remplir'!$C$31:$C$400,EL$3)),IF(EL$2="Âge",IF(EL$3="Tous",SUMIFS('Étape 1 - à remplir'!$F$31:$F$400,'Étape 1 - à remplir'!$E$31:$E$400,MASQ2!EC175,'Étape 1 - à remplir'!$G$31:$G$400,"kg"),SUMIFS('Étape 1 - à remplir'!$F$31:$F$400,'Étape 1 - à remplir'!$E$31:$E$400,MASQ2!EC175,'Étape 1 - à remplir'!$P$31:$P$400,EL$3,'Étape 1 - à remplir'!$G$31:$G$400,"kg")),IF(EL$2="Atelier",IF(EL$3="Tous",SUMIFS('Étape 1 - à remplir'!$F$31:$F$400,'Étape 1 - à remplir'!$E$31:$E$400,MASQ2!EC175,'Étape 1 - à remplir'!$G$31:$G$400,"kg"),SUMIFS('Étape 1 - à remplir'!$F$31:$F$400,'Étape 1 - à remplir'!$E$31:$E$400,MASQ2!EC175,'Étape 1 - à remplir'!$O$31:$O$400,EL$3,'Étape 1 - à remplir'!$G$31:$G$400,"kg")),IF(EL$2="Espèce",IF(EL$3="Toutes",SUMIFS('Étape 1 - à remplir'!$F$31:$F$400,'Étape 1 - à remplir'!$E$31:$E$400,MASQ2!EC175,'Étape 1 - à remplir'!$G$31:$G$400,"kg"),SUMIFS('Étape 1 - à remplir'!$F$31:$F$400,'Étape 1 - à remplir'!$E$31:$E$400,MASQ2!EC175,'Étape 1 - à remplir'!$N$31:$N$400,EL$3,'Étape 1 - à remplir'!$G$31:$G$400,"kg")))))))</f>
        <v>#N/A</v>
      </c>
      <c r="EE175" s="76">
        <f t="shared" si="184"/>
        <v>0</v>
      </c>
      <c r="EF175" t="str">
        <f t="shared" si="175"/>
        <v>Oxytétracycline</v>
      </c>
      <c r="EG175" t="str">
        <f t="shared" si="176"/>
        <v/>
      </c>
      <c r="EH175" t="str">
        <f t="shared" si="177"/>
        <v/>
      </c>
      <c r="EI175" t="str">
        <f t="shared" si="178"/>
        <v>Tetracyclines</v>
      </c>
      <c r="EJ175" t="str">
        <f t="shared" si="179"/>
        <v/>
      </c>
      <c r="EK175" s="63" t="str">
        <f t="shared" si="180"/>
        <v/>
      </c>
      <c r="EN175" s="42">
        <v>172</v>
      </c>
      <c r="EO175" t="e">
        <f t="shared" si="186"/>
        <v>#N/A</v>
      </c>
      <c r="EP175" s="63" t="e">
        <f t="shared" si="187"/>
        <v>#N/A</v>
      </c>
      <c r="FT175" s="63"/>
    </row>
    <row r="176" spans="2:176" x14ac:dyDescent="0.3">
      <c r="B176" s="42"/>
      <c r="M176" s="194" t="str">
        <f ca="1">INDEX(Données_ATB!BD:BU,MATCH(MASQ2!O176,Données_ATB!BD:BD,0),18)</f>
        <v/>
      </c>
      <c r="N176" s="14" t="str">
        <f>IFERROR(IF(Q176=0,"",COUNTIF(Q$4:Q$600,"&gt;"&amp;Q176)+COUNTIF(Q$4:Q176,Q176)),"")</f>
        <v/>
      </c>
      <c r="O176" t="str">
        <f>Données_ATB!BD175</f>
        <v>DENAGARD INJECTABLE 162,2</v>
      </c>
      <c r="P176" t="e">
        <f>IF(IF(X$2="Catégorie",IF(X$3="Toutes",SUMIFS('Étape 1 - à remplir'!$F$31:$F$400,'Étape 1 - à remplir'!$E$31:$E$400,MASQ2!O176,'Étape 1 - à remplir'!$G$31:$G$400,"animaux"),SUMIFS('Étape 1 - à remplir'!$F$31:$F$400,'Étape 1 - à remplir'!$E$31:$E$400,MASQ2!O176,'Étape 1 - à remplir'!$C$31:$C$400,X$3)),IF(X$2="Âge",IF(X$3="Tous",SUMIFS('Étape 1 - à remplir'!$F$31:$F$400,'Étape 1 - à remplir'!$E$31:$E$400,MASQ2!O176,'Étape 1 - à remplir'!$G$31:$G$400,"animaux"),SUMIFS('Étape 1 - à remplir'!$F$31:$F$400,'Étape 1 - à remplir'!$E$31:$E$400,MASQ2!O176,'Étape 1 - à remplir'!$P$31:$P$400,X$3)),IF(X$2="Atelier",IF(X$3="Tous",SUMIFS('Étape 1 - à remplir'!$F$31:$F$400,'Étape 1 - à remplir'!$E$31:$E$400,MASQ2!O176,'Étape 1 - à remplir'!$G$31:$G$400,"animaux"),SUMIFS('Étape 1 - à remplir'!$F$31:$F$400,'Étape 1 - à remplir'!$E$31:$E$400,MASQ2!O176,'Étape 1 - à remplir'!$O$31:$O$400,X$3)),IF(X$2="Espèce",IF(X$3="Toutes",SUMIFS('Étape 1 - à remplir'!$F$31:$F$400,'Étape 1 - à remplir'!$E$31:$E$400,MASQ2!O176,'Étape 1 - à remplir'!$G$31:$G$400,"animaux"),SUMIFS('Étape 1 - à remplir'!$F$31:$F$400,'Étape 1 - à remplir'!$E$31:$E$400,MASQ2!O176,'Étape 1 - à remplir'!$N$31:$N$400,X$3))))))=0,NA(),IF(X$2="Catégorie",IF(X$3="Toutes",SUMIFS('Étape 1 - à remplir'!$F$31:$F$400,'Étape 1 - à remplir'!$E$31:$E$400,MASQ2!O176,'Étape 1 - à remplir'!$G$31:$G$400,"animaux"),SUMIFS('Étape 1 - à remplir'!$F$31:$F$400,'Étape 1 - à remplir'!$E$31:$E$400,MASQ2!O176,'Étape 1 - à remplir'!$C$31:$C$400,X$3)),IF(X$2="Âge",IF(X$3="Tous",SUMIFS('Étape 1 - à remplir'!$F$31:$F$400,'Étape 1 - à remplir'!$E$31:$E$400,MASQ2!O176,'Étape 1 - à remplir'!$G$31:$G$400,"animaux"),SUMIFS('Étape 1 - à remplir'!$F$31:$F$400,'Étape 1 - à remplir'!$E$31:$E$400,MASQ2!O176,'Étape 1 - à remplir'!$P$31:$P$400,X$3)),IF(X$2="Atelier",IF(X$3="Tous",SUMIFS('Étape 1 - à remplir'!$F$31:$F$400,'Étape 1 - à remplir'!$E$31:$E$400,MASQ2!O176,'Étape 1 - à remplir'!$G$31:$G$400,"animaux"),SUMIFS('Étape 1 - à remplir'!$F$31:$F$400,'Étape 1 - à remplir'!$E$31:$E$400,MASQ2!O176,'Étape 1 - à remplir'!$O$31:$O$400,X$3)),IF(X$2="Espèce",IF(X$3="Toutes",SUMIFS('Étape 1 - à remplir'!$F$31:$F$400,'Étape 1 - à remplir'!$E$31:$E$400,MASQ2!O176,'Étape 1 - à remplir'!$G$31:$G$400,"animaux"),SUMIFS('Étape 1 - à remplir'!$F$31:$F$400,'Étape 1 - à remplir'!$E$31:$E$400,MASQ2!O176,'Étape 1 - à remplir'!$N$31:$N$400,X$3)))))))</f>
        <v>#N/A</v>
      </c>
      <c r="Q176" s="63">
        <f t="shared" si="185"/>
        <v>0</v>
      </c>
      <c r="R176" t="str">
        <f>Données_ATB!BM175</f>
        <v>Tiamuline</v>
      </c>
      <c r="S176" t="str">
        <f>Données_ATB!BN175</f>
        <v/>
      </c>
      <c r="T176" s="63" t="str">
        <f>Données_ATB!BO175</f>
        <v/>
      </c>
      <c r="U176" s="42" t="str">
        <f>Données_ATB!BQ175</f>
        <v>Pleuromutilines</v>
      </c>
      <c r="V176" t="str">
        <f>Données_ATB!BR175</f>
        <v/>
      </c>
      <c r="W176" s="63" t="str">
        <f>Données_ATB!BS175</f>
        <v/>
      </c>
      <c r="Z176" s="42">
        <v>173</v>
      </c>
      <c r="AA176" t="e">
        <f t="shared" si="181"/>
        <v>#N/A</v>
      </c>
      <c r="AB176" s="63" t="e">
        <f t="shared" si="182"/>
        <v>#N/A</v>
      </c>
      <c r="BF176" s="63"/>
      <c r="BT176" s="194" t="str">
        <f t="shared" ca="1" si="165"/>
        <v/>
      </c>
      <c r="BU176" s="219" t="str">
        <f>IFERROR(IF(BX176=0,"",COUNTIF(BX$4:BX$600,"&gt;"&amp;BX176)+COUNTIF(BX$4:BX176,BX176)),"")</f>
        <v/>
      </c>
      <c r="BV176" s="42" t="str">
        <f t="shared" si="166"/>
        <v>DENAGARD INJECTABLE 162,2</v>
      </c>
      <c r="BW176" t="e">
        <f>IF(IF(CE$2="Catégorie",IF(CE$3="Toutes",SUMIFS('Étape 1 - à remplir'!$F$31:$F$400,'Étape 1 - à remplir'!$E$31:$E$400,MASQ2!BV176,'Étape 1 - à remplir'!$G$31:$G$400,"lots"),SUMIFS('Étape 1 - à remplir'!$F$31:$F$400,'Étape 1 - à remplir'!$E$31:$E$400,MASQ2!BV176,'Étape 1 - à remplir'!$C$31:$C$400,CE$3)),IF(CE$2="Âge",IF(CE$3="Tous",SUMIFS('Étape 1 - à remplir'!$F$31:$F$400,'Étape 1 - à remplir'!$E$31:$E$400,MASQ2!BV176,'Étape 1 - à remplir'!$G$31:$G$400,"lots"),SUMIFS('Étape 1 - à remplir'!$F$31:$F$400,'Étape 1 - à remplir'!$E$31:$E$400,MASQ2!BV176,'Étape 1 - à remplir'!$P$31:$P$400,CE$3,'Étape 1 - à remplir'!$G$31:$G$400,"lots")),IF(CE$2="Atelier",IF(CE$3="Tous",SUMIFS('Étape 1 - à remplir'!$F$31:$F$400,'Étape 1 - à remplir'!$E$31:$E$400,MASQ2!BV176,'Étape 1 - à remplir'!$G$31:$G$400,"lots"),SUMIFS('Étape 1 - à remplir'!$F$31:$F$400,'Étape 1 - à remplir'!$E$31:$E$400,MASQ2!BV176,'Étape 1 - à remplir'!$O$31:$O$400,CE$3,'Étape 1 - à remplir'!$G$31:$G$400,"lots")),IF(CE$2="Espèce",IF(CE$3="Toutes",SUMIFS('Étape 1 - à remplir'!$F$31:$F$400,'Étape 1 - à remplir'!$E$31:$E$400,MASQ2!BV176,'Étape 1 - à remplir'!$G$31:$G$400,"lots"),SUMIFS('Étape 1 - à remplir'!$F$31:$F$400,'Étape 1 - à remplir'!$E$31:$E$400,MASQ2!BV176,'Étape 1 - à remplir'!$N$31:$N$400,CE$3,'Étape 1 - à remplir'!$G$31:$G$400,"lots"))))))=0,NA(),IF(CE$2="Catégorie",IF(CE$3="Toutes",SUMIFS('Étape 1 - à remplir'!$F$31:$F$400,'Étape 1 - à remplir'!$E$31:$E$400,MASQ2!BV176,'Étape 1 - à remplir'!$G$31:$G$400,"lots"),SUMIFS('Étape 1 - à remplir'!$F$31:$F$400,'Étape 1 - à remplir'!$E$31:$E$400,MASQ2!BV176,'Étape 1 - à remplir'!$C$31:$C$400,CE$3)),IF(CE$2="Âge",IF(CE$3="Tous",SUMIFS('Étape 1 - à remplir'!$F$31:$F$400,'Étape 1 - à remplir'!$E$31:$E$400,MASQ2!BV176,'Étape 1 - à remplir'!$G$31:$G$400,"lots"),SUMIFS('Étape 1 - à remplir'!$F$31:$F$400,'Étape 1 - à remplir'!$E$31:$E$400,MASQ2!BV176,'Étape 1 - à remplir'!$P$31:$P$400,CE$3,'Étape 1 - à remplir'!$G$31:$G$400,"lots")),IF(CE$2="Atelier",IF(CE$3="Tous",SUMIFS('Étape 1 - à remplir'!$F$31:$F$400,'Étape 1 - à remplir'!$E$31:$E$400,MASQ2!BV176,'Étape 1 - à remplir'!$G$31:$G$400,"lots"),SUMIFS('Étape 1 - à remplir'!$F$31:$F$400,'Étape 1 - à remplir'!$E$31:$E$400,MASQ2!BV176,'Étape 1 - à remplir'!$O$31:$O$400,CE$3,'Étape 1 - à remplir'!$G$31:$G$400,"lots")),IF(CE$2="Espèce",IF(CE$3="Toutes",SUMIFS('Étape 1 - à remplir'!$F$31:$F$400,'Étape 1 - à remplir'!$E$31:$E$400,MASQ2!BV176,'Étape 1 - à remplir'!$G$31:$G$400,"lots"),SUMIFS('Étape 1 - à remplir'!$F$31:$F$400,'Étape 1 - à remplir'!$E$31:$E$400,MASQ2!BV176,'Étape 1 - à remplir'!$N$31:$N$400,CE$3,'Étape 1 - à remplir'!$G$31:$G$400,"lots")))))))</f>
        <v>#N/A</v>
      </c>
      <c r="BX176">
        <f t="shared" si="183"/>
        <v>0</v>
      </c>
      <c r="BY176" t="str">
        <f t="shared" si="167"/>
        <v>Tiamuline</v>
      </c>
      <c r="BZ176" t="str">
        <f t="shared" si="168"/>
        <v/>
      </c>
      <c r="CA176" t="str">
        <f t="shared" si="169"/>
        <v/>
      </c>
      <c r="CB176" t="str">
        <f t="shared" si="170"/>
        <v>Pleuromutilines</v>
      </c>
      <c r="CC176" t="str">
        <f t="shared" si="171"/>
        <v/>
      </c>
      <c r="CD176" s="63" t="str">
        <f t="shared" si="172"/>
        <v/>
      </c>
      <c r="CG176" s="42">
        <v>173</v>
      </c>
      <c r="CH176" s="42" t="e">
        <f t="shared" si="188"/>
        <v>#N/A</v>
      </c>
      <c r="CI176" s="63" t="e">
        <f t="shared" si="189"/>
        <v>#N/A</v>
      </c>
      <c r="DM176" s="63"/>
      <c r="EA176" s="194" t="str">
        <f t="shared" ca="1" si="173"/>
        <v/>
      </c>
      <c r="EB176" s="226" t="str">
        <f>IFERROR(IF(ED176=0,"",COUNTIF(ED$4:ED$600,"&gt;"&amp;ED176)+COUNTIF(ED$4:ED176,ED176)),"")</f>
        <v/>
      </c>
      <c r="EC176" t="str">
        <f t="shared" si="174"/>
        <v>DENAGARD INJECTABLE 162,2</v>
      </c>
      <c r="ED176" t="e">
        <f>IF(IF(EL$2="Catégorie",IF(EL$3="Toutes",SUMIFS('Étape 1 - à remplir'!$F$31:$F$400,'Étape 1 - à remplir'!$E$31:$E$400,MASQ2!EC176,'Étape 1 - à remplir'!$G$31:$G$400,"kg"),SUMIFS('Étape 1 - à remplir'!$F$31:$F$400,'Étape 1 - à remplir'!$E$31:$E$400,MASQ2!EC176,'Étape 1 - à remplir'!$C$31:$C$400,EL$3)),IF(EL$2="Âge",IF(EL$3="Tous",SUMIFS('Étape 1 - à remplir'!$F$31:$F$400,'Étape 1 - à remplir'!$E$31:$E$400,MASQ2!EC176,'Étape 1 - à remplir'!$G$31:$G$400,"kg"),SUMIFS('Étape 1 - à remplir'!$F$31:$F$400,'Étape 1 - à remplir'!$E$31:$E$400,MASQ2!EC176,'Étape 1 - à remplir'!$P$31:$P$400,EL$3,'Étape 1 - à remplir'!$G$31:$G$400,"kg")),IF(EL$2="Atelier",IF(EL$3="Tous",SUMIFS('Étape 1 - à remplir'!$F$31:$F$400,'Étape 1 - à remplir'!$E$31:$E$400,MASQ2!EC176,'Étape 1 - à remplir'!$G$31:$G$400,"kg"),SUMIFS('Étape 1 - à remplir'!$F$31:$F$400,'Étape 1 - à remplir'!$E$31:$E$400,MASQ2!EC176,'Étape 1 - à remplir'!$O$31:$O$400,EL$3,'Étape 1 - à remplir'!$G$31:$G$400,"kg")),IF(EL$2="Espèce",IF(EL$3="Toutes",SUMIFS('Étape 1 - à remplir'!$F$31:$F$400,'Étape 1 - à remplir'!$E$31:$E$400,MASQ2!EC176,'Étape 1 - à remplir'!$G$31:$G$400,"kg"),SUMIFS('Étape 1 - à remplir'!$F$31:$F$400,'Étape 1 - à remplir'!$E$31:$E$400,MASQ2!EC176,'Étape 1 - à remplir'!$N$31:$N$400,EL$3,'Étape 1 - à remplir'!$G$31:$G$400,"kg"))))))=0,NA(),IF(EL$2="Catégorie",IF(EL$3="Toutes",SUMIFS('Étape 1 - à remplir'!$F$31:$F$400,'Étape 1 - à remplir'!$E$31:$E$400,MASQ2!EC176,'Étape 1 - à remplir'!$G$31:$G$400,"kg"),SUMIFS('Étape 1 - à remplir'!$F$31:$F$400,'Étape 1 - à remplir'!$E$31:$E$400,MASQ2!EC176,'Étape 1 - à remplir'!$C$31:$C$400,EL$3)),IF(EL$2="Âge",IF(EL$3="Tous",SUMIFS('Étape 1 - à remplir'!$F$31:$F$400,'Étape 1 - à remplir'!$E$31:$E$400,MASQ2!EC176,'Étape 1 - à remplir'!$G$31:$G$400,"kg"),SUMIFS('Étape 1 - à remplir'!$F$31:$F$400,'Étape 1 - à remplir'!$E$31:$E$400,MASQ2!EC176,'Étape 1 - à remplir'!$P$31:$P$400,EL$3,'Étape 1 - à remplir'!$G$31:$G$400,"kg")),IF(EL$2="Atelier",IF(EL$3="Tous",SUMIFS('Étape 1 - à remplir'!$F$31:$F$400,'Étape 1 - à remplir'!$E$31:$E$400,MASQ2!EC176,'Étape 1 - à remplir'!$G$31:$G$400,"kg"),SUMIFS('Étape 1 - à remplir'!$F$31:$F$400,'Étape 1 - à remplir'!$E$31:$E$400,MASQ2!EC176,'Étape 1 - à remplir'!$O$31:$O$400,EL$3,'Étape 1 - à remplir'!$G$31:$G$400,"kg")),IF(EL$2="Espèce",IF(EL$3="Toutes",SUMIFS('Étape 1 - à remplir'!$F$31:$F$400,'Étape 1 - à remplir'!$E$31:$E$400,MASQ2!EC176,'Étape 1 - à remplir'!$G$31:$G$400,"kg"),SUMIFS('Étape 1 - à remplir'!$F$31:$F$400,'Étape 1 - à remplir'!$E$31:$E$400,MASQ2!EC176,'Étape 1 - à remplir'!$N$31:$N$400,EL$3,'Étape 1 - à remplir'!$G$31:$G$400,"kg")))))))</f>
        <v>#N/A</v>
      </c>
      <c r="EE176" s="76">
        <f t="shared" si="184"/>
        <v>0</v>
      </c>
      <c r="EF176" t="str">
        <f t="shared" si="175"/>
        <v>Tiamuline</v>
      </c>
      <c r="EG176" t="str">
        <f t="shared" si="176"/>
        <v/>
      </c>
      <c r="EH176" t="str">
        <f t="shared" si="177"/>
        <v/>
      </c>
      <c r="EI176" t="str">
        <f t="shared" si="178"/>
        <v>Pleuromutilines</v>
      </c>
      <c r="EJ176" t="str">
        <f t="shared" si="179"/>
        <v/>
      </c>
      <c r="EK176" s="63" t="str">
        <f t="shared" si="180"/>
        <v/>
      </c>
      <c r="EN176" s="42">
        <v>173</v>
      </c>
      <c r="EO176" t="e">
        <f t="shared" si="186"/>
        <v>#N/A</v>
      </c>
      <c r="EP176" s="63" t="e">
        <f t="shared" si="187"/>
        <v>#N/A</v>
      </c>
      <c r="FT176" s="63"/>
    </row>
    <row r="177" spans="2:176" x14ac:dyDescent="0.3">
      <c r="B177" s="42"/>
      <c r="M177" s="194" t="str">
        <f ca="1">INDEX(Données_ATB!BD:BU,MATCH(MASQ2!O177,Données_ATB!BD:BD,0),18)</f>
        <v/>
      </c>
      <c r="N177" s="14" t="str">
        <f>IFERROR(IF(Q177=0,"",COUNTIF(Q$4:Q$600,"&gt;"&amp;Q177)+COUNTIF(Q$4:Q177,Q177)),"")</f>
        <v/>
      </c>
      <c r="O177" t="str">
        <f>Données_ATB!BD176</f>
        <v>DENAGARD SOLUTION BUVABLE</v>
      </c>
      <c r="P177" t="e">
        <f>IF(IF(X$2="Catégorie",IF(X$3="Toutes",SUMIFS('Étape 1 - à remplir'!$F$31:$F$400,'Étape 1 - à remplir'!$E$31:$E$400,MASQ2!O177,'Étape 1 - à remplir'!$G$31:$G$400,"animaux"),SUMIFS('Étape 1 - à remplir'!$F$31:$F$400,'Étape 1 - à remplir'!$E$31:$E$400,MASQ2!O177,'Étape 1 - à remplir'!$C$31:$C$400,X$3)),IF(X$2="Âge",IF(X$3="Tous",SUMIFS('Étape 1 - à remplir'!$F$31:$F$400,'Étape 1 - à remplir'!$E$31:$E$400,MASQ2!O177,'Étape 1 - à remplir'!$G$31:$G$400,"animaux"),SUMIFS('Étape 1 - à remplir'!$F$31:$F$400,'Étape 1 - à remplir'!$E$31:$E$400,MASQ2!O177,'Étape 1 - à remplir'!$P$31:$P$400,X$3)),IF(X$2="Atelier",IF(X$3="Tous",SUMIFS('Étape 1 - à remplir'!$F$31:$F$400,'Étape 1 - à remplir'!$E$31:$E$400,MASQ2!O177,'Étape 1 - à remplir'!$G$31:$G$400,"animaux"),SUMIFS('Étape 1 - à remplir'!$F$31:$F$400,'Étape 1 - à remplir'!$E$31:$E$400,MASQ2!O177,'Étape 1 - à remplir'!$O$31:$O$400,X$3)),IF(X$2="Espèce",IF(X$3="Toutes",SUMIFS('Étape 1 - à remplir'!$F$31:$F$400,'Étape 1 - à remplir'!$E$31:$E$400,MASQ2!O177,'Étape 1 - à remplir'!$G$31:$G$400,"animaux"),SUMIFS('Étape 1 - à remplir'!$F$31:$F$400,'Étape 1 - à remplir'!$E$31:$E$400,MASQ2!O177,'Étape 1 - à remplir'!$N$31:$N$400,X$3))))))=0,NA(),IF(X$2="Catégorie",IF(X$3="Toutes",SUMIFS('Étape 1 - à remplir'!$F$31:$F$400,'Étape 1 - à remplir'!$E$31:$E$400,MASQ2!O177,'Étape 1 - à remplir'!$G$31:$G$400,"animaux"),SUMIFS('Étape 1 - à remplir'!$F$31:$F$400,'Étape 1 - à remplir'!$E$31:$E$400,MASQ2!O177,'Étape 1 - à remplir'!$C$31:$C$400,X$3)),IF(X$2="Âge",IF(X$3="Tous",SUMIFS('Étape 1 - à remplir'!$F$31:$F$400,'Étape 1 - à remplir'!$E$31:$E$400,MASQ2!O177,'Étape 1 - à remplir'!$G$31:$G$400,"animaux"),SUMIFS('Étape 1 - à remplir'!$F$31:$F$400,'Étape 1 - à remplir'!$E$31:$E$400,MASQ2!O177,'Étape 1 - à remplir'!$P$31:$P$400,X$3)),IF(X$2="Atelier",IF(X$3="Tous",SUMIFS('Étape 1 - à remplir'!$F$31:$F$400,'Étape 1 - à remplir'!$E$31:$E$400,MASQ2!O177,'Étape 1 - à remplir'!$G$31:$G$400,"animaux"),SUMIFS('Étape 1 - à remplir'!$F$31:$F$400,'Étape 1 - à remplir'!$E$31:$E$400,MASQ2!O177,'Étape 1 - à remplir'!$O$31:$O$400,X$3)),IF(X$2="Espèce",IF(X$3="Toutes",SUMIFS('Étape 1 - à remplir'!$F$31:$F$400,'Étape 1 - à remplir'!$E$31:$E$400,MASQ2!O177,'Étape 1 - à remplir'!$G$31:$G$400,"animaux"),SUMIFS('Étape 1 - à remplir'!$F$31:$F$400,'Étape 1 - à remplir'!$E$31:$E$400,MASQ2!O177,'Étape 1 - à remplir'!$N$31:$N$400,X$3)))))))</f>
        <v>#N/A</v>
      </c>
      <c r="Q177" s="63">
        <f t="shared" si="185"/>
        <v>0</v>
      </c>
      <c r="R177" t="str">
        <f>Données_ATB!BM176</f>
        <v>Tiamuline</v>
      </c>
      <c r="S177" t="str">
        <f>Données_ATB!BN176</f>
        <v/>
      </c>
      <c r="T177" s="63" t="str">
        <f>Données_ATB!BO176</f>
        <v/>
      </c>
      <c r="U177" s="42" t="str">
        <f>Données_ATB!BQ176</f>
        <v>Pleuromutilines</v>
      </c>
      <c r="V177" t="str">
        <f>Données_ATB!BR176</f>
        <v/>
      </c>
      <c r="W177" s="63" t="str">
        <f>Données_ATB!BS176</f>
        <v/>
      </c>
      <c r="Z177" s="42">
        <v>174</v>
      </c>
      <c r="AA177" t="e">
        <f t="shared" si="181"/>
        <v>#N/A</v>
      </c>
      <c r="AB177" s="63" t="e">
        <f t="shared" si="182"/>
        <v>#N/A</v>
      </c>
      <c r="BF177" s="63"/>
      <c r="BT177" s="194" t="str">
        <f t="shared" ca="1" si="165"/>
        <v/>
      </c>
      <c r="BU177" s="219" t="str">
        <f>IFERROR(IF(BX177=0,"",COUNTIF(BX$4:BX$600,"&gt;"&amp;BX177)+COUNTIF(BX$4:BX177,BX177)),"")</f>
        <v/>
      </c>
      <c r="BV177" s="42" t="str">
        <f t="shared" si="166"/>
        <v>DENAGARD SOLUTION BUVABLE</v>
      </c>
      <c r="BW177" t="e">
        <f>IF(IF(CE$2="Catégorie",IF(CE$3="Toutes",SUMIFS('Étape 1 - à remplir'!$F$31:$F$400,'Étape 1 - à remplir'!$E$31:$E$400,MASQ2!BV177,'Étape 1 - à remplir'!$G$31:$G$400,"lots"),SUMIFS('Étape 1 - à remplir'!$F$31:$F$400,'Étape 1 - à remplir'!$E$31:$E$400,MASQ2!BV177,'Étape 1 - à remplir'!$C$31:$C$400,CE$3)),IF(CE$2="Âge",IF(CE$3="Tous",SUMIFS('Étape 1 - à remplir'!$F$31:$F$400,'Étape 1 - à remplir'!$E$31:$E$400,MASQ2!BV177,'Étape 1 - à remplir'!$G$31:$G$400,"lots"),SUMIFS('Étape 1 - à remplir'!$F$31:$F$400,'Étape 1 - à remplir'!$E$31:$E$400,MASQ2!BV177,'Étape 1 - à remplir'!$P$31:$P$400,CE$3,'Étape 1 - à remplir'!$G$31:$G$400,"lots")),IF(CE$2="Atelier",IF(CE$3="Tous",SUMIFS('Étape 1 - à remplir'!$F$31:$F$400,'Étape 1 - à remplir'!$E$31:$E$400,MASQ2!BV177,'Étape 1 - à remplir'!$G$31:$G$400,"lots"),SUMIFS('Étape 1 - à remplir'!$F$31:$F$400,'Étape 1 - à remplir'!$E$31:$E$400,MASQ2!BV177,'Étape 1 - à remplir'!$O$31:$O$400,CE$3,'Étape 1 - à remplir'!$G$31:$G$400,"lots")),IF(CE$2="Espèce",IF(CE$3="Toutes",SUMIFS('Étape 1 - à remplir'!$F$31:$F$400,'Étape 1 - à remplir'!$E$31:$E$400,MASQ2!BV177,'Étape 1 - à remplir'!$G$31:$G$400,"lots"),SUMIFS('Étape 1 - à remplir'!$F$31:$F$400,'Étape 1 - à remplir'!$E$31:$E$400,MASQ2!BV177,'Étape 1 - à remplir'!$N$31:$N$400,CE$3,'Étape 1 - à remplir'!$G$31:$G$400,"lots"))))))=0,NA(),IF(CE$2="Catégorie",IF(CE$3="Toutes",SUMIFS('Étape 1 - à remplir'!$F$31:$F$400,'Étape 1 - à remplir'!$E$31:$E$400,MASQ2!BV177,'Étape 1 - à remplir'!$G$31:$G$400,"lots"),SUMIFS('Étape 1 - à remplir'!$F$31:$F$400,'Étape 1 - à remplir'!$E$31:$E$400,MASQ2!BV177,'Étape 1 - à remplir'!$C$31:$C$400,CE$3)),IF(CE$2="Âge",IF(CE$3="Tous",SUMIFS('Étape 1 - à remplir'!$F$31:$F$400,'Étape 1 - à remplir'!$E$31:$E$400,MASQ2!BV177,'Étape 1 - à remplir'!$G$31:$G$400,"lots"),SUMIFS('Étape 1 - à remplir'!$F$31:$F$400,'Étape 1 - à remplir'!$E$31:$E$400,MASQ2!BV177,'Étape 1 - à remplir'!$P$31:$P$400,CE$3,'Étape 1 - à remplir'!$G$31:$G$400,"lots")),IF(CE$2="Atelier",IF(CE$3="Tous",SUMIFS('Étape 1 - à remplir'!$F$31:$F$400,'Étape 1 - à remplir'!$E$31:$E$400,MASQ2!BV177,'Étape 1 - à remplir'!$G$31:$G$400,"lots"),SUMIFS('Étape 1 - à remplir'!$F$31:$F$400,'Étape 1 - à remplir'!$E$31:$E$400,MASQ2!BV177,'Étape 1 - à remplir'!$O$31:$O$400,CE$3,'Étape 1 - à remplir'!$G$31:$G$400,"lots")),IF(CE$2="Espèce",IF(CE$3="Toutes",SUMIFS('Étape 1 - à remplir'!$F$31:$F$400,'Étape 1 - à remplir'!$E$31:$E$400,MASQ2!BV177,'Étape 1 - à remplir'!$G$31:$G$400,"lots"),SUMIFS('Étape 1 - à remplir'!$F$31:$F$400,'Étape 1 - à remplir'!$E$31:$E$400,MASQ2!BV177,'Étape 1 - à remplir'!$N$31:$N$400,CE$3,'Étape 1 - à remplir'!$G$31:$G$400,"lots")))))))</f>
        <v>#N/A</v>
      </c>
      <c r="BX177">
        <f t="shared" si="183"/>
        <v>0</v>
      </c>
      <c r="BY177" t="str">
        <f t="shared" si="167"/>
        <v>Tiamuline</v>
      </c>
      <c r="BZ177" t="str">
        <f t="shared" si="168"/>
        <v/>
      </c>
      <c r="CA177" t="str">
        <f t="shared" si="169"/>
        <v/>
      </c>
      <c r="CB177" t="str">
        <f t="shared" si="170"/>
        <v>Pleuromutilines</v>
      </c>
      <c r="CC177" t="str">
        <f t="shared" si="171"/>
        <v/>
      </c>
      <c r="CD177" s="63" t="str">
        <f t="shared" si="172"/>
        <v/>
      </c>
      <c r="CG177" s="42">
        <v>174</v>
      </c>
      <c r="CH177" s="42" t="e">
        <f t="shared" si="188"/>
        <v>#N/A</v>
      </c>
      <c r="CI177" s="63" t="e">
        <f t="shared" si="189"/>
        <v>#N/A</v>
      </c>
      <c r="DM177" s="63"/>
      <c r="EA177" s="194" t="str">
        <f t="shared" ca="1" si="173"/>
        <v/>
      </c>
      <c r="EB177" s="226" t="str">
        <f>IFERROR(IF(ED177=0,"",COUNTIF(ED$4:ED$600,"&gt;"&amp;ED177)+COUNTIF(ED$4:ED177,ED177)),"")</f>
        <v/>
      </c>
      <c r="EC177" t="str">
        <f t="shared" si="174"/>
        <v>DENAGARD SOLUTION BUVABLE</v>
      </c>
      <c r="ED177" t="e">
        <f>IF(IF(EL$2="Catégorie",IF(EL$3="Toutes",SUMIFS('Étape 1 - à remplir'!$F$31:$F$400,'Étape 1 - à remplir'!$E$31:$E$400,MASQ2!EC177,'Étape 1 - à remplir'!$G$31:$G$400,"kg"),SUMIFS('Étape 1 - à remplir'!$F$31:$F$400,'Étape 1 - à remplir'!$E$31:$E$400,MASQ2!EC177,'Étape 1 - à remplir'!$C$31:$C$400,EL$3)),IF(EL$2="Âge",IF(EL$3="Tous",SUMIFS('Étape 1 - à remplir'!$F$31:$F$400,'Étape 1 - à remplir'!$E$31:$E$400,MASQ2!EC177,'Étape 1 - à remplir'!$G$31:$G$400,"kg"),SUMIFS('Étape 1 - à remplir'!$F$31:$F$400,'Étape 1 - à remplir'!$E$31:$E$400,MASQ2!EC177,'Étape 1 - à remplir'!$P$31:$P$400,EL$3,'Étape 1 - à remplir'!$G$31:$G$400,"kg")),IF(EL$2="Atelier",IF(EL$3="Tous",SUMIFS('Étape 1 - à remplir'!$F$31:$F$400,'Étape 1 - à remplir'!$E$31:$E$400,MASQ2!EC177,'Étape 1 - à remplir'!$G$31:$G$400,"kg"),SUMIFS('Étape 1 - à remplir'!$F$31:$F$400,'Étape 1 - à remplir'!$E$31:$E$400,MASQ2!EC177,'Étape 1 - à remplir'!$O$31:$O$400,EL$3,'Étape 1 - à remplir'!$G$31:$G$400,"kg")),IF(EL$2="Espèce",IF(EL$3="Toutes",SUMIFS('Étape 1 - à remplir'!$F$31:$F$400,'Étape 1 - à remplir'!$E$31:$E$400,MASQ2!EC177,'Étape 1 - à remplir'!$G$31:$G$400,"kg"),SUMIFS('Étape 1 - à remplir'!$F$31:$F$400,'Étape 1 - à remplir'!$E$31:$E$400,MASQ2!EC177,'Étape 1 - à remplir'!$N$31:$N$400,EL$3,'Étape 1 - à remplir'!$G$31:$G$400,"kg"))))))=0,NA(),IF(EL$2="Catégorie",IF(EL$3="Toutes",SUMIFS('Étape 1 - à remplir'!$F$31:$F$400,'Étape 1 - à remplir'!$E$31:$E$400,MASQ2!EC177,'Étape 1 - à remplir'!$G$31:$G$400,"kg"),SUMIFS('Étape 1 - à remplir'!$F$31:$F$400,'Étape 1 - à remplir'!$E$31:$E$400,MASQ2!EC177,'Étape 1 - à remplir'!$C$31:$C$400,EL$3)),IF(EL$2="Âge",IF(EL$3="Tous",SUMIFS('Étape 1 - à remplir'!$F$31:$F$400,'Étape 1 - à remplir'!$E$31:$E$400,MASQ2!EC177,'Étape 1 - à remplir'!$G$31:$G$400,"kg"),SUMIFS('Étape 1 - à remplir'!$F$31:$F$400,'Étape 1 - à remplir'!$E$31:$E$400,MASQ2!EC177,'Étape 1 - à remplir'!$P$31:$P$400,EL$3,'Étape 1 - à remplir'!$G$31:$G$400,"kg")),IF(EL$2="Atelier",IF(EL$3="Tous",SUMIFS('Étape 1 - à remplir'!$F$31:$F$400,'Étape 1 - à remplir'!$E$31:$E$400,MASQ2!EC177,'Étape 1 - à remplir'!$G$31:$G$400,"kg"),SUMIFS('Étape 1 - à remplir'!$F$31:$F$400,'Étape 1 - à remplir'!$E$31:$E$400,MASQ2!EC177,'Étape 1 - à remplir'!$O$31:$O$400,EL$3,'Étape 1 - à remplir'!$G$31:$G$400,"kg")),IF(EL$2="Espèce",IF(EL$3="Toutes",SUMIFS('Étape 1 - à remplir'!$F$31:$F$400,'Étape 1 - à remplir'!$E$31:$E$400,MASQ2!EC177,'Étape 1 - à remplir'!$G$31:$G$400,"kg"),SUMIFS('Étape 1 - à remplir'!$F$31:$F$400,'Étape 1 - à remplir'!$E$31:$E$400,MASQ2!EC177,'Étape 1 - à remplir'!$N$31:$N$400,EL$3,'Étape 1 - à remplir'!$G$31:$G$400,"kg")))))))</f>
        <v>#N/A</v>
      </c>
      <c r="EE177" s="76">
        <f t="shared" si="184"/>
        <v>0</v>
      </c>
      <c r="EF177" t="str">
        <f t="shared" si="175"/>
        <v>Tiamuline</v>
      </c>
      <c r="EG177" t="str">
        <f t="shared" si="176"/>
        <v/>
      </c>
      <c r="EH177" t="str">
        <f t="shared" si="177"/>
        <v/>
      </c>
      <c r="EI177" t="str">
        <f t="shared" si="178"/>
        <v>Pleuromutilines</v>
      </c>
      <c r="EJ177" t="str">
        <f t="shared" si="179"/>
        <v/>
      </c>
      <c r="EK177" s="63" t="str">
        <f t="shared" si="180"/>
        <v/>
      </c>
      <c r="EN177" s="42">
        <v>174</v>
      </c>
      <c r="EO177" t="e">
        <f t="shared" si="186"/>
        <v>#N/A</v>
      </c>
      <c r="EP177" s="63" t="e">
        <f t="shared" si="187"/>
        <v>#N/A</v>
      </c>
      <c r="FT177" s="63"/>
    </row>
    <row r="178" spans="2:176" x14ac:dyDescent="0.3">
      <c r="B178" s="42"/>
      <c r="M178" s="194" t="str">
        <f ca="1">INDEX(Données_ATB!BD:BU,MATCH(MASQ2!O178,Données_ATB!BD:BD,0),18)</f>
        <v/>
      </c>
      <c r="N178" s="14" t="str">
        <f>IFERROR(IF(Q178=0,"",COUNTIF(Q$4:Q$600,"&gt;"&amp;Q178)+COUNTIF(Q$4:Q178,Q178)),"")</f>
        <v/>
      </c>
      <c r="O178" t="str">
        <f>Données_ATB!BD177</f>
        <v>DEPOCILLINE</v>
      </c>
      <c r="P178" t="e">
        <f>IF(IF(X$2="Catégorie",IF(X$3="Toutes",SUMIFS('Étape 1 - à remplir'!$F$31:$F$400,'Étape 1 - à remplir'!$E$31:$E$400,MASQ2!O178,'Étape 1 - à remplir'!$G$31:$G$400,"animaux"),SUMIFS('Étape 1 - à remplir'!$F$31:$F$400,'Étape 1 - à remplir'!$E$31:$E$400,MASQ2!O178,'Étape 1 - à remplir'!$C$31:$C$400,X$3)),IF(X$2="Âge",IF(X$3="Tous",SUMIFS('Étape 1 - à remplir'!$F$31:$F$400,'Étape 1 - à remplir'!$E$31:$E$400,MASQ2!O178,'Étape 1 - à remplir'!$G$31:$G$400,"animaux"),SUMIFS('Étape 1 - à remplir'!$F$31:$F$400,'Étape 1 - à remplir'!$E$31:$E$400,MASQ2!O178,'Étape 1 - à remplir'!$P$31:$P$400,X$3)),IF(X$2="Atelier",IF(X$3="Tous",SUMIFS('Étape 1 - à remplir'!$F$31:$F$400,'Étape 1 - à remplir'!$E$31:$E$400,MASQ2!O178,'Étape 1 - à remplir'!$G$31:$G$400,"animaux"),SUMIFS('Étape 1 - à remplir'!$F$31:$F$400,'Étape 1 - à remplir'!$E$31:$E$400,MASQ2!O178,'Étape 1 - à remplir'!$O$31:$O$400,X$3)),IF(X$2="Espèce",IF(X$3="Toutes",SUMIFS('Étape 1 - à remplir'!$F$31:$F$400,'Étape 1 - à remplir'!$E$31:$E$400,MASQ2!O178,'Étape 1 - à remplir'!$G$31:$G$400,"animaux"),SUMIFS('Étape 1 - à remplir'!$F$31:$F$400,'Étape 1 - à remplir'!$E$31:$E$400,MASQ2!O178,'Étape 1 - à remplir'!$N$31:$N$400,X$3))))))=0,NA(),IF(X$2="Catégorie",IF(X$3="Toutes",SUMIFS('Étape 1 - à remplir'!$F$31:$F$400,'Étape 1 - à remplir'!$E$31:$E$400,MASQ2!O178,'Étape 1 - à remplir'!$G$31:$G$400,"animaux"),SUMIFS('Étape 1 - à remplir'!$F$31:$F$400,'Étape 1 - à remplir'!$E$31:$E$400,MASQ2!O178,'Étape 1 - à remplir'!$C$31:$C$400,X$3)),IF(X$2="Âge",IF(X$3="Tous",SUMIFS('Étape 1 - à remplir'!$F$31:$F$400,'Étape 1 - à remplir'!$E$31:$E$400,MASQ2!O178,'Étape 1 - à remplir'!$G$31:$G$400,"animaux"),SUMIFS('Étape 1 - à remplir'!$F$31:$F$400,'Étape 1 - à remplir'!$E$31:$E$400,MASQ2!O178,'Étape 1 - à remplir'!$P$31:$P$400,X$3)),IF(X$2="Atelier",IF(X$3="Tous",SUMIFS('Étape 1 - à remplir'!$F$31:$F$400,'Étape 1 - à remplir'!$E$31:$E$400,MASQ2!O178,'Étape 1 - à remplir'!$G$31:$G$400,"animaux"),SUMIFS('Étape 1 - à remplir'!$F$31:$F$400,'Étape 1 - à remplir'!$E$31:$E$400,MASQ2!O178,'Étape 1 - à remplir'!$O$31:$O$400,X$3)),IF(X$2="Espèce",IF(X$3="Toutes",SUMIFS('Étape 1 - à remplir'!$F$31:$F$400,'Étape 1 - à remplir'!$E$31:$E$400,MASQ2!O178,'Étape 1 - à remplir'!$G$31:$G$400,"animaux"),SUMIFS('Étape 1 - à remplir'!$F$31:$F$400,'Étape 1 - à remplir'!$E$31:$E$400,MASQ2!O178,'Étape 1 - à remplir'!$N$31:$N$400,X$3)))))))</f>
        <v>#N/A</v>
      </c>
      <c r="Q178" s="63">
        <f t="shared" si="185"/>
        <v>0</v>
      </c>
      <c r="R178" t="str">
        <f>Données_ATB!BM177</f>
        <v>Benzylpénicilline</v>
      </c>
      <c r="S178" t="str">
        <f>Données_ATB!BN177</f>
        <v/>
      </c>
      <c r="T178" s="63" t="str">
        <f>Données_ATB!BO177</f>
        <v/>
      </c>
      <c r="U178" s="42" t="str">
        <f>Données_ATB!BQ177</f>
        <v>Penicillines</v>
      </c>
      <c r="V178" t="str">
        <f>Données_ATB!BR177</f>
        <v/>
      </c>
      <c r="W178" s="63" t="str">
        <f>Données_ATB!BS177</f>
        <v/>
      </c>
      <c r="Z178" s="42">
        <v>175</v>
      </c>
      <c r="AA178" t="e">
        <f t="shared" si="181"/>
        <v>#N/A</v>
      </c>
      <c r="AB178" s="63" t="e">
        <f t="shared" si="182"/>
        <v>#N/A</v>
      </c>
      <c r="BF178" s="63"/>
      <c r="BT178" s="194" t="str">
        <f t="shared" ca="1" si="165"/>
        <v/>
      </c>
      <c r="BU178" s="219" t="str">
        <f>IFERROR(IF(BX178=0,"",COUNTIF(BX$4:BX$600,"&gt;"&amp;BX178)+COUNTIF(BX$4:BX178,BX178)),"")</f>
        <v/>
      </c>
      <c r="BV178" s="42" t="str">
        <f t="shared" si="166"/>
        <v>DEPOCILLINE</v>
      </c>
      <c r="BW178" t="e">
        <f>IF(IF(CE$2="Catégorie",IF(CE$3="Toutes",SUMIFS('Étape 1 - à remplir'!$F$31:$F$400,'Étape 1 - à remplir'!$E$31:$E$400,MASQ2!BV178,'Étape 1 - à remplir'!$G$31:$G$400,"lots"),SUMIFS('Étape 1 - à remplir'!$F$31:$F$400,'Étape 1 - à remplir'!$E$31:$E$400,MASQ2!BV178,'Étape 1 - à remplir'!$C$31:$C$400,CE$3)),IF(CE$2="Âge",IF(CE$3="Tous",SUMIFS('Étape 1 - à remplir'!$F$31:$F$400,'Étape 1 - à remplir'!$E$31:$E$400,MASQ2!BV178,'Étape 1 - à remplir'!$G$31:$G$400,"lots"),SUMIFS('Étape 1 - à remplir'!$F$31:$F$400,'Étape 1 - à remplir'!$E$31:$E$400,MASQ2!BV178,'Étape 1 - à remplir'!$P$31:$P$400,CE$3,'Étape 1 - à remplir'!$G$31:$G$400,"lots")),IF(CE$2="Atelier",IF(CE$3="Tous",SUMIFS('Étape 1 - à remplir'!$F$31:$F$400,'Étape 1 - à remplir'!$E$31:$E$400,MASQ2!BV178,'Étape 1 - à remplir'!$G$31:$G$400,"lots"),SUMIFS('Étape 1 - à remplir'!$F$31:$F$400,'Étape 1 - à remplir'!$E$31:$E$400,MASQ2!BV178,'Étape 1 - à remplir'!$O$31:$O$400,CE$3,'Étape 1 - à remplir'!$G$31:$G$400,"lots")),IF(CE$2="Espèce",IF(CE$3="Toutes",SUMIFS('Étape 1 - à remplir'!$F$31:$F$400,'Étape 1 - à remplir'!$E$31:$E$400,MASQ2!BV178,'Étape 1 - à remplir'!$G$31:$G$400,"lots"),SUMIFS('Étape 1 - à remplir'!$F$31:$F$400,'Étape 1 - à remplir'!$E$31:$E$400,MASQ2!BV178,'Étape 1 - à remplir'!$N$31:$N$400,CE$3,'Étape 1 - à remplir'!$G$31:$G$400,"lots"))))))=0,NA(),IF(CE$2="Catégorie",IF(CE$3="Toutes",SUMIFS('Étape 1 - à remplir'!$F$31:$F$400,'Étape 1 - à remplir'!$E$31:$E$400,MASQ2!BV178,'Étape 1 - à remplir'!$G$31:$G$400,"lots"),SUMIFS('Étape 1 - à remplir'!$F$31:$F$400,'Étape 1 - à remplir'!$E$31:$E$400,MASQ2!BV178,'Étape 1 - à remplir'!$C$31:$C$400,CE$3)),IF(CE$2="Âge",IF(CE$3="Tous",SUMIFS('Étape 1 - à remplir'!$F$31:$F$400,'Étape 1 - à remplir'!$E$31:$E$400,MASQ2!BV178,'Étape 1 - à remplir'!$G$31:$G$400,"lots"),SUMIFS('Étape 1 - à remplir'!$F$31:$F$400,'Étape 1 - à remplir'!$E$31:$E$400,MASQ2!BV178,'Étape 1 - à remplir'!$P$31:$P$400,CE$3,'Étape 1 - à remplir'!$G$31:$G$400,"lots")),IF(CE$2="Atelier",IF(CE$3="Tous",SUMIFS('Étape 1 - à remplir'!$F$31:$F$400,'Étape 1 - à remplir'!$E$31:$E$400,MASQ2!BV178,'Étape 1 - à remplir'!$G$31:$G$400,"lots"),SUMIFS('Étape 1 - à remplir'!$F$31:$F$400,'Étape 1 - à remplir'!$E$31:$E$400,MASQ2!BV178,'Étape 1 - à remplir'!$O$31:$O$400,CE$3,'Étape 1 - à remplir'!$G$31:$G$400,"lots")),IF(CE$2="Espèce",IF(CE$3="Toutes",SUMIFS('Étape 1 - à remplir'!$F$31:$F$400,'Étape 1 - à remplir'!$E$31:$E$400,MASQ2!BV178,'Étape 1 - à remplir'!$G$31:$G$400,"lots"),SUMIFS('Étape 1 - à remplir'!$F$31:$F$400,'Étape 1 - à remplir'!$E$31:$E$400,MASQ2!BV178,'Étape 1 - à remplir'!$N$31:$N$400,CE$3,'Étape 1 - à remplir'!$G$31:$G$400,"lots")))))))</f>
        <v>#N/A</v>
      </c>
      <c r="BX178">
        <f t="shared" si="183"/>
        <v>0</v>
      </c>
      <c r="BY178" t="str">
        <f t="shared" si="167"/>
        <v>Benzylpénicilline</v>
      </c>
      <c r="BZ178" t="str">
        <f t="shared" si="168"/>
        <v/>
      </c>
      <c r="CA178" t="str">
        <f t="shared" si="169"/>
        <v/>
      </c>
      <c r="CB178" t="str">
        <f t="shared" si="170"/>
        <v>Penicillines</v>
      </c>
      <c r="CC178" t="str">
        <f t="shared" si="171"/>
        <v/>
      </c>
      <c r="CD178" s="63" t="str">
        <f t="shared" si="172"/>
        <v/>
      </c>
      <c r="CG178" s="42">
        <v>175</v>
      </c>
      <c r="CH178" s="42" t="e">
        <f t="shared" si="188"/>
        <v>#N/A</v>
      </c>
      <c r="CI178" s="63" t="e">
        <f t="shared" si="189"/>
        <v>#N/A</v>
      </c>
      <c r="DM178" s="63"/>
      <c r="EA178" s="194" t="str">
        <f t="shared" ca="1" si="173"/>
        <v/>
      </c>
      <c r="EB178" s="226" t="str">
        <f>IFERROR(IF(ED178=0,"",COUNTIF(ED$4:ED$600,"&gt;"&amp;ED178)+COUNTIF(ED$4:ED178,ED178)),"")</f>
        <v/>
      </c>
      <c r="EC178" t="str">
        <f t="shared" si="174"/>
        <v>DEPOCILLINE</v>
      </c>
      <c r="ED178" t="e">
        <f>IF(IF(EL$2="Catégorie",IF(EL$3="Toutes",SUMIFS('Étape 1 - à remplir'!$F$31:$F$400,'Étape 1 - à remplir'!$E$31:$E$400,MASQ2!EC178,'Étape 1 - à remplir'!$G$31:$G$400,"kg"),SUMIFS('Étape 1 - à remplir'!$F$31:$F$400,'Étape 1 - à remplir'!$E$31:$E$400,MASQ2!EC178,'Étape 1 - à remplir'!$C$31:$C$400,EL$3)),IF(EL$2="Âge",IF(EL$3="Tous",SUMIFS('Étape 1 - à remplir'!$F$31:$F$400,'Étape 1 - à remplir'!$E$31:$E$400,MASQ2!EC178,'Étape 1 - à remplir'!$G$31:$G$400,"kg"),SUMIFS('Étape 1 - à remplir'!$F$31:$F$400,'Étape 1 - à remplir'!$E$31:$E$400,MASQ2!EC178,'Étape 1 - à remplir'!$P$31:$P$400,EL$3,'Étape 1 - à remplir'!$G$31:$G$400,"kg")),IF(EL$2="Atelier",IF(EL$3="Tous",SUMIFS('Étape 1 - à remplir'!$F$31:$F$400,'Étape 1 - à remplir'!$E$31:$E$400,MASQ2!EC178,'Étape 1 - à remplir'!$G$31:$G$400,"kg"),SUMIFS('Étape 1 - à remplir'!$F$31:$F$400,'Étape 1 - à remplir'!$E$31:$E$400,MASQ2!EC178,'Étape 1 - à remplir'!$O$31:$O$400,EL$3,'Étape 1 - à remplir'!$G$31:$G$400,"kg")),IF(EL$2="Espèce",IF(EL$3="Toutes",SUMIFS('Étape 1 - à remplir'!$F$31:$F$400,'Étape 1 - à remplir'!$E$31:$E$400,MASQ2!EC178,'Étape 1 - à remplir'!$G$31:$G$400,"kg"),SUMIFS('Étape 1 - à remplir'!$F$31:$F$400,'Étape 1 - à remplir'!$E$31:$E$400,MASQ2!EC178,'Étape 1 - à remplir'!$N$31:$N$400,EL$3,'Étape 1 - à remplir'!$G$31:$G$400,"kg"))))))=0,NA(),IF(EL$2="Catégorie",IF(EL$3="Toutes",SUMIFS('Étape 1 - à remplir'!$F$31:$F$400,'Étape 1 - à remplir'!$E$31:$E$400,MASQ2!EC178,'Étape 1 - à remplir'!$G$31:$G$400,"kg"),SUMIFS('Étape 1 - à remplir'!$F$31:$F$400,'Étape 1 - à remplir'!$E$31:$E$400,MASQ2!EC178,'Étape 1 - à remplir'!$C$31:$C$400,EL$3)),IF(EL$2="Âge",IF(EL$3="Tous",SUMIFS('Étape 1 - à remplir'!$F$31:$F$400,'Étape 1 - à remplir'!$E$31:$E$400,MASQ2!EC178,'Étape 1 - à remplir'!$G$31:$G$400,"kg"),SUMIFS('Étape 1 - à remplir'!$F$31:$F$400,'Étape 1 - à remplir'!$E$31:$E$400,MASQ2!EC178,'Étape 1 - à remplir'!$P$31:$P$400,EL$3,'Étape 1 - à remplir'!$G$31:$G$400,"kg")),IF(EL$2="Atelier",IF(EL$3="Tous",SUMIFS('Étape 1 - à remplir'!$F$31:$F$400,'Étape 1 - à remplir'!$E$31:$E$400,MASQ2!EC178,'Étape 1 - à remplir'!$G$31:$G$400,"kg"),SUMIFS('Étape 1 - à remplir'!$F$31:$F$400,'Étape 1 - à remplir'!$E$31:$E$400,MASQ2!EC178,'Étape 1 - à remplir'!$O$31:$O$400,EL$3,'Étape 1 - à remplir'!$G$31:$G$400,"kg")),IF(EL$2="Espèce",IF(EL$3="Toutes",SUMIFS('Étape 1 - à remplir'!$F$31:$F$400,'Étape 1 - à remplir'!$E$31:$E$400,MASQ2!EC178,'Étape 1 - à remplir'!$G$31:$G$400,"kg"),SUMIFS('Étape 1 - à remplir'!$F$31:$F$400,'Étape 1 - à remplir'!$E$31:$E$400,MASQ2!EC178,'Étape 1 - à remplir'!$N$31:$N$400,EL$3,'Étape 1 - à remplir'!$G$31:$G$400,"kg")))))))</f>
        <v>#N/A</v>
      </c>
      <c r="EE178" s="76">
        <f t="shared" si="184"/>
        <v>0</v>
      </c>
      <c r="EF178" t="str">
        <f t="shared" si="175"/>
        <v>Benzylpénicilline</v>
      </c>
      <c r="EG178" t="str">
        <f t="shared" si="176"/>
        <v/>
      </c>
      <c r="EH178" t="str">
        <f t="shared" si="177"/>
        <v/>
      </c>
      <c r="EI178" t="str">
        <f t="shared" si="178"/>
        <v>Penicillines</v>
      </c>
      <c r="EJ178" t="str">
        <f t="shared" si="179"/>
        <v/>
      </c>
      <c r="EK178" s="63" t="str">
        <f t="shared" si="180"/>
        <v/>
      </c>
      <c r="EN178" s="42">
        <v>175</v>
      </c>
      <c r="EO178" t="e">
        <f t="shared" si="186"/>
        <v>#N/A</v>
      </c>
      <c r="EP178" s="63" t="e">
        <f t="shared" si="187"/>
        <v>#N/A</v>
      </c>
      <c r="FT178" s="63"/>
    </row>
    <row r="179" spans="2:176" x14ac:dyDescent="0.3">
      <c r="B179" s="42"/>
      <c r="M179" s="194" t="str">
        <f ca="1">INDEX(Données_ATB!BD:BU,MATCH(MASQ2!O179,Données_ATB!BD:BD,0),18)</f>
        <v/>
      </c>
      <c r="N179" s="14" t="str">
        <f>IFERROR(IF(Q179=0,"",COUNTIF(Q$4:Q$600,"&gt;"&amp;Q179)+COUNTIF(Q$4:Q179,Q179)),"")</f>
        <v/>
      </c>
      <c r="O179" t="str">
        <f>Données_ATB!BD178</f>
        <v>DFV DOXIVET 200 MG/ML SOLUTION POUR ADMINISTRATION DANS L'EAU DE BOISSON POUR PORCS ET POULETS</v>
      </c>
      <c r="P179" t="e">
        <f>IF(IF(X$2="Catégorie",IF(X$3="Toutes",SUMIFS('Étape 1 - à remplir'!$F$31:$F$400,'Étape 1 - à remplir'!$E$31:$E$400,MASQ2!O179,'Étape 1 - à remplir'!$G$31:$G$400,"animaux"),SUMIFS('Étape 1 - à remplir'!$F$31:$F$400,'Étape 1 - à remplir'!$E$31:$E$400,MASQ2!O179,'Étape 1 - à remplir'!$C$31:$C$400,X$3)),IF(X$2="Âge",IF(X$3="Tous",SUMIFS('Étape 1 - à remplir'!$F$31:$F$400,'Étape 1 - à remplir'!$E$31:$E$400,MASQ2!O179,'Étape 1 - à remplir'!$G$31:$G$400,"animaux"),SUMIFS('Étape 1 - à remplir'!$F$31:$F$400,'Étape 1 - à remplir'!$E$31:$E$400,MASQ2!O179,'Étape 1 - à remplir'!$P$31:$P$400,X$3)),IF(X$2="Atelier",IF(X$3="Tous",SUMIFS('Étape 1 - à remplir'!$F$31:$F$400,'Étape 1 - à remplir'!$E$31:$E$400,MASQ2!O179,'Étape 1 - à remplir'!$G$31:$G$400,"animaux"),SUMIFS('Étape 1 - à remplir'!$F$31:$F$400,'Étape 1 - à remplir'!$E$31:$E$400,MASQ2!O179,'Étape 1 - à remplir'!$O$31:$O$400,X$3)),IF(X$2="Espèce",IF(X$3="Toutes",SUMIFS('Étape 1 - à remplir'!$F$31:$F$400,'Étape 1 - à remplir'!$E$31:$E$400,MASQ2!O179,'Étape 1 - à remplir'!$G$31:$G$400,"animaux"),SUMIFS('Étape 1 - à remplir'!$F$31:$F$400,'Étape 1 - à remplir'!$E$31:$E$400,MASQ2!O179,'Étape 1 - à remplir'!$N$31:$N$400,X$3))))))=0,NA(),IF(X$2="Catégorie",IF(X$3="Toutes",SUMIFS('Étape 1 - à remplir'!$F$31:$F$400,'Étape 1 - à remplir'!$E$31:$E$400,MASQ2!O179,'Étape 1 - à remplir'!$G$31:$G$400,"animaux"),SUMIFS('Étape 1 - à remplir'!$F$31:$F$400,'Étape 1 - à remplir'!$E$31:$E$400,MASQ2!O179,'Étape 1 - à remplir'!$C$31:$C$400,X$3)),IF(X$2="Âge",IF(X$3="Tous",SUMIFS('Étape 1 - à remplir'!$F$31:$F$400,'Étape 1 - à remplir'!$E$31:$E$400,MASQ2!O179,'Étape 1 - à remplir'!$G$31:$G$400,"animaux"),SUMIFS('Étape 1 - à remplir'!$F$31:$F$400,'Étape 1 - à remplir'!$E$31:$E$400,MASQ2!O179,'Étape 1 - à remplir'!$P$31:$P$400,X$3)),IF(X$2="Atelier",IF(X$3="Tous",SUMIFS('Étape 1 - à remplir'!$F$31:$F$400,'Étape 1 - à remplir'!$E$31:$E$400,MASQ2!O179,'Étape 1 - à remplir'!$G$31:$G$400,"animaux"),SUMIFS('Étape 1 - à remplir'!$F$31:$F$400,'Étape 1 - à remplir'!$E$31:$E$400,MASQ2!O179,'Étape 1 - à remplir'!$O$31:$O$400,X$3)),IF(X$2="Espèce",IF(X$3="Toutes",SUMIFS('Étape 1 - à remplir'!$F$31:$F$400,'Étape 1 - à remplir'!$E$31:$E$400,MASQ2!O179,'Étape 1 - à remplir'!$G$31:$G$400,"animaux"),SUMIFS('Étape 1 - à remplir'!$F$31:$F$400,'Étape 1 - à remplir'!$E$31:$E$400,MASQ2!O179,'Étape 1 - à remplir'!$N$31:$N$400,X$3)))))))</f>
        <v>#N/A</v>
      </c>
      <c r="Q179" s="63">
        <f t="shared" si="185"/>
        <v>0</v>
      </c>
      <c r="R179" t="str">
        <f>Données_ATB!BM178</f>
        <v>Doxycycline</v>
      </c>
      <c r="S179" t="str">
        <f>Données_ATB!BN178</f>
        <v/>
      </c>
      <c r="T179" s="63" t="str">
        <f>Données_ATB!BO178</f>
        <v/>
      </c>
      <c r="U179" s="42" t="str">
        <f>Données_ATB!BQ178</f>
        <v>Tetracyclines</v>
      </c>
      <c r="V179" t="str">
        <f>Données_ATB!BR178</f>
        <v/>
      </c>
      <c r="W179" s="63" t="str">
        <f>Données_ATB!BS178</f>
        <v/>
      </c>
      <c r="Z179" s="42">
        <v>176</v>
      </c>
      <c r="AA179" t="e">
        <f t="shared" si="181"/>
        <v>#N/A</v>
      </c>
      <c r="AB179" s="63" t="e">
        <f t="shared" si="182"/>
        <v>#N/A</v>
      </c>
      <c r="BF179" s="63"/>
      <c r="BT179" s="194" t="str">
        <f t="shared" ca="1" si="165"/>
        <v/>
      </c>
      <c r="BU179" s="219" t="str">
        <f>IFERROR(IF(BX179=0,"",COUNTIF(BX$4:BX$600,"&gt;"&amp;BX179)+COUNTIF(BX$4:BX179,BX179)),"")</f>
        <v/>
      </c>
      <c r="BV179" s="42" t="str">
        <f t="shared" si="166"/>
        <v>DFV DOXIVET 200 MG/ML SOLUTION POUR ADMINISTRATION DANS L'EAU DE BOISSON POUR PORCS ET POULETS</v>
      </c>
      <c r="BW179" t="e">
        <f>IF(IF(CE$2="Catégorie",IF(CE$3="Toutes",SUMIFS('Étape 1 - à remplir'!$F$31:$F$400,'Étape 1 - à remplir'!$E$31:$E$400,MASQ2!BV179,'Étape 1 - à remplir'!$G$31:$G$400,"lots"),SUMIFS('Étape 1 - à remplir'!$F$31:$F$400,'Étape 1 - à remplir'!$E$31:$E$400,MASQ2!BV179,'Étape 1 - à remplir'!$C$31:$C$400,CE$3)),IF(CE$2="Âge",IF(CE$3="Tous",SUMIFS('Étape 1 - à remplir'!$F$31:$F$400,'Étape 1 - à remplir'!$E$31:$E$400,MASQ2!BV179,'Étape 1 - à remplir'!$G$31:$G$400,"lots"),SUMIFS('Étape 1 - à remplir'!$F$31:$F$400,'Étape 1 - à remplir'!$E$31:$E$400,MASQ2!BV179,'Étape 1 - à remplir'!$P$31:$P$400,CE$3,'Étape 1 - à remplir'!$G$31:$G$400,"lots")),IF(CE$2="Atelier",IF(CE$3="Tous",SUMIFS('Étape 1 - à remplir'!$F$31:$F$400,'Étape 1 - à remplir'!$E$31:$E$400,MASQ2!BV179,'Étape 1 - à remplir'!$G$31:$G$400,"lots"),SUMIFS('Étape 1 - à remplir'!$F$31:$F$400,'Étape 1 - à remplir'!$E$31:$E$400,MASQ2!BV179,'Étape 1 - à remplir'!$O$31:$O$400,CE$3,'Étape 1 - à remplir'!$G$31:$G$400,"lots")),IF(CE$2="Espèce",IF(CE$3="Toutes",SUMIFS('Étape 1 - à remplir'!$F$31:$F$400,'Étape 1 - à remplir'!$E$31:$E$400,MASQ2!BV179,'Étape 1 - à remplir'!$G$31:$G$400,"lots"),SUMIFS('Étape 1 - à remplir'!$F$31:$F$400,'Étape 1 - à remplir'!$E$31:$E$400,MASQ2!BV179,'Étape 1 - à remplir'!$N$31:$N$400,CE$3,'Étape 1 - à remplir'!$G$31:$G$400,"lots"))))))=0,NA(),IF(CE$2="Catégorie",IF(CE$3="Toutes",SUMIFS('Étape 1 - à remplir'!$F$31:$F$400,'Étape 1 - à remplir'!$E$31:$E$400,MASQ2!BV179,'Étape 1 - à remplir'!$G$31:$G$400,"lots"),SUMIFS('Étape 1 - à remplir'!$F$31:$F$400,'Étape 1 - à remplir'!$E$31:$E$400,MASQ2!BV179,'Étape 1 - à remplir'!$C$31:$C$400,CE$3)),IF(CE$2="Âge",IF(CE$3="Tous",SUMIFS('Étape 1 - à remplir'!$F$31:$F$400,'Étape 1 - à remplir'!$E$31:$E$400,MASQ2!BV179,'Étape 1 - à remplir'!$G$31:$G$400,"lots"),SUMIFS('Étape 1 - à remplir'!$F$31:$F$400,'Étape 1 - à remplir'!$E$31:$E$400,MASQ2!BV179,'Étape 1 - à remplir'!$P$31:$P$400,CE$3,'Étape 1 - à remplir'!$G$31:$G$400,"lots")),IF(CE$2="Atelier",IF(CE$3="Tous",SUMIFS('Étape 1 - à remplir'!$F$31:$F$400,'Étape 1 - à remplir'!$E$31:$E$400,MASQ2!BV179,'Étape 1 - à remplir'!$G$31:$G$400,"lots"),SUMIFS('Étape 1 - à remplir'!$F$31:$F$400,'Étape 1 - à remplir'!$E$31:$E$400,MASQ2!BV179,'Étape 1 - à remplir'!$O$31:$O$400,CE$3,'Étape 1 - à remplir'!$G$31:$G$400,"lots")),IF(CE$2="Espèce",IF(CE$3="Toutes",SUMIFS('Étape 1 - à remplir'!$F$31:$F$400,'Étape 1 - à remplir'!$E$31:$E$400,MASQ2!BV179,'Étape 1 - à remplir'!$G$31:$G$400,"lots"),SUMIFS('Étape 1 - à remplir'!$F$31:$F$400,'Étape 1 - à remplir'!$E$31:$E$400,MASQ2!BV179,'Étape 1 - à remplir'!$N$31:$N$400,CE$3,'Étape 1 - à remplir'!$G$31:$G$400,"lots")))))))</f>
        <v>#N/A</v>
      </c>
      <c r="BX179">
        <f t="shared" si="183"/>
        <v>0</v>
      </c>
      <c r="BY179" t="str">
        <f t="shared" si="167"/>
        <v>Doxycycline</v>
      </c>
      <c r="BZ179" t="str">
        <f t="shared" si="168"/>
        <v/>
      </c>
      <c r="CA179" t="str">
        <f t="shared" si="169"/>
        <v/>
      </c>
      <c r="CB179" t="str">
        <f t="shared" si="170"/>
        <v>Tetracyclines</v>
      </c>
      <c r="CC179" t="str">
        <f t="shared" si="171"/>
        <v/>
      </c>
      <c r="CD179" s="63" t="str">
        <f t="shared" si="172"/>
        <v/>
      </c>
      <c r="CG179" s="42">
        <v>176</v>
      </c>
      <c r="CH179" s="42" t="e">
        <f t="shared" si="188"/>
        <v>#N/A</v>
      </c>
      <c r="CI179" s="63" t="e">
        <f t="shared" si="189"/>
        <v>#N/A</v>
      </c>
      <c r="DM179" s="63"/>
      <c r="EA179" s="194" t="str">
        <f t="shared" ca="1" si="173"/>
        <v/>
      </c>
      <c r="EB179" s="226" t="str">
        <f>IFERROR(IF(ED179=0,"",COUNTIF(ED$4:ED$600,"&gt;"&amp;ED179)+COUNTIF(ED$4:ED179,ED179)),"")</f>
        <v/>
      </c>
      <c r="EC179" t="str">
        <f t="shared" si="174"/>
        <v>DFV DOXIVET 200 MG/ML SOLUTION POUR ADMINISTRATION DANS L'EAU DE BOISSON POUR PORCS ET POULETS</v>
      </c>
      <c r="ED179" t="e">
        <f>IF(IF(EL$2="Catégorie",IF(EL$3="Toutes",SUMIFS('Étape 1 - à remplir'!$F$31:$F$400,'Étape 1 - à remplir'!$E$31:$E$400,MASQ2!EC179,'Étape 1 - à remplir'!$G$31:$G$400,"kg"),SUMIFS('Étape 1 - à remplir'!$F$31:$F$400,'Étape 1 - à remplir'!$E$31:$E$400,MASQ2!EC179,'Étape 1 - à remplir'!$C$31:$C$400,EL$3)),IF(EL$2="Âge",IF(EL$3="Tous",SUMIFS('Étape 1 - à remplir'!$F$31:$F$400,'Étape 1 - à remplir'!$E$31:$E$400,MASQ2!EC179,'Étape 1 - à remplir'!$G$31:$G$400,"kg"),SUMIFS('Étape 1 - à remplir'!$F$31:$F$400,'Étape 1 - à remplir'!$E$31:$E$400,MASQ2!EC179,'Étape 1 - à remplir'!$P$31:$P$400,EL$3,'Étape 1 - à remplir'!$G$31:$G$400,"kg")),IF(EL$2="Atelier",IF(EL$3="Tous",SUMIFS('Étape 1 - à remplir'!$F$31:$F$400,'Étape 1 - à remplir'!$E$31:$E$400,MASQ2!EC179,'Étape 1 - à remplir'!$G$31:$G$400,"kg"),SUMIFS('Étape 1 - à remplir'!$F$31:$F$400,'Étape 1 - à remplir'!$E$31:$E$400,MASQ2!EC179,'Étape 1 - à remplir'!$O$31:$O$400,EL$3,'Étape 1 - à remplir'!$G$31:$G$400,"kg")),IF(EL$2="Espèce",IF(EL$3="Toutes",SUMIFS('Étape 1 - à remplir'!$F$31:$F$400,'Étape 1 - à remplir'!$E$31:$E$400,MASQ2!EC179,'Étape 1 - à remplir'!$G$31:$G$400,"kg"),SUMIFS('Étape 1 - à remplir'!$F$31:$F$400,'Étape 1 - à remplir'!$E$31:$E$400,MASQ2!EC179,'Étape 1 - à remplir'!$N$31:$N$400,EL$3,'Étape 1 - à remplir'!$G$31:$G$400,"kg"))))))=0,NA(),IF(EL$2="Catégorie",IF(EL$3="Toutes",SUMIFS('Étape 1 - à remplir'!$F$31:$F$400,'Étape 1 - à remplir'!$E$31:$E$400,MASQ2!EC179,'Étape 1 - à remplir'!$G$31:$G$400,"kg"),SUMIFS('Étape 1 - à remplir'!$F$31:$F$400,'Étape 1 - à remplir'!$E$31:$E$400,MASQ2!EC179,'Étape 1 - à remplir'!$C$31:$C$400,EL$3)),IF(EL$2="Âge",IF(EL$3="Tous",SUMIFS('Étape 1 - à remplir'!$F$31:$F$400,'Étape 1 - à remplir'!$E$31:$E$400,MASQ2!EC179,'Étape 1 - à remplir'!$G$31:$G$400,"kg"),SUMIFS('Étape 1 - à remplir'!$F$31:$F$400,'Étape 1 - à remplir'!$E$31:$E$400,MASQ2!EC179,'Étape 1 - à remplir'!$P$31:$P$400,EL$3,'Étape 1 - à remplir'!$G$31:$G$400,"kg")),IF(EL$2="Atelier",IF(EL$3="Tous",SUMIFS('Étape 1 - à remplir'!$F$31:$F$400,'Étape 1 - à remplir'!$E$31:$E$400,MASQ2!EC179,'Étape 1 - à remplir'!$G$31:$G$400,"kg"),SUMIFS('Étape 1 - à remplir'!$F$31:$F$400,'Étape 1 - à remplir'!$E$31:$E$400,MASQ2!EC179,'Étape 1 - à remplir'!$O$31:$O$400,EL$3,'Étape 1 - à remplir'!$G$31:$G$400,"kg")),IF(EL$2="Espèce",IF(EL$3="Toutes",SUMIFS('Étape 1 - à remplir'!$F$31:$F$400,'Étape 1 - à remplir'!$E$31:$E$400,MASQ2!EC179,'Étape 1 - à remplir'!$G$31:$G$400,"kg"),SUMIFS('Étape 1 - à remplir'!$F$31:$F$400,'Étape 1 - à remplir'!$E$31:$E$400,MASQ2!EC179,'Étape 1 - à remplir'!$N$31:$N$400,EL$3,'Étape 1 - à remplir'!$G$31:$G$400,"kg")))))))</f>
        <v>#N/A</v>
      </c>
      <c r="EE179" s="76">
        <f t="shared" si="184"/>
        <v>0</v>
      </c>
      <c r="EF179" t="str">
        <f t="shared" si="175"/>
        <v>Doxycycline</v>
      </c>
      <c r="EG179" t="str">
        <f t="shared" si="176"/>
        <v/>
      </c>
      <c r="EH179" t="str">
        <f t="shared" si="177"/>
        <v/>
      </c>
      <c r="EI179" t="str">
        <f t="shared" si="178"/>
        <v>Tetracyclines</v>
      </c>
      <c r="EJ179" t="str">
        <f t="shared" si="179"/>
        <v/>
      </c>
      <c r="EK179" s="63" t="str">
        <f t="shared" si="180"/>
        <v/>
      </c>
      <c r="EN179" s="42">
        <v>176</v>
      </c>
      <c r="EO179" t="e">
        <f t="shared" si="186"/>
        <v>#N/A</v>
      </c>
      <c r="EP179" s="63" t="e">
        <f t="shared" si="187"/>
        <v>#N/A</v>
      </c>
      <c r="FT179" s="63"/>
    </row>
    <row r="180" spans="2:176" x14ac:dyDescent="0.3">
      <c r="B180" s="42"/>
      <c r="M180" s="194" t="str">
        <f ca="1">INDEX(Données_ATB!BD:BU,MATCH(MASQ2!O180,Données_ATB!BD:BD,0),18)</f>
        <v/>
      </c>
      <c r="N180" s="14" t="str">
        <f>IFERROR(IF(Q180=0,"",COUNTIF(Q$4:Q$600,"&gt;"&amp;Q180)+COUNTIF(Q$4:Q180,Q180)),"")</f>
        <v/>
      </c>
      <c r="O180" t="str">
        <f>Données_ATB!BD179</f>
        <v>DHS 50 COOPHAVET</v>
      </c>
      <c r="P180" t="e">
        <f>IF(IF(X$2="Catégorie",IF(X$3="Toutes",SUMIFS('Étape 1 - à remplir'!$F$31:$F$400,'Étape 1 - à remplir'!$E$31:$E$400,MASQ2!O180,'Étape 1 - à remplir'!$G$31:$G$400,"animaux"),SUMIFS('Étape 1 - à remplir'!$F$31:$F$400,'Étape 1 - à remplir'!$E$31:$E$400,MASQ2!O180,'Étape 1 - à remplir'!$C$31:$C$400,X$3)),IF(X$2="Âge",IF(X$3="Tous",SUMIFS('Étape 1 - à remplir'!$F$31:$F$400,'Étape 1 - à remplir'!$E$31:$E$400,MASQ2!O180,'Étape 1 - à remplir'!$G$31:$G$400,"animaux"),SUMIFS('Étape 1 - à remplir'!$F$31:$F$400,'Étape 1 - à remplir'!$E$31:$E$400,MASQ2!O180,'Étape 1 - à remplir'!$P$31:$P$400,X$3)),IF(X$2="Atelier",IF(X$3="Tous",SUMIFS('Étape 1 - à remplir'!$F$31:$F$400,'Étape 1 - à remplir'!$E$31:$E$400,MASQ2!O180,'Étape 1 - à remplir'!$G$31:$G$400,"animaux"),SUMIFS('Étape 1 - à remplir'!$F$31:$F$400,'Étape 1 - à remplir'!$E$31:$E$400,MASQ2!O180,'Étape 1 - à remplir'!$O$31:$O$400,X$3)),IF(X$2="Espèce",IF(X$3="Toutes",SUMIFS('Étape 1 - à remplir'!$F$31:$F$400,'Étape 1 - à remplir'!$E$31:$E$400,MASQ2!O180,'Étape 1 - à remplir'!$G$31:$G$400,"animaux"),SUMIFS('Étape 1 - à remplir'!$F$31:$F$400,'Étape 1 - à remplir'!$E$31:$E$400,MASQ2!O180,'Étape 1 - à remplir'!$N$31:$N$400,X$3))))))=0,NA(),IF(X$2="Catégorie",IF(X$3="Toutes",SUMIFS('Étape 1 - à remplir'!$F$31:$F$400,'Étape 1 - à remplir'!$E$31:$E$400,MASQ2!O180,'Étape 1 - à remplir'!$G$31:$G$400,"animaux"),SUMIFS('Étape 1 - à remplir'!$F$31:$F$400,'Étape 1 - à remplir'!$E$31:$E$400,MASQ2!O180,'Étape 1 - à remplir'!$C$31:$C$400,X$3)),IF(X$2="Âge",IF(X$3="Tous",SUMIFS('Étape 1 - à remplir'!$F$31:$F$400,'Étape 1 - à remplir'!$E$31:$E$400,MASQ2!O180,'Étape 1 - à remplir'!$G$31:$G$400,"animaux"),SUMIFS('Étape 1 - à remplir'!$F$31:$F$400,'Étape 1 - à remplir'!$E$31:$E$400,MASQ2!O180,'Étape 1 - à remplir'!$P$31:$P$400,X$3)),IF(X$2="Atelier",IF(X$3="Tous",SUMIFS('Étape 1 - à remplir'!$F$31:$F$400,'Étape 1 - à remplir'!$E$31:$E$400,MASQ2!O180,'Étape 1 - à remplir'!$G$31:$G$400,"animaux"),SUMIFS('Étape 1 - à remplir'!$F$31:$F$400,'Étape 1 - à remplir'!$E$31:$E$400,MASQ2!O180,'Étape 1 - à remplir'!$O$31:$O$400,X$3)),IF(X$2="Espèce",IF(X$3="Toutes",SUMIFS('Étape 1 - à remplir'!$F$31:$F$400,'Étape 1 - à remplir'!$E$31:$E$400,MASQ2!O180,'Étape 1 - à remplir'!$G$31:$G$400,"animaux"),SUMIFS('Étape 1 - à remplir'!$F$31:$F$400,'Étape 1 - à remplir'!$E$31:$E$400,MASQ2!O180,'Étape 1 - à remplir'!$N$31:$N$400,X$3)))))))</f>
        <v>#N/A</v>
      </c>
      <c r="Q180" s="63">
        <f t="shared" si="185"/>
        <v>0</v>
      </c>
      <c r="R180" t="str">
        <f>Données_ATB!BM179</f>
        <v>Dihydrostreptomycine</v>
      </c>
      <c r="S180" t="str">
        <f>Données_ATB!BN179</f>
        <v/>
      </c>
      <c r="T180" s="63" t="str">
        <f>Données_ATB!BO179</f>
        <v/>
      </c>
      <c r="U180" s="42" t="str">
        <f>Données_ATB!BQ179</f>
        <v>Aminoglycosides</v>
      </c>
      <c r="V180" t="str">
        <f>Données_ATB!BR179</f>
        <v/>
      </c>
      <c r="W180" s="63" t="str">
        <f>Données_ATB!BS179</f>
        <v/>
      </c>
      <c r="Z180" s="42">
        <v>177</v>
      </c>
      <c r="AA180" t="e">
        <f t="shared" si="181"/>
        <v>#N/A</v>
      </c>
      <c r="AB180" s="63" t="e">
        <f t="shared" si="182"/>
        <v>#N/A</v>
      </c>
      <c r="BF180" s="63"/>
      <c r="BT180" s="194" t="str">
        <f t="shared" ca="1" si="165"/>
        <v/>
      </c>
      <c r="BU180" s="219" t="str">
        <f>IFERROR(IF(BX180=0,"",COUNTIF(BX$4:BX$600,"&gt;"&amp;BX180)+COUNTIF(BX$4:BX180,BX180)),"")</f>
        <v/>
      </c>
      <c r="BV180" s="42" t="str">
        <f t="shared" si="166"/>
        <v>DHS 50 COOPHAVET</v>
      </c>
      <c r="BW180" t="e">
        <f>IF(IF(CE$2="Catégorie",IF(CE$3="Toutes",SUMIFS('Étape 1 - à remplir'!$F$31:$F$400,'Étape 1 - à remplir'!$E$31:$E$400,MASQ2!BV180,'Étape 1 - à remplir'!$G$31:$G$400,"lots"),SUMIFS('Étape 1 - à remplir'!$F$31:$F$400,'Étape 1 - à remplir'!$E$31:$E$400,MASQ2!BV180,'Étape 1 - à remplir'!$C$31:$C$400,CE$3)),IF(CE$2="Âge",IF(CE$3="Tous",SUMIFS('Étape 1 - à remplir'!$F$31:$F$400,'Étape 1 - à remplir'!$E$31:$E$400,MASQ2!BV180,'Étape 1 - à remplir'!$G$31:$G$400,"lots"),SUMIFS('Étape 1 - à remplir'!$F$31:$F$400,'Étape 1 - à remplir'!$E$31:$E$400,MASQ2!BV180,'Étape 1 - à remplir'!$P$31:$P$400,CE$3,'Étape 1 - à remplir'!$G$31:$G$400,"lots")),IF(CE$2="Atelier",IF(CE$3="Tous",SUMIFS('Étape 1 - à remplir'!$F$31:$F$400,'Étape 1 - à remplir'!$E$31:$E$400,MASQ2!BV180,'Étape 1 - à remplir'!$G$31:$G$400,"lots"),SUMIFS('Étape 1 - à remplir'!$F$31:$F$400,'Étape 1 - à remplir'!$E$31:$E$400,MASQ2!BV180,'Étape 1 - à remplir'!$O$31:$O$400,CE$3,'Étape 1 - à remplir'!$G$31:$G$400,"lots")),IF(CE$2="Espèce",IF(CE$3="Toutes",SUMIFS('Étape 1 - à remplir'!$F$31:$F$400,'Étape 1 - à remplir'!$E$31:$E$400,MASQ2!BV180,'Étape 1 - à remplir'!$G$31:$G$400,"lots"),SUMIFS('Étape 1 - à remplir'!$F$31:$F$400,'Étape 1 - à remplir'!$E$31:$E$400,MASQ2!BV180,'Étape 1 - à remplir'!$N$31:$N$400,CE$3,'Étape 1 - à remplir'!$G$31:$G$400,"lots"))))))=0,NA(),IF(CE$2="Catégorie",IF(CE$3="Toutes",SUMIFS('Étape 1 - à remplir'!$F$31:$F$400,'Étape 1 - à remplir'!$E$31:$E$400,MASQ2!BV180,'Étape 1 - à remplir'!$G$31:$G$400,"lots"),SUMIFS('Étape 1 - à remplir'!$F$31:$F$400,'Étape 1 - à remplir'!$E$31:$E$400,MASQ2!BV180,'Étape 1 - à remplir'!$C$31:$C$400,CE$3)),IF(CE$2="Âge",IF(CE$3="Tous",SUMIFS('Étape 1 - à remplir'!$F$31:$F$400,'Étape 1 - à remplir'!$E$31:$E$400,MASQ2!BV180,'Étape 1 - à remplir'!$G$31:$G$400,"lots"),SUMIFS('Étape 1 - à remplir'!$F$31:$F$400,'Étape 1 - à remplir'!$E$31:$E$400,MASQ2!BV180,'Étape 1 - à remplir'!$P$31:$P$400,CE$3,'Étape 1 - à remplir'!$G$31:$G$400,"lots")),IF(CE$2="Atelier",IF(CE$3="Tous",SUMIFS('Étape 1 - à remplir'!$F$31:$F$400,'Étape 1 - à remplir'!$E$31:$E$400,MASQ2!BV180,'Étape 1 - à remplir'!$G$31:$G$400,"lots"),SUMIFS('Étape 1 - à remplir'!$F$31:$F$400,'Étape 1 - à remplir'!$E$31:$E$400,MASQ2!BV180,'Étape 1 - à remplir'!$O$31:$O$400,CE$3,'Étape 1 - à remplir'!$G$31:$G$400,"lots")),IF(CE$2="Espèce",IF(CE$3="Toutes",SUMIFS('Étape 1 - à remplir'!$F$31:$F$400,'Étape 1 - à remplir'!$E$31:$E$400,MASQ2!BV180,'Étape 1 - à remplir'!$G$31:$G$400,"lots"),SUMIFS('Étape 1 - à remplir'!$F$31:$F$400,'Étape 1 - à remplir'!$E$31:$E$400,MASQ2!BV180,'Étape 1 - à remplir'!$N$31:$N$400,CE$3,'Étape 1 - à remplir'!$G$31:$G$400,"lots")))))))</f>
        <v>#N/A</v>
      </c>
      <c r="BX180">
        <f t="shared" si="183"/>
        <v>0</v>
      </c>
      <c r="BY180" t="str">
        <f t="shared" si="167"/>
        <v>Dihydrostreptomycine</v>
      </c>
      <c r="BZ180" t="str">
        <f t="shared" si="168"/>
        <v/>
      </c>
      <c r="CA180" t="str">
        <f t="shared" si="169"/>
        <v/>
      </c>
      <c r="CB180" t="str">
        <f t="shared" si="170"/>
        <v>Aminoglycosides</v>
      </c>
      <c r="CC180" t="str">
        <f t="shared" si="171"/>
        <v/>
      </c>
      <c r="CD180" s="63" t="str">
        <f t="shared" si="172"/>
        <v/>
      </c>
      <c r="CG180" s="42">
        <v>177</v>
      </c>
      <c r="CH180" s="42" t="e">
        <f t="shared" si="188"/>
        <v>#N/A</v>
      </c>
      <c r="CI180" s="63" t="e">
        <f t="shared" si="189"/>
        <v>#N/A</v>
      </c>
      <c r="DM180" s="63"/>
      <c r="EA180" s="194" t="str">
        <f t="shared" ca="1" si="173"/>
        <v/>
      </c>
      <c r="EB180" s="226" t="str">
        <f>IFERROR(IF(ED180=0,"",COUNTIF(ED$4:ED$600,"&gt;"&amp;ED180)+COUNTIF(ED$4:ED180,ED180)),"")</f>
        <v/>
      </c>
      <c r="EC180" t="str">
        <f t="shared" si="174"/>
        <v>DHS 50 COOPHAVET</v>
      </c>
      <c r="ED180" t="e">
        <f>IF(IF(EL$2="Catégorie",IF(EL$3="Toutes",SUMIFS('Étape 1 - à remplir'!$F$31:$F$400,'Étape 1 - à remplir'!$E$31:$E$400,MASQ2!EC180,'Étape 1 - à remplir'!$G$31:$G$400,"kg"),SUMIFS('Étape 1 - à remplir'!$F$31:$F$400,'Étape 1 - à remplir'!$E$31:$E$400,MASQ2!EC180,'Étape 1 - à remplir'!$C$31:$C$400,EL$3)),IF(EL$2="Âge",IF(EL$3="Tous",SUMIFS('Étape 1 - à remplir'!$F$31:$F$400,'Étape 1 - à remplir'!$E$31:$E$400,MASQ2!EC180,'Étape 1 - à remplir'!$G$31:$G$400,"kg"),SUMIFS('Étape 1 - à remplir'!$F$31:$F$400,'Étape 1 - à remplir'!$E$31:$E$400,MASQ2!EC180,'Étape 1 - à remplir'!$P$31:$P$400,EL$3,'Étape 1 - à remplir'!$G$31:$G$400,"kg")),IF(EL$2="Atelier",IF(EL$3="Tous",SUMIFS('Étape 1 - à remplir'!$F$31:$F$400,'Étape 1 - à remplir'!$E$31:$E$400,MASQ2!EC180,'Étape 1 - à remplir'!$G$31:$G$400,"kg"),SUMIFS('Étape 1 - à remplir'!$F$31:$F$400,'Étape 1 - à remplir'!$E$31:$E$400,MASQ2!EC180,'Étape 1 - à remplir'!$O$31:$O$400,EL$3,'Étape 1 - à remplir'!$G$31:$G$400,"kg")),IF(EL$2="Espèce",IF(EL$3="Toutes",SUMIFS('Étape 1 - à remplir'!$F$31:$F$400,'Étape 1 - à remplir'!$E$31:$E$400,MASQ2!EC180,'Étape 1 - à remplir'!$G$31:$G$400,"kg"),SUMIFS('Étape 1 - à remplir'!$F$31:$F$400,'Étape 1 - à remplir'!$E$31:$E$400,MASQ2!EC180,'Étape 1 - à remplir'!$N$31:$N$400,EL$3,'Étape 1 - à remplir'!$G$31:$G$400,"kg"))))))=0,NA(),IF(EL$2="Catégorie",IF(EL$3="Toutes",SUMIFS('Étape 1 - à remplir'!$F$31:$F$400,'Étape 1 - à remplir'!$E$31:$E$400,MASQ2!EC180,'Étape 1 - à remplir'!$G$31:$G$400,"kg"),SUMIFS('Étape 1 - à remplir'!$F$31:$F$400,'Étape 1 - à remplir'!$E$31:$E$400,MASQ2!EC180,'Étape 1 - à remplir'!$C$31:$C$400,EL$3)),IF(EL$2="Âge",IF(EL$3="Tous",SUMIFS('Étape 1 - à remplir'!$F$31:$F$400,'Étape 1 - à remplir'!$E$31:$E$400,MASQ2!EC180,'Étape 1 - à remplir'!$G$31:$G$400,"kg"),SUMIFS('Étape 1 - à remplir'!$F$31:$F$400,'Étape 1 - à remplir'!$E$31:$E$400,MASQ2!EC180,'Étape 1 - à remplir'!$P$31:$P$400,EL$3,'Étape 1 - à remplir'!$G$31:$G$400,"kg")),IF(EL$2="Atelier",IF(EL$3="Tous",SUMIFS('Étape 1 - à remplir'!$F$31:$F$400,'Étape 1 - à remplir'!$E$31:$E$400,MASQ2!EC180,'Étape 1 - à remplir'!$G$31:$G$400,"kg"),SUMIFS('Étape 1 - à remplir'!$F$31:$F$400,'Étape 1 - à remplir'!$E$31:$E$400,MASQ2!EC180,'Étape 1 - à remplir'!$O$31:$O$400,EL$3,'Étape 1 - à remplir'!$G$31:$G$400,"kg")),IF(EL$2="Espèce",IF(EL$3="Toutes",SUMIFS('Étape 1 - à remplir'!$F$31:$F$400,'Étape 1 - à remplir'!$E$31:$E$400,MASQ2!EC180,'Étape 1 - à remplir'!$G$31:$G$400,"kg"),SUMIFS('Étape 1 - à remplir'!$F$31:$F$400,'Étape 1 - à remplir'!$E$31:$E$400,MASQ2!EC180,'Étape 1 - à remplir'!$N$31:$N$400,EL$3,'Étape 1 - à remplir'!$G$31:$G$400,"kg")))))))</f>
        <v>#N/A</v>
      </c>
      <c r="EE180" s="76">
        <f t="shared" si="184"/>
        <v>0</v>
      </c>
      <c r="EF180" t="str">
        <f t="shared" si="175"/>
        <v>Dihydrostreptomycine</v>
      </c>
      <c r="EG180" t="str">
        <f t="shared" si="176"/>
        <v/>
      </c>
      <c r="EH180" t="str">
        <f t="shared" si="177"/>
        <v/>
      </c>
      <c r="EI180" t="str">
        <f t="shared" si="178"/>
        <v>Aminoglycosides</v>
      </c>
      <c r="EJ180" t="str">
        <f t="shared" si="179"/>
        <v/>
      </c>
      <c r="EK180" s="63" t="str">
        <f t="shared" si="180"/>
        <v/>
      </c>
      <c r="EN180" s="42">
        <v>177</v>
      </c>
      <c r="EO180" t="e">
        <f t="shared" si="186"/>
        <v>#N/A</v>
      </c>
      <c r="EP180" s="63" t="e">
        <f t="shared" si="187"/>
        <v>#N/A</v>
      </c>
      <c r="FT180" s="63"/>
    </row>
    <row r="181" spans="2:176" x14ac:dyDescent="0.3">
      <c r="B181" s="42"/>
      <c r="M181" s="194" t="str">
        <f ca="1">INDEX(Données_ATB!BD:BU,MATCH(MASQ2!O181,Données_ATB!BD:BD,0),18)</f>
        <v/>
      </c>
      <c r="N181" s="14" t="str">
        <f>IFERROR(IF(Q181=0,"",COUNTIF(Q$4:Q$600,"&gt;"&amp;Q181)+COUNTIF(Q$4:Q181,Q181)),"")</f>
        <v/>
      </c>
      <c r="O181" t="str">
        <f>Données_ATB!BD180</f>
        <v>DIATRIM 200 MG/ML + 40 MG/ML  SOLUTION INJECTABLE</v>
      </c>
      <c r="P181" t="e">
        <f>IF(IF(X$2="Catégorie",IF(X$3="Toutes",SUMIFS('Étape 1 - à remplir'!$F$31:$F$400,'Étape 1 - à remplir'!$E$31:$E$400,MASQ2!O181,'Étape 1 - à remplir'!$G$31:$G$400,"animaux"),SUMIFS('Étape 1 - à remplir'!$F$31:$F$400,'Étape 1 - à remplir'!$E$31:$E$400,MASQ2!O181,'Étape 1 - à remplir'!$C$31:$C$400,X$3)),IF(X$2="Âge",IF(X$3="Tous",SUMIFS('Étape 1 - à remplir'!$F$31:$F$400,'Étape 1 - à remplir'!$E$31:$E$400,MASQ2!O181,'Étape 1 - à remplir'!$G$31:$G$400,"animaux"),SUMIFS('Étape 1 - à remplir'!$F$31:$F$400,'Étape 1 - à remplir'!$E$31:$E$400,MASQ2!O181,'Étape 1 - à remplir'!$P$31:$P$400,X$3)),IF(X$2="Atelier",IF(X$3="Tous",SUMIFS('Étape 1 - à remplir'!$F$31:$F$400,'Étape 1 - à remplir'!$E$31:$E$400,MASQ2!O181,'Étape 1 - à remplir'!$G$31:$G$400,"animaux"),SUMIFS('Étape 1 - à remplir'!$F$31:$F$400,'Étape 1 - à remplir'!$E$31:$E$400,MASQ2!O181,'Étape 1 - à remplir'!$O$31:$O$400,X$3)),IF(X$2="Espèce",IF(X$3="Toutes",SUMIFS('Étape 1 - à remplir'!$F$31:$F$400,'Étape 1 - à remplir'!$E$31:$E$400,MASQ2!O181,'Étape 1 - à remplir'!$G$31:$G$400,"animaux"),SUMIFS('Étape 1 - à remplir'!$F$31:$F$400,'Étape 1 - à remplir'!$E$31:$E$400,MASQ2!O181,'Étape 1 - à remplir'!$N$31:$N$400,X$3))))))=0,NA(),IF(X$2="Catégorie",IF(X$3="Toutes",SUMIFS('Étape 1 - à remplir'!$F$31:$F$400,'Étape 1 - à remplir'!$E$31:$E$400,MASQ2!O181,'Étape 1 - à remplir'!$G$31:$G$400,"animaux"),SUMIFS('Étape 1 - à remplir'!$F$31:$F$400,'Étape 1 - à remplir'!$E$31:$E$400,MASQ2!O181,'Étape 1 - à remplir'!$C$31:$C$400,X$3)),IF(X$2="Âge",IF(X$3="Tous",SUMIFS('Étape 1 - à remplir'!$F$31:$F$400,'Étape 1 - à remplir'!$E$31:$E$400,MASQ2!O181,'Étape 1 - à remplir'!$G$31:$G$400,"animaux"),SUMIFS('Étape 1 - à remplir'!$F$31:$F$400,'Étape 1 - à remplir'!$E$31:$E$400,MASQ2!O181,'Étape 1 - à remplir'!$P$31:$P$400,X$3)),IF(X$2="Atelier",IF(X$3="Tous",SUMIFS('Étape 1 - à remplir'!$F$31:$F$400,'Étape 1 - à remplir'!$E$31:$E$400,MASQ2!O181,'Étape 1 - à remplir'!$G$31:$G$400,"animaux"),SUMIFS('Étape 1 - à remplir'!$F$31:$F$400,'Étape 1 - à remplir'!$E$31:$E$400,MASQ2!O181,'Étape 1 - à remplir'!$O$31:$O$400,X$3)),IF(X$2="Espèce",IF(X$3="Toutes",SUMIFS('Étape 1 - à remplir'!$F$31:$F$400,'Étape 1 - à remplir'!$E$31:$E$400,MASQ2!O181,'Étape 1 - à remplir'!$G$31:$G$400,"animaux"),SUMIFS('Étape 1 - à remplir'!$F$31:$F$400,'Étape 1 - à remplir'!$E$31:$E$400,MASQ2!O181,'Étape 1 - à remplir'!$N$31:$N$400,X$3)))))))</f>
        <v>#N/A</v>
      </c>
      <c r="Q181" s="63">
        <f t="shared" si="185"/>
        <v>0</v>
      </c>
      <c r="R181" t="str">
        <f>Données_ATB!BM180</f>
        <v>Sulfadiazine</v>
      </c>
      <c r="S181" t="str">
        <f>Données_ATB!BN180</f>
        <v>Triméthoprime</v>
      </c>
      <c r="T181" s="63" t="str">
        <f>Données_ATB!BO180</f>
        <v/>
      </c>
      <c r="U181" s="42" t="str">
        <f>Données_ATB!BQ180</f>
        <v>Sulfamides</v>
      </c>
      <c r="V181" t="str">
        <f>Données_ATB!BR180</f>
        <v>Trimethoprime</v>
      </c>
      <c r="W181" s="63" t="str">
        <f>Données_ATB!BS180</f>
        <v/>
      </c>
      <c r="Z181" s="42">
        <v>178</v>
      </c>
      <c r="AA181" t="e">
        <f t="shared" si="181"/>
        <v>#N/A</v>
      </c>
      <c r="AB181" s="63" t="e">
        <f t="shared" si="182"/>
        <v>#N/A</v>
      </c>
      <c r="BF181" s="63"/>
      <c r="BT181" s="194" t="str">
        <f t="shared" ca="1" si="165"/>
        <v/>
      </c>
      <c r="BU181" s="219" t="str">
        <f>IFERROR(IF(BX181=0,"",COUNTIF(BX$4:BX$600,"&gt;"&amp;BX181)+COUNTIF(BX$4:BX181,BX181)),"")</f>
        <v/>
      </c>
      <c r="BV181" s="42" t="str">
        <f t="shared" si="166"/>
        <v>DIATRIM 200 MG/ML + 40 MG/ML  SOLUTION INJECTABLE</v>
      </c>
      <c r="BW181" t="e">
        <f>IF(IF(CE$2="Catégorie",IF(CE$3="Toutes",SUMIFS('Étape 1 - à remplir'!$F$31:$F$400,'Étape 1 - à remplir'!$E$31:$E$400,MASQ2!BV181,'Étape 1 - à remplir'!$G$31:$G$400,"lots"),SUMIFS('Étape 1 - à remplir'!$F$31:$F$400,'Étape 1 - à remplir'!$E$31:$E$400,MASQ2!BV181,'Étape 1 - à remplir'!$C$31:$C$400,CE$3)),IF(CE$2="Âge",IF(CE$3="Tous",SUMIFS('Étape 1 - à remplir'!$F$31:$F$400,'Étape 1 - à remplir'!$E$31:$E$400,MASQ2!BV181,'Étape 1 - à remplir'!$G$31:$G$400,"lots"),SUMIFS('Étape 1 - à remplir'!$F$31:$F$400,'Étape 1 - à remplir'!$E$31:$E$400,MASQ2!BV181,'Étape 1 - à remplir'!$P$31:$P$400,CE$3,'Étape 1 - à remplir'!$G$31:$G$400,"lots")),IF(CE$2="Atelier",IF(CE$3="Tous",SUMIFS('Étape 1 - à remplir'!$F$31:$F$400,'Étape 1 - à remplir'!$E$31:$E$400,MASQ2!BV181,'Étape 1 - à remplir'!$G$31:$G$400,"lots"),SUMIFS('Étape 1 - à remplir'!$F$31:$F$400,'Étape 1 - à remplir'!$E$31:$E$400,MASQ2!BV181,'Étape 1 - à remplir'!$O$31:$O$400,CE$3,'Étape 1 - à remplir'!$G$31:$G$400,"lots")),IF(CE$2="Espèce",IF(CE$3="Toutes",SUMIFS('Étape 1 - à remplir'!$F$31:$F$400,'Étape 1 - à remplir'!$E$31:$E$400,MASQ2!BV181,'Étape 1 - à remplir'!$G$31:$G$400,"lots"),SUMIFS('Étape 1 - à remplir'!$F$31:$F$400,'Étape 1 - à remplir'!$E$31:$E$400,MASQ2!BV181,'Étape 1 - à remplir'!$N$31:$N$400,CE$3,'Étape 1 - à remplir'!$G$31:$G$400,"lots"))))))=0,NA(),IF(CE$2="Catégorie",IF(CE$3="Toutes",SUMIFS('Étape 1 - à remplir'!$F$31:$F$400,'Étape 1 - à remplir'!$E$31:$E$400,MASQ2!BV181,'Étape 1 - à remplir'!$G$31:$G$400,"lots"),SUMIFS('Étape 1 - à remplir'!$F$31:$F$400,'Étape 1 - à remplir'!$E$31:$E$400,MASQ2!BV181,'Étape 1 - à remplir'!$C$31:$C$400,CE$3)),IF(CE$2="Âge",IF(CE$3="Tous",SUMIFS('Étape 1 - à remplir'!$F$31:$F$400,'Étape 1 - à remplir'!$E$31:$E$400,MASQ2!BV181,'Étape 1 - à remplir'!$G$31:$G$400,"lots"),SUMIFS('Étape 1 - à remplir'!$F$31:$F$400,'Étape 1 - à remplir'!$E$31:$E$400,MASQ2!BV181,'Étape 1 - à remplir'!$P$31:$P$400,CE$3,'Étape 1 - à remplir'!$G$31:$G$400,"lots")),IF(CE$2="Atelier",IF(CE$3="Tous",SUMIFS('Étape 1 - à remplir'!$F$31:$F$400,'Étape 1 - à remplir'!$E$31:$E$400,MASQ2!BV181,'Étape 1 - à remplir'!$G$31:$G$400,"lots"),SUMIFS('Étape 1 - à remplir'!$F$31:$F$400,'Étape 1 - à remplir'!$E$31:$E$400,MASQ2!BV181,'Étape 1 - à remplir'!$O$31:$O$400,CE$3,'Étape 1 - à remplir'!$G$31:$G$400,"lots")),IF(CE$2="Espèce",IF(CE$3="Toutes",SUMIFS('Étape 1 - à remplir'!$F$31:$F$400,'Étape 1 - à remplir'!$E$31:$E$400,MASQ2!BV181,'Étape 1 - à remplir'!$G$31:$G$400,"lots"),SUMIFS('Étape 1 - à remplir'!$F$31:$F$400,'Étape 1 - à remplir'!$E$31:$E$400,MASQ2!BV181,'Étape 1 - à remplir'!$N$31:$N$400,CE$3,'Étape 1 - à remplir'!$G$31:$G$400,"lots")))))))</f>
        <v>#N/A</v>
      </c>
      <c r="BX181">
        <f t="shared" si="183"/>
        <v>0</v>
      </c>
      <c r="BY181" t="str">
        <f t="shared" si="167"/>
        <v>Sulfadiazine</v>
      </c>
      <c r="BZ181" t="str">
        <f t="shared" si="168"/>
        <v>Triméthoprime</v>
      </c>
      <c r="CA181" t="str">
        <f t="shared" si="169"/>
        <v/>
      </c>
      <c r="CB181" t="str">
        <f t="shared" si="170"/>
        <v>Sulfamides</v>
      </c>
      <c r="CC181" t="str">
        <f t="shared" si="171"/>
        <v>Trimethoprime</v>
      </c>
      <c r="CD181" s="63" t="str">
        <f t="shared" si="172"/>
        <v/>
      </c>
      <c r="CG181" s="42">
        <v>178</v>
      </c>
      <c r="CH181" s="42" t="e">
        <f t="shared" si="188"/>
        <v>#N/A</v>
      </c>
      <c r="CI181" s="63" t="e">
        <f t="shared" si="189"/>
        <v>#N/A</v>
      </c>
      <c r="DM181" s="63"/>
      <c r="EA181" s="194" t="str">
        <f t="shared" ca="1" si="173"/>
        <v/>
      </c>
      <c r="EB181" s="226" t="str">
        <f>IFERROR(IF(ED181=0,"",COUNTIF(ED$4:ED$600,"&gt;"&amp;ED181)+COUNTIF(ED$4:ED181,ED181)),"")</f>
        <v/>
      </c>
      <c r="EC181" t="str">
        <f t="shared" si="174"/>
        <v>DIATRIM 200 MG/ML + 40 MG/ML  SOLUTION INJECTABLE</v>
      </c>
      <c r="ED181" t="e">
        <f>IF(IF(EL$2="Catégorie",IF(EL$3="Toutes",SUMIFS('Étape 1 - à remplir'!$F$31:$F$400,'Étape 1 - à remplir'!$E$31:$E$400,MASQ2!EC181,'Étape 1 - à remplir'!$G$31:$G$400,"kg"),SUMIFS('Étape 1 - à remplir'!$F$31:$F$400,'Étape 1 - à remplir'!$E$31:$E$400,MASQ2!EC181,'Étape 1 - à remplir'!$C$31:$C$400,EL$3)),IF(EL$2="Âge",IF(EL$3="Tous",SUMIFS('Étape 1 - à remplir'!$F$31:$F$400,'Étape 1 - à remplir'!$E$31:$E$400,MASQ2!EC181,'Étape 1 - à remplir'!$G$31:$G$400,"kg"),SUMIFS('Étape 1 - à remplir'!$F$31:$F$400,'Étape 1 - à remplir'!$E$31:$E$400,MASQ2!EC181,'Étape 1 - à remplir'!$P$31:$P$400,EL$3,'Étape 1 - à remplir'!$G$31:$G$400,"kg")),IF(EL$2="Atelier",IF(EL$3="Tous",SUMIFS('Étape 1 - à remplir'!$F$31:$F$400,'Étape 1 - à remplir'!$E$31:$E$400,MASQ2!EC181,'Étape 1 - à remplir'!$G$31:$G$400,"kg"),SUMIFS('Étape 1 - à remplir'!$F$31:$F$400,'Étape 1 - à remplir'!$E$31:$E$400,MASQ2!EC181,'Étape 1 - à remplir'!$O$31:$O$400,EL$3,'Étape 1 - à remplir'!$G$31:$G$400,"kg")),IF(EL$2="Espèce",IF(EL$3="Toutes",SUMIFS('Étape 1 - à remplir'!$F$31:$F$400,'Étape 1 - à remplir'!$E$31:$E$400,MASQ2!EC181,'Étape 1 - à remplir'!$G$31:$G$400,"kg"),SUMIFS('Étape 1 - à remplir'!$F$31:$F$400,'Étape 1 - à remplir'!$E$31:$E$400,MASQ2!EC181,'Étape 1 - à remplir'!$N$31:$N$400,EL$3,'Étape 1 - à remplir'!$G$31:$G$400,"kg"))))))=0,NA(),IF(EL$2="Catégorie",IF(EL$3="Toutes",SUMIFS('Étape 1 - à remplir'!$F$31:$F$400,'Étape 1 - à remplir'!$E$31:$E$400,MASQ2!EC181,'Étape 1 - à remplir'!$G$31:$G$400,"kg"),SUMIFS('Étape 1 - à remplir'!$F$31:$F$400,'Étape 1 - à remplir'!$E$31:$E$400,MASQ2!EC181,'Étape 1 - à remplir'!$C$31:$C$400,EL$3)),IF(EL$2="Âge",IF(EL$3="Tous",SUMIFS('Étape 1 - à remplir'!$F$31:$F$400,'Étape 1 - à remplir'!$E$31:$E$400,MASQ2!EC181,'Étape 1 - à remplir'!$G$31:$G$400,"kg"),SUMIFS('Étape 1 - à remplir'!$F$31:$F$400,'Étape 1 - à remplir'!$E$31:$E$400,MASQ2!EC181,'Étape 1 - à remplir'!$P$31:$P$400,EL$3,'Étape 1 - à remplir'!$G$31:$G$400,"kg")),IF(EL$2="Atelier",IF(EL$3="Tous",SUMIFS('Étape 1 - à remplir'!$F$31:$F$400,'Étape 1 - à remplir'!$E$31:$E$400,MASQ2!EC181,'Étape 1 - à remplir'!$G$31:$G$400,"kg"),SUMIFS('Étape 1 - à remplir'!$F$31:$F$400,'Étape 1 - à remplir'!$E$31:$E$400,MASQ2!EC181,'Étape 1 - à remplir'!$O$31:$O$400,EL$3,'Étape 1 - à remplir'!$G$31:$G$400,"kg")),IF(EL$2="Espèce",IF(EL$3="Toutes",SUMIFS('Étape 1 - à remplir'!$F$31:$F$400,'Étape 1 - à remplir'!$E$31:$E$400,MASQ2!EC181,'Étape 1 - à remplir'!$G$31:$G$400,"kg"),SUMIFS('Étape 1 - à remplir'!$F$31:$F$400,'Étape 1 - à remplir'!$E$31:$E$400,MASQ2!EC181,'Étape 1 - à remplir'!$N$31:$N$400,EL$3,'Étape 1 - à remplir'!$G$31:$G$400,"kg")))))))</f>
        <v>#N/A</v>
      </c>
      <c r="EE181" s="76">
        <f t="shared" si="184"/>
        <v>0</v>
      </c>
      <c r="EF181" t="str">
        <f t="shared" si="175"/>
        <v>Sulfadiazine</v>
      </c>
      <c r="EG181" t="str">
        <f t="shared" si="176"/>
        <v>Triméthoprime</v>
      </c>
      <c r="EH181" t="str">
        <f t="shared" si="177"/>
        <v/>
      </c>
      <c r="EI181" t="str">
        <f t="shared" si="178"/>
        <v>Sulfamides</v>
      </c>
      <c r="EJ181" t="str">
        <f t="shared" si="179"/>
        <v>Trimethoprime</v>
      </c>
      <c r="EK181" s="63" t="str">
        <f t="shared" si="180"/>
        <v/>
      </c>
      <c r="EN181" s="42">
        <v>178</v>
      </c>
      <c r="EO181" t="e">
        <f t="shared" si="186"/>
        <v>#N/A</v>
      </c>
      <c r="EP181" s="63" t="e">
        <f t="shared" si="187"/>
        <v>#N/A</v>
      </c>
      <c r="FT181" s="63"/>
    </row>
    <row r="182" spans="2:176" x14ac:dyDescent="0.3">
      <c r="B182" s="42"/>
      <c r="M182" s="194" t="str">
        <f ca="1">INDEX(Données_ATB!BD:BU,MATCH(MASQ2!O182,Données_ATB!BD:BD,0),18)</f>
        <v/>
      </c>
      <c r="N182" s="14" t="str">
        <f>IFERROR(IF(Q182=0,"",COUNTIF(Q$4:Q$600,"&gt;"&amp;Q182)+COUNTIF(Q$4:Q182,Q182)),"")</f>
        <v/>
      </c>
      <c r="O182" t="str">
        <f>Données_ATB!BD181</f>
        <v>DIAZIPRIM</v>
      </c>
      <c r="P182" t="e">
        <f>IF(IF(X$2="Catégorie",IF(X$3="Toutes",SUMIFS('Étape 1 - à remplir'!$F$31:$F$400,'Étape 1 - à remplir'!$E$31:$E$400,MASQ2!O182,'Étape 1 - à remplir'!$G$31:$G$400,"animaux"),SUMIFS('Étape 1 - à remplir'!$F$31:$F$400,'Étape 1 - à remplir'!$E$31:$E$400,MASQ2!O182,'Étape 1 - à remplir'!$C$31:$C$400,X$3)),IF(X$2="Âge",IF(X$3="Tous",SUMIFS('Étape 1 - à remplir'!$F$31:$F$400,'Étape 1 - à remplir'!$E$31:$E$400,MASQ2!O182,'Étape 1 - à remplir'!$G$31:$G$400,"animaux"),SUMIFS('Étape 1 - à remplir'!$F$31:$F$400,'Étape 1 - à remplir'!$E$31:$E$400,MASQ2!O182,'Étape 1 - à remplir'!$P$31:$P$400,X$3)),IF(X$2="Atelier",IF(X$3="Tous",SUMIFS('Étape 1 - à remplir'!$F$31:$F$400,'Étape 1 - à remplir'!$E$31:$E$400,MASQ2!O182,'Étape 1 - à remplir'!$G$31:$G$400,"animaux"),SUMIFS('Étape 1 - à remplir'!$F$31:$F$400,'Étape 1 - à remplir'!$E$31:$E$400,MASQ2!O182,'Étape 1 - à remplir'!$O$31:$O$400,X$3)),IF(X$2="Espèce",IF(X$3="Toutes",SUMIFS('Étape 1 - à remplir'!$F$31:$F$400,'Étape 1 - à remplir'!$E$31:$E$400,MASQ2!O182,'Étape 1 - à remplir'!$G$31:$G$400,"animaux"),SUMIFS('Étape 1 - à remplir'!$F$31:$F$400,'Étape 1 - à remplir'!$E$31:$E$400,MASQ2!O182,'Étape 1 - à remplir'!$N$31:$N$400,X$3))))))=0,NA(),IF(X$2="Catégorie",IF(X$3="Toutes",SUMIFS('Étape 1 - à remplir'!$F$31:$F$400,'Étape 1 - à remplir'!$E$31:$E$400,MASQ2!O182,'Étape 1 - à remplir'!$G$31:$G$400,"animaux"),SUMIFS('Étape 1 - à remplir'!$F$31:$F$400,'Étape 1 - à remplir'!$E$31:$E$400,MASQ2!O182,'Étape 1 - à remplir'!$C$31:$C$400,X$3)),IF(X$2="Âge",IF(X$3="Tous",SUMIFS('Étape 1 - à remplir'!$F$31:$F$400,'Étape 1 - à remplir'!$E$31:$E$400,MASQ2!O182,'Étape 1 - à remplir'!$G$31:$G$400,"animaux"),SUMIFS('Étape 1 - à remplir'!$F$31:$F$400,'Étape 1 - à remplir'!$E$31:$E$400,MASQ2!O182,'Étape 1 - à remplir'!$P$31:$P$400,X$3)),IF(X$2="Atelier",IF(X$3="Tous",SUMIFS('Étape 1 - à remplir'!$F$31:$F$400,'Étape 1 - à remplir'!$E$31:$E$400,MASQ2!O182,'Étape 1 - à remplir'!$G$31:$G$400,"animaux"),SUMIFS('Étape 1 - à remplir'!$F$31:$F$400,'Étape 1 - à remplir'!$E$31:$E$400,MASQ2!O182,'Étape 1 - à remplir'!$O$31:$O$400,X$3)),IF(X$2="Espèce",IF(X$3="Toutes",SUMIFS('Étape 1 - à remplir'!$F$31:$F$400,'Étape 1 - à remplir'!$E$31:$E$400,MASQ2!O182,'Étape 1 - à remplir'!$G$31:$G$400,"animaux"),SUMIFS('Étape 1 - à remplir'!$F$31:$F$400,'Étape 1 - à remplir'!$E$31:$E$400,MASQ2!O182,'Étape 1 - à remplir'!$N$31:$N$400,X$3)))))))</f>
        <v>#N/A</v>
      </c>
      <c r="Q182" s="63">
        <f t="shared" si="185"/>
        <v>0</v>
      </c>
      <c r="R182" t="str">
        <f>Données_ATB!BM181</f>
        <v>Sulfadiazine</v>
      </c>
      <c r="S182" t="str">
        <f>Données_ATB!BN181</f>
        <v>Triméthoprime</v>
      </c>
      <c r="T182" s="63" t="str">
        <f>Données_ATB!BO181</f>
        <v/>
      </c>
      <c r="U182" s="42" t="str">
        <f>Données_ATB!BQ181</f>
        <v>Sulfamides</v>
      </c>
      <c r="V182" t="str">
        <f>Données_ATB!BR181</f>
        <v>Trimethoprime</v>
      </c>
      <c r="W182" s="63" t="str">
        <f>Données_ATB!BS181</f>
        <v/>
      </c>
      <c r="Z182" s="42">
        <v>179</v>
      </c>
      <c r="AA182" t="e">
        <f t="shared" si="181"/>
        <v>#N/A</v>
      </c>
      <c r="AB182" s="63" t="e">
        <f t="shared" si="182"/>
        <v>#N/A</v>
      </c>
      <c r="BF182" s="63"/>
      <c r="BT182" s="194" t="str">
        <f t="shared" ca="1" si="165"/>
        <v/>
      </c>
      <c r="BU182" s="219" t="str">
        <f>IFERROR(IF(BX182=0,"",COUNTIF(BX$4:BX$600,"&gt;"&amp;BX182)+COUNTIF(BX$4:BX182,BX182)),"")</f>
        <v/>
      </c>
      <c r="BV182" s="42" t="str">
        <f t="shared" si="166"/>
        <v>DIAZIPRIM</v>
      </c>
      <c r="BW182" t="e">
        <f>IF(IF(CE$2="Catégorie",IF(CE$3="Toutes",SUMIFS('Étape 1 - à remplir'!$F$31:$F$400,'Étape 1 - à remplir'!$E$31:$E$400,MASQ2!BV182,'Étape 1 - à remplir'!$G$31:$G$400,"lots"),SUMIFS('Étape 1 - à remplir'!$F$31:$F$400,'Étape 1 - à remplir'!$E$31:$E$400,MASQ2!BV182,'Étape 1 - à remplir'!$C$31:$C$400,CE$3)),IF(CE$2="Âge",IF(CE$3="Tous",SUMIFS('Étape 1 - à remplir'!$F$31:$F$400,'Étape 1 - à remplir'!$E$31:$E$400,MASQ2!BV182,'Étape 1 - à remplir'!$G$31:$G$400,"lots"),SUMIFS('Étape 1 - à remplir'!$F$31:$F$400,'Étape 1 - à remplir'!$E$31:$E$400,MASQ2!BV182,'Étape 1 - à remplir'!$P$31:$P$400,CE$3,'Étape 1 - à remplir'!$G$31:$G$400,"lots")),IF(CE$2="Atelier",IF(CE$3="Tous",SUMIFS('Étape 1 - à remplir'!$F$31:$F$400,'Étape 1 - à remplir'!$E$31:$E$400,MASQ2!BV182,'Étape 1 - à remplir'!$G$31:$G$400,"lots"),SUMIFS('Étape 1 - à remplir'!$F$31:$F$400,'Étape 1 - à remplir'!$E$31:$E$400,MASQ2!BV182,'Étape 1 - à remplir'!$O$31:$O$400,CE$3,'Étape 1 - à remplir'!$G$31:$G$400,"lots")),IF(CE$2="Espèce",IF(CE$3="Toutes",SUMIFS('Étape 1 - à remplir'!$F$31:$F$400,'Étape 1 - à remplir'!$E$31:$E$400,MASQ2!BV182,'Étape 1 - à remplir'!$G$31:$G$400,"lots"),SUMIFS('Étape 1 - à remplir'!$F$31:$F$400,'Étape 1 - à remplir'!$E$31:$E$400,MASQ2!BV182,'Étape 1 - à remplir'!$N$31:$N$400,CE$3,'Étape 1 - à remplir'!$G$31:$G$400,"lots"))))))=0,NA(),IF(CE$2="Catégorie",IF(CE$3="Toutes",SUMIFS('Étape 1 - à remplir'!$F$31:$F$400,'Étape 1 - à remplir'!$E$31:$E$400,MASQ2!BV182,'Étape 1 - à remplir'!$G$31:$G$400,"lots"),SUMIFS('Étape 1 - à remplir'!$F$31:$F$400,'Étape 1 - à remplir'!$E$31:$E$400,MASQ2!BV182,'Étape 1 - à remplir'!$C$31:$C$400,CE$3)),IF(CE$2="Âge",IF(CE$3="Tous",SUMIFS('Étape 1 - à remplir'!$F$31:$F$400,'Étape 1 - à remplir'!$E$31:$E$400,MASQ2!BV182,'Étape 1 - à remplir'!$G$31:$G$400,"lots"),SUMIFS('Étape 1 - à remplir'!$F$31:$F$400,'Étape 1 - à remplir'!$E$31:$E$400,MASQ2!BV182,'Étape 1 - à remplir'!$P$31:$P$400,CE$3,'Étape 1 - à remplir'!$G$31:$G$400,"lots")),IF(CE$2="Atelier",IF(CE$3="Tous",SUMIFS('Étape 1 - à remplir'!$F$31:$F$400,'Étape 1 - à remplir'!$E$31:$E$400,MASQ2!BV182,'Étape 1 - à remplir'!$G$31:$G$400,"lots"),SUMIFS('Étape 1 - à remplir'!$F$31:$F$400,'Étape 1 - à remplir'!$E$31:$E$400,MASQ2!BV182,'Étape 1 - à remplir'!$O$31:$O$400,CE$3,'Étape 1 - à remplir'!$G$31:$G$400,"lots")),IF(CE$2="Espèce",IF(CE$3="Toutes",SUMIFS('Étape 1 - à remplir'!$F$31:$F$400,'Étape 1 - à remplir'!$E$31:$E$400,MASQ2!BV182,'Étape 1 - à remplir'!$G$31:$G$400,"lots"),SUMIFS('Étape 1 - à remplir'!$F$31:$F$400,'Étape 1 - à remplir'!$E$31:$E$400,MASQ2!BV182,'Étape 1 - à remplir'!$N$31:$N$400,CE$3,'Étape 1 - à remplir'!$G$31:$G$400,"lots")))))))</f>
        <v>#N/A</v>
      </c>
      <c r="BX182">
        <f t="shared" si="183"/>
        <v>0</v>
      </c>
      <c r="BY182" t="str">
        <f t="shared" si="167"/>
        <v>Sulfadiazine</v>
      </c>
      <c r="BZ182" t="str">
        <f t="shared" si="168"/>
        <v>Triméthoprime</v>
      </c>
      <c r="CA182" t="str">
        <f t="shared" si="169"/>
        <v/>
      </c>
      <c r="CB182" t="str">
        <f t="shared" si="170"/>
        <v>Sulfamides</v>
      </c>
      <c r="CC182" t="str">
        <f t="shared" si="171"/>
        <v>Trimethoprime</v>
      </c>
      <c r="CD182" s="63" t="str">
        <f t="shared" si="172"/>
        <v/>
      </c>
      <c r="CG182" s="42">
        <v>179</v>
      </c>
      <c r="CH182" s="42" t="e">
        <f t="shared" si="188"/>
        <v>#N/A</v>
      </c>
      <c r="CI182" s="63" t="e">
        <f t="shared" si="189"/>
        <v>#N/A</v>
      </c>
      <c r="DM182" s="63"/>
      <c r="EA182" s="194" t="str">
        <f t="shared" ca="1" si="173"/>
        <v/>
      </c>
      <c r="EB182" s="226" t="str">
        <f>IFERROR(IF(ED182=0,"",COUNTIF(ED$4:ED$600,"&gt;"&amp;ED182)+COUNTIF(ED$4:ED182,ED182)),"")</f>
        <v/>
      </c>
      <c r="EC182" t="str">
        <f t="shared" si="174"/>
        <v>DIAZIPRIM</v>
      </c>
      <c r="ED182" t="e">
        <f>IF(IF(EL$2="Catégorie",IF(EL$3="Toutes",SUMIFS('Étape 1 - à remplir'!$F$31:$F$400,'Étape 1 - à remplir'!$E$31:$E$400,MASQ2!EC182,'Étape 1 - à remplir'!$G$31:$G$400,"kg"),SUMIFS('Étape 1 - à remplir'!$F$31:$F$400,'Étape 1 - à remplir'!$E$31:$E$400,MASQ2!EC182,'Étape 1 - à remplir'!$C$31:$C$400,EL$3)),IF(EL$2="Âge",IF(EL$3="Tous",SUMIFS('Étape 1 - à remplir'!$F$31:$F$400,'Étape 1 - à remplir'!$E$31:$E$400,MASQ2!EC182,'Étape 1 - à remplir'!$G$31:$G$400,"kg"),SUMIFS('Étape 1 - à remplir'!$F$31:$F$400,'Étape 1 - à remplir'!$E$31:$E$400,MASQ2!EC182,'Étape 1 - à remplir'!$P$31:$P$400,EL$3,'Étape 1 - à remplir'!$G$31:$G$400,"kg")),IF(EL$2="Atelier",IF(EL$3="Tous",SUMIFS('Étape 1 - à remplir'!$F$31:$F$400,'Étape 1 - à remplir'!$E$31:$E$400,MASQ2!EC182,'Étape 1 - à remplir'!$G$31:$G$400,"kg"),SUMIFS('Étape 1 - à remplir'!$F$31:$F$400,'Étape 1 - à remplir'!$E$31:$E$400,MASQ2!EC182,'Étape 1 - à remplir'!$O$31:$O$400,EL$3,'Étape 1 - à remplir'!$G$31:$G$400,"kg")),IF(EL$2="Espèce",IF(EL$3="Toutes",SUMIFS('Étape 1 - à remplir'!$F$31:$F$400,'Étape 1 - à remplir'!$E$31:$E$400,MASQ2!EC182,'Étape 1 - à remplir'!$G$31:$G$400,"kg"),SUMIFS('Étape 1 - à remplir'!$F$31:$F$400,'Étape 1 - à remplir'!$E$31:$E$400,MASQ2!EC182,'Étape 1 - à remplir'!$N$31:$N$400,EL$3,'Étape 1 - à remplir'!$G$31:$G$400,"kg"))))))=0,NA(),IF(EL$2="Catégorie",IF(EL$3="Toutes",SUMIFS('Étape 1 - à remplir'!$F$31:$F$400,'Étape 1 - à remplir'!$E$31:$E$400,MASQ2!EC182,'Étape 1 - à remplir'!$G$31:$G$400,"kg"),SUMIFS('Étape 1 - à remplir'!$F$31:$F$400,'Étape 1 - à remplir'!$E$31:$E$400,MASQ2!EC182,'Étape 1 - à remplir'!$C$31:$C$400,EL$3)),IF(EL$2="Âge",IF(EL$3="Tous",SUMIFS('Étape 1 - à remplir'!$F$31:$F$400,'Étape 1 - à remplir'!$E$31:$E$400,MASQ2!EC182,'Étape 1 - à remplir'!$G$31:$G$400,"kg"),SUMIFS('Étape 1 - à remplir'!$F$31:$F$400,'Étape 1 - à remplir'!$E$31:$E$400,MASQ2!EC182,'Étape 1 - à remplir'!$P$31:$P$400,EL$3,'Étape 1 - à remplir'!$G$31:$G$400,"kg")),IF(EL$2="Atelier",IF(EL$3="Tous",SUMIFS('Étape 1 - à remplir'!$F$31:$F$400,'Étape 1 - à remplir'!$E$31:$E$400,MASQ2!EC182,'Étape 1 - à remplir'!$G$31:$G$400,"kg"),SUMIFS('Étape 1 - à remplir'!$F$31:$F$400,'Étape 1 - à remplir'!$E$31:$E$400,MASQ2!EC182,'Étape 1 - à remplir'!$O$31:$O$400,EL$3,'Étape 1 - à remplir'!$G$31:$G$400,"kg")),IF(EL$2="Espèce",IF(EL$3="Toutes",SUMIFS('Étape 1 - à remplir'!$F$31:$F$400,'Étape 1 - à remplir'!$E$31:$E$400,MASQ2!EC182,'Étape 1 - à remplir'!$G$31:$G$400,"kg"),SUMIFS('Étape 1 - à remplir'!$F$31:$F$400,'Étape 1 - à remplir'!$E$31:$E$400,MASQ2!EC182,'Étape 1 - à remplir'!$N$31:$N$400,EL$3,'Étape 1 - à remplir'!$G$31:$G$400,"kg")))))))</f>
        <v>#N/A</v>
      </c>
      <c r="EE182" s="76">
        <f t="shared" si="184"/>
        <v>0</v>
      </c>
      <c r="EF182" t="str">
        <f t="shared" si="175"/>
        <v>Sulfadiazine</v>
      </c>
      <c r="EG182" t="str">
        <f t="shared" si="176"/>
        <v>Triméthoprime</v>
      </c>
      <c r="EH182" t="str">
        <f t="shared" si="177"/>
        <v/>
      </c>
      <c r="EI182" t="str">
        <f t="shared" si="178"/>
        <v>Sulfamides</v>
      </c>
      <c r="EJ182" t="str">
        <f t="shared" si="179"/>
        <v>Trimethoprime</v>
      </c>
      <c r="EK182" s="63" t="str">
        <f t="shared" si="180"/>
        <v/>
      </c>
      <c r="EN182" s="42">
        <v>179</v>
      </c>
      <c r="EO182" t="e">
        <f t="shared" si="186"/>
        <v>#N/A</v>
      </c>
      <c r="EP182" s="63" t="e">
        <f t="shared" si="187"/>
        <v>#N/A</v>
      </c>
      <c r="FT182" s="63"/>
    </row>
    <row r="183" spans="2:176" x14ac:dyDescent="0.3">
      <c r="B183" s="42"/>
      <c r="M183" s="194" t="str">
        <f ca="1">INDEX(Données_ATB!BD:BU,MATCH(MASQ2!O183,Données_ATB!BD:BD,0),18)</f>
        <v/>
      </c>
      <c r="N183" s="14" t="str">
        <f>IFERROR(IF(Q183=0,"",COUNTIF(Q$4:Q$600,"&gt;"&amp;Q183)+COUNTIF(Q$4:Q183,Q183)),"")</f>
        <v/>
      </c>
      <c r="O183" t="str">
        <f>Données_ATB!BD182</f>
        <v>DICLOMAM TARISSEMENT</v>
      </c>
      <c r="P183" t="e">
        <f>IF(IF(X$2="Catégorie",IF(X$3="Toutes",SUMIFS('Étape 1 - à remplir'!$F$31:$F$400,'Étape 1 - à remplir'!$E$31:$E$400,MASQ2!O183,'Étape 1 - à remplir'!$G$31:$G$400,"animaux"),SUMIFS('Étape 1 - à remplir'!$F$31:$F$400,'Étape 1 - à remplir'!$E$31:$E$400,MASQ2!O183,'Étape 1 - à remplir'!$C$31:$C$400,X$3)),IF(X$2="Âge",IF(X$3="Tous",SUMIFS('Étape 1 - à remplir'!$F$31:$F$400,'Étape 1 - à remplir'!$E$31:$E$400,MASQ2!O183,'Étape 1 - à remplir'!$G$31:$G$400,"animaux"),SUMIFS('Étape 1 - à remplir'!$F$31:$F$400,'Étape 1 - à remplir'!$E$31:$E$400,MASQ2!O183,'Étape 1 - à remplir'!$P$31:$P$400,X$3)),IF(X$2="Atelier",IF(X$3="Tous",SUMIFS('Étape 1 - à remplir'!$F$31:$F$400,'Étape 1 - à remplir'!$E$31:$E$400,MASQ2!O183,'Étape 1 - à remplir'!$G$31:$G$400,"animaux"),SUMIFS('Étape 1 - à remplir'!$F$31:$F$400,'Étape 1 - à remplir'!$E$31:$E$400,MASQ2!O183,'Étape 1 - à remplir'!$O$31:$O$400,X$3)),IF(X$2="Espèce",IF(X$3="Toutes",SUMIFS('Étape 1 - à remplir'!$F$31:$F$400,'Étape 1 - à remplir'!$E$31:$E$400,MASQ2!O183,'Étape 1 - à remplir'!$G$31:$G$400,"animaux"),SUMIFS('Étape 1 - à remplir'!$F$31:$F$400,'Étape 1 - à remplir'!$E$31:$E$400,MASQ2!O183,'Étape 1 - à remplir'!$N$31:$N$400,X$3))))))=0,NA(),IF(X$2="Catégorie",IF(X$3="Toutes",SUMIFS('Étape 1 - à remplir'!$F$31:$F$400,'Étape 1 - à remplir'!$E$31:$E$400,MASQ2!O183,'Étape 1 - à remplir'!$G$31:$G$400,"animaux"),SUMIFS('Étape 1 - à remplir'!$F$31:$F$400,'Étape 1 - à remplir'!$E$31:$E$400,MASQ2!O183,'Étape 1 - à remplir'!$C$31:$C$400,X$3)),IF(X$2="Âge",IF(X$3="Tous",SUMIFS('Étape 1 - à remplir'!$F$31:$F$400,'Étape 1 - à remplir'!$E$31:$E$400,MASQ2!O183,'Étape 1 - à remplir'!$G$31:$G$400,"animaux"),SUMIFS('Étape 1 - à remplir'!$F$31:$F$400,'Étape 1 - à remplir'!$E$31:$E$400,MASQ2!O183,'Étape 1 - à remplir'!$P$31:$P$400,X$3)),IF(X$2="Atelier",IF(X$3="Tous",SUMIFS('Étape 1 - à remplir'!$F$31:$F$400,'Étape 1 - à remplir'!$E$31:$E$400,MASQ2!O183,'Étape 1 - à remplir'!$G$31:$G$400,"animaux"),SUMIFS('Étape 1 - à remplir'!$F$31:$F$400,'Étape 1 - à remplir'!$E$31:$E$400,MASQ2!O183,'Étape 1 - à remplir'!$O$31:$O$400,X$3)),IF(X$2="Espèce",IF(X$3="Toutes",SUMIFS('Étape 1 - à remplir'!$F$31:$F$400,'Étape 1 - à remplir'!$E$31:$E$400,MASQ2!O183,'Étape 1 - à remplir'!$G$31:$G$400,"animaux"),SUMIFS('Étape 1 - à remplir'!$F$31:$F$400,'Étape 1 - à remplir'!$E$31:$E$400,MASQ2!O183,'Étape 1 - à remplir'!$N$31:$N$400,X$3)))))))</f>
        <v>#N/A</v>
      </c>
      <c r="Q183" s="63">
        <f t="shared" si="185"/>
        <v>0</v>
      </c>
      <c r="R183" t="str">
        <f>Données_ATB!BM182</f>
        <v>Cloxacilline</v>
      </c>
      <c r="S183" t="str">
        <f>Données_ATB!BN182</f>
        <v/>
      </c>
      <c r="T183" s="63" t="str">
        <f>Données_ATB!BO182</f>
        <v/>
      </c>
      <c r="U183" s="42" t="str">
        <f>Données_ATB!BQ182</f>
        <v>Penicillines</v>
      </c>
      <c r="V183" t="str">
        <f>Données_ATB!BR182</f>
        <v/>
      </c>
      <c r="W183" s="63" t="str">
        <f>Données_ATB!BS182</f>
        <v/>
      </c>
      <c r="Z183" s="42">
        <v>180</v>
      </c>
      <c r="AA183" t="e">
        <f t="shared" si="181"/>
        <v>#N/A</v>
      </c>
      <c r="AB183" s="63" t="e">
        <f t="shared" si="182"/>
        <v>#N/A</v>
      </c>
      <c r="BF183" s="63"/>
      <c r="BT183" s="194" t="str">
        <f t="shared" ca="1" si="165"/>
        <v/>
      </c>
      <c r="BU183" s="219" t="str">
        <f>IFERROR(IF(BX183=0,"",COUNTIF(BX$4:BX$600,"&gt;"&amp;BX183)+COUNTIF(BX$4:BX183,BX183)),"")</f>
        <v/>
      </c>
      <c r="BV183" s="42" t="str">
        <f t="shared" si="166"/>
        <v>DICLOMAM TARISSEMENT</v>
      </c>
      <c r="BW183" t="e">
        <f>IF(IF(CE$2="Catégorie",IF(CE$3="Toutes",SUMIFS('Étape 1 - à remplir'!$F$31:$F$400,'Étape 1 - à remplir'!$E$31:$E$400,MASQ2!BV183,'Étape 1 - à remplir'!$G$31:$G$400,"lots"),SUMIFS('Étape 1 - à remplir'!$F$31:$F$400,'Étape 1 - à remplir'!$E$31:$E$400,MASQ2!BV183,'Étape 1 - à remplir'!$C$31:$C$400,CE$3)),IF(CE$2="Âge",IF(CE$3="Tous",SUMIFS('Étape 1 - à remplir'!$F$31:$F$400,'Étape 1 - à remplir'!$E$31:$E$400,MASQ2!BV183,'Étape 1 - à remplir'!$G$31:$G$400,"lots"),SUMIFS('Étape 1 - à remplir'!$F$31:$F$400,'Étape 1 - à remplir'!$E$31:$E$400,MASQ2!BV183,'Étape 1 - à remplir'!$P$31:$P$400,CE$3,'Étape 1 - à remplir'!$G$31:$G$400,"lots")),IF(CE$2="Atelier",IF(CE$3="Tous",SUMIFS('Étape 1 - à remplir'!$F$31:$F$400,'Étape 1 - à remplir'!$E$31:$E$400,MASQ2!BV183,'Étape 1 - à remplir'!$G$31:$G$400,"lots"),SUMIFS('Étape 1 - à remplir'!$F$31:$F$400,'Étape 1 - à remplir'!$E$31:$E$400,MASQ2!BV183,'Étape 1 - à remplir'!$O$31:$O$400,CE$3,'Étape 1 - à remplir'!$G$31:$G$400,"lots")),IF(CE$2="Espèce",IF(CE$3="Toutes",SUMIFS('Étape 1 - à remplir'!$F$31:$F$400,'Étape 1 - à remplir'!$E$31:$E$400,MASQ2!BV183,'Étape 1 - à remplir'!$G$31:$G$400,"lots"),SUMIFS('Étape 1 - à remplir'!$F$31:$F$400,'Étape 1 - à remplir'!$E$31:$E$400,MASQ2!BV183,'Étape 1 - à remplir'!$N$31:$N$400,CE$3,'Étape 1 - à remplir'!$G$31:$G$400,"lots"))))))=0,NA(),IF(CE$2="Catégorie",IF(CE$3="Toutes",SUMIFS('Étape 1 - à remplir'!$F$31:$F$400,'Étape 1 - à remplir'!$E$31:$E$400,MASQ2!BV183,'Étape 1 - à remplir'!$G$31:$G$400,"lots"),SUMIFS('Étape 1 - à remplir'!$F$31:$F$400,'Étape 1 - à remplir'!$E$31:$E$400,MASQ2!BV183,'Étape 1 - à remplir'!$C$31:$C$400,CE$3)),IF(CE$2="Âge",IF(CE$3="Tous",SUMIFS('Étape 1 - à remplir'!$F$31:$F$400,'Étape 1 - à remplir'!$E$31:$E$400,MASQ2!BV183,'Étape 1 - à remplir'!$G$31:$G$400,"lots"),SUMIFS('Étape 1 - à remplir'!$F$31:$F$400,'Étape 1 - à remplir'!$E$31:$E$400,MASQ2!BV183,'Étape 1 - à remplir'!$P$31:$P$400,CE$3,'Étape 1 - à remplir'!$G$31:$G$400,"lots")),IF(CE$2="Atelier",IF(CE$3="Tous",SUMIFS('Étape 1 - à remplir'!$F$31:$F$400,'Étape 1 - à remplir'!$E$31:$E$400,MASQ2!BV183,'Étape 1 - à remplir'!$G$31:$G$400,"lots"),SUMIFS('Étape 1 - à remplir'!$F$31:$F$400,'Étape 1 - à remplir'!$E$31:$E$400,MASQ2!BV183,'Étape 1 - à remplir'!$O$31:$O$400,CE$3,'Étape 1 - à remplir'!$G$31:$G$400,"lots")),IF(CE$2="Espèce",IF(CE$3="Toutes",SUMIFS('Étape 1 - à remplir'!$F$31:$F$400,'Étape 1 - à remplir'!$E$31:$E$400,MASQ2!BV183,'Étape 1 - à remplir'!$G$31:$G$400,"lots"),SUMIFS('Étape 1 - à remplir'!$F$31:$F$400,'Étape 1 - à remplir'!$E$31:$E$400,MASQ2!BV183,'Étape 1 - à remplir'!$N$31:$N$400,CE$3,'Étape 1 - à remplir'!$G$31:$G$400,"lots")))))))</f>
        <v>#N/A</v>
      </c>
      <c r="BX183">
        <f t="shared" si="183"/>
        <v>0</v>
      </c>
      <c r="BY183" t="str">
        <f t="shared" si="167"/>
        <v>Cloxacilline</v>
      </c>
      <c r="BZ183" t="str">
        <f t="shared" si="168"/>
        <v/>
      </c>
      <c r="CA183" t="str">
        <f t="shared" si="169"/>
        <v/>
      </c>
      <c r="CB183" t="str">
        <f t="shared" si="170"/>
        <v>Penicillines</v>
      </c>
      <c r="CC183" t="str">
        <f t="shared" si="171"/>
        <v/>
      </c>
      <c r="CD183" s="63" t="str">
        <f t="shared" si="172"/>
        <v/>
      </c>
      <c r="CG183" s="42">
        <v>180</v>
      </c>
      <c r="CH183" s="42" t="e">
        <f t="shared" si="188"/>
        <v>#N/A</v>
      </c>
      <c r="CI183" s="63" t="e">
        <f t="shared" si="189"/>
        <v>#N/A</v>
      </c>
      <c r="DM183" s="63"/>
      <c r="EA183" s="194" t="str">
        <f t="shared" ca="1" si="173"/>
        <v/>
      </c>
      <c r="EB183" s="226" t="str">
        <f>IFERROR(IF(ED183=0,"",COUNTIF(ED$4:ED$600,"&gt;"&amp;ED183)+COUNTIF(ED$4:ED183,ED183)),"")</f>
        <v/>
      </c>
      <c r="EC183" t="str">
        <f t="shared" si="174"/>
        <v>DICLOMAM TARISSEMENT</v>
      </c>
      <c r="ED183" t="e">
        <f>IF(IF(EL$2="Catégorie",IF(EL$3="Toutes",SUMIFS('Étape 1 - à remplir'!$F$31:$F$400,'Étape 1 - à remplir'!$E$31:$E$400,MASQ2!EC183,'Étape 1 - à remplir'!$G$31:$G$400,"kg"),SUMIFS('Étape 1 - à remplir'!$F$31:$F$400,'Étape 1 - à remplir'!$E$31:$E$400,MASQ2!EC183,'Étape 1 - à remplir'!$C$31:$C$400,EL$3)),IF(EL$2="Âge",IF(EL$3="Tous",SUMIFS('Étape 1 - à remplir'!$F$31:$F$400,'Étape 1 - à remplir'!$E$31:$E$400,MASQ2!EC183,'Étape 1 - à remplir'!$G$31:$G$400,"kg"),SUMIFS('Étape 1 - à remplir'!$F$31:$F$400,'Étape 1 - à remplir'!$E$31:$E$400,MASQ2!EC183,'Étape 1 - à remplir'!$P$31:$P$400,EL$3,'Étape 1 - à remplir'!$G$31:$G$400,"kg")),IF(EL$2="Atelier",IF(EL$3="Tous",SUMIFS('Étape 1 - à remplir'!$F$31:$F$400,'Étape 1 - à remplir'!$E$31:$E$400,MASQ2!EC183,'Étape 1 - à remplir'!$G$31:$G$400,"kg"),SUMIFS('Étape 1 - à remplir'!$F$31:$F$400,'Étape 1 - à remplir'!$E$31:$E$400,MASQ2!EC183,'Étape 1 - à remplir'!$O$31:$O$400,EL$3,'Étape 1 - à remplir'!$G$31:$G$400,"kg")),IF(EL$2="Espèce",IF(EL$3="Toutes",SUMIFS('Étape 1 - à remplir'!$F$31:$F$400,'Étape 1 - à remplir'!$E$31:$E$400,MASQ2!EC183,'Étape 1 - à remplir'!$G$31:$G$400,"kg"),SUMIFS('Étape 1 - à remplir'!$F$31:$F$400,'Étape 1 - à remplir'!$E$31:$E$400,MASQ2!EC183,'Étape 1 - à remplir'!$N$31:$N$400,EL$3,'Étape 1 - à remplir'!$G$31:$G$400,"kg"))))))=0,NA(),IF(EL$2="Catégorie",IF(EL$3="Toutes",SUMIFS('Étape 1 - à remplir'!$F$31:$F$400,'Étape 1 - à remplir'!$E$31:$E$400,MASQ2!EC183,'Étape 1 - à remplir'!$G$31:$G$400,"kg"),SUMIFS('Étape 1 - à remplir'!$F$31:$F$400,'Étape 1 - à remplir'!$E$31:$E$400,MASQ2!EC183,'Étape 1 - à remplir'!$C$31:$C$400,EL$3)),IF(EL$2="Âge",IF(EL$3="Tous",SUMIFS('Étape 1 - à remplir'!$F$31:$F$400,'Étape 1 - à remplir'!$E$31:$E$400,MASQ2!EC183,'Étape 1 - à remplir'!$G$31:$G$400,"kg"),SUMIFS('Étape 1 - à remplir'!$F$31:$F$400,'Étape 1 - à remplir'!$E$31:$E$400,MASQ2!EC183,'Étape 1 - à remplir'!$P$31:$P$400,EL$3,'Étape 1 - à remplir'!$G$31:$G$400,"kg")),IF(EL$2="Atelier",IF(EL$3="Tous",SUMIFS('Étape 1 - à remplir'!$F$31:$F$400,'Étape 1 - à remplir'!$E$31:$E$400,MASQ2!EC183,'Étape 1 - à remplir'!$G$31:$G$400,"kg"),SUMIFS('Étape 1 - à remplir'!$F$31:$F$400,'Étape 1 - à remplir'!$E$31:$E$400,MASQ2!EC183,'Étape 1 - à remplir'!$O$31:$O$400,EL$3,'Étape 1 - à remplir'!$G$31:$G$400,"kg")),IF(EL$2="Espèce",IF(EL$3="Toutes",SUMIFS('Étape 1 - à remplir'!$F$31:$F$400,'Étape 1 - à remplir'!$E$31:$E$400,MASQ2!EC183,'Étape 1 - à remplir'!$G$31:$G$400,"kg"),SUMIFS('Étape 1 - à remplir'!$F$31:$F$400,'Étape 1 - à remplir'!$E$31:$E$400,MASQ2!EC183,'Étape 1 - à remplir'!$N$31:$N$400,EL$3,'Étape 1 - à remplir'!$G$31:$G$400,"kg")))))))</f>
        <v>#N/A</v>
      </c>
      <c r="EE183" s="76">
        <f t="shared" si="184"/>
        <v>0</v>
      </c>
      <c r="EF183" t="str">
        <f t="shared" si="175"/>
        <v>Cloxacilline</v>
      </c>
      <c r="EG183" t="str">
        <f t="shared" si="176"/>
        <v/>
      </c>
      <c r="EH183" t="str">
        <f t="shared" si="177"/>
        <v/>
      </c>
      <c r="EI183" t="str">
        <f t="shared" si="178"/>
        <v>Penicillines</v>
      </c>
      <c r="EJ183" t="str">
        <f t="shared" si="179"/>
        <v/>
      </c>
      <c r="EK183" s="63" t="str">
        <f t="shared" si="180"/>
        <v/>
      </c>
      <c r="EN183" s="42">
        <v>180</v>
      </c>
      <c r="EO183" t="e">
        <f t="shared" si="186"/>
        <v>#N/A</v>
      </c>
      <c r="EP183" s="63" t="e">
        <f t="shared" si="187"/>
        <v>#N/A</v>
      </c>
      <c r="FT183" s="63"/>
    </row>
    <row r="184" spans="2:176" x14ac:dyDescent="0.3">
      <c r="B184" s="42"/>
      <c r="M184" s="194" t="str">
        <f ca="1">INDEX(Données_ATB!BD:BU,MATCH(MASQ2!O184,Données_ATB!BD:BD,0),18)</f>
        <v>x</v>
      </c>
      <c r="N184" s="14" t="str">
        <f>IFERROR(IF(Q184=0,"",COUNTIF(Q$4:Q$600,"&gt;"&amp;Q184)+COUNTIF(Q$4:Q184,Q184)),"")</f>
        <v/>
      </c>
      <c r="O184" t="str">
        <f>Données_ATB!BD183</f>
        <v>DICURAL 100 MG/ML SOLUTION ORALE POUR POULES ET DINDES</v>
      </c>
      <c r="P184" t="e">
        <f>IF(IF(X$2="Catégorie",IF(X$3="Toutes",SUMIFS('Étape 1 - à remplir'!$F$31:$F$400,'Étape 1 - à remplir'!$E$31:$E$400,MASQ2!O184,'Étape 1 - à remplir'!$G$31:$G$400,"animaux"),SUMIFS('Étape 1 - à remplir'!$F$31:$F$400,'Étape 1 - à remplir'!$E$31:$E$400,MASQ2!O184,'Étape 1 - à remplir'!$C$31:$C$400,X$3)),IF(X$2="Âge",IF(X$3="Tous",SUMIFS('Étape 1 - à remplir'!$F$31:$F$400,'Étape 1 - à remplir'!$E$31:$E$400,MASQ2!O184,'Étape 1 - à remplir'!$G$31:$G$400,"animaux"),SUMIFS('Étape 1 - à remplir'!$F$31:$F$400,'Étape 1 - à remplir'!$E$31:$E$400,MASQ2!O184,'Étape 1 - à remplir'!$P$31:$P$400,X$3)),IF(X$2="Atelier",IF(X$3="Tous",SUMIFS('Étape 1 - à remplir'!$F$31:$F$400,'Étape 1 - à remplir'!$E$31:$E$400,MASQ2!O184,'Étape 1 - à remplir'!$G$31:$G$400,"animaux"),SUMIFS('Étape 1 - à remplir'!$F$31:$F$400,'Étape 1 - à remplir'!$E$31:$E$400,MASQ2!O184,'Étape 1 - à remplir'!$O$31:$O$400,X$3)),IF(X$2="Espèce",IF(X$3="Toutes",SUMIFS('Étape 1 - à remplir'!$F$31:$F$400,'Étape 1 - à remplir'!$E$31:$E$400,MASQ2!O184,'Étape 1 - à remplir'!$G$31:$G$400,"animaux"),SUMIFS('Étape 1 - à remplir'!$F$31:$F$400,'Étape 1 - à remplir'!$E$31:$E$400,MASQ2!O184,'Étape 1 - à remplir'!$N$31:$N$400,X$3))))))=0,NA(),IF(X$2="Catégorie",IF(X$3="Toutes",SUMIFS('Étape 1 - à remplir'!$F$31:$F$400,'Étape 1 - à remplir'!$E$31:$E$400,MASQ2!O184,'Étape 1 - à remplir'!$G$31:$G$400,"animaux"),SUMIFS('Étape 1 - à remplir'!$F$31:$F$400,'Étape 1 - à remplir'!$E$31:$E$400,MASQ2!O184,'Étape 1 - à remplir'!$C$31:$C$400,X$3)),IF(X$2="Âge",IF(X$3="Tous",SUMIFS('Étape 1 - à remplir'!$F$31:$F$400,'Étape 1 - à remplir'!$E$31:$E$400,MASQ2!O184,'Étape 1 - à remplir'!$G$31:$G$400,"animaux"),SUMIFS('Étape 1 - à remplir'!$F$31:$F$400,'Étape 1 - à remplir'!$E$31:$E$400,MASQ2!O184,'Étape 1 - à remplir'!$P$31:$P$400,X$3)),IF(X$2="Atelier",IF(X$3="Tous",SUMIFS('Étape 1 - à remplir'!$F$31:$F$400,'Étape 1 - à remplir'!$E$31:$E$400,MASQ2!O184,'Étape 1 - à remplir'!$G$31:$G$400,"animaux"),SUMIFS('Étape 1 - à remplir'!$F$31:$F$400,'Étape 1 - à remplir'!$E$31:$E$400,MASQ2!O184,'Étape 1 - à remplir'!$O$31:$O$400,X$3)),IF(X$2="Espèce",IF(X$3="Toutes",SUMIFS('Étape 1 - à remplir'!$F$31:$F$400,'Étape 1 - à remplir'!$E$31:$E$400,MASQ2!O184,'Étape 1 - à remplir'!$G$31:$G$400,"animaux"),SUMIFS('Étape 1 - à remplir'!$F$31:$F$400,'Étape 1 - à remplir'!$E$31:$E$400,MASQ2!O184,'Étape 1 - à remplir'!$N$31:$N$400,X$3)))))))</f>
        <v>#N/A</v>
      </c>
      <c r="Q184" s="63">
        <f t="shared" si="185"/>
        <v>0</v>
      </c>
      <c r="R184" t="str">
        <f>Données_ATB!BM183</f>
        <v>Difloxacine</v>
      </c>
      <c r="S184" t="str">
        <f>Données_ATB!BN183</f>
        <v/>
      </c>
      <c r="T184" s="63" t="str">
        <f>Données_ATB!BO183</f>
        <v/>
      </c>
      <c r="U184" s="42" t="str">
        <f>Données_ATB!BQ183</f>
        <v>Fluoroquinolones</v>
      </c>
      <c r="V184" t="str">
        <f>Données_ATB!BR183</f>
        <v/>
      </c>
      <c r="W184" s="63" t="str">
        <f>Données_ATB!BS183</f>
        <v/>
      </c>
      <c r="Z184" s="42">
        <v>181</v>
      </c>
      <c r="AA184" t="e">
        <f t="shared" si="181"/>
        <v>#N/A</v>
      </c>
      <c r="AB184" s="63" t="e">
        <f t="shared" si="182"/>
        <v>#N/A</v>
      </c>
      <c r="BF184" s="63"/>
      <c r="BT184" s="194" t="str">
        <f t="shared" ca="1" si="165"/>
        <v>x</v>
      </c>
      <c r="BU184" s="219" t="str">
        <f>IFERROR(IF(BX184=0,"",COUNTIF(BX$4:BX$600,"&gt;"&amp;BX184)+COUNTIF(BX$4:BX184,BX184)),"")</f>
        <v/>
      </c>
      <c r="BV184" s="42" t="str">
        <f t="shared" si="166"/>
        <v>DICURAL 100 MG/ML SOLUTION ORALE POUR POULES ET DINDES</v>
      </c>
      <c r="BW184" t="e">
        <f>IF(IF(CE$2="Catégorie",IF(CE$3="Toutes",SUMIFS('Étape 1 - à remplir'!$F$31:$F$400,'Étape 1 - à remplir'!$E$31:$E$400,MASQ2!BV184,'Étape 1 - à remplir'!$G$31:$G$400,"lots"),SUMIFS('Étape 1 - à remplir'!$F$31:$F$400,'Étape 1 - à remplir'!$E$31:$E$400,MASQ2!BV184,'Étape 1 - à remplir'!$C$31:$C$400,CE$3)),IF(CE$2="Âge",IF(CE$3="Tous",SUMIFS('Étape 1 - à remplir'!$F$31:$F$400,'Étape 1 - à remplir'!$E$31:$E$400,MASQ2!BV184,'Étape 1 - à remplir'!$G$31:$G$400,"lots"),SUMIFS('Étape 1 - à remplir'!$F$31:$F$400,'Étape 1 - à remplir'!$E$31:$E$400,MASQ2!BV184,'Étape 1 - à remplir'!$P$31:$P$400,CE$3,'Étape 1 - à remplir'!$G$31:$G$400,"lots")),IF(CE$2="Atelier",IF(CE$3="Tous",SUMIFS('Étape 1 - à remplir'!$F$31:$F$400,'Étape 1 - à remplir'!$E$31:$E$400,MASQ2!BV184,'Étape 1 - à remplir'!$G$31:$G$400,"lots"),SUMIFS('Étape 1 - à remplir'!$F$31:$F$400,'Étape 1 - à remplir'!$E$31:$E$400,MASQ2!BV184,'Étape 1 - à remplir'!$O$31:$O$400,CE$3,'Étape 1 - à remplir'!$G$31:$G$400,"lots")),IF(CE$2="Espèce",IF(CE$3="Toutes",SUMIFS('Étape 1 - à remplir'!$F$31:$F$400,'Étape 1 - à remplir'!$E$31:$E$400,MASQ2!BV184,'Étape 1 - à remplir'!$G$31:$G$400,"lots"),SUMIFS('Étape 1 - à remplir'!$F$31:$F$400,'Étape 1 - à remplir'!$E$31:$E$400,MASQ2!BV184,'Étape 1 - à remplir'!$N$31:$N$400,CE$3,'Étape 1 - à remplir'!$G$31:$G$400,"lots"))))))=0,NA(),IF(CE$2="Catégorie",IF(CE$3="Toutes",SUMIFS('Étape 1 - à remplir'!$F$31:$F$400,'Étape 1 - à remplir'!$E$31:$E$400,MASQ2!BV184,'Étape 1 - à remplir'!$G$31:$G$400,"lots"),SUMIFS('Étape 1 - à remplir'!$F$31:$F$400,'Étape 1 - à remplir'!$E$31:$E$400,MASQ2!BV184,'Étape 1 - à remplir'!$C$31:$C$400,CE$3)),IF(CE$2="Âge",IF(CE$3="Tous",SUMIFS('Étape 1 - à remplir'!$F$31:$F$400,'Étape 1 - à remplir'!$E$31:$E$400,MASQ2!BV184,'Étape 1 - à remplir'!$G$31:$G$400,"lots"),SUMIFS('Étape 1 - à remplir'!$F$31:$F$400,'Étape 1 - à remplir'!$E$31:$E$400,MASQ2!BV184,'Étape 1 - à remplir'!$P$31:$P$400,CE$3,'Étape 1 - à remplir'!$G$31:$G$400,"lots")),IF(CE$2="Atelier",IF(CE$3="Tous",SUMIFS('Étape 1 - à remplir'!$F$31:$F$400,'Étape 1 - à remplir'!$E$31:$E$400,MASQ2!BV184,'Étape 1 - à remplir'!$G$31:$G$400,"lots"),SUMIFS('Étape 1 - à remplir'!$F$31:$F$400,'Étape 1 - à remplir'!$E$31:$E$400,MASQ2!BV184,'Étape 1 - à remplir'!$O$31:$O$400,CE$3,'Étape 1 - à remplir'!$G$31:$G$400,"lots")),IF(CE$2="Espèce",IF(CE$3="Toutes",SUMIFS('Étape 1 - à remplir'!$F$31:$F$400,'Étape 1 - à remplir'!$E$31:$E$400,MASQ2!BV184,'Étape 1 - à remplir'!$G$31:$G$400,"lots"),SUMIFS('Étape 1 - à remplir'!$F$31:$F$400,'Étape 1 - à remplir'!$E$31:$E$400,MASQ2!BV184,'Étape 1 - à remplir'!$N$31:$N$400,CE$3,'Étape 1 - à remplir'!$G$31:$G$400,"lots")))))))</f>
        <v>#N/A</v>
      </c>
      <c r="BX184">
        <f t="shared" si="183"/>
        <v>0</v>
      </c>
      <c r="BY184" t="str">
        <f t="shared" si="167"/>
        <v>Difloxacine</v>
      </c>
      <c r="BZ184" t="str">
        <f t="shared" si="168"/>
        <v/>
      </c>
      <c r="CA184" t="str">
        <f t="shared" si="169"/>
        <v/>
      </c>
      <c r="CB184" t="str">
        <f t="shared" si="170"/>
        <v>Fluoroquinolones</v>
      </c>
      <c r="CC184" t="str">
        <f t="shared" si="171"/>
        <v/>
      </c>
      <c r="CD184" s="63" t="str">
        <f t="shared" si="172"/>
        <v/>
      </c>
      <c r="CG184" s="42">
        <v>181</v>
      </c>
      <c r="CH184" s="42" t="e">
        <f t="shared" si="188"/>
        <v>#N/A</v>
      </c>
      <c r="CI184" s="63" t="e">
        <f t="shared" si="189"/>
        <v>#N/A</v>
      </c>
      <c r="DM184" s="63"/>
      <c r="EA184" s="194" t="str">
        <f t="shared" ca="1" si="173"/>
        <v>x</v>
      </c>
      <c r="EB184" s="226" t="str">
        <f>IFERROR(IF(ED184=0,"",COUNTIF(ED$4:ED$600,"&gt;"&amp;ED184)+COUNTIF(ED$4:ED184,ED184)),"")</f>
        <v/>
      </c>
      <c r="EC184" t="str">
        <f t="shared" si="174"/>
        <v>DICURAL 100 MG/ML SOLUTION ORALE POUR POULES ET DINDES</v>
      </c>
      <c r="ED184" t="e">
        <f>IF(IF(EL$2="Catégorie",IF(EL$3="Toutes",SUMIFS('Étape 1 - à remplir'!$F$31:$F$400,'Étape 1 - à remplir'!$E$31:$E$400,MASQ2!EC184,'Étape 1 - à remplir'!$G$31:$G$400,"kg"),SUMIFS('Étape 1 - à remplir'!$F$31:$F$400,'Étape 1 - à remplir'!$E$31:$E$400,MASQ2!EC184,'Étape 1 - à remplir'!$C$31:$C$400,EL$3)),IF(EL$2="Âge",IF(EL$3="Tous",SUMIFS('Étape 1 - à remplir'!$F$31:$F$400,'Étape 1 - à remplir'!$E$31:$E$400,MASQ2!EC184,'Étape 1 - à remplir'!$G$31:$G$400,"kg"),SUMIFS('Étape 1 - à remplir'!$F$31:$F$400,'Étape 1 - à remplir'!$E$31:$E$400,MASQ2!EC184,'Étape 1 - à remplir'!$P$31:$P$400,EL$3,'Étape 1 - à remplir'!$G$31:$G$400,"kg")),IF(EL$2="Atelier",IF(EL$3="Tous",SUMIFS('Étape 1 - à remplir'!$F$31:$F$400,'Étape 1 - à remplir'!$E$31:$E$400,MASQ2!EC184,'Étape 1 - à remplir'!$G$31:$G$400,"kg"),SUMIFS('Étape 1 - à remplir'!$F$31:$F$400,'Étape 1 - à remplir'!$E$31:$E$400,MASQ2!EC184,'Étape 1 - à remplir'!$O$31:$O$400,EL$3,'Étape 1 - à remplir'!$G$31:$G$400,"kg")),IF(EL$2="Espèce",IF(EL$3="Toutes",SUMIFS('Étape 1 - à remplir'!$F$31:$F$400,'Étape 1 - à remplir'!$E$31:$E$400,MASQ2!EC184,'Étape 1 - à remplir'!$G$31:$G$400,"kg"),SUMIFS('Étape 1 - à remplir'!$F$31:$F$400,'Étape 1 - à remplir'!$E$31:$E$400,MASQ2!EC184,'Étape 1 - à remplir'!$N$31:$N$400,EL$3,'Étape 1 - à remplir'!$G$31:$G$400,"kg"))))))=0,NA(),IF(EL$2="Catégorie",IF(EL$3="Toutes",SUMIFS('Étape 1 - à remplir'!$F$31:$F$400,'Étape 1 - à remplir'!$E$31:$E$400,MASQ2!EC184,'Étape 1 - à remplir'!$G$31:$G$400,"kg"),SUMIFS('Étape 1 - à remplir'!$F$31:$F$400,'Étape 1 - à remplir'!$E$31:$E$400,MASQ2!EC184,'Étape 1 - à remplir'!$C$31:$C$400,EL$3)),IF(EL$2="Âge",IF(EL$3="Tous",SUMIFS('Étape 1 - à remplir'!$F$31:$F$400,'Étape 1 - à remplir'!$E$31:$E$400,MASQ2!EC184,'Étape 1 - à remplir'!$G$31:$G$400,"kg"),SUMIFS('Étape 1 - à remplir'!$F$31:$F$400,'Étape 1 - à remplir'!$E$31:$E$400,MASQ2!EC184,'Étape 1 - à remplir'!$P$31:$P$400,EL$3,'Étape 1 - à remplir'!$G$31:$G$400,"kg")),IF(EL$2="Atelier",IF(EL$3="Tous",SUMIFS('Étape 1 - à remplir'!$F$31:$F$400,'Étape 1 - à remplir'!$E$31:$E$400,MASQ2!EC184,'Étape 1 - à remplir'!$G$31:$G$400,"kg"),SUMIFS('Étape 1 - à remplir'!$F$31:$F$400,'Étape 1 - à remplir'!$E$31:$E$400,MASQ2!EC184,'Étape 1 - à remplir'!$O$31:$O$400,EL$3,'Étape 1 - à remplir'!$G$31:$G$400,"kg")),IF(EL$2="Espèce",IF(EL$3="Toutes",SUMIFS('Étape 1 - à remplir'!$F$31:$F$400,'Étape 1 - à remplir'!$E$31:$E$400,MASQ2!EC184,'Étape 1 - à remplir'!$G$31:$G$400,"kg"),SUMIFS('Étape 1 - à remplir'!$F$31:$F$400,'Étape 1 - à remplir'!$E$31:$E$400,MASQ2!EC184,'Étape 1 - à remplir'!$N$31:$N$400,EL$3,'Étape 1 - à remplir'!$G$31:$G$400,"kg")))))))</f>
        <v>#N/A</v>
      </c>
      <c r="EE184" s="76">
        <f t="shared" si="184"/>
        <v>0</v>
      </c>
      <c r="EF184" t="str">
        <f t="shared" si="175"/>
        <v>Difloxacine</v>
      </c>
      <c r="EG184" t="str">
        <f t="shared" si="176"/>
        <v/>
      </c>
      <c r="EH184" t="str">
        <f t="shared" si="177"/>
        <v/>
      </c>
      <c r="EI184" t="str">
        <f t="shared" si="178"/>
        <v>Fluoroquinolones</v>
      </c>
      <c r="EJ184" t="str">
        <f t="shared" si="179"/>
        <v/>
      </c>
      <c r="EK184" s="63" t="str">
        <f t="shared" si="180"/>
        <v/>
      </c>
      <c r="EN184" s="42">
        <v>181</v>
      </c>
      <c r="EO184" t="e">
        <f t="shared" si="186"/>
        <v>#N/A</v>
      </c>
      <c r="EP184" s="63" t="e">
        <f t="shared" si="187"/>
        <v>#N/A</v>
      </c>
      <c r="FT184" s="63"/>
    </row>
    <row r="185" spans="2:176" x14ac:dyDescent="0.3">
      <c r="B185" s="42"/>
      <c r="M185" s="194" t="str">
        <f ca="1">INDEX(Données_ATB!BD:BU,MATCH(MASQ2!O185,Données_ATB!BD:BD,0),18)</f>
        <v/>
      </c>
      <c r="N185" s="14" t="str">
        <f>IFERROR(IF(Q185=0,"",COUNTIF(Q$4:Q$600,"&gt;"&amp;Q185)+COUNTIF(Q$4:Q185,Q185)),"")</f>
        <v/>
      </c>
      <c r="O185" t="str">
        <f>Données_ATB!BD184</f>
        <v>DIMERAL TS PORCIN</v>
      </c>
      <c r="P185" t="e">
        <f>IF(IF(X$2="Catégorie",IF(X$3="Toutes",SUMIFS('Étape 1 - à remplir'!$F$31:$F$400,'Étape 1 - à remplir'!$E$31:$E$400,MASQ2!O185,'Étape 1 - à remplir'!$G$31:$G$400,"animaux"),SUMIFS('Étape 1 - à remplir'!$F$31:$F$400,'Étape 1 - à remplir'!$E$31:$E$400,MASQ2!O185,'Étape 1 - à remplir'!$C$31:$C$400,X$3)),IF(X$2="Âge",IF(X$3="Tous",SUMIFS('Étape 1 - à remplir'!$F$31:$F$400,'Étape 1 - à remplir'!$E$31:$E$400,MASQ2!O185,'Étape 1 - à remplir'!$G$31:$G$400,"animaux"),SUMIFS('Étape 1 - à remplir'!$F$31:$F$400,'Étape 1 - à remplir'!$E$31:$E$400,MASQ2!O185,'Étape 1 - à remplir'!$P$31:$P$400,X$3)),IF(X$2="Atelier",IF(X$3="Tous",SUMIFS('Étape 1 - à remplir'!$F$31:$F$400,'Étape 1 - à remplir'!$E$31:$E$400,MASQ2!O185,'Étape 1 - à remplir'!$G$31:$G$400,"animaux"),SUMIFS('Étape 1 - à remplir'!$F$31:$F$400,'Étape 1 - à remplir'!$E$31:$E$400,MASQ2!O185,'Étape 1 - à remplir'!$O$31:$O$400,X$3)),IF(X$2="Espèce",IF(X$3="Toutes",SUMIFS('Étape 1 - à remplir'!$F$31:$F$400,'Étape 1 - à remplir'!$E$31:$E$400,MASQ2!O185,'Étape 1 - à remplir'!$G$31:$G$400,"animaux"),SUMIFS('Étape 1 - à remplir'!$F$31:$F$400,'Étape 1 - à remplir'!$E$31:$E$400,MASQ2!O185,'Étape 1 - à remplir'!$N$31:$N$400,X$3))))))=0,NA(),IF(X$2="Catégorie",IF(X$3="Toutes",SUMIFS('Étape 1 - à remplir'!$F$31:$F$400,'Étape 1 - à remplir'!$E$31:$E$400,MASQ2!O185,'Étape 1 - à remplir'!$G$31:$G$400,"animaux"),SUMIFS('Étape 1 - à remplir'!$F$31:$F$400,'Étape 1 - à remplir'!$E$31:$E$400,MASQ2!O185,'Étape 1 - à remplir'!$C$31:$C$400,X$3)),IF(X$2="Âge",IF(X$3="Tous",SUMIFS('Étape 1 - à remplir'!$F$31:$F$400,'Étape 1 - à remplir'!$E$31:$E$400,MASQ2!O185,'Étape 1 - à remplir'!$G$31:$G$400,"animaux"),SUMIFS('Étape 1 - à remplir'!$F$31:$F$400,'Étape 1 - à remplir'!$E$31:$E$400,MASQ2!O185,'Étape 1 - à remplir'!$P$31:$P$400,X$3)),IF(X$2="Atelier",IF(X$3="Tous",SUMIFS('Étape 1 - à remplir'!$F$31:$F$400,'Étape 1 - à remplir'!$E$31:$E$400,MASQ2!O185,'Étape 1 - à remplir'!$G$31:$G$400,"animaux"),SUMIFS('Étape 1 - à remplir'!$F$31:$F$400,'Étape 1 - à remplir'!$E$31:$E$400,MASQ2!O185,'Étape 1 - à remplir'!$O$31:$O$400,X$3)),IF(X$2="Espèce",IF(X$3="Toutes",SUMIFS('Étape 1 - à remplir'!$F$31:$F$400,'Étape 1 - à remplir'!$E$31:$E$400,MASQ2!O185,'Étape 1 - à remplir'!$G$31:$G$400,"animaux"),SUMIFS('Étape 1 - à remplir'!$F$31:$F$400,'Étape 1 - à remplir'!$E$31:$E$400,MASQ2!O185,'Étape 1 - à remplir'!$N$31:$N$400,X$3)))))))</f>
        <v>#N/A</v>
      </c>
      <c r="Q185" s="63">
        <f t="shared" si="185"/>
        <v>0</v>
      </c>
      <c r="R185" t="str">
        <f>Données_ATB!BM184</f>
        <v>Sulfadiazine</v>
      </c>
      <c r="S185" t="str">
        <f>Données_ATB!BN184</f>
        <v>Triméthoprime</v>
      </c>
      <c r="T185" s="63" t="str">
        <f>Données_ATB!BO184</f>
        <v/>
      </c>
      <c r="U185" s="42" t="str">
        <f>Données_ATB!BQ184</f>
        <v>Sulfamides</v>
      </c>
      <c r="V185" t="str">
        <f>Données_ATB!BR184</f>
        <v>Trimethoprime</v>
      </c>
      <c r="W185" s="63" t="str">
        <f>Données_ATB!BS184</f>
        <v/>
      </c>
      <c r="Z185" s="42">
        <v>182</v>
      </c>
      <c r="AA185" t="e">
        <f t="shared" si="181"/>
        <v>#N/A</v>
      </c>
      <c r="AB185" s="63" t="e">
        <f t="shared" si="182"/>
        <v>#N/A</v>
      </c>
      <c r="BF185" s="63"/>
      <c r="BT185" s="194" t="str">
        <f t="shared" ca="1" si="165"/>
        <v/>
      </c>
      <c r="BU185" s="219" t="str">
        <f>IFERROR(IF(BX185=0,"",COUNTIF(BX$4:BX$600,"&gt;"&amp;BX185)+COUNTIF(BX$4:BX185,BX185)),"")</f>
        <v/>
      </c>
      <c r="BV185" s="42" t="str">
        <f t="shared" si="166"/>
        <v>DIMERAL TS PORCIN</v>
      </c>
      <c r="BW185" t="e">
        <f>IF(IF(CE$2="Catégorie",IF(CE$3="Toutes",SUMIFS('Étape 1 - à remplir'!$F$31:$F$400,'Étape 1 - à remplir'!$E$31:$E$400,MASQ2!BV185,'Étape 1 - à remplir'!$G$31:$G$400,"lots"),SUMIFS('Étape 1 - à remplir'!$F$31:$F$400,'Étape 1 - à remplir'!$E$31:$E$400,MASQ2!BV185,'Étape 1 - à remplir'!$C$31:$C$400,CE$3)),IF(CE$2="Âge",IF(CE$3="Tous",SUMIFS('Étape 1 - à remplir'!$F$31:$F$400,'Étape 1 - à remplir'!$E$31:$E$400,MASQ2!BV185,'Étape 1 - à remplir'!$G$31:$G$400,"lots"),SUMIFS('Étape 1 - à remplir'!$F$31:$F$400,'Étape 1 - à remplir'!$E$31:$E$400,MASQ2!BV185,'Étape 1 - à remplir'!$P$31:$P$400,CE$3,'Étape 1 - à remplir'!$G$31:$G$400,"lots")),IF(CE$2="Atelier",IF(CE$3="Tous",SUMIFS('Étape 1 - à remplir'!$F$31:$F$400,'Étape 1 - à remplir'!$E$31:$E$400,MASQ2!BV185,'Étape 1 - à remplir'!$G$31:$G$400,"lots"),SUMIFS('Étape 1 - à remplir'!$F$31:$F$400,'Étape 1 - à remplir'!$E$31:$E$400,MASQ2!BV185,'Étape 1 - à remplir'!$O$31:$O$400,CE$3,'Étape 1 - à remplir'!$G$31:$G$400,"lots")),IF(CE$2="Espèce",IF(CE$3="Toutes",SUMIFS('Étape 1 - à remplir'!$F$31:$F$400,'Étape 1 - à remplir'!$E$31:$E$400,MASQ2!BV185,'Étape 1 - à remplir'!$G$31:$G$400,"lots"),SUMIFS('Étape 1 - à remplir'!$F$31:$F$400,'Étape 1 - à remplir'!$E$31:$E$400,MASQ2!BV185,'Étape 1 - à remplir'!$N$31:$N$400,CE$3,'Étape 1 - à remplir'!$G$31:$G$400,"lots"))))))=0,NA(),IF(CE$2="Catégorie",IF(CE$3="Toutes",SUMIFS('Étape 1 - à remplir'!$F$31:$F$400,'Étape 1 - à remplir'!$E$31:$E$400,MASQ2!BV185,'Étape 1 - à remplir'!$G$31:$G$400,"lots"),SUMIFS('Étape 1 - à remplir'!$F$31:$F$400,'Étape 1 - à remplir'!$E$31:$E$400,MASQ2!BV185,'Étape 1 - à remplir'!$C$31:$C$400,CE$3)),IF(CE$2="Âge",IF(CE$3="Tous",SUMIFS('Étape 1 - à remplir'!$F$31:$F$400,'Étape 1 - à remplir'!$E$31:$E$400,MASQ2!BV185,'Étape 1 - à remplir'!$G$31:$G$400,"lots"),SUMIFS('Étape 1 - à remplir'!$F$31:$F$400,'Étape 1 - à remplir'!$E$31:$E$400,MASQ2!BV185,'Étape 1 - à remplir'!$P$31:$P$400,CE$3,'Étape 1 - à remplir'!$G$31:$G$400,"lots")),IF(CE$2="Atelier",IF(CE$3="Tous",SUMIFS('Étape 1 - à remplir'!$F$31:$F$400,'Étape 1 - à remplir'!$E$31:$E$400,MASQ2!BV185,'Étape 1 - à remplir'!$G$31:$G$400,"lots"),SUMIFS('Étape 1 - à remplir'!$F$31:$F$400,'Étape 1 - à remplir'!$E$31:$E$400,MASQ2!BV185,'Étape 1 - à remplir'!$O$31:$O$400,CE$3,'Étape 1 - à remplir'!$G$31:$G$400,"lots")),IF(CE$2="Espèce",IF(CE$3="Toutes",SUMIFS('Étape 1 - à remplir'!$F$31:$F$400,'Étape 1 - à remplir'!$E$31:$E$400,MASQ2!BV185,'Étape 1 - à remplir'!$G$31:$G$400,"lots"),SUMIFS('Étape 1 - à remplir'!$F$31:$F$400,'Étape 1 - à remplir'!$E$31:$E$400,MASQ2!BV185,'Étape 1 - à remplir'!$N$31:$N$400,CE$3,'Étape 1 - à remplir'!$G$31:$G$400,"lots")))))))</f>
        <v>#N/A</v>
      </c>
      <c r="BX185">
        <f t="shared" si="183"/>
        <v>0</v>
      </c>
      <c r="BY185" t="str">
        <f t="shared" si="167"/>
        <v>Sulfadiazine</v>
      </c>
      <c r="BZ185" t="str">
        <f t="shared" si="168"/>
        <v>Triméthoprime</v>
      </c>
      <c r="CA185" t="str">
        <f t="shared" si="169"/>
        <v/>
      </c>
      <c r="CB185" t="str">
        <f t="shared" si="170"/>
        <v>Sulfamides</v>
      </c>
      <c r="CC185" t="str">
        <f t="shared" si="171"/>
        <v>Trimethoprime</v>
      </c>
      <c r="CD185" s="63" t="str">
        <f t="shared" si="172"/>
        <v/>
      </c>
      <c r="CG185" s="42">
        <v>182</v>
      </c>
      <c r="CH185" s="42" t="e">
        <f t="shared" si="188"/>
        <v>#N/A</v>
      </c>
      <c r="CI185" s="63" t="e">
        <f t="shared" si="189"/>
        <v>#N/A</v>
      </c>
      <c r="DM185" s="63"/>
      <c r="EA185" s="194" t="str">
        <f t="shared" ca="1" si="173"/>
        <v/>
      </c>
      <c r="EB185" s="226" t="str">
        <f>IFERROR(IF(ED185=0,"",COUNTIF(ED$4:ED$600,"&gt;"&amp;ED185)+COUNTIF(ED$4:ED185,ED185)),"")</f>
        <v/>
      </c>
      <c r="EC185" t="str">
        <f t="shared" si="174"/>
        <v>DIMERAL TS PORCIN</v>
      </c>
      <c r="ED185" t="e">
        <f>IF(IF(EL$2="Catégorie",IF(EL$3="Toutes",SUMIFS('Étape 1 - à remplir'!$F$31:$F$400,'Étape 1 - à remplir'!$E$31:$E$400,MASQ2!EC185,'Étape 1 - à remplir'!$G$31:$G$400,"kg"),SUMIFS('Étape 1 - à remplir'!$F$31:$F$400,'Étape 1 - à remplir'!$E$31:$E$400,MASQ2!EC185,'Étape 1 - à remplir'!$C$31:$C$400,EL$3)),IF(EL$2="Âge",IF(EL$3="Tous",SUMIFS('Étape 1 - à remplir'!$F$31:$F$400,'Étape 1 - à remplir'!$E$31:$E$400,MASQ2!EC185,'Étape 1 - à remplir'!$G$31:$G$400,"kg"),SUMIFS('Étape 1 - à remplir'!$F$31:$F$400,'Étape 1 - à remplir'!$E$31:$E$400,MASQ2!EC185,'Étape 1 - à remplir'!$P$31:$P$400,EL$3,'Étape 1 - à remplir'!$G$31:$G$400,"kg")),IF(EL$2="Atelier",IF(EL$3="Tous",SUMIFS('Étape 1 - à remplir'!$F$31:$F$400,'Étape 1 - à remplir'!$E$31:$E$400,MASQ2!EC185,'Étape 1 - à remplir'!$G$31:$G$400,"kg"),SUMIFS('Étape 1 - à remplir'!$F$31:$F$400,'Étape 1 - à remplir'!$E$31:$E$400,MASQ2!EC185,'Étape 1 - à remplir'!$O$31:$O$400,EL$3,'Étape 1 - à remplir'!$G$31:$G$400,"kg")),IF(EL$2="Espèce",IF(EL$3="Toutes",SUMIFS('Étape 1 - à remplir'!$F$31:$F$400,'Étape 1 - à remplir'!$E$31:$E$400,MASQ2!EC185,'Étape 1 - à remplir'!$G$31:$G$400,"kg"),SUMIFS('Étape 1 - à remplir'!$F$31:$F$400,'Étape 1 - à remplir'!$E$31:$E$400,MASQ2!EC185,'Étape 1 - à remplir'!$N$31:$N$400,EL$3,'Étape 1 - à remplir'!$G$31:$G$400,"kg"))))))=0,NA(),IF(EL$2="Catégorie",IF(EL$3="Toutes",SUMIFS('Étape 1 - à remplir'!$F$31:$F$400,'Étape 1 - à remplir'!$E$31:$E$400,MASQ2!EC185,'Étape 1 - à remplir'!$G$31:$G$400,"kg"),SUMIFS('Étape 1 - à remplir'!$F$31:$F$400,'Étape 1 - à remplir'!$E$31:$E$400,MASQ2!EC185,'Étape 1 - à remplir'!$C$31:$C$400,EL$3)),IF(EL$2="Âge",IF(EL$3="Tous",SUMIFS('Étape 1 - à remplir'!$F$31:$F$400,'Étape 1 - à remplir'!$E$31:$E$400,MASQ2!EC185,'Étape 1 - à remplir'!$G$31:$G$400,"kg"),SUMIFS('Étape 1 - à remplir'!$F$31:$F$400,'Étape 1 - à remplir'!$E$31:$E$400,MASQ2!EC185,'Étape 1 - à remplir'!$P$31:$P$400,EL$3,'Étape 1 - à remplir'!$G$31:$G$400,"kg")),IF(EL$2="Atelier",IF(EL$3="Tous",SUMIFS('Étape 1 - à remplir'!$F$31:$F$400,'Étape 1 - à remplir'!$E$31:$E$400,MASQ2!EC185,'Étape 1 - à remplir'!$G$31:$G$400,"kg"),SUMIFS('Étape 1 - à remplir'!$F$31:$F$400,'Étape 1 - à remplir'!$E$31:$E$400,MASQ2!EC185,'Étape 1 - à remplir'!$O$31:$O$400,EL$3,'Étape 1 - à remplir'!$G$31:$G$400,"kg")),IF(EL$2="Espèce",IF(EL$3="Toutes",SUMIFS('Étape 1 - à remplir'!$F$31:$F$400,'Étape 1 - à remplir'!$E$31:$E$400,MASQ2!EC185,'Étape 1 - à remplir'!$G$31:$G$400,"kg"),SUMIFS('Étape 1 - à remplir'!$F$31:$F$400,'Étape 1 - à remplir'!$E$31:$E$400,MASQ2!EC185,'Étape 1 - à remplir'!$N$31:$N$400,EL$3,'Étape 1 - à remplir'!$G$31:$G$400,"kg")))))))</f>
        <v>#N/A</v>
      </c>
      <c r="EE185" s="76">
        <f t="shared" si="184"/>
        <v>0</v>
      </c>
      <c r="EF185" t="str">
        <f t="shared" si="175"/>
        <v>Sulfadiazine</v>
      </c>
      <c r="EG185" t="str">
        <f t="shared" si="176"/>
        <v>Triméthoprime</v>
      </c>
      <c r="EH185" t="str">
        <f t="shared" si="177"/>
        <v/>
      </c>
      <c r="EI185" t="str">
        <f t="shared" si="178"/>
        <v>Sulfamides</v>
      </c>
      <c r="EJ185" t="str">
        <f t="shared" si="179"/>
        <v>Trimethoprime</v>
      </c>
      <c r="EK185" s="63" t="str">
        <f t="shared" si="180"/>
        <v/>
      </c>
      <c r="EN185" s="42">
        <v>182</v>
      </c>
      <c r="EO185" t="e">
        <f t="shared" si="186"/>
        <v>#N/A</v>
      </c>
      <c r="EP185" s="63" t="e">
        <f t="shared" si="187"/>
        <v>#N/A</v>
      </c>
      <c r="FT185" s="63"/>
    </row>
    <row r="186" spans="2:176" x14ac:dyDescent="0.3">
      <c r="B186" s="42"/>
      <c r="M186" s="194" t="str">
        <f ca="1">INDEX(Données_ATB!BD:BU,MATCH(MASQ2!O186,Données_ATB!BD:BD,0),18)</f>
        <v/>
      </c>
      <c r="N186" s="14" t="str">
        <f>IFERROR(IF(Q186=0,"",COUNTIF(Q$4:Q$600,"&gt;"&amp;Q186)+COUNTIF(Q$4:Q186,Q186)),"")</f>
        <v/>
      </c>
      <c r="O186" t="str">
        <f>Données_ATB!BD185</f>
        <v>DIPROXINE</v>
      </c>
      <c r="P186" t="e">
        <f>IF(IF(X$2="Catégorie",IF(X$3="Toutes",SUMIFS('Étape 1 - à remplir'!$F$31:$F$400,'Étape 1 - à remplir'!$E$31:$E$400,MASQ2!O186,'Étape 1 - à remplir'!$G$31:$G$400,"animaux"),SUMIFS('Étape 1 - à remplir'!$F$31:$F$400,'Étape 1 - à remplir'!$E$31:$E$400,MASQ2!O186,'Étape 1 - à remplir'!$C$31:$C$400,X$3)),IF(X$2="Âge",IF(X$3="Tous",SUMIFS('Étape 1 - à remplir'!$F$31:$F$400,'Étape 1 - à remplir'!$E$31:$E$400,MASQ2!O186,'Étape 1 - à remplir'!$G$31:$G$400,"animaux"),SUMIFS('Étape 1 - à remplir'!$F$31:$F$400,'Étape 1 - à remplir'!$E$31:$E$400,MASQ2!O186,'Étape 1 - à remplir'!$P$31:$P$400,X$3)),IF(X$2="Atelier",IF(X$3="Tous",SUMIFS('Étape 1 - à remplir'!$F$31:$F$400,'Étape 1 - à remplir'!$E$31:$E$400,MASQ2!O186,'Étape 1 - à remplir'!$G$31:$G$400,"animaux"),SUMIFS('Étape 1 - à remplir'!$F$31:$F$400,'Étape 1 - à remplir'!$E$31:$E$400,MASQ2!O186,'Étape 1 - à remplir'!$O$31:$O$400,X$3)),IF(X$2="Espèce",IF(X$3="Toutes",SUMIFS('Étape 1 - à remplir'!$F$31:$F$400,'Étape 1 - à remplir'!$E$31:$E$400,MASQ2!O186,'Étape 1 - à remplir'!$G$31:$G$400,"animaux"),SUMIFS('Étape 1 - à remplir'!$F$31:$F$400,'Étape 1 - à remplir'!$E$31:$E$400,MASQ2!O186,'Étape 1 - à remplir'!$N$31:$N$400,X$3))))))=0,NA(),IF(X$2="Catégorie",IF(X$3="Toutes",SUMIFS('Étape 1 - à remplir'!$F$31:$F$400,'Étape 1 - à remplir'!$E$31:$E$400,MASQ2!O186,'Étape 1 - à remplir'!$G$31:$G$400,"animaux"),SUMIFS('Étape 1 - à remplir'!$F$31:$F$400,'Étape 1 - à remplir'!$E$31:$E$400,MASQ2!O186,'Étape 1 - à remplir'!$C$31:$C$400,X$3)),IF(X$2="Âge",IF(X$3="Tous",SUMIFS('Étape 1 - à remplir'!$F$31:$F$400,'Étape 1 - à remplir'!$E$31:$E$400,MASQ2!O186,'Étape 1 - à remplir'!$G$31:$G$400,"animaux"),SUMIFS('Étape 1 - à remplir'!$F$31:$F$400,'Étape 1 - à remplir'!$E$31:$E$400,MASQ2!O186,'Étape 1 - à remplir'!$P$31:$P$400,X$3)),IF(X$2="Atelier",IF(X$3="Tous",SUMIFS('Étape 1 - à remplir'!$F$31:$F$400,'Étape 1 - à remplir'!$E$31:$E$400,MASQ2!O186,'Étape 1 - à remplir'!$G$31:$G$400,"animaux"),SUMIFS('Étape 1 - à remplir'!$F$31:$F$400,'Étape 1 - à remplir'!$E$31:$E$400,MASQ2!O186,'Étape 1 - à remplir'!$O$31:$O$400,X$3)),IF(X$2="Espèce",IF(X$3="Toutes",SUMIFS('Étape 1 - à remplir'!$F$31:$F$400,'Étape 1 - à remplir'!$E$31:$E$400,MASQ2!O186,'Étape 1 - à remplir'!$G$31:$G$400,"animaux"),SUMIFS('Étape 1 - à remplir'!$F$31:$F$400,'Étape 1 - à remplir'!$E$31:$E$400,MASQ2!O186,'Étape 1 - à remplir'!$N$31:$N$400,X$3)))))))</f>
        <v>#N/A</v>
      </c>
      <c r="Q186" s="63">
        <f t="shared" si="185"/>
        <v>0</v>
      </c>
      <c r="R186" t="str">
        <f>Données_ATB!BM185</f>
        <v>Sulfadiazine</v>
      </c>
      <c r="S186" t="str">
        <f>Données_ATB!BN185</f>
        <v>Triméthoprime</v>
      </c>
      <c r="T186" s="63" t="str">
        <f>Données_ATB!BO185</f>
        <v/>
      </c>
      <c r="U186" s="42" t="str">
        <f>Données_ATB!BQ185</f>
        <v>Sulfamides</v>
      </c>
      <c r="V186" t="str">
        <f>Données_ATB!BR185</f>
        <v>Trimethoprime</v>
      </c>
      <c r="W186" s="63" t="str">
        <f>Données_ATB!BS185</f>
        <v/>
      </c>
      <c r="Z186" s="42">
        <v>183</v>
      </c>
      <c r="AA186" t="e">
        <f t="shared" si="181"/>
        <v>#N/A</v>
      </c>
      <c r="AB186" s="63" t="e">
        <f t="shared" si="182"/>
        <v>#N/A</v>
      </c>
      <c r="BF186" s="63"/>
      <c r="BT186" s="194" t="str">
        <f t="shared" ca="1" si="165"/>
        <v/>
      </c>
      <c r="BU186" s="219" t="str">
        <f>IFERROR(IF(BX186=0,"",COUNTIF(BX$4:BX$600,"&gt;"&amp;BX186)+COUNTIF(BX$4:BX186,BX186)),"")</f>
        <v/>
      </c>
      <c r="BV186" s="42" t="str">
        <f t="shared" si="166"/>
        <v>DIPROXINE</v>
      </c>
      <c r="BW186" t="e">
        <f>IF(IF(CE$2="Catégorie",IF(CE$3="Toutes",SUMIFS('Étape 1 - à remplir'!$F$31:$F$400,'Étape 1 - à remplir'!$E$31:$E$400,MASQ2!BV186,'Étape 1 - à remplir'!$G$31:$G$400,"lots"),SUMIFS('Étape 1 - à remplir'!$F$31:$F$400,'Étape 1 - à remplir'!$E$31:$E$400,MASQ2!BV186,'Étape 1 - à remplir'!$C$31:$C$400,CE$3)),IF(CE$2="Âge",IF(CE$3="Tous",SUMIFS('Étape 1 - à remplir'!$F$31:$F$400,'Étape 1 - à remplir'!$E$31:$E$400,MASQ2!BV186,'Étape 1 - à remplir'!$G$31:$G$400,"lots"),SUMIFS('Étape 1 - à remplir'!$F$31:$F$400,'Étape 1 - à remplir'!$E$31:$E$400,MASQ2!BV186,'Étape 1 - à remplir'!$P$31:$P$400,CE$3,'Étape 1 - à remplir'!$G$31:$G$400,"lots")),IF(CE$2="Atelier",IF(CE$3="Tous",SUMIFS('Étape 1 - à remplir'!$F$31:$F$400,'Étape 1 - à remplir'!$E$31:$E$400,MASQ2!BV186,'Étape 1 - à remplir'!$G$31:$G$400,"lots"),SUMIFS('Étape 1 - à remplir'!$F$31:$F$400,'Étape 1 - à remplir'!$E$31:$E$400,MASQ2!BV186,'Étape 1 - à remplir'!$O$31:$O$400,CE$3,'Étape 1 - à remplir'!$G$31:$G$400,"lots")),IF(CE$2="Espèce",IF(CE$3="Toutes",SUMIFS('Étape 1 - à remplir'!$F$31:$F$400,'Étape 1 - à remplir'!$E$31:$E$400,MASQ2!BV186,'Étape 1 - à remplir'!$G$31:$G$400,"lots"),SUMIFS('Étape 1 - à remplir'!$F$31:$F$400,'Étape 1 - à remplir'!$E$31:$E$400,MASQ2!BV186,'Étape 1 - à remplir'!$N$31:$N$400,CE$3,'Étape 1 - à remplir'!$G$31:$G$400,"lots"))))))=0,NA(),IF(CE$2="Catégorie",IF(CE$3="Toutes",SUMIFS('Étape 1 - à remplir'!$F$31:$F$400,'Étape 1 - à remplir'!$E$31:$E$400,MASQ2!BV186,'Étape 1 - à remplir'!$G$31:$G$400,"lots"),SUMIFS('Étape 1 - à remplir'!$F$31:$F$400,'Étape 1 - à remplir'!$E$31:$E$400,MASQ2!BV186,'Étape 1 - à remplir'!$C$31:$C$400,CE$3)),IF(CE$2="Âge",IF(CE$3="Tous",SUMIFS('Étape 1 - à remplir'!$F$31:$F$400,'Étape 1 - à remplir'!$E$31:$E$400,MASQ2!BV186,'Étape 1 - à remplir'!$G$31:$G$400,"lots"),SUMIFS('Étape 1 - à remplir'!$F$31:$F$400,'Étape 1 - à remplir'!$E$31:$E$400,MASQ2!BV186,'Étape 1 - à remplir'!$P$31:$P$400,CE$3,'Étape 1 - à remplir'!$G$31:$G$400,"lots")),IF(CE$2="Atelier",IF(CE$3="Tous",SUMIFS('Étape 1 - à remplir'!$F$31:$F$400,'Étape 1 - à remplir'!$E$31:$E$400,MASQ2!BV186,'Étape 1 - à remplir'!$G$31:$G$400,"lots"),SUMIFS('Étape 1 - à remplir'!$F$31:$F$400,'Étape 1 - à remplir'!$E$31:$E$400,MASQ2!BV186,'Étape 1 - à remplir'!$O$31:$O$400,CE$3,'Étape 1 - à remplir'!$G$31:$G$400,"lots")),IF(CE$2="Espèce",IF(CE$3="Toutes",SUMIFS('Étape 1 - à remplir'!$F$31:$F$400,'Étape 1 - à remplir'!$E$31:$E$400,MASQ2!BV186,'Étape 1 - à remplir'!$G$31:$G$400,"lots"),SUMIFS('Étape 1 - à remplir'!$F$31:$F$400,'Étape 1 - à remplir'!$E$31:$E$400,MASQ2!BV186,'Étape 1 - à remplir'!$N$31:$N$400,CE$3,'Étape 1 - à remplir'!$G$31:$G$400,"lots")))))))</f>
        <v>#N/A</v>
      </c>
      <c r="BX186">
        <f t="shared" si="183"/>
        <v>0</v>
      </c>
      <c r="BY186" t="str">
        <f t="shared" si="167"/>
        <v>Sulfadiazine</v>
      </c>
      <c r="BZ186" t="str">
        <f t="shared" si="168"/>
        <v>Triméthoprime</v>
      </c>
      <c r="CA186" t="str">
        <f t="shared" si="169"/>
        <v/>
      </c>
      <c r="CB186" t="str">
        <f t="shared" si="170"/>
        <v>Sulfamides</v>
      </c>
      <c r="CC186" t="str">
        <f t="shared" si="171"/>
        <v>Trimethoprime</v>
      </c>
      <c r="CD186" s="63" t="str">
        <f t="shared" si="172"/>
        <v/>
      </c>
      <c r="CG186" s="42">
        <v>183</v>
      </c>
      <c r="CH186" s="42" t="e">
        <f t="shared" si="188"/>
        <v>#N/A</v>
      </c>
      <c r="CI186" s="63" t="e">
        <f t="shared" si="189"/>
        <v>#N/A</v>
      </c>
      <c r="DM186" s="63"/>
      <c r="EA186" s="194" t="str">
        <f t="shared" ca="1" si="173"/>
        <v/>
      </c>
      <c r="EB186" s="226" t="str">
        <f>IFERROR(IF(ED186=0,"",COUNTIF(ED$4:ED$600,"&gt;"&amp;ED186)+COUNTIF(ED$4:ED186,ED186)),"")</f>
        <v/>
      </c>
      <c r="EC186" t="str">
        <f t="shared" si="174"/>
        <v>DIPROXINE</v>
      </c>
      <c r="ED186" t="e">
        <f>IF(IF(EL$2="Catégorie",IF(EL$3="Toutes",SUMIFS('Étape 1 - à remplir'!$F$31:$F$400,'Étape 1 - à remplir'!$E$31:$E$400,MASQ2!EC186,'Étape 1 - à remplir'!$G$31:$G$400,"kg"),SUMIFS('Étape 1 - à remplir'!$F$31:$F$400,'Étape 1 - à remplir'!$E$31:$E$400,MASQ2!EC186,'Étape 1 - à remplir'!$C$31:$C$400,EL$3)),IF(EL$2="Âge",IF(EL$3="Tous",SUMIFS('Étape 1 - à remplir'!$F$31:$F$400,'Étape 1 - à remplir'!$E$31:$E$400,MASQ2!EC186,'Étape 1 - à remplir'!$G$31:$G$400,"kg"),SUMIFS('Étape 1 - à remplir'!$F$31:$F$400,'Étape 1 - à remplir'!$E$31:$E$400,MASQ2!EC186,'Étape 1 - à remplir'!$P$31:$P$400,EL$3,'Étape 1 - à remplir'!$G$31:$G$400,"kg")),IF(EL$2="Atelier",IF(EL$3="Tous",SUMIFS('Étape 1 - à remplir'!$F$31:$F$400,'Étape 1 - à remplir'!$E$31:$E$400,MASQ2!EC186,'Étape 1 - à remplir'!$G$31:$G$400,"kg"),SUMIFS('Étape 1 - à remplir'!$F$31:$F$400,'Étape 1 - à remplir'!$E$31:$E$400,MASQ2!EC186,'Étape 1 - à remplir'!$O$31:$O$400,EL$3,'Étape 1 - à remplir'!$G$31:$G$400,"kg")),IF(EL$2="Espèce",IF(EL$3="Toutes",SUMIFS('Étape 1 - à remplir'!$F$31:$F$400,'Étape 1 - à remplir'!$E$31:$E$400,MASQ2!EC186,'Étape 1 - à remplir'!$G$31:$G$400,"kg"),SUMIFS('Étape 1 - à remplir'!$F$31:$F$400,'Étape 1 - à remplir'!$E$31:$E$400,MASQ2!EC186,'Étape 1 - à remplir'!$N$31:$N$400,EL$3,'Étape 1 - à remplir'!$G$31:$G$400,"kg"))))))=0,NA(),IF(EL$2="Catégorie",IF(EL$3="Toutes",SUMIFS('Étape 1 - à remplir'!$F$31:$F$400,'Étape 1 - à remplir'!$E$31:$E$400,MASQ2!EC186,'Étape 1 - à remplir'!$G$31:$G$400,"kg"),SUMIFS('Étape 1 - à remplir'!$F$31:$F$400,'Étape 1 - à remplir'!$E$31:$E$400,MASQ2!EC186,'Étape 1 - à remplir'!$C$31:$C$400,EL$3)),IF(EL$2="Âge",IF(EL$3="Tous",SUMIFS('Étape 1 - à remplir'!$F$31:$F$400,'Étape 1 - à remplir'!$E$31:$E$400,MASQ2!EC186,'Étape 1 - à remplir'!$G$31:$G$400,"kg"),SUMIFS('Étape 1 - à remplir'!$F$31:$F$400,'Étape 1 - à remplir'!$E$31:$E$400,MASQ2!EC186,'Étape 1 - à remplir'!$P$31:$P$400,EL$3,'Étape 1 - à remplir'!$G$31:$G$400,"kg")),IF(EL$2="Atelier",IF(EL$3="Tous",SUMIFS('Étape 1 - à remplir'!$F$31:$F$400,'Étape 1 - à remplir'!$E$31:$E$400,MASQ2!EC186,'Étape 1 - à remplir'!$G$31:$G$400,"kg"),SUMIFS('Étape 1 - à remplir'!$F$31:$F$400,'Étape 1 - à remplir'!$E$31:$E$400,MASQ2!EC186,'Étape 1 - à remplir'!$O$31:$O$400,EL$3,'Étape 1 - à remplir'!$G$31:$G$400,"kg")),IF(EL$2="Espèce",IF(EL$3="Toutes",SUMIFS('Étape 1 - à remplir'!$F$31:$F$400,'Étape 1 - à remplir'!$E$31:$E$400,MASQ2!EC186,'Étape 1 - à remplir'!$G$31:$G$400,"kg"),SUMIFS('Étape 1 - à remplir'!$F$31:$F$400,'Étape 1 - à remplir'!$E$31:$E$400,MASQ2!EC186,'Étape 1 - à remplir'!$N$31:$N$400,EL$3,'Étape 1 - à remplir'!$G$31:$G$400,"kg")))))))</f>
        <v>#N/A</v>
      </c>
      <c r="EE186" s="76">
        <f t="shared" si="184"/>
        <v>0</v>
      </c>
      <c r="EF186" t="str">
        <f t="shared" si="175"/>
        <v>Sulfadiazine</v>
      </c>
      <c r="EG186" t="str">
        <f t="shared" si="176"/>
        <v>Triméthoprime</v>
      </c>
      <c r="EH186" t="str">
        <f t="shared" si="177"/>
        <v/>
      </c>
      <c r="EI186" t="str">
        <f t="shared" si="178"/>
        <v>Sulfamides</v>
      </c>
      <c r="EJ186" t="str">
        <f t="shared" si="179"/>
        <v>Trimethoprime</v>
      </c>
      <c r="EK186" s="63" t="str">
        <f t="shared" si="180"/>
        <v/>
      </c>
      <c r="EN186" s="42">
        <v>183</v>
      </c>
      <c r="EO186" t="e">
        <f t="shared" si="186"/>
        <v>#N/A</v>
      </c>
      <c r="EP186" s="63" t="e">
        <f t="shared" si="187"/>
        <v>#N/A</v>
      </c>
      <c r="FT186" s="63"/>
    </row>
    <row r="187" spans="2:176" x14ac:dyDescent="0.3">
      <c r="B187" s="42"/>
      <c r="M187" s="194" t="str">
        <f ca="1">INDEX(Données_ATB!BD:BU,MATCH(MASQ2!O187,Données_ATB!BD:BD,0),18)</f>
        <v/>
      </c>
      <c r="N187" s="14" t="str">
        <f>IFERROR(IF(Q187=0,"",COUNTIF(Q$4:Q$600,"&gt;"&amp;Q187)+COUNTIF(Q$4:Q187,Q187)),"")</f>
        <v/>
      </c>
      <c r="O187" t="str">
        <f>Données_ATB!BD186</f>
        <v>DOPHALIN 400 MG/G POUDRE POUR ADMINISTRATION DANS L'EAU DE BOISSON</v>
      </c>
      <c r="P187" t="e">
        <f>IF(IF(X$2="Catégorie",IF(X$3="Toutes",SUMIFS('Étape 1 - à remplir'!$F$31:$F$400,'Étape 1 - à remplir'!$E$31:$E$400,MASQ2!O187,'Étape 1 - à remplir'!$G$31:$G$400,"animaux"),SUMIFS('Étape 1 - à remplir'!$F$31:$F$400,'Étape 1 - à remplir'!$E$31:$E$400,MASQ2!O187,'Étape 1 - à remplir'!$C$31:$C$400,X$3)),IF(X$2="Âge",IF(X$3="Tous",SUMIFS('Étape 1 - à remplir'!$F$31:$F$400,'Étape 1 - à remplir'!$E$31:$E$400,MASQ2!O187,'Étape 1 - à remplir'!$G$31:$G$400,"animaux"),SUMIFS('Étape 1 - à remplir'!$F$31:$F$400,'Étape 1 - à remplir'!$E$31:$E$400,MASQ2!O187,'Étape 1 - à remplir'!$P$31:$P$400,X$3)),IF(X$2="Atelier",IF(X$3="Tous",SUMIFS('Étape 1 - à remplir'!$F$31:$F$400,'Étape 1 - à remplir'!$E$31:$E$400,MASQ2!O187,'Étape 1 - à remplir'!$G$31:$G$400,"animaux"),SUMIFS('Étape 1 - à remplir'!$F$31:$F$400,'Étape 1 - à remplir'!$E$31:$E$400,MASQ2!O187,'Étape 1 - à remplir'!$O$31:$O$400,X$3)),IF(X$2="Espèce",IF(X$3="Toutes",SUMIFS('Étape 1 - à remplir'!$F$31:$F$400,'Étape 1 - à remplir'!$E$31:$E$400,MASQ2!O187,'Étape 1 - à remplir'!$G$31:$G$400,"animaux"),SUMIFS('Étape 1 - à remplir'!$F$31:$F$400,'Étape 1 - à remplir'!$E$31:$E$400,MASQ2!O187,'Étape 1 - à remplir'!$N$31:$N$400,X$3))))))=0,NA(),IF(X$2="Catégorie",IF(X$3="Toutes",SUMIFS('Étape 1 - à remplir'!$F$31:$F$400,'Étape 1 - à remplir'!$E$31:$E$400,MASQ2!O187,'Étape 1 - à remplir'!$G$31:$G$400,"animaux"),SUMIFS('Étape 1 - à remplir'!$F$31:$F$400,'Étape 1 - à remplir'!$E$31:$E$400,MASQ2!O187,'Étape 1 - à remplir'!$C$31:$C$400,X$3)),IF(X$2="Âge",IF(X$3="Tous",SUMIFS('Étape 1 - à remplir'!$F$31:$F$400,'Étape 1 - à remplir'!$E$31:$E$400,MASQ2!O187,'Étape 1 - à remplir'!$G$31:$G$400,"animaux"),SUMIFS('Étape 1 - à remplir'!$F$31:$F$400,'Étape 1 - à remplir'!$E$31:$E$400,MASQ2!O187,'Étape 1 - à remplir'!$P$31:$P$400,X$3)),IF(X$2="Atelier",IF(X$3="Tous",SUMIFS('Étape 1 - à remplir'!$F$31:$F$400,'Étape 1 - à remplir'!$E$31:$E$400,MASQ2!O187,'Étape 1 - à remplir'!$G$31:$G$400,"animaux"),SUMIFS('Étape 1 - à remplir'!$F$31:$F$400,'Étape 1 - à remplir'!$E$31:$E$400,MASQ2!O187,'Étape 1 - à remplir'!$O$31:$O$400,X$3)),IF(X$2="Espèce",IF(X$3="Toutes",SUMIFS('Étape 1 - à remplir'!$F$31:$F$400,'Étape 1 - à remplir'!$E$31:$E$400,MASQ2!O187,'Étape 1 - à remplir'!$G$31:$G$400,"animaux"),SUMIFS('Étape 1 - à remplir'!$F$31:$F$400,'Étape 1 - à remplir'!$E$31:$E$400,MASQ2!O187,'Étape 1 - à remplir'!$N$31:$N$400,X$3)))))))</f>
        <v>#N/A</v>
      </c>
      <c r="Q187" s="63">
        <f t="shared" si="185"/>
        <v>0</v>
      </c>
      <c r="R187" t="str">
        <f>Données_ATB!BM186</f>
        <v>Lincomycine</v>
      </c>
      <c r="S187" t="str">
        <f>Données_ATB!BN186</f>
        <v/>
      </c>
      <c r="T187" s="63" t="str">
        <f>Données_ATB!BO186</f>
        <v/>
      </c>
      <c r="U187" s="42" t="str">
        <f>Données_ATB!BQ186</f>
        <v>Lincosamides</v>
      </c>
      <c r="V187" t="str">
        <f>Données_ATB!BR186</f>
        <v/>
      </c>
      <c r="W187" s="63" t="str">
        <f>Données_ATB!BS186</f>
        <v/>
      </c>
      <c r="Z187" s="42">
        <v>184</v>
      </c>
      <c r="AA187" t="e">
        <f t="shared" si="181"/>
        <v>#N/A</v>
      </c>
      <c r="AB187" s="63" t="e">
        <f t="shared" si="182"/>
        <v>#N/A</v>
      </c>
      <c r="BF187" s="63"/>
      <c r="BT187" s="194" t="str">
        <f t="shared" ca="1" si="165"/>
        <v/>
      </c>
      <c r="BU187" s="219" t="str">
        <f>IFERROR(IF(BX187=0,"",COUNTIF(BX$4:BX$600,"&gt;"&amp;BX187)+COUNTIF(BX$4:BX187,BX187)),"")</f>
        <v/>
      </c>
      <c r="BV187" s="42" t="str">
        <f t="shared" si="166"/>
        <v>DOPHALIN 400 MG/G POUDRE POUR ADMINISTRATION DANS L'EAU DE BOISSON</v>
      </c>
      <c r="BW187" t="e">
        <f>IF(IF(CE$2="Catégorie",IF(CE$3="Toutes",SUMIFS('Étape 1 - à remplir'!$F$31:$F$400,'Étape 1 - à remplir'!$E$31:$E$400,MASQ2!BV187,'Étape 1 - à remplir'!$G$31:$G$400,"lots"),SUMIFS('Étape 1 - à remplir'!$F$31:$F$400,'Étape 1 - à remplir'!$E$31:$E$400,MASQ2!BV187,'Étape 1 - à remplir'!$C$31:$C$400,CE$3)),IF(CE$2="Âge",IF(CE$3="Tous",SUMIFS('Étape 1 - à remplir'!$F$31:$F$400,'Étape 1 - à remplir'!$E$31:$E$400,MASQ2!BV187,'Étape 1 - à remplir'!$G$31:$G$400,"lots"),SUMIFS('Étape 1 - à remplir'!$F$31:$F$400,'Étape 1 - à remplir'!$E$31:$E$400,MASQ2!BV187,'Étape 1 - à remplir'!$P$31:$P$400,CE$3,'Étape 1 - à remplir'!$G$31:$G$400,"lots")),IF(CE$2="Atelier",IF(CE$3="Tous",SUMIFS('Étape 1 - à remplir'!$F$31:$F$400,'Étape 1 - à remplir'!$E$31:$E$400,MASQ2!BV187,'Étape 1 - à remplir'!$G$31:$G$400,"lots"),SUMIFS('Étape 1 - à remplir'!$F$31:$F$400,'Étape 1 - à remplir'!$E$31:$E$400,MASQ2!BV187,'Étape 1 - à remplir'!$O$31:$O$400,CE$3,'Étape 1 - à remplir'!$G$31:$G$400,"lots")),IF(CE$2="Espèce",IF(CE$3="Toutes",SUMIFS('Étape 1 - à remplir'!$F$31:$F$400,'Étape 1 - à remplir'!$E$31:$E$400,MASQ2!BV187,'Étape 1 - à remplir'!$G$31:$G$400,"lots"),SUMIFS('Étape 1 - à remplir'!$F$31:$F$400,'Étape 1 - à remplir'!$E$31:$E$400,MASQ2!BV187,'Étape 1 - à remplir'!$N$31:$N$400,CE$3,'Étape 1 - à remplir'!$G$31:$G$400,"lots"))))))=0,NA(),IF(CE$2="Catégorie",IF(CE$3="Toutes",SUMIFS('Étape 1 - à remplir'!$F$31:$F$400,'Étape 1 - à remplir'!$E$31:$E$400,MASQ2!BV187,'Étape 1 - à remplir'!$G$31:$G$400,"lots"),SUMIFS('Étape 1 - à remplir'!$F$31:$F$400,'Étape 1 - à remplir'!$E$31:$E$400,MASQ2!BV187,'Étape 1 - à remplir'!$C$31:$C$400,CE$3)),IF(CE$2="Âge",IF(CE$3="Tous",SUMIFS('Étape 1 - à remplir'!$F$31:$F$400,'Étape 1 - à remplir'!$E$31:$E$400,MASQ2!BV187,'Étape 1 - à remplir'!$G$31:$G$400,"lots"),SUMIFS('Étape 1 - à remplir'!$F$31:$F$400,'Étape 1 - à remplir'!$E$31:$E$400,MASQ2!BV187,'Étape 1 - à remplir'!$P$31:$P$400,CE$3,'Étape 1 - à remplir'!$G$31:$G$400,"lots")),IF(CE$2="Atelier",IF(CE$3="Tous",SUMIFS('Étape 1 - à remplir'!$F$31:$F$400,'Étape 1 - à remplir'!$E$31:$E$400,MASQ2!BV187,'Étape 1 - à remplir'!$G$31:$G$400,"lots"),SUMIFS('Étape 1 - à remplir'!$F$31:$F$400,'Étape 1 - à remplir'!$E$31:$E$400,MASQ2!BV187,'Étape 1 - à remplir'!$O$31:$O$400,CE$3,'Étape 1 - à remplir'!$G$31:$G$400,"lots")),IF(CE$2="Espèce",IF(CE$3="Toutes",SUMIFS('Étape 1 - à remplir'!$F$31:$F$400,'Étape 1 - à remplir'!$E$31:$E$400,MASQ2!BV187,'Étape 1 - à remplir'!$G$31:$G$400,"lots"),SUMIFS('Étape 1 - à remplir'!$F$31:$F$400,'Étape 1 - à remplir'!$E$31:$E$400,MASQ2!BV187,'Étape 1 - à remplir'!$N$31:$N$400,CE$3,'Étape 1 - à remplir'!$G$31:$G$400,"lots")))))))</f>
        <v>#N/A</v>
      </c>
      <c r="BX187">
        <f t="shared" si="183"/>
        <v>0</v>
      </c>
      <c r="BY187" t="str">
        <f t="shared" si="167"/>
        <v>Lincomycine</v>
      </c>
      <c r="BZ187" t="str">
        <f t="shared" si="168"/>
        <v/>
      </c>
      <c r="CA187" t="str">
        <f t="shared" si="169"/>
        <v/>
      </c>
      <c r="CB187" t="str">
        <f t="shared" si="170"/>
        <v>Lincosamides</v>
      </c>
      <c r="CC187" t="str">
        <f t="shared" si="171"/>
        <v/>
      </c>
      <c r="CD187" s="63" t="str">
        <f t="shared" si="172"/>
        <v/>
      </c>
      <c r="CG187" s="42">
        <v>184</v>
      </c>
      <c r="CH187" s="42" t="e">
        <f t="shared" si="188"/>
        <v>#N/A</v>
      </c>
      <c r="CI187" s="63" t="e">
        <f t="shared" si="189"/>
        <v>#N/A</v>
      </c>
      <c r="DM187" s="63"/>
      <c r="EA187" s="194" t="str">
        <f t="shared" ca="1" si="173"/>
        <v/>
      </c>
      <c r="EB187" s="226" t="str">
        <f>IFERROR(IF(ED187=0,"",COUNTIF(ED$4:ED$600,"&gt;"&amp;ED187)+COUNTIF(ED$4:ED187,ED187)),"")</f>
        <v/>
      </c>
      <c r="EC187" t="str">
        <f t="shared" si="174"/>
        <v>DOPHALIN 400 MG/G POUDRE POUR ADMINISTRATION DANS L'EAU DE BOISSON</v>
      </c>
      <c r="ED187" t="e">
        <f>IF(IF(EL$2="Catégorie",IF(EL$3="Toutes",SUMIFS('Étape 1 - à remplir'!$F$31:$F$400,'Étape 1 - à remplir'!$E$31:$E$400,MASQ2!EC187,'Étape 1 - à remplir'!$G$31:$G$400,"kg"),SUMIFS('Étape 1 - à remplir'!$F$31:$F$400,'Étape 1 - à remplir'!$E$31:$E$400,MASQ2!EC187,'Étape 1 - à remplir'!$C$31:$C$400,EL$3)),IF(EL$2="Âge",IF(EL$3="Tous",SUMIFS('Étape 1 - à remplir'!$F$31:$F$400,'Étape 1 - à remplir'!$E$31:$E$400,MASQ2!EC187,'Étape 1 - à remplir'!$G$31:$G$400,"kg"),SUMIFS('Étape 1 - à remplir'!$F$31:$F$400,'Étape 1 - à remplir'!$E$31:$E$400,MASQ2!EC187,'Étape 1 - à remplir'!$P$31:$P$400,EL$3,'Étape 1 - à remplir'!$G$31:$G$400,"kg")),IF(EL$2="Atelier",IF(EL$3="Tous",SUMIFS('Étape 1 - à remplir'!$F$31:$F$400,'Étape 1 - à remplir'!$E$31:$E$400,MASQ2!EC187,'Étape 1 - à remplir'!$G$31:$G$400,"kg"),SUMIFS('Étape 1 - à remplir'!$F$31:$F$400,'Étape 1 - à remplir'!$E$31:$E$400,MASQ2!EC187,'Étape 1 - à remplir'!$O$31:$O$400,EL$3,'Étape 1 - à remplir'!$G$31:$G$400,"kg")),IF(EL$2="Espèce",IF(EL$3="Toutes",SUMIFS('Étape 1 - à remplir'!$F$31:$F$400,'Étape 1 - à remplir'!$E$31:$E$400,MASQ2!EC187,'Étape 1 - à remplir'!$G$31:$G$400,"kg"),SUMIFS('Étape 1 - à remplir'!$F$31:$F$400,'Étape 1 - à remplir'!$E$31:$E$400,MASQ2!EC187,'Étape 1 - à remplir'!$N$31:$N$400,EL$3,'Étape 1 - à remplir'!$G$31:$G$400,"kg"))))))=0,NA(),IF(EL$2="Catégorie",IF(EL$3="Toutes",SUMIFS('Étape 1 - à remplir'!$F$31:$F$400,'Étape 1 - à remplir'!$E$31:$E$400,MASQ2!EC187,'Étape 1 - à remplir'!$G$31:$G$400,"kg"),SUMIFS('Étape 1 - à remplir'!$F$31:$F$400,'Étape 1 - à remplir'!$E$31:$E$400,MASQ2!EC187,'Étape 1 - à remplir'!$C$31:$C$400,EL$3)),IF(EL$2="Âge",IF(EL$3="Tous",SUMIFS('Étape 1 - à remplir'!$F$31:$F$400,'Étape 1 - à remplir'!$E$31:$E$400,MASQ2!EC187,'Étape 1 - à remplir'!$G$31:$G$400,"kg"),SUMIFS('Étape 1 - à remplir'!$F$31:$F$400,'Étape 1 - à remplir'!$E$31:$E$400,MASQ2!EC187,'Étape 1 - à remplir'!$P$31:$P$400,EL$3,'Étape 1 - à remplir'!$G$31:$G$400,"kg")),IF(EL$2="Atelier",IF(EL$3="Tous",SUMIFS('Étape 1 - à remplir'!$F$31:$F$400,'Étape 1 - à remplir'!$E$31:$E$400,MASQ2!EC187,'Étape 1 - à remplir'!$G$31:$G$400,"kg"),SUMIFS('Étape 1 - à remplir'!$F$31:$F$400,'Étape 1 - à remplir'!$E$31:$E$400,MASQ2!EC187,'Étape 1 - à remplir'!$O$31:$O$400,EL$3,'Étape 1 - à remplir'!$G$31:$G$400,"kg")),IF(EL$2="Espèce",IF(EL$3="Toutes",SUMIFS('Étape 1 - à remplir'!$F$31:$F$400,'Étape 1 - à remplir'!$E$31:$E$400,MASQ2!EC187,'Étape 1 - à remplir'!$G$31:$G$400,"kg"),SUMIFS('Étape 1 - à remplir'!$F$31:$F$400,'Étape 1 - à remplir'!$E$31:$E$400,MASQ2!EC187,'Étape 1 - à remplir'!$N$31:$N$400,EL$3,'Étape 1 - à remplir'!$G$31:$G$400,"kg")))))))</f>
        <v>#N/A</v>
      </c>
      <c r="EE187" s="76">
        <f t="shared" si="184"/>
        <v>0</v>
      </c>
      <c r="EF187" t="str">
        <f t="shared" si="175"/>
        <v>Lincomycine</v>
      </c>
      <c r="EG187" t="str">
        <f t="shared" si="176"/>
        <v/>
      </c>
      <c r="EH187" t="str">
        <f t="shared" si="177"/>
        <v/>
      </c>
      <c r="EI187" t="str">
        <f t="shared" si="178"/>
        <v>Lincosamides</v>
      </c>
      <c r="EJ187" t="str">
        <f t="shared" si="179"/>
        <v/>
      </c>
      <c r="EK187" s="63" t="str">
        <f t="shared" si="180"/>
        <v/>
      </c>
      <c r="EN187" s="42">
        <v>184</v>
      </c>
      <c r="EO187" t="e">
        <f t="shared" si="186"/>
        <v>#N/A</v>
      </c>
      <c r="EP187" s="63" t="e">
        <f t="shared" si="187"/>
        <v>#N/A</v>
      </c>
      <c r="FT187" s="63"/>
    </row>
    <row r="188" spans="2:176" x14ac:dyDescent="0.3">
      <c r="B188" s="42"/>
      <c r="M188" s="194" t="str">
        <f ca="1">INDEX(Données_ATB!BD:BU,MATCH(MASQ2!O188,Données_ATB!BD:BD,0),18)</f>
        <v/>
      </c>
      <c r="N188" s="14" t="str">
        <f>IFERROR(IF(Q188=0,"",COUNTIF(Q$4:Q$600,"&gt;"&amp;Q188)+COUNTIF(Q$4:Q188,Q188)),"")</f>
        <v/>
      </c>
      <c r="O188" t="str">
        <f>Données_ATB!BD187</f>
        <v>DOXIPULVIS 500 MG/G POUDRE POUR ADMINISTRATION DANS  L’EAU DE BOISSON / LAIT DE REMPLACEMENT</v>
      </c>
      <c r="P188" t="e">
        <f>IF(IF(X$2="Catégorie",IF(X$3="Toutes",SUMIFS('Étape 1 - à remplir'!$F$31:$F$400,'Étape 1 - à remplir'!$E$31:$E$400,MASQ2!O188,'Étape 1 - à remplir'!$G$31:$G$400,"animaux"),SUMIFS('Étape 1 - à remplir'!$F$31:$F$400,'Étape 1 - à remplir'!$E$31:$E$400,MASQ2!O188,'Étape 1 - à remplir'!$C$31:$C$400,X$3)),IF(X$2="Âge",IF(X$3="Tous",SUMIFS('Étape 1 - à remplir'!$F$31:$F$400,'Étape 1 - à remplir'!$E$31:$E$400,MASQ2!O188,'Étape 1 - à remplir'!$G$31:$G$400,"animaux"),SUMIFS('Étape 1 - à remplir'!$F$31:$F$400,'Étape 1 - à remplir'!$E$31:$E$400,MASQ2!O188,'Étape 1 - à remplir'!$P$31:$P$400,X$3)),IF(X$2="Atelier",IF(X$3="Tous",SUMIFS('Étape 1 - à remplir'!$F$31:$F$400,'Étape 1 - à remplir'!$E$31:$E$400,MASQ2!O188,'Étape 1 - à remplir'!$G$31:$G$400,"animaux"),SUMIFS('Étape 1 - à remplir'!$F$31:$F$400,'Étape 1 - à remplir'!$E$31:$E$400,MASQ2!O188,'Étape 1 - à remplir'!$O$31:$O$400,X$3)),IF(X$2="Espèce",IF(X$3="Toutes",SUMIFS('Étape 1 - à remplir'!$F$31:$F$400,'Étape 1 - à remplir'!$E$31:$E$400,MASQ2!O188,'Étape 1 - à remplir'!$G$31:$G$400,"animaux"),SUMIFS('Étape 1 - à remplir'!$F$31:$F$400,'Étape 1 - à remplir'!$E$31:$E$400,MASQ2!O188,'Étape 1 - à remplir'!$N$31:$N$400,X$3))))))=0,NA(),IF(X$2="Catégorie",IF(X$3="Toutes",SUMIFS('Étape 1 - à remplir'!$F$31:$F$400,'Étape 1 - à remplir'!$E$31:$E$400,MASQ2!O188,'Étape 1 - à remplir'!$G$31:$G$400,"animaux"),SUMIFS('Étape 1 - à remplir'!$F$31:$F$400,'Étape 1 - à remplir'!$E$31:$E$400,MASQ2!O188,'Étape 1 - à remplir'!$C$31:$C$400,X$3)),IF(X$2="Âge",IF(X$3="Tous",SUMIFS('Étape 1 - à remplir'!$F$31:$F$400,'Étape 1 - à remplir'!$E$31:$E$400,MASQ2!O188,'Étape 1 - à remplir'!$G$31:$G$400,"animaux"),SUMIFS('Étape 1 - à remplir'!$F$31:$F$400,'Étape 1 - à remplir'!$E$31:$E$400,MASQ2!O188,'Étape 1 - à remplir'!$P$31:$P$400,X$3)),IF(X$2="Atelier",IF(X$3="Tous",SUMIFS('Étape 1 - à remplir'!$F$31:$F$400,'Étape 1 - à remplir'!$E$31:$E$400,MASQ2!O188,'Étape 1 - à remplir'!$G$31:$G$400,"animaux"),SUMIFS('Étape 1 - à remplir'!$F$31:$F$400,'Étape 1 - à remplir'!$E$31:$E$400,MASQ2!O188,'Étape 1 - à remplir'!$O$31:$O$400,X$3)),IF(X$2="Espèce",IF(X$3="Toutes",SUMIFS('Étape 1 - à remplir'!$F$31:$F$400,'Étape 1 - à remplir'!$E$31:$E$400,MASQ2!O188,'Étape 1 - à remplir'!$G$31:$G$400,"animaux"),SUMIFS('Étape 1 - à remplir'!$F$31:$F$400,'Étape 1 - à remplir'!$E$31:$E$400,MASQ2!O188,'Étape 1 - à remplir'!$N$31:$N$400,X$3)))))))</f>
        <v>#N/A</v>
      </c>
      <c r="Q188" s="63">
        <f t="shared" si="185"/>
        <v>0</v>
      </c>
      <c r="R188" t="str">
        <f>Données_ATB!BM187</f>
        <v>Doxycycline</v>
      </c>
      <c r="S188" t="str">
        <f>Données_ATB!BN187</f>
        <v/>
      </c>
      <c r="T188" s="63" t="str">
        <f>Données_ATB!BO187</f>
        <v/>
      </c>
      <c r="U188" s="42" t="str">
        <f>Données_ATB!BQ187</f>
        <v>Tetracyclines</v>
      </c>
      <c r="V188" t="str">
        <f>Données_ATB!BR187</f>
        <v/>
      </c>
      <c r="W188" s="63" t="str">
        <f>Données_ATB!BS187</f>
        <v/>
      </c>
      <c r="Z188" s="42">
        <v>185</v>
      </c>
      <c r="AA188" t="e">
        <f t="shared" si="181"/>
        <v>#N/A</v>
      </c>
      <c r="AB188" s="63" t="e">
        <f t="shared" si="182"/>
        <v>#N/A</v>
      </c>
      <c r="BF188" s="63"/>
      <c r="BT188" s="194" t="str">
        <f t="shared" ca="1" si="165"/>
        <v/>
      </c>
      <c r="BU188" s="219" t="str">
        <f>IFERROR(IF(BX188=0,"",COUNTIF(BX$4:BX$600,"&gt;"&amp;BX188)+COUNTIF(BX$4:BX188,BX188)),"")</f>
        <v/>
      </c>
      <c r="BV188" s="42" t="str">
        <f t="shared" si="166"/>
        <v>DOXIPULVIS 500 MG/G POUDRE POUR ADMINISTRATION DANS  L’EAU DE BOISSON / LAIT DE REMPLACEMENT</v>
      </c>
      <c r="BW188" t="e">
        <f>IF(IF(CE$2="Catégorie",IF(CE$3="Toutes",SUMIFS('Étape 1 - à remplir'!$F$31:$F$400,'Étape 1 - à remplir'!$E$31:$E$400,MASQ2!BV188,'Étape 1 - à remplir'!$G$31:$G$400,"lots"),SUMIFS('Étape 1 - à remplir'!$F$31:$F$400,'Étape 1 - à remplir'!$E$31:$E$400,MASQ2!BV188,'Étape 1 - à remplir'!$C$31:$C$400,CE$3)),IF(CE$2="Âge",IF(CE$3="Tous",SUMIFS('Étape 1 - à remplir'!$F$31:$F$400,'Étape 1 - à remplir'!$E$31:$E$400,MASQ2!BV188,'Étape 1 - à remplir'!$G$31:$G$400,"lots"),SUMIFS('Étape 1 - à remplir'!$F$31:$F$400,'Étape 1 - à remplir'!$E$31:$E$400,MASQ2!BV188,'Étape 1 - à remplir'!$P$31:$P$400,CE$3,'Étape 1 - à remplir'!$G$31:$G$400,"lots")),IF(CE$2="Atelier",IF(CE$3="Tous",SUMIFS('Étape 1 - à remplir'!$F$31:$F$400,'Étape 1 - à remplir'!$E$31:$E$400,MASQ2!BV188,'Étape 1 - à remplir'!$G$31:$G$400,"lots"),SUMIFS('Étape 1 - à remplir'!$F$31:$F$400,'Étape 1 - à remplir'!$E$31:$E$400,MASQ2!BV188,'Étape 1 - à remplir'!$O$31:$O$400,CE$3,'Étape 1 - à remplir'!$G$31:$G$400,"lots")),IF(CE$2="Espèce",IF(CE$3="Toutes",SUMIFS('Étape 1 - à remplir'!$F$31:$F$400,'Étape 1 - à remplir'!$E$31:$E$400,MASQ2!BV188,'Étape 1 - à remplir'!$G$31:$G$400,"lots"),SUMIFS('Étape 1 - à remplir'!$F$31:$F$400,'Étape 1 - à remplir'!$E$31:$E$400,MASQ2!BV188,'Étape 1 - à remplir'!$N$31:$N$400,CE$3,'Étape 1 - à remplir'!$G$31:$G$400,"lots"))))))=0,NA(),IF(CE$2="Catégorie",IF(CE$3="Toutes",SUMIFS('Étape 1 - à remplir'!$F$31:$F$400,'Étape 1 - à remplir'!$E$31:$E$400,MASQ2!BV188,'Étape 1 - à remplir'!$G$31:$G$400,"lots"),SUMIFS('Étape 1 - à remplir'!$F$31:$F$400,'Étape 1 - à remplir'!$E$31:$E$400,MASQ2!BV188,'Étape 1 - à remplir'!$C$31:$C$400,CE$3)),IF(CE$2="Âge",IF(CE$3="Tous",SUMIFS('Étape 1 - à remplir'!$F$31:$F$400,'Étape 1 - à remplir'!$E$31:$E$400,MASQ2!BV188,'Étape 1 - à remplir'!$G$31:$G$400,"lots"),SUMIFS('Étape 1 - à remplir'!$F$31:$F$400,'Étape 1 - à remplir'!$E$31:$E$400,MASQ2!BV188,'Étape 1 - à remplir'!$P$31:$P$400,CE$3,'Étape 1 - à remplir'!$G$31:$G$400,"lots")),IF(CE$2="Atelier",IF(CE$3="Tous",SUMIFS('Étape 1 - à remplir'!$F$31:$F$400,'Étape 1 - à remplir'!$E$31:$E$400,MASQ2!BV188,'Étape 1 - à remplir'!$G$31:$G$400,"lots"),SUMIFS('Étape 1 - à remplir'!$F$31:$F$400,'Étape 1 - à remplir'!$E$31:$E$400,MASQ2!BV188,'Étape 1 - à remplir'!$O$31:$O$400,CE$3,'Étape 1 - à remplir'!$G$31:$G$400,"lots")),IF(CE$2="Espèce",IF(CE$3="Toutes",SUMIFS('Étape 1 - à remplir'!$F$31:$F$400,'Étape 1 - à remplir'!$E$31:$E$400,MASQ2!BV188,'Étape 1 - à remplir'!$G$31:$G$400,"lots"),SUMIFS('Étape 1 - à remplir'!$F$31:$F$400,'Étape 1 - à remplir'!$E$31:$E$400,MASQ2!BV188,'Étape 1 - à remplir'!$N$31:$N$400,CE$3,'Étape 1 - à remplir'!$G$31:$G$400,"lots")))))))</f>
        <v>#N/A</v>
      </c>
      <c r="BX188">
        <f t="shared" si="183"/>
        <v>0</v>
      </c>
      <c r="BY188" t="str">
        <f t="shared" si="167"/>
        <v>Doxycycline</v>
      </c>
      <c r="BZ188" t="str">
        <f t="shared" si="168"/>
        <v/>
      </c>
      <c r="CA188" t="str">
        <f t="shared" si="169"/>
        <v/>
      </c>
      <c r="CB188" t="str">
        <f t="shared" si="170"/>
        <v>Tetracyclines</v>
      </c>
      <c r="CC188" t="str">
        <f t="shared" si="171"/>
        <v/>
      </c>
      <c r="CD188" s="63" t="str">
        <f t="shared" si="172"/>
        <v/>
      </c>
      <c r="CG188" s="42">
        <v>185</v>
      </c>
      <c r="CH188" s="42" t="e">
        <f t="shared" si="188"/>
        <v>#N/A</v>
      </c>
      <c r="CI188" s="63" t="e">
        <f t="shared" si="189"/>
        <v>#N/A</v>
      </c>
      <c r="DM188" s="63"/>
      <c r="EA188" s="194" t="str">
        <f t="shared" ca="1" si="173"/>
        <v/>
      </c>
      <c r="EB188" s="226" t="str">
        <f>IFERROR(IF(ED188=0,"",COUNTIF(ED$4:ED$600,"&gt;"&amp;ED188)+COUNTIF(ED$4:ED188,ED188)),"")</f>
        <v/>
      </c>
      <c r="EC188" t="str">
        <f t="shared" si="174"/>
        <v>DOXIPULVIS 500 MG/G POUDRE POUR ADMINISTRATION DANS  L’EAU DE BOISSON / LAIT DE REMPLACEMENT</v>
      </c>
      <c r="ED188" t="e">
        <f>IF(IF(EL$2="Catégorie",IF(EL$3="Toutes",SUMIFS('Étape 1 - à remplir'!$F$31:$F$400,'Étape 1 - à remplir'!$E$31:$E$400,MASQ2!EC188,'Étape 1 - à remplir'!$G$31:$G$400,"kg"),SUMIFS('Étape 1 - à remplir'!$F$31:$F$400,'Étape 1 - à remplir'!$E$31:$E$400,MASQ2!EC188,'Étape 1 - à remplir'!$C$31:$C$400,EL$3)),IF(EL$2="Âge",IF(EL$3="Tous",SUMIFS('Étape 1 - à remplir'!$F$31:$F$400,'Étape 1 - à remplir'!$E$31:$E$400,MASQ2!EC188,'Étape 1 - à remplir'!$G$31:$G$400,"kg"),SUMIFS('Étape 1 - à remplir'!$F$31:$F$400,'Étape 1 - à remplir'!$E$31:$E$400,MASQ2!EC188,'Étape 1 - à remplir'!$P$31:$P$400,EL$3,'Étape 1 - à remplir'!$G$31:$G$400,"kg")),IF(EL$2="Atelier",IF(EL$3="Tous",SUMIFS('Étape 1 - à remplir'!$F$31:$F$400,'Étape 1 - à remplir'!$E$31:$E$400,MASQ2!EC188,'Étape 1 - à remplir'!$G$31:$G$400,"kg"),SUMIFS('Étape 1 - à remplir'!$F$31:$F$400,'Étape 1 - à remplir'!$E$31:$E$400,MASQ2!EC188,'Étape 1 - à remplir'!$O$31:$O$400,EL$3,'Étape 1 - à remplir'!$G$31:$G$400,"kg")),IF(EL$2="Espèce",IF(EL$3="Toutes",SUMIFS('Étape 1 - à remplir'!$F$31:$F$400,'Étape 1 - à remplir'!$E$31:$E$400,MASQ2!EC188,'Étape 1 - à remplir'!$G$31:$G$400,"kg"),SUMIFS('Étape 1 - à remplir'!$F$31:$F$400,'Étape 1 - à remplir'!$E$31:$E$400,MASQ2!EC188,'Étape 1 - à remplir'!$N$31:$N$400,EL$3,'Étape 1 - à remplir'!$G$31:$G$400,"kg"))))))=0,NA(),IF(EL$2="Catégorie",IF(EL$3="Toutes",SUMIFS('Étape 1 - à remplir'!$F$31:$F$400,'Étape 1 - à remplir'!$E$31:$E$400,MASQ2!EC188,'Étape 1 - à remplir'!$G$31:$G$400,"kg"),SUMIFS('Étape 1 - à remplir'!$F$31:$F$400,'Étape 1 - à remplir'!$E$31:$E$400,MASQ2!EC188,'Étape 1 - à remplir'!$C$31:$C$400,EL$3)),IF(EL$2="Âge",IF(EL$3="Tous",SUMIFS('Étape 1 - à remplir'!$F$31:$F$400,'Étape 1 - à remplir'!$E$31:$E$400,MASQ2!EC188,'Étape 1 - à remplir'!$G$31:$G$400,"kg"),SUMIFS('Étape 1 - à remplir'!$F$31:$F$400,'Étape 1 - à remplir'!$E$31:$E$400,MASQ2!EC188,'Étape 1 - à remplir'!$P$31:$P$400,EL$3,'Étape 1 - à remplir'!$G$31:$G$400,"kg")),IF(EL$2="Atelier",IF(EL$3="Tous",SUMIFS('Étape 1 - à remplir'!$F$31:$F$400,'Étape 1 - à remplir'!$E$31:$E$400,MASQ2!EC188,'Étape 1 - à remplir'!$G$31:$G$400,"kg"),SUMIFS('Étape 1 - à remplir'!$F$31:$F$400,'Étape 1 - à remplir'!$E$31:$E$400,MASQ2!EC188,'Étape 1 - à remplir'!$O$31:$O$400,EL$3,'Étape 1 - à remplir'!$G$31:$G$400,"kg")),IF(EL$2="Espèce",IF(EL$3="Toutes",SUMIFS('Étape 1 - à remplir'!$F$31:$F$400,'Étape 1 - à remplir'!$E$31:$E$400,MASQ2!EC188,'Étape 1 - à remplir'!$G$31:$G$400,"kg"),SUMIFS('Étape 1 - à remplir'!$F$31:$F$400,'Étape 1 - à remplir'!$E$31:$E$400,MASQ2!EC188,'Étape 1 - à remplir'!$N$31:$N$400,EL$3,'Étape 1 - à remplir'!$G$31:$G$400,"kg")))))))</f>
        <v>#N/A</v>
      </c>
      <c r="EE188" s="76">
        <f t="shared" si="184"/>
        <v>0</v>
      </c>
      <c r="EF188" t="str">
        <f t="shared" si="175"/>
        <v>Doxycycline</v>
      </c>
      <c r="EG188" t="str">
        <f t="shared" si="176"/>
        <v/>
      </c>
      <c r="EH188" t="str">
        <f t="shared" si="177"/>
        <v/>
      </c>
      <c r="EI188" t="str">
        <f t="shared" si="178"/>
        <v>Tetracyclines</v>
      </c>
      <c r="EJ188" t="str">
        <f t="shared" si="179"/>
        <v/>
      </c>
      <c r="EK188" s="63" t="str">
        <f t="shared" si="180"/>
        <v/>
      </c>
      <c r="EN188" s="42">
        <v>185</v>
      </c>
      <c r="EO188" t="e">
        <f t="shared" si="186"/>
        <v>#N/A</v>
      </c>
      <c r="EP188" s="63" t="e">
        <f t="shared" si="187"/>
        <v>#N/A</v>
      </c>
      <c r="FT188" s="63"/>
    </row>
    <row r="189" spans="2:176" x14ac:dyDescent="0.3">
      <c r="B189" s="42"/>
      <c r="M189" s="194" t="str">
        <f ca="1">INDEX(Données_ATB!BD:BU,MATCH(MASQ2!O189,Données_ATB!BD:BD,0),18)</f>
        <v/>
      </c>
      <c r="N189" s="14" t="str">
        <f>IFERROR(IF(Q189=0,"",COUNTIF(Q$4:Q$600,"&gt;"&amp;Q189)+COUNTIF(Q$4:Q189,Q189)),"")</f>
        <v/>
      </c>
      <c r="O189" t="str">
        <f>Données_ATB!BD188</f>
        <v>DOXX-SOL 433 MG/G POUDRE POUR ADMINISTRATION DANS L'EAU DE BOISSON/LE SUBSTITUT DE LAIT POUR LES VEAUX PRE-RUMINANTS LES PORCS ET LES POULES</v>
      </c>
      <c r="P189" t="e">
        <f>IF(IF(X$2="Catégorie",IF(X$3="Toutes",SUMIFS('Étape 1 - à remplir'!$F$31:$F$400,'Étape 1 - à remplir'!$E$31:$E$400,MASQ2!O189,'Étape 1 - à remplir'!$G$31:$G$400,"animaux"),SUMIFS('Étape 1 - à remplir'!$F$31:$F$400,'Étape 1 - à remplir'!$E$31:$E$400,MASQ2!O189,'Étape 1 - à remplir'!$C$31:$C$400,X$3)),IF(X$2="Âge",IF(X$3="Tous",SUMIFS('Étape 1 - à remplir'!$F$31:$F$400,'Étape 1 - à remplir'!$E$31:$E$400,MASQ2!O189,'Étape 1 - à remplir'!$G$31:$G$400,"animaux"),SUMIFS('Étape 1 - à remplir'!$F$31:$F$400,'Étape 1 - à remplir'!$E$31:$E$400,MASQ2!O189,'Étape 1 - à remplir'!$P$31:$P$400,X$3)),IF(X$2="Atelier",IF(X$3="Tous",SUMIFS('Étape 1 - à remplir'!$F$31:$F$400,'Étape 1 - à remplir'!$E$31:$E$400,MASQ2!O189,'Étape 1 - à remplir'!$G$31:$G$400,"animaux"),SUMIFS('Étape 1 - à remplir'!$F$31:$F$400,'Étape 1 - à remplir'!$E$31:$E$400,MASQ2!O189,'Étape 1 - à remplir'!$O$31:$O$400,X$3)),IF(X$2="Espèce",IF(X$3="Toutes",SUMIFS('Étape 1 - à remplir'!$F$31:$F$400,'Étape 1 - à remplir'!$E$31:$E$400,MASQ2!O189,'Étape 1 - à remplir'!$G$31:$G$400,"animaux"),SUMIFS('Étape 1 - à remplir'!$F$31:$F$400,'Étape 1 - à remplir'!$E$31:$E$400,MASQ2!O189,'Étape 1 - à remplir'!$N$31:$N$400,X$3))))))=0,NA(),IF(X$2="Catégorie",IF(X$3="Toutes",SUMIFS('Étape 1 - à remplir'!$F$31:$F$400,'Étape 1 - à remplir'!$E$31:$E$400,MASQ2!O189,'Étape 1 - à remplir'!$G$31:$G$400,"animaux"),SUMIFS('Étape 1 - à remplir'!$F$31:$F$400,'Étape 1 - à remplir'!$E$31:$E$400,MASQ2!O189,'Étape 1 - à remplir'!$C$31:$C$400,X$3)),IF(X$2="Âge",IF(X$3="Tous",SUMIFS('Étape 1 - à remplir'!$F$31:$F$400,'Étape 1 - à remplir'!$E$31:$E$400,MASQ2!O189,'Étape 1 - à remplir'!$G$31:$G$400,"animaux"),SUMIFS('Étape 1 - à remplir'!$F$31:$F$400,'Étape 1 - à remplir'!$E$31:$E$400,MASQ2!O189,'Étape 1 - à remplir'!$P$31:$P$400,X$3)),IF(X$2="Atelier",IF(X$3="Tous",SUMIFS('Étape 1 - à remplir'!$F$31:$F$400,'Étape 1 - à remplir'!$E$31:$E$400,MASQ2!O189,'Étape 1 - à remplir'!$G$31:$G$400,"animaux"),SUMIFS('Étape 1 - à remplir'!$F$31:$F$400,'Étape 1 - à remplir'!$E$31:$E$400,MASQ2!O189,'Étape 1 - à remplir'!$O$31:$O$400,X$3)),IF(X$2="Espèce",IF(X$3="Toutes",SUMIFS('Étape 1 - à remplir'!$F$31:$F$400,'Étape 1 - à remplir'!$E$31:$E$400,MASQ2!O189,'Étape 1 - à remplir'!$G$31:$G$400,"animaux"),SUMIFS('Étape 1 - à remplir'!$F$31:$F$400,'Étape 1 - à remplir'!$E$31:$E$400,MASQ2!O189,'Étape 1 - à remplir'!$N$31:$N$400,X$3)))))))</f>
        <v>#N/A</v>
      </c>
      <c r="Q189" s="63">
        <f t="shared" si="185"/>
        <v>0</v>
      </c>
      <c r="R189" t="str">
        <f>Données_ATB!BM188</f>
        <v>Doxycycline</v>
      </c>
      <c r="S189" t="str">
        <f>Données_ATB!BN188</f>
        <v/>
      </c>
      <c r="T189" s="63" t="str">
        <f>Données_ATB!BO188</f>
        <v/>
      </c>
      <c r="U189" s="42" t="str">
        <f>Données_ATB!BQ188</f>
        <v>Tetracyclines</v>
      </c>
      <c r="V189" t="str">
        <f>Données_ATB!BR188</f>
        <v/>
      </c>
      <c r="W189" s="63" t="str">
        <f>Données_ATB!BS188</f>
        <v/>
      </c>
      <c r="Z189" s="42">
        <v>186</v>
      </c>
      <c r="AA189" t="e">
        <f t="shared" si="181"/>
        <v>#N/A</v>
      </c>
      <c r="AB189" s="63" t="e">
        <f t="shared" si="182"/>
        <v>#N/A</v>
      </c>
      <c r="BF189" s="63"/>
      <c r="BT189" s="194" t="str">
        <f t="shared" ca="1" si="165"/>
        <v/>
      </c>
      <c r="BU189" s="219" t="str">
        <f>IFERROR(IF(BX189=0,"",COUNTIF(BX$4:BX$600,"&gt;"&amp;BX189)+COUNTIF(BX$4:BX189,BX189)),"")</f>
        <v/>
      </c>
      <c r="BV189" s="42" t="str">
        <f t="shared" si="166"/>
        <v>DOXX-SOL 433 MG/G POUDRE POUR ADMINISTRATION DANS L'EAU DE BOISSON/LE SUBSTITUT DE LAIT POUR LES VEAUX PRE-RUMINANTS LES PORCS ET LES POULES</v>
      </c>
      <c r="BW189" t="e">
        <f>IF(IF(CE$2="Catégorie",IF(CE$3="Toutes",SUMIFS('Étape 1 - à remplir'!$F$31:$F$400,'Étape 1 - à remplir'!$E$31:$E$400,MASQ2!BV189,'Étape 1 - à remplir'!$G$31:$G$400,"lots"),SUMIFS('Étape 1 - à remplir'!$F$31:$F$400,'Étape 1 - à remplir'!$E$31:$E$400,MASQ2!BV189,'Étape 1 - à remplir'!$C$31:$C$400,CE$3)),IF(CE$2="Âge",IF(CE$3="Tous",SUMIFS('Étape 1 - à remplir'!$F$31:$F$400,'Étape 1 - à remplir'!$E$31:$E$400,MASQ2!BV189,'Étape 1 - à remplir'!$G$31:$G$400,"lots"),SUMIFS('Étape 1 - à remplir'!$F$31:$F$400,'Étape 1 - à remplir'!$E$31:$E$400,MASQ2!BV189,'Étape 1 - à remplir'!$P$31:$P$400,CE$3,'Étape 1 - à remplir'!$G$31:$G$400,"lots")),IF(CE$2="Atelier",IF(CE$3="Tous",SUMIFS('Étape 1 - à remplir'!$F$31:$F$400,'Étape 1 - à remplir'!$E$31:$E$400,MASQ2!BV189,'Étape 1 - à remplir'!$G$31:$G$400,"lots"),SUMIFS('Étape 1 - à remplir'!$F$31:$F$400,'Étape 1 - à remplir'!$E$31:$E$400,MASQ2!BV189,'Étape 1 - à remplir'!$O$31:$O$400,CE$3,'Étape 1 - à remplir'!$G$31:$G$400,"lots")),IF(CE$2="Espèce",IF(CE$3="Toutes",SUMIFS('Étape 1 - à remplir'!$F$31:$F$400,'Étape 1 - à remplir'!$E$31:$E$400,MASQ2!BV189,'Étape 1 - à remplir'!$G$31:$G$400,"lots"),SUMIFS('Étape 1 - à remplir'!$F$31:$F$400,'Étape 1 - à remplir'!$E$31:$E$400,MASQ2!BV189,'Étape 1 - à remplir'!$N$31:$N$400,CE$3,'Étape 1 - à remplir'!$G$31:$G$400,"lots"))))))=0,NA(),IF(CE$2="Catégorie",IF(CE$3="Toutes",SUMIFS('Étape 1 - à remplir'!$F$31:$F$400,'Étape 1 - à remplir'!$E$31:$E$400,MASQ2!BV189,'Étape 1 - à remplir'!$G$31:$G$400,"lots"),SUMIFS('Étape 1 - à remplir'!$F$31:$F$400,'Étape 1 - à remplir'!$E$31:$E$400,MASQ2!BV189,'Étape 1 - à remplir'!$C$31:$C$400,CE$3)),IF(CE$2="Âge",IF(CE$3="Tous",SUMIFS('Étape 1 - à remplir'!$F$31:$F$400,'Étape 1 - à remplir'!$E$31:$E$400,MASQ2!BV189,'Étape 1 - à remplir'!$G$31:$G$400,"lots"),SUMIFS('Étape 1 - à remplir'!$F$31:$F$400,'Étape 1 - à remplir'!$E$31:$E$400,MASQ2!BV189,'Étape 1 - à remplir'!$P$31:$P$400,CE$3,'Étape 1 - à remplir'!$G$31:$G$400,"lots")),IF(CE$2="Atelier",IF(CE$3="Tous",SUMIFS('Étape 1 - à remplir'!$F$31:$F$400,'Étape 1 - à remplir'!$E$31:$E$400,MASQ2!BV189,'Étape 1 - à remplir'!$G$31:$G$400,"lots"),SUMIFS('Étape 1 - à remplir'!$F$31:$F$400,'Étape 1 - à remplir'!$E$31:$E$400,MASQ2!BV189,'Étape 1 - à remplir'!$O$31:$O$400,CE$3,'Étape 1 - à remplir'!$G$31:$G$400,"lots")),IF(CE$2="Espèce",IF(CE$3="Toutes",SUMIFS('Étape 1 - à remplir'!$F$31:$F$400,'Étape 1 - à remplir'!$E$31:$E$400,MASQ2!BV189,'Étape 1 - à remplir'!$G$31:$G$400,"lots"),SUMIFS('Étape 1 - à remplir'!$F$31:$F$400,'Étape 1 - à remplir'!$E$31:$E$400,MASQ2!BV189,'Étape 1 - à remplir'!$N$31:$N$400,CE$3,'Étape 1 - à remplir'!$G$31:$G$400,"lots")))))))</f>
        <v>#N/A</v>
      </c>
      <c r="BX189">
        <f t="shared" si="183"/>
        <v>0</v>
      </c>
      <c r="BY189" t="str">
        <f t="shared" si="167"/>
        <v>Doxycycline</v>
      </c>
      <c r="BZ189" t="str">
        <f t="shared" si="168"/>
        <v/>
      </c>
      <c r="CA189" t="str">
        <f t="shared" si="169"/>
        <v/>
      </c>
      <c r="CB189" t="str">
        <f t="shared" si="170"/>
        <v>Tetracyclines</v>
      </c>
      <c r="CC189" t="str">
        <f t="shared" si="171"/>
        <v/>
      </c>
      <c r="CD189" s="63" t="str">
        <f t="shared" si="172"/>
        <v/>
      </c>
      <c r="CG189" s="42">
        <v>186</v>
      </c>
      <c r="CH189" s="42" t="e">
        <f t="shared" si="188"/>
        <v>#N/A</v>
      </c>
      <c r="CI189" s="63" t="e">
        <f t="shared" si="189"/>
        <v>#N/A</v>
      </c>
      <c r="DM189" s="63"/>
      <c r="EA189" s="194" t="str">
        <f t="shared" ca="1" si="173"/>
        <v/>
      </c>
      <c r="EB189" s="226" t="str">
        <f>IFERROR(IF(ED189=0,"",COUNTIF(ED$4:ED$600,"&gt;"&amp;ED189)+COUNTIF(ED$4:ED189,ED189)),"")</f>
        <v/>
      </c>
      <c r="EC189" t="str">
        <f t="shared" si="174"/>
        <v>DOXX-SOL 433 MG/G POUDRE POUR ADMINISTRATION DANS L'EAU DE BOISSON/LE SUBSTITUT DE LAIT POUR LES VEAUX PRE-RUMINANTS LES PORCS ET LES POULES</v>
      </c>
      <c r="ED189" t="e">
        <f>IF(IF(EL$2="Catégorie",IF(EL$3="Toutes",SUMIFS('Étape 1 - à remplir'!$F$31:$F$400,'Étape 1 - à remplir'!$E$31:$E$400,MASQ2!EC189,'Étape 1 - à remplir'!$G$31:$G$400,"kg"),SUMIFS('Étape 1 - à remplir'!$F$31:$F$400,'Étape 1 - à remplir'!$E$31:$E$400,MASQ2!EC189,'Étape 1 - à remplir'!$C$31:$C$400,EL$3)),IF(EL$2="Âge",IF(EL$3="Tous",SUMIFS('Étape 1 - à remplir'!$F$31:$F$400,'Étape 1 - à remplir'!$E$31:$E$400,MASQ2!EC189,'Étape 1 - à remplir'!$G$31:$G$400,"kg"),SUMIFS('Étape 1 - à remplir'!$F$31:$F$400,'Étape 1 - à remplir'!$E$31:$E$400,MASQ2!EC189,'Étape 1 - à remplir'!$P$31:$P$400,EL$3,'Étape 1 - à remplir'!$G$31:$G$400,"kg")),IF(EL$2="Atelier",IF(EL$3="Tous",SUMIFS('Étape 1 - à remplir'!$F$31:$F$400,'Étape 1 - à remplir'!$E$31:$E$400,MASQ2!EC189,'Étape 1 - à remplir'!$G$31:$G$400,"kg"),SUMIFS('Étape 1 - à remplir'!$F$31:$F$400,'Étape 1 - à remplir'!$E$31:$E$400,MASQ2!EC189,'Étape 1 - à remplir'!$O$31:$O$400,EL$3,'Étape 1 - à remplir'!$G$31:$G$400,"kg")),IF(EL$2="Espèce",IF(EL$3="Toutes",SUMIFS('Étape 1 - à remplir'!$F$31:$F$400,'Étape 1 - à remplir'!$E$31:$E$400,MASQ2!EC189,'Étape 1 - à remplir'!$G$31:$G$400,"kg"),SUMIFS('Étape 1 - à remplir'!$F$31:$F$400,'Étape 1 - à remplir'!$E$31:$E$400,MASQ2!EC189,'Étape 1 - à remplir'!$N$31:$N$400,EL$3,'Étape 1 - à remplir'!$G$31:$G$400,"kg"))))))=0,NA(),IF(EL$2="Catégorie",IF(EL$3="Toutes",SUMIFS('Étape 1 - à remplir'!$F$31:$F$400,'Étape 1 - à remplir'!$E$31:$E$400,MASQ2!EC189,'Étape 1 - à remplir'!$G$31:$G$400,"kg"),SUMIFS('Étape 1 - à remplir'!$F$31:$F$400,'Étape 1 - à remplir'!$E$31:$E$400,MASQ2!EC189,'Étape 1 - à remplir'!$C$31:$C$400,EL$3)),IF(EL$2="Âge",IF(EL$3="Tous",SUMIFS('Étape 1 - à remplir'!$F$31:$F$400,'Étape 1 - à remplir'!$E$31:$E$400,MASQ2!EC189,'Étape 1 - à remplir'!$G$31:$G$400,"kg"),SUMIFS('Étape 1 - à remplir'!$F$31:$F$400,'Étape 1 - à remplir'!$E$31:$E$400,MASQ2!EC189,'Étape 1 - à remplir'!$P$31:$P$400,EL$3,'Étape 1 - à remplir'!$G$31:$G$400,"kg")),IF(EL$2="Atelier",IF(EL$3="Tous",SUMIFS('Étape 1 - à remplir'!$F$31:$F$400,'Étape 1 - à remplir'!$E$31:$E$400,MASQ2!EC189,'Étape 1 - à remplir'!$G$31:$G$400,"kg"),SUMIFS('Étape 1 - à remplir'!$F$31:$F$400,'Étape 1 - à remplir'!$E$31:$E$400,MASQ2!EC189,'Étape 1 - à remplir'!$O$31:$O$400,EL$3,'Étape 1 - à remplir'!$G$31:$G$400,"kg")),IF(EL$2="Espèce",IF(EL$3="Toutes",SUMIFS('Étape 1 - à remplir'!$F$31:$F$400,'Étape 1 - à remplir'!$E$31:$E$400,MASQ2!EC189,'Étape 1 - à remplir'!$G$31:$G$400,"kg"),SUMIFS('Étape 1 - à remplir'!$F$31:$F$400,'Étape 1 - à remplir'!$E$31:$E$400,MASQ2!EC189,'Étape 1 - à remplir'!$N$31:$N$400,EL$3,'Étape 1 - à remplir'!$G$31:$G$400,"kg")))))))</f>
        <v>#N/A</v>
      </c>
      <c r="EE189" s="76">
        <f t="shared" si="184"/>
        <v>0</v>
      </c>
      <c r="EF189" t="str">
        <f t="shared" si="175"/>
        <v>Doxycycline</v>
      </c>
      <c r="EG189" t="str">
        <f t="shared" si="176"/>
        <v/>
      </c>
      <c r="EH189" t="str">
        <f t="shared" si="177"/>
        <v/>
      </c>
      <c r="EI189" t="str">
        <f t="shared" si="178"/>
        <v>Tetracyclines</v>
      </c>
      <c r="EJ189" t="str">
        <f t="shared" si="179"/>
        <v/>
      </c>
      <c r="EK189" s="63" t="str">
        <f t="shared" si="180"/>
        <v/>
      </c>
      <c r="EN189" s="42">
        <v>186</v>
      </c>
      <c r="EO189" t="e">
        <f t="shared" si="186"/>
        <v>#N/A</v>
      </c>
      <c r="EP189" s="63" t="e">
        <f t="shared" si="187"/>
        <v>#N/A</v>
      </c>
      <c r="FT189" s="63"/>
    </row>
    <row r="190" spans="2:176" x14ac:dyDescent="0.3">
      <c r="B190" s="42"/>
      <c r="M190" s="194" t="str">
        <f ca="1">INDEX(Données_ATB!BD:BU,MATCH(MASQ2!O190,Données_ATB!BD:BD,0),18)</f>
        <v/>
      </c>
      <c r="N190" s="14" t="str">
        <f>IFERROR(IF(Q190=0,"",COUNTIF(Q$4:Q$600,"&gt;"&amp;Q190)+COUNTIF(Q$4:Q190,Q190)),"")</f>
        <v/>
      </c>
      <c r="O190" t="str">
        <f>Données_ATB!BD189</f>
        <v>DOXY 2% PM</v>
      </c>
      <c r="P190" t="e">
        <f>IF(IF(X$2="Catégorie",IF(X$3="Toutes",SUMIFS('Étape 1 - à remplir'!$F$31:$F$400,'Étape 1 - à remplir'!$E$31:$E$400,MASQ2!O190,'Étape 1 - à remplir'!$G$31:$G$400,"animaux"),SUMIFS('Étape 1 - à remplir'!$F$31:$F$400,'Étape 1 - à remplir'!$E$31:$E$400,MASQ2!O190,'Étape 1 - à remplir'!$C$31:$C$400,X$3)),IF(X$2="Âge",IF(X$3="Tous",SUMIFS('Étape 1 - à remplir'!$F$31:$F$400,'Étape 1 - à remplir'!$E$31:$E$400,MASQ2!O190,'Étape 1 - à remplir'!$G$31:$G$400,"animaux"),SUMIFS('Étape 1 - à remplir'!$F$31:$F$400,'Étape 1 - à remplir'!$E$31:$E$400,MASQ2!O190,'Étape 1 - à remplir'!$P$31:$P$400,X$3)),IF(X$2="Atelier",IF(X$3="Tous",SUMIFS('Étape 1 - à remplir'!$F$31:$F$400,'Étape 1 - à remplir'!$E$31:$E$400,MASQ2!O190,'Étape 1 - à remplir'!$G$31:$G$400,"animaux"),SUMIFS('Étape 1 - à remplir'!$F$31:$F$400,'Étape 1 - à remplir'!$E$31:$E$400,MASQ2!O190,'Étape 1 - à remplir'!$O$31:$O$400,X$3)),IF(X$2="Espèce",IF(X$3="Toutes",SUMIFS('Étape 1 - à remplir'!$F$31:$F$400,'Étape 1 - à remplir'!$E$31:$E$400,MASQ2!O190,'Étape 1 - à remplir'!$G$31:$G$400,"animaux"),SUMIFS('Étape 1 - à remplir'!$F$31:$F$400,'Étape 1 - à remplir'!$E$31:$E$400,MASQ2!O190,'Étape 1 - à remplir'!$N$31:$N$400,X$3))))))=0,NA(),IF(X$2="Catégorie",IF(X$3="Toutes",SUMIFS('Étape 1 - à remplir'!$F$31:$F$400,'Étape 1 - à remplir'!$E$31:$E$400,MASQ2!O190,'Étape 1 - à remplir'!$G$31:$G$400,"animaux"),SUMIFS('Étape 1 - à remplir'!$F$31:$F$400,'Étape 1 - à remplir'!$E$31:$E$400,MASQ2!O190,'Étape 1 - à remplir'!$C$31:$C$400,X$3)),IF(X$2="Âge",IF(X$3="Tous",SUMIFS('Étape 1 - à remplir'!$F$31:$F$400,'Étape 1 - à remplir'!$E$31:$E$400,MASQ2!O190,'Étape 1 - à remplir'!$G$31:$G$400,"animaux"),SUMIFS('Étape 1 - à remplir'!$F$31:$F$400,'Étape 1 - à remplir'!$E$31:$E$400,MASQ2!O190,'Étape 1 - à remplir'!$P$31:$P$400,X$3)),IF(X$2="Atelier",IF(X$3="Tous",SUMIFS('Étape 1 - à remplir'!$F$31:$F$400,'Étape 1 - à remplir'!$E$31:$E$400,MASQ2!O190,'Étape 1 - à remplir'!$G$31:$G$400,"animaux"),SUMIFS('Étape 1 - à remplir'!$F$31:$F$400,'Étape 1 - à remplir'!$E$31:$E$400,MASQ2!O190,'Étape 1 - à remplir'!$O$31:$O$400,X$3)),IF(X$2="Espèce",IF(X$3="Toutes",SUMIFS('Étape 1 - à remplir'!$F$31:$F$400,'Étape 1 - à remplir'!$E$31:$E$400,MASQ2!O190,'Étape 1 - à remplir'!$G$31:$G$400,"animaux"),SUMIFS('Étape 1 - à remplir'!$F$31:$F$400,'Étape 1 - à remplir'!$E$31:$E$400,MASQ2!O190,'Étape 1 - à remplir'!$N$31:$N$400,X$3)))))))</f>
        <v>#N/A</v>
      </c>
      <c r="Q190" s="63">
        <f t="shared" si="185"/>
        <v>0</v>
      </c>
      <c r="R190" t="str">
        <f>Données_ATB!BM189</f>
        <v>Doxycycline</v>
      </c>
      <c r="S190" t="str">
        <f>Données_ATB!BN189</f>
        <v/>
      </c>
      <c r="T190" s="63" t="str">
        <f>Données_ATB!BO189</f>
        <v/>
      </c>
      <c r="U190" s="42" t="str">
        <f>Données_ATB!BQ189</f>
        <v>Tetracyclines</v>
      </c>
      <c r="V190" t="str">
        <f>Données_ATB!BR189</f>
        <v/>
      </c>
      <c r="W190" s="63" t="str">
        <f>Données_ATB!BS189</f>
        <v/>
      </c>
      <c r="Z190" s="42">
        <v>187</v>
      </c>
      <c r="AA190" t="e">
        <f t="shared" si="181"/>
        <v>#N/A</v>
      </c>
      <c r="AB190" s="63" t="e">
        <f t="shared" si="182"/>
        <v>#N/A</v>
      </c>
      <c r="BF190" s="63"/>
      <c r="BT190" s="194" t="str">
        <f t="shared" ca="1" si="165"/>
        <v/>
      </c>
      <c r="BU190" s="219" t="str">
        <f>IFERROR(IF(BX190=0,"",COUNTIF(BX$4:BX$600,"&gt;"&amp;BX190)+COUNTIF(BX$4:BX190,BX190)),"")</f>
        <v/>
      </c>
      <c r="BV190" s="42" t="str">
        <f t="shared" si="166"/>
        <v>DOXY 2% PM</v>
      </c>
      <c r="BW190" t="e">
        <f>IF(IF(CE$2="Catégorie",IF(CE$3="Toutes",SUMIFS('Étape 1 - à remplir'!$F$31:$F$400,'Étape 1 - à remplir'!$E$31:$E$400,MASQ2!BV190,'Étape 1 - à remplir'!$G$31:$G$400,"lots"),SUMIFS('Étape 1 - à remplir'!$F$31:$F$400,'Étape 1 - à remplir'!$E$31:$E$400,MASQ2!BV190,'Étape 1 - à remplir'!$C$31:$C$400,CE$3)),IF(CE$2="Âge",IF(CE$3="Tous",SUMIFS('Étape 1 - à remplir'!$F$31:$F$400,'Étape 1 - à remplir'!$E$31:$E$400,MASQ2!BV190,'Étape 1 - à remplir'!$G$31:$G$400,"lots"),SUMIFS('Étape 1 - à remplir'!$F$31:$F$400,'Étape 1 - à remplir'!$E$31:$E$400,MASQ2!BV190,'Étape 1 - à remplir'!$P$31:$P$400,CE$3,'Étape 1 - à remplir'!$G$31:$G$400,"lots")),IF(CE$2="Atelier",IF(CE$3="Tous",SUMIFS('Étape 1 - à remplir'!$F$31:$F$400,'Étape 1 - à remplir'!$E$31:$E$400,MASQ2!BV190,'Étape 1 - à remplir'!$G$31:$G$400,"lots"),SUMIFS('Étape 1 - à remplir'!$F$31:$F$400,'Étape 1 - à remplir'!$E$31:$E$400,MASQ2!BV190,'Étape 1 - à remplir'!$O$31:$O$400,CE$3,'Étape 1 - à remplir'!$G$31:$G$400,"lots")),IF(CE$2="Espèce",IF(CE$3="Toutes",SUMIFS('Étape 1 - à remplir'!$F$31:$F$400,'Étape 1 - à remplir'!$E$31:$E$400,MASQ2!BV190,'Étape 1 - à remplir'!$G$31:$G$400,"lots"),SUMIFS('Étape 1 - à remplir'!$F$31:$F$400,'Étape 1 - à remplir'!$E$31:$E$400,MASQ2!BV190,'Étape 1 - à remplir'!$N$31:$N$400,CE$3,'Étape 1 - à remplir'!$G$31:$G$400,"lots"))))))=0,NA(),IF(CE$2="Catégorie",IF(CE$3="Toutes",SUMIFS('Étape 1 - à remplir'!$F$31:$F$400,'Étape 1 - à remplir'!$E$31:$E$400,MASQ2!BV190,'Étape 1 - à remplir'!$G$31:$G$400,"lots"),SUMIFS('Étape 1 - à remplir'!$F$31:$F$400,'Étape 1 - à remplir'!$E$31:$E$400,MASQ2!BV190,'Étape 1 - à remplir'!$C$31:$C$400,CE$3)),IF(CE$2="Âge",IF(CE$3="Tous",SUMIFS('Étape 1 - à remplir'!$F$31:$F$400,'Étape 1 - à remplir'!$E$31:$E$400,MASQ2!BV190,'Étape 1 - à remplir'!$G$31:$G$400,"lots"),SUMIFS('Étape 1 - à remplir'!$F$31:$F$400,'Étape 1 - à remplir'!$E$31:$E$400,MASQ2!BV190,'Étape 1 - à remplir'!$P$31:$P$400,CE$3,'Étape 1 - à remplir'!$G$31:$G$400,"lots")),IF(CE$2="Atelier",IF(CE$3="Tous",SUMIFS('Étape 1 - à remplir'!$F$31:$F$400,'Étape 1 - à remplir'!$E$31:$E$400,MASQ2!BV190,'Étape 1 - à remplir'!$G$31:$G$400,"lots"),SUMIFS('Étape 1 - à remplir'!$F$31:$F$400,'Étape 1 - à remplir'!$E$31:$E$400,MASQ2!BV190,'Étape 1 - à remplir'!$O$31:$O$400,CE$3,'Étape 1 - à remplir'!$G$31:$G$400,"lots")),IF(CE$2="Espèce",IF(CE$3="Toutes",SUMIFS('Étape 1 - à remplir'!$F$31:$F$400,'Étape 1 - à remplir'!$E$31:$E$400,MASQ2!BV190,'Étape 1 - à remplir'!$G$31:$G$400,"lots"),SUMIFS('Étape 1 - à remplir'!$F$31:$F$400,'Étape 1 - à remplir'!$E$31:$E$400,MASQ2!BV190,'Étape 1 - à remplir'!$N$31:$N$400,CE$3,'Étape 1 - à remplir'!$G$31:$G$400,"lots")))))))</f>
        <v>#N/A</v>
      </c>
      <c r="BX190">
        <f t="shared" si="183"/>
        <v>0</v>
      </c>
      <c r="BY190" t="str">
        <f t="shared" si="167"/>
        <v>Doxycycline</v>
      </c>
      <c r="BZ190" t="str">
        <f t="shared" si="168"/>
        <v/>
      </c>
      <c r="CA190" t="str">
        <f t="shared" si="169"/>
        <v/>
      </c>
      <c r="CB190" t="str">
        <f t="shared" si="170"/>
        <v>Tetracyclines</v>
      </c>
      <c r="CC190" t="str">
        <f t="shared" si="171"/>
        <v/>
      </c>
      <c r="CD190" s="63" t="str">
        <f t="shared" si="172"/>
        <v/>
      </c>
      <c r="CG190" s="42">
        <v>187</v>
      </c>
      <c r="CH190" s="42" t="e">
        <f t="shared" si="188"/>
        <v>#N/A</v>
      </c>
      <c r="CI190" s="63" t="e">
        <f t="shared" si="189"/>
        <v>#N/A</v>
      </c>
      <c r="DM190" s="63"/>
      <c r="EA190" s="194" t="str">
        <f t="shared" ca="1" si="173"/>
        <v/>
      </c>
      <c r="EB190" s="226" t="str">
        <f>IFERROR(IF(ED190=0,"",COUNTIF(ED$4:ED$600,"&gt;"&amp;ED190)+COUNTIF(ED$4:ED190,ED190)),"")</f>
        <v/>
      </c>
      <c r="EC190" t="str">
        <f t="shared" si="174"/>
        <v>DOXY 2% PM</v>
      </c>
      <c r="ED190" t="e">
        <f>IF(IF(EL$2="Catégorie",IF(EL$3="Toutes",SUMIFS('Étape 1 - à remplir'!$F$31:$F$400,'Étape 1 - à remplir'!$E$31:$E$400,MASQ2!EC190,'Étape 1 - à remplir'!$G$31:$G$400,"kg"),SUMIFS('Étape 1 - à remplir'!$F$31:$F$400,'Étape 1 - à remplir'!$E$31:$E$400,MASQ2!EC190,'Étape 1 - à remplir'!$C$31:$C$400,EL$3)),IF(EL$2="Âge",IF(EL$3="Tous",SUMIFS('Étape 1 - à remplir'!$F$31:$F$400,'Étape 1 - à remplir'!$E$31:$E$400,MASQ2!EC190,'Étape 1 - à remplir'!$G$31:$G$400,"kg"),SUMIFS('Étape 1 - à remplir'!$F$31:$F$400,'Étape 1 - à remplir'!$E$31:$E$400,MASQ2!EC190,'Étape 1 - à remplir'!$P$31:$P$400,EL$3,'Étape 1 - à remplir'!$G$31:$G$400,"kg")),IF(EL$2="Atelier",IF(EL$3="Tous",SUMIFS('Étape 1 - à remplir'!$F$31:$F$400,'Étape 1 - à remplir'!$E$31:$E$400,MASQ2!EC190,'Étape 1 - à remplir'!$G$31:$G$400,"kg"),SUMIFS('Étape 1 - à remplir'!$F$31:$F$400,'Étape 1 - à remplir'!$E$31:$E$400,MASQ2!EC190,'Étape 1 - à remplir'!$O$31:$O$400,EL$3,'Étape 1 - à remplir'!$G$31:$G$400,"kg")),IF(EL$2="Espèce",IF(EL$3="Toutes",SUMIFS('Étape 1 - à remplir'!$F$31:$F$400,'Étape 1 - à remplir'!$E$31:$E$400,MASQ2!EC190,'Étape 1 - à remplir'!$G$31:$G$400,"kg"),SUMIFS('Étape 1 - à remplir'!$F$31:$F$400,'Étape 1 - à remplir'!$E$31:$E$400,MASQ2!EC190,'Étape 1 - à remplir'!$N$31:$N$400,EL$3,'Étape 1 - à remplir'!$G$31:$G$400,"kg"))))))=0,NA(),IF(EL$2="Catégorie",IF(EL$3="Toutes",SUMIFS('Étape 1 - à remplir'!$F$31:$F$400,'Étape 1 - à remplir'!$E$31:$E$400,MASQ2!EC190,'Étape 1 - à remplir'!$G$31:$G$400,"kg"),SUMIFS('Étape 1 - à remplir'!$F$31:$F$400,'Étape 1 - à remplir'!$E$31:$E$400,MASQ2!EC190,'Étape 1 - à remplir'!$C$31:$C$400,EL$3)),IF(EL$2="Âge",IF(EL$3="Tous",SUMIFS('Étape 1 - à remplir'!$F$31:$F$400,'Étape 1 - à remplir'!$E$31:$E$400,MASQ2!EC190,'Étape 1 - à remplir'!$G$31:$G$400,"kg"),SUMIFS('Étape 1 - à remplir'!$F$31:$F$400,'Étape 1 - à remplir'!$E$31:$E$400,MASQ2!EC190,'Étape 1 - à remplir'!$P$31:$P$400,EL$3,'Étape 1 - à remplir'!$G$31:$G$400,"kg")),IF(EL$2="Atelier",IF(EL$3="Tous",SUMIFS('Étape 1 - à remplir'!$F$31:$F$400,'Étape 1 - à remplir'!$E$31:$E$400,MASQ2!EC190,'Étape 1 - à remplir'!$G$31:$G$400,"kg"),SUMIFS('Étape 1 - à remplir'!$F$31:$F$400,'Étape 1 - à remplir'!$E$31:$E$400,MASQ2!EC190,'Étape 1 - à remplir'!$O$31:$O$400,EL$3,'Étape 1 - à remplir'!$G$31:$G$400,"kg")),IF(EL$2="Espèce",IF(EL$3="Toutes",SUMIFS('Étape 1 - à remplir'!$F$31:$F$400,'Étape 1 - à remplir'!$E$31:$E$400,MASQ2!EC190,'Étape 1 - à remplir'!$G$31:$G$400,"kg"),SUMIFS('Étape 1 - à remplir'!$F$31:$F$400,'Étape 1 - à remplir'!$E$31:$E$400,MASQ2!EC190,'Étape 1 - à remplir'!$N$31:$N$400,EL$3,'Étape 1 - à remplir'!$G$31:$G$400,"kg")))))))</f>
        <v>#N/A</v>
      </c>
      <c r="EE190" s="76">
        <f t="shared" si="184"/>
        <v>0</v>
      </c>
      <c r="EF190" t="str">
        <f t="shared" si="175"/>
        <v>Doxycycline</v>
      </c>
      <c r="EG190" t="str">
        <f t="shared" si="176"/>
        <v/>
      </c>
      <c r="EH190" t="str">
        <f t="shared" si="177"/>
        <v/>
      </c>
      <c r="EI190" t="str">
        <f t="shared" si="178"/>
        <v>Tetracyclines</v>
      </c>
      <c r="EJ190" t="str">
        <f t="shared" si="179"/>
        <v/>
      </c>
      <c r="EK190" s="63" t="str">
        <f t="shared" si="180"/>
        <v/>
      </c>
      <c r="EN190" s="42">
        <v>187</v>
      </c>
      <c r="EO190" t="e">
        <f t="shared" si="186"/>
        <v>#N/A</v>
      </c>
      <c r="EP190" s="63" t="e">
        <f t="shared" si="187"/>
        <v>#N/A</v>
      </c>
      <c r="FT190" s="63"/>
    </row>
    <row r="191" spans="2:176" x14ac:dyDescent="0.3">
      <c r="B191" s="42"/>
      <c r="M191" s="194" t="str">
        <f ca="1">INDEX(Données_ATB!BD:BU,MATCH(MASQ2!O191,Données_ATB!BD:BD,0),18)</f>
        <v/>
      </c>
      <c r="N191" s="14" t="str">
        <f>IFERROR(IF(Q191=0,"",COUNTIF(Q$4:Q$600,"&gt;"&amp;Q191)+COUNTIF(Q$4:Q191,Q191)),"")</f>
        <v/>
      </c>
      <c r="O191" t="str">
        <f>Données_ATB!BD190</f>
        <v>DOXY 20 FRANVET</v>
      </c>
      <c r="P191" t="e">
        <f>IF(IF(X$2="Catégorie",IF(X$3="Toutes",SUMIFS('Étape 1 - à remplir'!$F$31:$F$400,'Étape 1 - à remplir'!$E$31:$E$400,MASQ2!O191,'Étape 1 - à remplir'!$G$31:$G$400,"animaux"),SUMIFS('Étape 1 - à remplir'!$F$31:$F$400,'Étape 1 - à remplir'!$E$31:$E$400,MASQ2!O191,'Étape 1 - à remplir'!$C$31:$C$400,X$3)),IF(X$2="Âge",IF(X$3="Tous",SUMIFS('Étape 1 - à remplir'!$F$31:$F$400,'Étape 1 - à remplir'!$E$31:$E$400,MASQ2!O191,'Étape 1 - à remplir'!$G$31:$G$400,"animaux"),SUMIFS('Étape 1 - à remplir'!$F$31:$F$400,'Étape 1 - à remplir'!$E$31:$E$400,MASQ2!O191,'Étape 1 - à remplir'!$P$31:$P$400,X$3)),IF(X$2="Atelier",IF(X$3="Tous",SUMIFS('Étape 1 - à remplir'!$F$31:$F$400,'Étape 1 - à remplir'!$E$31:$E$400,MASQ2!O191,'Étape 1 - à remplir'!$G$31:$G$400,"animaux"),SUMIFS('Étape 1 - à remplir'!$F$31:$F$400,'Étape 1 - à remplir'!$E$31:$E$400,MASQ2!O191,'Étape 1 - à remplir'!$O$31:$O$400,X$3)),IF(X$2="Espèce",IF(X$3="Toutes",SUMIFS('Étape 1 - à remplir'!$F$31:$F$400,'Étape 1 - à remplir'!$E$31:$E$400,MASQ2!O191,'Étape 1 - à remplir'!$G$31:$G$400,"animaux"),SUMIFS('Étape 1 - à remplir'!$F$31:$F$400,'Étape 1 - à remplir'!$E$31:$E$400,MASQ2!O191,'Étape 1 - à remplir'!$N$31:$N$400,X$3))))))=0,NA(),IF(X$2="Catégorie",IF(X$3="Toutes",SUMIFS('Étape 1 - à remplir'!$F$31:$F$400,'Étape 1 - à remplir'!$E$31:$E$400,MASQ2!O191,'Étape 1 - à remplir'!$G$31:$G$400,"animaux"),SUMIFS('Étape 1 - à remplir'!$F$31:$F$400,'Étape 1 - à remplir'!$E$31:$E$400,MASQ2!O191,'Étape 1 - à remplir'!$C$31:$C$400,X$3)),IF(X$2="Âge",IF(X$3="Tous",SUMIFS('Étape 1 - à remplir'!$F$31:$F$400,'Étape 1 - à remplir'!$E$31:$E$400,MASQ2!O191,'Étape 1 - à remplir'!$G$31:$G$400,"animaux"),SUMIFS('Étape 1 - à remplir'!$F$31:$F$400,'Étape 1 - à remplir'!$E$31:$E$400,MASQ2!O191,'Étape 1 - à remplir'!$P$31:$P$400,X$3)),IF(X$2="Atelier",IF(X$3="Tous",SUMIFS('Étape 1 - à remplir'!$F$31:$F$400,'Étape 1 - à remplir'!$E$31:$E$400,MASQ2!O191,'Étape 1 - à remplir'!$G$31:$G$400,"animaux"),SUMIFS('Étape 1 - à remplir'!$F$31:$F$400,'Étape 1 - à remplir'!$E$31:$E$400,MASQ2!O191,'Étape 1 - à remplir'!$O$31:$O$400,X$3)),IF(X$2="Espèce",IF(X$3="Toutes",SUMIFS('Étape 1 - à remplir'!$F$31:$F$400,'Étape 1 - à remplir'!$E$31:$E$400,MASQ2!O191,'Étape 1 - à remplir'!$G$31:$G$400,"animaux"),SUMIFS('Étape 1 - à remplir'!$F$31:$F$400,'Étape 1 - à remplir'!$E$31:$E$400,MASQ2!O191,'Étape 1 - à remplir'!$N$31:$N$400,X$3)))))))</f>
        <v>#N/A</v>
      </c>
      <c r="Q191" s="63">
        <f t="shared" si="185"/>
        <v>0</v>
      </c>
      <c r="R191" t="str">
        <f>Données_ATB!BM190</f>
        <v>Doxycycline</v>
      </c>
      <c r="S191" t="str">
        <f>Données_ATB!BN190</f>
        <v/>
      </c>
      <c r="T191" s="63" t="str">
        <f>Données_ATB!BO190</f>
        <v/>
      </c>
      <c r="U191" s="42" t="str">
        <f>Données_ATB!BQ190</f>
        <v>Tetracyclines</v>
      </c>
      <c r="V191" t="str">
        <f>Données_ATB!BR190</f>
        <v/>
      </c>
      <c r="W191" s="63" t="str">
        <f>Données_ATB!BS190</f>
        <v/>
      </c>
      <c r="Z191" s="42">
        <v>188</v>
      </c>
      <c r="AA191" t="e">
        <f t="shared" si="181"/>
        <v>#N/A</v>
      </c>
      <c r="AB191" s="63" t="e">
        <f t="shared" si="182"/>
        <v>#N/A</v>
      </c>
      <c r="BF191" s="63"/>
      <c r="BT191" s="194" t="str">
        <f t="shared" ca="1" si="165"/>
        <v/>
      </c>
      <c r="BU191" s="219" t="str">
        <f>IFERROR(IF(BX191=0,"",COUNTIF(BX$4:BX$600,"&gt;"&amp;BX191)+COUNTIF(BX$4:BX191,BX191)),"")</f>
        <v/>
      </c>
      <c r="BV191" s="42" t="str">
        <f t="shared" si="166"/>
        <v>DOXY 20 FRANVET</v>
      </c>
      <c r="BW191" t="e">
        <f>IF(IF(CE$2="Catégorie",IF(CE$3="Toutes",SUMIFS('Étape 1 - à remplir'!$F$31:$F$400,'Étape 1 - à remplir'!$E$31:$E$400,MASQ2!BV191,'Étape 1 - à remplir'!$G$31:$G$400,"lots"),SUMIFS('Étape 1 - à remplir'!$F$31:$F$400,'Étape 1 - à remplir'!$E$31:$E$400,MASQ2!BV191,'Étape 1 - à remplir'!$C$31:$C$400,CE$3)),IF(CE$2="Âge",IF(CE$3="Tous",SUMIFS('Étape 1 - à remplir'!$F$31:$F$400,'Étape 1 - à remplir'!$E$31:$E$400,MASQ2!BV191,'Étape 1 - à remplir'!$G$31:$G$400,"lots"),SUMIFS('Étape 1 - à remplir'!$F$31:$F$400,'Étape 1 - à remplir'!$E$31:$E$400,MASQ2!BV191,'Étape 1 - à remplir'!$P$31:$P$400,CE$3,'Étape 1 - à remplir'!$G$31:$G$400,"lots")),IF(CE$2="Atelier",IF(CE$3="Tous",SUMIFS('Étape 1 - à remplir'!$F$31:$F$400,'Étape 1 - à remplir'!$E$31:$E$400,MASQ2!BV191,'Étape 1 - à remplir'!$G$31:$G$400,"lots"),SUMIFS('Étape 1 - à remplir'!$F$31:$F$400,'Étape 1 - à remplir'!$E$31:$E$400,MASQ2!BV191,'Étape 1 - à remplir'!$O$31:$O$400,CE$3,'Étape 1 - à remplir'!$G$31:$G$400,"lots")),IF(CE$2="Espèce",IF(CE$3="Toutes",SUMIFS('Étape 1 - à remplir'!$F$31:$F$400,'Étape 1 - à remplir'!$E$31:$E$400,MASQ2!BV191,'Étape 1 - à remplir'!$G$31:$G$400,"lots"),SUMIFS('Étape 1 - à remplir'!$F$31:$F$400,'Étape 1 - à remplir'!$E$31:$E$400,MASQ2!BV191,'Étape 1 - à remplir'!$N$31:$N$400,CE$3,'Étape 1 - à remplir'!$G$31:$G$400,"lots"))))))=0,NA(),IF(CE$2="Catégorie",IF(CE$3="Toutes",SUMIFS('Étape 1 - à remplir'!$F$31:$F$400,'Étape 1 - à remplir'!$E$31:$E$400,MASQ2!BV191,'Étape 1 - à remplir'!$G$31:$G$400,"lots"),SUMIFS('Étape 1 - à remplir'!$F$31:$F$400,'Étape 1 - à remplir'!$E$31:$E$400,MASQ2!BV191,'Étape 1 - à remplir'!$C$31:$C$400,CE$3)),IF(CE$2="Âge",IF(CE$3="Tous",SUMIFS('Étape 1 - à remplir'!$F$31:$F$400,'Étape 1 - à remplir'!$E$31:$E$400,MASQ2!BV191,'Étape 1 - à remplir'!$G$31:$G$400,"lots"),SUMIFS('Étape 1 - à remplir'!$F$31:$F$400,'Étape 1 - à remplir'!$E$31:$E$400,MASQ2!BV191,'Étape 1 - à remplir'!$P$31:$P$400,CE$3,'Étape 1 - à remplir'!$G$31:$G$400,"lots")),IF(CE$2="Atelier",IF(CE$3="Tous",SUMIFS('Étape 1 - à remplir'!$F$31:$F$400,'Étape 1 - à remplir'!$E$31:$E$400,MASQ2!BV191,'Étape 1 - à remplir'!$G$31:$G$400,"lots"),SUMIFS('Étape 1 - à remplir'!$F$31:$F$400,'Étape 1 - à remplir'!$E$31:$E$400,MASQ2!BV191,'Étape 1 - à remplir'!$O$31:$O$400,CE$3,'Étape 1 - à remplir'!$G$31:$G$400,"lots")),IF(CE$2="Espèce",IF(CE$3="Toutes",SUMIFS('Étape 1 - à remplir'!$F$31:$F$400,'Étape 1 - à remplir'!$E$31:$E$400,MASQ2!BV191,'Étape 1 - à remplir'!$G$31:$G$400,"lots"),SUMIFS('Étape 1 - à remplir'!$F$31:$F$400,'Étape 1 - à remplir'!$E$31:$E$400,MASQ2!BV191,'Étape 1 - à remplir'!$N$31:$N$400,CE$3,'Étape 1 - à remplir'!$G$31:$G$400,"lots")))))))</f>
        <v>#N/A</v>
      </c>
      <c r="BX191">
        <f t="shared" si="183"/>
        <v>0</v>
      </c>
      <c r="BY191" t="str">
        <f t="shared" si="167"/>
        <v>Doxycycline</v>
      </c>
      <c r="BZ191" t="str">
        <f t="shared" si="168"/>
        <v/>
      </c>
      <c r="CA191" t="str">
        <f t="shared" si="169"/>
        <v/>
      </c>
      <c r="CB191" t="str">
        <f t="shared" si="170"/>
        <v>Tetracyclines</v>
      </c>
      <c r="CC191" t="str">
        <f t="shared" si="171"/>
        <v/>
      </c>
      <c r="CD191" s="63" t="str">
        <f t="shared" si="172"/>
        <v/>
      </c>
      <c r="CG191" s="42">
        <v>188</v>
      </c>
      <c r="CH191" s="42" t="e">
        <f t="shared" si="188"/>
        <v>#N/A</v>
      </c>
      <c r="CI191" s="63" t="e">
        <f t="shared" si="189"/>
        <v>#N/A</v>
      </c>
      <c r="DM191" s="63"/>
      <c r="EA191" s="194" t="str">
        <f t="shared" ca="1" si="173"/>
        <v/>
      </c>
      <c r="EB191" s="226" t="str">
        <f>IFERROR(IF(ED191=0,"",COUNTIF(ED$4:ED$600,"&gt;"&amp;ED191)+COUNTIF(ED$4:ED191,ED191)),"")</f>
        <v/>
      </c>
      <c r="EC191" t="str">
        <f t="shared" si="174"/>
        <v>DOXY 20 FRANVET</v>
      </c>
      <c r="ED191" t="e">
        <f>IF(IF(EL$2="Catégorie",IF(EL$3="Toutes",SUMIFS('Étape 1 - à remplir'!$F$31:$F$400,'Étape 1 - à remplir'!$E$31:$E$400,MASQ2!EC191,'Étape 1 - à remplir'!$G$31:$G$400,"kg"),SUMIFS('Étape 1 - à remplir'!$F$31:$F$400,'Étape 1 - à remplir'!$E$31:$E$400,MASQ2!EC191,'Étape 1 - à remplir'!$C$31:$C$400,EL$3)),IF(EL$2="Âge",IF(EL$3="Tous",SUMIFS('Étape 1 - à remplir'!$F$31:$F$400,'Étape 1 - à remplir'!$E$31:$E$400,MASQ2!EC191,'Étape 1 - à remplir'!$G$31:$G$400,"kg"),SUMIFS('Étape 1 - à remplir'!$F$31:$F$400,'Étape 1 - à remplir'!$E$31:$E$400,MASQ2!EC191,'Étape 1 - à remplir'!$P$31:$P$400,EL$3,'Étape 1 - à remplir'!$G$31:$G$400,"kg")),IF(EL$2="Atelier",IF(EL$3="Tous",SUMIFS('Étape 1 - à remplir'!$F$31:$F$400,'Étape 1 - à remplir'!$E$31:$E$400,MASQ2!EC191,'Étape 1 - à remplir'!$G$31:$G$400,"kg"),SUMIFS('Étape 1 - à remplir'!$F$31:$F$400,'Étape 1 - à remplir'!$E$31:$E$400,MASQ2!EC191,'Étape 1 - à remplir'!$O$31:$O$400,EL$3,'Étape 1 - à remplir'!$G$31:$G$400,"kg")),IF(EL$2="Espèce",IF(EL$3="Toutes",SUMIFS('Étape 1 - à remplir'!$F$31:$F$400,'Étape 1 - à remplir'!$E$31:$E$400,MASQ2!EC191,'Étape 1 - à remplir'!$G$31:$G$400,"kg"),SUMIFS('Étape 1 - à remplir'!$F$31:$F$400,'Étape 1 - à remplir'!$E$31:$E$400,MASQ2!EC191,'Étape 1 - à remplir'!$N$31:$N$400,EL$3,'Étape 1 - à remplir'!$G$31:$G$400,"kg"))))))=0,NA(),IF(EL$2="Catégorie",IF(EL$3="Toutes",SUMIFS('Étape 1 - à remplir'!$F$31:$F$400,'Étape 1 - à remplir'!$E$31:$E$400,MASQ2!EC191,'Étape 1 - à remplir'!$G$31:$G$400,"kg"),SUMIFS('Étape 1 - à remplir'!$F$31:$F$400,'Étape 1 - à remplir'!$E$31:$E$400,MASQ2!EC191,'Étape 1 - à remplir'!$C$31:$C$400,EL$3)),IF(EL$2="Âge",IF(EL$3="Tous",SUMIFS('Étape 1 - à remplir'!$F$31:$F$400,'Étape 1 - à remplir'!$E$31:$E$400,MASQ2!EC191,'Étape 1 - à remplir'!$G$31:$G$400,"kg"),SUMIFS('Étape 1 - à remplir'!$F$31:$F$400,'Étape 1 - à remplir'!$E$31:$E$400,MASQ2!EC191,'Étape 1 - à remplir'!$P$31:$P$400,EL$3,'Étape 1 - à remplir'!$G$31:$G$400,"kg")),IF(EL$2="Atelier",IF(EL$3="Tous",SUMIFS('Étape 1 - à remplir'!$F$31:$F$400,'Étape 1 - à remplir'!$E$31:$E$400,MASQ2!EC191,'Étape 1 - à remplir'!$G$31:$G$400,"kg"),SUMIFS('Étape 1 - à remplir'!$F$31:$F$400,'Étape 1 - à remplir'!$E$31:$E$400,MASQ2!EC191,'Étape 1 - à remplir'!$O$31:$O$400,EL$3,'Étape 1 - à remplir'!$G$31:$G$400,"kg")),IF(EL$2="Espèce",IF(EL$3="Toutes",SUMIFS('Étape 1 - à remplir'!$F$31:$F$400,'Étape 1 - à remplir'!$E$31:$E$400,MASQ2!EC191,'Étape 1 - à remplir'!$G$31:$G$400,"kg"),SUMIFS('Étape 1 - à remplir'!$F$31:$F$400,'Étape 1 - à remplir'!$E$31:$E$400,MASQ2!EC191,'Étape 1 - à remplir'!$N$31:$N$400,EL$3,'Étape 1 - à remplir'!$G$31:$G$400,"kg")))))))</f>
        <v>#N/A</v>
      </c>
      <c r="EE191" s="76">
        <f t="shared" si="184"/>
        <v>0</v>
      </c>
      <c r="EF191" t="str">
        <f t="shared" si="175"/>
        <v>Doxycycline</v>
      </c>
      <c r="EG191" t="str">
        <f t="shared" si="176"/>
        <v/>
      </c>
      <c r="EH191" t="str">
        <f t="shared" si="177"/>
        <v/>
      </c>
      <c r="EI191" t="str">
        <f t="shared" si="178"/>
        <v>Tetracyclines</v>
      </c>
      <c r="EJ191" t="str">
        <f t="shared" si="179"/>
        <v/>
      </c>
      <c r="EK191" s="63" t="str">
        <f t="shared" si="180"/>
        <v/>
      </c>
      <c r="EN191" s="42">
        <v>188</v>
      </c>
      <c r="EO191" t="e">
        <f t="shared" si="186"/>
        <v>#N/A</v>
      </c>
      <c r="EP191" s="63" t="e">
        <f t="shared" si="187"/>
        <v>#N/A</v>
      </c>
      <c r="FT191" s="63"/>
    </row>
    <row r="192" spans="2:176" x14ac:dyDescent="0.3">
      <c r="B192" s="42"/>
      <c r="M192" s="194" t="str">
        <f ca="1">INDEX(Données_ATB!BD:BU,MATCH(MASQ2!O192,Données_ATB!BD:BD,0),18)</f>
        <v/>
      </c>
      <c r="N192" s="14" t="str">
        <f>IFERROR(IF(Q192=0,"",COUNTIF(Q$4:Q$600,"&gt;"&amp;Q192)+COUNTIF(Q$4:Q192,Q192)),"")</f>
        <v/>
      </c>
      <c r="O192" t="str">
        <f>Données_ATB!BD191</f>
        <v>DOXY 4% PM</v>
      </c>
      <c r="P192" t="e">
        <f>IF(IF(X$2="Catégorie",IF(X$3="Toutes",SUMIFS('Étape 1 - à remplir'!$F$31:$F$400,'Étape 1 - à remplir'!$E$31:$E$400,MASQ2!O192,'Étape 1 - à remplir'!$G$31:$G$400,"animaux"),SUMIFS('Étape 1 - à remplir'!$F$31:$F$400,'Étape 1 - à remplir'!$E$31:$E$400,MASQ2!O192,'Étape 1 - à remplir'!$C$31:$C$400,X$3)),IF(X$2="Âge",IF(X$3="Tous",SUMIFS('Étape 1 - à remplir'!$F$31:$F$400,'Étape 1 - à remplir'!$E$31:$E$400,MASQ2!O192,'Étape 1 - à remplir'!$G$31:$G$400,"animaux"),SUMIFS('Étape 1 - à remplir'!$F$31:$F$400,'Étape 1 - à remplir'!$E$31:$E$400,MASQ2!O192,'Étape 1 - à remplir'!$P$31:$P$400,X$3)),IF(X$2="Atelier",IF(X$3="Tous",SUMIFS('Étape 1 - à remplir'!$F$31:$F$400,'Étape 1 - à remplir'!$E$31:$E$400,MASQ2!O192,'Étape 1 - à remplir'!$G$31:$G$400,"animaux"),SUMIFS('Étape 1 - à remplir'!$F$31:$F$400,'Étape 1 - à remplir'!$E$31:$E$400,MASQ2!O192,'Étape 1 - à remplir'!$O$31:$O$400,X$3)),IF(X$2="Espèce",IF(X$3="Toutes",SUMIFS('Étape 1 - à remplir'!$F$31:$F$400,'Étape 1 - à remplir'!$E$31:$E$400,MASQ2!O192,'Étape 1 - à remplir'!$G$31:$G$400,"animaux"),SUMIFS('Étape 1 - à remplir'!$F$31:$F$400,'Étape 1 - à remplir'!$E$31:$E$400,MASQ2!O192,'Étape 1 - à remplir'!$N$31:$N$400,X$3))))))=0,NA(),IF(X$2="Catégorie",IF(X$3="Toutes",SUMIFS('Étape 1 - à remplir'!$F$31:$F$400,'Étape 1 - à remplir'!$E$31:$E$400,MASQ2!O192,'Étape 1 - à remplir'!$G$31:$G$400,"animaux"),SUMIFS('Étape 1 - à remplir'!$F$31:$F$400,'Étape 1 - à remplir'!$E$31:$E$400,MASQ2!O192,'Étape 1 - à remplir'!$C$31:$C$400,X$3)),IF(X$2="Âge",IF(X$3="Tous",SUMIFS('Étape 1 - à remplir'!$F$31:$F$400,'Étape 1 - à remplir'!$E$31:$E$400,MASQ2!O192,'Étape 1 - à remplir'!$G$31:$G$400,"animaux"),SUMIFS('Étape 1 - à remplir'!$F$31:$F$400,'Étape 1 - à remplir'!$E$31:$E$400,MASQ2!O192,'Étape 1 - à remplir'!$P$31:$P$400,X$3)),IF(X$2="Atelier",IF(X$3="Tous",SUMIFS('Étape 1 - à remplir'!$F$31:$F$400,'Étape 1 - à remplir'!$E$31:$E$400,MASQ2!O192,'Étape 1 - à remplir'!$G$31:$G$400,"animaux"),SUMIFS('Étape 1 - à remplir'!$F$31:$F$400,'Étape 1 - à remplir'!$E$31:$E$400,MASQ2!O192,'Étape 1 - à remplir'!$O$31:$O$400,X$3)),IF(X$2="Espèce",IF(X$3="Toutes",SUMIFS('Étape 1 - à remplir'!$F$31:$F$400,'Étape 1 - à remplir'!$E$31:$E$400,MASQ2!O192,'Étape 1 - à remplir'!$G$31:$G$400,"animaux"),SUMIFS('Étape 1 - à remplir'!$F$31:$F$400,'Étape 1 - à remplir'!$E$31:$E$400,MASQ2!O192,'Étape 1 - à remplir'!$N$31:$N$400,X$3)))))))</f>
        <v>#N/A</v>
      </c>
      <c r="Q192" s="63">
        <f t="shared" si="185"/>
        <v>0</v>
      </c>
      <c r="R192" t="str">
        <f>Données_ATB!BM191</f>
        <v>Doxycycline</v>
      </c>
      <c r="S192" t="str">
        <f>Données_ATB!BN191</f>
        <v/>
      </c>
      <c r="T192" s="63" t="str">
        <f>Données_ATB!BO191</f>
        <v/>
      </c>
      <c r="U192" s="42" t="str">
        <f>Données_ATB!BQ191</f>
        <v>Tetracyclines</v>
      </c>
      <c r="V192" t="str">
        <f>Données_ATB!BR191</f>
        <v/>
      </c>
      <c r="W192" s="63" t="str">
        <f>Données_ATB!BS191</f>
        <v/>
      </c>
      <c r="Z192" s="42">
        <v>189</v>
      </c>
      <c r="AA192" t="e">
        <f t="shared" si="181"/>
        <v>#N/A</v>
      </c>
      <c r="AB192" s="63" t="e">
        <f t="shared" si="182"/>
        <v>#N/A</v>
      </c>
      <c r="BF192" s="63"/>
      <c r="BT192" s="194" t="str">
        <f t="shared" ca="1" si="165"/>
        <v/>
      </c>
      <c r="BU192" s="219" t="str">
        <f>IFERROR(IF(BX192=0,"",COUNTIF(BX$4:BX$600,"&gt;"&amp;BX192)+COUNTIF(BX$4:BX192,BX192)),"")</f>
        <v/>
      </c>
      <c r="BV192" s="42" t="str">
        <f t="shared" si="166"/>
        <v>DOXY 4% PM</v>
      </c>
      <c r="BW192" t="e">
        <f>IF(IF(CE$2="Catégorie",IF(CE$3="Toutes",SUMIFS('Étape 1 - à remplir'!$F$31:$F$400,'Étape 1 - à remplir'!$E$31:$E$400,MASQ2!BV192,'Étape 1 - à remplir'!$G$31:$G$400,"lots"),SUMIFS('Étape 1 - à remplir'!$F$31:$F$400,'Étape 1 - à remplir'!$E$31:$E$400,MASQ2!BV192,'Étape 1 - à remplir'!$C$31:$C$400,CE$3)),IF(CE$2="Âge",IF(CE$3="Tous",SUMIFS('Étape 1 - à remplir'!$F$31:$F$400,'Étape 1 - à remplir'!$E$31:$E$400,MASQ2!BV192,'Étape 1 - à remplir'!$G$31:$G$400,"lots"),SUMIFS('Étape 1 - à remplir'!$F$31:$F$400,'Étape 1 - à remplir'!$E$31:$E$400,MASQ2!BV192,'Étape 1 - à remplir'!$P$31:$P$400,CE$3,'Étape 1 - à remplir'!$G$31:$G$400,"lots")),IF(CE$2="Atelier",IF(CE$3="Tous",SUMIFS('Étape 1 - à remplir'!$F$31:$F$400,'Étape 1 - à remplir'!$E$31:$E$400,MASQ2!BV192,'Étape 1 - à remplir'!$G$31:$G$400,"lots"),SUMIFS('Étape 1 - à remplir'!$F$31:$F$400,'Étape 1 - à remplir'!$E$31:$E$400,MASQ2!BV192,'Étape 1 - à remplir'!$O$31:$O$400,CE$3,'Étape 1 - à remplir'!$G$31:$G$400,"lots")),IF(CE$2="Espèce",IF(CE$3="Toutes",SUMIFS('Étape 1 - à remplir'!$F$31:$F$400,'Étape 1 - à remplir'!$E$31:$E$400,MASQ2!BV192,'Étape 1 - à remplir'!$G$31:$G$400,"lots"),SUMIFS('Étape 1 - à remplir'!$F$31:$F$400,'Étape 1 - à remplir'!$E$31:$E$400,MASQ2!BV192,'Étape 1 - à remplir'!$N$31:$N$400,CE$3,'Étape 1 - à remplir'!$G$31:$G$400,"lots"))))))=0,NA(),IF(CE$2="Catégorie",IF(CE$3="Toutes",SUMIFS('Étape 1 - à remplir'!$F$31:$F$400,'Étape 1 - à remplir'!$E$31:$E$400,MASQ2!BV192,'Étape 1 - à remplir'!$G$31:$G$400,"lots"),SUMIFS('Étape 1 - à remplir'!$F$31:$F$400,'Étape 1 - à remplir'!$E$31:$E$400,MASQ2!BV192,'Étape 1 - à remplir'!$C$31:$C$400,CE$3)),IF(CE$2="Âge",IF(CE$3="Tous",SUMIFS('Étape 1 - à remplir'!$F$31:$F$400,'Étape 1 - à remplir'!$E$31:$E$400,MASQ2!BV192,'Étape 1 - à remplir'!$G$31:$G$400,"lots"),SUMIFS('Étape 1 - à remplir'!$F$31:$F$400,'Étape 1 - à remplir'!$E$31:$E$400,MASQ2!BV192,'Étape 1 - à remplir'!$P$31:$P$400,CE$3,'Étape 1 - à remplir'!$G$31:$G$400,"lots")),IF(CE$2="Atelier",IF(CE$3="Tous",SUMIFS('Étape 1 - à remplir'!$F$31:$F$400,'Étape 1 - à remplir'!$E$31:$E$400,MASQ2!BV192,'Étape 1 - à remplir'!$G$31:$G$400,"lots"),SUMIFS('Étape 1 - à remplir'!$F$31:$F$400,'Étape 1 - à remplir'!$E$31:$E$400,MASQ2!BV192,'Étape 1 - à remplir'!$O$31:$O$400,CE$3,'Étape 1 - à remplir'!$G$31:$G$400,"lots")),IF(CE$2="Espèce",IF(CE$3="Toutes",SUMIFS('Étape 1 - à remplir'!$F$31:$F$400,'Étape 1 - à remplir'!$E$31:$E$400,MASQ2!BV192,'Étape 1 - à remplir'!$G$31:$G$400,"lots"),SUMIFS('Étape 1 - à remplir'!$F$31:$F$400,'Étape 1 - à remplir'!$E$31:$E$400,MASQ2!BV192,'Étape 1 - à remplir'!$N$31:$N$400,CE$3,'Étape 1 - à remplir'!$G$31:$G$400,"lots")))))))</f>
        <v>#N/A</v>
      </c>
      <c r="BX192">
        <f t="shared" si="183"/>
        <v>0</v>
      </c>
      <c r="BY192" t="str">
        <f t="shared" si="167"/>
        <v>Doxycycline</v>
      </c>
      <c r="BZ192" t="str">
        <f t="shared" si="168"/>
        <v/>
      </c>
      <c r="CA192" t="str">
        <f t="shared" si="169"/>
        <v/>
      </c>
      <c r="CB192" t="str">
        <f t="shared" si="170"/>
        <v>Tetracyclines</v>
      </c>
      <c r="CC192" t="str">
        <f t="shared" si="171"/>
        <v/>
      </c>
      <c r="CD192" s="63" t="str">
        <f t="shared" si="172"/>
        <v/>
      </c>
      <c r="CG192" s="42">
        <v>189</v>
      </c>
      <c r="CH192" s="42" t="e">
        <f t="shared" si="188"/>
        <v>#N/A</v>
      </c>
      <c r="CI192" s="63" t="e">
        <f t="shared" si="189"/>
        <v>#N/A</v>
      </c>
      <c r="DM192" s="63"/>
      <c r="EA192" s="194" t="str">
        <f t="shared" ca="1" si="173"/>
        <v/>
      </c>
      <c r="EB192" s="226" t="str">
        <f>IFERROR(IF(ED192=0,"",COUNTIF(ED$4:ED$600,"&gt;"&amp;ED192)+COUNTIF(ED$4:ED192,ED192)),"")</f>
        <v/>
      </c>
      <c r="EC192" t="str">
        <f t="shared" si="174"/>
        <v>DOXY 4% PM</v>
      </c>
      <c r="ED192" t="e">
        <f>IF(IF(EL$2="Catégorie",IF(EL$3="Toutes",SUMIFS('Étape 1 - à remplir'!$F$31:$F$400,'Étape 1 - à remplir'!$E$31:$E$400,MASQ2!EC192,'Étape 1 - à remplir'!$G$31:$G$400,"kg"),SUMIFS('Étape 1 - à remplir'!$F$31:$F$400,'Étape 1 - à remplir'!$E$31:$E$400,MASQ2!EC192,'Étape 1 - à remplir'!$C$31:$C$400,EL$3)),IF(EL$2="Âge",IF(EL$3="Tous",SUMIFS('Étape 1 - à remplir'!$F$31:$F$400,'Étape 1 - à remplir'!$E$31:$E$400,MASQ2!EC192,'Étape 1 - à remplir'!$G$31:$G$400,"kg"),SUMIFS('Étape 1 - à remplir'!$F$31:$F$400,'Étape 1 - à remplir'!$E$31:$E$400,MASQ2!EC192,'Étape 1 - à remplir'!$P$31:$P$400,EL$3,'Étape 1 - à remplir'!$G$31:$G$400,"kg")),IF(EL$2="Atelier",IF(EL$3="Tous",SUMIFS('Étape 1 - à remplir'!$F$31:$F$400,'Étape 1 - à remplir'!$E$31:$E$400,MASQ2!EC192,'Étape 1 - à remplir'!$G$31:$G$400,"kg"),SUMIFS('Étape 1 - à remplir'!$F$31:$F$400,'Étape 1 - à remplir'!$E$31:$E$400,MASQ2!EC192,'Étape 1 - à remplir'!$O$31:$O$400,EL$3,'Étape 1 - à remplir'!$G$31:$G$400,"kg")),IF(EL$2="Espèce",IF(EL$3="Toutes",SUMIFS('Étape 1 - à remplir'!$F$31:$F$400,'Étape 1 - à remplir'!$E$31:$E$400,MASQ2!EC192,'Étape 1 - à remplir'!$G$31:$G$400,"kg"),SUMIFS('Étape 1 - à remplir'!$F$31:$F$400,'Étape 1 - à remplir'!$E$31:$E$400,MASQ2!EC192,'Étape 1 - à remplir'!$N$31:$N$400,EL$3,'Étape 1 - à remplir'!$G$31:$G$400,"kg"))))))=0,NA(),IF(EL$2="Catégorie",IF(EL$3="Toutes",SUMIFS('Étape 1 - à remplir'!$F$31:$F$400,'Étape 1 - à remplir'!$E$31:$E$400,MASQ2!EC192,'Étape 1 - à remplir'!$G$31:$G$400,"kg"),SUMIFS('Étape 1 - à remplir'!$F$31:$F$400,'Étape 1 - à remplir'!$E$31:$E$400,MASQ2!EC192,'Étape 1 - à remplir'!$C$31:$C$400,EL$3)),IF(EL$2="Âge",IF(EL$3="Tous",SUMIFS('Étape 1 - à remplir'!$F$31:$F$400,'Étape 1 - à remplir'!$E$31:$E$400,MASQ2!EC192,'Étape 1 - à remplir'!$G$31:$G$400,"kg"),SUMIFS('Étape 1 - à remplir'!$F$31:$F$400,'Étape 1 - à remplir'!$E$31:$E$400,MASQ2!EC192,'Étape 1 - à remplir'!$P$31:$P$400,EL$3,'Étape 1 - à remplir'!$G$31:$G$400,"kg")),IF(EL$2="Atelier",IF(EL$3="Tous",SUMIFS('Étape 1 - à remplir'!$F$31:$F$400,'Étape 1 - à remplir'!$E$31:$E$400,MASQ2!EC192,'Étape 1 - à remplir'!$G$31:$G$400,"kg"),SUMIFS('Étape 1 - à remplir'!$F$31:$F$400,'Étape 1 - à remplir'!$E$31:$E$400,MASQ2!EC192,'Étape 1 - à remplir'!$O$31:$O$400,EL$3,'Étape 1 - à remplir'!$G$31:$G$400,"kg")),IF(EL$2="Espèce",IF(EL$3="Toutes",SUMIFS('Étape 1 - à remplir'!$F$31:$F$400,'Étape 1 - à remplir'!$E$31:$E$400,MASQ2!EC192,'Étape 1 - à remplir'!$G$31:$G$400,"kg"),SUMIFS('Étape 1 - à remplir'!$F$31:$F$400,'Étape 1 - à remplir'!$E$31:$E$400,MASQ2!EC192,'Étape 1 - à remplir'!$N$31:$N$400,EL$3,'Étape 1 - à remplir'!$G$31:$G$400,"kg")))))))</f>
        <v>#N/A</v>
      </c>
      <c r="EE192" s="76">
        <f t="shared" si="184"/>
        <v>0</v>
      </c>
      <c r="EF192" t="str">
        <f t="shared" si="175"/>
        <v>Doxycycline</v>
      </c>
      <c r="EG192" t="str">
        <f t="shared" si="176"/>
        <v/>
      </c>
      <c r="EH192" t="str">
        <f t="shared" si="177"/>
        <v/>
      </c>
      <c r="EI192" t="str">
        <f t="shared" si="178"/>
        <v>Tetracyclines</v>
      </c>
      <c r="EJ192" t="str">
        <f t="shared" si="179"/>
        <v/>
      </c>
      <c r="EK192" s="63" t="str">
        <f t="shared" si="180"/>
        <v/>
      </c>
      <c r="EN192" s="42">
        <v>189</v>
      </c>
      <c r="EO192" t="e">
        <f t="shared" si="186"/>
        <v>#N/A</v>
      </c>
      <c r="EP192" s="63" t="e">
        <f t="shared" si="187"/>
        <v>#N/A</v>
      </c>
      <c r="FT192" s="63"/>
    </row>
    <row r="193" spans="2:176" x14ac:dyDescent="0.3">
      <c r="B193" s="42"/>
      <c r="M193" s="194" t="str">
        <f ca="1">INDEX(Données_ATB!BD:BU,MATCH(MASQ2!O193,Données_ATB!BD:BD,0),18)</f>
        <v/>
      </c>
      <c r="N193" s="14" t="str">
        <f>IFERROR(IF(Q193=0,"",COUNTIF(Q$4:Q$600,"&gt;"&amp;Q193)+COUNTIF(Q$4:Q193,Q193)),"")</f>
        <v/>
      </c>
      <c r="O193" t="str">
        <f>Données_ATB!BD192</f>
        <v>DOXY 5 FRANVET</v>
      </c>
      <c r="P193" t="e">
        <f>IF(IF(X$2="Catégorie",IF(X$3="Toutes",SUMIFS('Étape 1 - à remplir'!$F$31:$F$400,'Étape 1 - à remplir'!$E$31:$E$400,MASQ2!O193,'Étape 1 - à remplir'!$G$31:$G$400,"animaux"),SUMIFS('Étape 1 - à remplir'!$F$31:$F$400,'Étape 1 - à remplir'!$E$31:$E$400,MASQ2!O193,'Étape 1 - à remplir'!$C$31:$C$400,X$3)),IF(X$2="Âge",IF(X$3="Tous",SUMIFS('Étape 1 - à remplir'!$F$31:$F$400,'Étape 1 - à remplir'!$E$31:$E$400,MASQ2!O193,'Étape 1 - à remplir'!$G$31:$G$400,"animaux"),SUMIFS('Étape 1 - à remplir'!$F$31:$F$400,'Étape 1 - à remplir'!$E$31:$E$400,MASQ2!O193,'Étape 1 - à remplir'!$P$31:$P$400,X$3)),IF(X$2="Atelier",IF(X$3="Tous",SUMIFS('Étape 1 - à remplir'!$F$31:$F$400,'Étape 1 - à remplir'!$E$31:$E$400,MASQ2!O193,'Étape 1 - à remplir'!$G$31:$G$400,"animaux"),SUMIFS('Étape 1 - à remplir'!$F$31:$F$400,'Étape 1 - à remplir'!$E$31:$E$400,MASQ2!O193,'Étape 1 - à remplir'!$O$31:$O$400,X$3)),IF(X$2="Espèce",IF(X$3="Toutes",SUMIFS('Étape 1 - à remplir'!$F$31:$F$400,'Étape 1 - à remplir'!$E$31:$E$400,MASQ2!O193,'Étape 1 - à remplir'!$G$31:$G$400,"animaux"),SUMIFS('Étape 1 - à remplir'!$F$31:$F$400,'Étape 1 - à remplir'!$E$31:$E$400,MASQ2!O193,'Étape 1 - à remplir'!$N$31:$N$400,X$3))))))=0,NA(),IF(X$2="Catégorie",IF(X$3="Toutes",SUMIFS('Étape 1 - à remplir'!$F$31:$F$400,'Étape 1 - à remplir'!$E$31:$E$400,MASQ2!O193,'Étape 1 - à remplir'!$G$31:$G$400,"animaux"),SUMIFS('Étape 1 - à remplir'!$F$31:$F$400,'Étape 1 - à remplir'!$E$31:$E$400,MASQ2!O193,'Étape 1 - à remplir'!$C$31:$C$400,X$3)),IF(X$2="Âge",IF(X$3="Tous",SUMIFS('Étape 1 - à remplir'!$F$31:$F$400,'Étape 1 - à remplir'!$E$31:$E$400,MASQ2!O193,'Étape 1 - à remplir'!$G$31:$G$400,"animaux"),SUMIFS('Étape 1 - à remplir'!$F$31:$F$400,'Étape 1 - à remplir'!$E$31:$E$400,MASQ2!O193,'Étape 1 - à remplir'!$P$31:$P$400,X$3)),IF(X$2="Atelier",IF(X$3="Tous",SUMIFS('Étape 1 - à remplir'!$F$31:$F$400,'Étape 1 - à remplir'!$E$31:$E$400,MASQ2!O193,'Étape 1 - à remplir'!$G$31:$G$400,"animaux"),SUMIFS('Étape 1 - à remplir'!$F$31:$F$400,'Étape 1 - à remplir'!$E$31:$E$400,MASQ2!O193,'Étape 1 - à remplir'!$O$31:$O$400,X$3)),IF(X$2="Espèce",IF(X$3="Toutes",SUMIFS('Étape 1 - à remplir'!$F$31:$F$400,'Étape 1 - à remplir'!$E$31:$E$400,MASQ2!O193,'Étape 1 - à remplir'!$G$31:$G$400,"animaux"),SUMIFS('Étape 1 - à remplir'!$F$31:$F$400,'Étape 1 - à remplir'!$E$31:$E$400,MASQ2!O193,'Étape 1 - à remplir'!$N$31:$N$400,X$3)))))))</f>
        <v>#N/A</v>
      </c>
      <c r="Q193" s="63">
        <f t="shared" si="185"/>
        <v>0</v>
      </c>
      <c r="R193" t="str">
        <f>Données_ATB!BM192</f>
        <v>Doxycycline</v>
      </c>
      <c r="S193" t="str">
        <f>Données_ATB!BN192</f>
        <v/>
      </c>
      <c r="T193" s="63" t="str">
        <f>Données_ATB!BO192</f>
        <v/>
      </c>
      <c r="U193" s="42" t="str">
        <f>Données_ATB!BQ192</f>
        <v>Tetracyclines</v>
      </c>
      <c r="V193" t="str">
        <f>Données_ATB!BR192</f>
        <v/>
      </c>
      <c r="W193" s="63" t="str">
        <f>Données_ATB!BS192</f>
        <v/>
      </c>
      <c r="Z193" s="42">
        <v>190</v>
      </c>
      <c r="AA193" t="e">
        <f t="shared" si="181"/>
        <v>#N/A</v>
      </c>
      <c r="AB193" s="63" t="e">
        <f t="shared" si="182"/>
        <v>#N/A</v>
      </c>
      <c r="BF193" s="63"/>
      <c r="BT193" s="194" t="str">
        <f t="shared" ca="1" si="165"/>
        <v/>
      </c>
      <c r="BU193" s="219" t="str">
        <f>IFERROR(IF(BX193=0,"",COUNTIF(BX$4:BX$600,"&gt;"&amp;BX193)+COUNTIF(BX$4:BX193,BX193)),"")</f>
        <v/>
      </c>
      <c r="BV193" s="42" t="str">
        <f t="shared" si="166"/>
        <v>DOXY 5 FRANVET</v>
      </c>
      <c r="BW193" t="e">
        <f>IF(IF(CE$2="Catégorie",IF(CE$3="Toutes",SUMIFS('Étape 1 - à remplir'!$F$31:$F$400,'Étape 1 - à remplir'!$E$31:$E$400,MASQ2!BV193,'Étape 1 - à remplir'!$G$31:$G$400,"lots"),SUMIFS('Étape 1 - à remplir'!$F$31:$F$400,'Étape 1 - à remplir'!$E$31:$E$400,MASQ2!BV193,'Étape 1 - à remplir'!$C$31:$C$400,CE$3)),IF(CE$2="Âge",IF(CE$3="Tous",SUMIFS('Étape 1 - à remplir'!$F$31:$F$400,'Étape 1 - à remplir'!$E$31:$E$400,MASQ2!BV193,'Étape 1 - à remplir'!$G$31:$G$400,"lots"),SUMIFS('Étape 1 - à remplir'!$F$31:$F$400,'Étape 1 - à remplir'!$E$31:$E$400,MASQ2!BV193,'Étape 1 - à remplir'!$P$31:$P$400,CE$3,'Étape 1 - à remplir'!$G$31:$G$400,"lots")),IF(CE$2="Atelier",IF(CE$3="Tous",SUMIFS('Étape 1 - à remplir'!$F$31:$F$400,'Étape 1 - à remplir'!$E$31:$E$400,MASQ2!BV193,'Étape 1 - à remplir'!$G$31:$G$400,"lots"),SUMIFS('Étape 1 - à remplir'!$F$31:$F$400,'Étape 1 - à remplir'!$E$31:$E$400,MASQ2!BV193,'Étape 1 - à remplir'!$O$31:$O$400,CE$3,'Étape 1 - à remplir'!$G$31:$G$400,"lots")),IF(CE$2="Espèce",IF(CE$3="Toutes",SUMIFS('Étape 1 - à remplir'!$F$31:$F$400,'Étape 1 - à remplir'!$E$31:$E$400,MASQ2!BV193,'Étape 1 - à remplir'!$G$31:$G$400,"lots"),SUMIFS('Étape 1 - à remplir'!$F$31:$F$400,'Étape 1 - à remplir'!$E$31:$E$400,MASQ2!BV193,'Étape 1 - à remplir'!$N$31:$N$400,CE$3,'Étape 1 - à remplir'!$G$31:$G$400,"lots"))))))=0,NA(),IF(CE$2="Catégorie",IF(CE$3="Toutes",SUMIFS('Étape 1 - à remplir'!$F$31:$F$400,'Étape 1 - à remplir'!$E$31:$E$400,MASQ2!BV193,'Étape 1 - à remplir'!$G$31:$G$400,"lots"),SUMIFS('Étape 1 - à remplir'!$F$31:$F$400,'Étape 1 - à remplir'!$E$31:$E$400,MASQ2!BV193,'Étape 1 - à remplir'!$C$31:$C$400,CE$3)),IF(CE$2="Âge",IF(CE$3="Tous",SUMIFS('Étape 1 - à remplir'!$F$31:$F$400,'Étape 1 - à remplir'!$E$31:$E$400,MASQ2!BV193,'Étape 1 - à remplir'!$G$31:$G$400,"lots"),SUMIFS('Étape 1 - à remplir'!$F$31:$F$400,'Étape 1 - à remplir'!$E$31:$E$400,MASQ2!BV193,'Étape 1 - à remplir'!$P$31:$P$400,CE$3,'Étape 1 - à remplir'!$G$31:$G$400,"lots")),IF(CE$2="Atelier",IF(CE$3="Tous",SUMIFS('Étape 1 - à remplir'!$F$31:$F$400,'Étape 1 - à remplir'!$E$31:$E$400,MASQ2!BV193,'Étape 1 - à remplir'!$G$31:$G$400,"lots"),SUMIFS('Étape 1 - à remplir'!$F$31:$F$400,'Étape 1 - à remplir'!$E$31:$E$400,MASQ2!BV193,'Étape 1 - à remplir'!$O$31:$O$400,CE$3,'Étape 1 - à remplir'!$G$31:$G$400,"lots")),IF(CE$2="Espèce",IF(CE$3="Toutes",SUMIFS('Étape 1 - à remplir'!$F$31:$F$400,'Étape 1 - à remplir'!$E$31:$E$400,MASQ2!BV193,'Étape 1 - à remplir'!$G$31:$G$400,"lots"),SUMIFS('Étape 1 - à remplir'!$F$31:$F$400,'Étape 1 - à remplir'!$E$31:$E$400,MASQ2!BV193,'Étape 1 - à remplir'!$N$31:$N$400,CE$3,'Étape 1 - à remplir'!$G$31:$G$400,"lots")))))))</f>
        <v>#N/A</v>
      </c>
      <c r="BX193">
        <f t="shared" si="183"/>
        <v>0</v>
      </c>
      <c r="BY193" t="str">
        <f t="shared" si="167"/>
        <v>Doxycycline</v>
      </c>
      <c r="BZ193" t="str">
        <f t="shared" si="168"/>
        <v/>
      </c>
      <c r="CA193" t="str">
        <f t="shared" si="169"/>
        <v/>
      </c>
      <c r="CB193" t="str">
        <f t="shared" si="170"/>
        <v>Tetracyclines</v>
      </c>
      <c r="CC193" t="str">
        <f t="shared" si="171"/>
        <v/>
      </c>
      <c r="CD193" s="63" t="str">
        <f t="shared" si="172"/>
        <v/>
      </c>
      <c r="CG193" s="42">
        <v>190</v>
      </c>
      <c r="CH193" s="42" t="e">
        <f t="shared" si="188"/>
        <v>#N/A</v>
      </c>
      <c r="CI193" s="63" t="e">
        <f t="shared" si="189"/>
        <v>#N/A</v>
      </c>
      <c r="DM193" s="63"/>
      <c r="EA193" s="194" t="str">
        <f t="shared" ca="1" si="173"/>
        <v/>
      </c>
      <c r="EB193" s="226" t="str">
        <f>IFERROR(IF(ED193=0,"",COUNTIF(ED$4:ED$600,"&gt;"&amp;ED193)+COUNTIF(ED$4:ED193,ED193)),"")</f>
        <v/>
      </c>
      <c r="EC193" t="str">
        <f t="shared" si="174"/>
        <v>DOXY 5 FRANVET</v>
      </c>
      <c r="ED193" t="e">
        <f>IF(IF(EL$2="Catégorie",IF(EL$3="Toutes",SUMIFS('Étape 1 - à remplir'!$F$31:$F$400,'Étape 1 - à remplir'!$E$31:$E$400,MASQ2!EC193,'Étape 1 - à remplir'!$G$31:$G$400,"kg"),SUMIFS('Étape 1 - à remplir'!$F$31:$F$400,'Étape 1 - à remplir'!$E$31:$E$400,MASQ2!EC193,'Étape 1 - à remplir'!$C$31:$C$400,EL$3)),IF(EL$2="Âge",IF(EL$3="Tous",SUMIFS('Étape 1 - à remplir'!$F$31:$F$400,'Étape 1 - à remplir'!$E$31:$E$400,MASQ2!EC193,'Étape 1 - à remplir'!$G$31:$G$400,"kg"),SUMIFS('Étape 1 - à remplir'!$F$31:$F$400,'Étape 1 - à remplir'!$E$31:$E$400,MASQ2!EC193,'Étape 1 - à remplir'!$P$31:$P$400,EL$3,'Étape 1 - à remplir'!$G$31:$G$400,"kg")),IF(EL$2="Atelier",IF(EL$3="Tous",SUMIFS('Étape 1 - à remplir'!$F$31:$F$400,'Étape 1 - à remplir'!$E$31:$E$400,MASQ2!EC193,'Étape 1 - à remplir'!$G$31:$G$400,"kg"),SUMIFS('Étape 1 - à remplir'!$F$31:$F$400,'Étape 1 - à remplir'!$E$31:$E$400,MASQ2!EC193,'Étape 1 - à remplir'!$O$31:$O$400,EL$3,'Étape 1 - à remplir'!$G$31:$G$400,"kg")),IF(EL$2="Espèce",IF(EL$3="Toutes",SUMIFS('Étape 1 - à remplir'!$F$31:$F$400,'Étape 1 - à remplir'!$E$31:$E$400,MASQ2!EC193,'Étape 1 - à remplir'!$G$31:$G$400,"kg"),SUMIFS('Étape 1 - à remplir'!$F$31:$F$400,'Étape 1 - à remplir'!$E$31:$E$400,MASQ2!EC193,'Étape 1 - à remplir'!$N$31:$N$400,EL$3,'Étape 1 - à remplir'!$G$31:$G$400,"kg"))))))=0,NA(),IF(EL$2="Catégorie",IF(EL$3="Toutes",SUMIFS('Étape 1 - à remplir'!$F$31:$F$400,'Étape 1 - à remplir'!$E$31:$E$400,MASQ2!EC193,'Étape 1 - à remplir'!$G$31:$G$400,"kg"),SUMIFS('Étape 1 - à remplir'!$F$31:$F$400,'Étape 1 - à remplir'!$E$31:$E$400,MASQ2!EC193,'Étape 1 - à remplir'!$C$31:$C$400,EL$3)),IF(EL$2="Âge",IF(EL$3="Tous",SUMIFS('Étape 1 - à remplir'!$F$31:$F$400,'Étape 1 - à remplir'!$E$31:$E$400,MASQ2!EC193,'Étape 1 - à remplir'!$G$31:$G$400,"kg"),SUMIFS('Étape 1 - à remplir'!$F$31:$F$400,'Étape 1 - à remplir'!$E$31:$E$400,MASQ2!EC193,'Étape 1 - à remplir'!$P$31:$P$400,EL$3,'Étape 1 - à remplir'!$G$31:$G$400,"kg")),IF(EL$2="Atelier",IF(EL$3="Tous",SUMIFS('Étape 1 - à remplir'!$F$31:$F$400,'Étape 1 - à remplir'!$E$31:$E$400,MASQ2!EC193,'Étape 1 - à remplir'!$G$31:$G$400,"kg"),SUMIFS('Étape 1 - à remplir'!$F$31:$F$400,'Étape 1 - à remplir'!$E$31:$E$400,MASQ2!EC193,'Étape 1 - à remplir'!$O$31:$O$400,EL$3,'Étape 1 - à remplir'!$G$31:$G$400,"kg")),IF(EL$2="Espèce",IF(EL$3="Toutes",SUMIFS('Étape 1 - à remplir'!$F$31:$F$400,'Étape 1 - à remplir'!$E$31:$E$400,MASQ2!EC193,'Étape 1 - à remplir'!$G$31:$G$400,"kg"),SUMIFS('Étape 1 - à remplir'!$F$31:$F$400,'Étape 1 - à remplir'!$E$31:$E$400,MASQ2!EC193,'Étape 1 - à remplir'!$N$31:$N$400,EL$3,'Étape 1 - à remplir'!$G$31:$G$400,"kg")))))))</f>
        <v>#N/A</v>
      </c>
      <c r="EE193" s="76">
        <f t="shared" si="184"/>
        <v>0</v>
      </c>
      <c r="EF193" t="str">
        <f t="shared" si="175"/>
        <v>Doxycycline</v>
      </c>
      <c r="EG193" t="str">
        <f t="shared" si="176"/>
        <v/>
      </c>
      <c r="EH193" t="str">
        <f t="shared" si="177"/>
        <v/>
      </c>
      <c r="EI193" t="str">
        <f t="shared" si="178"/>
        <v>Tetracyclines</v>
      </c>
      <c r="EJ193" t="str">
        <f t="shared" si="179"/>
        <v/>
      </c>
      <c r="EK193" s="63" t="str">
        <f t="shared" si="180"/>
        <v/>
      </c>
      <c r="EN193" s="42">
        <v>190</v>
      </c>
      <c r="EO193" t="e">
        <f t="shared" si="186"/>
        <v>#N/A</v>
      </c>
      <c r="EP193" s="63" t="e">
        <f t="shared" si="187"/>
        <v>#N/A</v>
      </c>
      <c r="FT193" s="63"/>
    </row>
    <row r="194" spans="2:176" x14ac:dyDescent="0.3">
      <c r="B194" s="42"/>
      <c r="M194" s="194" t="str">
        <f ca="1">INDEX(Données_ATB!BD:BU,MATCH(MASQ2!O194,Données_ATB!BD:BD,0),18)</f>
        <v/>
      </c>
      <c r="N194" s="14" t="str">
        <f>IFERROR(IF(Q194=0,"",COUNTIF(Q$4:Q$600,"&gt;"&amp;Q194)+COUNTIF(Q$4:Q194,Q194)),"")</f>
        <v/>
      </c>
      <c r="O194" t="str">
        <f>Données_ATB!BD193</f>
        <v>DOXYCYCLINE CALIER 500 MG/G POUDRE POUR ADMINISTRATION DANS L'EAU DE BOISSON POUR POULETS, DINDES ET PORCINS</v>
      </c>
      <c r="P194" t="e">
        <f>IF(IF(X$2="Catégorie",IF(X$3="Toutes",SUMIFS('Étape 1 - à remplir'!$F$31:$F$400,'Étape 1 - à remplir'!$E$31:$E$400,MASQ2!O194,'Étape 1 - à remplir'!$G$31:$G$400,"animaux"),SUMIFS('Étape 1 - à remplir'!$F$31:$F$400,'Étape 1 - à remplir'!$E$31:$E$400,MASQ2!O194,'Étape 1 - à remplir'!$C$31:$C$400,X$3)),IF(X$2="Âge",IF(X$3="Tous",SUMIFS('Étape 1 - à remplir'!$F$31:$F$400,'Étape 1 - à remplir'!$E$31:$E$400,MASQ2!O194,'Étape 1 - à remplir'!$G$31:$G$400,"animaux"),SUMIFS('Étape 1 - à remplir'!$F$31:$F$400,'Étape 1 - à remplir'!$E$31:$E$400,MASQ2!O194,'Étape 1 - à remplir'!$P$31:$P$400,X$3)),IF(X$2="Atelier",IF(X$3="Tous",SUMIFS('Étape 1 - à remplir'!$F$31:$F$400,'Étape 1 - à remplir'!$E$31:$E$400,MASQ2!O194,'Étape 1 - à remplir'!$G$31:$G$400,"animaux"),SUMIFS('Étape 1 - à remplir'!$F$31:$F$400,'Étape 1 - à remplir'!$E$31:$E$400,MASQ2!O194,'Étape 1 - à remplir'!$O$31:$O$400,X$3)),IF(X$2="Espèce",IF(X$3="Toutes",SUMIFS('Étape 1 - à remplir'!$F$31:$F$400,'Étape 1 - à remplir'!$E$31:$E$400,MASQ2!O194,'Étape 1 - à remplir'!$G$31:$G$400,"animaux"),SUMIFS('Étape 1 - à remplir'!$F$31:$F$400,'Étape 1 - à remplir'!$E$31:$E$400,MASQ2!O194,'Étape 1 - à remplir'!$N$31:$N$400,X$3))))))=0,NA(),IF(X$2="Catégorie",IF(X$3="Toutes",SUMIFS('Étape 1 - à remplir'!$F$31:$F$400,'Étape 1 - à remplir'!$E$31:$E$400,MASQ2!O194,'Étape 1 - à remplir'!$G$31:$G$400,"animaux"),SUMIFS('Étape 1 - à remplir'!$F$31:$F$400,'Étape 1 - à remplir'!$E$31:$E$400,MASQ2!O194,'Étape 1 - à remplir'!$C$31:$C$400,X$3)),IF(X$2="Âge",IF(X$3="Tous",SUMIFS('Étape 1 - à remplir'!$F$31:$F$400,'Étape 1 - à remplir'!$E$31:$E$400,MASQ2!O194,'Étape 1 - à remplir'!$G$31:$G$400,"animaux"),SUMIFS('Étape 1 - à remplir'!$F$31:$F$400,'Étape 1 - à remplir'!$E$31:$E$400,MASQ2!O194,'Étape 1 - à remplir'!$P$31:$P$400,X$3)),IF(X$2="Atelier",IF(X$3="Tous",SUMIFS('Étape 1 - à remplir'!$F$31:$F$400,'Étape 1 - à remplir'!$E$31:$E$400,MASQ2!O194,'Étape 1 - à remplir'!$G$31:$G$400,"animaux"),SUMIFS('Étape 1 - à remplir'!$F$31:$F$400,'Étape 1 - à remplir'!$E$31:$E$400,MASQ2!O194,'Étape 1 - à remplir'!$O$31:$O$400,X$3)),IF(X$2="Espèce",IF(X$3="Toutes",SUMIFS('Étape 1 - à remplir'!$F$31:$F$400,'Étape 1 - à remplir'!$E$31:$E$400,MASQ2!O194,'Étape 1 - à remplir'!$G$31:$G$400,"animaux"),SUMIFS('Étape 1 - à remplir'!$F$31:$F$400,'Étape 1 - à remplir'!$E$31:$E$400,MASQ2!O194,'Étape 1 - à remplir'!$N$31:$N$400,X$3)))))))</f>
        <v>#N/A</v>
      </c>
      <c r="Q194" s="63">
        <f t="shared" si="185"/>
        <v>0</v>
      </c>
      <c r="R194" t="str">
        <f>Données_ATB!BM193</f>
        <v>Doxycycline</v>
      </c>
      <c r="S194" t="str">
        <f>Données_ATB!BN193</f>
        <v/>
      </c>
      <c r="T194" s="63" t="str">
        <f>Données_ATB!BO193</f>
        <v/>
      </c>
      <c r="U194" s="42" t="str">
        <f>Données_ATB!BQ193</f>
        <v>Tetracyclines</v>
      </c>
      <c r="V194" t="str">
        <f>Données_ATB!BR193</f>
        <v/>
      </c>
      <c r="W194" s="63" t="str">
        <f>Données_ATB!BS193</f>
        <v/>
      </c>
      <c r="Z194" s="42">
        <v>191</v>
      </c>
      <c r="AA194" t="e">
        <f t="shared" si="181"/>
        <v>#N/A</v>
      </c>
      <c r="AB194" s="63" t="e">
        <f t="shared" si="182"/>
        <v>#N/A</v>
      </c>
      <c r="BF194" s="63"/>
      <c r="BT194" s="194" t="str">
        <f t="shared" ca="1" si="165"/>
        <v/>
      </c>
      <c r="BU194" s="219" t="str">
        <f>IFERROR(IF(BX194=0,"",COUNTIF(BX$4:BX$600,"&gt;"&amp;BX194)+COUNTIF(BX$4:BX194,BX194)),"")</f>
        <v/>
      </c>
      <c r="BV194" s="42" t="str">
        <f t="shared" si="166"/>
        <v>DOXYCYCLINE CALIER 500 MG/G POUDRE POUR ADMINISTRATION DANS L'EAU DE BOISSON POUR POULETS, DINDES ET PORCINS</v>
      </c>
      <c r="BW194" t="e">
        <f>IF(IF(CE$2="Catégorie",IF(CE$3="Toutes",SUMIFS('Étape 1 - à remplir'!$F$31:$F$400,'Étape 1 - à remplir'!$E$31:$E$400,MASQ2!BV194,'Étape 1 - à remplir'!$G$31:$G$400,"lots"),SUMIFS('Étape 1 - à remplir'!$F$31:$F$400,'Étape 1 - à remplir'!$E$31:$E$400,MASQ2!BV194,'Étape 1 - à remplir'!$C$31:$C$400,CE$3)),IF(CE$2="Âge",IF(CE$3="Tous",SUMIFS('Étape 1 - à remplir'!$F$31:$F$400,'Étape 1 - à remplir'!$E$31:$E$400,MASQ2!BV194,'Étape 1 - à remplir'!$G$31:$G$400,"lots"),SUMIFS('Étape 1 - à remplir'!$F$31:$F$400,'Étape 1 - à remplir'!$E$31:$E$400,MASQ2!BV194,'Étape 1 - à remplir'!$P$31:$P$400,CE$3,'Étape 1 - à remplir'!$G$31:$G$400,"lots")),IF(CE$2="Atelier",IF(CE$3="Tous",SUMIFS('Étape 1 - à remplir'!$F$31:$F$400,'Étape 1 - à remplir'!$E$31:$E$400,MASQ2!BV194,'Étape 1 - à remplir'!$G$31:$G$400,"lots"),SUMIFS('Étape 1 - à remplir'!$F$31:$F$400,'Étape 1 - à remplir'!$E$31:$E$400,MASQ2!BV194,'Étape 1 - à remplir'!$O$31:$O$400,CE$3,'Étape 1 - à remplir'!$G$31:$G$400,"lots")),IF(CE$2="Espèce",IF(CE$3="Toutes",SUMIFS('Étape 1 - à remplir'!$F$31:$F$400,'Étape 1 - à remplir'!$E$31:$E$400,MASQ2!BV194,'Étape 1 - à remplir'!$G$31:$G$400,"lots"),SUMIFS('Étape 1 - à remplir'!$F$31:$F$400,'Étape 1 - à remplir'!$E$31:$E$400,MASQ2!BV194,'Étape 1 - à remplir'!$N$31:$N$400,CE$3,'Étape 1 - à remplir'!$G$31:$G$400,"lots"))))))=0,NA(),IF(CE$2="Catégorie",IF(CE$3="Toutes",SUMIFS('Étape 1 - à remplir'!$F$31:$F$400,'Étape 1 - à remplir'!$E$31:$E$400,MASQ2!BV194,'Étape 1 - à remplir'!$G$31:$G$400,"lots"),SUMIFS('Étape 1 - à remplir'!$F$31:$F$400,'Étape 1 - à remplir'!$E$31:$E$400,MASQ2!BV194,'Étape 1 - à remplir'!$C$31:$C$400,CE$3)),IF(CE$2="Âge",IF(CE$3="Tous",SUMIFS('Étape 1 - à remplir'!$F$31:$F$400,'Étape 1 - à remplir'!$E$31:$E$400,MASQ2!BV194,'Étape 1 - à remplir'!$G$31:$G$400,"lots"),SUMIFS('Étape 1 - à remplir'!$F$31:$F$400,'Étape 1 - à remplir'!$E$31:$E$400,MASQ2!BV194,'Étape 1 - à remplir'!$P$31:$P$400,CE$3,'Étape 1 - à remplir'!$G$31:$G$400,"lots")),IF(CE$2="Atelier",IF(CE$3="Tous",SUMIFS('Étape 1 - à remplir'!$F$31:$F$400,'Étape 1 - à remplir'!$E$31:$E$400,MASQ2!BV194,'Étape 1 - à remplir'!$G$31:$G$400,"lots"),SUMIFS('Étape 1 - à remplir'!$F$31:$F$400,'Étape 1 - à remplir'!$E$31:$E$400,MASQ2!BV194,'Étape 1 - à remplir'!$O$31:$O$400,CE$3,'Étape 1 - à remplir'!$G$31:$G$400,"lots")),IF(CE$2="Espèce",IF(CE$3="Toutes",SUMIFS('Étape 1 - à remplir'!$F$31:$F$400,'Étape 1 - à remplir'!$E$31:$E$400,MASQ2!BV194,'Étape 1 - à remplir'!$G$31:$G$400,"lots"),SUMIFS('Étape 1 - à remplir'!$F$31:$F$400,'Étape 1 - à remplir'!$E$31:$E$400,MASQ2!BV194,'Étape 1 - à remplir'!$N$31:$N$400,CE$3,'Étape 1 - à remplir'!$G$31:$G$400,"lots")))))))</f>
        <v>#N/A</v>
      </c>
      <c r="BX194">
        <f t="shared" si="183"/>
        <v>0</v>
      </c>
      <c r="BY194" t="str">
        <f t="shared" si="167"/>
        <v>Doxycycline</v>
      </c>
      <c r="BZ194" t="str">
        <f t="shared" si="168"/>
        <v/>
      </c>
      <c r="CA194" t="str">
        <f t="shared" si="169"/>
        <v/>
      </c>
      <c r="CB194" t="str">
        <f t="shared" si="170"/>
        <v>Tetracyclines</v>
      </c>
      <c r="CC194" t="str">
        <f t="shared" si="171"/>
        <v/>
      </c>
      <c r="CD194" s="63" t="str">
        <f t="shared" si="172"/>
        <v/>
      </c>
      <c r="CG194" s="42">
        <v>191</v>
      </c>
      <c r="CH194" s="42" t="e">
        <f t="shared" si="188"/>
        <v>#N/A</v>
      </c>
      <c r="CI194" s="63" t="e">
        <f t="shared" si="189"/>
        <v>#N/A</v>
      </c>
      <c r="DM194" s="63"/>
      <c r="EA194" s="194" t="str">
        <f t="shared" ca="1" si="173"/>
        <v/>
      </c>
      <c r="EB194" s="226" t="str">
        <f>IFERROR(IF(ED194=0,"",COUNTIF(ED$4:ED$600,"&gt;"&amp;ED194)+COUNTIF(ED$4:ED194,ED194)),"")</f>
        <v/>
      </c>
      <c r="EC194" t="str">
        <f t="shared" si="174"/>
        <v>DOXYCYCLINE CALIER 500 MG/G POUDRE POUR ADMINISTRATION DANS L'EAU DE BOISSON POUR POULETS, DINDES ET PORCINS</v>
      </c>
      <c r="ED194" t="e">
        <f>IF(IF(EL$2="Catégorie",IF(EL$3="Toutes",SUMIFS('Étape 1 - à remplir'!$F$31:$F$400,'Étape 1 - à remplir'!$E$31:$E$400,MASQ2!EC194,'Étape 1 - à remplir'!$G$31:$G$400,"kg"),SUMIFS('Étape 1 - à remplir'!$F$31:$F$400,'Étape 1 - à remplir'!$E$31:$E$400,MASQ2!EC194,'Étape 1 - à remplir'!$C$31:$C$400,EL$3)),IF(EL$2="Âge",IF(EL$3="Tous",SUMIFS('Étape 1 - à remplir'!$F$31:$F$400,'Étape 1 - à remplir'!$E$31:$E$400,MASQ2!EC194,'Étape 1 - à remplir'!$G$31:$G$400,"kg"),SUMIFS('Étape 1 - à remplir'!$F$31:$F$400,'Étape 1 - à remplir'!$E$31:$E$400,MASQ2!EC194,'Étape 1 - à remplir'!$P$31:$P$400,EL$3,'Étape 1 - à remplir'!$G$31:$G$400,"kg")),IF(EL$2="Atelier",IF(EL$3="Tous",SUMIFS('Étape 1 - à remplir'!$F$31:$F$400,'Étape 1 - à remplir'!$E$31:$E$400,MASQ2!EC194,'Étape 1 - à remplir'!$G$31:$G$400,"kg"),SUMIFS('Étape 1 - à remplir'!$F$31:$F$400,'Étape 1 - à remplir'!$E$31:$E$400,MASQ2!EC194,'Étape 1 - à remplir'!$O$31:$O$400,EL$3,'Étape 1 - à remplir'!$G$31:$G$400,"kg")),IF(EL$2="Espèce",IF(EL$3="Toutes",SUMIFS('Étape 1 - à remplir'!$F$31:$F$400,'Étape 1 - à remplir'!$E$31:$E$400,MASQ2!EC194,'Étape 1 - à remplir'!$G$31:$G$400,"kg"),SUMIFS('Étape 1 - à remplir'!$F$31:$F$400,'Étape 1 - à remplir'!$E$31:$E$400,MASQ2!EC194,'Étape 1 - à remplir'!$N$31:$N$400,EL$3,'Étape 1 - à remplir'!$G$31:$G$400,"kg"))))))=0,NA(),IF(EL$2="Catégorie",IF(EL$3="Toutes",SUMIFS('Étape 1 - à remplir'!$F$31:$F$400,'Étape 1 - à remplir'!$E$31:$E$400,MASQ2!EC194,'Étape 1 - à remplir'!$G$31:$G$400,"kg"),SUMIFS('Étape 1 - à remplir'!$F$31:$F$400,'Étape 1 - à remplir'!$E$31:$E$400,MASQ2!EC194,'Étape 1 - à remplir'!$C$31:$C$400,EL$3)),IF(EL$2="Âge",IF(EL$3="Tous",SUMIFS('Étape 1 - à remplir'!$F$31:$F$400,'Étape 1 - à remplir'!$E$31:$E$400,MASQ2!EC194,'Étape 1 - à remplir'!$G$31:$G$400,"kg"),SUMIFS('Étape 1 - à remplir'!$F$31:$F$400,'Étape 1 - à remplir'!$E$31:$E$400,MASQ2!EC194,'Étape 1 - à remplir'!$P$31:$P$400,EL$3,'Étape 1 - à remplir'!$G$31:$G$400,"kg")),IF(EL$2="Atelier",IF(EL$3="Tous",SUMIFS('Étape 1 - à remplir'!$F$31:$F$400,'Étape 1 - à remplir'!$E$31:$E$400,MASQ2!EC194,'Étape 1 - à remplir'!$G$31:$G$400,"kg"),SUMIFS('Étape 1 - à remplir'!$F$31:$F$400,'Étape 1 - à remplir'!$E$31:$E$400,MASQ2!EC194,'Étape 1 - à remplir'!$O$31:$O$400,EL$3,'Étape 1 - à remplir'!$G$31:$G$400,"kg")),IF(EL$2="Espèce",IF(EL$3="Toutes",SUMIFS('Étape 1 - à remplir'!$F$31:$F$400,'Étape 1 - à remplir'!$E$31:$E$400,MASQ2!EC194,'Étape 1 - à remplir'!$G$31:$G$400,"kg"),SUMIFS('Étape 1 - à remplir'!$F$31:$F$400,'Étape 1 - à remplir'!$E$31:$E$400,MASQ2!EC194,'Étape 1 - à remplir'!$N$31:$N$400,EL$3,'Étape 1 - à remplir'!$G$31:$G$400,"kg")))))))</f>
        <v>#N/A</v>
      </c>
      <c r="EE194" s="76">
        <f t="shared" si="184"/>
        <v>0</v>
      </c>
      <c r="EF194" t="str">
        <f t="shared" si="175"/>
        <v>Doxycycline</v>
      </c>
      <c r="EG194" t="str">
        <f t="shared" si="176"/>
        <v/>
      </c>
      <c r="EH194" t="str">
        <f t="shared" si="177"/>
        <v/>
      </c>
      <c r="EI194" t="str">
        <f t="shared" si="178"/>
        <v>Tetracyclines</v>
      </c>
      <c r="EJ194" t="str">
        <f t="shared" si="179"/>
        <v/>
      </c>
      <c r="EK194" s="63" t="str">
        <f t="shared" si="180"/>
        <v/>
      </c>
      <c r="EN194" s="42">
        <v>191</v>
      </c>
      <c r="EO194" t="e">
        <f t="shared" si="186"/>
        <v>#N/A</v>
      </c>
      <c r="EP194" s="63" t="e">
        <f t="shared" si="187"/>
        <v>#N/A</v>
      </c>
      <c r="FT194" s="63"/>
    </row>
    <row r="195" spans="2:176" x14ac:dyDescent="0.3">
      <c r="B195" s="42"/>
      <c r="M195" s="194" t="str">
        <f ca="1">INDEX(Données_ATB!BD:BU,MATCH(MASQ2!O195,Données_ATB!BD:BD,0),18)</f>
        <v/>
      </c>
      <c r="N195" s="14" t="str">
        <f>IFERROR(IF(Q195=0,"",COUNTIF(Q$4:Q$600,"&gt;"&amp;Q195)+COUNTIF(Q$4:Q195,Q195)),"")</f>
        <v/>
      </c>
      <c r="O195" t="str">
        <f>Données_ATB!BD194</f>
        <v>DOXYLIN 867 MG/G POUDRE POUR ADMINISTRATION DANS L’EAU DE BOISSON/LE LAIT POUR VEAUX ET PORCS</v>
      </c>
      <c r="P195" t="e">
        <f>IF(IF(X$2="Catégorie",IF(X$3="Toutes",SUMIFS('Étape 1 - à remplir'!$F$31:$F$400,'Étape 1 - à remplir'!$E$31:$E$400,MASQ2!O195,'Étape 1 - à remplir'!$G$31:$G$400,"animaux"),SUMIFS('Étape 1 - à remplir'!$F$31:$F$400,'Étape 1 - à remplir'!$E$31:$E$400,MASQ2!O195,'Étape 1 - à remplir'!$C$31:$C$400,X$3)),IF(X$2="Âge",IF(X$3="Tous",SUMIFS('Étape 1 - à remplir'!$F$31:$F$400,'Étape 1 - à remplir'!$E$31:$E$400,MASQ2!O195,'Étape 1 - à remplir'!$G$31:$G$400,"animaux"),SUMIFS('Étape 1 - à remplir'!$F$31:$F$400,'Étape 1 - à remplir'!$E$31:$E$400,MASQ2!O195,'Étape 1 - à remplir'!$P$31:$P$400,X$3)),IF(X$2="Atelier",IF(X$3="Tous",SUMIFS('Étape 1 - à remplir'!$F$31:$F$400,'Étape 1 - à remplir'!$E$31:$E$400,MASQ2!O195,'Étape 1 - à remplir'!$G$31:$G$400,"animaux"),SUMIFS('Étape 1 - à remplir'!$F$31:$F$400,'Étape 1 - à remplir'!$E$31:$E$400,MASQ2!O195,'Étape 1 - à remplir'!$O$31:$O$400,X$3)),IF(X$2="Espèce",IF(X$3="Toutes",SUMIFS('Étape 1 - à remplir'!$F$31:$F$400,'Étape 1 - à remplir'!$E$31:$E$400,MASQ2!O195,'Étape 1 - à remplir'!$G$31:$G$400,"animaux"),SUMIFS('Étape 1 - à remplir'!$F$31:$F$400,'Étape 1 - à remplir'!$E$31:$E$400,MASQ2!O195,'Étape 1 - à remplir'!$N$31:$N$400,X$3))))))=0,NA(),IF(X$2="Catégorie",IF(X$3="Toutes",SUMIFS('Étape 1 - à remplir'!$F$31:$F$400,'Étape 1 - à remplir'!$E$31:$E$400,MASQ2!O195,'Étape 1 - à remplir'!$G$31:$G$400,"animaux"),SUMIFS('Étape 1 - à remplir'!$F$31:$F$400,'Étape 1 - à remplir'!$E$31:$E$400,MASQ2!O195,'Étape 1 - à remplir'!$C$31:$C$400,X$3)),IF(X$2="Âge",IF(X$3="Tous",SUMIFS('Étape 1 - à remplir'!$F$31:$F$400,'Étape 1 - à remplir'!$E$31:$E$400,MASQ2!O195,'Étape 1 - à remplir'!$G$31:$G$400,"animaux"),SUMIFS('Étape 1 - à remplir'!$F$31:$F$400,'Étape 1 - à remplir'!$E$31:$E$400,MASQ2!O195,'Étape 1 - à remplir'!$P$31:$P$400,X$3)),IF(X$2="Atelier",IF(X$3="Tous",SUMIFS('Étape 1 - à remplir'!$F$31:$F$400,'Étape 1 - à remplir'!$E$31:$E$400,MASQ2!O195,'Étape 1 - à remplir'!$G$31:$G$400,"animaux"),SUMIFS('Étape 1 - à remplir'!$F$31:$F$400,'Étape 1 - à remplir'!$E$31:$E$400,MASQ2!O195,'Étape 1 - à remplir'!$O$31:$O$400,X$3)),IF(X$2="Espèce",IF(X$3="Toutes",SUMIFS('Étape 1 - à remplir'!$F$31:$F$400,'Étape 1 - à remplir'!$E$31:$E$400,MASQ2!O195,'Étape 1 - à remplir'!$G$31:$G$400,"animaux"),SUMIFS('Étape 1 - à remplir'!$F$31:$F$400,'Étape 1 - à remplir'!$E$31:$E$400,MASQ2!O195,'Étape 1 - à remplir'!$N$31:$N$400,X$3)))))))</f>
        <v>#N/A</v>
      </c>
      <c r="Q195" s="63">
        <f t="shared" si="185"/>
        <v>0</v>
      </c>
      <c r="R195" t="str">
        <f>Données_ATB!BM194</f>
        <v>Doxycycline</v>
      </c>
      <c r="S195" t="str">
        <f>Données_ATB!BN194</f>
        <v/>
      </c>
      <c r="T195" s="63" t="str">
        <f>Données_ATB!BO194</f>
        <v/>
      </c>
      <c r="U195" s="42" t="str">
        <f>Données_ATB!BQ194</f>
        <v>Tetracyclines</v>
      </c>
      <c r="V195" t="str">
        <f>Données_ATB!BR194</f>
        <v/>
      </c>
      <c r="W195" s="63" t="str">
        <f>Données_ATB!BS194</f>
        <v/>
      </c>
      <c r="Z195" s="42">
        <v>192</v>
      </c>
      <c r="AA195" t="e">
        <f t="shared" si="181"/>
        <v>#N/A</v>
      </c>
      <c r="AB195" s="63" t="e">
        <f t="shared" si="182"/>
        <v>#N/A</v>
      </c>
      <c r="BF195" s="63"/>
      <c r="BT195" s="194" t="str">
        <f t="shared" ca="1" si="165"/>
        <v/>
      </c>
      <c r="BU195" s="219" t="str">
        <f>IFERROR(IF(BX195=0,"",COUNTIF(BX$4:BX$600,"&gt;"&amp;BX195)+COUNTIF(BX$4:BX195,BX195)),"")</f>
        <v/>
      </c>
      <c r="BV195" s="42" t="str">
        <f t="shared" si="166"/>
        <v>DOXYLIN 867 MG/G POUDRE POUR ADMINISTRATION DANS L’EAU DE BOISSON/LE LAIT POUR VEAUX ET PORCS</v>
      </c>
      <c r="BW195" t="e">
        <f>IF(IF(CE$2="Catégorie",IF(CE$3="Toutes",SUMIFS('Étape 1 - à remplir'!$F$31:$F$400,'Étape 1 - à remplir'!$E$31:$E$400,MASQ2!BV195,'Étape 1 - à remplir'!$G$31:$G$400,"lots"),SUMIFS('Étape 1 - à remplir'!$F$31:$F$400,'Étape 1 - à remplir'!$E$31:$E$400,MASQ2!BV195,'Étape 1 - à remplir'!$C$31:$C$400,CE$3)),IF(CE$2="Âge",IF(CE$3="Tous",SUMIFS('Étape 1 - à remplir'!$F$31:$F$400,'Étape 1 - à remplir'!$E$31:$E$400,MASQ2!BV195,'Étape 1 - à remplir'!$G$31:$G$400,"lots"),SUMIFS('Étape 1 - à remplir'!$F$31:$F$400,'Étape 1 - à remplir'!$E$31:$E$400,MASQ2!BV195,'Étape 1 - à remplir'!$P$31:$P$400,CE$3,'Étape 1 - à remplir'!$G$31:$G$400,"lots")),IF(CE$2="Atelier",IF(CE$3="Tous",SUMIFS('Étape 1 - à remplir'!$F$31:$F$400,'Étape 1 - à remplir'!$E$31:$E$400,MASQ2!BV195,'Étape 1 - à remplir'!$G$31:$G$400,"lots"),SUMIFS('Étape 1 - à remplir'!$F$31:$F$400,'Étape 1 - à remplir'!$E$31:$E$400,MASQ2!BV195,'Étape 1 - à remplir'!$O$31:$O$400,CE$3,'Étape 1 - à remplir'!$G$31:$G$400,"lots")),IF(CE$2="Espèce",IF(CE$3="Toutes",SUMIFS('Étape 1 - à remplir'!$F$31:$F$400,'Étape 1 - à remplir'!$E$31:$E$400,MASQ2!BV195,'Étape 1 - à remplir'!$G$31:$G$400,"lots"),SUMIFS('Étape 1 - à remplir'!$F$31:$F$400,'Étape 1 - à remplir'!$E$31:$E$400,MASQ2!BV195,'Étape 1 - à remplir'!$N$31:$N$400,CE$3,'Étape 1 - à remplir'!$G$31:$G$400,"lots"))))))=0,NA(),IF(CE$2="Catégorie",IF(CE$3="Toutes",SUMIFS('Étape 1 - à remplir'!$F$31:$F$400,'Étape 1 - à remplir'!$E$31:$E$400,MASQ2!BV195,'Étape 1 - à remplir'!$G$31:$G$400,"lots"),SUMIFS('Étape 1 - à remplir'!$F$31:$F$400,'Étape 1 - à remplir'!$E$31:$E$400,MASQ2!BV195,'Étape 1 - à remplir'!$C$31:$C$400,CE$3)),IF(CE$2="Âge",IF(CE$3="Tous",SUMIFS('Étape 1 - à remplir'!$F$31:$F$400,'Étape 1 - à remplir'!$E$31:$E$400,MASQ2!BV195,'Étape 1 - à remplir'!$G$31:$G$400,"lots"),SUMIFS('Étape 1 - à remplir'!$F$31:$F$400,'Étape 1 - à remplir'!$E$31:$E$400,MASQ2!BV195,'Étape 1 - à remplir'!$P$31:$P$400,CE$3,'Étape 1 - à remplir'!$G$31:$G$400,"lots")),IF(CE$2="Atelier",IF(CE$3="Tous",SUMIFS('Étape 1 - à remplir'!$F$31:$F$400,'Étape 1 - à remplir'!$E$31:$E$400,MASQ2!BV195,'Étape 1 - à remplir'!$G$31:$G$400,"lots"),SUMIFS('Étape 1 - à remplir'!$F$31:$F$400,'Étape 1 - à remplir'!$E$31:$E$400,MASQ2!BV195,'Étape 1 - à remplir'!$O$31:$O$400,CE$3,'Étape 1 - à remplir'!$G$31:$G$400,"lots")),IF(CE$2="Espèce",IF(CE$3="Toutes",SUMIFS('Étape 1 - à remplir'!$F$31:$F$400,'Étape 1 - à remplir'!$E$31:$E$400,MASQ2!BV195,'Étape 1 - à remplir'!$G$31:$G$400,"lots"),SUMIFS('Étape 1 - à remplir'!$F$31:$F$400,'Étape 1 - à remplir'!$E$31:$E$400,MASQ2!BV195,'Étape 1 - à remplir'!$N$31:$N$400,CE$3,'Étape 1 - à remplir'!$G$31:$G$400,"lots")))))))</f>
        <v>#N/A</v>
      </c>
      <c r="BX195">
        <f t="shared" si="183"/>
        <v>0</v>
      </c>
      <c r="BY195" t="str">
        <f t="shared" si="167"/>
        <v>Doxycycline</v>
      </c>
      <c r="BZ195" t="str">
        <f t="shared" si="168"/>
        <v/>
      </c>
      <c r="CA195" t="str">
        <f t="shared" si="169"/>
        <v/>
      </c>
      <c r="CB195" t="str">
        <f t="shared" si="170"/>
        <v>Tetracyclines</v>
      </c>
      <c r="CC195" t="str">
        <f t="shared" si="171"/>
        <v/>
      </c>
      <c r="CD195" s="63" t="str">
        <f t="shared" si="172"/>
        <v/>
      </c>
      <c r="CG195" s="42">
        <v>192</v>
      </c>
      <c r="CH195" s="42" t="e">
        <f t="shared" si="188"/>
        <v>#N/A</v>
      </c>
      <c r="CI195" s="63" t="e">
        <f t="shared" si="189"/>
        <v>#N/A</v>
      </c>
      <c r="DM195" s="63"/>
      <c r="EA195" s="194" t="str">
        <f t="shared" ca="1" si="173"/>
        <v/>
      </c>
      <c r="EB195" s="226" t="str">
        <f>IFERROR(IF(ED195=0,"",COUNTIF(ED$4:ED$600,"&gt;"&amp;ED195)+COUNTIF(ED$4:ED195,ED195)),"")</f>
        <v/>
      </c>
      <c r="EC195" t="str">
        <f t="shared" si="174"/>
        <v>DOXYLIN 867 MG/G POUDRE POUR ADMINISTRATION DANS L’EAU DE BOISSON/LE LAIT POUR VEAUX ET PORCS</v>
      </c>
      <c r="ED195" t="e">
        <f>IF(IF(EL$2="Catégorie",IF(EL$3="Toutes",SUMIFS('Étape 1 - à remplir'!$F$31:$F$400,'Étape 1 - à remplir'!$E$31:$E$400,MASQ2!EC195,'Étape 1 - à remplir'!$G$31:$G$400,"kg"),SUMIFS('Étape 1 - à remplir'!$F$31:$F$400,'Étape 1 - à remplir'!$E$31:$E$400,MASQ2!EC195,'Étape 1 - à remplir'!$C$31:$C$400,EL$3)),IF(EL$2="Âge",IF(EL$3="Tous",SUMIFS('Étape 1 - à remplir'!$F$31:$F$400,'Étape 1 - à remplir'!$E$31:$E$400,MASQ2!EC195,'Étape 1 - à remplir'!$G$31:$G$400,"kg"),SUMIFS('Étape 1 - à remplir'!$F$31:$F$400,'Étape 1 - à remplir'!$E$31:$E$400,MASQ2!EC195,'Étape 1 - à remplir'!$P$31:$P$400,EL$3,'Étape 1 - à remplir'!$G$31:$G$400,"kg")),IF(EL$2="Atelier",IF(EL$3="Tous",SUMIFS('Étape 1 - à remplir'!$F$31:$F$400,'Étape 1 - à remplir'!$E$31:$E$400,MASQ2!EC195,'Étape 1 - à remplir'!$G$31:$G$400,"kg"),SUMIFS('Étape 1 - à remplir'!$F$31:$F$400,'Étape 1 - à remplir'!$E$31:$E$400,MASQ2!EC195,'Étape 1 - à remplir'!$O$31:$O$400,EL$3,'Étape 1 - à remplir'!$G$31:$G$400,"kg")),IF(EL$2="Espèce",IF(EL$3="Toutes",SUMIFS('Étape 1 - à remplir'!$F$31:$F$400,'Étape 1 - à remplir'!$E$31:$E$400,MASQ2!EC195,'Étape 1 - à remplir'!$G$31:$G$400,"kg"),SUMIFS('Étape 1 - à remplir'!$F$31:$F$400,'Étape 1 - à remplir'!$E$31:$E$400,MASQ2!EC195,'Étape 1 - à remplir'!$N$31:$N$400,EL$3,'Étape 1 - à remplir'!$G$31:$G$400,"kg"))))))=0,NA(),IF(EL$2="Catégorie",IF(EL$3="Toutes",SUMIFS('Étape 1 - à remplir'!$F$31:$F$400,'Étape 1 - à remplir'!$E$31:$E$400,MASQ2!EC195,'Étape 1 - à remplir'!$G$31:$G$400,"kg"),SUMIFS('Étape 1 - à remplir'!$F$31:$F$400,'Étape 1 - à remplir'!$E$31:$E$400,MASQ2!EC195,'Étape 1 - à remplir'!$C$31:$C$400,EL$3)),IF(EL$2="Âge",IF(EL$3="Tous",SUMIFS('Étape 1 - à remplir'!$F$31:$F$400,'Étape 1 - à remplir'!$E$31:$E$400,MASQ2!EC195,'Étape 1 - à remplir'!$G$31:$G$400,"kg"),SUMIFS('Étape 1 - à remplir'!$F$31:$F$400,'Étape 1 - à remplir'!$E$31:$E$400,MASQ2!EC195,'Étape 1 - à remplir'!$P$31:$P$400,EL$3,'Étape 1 - à remplir'!$G$31:$G$400,"kg")),IF(EL$2="Atelier",IF(EL$3="Tous",SUMIFS('Étape 1 - à remplir'!$F$31:$F$400,'Étape 1 - à remplir'!$E$31:$E$400,MASQ2!EC195,'Étape 1 - à remplir'!$G$31:$G$400,"kg"),SUMIFS('Étape 1 - à remplir'!$F$31:$F$400,'Étape 1 - à remplir'!$E$31:$E$400,MASQ2!EC195,'Étape 1 - à remplir'!$O$31:$O$400,EL$3,'Étape 1 - à remplir'!$G$31:$G$400,"kg")),IF(EL$2="Espèce",IF(EL$3="Toutes",SUMIFS('Étape 1 - à remplir'!$F$31:$F$400,'Étape 1 - à remplir'!$E$31:$E$400,MASQ2!EC195,'Étape 1 - à remplir'!$G$31:$G$400,"kg"),SUMIFS('Étape 1 - à remplir'!$F$31:$F$400,'Étape 1 - à remplir'!$E$31:$E$400,MASQ2!EC195,'Étape 1 - à remplir'!$N$31:$N$400,EL$3,'Étape 1 - à remplir'!$G$31:$G$400,"kg")))))))</f>
        <v>#N/A</v>
      </c>
      <c r="EE195" s="76">
        <f t="shared" si="184"/>
        <v>0</v>
      </c>
      <c r="EF195" t="str">
        <f t="shared" si="175"/>
        <v>Doxycycline</v>
      </c>
      <c r="EG195" t="str">
        <f t="shared" si="176"/>
        <v/>
      </c>
      <c r="EH195" t="str">
        <f t="shared" si="177"/>
        <v/>
      </c>
      <c r="EI195" t="str">
        <f t="shared" si="178"/>
        <v>Tetracyclines</v>
      </c>
      <c r="EJ195" t="str">
        <f t="shared" si="179"/>
        <v/>
      </c>
      <c r="EK195" s="63" t="str">
        <f t="shared" si="180"/>
        <v/>
      </c>
      <c r="EN195" s="42">
        <v>192</v>
      </c>
      <c r="EO195" t="e">
        <f t="shared" si="186"/>
        <v>#N/A</v>
      </c>
      <c r="EP195" s="63" t="e">
        <f t="shared" si="187"/>
        <v>#N/A</v>
      </c>
      <c r="FT195" s="63"/>
    </row>
    <row r="196" spans="2:176" x14ac:dyDescent="0.3">
      <c r="B196" s="42"/>
      <c r="M196" s="194" t="str">
        <f ca="1">INDEX(Données_ATB!BD:BU,MATCH(MASQ2!O196,Données_ATB!BD:BD,0),18)</f>
        <v/>
      </c>
      <c r="N196" s="14" t="str">
        <f>IFERROR(IF(Q196=0,"",COUNTIF(Q$4:Q$600,"&gt;"&amp;Q196)+COUNTIF(Q$4:Q196,Q196)),"")</f>
        <v/>
      </c>
      <c r="O196" t="str">
        <f>Données_ATB!BD195</f>
        <v>DOXYLIN CT WSP 433 MG/G POUDRE POUR ADMINISTRATION DANS L'EAU DE BOISSON POUR POULES ET DINDES</v>
      </c>
      <c r="P196" t="e">
        <f>IF(IF(X$2="Catégorie",IF(X$3="Toutes",SUMIFS('Étape 1 - à remplir'!$F$31:$F$400,'Étape 1 - à remplir'!$E$31:$E$400,MASQ2!O196,'Étape 1 - à remplir'!$G$31:$G$400,"animaux"),SUMIFS('Étape 1 - à remplir'!$F$31:$F$400,'Étape 1 - à remplir'!$E$31:$E$400,MASQ2!O196,'Étape 1 - à remplir'!$C$31:$C$400,X$3)),IF(X$2="Âge",IF(X$3="Tous",SUMIFS('Étape 1 - à remplir'!$F$31:$F$400,'Étape 1 - à remplir'!$E$31:$E$400,MASQ2!O196,'Étape 1 - à remplir'!$G$31:$G$400,"animaux"),SUMIFS('Étape 1 - à remplir'!$F$31:$F$400,'Étape 1 - à remplir'!$E$31:$E$400,MASQ2!O196,'Étape 1 - à remplir'!$P$31:$P$400,X$3)),IF(X$2="Atelier",IF(X$3="Tous",SUMIFS('Étape 1 - à remplir'!$F$31:$F$400,'Étape 1 - à remplir'!$E$31:$E$400,MASQ2!O196,'Étape 1 - à remplir'!$G$31:$G$400,"animaux"),SUMIFS('Étape 1 - à remplir'!$F$31:$F$400,'Étape 1 - à remplir'!$E$31:$E$400,MASQ2!O196,'Étape 1 - à remplir'!$O$31:$O$400,X$3)),IF(X$2="Espèce",IF(X$3="Toutes",SUMIFS('Étape 1 - à remplir'!$F$31:$F$400,'Étape 1 - à remplir'!$E$31:$E$400,MASQ2!O196,'Étape 1 - à remplir'!$G$31:$G$400,"animaux"),SUMIFS('Étape 1 - à remplir'!$F$31:$F$400,'Étape 1 - à remplir'!$E$31:$E$400,MASQ2!O196,'Étape 1 - à remplir'!$N$31:$N$400,X$3))))))=0,NA(),IF(X$2="Catégorie",IF(X$3="Toutes",SUMIFS('Étape 1 - à remplir'!$F$31:$F$400,'Étape 1 - à remplir'!$E$31:$E$400,MASQ2!O196,'Étape 1 - à remplir'!$G$31:$G$400,"animaux"),SUMIFS('Étape 1 - à remplir'!$F$31:$F$400,'Étape 1 - à remplir'!$E$31:$E$400,MASQ2!O196,'Étape 1 - à remplir'!$C$31:$C$400,X$3)),IF(X$2="Âge",IF(X$3="Tous",SUMIFS('Étape 1 - à remplir'!$F$31:$F$400,'Étape 1 - à remplir'!$E$31:$E$400,MASQ2!O196,'Étape 1 - à remplir'!$G$31:$G$400,"animaux"),SUMIFS('Étape 1 - à remplir'!$F$31:$F$400,'Étape 1 - à remplir'!$E$31:$E$400,MASQ2!O196,'Étape 1 - à remplir'!$P$31:$P$400,X$3)),IF(X$2="Atelier",IF(X$3="Tous",SUMIFS('Étape 1 - à remplir'!$F$31:$F$400,'Étape 1 - à remplir'!$E$31:$E$400,MASQ2!O196,'Étape 1 - à remplir'!$G$31:$G$400,"animaux"),SUMIFS('Étape 1 - à remplir'!$F$31:$F$400,'Étape 1 - à remplir'!$E$31:$E$400,MASQ2!O196,'Étape 1 - à remplir'!$O$31:$O$400,X$3)),IF(X$2="Espèce",IF(X$3="Toutes",SUMIFS('Étape 1 - à remplir'!$F$31:$F$400,'Étape 1 - à remplir'!$E$31:$E$400,MASQ2!O196,'Étape 1 - à remplir'!$G$31:$G$400,"animaux"),SUMIFS('Étape 1 - à remplir'!$F$31:$F$400,'Étape 1 - à remplir'!$E$31:$E$400,MASQ2!O196,'Étape 1 - à remplir'!$N$31:$N$400,X$3)))))))</f>
        <v>#N/A</v>
      </c>
      <c r="Q196" s="63">
        <f t="shared" si="185"/>
        <v>0</v>
      </c>
      <c r="R196" t="str">
        <f>Données_ATB!BM195</f>
        <v>Doxycycline</v>
      </c>
      <c r="S196" t="str">
        <f>Données_ATB!BN195</f>
        <v/>
      </c>
      <c r="T196" s="63" t="str">
        <f>Données_ATB!BO195</f>
        <v/>
      </c>
      <c r="U196" s="42" t="str">
        <f>Données_ATB!BQ195</f>
        <v>Tetracyclines</v>
      </c>
      <c r="V196" t="str">
        <f>Données_ATB!BR195</f>
        <v/>
      </c>
      <c r="W196" s="63" t="str">
        <f>Données_ATB!BS195</f>
        <v/>
      </c>
      <c r="Z196" s="42">
        <v>193</v>
      </c>
      <c r="AA196" t="e">
        <f t="shared" si="181"/>
        <v>#N/A</v>
      </c>
      <c r="AB196" s="63" t="e">
        <f t="shared" si="182"/>
        <v>#N/A</v>
      </c>
      <c r="BF196" s="63"/>
      <c r="BT196" s="194" t="str">
        <f t="shared" ref="BT196:BT259" ca="1" si="190">M196</f>
        <v/>
      </c>
      <c r="BU196" s="219" t="str">
        <f>IFERROR(IF(BX196=0,"",COUNTIF(BX$4:BX$600,"&gt;"&amp;BX196)+COUNTIF(BX$4:BX196,BX196)),"")</f>
        <v/>
      </c>
      <c r="BV196" s="42" t="str">
        <f t="shared" ref="BV196:BV259" si="191">O196</f>
        <v>DOXYLIN CT WSP 433 MG/G POUDRE POUR ADMINISTRATION DANS L'EAU DE BOISSON POUR POULES ET DINDES</v>
      </c>
      <c r="BW196" t="e">
        <f>IF(IF(CE$2="Catégorie",IF(CE$3="Toutes",SUMIFS('Étape 1 - à remplir'!$F$31:$F$400,'Étape 1 - à remplir'!$E$31:$E$400,MASQ2!BV196,'Étape 1 - à remplir'!$G$31:$G$400,"lots"),SUMIFS('Étape 1 - à remplir'!$F$31:$F$400,'Étape 1 - à remplir'!$E$31:$E$400,MASQ2!BV196,'Étape 1 - à remplir'!$C$31:$C$400,CE$3)),IF(CE$2="Âge",IF(CE$3="Tous",SUMIFS('Étape 1 - à remplir'!$F$31:$F$400,'Étape 1 - à remplir'!$E$31:$E$400,MASQ2!BV196,'Étape 1 - à remplir'!$G$31:$G$400,"lots"),SUMIFS('Étape 1 - à remplir'!$F$31:$F$400,'Étape 1 - à remplir'!$E$31:$E$400,MASQ2!BV196,'Étape 1 - à remplir'!$P$31:$P$400,CE$3,'Étape 1 - à remplir'!$G$31:$G$400,"lots")),IF(CE$2="Atelier",IF(CE$3="Tous",SUMIFS('Étape 1 - à remplir'!$F$31:$F$400,'Étape 1 - à remplir'!$E$31:$E$400,MASQ2!BV196,'Étape 1 - à remplir'!$G$31:$G$400,"lots"),SUMIFS('Étape 1 - à remplir'!$F$31:$F$400,'Étape 1 - à remplir'!$E$31:$E$400,MASQ2!BV196,'Étape 1 - à remplir'!$O$31:$O$400,CE$3,'Étape 1 - à remplir'!$G$31:$G$400,"lots")),IF(CE$2="Espèce",IF(CE$3="Toutes",SUMIFS('Étape 1 - à remplir'!$F$31:$F$400,'Étape 1 - à remplir'!$E$31:$E$400,MASQ2!BV196,'Étape 1 - à remplir'!$G$31:$G$400,"lots"),SUMIFS('Étape 1 - à remplir'!$F$31:$F$400,'Étape 1 - à remplir'!$E$31:$E$400,MASQ2!BV196,'Étape 1 - à remplir'!$N$31:$N$400,CE$3,'Étape 1 - à remplir'!$G$31:$G$400,"lots"))))))=0,NA(),IF(CE$2="Catégorie",IF(CE$3="Toutes",SUMIFS('Étape 1 - à remplir'!$F$31:$F$400,'Étape 1 - à remplir'!$E$31:$E$400,MASQ2!BV196,'Étape 1 - à remplir'!$G$31:$G$400,"lots"),SUMIFS('Étape 1 - à remplir'!$F$31:$F$400,'Étape 1 - à remplir'!$E$31:$E$400,MASQ2!BV196,'Étape 1 - à remplir'!$C$31:$C$400,CE$3)),IF(CE$2="Âge",IF(CE$3="Tous",SUMIFS('Étape 1 - à remplir'!$F$31:$F$400,'Étape 1 - à remplir'!$E$31:$E$400,MASQ2!BV196,'Étape 1 - à remplir'!$G$31:$G$400,"lots"),SUMIFS('Étape 1 - à remplir'!$F$31:$F$400,'Étape 1 - à remplir'!$E$31:$E$400,MASQ2!BV196,'Étape 1 - à remplir'!$P$31:$P$400,CE$3,'Étape 1 - à remplir'!$G$31:$G$400,"lots")),IF(CE$2="Atelier",IF(CE$3="Tous",SUMIFS('Étape 1 - à remplir'!$F$31:$F$400,'Étape 1 - à remplir'!$E$31:$E$400,MASQ2!BV196,'Étape 1 - à remplir'!$G$31:$G$400,"lots"),SUMIFS('Étape 1 - à remplir'!$F$31:$F$400,'Étape 1 - à remplir'!$E$31:$E$400,MASQ2!BV196,'Étape 1 - à remplir'!$O$31:$O$400,CE$3,'Étape 1 - à remplir'!$G$31:$G$400,"lots")),IF(CE$2="Espèce",IF(CE$3="Toutes",SUMIFS('Étape 1 - à remplir'!$F$31:$F$400,'Étape 1 - à remplir'!$E$31:$E$400,MASQ2!BV196,'Étape 1 - à remplir'!$G$31:$G$400,"lots"),SUMIFS('Étape 1 - à remplir'!$F$31:$F$400,'Étape 1 - à remplir'!$E$31:$E$400,MASQ2!BV196,'Étape 1 - à remplir'!$N$31:$N$400,CE$3,'Étape 1 - à remplir'!$G$31:$G$400,"lots")))))))</f>
        <v>#N/A</v>
      </c>
      <c r="BX196">
        <f t="shared" si="183"/>
        <v>0</v>
      </c>
      <c r="BY196" t="str">
        <f t="shared" ref="BY196:BY259" si="192">R196</f>
        <v>Doxycycline</v>
      </c>
      <c r="BZ196" t="str">
        <f t="shared" ref="BZ196:BZ259" si="193">S196</f>
        <v/>
      </c>
      <c r="CA196" t="str">
        <f t="shared" ref="CA196:CA259" si="194">T196</f>
        <v/>
      </c>
      <c r="CB196" t="str">
        <f t="shared" ref="CB196:CB259" si="195">U196</f>
        <v>Tetracyclines</v>
      </c>
      <c r="CC196" t="str">
        <f t="shared" ref="CC196:CC259" si="196">V196</f>
        <v/>
      </c>
      <c r="CD196" s="63" t="str">
        <f t="shared" ref="CD196:CD259" si="197">W196</f>
        <v/>
      </c>
      <c r="CG196" s="42">
        <v>193</v>
      </c>
      <c r="CH196" s="42" t="e">
        <f t="shared" si="188"/>
        <v>#N/A</v>
      </c>
      <c r="CI196" s="63" t="e">
        <f t="shared" si="189"/>
        <v>#N/A</v>
      </c>
      <c r="DM196" s="63"/>
      <c r="EA196" s="194" t="str">
        <f t="shared" ref="EA196:EA259" ca="1" si="198">M196</f>
        <v/>
      </c>
      <c r="EB196" s="226" t="str">
        <f>IFERROR(IF(ED196=0,"",COUNTIF(ED$4:ED$600,"&gt;"&amp;ED196)+COUNTIF(ED$4:ED196,ED196)),"")</f>
        <v/>
      </c>
      <c r="EC196" t="str">
        <f t="shared" ref="EC196:EC259" si="199">O196</f>
        <v>DOXYLIN CT WSP 433 MG/G POUDRE POUR ADMINISTRATION DANS L'EAU DE BOISSON POUR POULES ET DINDES</v>
      </c>
      <c r="ED196" t="e">
        <f>IF(IF(EL$2="Catégorie",IF(EL$3="Toutes",SUMIFS('Étape 1 - à remplir'!$F$31:$F$400,'Étape 1 - à remplir'!$E$31:$E$400,MASQ2!EC196,'Étape 1 - à remplir'!$G$31:$G$400,"kg"),SUMIFS('Étape 1 - à remplir'!$F$31:$F$400,'Étape 1 - à remplir'!$E$31:$E$400,MASQ2!EC196,'Étape 1 - à remplir'!$C$31:$C$400,EL$3)),IF(EL$2="Âge",IF(EL$3="Tous",SUMIFS('Étape 1 - à remplir'!$F$31:$F$400,'Étape 1 - à remplir'!$E$31:$E$400,MASQ2!EC196,'Étape 1 - à remplir'!$G$31:$G$400,"kg"),SUMIFS('Étape 1 - à remplir'!$F$31:$F$400,'Étape 1 - à remplir'!$E$31:$E$400,MASQ2!EC196,'Étape 1 - à remplir'!$P$31:$P$400,EL$3,'Étape 1 - à remplir'!$G$31:$G$400,"kg")),IF(EL$2="Atelier",IF(EL$3="Tous",SUMIFS('Étape 1 - à remplir'!$F$31:$F$400,'Étape 1 - à remplir'!$E$31:$E$400,MASQ2!EC196,'Étape 1 - à remplir'!$G$31:$G$400,"kg"),SUMIFS('Étape 1 - à remplir'!$F$31:$F$400,'Étape 1 - à remplir'!$E$31:$E$400,MASQ2!EC196,'Étape 1 - à remplir'!$O$31:$O$400,EL$3,'Étape 1 - à remplir'!$G$31:$G$400,"kg")),IF(EL$2="Espèce",IF(EL$3="Toutes",SUMIFS('Étape 1 - à remplir'!$F$31:$F$400,'Étape 1 - à remplir'!$E$31:$E$400,MASQ2!EC196,'Étape 1 - à remplir'!$G$31:$G$400,"kg"),SUMIFS('Étape 1 - à remplir'!$F$31:$F$400,'Étape 1 - à remplir'!$E$31:$E$400,MASQ2!EC196,'Étape 1 - à remplir'!$N$31:$N$400,EL$3,'Étape 1 - à remplir'!$G$31:$G$400,"kg"))))))=0,NA(),IF(EL$2="Catégorie",IF(EL$3="Toutes",SUMIFS('Étape 1 - à remplir'!$F$31:$F$400,'Étape 1 - à remplir'!$E$31:$E$400,MASQ2!EC196,'Étape 1 - à remplir'!$G$31:$G$400,"kg"),SUMIFS('Étape 1 - à remplir'!$F$31:$F$400,'Étape 1 - à remplir'!$E$31:$E$400,MASQ2!EC196,'Étape 1 - à remplir'!$C$31:$C$400,EL$3)),IF(EL$2="Âge",IF(EL$3="Tous",SUMIFS('Étape 1 - à remplir'!$F$31:$F$400,'Étape 1 - à remplir'!$E$31:$E$400,MASQ2!EC196,'Étape 1 - à remplir'!$G$31:$G$400,"kg"),SUMIFS('Étape 1 - à remplir'!$F$31:$F$400,'Étape 1 - à remplir'!$E$31:$E$400,MASQ2!EC196,'Étape 1 - à remplir'!$P$31:$P$400,EL$3,'Étape 1 - à remplir'!$G$31:$G$400,"kg")),IF(EL$2="Atelier",IF(EL$3="Tous",SUMIFS('Étape 1 - à remplir'!$F$31:$F$400,'Étape 1 - à remplir'!$E$31:$E$400,MASQ2!EC196,'Étape 1 - à remplir'!$G$31:$G$400,"kg"),SUMIFS('Étape 1 - à remplir'!$F$31:$F$400,'Étape 1 - à remplir'!$E$31:$E$400,MASQ2!EC196,'Étape 1 - à remplir'!$O$31:$O$400,EL$3,'Étape 1 - à remplir'!$G$31:$G$400,"kg")),IF(EL$2="Espèce",IF(EL$3="Toutes",SUMIFS('Étape 1 - à remplir'!$F$31:$F$400,'Étape 1 - à remplir'!$E$31:$E$400,MASQ2!EC196,'Étape 1 - à remplir'!$G$31:$G$400,"kg"),SUMIFS('Étape 1 - à remplir'!$F$31:$F$400,'Étape 1 - à remplir'!$E$31:$E$400,MASQ2!EC196,'Étape 1 - à remplir'!$N$31:$N$400,EL$3,'Étape 1 - à remplir'!$G$31:$G$400,"kg")))))))</f>
        <v>#N/A</v>
      </c>
      <c r="EE196" s="76">
        <f t="shared" si="184"/>
        <v>0</v>
      </c>
      <c r="EF196" t="str">
        <f t="shared" ref="EF196:EF259" si="200">R196</f>
        <v>Doxycycline</v>
      </c>
      <c r="EG196" t="str">
        <f t="shared" ref="EG196:EG259" si="201">S196</f>
        <v/>
      </c>
      <c r="EH196" t="str">
        <f t="shared" ref="EH196:EH259" si="202">T196</f>
        <v/>
      </c>
      <c r="EI196" t="str">
        <f t="shared" ref="EI196:EI259" si="203">U196</f>
        <v>Tetracyclines</v>
      </c>
      <c r="EJ196" t="str">
        <f t="shared" ref="EJ196:EJ259" si="204">V196</f>
        <v/>
      </c>
      <c r="EK196" s="63" t="str">
        <f t="shared" ref="EK196:EK259" si="205">W196</f>
        <v/>
      </c>
      <c r="EN196" s="42">
        <v>193</v>
      </c>
      <c r="EO196" t="e">
        <f t="shared" si="186"/>
        <v>#N/A</v>
      </c>
      <c r="EP196" s="63" t="e">
        <f t="shared" si="187"/>
        <v>#N/A</v>
      </c>
      <c r="FT196" s="63"/>
    </row>
    <row r="197" spans="2:176" x14ac:dyDescent="0.3">
      <c r="B197" s="42"/>
      <c r="M197" s="194" t="str">
        <f ca="1">INDEX(Données_ATB!BD:BU,MATCH(MASQ2!O197,Données_ATB!BD:BD,0),18)</f>
        <v/>
      </c>
      <c r="N197" s="14" t="str">
        <f>IFERROR(IF(Q197=0,"",COUNTIF(Q$4:Q$600,"&gt;"&amp;Q197)+COUNTIF(Q$4:Q197,Q197)),"")</f>
        <v/>
      </c>
      <c r="O197" t="str">
        <f>Données_ATB!BD196</f>
        <v>DOXYPRO 200 MG / G POUDRE ORALE VEAUX</v>
      </c>
      <c r="P197" t="e">
        <f>IF(IF(X$2="Catégorie",IF(X$3="Toutes",SUMIFS('Étape 1 - à remplir'!$F$31:$F$400,'Étape 1 - à remplir'!$E$31:$E$400,MASQ2!O197,'Étape 1 - à remplir'!$G$31:$G$400,"animaux"),SUMIFS('Étape 1 - à remplir'!$F$31:$F$400,'Étape 1 - à remplir'!$E$31:$E$400,MASQ2!O197,'Étape 1 - à remplir'!$C$31:$C$400,X$3)),IF(X$2="Âge",IF(X$3="Tous",SUMIFS('Étape 1 - à remplir'!$F$31:$F$400,'Étape 1 - à remplir'!$E$31:$E$400,MASQ2!O197,'Étape 1 - à remplir'!$G$31:$G$400,"animaux"),SUMIFS('Étape 1 - à remplir'!$F$31:$F$400,'Étape 1 - à remplir'!$E$31:$E$400,MASQ2!O197,'Étape 1 - à remplir'!$P$31:$P$400,X$3)),IF(X$2="Atelier",IF(X$3="Tous",SUMIFS('Étape 1 - à remplir'!$F$31:$F$400,'Étape 1 - à remplir'!$E$31:$E$400,MASQ2!O197,'Étape 1 - à remplir'!$G$31:$G$400,"animaux"),SUMIFS('Étape 1 - à remplir'!$F$31:$F$400,'Étape 1 - à remplir'!$E$31:$E$400,MASQ2!O197,'Étape 1 - à remplir'!$O$31:$O$400,X$3)),IF(X$2="Espèce",IF(X$3="Toutes",SUMIFS('Étape 1 - à remplir'!$F$31:$F$400,'Étape 1 - à remplir'!$E$31:$E$400,MASQ2!O197,'Étape 1 - à remplir'!$G$31:$G$400,"animaux"),SUMIFS('Étape 1 - à remplir'!$F$31:$F$400,'Étape 1 - à remplir'!$E$31:$E$400,MASQ2!O197,'Étape 1 - à remplir'!$N$31:$N$400,X$3))))))=0,NA(),IF(X$2="Catégorie",IF(X$3="Toutes",SUMIFS('Étape 1 - à remplir'!$F$31:$F$400,'Étape 1 - à remplir'!$E$31:$E$400,MASQ2!O197,'Étape 1 - à remplir'!$G$31:$G$400,"animaux"),SUMIFS('Étape 1 - à remplir'!$F$31:$F$400,'Étape 1 - à remplir'!$E$31:$E$400,MASQ2!O197,'Étape 1 - à remplir'!$C$31:$C$400,X$3)),IF(X$2="Âge",IF(X$3="Tous",SUMIFS('Étape 1 - à remplir'!$F$31:$F$400,'Étape 1 - à remplir'!$E$31:$E$400,MASQ2!O197,'Étape 1 - à remplir'!$G$31:$G$400,"animaux"),SUMIFS('Étape 1 - à remplir'!$F$31:$F$400,'Étape 1 - à remplir'!$E$31:$E$400,MASQ2!O197,'Étape 1 - à remplir'!$P$31:$P$400,X$3)),IF(X$2="Atelier",IF(X$3="Tous",SUMIFS('Étape 1 - à remplir'!$F$31:$F$400,'Étape 1 - à remplir'!$E$31:$E$400,MASQ2!O197,'Étape 1 - à remplir'!$G$31:$G$400,"animaux"),SUMIFS('Étape 1 - à remplir'!$F$31:$F$400,'Étape 1 - à remplir'!$E$31:$E$400,MASQ2!O197,'Étape 1 - à remplir'!$O$31:$O$400,X$3)),IF(X$2="Espèce",IF(X$3="Toutes",SUMIFS('Étape 1 - à remplir'!$F$31:$F$400,'Étape 1 - à remplir'!$E$31:$E$400,MASQ2!O197,'Étape 1 - à remplir'!$G$31:$G$400,"animaux"),SUMIFS('Étape 1 - à remplir'!$F$31:$F$400,'Étape 1 - à remplir'!$E$31:$E$400,MASQ2!O197,'Étape 1 - à remplir'!$N$31:$N$400,X$3)))))))</f>
        <v>#N/A</v>
      </c>
      <c r="Q197" s="63">
        <f t="shared" si="185"/>
        <v>0</v>
      </c>
      <c r="R197" t="str">
        <f>Données_ATB!BM196</f>
        <v>Doxycycline</v>
      </c>
      <c r="S197" t="str">
        <f>Données_ATB!BN196</f>
        <v/>
      </c>
      <c r="T197" s="63" t="str">
        <f>Données_ATB!BO196</f>
        <v/>
      </c>
      <c r="U197" s="42" t="str">
        <f>Données_ATB!BQ196</f>
        <v>Tetracyclines</v>
      </c>
      <c r="V197" t="str">
        <f>Données_ATB!BR196</f>
        <v/>
      </c>
      <c r="W197" s="63" t="str">
        <f>Données_ATB!BS196</f>
        <v/>
      </c>
      <c r="Z197" s="42">
        <v>194</v>
      </c>
      <c r="AA197" t="e">
        <f t="shared" ref="AA197:AA260" si="206">INDEX(N$3:Q$600,MATCH(Z197,N$3:N$600,0),2)</f>
        <v>#N/A</v>
      </c>
      <c r="AB197" s="63" t="e">
        <f t="shared" ref="AB197:AB260" si="207">INDEX(N$3:Q$600,MATCH(Z197,N$3:N$600,0),4)</f>
        <v>#N/A</v>
      </c>
      <c r="BF197" s="63"/>
      <c r="BT197" s="194" t="str">
        <f t="shared" ca="1" si="190"/>
        <v/>
      </c>
      <c r="BU197" s="219" t="str">
        <f>IFERROR(IF(BX197=0,"",COUNTIF(BX$4:BX$600,"&gt;"&amp;BX197)+COUNTIF(BX$4:BX197,BX197)),"")</f>
        <v/>
      </c>
      <c r="BV197" s="42" t="str">
        <f t="shared" si="191"/>
        <v>DOXYPRO 200 MG / G POUDRE ORALE VEAUX</v>
      </c>
      <c r="BW197" t="e">
        <f>IF(IF(CE$2="Catégorie",IF(CE$3="Toutes",SUMIFS('Étape 1 - à remplir'!$F$31:$F$400,'Étape 1 - à remplir'!$E$31:$E$400,MASQ2!BV197,'Étape 1 - à remplir'!$G$31:$G$400,"lots"),SUMIFS('Étape 1 - à remplir'!$F$31:$F$400,'Étape 1 - à remplir'!$E$31:$E$400,MASQ2!BV197,'Étape 1 - à remplir'!$C$31:$C$400,CE$3)),IF(CE$2="Âge",IF(CE$3="Tous",SUMIFS('Étape 1 - à remplir'!$F$31:$F$400,'Étape 1 - à remplir'!$E$31:$E$400,MASQ2!BV197,'Étape 1 - à remplir'!$G$31:$G$400,"lots"),SUMIFS('Étape 1 - à remplir'!$F$31:$F$400,'Étape 1 - à remplir'!$E$31:$E$400,MASQ2!BV197,'Étape 1 - à remplir'!$P$31:$P$400,CE$3,'Étape 1 - à remplir'!$G$31:$G$400,"lots")),IF(CE$2="Atelier",IF(CE$3="Tous",SUMIFS('Étape 1 - à remplir'!$F$31:$F$400,'Étape 1 - à remplir'!$E$31:$E$400,MASQ2!BV197,'Étape 1 - à remplir'!$G$31:$G$400,"lots"),SUMIFS('Étape 1 - à remplir'!$F$31:$F$400,'Étape 1 - à remplir'!$E$31:$E$400,MASQ2!BV197,'Étape 1 - à remplir'!$O$31:$O$400,CE$3,'Étape 1 - à remplir'!$G$31:$G$400,"lots")),IF(CE$2="Espèce",IF(CE$3="Toutes",SUMIFS('Étape 1 - à remplir'!$F$31:$F$400,'Étape 1 - à remplir'!$E$31:$E$400,MASQ2!BV197,'Étape 1 - à remplir'!$G$31:$G$400,"lots"),SUMIFS('Étape 1 - à remplir'!$F$31:$F$400,'Étape 1 - à remplir'!$E$31:$E$400,MASQ2!BV197,'Étape 1 - à remplir'!$N$31:$N$400,CE$3,'Étape 1 - à remplir'!$G$31:$G$400,"lots"))))))=0,NA(),IF(CE$2="Catégorie",IF(CE$3="Toutes",SUMIFS('Étape 1 - à remplir'!$F$31:$F$400,'Étape 1 - à remplir'!$E$31:$E$400,MASQ2!BV197,'Étape 1 - à remplir'!$G$31:$G$400,"lots"),SUMIFS('Étape 1 - à remplir'!$F$31:$F$400,'Étape 1 - à remplir'!$E$31:$E$400,MASQ2!BV197,'Étape 1 - à remplir'!$C$31:$C$400,CE$3)),IF(CE$2="Âge",IF(CE$3="Tous",SUMIFS('Étape 1 - à remplir'!$F$31:$F$400,'Étape 1 - à remplir'!$E$31:$E$400,MASQ2!BV197,'Étape 1 - à remplir'!$G$31:$G$400,"lots"),SUMIFS('Étape 1 - à remplir'!$F$31:$F$400,'Étape 1 - à remplir'!$E$31:$E$400,MASQ2!BV197,'Étape 1 - à remplir'!$P$31:$P$400,CE$3,'Étape 1 - à remplir'!$G$31:$G$400,"lots")),IF(CE$2="Atelier",IF(CE$3="Tous",SUMIFS('Étape 1 - à remplir'!$F$31:$F$400,'Étape 1 - à remplir'!$E$31:$E$400,MASQ2!BV197,'Étape 1 - à remplir'!$G$31:$G$400,"lots"),SUMIFS('Étape 1 - à remplir'!$F$31:$F$400,'Étape 1 - à remplir'!$E$31:$E$400,MASQ2!BV197,'Étape 1 - à remplir'!$O$31:$O$400,CE$3,'Étape 1 - à remplir'!$G$31:$G$400,"lots")),IF(CE$2="Espèce",IF(CE$3="Toutes",SUMIFS('Étape 1 - à remplir'!$F$31:$F$400,'Étape 1 - à remplir'!$E$31:$E$400,MASQ2!BV197,'Étape 1 - à remplir'!$G$31:$G$400,"lots"),SUMIFS('Étape 1 - à remplir'!$F$31:$F$400,'Étape 1 - à remplir'!$E$31:$E$400,MASQ2!BV197,'Étape 1 - à remplir'!$N$31:$N$400,CE$3,'Étape 1 - à remplir'!$G$31:$G$400,"lots")))))))</f>
        <v>#N/A</v>
      </c>
      <c r="BX197">
        <f t="shared" ref="BX197:BX260" si="208">IFERROR(BW197,0)</f>
        <v>0</v>
      </c>
      <c r="BY197" t="str">
        <f t="shared" si="192"/>
        <v>Doxycycline</v>
      </c>
      <c r="BZ197" t="str">
        <f t="shared" si="193"/>
        <v/>
      </c>
      <c r="CA197" t="str">
        <f t="shared" si="194"/>
        <v/>
      </c>
      <c r="CB197" t="str">
        <f t="shared" si="195"/>
        <v>Tetracyclines</v>
      </c>
      <c r="CC197" t="str">
        <f t="shared" si="196"/>
        <v/>
      </c>
      <c r="CD197" s="63" t="str">
        <f t="shared" si="197"/>
        <v/>
      </c>
      <c r="CG197" s="42">
        <v>194</v>
      </c>
      <c r="CH197" s="42" t="e">
        <f t="shared" si="188"/>
        <v>#N/A</v>
      </c>
      <c r="CI197" s="63" t="e">
        <f t="shared" si="189"/>
        <v>#N/A</v>
      </c>
      <c r="DM197" s="63"/>
      <c r="EA197" s="194" t="str">
        <f t="shared" ca="1" si="198"/>
        <v/>
      </c>
      <c r="EB197" s="226" t="str">
        <f>IFERROR(IF(ED197=0,"",COUNTIF(ED$4:ED$600,"&gt;"&amp;ED197)+COUNTIF(ED$4:ED197,ED197)),"")</f>
        <v/>
      </c>
      <c r="EC197" t="str">
        <f t="shared" si="199"/>
        <v>DOXYPRO 200 MG / G POUDRE ORALE VEAUX</v>
      </c>
      <c r="ED197" t="e">
        <f>IF(IF(EL$2="Catégorie",IF(EL$3="Toutes",SUMIFS('Étape 1 - à remplir'!$F$31:$F$400,'Étape 1 - à remplir'!$E$31:$E$400,MASQ2!EC197,'Étape 1 - à remplir'!$G$31:$G$400,"kg"),SUMIFS('Étape 1 - à remplir'!$F$31:$F$400,'Étape 1 - à remplir'!$E$31:$E$400,MASQ2!EC197,'Étape 1 - à remplir'!$C$31:$C$400,EL$3)),IF(EL$2="Âge",IF(EL$3="Tous",SUMIFS('Étape 1 - à remplir'!$F$31:$F$400,'Étape 1 - à remplir'!$E$31:$E$400,MASQ2!EC197,'Étape 1 - à remplir'!$G$31:$G$400,"kg"),SUMIFS('Étape 1 - à remplir'!$F$31:$F$400,'Étape 1 - à remplir'!$E$31:$E$400,MASQ2!EC197,'Étape 1 - à remplir'!$P$31:$P$400,EL$3,'Étape 1 - à remplir'!$G$31:$G$400,"kg")),IF(EL$2="Atelier",IF(EL$3="Tous",SUMIFS('Étape 1 - à remplir'!$F$31:$F$400,'Étape 1 - à remplir'!$E$31:$E$400,MASQ2!EC197,'Étape 1 - à remplir'!$G$31:$G$400,"kg"),SUMIFS('Étape 1 - à remplir'!$F$31:$F$400,'Étape 1 - à remplir'!$E$31:$E$400,MASQ2!EC197,'Étape 1 - à remplir'!$O$31:$O$400,EL$3,'Étape 1 - à remplir'!$G$31:$G$400,"kg")),IF(EL$2="Espèce",IF(EL$3="Toutes",SUMIFS('Étape 1 - à remplir'!$F$31:$F$400,'Étape 1 - à remplir'!$E$31:$E$400,MASQ2!EC197,'Étape 1 - à remplir'!$G$31:$G$400,"kg"),SUMIFS('Étape 1 - à remplir'!$F$31:$F$400,'Étape 1 - à remplir'!$E$31:$E$400,MASQ2!EC197,'Étape 1 - à remplir'!$N$31:$N$400,EL$3,'Étape 1 - à remplir'!$G$31:$G$400,"kg"))))))=0,NA(),IF(EL$2="Catégorie",IF(EL$3="Toutes",SUMIFS('Étape 1 - à remplir'!$F$31:$F$400,'Étape 1 - à remplir'!$E$31:$E$400,MASQ2!EC197,'Étape 1 - à remplir'!$G$31:$G$400,"kg"),SUMIFS('Étape 1 - à remplir'!$F$31:$F$400,'Étape 1 - à remplir'!$E$31:$E$400,MASQ2!EC197,'Étape 1 - à remplir'!$C$31:$C$400,EL$3)),IF(EL$2="Âge",IF(EL$3="Tous",SUMIFS('Étape 1 - à remplir'!$F$31:$F$400,'Étape 1 - à remplir'!$E$31:$E$400,MASQ2!EC197,'Étape 1 - à remplir'!$G$31:$G$400,"kg"),SUMIFS('Étape 1 - à remplir'!$F$31:$F$400,'Étape 1 - à remplir'!$E$31:$E$400,MASQ2!EC197,'Étape 1 - à remplir'!$P$31:$P$400,EL$3,'Étape 1 - à remplir'!$G$31:$G$400,"kg")),IF(EL$2="Atelier",IF(EL$3="Tous",SUMIFS('Étape 1 - à remplir'!$F$31:$F$400,'Étape 1 - à remplir'!$E$31:$E$400,MASQ2!EC197,'Étape 1 - à remplir'!$G$31:$G$400,"kg"),SUMIFS('Étape 1 - à remplir'!$F$31:$F$400,'Étape 1 - à remplir'!$E$31:$E$400,MASQ2!EC197,'Étape 1 - à remplir'!$O$31:$O$400,EL$3,'Étape 1 - à remplir'!$G$31:$G$400,"kg")),IF(EL$2="Espèce",IF(EL$3="Toutes",SUMIFS('Étape 1 - à remplir'!$F$31:$F$400,'Étape 1 - à remplir'!$E$31:$E$400,MASQ2!EC197,'Étape 1 - à remplir'!$G$31:$G$400,"kg"),SUMIFS('Étape 1 - à remplir'!$F$31:$F$400,'Étape 1 - à remplir'!$E$31:$E$400,MASQ2!EC197,'Étape 1 - à remplir'!$N$31:$N$400,EL$3,'Étape 1 - à remplir'!$G$31:$G$400,"kg")))))))</f>
        <v>#N/A</v>
      </c>
      <c r="EE197" s="76">
        <f t="shared" ref="EE197:EE260" si="209">IFERROR(ED197,0)</f>
        <v>0</v>
      </c>
      <c r="EF197" t="str">
        <f t="shared" si="200"/>
        <v>Doxycycline</v>
      </c>
      <c r="EG197" t="str">
        <f t="shared" si="201"/>
        <v/>
      </c>
      <c r="EH197" t="str">
        <f t="shared" si="202"/>
        <v/>
      </c>
      <c r="EI197" t="str">
        <f t="shared" si="203"/>
        <v>Tetracyclines</v>
      </c>
      <c r="EJ197" t="str">
        <f t="shared" si="204"/>
        <v/>
      </c>
      <c r="EK197" s="63" t="str">
        <f t="shared" si="205"/>
        <v/>
      </c>
      <c r="EN197" s="42">
        <v>194</v>
      </c>
      <c r="EO197" t="e">
        <f t="shared" si="186"/>
        <v>#N/A</v>
      </c>
      <c r="EP197" s="63" t="e">
        <f t="shared" si="187"/>
        <v>#N/A</v>
      </c>
      <c r="FT197" s="63"/>
    </row>
    <row r="198" spans="2:176" x14ac:dyDescent="0.3">
      <c r="B198" s="42"/>
      <c r="M198" s="194" t="str">
        <f ca="1">INDEX(Données_ATB!BD:BU,MATCH(MASQ2!O198,Données_ATB!BD:BD,0),18)</f>
        <v/>
      </c>
      <c r="N198" s="14" t="str">
        <f>IFERROR(IF(Q198=0,"",COUNTIF(Q$4:Q$600,"&gt;"&amp;Q198)+COUNTIF(Q$4:Q198,Q198)),"")</f>
        <v/>
      </c>
      <c r="O198" t="str">
        <f>Données_ATB!BD197</f>
        <v>DOXYSOL 10 %</v>
      </c>
      <c r="P198" t="e">
        <f>IF(IF(X$2="Catégorie",IF(X$3="Toutes",SUMIFS('Étape 1 - à remplir'!$F$31:$F$400,'Étape 1 - à remplir'!$E$31:$E$400,MASQ2!O198,'Étape 1 - à remplir'!$G$31:$G$400,"animaux"),SUMIFS('Étape 1 - à remplir'!$F$31:$F$400,'Étape 1 - à remplir'!$E$31:$E$400,MASQ2!O198,'Étape 1 - à remplir'!$C$31:$C$400,X$3)),IF(X$2="Âge",IF(X$3="Tous",SUMIFS('Étape 1 - à remplir'!$F$31:$F$400,'Étape 1 - à remplir'!$E$31:$E$400,MASQ2!O198,'Étape 1 - à remplir'!$G$31:$G$400,"animaux"),SUMIFS('Étape 1 - à remplir'!$F$31:$F$400,'Étape 1 - à remplir'!$E$31:$E$400,MASQ2!O198,'Étape 1 - à remplir'!$P$31:$P$400,X$3)),IF(X$2="Atelier",IF(X$3="Tous",SUMIFS('Étape 1 - à remplir'!$F$31:$F$400,'Étape 1 - à remplir'!$E$31:$E$400,MASQ2!O198,'Étape 1 - à remplir'!$G$31:$G$400,"animaux"),SUMIFS('Étape 1 - à remplir'!$F$31:$F$400,'Étape 1 - à remplir'!$E$31:$E$400,MASQ2!O198,'Étape 1 - à remplir'!$O$31:$O$400,X$3)),IF(X$2="Espèce",IF(X$3="Toutes",SUMIFS('Étape 1 - à remplir'!$F$31:$F$400,'Étape 1 - à remplir'!$E$31:$E$400,MASQ2!O198,'Étape 1 - à remplir'!$G$31:$G$400,"animaux"),SUMIFS('Étape 1 - à remplir'!$F$31:$F$400,'Étape 1 - à remplir'!$E$31:$E$400,MASQ2!O198,'Étape 1 - à remplir'!$N$31:$N$400,X$3))))))=0,NA(),IF(X$2="Catégorie",IF(X$3="Toutes",SUMIFS('Étape 1 - à remplir'!$F$31:$F$400,'Étape 1 - à remplir'!$E$31:$E$400,MASQ2!O198,'Étape 1 - à remplir'!$G$31:$G$400,"animaux"),SUMIFS('Étape 1 - à remplir'!$F$31:$F$400,'Étape 1 - à remplir'!$E$31:$E$400,MASQ2!O198,'Étape 1 - à remplir'!$C$31:$C$400,X$3)),IF(X$2="Âge",IF(X$3="Tous",SUMIFS('Étape 1 - à remplir'!$F$31:$F$400,'Étape 1 - à remplir'!$E$31:$E$400,MASQ2!O198,'Étape 1 - à remplir'!$G$31:$G$400,"animaux"),SUMIFS('Étape 1 - à remplir'!$F$31:$F$400,'Étape 1 - à remplir'!$E$31:$E$400,MASQ2!O198,'Étape 1 - à remplir'!$P$31:$P$400,X$3)),IF(X$2="Atelier",IF(X$3="Tous",SUMIFS('Étape 1 - à remplir'!$F$31:$F$400,'Étape 1 - à remplir'!$E$31:$E$400,MASQ2!O198,'Étape 1 - à remplir'!$G$31:$G$400,"animaux"),SUMIFS('Étape 1 - à remplir'!$F$31:$F$400,'Étape 1 - à remplir'!$E$31:$E$400,MASQ2!O198,'Étape 1 - à remplir'!$O$31:$O$400,X$3)),IF(X$2="Espèce",IF(X$3="Toutes",SUMIFS('Étape 1 - à remplir'!$F$31:$F$400,'Étape 1 - à remplir'!$E$31:$E$400,MASQ2!O198,'Étape 1 - à remplir'!$G$31:$G$400,"animaux"),SUMIFS('Étape 1 - à remplir'!$F$31:$F$400,'Étape 1 - à remplir'!$E$31:$E$400,MASQ2!O198,'Étape 1 - à remplir'!$N$31:$N$400,X$3)))))))</f>
        <v>#N/A</v>
      </c>
      <c r="Q198" s="63">
        <f t="shared" ref="Q198:Q261" si="210">IFERROR(P198,0)</f>
        <v>0</v>
      </c>
      <c r="R198" t="str">
        <f>Données_ATB!BM197</f>
        <v>Doxycycline</v>
      </c>
      <c r="S198" t="str">
        <f>Données_ATB!BN197</f>
        <v/>
      </c>
      <c r="T198" s="63" t="str">
        <f>Données_ATB!BO197</f>
        <v/>
      </c>
      <c r="U198" s="42" t="str">
        <f>Données_ATB!BQ197</f>
        <v>Tetracyclines</v>
      </c>
      <c r="V198" t="str">
        <f>Données_ATB!BR197</f>
        <v/>
      </c>
      <c r="W198" s="63" t="str">
        <f>Données_ATB!BS197</f>
        <v/>
      </c>
      <c r="Z198" s="42">
        <v>195</v>
      </c>
      <c r="AA198" t="e">
        <f t="shared" si="206"/>
        <v>#N/A</v>
      </c>
      <c r="AB198" s="63" t="e">
        <f t="shared" si="207"/>
        <v>#N/A</v>
      </c>
      <c r="BF198" s="63"/>
      <c r="BT198" s="194" t="str">
        <f t="shared" ca="1" si="190"/>
        <v/>
      </c>
      <c r="BU198" s="219" t="str">
        <f>IFERROR(IF(BX198=0,"",COUNTIF(BX$4:BX$600,"&gt;"&amp;BX198)+COUNTIF(BX$4:BX198,BX198)),"")</f>
        <v/>
      </c>
      <c r="BV198" s="42" t="str">
        <f t="shared" si="191"/>
        <v>DOXYSOL 10 %</v>
      </c>
      <c r="BW198" t="e">
        <f>IF(IF(CE$2="Catégorie",IF(CE$3="Toutes",SUMIFS('Étape 1 - à remplir'!$F$31:$F$400,'Étape 1 - à remplir'!$E$31:$E$400,MASQ2!BV198,'Étape 1 - à remplir'!$G$31:$G$400,"lots"),SUMIFS('Étape 1 - à remplir'!$F$31:$F$400,'Étape 1 - à remplir'!$E$31:$E$400,MASQ2!BV198,'Étape 1 - à remplir'!$C$31:$C$400,CE$3)),IF(CE$2="Âge",IF(CE$3="Tous",SUMIFS('Étape 1 - à remplir'!$F$31:$F$400,'Étape 1 - à remplir'!$E$31:$E$400,MASQ2!BV198,'Étape 1 - à remplir'!$G$31:$G$400,"lots"),SUMIFS('Étape 1 - à remplir'!$F$31:$F$400,'Étape 1 - à remplir'!$E$31:$E$400,MASQ2!BV198,'Étape 1 - à remplir'!$P$31:$P$400,CE$3,'Étape 1 - à remplir'!$G$31:$G$400,"lots")),IF(CE$2="Atelier",IF(CE$3="Tous",SUMIFS('Étape 1 - à remplir'!$F$31:$F$400,'Étape 1 - à remplir'!$E$31:$E$400,MASQ2!BV198,'Étape 1 - à remplir'!$G$31:$G$400,"lots"),SUMIFS('Étape 1 - à remplir'!$F$31:$F$400,'Étape 1 - à remplir'!$E$31:$E$400,MASQ2!BV198,'Étape 1 - à remplir'!$O$31:$O$400,CE$3,'Étape 1 - à remplir'!$G$31:$G$400,"lots")),IF(CE$2="Espèce",IF(CE$3="Toutes",SUMIFS('Étape 1 - à remplir'!$F$31:$F$400,'Étape 1 - à remplir'!$E$31:$E$400,MASQ2!BV198,'Étape 1 - à remplir'!$G$31:$G$400,"lots"),SUMIFS('Étape 1 - à remplir'!$F$31:$F$400,'Étape 1 - à remplir'!$E$31:$E$400,MASQ2!BV198,'Étape 1 - à remplir'!$N$31:$N$400,CE$3,'Étape 1 - à remplir'!$G$31:$G$400,"lots"))))))=0,NA(),IF(CE$2="Catégorie",IF(CE$3="Toutes",SUMIFS('Étape 1 - à remplir'!$F$31:$F$400,'Étape 1 - à remplir'!$E$31:$E$400,MASQ2!BV198,'Étape 1 - à remplir'!$G$31:$G$400,"lots"),SUMIFS('Étape 1 - à remplir'!$F$31:$F$400,'Étape 1 - à remplir'!$E$31:$E$400,MASQ2!BV198,'Étape 1 - à remplir'!$C$31:$C$400,CE$3)),IF(CE$2="Âge",IF(CE$3="Tous",SUMIFS('Étape 1 - à remplir'!$F$31:$F$400,'Étape 1 - à remplir'!$E$31:$E$400,MASQ2!BV198,'Étape 1 - à remplir'!$G$31:$G$400,"lots"),SUMIFS('Étape 1 - à remplir'!$F$31:$F$400,'Étape 1 - à remplir'!$E$31:$E$400,MASQ2!BV198,'Étape 1 - à remplir'!$P$31:$P$400,CE$3,'Étape 1 - à remplir'!$G$31:$G$400,"lots")),IF(CE$2="Atelier",IF(CE$3="Tous",SUMIFS('Étape 1 - à remplir'!$F$31:$F$400,'Étape 1 - à remplir'!$E$31:$E$400,MASQ2!BV198,'Étape 1 - à remplir'!$G$31:$G$400,"lots"),SUMIFS('Étape 1 - à remplir'!$F$31:$F$400,'Étape 1 - à remplir'!$E$31:$E$400,MASQ2!BV198,'Étape 1 - à remplir'!$O$31:$O$400,CE$3,'Étape 1 - à remplir'!$G$31:$G$400,"lots")),IF(CE$2="Espèce",IF(CE$3="Toutes",SUMIFS('Étape 1 - à remplir'!$F$31:$F$400,'Étape 1 - à remplir'!$E$31:$E$400,MASQ2!BV198,'Étape 1 - à remplir'!$G$31:$G$400,"lots"),SUMIFS('Étape 1 - à remplir'!$F$31:$F$400,'Étape 1 - à remplir'!$E$31:$E$400,MASQ2!BV198,'Étape 1 - à remplir'!$N$31:$N$400,CE$3,'Étape 1 - à remplir'!$G$31:$G$400,"lots")))))))</f>
        <v>#N/A</v>
      </c>
      <c r="BX198">
        <f t="shared" si="208"/>
        <v>0</v>
      </c>
      <c r="BY198" t="str">
        <f t="shared" si="192"/>
        <v>Doxycycline</v>
      </c>
      <c r="BZ198" t="str">
        <f t="shared" si="193"/>
        <v/>
      </c>
      <c r="CA198" t="str">
        <f t="shared" si="194"/>
        <v/>
      </c>
      <c r="CB198" t="str">
        <f t="shared" si="195"/>
        <v>Tetracyclines</v>
      </c>
      <c r="CC198" t="str">
        <f t="shared" si="196"/>
        <v/>
      </c>
      <c r="CD198" s="63" t="str">
        <f t="shared" si="197"/>
        <v/>
      </c>
      <c r="CG198" s="42">
        <v>195</v>
      </c>
      <c r="CH198" s="42" t="e">
        <f t="shared" si="188"/>
        <v>#N/A</v>
      </c>
      <c r="CI198" s="63" t="e">
        <f t="shared" si="189"/>
        <v>#N/A</v>
      </c>
      <c r="DM198" s="63"/>
      <c r="EA198" s="194" t="str">
        <f t="shared" ca="1" si="198"/>
        <v/>
      </c>
      <c r="EB198" s="226" t="str">
        <f>IFERROR(IF(ED198=0,"",COUNTIF(ED$4:ED$600,"&gt;"&amp;ED198)+COUNTIF(ED$4:ED198,ED198)),"")</f>
        <v/>
      </c>
      <c r="EC198" t="str">
        <f t="shared" si="199"/>
        <v>DOXYSOL 10 %</v>
      </c>
      <c r="ED198" t="e">
        <f>IF(IF(EL$2="Catégorie",IF(EL$3="Toutes",SUMIFS('Étape 1 - à remplir'!$F$31:$F$400,'Étape 1 - à remplir'!$E$31:$E$400,MASQ2!EC198,'Étape 1 - à remplir'!$G$31:$G$400,"kg"),SUMIFS('Étape 1 - à remplir'!$F$31:$F$400,'Étape 1 - à remplir'!$E$31:$E$400,MASQ2!EC198,'Étape 1 - à remplir'!$C$31:$C$400,EL$3)),IF(EL$2="Âge",IF(EL$3="Tous",SUMIFS('Étape 1 - à remplir'!$F$31:$F$400,'Étape 1 - à remplir'!$E$31:$E$400,MASQ2!EC198,'Étape 1 - à remplir'!$G$31:$G$400,"kg"),SUMIFS('Étape 1 - à remplir'!$F$31:$F$400,'Étape 1 - à remplir'!$E$31:$E$400,MASQ2!EC198,'Étape 1 - à remplir'!$P$31:$P$400,EL$3,'Étape 1 - à remplir'!$G$31:$G$400,"kg")),IF(EL$2="Atelier",IF(EL$3="Tous",SUMIFS('Étape 1 - à remplir'!$F$31:$F$400,'Étape 1 - à remplir'!$E$31:$E$400,MASQ2!EC198,'Étape 1 - à remplir'!$G$31:$G$400,"kg"),SUMIFS('Étape 1 - à remplir'!$F$31:$F$400,'Étape 1 - à remplir'!$E$31:$E$400,MASQ2!EC198,'Étape 1 - à remplir'!$O$31:$O$400,EL$3,'Étape 1 - à remplir'!$G$31:$G$400,"kg")),IF(EL$2="Espèce",IF(EL$3="Toutes",SUMIFS('Étape 1 - à remplir'!$F$31:$F$400,'Étape 1 - à remplir'!$E$31:$E$400,MASQ2!EC198,'Étape 1 - à remplir'!$G$31:$G$400,"kg"),SUMIFS('Étape 1 - à remplir'!$F$31:$F$400,'Étape 1 - à remplir'!$E$31:$E$400,MASQ2!EC198,'Étape 1 - à remplir'!$N$31:$N$400,EL$3,'Étape 1 - à remplir'!$G$31:$G$400,"kg"))))))=0,NA(),IF(EL$2="Catégorie",IF(EL$3="Toutes",SUMIFS('Étape 1 - à remplir'!$F$31:$F$400,'Étape 1 - à remplir'!$E$31:$E$400,MASQ2!EC198,'Étape 1 - à remplir'!$G$31:$G$400,"kg"),SUMIFS('Étape 1 - à remplir'!$F$31:$F$400,'Étape 1 - à remplir'!$E$31:$E$400,MASQ2!EC198,'Étape 1 - à remplir'!$C$31:$C$400,EL$3)),IF(EL$2="Âge",IF(EL$3="Tous",SUMIFS('Étape 1 - à remplir'!$F$31:$F$400,'Étape 1 - à remplir'!$E$31:$E$400,MASQ2!EC198,'Étape 1 - à remplir'!$G$31:$G$400,"kg"),SUMIFS('Étape 1 - à remplir'!$F$31:$F$400,'Étape 1 - à remplir'!$E$31:$E$400,MASQ2!EC198,'Étape 1 - à remplir'!$P$31:$P$400,EL$3,'Étape 1 - à remplir'!$G$31:$G$400,"kg")),IF(EL$2="Atelier",IF(EL$3="Tous",SUMIFS('Étape 1 - à remplir'!$F$31:$F$400,'Étape 1 - à remplir'!$E$31:$E$400,MASQ2!EC198,'Étape 1 - à remplir'!$G$31:$G$400,"kg"),SUMIFS('Étape 1 - à remplir'!$F$31:$F$400,'Étape 1 - à remplir'!$E$31:$E$400,MASQ2!EC198,'Étape 1 - à remplir'!$O$31:$O$400,EL$3,'Étape 1 - à remplir'!$G$31:$G$400,"kg")),IF(EL$2="Espèce",IF(EL$3="Toutes",SUMIFS('Étape 1 - à remplir'!$F$31:$F$400,'Étape 1 - à remplir'!$E$31:$E$400,MASQ2!EC198,'Étape 1 - à remplir'!$G$31:$G$400,"kg"),SUMIFS('Étape 1 - à remplir'!$F$31:$F$400,'Étape 1 - à remplir'!$E$31:$E$400,MASQ2!EC198,'Étape 1 - à remplir'!$N$31:$N$400,EL$3,'Étape 1 - à remplir'!$G$31:$G$400,"kg")))))))</f>
        <v>#N/A</v>
      </c>
      <c r="EE198" s="76">
        <f t="shared" si="209"/>
        <v>0</v>
      </c>
      <c r="EF198" t="str">
        <f t="shared" si="200"/>
        <v>Doxycycline</v>
      </c>
      <c r="EG198" t="str">
        <f t="shared" si="201"/>
        <v/>
      </c>
      <c r="EH198" t="str">
        <f t="shared" si="202"/>
        <v/>
      </c>
      <c r="EI198" t="str">
        <f t="shared" si="203"/>
        <v>Tetracyclines</v>
      </c>
      <c r="EJ198" t="str">
        <f t="shared" si="204"/>
        <v/>
      </c>
      <c r="EK198" s="63" t="str">
        <f t="shared" si="205"/>
        <v/>
      </c>
      <c r="EN198" s="42">
        <v>195</v>
      </c>
      <c r="EO198" t="e">
        <f t="shared" si="186"/>
        <v>#N/A</v>
      </c>
      <c r="EP198" s="63" t="e">
        <f t="shared" si="187"/>
        <v>#N/A</v>
      </c>
      <c r="FT198" s="63"/>
    </row>
    <row r="199" spans="2:176" x14ac:dyDescent="0.3">
      <c r="B199" s="42"/>
      <c r="M199" s="194" t="str">
        <f ca="1">INDEX(Données_ATB!BD:BU,MATCH(MASQ2!O199,Données_ATB!BD:BD,0),18)</f>
        <v/>
      </c>
      <c r="N199" s="14" t="str">
        <f>IFERROR(IF(Q199=0,"",COUNTIF(Q$4:Q$600,"&gt;"&amp;Q199)+COUNTIF(Q$4:Q199,Q199)),"")</f>
        <v/>
      </c>
      <c r="O199" t="str">
        <f>Données_ATB!BD198</f>
        <v>DOXYVAL 20 %</v>
      </c>
      <c r="P199" t="e">
        <f>IF(IF(X$2="Catégorie",IF(X$3="Toutes",SUMIFS('Étape 1 - à remplir'!$F$31:$F$400,'Étape 1 - à remplir'!$E$31:$E$400,MASQ2!O199,'Étape 1 - à remplir'!$G$31:$G$400,"animaux"),SUMIFS('Étape 1 - à remplir'!$F$31:$F$400,'Étape 1 - à remplir'!$E$31:$E$400,MASQ2!O199,'Étape 1 - à remplir'!$C$31:$C$400,X$3)),IF(X$2="Âge",IF(X$3="Tous",SUMIFS('Étape 1 - à remplir'!$F$31:$F$400,'Étape 1 - à remplir'!$E$31:$E$400,MASQ2!O199,'Étape 1 - à remplir'!$G$31:$G$400,"animaux"),SUMIFS('Étape 1 - à remplir'!$F$31:$F$400,'Étape 1 - à remplir'!$E$31:$E$400,MASQ2!O199,'Étape 1 - à remplir'!$P$31:$P$400,X$3)),IF(X$2="Atelier",IF(X$3="Tous",SUMIFS('Étape 1 - à remplir'!$F$31:$F$400,'Étape 1 - à remplir'!$E$31:$E$400,MASQ2!O199,'Étape 1 - à remplir'!$G$31:$G$400,"animaux"),SUMIFS('Étape 1 - à remplir'!$F$31:$F$400,'Étape 1 - à remplir'!$E$31:$E$400,MASQ2!O199,'Étape 1 - à remplir'!$O$31:$O$400,X$3)),IF(X$2="Espèce",IF(X$3="Toutes",SUMIFS('Étape 1 - à remplir'!$F$31:$F$400,'Étape 1 - à remplir'!$E$31:$E$400,MASQ2!O199,'Étape 1 - à remplir'!$G$31:$G$400,"animaux"),SUMIFS('Étape 1 - à remplir'!$F$31:$F$400,'Étape 1 - à remplir'!$E$31:$E$400,MASQ2!O199,'Étape 1 - à remplir'!$N$31:$N$400,X$3))))))=0,NA(),IF(X$2="Catégorie",IF(X$3="Toutes",SUMIFS('Étape 1 - à remplir'!$F$31:$F$400,'Étape 1 - à remplir'!$E$31:$E$400,MASQ2!O199,'Étape 1 - à remplir'!$G$31:$G$400,"animaux"),SUMIFS('Étape 1 - à remplir'!$F$31:$F$400,'Étape 1 - à remplir'!$E$31:$E$400,MASQ2!O199,'Étape 1 - à remplir'!$C$31:$C$400,X$3)),IF(X$2="Âge",IF(X$3="Tous",SUMIFS('Étape 1 - à remplir'!$F$31:$F$400,'Étape 1 - à remplir'!$E$31:$E$400,MASQ2!O199,'Étape 1 - à remplir'!$G$31:$G$400,"animaux"),SUMIFS('Étape 1 - à remplir'!$F$31:$F$400,'Étape 1 - à remplir'!$E$31:$E$400,MASQ2!O199,'Étape 1 - à remplir'!$P$31:$P$400,X$3)),IF(X$2="Atelier",IF(X$3="Tous",SUMIFS('Étape 1 - à remplir'!$F$31:$F$400,'Étape 1 - à remplir'!$E$31:$E$400,MASQ2!O199,'Étape 1 - à remplir'!$G$31:$G$400,"animaux"),SUMIFS('Étape 1 - à remplir'!$F$31:$F$400,'Étape 1 - à remplir'!$E$31:$E$400,MASQ2!O199,'Étape 1 - à remplir'!$O$31:$O$400,X$3)),IF(X$2="Espèce",IF(X$3="Toutes",SUMIFS('Étape 1 - à remplir'!$F$31:$F$400,'Étape 1 - à remplir'!$E$31:$E$400,MASQ2!O199,'Étape 1 - à remplir'!$G$31:$G$400,"animaux"),SUMIFS('Étape 1 - à remplir'!$F$31:$F$400,'Étape 1 - à remplir'!$E$31:$E$400,MASQ2!O199,'Étape 1 - à remplir'!$N$31:$N$400,X$3)))))))</f>
        <v>#N/A</v>
      </c>
      <c r="Q199" s="63">
        <f t="shared" si="210"/>
        <v>0</v>
      </c>
      <c r="R199" t="str">
        <f>Données_ATB!BM198</f>
        <v>Doxycycline</v>
      </c>
      <c r="S199" t="str">
        <f>Données_ATB!BN198</f>
        <v/>
      </c>
      <c r="T199" s="63" t="str">
        <f>Données_ATB!BO198</f>
        <v/>
      </c>
      <c r="U199" s="42" t="str">
        <f>Données_ATB!BQ198</f>
        <v>Tetracyclines</v>
      </c>
      <c r="V199" t="str">
        <f>Données_ATB!BR198</f>
        <v/>
      </c>
      <c r="W199" s="63" t="str">
        <f>Données_ATB!BS198</f>
        <v/>
      </c>
      <c r="Z199" s="42">
        <v>196</v>
      </c>
      <c r="AA199" t="e">
        <f t="shared" si="206"/>
        <v>#N/A</v>
      </c>
      <c r="AB199" s="63" t="e">
        <f t="shared" si="207"/>
        <v>#N/A</v>
      </c>
      <c r="BF199" s="63"/>
      <c r="BT199" s="194" t="str">
        <f t="shared" ca="1" si="190"/>
        <v/>
      </c>
      <c r="BU199" s="219" t="str">
        <f>IFERROR(IF(BX199=0,"",COUNTIF(BX$4:BX$600,"&gt;"&amp;BX199)+COUNTIF(BX$4:BX199,BX199)),"")</f>
        <v/>
      </c>
      <c r="BV199" s="42" t="str">
        <f t="shared" si="191"/>
        <v>DOXYVAL 20 %</v>
      </c>
      <c r="BW199" t="e">
        <f>IF(IF(CE$2="Catégorie",IF(CE$3="Toutes",SUMIFS('Étape 1 - à remplir'!$F$31:$F$400,'Étape 1 - à remplir'!$E$31:$E$400,MASQ2!BV199,'Étape 1 - à remplir'!$G$31:$G$400,"lots"),SUMIFS('Étape 1 - à remplir'!$F$31:$F$400,'Étape 1 - à remplir'!$E$31:$E$400,MASQ2!BV199,'Étape 1 - à remplir'!$C$31:$C$400,CE$3)),IF(CE$2="Âge",IF(CE$3="Tous",SUMIFS('Étape 1 - à remplir'!$F$31:$F$400,'Étape 1 - à remplir'!$E$31:$E$400,MASQ2!BV199,'Étape 1 - à remplir'!$G$31:$G$400,"lots"),SUMIFS('Étape 1 - à remplir'!$F$31:$F$400,'Étape 1 - à remplir'!$E$31:$E$400,MASQ2!BV199,'Étape 1 - à remplir'!$P$31:$P$400,CE$3,'Étape 1 - à remplir'!$G$31:$G$400,"lots")),IF(CE$2="Atelier",IF(CE$3="Tous",SUMIFS('Étape 1 - à remplir'!$F$31:$F$400,'Étape 1 - à remplir'!$E$31:$E$400,MASQ2!BV199,'Étape 1 - à remplir'!$G$31:$G$400,"lots"),SUMIFS('Étape 1 - à remplir'!$F$31:$F$400,'Étape 1 - à remplir'!$E$31:$E$400,MASQ2!BV199,'Étape 1 - à remplir'!$O$31:$O$400,CE$3,'Étape 1 - à remplir'!$G$31:$G$400,"lots")),IF(CE$2="Espèce",IF(CE$3="Toutes",SUMIFS('Étape 1 - à remplir'!$F$31:$F$400,'Étape 1 - à remplir'!$E$31:$E$400,MASQ2!BV199,'Étape 1 - à remplir'!$G$31:$G$400,"lots"),SUMIFS('Étape 1 - à remplir'!$F$31:$F$400,'Étape 1 - à remplir'!$E$31:$E$400,MASQ2!BV199,'Étape 1 - à remplir'!$N$31:$N$400,CE$3,'Étape 1 - à remplir'!$G$31:$G$400,"lots"))))))=0,NA(),IF(CE$2="Catégorie",IF(CE$3="Toutes",SUMIFS('Étape 1 - à remplir'!$F$31:$F$400,'Étape 1 - à remplir'!$E$31:$E$400,MASQ2!BV199,'Étape 1 - à remplir'!$G$31:$G$400,"lots"),SUMIFS('Étape 1 - à remplir'!$F$31:$F$400,'Étape 1 - à remplir'!$E$31:$E$400,MASQ2!BV199,'Étape 1 - à remplir'!$C$31:$C$400,CE$3)),IF(CE$2="Âge",IF(CE$3="Tous",SUMIFS('Étape 1 - à remplir'!$F$31:$F$400,'Étape 1 - à remplir'!$E$31:$E$400,MASQ2!BV199,'Étape 1 - à remplir'!$G$31:$G$400,"lots"),SUMIFS('Étape 1 - à remplir'!$F$31:$F$400,'Étape 1 - à remplir'!$E$31:$E$400,MASQ2!BV199,'Étape 1 - à remplir'!$P$31:$P$400,CE$3,'Étape 1 - à remplir'!$G$31:$G$400,"lots")),IF(CE$2="Atelier",IF(CE$3="Tous",SUMIFS('Étape 1 - à remplir'!$F$31:$F$400,'Étape 1 - à remplir'!$E$31:$E$400,MASQ2!BV199,'Étape 1 - à remplir'!$G$31:$G$400,"lots"),SUMIFS('Étape 1 - à remplir'!$F$31:$F$400,'Étape 1 - à remplir'!$E$31:$E$400,MASQ2!BV199,'Étape 1 - à remplir'!$O$31:$O$400,CE$3,'Étape 1 - à remplir'!$G$31:$G$400,"lots")),IF(CE$2="Espèce",IF(CE$3="Toutes",SUMIFS('Étape 1 - à remplir'!$F$31:$F$400,'Étape 1 - à remplir'!$E$31:$E$400,MASQ2!BV199,'Étape 1 - à remplir'!$G$31:$G$400,"lots"),SUMIFS('Étape 1 - à remplir'!$F$31:$F$400,'Étape 1 - à remplir'!$E$31:$E$400,MASQ2!BV199,'Étape 1 - à remplir'!$N$31:$N$400,CE$3,'Étape 1 - à remplir'!$G$31:$G$400,"lots")))))))</f>
        <v>#N/A</v>
      </c>
      <c r="BX199">
        <f t="shared" si="208"/>
        <v>0</v>
      </c>
      <c r="BY199" t="str">
        <f t="shared" si="192"/>
        <v>Doxycycline</v>
      </c>
      <c r="BZ199" t="str">
        <f t="shared" si="193"/>
        <v/>
      </c>
      <c r="CA199" t="str">
        <f t="shared" si="194"/>
        <v/>
      </c>
      <c r="CB199" t="str">
        <f t="shared" si="195"/>
        <v>Tetracyclines</v>
      </c>
      <c r="CC199" t="str">
        <f t="shared" si="196"/>
        <v/>
      </c>
      <c r="CD199" s="63" t="str">
        <f t="shared" si="197"/>
        <v/>
      </c>
      <c r="CG199" s="42">
        <v>196</v>
      </c>
      <c r="CH199" s="42" t="e">
        <f t="shared" si="188"/>
        <v>#N/A</v>
      </c>
      <c r="CI199" s="63" t="e">
        <f t="shared" si="189"/>
        <v>#N/A</v>
      </c>
      <c r="DM199" s="63"/>
      <c r="EA199" s="194" t="str">
        <f t="shared" ca="1" si="198"/>
        <v/>
      </c>
      <c r="EB199" s="226" t="str">
        <f>IFERROR(IF(ED199=0,"",COUNTIF(ED$4:ED$600,"&gt;"&amp;ED199)+COUNTIF(ED$4:ED199,ED199)),"")</f>
        <v/>
      </c>
      <c r="EC199" t="str">
        <f t="shared" si="199"/>
        <v>DOXYVAL 20 %</v>
      </c>
      <c r="ED199" t="e">
        <f>IF(IF(EL$2="Catégorie",IF(EL$3="Toutes",SUMIFS('Étape 1 - à remplir'!$F$31:$F$400,'Étape 1 - à remplir'!$E$31:$E$400,MASQ2!EC199,'Étape 1 - à remplir'!$G$31:$G$400,"kg"),SUMIFS('Étape 1 - à remplir'!$F$31:$F$400,'Étape 1 - à remplir'!$E$31:$E$400,MASQ2!EC199,'Étape 1 - à remplir'!$C$31:$C$400,EL$3)),IF(EL$2="Âge",IF(EL$3="Tous",SUMIFS('Étape 1 - à remplir'!$F$31:$F$400,'Étape 1 - à remplir'!$E$31:$E$400,MASQ2!EC199,'Étape 1 - à remplir'!$G$31:$G$400,"kg"),SUMIFS('Étape 1 - à remplir'!$F$31:$F$400,'Étape 1 - à remplir'!$E$31:$E$400,MASQ2!EC199,'Étape 1 - à remplir'!$P$31:$P$400,EL$3,'Étape 1 - à remplir'!$G$31:$G$400,"kg")),IF(EL$2="Atelier",IF(EL$3="Tous",SUMIFS('Étape 1 - à remplir'!$F$31:$F$400,'Étape 1 - à remplir'!$E$31:$E$400,MASQ2!EC199,'Étape 1 - à remplir'!$G$31:$G$400,"kg"),SUMIFS('Étape 1 - à remplir'!$F$31:$F$400,'Étape 1 - à remplir'!$E$31:$E$400,MASQ2!EC199,'Étape 1 - à remplir'!$O$31:$O$400,EL$3,'Étape 1 - à remplir'!$G$31:$G$400,"kg")),IF(EL$2="Espèce",IF(EL$3="Toutes",SUMIFS('Étape 1 - à remplir'!$F$31:$F$400,'Étape 1 - à remplir'!$E$31:$E$400,MASQ2!EC199,'Étape 1 - à remplir'!$G$31:$G$400,"kg"),SUMIFS('Étape 1 - à remplir'!$F$31:$F$400,'Étape 1 - à remplir'!$E$31:$E$400,MASQ2!EC199,'Étape 1 - à remplir'!$N$31:$N$400,EL$3,'Étape 1 - à remplir'!$G$31:$G$400,"kg"))))))=0,NA(),IF(EL$2="Catégorie",IF(EL$3="Toutes",SUMIFS('Étape 1 - à remplir'!$F$31:$F$400,'Étape 1 - à remplir'!$E$31:$E$400,MASQ2!EC199,'Étape 1 - à remplir'!$G$31:$G$400,"kg"),SUMIFS('Étape 1 - à remplir'!$F$31:$F$400,'Étape 1 - à remplir'!$E$31:$E$400,MASQ2!EC199,'Étape 1 - à remplir'!$C$31:$C$400,EL$3)),IF(EL$2="Âge",IF(EL$3="Tous",SUMIFS('Étape 1 - à remplir'!$F$31:$F$400,'Étape 1 - à remplir'!$E$31:$E$400,MASQ2!EC199,'Étape 1 - à remplir'!$G$31:$G$400,"kg"),SUMIFS('Étape 1 - à remplir'!$F$31:$F$400,'Étape 1 - à remplir'!$E$31:$E$400,MASQ2!EC199,'Étape 1 - à remplir'!$P$31:$P$400,EL$3,'Étape 1 - à remplir'!$G$31:$G$400,"kg")),IF(EL$2="Atelier",IF(EL$3="Tous",SUMIFS('Étape 1 - à remplir'!$F$31:$F$400,'Étape 1 - à remplir'!$E$31:$E$400,MASQ2!EC199,'Étape 1 - à remplir'!$G$31:$G$400,"kg"),SUMIFS('Étape 1 - à remplir'!$F$31:$F$400,'Étape 1 - à remplir'!$E$31:$E$400,MASQ2!EC199,'Étape 1 - à remplir'!$O$31:$O$400,EL$3,'Étape 1 - à remplir'!$G$31:$G$400,"kg")),IF(EL$2="Espèce",IF(EL$3="Toutes",SUMIFS('Étape 1 - à remplir'!$F$31:$F$400,'Étape 1 - à remplir'!$E$31:$E$400,MASQ2!EC199,'Étape 1 - à remplir'!$G$31:$G$400,"kg"),SUMIFS('Étape 1 - à remplir'!$F$31:$F$400,'Étape 1 - à remplir'!$E$31:$E$400,MASQ2!EC199,'Étape 1 - à remplir'!$N$31:$N$400,EL$3,'Étape 1 - à remplir'!$G$31:$G$400,"kg")))))))</f>
        <v>#N/A</v>
      </c>
      <c r="EE199" s="76">
        <f t="shared" si="209"/>
        <v>0</v>
      </c>
      <c r="EF199" t="str">
        <f t="shared" si="200"/>
        <v>Doxycycline</v>
      </c>
      <c r="EG199" t="str">
        <f t="shared" si="201"/>
        <v/>
      </c>
      <c r="EH199" t="str">
        <f t="shared" si="202"/>
        <v/>
      </c>
      <c r="EI199" t="str">
        <f t="shared" si="203"/>
        <v>Tetracyclines</v>
      </c>
      <c r="EJ199" t="str">
        <f t="shared" si="204"/>
        <v/>
      </c>
      <c r="EK199" s="63" t="str">
        <f t="shared" si="205"/>
        <v/>
      </c>
      <c r="EN199" s="42">
        <v>196</v>
      </c>
      <c r="EO199" t="e">
        <f t="shared" si="186"/>
        <v>#N/A</v>
      </c>
      <c r="EP199" s="63" t="e">
        <f t="shared" si="187"/>
        <v>#N/A</v>
      </c>
      <c r="FT199" s="63"/>
    </row>
    <row r="200" spans="2:176" x14ac:dyDescent="0.3">
      <c r="B200" s="42"/>
      <c r="M200" s="194" t="str">
        <f ca="1">INDEX(Données_ATB!BD:BU,MATCH(MASQ2!O200,Données_ATB!BD:BD,0),18)</f>
        <v/>
      </c>
      <c r="N200" s="14" t="str">
        <f>IFERROR(IF(Q200=0,"",COUNTIF(Q$4:Q$600,"&gt;"&amp;Q200)+COUNTIF(Q$4:Q200,Q200)),"")</f>
        <v/>
      </c>
      <c r="O200" t="str">
        <f>Données_ATB!BD199</f>
        <v>DOXYVETO-C 433 MG/G POUDRE POUR ADMINISTRATION DANS L'EAU DE BOISSON / LE LAIT DE REMPLACEMENT POUR LES BOVINS, PORCINS ET POULETS</v>
      </c>
      <c r="P200" t="e">
        <f>IF(IF(X$2="Catégorie",IF(X$3="Toutes",SUMIFS('Étape 1 - à remplir'!$F$31:$F$400,'Étape 1 - à remplir'!$E$31:$E$400,MASQ2!O200,'Étape 1 - à remplir'!$G$31:$G$400,"animaux"),SUMIFS('Étape 1 - à remplir'!$F$31:$F$400,'Étape 1 - à remplir'!$E$31:$E$400,MASQ2!O200,'Étape 1 - à remplir'!$C$31:$C$400,X$3)),IF(X$2="Âge",IF(X$3="Tous",SUMIFS('Étape 1 - à remplir'!$F$31:$F$400,'Étape 1 - à remplir'!$E$31:$E$400,MASQ2!O200,'Étape 1 - à remplir'!$G$31:$G$400,"animaux"),SUMIFS('Étape 1 - à remplir'!$F$31:$F$400,'Étape 1 - à remplir'!$E$31:$E$400,MASQ2!O200,'Étape 1 - à remplir'!$P$31:$P$400,X$3)),IF(X$2="Atelier",IF(X$3="Tous",SUMIFS('Étape 1 - à remplir'!$F$31:$F$400,'Étape 1 - à remplir'!$E$31:$E$400,MASQ2!O200,'Étape 1 - à remplir'!$G$31:$G$400,"animaux"),SUMIFS('Étape 1 - à remplir'!$F$31:$F$400,'Étape 1 - à remplir'!$E$31:$E$400,MASQ2!O200,'Étape 1 - à remplir'!$O$31:$O$400,X$3)),IF(X$2="Espèce",IF(X$3="Toutes",SUMIFS('Étape 1 - à remplir'!$F$31:$F$400,'Étape 1 - à remplir'!$E$31:$E$400,MASQ2!O200,'Étape 1 - à remplir'!$G$31:$G$400,"animaux"),SUMIFS('Étape 1 - à remplir'!$F$31:$F$400,'Étape 1 - à remplir'!$E$31:$E$400,MASQ2!O200,'Étape 1 - à remplir'!$N$31:$N$400,X$3))))))=0,NA(),IF(X$2="Catégorie",IF(X$3="Toutes",SUMIFS('Étape 1 - à remplir'!$F$31:$F$400,'Étape 1 - à remplir'!$E$31:$E$400,MASQ2!O200,'Étape 1 - à remplir'!$G$31:$G$400,"animaux"),SUMIFS('Étape 1 - à remplir'!$F$31:$F$400,'Étape 1 - à remplir'!$E$31:$E$400,MASQ2!O200,'Étape 1 - à remplir'!$C$31:$C$400,X$3)),IF(X$2="Âge",IF(X$3="Tous",SUMIFS('Étape 1 - à remplir'!$F$31:$F$400,'Étape 1 - à remplir'!$E$31:$E$400,MASQ2!O200,'Étape 1 - à remplir'!$G$31:$G$400,"animaux"),SUMIFS('Étape 1 - à remplir'!$F$31:$F$400,'Étape 1 - à remplir'!$E$31:$E$400,MASQ2!O200,'Étape 1 - à remplir'!$P$31:$P$400,X$3)),IF(X$2="Atelier",IF(X$3="Tous",SUMIFS('Étape 1 - à remplir'!$F$31:$F$400,'Étape 1 - à remplir'!$E$31:$E$400,MASQ2!O200,'Étape 1 - à remplir'!$G$31:$G$400,"animaux"),SUMIFS('Étape 1 - à remplir'!$F$31:$F$400,'Étape 1 - à remplir'!$E$31:$E$400,MASQ2!O200,'Étape 1 - à remplir'!$O$31:$O$400,X$3)),IF(X$2="Espèce",IF(X$3="Toutes",SUMIFS('Étape 1 - à remplir'!$F$31:$F$400,'Étape 1 - à remplir'!$E$31:$E$400,MASQ2!O200,'Étape 1 - à remplir'!$G$31:$G$400,"animaux"),SUMIFS('Étape 1 - à remplir'!$F$31:$F$400,'Étape 1 - à remplir'!$E$31:$E$400,MASQ2!O200,'Étape 1 - à remplir'!$N$31:$N$400,X$3)))))))</f>
        <v>#N/A</v>
      </c>
      <c r="Q200" s="63">
        <f t="shared" si="210"/>
        <v>0</v>
      </c>
      <c r="R200" t="str">
        <f>Données_ATB!BM199</f>
        <v>Doxycycline</v>
      </c>
      <c r="S200" t="str">
        <f>Données_ATB!BN199</f>
        <v/>
      </c>
      <c r="T200" s="63" t="str">
        <f>Données_ATB!BO199</f>
        <v/>
      </c>
      <c r="U200" s="42" t="str">
        <f>Données_ATB!BQ199</f>
        <v>Tetracyclines</v>
      </c>
      <c r="V200" t="str">
        <f>Données_ATB!BR199</f>
        <v/>
      </c>
      <c r="W200" s="63" t="str">
        <f>Données_ATB!BS199</f>
        <v/>
      </c>
      <c r="Z200" s="42">
        <v>197</v>
      </c>
      <c r="AA200" t="e">
        <f t="shared" si="206"/>
        <v>#N/A</v>
      </c>
      <c r="AB200" s="63" t="e">
        <f t="shared" si="207"/>
        <v>#N/A</v>
      </c>
      <c r="BF200" s="63"/>
      <c r="BT200" s="194" t="str">
        <f t="shared" ca="1" si="190"/>
        <v/>
      </c>
      <c r="BU200" s="219" t="str">
        <f>IFERROR(IF(BX200=0,"",COUNTIF(BX$4:BX$600,"&gt;"&amp;BX200)+COUNTIF(BX$4:BX200,BX200)),"")</f>
        <v/>
      </c>
      <c r="BV200" s="42" t="str">
        <f t="shared" si="191"/>
        <v>DOXYVETO-C 433 MG/G POUDRE POUR ADMINISTRATION DANS L'EAU DE BOISSON / LE LAIT DE REMPLACEMENT POUR LES BOVINS, PORCINS ET POULETS</v>
      </c>
      <c r="BW200" t="e">
        <f>IF(IF(CE$2="Catégorie",IF(CE$3="Toutes",SUMIFS('Étape 1 - à remplir'!$F$31:$F$400,'Étape 1 - à remplir'!$E$31:$E$400,MASQ2!BV200,'Étape 1 - à remplir'!$G$31:$G$400,"lots"),SUMIFS('Étape 1 - à remplir'!$F$31:$F$400,'Étape 1 - à remplir'!$E$31:$E$400,MASQ2!BV200,'Étape 1 - à remplir'!$C$31:$C$400,CE$3)),IF(CE$2="Âge",IF(CE$3="Tous",SUMIFS('Étape 1 - à remplir'!$F$31:$F$400,'Étape 1 - à remplir'!$E$31:$E$400,MASQ2!BV200,'Étape 1 - à remplir'!$G$31:$G$400,"lots"),SUMIFS('Étape 1 - à remplir'!$F$31:$F$400,'Étape 1 - à remplir'!$E$31:$E$400,MASQ2!BV200,'Étape 1 - à remplir'!$P$31:$P$400,CE$3,'Étape 1 - à remplir'!$G$31:$G$400,"lots")),IF(CE$2="Atelier",IF(CE$3="Tous",SUMIFS('Étape 1 - à remplir'!$F$31:$F$400,'Étape 1 - à remplir'!$E$31:$E$400,MASQ2!BV200,'Étape 1 - à remplir'!$G$31:$G$400,"lots"),SUMIFS('Étape 1 - à remplir'!$F$31:$F$400,'Étape 1 - à remplir'!$E$31:$E$400,MASQ2!BV200,'Étape 1 - à remplir'!$O$31:$O$400,CE$3,'Étape 1 - à remplir'!$G$31:$G$400,"lots")),IF(CE$2="Espèce",IF(CE$3="Toutes",SUMIFS('Étape 1 - à remplir'!$F$31:$F$400,'Étape 1 - à remplir'!$E$31:$E$400,MASQ2!BV200,'Étape 1 - à remplir'!$G$31:$G$400,"lots"),SUMIFS('Étape 1 - à remplir'!$F$31:$F$400,'Étape 1 - à remplir'!$E$31:$E$400,MASQ2!BV200,'Étape 1 - à remplir'!$N$31:$N$400,CE$3,'Étape 1 - à remplir'!$G$31:$G$400,"lots"))))))=0,NA(),IF(CE$2="Catégorie",IF(CE$3="Toutes",SUMIFS('Étape 1 - à remplir'!$F$31:$F$400,'Étape 1 - à remplir'!$E$31:$E$400,MASQ2!BV200,'Étape 1 - à remplir'!$G$31:$G$400,"lots"),SUMIFS('Étape 1 - à remplir'!$F$31:$F$400,'Étape 1 - à remplir'!$E$31:$E$400,MASQ2!BV200,'Étape 1 - à remplir'!$C$31:$C$400,CE$3)),IF(CE$2="Âge",IF(CE$3="Tous",SUMIFS('Étape 1 - à remplir'!$F$31:$F$400,'Étape 1 - à remplir'!$E$31:$E$400,MASQ2!BV200,'Étape 1 - à remplir'!$G$31:$G$400,"lots"),SUMIFS('Étape 1 - à remplir'!$F$31:$F$400,'Étape 1 - à remplir'!$E$31:$E$400,MASQ2!BV200,'Étape 1 - à remplir'!$P$31:$P$400,CE$3,'Étape 1 - à remplir'!$G$31:$G$400,"lots")),IF(CE$2="Atelier",IF(CE$3="Tous",SUMIFS('Étape 1 - à remplir'!$F$31:$F$400,'Étape 1 - à remplir'!$E$31:$E$400,MASQ2!BV200,'Étape 1 - à remplir'!$G$31:$G$400,"lots"),SUMIFS('Étape 1 - à remplir'!$F$31:$F$400,'Étape 1 - à remplir'!$E$31:$E$400,MASQ2!BV200,'Étape 1 - à remplir'!$O$31:$O$400,CE$3,'Étape 1 - à remplir'!$G$31:$G$400,"lots")),IF(CE$2="Espèce",IF(CE$3="Toutes",SUMIFS('Étape 1 - à remplir'!$F$31:$F$400,'Étape 1 - à remplir'!$E$31:$E$400,MASQ2!BV200,'Étape 1 - à remplir'!$G$31:$G$400,"lots"),SUMIFS('Étape 1 - à remplir'!$F$31:$F$400,'Étape 1 - à remplir'!$E$31:$E$400,MASQ2!BV200,'Étape 1 - à remplir'!$N$31:$N$400,CE$3,'Étape 1 - à remplir'!$G$31:$G$400,"lots")))))))</f>
        <v>#N/A</v>
      </c>
      <c r="BX200">
        <f t="shared" si="208"/>
        <v>0</v>
      </c>
      <c r="BY200" t="str">
        <f t="shared" si="192"/>
        <v>Doxycycline</v>
      </c>
      <c r="BZ200" t="str">
        <f t="shared" si="193"/>
        <v/>
      </c>
      <c r="CA200" t="str">
        <f t="shared" si="194"/>
        <v/>
      </c>
      <c r="CB200" t="str">
        <f t="shared" si="195"/>
        <v>Tetracyclines</v>
      </c>
      <c r="CC200" t="str">
        <f t="shared" si="196"/>
        <v/>
      </c>
      <c r="CD200" s="63" t="str">
        <f t="shared" si="197"/>
        <v/>
      </c>
      <c r="CG200" s="42">
        <v>197</v>
      </c>
      <c r="CH200" s="42" t="e">
        <f t="shared" si="188"/>
        <v>#N/A</v>
      </c>
      <c r="CI200" s="63" t="e">
        <f t="shared" si="189"/>
        <v>#N/A</v>
      </c>
      <c r="DM200" s="63"/>
      <c r="EA200" s="194" t="str">
        <f t="shared" ca="1" si="198"/>
        <v/>
      </c>
      <c r="EB200" s="226" t="str">
        <f>IFERROR(IF(ED200=0,"",COUNTIF(ED$4:ED$600,"&gt;"&amp;ED200)+COUNTIF(ED$4:ED200,ED200)),"")</f>
        <v/>
      </c>
      <c r="EC200" t="str">
        <f t="shared" si="199"/>
        <v>DOXYVETO-C 433 MG/G POUDRE POUR ADMINISTRATION DANS L'EAU DE BOISSON / LE LAIT DE REMPLACEMENT POUR LES BOVINS, PORCINS ET POULETS</v>
      </c>
      <c r="ED200" t="e">
        <f>IF(IF(EL$2="Catégorie",IF(EL$3="Toutes",SUMIFS('Étape 1 - à remplir'!$F$31:$F$400,'Étape 1 - à remplir'!$E$31:$E$400,MASQ2!EC200,'Étape 1 - à remplir'!$G$31:$G$400,"kg"),SUMIFS('Étape 1 - à remplir'!$F$31:$F$400,'Étape 1 - à remplir'!$E$31:$E$400,MASQ2!EC200,'Étape 1 - à remplir'!$C$31:$C$400,EL$3)),IF(EL$2="Âge",IF(EL$3="Tous",SUMIFS('Étape 1 - à remplir'!$F$31:$F$400,'Étape 1 - à remplir'!$E$31:$E$400,MASQ2!EC200,'Étape 1 - à remplir'!$G$31:$G$400,"kg"),SUMIFS('Étape 1 - à remplir'!$F$31:$F$400,'Étape 1 - à remplir'!$E$31:$E$400,MASQ2!EC200,'Étape 1 - à remplir'!$P$31:$P$400,EL$3,'Étape 1 - à remplir'!$G$31:$G$400,"kg")),IF(EL$2="Atelier",IF(EL$3="Tous",SUMIFS('Étape 1 - à remplir'!$F$31:$F$400,'Étape 1 - à remplir'!$E$31:$E$400,MASQ2!EC200,'Étape 1 - à remplir'!$G$31:$G$400,"kg"),SUMIFS('Étape 1 - à remplir'!$F$31:$F$400,'Étape 1 - à remplir'!$E$31:$E$400,MASQ2!EC200,'Étape 1 - à remplir'!$O$31:$O$400,EL$3,'Étape 1 - à remplir'!$G$31:$G$400,"kg")),IF(EL$2="Espèce",IF(EL$3="Toutes",SUMIFS('Étape 1 - à remplir'!$F$31:$F$400,'Étape 1 - à remplir'!$E$31:$E$400,MASQ2!EC200,'Étape 1 - à remplir'!$G$31:$G$400,"kg"),SUMIFS('Étape 1 - à remplir'!$F$31:$F$400,'Étape 1 - à remplir'!$E$31:$E$400,MASQ2!EC200,'Étape 1 - à remplir'!$N$31:$N$400,EL$3,'Étape 1 - à remplir'!$G$31:$G$400,"kg"))))))=0,NA(),IF(EL$2="Catégorie",IF(EL$3="Toutes",SUMIFS('Étape 1 - à remplir'!$F$31:$F$400,'Étape 1 - à remplir'!$E$31:$E$400,MASQ2!EC200,'Étape 1 - à remplir'!$G$31:$G$400,"kg"),SUMIFS('Étape 1 - à remplir'!$F$31:$F$400,'Étape 1 - à remplir'!$E$31:$E$400,MASQ2!EC200,'Étape 1 - à remplir'!$C$31:$C$400,EL$3)),IF(EL$2="Âge",IF(EL$3="Tous",SUMIFS('Étape 1 - à remplir'!$F$31:$F$400,'Étape 1 - à remplir'!$E$31:$E$400,MASQ2!EC200,'Étape 1 - à remplir'!$G$31:$G$400,"kg"),SUMIFS('Étape 1 - à remplir'!$F$31:$F$400,'Étape 1 - à remplir'!$E$31:$E$400,MASQ2!EC200,'Étape 1 - à remplir'!$P$31:$P$400,EL$3,'Étape 1 - à remplir'!$G$31:$G$400,"kg")),IF(EL$2="Atelier",IF(EL$3="Tous",SUMIFS('Étape 1 - à remplir'!$F$31:$F$400,'Étape 1 - à remplir'!$E$31:$E$400,MASQ2!EC200,'Étape 1 - à remplir'!$G$31:$G$400,"kg"),SUMIFS('Étape 1 - à remplir'!$F$31:$F$400,'Étape 1 - à remplir'!$E$31:$E$400,MASQ2!EC200,'Étape 1 - à remplir'!$O$31:$O$400,EL$3,'Étape 1 - à remplir'!$G$31:$G$400,"kg")),IF(EL$2="Espèce",IF(EL$3="Toutes",SUMIFS('Étape 1 - à remplir'!$F$31:$F$400,'Étape 1 - à remplir'!$E$31:$E$400,MASQ2!EC200,'Étape 1 - à remplir'!$G$31:$G$400,"kg"),SUMIFS('Étape 1 - à remplir'!$F$31:$F$400,'Étape 1 - à remplir'!$E$31:$E$400,MASQ2!EC200,'Étape 1 - à remplir'!$N$31:$N$400,EL$3,'Étape 1 - à remplir'!$G$31:$G$400,"kg")))))))</f>
        <v>#N/A</v>
      </c>
      <c r="EE200" s="76">
        <f t="shared" si="209"/>
        <v>0</v>
      </c>
      <c r="EF200" t="str">
        <f t="shared" si="200"/>
        <v>Doxycycline</v>
      </c>
      <c r="EG200" t="str">
        <f t="shared" si="201"/>
        <v/>
      </c>
      <c r="EH200" t="str">
        <f t="shared" si="202"/>
        <v/>
      </c>
      <c r="EI200" t="str">
        <f t="shared" si="203"/>
        <v>Tetracyclines</v>
      </c>
      <c r="EJ200" t="str">
        <f t="shared" si="204"/>
        <v/>
      </c>
      <c r="EK200" s="63" t="str">
        <f t="shared" si="205"/>
        <v/>
      </c>
      <c r="EN200" s="42">
        <v>197</v>
      </c>
      <c r="EO200" t="e">
        <f t="shared" si="186"/>
        <v>#N/A</v>
      </c>
      <c r="EP200" s="63" t="e">
        <f t="shared" si="187"/>
        <v>#N/A</v>
      </c>
      <c r="FT200" s="63"/>
    </row>
    <row r="201" spans="2:176" x14ac:dyDescent="0.3">
      <c r="B201" s="42"/>
      <c r="M201" s="194" t="str">
        <f ca="1">INDEX(Données_ATB!BD:BU,MATCH(MASQ2!O201,Données_ATB!BD:BD,0),18)</f>
        <v/>
      </c>
      <c r="N201" s="14" t="str">
        <f>IFERROR(IF(Q201=0,"",COUNTIF(Q$4:Q$600,"&gt;"&amp;Q201)+COUNTIF(Q$4:Q201,Q201)),"")</f>
        <v/>
      </c>
      <c r="O201" t="str">
        <f>Données_ATB!BD200</f>
        <v>DRAXXIN 100 MG/ML SOLUTION INJECTABLE POUR BOVINS, PORCINS ET OVINS</v>
      </c>
      <c r="P201" t="e">
        <f>IF(IF(X$2="Catégorie",IF(X$3="Toutes",SUMIFS('Étape 1 - à remplir'!$F$31:$F$400,'Étape 1 - à remplir'!$E$31:$E$400,MASQ2!O201,'Étape 1 - à remplir'!$G$31:$G$400,"animaux"),SUMIFS('Étape 1 - à remplir'!$F$31:$F$400,'Étape 1 - à remplir'!$E$31:$E$400,MASQ2!O201,'Étape 1 - à remplir'!$C$31:$C$400,X$3)),IF(X$2="Âge",IF(X$3="Tous",SUMIFS('Étape 1 - à remplir'!$F$31:$F$400,'Étape 1 - à remplir'!$E$31:$E$400,MASQ2!O201,'Étape 1 - à remplir'!$G$31:$G$400,"animaux"),SUMIFS('Étape 1 - à remplir'!$F$31:$F$400,'Étape 1 - à remplir'!$E$31:$E$400,MASQ2!O201,'Étape 1 - à remplir'!$P$31:$P$400,X$3)),IF(X$2="Atelier",IF(X$3="Tous",SUMIFS('Étape 1 - à remplir'!$F$31:$F$400,'Étape 1 - à remplir'!$E$31:$E$400,MASQ2!O201,'Étape 1 - à remplir'!$G$31:$G$400,"animaux"),SUMIFS('Étape 1 - à remplir'!$F$31:$F$400,'Étape 1 - à remplir'!$E$31:$E$400,MASQ2!O201,'Étape 1 - à remplir'!$O$31:$O$400,X$3)),IF(X$2="Espèce",IF(X$3="Toutes",SUMIFS('Étape 1 - à remplir'!$F$31:$F$400,'Étape 1 - à remplir'!$E$31:$E$400,MASQ2!O201,'Étape 1 - à remplir'!$G$31:$G$400,"animaux"),SUMIFS('Étape 1 - à remplir'!$F$31:$F$400,'Étape 1 - à remplir'!$E$31:$E$400,MASQ2!O201,'Étape 1 - à remplir'!$N$31:$N$400,X$3))))))=0,NA(),IF(X$2="Catégorie",IF(X$3="Toutes",SUMIFS('Étape 1 - à remplir'!$F$31:$F$400,'Étape 1 - à remplir'!$E$31:$E$400,MASQ2!O201,'Étape 1 - à remplir'!$G$31:$G$400,"animaux"),SUMIFS('Étape 1 - à remplir'!$F$31:$F$400,'Étape 1 - à remplir'!$E$31:$E$400,MASQ2!O201,'Étape 1 - à remplir'!$C$31:$C$400,X$3)),IF(X$2="Âge",IF(X$3="Tous",SUMIFS('Étape 1 - à remplir'!$F$31:$F$400,'Étape 1 - à remplir'!$E$31:$E$400,MASQ2!O201,'Étape 1 - à remplir'!$G$31:$G$400,"animaux"),SUMIFS('Étape 1 - à remplir'!$F$31:$F$400,'Étape 1 - à remplir'!$E$31:$E$400,MASQ2!O201,'Étape 1 - à remplir'!$P$31:$P$400,X$3)),IF(X$2="Atelier",IF(X$3="Tous",SUMIFS('Étape 1 - à remplir'!$F$31:$F$400,'Étape 1 - à remplir'!$E$31:$E$400,MASQ2!O201,'Étape 1 - à remplir'!$G$31:$G$400,"animaux"),SUMIFS('Étape 1 - à remplir'!$F$31:$F$400,'Étape 1 - à remplir'!$E$31:$E$400,MASQ2!O201,'Étape 1 - à remplir'!$O$31:$O$400,X$3)),IF(X$2="Espèce",IF(X$3="Toutes",SUMIFS('Étape 1 - à remplir'!$F$31:$F$400,'Étape 1 - à remplir'!$E$31:$E$400,MASQ2!O201,'Étape 1 - à remplir'!$G$31:$G$400,"animaux"),SUMIFS('Étape 1 - à remplir'!$F$31:$F$400,'Étape 1 - à remplir'!$E$31:$E$400,MASQ2!O201,'Étape 1 - à remplir'!$N$31:$N$400,X$3)))))))</f>
        <v>#N/A</v>
      </c>
      <c r="Q201" s="63">
        <f t="shared" si="210"/>
        <v>0</v>
      </c>
      <c r="R201" t="str">
        <f>Données_ATB!BM200</f>
        <v>Tulathromycine</v>
      </c>
      <c r="S201" t="str">
        <f>Données_ATB!BN200</f>
        <v/>
      </c>
      <c r="T201" s="63" t="str">
        <f>Données_ATB!BO200</f>
        <v/>
      </c>
      <c r="U201" s="42" t="str">
        <f>Données_ATB!BQ200</f>
        <v>Macrolides</v>
      </c>
      <c r="V201" t="str">
        <f>Données_ATB!BR200</f>
        <v/>
      </c>
      <c r="W201" s="63" t="str">
        <f>Données_ATB!BS200</f>
        <v/>
      </c>
      <c r="Z201" s="42">
        <v>198</v>
      </c>
      <c r="AA201" t="e">
        <f t="shared" si="206"/>
        <v>#N/A</v>
      </c>
      <c r="AB201" s="63" t="e">
        <f t="shared" si="207"/>
        <v>#N/A</v>
      </c>
      <c r="BF201" s="63"/>
      <c r="BT201" s="194" t="str">
        <f t="shared" ca="1" si="190"/>
        <v/>
      </c>
      <c r="BU201" s="219" t="str">
        <f>IFERROR(IF(BX201=0,"",COUNTIF(BX$4:BX$600,"&gt;"&amp;BX201)+COUNTIF(BX$4:BX201,BX201)),"")</f>
        <v/>
      </c>
      <c r="BV201" s="42" t="str">
        <f t="shared" si="191"/>
        <v>DRAXXIN 100 MG/ML SOLUTION INJECTABLE POUR BOVINS, PORCINS ET OVINS</v>
      </c>
      <c r="BW201" t="e">
        <f>IF(IF(CE$2="Catégorie",IF(CE$3="Toutes",SUMIFS('Étape 1 - à remplir'!$F$31:$F$400,'Étape 1 - à remplir'!$E$31:$E$400,MASQ2!BV201,'Étape 1 - à remplir'!$G$31:$G$400,"lots"),SUMIFS('Étape 1 - à remplir'!$F$31:$F$400,'Étape 1 - à remplir'!$E$31:$E$400,MASQ2!BV201,'Étape 1 - à remplir'!$C$31:$C$400,CE$3)),IF(CE$2="Âge",IF(CE$3="Tous",SUMIFS('Étape 1 - à remplir'!$F$31:$F$400,'Étape 1 - à remplir'!$E$31:$E$400,MASQ2!BV201,'Étape 1 - à remplir'!$G$31:$G$400,"lots"),SUMIFS('Étape 1 - à remplir'!$F$31:$F$400,'Étape 1 - à remplir'!$E$31:$E$400,MASQ2!BV201,'Étape 1 - à remplir'!$P$31:$P$400,CE$3,'Étape 1 - à remplir'!$G$31:$G$400,"lots")),IF(CE$2="Atelier",IF(CE$3="Tous",SUMIFS('Étape 1 - à remplir'!$F$31:$F$400,'Étape 1 - à remplir'!$E$31:$E$400,MASQ2!BV201,'Étape 1 - à remplir'!$G$31:$G$400,"lots"),SUMIFS('Étape 1 - à remplir'!$F$31:$F$400,'Étape 1 - à remplir'!$E$31:$E$400,MASQ2!BV201,'Étape 1 - à remplir'!$O$31:$O$400,CE$3,'Étape 1 - à remplir'!$G$31:$G$400,"lots")),IF(CE$2="Espèce",IF(CE$3="Toutes",SUMIFS('Étape 1 - à remplir'!$F$31:$F$400,'Étape 1 - à remplir'!$E$31:$E$400,MASQ2!BV201,'Étape 1 - à remplir'!$G$31:$G$400,"lots"),SUMIFS('Étape 1 - à remplir'!$F$31:$F$400,'Étape 1 - à remplir'!$E$31:$E$400,MASQ2!BV201,'Étape 1 - à remplir'!$N$31:$N$400,CE$3,'Étape 1 - à remplir'!$G$31:$G$400,"lots"))))))=0,NA(),IF(CE$2="Catégorie",IF(CE$3="Toutes",SUMIFS('Étape 1 - à remplir'!$F$31:$F$400,'Étape 1 - à remplir'!$E$31:$E$400,MASQ2!BV201,'Étape 1 - à remplir'!$G$31:$G$400,"lots"),SUMIFS('Étape 1 - à remplir'!$F$31:$F$400,'Étape 1 - à remplir'!$E$31:$E$400,MASQ2!BV201,'Étape 1 - à remplir'!$C$31:$C$400,CE$3)),IF(CE$2="Âge",IF(CE$3="Tous",SUMIFS('Étape 1 - à remplir'!$F$31:$F$400,'Étape 1 - à remplir'!$E$31:$E$400,MASQ2!BV201,'Étape 1 - à remplir'!$G$31:$G$400,"lots"),SUMIFS('Étape 1 - à remplir'!$F$31:$F$400,'Étape 1 - à remplir'!$E$31:$E$400,MASQ2!BV201,'Étape 1 - à remplir'!$P$31:$P$400,CE$3,'Étape 1 - à remplir'!$G$31:$G$400,"lots")),IF(CE$2="Atelier",IF(CE$3="Tous",SUMIFS('Étape 1 - à remplir'!$F$31:$F$400,'Étape 1 - à remplir'!$E$31:$E$400,MASQ2!BV201,'Étape 1 - à remplir'!$G$31:$G$400,"lots"),SUMIFS('Étape 1 - à remplir'!$F$31:$F$400,'Étape 1 - à remplir'!$E$31:$E$400,MASQ2!BV201,'Étape 1 - à remplir'!$O$31:$O$400,CE$3,'Étape 1 - à remplir'!$G$31:$G$400,"lots")),IF(CE$2="Espèce",IF(CE$3="Toutes",SUMIFS('Étape 1 - à remplir'!$F$31:$F$400,'Étape 1 - à remplir'!$E$31:$E$400,MASQ2!BV201,'Étape 1 - à remplir'!$G$31:$G$400,"lots"),SUMIFS('Étape 1 - à remplir'!$F$31:$F$400,'Étape 1 - à remplir'!$E$31:$E$400,MASQ2!BV201,'Étape 1 - à remplir'!$N$31:$N$400,CE$3,'Étape 1 - à remplir'!$G$31:$G$400,"lots")))))))</f>
        <v>#N/A</v>
      </c>
      <c r="BX201">
        <f t="shared" si="208"/>
        <v>0</v>
      </c>
      <c r="BY201" t="str">
        <f t="shared" si="192"/>
        <v>Tulathromycine</v>
      </c>
      <c r="BZ201" t="str">
        <f t="shared" si="193"/>
        <v/>
      </c>
      <c r="CA201" t="str">
        <f t="shared" si="194"/>
        <v/>
      </c>
      <c r="CB201" t="str">
        <f t="shared" si="195"/>
        <v>Macrolides</v>
      </c>
      <c r="CC201" t="str">
        <f t="shared" si="196"/>
        <v/>
      </c>
      <c r="CD201" s="63" t="str">
        <f t="shared" si="197"/>
        <v/>
      </c>
      <c r="CG201" s="42">
        <v>198</v>
      </c>
      <c r="CH201" s="42" t="e">
        <f t="shared" si="188"/>
        <v>#N/A</v>
      </c>
      <c r="CI201" s="63" t="e">
        <f t="shared" si="189"/>
        <v>#N/A</v>
      </c>
      <c r="DM201" s="63"/>
      <c r="EA201" s="194" t="str">
        <f t="shared" ca="1" si="198"/>
        <v/>
      </c>
      <c r="EB201" s="226" t="str">
        <f>IFERROR(IF(ED201=0,"",COUNTIF(ED$4:ED$600,"&gt;"&amp;ED201)+COUNTIF(ED$4:ED201,ED201)),"")</f>
        <v/>
      </c>
      <c r="EC201" t="str">
        <f t="shared" si="199"/>
        <v>DRAXXIN 100 MG/ML SOLUTION INJECTABLE POUR BOVINS, PORCINS ET OVINS</v>
      </c>
      <c r="ED201" t="e">
        <f>IF(IF(EL$2="Catégorie",IF(EL$3="Toutes",SUMIFS('Étape 1 - à remplir'!$F$31:$F$400,'Étape 1 - à remplir'!$E$31:$E$400,MASQ2!EC201,'Étape 1 - à remplir'!$G$31:$G$400,"kg"),SUMIFS('Étape 1 - à remplir'!$F$31:$F$400,'Étape 1 - à remplir'!$E$31:$E$400,MASQ2!EC201,'Étape 1 - à remplir'!$C$31:$C$400,EL$3)),IF(EL$2="Âge",IF(EL$3="Tous",SUMIFS('Étape 1 - à remplir'!$F$31:$F$400,'Étape 1 - à remplir'!$E$31:$E$400,MASQ2!EC201,'Étape 1 - à remplir'!$G$31:$G$400,"kg"),SUMIFS('Étape 1 - à remplir'!$F$31:$F$400,'Étape 1 - à remplir'!$E$31:$E$400,MASQ2!EC201,'Étape 1 - à remplir'!$P$31:$P$400,EL$3,'Étape 1 - à remplir'!$G$31:$G$400,"kg")),IF(EL$2="Atelier",IF(EL$3="Tous",SUMIFS('Étape 1 - à remplir'!$F$31:$F$400,'Étape 1 - à remplir'!$E$31:$E$400,MASQ2!EC201,'Étape 1 - à remplir'!$G$31:$G$400,"kg"),SUMIFS('Étape 1 - à remplir'!$F$31:$F$400,'Étape 1 - à remplir'!$E$31:$E$400,MASQ2!EC201,'Étape 1 - à remplir'!$O$31:$O$400,EL$3,'Étape 1 - à remplir'!$G$31:$G$400,"kg")),IF(EL$2="Espèce",IF(EL$3="Toutes",SUMIFS('Étape 1 - à remplir'!$F$31:$F$400,'Étape 1 - à remplir'!$E$31:$E$400,MASQ2!EC201,'Étape 1 - à remplir'!$G$31:$G$400,"kg"),SUMIFS('Étape 1 - à remplir'!$F$31:$F$400,'Étape 1 - à remplir'!$E$31:$E$400,MASQ2!EC201,'Étape 1 - à remplir'!$N$31:$N$400,EL$3,'Étape 1 - à remplir'!$G$31:$G$400,"kg"))))))=0,NA(),IF(EL$2="Catégorie",IF(EL$3="Toutes",SUMIFS('Étape 1 - à remplir'!$F$31:$F$400,'Étape 1 - à remplir'!$E$31:$E$400,MASQ2!EC201,'Étape 1 - à remplir'!$G$31:$G$400,"kg"),SUMIFS('Étape 1 - à remplir'!$F$31:$F$400,'Étape 1 - à remplir'!$E$31:$E$400,MASQ2!EC201,'Étape 1 - à remplir'!$C$31:$C$400,EL$3)),IF(EL$2="Âge",IF(EL$3="Tous",SUMIFS('Étape 1 - à remplir'!$F$31:$F$400,'Étape 1 - à remplir'!$E$31:$E$400,MASQ2!EC201,'Étape 1 - à remplir'!$G$31:$G$400,"kg"),SUMIFS('Étape 1 - à remplir'!$F$31:$F$400,'Étape 1 - à remplir'!$E$31:$E$400,MASQ2!EC201,'Étape 1 - à remplir'!$P$31:$P$400,EL$3,'Étape 1 - à remplir'!$G$31:$G$400,"kg")),IF(EL$2="Atelier",IF(EL$3="Tous",SUMIFS('Étape 1 - à remplir'!$F$31:$F$400,'Étape 1 - à remplir'!$E$31:$E$400,MASQ2!EC201,'Étape 1 - à remplir'!$G$31:$G$400,"kg"),SUMIFS('Étape 1 - à remplir'!$F$31:$F$400,'Étape 1 - à remplir'!$E$31:$E$400,MASQ2!EC201,'Étape 1 - à remplir'!$O$31:$O$400,EL$3,'Étape 1 - à remplir'!$G$31:$G$400,"kg")),IF(EL$2="Espèce",IF(EL$3="Toutes",SUMIFS('Étape 1 - à remplir'!$F$31:$F$400,'Étape 1 - à remplir'!$E$31:$E$400,MASQ2!EC201,'Étape 1 - à remplir'!$G$31:$G$400,"kg"),SUMIFS('Étape 1 - à remplir'!$F$31:$F$400,'Étape 1 - à remplir'!$E$31:$E$400,MASQ2!EC201,'Étape 1 - à remplir'!$N$31:$N$400,EL$3,'Étape 1 - à remplir'!$G$31:$G$400,"kg")))))))</f>
        <v>#N/A</v>
      </c>
      <c r="EE201" s="76">
        <f t="shared" si="209"/>
        <v>0</v>
      </c>
      <c r="EF201" t="str">
        <f t="shared" si="200"/>
        <v>Tulathromycine</v>
      </c>
      <c r="EG201" t="str">
        <f t="shared" si="201"/>
        <v/>
      </c>
      <c r="EH201" t="str">
        <f t="shared" si="202"/>
        <v/>
      </c>
      <c r="EI201" t="str">
        <f t="shared" si="203"/>
        <v>Macrolides</v>
      </c>
      <c r="EJ201" t="str">
        <f t="shared" si="204"/>
        <v/>
      </c>
      <c r="EK201" s="63" t="str">
        <f t="shared" si="205"/>
        <v/>
      </c>
      <c r="EN201" s="42">
        <v>198</v>
      </c>
      <c r="EO201" t="e">
        <f t="shared" si="186"/>
        <v>#N/A</v>
      </c>
      <c r="EP201" s="63" t="e">
        <f t="shared" si="187"/>
        <v>#N/A</v>
      </c>
      <c r="FT201" s="63"/>
    </row>
    <row r="202" spans="2:176" x14ac:dyDescent="0.3">
      <c r="B202" s="42"/>
      <c r="M202" s="194" t="str">
        <f ca="1">INDEX(Données_ATB!BD:BU,MATCH(MASQ2!O202,Données_ATB!BD:BD,0),18)</f>
        <v/>
      </c>
      <c r="N202" s="14" t="str">
        <f>IFERROR(IF(Q202=0,"",COUNTIF(Q$4:Q$600,"&gt;"&amp;Q202)+COUNTIF(Q$4:Q202,Q202)),"")</f>
        <v/>
      </c>
      <c r="O202" t="str">
        <f>Données_ATB!BD201</f>
        <v>DRAXXIN 25 MG/ML SOLUTION INJECTABLE POUR PORCINS</v>
      </c>
      <c r="P202" t="e">
        <f>IF(IF(X$2="Catégorie",IF(X$3="Toutes",SUMIFS('Étape 1 - à remplir'!$F$31:$F$400,'Étape 1 - à remplir'!$E$31:$E$400,MASQ2!O202,'Étape 1 - à remplir'!$G$31:$G$400,"animaux"),SUMIFS('Étape 1 - à remplir'!$F$31:$F$400,'Étape 1 - à remplir'!$E$31:$E$400,MASQ2!O202,'Étape 1 - à remplir'!$C$31:$C$400,X$3)),IF(X$2="Âge",IF(X$3="Tous",SUMIFS('Étape 1 - à remplir'!$F$31:$F$400,'Étape 1 - à remplir'!$E$31:$E$400,MASQ2!O202,'Étape 1 - à remplir'!$G$31:$G$400,"animaux"),SUMIFS('Étape 1 - à remplir'!$F$31:$F$400,'Étape 1 - à remplir'!$E$31:$E$400,MASQ2!O202,'Étape 1 - à remplir'!$P$31:$P$400,X$3)),IF(X$2="Atelier",IF(X$3="Tous",SUMIFS('Étape 1 - à remplir'!$F$31:$F$400,'Étape 1 - à remplir'!$E$31:$E$400,MASQ2!O202,'Étape 1 - à remplir'!$G$31:$G$400,"animaux"),SUMIFS('Étape 1 - à remplir'!$F$31:$F$400,'Étape 1 - à remplir'!$E$31:$E$400,MASQ2!O202,'Étape 1 - à remplir'!$O$31:$O$400,X$3)),IF(X$2="Espèce",IF(X$3="Toutes",SUMIFS('Étape 1 - à remplir'!$F$31:$F$400,'Étape 1 - à remplir'!$E$31:$E$400,MASQ2!O202,'Étape 1 - à remplir'!$G$31:$G$400,"animaux"),SUMIFS('Étape 1 - à remplir'!$F$31:$F$400,'Étape 1 - à remplir'!$E$31:$E$400,MASQ2!O202,'Étape 1 - à remplir'!$N$31:$N$400,X$3))))))=0,NA(),IF(X$2="Catégorie",IF(X$3="Toutes",SUMIFS('Étape 1 - à remplir'!$F$31:$F$400,'Étape 1 - à remplir'!$E$31:$E$400,MASQ2!O202,'Étape 1 - à remplir'!$G$31:$G$400,"animaux"),SUMIFS('Étape 1 - à remplir'!$F$31:$F$400,'Étape 1 - à remplir'!$E$31:$E$400,MASQ2!O202,'Étape 1 - à remplir'!$C$31:$C$400,X$3)),IF(X$2="Âge",IF(X$3="Tous",SUMIFS('Étape 1 - à remplir'!$F$31:$F$400,'Étape 1 - à remplir'!$E$31:$E$400,MASQ2!O202,'Étape 1 - à remplir'!$G$31:$G$400,"animaux"),SUMIFS('Étape 1 - à remplir'!$F$31:$F$400,'Étape 1 - à remplir'!$E$31:$E$400,MASQ2!O202,'Étape 1 - à remplir'!$P$31:$P$400,X$3)),IF(X$2="Atelier",IF(X$3="Tous",SUMIFS('Étape 1 - à remplir'!$F$31:$F$400,'Étape 1 - à remplir'!$E$31:$E$400,MASQ2!O202,'Étape 1 - à remplir'!$G$31:$G$400,"animaux"),SUMIFS('Étape 1 - à remplir'!$F$31:$F$400,'Étape 1 - à remplir'!$E$31:$E$400,MASQ2!O202,'Étape 1 - à remplir'!$O$31:$O$400,X$3)),IF(X$2="Espèce",IF(X$3="Toutes",SUMIFS('Étape 1 - à remplir'!$F$31:$F$400,'Étape 1 - à remplir'!$E$31:$E$400,MASQ2!O202,'Étape 1 - à remplir'!$G$31:$G$400,"animaux"),SUMIFS('Étape 1 - à remplir'!$F$31:$F$400,'Étape 1 - à remplir'!$E$31:$E$400,MASQ2!O202,'Étape 1 - à remplir'!$N$31:$N$400,X$3)))))))</f>
        <v>#N/A</v>
      </c>
      <c r="Q202" s="63">
        <f t="shared" si="210"/>
        <v>0</v>
      </c>
      <c r="R202" t="str">
        <f>Données_ATB!BM201</f>
        <v>Tulathromycine</v>
      </c>
      <c r="S202" t="str">
        <f>Données_ATB!BN201</f>
        <v/>
      </c>
      <c r="T202" s="63" t="str">
        <f>Données_ATB!BO201</f>
        <v/>
      </c>
      <c r="U202" s="42" t="str">
        <f>Données_ATB!BQ201</f>
        <v>Macrolides</v>
      </c>
      <c r="V202" t="str">
        <f>Données_ATB!BR201</f>
        <v/>
      </c>
      <c r="W202" s="63" t="str">
        <f>Données_ATB!BS201</f>
        <v/>
      </c>
      <c r="Z202" s="42">
        <v>199</v>
      </c>
      <c r="AA202" t="e">
        <f t="shared" si="206"/>
        <v>#N/A</v>
      </c>
      <c r="AB202" s="63" t="e">
        <f t="shared" si="207"/>
        <v>#N/A</v>
      </c>
      <c r="BF202" s="63"/>
      <c r="BT202" s="194" t="str">
        <f t="shared" ca="1" si="190"/>
        <v/>
      </c>
      <c r="BU202" s="219" t="str">
        <f>IFERROR(IF(BX202=0,"",COUNTIF(BX$4:BX$600,"&gt;"&amp;BX202)+COUNTIF(BX$4:BX202,BX202)),"")</f>
        <v/>
      </c>
      <c r="BV202" s="42" t="str">
        <f t="shared" si="191"/>
        <v>DRAXXIN 25 MG/ML SOLUTION INJECTABLE POUR PORCINS</v>
      </c>
      <c r="BW202" t="e">
        <f>IF(IF(CE$2="Catégorie",IF(CE$3="Toutes",SUMIFS('Étape 1 - à remplir'!$F$31:$F$400,'Étape 1 - à remplir'!$E$31:$E$400,MASQ2!BV202,'Étape 1 - à remplir'!$G$31:$G$400,"lots"),SUMIFS('Étape 1 - à remplir'!$F$31:$F$400,'Étape 1 - à remplir'!$E$31:$E$400,MASQ2!BV202,'Étape 1 - à remplir'!$C$31:$C$400,CE$3)),IF(CE$2="Âge",IF(CE$3="Tous",SUMIFS('Étape 1 - à remplir'!$F$31:$F$400,'Étape 1 - à remplir'!$E$31:$E$400,MASQ2!BV202,'Étape 1 - à remplir'!$G$31:$G$400,"lots"),SUMIFS('Étape 1 - à remplir'!$F$31:$F$400,'Étape 1 - à remplir'!$E$31:$E$400,MASQ2!BV202,'Étape 1 - à remplir'!$P$31:$P$400,CE$3,'Étape 1 - à remplir'!$G$31:$G$400,"lots")),IF(CE$2="Atelier",IF(CE$3="Tous",SUMIFS('Étape 1 - à remplir'!$F$31:$F$400,'Étape 1 - à remplir'!$E$31:$E$400,MASQ2!BV202,'Étape 1 - à remplir'!$G$31:$G$400,"lots"),SUMIFS('Étape 1 - à remplir'!$F$31:$F$400,'Étape 1 - à remplir'!$E$31:$E$400,MASQ2!BV202,'Étape 1 - à remplir'!$O$31:$O$400,CE$3,'Étape 1 - à remplir'!$G$31:$G$400,"lots")),IF(CE$2="Espèce",IF(CE$3="Toutes",SUMIFS('Étape 1 - à remplir'!$F$31:$F$400,'Étape 1 - à remplir'!$E$31:$E$400,MASQ2!BV202,'Étape 1 - à remplir'!$G$31:$G$400,"lots"),SUMIFS('Étape 1 - à remplir'!$F$31:$F$400,'Étape 1 - à remplir'!$E$31:$E$400,MASQ2!BV202,'Étape 1 - à remplir'!$N$31:$N$400,CE$3,'Étape 1 - à remplir'!$G$31:$G$400,"lots"))))))=0,NA(),IF(CE$2="Catégorie",IF(CE$3="Toutes",SUMIFS('Étape 1 - à remplir'!$F$31:$F$400,'Étape 1 - à remplir'!$E$31:$E$400,MASQ2!BV202,'Étape 1 - à remplir'!$G$31:$G$400,"lots"),SUMIFS('Étape 1 - à remplir'!$F$31:$F$400,'Étape 1 - à remplir'!$E$31:$E$400,MASQ2!BV202,'Étape 1 - à remplir'!$C$31:$C$400,CE$3)),IF(CE$2="Âge",IF(CE$3="Tous",SUMIFS('Étape 1 - à remplir'!$F$31:$F$400,'Étape 1 - à remplir'!$E$31:$E$400,MASQ2!BV202,'Étape 1 - à remplir'!$G$31:$G$400,"lots"),SUMIFS('Étape 1 - à remplir'!$F$31:$F$400,'Étape 1 - à remplir'!$E$31:$E$400,MASQ2!BV202,'Étape 1 - à remplir'!$P$31:$P$400,CE$3,'Étape 1 - à remplir'!$G$31:$G$400,"lots")),IF(CE$2="Atelier",IF(CE$3="Tous",SUMIFS('Étape 1 - à remplir'!$F$31:$F$400,'Étape 1 - à remplir'!$E$31:$E$400,MASQ2!BV202,'Étape 1 - à remplir'!$G$31:$G$400,"lots"),SUMIFS('Étape 1 - à remplir'!$F$31:$F$400,'Étape 1 - à remplir'!$E$31:$E$400,MASQ2!BV202,'Étape 1 - à remplir'!$O$31:$O$400,CE$3,'Étape 1 - à remplir'!$G$31:$G$400,"lots")),IF(CE$2="Espèce",IF(CE$3="Toutes",SUMIFS('Étape 1 - à remplir'!$F$31:$F$400,'Étape 1 - à remplir'!$E$31:$E$400,MASQ2!BV202,'Étape 1 - à remplir'!$G$31:$G$400,"lots"),SUMIFS('Étape 1 - à remplir'!$F$31:$F$400,'Étape 1 - à remplir'!$E$31:$E$400,MASQ2!BV202,'Étape 1 - à remplir'!$N$31:$N$400,CE$3,'Étape 1 - à remplir'!$G$31:$G$400,"lots")))))))</f>
        <v>#N/A</v>
      </c>
      <c r="BX202">
        <f t="shared" si="208"/>
        <v>0</v>
      </c>
      <c r="BY202" t="str">
        <f t="shared" si="192"/>
        <v>Tulathromycine</v>
      </c>
      <c r="BZ202" t="str">
        <f t="shared" si="193"/>
        <v/>
      </c>
      <c r="CA202" t="str">
        <f t="shared" si="194"/>
        <v/>
      </c>
      <c r="CB202" t="str">
        <f t="shared" si="195"/>
        <v>Macrolides</v>
      </c>
      <c r="CC202" t="str">
        <f t="shared" si="196"/>
        <v/>
      </c>
      <c r="CD202" s="63" t="str">
        <f t="shared" si="197"/>
        <v/>
      </c>
      <c r="CG202" s="42">
        <v>199</v>
      </c>
      <c r="CH202" s="42" t="e">
        <f t="shared" si="188"/>
        <v>#N/A</v>
      </c>
      <c r="CI202" s="63" t="e">
        <f t="shared" si="189"/>
        <v>#N/A</v>
      </c>
      <c r="DM202" s="63"/>
      <c r="EA202" s="194" t="str">
        <f t="shared" ca="1" si="198"/>
        <v/>
      </c>
      <c r="EB202" s="226" t="str">
        <f>IFERROR(IF(ED202=0,"",COUNTIF(ED$4:ED$600,"&gt;"&amp;ED202)+COUNTIF(ED$4:ED202,ED202)),"")</f>
        <v/>
      </c>
      <c r="EC202" t="str">
        <f t="shared" si="199"/>
        <v>DRAXXIN 25 MG/ML SOLUTION INJECTABLE POUR PORCINS</v>
      </c>
      <c r="ED202" t="e">
        <f>IF(IF(EL$2="Catégorie",IF(EL$3="Toutes",SUMIFS('Étape 1 - à remplir'!$F$31:$F$400,'Étape 1 - à remplir'!$E$31:$E$400,MASQ2!EC202,'Étape 1 - à remplir'!$G$31:$G$400,"kg"),SUMIFS('Étape 1 - à remplir'!$F$31:$F$400,'Étape 1 - à remplir'!$E$31:$E$400,MASQ2!EC202,'Étape 1 - à remplir'!$C$31:$C$400,EL$3)),IF(EL$2="Âge",IF(EL$3="Tous",SUMIFS('Étape 1 - à remplir'!$F$31:$F$400,'Étape 1 - à remplir'!$E$31:$E$400,MASQ2!EC202,'Étape 1 - à remplir'!$G$31:$G$400,"kg"),SUMIFS('Étape 1 - à remplir'!$F$31:$F$400,'Étape 1 - à remplir'!$E$31:$E$400,MASQ2!EC202,'Étape 1 - à remplir'!$P$31:$P$400,EL$3,'Étape 1 - à remplir'!$G$31:$G$400,"kg")),IF(EL$2="Atelier",IF(EL$3="Tous",SUMIFS('Étape 1 - à remplir'!$F$31:$F$400,'Étape 1 - à remplir'!$E$31:$E$400,MASQ2!EC202,'Étape 1 - à remplir'!$G$31:$G$400,"kg"),SUMIFS('Étape 1 - à remplir'!$F$31:$F$400,'Étape 1 - à remplir'!$E$31:$E$400,MASQ2!EC202,'Étape 1 - à remplir'!$O$31:$O$400,EL$3,'Étape 1 - à remplir'!$G$31:$G$400,"kg")),IF(EL$2="Espèce",IF(EL$3="Toutes",SUMIFS('Étape 1 - à remplir'!$F$31:$F$400,'Étape 1 - à remplir'!$E$31:$E$400,MASQ2!EC202,'Étape 1 - à remplir'!$G$31:$G$400,"kg"),SUMIFS('Étape 1 - à remplir'!$F$31:$F$400,'Étape 1 - à remplir'!$E$31:$E$400,MASQ2!EC202,'Étape 1 - à remplir'!$N$31:$N$400,EL$3,'Étape 1 - à remplir'!$G$31:$G$400,"kg"))))))=0,NA(),IF(EL$2="Catégorie",IF(EL$3="Toutes",SUMIFS('Étape 1 - à remplir'!$F$31:$F$400,'Étape 1 - à remplir'!$E$31:$E$400,MASQ2!EC202,'Étape 1 - à remplir'!$G$31:$G$400,"kg"),SUMIFS('Étape 1 - à remplir'!$F$31:$F$400,'Étape 1 - à remplir'!$E$31:$E$400,MASQ2!EC202,'Étape 1 - à remplir'!$C$31:$C$400,EL$3)),IF(EL$2="Âge",IF(EL$3="Tous",SUMIFS('Étape 1 - à remplir'!$F$31:$F$400,'Étape 1 - à remplir'!$E$31:$E$400,MASQ2!EC202,'Étape 1 - à remplir'!$G$31:$G$400,"kg"),SUMIFS('Étape 1 - à remplir'!$F$31:$F$400,'Étape 1 - à remplir'!$E$31:$E$400,MASQ2!EC202,'Étape 1 - à remplir'!$P$31:$P$400,EL$3,'Étape 1 - à remplir'!$G$31:$G$400,"kg")),IF(EL$2="Atelier",IF(EL$3="Tous",SUMIFS('Étape 1 - à remplir'!$F$31:$F$400,'Étape 1 - à remplir'!$E$31:$E$400,MASQ2!EC202,'Étape 1 - à remplir'!$G$31:$G$400,"kg"),SUMIFS('Étape 1 - à remplir'!$F$31:$F$400,'Étape 1 - à remplir'!$E$31:$E$400,MASQ2!EC202,'Étape 1 - à remplir'!$O$31:$O$400,EL$3,'Étape 1 - à remplir'!$G$31:$G$400,"kg")),IF(EL$2="Espèce",IF(EL$3="Toutes",SUMIFS('Étape 1 - à remplir'!$F$31:$F$400,'Étape 1 - à remplir'!$E$31:$E$400,MASQ2!EC202,'Étape 1 - à remplir'!$G$31:$G$400,"kg"),SUMIFS('Étape 1 - à remplir'!$F$31:$F$400,'Étape 1 - à remplir'!$E$31:$E$400,MASQ2!EC202,'Étape 1 - à remplir'!$N$31:$N$400,EL$3,'Étape 1 - à remplir'!$G$31:$G$400,"kg")))))))</f>
        <v>#N/A</v>
      </c>
      <c r="EE202" s="76">
        <f t="shared" si="209"/>
        <v>0</v>
      </c>
      <c r="EF202" t="str">
        <f t="shared" si="200"/>
        <v>Tulathromycine</v>
      </c>
      <c r="EG202" t="str">
        <f t="shared" si="201"/>
        <v/>
      </c>
      <c r="EH202" t="str">
        <f t="shared" si="202"/>
        <v/>
      </c>
      <c r="EI202" t="str">
        <f t="shared" si="203"/>
        <v>Macrolides</v>
      </c>
      <c r="EJ202" t="str">
        <f t="shared" si="204"/>
        <v/>
      </c>
      <c r="EK202" s="63" t="str">
        <f t="shared" si="205"/>
        <v/>
      </c>
      <c r="EN202" s="42">
        <v>199</v>
      </c>
      <c r="EO202" t="e">
        <f t="shared" ref="EO202:EO265" si="211">INDEX(EB$3:EE$600,MATCH(EN202,EB$3:EB$600,0),2)</f>
        <v>#N/A</v>
      </c>
      <c r="EP202" s="63" t="e">
        <f t="shared" ref="EP202:EP265" si="212">INDEX(EB$3:EE$600,MATCH(EN202,EB$3:EB$600,0),3)</f>
        <v>#N/A</v>
      </c>
      <c r="FT202" s="63"/>
    </row>
    <row r="203" spans="2:176" x14ac:dyDescent="0.3">
      <c r="B203" s="42"/>
      <c r="M203" s="194" t="str">
        <f ca="1">INDEX(Données_ATB!BD:BU,MATCH(MASQ2!O203,Données_ATB!BD:BD,0),18)</f>
        <v/>
      </c>
      <c r="N203" s="14" t="str">
        <f>IFERROR(IF(Q203=0,"",COUNTIF(Q$4:Q$600,"&gt;"&amp;Q203)+COUNTIF(Q$4:Q203,Q203)),"")</f>
        <v/>
      </c>
      <c r="O203" t="str">
        <f>Données_ATB!BD202</f>
        <v>DRAXXIN KP 100 MG/ML + 120 MG/ML SOLUTION INJECTABLE POUR BOVINS</v>
      </c>
      <c r="P203" t="e">
        <f>IF(IF(X$2="Catégorie",IF(X$3="Toutes",SUMIFS('Étape 1 - à remplir'!$F$31:$F$400,'Étape 1 - à remplir'!$E$31:$E$400,MASQ2!O203,'Étape 1 - à remplir'!$G$31:$G$400,"animaux"),SUMIFS('Étape 1 - à remplir'!$F$31:$F$400,'Étape 1 - à remplir'!$E$31:$E$400,MASQ2!O203,'Étape 1 - à remplir'!$C$31:$C$400,X$3)),IF(X$2="Âge",IF(X$3="Tous",SUMIFS('Étape 1 - à remplir'!$F$31:$F$400,'Étape 1 - à remplir'!$E$31:$E$400,MASQ2!O203,'Étape 1 - à remplir'!$G$31:$G$400,"animaux"),SUMIFS('Étape 1 - à remplir'!$F$31:$F$400,'Étape 1 - à remplir'!$E$31:$E$400,MASQ2!O203,'Étape 1 - à remplir'!$P$31:$P$400,X$3)),IF(X$2="Atelier",IF(X$3="Tous",SUMIFS('Étape 1 - à remplir'!$F$31:$F$400,'Étape 1 - à remplir'!$E$31:$E$400,MASQ2!O203,'Étape 1 - à remplir'!$G$31:$G$400,"animaux"),SUMIFS('Étape 1 - à remplir'!$F$31:$F$400,'Étape 1 - à remplir'!$E$31:$E$400,MASQ2!O203,'Étape 1 - à remplir'!$O$31:$O$400,X$3)),IF(X$2="Espèce",IF(X$3="Toutes",SUMIFS('Étape 1 - à remplir'!$F$31:$F$400,'Étape 1 - à remplir'!$E$31:$E$400,MASQ2!O203,'Étape 1 - à remplir'!$G$31:$G$400,"animaux"),SUMIFS('Étape 1 - à remplir'!$F$31:$F$400,'Étape 1 - à remplir'!$E$31:$E$400,MASQ2!O203,'Étape 1 - à remplir'!$N$31:$N$400,X$3))))))=0,NA(),IF(X$2="Catégorie",IF(X$3="Toutes",SUMIFS('Étape 1 - à remplir'!$F$31:$F$400,'Étape 1 - à remplir'!$E$31:$E$400,MASQ2!O203,'Étape 1 - à remplir'!$G$31:$G$400,"animaux"),SUMIFS('Étape 1 - à remplir'!$F$31:$F$400,'Étape 1 - à remplir'!$E$31:$E$400,MASQ2!O203,'Étape 1 - à remplir'!$C$31:$C$400,X$3)),IF(X$2="Âge",IF(X$3="Tous",SUMIFS('Étape 1 - à remplir'!$F$31:$F$400,'Étape 1 - à remplir'!$E$31:$E$400,MASQ2!O203,'Étape 1 - à remplir'!$G$31:$G$400,"animaux"),SUMIFS('Étape 1 - à remplir'!$F$31:$F$400,'Étape 1 - à remplir'!$E$31:$E$400,MASQ2!O203,'Étape 1 - à remplir'!$P$31:$P$400,X$3)),IF(X$2="Atelier",IF(X$3="Tous",SUMIFS('Étape 1 - à remplir'!$F$31:$F$400,'Étape 1 - à remplir'!$E$31:$E$400,MASQ2!O203,'Étape 1 - à remplir'!$G$31:$G$400,"animaux"),SUMIFS('Étape 1 - à remplir'!$F$31:$F$400,'Étape 1 - à remplir'!$E$31:$E$400,MASQ2!O203,'Étape 1 - à remplir'!$O$31:$O$400,X$3)),IF(X$2="Espèce",IF(X$3="Toutes",SUMIFS('Étape 1 - à remplir'!$F$31:$F$400,'Étape 1 - à remplir'!$E$31:$E$400,MASQ2!O203,'Étape 1 - à remplir'!$G$31:$G$400,"animaux"),SUMIFS('Étape 1 - à remplir'!$F$31:$F$400,'Étape 1 - à remplir'!$E$31:$E$400,MASQ2!O203,'Étape 1 - à remplir'!$N$31:$N$400,X$3)))))))</f>
        <v>#N/A</v>
      </c>
      <c r="Q203" s="63">
        <f t="shared" si="210"/>
        <v>0</v>
      </c>
      <c r="R203" t="str">
        <f>Données_ATB!BM202</f>
        <v>Tulathromycine</v>
      </c>
      <c r="S203" t="str">
        <f>Données_ATB!BN202</f>
        <v/>
      </c>
      <c r="T203" s="63" t="str">
        <f>Données_ATB!BO202</f>
        <v/>
      </c>
      <c r="U203" s="42" t="str">
        <f>Données_ATB!BQ202</f>
        <v>Macrolides</v>
      </c>
      <c r="V203" t="str">
        <f>Données_ATB!BR202</f>
        <v/>
      </c>
      <c r="W203" s="63" t="str">
        <f>Données_ATB!BS202</f>
        <v/>
      </c>
      <c r="Z203" s="42">
        <v>200</v>
      </c>
      <c r="AA203" t="e">
        <f t="shared" si="206"/>
        <v>#N/A</v>
      </c>
      <c r="AB203" s="63" t="e">
        <f t="shared" si="207"/>
        <v>#N/A</v>
      </c>
      <c r="BF203" s="63"/>
      <c r="BT203" s="194" t="str">
        <f t="shared" ca="1" si="190"/>
        <v/>
      </c>
      <c r="BU203" s="219" t="str">
        <f>IFERROR(IF(BX203=0,"",COUNTIF(BX$4:BX$600,"&gt;"&amp;BX203)+COUNTIF(BX$4:BX203,BX203)),"")</f>
        <v/>
      </c>
      <c r="BV203" s="42" t="str">
        <f t="shared" si="191"/>
        <v>DRAXXIN KP 100 MG/ML + 120 MG/ML SOLUTION INJECTABLE POUR BOVINS</v>
      </c>
      <c r="BW203" t="e">
        <f>IF(IF(CE$2="Catégorie",IF(CE$3="Toutes",SUMIFS('Étape 1 - à remplir'!$F$31:$F$400,'Étape 1 - à remplir'!$E$31:$E$400,MASQ2!BV203,'Étape 1 - à remplir'!$G$31:$G$400,"lots"),SUMIFS('Étape 1 - à remplir'!$F$31:$F$400,'Étape 1 - à remplir'!$E$31:$E$400,MASQ2!BV203,'Étape 1 - à remplir'!$C$31:$C$400,CE$3)),IF(CE$2="Âge",IF(CE$3="Tous",SUMIFS('Étape 1 - à remplir'!$F$31:$F$400,'Étape 1 - à remplir'!$E$31:$E$400,MASQ2!BV203,'Étape 1 - à remplir'!$G$31:$G$400,"lots"),SUMIFS('Étape 1 - à remplir'!$F$31:$F$400,'Étape 1 - à remplir'!$E$31:$E$400,MASQ2!BV203,'Étape 1 - à remplir'!$P$31:$P$400,CE$3,'Étape 1 - à remplir'!$G$31:$G$400,"lots")),IF(CE$2="Atelier",IF(CE$3="Tous",SUMIFS('Étape 1 - à remplir'!$F$31:$F$400,'Étape 1 - à remplir'!$E$31:$E$400,MASQ2!BV203,'Étape 1 - à remplir'!$G$31:$G$400,"lots"),SUMIFS('Étape 1 - à remplir'!$F$31:$F$400,'Étape 1 - à remplir'!$E$31:$E$400,MASQ2!BV203,'Étape 1 - à remplir'!$O$31:$O$400,CE$3,'Étape 1 - à remplir'!$G$31:$G$400,"lots")),IF(CE$2="Espèce",IF(CE$3="Toutes",SUMIFS('Étape 1 - à remplir'!$F$31:$F$400,'Étape 1 - à remplir'!$E$31:$E$400,MASQ2!BV203,'Étape 1 - à remplir'!$G$31:$G$400,"lots"),SUMIFS('Étape 1 - à remplir'!$F$31:$F$400,'Étape 1 - à remplir'!$E$31:$E$400,MASQ2!BV203,'Étape 1 - à remplir'!$N$31:$N$400,CE$3,'Étape 1 - à remplir'!$G$31:$G$400,"lots"))))))=0,NA(),IF(CE$2="Catégorie",IF(CE$3="Toutes",SUMIFS('Étape 1 - à remplir'!$F$31:$F$400,'Étape 1 - à remplir'!$E$31:$E$400,MASQ2!BV203,'Étape 1 - à remplir'!$G$31:$G$400,"lots"),SUMIFS('Étape 1 - à remplir'!$F$31:$F$400,'Étape 1 - à remplir'!$E$31:$E$400,MASQ2!BV203,'Étape 1 - à remplir'!$C$31:$C$400,CE$3)),IF(CE$2="Âge",IF(CE$3="Tous",SUMIFS('Étape 1 - à remplir'!$F$31:$F$400,'Étape 1 - à remplir'!$E$31:$E$400,MASQ2!BV203,'Étape 1 - à remplir'!$G$31:$G$400,"lots"),SUMIFS('Étape 1 - à remplir'!$F$31:$F$400,'Étape 1 - à remplir'!$E$31:$E$400,MASQ2!BV203,'Étape 1 - à remplir'!$P$31:$P$400,CE$3,'Étape 1 - à remplir'!$G$31:$G$400,"lots")),IF(CE$2="Atelier",IF(CE$3="Tous",SUMIFS('Étape 1 - à remplir'!$F$31:$F$400,'Étape 1 - à remplir'!$E$31:$E$400,MASQ2!BV203,'Étape 1 - à remplir'!$G$31:$G$400,"lots"),SUMIFS('Étape 1 - à remplir'!$F$31:$F$400,'Étape 1 - à remplir'!$E$31:$E$400,MASQ2!BV203,'Étape 1 - à remplir'!$O$31:$O$400,CE$3,'Étape 1 - à remplir'!$G$31:$G$400,"lots")),IF(CE$2="Espèce",IF(CE$3="Toutes",SUMIFS('Étape 1 - à remplir'!$F$31:$F$400,'Étape 1 - à remplir'!$E$31:$E$400,MASQ2!BV203,'Étape 1 - à remplir'!$G$31:$G$400,"lots"),SUMIFS('Étape 1 - à remplir'!$F$31:$F$400,'Étape 1 - à remplir'!$E$31:$E$400,MASQ2!BV203,'Étape 1 - à remplir'!$N$31:$N$400,CE$3,'Étape 1 - à remplir'!$G$31:$G$400,"lots")))))))</f>
        <v>#N/A</v>
      </c>
      <c r="BX203">
        <f t="shared" si="208"/>
        <v>0</v>
      </c>
      <c r="BY203" t="str">
        <f t="shared" si="192"/>
        <v>Tulathromycine</v>
      </c>
      <c r="BZ203" t="str">
        <f t="shared" si="193"/>
        <v/>
      </c>
      <c r="CA203" t="str">
        <f t="shared" si="194"/>
        <v/>
      </c>
      <c r="CB203" t="str">
        <f t="shared" si="195"/>
        <v>Macrolides</v>
      </c>
      <c r="CC203" t="str">
        <f t="shared" si="196"/>
        <v/>
      </c>
      <c r="CD203" s="63" t="str">
        <f t="shared" si="197"/>
        <v/>
      </c>
      <c r="CG203" s="42">
        <v>200</v>
      </c>
      <c r="CH203" s="42" t="e">
        <f t="shared" si="188"/>
        <v>#N/A</v>
      </c>
      <c r="CI203" s="63" t="e">
        <f t="shared" si="189"/>
        <v>#N/A</v>
      </c>
      <c r="DM203" s="63"/>
      <c r="EA203" s="194" t="str">
        <f t="shared" ca="1" si="198"/>
        <v/>
      </c>
      <c r="EB203" s="226" t="str">
        <f>IFERROR(IF(ED203=0,"",COUNTIF(ED$4:ED$600,"&gt;"&amp;ED203)+COUNTIF(ED$4:ED203,ED203)),"")</f>
        <v/>
      </c>
      <c r="EC203" t="str">
        <f t="shared" si="199"/>
        <v>DRAXXIN KP 100 MG/ML + 120 MG/ML SOLUTION INJECTABLE POUR BOVINS</v>
      </c>
      <c r="ED203" t="e">
        <f>IF(IF(EL$2="Catégorie",IF(EL$3="Toutes",SUMIFS('Étape 1 - à remplir'!$F$31:$F$400,'Étape 1 - à remplir'!$E$31:$E$400,MASQ2!EC203,'Étape 1 - à remplir'!$G$31:$G$400,"kg"),SUMIFS('Étape 1 - à remplir'!$F$31:$F$400,'Étape 1 - à remplir'!$E$31:$E$400,MASQ2!EC203,'Étape 1 - à remplir'!$C$31:$C$400,EL$3)),IF(EL$2="Âge",IF(EL$3="Tous",SUMIFS('Étape 1 - à remplir'!$F$31:$F$400,'Étape 1 - à remplir'!$E$31:$E$400,MASQ2!EC203,'Étape 1 - à remplir'!$G$31:$G$400,"kg"),SUMIFS('Étape 1 - à remplir'!$F$31:$F$400,'Étape 1 - à remplir'!$E$31:$E$400,MASQ2!EC203,'Étape 1 - à remplir'!$P$31:$P$400,EL$3,'Étape 1 - à remplir'!$G$31:$G$400,"kg")),IF(EL$2="Atelier",IF(EL$3="Tous",SUMIFS('Étape 1 - à remplir'!$F$31:$F$400,'Étape 1 - à remplir'!$E$31:$E$400,MASQ2!EC203,'Étape 1 - à remplir'!$G$31:$G$400,"kg"),SUMIFS('Étape 1 - à remplir'!$F$31:$F$400,'Étape 1 - à remplir'!$E$31:$E$400,MASQ2!EC203,'Étape 1 - à remplir'!$O$31:$O$400,EL$3,'Étape 1 - à remplir'!$G$31:$G$400,"kg")),IF(EL$2="Espèce",IF(EL$3="Toutes",SUMIFS('Étape 1 - à remplir'!$F$31:$F$400,'Étape 1 - à remplir'!$E$31:$E$400,MASQ2!EC203,'Étape 1 - à remplir'!$G$31:$G$400,"kg"),SUMIFS('Étape 1 - à remplir'!$F$31:$F$400,'Étape 1 - à remplir'!$E$31:$E$400,MASQ2!EC203,'Étape 1 - à remplir'!$N$31:$N$400,EL$3,'Étape 1 - à remplir'!$G$31:$G$400,"kg"))))))=0,NA(),IF(EL$2="Catégorie",IF(EL$3="Toutes",SUMIFS('Étape 1 - à remplir'!$F$31:$F$400,'Étape 1 - à remplir'!$E$31:$E$400,MASQ2!EC203,'Étape 1 - à remplir'!$G$31:$G$400,"kg"),SUMIFS('Étape 1 - à remplir'!$F$31:$F$400,'Étape 1 - à remplir'!$E$31:$E$400,MASQ2!EC203,'Étape 1 - à remplir'!$C$31:$C$400,EL$3)),IF(EL$2="Âge",IF(EL$3="Tous",SUMIFS('Étape 1 - à remplir'!$F$31:$F$400,'Étape 1 - à remplir'!$E$31:$E$400,MASQ2!EC203,'Étape 1 - à remplir'!$G$31:$G$400,"kg"),SUMIFS('Étape 1 - à remplir'!$F$31:$F$400,'Étape 1 - à remplir'!$E$31:$E$400,MASQ2!EC203,'Étape 1 - à remplir'!$P$31:$P$400,EL$3,'Étape 1 - à remplir'!$G$31:$G$400,"kg")),IF(EL$2="Atelier",IF(EL$3="Tous",SUMIFS('Étape 1 - à remplir'!$F$31:$F$400,'Étape 1 - à remplir'!$E$31:$E$400,MASQ2!EC203,'Étape 1 - à remplir'!$G$31:$G$400,"kg"),SUMIFS('Étape 1 - à remplir'!$F$31:$F$400,'Étape 1 - à remplir'!$E$31:$E$400,MASQ2!EC203,'Étape 1 - à remplir'!$O$31:$O$400,EL$3,'Étape 1 - à remplir'!$G$31:$G$400,"kg")),IF(EL$2="Espèce",IF(EL$3="Toutes",SUMIFS('Étape 1 - à remplir'!$F$31:$F$400,'Étape 1 - à remplir'!$E$31:$E$400,MASQ2!EC203,'Étape 1 - à remplir'!$G$31:$G$400,"kg"),SUMIFS('Étape 1 - à remplir'!$F$31:$F$400,'Étape 1 - à remplir'!$E$31:$E$400,MASQ2!EC203,'Étape 1 - à remplir'!$N$31:$N$400,EL$3,'Étape 1 - à remplir'!$G$31:$G$400,"kg")))))))</f>
        <v>#N/A</v>
      </c>
      <c r="EE203" s="76">
        <f t="shared" si="209"/>
        <v>0</v>
      </c>
      <c r="EF203" t="str">
        <f t="shared" si="200"/>
        <v>Tulathromycine</v>
      </c>
      <c r="EG203" t="str">
        <f t="shared" si="201"/>
        <v/>
      </c>
      <c r="EH203" t="str">
        <f t="shared" si="202"/>
        <v/>
      </c>
      <c r="EI203" t="str">
        <f t="shared" si="203"/>
        <v>Macrolides</v>
      </c>
      <c r="EJ203" t="str">
        <f t="shared" si="204"/>
        <v/>
      </c>
      <c r="EK203" s="63" t="str">
        <f t="shared" si="205"/>
        <v/>
      </c>
      <c r="EN203" s="42">
        <v>200</v>
      </c>
      <c r="EO203" t="e">
        <f t="shared" si="211"/>
        <v>#N/A</v>
      </c>
      <c r="EP203" s="63" t="e">
        <f t="shared" si="212"/>
        <v>#N/A</v>
      </c>
      <c r="FT203" s="63"/>
    </row>
    <row r="204" spans="2:176" x14ac:dyDescent="0.3">
      <c r="B204" s="42"/>
      <c r="M204" s="194" t="str">
        <f ca="1">INDEX(Données_ATB!BD:BU,MATCH(MASQ2!O204,Données_ATB!BD:BD,0),18)</f>
        <v/>
      </c>
      <c r="N204" s="14" t="str">
        <f>IFERROR(IF(Q204=0,"",COUNTIF(Q$4:Q$600,"&gt;"&amp;Q204)+COUNTIF(Q$4:Q204,Q204)),"")</f>
        <v/>
      </c>
      <c r="O204" t="str">
        <f>Données_ATB!BD203</f>
        <v>DUOPRIM</v>
      </c>
      <c r="P204" t="e">
        <f>IF(IF(X$2="Catégorie",IF(X$3="Toutes",SUMIFS('Étape 1 - à remplir'!$F$31:$F$400,'Étape 1 - à remplir'!$E$31:$E$400,MASQ2!O204,'Étape 1 - à remplir'!$G$31:$G$400,"animaux"),SUMIFS('Étape 1 - à remplir'!$F$31:$F$400,'Étape 1 - à remplir'!$E$31:$E$400,MASQ2!O204,'Étape 1 - à remplir'!$C$31:$C$400,X$3)),IF(X$2="Âge",IF(X$3="Tous",SUMIFS('Étape 1 - à remplir'!$F$31:$F$400,'Étape 1 - à remplir'!$E$31:$E$400,MASQ2!O204,'Étape 1 - à remplir'!$G$31:$G$400,"animaux"),SUMIFS('Étape 1 - à remplir'!$F$31:$F$400,'Étape 1 - à remplir'!$E$31:$E$400,MASQ2!O204,'Étape 1 - à remplir'!$P$31:$P$400,X$3)),IF(X$2="Atelier",IF(X$3="Tous",SUMIFS('Étape 1 - à remplir'!$F$31:$F$400,'Étape 1 - à remplir'!$E$31:$E$400,MASQ2!O204,'Étape 1 - à remplir'!$G$31:$G$400,"animaux"),SUMIFS('Étape 1 - à remplir'!$F$31:$F$400,'Étape 1 - à remplir'!$E$31:$E$400,MASQ2!O204,'Étape 1 - à remplir'!$O$31:$O$400,X$3)),IF(X$2="Espèce",IF(X$3="Toutes",SUMIFS('Étape 1 - à remplir'!$F$31:$F$400,'Étape 1 - à remplir'!$E$31:$E$400,MASQ2!O204,'Étape 1 - à remplir'!$G$31:$G$400,"animaux"),SUMIFS('Étape 1 - à remplir'!$F$31:$F$400,'Étape 1 - à remplir'!$E$31:$E$400,MASQ2!O204,'Étape 1 - à remplir'!$N$31:$N$400,X$3))))))=0,NA(),IF(X$2="Catégorie",IF(X$3="Toutes",SUMIFS('Étape 1 - à remplir'!$F$31:$F$400,'Étape 1 - à remplir'!$E$31:$E$400,MASQ2!O204,'Étape 1 - à remplir'!$G$31:$G$400,"animaux"),SUMIFS('Étape 1 - à remplir'!$F$31:$F$400,'Étape 1 - à remplir'!$E$31:$E$400,MASQ2!O204,'Étape 1 - à remplir'!$C$31:$C$400,X$3)),IF(X$2="Âge",IF(X$3="Tous",SUMIFS('Étape 1 - à remplir'!$F$31:$F$400,'Étape 1 - à remplir'!$E$31:$E$400,MASQ2!O204,'Étape 1 - à remplir'!$G$31:$G$400,"animaux"),SUMIFS('Étape 1 - à remplir'!$F$31:$F$400,'Étape 1 - à remplir'!$E$31:$E$400,MASQ2!O204,'Étape 1 - à remplir'!$P$31:$P$400,X$3)),IF(X$2="Atelier",IF(X$3="Tous",SUMIFS('Étape 1 - à remplir'!$F$31:$F$400,'Étape 1 - à remplir'!$E$31:$E$400,MASQ2!O204,'Étape 1 - à remplir'!$G$31:$G$400,"animaux"),SUMIFS('Étape 1 - à remplir'!$F$31:$F$400,'Étape 1 - à remplir'!$E$31:$E$400,MASQ2!O204,'Étape 1 - à remplir'!$O$31:$O$400,X$3)),IF(X$2="Espèce",IF(X$3="Toutes",SUMIFS('Étape 1 - à remplir'!$F$31:$F$400,'Étape 1 - à remplir'!$E$31:$E$400,MASQ2!O204,'Étape 1 - à remplir'!$G$31:$G$400,"animaux"),SUMIFS('Étape 1 - à remplir'!$F$31:$F$400,'Étape 1 - à remplir'!$E$31:$E$400,MASQ2!O204,'Étape 1 - à remplir'!$N$31:$N$400,X$3)))))))</f>
        <v>#N/A</v>
      </c>
      <c r="Q204" s="63">
        <f t="shared" si="210"/>
        <v>0</v>
      </c>
      <c r="R204" t="str">
        <f>Données_ATB!BM203</f>
        <v>Sulfadoxine</v>
      </c>
      <c r="S204" t="str">
        <f>Données_ATB!BN203</f>
        <v>Triméthoprime</v>
      </c>
      <c r="T204" s="63" t="str">
        <f>Données_ATB!BO203</f>
        <v/>
      </c>
      <c r="U204" s="42" t="str">
        <f>Données_ATB!BQ203</f>
        <v>Sulfamides</v>
      </c>
      <c r="V204" t="str">
        <f>Données_ATB!BR203</f>
        <v>Trimethoprime</v>
      </c>
      <c r="W204" s="63" t="str">
        <f>Données_ATB!BS203</f>
        <v/>
      </c>
      <c r="Z204" s="42">
        <v>201</v>
      </c>
      <c r="AA204" t="e">
        <f t="shared" si="206"/>
        <v>#N/A</v>
      </c>
      <c r="AB204" s="63" t="e">
        <f t="shared" si="207"/>
        <v>#N/A</v>
      </c>
      <c r="BF204" s="63"/>
      <c r="BT204" s="194" t="str">
        <f t="shared" ca="1" si="190"/>
        <v/>
      </c>
      <c r="BU204" s="219" t="str">
        <f>IFERROR(IF(BX204=0,"",COUNTIF(BX$4:BX$600,"&gt;"&amp;BX204)+COUNTIF(BX$4:BX204,BX204)),"")</f>
        <v/>
      </c>
      <c r="BV204" s="42" t="str">
        <f t="shared" si="191"/>
        <v>DUOPRIM</v>
      </c>
      <c r="BW204" t="e">
        <f>IF(IF(CE$2="Catégorie",IF(CE$3="Toutes",SUMIFS('Étape 1 - à remplir'!$F$31:$F$400,'Étape 1 - à remplir'!$E$31:$E$400,MASQ2!BV204,'Étape 1 - à remplir'!$G$31:$G$400,"lots"),SUMIFS('Étape 1 - à remplir'!$F$31:$F$400,'Étape 1 - à remplir'!$E$31:$E$400,MASQ2!BV204,'Étape 1 - à remplir'!$C$31:$C$400,CE$3)),IF(CE$2="Âge",IF(CE$3="Tous",SUMIFS('Étape 1 - à remplir'!$F$31:$F$400,'Étape 1 - à remplir'!$E$31:$E$400,MASQ2!BV204,'Étape 1 - à remplir'!$G$31:$G$400,"lots"),SUMIFS('Étape 1 - à remplir'!$F$31:$F$400,'Étape 1 - à remplir'!$E$31:$E$400,MASQ2!BV204,'Étape 1 - à remplir'!$P$31:$P$400,CE$3,'Étape 1 - à remplir'!$G$31:$G$400,"lots")),IF(CE$2="Atelier",IF(CE$3="Tous",SUMIFS('Étape 1 - à remplir'!$F$31:$F$400,'Étape 1 - à remplir'!$E$31:$E$400,MASQ2!BV204,'Étape 1 - à remplir'!$G$31:$G$400,"lots"),SUMIFS('Étape 1 - à remplir'!$F$31:$F$400,'Étape 1 - à remplir'!$E$31:$E$400,MASQ2!BV204,'Étape 1 - à remplir'!$O$31:$O$400,CE$3,'Étape 1 - à remplir'!$G$31:$G$400,"lots")),IF(CE$2="Espèce",IF(CE$3="Toutes",SUMIFS('Étape 1 - à remplir'!$F$31:$F$400,'Étape 1 - à remplir'!$E$31:$E$400,MASQ2!BV204,'Étape 1 - à remplir'!$G$31:$G$400,"lots"),SUMIFS('Étape 1 - à remplir'!$F$31:$F$400,'Étape 1 - à remplir'!$E$31:$E$400,MASQ2!BV204,'Étape 1 - à remplir'!$N$31:$N$400,CE$3,'Étape 1 - à remplir'!$G$31:$G$400,"lots"))))))=0,NA(),IF(CE$2="Catégorie",IF(CE$3="Toutes",SUMIFS('Étape 1 - à remplir'!$F$31:$F$400,'Étape 1 - à remplir'!$E$31:$E$400,MASQ2!BV204,'Étape 1 - à remplir'!$G$31:$G$400,"lots"),SUMIFS('Étape 1 - à remplir'!$F$31:$F$400,'Étape 1 - à remplir'!$E$31:$E$400,MASQ2!BV204,'Étape 1 - à remplir'!$C$31:$C$400,CE$3)),IF(CE$2="Âge",IF(CE$3="Tous",SUMIFS('Étape 1 - à remplir'!$F$31:$F$400,'Étape 1 - à remplir'!$E$31:$E$400,MASQ2!BV204,'Étape 1 - à remplir'!$G$31:$G$400,"lots"),SUMIFS('Étape 1 - à remplir'!$F$31:$F$400,'Étape 1 - à remplir'!$E$31:$E$400,MASQ2!BV204,'Étape 1 - à remplir'!$P$31:$P$400,CE$3,'Étape 1 - à remplir'!$G$31:$G$400,"lots")),IF(CE$2="Atelier",IF(CE$3="Tous",SUMIFS('Étape 1 - à remplir'!$F$31:$F$400,'Étape 1 - à remplir'!$E$31:$E$400,MASQ2!BV204,'Étape 1 - à remplir'!$G$31:$G$400,"lots"),SUMIFS('Étape 1 - à remplir'!$F$31:$F$400,'Étape 1 - à remplir'!$E$31:$E$400,MASQ2!BV204,'Étape 1 - à remplir'!$O$31:$O$400,CE$3,'Étape 1 - à remplir'!$G$31:$G$400,"lots")),IF(CE$2="Espèce",IF(CE$3="Toutes",SUMIFS('Étape 1 - à remplir'!$F$31:$F$400,'Étape 1 - à remplir'!$E$31:$E$400,MASQ2!BV204,'Étape 1 - à remplir'!$G$31:$G$400,"lots"),SUMIFS('Étape 1 - à remplir'!$F$31:$F$400,'Étape 1 - à remplir'!$E$31:$E$400,MASQ2!BV204,'Étape 1 - à remplir'!$N$31:$N$400,CE$3,'Étape 1 - à remplir'!$G$31:$G$400,"lots")))))))</f>
        <v>#N/A</v>
      </c>
      <c r="BX204">
        <f t="shared" si="208"/>
        <v>0</v>
      </c>
      <c r="BY204" t="str">
        <f t="shared" si="192"/>
        <v>Sulfadoxine</v>
      </c>
      <c r="BZ204" t="str">
        <f t="shared" si="193"/>
        <v>Triméthoprime</v>
      </c>
      <c r="CA204" t="str">
        <f t="shared" si="194"/>
        <v/>
      </c>
      <c r="CB204" t="str">
        <f t="shared" si="195"/>
        <v>Sulfamides</v>
      </c>
      <c r="CC204" t="str">
        <f t="shared" si="196"/>
        <v>Trimethoprime</v>
      </c>
      <c r="CD204" s="63" t="str">
        <f t="shared" si="197"/>
        <v/>
      </c>
      <c r="CG204" s="42">
        <v>201</v>
      </c>
      <c r="CH204" s="42" t="e">
        <f t="shared" si="188"/>
        <v>#N/A</v>
      </c>
      <c r="CI204" s="63" t="e">
        <f t="shared" si="189"/>
        <v>#N/A</v>
      </c>
      <c r="DM204" s="63"/>
      <c r="EA204" s="194" t="str">
        <f t="shared" ca="1" si="198"/>
        <v/>
      </c>
      <c r="EB204" s="226" t="str">
        <f>IFERROR(IF(ED204=0,"",COUNTIF(ED$4:ED$600,"&gt;"&amp;ED204)+COUNTIF(ED$4:ED204,ED204)),"")</f>
        <v/>
      </c>
      <c r="EC204" t="str">
        <f t="shared" si="199"/>
        <v>DUOPRIM</v>
      </c>
      <c r="ED204" t="e">
        <f>IF(IF(EL$2="Catégorie",IF(EL$3="Toutes",SUMIFS('Étape 1 - à remplir'!$F$31:$F$400,'Étape 1 - à remplir'!$E$31:$E$400,MASQ2!EC204,'Étape 1 - à remplir'!$G$31:$G$400,"kg"),SUMIFS('Étape 1 - à remplir'!$F$31:$F$400,'Étape 1 - à remplir'!$E$31:$E$400,MASQ2!EC204,'Étape 1 - à remplir'!$C$31:$C$400,EL$3)),IF(EL$2="Âge",IF(EL$3="Tous",SUMIFS('Étape 1 - à remplir'!$F$31:$F$400,'Étape 1 - à remplir'!$E$31:$E$400,MASQ2!EC204,'Étape 1 - à remplir'!$G$31:$G$400,"kg"),SUMIFS('Étape 1 - à remplir'!$F$31:$F$400,'Étape 1 - à remplir'!$E$31:$E$400,MASQ2!EC204,'Étape 1 - à remplir'!$P$31:$P$400,EL$3,'Étape 1 - à remplir'!$G$31:$G$400,"kg")),IF(EL$2="Atelier",IF(EL$3="Tous",SUMIFS('Étape 1 - à remplir'!$F$31:$F$400,'Étape 1 - à remplir'!$E$31:$E$400,MASQ2!EC204,'Étape 1 - à remplir'!$G$31:$G$400,"kg"),SUMIFS('Étape 1 - à remplir'!$F$31:$F$400,'Étape 1 - à remplir'!$E$31:$E$400,MASQ2!EC204,'Étape 1 - à remplir'!$O$31:$O$400,EL$3,'Étape 1 - à remplir'!$G$31:$G$400,"kg")),IF(EL$2="Espèce",IF(EL$3="Toutes",SUMIFS('Étape 1 - à remplir'!$F$31:$F$400,'Étape 1 - à remplir'!$E$31:$E$400,MASQ2!EC204,'Étape 1 - à remplir'!$G$31:$G$400,"kg"),SUMIFS('Étape 1 - à remplir'!$F$31:$F$400,'Étape 1 - à remplir'!$E$31:$E$400,MASQ2!EC204,'Étape 1 - à remplir'!$N$31:$N$400,EL$3,'Étape 1 - à remplir'!$G$31:$G$400,"kg"))))))=0,NA(),IF(EL$2="Catégorie",IF(EL$3="Toutes",SUMIFS('Étape 1 - à remplir'!$F$31:$F$400,'Étape 1 - à remplir'!$E$31:$E$400,MASQ2!EC204,'Étape 1 - à remplir'!$G$31:$G$400,"kg"),SUMIFS('Étape 1 - à remplir'!$F$31:$F$400,'Étape 1 - à remplir'!$E$31:$E$400,MASQ2!EC204,'Étape 1 - à remplir'!$C$31:$C$400,EL$3)),IF(EL$2="Âge",IF(EL$3="Tous",SUMIFS('Étape 1 - à remplir'!$F$31:$F$400,'Étape 1 - à remplir'!$E$31:$E$400,MASQ2!EC204,'Étape 1 - à remplir'!$G$31:$G$400,"kg"),SUMIFS('Étape 1 - à remplir'!$F$31:$F$400,'Étape 1 - à remplir'!$E$31:$E$400,MASQ2!EC204,'Étape 1 - à remplir'!$P$31:$P$400,EL$3,'Étape 1 - à remplir'!$G$31:$G$400,"kg")),IF(EL$2="Atelier",IF(EL$3="Tous",SUMIFS('Étape 1 - à remplir'!$F$31:$F$400,'Étape 1 - à remplir'!$E$31:$E$400,MASQ2!EC204,'Étape 1 - à remplir'!$G$31:$G$400,"kg"),SUMIFS('Étape 1 - à remplir'!$F$31:$F$400,'Étape 1 - à remplir'!$E$31:$E$400,MASQ2!EC204,'Étape 1 - à remplir'!$O$31:$O$400,EL$3,'Étape 1 - à remplir'!$G$31:$G$400,"kg")),IF(EL$2="Espèce",IF(EL$3="Toutes",SUMIFS('Étape 1 - à remplir'!$F$31:$F$400,'Étape 1 - à remplir'!$E$31:$E$400,MASQ2!EC204,'Étape 1 - à remplir'!$G$31:$G$400,"kg"),SUMIFS('Étape 1 - à remplir'!$F$31:$F$400,'Étape 1 - à remplir'!$E$31:$E$400,MASQ2!EC204,'Étape 1 - à remplir'!$N$31:$N$400,EL$3,'Étape 1 - à remplir'!$G$31:$G$400,"kg")))))))</f>
        <v>#N/A</v>
      </c>
      <c r="EE204" s="76">
        <f t="shared" si="209"/>
        <v>0</v>
      </c>
      <c r="EF204" t="str">
        <f t="shared" si="200"/>
        <v>Sulfadoxine</v>
      </c>
      <c r="EG204" t="str">
        <f t="shared" si="201"/>
        <v>Triméthoprime</v>
      </c>
      <c r="EH204" t="str">
        <f t="shared" si="202"/>
        <v/>
      </c>
      <c r="EI204" t="str">
        <f t="shared" si="203"/>
        <v>Sulfamides</v>
      </c>
      <c r="EJ204" t="str">
        <f t="shared" si="204"/>
        <v>Trimethoprime</v>
      </c>
      <c r="EK204" s="63" t="str">
        <f t="shared" si="205"/>
        <v/>
      </c>
      <c r="EN204" s="42">
        <v>201</v>
      </c>
      <c r="EO204" t="e">
        <f t="shared" si="211"/>
        <v>#N/A</v>
      </c>
      <c r="EP204" s="63" t="e">
        <f t="shared" si="212"/>
        <v>#N/A</v>
      </c>
      <c r="FT204" s="63"/>
    </row>
    <row r="205" spans="2:176" x14ac:dyDescent="0.3">
      <c r="B205" s="42"/>
      <c r="M205" s="194" t="str">
        <f ca="1">INDEX(Données_ATB!BD:BU,MATCH(MASQ2!O205,Données_ATB!BD:BD,0),18)</f>
        <v/>
      </c>
      <c r="N205" s="14" t="str">
        <f>IFERROR(IF(Q205=0,"",COUNTIF(Q$4:Q$600,"&gt;"&amp;Q205)+COUNTIF(Q$4:Q205,Q205)),"")</f>
        <v/>
      </c>
      <c r="O205" t="str">
        <f>Données_ATB!BD204</f>
        <v>DUPHACYCLINE LA</v>
      </c>
      <c r="P205" t="e">
        <f>IF(IF(X$2="Catégorie",IF(X$3="Toutes",SUMIFS('Étape 1 - à remplir'!$F$31:$F$400,'Étape 1 - à remplir'!$E$31:$E$400,MASQ2!O205,'Étape 1 - à remplir'!$G$31:$G$400,"animaux"),SUMIFS('Étape 1 - à remplir'!$F$31:$F$400,'Étape 1 - à remplir'!$E$31:$E$400,MASQ2!O205,'Étape 1 - à remplir'!$C$31:$C$400,X$3)),IF(X$2="Âge",IF(X$3="Tous",SUMIFS('Étape 1 - à remplir'!$F$31:$F$400,'Étape 1 - à remplir'!$E$31:$E$400,MASQ2!O205,'Étape 1 - à remplir'!$G$31:$G$400,"animaux"),SUMIFS('Étape 1 - à remplir'!$F$31:$F$400,'Étape 1 - à remplir'!$E$31:$E$400,MASQ2!O205,'Étape 1 - à remplir'!$P$31:$P$400,X$3)),IF(X$2="Atelier",IF(X$3="Tous",SUMIFS('Étape 1 - à remplir'!$F$31:$F$400,'Étape 1 - à remplir'!$E$31:$E$400,MASQ2!O205,'Étape 1 - à remplir'!$G$31:$G$400,"animaux"),SUMIFS('Étape 1 - à remplir'!$F$31:$F$400,'Étape 1 - à remplir'!$E$31:$E$400,MASQ2!O205,'Étape 1 - à remplir'!$O$31:$O$400,X$3)),IF(X$2="Espèce",IF(X$3="Toutes",SUMIFS('Étape 1 - à remplir'!$F$31:$F$400,'Étape 1 - à remplir'!$E$31:$E$400,MASQ2!O205,'Étape 1 - à remplir'!$G$31:$G$400,"animaux"),SUMIFS('Étape 1 - à remplir'!$F$31:$F$400,'Étape 1 - à remplir'!$E$31:$E$400,MASQ2!O205,'Étape 1 - à remplir'!$N$31:$N$400,X$3))))))=0,NA(),IF(X$2="Catégorie",IF(X$3="Toutes",SUMIFS('Étape 1 - à remplir'!$F$31:$F$400,'Étape 1 - à remplir'!$E$31:$E$400,MASQ2!O205,'Étape 1 - à remplir'!$G$31:$G$400,"animaux"),SUMIFS('Étape 1 - à remplir'!$F$31:$F$400,'Étape 1 - à remplir'!$E$31:$E$400,MASQ2!O205,'Étape 1 - à remplir'!$C$31:$C$400,X$3)),IF(X$2="Âge",IF(X$3="Tous",SUMIFS('Étape 1 - à remplir'!$F$31:$F$400,'Étape 1 - à remplir'!$E$31:$E$400,MASQ2!O205,'Étape 1 - à remplir'!$G$31:$G$400,"animaux"),SUMIFS('Étape 1 - à remplir'!$F$31:$F$400,'Étape 1 - à remplir'!$E$31:$E$400,MASQ2!O205,'Étape 1 - à remplir'!$P$31:$P$400,X$3)),IF(X$2="Atelier",IF(X$3="Tous",SUMIFS('Étape 1 - à remplir'!$F$31:$F$400,'Étape 1 - à remplir'!$E$31:$E$400,MASQ2!O205,'Étape 1 - à remplir'!$G$31:$G$400,"animaux"),SUMIFS('Étape 1 - à remplir'!$F$31:$F$400,'Étape 1 - à remplir'!$E$31:$E$400,MASQ2!O205,'Étape 1 - à remplir'!$O$31:$O$400,X$3)),IF(X$2="Espèce",IF(X$3="Toutes",SUMIFS('Étape 1 - à remplir'!$F$31:$F$400,'Étape 1 - à remplir'!$E$31:$E$400,MASQ2!O205,'Étape 1 - à remplir'!$G$31:$G$400,"animaux"),SUMIFS('Étape 1 - à remplir'!$F$31:$F$400,'Étape 1 - à remplir'!$E$31:$E$400,MASQ2!O205,'Étape 1 - à remplir'!$N$31:$N$400,X$3)))))))</f>
        <v>#N/A</v>
      </c>
      <c r="Q205" s="63">
        <f t="shared" si="210"/>
        <v>0</v>
      </c>
      <c r="R205" t="str">
        <f>Données_ATB!BM204</f>
        <v>Oxytétracycline</v>
      </c>
      <c r="S205" t="str">
        <f>Données_ATB!BN204</f>
        <v/>
      </c>
      <c r="T205" s="63" t="str">
        <f>Données_ATB!BO204</f>
        <v/>
      </c>
      <c r="U205" s="42" t="str">
        <f>Données_ATB!BQ204</f>
        <v>Tetracyclines</v>
      </c>
      <c r="V205" t="str">
        <f>Données_ATB!BR204</f>
        <v/>
      </c>
      <c r="W205" s="63" t="str">
        <f>Données_ATB!BS204</f>
        <v/>
      </c>
      <c r="Z205" s="42">
        <v>202</v>
      </c>
      <c r="AA205" t="e">
        <f t="shared" si="206"/>
        <v>#N/A</v>
      </c>
      <c r="AB205" s="63" t="e">
        <f t="shared" si="207"/>
        <v>#N/A</v>
      </c>
      <c r="BF205" s="63"/>
      <c r="BT205" s="194" t="str">
        <f t="shared" ca="1" si="190"/>
        <v/>
      </c>
      <c r="BU205" s="219" t="str">
        <f>IFERROR(IF(BX205=0,"",COUNTIF(BX$4:BX$600,"&gt;"&amp;BX205)+COUNTIF(BX$4:BX205,BX205)),"")</f>
        <v/>
      </c>
      <c r="BV205" s="42" t="str">
        <f t="shared" si="191"/>
        <v>DUPHACYCLINE LA</v>
      </c>
      <c r="BW205" t="e">
        <f>IF(IF(CE$2="Catégorie",IF(CE$3="Toutes",SUMIFS('Étape 1 - à remplir'!$F$31:$F$400,'Étape 1 - à remplir'!$E$31:$E$400,MASQ2!BV205,'Étape 1 - à remplir'!$G$31:$G$400,"lots"),SUMIFS('Étape 1 - à remplir'!$F$31:$F$400,'Étape 1 - à remplir'!$E$31:$E$400,MASQ2!BV205,'Étape 1 - à remplir'!$C$31:$C$400,CE$3)),IF(CE$2="Âge",IF(CE$3="Tous",SUMIFS('Étape 1 - à remplir'!$F$31:$F$400,'Étape 1 - à remplir'!$E$31:$E$400,MASQ2!BV205,'Étape 1 - à remplir'!$G$31:$G$400,"lots"),SUMIFS('Étape 1 - à remplir'!$F$31:$F$400,'Étape 1 - à remplir'!$E$31:$E$400,MASQ2!BV205,'Étape 1 - à remplir'!$P$31:$P$400,CE$3,'Étape 1 - à remplir'!$G$31:$G$400,"lots")),IF(CE$2="Atelier",IF(CE$3="Tous",SUMIFS('Étape 1 - à remplir'!$F$31:$F$400,'Étape 1 - à remplir'!$E$31:$E$400,MASQ2!BV205,'Étape 1 - à remplir'!$G$31:$G$400,"lots"),SUMIFS('Étape 1 - à remplir'!$F$31:$F$400,'Étape 1 - à remplir'!$E$31:$E$400,MASQ2!BV205,'Étape 1 - à remplir'!$O$31:$O$400,CE$3,'Étape 1 - à remplir'!$G$31:$G$400,"lots")),IF(CE$2="Espèce",IF(CE$3="Toutes",SUMIFS('Étape 1 - à remplir'!$F$31:$F$400,'Étape 1 - à remplir'!$E$31:$E$400,MASQ2!BV205,'Étape 1 - à remplir'!$G$31:$G$400,"lots"),SUMIFS('Étape 1 - à remplir'!$F$31:$F$400,'Étape 1 - à remplir'!$E$31:$E$400,MASQ2!BV205,'Étape 1 - à remplir'!$N$31:$N$400,CE$3,'Étape 1 - à remplir'!$G$31:$G$400,"lots"))))))=0,NA(),IF(CE$2="Catégorie",IF(CE$3="Toutes",SUMIFS('Étape 1 - à remplir'!$F$31:$F$400,'Étape 1 - à remplir'!$E$31:$E$400,MASQ2!BV205,'Étape 1 - à remplir'!$G$31:$G$400,"lots"),SUMIFS('Étape 1 - à remplir'!$F$31:$F$400,'Étape 1 - à remplir'!$E$31:$E$400,MASQ2!BV205,'Étape 1 - à remplir'!$C$31:$C$400,CE$3)),IF(CE$2="Âge",IF(CE$3="Tous",SUMIFS('Étape 1 - à remplir'!$F$31:$F$400,'Étape 1 - à remplir'!$E$31:$E$400,MASQ2!BV205,'Étape 1 - à remplir'!$G$31:$G$400,"lots"),SUMIFS('Étape 1 - à remplir'!$F$31:$F$400,'Étape 1 - à remplir'!$E$31:$E$400,MASQ2!BV205,'Étape 1 - à remplir'!$P$31:$P$400,CE$3,'Étape 1 - à remplir'!$G$31:$G$400,"lots")),IF(CE$2="Atelier",IF(CE$3="Tous",SUMIFS('Étape 1 - à remplir'!$F$31:$F$400,'Étape 1 - à remplir'!$E$31:$E$400,MASQ2!BV205,'Étape 1 - à remplir'!$G$31:$G$400,"lots"),SUMIFS('Étape 1 - à remplir'!$F$31:$F$400,'Étape 1 - à remplir'!$E$31:$E$400,MASQ2!BV205,'Étape 1 - à remplir'!$O$31:$O$400,CE$3,'Étape 1 - à remplir'!$G$31:$G$400,"lots")),IF(CE$2="Espèce",IF(CE$3="Toutes",SUMIFS('Étape 1 - à remplir'!$F$31:$F$400,'Étape 1 - à remplir'!$E$31:$E$400,MASQ2!BV205,'Étape 1 - à remplir'!$G$31:$G$400,"lots"),SUMIFS('Étape 1 - à remplir'!$F$31:$F$400,'Étape 1 - à remplir'!$E$31:$E$400,MASQ2!BV205,'Étape 1 - à remplir'!$N$31:$N$400,CE$3,'Étape 1 - à remplir'!$G$31:$G$400,"lots")))))))</f>
        <v>#N/A</v>
      </c>
      <c r="BX205">
        <f t="shared" si="208"/>
        <v>0</v>
      </c>
      <c r="BY205" t="str">
        <f t="shared" si="192"/>
        <v>Oxytétracycline</v>
      </c>
      <c r="BZ205" t="str">
        <f t="shared" si="193"/>
        <v/>
      </c>
      <c r="CA205" t="str">
        <f t="shared" si="194"/>
        <v/>
      </c>
      <c r="CB205" t="str">
        <f t="shared" si="195"/>
        <v>Tetracyclines</v>
      </c>
      <c r="CC205" t="str">
        <f t="shared" si="196"/>
        <v/>
      </c>
      <c r="CD205" s="63" t="str">
        <f t="shared" si="197"/>
        <v/>
      </c>
      <c r="CG205" s="42">
        <v>202</v>
      </c>
      <c r="CH205" s="42" t="e">
        <f t="shared" si="188"/>
        <v>#N/A</v>
      </c>
      <c r="CI205" s="63" t="e">
        <f t="shared" si="189"/>
        <v>#N/A</v>
      </c>
      <c r="DM205" s="63"/>
      <c r="EA205" s="194" t="str">
        <f t="shared" ca="1" si="198"/>
        <v/>
      </c>
      <c r="EB205" s="226" t="str">
        <f>IFERROR(IF(ED205=0,"",COUNTIF(ED$4:ED$600,"&gt;"&amp;ED205)+COUNTIF(ED$4:ED205,ED205)),"")</f>
        <v/>
      </c>
      <c r="EC205" t="str">
        <f t="shared" si="199"/>
        <v>DUPHACYCLINE LA</v>
      </c>
      <c r="ED205" t="e">
        <f>IF(IF(EL$2="Catégorie",IF(EL$3="Toutes",SUMIFS('Étape 1 - à remplir'!$F$31:$F$400,'Étape 1 - à remplir'!$E$31:$E$400,MASQ2!EC205,'Étape 1 - à remplir'!$G$31:$G$400,"kg"),SUMIFS('Étape 1 - à remplir'!$F$31:$F$400,'Étape 1 - à remplir'!$E$31:$E$400,MASQ2!EC205,'Étape 1 - à remplir'!$C$31:$C$400,EL$3)),IF(EL$2="Âge",IF(EL$3="Tous",SUMIFS('Étape 1 - à remplir'!$F$31:$F$400,'Étape 1 - à remplir'!$E$31:$E$400,MASQ2!EC205,'Étape 1 - à remplir'!$G$31:$G$400,"kg"),SUMIFS('Étape 1 - à remplir'!$F$31:$F$400,'Étape 1 - à remplir'!$E$31:$E$400,MASQ2!EC205,'Étape 1 - à remplir'!$P$31:$P$400,EL$3,'Étape 1 - à remplir'!$G$31:$G$400,"kg")),IF(EL$2="Atelier",IF(EL$3="Tous",SUMIFS('Étape 1 - à remplir'!$F$31:$F$400,'Étape 1 - à remplir'!$E$31:$E$400,MASQ2!EC205,'Étape 1 - à remplir'!$G$31:$G$400,"kg"),SUMIFS('Étape 1 - à remplir'!$F$31:$F$400,'Étape 1 - à remplir'!$E$31:$E$400,MASQ2!EC205,'Étape 1 - à remplir'!$O$31:$O$400,EL$3,'Étape 1 - à remplir'!$G$31:$G$400,"kg")),IF(EL$2="Espèce",IF(EL$3="Toutes",SUMIFS('Étape 1 - à remplir'!$F$31:$F$400,'Étape 1 - à remplir'!$E$31:$E$400,MASQ2!EC205,'Étape 1 - à remplir'!$G$31:$G$400,"kg"),SUMIFS('Étape 1 - à remplir'!$F$31:$F$400,'Étape 1 - à remplir'!$E$31:$E$400,MASQ2!EC205,'Étape 1 - à remplir'!$N$31:$N$400,EL$3,'Étape 1 - à remplir'!$G$31:$G$400,"kg"))))))=0,NA(),IF(EL$2="Catégorie",IF(EL$3="Toutes",SUMIFS('Étape 1 - à remplir'!$F$31:$F$400,'Étape 1 - à remplir'!$E$31:$E$400,MASQ2!EC205,'Étape 1 - à remplir'!$G$31:$G$400,"kg"),SUMIFS('Étape 1 - à remplir'!$F$31:$F$400,'Étape 1 - à remplir'!$E$31:$E$400,MASQ2!EC205,'Étape 1 - à remplir'!$C$31:$C$400,EL$3)),IF(EL$2="Âge",IF(EL$3="Tous",SUMIFS('Étape 1 - à remplir'!$F$31:$F$400,'Étape 1 - à remplir'!$E$31:$E$400,MASQ2!EC205,'Étape 1 - à remplir'!$G$31:$G$400,"kg"),SUMIFS('Étape 1 - à remplir'!$F$31:$F$400,'Étape 1 - à remplir'!$E$31:$E$400,MASQ2!EC205,'Étape 1 - à remplir'!$P$31:$P$400,EL$3,'Étape 1 - à remplir'!$G$31:$G$400,"kg")),IF(EL$2="Atelier",IF(EL$3="Tous",SUMIFS('Étape 1 - à remplir'!$F$31:$F$400,'Étape 1 - à remplir'!$E$31:$E$400,MASQ2!EC205,'Étape 1 - à remplir'!$G$31:$G$400,"kg"),SUMIFS('Étape 1 - à remplir'!$F$31:$F$400,'Étape 1 - à remplir'!$E$31:$E$400,MASQ2!EC205,'Étape 1 - à remplir'!$O$31:$O$400,EL$3,'Étape 1 - à remplir'!$G$31:$G$400,"kg")),IF(EL$2="Espèce",IF(EL$3="Toutes",SUMIFS('Étape 1 - à remplir'!$F$31:$F$400,'Étape 1 - à remplir'!$E$31:$E$400,MASQ2!EC205,'Étape 1 - à remplir'!$G$31:$G$400,"kg"),SUMIFS('Étape 1 - à remplir'!$F$31:$F$400,'Étape 1 - à remplir'!$E$31:$E$400,MASQ2!EC205,'Étape 1 - à remplir'!$N$31:$N$400,EL$3,'Étape 1 - à remplir'!$G$31:$G$400,"kg")))))))</f>
        <v>#N/A</v>
      </c>
      <c r="EE205" s="76">
        <f t="shared" si="209"/>
        <v>0</v>
      </c>
      <c r="EF205" t="str">
        <f t="shared" si="200"/>
        <v>Oxytétracycline</v>
      </c>
      <c r="EG205" t="str">
        <f t="shared" si="201"/>
        <v/>
      </c>
      <c r="EH205" t="str">
        <f t="shared" si="202"/>
        <v/>
      </c>
      <c r="EI205" t="str">
        <f t="shared" si="203"/>
        <v>Tetracyclines</v>
      </c>
      <c r="EJ205" t="str">
        <f t="shared" si="204"/>
        <v/>
      </c>
      <c r="EK205" s="63" t="str">
        <f t="shared" si="205"/>
        <v/>
      </c>
      <c r="EN205" s="42">
        <v>202</v>
      </c>
      <c r="EO205" t="e">
        <f t="shared" si="211"/>
        <v>#N/A</v>
      </c>
      <c r="EP205" s="63" t="e">
        <f t="shared" si="212"/>
        <v>#N/A</v>
      </c>
      <c r="FT205" s="63"/>
    </row>
    <row r="206" spans="2:176" x14ac:dyDescent="0.3">
      <c r="B206" s="42"/>
      <c r="M206" s="194" t="str">
        <f ca="1">INDEX(Données_ATB!BD:BU,MATCH(MASQ2!O206,Données_ATB!BD:BD,0),18)</f>
        <v/>
      </c>
      <c r="N206" s="14" t="str">
        <f>IFERROR(IF(Q206=0,"",COUNTIF(Q$4:Q$600,"&gt;"&amp;Q206)+COUNTIF(Q$4:Q206,Q206)),"")</f>
        <v/>
      </c>
      <c r="O206" t="str">
        <f>Données_ATB!BD205</f>
        <v>DUPHAMOX LA</v>
      </c>
      <c r="P206" t="e">
        <f>IF(IF(X$2="Catégorie",IF(X$3="Toutes",SUMIFS('Étape 1 - à remplir'!$F$31:$F$400,'Étape 1 - à remplir'!$E$31:$E$400,MASQ2!O206,'Étape 1 - à remplir'!$G$31:$G$400,"animaux"),SUMIFS('Étape 1 - à remplir'!$F$31:$F$400,'Étape 1 - à remplir'!$E$31:$E$400,MASQ2!O206,'Étape 1 - à remplir'!$C$31:$C$400,X$3)),IF(X$2="Âge",IF(X$3="Tous",SUMIFS('Étape 1 - à remplir'!$F$31:$F$400,'Étape 1 - à remplir'!$E$31:$E$400,MASQ2!O206,'Étape 1 - à remplir'!$G$31:$G$400,"animaux"),SUMIFS('Étape 1 - à remplir'!$F$31:$F$400,'Étape 1 - à remplir'!$E$31:$E$400,MASQ2!O206,'Étape 1 - à remplir'!$P$31:$P$400,X$3)),IF(X$2="Atelier",IF(X$3="Tous",SUMIFS('Étape 1 - à remplir'!$F$31:$F$400,'Étape 1 - à remplir'!$E$31:$E$400,MASQ2!O206,'Étape 1 - à remplir'!$G$31:$G$400,"animaux"),SUMIFS('Étape 1 - à remplir'!$F$31:$F$400,'Étape 1 - à remplir'!$E$31:$E$400,MASQ2!O206,'Étape 1 - à remplir'!$O$31:$O$400,X$3)),IF(X$2="Espèce",IF(X$3="Toutes",SUMIFS('Étape 1 - à remplir'!$F$31:$F$400,'Étape 1 - à remplir'!$E$31:$E$400,MASQ2!O206,'Étape 1 - à remplir'!$G$31:$G$400,"animaux"),SUMIFS('Étape 1 - à remplir'!$F$31:$F$400,'Étape 1 - à remplir'!$E$31:$E$400,MASQ2!O206,'Étape 1 - à remplir'!$N$31:$N$400,X$3))))))=0,NA(),IF(X$2="Catégorie",IF(X$3="Toutes",SUMIFS('Étape 1 - à remplir'!$F$31:$F$400,'Étape 1 - à remplir'!$E$31:$E$400,MASQ2!O206,'Étape 1 - à remplir'!$G$31:$G$400,"animaux"),SUMIFS('Étape 1 - à remplir'!$F$31:$F$400,'Étape 1 - à remplir'!$E$31:$E$400,MASQ2!O206,'Étape 1 - à remplir'!$C$31:$C$400,X$3)),IF(X$2="Âge",IF(X$3="Tous",SUMIFS('Étape 1 - à remplir'!$F$31:$F$400,'Étape 1 - à remplir'!$E$31:$E$400,MASQ2!O206,'Étape 1 - à remplir'!$G$31:$G$400,"animaux"),SUMIFS('Étape 1 - à remplir'!$F$31:$F$400,'Étape 1 - à remplir'!$E$31:$E$400,MASQ2!O206,'Étape 1 - à remplir'!$P$31:$P$400,X$3)),IF(X$2="Atelier",IF(X$3="Tous",SUMIFS('Étape 1 - à remplir'!$F$31:$F$400,'Étape 1 - à remplir'!$E$31:$E$400,MASQ2!O206,'Étape 1 - à remplir'!$G$31:$G$400,"animaux"),SUMIFS('Étape 1 - à remplir'!$F$31:$F$400,'Étape 1 - à remplir'!$E$31:$E$400,MASQ2!O206,'Étape 1 - à remplir'!$O$31:$O$400,X$3)),IF(X$2="Espèce",IF(X$3="Toutes",SUMIFS('Étape 1 - à remplir'!$F$31:$F$400,'Étape 1 - à remplir'!$E$31:$E$400,MASQ2!O206,'Étape 1 - à remplir'!$G$31:$G$400,"animaux"),SUMIFS('Étape 1 - à remplir'!$F$31:$F$400,'Étape 1 - à remplir'!$E$31:$E$400,MASQ2!O206,'Étape 1 - à remplir'!$N$31:$N$400,X$3)))))))</f>
        <v>#N/A</v>
      </c>
      <c r="Q206" s="63">
        <f t="shared" si="210"/>
        <v>0</v>
      </c>
      <c r="R206" t="str">
        <f>Données_ATB!BM205</f>
        <v>Amoxicilline</v>
      </c>
      <c r="S206" t="str">
        <f>Données_ATB!BN205</f>
        <v/>
      </c>
      <c r="T206" s="63" t="str">
        <f>Données_ATB!BO205</f>
        <v/>
      </c>
      <c r="U206" s="42" t="str">
        <f>Données_ATB!BQ205</f>
        <v>Penicillines</v>
      </c>
      <c r="V206" t="str">
        <f>Données_ATB!BR205</f>
        <v/>
      </c>
      <c r="W206" s="63" t="str">
        <f>Données_ATB!BS205</f>
        <v/>
      </c>
      <c r="Z206" s="42">
        <v>203</v>
      </c>
      <c r="AA206" t="e">
        <f t="shared" si="206"/>
        <v>#N/A</v>
      </c>
      <c r="AB206" s="63" t="e">
        <f t="shared" si="207"/>
        <v>#N/A</v>
      </c>
      <c r="BF206" s="63"/>
      <c r="BT206" s="194" t="str">
        <f t="shared" ca="1" si="190"/>
        <v/>
      </c>
      <c r="BU206" s="219" t="str">
        <f>IFERROR(IF(BX206=0,"",COUNTIF(BX$4:BX$600,"&gt;"&amp;BX206)+COUNTIF(BX$4:BX206,BX206)),"")</f>
        <v/>
      </c>
      <c r="BV206" s="42" t="str">
        <f t="shared" si="191"/>
        <v>DUPHAMOX LA</v>
      </c>
      <c r="BW206" t="e">
        <f>IF(IF(CE$2="Catégorie",IF(CE$3="Toutes",SUMIFS('Étape 1 - à remplir'!$F$31:$F$400,'Étape 1 - à remplir'!$E$31:$E$400,MASQ2!BV206,'Étape 1 - à remplir'!$G$31:$G$400,"lots"),SUMIFS('Étape 1 - à remplir'!$F$31:$F$400,'Étape 1 - à remplir'!$E$31:$E$400,MASQ2!BV206,'Étape 1 - à remplir'!$C$31:$C$400,CE$3)),IF(CE$2="Âge",IF(CE$3="Tous",SUMIFS('Étape 1 - à remplir'!$F$31:$F$400,'Étape 1 - à remplir'!$E$31:$E$400,MASQ2!BV206,'Étape 1 - à remplir'!$G$31:$G$400,"lots"),SUMIFS('Étape 1 - à remplir'!$F$31:$F$400,'Étape 1 - à remplir'!$E$31:$E$400,MASQ2!BV206,'Étape 1 - à remplir'!$P$31:$P$400,CE$3,'Étape 1 - à remplir'!$G$31:$G$400,"lots")),IF(CE$2="Atelier",IF(CE$3="Tous",SUMIFS('Étape 1 - à remplir'!$F$31:$F$400,'Étape 1 - à remplir'!$E$31:$E$400,MASQ2!BV206,'Étape 1 - à remplir'!$G$31:$G$400,"lots"),SUMIFS('Étape 1 - à remplir'!$F$31:$F$400,'Étape 1 - à remplir'!$E$31:$E$400,MASQ2!BV206,'Étape 1 - à remplir'!$O$31:$O$400,CE$3,'Étape 1 - à remplir'!$G$31:$G$400,"lots")),IF(CE$2="Espèce",IF(CE$3="Toutes",SUMIFS('Étape 1 - à remplir'!$F$31:$F$400,'Étape 1 - à remplir'!$E$31:$E$400,MASQ2!BV206,'Étape 1 - à remplir'!$G$31:$G$400,"lots"),SUMIFS('Étape 1 - à remplir'!$F$31:$F$400,'Étape 1 - à remplir'!$E$31:$E$400,MASQ2!BV206,'Étape 1 - à remplir'!$N$31:$N$400,CE$3,'Étape 1 - à remplir'!$G$31:$G$400,"lots"))))))=0,NA(),IF(CE$2="Catégorie",IF(CE$3="Toutes",SUMIFS('Étape 1 - à remplir'!$F$31:$F$400,'Étape 1 - à remplir'!$E$31:$E$400,MASQ2!BV206,'Étape 1 - à remplir'!$G$31:$G$400,"lots"),SUMIFS('Étape 1 - à remplir'!$F$31:$F$400,'Étape 1 - à remplir'!$E$31:$E$400,MASQ2!BV206,'Étape 1 - à remplir'!$C$31:$C$400,CE$3)),IF(CE$2="Âge",IF(CE$3="Tous",SUMIFS('Étape 1 - à remplir'!$F$31:$F$400,'Étape 1 - à remplir'!$E$31:$E$400,MASQ2!BV206,'Étape 1 - à remplir'!$G$31:$G$400,"lots"),SUMIFS('Étape 1 - à remplir'!$F$31:$F$400,'Étape 1 - à remplir'!$E$31:$E$400,MASQ2!BV206,'Étape 1 - à remplir'!$P$31:$P$400,CE$3,'Étape 1 - à remplir'!$G$31:$G$400,"lots")),IF(CE$2="Atelier",IF(CE$3="Tous",SUMIFS('Étape 1 - à remplir'!$F$31:$F$400,'Étape 1 - à remplir'!$E$31:$E$400,MASQ2!BV206,'Étape 1 - à remplir'!$G$31:$G$400,"lots"),SUMIFS('Étape 1 - à remplir'!$F$31:$F$400,'Étape 1 - à remplir'!$E$31:$E$400,MASQ2!BV206,'Étape 1 - à remplir'!$O$31:$O$400,CE$3,'Étape 1 - à remplir'!$G$31:$G$400,"lots")),IF(CE$2="Espèce",IF(CE$3="Toutes",SUMIFS('Étape 1 - à remplir'!$F$31:$F$400,'Étape 1 - à remplir'!$E$31:$E$400,MASQ2!BV206,'Étape 1 - à remplir'!$G$31:$G$400,"lots"),SUMIFS('Étape 1 - à remplir'!$F$31:$F$400,'Étape 1 - à remplir'!$E$31:$E$400,MASQ2!BV206,'Étape 1 - à remplir'!$N$31:$N$400,CE$3,'Étape 1 - à remplir'!$G$31:$G$400,"lots")))))))</f>
        <v>#N/A</v>
      </c>
      <c r="BX206">
        <f t="shared" si="208"/>
        <v>0</v>
      </c>
      <c r="BY206" t="str">
        <f t="shared" si="192"/>
        <v>Amoxicilline</v>
      </c>
      <c r="BZ206" t="str">
        <f t="shared" si="193"/>
        <v/>
      </c>
      <c r="CA206" t="str">
        <f t="shared" si="194"/>
        <v/>
      </c>
      <c r="CB206" t="str">
        <f t="shared" si="195"/>
        <v>Penicillines</v>
      </c>
      <c r="CC206" t="str">
        <f t="shared" si="196"/>
        <v/>
      </c>
      <c r="CD206" s="63" t="str">
        <f t="shared" si="197"/>
        <v/>
      </c>
      <c r="CG206" s="42">
        <v>203</v>
      </c>
      <c r="CH206" s="42" t="e">
        <f t="shared" si="188"/>
        <v>#N/A</v>
      </c>
      <c r="CI206" s="63" t="e">
        <f t="shared" si="189"/>
        <v>#N/A</v>
      </c>
      <c r="DM206" s="63"/>
      <c r="EA206" s="194" t="str">
        <f t="shared" ca="1" si="198"/>
        <v/>
      </c>
      <c r="EB206" s="226" t="str">
        <f>IFERROR(IF(ED206=0,"",COUNTIF(ED$4:ED$600,"&gt;"&amp;ED206)+COUNTIF(ED$4:ED206,ED206)),"")</f>
        <v/>
      </c>
      <c r="EC206" t="str">
        <f t="shared" si="199"/>
        <v>DUPHAMOX LA</v>
      </c>
      <c r="ED206" t="e">
        <f>IF(IF(EL$2="Catégorie",IF(EL$3="Toutes",SUMIFS('Étape 1 - à remplir'!$F$31:$F$400,'Étape 1 - à remplir'!$E$31:$E$400,MASQ2!EC206,'Étape 1 - à remplir'!$G$31:$G$400,"kg"),SUMIFS('Étape 1 - à remplir'!$F$31:$F$400,'Étape 1 - à remplir'!$E$31:$E$400,MASQ2!EC206,'Étape 1 - à remplir'!$C$31:$C$400,EL$3)),IF(EL$2="Âge",IF(EL$3="Tous",SUMIFS('Étape 1 - à remplir'!$F$31:$F$400,'Étape 1 - à remplir'!$E$31:$E$400,MASQ2!EC206,'Étape 1 - à remplir'!$G$31:$G$400,"kg"),SUMIFS('Étape 1 - à remplir'!$F$31:$F$400,'Étape 1 - à remplir'!$E$31:$E$400,MASQ2!EC206,'Étape 1 - à remplir'!$P$31:$P$400,EL$3,'Étape 1 - à remplir'!$G$31:$G$400,"kg")),IF(EL$2="Atelier",IF(EL$3="Tous",SUMIFS('Étape 1 - à remplir'!$F$31:$F$400,'Étape 1 - à remplir'!$E$31:$E$400,MASQ2!EC206,'Étape 1 - à remplir'!$G$31:$G$400,"kg"),SUMIFS('Étape 1 - à remplir'!$F$31:$F$400,'Étape 1 - à remplir'!$E$31:$E$400,MASQ2!EC206,'Étape 1 - à remplir'!$O$31:$O$400,EL$3,'Étape 1 - à remplir'!$G$31:$G$400,"kg")),IF(EL$2="Espèce",IF(EL$3="Toutes",SUMIFS('Étape 1 - à remplir'!$F$31:$F$400,'Étape 1 - à remplir'!$E$31:$E$400,MASQ2!EC206,'Étape 1 - à remplir'!$G$31:$G$400,"kg"),SUMIFS('Étape 1 - à remplir'!$F$31:$F$400,'Étape 1 - à remplir'!$E$31:$E$400,MASQ2!EC206,'Étape 1 - à remplir'!$N$31:$N$400,EL$3,'Étape 1 - à remplir'!$G$31:$G$400,"kg"))))))=0,NA(),IF(EL$2="Catégorie",IF(EL$3="Toutes",SUMIFS('Étape 1 - à remplir'!$F$31:$F$400,'Étape 1 - à remplir'!$E$31:$E$400,MASQ2!EC206,'Étape 1 - à remplir'!$G$31:$G$400,"kg"),SUMIFS('Étape 1 - à remplir'!$F$31:$F$400,'Étape 1 - à remplir'!$E$31:$E$400,MASQ2!EC206,'Étape 1 - à remplir'!$C$31:$C$400,EL$3)),IF(EL$2="Âge",IF(EL$3="Tous",SUMIFS('Étape 1 - à remplir'!$F$31:$F$400,'Étape 1 - à remplir'!$E$31:$E$400,MASQ2!EC206,'Étape 1 - à remplir'!$G$31:$G$400,"kg"),SUMIFS('Étape 1 - à remplir'!$F$31:$F$400,'Étape 1 - à remplir'!$E$31:$E$400,MASQ2!EC206,'Étape 1 - à remplir'!$P$31:$P$400,EL$3,'Étape 1 - à remplir'!$G$31:$G$400,"kg")),IF(EL$2="Atelier",IF(EL$3="Tous",SUMIFS('Étape 1 - à remplir'!$F$31:$F$400,'Étape 1 - à remplir'!$E$31:$E$400,MASQ2!EC206,'Étape 1 - à remplir'!$G$31:$G$400,"kg"),SUMIFS('Étape 1 - à remplir'!$F$31:$F$400,'Étape 1 - à remplir'!$E$31:$E$400,MASQ2!EC206,'Étape 1 - à remplir'!$O$31:$O$400,EL$3,'Étape 1 - à remplir'!$G$31:$G$400,"kg")),IF(EL$2="Espèce",IF(EL$3="Toutes",SUMIFS('Étape 1 - à remplir'!$F$31:$F$400,'Étape 1 - à remplir'!$E$31:$E$400,MASQ2!EC206,'Étape 1 - à remplir'!$G$31:$G$400,"kg"),SUMIFS('Étape 1 - à remplir'!$F$31:$F$400,'Étape 1 - à remplir'!$E$31:$E$400,MASQ2!EC206,'Étape 1 - à remplir'!$N$31:$N$400,EL$3,'Étape 1 - à remplir'!$G$31:$G$400,"kg")))))))</f>
        <v>#N/A</v>
      </c>
      <c r="EE206" s="76">
        <f t="shared" si="209"/>
        <v>0</v>
      </c>
      <c r="EF206" t="str">
        <f t="shared" si="200"/>
        <v>Amoxicilline</v>
      </c>
      <c r="EG206" t="str">
        <f t="shared" si="201"/>
        <v/>
      </c>
      <c r="EH206" t="str">
        <f t="shared" si="202"/>
        <v/>
      </c>
      <c r="EI206" t="str">
        <f t="shared" si="203"/>
        <v>Penicillines</v>
      </c>
      <c r="EJ206" t="str">
        <f t="shared" si="204"/>
        <v/>
      </c>
      <c r="EK206" s="63" t="str">
        <f t="shared" si="205"/>
        <v/>
      </c>
      <c r="EN206" s="42">
        <v>203</v>
      </c>
      <c r="EO206" t="e">
        <f t="shared" si="211"/>
        <v>#N/A</v>
      </c>
      <c r="EP206" s="63" t="e">
        <f t="shared" si="212"/>
        <v>#N/A</v>
      </c>
      <c r="FT206" s="63"/>
    </row>
    <row r="207" spans="2:176" x14ac:dyDescent="0.3">
      <c r="B207" s="42"/>
      <c r="M207" s="194" t="str">
        <f ca="1">INDEX(Données_ATB!BD:BU,MATCH(MASQ2!O207,Données_ATB!BD:BD,0),18)</f>
        <v/>
      </c>
      <c r="N207" s="14" t="str">
        <f>IFERROR(IF(Q207=0,"",COUNTIF(Q$4:Q$600,"&gt;"&amp;Q207)+COUNTIF(Q$4:Q207,Q207)),"")</f>
        <v/>
      </c>
      <c r="O207" t="str">
        <f>Données_ATB!BD206</f>
        <v>DUPLOCILLINE</v>
      </c>
      <c r="P207" t="e">
        <f>IF(IF(X$2="Catégorie",IF(X$3="Toutes",SUMIFS('Étape 1 - à remplir'!$F$31:$F$400,'Étape 1 - à remplir'!$E$31:$E$400,MASQ2!O207,'Étape 1 - à remplir'!$G$31:$G$400,"animaux"),SUMIFS('Étape 1 - à remplir'!$F$31:$F$400,'Étape 1 - à remplir'!$E$31:$E$400,MASQ2!O207,'Étape 1 - à remplir'!$C$31:$C$400,X$3)),IF(X$2="Âge",IF(X$3="Tous",SUMIFS('Étape 1 - à remplir'!$F$31:$F$400,'Étape 1 - à remplir'!$E$31:$E$400,MASQ2!O207,'Étape 1 - à remplir'!$G$31:$G$400,"animaux"),SUMIFS('Étape 1 - à remplir'!$F$31:$F$400,'Étape 1 - à remplir'!$E$31:$E$400,MASQ2!O207,'Étape 1 - à remplir'!$P$31:$P$400,X$3)),IF(X$2="Atelier",IF(X$3="Tous",SUMIFS('Étape 1 - à remplir'!$F$31:$F$400,'Étape 1 - à remplir'!$E$31:$E$400,MASQ2!O207,'Étape 1 - à remplir'!$G$31:$G$400,"animaux"),SUMIFS('Étape 1 - à remplir'!$F$31:$F$400,'Étape 1 - à remplir'!$E$31:$E$400,MASQ2!O207,'Étape 1 - à remplir'!$O$31:$O$400,X$3)),IF(X$2="Espèce",IF(X$3="Toutes",SUMIFS('Étape 1 - à remplir'!$F$31:$F$400,'Étape 1 - à remplir'!$E$31:$E$400,MASQ2!O207,'Étape 1 - à remplir'!$G$31:$G$400,"animaux"),SUMIFS('Étape 1 - à remplir'!$F$31:$F$400,'Étape 1 - à remplir'!$E$31:$E$400,MASQ2!O207,'Étape 1 - à remplir'!$N$31:$N$400,X$3))))))=0,NA(),IF(X$2="Catégorie",IF(X$3="Toutes",SUMIFS('Étape 1 - à remplir'!$F$31:$F$400,'Étape 1 - à remplir'!$E$31:$E$400,MASQ2!O207,'Étape 1 - à remplir'!$G$31:$G$400,"animaux"),SUMIFS('Étape 1 - à remplir'!$F$31:$F$400,'Étape 1 - à remplir'!$E$31:$E$400,MASQ2!O207,'Étape 1 - à remplir'!$C$31:$C$400,X$3)),IF(X$2="Âge",IF(X$3="Tous",SUMIFS('Étape 1 - à remplir'!$F$31:$F$400,'Étape 1 - à remplir'!$E$31:$E$400,MASQ2!O207,'Étape 1 - à remplir'!$G$31:$G$400,"animaux"),SUMIFS('Étape 1 - à remplir'!$F$31:$F$400,'Étape 1 - à remplir'!$E$31:$E$400,MASQ2!O207,'Étape 1 - à remplir'!$P$31:$P$400,X$3)),IF(X$2="Atelier",IF(X$3="Tous",SUMIFS('Étape 1 - à remplir'!$F$31:$F$400,'Étape 1 - à remplir'!$E$31:$E$400,MASQ2!O207,'Étape 1 - à remplir'!$G$31:$G$400,"animaux"),SUMIFS('Étape 1 - à remplir'!$F$31:$F$400,'Étape 1 - à remplir'!$E$31:$E$400,MASQ2!O207,'Étape 1 - à remplir'!$O$31:$O$400,X$3)),IF(X$2="Espèce",IF(X$3="Toutes",SUMIFS('Étape 1 - à remplir'!$F$31:$F$400,'Étape 1 - à remplir'!$E$31:$E$400,MASQ2!O207,'Étape 1 - à remplir'!$G$31:$G$400,"animaux"),SUMIFS('Étape 1 - à remplir'!$F$31:$F$400,'Étape 1 - à remplir'!$E$31:$E$400,MASQ2!O207,'Étape 1 - à remplir'!$N$31:$N$400,X$3)))))))</f>
        <v>#N/A</v>
      </c>
      <c r="Q207" s="63">
        <f t="shared" si="210"/>
        <v>0</v>
      </c>
      <c r="R207" t="str">
        <f>Données_ATB!BM206</f>
        <v>Benzylpénicilline</v>
      </c>
      <c r="S207" t="str">
        <f>Données_ATB!BN206</f>
        <v/>
      </c>
      <c r="T207" s="63" t="str">
        <f>Données_ATB!BO206</f>
        <v/>
      </c>
      <c r="U207" s="42" t="str">
        <f>Données_ATB!BQ206</f>
        <v>Penicillines</v>
      </c>
      <c r="V207" t="str">
        <f>Données_ATB!BR206</f>
        <v/>
      </c>
      <c r="W207" s="63" t="str">
        <f>Données_ATB!BS206</f>
        <v/>
      </c>
      <c r="Z207" s="42">
        <v>204</v>
      </c>
      <c r="AA207" t="e">
        <f t="shared" si="206"/>
        <v>#N/A</v>
      </c>
      <c r="AB207" s="63" t="e">
        <f t="shared" si="207"/>
        <v>#N/A</v>
      </c>
      <c r="BF207" s="63"/>
      <c r="BT207" s="194" t="str">
        <f t="shared" ca="1" si="190"/>
        <v/>
      </c>
      <c r="BU207" s="219" t="str">
        <f>IFERROR(IF(BX207=0,"",COUNTIF(BX$4:BX$600,"&gt;"&amp;BX207)+COUNTIF(BX$4:BX207,BX207)),"")</f>
        <v/>
      </c>
      <c r="BV207" s="42" t="str">
        <f t="shared" si="191"/>
        <v>DUPLOCILLINE</v>
      </c>
      <c r="BW207" t="e">
        <f>IF(IF(CE$2="Catégorie",IF(CE$3="Toutes",SUMIFS('Étape 1 - à remplir'!$F$31:$F$400,'Étape 1 - à remplir'!$E$31:$E$400,MASQ2!BV207,'Étape 1 - à remplir'!$G$31:$G$400,"lots"),SUMIFS('Étape 1 - à remplir'!$F$31:$F$400,'Étape 1 - à remplir'!$E$31:$E$400,MASQ2!BV207,'Étape 1 - à remplir'!$C$31:$C$400,CE$3)),IF(CE$2="Âge",IF(CE$3="Tous",SUMIFS('Étape 1 - à remplir'!$F$31:$F$400,'Étape 1 - à remplir'!$E$31:$E$400,MASQ2!BV207,'Étape 1 - à remplir'!$G$31:$G$400,"lots"),SUMIFS('Étape 1 - à remplir'!$F$31:$F$400,'Étape 1 - à remplir'!$E$31:$E$400,MASQ2!BV207,'Étape 1 - à remplir'!$P$31:$P$400,CE$3,'Étape 1 - à remplir'!$G$31:$G$400,"lots")),IF(CE$2="Atelier",IF(CE$3="Tous",SUMIFS('Étape 1 - à remplir'!$F$31:$F$400,'Étape 1 - à remplir'!$E$31:$E$400,MASQ2!BV207,'Étape 1 - à remplir'!$G$31:$G$400,"lots"),SUMIFS('Étape 1 - à remplir'!$F$31:$F$400,'Étape 1 - à remplir'!$E$31:$E$400,MASQ2!BV207,'Étape 1 - à remplir'!$O$31:$O$400,CE$3,'Étape 1 - à remplir'!$G$31:$G$400,"lots")),IF(CE$2="Espèce",IF(CE$3="Toutes",SUMIFS('Étape 1 - à remplir'!$F$31:$F$400,'Étape 1 - à remplir'!$E$31:$E$400,MASQ2!BV207,'Étape 1 - à remplir'!$G$31:$G$400,"lots"),SUMIFS('Étape 1 - à remplir'!$F$31:$F$400,'Étape 1 - à remplir'!$E$31:$E$400,MASQ2!BV207,'Étape 1 - à remplir'!$N$31:$N$400,CE$3,'Étape 1 - à remplir'!$G$31:$G$400,"lots"))))))=0,NA(),IF(CE$2="Catégorie",IF(CE$3="Toutes",SUMIFS('Étape 1 - à remplir'!$F$31:$F$400,'Étape 1 - à remplir'!$E$31:$E$400,MASQ2!BV207,'Étape 1 - à remplir'!$G$31:$G$400,"lots"),SUMIFS('Étape 1 - à remplir'!$F$31:$F$400,'Étape 1 - à remplir'!$E$31:$E$400,MASQ2!BV207,'Étape 1 - à remplir'!$C$31:$C$400,CE$3)),IF(CE$2="Âge",IF(CE$3="Tous",SUMIFS('Étape 1 - à remplir'!$F$31:$F$400,'Étape 1 - à remplir'!$E$31:$E$400,MASQ2!BV207,'Étape 1 - à remplir'!$G$31:$G$400,"lots"),SUMIFS('Étape 1 - à remplir'!$F$31:$F$400,'Étape 1 - à remplir'!$E$31:$E$400,MASQ2!BV207,'Étape 1 - à remplir'!$P$31:$P$400,CE$3,'Étape 1 - à remplir'!$G$31:$G$400,"lots")),IF(CE$2="Atelier",IF(CE$3="Tous",SUMIFS('Étape 1 - à remplir'!$F$31:$F$400,'Étape 1 - à remplir'!$E$31:$E$400,MASQ2!BV207,'Étape 1 - à remplir'!$G$31:$G$400,"lots"),SUMIFS('Étape 1 - à remplir'!$F$31:$F$400,'Étape 1 - à remplir'!$E$31:$E$400,MASQ2!BV207,'Étape 1 - à remplir'!$O$31:$O$400,CE$3,'Étape 1 - à remplir'!$G$31:$G$400,"lots")),IF(CE$2="Espèce",IF(CE$3="Toutes",SUMIFS('Étape 1 - à remplir'!$F$31:$F$400,'Étape 1 - à remplir'!$E$31:$E$400,MASQ2!BV207,'Étape 1 - à remplir'!$G$31:$G$400,"lots"),SUMIFS('Étape 1 - à remplir'!$F$31:$F$400,'Étape 1 - à remplir'!$E$31:$E$400,MASQ2!BV207,'Étape 1 - à remplir'!$N$31:$N$400,CE$3,'Étape 1 - à remplir'!$G$31:$G$400,"lots")))))))</f>
        <v>#N/A</v>
      </c>
      <c r="BX207">
        <f t="shared" si="208"/>
        <v>0</v>
      </c>
      <c r="BY207" t="str">
        <f t="shared" si="192"/>
        <v>Benzylpénicilline</v>
      </c>
      <c r="BZ207" t="str">
        <f t="shared" si="193"/>
        <v/>
      </c>
      <c r="CA207" t="str">
        <f t="shared" si="194"/>
        <v/>
      </c>
      <c r="CB207" t="str">
        <f t="shared" si="195"/>
        <v>Penicillines</v>
      </c>
      <c r="CC207" t="str">
        <f t="shared" si="196"/>
        <v/>
      </c>
      <c r="CD207" s="63" t="str">
        <f t="shared" si="197"/>
        <v/>
      </c>
      <c r="CG207" s="42">
        <v>204</v>
      </c>
      <c r="CH207" s="42" t="e">
        <f t="shared" si="188"/>
        <v>#N/A</v>
      </c>
      <c r="CI207" s="63" t="e">
        <f t="shared" si="189"/>
        <v>#N/A</v>
      </c>
      <c r="DM207" s="63"/>
      <c r="EA207" s="194" t="str">
        <f t="shared" ca="1" si="198"/>
        <v/>
      </c>
      <c r="EB207" s="226" t="str">
        <f>IFERROR(IF(ED207=0,"",COUNTIF(ED$4:ED$600,"&gt;"&amp;ED207)+COUNTIF(ED$4:ED207,ED207)),"")</f>
        <v/>
      </c>
      <c r="EC207" t="str">
        <f t="shared" si="199"/>
        <v>DUPLOCILLINE</v>
      </c>
      <c r="ED207" t="e">
        <f>IF(IF(EL$2="Catégorie",IF(EL$3="Toutes",SUMIFS('Étape 1 - à remplir'!$F$31:$F$400,'Étape 1 - à remplir'!$E$31:$E$400,MASQ2!EC207,'Étape 1 - à remplir'!$G$31:$G$400,"kg"),SUMIFS('Étape 1 - à remplir'!$F$31:$F$400,'Étape 1 - à remplir'!$E$31:$E$400,MASQ2!EC207,'Étape 1 - à remplir'!$C$31:$C$400,EL$3)),IF(EL$2="Âge",IF(EL$3="Tous",SUMIFS('Étape 1 - à remplir'!$F$31:$F$400,'Étape 1 - à remplir'!$E$31:$E$400,MASQ2!EC207,'Étape 1 - à remplir'!$G$31:$G$400,"kg"),SUMIFS('Étape 1 - à remplir'!$F$31:$F$400,'Étape 1 - à remplir'!$E$31:$E$400,MASQ2!EC207,'Étape 1 - à remplir'!$P$31:$P$400,EL$3,'Étape 1 - à remplir'!$G$31:$G$400,"kg")),IF(EL$2="Atelier",IF(EL$3="Tous",SUMIFS('Étape 1 - à remplir'!$F$31:$F$400,'Étape 1 - à remplir'!$E$31:$E$400,MASQ2!EC207,'Étape 1 - à remplir'!$G$31:$G$400,"kg"),SUMIFS('Étape 1 - à remplir'!$F$31:$F$400,'Étape 1 - à remplir'!$E$31:$E$400,MASQ2!EC207,'Étape 1 - à remplir'!$O$31:$O$400,EL$3,'Étape 1 - à remplir'!$G$31:$G$400,"kg")),IF(EL$2="Espèce",IF(EL$3="Toutes",SUMIFS('Étape 1 - à remplir'!$F$31:$F$400,'Étape 1 - à remplir'!$E$31:$E$400,MASQ2!EC207,'Étape 1 - à remplir'!$G$31:$G$400,"kg"),SUMIFS('Étape 1 - à remplir'!$F$31:$F$400,'Étape 1 - à remplir'!$E$31:$E$400,MASQ2!EC207,'Étape 1 - à remplir'!$N$31:$N$400,EL$3,'Étape 1 - à remplir'!$G$31:$G$400,"kg"))))))=0,NA(),IF(EL$2="Catégorie",IF(EL$3="Toutes",SUMIFS('Étape 1 - à remplir'!$F$31:$F$400,'Étape 1 - à remplir'!$E$31:$E$400,MASQ2!EC207,'Étape 1 - à remplir'!$G$31:$G$400,"kg"),SUMIFS('Étape 1 - à remplir'!$F$31:$F$400,'Étape 1 - à remplir'!$E$31:$E$400,MASQ2!EC207,'Étape 1 - à remplir'!$C$31:$C$400,EL$3)),IF(EL$2="Âge",IF(EL$3="Tous",SUMIFS('Étape 1 - à remplir'!$F$31:$F$400,'Étape 1 - à remplir'!$E$31:$E$400,MASQ2!EC207,'Étape 1 - à remplir'!$G$31:$G$400,"kg"),SUMIFS('Étape 1 - à remplir'!$F$31:$F$400,'Étape 1 - à remplir'!$E$31:$E$400,MASQ2!EC207,'Étape 1 - à remplir'!$P$31:$P$400,EL$3,'Étape 1 - à remplir'!$G$31:$G$400,"kg")),IF(EL$2="Atelier",IF(EL$3="Tous",SUMIFS('Étape 1 - à remplir'!$F$31:$F$400,'Étape 1 - à remplir'!$E$31:$E$400,MASQ2!EC207,'Étape 1 - à remplir'!$G$31:$G$400,"kg"),SUMIFS('Étape 1 - à remplir'!$F$31:$F$400,'Étape 1 - à remplir'!$E$31:$E$400,MASQ2!EC207,'Étape 1 - à remplir'!$O$31:$O$400,EL$3,'Étape 1 - à remplir'!$G$31:$G$400,"kg")),IF(EL$2="Espèce",IF(EL$3="Toutes",SUMIFS('Étape 1 - à remplir'!$F$31:$F$400,'Étape 1 - à remplir'!$E$31:$E$400,MASQ2!EC207,'Étape 1 - à remplir'!$G$31:$G$400,"kg"),SUMIFS('Étape 1 - à remplir'!$F$31:$F$400,'Étape 1 - à remplir'!$E$31:$E$400,MASQ2!EC207,'Étape 1 - à remplir'!$N$31:$N$400,EL$3,'Étape 1 - à remplir'!$G$31:$G$400,"kg")))))))</f>
        <v>#N/A</v>
      </c>
      <c r="EE207" s="76">
        <f t="shared" si="209"/>
        <v>0</v>
      </c>
      <c r="EF207" t="str">
        <f t="shared" si="200"/>
        <v>Benzylpénicilline</v>
      </c>
      <c r="EG207" t="str">
        <f t="shared" si="201"/>
        <v/>
      </c>
      <c r="EH207" t="str">
        <f t="shared" si="202"/>
        <v/>
      </c>
      <c r="EI207" t="str">
        <f t="shared" si="203"/>
        <v>Penicillines</v>
      </c>
      <c r="EJ207" t="str">
        <f t="shared" si="204"/>
        <v/>
      </c>
      <c r="EK207" s="63" t="str">
        <f t="shared" si="205"/>
        <v/>
      </c>
      <c r="EN207" s="42">
        <v>204</v>
      </c>
      <c r="EO207" t="e">
        <f t="shared" si="211"/>
        <v>#N/A</v>
      </c>
      <c r="EP207" s="63" t="e">
        <f t="shared" si="212"/>
        <v>#N/A</v>
      </c>
      <c r="FT207" s="63"/>
    </row>
    <row r="208" spans="2:176" x14ac:dyDescent="0.3">
      <c r="B208" s="42"/>
      <c r="M208" s="194" t="str">
        <f ca="1">INDEX(Données_ATB!BD:BU,MATCH(MASQ2!O208,Données_ATB!BD:BD,0),18)</f>
        <v/>
      </c>
      <c r="N208" s="14" t="str">
        <f>IFERROR(IF(Q208=0,"",COUNTIF(Q$4:Q$600,"&gt;"&amp;Q208)+COUNTIF(Q$4:Q208,Q208)),"")</f>
        <v/>
      </c>
      <c r="O208" t="str">
        <f>Données_ATB!BD207</f>
        <v>DURACYKLINE</v>
      </c>
      <c r="P208" t="e">
        <f>IF(IF(X$2="Catégorie",IF(X$3="Toutes",SUMIFS('Étape 1 - à remplir'!$F$31:$F$400,'Étape 1 - à remplir'!$E$31:$E$400,MASQ2!O208,'Étape 1 - à remplir'!$G$31:$G$400,"animaux"),SUMIFS('Étape 1 - à remplir'!$F$31:$F$400,'Étape 1 - à remplir'!$E$31:$E$400,MASQ2!O208,'Étape 1 - à remplir'!$C$31:$C$400,X$3)),IF(X$2="Âge",IF(X$3="Tous",SUMIFS('Étape 1 - à remplir'!$F$31:$F$400,'Étape 1 - à remplir'!$E$31:$E$400,MASQ2!O208,'Étape 1 - à remplir'!$G$31:$G$400,"animaux"),SUMIFS('Étape 1 - à remplir'!$F$31:$F$400,'Étape 1 - à remplir'!$E$31:$E$400,MASQ2!O208,'Étape 1 - à remplir'!$P$31:$P$400,X$3)),IF(X$2="Atelier",IF(X$3="Tous",SUMIFS('Étape 1 - à remplir'!$F$31:$F$400,'Étape 1 - à remplir'!$E$31:$E$400,MASQ2!O208,'Étape 1 - à remplir'!$G$31:$G$400,"animaux"),SUMIFS('Étape 1 - à remplir'!$F$31:$F$400,'Étape 1 - à remplir'!$E$31:$E$400,MASQ2!O208,'Étape 1 - à remplir'!$O$31:$O$400,X$3)),IF(X$2="Espèce",IF(X$3="Toutes",SUMIFS('Étape 1 - à remplir'!$F$31:$F$400,'Étape 1 - à remplir'!$E$31:$E$400,MASQ2!O208,'Étape 1 - à remplir'!$G$31:$G$400,"animaux"),SUMIFS('Étape 1 - à remplir'!$F$31:$F$400,'Étape 1 - à remplir'!$E$31:$E$400,MASQ2!O208,'Étape 1 - à remplir'!$N$31:$N$400,X$3))))))=0,NA(),IF(X$2="Catégorie",IF(X$3="Toutes",SUMIFS('Étape 1 - à remplir'!$F$31:$F$400,'Étape 1 - à remplir'!$E$31:$E$400,MASQ2!O208,'Étape 1 - à remplir'!$G$31:$G$400,"animaux"),SUMIFS('Étape 1 - à remplir'!$F$31:$F$400,'Étape 1 - à remplir'!$E$31:$E$400,MASQ2!O208,'Étape 1 - à remplir'!$C$31:$C$400,X$3)),IF(X$2="Âge",IF(X$3="Tous",SUMIFS('Étape 1 - à remplir'!$F$31:$F$400,'Étape 1 - à remplir'!$E$31:$E$400,MASQ2!O208,'Étape 1 - à remplir'!$G$31:$G$400,"animaux"),SUMIFS('Étape 1 - à remplir'!$F$31:$F$400,'Étape 1 - à remplir'!$E$31:$E$400,MASQ2!O208,'Étape 1 - à remplir'!$P$31:$P$400,X$3)),IF(X$2="Atelier",IF(X$3="Tous",SUMIFS('Étape 1 - à remplir'!$F$31:$F$400,'Étape 1 - à remplir'!$E$31:$E$400,MASQ2!O208,'Étape 1 - à remplir'!$G$31:$G$400,"animaux"),SUMIFS('Étape 1 - à remplir'!$F$31:$F$400,'Étape 1 - à remplir'!$E$31:$E$400,MASQ2!O208,'Étape 1 - à remplir'!$O$31:$O$400,X$3)),IF(X$2="Espèce",IF(X$3="Toutes",SUMIFS('Étape 1 - à remplir'!$F$31:$F$400,'Étape 1 - à remplir'!$E$31:$E$400,MASQ2!O208,'Étape 1 - à remplir'!$G$31:$G$400,"animaux"),SUMIFS('Étape 1 - à remplir'!$F$31:$F$400,'Étape 1 - à remplir'!$E$31:$E$400,MASQ2!O208,'Étape 1 - à remplir'!$N$31:$N$400,X$3)))))))</f>
        <v>#N/A</v>
      </c>
      <c r="Q208" s="63">
        <f t="shared" si="210"/>
        <v>0</v>
      </c>
      <c r="R208" t="str">
        <f>Données_ATB!BM207</f>
        <v>Oxytétracycline</v>
      </c>
      <c r="S208" t="str">
        <f>Données_ATB!BN207</f>
        <v/>
      </c>
      <c r="T208" s="63" t="str">
        <f>Données_ATB!BO207</f>
        <v/>
      </c>
      <c r="U208" s="42" t="str">
        <f>Données_ATB!BQ207</f>
        <v>Tetracyclines</v>
      </c>
      <c r="V208" t="str">
        <f>Données_ATB!BR207</f>
        <v/>
      </c>
      <c r="W208" s="63" t="str">
        <f>Données_ATB!BS207</f>
        <v/>
      </c>
      <c r="Z208" s="42">
        <v>205</v>
      </c>
      <c r="AA208" t="e">
        <f t="shared" si="206"/>
        <v>#N/A</v>
      </c>
      <c r="AB208" s="63" t="e">
        <f t="shared" si="207"/>
        <v>#N/A</v>
      </c>
      <c r="BF208" s="63"/>
      <c r="BT208" s="194" t="str">
        <f t="shared" ca="1" si="190"/>
        <v/>
      </c>
      <c r="BU208" s="219" t="str">
        <f>IFERROR(IF(BX208=0,"",COUNTIF(BX$4:BX$600,"&gt;"&amp;BX208)+COUNTIF(BX$4:BX208,BX208)),"")</f>
        <v/>
      </c>
      <c r="BV208" s="42" t="str">
        <f t="shared" si="191"/>
        <v>DURACYKLINE</v>
      </c>
      <c r="BW208" t="e">
        <f>IF(IF(CE$2="Catégorie",IF(CE$3="Toutes",SUMIFS('Étape 1 - à remplir'!$F$31:$F$400,'Étape 1 - à remplir'!$E$31:$E$400,MASQ2!BV208,'Étape 1 - à remplir'!$G$31:$G$400,"lots"),SUMIFS('Étape 1 - à remplir'!$F$31:$F$400,'Étape 1 - à remplir'!$E$31:$E$400,MASQ2!BV208,'Étape 1 - à remplir'!$C$31:$C$400,CE$3)),IF(CE$2="Âge",IF(CE$3="Tous",SUMIFS('Étape 1 - à remplir'!$F$31:$F$400,'Étape 1 - à remplir'!$E$31:$E$400,MASQ2!BV208,'Étape 1 - à remplir'!$G$31:$G$400,"lots"),SUMIFS('Étape 1 - à remplir'!$F$31:$F$400,'Étape 1 - à remplir'!$E$31:$E$400,MASQ2!BV208,'Étape 1 - à remplir'!$P$31:$P$400,CE$3,'Étape 1 - à remplir'!$G$31:$G$400,"lots")),IF(CE$2="Atelier",IF(CE$3="Tous",SUMIFS('Étape 1 - à remplir'!$F$31:$F$400,'Étape 1 - à remplir'!$E$31:$E$400,MASQ2!BV208,'Étape 1 - à remplir'!$G$31:$G$400,"lots"),SUMIFS('Étape 1 - à remplir'!$F$31:$F$400,'Étape 1 - à remplir'!$E$31:$E$400,MASQ2!BV208,'Étape 1 - à remplir'!$O$31:$O$400,CE$3,'Étape 1 - à remplir'!$G$31:$G$400,"lots")),IF(CE$2="Espèce",IF(CE$3="Toutes",SUMIFS('Étape 1 - à remplir'!$F$31:$F$400,'Étape 1 - à remplir'!$E$31:$E$400,MASQ2!BV208,'Étape 1 - à remplir'!$G$31:$G$400,"lots"),SUMIFS('Étape 1 - à remplir'!$F$31:$F$400,'Étape 1 - à remplir'!$E$31:$E$400,MASQ2!BV208,'Étape 1 - à remplir'!$N$31:$N$400,CE$3,'Étape 1 - à remplir'!$G$31:$G$400,"lots"))))))=0,NA(),IF(CE$2="Catégorie",IF(CE$3="Toutes",SUMIFS('Étape 1 - à remplir'!$F$31:$F$400,'Étape 1 - à remplir'!$E$31:$E$400,MASQ2!BV208,'Étape 1 - à remplir'!$G$31:$G$400,"lots"),SUMIFS('Étape 1 - à remplir'!$F$31:$F$400,'Étape 1 - à remplir'!$E$31:$E$400,MASQ2!BV208,'Étape 1 - à remplir'!$C$31:$C$400,CE$3)),IF(CE$2="Âge",IF(CE$3="Tous",SUMIFS('Étape 1 - à remplir'!$F$31:$F$400,'Étape 1 - à remplir'!$E$31:$E$400,MASQ2!BV208,'Étape 1 - à remplir'!$G$31:$G$400,"lots"),SUMIFS('Étape 1 - à remplir'!$F$31:$F$400,'Étape 1 - à remplir'!$E$31:$E$400,MASQ2!BV208,'Étape 1 - à remplir'!$P$31:$P$400,CE$3,'Étape 1 - à remplir'!$G$31:$G$400,"lots")),IF(CE$2="Atelier",IF(CE$3="Tous",SUMIFS('Étape 1 - à remplir'!$F$31:$F$400,'Étape 1 - à remplir'!$E$31:$E$400,MASQ2!BV208,'Étape 1 - à remplir'!$G$31:$G$400,"lots"),SUMIFS('Étape 1 - à remplir'!$F$31:$F$400,'Étape 1 - à remplir'!$E$31:$E$400,MASQ2!BV208,'Étape 1 - à remplir'!$O$31:$O$400,CE$3,'Étape 1 - à remplir'!$G$31:$G$400,"lots")),IF(CE$2="Espèce",IF(CE$3="Toutes",SUMIFS('Étape 1 - à remplir'!$F$31:$F$400,'Étape 1 - à remplir'!$E$31:$E$400,MASQ2!BV208,'Étape 1 - à remplir'!$G$31:$G$400,"lots"),SUMIFS('Étape 1 - à remplir'!$F$31:$F$400,'Étape 1 - à remplir'!$E$31:$E$400,MASQ2!BV208,'Étape 1 - à remplir'!$N$31:$N$400,CE$3,'Étape 1 - à remplir'!$G$31:$G$400,"lots")))))))</f>
        <v>#N/A</v>
      </c>
      <c r="BX208">
        <f t="shared" si="208"/>
        <v>0</v>
      </c>
      <c r="BY208" t="str">
        <f t="shared" si="192"/>
        <v>Oxytétracycline</v>
      </c>
      <c r="BZ208" t="str">
        <f t="shared" si="193"/>
        <v/>
      </c>
      <c r="CA208" t="str">
        <f t="shared" si="194"/>
        <v/>
      </c>
      <c r="CB208" t="str">
        <f t="shared" si="195"/>
        <v>Tetracyclines</v>
      </c>
      <c r="CC208" t="str">
        <f t="shared" si="196"/>
        <v/>
      </c>
      <c r="CD208" s="63" t="str">
        <f t="shared" si="197"/>
        <v/>
      </c>
      <c r="CG208" s="42">
        <v>205</v>
      </c>
      <c r="CH208" s="42" t="e">
        <f t="shared" si="188"/>
        <v>#N/A</v>
      </c>
      <c r="CI208" s="63" t="e">
        <f t="shared" si="189"/>
        <v>#N/A</v>
      </c>
      <c r="DM208" s="63"/>
      <c r="EA208" s="194" t="str">
        <f t="shared" ca="1" si="198"/>
        <v/>
      </c>
      <c r="EB208" s="226" t="str">
        <f>IFERROR(IF(ED208=0,"",COUNTIF(ED$4:ED$600,"&gt;"&amp;ED208)+COUNTIF(ED$4:ED208,ED208)),"")</f>
        <v/>
      </c>
      <c r="EC208" t="str">
        <f t="shared" si="199"/>
        <v>DURACYKLINE</v>
      </c>
      <c r="ED208" t="e">
        <f>IF(IF(EL$2="Catégorie",IF(EL$3="Toutes",SUMIFS('Étape 1 - à remplir'!$F$31:$F$400,'Étape 1 - à remplir'!$E$31:$E$400,MASQ2!EC208,'Étape 1 - à remplir'!$G$31:$G$400,"kg"),SUMIFS('Étape 1 - à remplir'!$F$31:$F$400,'Étape 1 - à remplir'!$E$31:$E$400,MASQ2!EC208,'Étape 1 - à remplir'!$C$31:$C$400,EL$3)),IF(EL$2="Âge",IF(EL$3="Tous",SUMIFS('Étape 1 - à remplir'!$F$31:$F$400,'Étape 1 - à remplir'!$E$31:$E$400,MASQ2!EC208,'Étape 1 - à remplir'!$G$31:$G$400,"kg"),SUMIFS('Étape 1 - à remplir'!$F$31:$F$400,'Étape 1 - à remplir'!$E$31:$E$400,MASQ2!EC208,'Étape 1 - à remplir'!$P$31:$P$400,EL$3,'Étape 1 - à remplir'!$G$31:$G$400,"kg")),IF(EL$2="Atelier",IF(EL$3="Tous",SUMIFS('Étape 1 - à remplir'!$F$31:$F$400,'Étape 1 - à remplir'!$E$31:$E$400,MASQ2!EC208,'Étape 1 - à remplir'!$G$31:$G$400,"kg"),SUMIFS('Étape 1 - à remplir'!$F$31:$F$400,'Étape 1 - à remplir'!$E$31:$E$400,MASQ2!EC208,'Étape 1 - à remplir'!$O$31:$O$400,EL$3,'Étape 1 - à remplir'!$G$31:$G$400,"kg")),IF(EL$2="Espèce",IF(EL$3="Toutes",SUMIFS('Étape 1 - à remplir'!$F$31:$F$400,'Étape 1 - à remplir'!$E$31:$E$400,MASQ2!EC208,'Étape 1 - à remplir'!$G$31:$G$400,"kg"),SUMIFS('Étape 1 - à remplir'!$F$31:$F$400,'Étape 1 - à remplir'!$E$31:$E$400,MASQ2!EC208,'Étape 1 - à remplir'!$N$31:$N$400,EL$3,'Étape 1 - à remplir'!$G$31:$G$400,"kg"))))))=0,NA(),IF(EL$2="Catégorie",IF(EL$3="Toutes",SUMIFS('Étape 1 - à remplir'!$F$31:$F$400,'Étape 1 - à remplir'!$E$31:$E$400,MASQ2!EC208,'Étape 1 - à remplir'!$G$31:$G$400,"kg"),SUMIFS('Étape 1 - à remplir'!$F$31:$F$400,'Étape 1 - à remplir'!$E$31:$E$400,MASQ2!EC208,'Étape 1 - à remplir'!$C$31:$C$400,EL$3)),IF(EL$2="Âge",IF(EL$3="Tous",SUMIFS('Étape 1 - à remplir'!$F$31:$F$400,'Étape 1 - à remplir'!$E$31:$E$400,MASQ2!EC208,'Étape 1 - à remplir'!$G$31:$G$400,"kg"),SUMIFS('Étape 1 - à remplir'!$F$31:$F$400,'Étape 1 - à remplir'!$E$31:$E$400,MASQ2!EC208,'Étape 1 - à remplir'!$P$31:$P$400,EL$3,'Étape 1 - à remplir'!$G$31:$G$400,"kg")),IF(EL$2="Atelier",IF(EL$3="Tous",SUMIFS('Étape 1 - à remplir'!$F$31:$F$400,'Étape 1 - à remplir'!$E$31:$E$400,MASQ2!EC208,'Étape 1 - à remplir'!$G$31:$G$400,"kg"),SUMIFS('Étape 1 - à remplir'!$F$31:$F$400,'Étape 1 - à remplir'!$E$31:$E$400,MASQ2!EC208,'Étape 1 - à remplir'!$O$31:$O$400,EL$3,'Étape 1 - à remplir'!$G$31:$G$400,"kg")),IF(EL$2="Espèce",IF(EL$3="Toutes",SUMIFS('Étape 1 - à remplir'!$F$31:$F$400,'Étape 1 - à remplir'!$E$31:$E$400,MASQ2!EC208,'Étape 1 - à remplir'!$G$31:$G$400,"kg"),SUMIFS('Étape 1 - à remplir'!$F$31:$F$400,'Étape 1 - à remplir'!$E$31:$E$400,MASQ2!EC208,'Étape 1 - à remplir'!$N$31:$N$400,EL$3,'Étape 1 - à remplir'!$G$31:$G$400,"kg")))))))</f>
        <v>#N/A</v>
      </c>
      <c r="EE208" s="76">
        <f t="shared" si="209"/>
        <v>0</v>
      </c>
      <c r="EF208" t="str">
        <f t="shared" si="200"/>
        <v>Oxytétracycline</v>
      </c>
      <c r="EG208" t="str">
        <f t="shared" si="201"/>
        <v/>
      </c>
      <c r="EH208" t="str">
        <f t="shared" si="202"/>
        <v/>
      </c>
      <c r="EI208" t="str">
        <f t="shared" si="203"/>
        <v>Tetracyclines</v>
      </c>
      <c r="EJ208" t="str">
        <f t="shared" si="204"/>
        <v/>
      </c>
      <c r="EK208" s="63" t="str">
        <f t="shared" si="205"/>
        <v/>
      </c>
      <c r="EN208" s="42">
        <v>205</v>
      </c>
      <c r="EO208" t="e">
        <f t="shared" si="211"/>
        <v>#N/A</v>
      </c>
      <c r="EP208" s="63" t="e">
        <f t="shared" si="212"/>
        <v>#N/A</v>
      </c>
      <c r="FT208" s="63"/>
    </row>
    <row r="209" spans="2:176" x14ac:dyDescent="0.3">
      <c r="B209" s="42"/>
      <c r="M209" s="194" t="str">
        <f ca="1">INDEX(Données_ATB!BD:BU,MATCH(MASQ2!O209,Données_ATB!BD:BD,0),18)</f>
        <v>x</v>
      </c>
      <c r="N209" s="14" t="str">
        <f>IFERROR(IF(Q209=0,"",COUNTIF(Q$4:Q$600,"&gt;"&amp;Q209)+COUNTIF(Q$4:Q209,Q209)),"")</f>
        <v/>
      </c>
      <c r="O209" t="str">
        <f>Données_ATB!BD208</f>
        <v>EFICUR 50 MG/ML SUSPENSION INJECTABLE POUR PORCINS ET BOVINS</v>
      </c>
      <c r="P209" t="e">
        <f>IF(IF(X$2="Catégorie",IF(X$3="Toutes",SUMIFS('Étape 1 - à remplir'!$F$31:$F$400,'Étape 1 - à remplir'!$E$31:$E$400,MASQ2!O209,'Étape 1 - à remplir'!$G$31:$G$400,"animaux"),SUMIFS('Étape 1 - à remplir'!$F$31:$F$400,'Étape 1 - à remplir'!$E$31:$E$400,MASQ2!O209,'Étape 1 - à remplir'!$C$31:$C$400,X$3)),IF(X$2="Âge",IF(X$3="Tous",SUMIFS('Étape 1 - à remplir'!$F$31:$F$400,'Étape 1 - à remplir'!$E$31:$E$400,MASQ2!O209,'Étape 1 - à remplir'!$G$31:$G$400,"animaux"),SUMIFS('Étape 1 - à remplir'!$F$31:$F$400,'Étape 1 - à remplir'!$E$31:$E$400,MASQ2!O209,'Étape 1 - à remplir'!$P$31:$P$400,X$3)),IF(X$2="Atelier",IF(X$3="Tous",SUMIFS('Étape 1 - à remplir'!$F$31:$F$400,'Étape 1 - à remplir'!$E$31:$E$400,MASQ2!O209,'Étape 1 - à remplir'!$G$31:$G$400,"animaux"),SUMIFS('Étape 1 - à remplir'!$F$31:$F$400,'Étape 1 - à remplir'!$E$31:$E$400,MASQ2!O209,'Étape 1 - à remplir'!$O$31:$O$400,X$3)),IF(X$2="Espèce",IF(X$3="Toutes",SUMIFS('Étape 1 - à remplir'!$F$31:$F$400,'Étape 1 - à remplir'!$E$31:$E$400,MASQ2!O209,'Étape 1 - à remplir'!$G$31:$G$400,"animaux"),SUMIFS('Étape 1 - à remplir'!$F$31:$F$400,'Étape 1 - à remplir'!$E$31:$E$400,MASQ2!O209,'Étape 1 - à remplir'!$N$31:$N$400,X$3))))))=0,NA(),IF(X$2="Catégorie",IF(X$3="Toutes",SUMIFS('Étape 1 - à remplir'!$F$31:$F$400,'Étape 1 - à remplir'!$E$31:$E$400,MASQ2!O209,'Étape 1 - à remplir'!$G$31:$G$400,"animaux"),SUMIFS('Étape 1 - à remplir'!$F$31:$F$400,'Étape 1 - à remplir'!$E$31:$E$400,MASQ2!O209,'Étape 1 - à remplir'!$C$31:$C$400,X$3)),IF(X$2="Âge",IF(X$3="Tous",SUMIFS('Étape 1 - à remplir'!$F$31:$F$400,'Étape 1 - à remplir'!$E$31:$E$400,MASQ2!O209,'Étape 1 - à remplir'!$G$31:$G$400,"animaux"),SUMIFS('Étape 1 - à remplir'!$F$31:$F$400,'Étape 1 - à remplir'!$E$31:$E$400,MASQ2!O209,'Étape 1 - à remplir'!$P$31:$P$400,X$3)),IF(X$2="Atelier",IF(X$3="Tous",SUMIFS('Étape 1 - à remplir'!$F$31:$F$400,'Étape 1 - à remplir'!$E$31:$E$400,MASQ2!O209,'Étape 1 - à remplir'!$G$31:$G$400,"animaux"),SUMIFS('Étape 1 - à remplir'!$F$31:$F$400,'Étape 1 - à remplir'!$E$31:$E$400,MASQ2!O209,'Étape 1 - à remplir'!$O$31:$O$400,X$3)),IF(X$2="Espèce",IF(X$3="Toutes",SUMIFS('Étape 1 - à remplir'!$F$31:$F$400,'Étape 1 - à remplir'!$E$31:$E$400,MASQ2!O209,'Étape 1 - à remplir'!$G$31:$G$400,"animaux"),SUMIFS('Étape 1 - à remplir'!$F$31:$F$400,'Étape 1 - à remplir'!$E$31:$E$400,MASQ2!O209,'Étape 1 - à remplir'!$N$31:$N$400,X$3)))))))</f>
        <v>#N/A</v>
      </c>
      <c r="Q209" s="63">
        <f t="shared" si="210"/>
        <v>0</v>
      </c>
      <c r="R209" t="str">
        <f>Données_ATB!BM208</f>
        <v>Ceftiofur</v>
      </c>
      <c r="S209" t="str">
        <f>Données_ATB!BN208</f>
        <v/>
      </c>
      <c r="T209" s="63" t="str">
        <f>Données_ATB!BO208</f>
        <v/>
      </c>
      <c r="U209" s="42" t="str">
        <f>Données_ATB!BQ208</f>
        <v>Cephalosporines 3&amp;4G</v>
      </c>
      <c r="V209" t="str">
        <f>Données_ATB!BR208</f>
        <v/>
      </c>
      <c r="W209" s="63" t="str">
        <f>Données_ATB!BS208</f>
        <v/>
      </c>
      <c r="Z209" s="42">
        <v>206</v>
      </c>
      <c r="AA209" t="e">
        <f t="shared" si="206"/>
        <v>#N/A</v>
      </c>
      <c r="AB209" s="63" t="e">
        <f t="shared" si="207"/>
        <v>#N/A</v>
      </c>
      <c r="BF209" s="63"/>
      <c r="BT209" s="194" t="str">
        <f t="shared" ca="1" si="190"/>
        <v>x</v>
      </c>
      <c r="BU209" s="219" t="str">
        <f>IFERROR(IF(BX209=0,"",COUNTIF(BX$4:BX$600,"&gt;"&amp;BX209)+COUNTIF(BX$4:BX209,BX209)),"")</f>
        <v/>
      </c>
      <c r="BV209" s="42" t="str">
        <f t="shared" si="191"/>
        <v>EFICUR 50 MG/ML SUSPENSION INJECTABLE POUR PORCINS ET BOVINS</v>
      </c>
      <c r="BW209" t="e">
        <f>IF(IF(CE$2="Catégorie",IF(CE$3="Toutes",SUMIFS('Étape 1 - à remplir'!$F$31:$F$400,'Étape 1 - à remplir'!$E$31:$E$400,MASQ2!BV209,'Étape 1 - à remplir'!$G$31:$G$400,"lots"),SUMIFS('Étape 1 - à remplir'!$F$31:$F$400,'Étape 1 - à remplir'!$E$31:$E$400,MASQ2!BV209,'Étape 1 - à remplir'!$C$31:$C$400,CE$3)),IF(CE$2="Âge",IF(CE$3="Tous",SUMIFS('Étape 1 - à remplir'!$F$31:$F$400,'Étape 1 - à remplir'!$E$31:$E$400,MASQ2!BV209,'Étape 1 - à remplir'!$G$31:$G$400,"lots"),SUMIFS('Étape 1 - à remplir'!$F$31:$F$400,'Étape 1 - à remplir'!$E$31:$E$400,MASQ2!BV209,'Étape 1 - à remplir'!$P$31:$P$400,CE$3,'Étape 1 - à remplir'!$G$31:$G$400,"lots")),IF(CE$2="Atelier",IF(CE$3="Tous",SUMIFS('Étape 1 - à remplir'!$F$31:$F$400,'Étape 1 - à remplir'!$E$31:$E$400,MASQ2!BV209,'Étape 1 - à remplir'!$G$31:$G$400,"lots"),SUMIFS('Étape 1 - à remplir'!$F$31:$F$400,'Étape 1 - à remplir'!$E$31:$E$400,MASQ2!BV209,'Étape 1 - à remplir'!$O$31:$O$400,CE$3,'Étape 1 - à remplir'!$G$31:$G$400,"lots")),IF(CE$2="Espèce",IF(CE$3="Toutes",SUMIFS('Étape 1 - à remplir'!$F$31:$F$400,'Étape 1 - à remplir'!$E$31:$E$400,MASQ2!BV209,'Étape 1 - à remplir'!$G$31:$G$400,"lots"),SUMIFS('Étape 1 - à remplir'!$F$31:$F$400,'Étape 1 - à remplir'!$E$31:$E$400,MASQ2!BV209,'Étape 1 - à remplir'!$N$31:$N$400,CE$3,'Étape 1 - à remplir'!$G$31:$G$400,"lots"))))))=0,NA(),IF(CE$2="Catégorie",IF(CE$3="Toutes",SUMIFS('Étape 1 - à remplir'!$F$31:$F$400,'Étape 1 - à remplir'!$E$31:$E$400,MASQ2!BV209,'Étape 1 - à remplir'!$G$31:$G$400,"lots"),SUMIFS('Étape 1 - à remplir'!$F$31:$F$400,'Étape 1 - à remplir'!$E$31:$E$400,MASQ2!BV209,'Étape 1 - à remplir'!$C$31:$C$400,CE$3)),IF(CE$2="Âge",IF(CE$3="Tous",SUMIFS('Étape 1 - à remplir'!$F$31:$F$400,'Étape 1 - à remplir'!$E$31:$E$400,MASQ2!BV209,'Étape 1 - à remplir'!$G$31:$G$400,"lots"),SUMIFS('Étape 1 - à remplir'!$F$31:$F$400,'Étape 1 - à remplir'!$E$31:$E$400,MASQ2!BV209,'Étape 1 - à remplir'!$P$31:$P$400,CE$3,'Étape 1 - à remplir'!$G$31:$G$400,"lots")),IF(CE$2="Atelier",IF(CE$3="Tous",SUMIFS('Étape 1 - à remplir'!$F$31:$F$400,'Étape 1 - à remplir'!$E$31:$E$400,MASQ2!BV209,'Étape 1 - à remplir'!$G$31:$G$400,"lots"),SUMIFS('Étape 1 - à remplir'!$F$31:$F$400,'Étape 1 - à remplir'!$E$31:$E$400,MASQ2!BV209,'Étape 1 - à remplir'!$O$31:$O$400,CE$3,'Étape 1 - à remplir'!$G$31:$G$400,"lots")),IF(CE$2="Espèce",IF(CE$3="Toutes",SUMIFS('Étape 1 - à remplir'!$F$31:$F$400,'Étape 1 - à remplir'!$E$31:$E$400,MASQ2!BV209,'Étape 1 - à remplir'!$G$31:$G$400,"lots"),SUMIFS('Étape 1 - à remplir'!$F$31:$F$400,'Étape 1 - à remplir'!$E$31:$E$400,MASQ2!BV209,'Étape 1 - à remplir'!$N$31:$N$400,CE$3,'Étape 1 - à remplir'!$G$31:$G$400,"lots")))))))</f>
        <v>#N/A</v>
      </c>
      <c r="BX209">
        <f t="shared" si="208"/>
        <v>0</v>
      </c>
      <c r="BY209" t="str">
        <f t="shared" si="192"/>
        <v>Ceftiofur</v>
      </c>
      <c r="BZ209" t="str">
        <f t="shared" si="193"/>
        <v/>
      </c>
      <c r="CA209" t="str">
        <f t="shared" si="194"/>
        <v/>
      </c>
      <c r="CB209" t="str">
        <f t="shared" si="195"/>
        <v>Cephalosporines 3&amp;4G</v>
      </c>
      <c r="CC209" t="str">
        <f t="shared" si="196"/>
        <v/>
      </c>
      <c r="CD209" s="63" t="str">
        <f t="shared" si="197"/>
        <v/>
      </c>
      <c r="CG209" s="42">
        <v>206</v>
      </c>
      <c r="CH209" s="42" t="e">
        <f t="shared" si="188"/>
        <v>#N/A</v>
      </c>
      <c r="CI209" s="63" t="e">
        <f t="shared" si="189"/>
        <v>#N/A</v>
      </c>
      <c r="DM209" s="63"/>
      <c r="EA209" s="194" t="str">
        <f t="shared" ca="1" si="198"/>
        <v>x</v>
      </c>
      <c r="EB209" s="226" t="str">
        <f>IFERROR(IF(ED209=0,"",COUNTIF(ED$4:ED$600,"&gt;"&amp;ED209)+COUNTIF(ED$4:ED209,ED209)),"")</f>
        <v/>
      </c>
      <c r="EC209" t="str">
        <f t="shared" si="199"/>
        <v>EFICUR 50 MG/ML SUSPENSION INJECTABLE POUR PORCINS ET BOVINS</v>
      </c>
      <c r="ED209" t="e">
        <f>IF(IF(EL$2="Catégorie",IF(EL$3="Toutes",SUMIFS('Étape 1 - à remplir'!$F$31:$F$400,'Étape 1 - à remplir'!$E$31:$E$400,MASQ2!EC209,'Étape 1 - à remplir'!$G$31:$G$400,"kg"),SUMIFS('Étape 1 - à remplir'!$F$31:$F$400,'Étape 1 - à remplir'!$E$31:$E$400,MASQ2!EC209,'Étape 1 - à remplir'!$C$31:$C$400,EL$3)),IF(EL$2="Âge",IF(EL$3="Tous",SUMIFS('Étape 1 - à remplir'!$F$31:$F$400,'Étape 1 - à remplir'!$E$31:$E$400,MASQ2!EC209,'Étape 1 - à remplir'!$G$31:$G$400,"kg"),SUMIFS('Étape 1 - à remplir'!$F$31:$F$400,'Étape 1 - à remplir'!$E$31:$E$400,MASQ2!EC209,'Étape 1 - à remplir'!$P$31:$P$400,EL$3,'Étape 1 - à remplir'!$G$31:$G$400,"kg")),IF(EL$2="Atelier",IF(EL$3="Tous",SUMIFS('Étape 1 - à remplir'!$F$31:$F$400,'Étape 1 - à remplir'!$E$31:$E$400,MASQ2!EC209,'Étape 1 - à remplir'!$G$31:$G$400,"kg"),SUMIFS('Étape 1 - à remplir'!$F$31:$F$400,'Étape 1 - à remplir'!$E$31:$E$400,MASQ2!EC209,'Étape 1 - à remplir'!$O$31:$O$400,EL$3,'Étape 1 - à remplir'!$G$31:$G$400,"kg")),IF(EL$2="Espèce",IF(EL$3="Toutes",SUMIFS('Étape 1 - à remplir'!$F$31:$F$400,'Étape 1 - à remplir'!$E$31:$E$400,MASQ2!EC209,'Étape 1 - à remplir'!$G$31:$G$400,"kg"),SUMIFS('Étape 1 - à remplir'!$F$31:$F$400,'Étape 1 - à remplir'!$E$31:$E$400,MASQ2!EC209,'Étape 1 - à remplir'!$N$31:$N$400,EL$3,'Étape 1 - à remplir'!$G$31:$G$400,"kg"))))))=0,NA(),IF(EL$2="Catégorie",IF(EL$3="Toutes",SUMIFS('Étape 1 - à remplir'!$F$31:$F$400,'Étape 1 - à remplir'!$E$31:$E$400,MASQ2!EC209,'Étape 1 - à remplir'!$G$31:$G$400,"kg"),SUMIFS('Étape 1 - à remplir'!$F$31:$F$400,'Étape 1 - à remplir'!$E$31:$E$400,MASQ2!EC209,'Étape 1 - à remplir'!$C$31:$C$400,EL$3)),IF(EL$2="Âge",IF(EL$3="Tous",SUMIFS('Étape 1 - à remplir'!$F$31:$F$400,'Étape 1 - à remplir'!$E$31:$E$400,MASQ2!EC209,'Étape 1 - à remplir'!$G$31:$G$400,"kg"),SUMIFS('Étape 1 - à remplir'!$F$31:$F$400,'Étape 1 - à remplir'!$E$31:$E$400,MASQ2!EC209,'Étape 1 - à remplir'!$P$31:$P$400,EL$3,'Étape 1 - à remplir'!$G$31:$G$400,"kg")),IF(EL$2="Atelier",IF(EL$3="Tous",SUMIFS('Étape 1 - à remplir'!$F$31:$F$400,'Étape 1 - à remplir'!$E$31:$E$400,MASQ2!EC209,'Étape 1 - à remplir'!$G$31:$G$400,"kg"),SUMIFS('Étape 1 - à remplir'!$F$31:$F$400,'Étape 1 - à remplir'!$E$31:$E$400,MASQ2!EC209,'Étape 1 - à remplir'!$O$31:$O$400,EL$3,'Étape 1 - à remplir'!$G$31:$G$400,"kg")),IF(EL$2="Espèce",IF(EL$3="Toutes",SUMIFS('Étape 1 - à remplir'!$F$31:$F$400,'Étape 1 - à remplir'!$E$31:$E$400,MASQ2!EC209,'Étape 1 - à remplir'!$G$31:$G$400,"kg"),SUMIFS('Étape 1 - à remplir'!$F$31:$F$400,'Étape 1 - à remplir'!$E$31:$E$400,MASQ2!EC209,'Étape 1 - à remplir'!$N$31:$N$400,EL$3,'Étape 1 - à remplir'!$G$31:$G$400,"kg")))))))</f>
        <v>#N/A</v>
      </c>
      <c r="EE209" s="76">
        <f t="shared" si="209"/>
        <v>0</v>
      </c>
      <c r="EF209" t="str">
        <f t="shared" si="200"/>
        <v>Ceftiofur</v>
      </c>
      <c r="EG209" t="str">
        <f t="shared" si="201"/>
        <v/>
      </c>
      <c r="EH209" t="str">
        <f t="shared" si="202"/>
        <v/>
      </c>
      <c r="EI209" t="str">
        <f t="shared" si="203"/>
        <v>Cephalosporines 3&amp;4G</v>
      </c>
      <c r="EJ209" t="str">
        <f t="shared" si="204"/>
        <v/>
      </c>
      <c r="EK209" s="63" t="str">
        <f t="shared" si="205"/>
        <v/>
      </c>
      <c r="EN209" s="42">
        <v>206</v>
      </c>
      <c r="EO209" t="e">
        <f t="shared" si="211"/>
        <v>#N/A</v>
      </c>
      <c r="EP209" s="63" t="e">
        <f t="shared" si="212"/>
        <v>#N/A</v>
      </c>
      <c r="FT209" s="63"/>
    </row>
    <row r="210" spans="2:176" x14ac:dyDescent="0.3">
      <c r="B210" s="42"/>
      <c r="M210" s="194" t="str">
        <f ca="1">INDEX(Données_ATB!BD:BU,MATCH(MASQ2!O210,Données_ATB!BD:BD,0),18)</f>
        <v/>
      </c>
      <c r="N210" s="14" t="str">
        <f>IFERROR(IF(Q210=0,"",COUNTIF(Q$4:Q$600,"&gt;"&amp;Q210)+COUNTIF(Q$4:Q210,Q210)),"")</f>
        <v/>
      </c>
      <c r="O210" t="str">
        <f>Données_ATB!BD209</f>
        <v>EMERICID SULFADIMETHOXINE</v>
      </c>
      <c r="P210" t="e">
        <f>IF(IF(X$2="Catégorie",IF(X$3="Toutes",SUMIFS('Étape 1 - à remplir'!$F$31:$F$400,'Étape 1 - à remplir'!$E$31:$E$400,MASQ2!O210,'Étape 1 - à remplir'!$G$31:$G$400,"animaux"),SUMIFS('Étape 1 - à remplir'!$F$31:$F$400,'Étape 1 - à remplir'!$E$31:$E$400,MASQ2!O210,'Étape 1 - à remplir'!$C$31:$C$400,X$3)),IF(X$2="Âge",IF(X$3="Tous",SUMIFS('Étape 1 - à remplir'!$F$31:$F$400,'Étape 1 - à remplir'!$E$31:$E$400,MASQ2!O210,'Étape 1 - à remplir'!$G$31:$G$400,"animaux"),SUMIFS('Étape 1 - à remplir'!$F$31:$F$400,'Étape 1 - à remplir'!$E$31:$E$400,MASQ2!O210,'Étape 1 - à remplir'!$P$31:$P$400,X$3)),IF(X$2="Atelier",IF(X$3="Tous",SUMIFS('Étape 1 - à remplir'!$F$31:$F$400,'Étape 1 - à remplir'!$E$31:$E$400,MASQ2!O210,'Étape 1 - à remplir'!$G$31:$G$400,"animaux"),SUMIFS('Étape 1 - à remplir'!$F$31:$F$400,'Étape 1 - à remplir'!$E$31:$E$400,MASQ2!O210,'Étape 1 - à remplir'!$O$31:$O$400,X$3)),IF(X$2="Espèce",IF(X$3="Toutes",SUMIFS('Étape 1 - à remplir'!$F$31:$F$400,'Étape 1 - à remplir'!$E$31:$E$400,MASQ2!O210,'Étape 1 - à remplir'!$G$31:$G$400,"animaux"),SUMIFS('Étape 1 - à remplir'!$F$31:$F$400,'Étape 1 - à remplir'!$E$31:$E$400,MASQ2!O210,'Étape 1 - à remplir'!$N$31:$N$400,X$3))))))=0,NA(),IF(X$2="Catégorie",IF(X$3="Toutes",SUMIFS('Étape 1 - à remplir'!$F$31:$F$400,'Étape 1 - à remplir'!$E$31:$E$400,MASQ2!O210,'Étape 1 - à remplir'!$G$31:$G$400,"animaux"),SUMIFS('Étape 1 - à remplir'!$F$31:$F$400,'Étape 1 - à remplir'!$E$31:$E$400,MASQ2!O210,'Étape 1 - à remplir'!$C$31:$C$400,X$3)),IF(X$2="Âge",IF(X$3="Tous",SUMIFS('Étape 1 - à remplir'!$F$31:$F$400,'Étape 1 - à remplir'!$E$31:$E$400,MASQ2!O210,'Étape 1 - à remplir'!$G$31:$G$400,"animaux"),SUMIFS('Étape 1 - à remplir'!$F$31:$F$400,'Étape 1 - à remplir'!$E$31:$E$400,MASQ2!O210,'Étape 1 - à remplir'!$P$31:$P$400,X$3)),IF(X$2="Atelier",IF(X$3="Tous",SUMIFS('Étape 1 - à remplir'!$F$31:$F$400,'Étape 1 - à remplir'!$E$31:$E$400,MASQ2!O210,'Étape 1 - à remplir'!$G$31:$G$400,"animaux"),SUMIFS('Étape 1 - à remplir'!$F$31:$F$400,'Étape 1 - à remplir'!$E$31:$E$400,MASQ2!O210,'Étape 1 - à remplir'!$O$31:$O$400,X$3)),IF(X$2="Espèce",IF(X$3="Toutes",SUMIFS('Étape 1 - à remplir'!$F$31:$F$400,'Étape 1 - à remplir'!$E$31:$E$400,MASQ2!O210,'Étape 1 - à remplir'!$G$31:$G$400,"animaux"),SUMIFS('Étape 1 - à remplir'!$F$31:$F$400,'Étape 1 - à remplir'!$E$31:$E$400,MASQ2!O210,'Étape 1 - à remplir'!$N$31:$N$400,X$3)))))))</f>
        <v>#N/A</v>
      </c>
      <c r="Q210" s="63">
        <f t="shared" si="210"/>
        <v>0</v>
      </c>
      <c r="R210" t="str">
        <f>Données_ATB!BM209</f>
        <v>Sulfadiméthoxine</v>
      </c>
      <c r="S210" t="str">
        <f>Données_ATB!BN209</f>
        <v/>
      </c>
      <c r="T210" s="63" t="str">
        <f>Données_ATB!BO209</f>
        <v/>
      </c>
      <c r="U210" s="42" t="str">
        <f>Données_ATB!BQ209</f>
        <v>Sulfamides</v>
      </c>
      <c r="V210" t="str">
        <f>Données_ATB!BR209</f>
        <v/>
      </c>
      <c r="W210" s="63" t="str">
        <f>Données_ATB!BS209</f>
        <v/>
      </c>
      <c r="Z210" s="42">
        <v>207</v>
      </c>
      <c r="AA210" t="e">
        <f t="shared" si="206"/>
        <v>#N/A</v>
      </c>
      <c r="AB210" s="63" t="e">
        <f t="shared" si="207"/>
        <v>#N/A</v>
      </c>
      <c r="BF210" s="63"/>
      <c r="BT210" s="194" t="str">
        <f t="shared" ca="1" si="190"/>
        <v/>
      </c>
      <c r="BU210" s="219" t="str">
        <f>IFERROR(IF(BX210=0,"",COUNTIF(BX$4:BX$600,"&gt;"&amp;BX210)+COUNTIF(BX$4:BX210,BX210)),"")</f>
        <v/>
      </c>
      <c r="BV210" s="42" t="str">
        <f t="shared" si="191"/>
        <v>EMERICID SULFADIMETHOXINE</v>
      </c>
      <c r="BW210" t="e">
        <f>IF(IF(CE$2="Catégorie",IF(CE$3="Toutes",SUMIFS('Étape 1 - à remplir'!$F$31:$F$400,'Étape 1 - à remplir'!$E$31:$E$400,MASQ2!BV210,'Étape 1 - à remplir'!$G$31:$G$400,"lots"),SUMIFS('Étape 1 - à remplir'!$F$31:$F$400,'Étape 1 - à remplir'!$E$31:$E$400,MASQ2!BV210,'Étape 1 - à remplir'!$C$31:$C$400,CE$3)),IF(CE$2="Âge",IF(CE$3="Tous",SUMIFS('Étape 1 - à remplir'!$F$31:$F$400,'Étape 1 - à remplir'!$E$31:$E$400,MASQ2!BV210,'Étape 1 - à remplir'!$G$31:$G$400,"lots"),SUMIFS('Étape 1 - à remplir'!$F$31:$F$400,'Étape 1 - à remplir'!$E$31:$E$400,MASQ2!BV210,'Étape 1 - à remplir'!$P$31:$P$400,CE$3,'Étape 1 - à remplir'!$G$31:$G$400,"lots")),IF(CE$2="Atelier",IF(CE$3="Tous",SUMIFS('Étape 1 - à remplir'!$F$31:$F$400,'Étape 1 - à remplir'!$E$31:$E$400,MASQ2!BV210,'Étape 1 - à remplir'!$G$31:$G$400,"lots"),SUMIFS('Étape 1 - à remplir'!$F$31:$F$400,'Étape 1 - à remplir'!$E$31:$E$400,MASQ2!BV210,'Étape 1 - à remplir'!$O$31:$O$400,CE$3,'Étape 1 - à remplir'!$G$31:$G$400,"lots")),IF(CE$2="Espèce",IF(CE$3="Toutes",SUMIFS('Étape 1 - à remplir'!$F$31:$F$400,'Étape 1 - à remplir'!$E$31:$E$400,MASQ2!BV210,'Étape 1 - à remplir'!$G$31:$G$400,"lots"),SUMIFS('Étape 1 - à remplir'!$F$31:$F$400,'Étape 1 - à remplir'!$E$31:$E$400,MASQ2!BV210,'Étape 1 - à remplir'!$N$31:$N$400,CE$3,'Étape 1 - à remplir'!$G$31:$G$400,"lots"))))))=0,NA(),IF(CE$2="Catégorie",IF(CE$3="Toutes",SUMIFS('Étape 1 - à remplir'!$F$31:$F$400,'Étape 1 - à remplir'!$E$31:$E$400,MASQ2!BV210,'Étape 1 - à remplir'!$G$31:$G$400,"lots"),SUMIFS('Étape 1 - à remplir'!$F$31:$F$400,'Étape 1 - à remplir'!$E$31:$E$400,MASQ2!BV210,'Étape 1 - à remplir'!$C$31:$C$400,CE$3)),IF(CE$2="Âge",IF(CE$3="Tous",SUMIFS('Étape 1 - à remplir'!$F$31:$F$400,'Étape 1 - à remplir'!$E$31:$E$400,MASQ2!BV210,'Étape 1 - à remplir'!$G$31:$G$400,"lots"),SUMIFS('Étape 1 - à remplir'!$F$31:$F$400,'Étape 1 - à remplir'!$E$31:$E$400,MASQ2!BV210,'Étape 1 - à remplir'!$P$31:$P$400,CE$3,'Étape 1 - à remplir'!$G$31:$G$400,"lots")),IF(CE$2="Atelier",IF(CE$3="Tous",SUMIFS('Étape 1 - à remplir'!$F$31:$F$400,'Étape 1 - à remplir'!$E$31:$E$400,MASQ2!BV210,'Étape 1 - à remplir'!$G$31:$G$400,"lots"),SUMIFS('Étape 1 - à remplir'!$F$31:$F$400,'Étape 1 - à remplir'!$E$31:$E$400,MASQ2!BV210,'Étape 1 - à remplir'!$O$31:$O$400,CE$3,'Étape 1 - à remplir'!$G$31:$G$400,"lots")),IF(CE$2="Espèce",IF(CE$3="Toutes",SUMIFS('Étape 1 - à remplir'!$F$31:$F$400,'Étape 1 - à remplir'!$E$31:$E$400,MASQ2!BV210,'Étape 1 - à remplir'!$G$31:$G$400,"lots"),SUMIFS('Étape 1 - à remplir'!$F$31:$F$400,'Étape 1 - à remplir'!$E$31:$E$400,MASQ2!BV210,'Étape 1 - à remplir'!$N$31:$N$400,CE$3,'Étape 1 - à remplir'!$G$31:$G$400,"lots")))))))</f>
        <v>#N/A</v>
      </c>
      <c r="BX210">
        <f t="shared" si="208"/>
        <v>0</v>
      </c>
      <c r="BY210" t="str">
        <f t="shared" si="192"/>
        <v>Sulfadiméthoxine</v>
      </c>
      <c r="BZ210" t="str">
        <f t="shared" si="193"/>
        <v/>
      </c>
      <c r="CA210" t="str">
        <f t="shared" si="194"/>
        <v/>
      </c>
      <c r="CB210" t="str">
        <f t="shared" si="195"/>
        <v>Sulfamides</v>
      </c>
      <c r="CC210" t="str">
        <f t="shared" si="196"/>
        <v/>
      </c>
      <c r="CD210" s="63" t="str">
        <f t="shared" si="197"/>
        <v/>
      </c>
      <c r="CG210" s="42">
        <v>207</v>
      </c>
      <c r="CH210" s="42" t="e">
        <f t="shared" ref="CH210:CH273" si="213">INDEX(BU$3:BX$600,MATCH(CG210,BU$3:BU$600,0),2)</f>
        <v>#N/A</v>
      </c>
      <c r="CI210" s="63" t="e">
        <f t="shared" ref="CI210:CI273" si="214">INDEX(BU$3:BX$600,MATCH(CG210,BU$3:BU$600,0),3)</f>
        <v>#N/A</v>
      </c>
      <c r="DM210" s="63"/>
      <c r="EA210" s="194" t="str">
        <f t="shared" ca="1" si="198"/>
        <v/>
      </c>
      <c r="EB210" s="226" t="str">
        <f>IFERROR(IF(ED210=0,"",COUNTIF(ED$4:ED$600,"&gt;"&amp;ED210)+COUNTIF(ED$4:ED210,ED210)),"")</f>
        <v/>
      </c>
      <c r="EC210" t="str">
        <f t="shared" si="199"/>
        <v>EMERICID SULFADIMETHOXINE</v>
      </c>
      <c r="ED210" t="e">
        <f>IF(IF(EL$2="Catégorie",IF(EL$3="Toutes",SUMIFS('Étape 1 - à remplir'!$F$31:$F$400,'Étape 1 - à remplir'!$E$31:$E$400,MASQ2!EC210,'Étape 1 - à remplir'!$G$31:$G$400,"kg"),SUMIFS('Étape 1 - à remplir'!$F$31:$F$400,'Étape 1 - à remplir'!$E$31:$E$400,MASQ2!EC210,'Étape 1 - à remplir'!$C$31:$C$400,EL$3)),IF(EL$2="Âge",IF(EL$3="Tous",SUMIFS('Étape 1 - à remplir'!$F$31:$F$400,'Étape 1 - à remplir'!$E$31:$E$400,MASQ2!EC210,'Étape 1 - à remplir'!$G$31:$G$400,"kg"),SUMIFS('Étape 1 - à remplir'!$F$31:$F$400,'Étape 1 - à remplir'!$E$31:$E$400,MASQ2!EC210,'Étape 1 - à remplir'!$P$31:$P$400,EL$3,'Étape 1 - à remplir'!$G$31:$G$400,"kg")),IF(EL$2="Atelier",IF(EL$3="Tous",SUMIFS('Étape 1 - à remplir'!$F$31:$F$400,'Étape 1 - à remplir'!$E$31:$E$400,MASQ2!EC210,'Étape 1 - à remplir'!$G$31:$G$400,"kg"),SUMIFS('Étape 1 - à remplir'!$F$31:$F$400,'Étape 1 - à remplir'!$E$31:$E$400,MASQ2!EC210,'Étape 1 - à remplir'!$O$31:$O$400,EL$3,'Étape 1 - à remplir'!$G$31:$G$400,"kg")),IF(EL$2="Espèce",IF(EL$3="Toutes",SUMIFS('Étape 1 - à remplir'!$F$31:$F$400,'Étape 1 - à remplir'!$E$31:$E$400,MASQ2!EC210,'Étape 1 - à remplir'!$G$31:$G$400,"kg"),SUMIFS('Étape 1 - à remplir'!$F$31:$F$400,'Étape 1 - à remplir'!$E$31:$E$400,MASQ2!EC210,'Étape 1 - à remplir'!$N$31:$N$400,EL$3,'Étape 1 - à remplir'!$G$31:$G$400,"kg"))))))=0,NA(),IF(EL$2="Catégorie",IF(EL$3="Toutes",SUMIFS('Étape 1 - à remplir'!$F$31:$F$400,'Étape 1 - à remplir'!$E$31:$E$400,MASQ2!EC210,'Étape 1 - à remplir'!$G$31:$G$400,"kg"),SUMIFS('Étape 1 - à remplir'!$F$31:$F$400,'Étape 1 - à remplir'!$E$31:$E$400,MASQ2!EC210,'Étape 1 - à remplir'!$C$31:$C$400,EL$3)),IF(EL$2="Âge",IF(EL$3="Tous",SUMIFS('Étape 1 - à remplir'!$F$31:$F$400,'Étape 1 - à remplir'!$E$31:$E$400,MASQ2!EC210,'Étape 1 - à remplir'!$G$31:$G$400,"kg"),SUMIFS('Étape 1 - à remplir'!$F$31:$F$400,'Étape 1 - à remplir'!$E$31:$E$400,MASQ2!EC210,'Étape 1 - à remplir'!$P$31:$P$400,EL$3,'Étape 1 - à remplir'!$G$31:$G$400,"kg")),IF(EL$2="Atelier",IF(EL$3="Tous",SUMIFS('Étape 1 - à remplir'!$F$31:$F$400,'Étape 1 - à remplir'!$E$31:$E$400,MASQ2!EC210,'Étape 1 - à remplir'!$G$31:$G$400,"kg"),SUMIFS('Étape 1 - à remplir'!$F$31:$F$400,'Étape 1 - à remplir'!$E$31:$E$400,MASQ2!EC210,'Étape 1 - à remplir'!$O$31:$O$400,EL$3,'Étape 1 - à remplir'!$G$31:$G$400,"kg")),IF(EL$2="Espèce",IF(EL$3="Toutes",SUMIFS('Étape 1 - à remplir'!$F$31:$F$400,'Étape 1 - à remplir'!$E$31:$E$400,MASQ2!EC210,'Étape 1 - à remplir'!$G$31:$G$400,"kg"),SUMIFS('Étape 1 - à remplir'!$F$31:$F$400,'Étape 1 - à remplir'!$E$31:$E$400,MASQ2!EC210,'Étape 1 - à remplir'!$N$31:$N$400,EL$3,'Étape 1 - à remplir'!$G$31:$G$400,"kg")))))))</f>
        <v>#N/A</v>
      </c>
      <c r="EE210" s="76">
        <f t="shared" si="209"/>
        <v>0</v>
      </c>
      <c r="EF210" t="str">
        <f t="shared" si="200"/>
        <v>Sulfadiméthoxine</v>
      </c>
      <c r="EG210" t="str">
        <f t="shared" si="201"/>
        <v/>
      </c>
      <c r="EH210" t="str">
        <f t="shared" si="202"/>
        <v/>
      </c>
      <c r="EI210" t="str">
        <f t="shared" si="203"/>
        <v>Sulfamides</v>
      </c>
      <c r="EJ210" t="str">
        <f t="shared" si="204"/>
        <v/>
      </c>
      <c r="EK210" s="63" t="str">
        <f t="shared" si="205"/>
        <v/>
      </c>
      <c r="EN210" s="42">
        <v>207</v>
      </c>
      <c r="EO210" t="e">
        <f t="shared" si="211"/>
        <v>#N/A</v>
      </c>
      <c r="EP210" s="63" t="e">
        <f t="shared" si="212"/>
        <v>#N/A</v>
      </c>
      <c r="FT210" s="63"/>
    </row>
    <row r="211" spans="2:176" x14ac:dyDescent="0.3">
      <c r="B211" s="42"/>
      <c r="M211" s="194" t="str">
        <f ca="1">INDEX(Données_ATB!BD:BU,MATCH(MASQ2!O211,Données_ATB!BD:BD,0),18)</f>
        <v/>
      </c>
      <c r="N211" s="14" t="str">
        <f>IFERROR(IF(Q211=0,"",COUNTIF(Q$4:Q$600,"&gt;"&amp;Q211)+COUNTIF(Q$4:Q211,Q211)),"")</f>
        <v/>
      </c>
      <c r="O211" t="str">
        <f>Données_ATB!BD210</f>
        <v>ENGEMYCINE 10 %</v>
      </c>
      <c r="P211" t="e">
        <f>IF(IF(X$2="Catégorie",IF(X$3="Toutes",SUMIFS('Étape 1 - à remplir'!$F$31:$F$400,'Étape 1 - à remplir'!$E$31:$E$400,MASQ2!O211,'Étape 1 - à remplir'!$G$31:$G$400,"animaux"),SUMIFS('Étape 1 - à remplir'!$F$31:$F$400,'Étape 1 - à remplir'!$E$31:$E$400,MASQ2!O211,'Étape 1 - à remplir'!$C$31:$C$400,X$3)),IF(X$2="Âge",IF(X$3="Tous",SUMIFS('Étape 1 - à remplir'!$F$31:$F$400,'Étape 1 - à remplir'!$E$31:$E$400,MASQ2!O211,'Étape 1 - à remplir'!$G$31:$G$400,"animaux"),SUMIFS('Étape 1 - à remplir'!$F$31:$F$400,'Étape 1 - à remplir'!$E$31:$E$400,MASQ2!O211,'Étape 1 - à remplir'!$P$31:$P$400,X$3)),IF(X$2="Atelier",IF(X$3="Tous",SUMIFS('Étape 1 - à remplir'!$F$31:$F$400,'Étape 1 - à remplir'!$E$31:$E$400,MASQ2!O211,'Étape 1 - à remplir'!$G$31:$G$400,"animaux"),SUMIFS('Étape 1 - à remplir'!$F$31:$F$400,'Étape 1 - à remplir'!$E$31:$E$400,MASQ2!O211,'Étape 1 - à remplir'!$O$31:$O$400,X$3)),IF(X$2="Espèce",IF(X$3="Toutes",SUMIFS('Étape 1 - à remplir'!$F$31:$F$400,'Étape 1 - à remplir'!$E$31:$E$400,MASQ2!O211,'Étape 1 - à remplir'!$G$31:$G$400,"animaux"),SUMIFS('Étape 1 - à remplir'!$F$31:$F$400,'Étape 1 - à remplir'!$E$31:$E$400,MASQ2!O211,'Étape 1 - à remplir'!$N$31:$N$400,X$3))))))=0,NA(),IF(X$2="Catégorie",IF(X$3="Toutes",SUMIFS('Étape 1 - à remplir'!$F$31:$F$400,'Étape 1 - à remplir'!$E$31:$E$400,MASQ2!O211,'Étape 1 - à remplir'!$G$31:$G$400,"animaux"),SUMIFS('Étape 1 - à remplir'!$F$31:$F$400,'Étape 1 - à remplir'!$E$31:$E$400,MASQ2!O211,'Étape 1 - à remplir'!$C$31:$C$400,X$3)),IF(X$2="Âge",IF(X$3="Tous",SUMIFS('Étape 1 - à remplir'!$F$31:$F$400,'Étape 1 - à remplir'!$E$31:$E$400,MASQ2!O211,'Étape 1 - à remplir'!$G$31:$G$400,"animaux"),SUMIFS('Étape 1 - à remplir'!$F$31:$F$400,'Étape 1 - à remplir'!$E$31:$E$400,MASQ2!O211,'Étape 1 - à remplir'!$P$31:$P$400,X$3)),IF(X$2="Atelier",IF(X$3="Tous",SUMIFS('Étape 1 - à remplir'!$F$31:$F$400,'Étape 1 - à remplir'!$E$31:$E$400,MASQ2!O211,'Étape 1 - à remplir'!$G$31:$G$400,"animaux"),SUMIFS('Étape 1 - à remplir'!$F$31:$F$400,'Étape 1 - à remplir'!$E$31:$E$400,MASQ2!O211,'Étape 1 - à remplir'!$O$31:$O$400,X$3)),IF(X$2="Espèce",IF(X$3="Toutes",SUMIFS('Étape 1 - à remplir'!$F$31:$F$400,'Étape 1 - à remplir'!$E$31:$E$400,MASQ2!O211,'Étape 1 - à remplir'!$G$31:$G$400,"animaux"),SUMIFS('Étape 1 - à remplir'!$F$31:$F$400,'Étape 1 - à remplir'!$E$31:$E$400,MASQ2!O211,'Étape 1 - à remplir'!$N$31:$N$400,X$3)))))))</f>
        <v>#N/A</v>
      </c>
      <c r="Q211" s="63">
        <f t="shared" si="210"/>
        <v>0</v>
      </c>
      <c r="R211" t="str">
        <f>Données_ATB!BM210</f>
        <v>Oxytétracycline</v>
      </c>
      <c r="S211" t="str">
        <f>Données_ATB!BN210</f>
        <v/>
      </c>
      <c r="T211" s="63" t="str">
        <f>Données_ATB!BO210</f>
        <v/>
      </c>
      <c r="U211" s="42" t="str">
        <f>Données_ATB!BQ210</f>
        <v>Tetracyclines</v>
      </c>
      <c r="V211" t="str">
        <f>Données_ATB!BR210</f>
        <v/>
      </c>
      <c r="W211" s="63" t="str">
        <f>Données_ATB!BS210</f>
        <v/>
      </c>
      <c r="Z211" s="42">
        <v>208</v>
      </c>
      <c r="AA211" t="e">
        <f t="shared" si="206"/>
        <v>#N/A</v>
      </c>
      <c r="AB211" s="63" t="e">
        <f t="shared" si="207"/>
        <v>#N/A</v>
      </c>
      <c r="BF211" s="63"/>
      <c r="BT211" s="194" t="str">
        <f t="shared" ca="1" si="190"/>
        <v/>
      </c>
      <c r="BU211" s="219" t="str">
        <f>IFERROR(IF(BX211=0,"",COUNTIF(BX$4:BX$600,"&gt;"&amp;BX211)+COUNTIF(BX$4:BX211,BX211)),"")</f>
        <v/>
      </c>
      <c r="BV211" s="42" t="str">
        <f t="shared" si="191"/>
        <v>ENGEMYCINE 10 %</v>
      </c>
      <c r="BW211" t="e">
        <f>IF(IF(CE$2="Catégorie",IF(CE$3="Toutes",SUMIFS('Étape 1 - à remplir'!$F$31:$F$400,'Étape 1 - à remplir'!$E$31:$E$400,MASQ2!BV211,'Étape 1 - à remplir'!$G$31:$G$400,"lots"),SUMIFS('Étape 1 - à remplir'!$F$31:$F$400,'Étape 1 - à remplir'!$E$31:$E$400,MASQ2!BV211,'Étape 1 - à remplir'!$C$31:$C$400,CE$3)),IF(CE$2="Âge",IF(CE$3="Tous",SUMIFS('Étape 1 - à remplir'!$F$31:$F$400,'Étape 1 - à remplir'!$E$31:$E$400,MASQ2!BV211,'Étape 1 - à remplir'!$G$31:$G$400,"lots"),SUMIFS('Étape 1 - à remplir'!$F$31:$F$400,'Étape 1 - à remplir'!$E$31:$E$400,MASQ2!BV211,'Étape 1 - à remplir'!$P$31:$P$400,CE$3,'Étape 1 - à remplir'!$G$31:$G$400,"lots")),IF(CE$2="Atelier",IF(CE$3="Tous",SUMIFS('Étape 1 - à remplir'!$F$31:$F$400,'Étape 1 - à remplir'!$E$31:$E$400,MASQ2!BV211,'Étape 1 - à remplir'!$G$31:$G$400,"lots"),SUMIFS('Étape 1 - à remplir'!$F$31:$F$400,'Étape 1 - à remplir'!$E$31:$E$400,MASQ2!BV211,'Étape 1 - à remplir'!$O$31:$O$400,CE$3,'Étape 1 - à remplir'!$G$31:$G$400,"lots")),IF(CE$2="Espèce",IF(CE$3="Toutes",SUMIFS('Étape 1 - à remplir'!$F$31:$F$400,'Étape 1 - à remplir'!$E$31:$E$400,MASQ2!BV211,'Étape 1 - à remplir'!$G$31:$G$400,"lots"),SUMIFS('Étape 1 - à remplir'!$F$31:$F$400,'Étape 1 - à remplir'!$E$31:$E$400,MASQ2!BV211,'Étape 1 - à remplir'!$N$31:$N$400,CE$3,'Étape 1 - à remplir'!$G$31:$G$400,"lots"))))))=0,NA(),IF(CE$2="Catégorie",IF(CE$3="Toutes",SUMIFS('Étape 1 - à remplir'!$F$31:$F$400,'Étape 1 - à remplir'!$E$31:$E$400,MASQ2!BV211,'Étape 1 - à remplir'!$G$31:$G$400,"lots"),SUMIFS('Étape 1 - à remplir'!$F$31:$F$400,'Étape 1 - à remplir'!$E$31:$E$400,MASQ2!BV211,'Étape 1 - à remplir'!$C$31:$C$400,CE$3)),IF(CE$2="Âge",IF(CE$3="Tous",SUMIFS('Étape 1 - à remplir'!$F$31:$F$400,'Étape 1 - à remplir'!$E$31:$E$400,MASQ2!BV211,'Étape 1 - à remplir'!$G$31:$G$400,"lots"),SUMIFS('Étape 1 - à remplir'!$F$31:$F$400,'Étape 1 - à remplir'!$E$31:$E$400,MASQ2!BV211,'Étape 1 - à remplir'!$P$31:$P$400,CE$3,'Étape 1 - à remplir'!$G$31:$G$400,"lots")),IF(CE$2="Atelier",IF(CE$3="Tous",SUMIFS('Étape 1 - à remplir'!$F$31:$F$400,'Étape 1 - à remplir'!$E$31:$E$400,MASQ2!BV211,'Étape 1 - à remplir'!$G$31:$G$400,"lots"),SUMIFS('Étape 1 - à remplir'!$F$31:$F$400,'Étape 1 - à remplir'!$E$31:$E$400,MASQ2!BV211,'Étape 1 - à remplir'!$O$31:$O$400,CE$3,'Étape 1 - à remplir'!$G$31:$G$400,"lots")),IF(CE$2="Espèce",IF(CE$3="Toutes",SUMIFS('Étape 1 - à remplir'!$F$31:$F$400,'Étape 1 - à remplir'!$E$31:$E$400,MASQ2!BV211,'Étape 1 - à remplir'!$G$31:$G$400,"lots"),SUMIFS('Étape 1 - à remplir'!$F$31:$F$400,'Étape 1 - à remplir'!$E$31:$E$400,MASQ2!BV211,'Étape 1 - à remplir'!$N$31:$N$400,CE$3,'Étape 1 - à remplir'!$G$31:$G$400,"lots")))))))</f>
        <v>#N/A</v>
      </c>
      <c r="BX211">
        <f t="shared" si="208"/>
        <v>0</v>
      </c>
      <c r="BY211" t="str">
        <f t="shared" si="192"/>
        <v>Oxytétracycline</v>
      </c>
      <c r="BZ211" t="str">
        <f t="shared" si="193"/>
        <v/>
      </c>
      <c r="CA211" t="str">
        <f t="shared" si="194"/>
        <v/>
      </c>
      <c r="CB211" t="str">
        <f t="shared" si="195"/>
        <v>Tetracyclines</v>
      </c>
      <c r="CC211" t="str">
        <f t="shared" si="196"/>
        <v/>
      </c>
      <c r="CD211" s="63" t="str">
        <f t="shared" si="197"/>
        <v/>
      </c>
      <c r="CG211" s="42">
        <v>208</v>
      </c>
      <c r="CH211" s="42" t="e">
        <f t="shared" si="213"/>
        <v>#N/A</v>
      </c>
      <c r="CI211" s="63" t="e">
        <f t="shared" si="214"/>
        <v>#N/A</v>
      </c>
      <c r="DM211" s="63"/>
      <c r="EA211" s="194" t="str">
        <f t="shared" ca="1" si="198"/>
        <v/>
      </c>
      <c r="EB211" s="226" t="str">
        <f>IFERROR(IF(ED211=0,"",COUNTIF(ED$4:ED$600,"&gt;"&amp;ED211)+COUNTIF(ED$4:ED211,ED211)),"")</f>
        <v/>
      </c>
      <c r="EC211" t="str">
        <f t="shared" si="199"/>
        <v>ENGEMYCINE 10 %</v>
      </c>
      <c r="ED211" t="e">
        <f>IF(IF(EL$2="Catégorie",IF(EL$3="Toutes",SUMIFS('Étape 1 - à remplir'!$F$31:$F$400,'Étape 1 - à remplir'!$E$31:$E$400,MASQ2!EC211,'Étape 1 - à remplir'!$G$31:$G$400,"kg"),SUMIFS('Étape 1 - à remplir'!$F$31:$F$400,'Étape 1 - à remplir'!$E$31:$E$400,MASQ2!EC211,'Étape 1 - à remplir'!$C$31:$C$400,EL$3)),IF(EL$2="Âge",IF(EL$3="Tous",SUMIFS('Étape 1 - à remplir'!$F$31:$F$400,'Étape 1 - à remplir'!$E$31:$E$400,MASQ2!EC211,'Étape 1 - à remplir'!$G$31:$G$400,"kg"),SUMIFS('Étape 1 - à remplir'!$F$31:$F$400,'Étape 1 - à remplir'!$E$31:$E$400,MASQ2!EC211,'Étape 1 - à remplir'!$P$31:$P$400,EL$3,'Étape 1 - à remplir'!$G$31:$G$400,"kg")),IF(EL$2="Atelier",IF(EL$3="Tous",SUMIFS('Étape 1 - à remplir'!$F$31:$F$400,'Étape 1 - à remplir'!$E$31:$E$400,MASQ2!EC211,'Étape 1 - à remplir'!$G$31:$G$400,"kg"),SUMIFS('Étape 1 - à remplir'!$F$31:$F$400,'Étape 1 - à remplir'!$E$31:$E$400,MASQ2!EC211,'Étape 1 - à remplir'!$O$31:$O$400,EL$3,'Étape 1 - à remplir'!$G$31:$G$400,"kg")),IF(EL$2="Espèce",IF(EL$3="Toutes",SUMIFS('Étape 1 - à remplir'!$F$31:$F$400,'Étape 1 - à remplir'!$E$31:$E$400,MASQ2!EC211,'Étape 1 - à remplir'!$G$31:$G$400,"kg"),SUMIFS('Étape 1 - à remplir'!$F$31:$F$400,'Étape 1 - à remplir'!$E$31:$E$400,MASQ2!EC211,'Étape 1 - à remplir'!$N$31:$N$400,EL$3,'Étape 1 - à remplir'!$G$31:$G$400,"kg"))))))=0,NA(),IF(EL$2="Catégorie",IF(EL$3="Toutes",SUMIFS('Étape 1 - à remplir'!$F$31:$F$400,'Étape 1 - à remplir'!$E$31:$E$400,MASQ2!EC211,'Étape 1 - à remplir'!$G$31:$G$400,"kg"),SUMIFS('Étape 1 - à remplir'!$F$31:$F$400,'Étape 1 - à remplir'!$E$31:$E$400,MASQ2!EC211,'Étape 1 - à remplir'!$C$31:$C$400,EL$3)),IF(EL$2="Âge",IF(EL$3="Tous",SUMIFS('Étape 1 - à remplir'!$F$31:$F$400,'Étape 1 - à remplir'!$E$31:$E$400,MASQ2!EC211,'Étape 1 - à remplir'!$G$31:$G$400,"kg"),SUMIFS('Étape 1 - à remplir'!$F$31:$F$400,'Étape 1 - à remplir'!$E$31:$E$400,MASQ2!EC211,'Étape 1 - à remplir'!$P$31:$P$400,EL$3,'Étape 1 - à remplir'!$G$31:$G$400,"kg")),IF(EL$2="Atelier",IF(EL$3="Tous",SUMIFS('Étape 1 - à remplir'!$F$31:$F$400,'Étape 1 - à remplir'!$E$31:$E$400,MASQ2!EC211,'Étape 1 - à remplir'!$G$31:$G$400,"kg"),SUMIFS('Étape 1 - à remplir'!$F$31:$F$400,'Étape 1 - à remplir'!$E$31:$E$400,MASQ2!EC211,'Étape 1 - à remplir'!$O$31:$O$400,EL$3,'Étape 1 - à remplir'!$G$31:$G$400,"kg")),IF(EL$2="Espèce",IF(EL$3="Toutes",SUMIFS('Étape 1 - à remplir'!$F$31:$F$400,'Étape 1 - à remplir'!$E$31:$E$400,MASQ2!EC211,'Étape 1 - à remplir'!$G$31:$G$400,"kg"),SUMIFS('Étape 1 - à remplir'!$F$31:$F$400,'Étape 1 - à remplir'!$E$31:$E$400,MASQ2!EC211,'Étape 1 - à remplir'!$N$31:$N$400,EL$3,'Étape 1 - à remplir'!$G$31:$G$400,"kg")))))))</f>
        <v>#N/A</v>
      </c>
      <c r="EE211" s="76">
        <f t="shared" si="209"/>
        <v>0</v>
      </c>
      <c r="EF211" t="str">
        <f t="shared" si="200"/>
        <v>Oxytétracycline</v>
      </c>
      <c r="EG211" t="str">
        <f t="shared" si="201"/>
        <v/>
      </c>
      <c r="EH211" t="str">
        <f t="shared" si="202"/>
        <v/>
      </c>
      <c r="EI211" t="str">
        <f t="shared" si="203"/>
        <v>Tetracyclines</v>
      </c>
      <c r="EJ211" t="str">
        <f t="shared" si="204"/>
        <v/>
      </c>
      <c r="EK211" s="63" t="str">
        <f t="shared" si="205"/>
        <v/>
      </c>
      <c r="EN211" s="42">
        <v>208</v>
      </c>
      <c r="EO211" t="e">
        <f t="shared" si="211"/>
        <v>#N/A</v>
      </c>
      <c r="EP211" s="63" t="e">
        <f t="shared" si="212"/>
        <v>#N/A</v>
      </c>
      <c r="FT211" s="63"/>
    </row>
    <row r="212" spans="2:176" x14ac:dyDescent="0.3">
      <c r="B212" s="42"/>
      <c r="M212" s="194" t="str">
        <f ca="1">INDEX(Données_ATB!BD:BU,MATCH(MASQ2!O212,Données_ATB!BD:BD,0),18)</f>
        <v>x</v>
      </c>
      <c r="N212" s="14" t="str">
        <f>IFERROR(IF(Q212=0,"",COUNTIF(Q$4:Q$600,"&gt;"&amp;Q212)+COUNTIF(Q$4:Q212,Q212)),"")</f>
        <v/>
      </c>
      <c r="O212" t="str">
        <f>Données_ATB!BD211</f>
        <v>ENROBACTIN 25 MG/ML SOLUTION A DILUER POUR SOLUTION BUVABLE POUR LAPINS DE COMPAGNIE, RONGEURS, OISEAUX ORNEMENTAUX ET REPTILES</v>
      </c>
      <c r="P212" t="e">
        <f>IF(IF(X$2="Catégorie",IF(X$3="Toutes",SUMIFS('Étape 1 - à remplir'!$F$31:$F$400,'Étape 1 - à remplir'!$E$31:$E$400,MASQ2!O212,'Étape 1 - à remplir'!$G$31:$G$400,"animaux"),SUMIFS('Étape 1 - à remplir'!$F$31:$F$400,'Étape 1 - à remplir'!$E$31:$E$400,MASQ2!O212,'Étape 1 - à remplir'!$C$31:$C$400,X$3)),IF(X$2="Âge",IF(X$3="Tous",SUMIFS('Étape 1 - à remplir'!$F$31:$F$400,'Étape 1 - à remplir'!$E$31:$E$400,MASQ2!O212,'Étape 1 - à remplir'!$G$31:$G$400,"animaux"),SUMIFS('Étape 1 - à remplir'!$F$31:$F$400,'Étape 1 - à remplir'!$E$31:$E$400,MASQ2!O212,'Étape 1 - à remplir'!$P$31:$P$400,X$3)),IF(X$2="Atelier",IF(X$3="Tous",SUMIFS('Étape 1 - à remplir'!$F$31:$F$400,'Étape 1 - à remplir'!$E$31:$E$400,MASQ2!O212,'Étape 1 - à remplir'!$G$31:$G$400,"animaux"),SUMIFS('Étape 1 - à remplir'!$F$31:$F$400,'Étape 1 - à remplir'!$E$31:$E$400,MASQ2!O212,'Étape 1 - à remplir'!$O$31:$O$400,X$3)),IF(X$2="Espèce",IF(X$3="Toutes",SUMIFS('Étape 1 - à remplir'!$F$31:$F$400,'Étape 1 - à remplir'!$E$31:$E$400,MASQ2!O212,'Étape 1 - à remplir'!$G$31:$G$400,"animaux"),SUMIFS('Étape 1 - à remplir'!$F$31:$F$400,'Étape 1 - à remplir'!$E$31:$E$400,MASQ2!O212,'Étape 1 - à remplir'!$N$31:$N$400,X$3))))))=0,NA(),IF(X$2="Catégorie",IF(X$3="Toutes",SUMIFS('Étape 1 - à remplir'!$F$31:$F$400,'Étape 1 - à remplir'!$E$31:$E$400,MASQ2!O212,'Étape 1 - à remplir'!$G$31:$G$400,"animaux"),SUMIFS('Étape 1 - à remplir'!$F$31:$F$400,'Étape 1 - à remplir'!$E$31:$E$400,MASQ2!O212,'Étape 1 - à remplir'!$C$31:$C$400,X$3)),IF(X$2="Âge",IF(X$3="Tous",SUMIFS('Étape 1 - à remplir'!$F$31:$F$400,'Étape 1 - à remplir'!$E$31:$E$400,MASQ2!O212,'Étape 1 - à remplir'!$G$31:$G$400,"animaux"),SUMIFS('Étape 1 - à remplir'!$F$31:$F$400,'Étape 1 - à remplir'!$E$31:$E$400,MASQ2!O212,'Étape 1 - à remplir'!$P$31:$P$400,X$3)),IF(X$2="Atelier",IF(X$3="Tous",SUMIFS('Étape 1 - à remplir'!$F$31:$F$400,'Étape 1 - à remplir'!$E$31:$E$400,MASQ2!O212,'Étape 1 - à remplir'!$G$31:$G$400,"animaux"),SUMIFS('Étape 1 - à remplir'!$F$31:$F$400,'Étape 1 - à remplir'!$E$31:$E$400,MASQ2!O212,'Étape 1 - à remplir'!$O$31:$O$400,X$3)),IF(X$2="Espèce",IF(X$3="Toutes",SUMIFS('Étape 1 - à remplir'!$F$31:$F$400,'Étape 1 - à remplir'!$E$31:$E$400,MASQ2!O212,'Étape 1 - à remplir'!$G$31:$G$400,"animaux"),SUMIFS('Étape 1 - à remplir'!$F$31:$F$400,'Étape 1 - à remplir'!$E$31:$E$400,MASQ2!O212,'Étape 1 - à remplir'!$N$31:$N$400,X$3)))))))</f>
        <v>#N/A</v>
      </c>
      <c r="Q212" s="63">
        <f t="shared" si="210"/>
        <v>0</v>
      </c>
      <c r="R212" t="str">
        <f>Données_ATB!BM211</f>
        <v>Enrofloxacine</v>
      </c>
      <c r="S212" t="str">
        <f>Données_ATB!BN211</f>
        <v/>
      </c>
      <c r="T212" s="63" t="str">
        <f>Données_ATB!BO211</f>
        <v/>
      </c>
      <c r="U212" s="42" t="str">
        <f>Données_ATB!BQ211</f>
        <v>Fluoroquinolones</v>
      </c>
      <c r="V212" t="str">
        <f>Données_ATB!BR211</f>
        <v/>
      </c>
      <c r="W212" s="63" t="str">
        <f>Données_ATB!BS211</f>
        <v/>
      </c>
      <c r="Z212" s="42">
        <v>209</v>
      </c>
      <c r="AA212" t="e">
        <f t="shared" si="206"/>
        <v>#N/A</v>
      </c>
      <c r="AB212" s="63" t="e">
        <f t="shared" si="207"/>
        <v>#N/A</v>
      </c>
      <c r="BF212" s="63"/>
      <c r="BT212" s="194" t="str">
        <f t="shared" ca="1" si="190"/>
        <v>x</v>
      </c>
      <c r="BU212" s="219" t="str">
        <f>IFERROR(IF(BX212=0,"",COUNTIF(BX$4:BX$600,"&gt;"&amp;BX212)+COUNTIF(BX$4:BX212,BX212)),"")</f>
        <v/>
      </c>
      <c r="BV212" s="42" t="str">
        <f t="shared" si="191"/>
        <v>ENROBACTIN 25 MG/ML SOLUTION A DILUER POUR SOLUTION BUVABLE POUR LAPINS DE COMPAGNIE, RONGEURS, OISEAUX ORNEMENTAUX ET REPTILES</v>
      </c>
      <c r="BW212" t="e">
        <f>IF(IF(CE$2="Catégorie",IF(CE$3="Toutes",SUMIFS('Étape 1 - à remplir'!$F$31:$F$400,'Étape 1 - à remplir'!$E$31:$E$400,MASQ2!BV212,'Étape 1 - à remplir'!$G$31:$G$400,"lots"),SUMIFS('Étape 1 - à remplir'!$F$31:$F$400,'Étape 1 - à remplir'!$E$31:$E$400,MASQ2!BV212,'Étape 1 - à remplir'!$C$31:$C$400,CE$3)),IF(CE$2="Âge",IF(CE$3="Tous",SUMIFS('Étape 1 - à remplir'!$F$31:$F$400,'Étape 1 - à remplir'!$E$31:$E$400,MASQ2!BV212,'Étape 1 - à remplir'!$G$31:$G$400,"lots"),SUMIFS('Étape 1 - à remplir'!$F$31:$F$400,'Étape 1 - à remplir'!$E$31:$E$400,MASQ2!BV212,'Étape 1 - à remplir'!$P$31:$P$400,CE$3,'Étape 1 - à remplir'!$G$31:$G$400,"lots")),IF(CE$2="Atelier",IF(CE$3="Tous",SUMIFS('Étape 1 - à remplir'!$F$31:$F$400,'Étape 1 - à remplir'!$E$31:$E$400,MASQ2!BV212,'Étape 1 - à remplir'!$G$31:$G$400,"lots"),SUMIFS('Étape 1 - à remplir'!$F$31:$F$400,'Étape 1 - à remplir'!$E$31:$E$400,MASQ2!BV212,'Étape 1 - à remplir'!$O$31:$O$400,CE$3,'Étape 1 - à remplir'!$G$31:$G$400,"lots")),IF(CE$2="Espèce",IF(CE$3="Toutes",SUMIFS('Étape 1 - à remplir'!$F$31:$F$400,'Étape 1 - à remplir'!$E$31:$E$400,MASQ2!BV212,'Étape 1 - à remplir'!$G$31:$G$400,"lots"),SUMIFS('Étape 1 - à remplir'!$F$31:$F$400,'Étape 1 - à remplir'!$E$31:$E$400,MASQ2!BV212,'Étape 1 - à remplir'!$N$31:$N$400,CE$3,'Étape 1 - à remplir'!$G$31:$G$400,"lots"))))))=0,NA(),IF(CE$2="Catégorie",IF(CE$3="Toutes",SUMIFS('Étape 1 - à remplir'!$F$31:$F$400,'Étape 1 - à remplir'!$E$31:$E$400,MASQ2!BV212,'Étape 1 - à remplir'!$G$31:$G$400,"lots"),SUMIFS('Étape 1 - à remplir'!$F$31:$F$400,'Étape 1 - à remplir'!$E$31:$E$400,MASQ2!BV212,'Étape 1 - à remplir'!$C$31:$C$400,CE$3)),IF(CE$2="Âge",IF(CE$3="Tous",SUMIFS('Étape 1 - à remplir'!$F$31:$F$400,'Étape 1 - à remplir'!$E$31:$E$400,MASQ2!BV212,'Étape 1 - à remplir'!$G$31:$G$400,"lots"),SUMIFS('Étape 1 - à remplir'!$F$31:$F$400,'Étape 1 - à remplir'!$E$31:$E$400,MASQ2!BV212,'Étape 1 - à remplir'!$P$31:$P$400,CE$3,'Étape 1 - à remplir'!$G$31:$G$400,"lots")),IF(CE$2="Atelier",IF(CE$3="Tous",SUMIFS('Étape 1 - à remplir'!$F$31:$F$400,'Étape 1 - à remplir'!$E$31:$E$400,MASQ2!BV212,'Étape 1 - à remplir'!$G$31:$G$400,"lots"),SUMIFS('Étape 1 - à remplir'!$F$31:$F$400,'Étape 1 - à remplir'!$E$31:$E$400,MASQ2!BV212,'Étape 1 - à remplir'!$O$31:$O$400,CE$3,'Étape 1 - à remplir'!$G$31:$G$400,"lots")),IF(CE$2="Espèce",IF(CE$3="Toutes",SUMIFS('Étape 1 - à remplir'!$F$31:$F$400,'Étape 1 - à remplir'!$E$31:$E$400,MASQ2!BV212,'Étape 1 - à remplir'!$G$31:$G$400,"lots"),SUMIFS('Étape 1 - à remplir'!$F$31:$F$400,'Étape 1 - à remplir'!$E$31:$E$400,MASQ2!BV212,'Étape 1 - à remplir'!$N$31:$N$400,CE$3,'Étape 1 - à remplir'!$G$31:$G$400,"lots")))))))</f>
        <v>#N/A</v>
      </c>
      <c r="BX212">
        <f t="shared" si="208"/>
        <v>0</v>
      </c>
      <c r="BY212" t="str">
        <f t="shared" si="192"/>
        <v>Enrofloxacine</v>
      </c>
      <c r="BZ212" t="str">
        <f t="shared" si="193"/>
        <v/>
      </c>
      <c r="CA212" t="str">
        <f t="shared" si="194"/>
        <v/>
      </c>
      <c r="CB212" t="str">
        <f t="shared" si="195"/>
        <v>Fluoroquinolones</v>
      </c>
      <c r="CC212" t="str">
        <f t="shared" si="196"/>
        <v/>
      </c>
      <c r="CD212" s="63" t="str">
        <f t="shared" si="197"/>
        <v/>
      </c>
      <c r="CG212" s="42">
        <v>209</v>
      </c>
      <c r="CH212" s="42" t="e">
        <f t="shared" si="213"/>
        <v>#N/A</v>
      </c>
      <c r="CI212" s="63" t="e">
        <f t="shared" si="214"/>
        <v>#N/A</v>
      </c>
      <c r="DM212" s="63"/>
      <c r="EA212" s="194" t="str">
        <f t="shared" ca="1" si="198"/>
        <v>x</v>
      </c>
      <c r="EB212" s="226" t="str">
        <f>IFERROR(IF(ED212=0,"",COUNTIF(ED$4:ED$600,"&gt;"&amp;ED212)+COUNTIF(ED$4:ED212,ED212)),"")</f>
        <v/>
      </c>
      <c r="EC212" t="str">
        <f t="shared" si="199"/>
        <v>ENROBACTIN 25 MG/ML SOLUTION A DILUER POUR SOLUTION BUVABLE POUR LAPINS DE COMPAGNIE, RONGEURS, OISEAUX ORNEMENTAUX ET REPTILES</v>
      </c>
      <c r="ED212" t="e">
        <f>IF(IF(EL$2="Catégorie",IF(EL$3="Toutes",SUMIFS('Étape 1 - à remplir'!$F$31:$F$400,'Étape 1 - à remplir'!$E$31:$E$400,MASQ2!EC212,'Étape 1 - à remplir'!$G$31:$G$400,"kg"),SUMIFS('Étape 1 - à remplir'!$F$31:$F$400,'Étape 1 - à remplir'!$E$31:$E$400,MASQ2!EC212,'Étape 1 - à remplir'!$C$31:$C$400,EL$3)),IF(EL$2="Âge",IF(EL$3="Tous",SUMIFS('Étape 1 - à remplir'!$F$31:$F$400,'Étape 1 - à remplir'!$E$31:$E$400,MASQ2!EC212,'Étape 1 - à remplir'!$G$31:$G$400,"kg"),SUMIFS('Étape 1 - à remplir'!$F$31:$F$400,'Étape 1 - à remplir'!$E$31:$E$400,MASQ2!EC212,'Étape 1 - à remplir'!$P$31:$P$400,EL$3,'Étape 1 - à remplir'!$G$31:$G$400,"kg")),IF(EL$2="Atelier",IF(EL$3="Tous",SUMIFS('Étape 1 - à remplir'!$F$31:$F$400,'Étape 1 - à remplir'!$E$31:$E$400,MASQ2!EC212,'Étape 1 - à remplir'!$G$31:$G$400,"kg"),SUMIFS('Étape 1 - à remplir'!$F$31:$F$400,'Étape 1 - à remplir'!$E$31:$E$400,MASQ2!EC212,'Étape 1 - à remplir'!$O$31:$O$400,EL$3,'Étape 1 - à remplir'!$G$31:$G$400,"kg")),IF(EL$2="Espèce",IF(EL$3="Toutes",SUMIFS('Étape 1 - à remplir'!$F$31:$F$400,'Étape 1 - à remplir'!$E$31:$E$400,MASQ2!EC212,'Étape 1 - à remplir'!$G$31:$G$400,"kg"),SUMIFS('Étape 1 - à remplir'!$F$31:$F$400,'Étape 1 - à remplir'!$E$31:$E$400,MASQ2!EC212,'Étape 1 - à remplir'!$N$31:$N$400,EL$3,'Étape 1 - à remplir'!$G$31:$G$400,"kg"))))))=0,NA(),IF(EL$2="Catégorie",IF(EL$3="Toutes",SUMIFS('Étape 1 - à remplir'!$F$31:$F$400,'Étape 1 - à remplir'!$E$31:$E$400,MASQ2!EC212,'Étape 1 - à remplir'!$G$31:$G$400,"kg"),SUMIFS('Étape 1 - à remplir'!$F$31:$F$400,'Étape 1 - à remplir'!$E$31:$E$400,MASQ2!EC212,'Étape 1 - à remplir'!$C$31:$C$400,EL$3)),IF(EL$2="Âge",IF(EL$3="Tous",SUMIFS('Étape 1 - à remplir'!$F$31:$F$400,'Étape 1 - à remplir'!$E$31:$E$400,MASQ2!EC212,'Étape 1 - à remplir'!$G$31:$G$400,"kg"),SUMIFS('Étape 1 - à remplir'!$F$31:$F$400,'Étape 1 - à remplir'!$E$31:$E$400,MASQ2!EC212,'Étape 1 - à remplir'!$P$31:$P$400,EL$3,'Étape 1 - à remplir'!$G$31:$G$400,"kg")),IF(EL$2="Atelier",IF(EL$3="Tous",SUMIFS('Étape 1 - à remplir'!$F$31:$F$400,'Étape 1 - à remplir'!$E$31:$E$400,MASQ2!EC212,'Étape 1 - à remplir'!$G$31:$G$400,"kg"),SUMIFS('Étape 1 - à remplir'!$F$31:$F$400,'Étape 1 - à remplir'!$E$31:$E$400,MASQ2!EC212,'Étape 1 - à remplir'!$O$31:$O$400,EL$3,'Étape 1 - à remplir'!$G$31:$G$400,"kg")),IF(EL$2="Espèce",IF(EL$3="Toutes",SUMIFS('Étape 1 - à remplir'!$F$31:$F$400,'Étape 1 - à remplir'!$E$31:$E$400,MASQ2!EC212,'Étape 1 - à remplir'!$G$31:$G$400,"kg"),SUMIFS('Étape 1 - à remplir'!$F$31:$F$400,'Étape 1 - à remplir'!$E$31:$E$400,MASQ2!EC212,'Étape 1 - à remplir'!$N$31:$N$400,EL$3,'Étape 1 - à remplir'!$G$31:$G$400,"kg")))))))</f>
        <v>#N/A</v>
      </c>
      <c r="EE212" s="76">
        <f t="shared" si="209"/>
        <v>0</v>
      </c>
      <c r="EF212" t="str">
        <f t="shared" si="200"/>
        <v>Enrofloxacine</v>
      </c>
      <c r="EG212" t="str">
        <f t="shared" si="201"/>
        <v/>
      </c>
      <c r="EH212" t="str">
        <f t="shared" si="202"/>
        <v/>
      </c>
      <c r="EI212" t="str">
        <f t="shared" si="203"/>
        <v>Fluoroquinolones</v>
      </c>
      <c r="EJ212" t="str">
        <f t="shared" si="204"/>
        <v/>
      </c>
      <c r="EK212" s="63" t="str">
        <f t="shared" si="205"/>
        <v/>
      </c>
      <c r="EN212" s="42">
        <v>209</v>
      </c>
      <c r="EO212" t="e">
        <f t="shared" si="211"/>
        <v>#N/A</v>
      </c>
      <c r="EP212" s="63" t="e">
        <f t="shared" si="212"/>
        <v>#N/A</v>
      </c>
      <c r="FT212" s="63"/>
    </row>
    <row r="213" spans="2:176" x14ac:dyDescent="0.3">
      <c r="B213" s="42"/>
      <c r="M213" s="194" t="str">
        <f ca="1">INDEX(Données_ATB!BD:BU,MATCH(MASQ2!O213,Données_ATB!BD:BD,0),18)</f>
        <v>x</v>
      </c>
      <c r="N213" s="14" t="str">
        <f>IFERROR(IF(Q213=0,"",COUNTIF(Q$4:Q$600,"&gt;"&amp;Q213)+COUNTIF(Q$4:Q213,Q213)),"")</f>
        <v/>
      </c>
      <c r="O213" t="str">
        <f>Données_ATB!BD212</f>
        <v>ENROCARE 10 % INJECTABLE POUR BOVINS ET PORCINS</v>
      </c>
      <c r="P213" t="e">
        <f>IF(IF(X$2="Catégorie",IF(X$3="Toutes",SUMIFS('Étape 1 - à remplir'!$F$31:$F$400,'Étape 1 - à remplir'!$E$31:$E$400,MASQ2!O213,'Étape 1 - à remplir'!$G$31:$G$400,"animaux"),SUMIFS('Étape 1 - à remplir'!$F$31:$F$400,'Étape 1 - à remplir'!$E$31:$E$400,MASQ2!O213,'Étape 1 - à remplir'!$C$31:$C$400,X$3)),IF(X$2="Âge",IF(X$3="Tous",SUMIFS('Étape 1 - à remplir'!$F$31:$F$400,'Étape 1 - à remplir'!$E$31:$E$400,MASQ2!O213,'Étape 1 - à remplir'!$G$31:$G$400,"animaux"),SUMIFS('Étape 1 - à remplir'!$F$31:$F$400,'Étape 1 - à remplir'!$E$31:$E$400,MASQ2!O213,'Étape 1 - à remplir'!$P$31:$P$400,X$3)),IF(X$2="Atelier",IF(X$3="Tous",SUMIFS('Étape 1 - à remplir'!$F$31:$F$400,'Étape 1 - à remplir'!$E$31:$E$400,MASQ2!O213,'Étape 1 - à remplir'!$G$31:$G$400,"animaux"),SUMIFS('Étape 1 - à remplir'!$F$31:$F$400,'Étape 1 - à remplir'!$E$31:$E$400,MASQ2!O213,'Étape 1 - à remplir'!$O$31:$O$400,X$3)),IF(X$2="Espèce",IF(X$3="Toutes",SUMIFS('Étape 1 - à remplir'!$F$31:$F$400,'Étape 1 - à remplir'!$E$31:$E$400,MASQ2!O213,'Étape 1 - à remplir'!$G$31:$G$400,"animaux"),SUMIFS('Étape 1 - à remplir'!$F$31:$F$400,'Étape 1 - à remplir'!$E$31:$E$400,MASQ2!O213,'Étape 1 - à remplir'!$N$31:$N$400,X$3))))))=0,NA(),IF(X$2="Catégorie",IF(X$3="Toutes",SUMIFS('Étape 1 - à remplir'!$F$31:$F$400,'Étape 1 - à remplir'!$E$31:$E$400,MASQ2!O213,'Étape 1 - à remplir'!$G$31:$G$400,"animaux"),SUMIFS('Étape 1 - à remplir'!$F$31:$F$400,'Étape 1 - à remplir'!$E$31:$E$400,MASQ2!O213,'Étape 1 - à remplir'!$C$31:$C$400,X$3)),IF(X$2="Âge",IF(X$3="Tous",SUMIFS('Étape 1 - à remplir'!$F$31:$F$400,'Étape 1 - à remplir'!$E$31:$E$400,MASQ2!O213,'Étape 1 - à remplir'!$G$31:$G$400,"animaux"),SUMIFS('Étape 1 - à remplir'!$F$31:$F$400,'Étape 1 - à remplir'!$E$31:$E$400,MASQ2!O213,'Étape 1 - à remplir'!$P$31:$P$400,X$3)),IF(X$2="Atelier",IF(X$3="Tous",SUMIFS('Étape 1 - à remplir'!$F$31:$F$400,'Étape 1 - à remplir'!$E$31:$E$400,MASQ2!O213,'Étape 1 - à remplir'!$G$31:$G$400,"animaux"),SUMIFS('Étape 1 - à remplir'!$F$31:$F$400,'Étape 1 - à remplir'!$E$31:$E$400,MASQ2!O213,'Étape 1 - à remplir'!$O$31:$O$400,X$3)),IF(X$2="Espèce",IF(X$3="Toutes",SUMIFS('Étape 1 - à remplir'!$F$31:$F$400,'Étape 1 - à remplir'!$E$31:$E$400,MASQ2!O213,'Étape 1 - à remplir'!$G$31:$G$400,"animaux"),SUMIFS('Étape 1 - à remplir'!$F$31:$F$400,'Étape 1 - à remplir'!$E$31:$E$400,MASQ2!O213,'Étape 1 - à remplir'!$N$31:$N$400,X$3)))))))</f>
        <v>#N/A</v>
      </c>
      <c r="Q213" s="63">
        <f t="shared" si="210"/>
        <v>0</v>
      </c>
      <c r="R213" t="str">
        <f>Données_ATB!BM212</f>
        <v>Enrofloxacine</v>
      </c>
      <c r="S213" t="str">
        <f>Données_ATB!BN212</f>
        <v/>
      </c>
      <c r="T213" s="63" t="str">
        <f>Données_ATB!BO212</f>
        <v/>
      </c>
      <c r="U213" s="42" t="str">
        <f>Données_ATB!BQ212</f>
        <v>Fluoroquinolones</v>
      </c>
      <c r="V213" t="str">
        <f>Données_ATB!BR212</f>
        <v/>
      </c>
      <c r="W213" s="63" t="str">
        <f>Données_ATB!BS212</f>
        <v/>
      </c>
      <c r="Z213" s="42">
        <v>210</v>
      </c>
      <c r="AA213" t="e">
        <f t="shared" si="206"/>
        <v>#N/A</v>
      </c>
      <c r="AB213" s="63" t="e">
        <f t="shared" si="207"/>
        <v>#N/A</v>
      </c>
      <c r="BF213" s="63"/>
      <c r="BT213" s="194" t="str">
        <f t="shared" ca="1" si="190"/>
        <v>x</v>
      </c>
      <c r="BU213" s="219" t="str">
        <f>IFERROR(IF(BX213=0,"",COUNTIF(BX$4:BX$600,"&gt;"&amp;BX213)+COUNTIF(BX$4:BX213,BX213)),"")</f>
        <v/>
      </c>
      <c r="BV213" s="42" t="str">
        <f t="shared" si="191"/>
        <v>ENROCARE 10 % INJECTABLE POUR BOVINS ET PORCINS</v>
      </c>
      <c r="BW213" t="e">
        <f>IF(IF(CE$2="Catégorie",IF(CE$3="Toutes",SUMIFS('Étape 1 - à remplir'!$F$31:$F$400,'Étape 1 - à remplir'!$E$31:$E$400,MASQ2!BV213,'Étape 1 - à remplir'!$G$31:$G$400,"lots"),SUMIFS('Étape 1 - à remplir'!$F$31:$F$400,'Étape 1 - à remplir'!$E$31:$E$400,MASQ2!BV213,'Étape 1 - à remplir'!$C$31:$C$400,CE$3)),IF(CE$2="Âge",IF(CE$3="Tous",SUMIFS('Étape 1 - à remplir'!$F$31:$F$400,'Étape 1 - à remplir'!$E$31:$E$400,MASQ2!BV213,'Étape 1 - à remplir'!$G$31:$G$400,"lots"),SUMIFS('Étape 1 - à remplir'!$F$31:$F$400,'Étape 1 - à remplir'!$E$31:$E$400,MASQ2!BV213,'Étape 1 - à remplir'!$P$31:$P$400,CE$3,'Étape 1 - à remplir'!$G$31:$G$400,"lots")),IF(CE$2="Atelier",IF(CE$3="Tous",SUMIFS('Étape 1 - à remplir'!$F$31:$F$400,'Étape 1 - à remplir'!$E$31:$E$400,MASQ2!BV213,'Étape 1 - à remplir'!$G$31:$G$400,"lots"),SUMIFS('Étape 1 - à remplir'!$F$31:$F$400,'Étape 1 - à remplir'!$E$31:$E$400,MASQ2!BV213,'Étape 1 - à remplir'!$O$31:$O$400,CE$3,'Étape 1 - à remplir'!$G$31:$G$400,"lots")),IF(CE$2="Espèce",IF(CE$3="Toutes",SUMIFS('Étape 1 - à remplir'!$F$31:$F$400,'Étape 1 - à remplir'!$E$31:$E$400,MASQ2!BV213,'Étape 1 - à remplir'!$G$31:$G$400,"lots"),SUMIFS('Étape 1 - à remplir'!$F$31:$F$400,'Étape 1 - à remplir'!$E$31:$E$400,MASQ2!BV213,'Étape 1 - à remplir'!$N$31:$N$400,CE$3,'Étape 1 - à remplir'!$G$31:$G$400,"lots"))))))=0,NA(),IF(CE$2="Catégorie",IF(CE$3="Toutes",SUMIFS('Étape 1 - à remplir'!$F$31:$F$400,'Étape 1 - à remplir'!$E$31:$E$400,MASQ2!BV213,'Étape 1 - à remplir'!$G$31:$G$400,"lots"),SUMIFS('Étape 1 - à remplir'!$F$31:$F$400,'Étape 1 - à remplir'!$E$31:$E$400,MASQ2!BV213,'Étape 1 - à remplir'!$C$31:$C$400,CE$3)),IF(CE$2="Âge",IF(CE$3="Tous",SUMIFS('Étape 1 - à remplir'!$F$31:$F$400,'Étape 1 - à remplir'!$E$31:$E$400,MASQ2!BV213,'Étape 1 - à remplir'!$G$31:$G$400,"lots"),SUMIFS('Étape 1 - à remplir'!$F$31:$F$400,'Étape 1 - à remplir'!$E$31:$E$400,MASQ2!BV213,'Étape 1 - à remplir'!$P$31:$P$400,CE$3,'Étape 1 - à remplir'!$G$31:$G$400,"lots")),IF(CE$2="Atelier",IF(CE$3="Tous",SUMIFS('Étape 1 - à remplir'!$F$31:$F$400,'Étape 1 - à remplir'!$E$31:$E$400,MASQ2!BV213,'Étape 1 - à remplir'!$G$31:$G$400,"lots"),SUMIFS('Étape 1 - à remplir'!$F$31:$F$400,'Étape 1 - à remplir'!$E$31:$E$400,MASQ2!BV213,'Étape 1 - à remplir'!$O$31:$O$400,CE$3,'Étape 1 - à remplir'!$G$31:$G$400,"lots")),IF(CE$2="Espèce",IF(CE$3="Toutes",SUMIFS('Étape 1 - à remplir'!$F$31:$F$400,'Étape 1 - à remplir'!$E$31:$E$400,MASQ2!BV213,'Étape 1 - à remplir'!$G$31:$G$400,"lots"),SUMIFS('Étape 1 - à remplir'!$F$31:$F$400,'Étape 1 - à remplir'!$E$31:$E$400,MASQ2!BV213,'Étape 1 - à remplir'!$N$31:$N$400,CE$3,'Étape 1 - à remplir'!$G$31:$G$400,"lots")))))))</f>
        <v>#N/A</v>
      </c>
      <c r="BX213">
        <f t="shared" si="208"/>
        <v>0</v>
      </c>
      <c r="BY213" t="str">
        <f t="shared" si="192"/>
        <v>Enrofloxacine</v>
      </c>
      <c r="BZ213" t="str">
        <f t="shared" si="193"/>
        <v/>
      </c>
      <c r="CA213" t="str">
        <f t="shared" si="194"/>
        <v/>
      </c>
      <c r="CB213" t="str">
        <f t="shared" si="195"/>
        <v>Fluoroquinolones</v>
      </c>
      <c r="CC213" t="str">
        <f t="shared" si="196"/>
        <v/>
      </c>
      <c r="CD213" s="63" t="str">
        <f t="shared" si="197"/>
        <v/>
      </c>
      <c r="CG213" s="42">
        <v>210</v>
      </c>
      <c r="CH213" s="42" t="e">
        <f t="shared" si="213"/>
        <v>#N/A</v>
      </c>
      <c r="CI213" s="63" t="e">
        <f t="shared" si="214"/>
        <v>#N/A</v>
      </c>
      <c r="DM213" s="63"/>
      <c r="EA213" s="194" t="str">
        <f t="shared" ca="1" si="198"/>
        <v>x</v>
      </c>
      <c r="EB213" s="226" t="str">
        <f>IFERROR(IF(ED213=0,"",COUNTIF(ED$4:ED$600,"&gt;"&amp;ED213)+COUNTIF(ED$4:ED213,ED213)),"")</f>
        <v/>
      </c>
      <c r="EC213" t="str">
        <f t="shared" si="199"/>
        <v>ENROCARE 10 % INJECTABLE POUR BOVINS ET PORCINS</v>
      </c>
      <c r="ED213" t="e">
        <f>IF(IF(EL$2="Catégorie",IF(EL$3="Toutes",SUMIFS('Étape 1 - à remplir'!$F$31:$F$400,'Étape 1 - à remplir'!$E$31:$E$400,MASQ2!EC213,'Étape 1 - à remplir'!$G$31:$G$400,"kg"),SUMIFS('Étape 1 - à remplir'!$F$31:$F$400,'Étape 1 - à remplir'!$E$31:$E$400,MASQ2!EC213,'Étape 1 - à remplir'!$C$31:$C$400,EL$3)),IF(EL$2="Âge",IF(EL$3="Tous",SUMIFS('Étape 1 - à remplir'!$F$31:$F$400,'Étape 1 - à remplir'!$E$31:$E$400,MASQ2!EC213,'Étape 1 - à remplir'!$G$31:$G$400,"kg"),SUMIFS('Étape 1 - à remplir'!$F$31:$F$400,'Étape 1 - à remplir'!$E$31:$E$400,MASQ2!EC213,'Étape 1 - à remplir'!$P$31:$P$400,EL$3,'Étape 1 - à remplir'!$G$31:$G$400,"kg")),IF(EL$2="Atelier",IF(EL$3="Tous",SUMIFS('Étape 1 - à remplir'!$F$31:$F$400,'Étape 1 - à remplir'!$E$31:$E$400,MASQ2!EC213,'Étape 1 - à remplir'!$G$31:$G$400,"kg"),SUMIFS('Étape 1 - à remplir'!$F$31:$F$400,'Étape 1 - à remplir'!$E$31:$E$400,MASQ2!EC213,'Étape 1 - à remplir'!$O$31:$O$400,EL$3,'Étape 1 - à remplir'!$G$31:$G$400,"kg")),IF(EL$2="Espèce",IF(EL$3="Toutes",SUMIFS('Étape 1 - à remplir'!$F$31:$F$400,'Étape 1 - à remplir'!$E$31:$E$400,MASQ2!EC213,'Étape 1 - à remplir'!$G$31:$G$400,"kg"),SUMIFS('Étape 1 - à remplir'!$F$31:$F$400,'Étape 1 - à remplir'!$E$31:$E$400,MASQ2!EC213,'Étape 1 - à remplir'!$N$31:$N$400,EL$3,'Étape 1 - à remplir'!$G$31:$G$400,"kg"))))))=0,NA(),IF(EL$2="Catégorie",IF(EL$3="Toutes",SUMIFS('Étape 1 - à remplir'!$F$31:$F$400,'Étape 1 - à remplir'!$E$31:$E$400,MASQ2!EC213,'Étape 1 - à remplir'!$G$31:$G$400,"kg"),SUMIFS('Étape 1 - à remplir'!$F$31:$F$400,'Étape 1 - à remplir'!$E$31:$E$400,MASQ2!EC213,'Étape 1 - à remplir'!$C$31:$C$400,EL$3)),IF(EL$2="Âge",IF(EL$3="Tous",SUMIFS('Étape 1 - à remplir'!$F$31:$F$400,'Étape 1 - à remplir'!$E$31:$E$400,MASQ2!EC213,'Étape 1 - à remplir'!$G$31:$G$400,"kg"),SUMIFS('Étape 1 - à remplir'!$F$31:$F$400,'Étape 1 - à remplir'!$E$31:$E$400,MASQ2!EC213,'Étape 1 - à remplir'!$P$31:$P$400,EL$3,'Étape 1 - à remplir'!$G$31:$G$400,"kg")),IF(EL$2="Atelier",IF(EL$3="Tous",SUMIFS('Étape 1 - à remplir'!$F$31:$F$400,'Étape 1 - à remplir'!$E$31:$E$400,MASQ2!EC213,'Étape 1 - à remplir'!$G$31:$G$400,"kg"),SUMIFS('Étape 1 - à remplir'!$F$31:$F$400,'Étape 1 - à remplir'!$E$31:$E$400,MASQ2!EC213,'Étape 1 - à remplir'!$O$31:$O$400,EL$3,'Étape 1 - à remplir'!$G$31:$G$400,"kg")),IF(EL$2="Espèce",IF(EL$3="Toutes",SUMIFS('Étape 1 - à remplir'!$F$31:$F$400,'Étape 1 - à remplir'!$E$31:$E$400,MASQ2!EC213,'Étape 1 - à remplir'!$G$31:$G$400,"kg"),SUMIFS('Étape 1 - à remplir'!$F$31:$F$400,'Étape 1 - à remplir'!$E$31:$E$400,MASQ2!EC213,'Étape 1 - à remplir'!$N$31:$N$400,EL$3,'Étape 1 - à remplir'!$G$31:$G$400,"kg")))))))</f>
        <v>#N/A</v>
      </c>
      <c r="EE213" s="76">
        <f t="shared" si="209"/>
        <v>0</v>
      </c>
      <c r="EF213" t="str">
        <f t="shared" si="200"/>
        <v>Enrofloxacine</v>
      </c>
      <c r="EG213" t="str">
        <f t="shared" si="201"/>
        <v/>
      </c>
      <c r="EH213" t="str">
        <f t="shared" si="202"/>
        <v/>
      </c>
      <c r="EI213" t="str">
        <f t="shared" si="203"/>
        <v>Fluoroquinolones</v>
      </c>
      <c r="EJ213" t="str">
        <f t="shared" si="204"/>
        <v/>
      </c>
      <c r="EK213" s="63" t="str">
        <f t="shared" si="205"/>
        <v/>
      </c>
      <c r="EN213" s="42">
        <v>210</v>
      </c>
      <c r="EO213" t="e">
        <f t="shared" si="211"/>
        <v>#N/A</v>
      </c>
      <c r="EP213" s="63" t="e">
        <f t="shared" si="212"/>
        <v>#N/A</v>
      </c>
      <c r="FT213" s="63"/>
    </row>
    <row r="214" spans="2:176" x14ac:dyDescent="0.3">
      <c r="B214" s="42"/>
      <c r="M214" s="194" t="str">
        <f ca="1">INDEX(Données_ATB!BD:BU,MATCH(MASQ2!O214,Données_ATB!BD:BD,0),18)</f>
        <v>x</v>
      </c>
      <c r="N214" s="14" t="str">
        <f>IFERROR(IF(Q214=0,"",COUNTIF(Q$4:Q$600,"&gt;"&amp;Q214)+COUNTIF(Q$4:Q214,Q214)),"")</f>
        <v/>
      </c>
      <c r="O214" t="str">
        <f>Données_ATB!BD213</f>
        <v>ENROCARE 5 % INJECTABLE POUR BOVINS PORCINS CHIENS ET CHATS</v>
      </c>
      <c r="P214" t="e">
        <f>IF(IF(X$2="Catégorie",IF(X$3="Toutes",SUMIFS('Étape 1 - à remplir'!$F$31:$F$400,'Étape 1 - à remplir'!$E$31:$E$400,MASQ2!O214,'Étape 1 - à remplir'!$G$31:$G$400,"animaux"),SUMIFS('Étape 1 - à remplir'!$F$31:$F$400,'Étape 1 - à remplir'!$E$31:$E$400,MASQ2!O214,'Étape 1 - à remplir'!$C$31:$C$400,X$3)),IF(X$2="Âge",IF(X$3="Tous",SUMIFS('Étape 1 - à remplir'!$F$31:$F$400,'Étape 1 - à remplir'!$E$31:$E$400,MASQ2!O214,'Étape 1 - à remplir'!$G$31:$G$400,"animaux"),SUMIFS('Étape 1 - à remplir'!$F$31:$F$400,'Étape 1 - à remplir'!$E$31:$E$400,MASQ2!O214,'Étape 1 - à remplir'!$P$31:$P$400,X$3)),IF(X$2="Atelier",IF(X$3="Tous",SUMIFS('Étape 1 - à remplir'!$F$31:$F$400,'Étape 1 - à remplir'!$E$31:$E$400,MASQ2!O214,'Étape 1 - à remplir'!$G$31:$G$400,"animaux"),SUMIFS('Étape 1 - à remplir'!$F$31:$F$400,'Étape 1 - à remplir'!$E$31:$E$400,MASQ2!O214,'Étape 1 - à remplir'!$O$31:$O$400,X$3)),IF(X$2="Espèce",IF(X$3="Toutes",SUMIFS('Étape 1 - à remplir'!$F$31:$F$400,'Étape 1 - à remplir'!$E$31:$E$400,MASQ2!O214,'Étape 1 - à remplir'!$G$31:$G$400,"animaux"),SUMIFS('Étape 1 - à remplir'!$F$31:$F$400,'Étape 1 - à remplir'!$E$31:$E$400,MASQ2!O214,'Étape 1 - à remplir'!$N$31:$N$400,X$3))))))=0,NA(),IF(X$2="Catégorie",IF(X$3="Toutes",SUMIFS('Étape 1 - à remplir'!$F$31:$F$400,'Étape 1 - à remplir'!$E$31:$E$400,MASQ2!O214,'Étape 1 - à remplir'!$G$31:$G$400,"animaux"),SUMIFS('Étape 1 - à remplir'!$F$31:$F$400,'Étape 1 - à remplir'!$E$31:$E$400,MASQ2!O214,'Étape 1 - à remplir'!$C$31:$C$400,X$3)),IF(X$2="Âge",IF(X$3="Tous",SUMIFS('Étape 1 - à remplir'!$F$31:$F$400,'Étape 1 - à remplir'!$E$31:$E$400,MASQ2!O214,'Étape 1 - à remplir'!$G$31:$G$400,"animaux"),SUMIFS('Étape 1 - à remplir'!$F$31:$F$400,'Étape 1 - à remplir'!$E$31:$E$400,MASQ2!O214,'Étape 1 - à remplir'!$P$31:$P$400,X$3)),IF(X$2="Atelier",IF(X$3="Tous",SUMIFS('Étape 1 - à remplir'!$F$31:$F$400,'Étape 1 - à remplir'!$E$31:$E$400,MASQ2!O214,'Étape 1 - à remplir'!$G$31:$G$400,"animaux"),SUMIFS('Étape 1 - à remplir'!$F$31:$F$400,'Étape 1 - à remplir'!$E$31:$E$400,MASQ2!O214,'Étape 1 - à remplir'!$O$31:$O$400,X$3)),IF(X$2="Espèce",IF(X$3="Toutes",SUMIFS('Étape 1 - à remplir'!$F$31:$F$400,'Étape 1 - à remplir'!$E$31:$E$400,MASQ2!O214,'Étape 1 - à remplir'!$G$31:$G$400,"animaux"),SUMIFS('Étape 1 - à remplir'!$F$31:$F$400,'Étape 1 - à remplir'!$E$31:$E$400,MASQ2!O214,'Étape 1 - à remplir'!$N$31:$N$400,X$3)))))))</f>
        <v>#N/A</v>
      </c>
      <c r="Q214" s="63">
        <f t="shared" si="210"/>
        <v>0</v>
      </c>
      <c r="R214" t="str">
        <f>Données_ATB!BM213</f>
        <v>Enrofloxacine</v>
      </c>
      <c r="S214" t="str">
        <f>Données_ATB!BN213</f>
        <v/>
      </c>
      <c r="T214" s="63" t="str">
        <f>Données_ATB!BO213</f>
        <v/>
      </c>
      <c r="U214" s="42" t="str">
        <f>Données_ATB!BQ213</f>
        <v>Fluoroquinolones</v>
      </c>
      <c r="V214" t="str">
        <f>Données_ATB!BR213</f>
        <v/>
      </c>
      <c r="W214" s="63" t="str">
        <f>Données_ATB!BS213</f>
        <v/>
      </c>
      <c r="Z214" s="42">
        <v>211</v>
      </c>
      <c r="AA214" t="e">
        <f t="shared" si="206"/>
        <v>#N/A</v>
      </c>
      <c r="AB214" s="63" t="e">
        <f t="shared" si="207"/>
        <v>#N/A</v>
      </c>
      <c r="BF214" s="63"/>
      <c r="BT214" s="194" t="str">
        <f t="shared" ca="1" si="190"/>
        <v>x</v>
      </c>
      <c r="BU214" s="219" t="str">
        <f>IFERROR(IF(BX214=0,"",COUNTIF(BX$4:BX$600,"&gt;"&amp;BX214)+COUNTIF(BX$4:BX214,BX214)),"")</f>
        <v/>
      </c>
      <c r="BV214" s="42" t="str">
        <f t="shared" si="191"/>
        <v>ENROCARE 5 % INJECTABLE POUR BOVINS PORCINS CHIENS ET CHATS</v>
      </c>
      <c r="BW214" t="e">
        <f>IF(IF(CE$2="Catégorie",IF(CE$3="Toutes",SUMIFS('Étape 1 - à remplir'!$F$31:$F$400,'Étape 1 - à remplir'!$E$31:$E$400,MASQ2!BV214,'Étape 1 - à remplir'!$G$31:$G$400,"lots"),SUMIFS('Étape 1 - à remplir'!$F$31:$F$400,'Étape 1 - à remplir'!$E$31:$E$400,MASQ2!BV214,'Étape 1 - à remplir'!$C$31:$C$400,CE$3)),IF(CE$2="Âge",IF(CE$3="Tous",SUMIFS('Étape 1 - à remplir'!$F$31:$F$400,'Étape 1 - à remplir'!$E$31:$E$400,MASQ2!BV214,'Étape 1 - à remplir'!$G$31:$G$400,"lots"),SUMIFS('Étape 1 - à remplir'!$F$31:$F$400,'Étape 1 - à remplir'!$E$31:$E$400,MASQ2!BV214,'Étape 1 - à remplir'!$P$31:$P$400,CE$3,'Étape 1 - à remplir'!$G$31:$G$400,"lots")),IF(CE$2="Atelier",IF(CE$3="Tous",SUMIFS('Étape 1 - à remplir'!$F$31:$F$400,'Étape 1 - à remplir'!$E$31:$E$400,MASQ2!BV214,'Étape 1 - à remplir'!$G$31:$G$400,"lots"),SUMIFS('Étape 1 - à remplir'!$F$31:$F$400,'Étape 1 - à remplir'!$E$31:$E$400,MASQ2!BV214,'Étape 1 - à remplir'!$O$31:$O$400,CE$3,'Étape 1 - à remplir'!$G$31:$G$400,"lots")),IF(CE$2="Espèce",IF(CE$3="Toutes",SUMIFS('Étape 1 - à remplir'!$F$31:$F$400,'Étape 1 - à remplir'!$E$31:$E$400,MASQ2!BV214,'Étape 1 - à remplir'!$G$31:$G$400,"lots"),SUMIFS('Étape 1 - à remplir'!$F$31:$F$400,'Étape 1 - à remplir'!$E$31:$E$400,MASQ2!BV214,'Étape 1 - à remplir'!$N$31:$N$400,CE$3,'Étape 1 - à remplir'!$G$31:$G$400,"lots"))))))=0,NA(),IF(CE$2="Catégorie",IF(CE$3="Toutes",SUMIFS('Étape 1 - à remplir'!$F$31:$F$400,'Étape 1 - à remplir'!$E$31:$E$400,MASQ2!BV214,'Étape 1 - à remplir'!$G$31:$G$400,"lots"),SUMIFS('Étape 1 - à remplir'!$F$31:$F$400,'Étape 1 - à remplir'!$E$31:$E$400,MASQ2!BV214,'Étape 1 - à remplir'!$C$31:$C$400,CE$3)),IF(CE$2="Âge",IF(CE$3="Tous",SUMIFS('Étape 1 - à remplir'!$F$31:$F$400,'Étape 1 - à remplir'!$E$31:$E$400,MASQ2!BV214,'Étape 1 - à remplir'!$G$31:$G$400,"lots"),SUMIFS('Étape 1 - à remplir'!$F$31:$F$400,'Étape 1 - à remplir'!$E$31:$E$400,MASQ2!BV214,'Étape 1 - à remplir'!$P$31:$P$400,CE$3,'Étape 1 - à remplir'!$G$31:$G$400,"lots")),IF(CE$2="Atelier",IF(CE$3="Tous",SUMIFS('Étape 1 - à remplir'!$F$31:$F$400,'Étape 1 - à remplir'!$E$31:$E$400,MASQ2!BV214,'Étape 1 - à remplir'!$G$31:$G$400,"lots"),SUMIFS('Étape 1 - à remplir'!$F$31:$F$400,'Étape 1 - à remplir'!$E$31:$E$400,MASQ2!BV214,'Étape 1 - à remplir'!$O$31:$O$400,CE$3,'Étape 1 - à remplir'!$G$31:$G$400,"lots")),IF(CE$2="Espèce",IF(CE$3="Toutes",SUMIFS('Étape 1 - à remplir'!$F$31:$F$400,'Étape 1 - à remplir'!$E$31:$E$400,MASQ2!BV214,'Étape 1 - à remplir'!$G$31:$G$400,"lots"),SUMIFS('Étape 1 - à remplir'!$F$31:$F$400,'Étape 1 - à remplir'!$E$31:$E$400,MASQ2!BV214,'Étape 1 - à remplir'!$N$31:$N$400,CE$3,'Étape 1 - à remplir'!$G$31:$G$400,"lots")))))))</f>
        <v>#N/A</v>
      </c>
      <c r="BX214">
        <f t="shared" si="208"/>
        <v>0</v>
      </c>
      <c r="BY214" t="str">
        <f t="shared" si="192"/>
        <v>Enrofloxacine</v>
      </c>
      <c r="BZ214" t="str">
        <f t="shared" si="193"/>
        <v/>
      </c>
      <c r="CA214" t="str">
        <f t="shared" si="194"/>
        <v/>
      </c>
      <c r="CB214" t="str">
        <f t="shared" si="195"/>
        <v>Fluoroquinolones</v>
      </c>
      <c r="CC214" t="str">
        <f t="shared" si="196"/>
        <v/>
      </c>
      <c r="CD214" s="63" t="str">
        <f t="shared" si="197"/>
        <v/>
      </c>
      <c r="CG214" s="42">
        <v>211</v>
      </c>
      <c r="CH214" s="42" t="e">
        <f t="shared" si="213"/>
        <v>#N/A</v>
      </c>
      <c r="CI214" s="63" t="e">
        <f t="shared" si="214"/>
        <v>#N/A</v>
      </c>
      <c r="DM214" s="63"/>
      <c r="EA214" s="194" t="str">
        <f t="shared" ca="1" si="198"/>
        <v>x</v>
      </c>
      <c r="EB214" s="226" t="str">
        <f>IFERROR(IF(ED214=0,"",COUNTIF(ED$4:ED$600,"&gt;"&amp;ED214)+COUNTIF(ED$4:ED214,ED214)),"")</f>
        <v/>
      </c>
      <c r="EC214" t="str">
        <f t="shared" si="199"/>
        <v>ENROCARE 5 % INJECTABLE POUR BOVINS PORCINS CHIENS ET CHATS</v>
      </c>
      <c r="ED214" t="e">
        <f>IF(IF(EL$2="Catégorie",IF(EL$3="Toutes",SUMIFS('Étape 1 - à remplir'!$F$31:$F$400,'Étape 1 - à remplir'!$E$31:$E$400,MASQ2!EC214,'Étape 1 - à remplir'!$G$31:$G$400,"kg"),SUMIFS('Étape 1 - à remplir'!$F$31:$F$400,'Étape 1 - à remplir'!$E$31:$E$400,MASQ2!EC214,'Étape 1 - à remplir'!$C$31:$C$400,EL$3)),IF(EL$2="Âge",IF(EL$3="Tous",SUMIFS('Étape 1 - à remplir'!$F$31:$F$400,'Étape 1 - à remplir'!$E$31:$E$400,MASQ2!EC214,'Étape 1 - à remplir'!$G$31:$G$400,"kg"),SUMIFS('Étape 1 - à remplir'!$F$31:$F$400,'Étape 1 - à remplir'!$E$31:$E$400,MASQ2!EC214,'Étape 1 - à remplir'!$P$31:$P$400,EL$3,'Étape 1 - à remplir'!$G$31:$G$400,"kg")),IF(EL$2="Atelier",IF(EL$3="Tous",SUMIFS('Étape 1 - à remplir'!$F$31:$F$400,'Étape 1 - à remplir'!$E$31:$E$400,MASQ2!EC214,'Étape 1 - à remplir'!$G$31:$G$400,"kg"),SUMIFS('Étape 1 - à remplir'!$F$31:$F$400,'Étape 1 - à remplir'!$E$31:$E$400,MASQ2!EC214,'Étape 1 - à remplir'!$O$31:$O$400,EL$3,'Étape 1 - à remplir'!$G$31:$G$400,"kg")),IF(EL$2="Espèce",IF(EL$3="Toutes",SUMIFS('Étape 1 - à remplir'!$F$31:$F$400,'Étape 1 - à remplir'!$E$31:$E$400,MASQ2!EC214,'Étape 1 - à remplir'!$G$31:$G$400,"kg"),SUMIFS('Étape 1 - à remplir'!$F$31:$F$400,'Étape 1 - à remplir'!$E$31:$E$400,MASQ2!EC214,'Étape 1 - à remplir'!$N$31:$N$400,EL$3,'Étape 1 - à remplir'!$G$31:$G$400,"kg"))))))=0,NA(),IF(EL$2="Catégorie",IF(EL$3="Toutes",SUMIFS('Étape 1 - à remplir'!$F$31:$F$400,'Étape 1 - à remplir'!$E$31:$E$400,MASQ2!EC214,'Étape 1 - à remplir'!$G$31:$G$400,"kg"),SUMIFS('Étape 1 - à remplir'!$F$31:$F$400,'Étape 1 - à remplir'!$E$31:$E$400,MASQ2!EC214,'Étape 1 - à remplir'!$C$31:$C$400,EL$3)),IF(EL$2="Âge",IF(EL$3="Tous",SUMIFS('Étape 1 - à remplir'!$F$31:$F$400,'Étape 1 - à remplir'!$E$31:$E$400,MASQ2!EC214,'Étape 1 - à remplir'!$G$31:$G$400,"kg"),SUMIFS('Étape 1 - à remplir'!$F$31:$F$400,'Étape 1 - à remplir'!$E$31:$E$400,MASQ2!EC214,'Étape 1 - à remplir'!$P$31:$P$400,EL$3,'Étape 1 - à remplir'!$G$31:$G$400,"kg")),IF(EL$2="Atelier",IF(EL$3="Tous",SUMIFS('Étape 1 - à remplir'!$F$31:$F$400,'Étape 1 - à remplir'!$E$31:$E$400,MASQ2!EC214,'Étape 1 - à remplir'!$G$31:$G$400,"kg"),SUMIFS('Étape 1 - à remplir'!$F$31:$F$400,'Étape 1 - à remplir'!$E$31:$E$400,MASQ2!EC214,'Étape 1 - à remplir'!$O$31:$O$400,EL$3,'Étape 1 - à remplir'!$G$31:$G$400,"kg")),IF(EL$2="Espèce",IF(EL$3="Toutes",SUMIFS('Étape 1 - à remplir'!$F$31:$F$400,'Étape 1 - à remplir'!$E$31:$E$400,MASQ2!EC214,'Étape 1 - à remplir'!$G$31:$G$400,"kg"),SUMIFS('Étape 1 - à remplir'!$F$31:$F$400,'Étape 1 - à remplir'!$E$31:$E$400,MASQ2!EC214,'Étape 1 - à remplir'!$N$31:$N$400,EL$3,'Étape 1 - à remplir'!$G$31:$G$400,"kg")))))))</f>
        <v>#N/A</v>
      </c>
      <c r="EE214" s="76">
        <f t="shared" si="209"/>
        <v>0</v>
      </c>
      <c r="EF214" t="str">
        <f t="shared" si="200"/>
        <v>Enrofloxacine</v>
      </c>
      <c r="EG214" t="str">
        <f t="shared" si="201"/>
        <v/>
      </c>
      <c r="EH214" t="str">
        <f t="shared" si="202"/>
        <v/>
      </c>
      <c r="EI214" t="str">
        <f t="shared" si="203"/>
        <v>Fluoroquinolones</v>
      </c>
      <c r="EJ214" t="str">
        <f t="shared" si="204"/>
        <v/>
      </c>
      <c r="EK214" s="63" t="str">
        <f t="shared" si="205"/>
        <v/>
      </c>
      <c r="EN214" s="42">
        <v>211</v>
      </c>
      <c r="EO214" t="e">
        <f t="shared" si="211"/>
        <v>#N/A</v>
      </c>
      <c r="EP214" s="63" t="e">
        <f t="shared" si="212"/>
        <v>#N/A</v>
      </c>
      <c r="FT214" s="63"/>
    </row>
    <row r="215" spans="2:176" x14ac:dyDescent="0.3">
      <c r="B215" s="42"/>
      <c r="M215" s="194" t="str">
        <f ca="1">INDEX(Données_ATB!BD:BU,MATCH(MASQ2!O215,Données_ATB!BD:BD,0),18)</f>
        <v>x</v>
      </c>
      <c r="N215" s="14" t="str">
        <f>IFERROR(IF(Q215=0,"",COUNTIF(Q$4:Q$600,"&gt;"&amp;Q215)+COUNTIF(Q$4:Q215,Q215)),"")</f>
        <v/>
      </c>
      <c r="O215" t="str">
        <f>Données_ATB!BD214</f>
        <v>ENROTRON 100 MG/ML SOLUTION BUVABLE POUR POULES, DINDES ET LAPINS</v>
      </c>
      <c r="P215" t="e">
        <f>IF(IF(X$2="Catégorie",IF(X$3="Toutes",SUMIFS('Étape 1 - à remplir'!$F$31:$F$400,'Étape 1 - à remplir'!$E$31:$E$400,MASQ2!O215,'Étape 1 - à remplir'!$G$31:$G$400,"animaux"),SUMIFS('Étape 1 - à remplir'!$F$31:$F$400,'Étape 1 - à remplir'!$E$31:$E$400,MASQ2!O215,'Étape 1 - à remplir'!$C$31:$C$400,X$3)),IF(X$2="Âge",IF(X$3="Tous",SUMIFS('Étape 1 - à remplir'!$F$31:$F$400,'Étape 1 - à remplir'!$E$31:$E$400,MASQ2!O215,'Étape 1 - à remplir'!$G$31:$G$400,"animaux"),SUMIFS('Étape 1 - à remplir'!$F$31:$F$400,'Étape 1 - à remplir'!$E$31:$E$400,MASQ2!O215,'Étape 1 - à remplir'!$P$31:$P$400,X$3)),IF(X$2="Atelier",IF(X$3="Tous",SUMIFS('Étape 1 - à remplir'!$F$31:$F$400,'Étape 1 - à remplir'!$E$31:$E$400,MASQ2!O215,'Étape 1 - à remplir'!$G$31:$G$400,"animaux"),SUMIFS('Étape 1 - à remplir'!$F$31:$F$400,'Étape 1 - à remplir'!$E$31:$E$400,MASQ2!O215,'Étape 1 - à remplir'!$O$31:$O$400,X$3)),IF(X$2="Espèce",IF(X$3="Toutes",SUMIFS('Étape 1 - à remplir'!$F$31:$F$400,'Étape 1 - à remplir'!$E$31:$E$400,MASQ2!O215,'Étape 1 - à remplir'!$G$31:$G$400,"animaux"),SUMIFS('Étape 1 - à remplir'!$F$31:$F$400,'Étape 1 - à remplir'!$E$31:$E$400,MASQ2!O215,'Étape 1 - à remplir'!$N$31:$N$400,X$3))))))=0,NA(),IF(X$2="Catégorie",IF(X$3="Toutes",SUMIFS('Étape 1 - à remplir'!$F$31:$F$400,'Étape 1 - à remplir'!$E$31:$E$400,MASQ2!O215,'Étape 1 - à remplir'!$G$31:$G$400,"animaux"),SUMIFS('Étape 1 - à remplir'!$F$31:$F$400,'Étape 1 - à remplir'!$E$31:$E$400,MASQ2!O215,'Étape 1 - à remplir'!$C$31:$C$400,X$3)),IF(X$2="Âge",IF(X$3="Tous",SUMIFS('Étape 1 - à remplir'!$F$31:$F$400,'Étape 1 - à remplir'!$E$31:$E$400,MASQ2!O215,'Étape 1 - à remplir'!$G$31:$G$400,"animaux"),SUMIFS('Étape 1 - à remplir'!$F$31:$F$400,'Étape 1 - à remplir'!$E$31:$E$400,MASQ2!O215,'Étape 1 - à remplir'!$P$31:$P$400,X$3)),IF(X$2="Atelier",IF(X$3="Tous",SUMIFS('Étape 1 - à remplir'!$F$31:$F$400,'Étape 1 - à remplir'!$E$31:$E$400,MASQ2!O215,'Étape 1 - à remplir'!$G$31:$G$400,"animaux"),SUMIFS('Étape 1 - à remplir'!$F$31:$F$400,'Étape 1 - à remplir'!$E$31:$E$400,MASQ2!O215,'Étape 1 - à remplir'!$O$31:$O$400,X$3)),IF(X$2="Espèce",IF(X$3="Toutes",SUMIFS('Étape 1 - à remplir'!$F$31:$F$400,'Étape 1 - à remplir'!$E$31:$E$400,MASQ2!O215,'Étape 1 - à remplir'!$G$31:$G$400,"animaux"),SUMIFS('Étape 1 - à remplir'!$F$31:$F$400,'Étape 1 - à remplir'!$E$31:$E$400,MASQ2!O215,'Étape 1 - à remplir'!$N$31:$N$400,X$3)))))))</f>
        <v>#N/A</v>
      </c>
      <c r="Q215" s="63">
        <f t="shared" si="210"/>
        <v>0</v>
      </c>
      <c r="R215" t="str">
        <f>Données_ATB!BM214</f>
        <v>Enrofloxacine</v>
      </c>
      <c r="S215" t="str">
        <f>Données_ATB!BN214</f>
        <v/>
      </c>
      <c r="T215" s="63" t="str">
        <f>Données_ATB!BO214</f>
        <v/>
      </c>
      <c r="U215" s="42" t="str">
        <f>Données_ATB!BQ214</f>
        <v>Fluoroquinolones</v>
      </c>
      <c r="V215" t="str">
        <f>Données_ATB!BR214</f>
        <v/>
      </c>
      <c r="W215" s="63" t="str">
        <f>Données_ATB!BS214</f>
        <v/>
      </c>
      <c r="Z215" s="42">
        <v>212</v>
      </c>
      <c r="AA215" t="e">
        <f t="shared" si="206"/>
        <v>#N/A</v>
      </c>
      <c r="AB215" s="63" t="e">
        <f t="shared" si="207"/>
        <v>#N/A</v>
      </c>
      <c r="BF215" s="63"/>
      <c r="BT215" s="194" t="str">
        <f t="shared" ca="1" si="190"/>
        <v>x</v>
      </c>
      <c r="BU215" s="219" t="str">
        <f>IFERROR(IF(BX215=0,"",COUNTIF(BX$4:BX$600,"&gt;"&amp;BX215)+COUNTIF(BX$4:BX215,BX215)),"")</f>
        <v/>
      </c>
      <c r="BV215" s="42" t="str">
        <f t="shared" si="191"/>
        <v>ENROTRON 100 MG/ML SOLUTION BUVABLE POUR POULES, DINDES ET LAPINS</v>
      </c>
      <c r="BW215" t="e">
        <f>IF(IF(CE$2="Catégorie",IF(CE$3="Toutes",SUMIFS('Étape 1 - à remplir'!$F$31:$F$400,'Étape 1 - à remplir'!$E$31:$E$400,MASQ2!BV215,'Étape 1 - à remplir'!$G$31:$G$400,"lots"),SUMIFS('Étape 1 - à remplir'!$F$31:$F$400,'Étape 1 - à remplir'!$E$31:$E$400,MASQ2!BV215,'Étape 1 - à remplir'!$C$31:$C$400,CE$3)),IF(CE$2="Âge",IF(CE$3="Tous",SUMIFS('Étape 1 - à remplir'!$F$31:$F$400,'Étape 1 - à remplir'!$E$31:$E$400,MASQ2!BV215,'Étape 1 - à remplir'!$G$31:$G$400,"lots"),SUMIFS('Étape 1 - à remplir'!$F$31:$F$400,'Étape 1 - à remplir'!$E$31:$E$400,MASQ2!BV215,'Étape 1 - à remplir'!$P$31:$P$400,CE$3,'Étape 1 - à remplir'!$G$31:$G$400,"lots")),IF(CE$2="Atelier",IF(CE$3="Tous",SUMIFS('Étape 1 - à remplir'!$F$31:$F$400,'Étape 1 - à remplir'!$E$31:$E$400,MASQ2!BV215,'Étape 1 - à remplir'!$G$31:$G$400,"lots"),SUMIFS('Étape 1 - à remplir'!$F$31:$F$400,'Étape 1 - à remplir'!$E$31:$E$400,MASQ2!BV215,'Étape 1 - à remplir'!$O$31:$O$400,CE$3,'Étape 1 - à remplir'!$G$31:$G$400,"lots")),IF(CE$2="Espèce",IF(CE$3="Toutes",SUMIFS('Étape 1 - à remplir'!$F$31:$F$400,'Étape 1 - à remplir'!$E$31:$E$400,MASQ2!BV215,'Étape 1 - à remplir'!$G$31:$G$400,"lots"),SUMIFS('Étape 1 - à remplir'!$F$31:$F$400,'Étape 1 - à remplir'!$E$31:$E$400,MASQ2!BV215,'Étape 1 - à remplir'!$N$31:$N$400,CE$3,'Étape 1 - à remplir'!$G$31:$G$400,"lots"))))))=0,NA(),IF(CE$2="Catégorie",IF(CE$3="Toutes",SUMIFS('Étape 1 - à remplir'!$F$31:$F$400,'Étape 1 - à remplir'!$E$31:$E$400,MASQ2!BV215,'Étape 1 - à remplir'!$G$31:$G$400,"lots"),SUMIFS('Étape 1 - à remplir'!$F$31:$F$400,'Étape 1 - à remplir'!$E$31:$E$400,MASQ2!BV215,'Étape 1 - à remplir'!$C$31:$C$400,CE$3)),IF(CE$2="Âge",IF(CE$3="Tous",SUMIFS('Étape 1 - à remplir'!$F$31:$F$400,'Étape 1 - à remplir'!$E$31:$E$400,MASQ2!BV215,'Étape 1 - à remplir'!$G$31:$G$400,"lots"),SUMIFS('Étape 1 - à remplir'!$F$31:$F$400,'Étape 1 - à remplir'!$E$31:$E$400,MASQ2!BV215,'Étape 1 - à remplir'!$P$31:$P$400,CE$3,'Étape 1 - à remplir'!$G$31:$G$400,"lots")),IF(CE$2="Atelier",IF(CE$3="Tous",SUMIFS('Étape 1 - à remplir'!$F$31:$F$400,'Étape 1 - à remplir'!$E$31:$E$400,MASQ2!BV215,'Étape 1 - à remplir'!$G$31:$G$400,"lots"),SUMIFS('Étape 1 - à remplir'!$F$31:$F$400,'Étape 1 - à remplir'!$E$31:$E$400,MASQ2!BV215,'Étape 1 - à remplir'!$O$31:$O$400,CE$3,'Étape 1 - à remplir'!$G$31:$G$400,"lots")),IF(CE$2="Espèce",IF(CE$3="Toutes",SUMIFS('Étape 1 - à remplir'!$F$31:$F$400,'Étape 1 - à remplir'!$E$31:$E$400,MASQ2!BV215,'Étape 1 - à remplir'!$G$31:$G$400,"lots"),SUMIFS('Étape 1 - à remplir'!$F$31:$F$400,'Étape 1 - à remplir'!$E$31:$E$400,MASQ2!BV215,'Étape 1 - à remplir'!$N$31:$N$400,CE$3,'Étape 1 - à remplir'!$G$31:$G$400,"lots")))))))</f>
        <v>#N/A</v>
      </c>
      <c r="BX215">
        <f t="shared" si="208"/>
        <v>0</v>
      </c>
      <c r="BY215" t="str">
        <f t="shared" si="192"/>
        <v>Enrofloxacine</v>
      </c>
      <c r="BZ215" t="str">
        <f t="shared" si="193"/>
        <v/>
      </c>
      <c r="CA215" t="str">
        <f t="shared" si="194"/>
        <v/>
      </c>
      <c r="CB215" t="str">
        <f t="shared" si="195"/>
        <v>Fluoroquinolones</v>
      </c>
      <c r="CC215" t="str">
        <f t="shared" si="196"/>
        <v/>
      </c>
      <c r="CD215" s="63" t="str">
        <f t="shared" si="197"/>
        <v/>
      </c>
      <c r="CG215" s="42">
        <v>212</v>
      </c>
      <c r="CH215" s="42" t="e">
        <f t="shared" si="213"/>
        <v>#N/A</v>
      </c>
      <c r="CI215" s="63" t="e">
        <f t="shared" si="214"/>
        <v>#N/A</v>
      </c>
      <c r="DM215" s="63"/>
      <c r="EA215" s="194" t="str">
        <f t="shared" ca="1" si="198"/>
        <v>x</v>
      </c>
      <c r="EB215" s="226" t="str">
        <f>IFERROR(IF(ED215=0,"",COUNTIF(ED$4:ED$600,"&gt;"&amp;ED215)+COUNTIF(ED$4:ED215,ED215)),"")</f>
        <v/>
      </c>
      <c r="EC215" t="str">
        <f t="shared" si="199"/>
        <v>ENROTRON 100 MG/ML SOLUTION BUVABLE POUR POULES, DINDES ET LAPINS</v>
      </c>
      <c r="ED215" t="e">
        <f>IF(IF(EL$2="Catégorie",IF(EL$3="Toutes",SUMIFS('Étape 1 - à remplir'!$F$31:$F$400,'Étape 1 - à remplir'!$E$31:$E$400,MASQ2!EC215,'Étape 1 - à remplir'!$G$31:$G$400,"kg"),SUMIFS('Étape 1 - à remplir'!$F$31:$F$400,'Étape 1 - à remplir'!$E$31:$E$400,MASQ2!EC215,'Étape 1 - à remplir'!$C$31:$C$400,EL$3)),IF(EL$2="Âge",IF(EL$3="Tous",SUMIFS('Étape 1 - à remplir'!$F$31:$F$400,'Étape 1 - à remplir'!$E$31:$E$400,MASQ2!EC215,'Étape 1 - à remplir'!$G$31:$G$400,"kg"),SUMIFS('Étape 1 - à remplir'!$F$31:$F$400,'Étape 1 - à remplir'!$E$31:$E$400,MASQ2!EC215,'Étape 1 - à remplir'!$P$31:$P$400,EL$3,'Étape 1 - à remplir'!$G$31:$G$400,"kg")),IF(EL$2="Atelier",IF(EL$3="Tous",SUMIFS('Étape 1 - à remplir'!$F$31:$F$400,'Étape 1 - à remplir'!$E$31:$E$400,MASQ2!EC215,'Étape 1 - à remplir'!$G$31:$G$400,"kg"),SUMIFS('Étape 1 - à remplir'!$F$31:$F$400,'Étape 1 - à remplir'!$E$31:$E$400,MASQ2!EC215,'Étape 1 - à remplir'!$O$31:$O$400,EL$3,'Étape 1 - à remplir'!$G$31:$G$400,"kg")),IF(EL$2="Espèce",IF(EL$3="Toutes",SUMIFS('Étape 1 - à remplir'!$F$31:$F$400,'Étape 1 - à remplir'!$E$31:$E$400,MASQ2!EC215,'Étape 1 - à remplir'!$G$31:$G$400,"kg"),SUMIFS('Étape 1 - à remplir'!$F$31:$F$400,'Étape 1 - à remplir'!$E$31:$E$400,MASQ2!EC215,'Étape 1 - à remplir'!$N$31:$N$400,EL$3,'Étape 1 - à remplir'!$G$31:$G$400,"kg"))))))=0,NA(),IF(EL$2="Catégorie",IF(EL$3="Toutes",SUMIFS('Étape 1 - à remplir'!$F$31:$F$400,'Étape 1 - à remplir'!$E$31:$E$400,MASQ2!EC215,'Étape 1 - à remplir'!$G$31:$G$400,"kg"),SUMIFS('Étape 1 - à remplir'!$F$31:$F$400,'Étape 1 - à remplir'!$E$31:$E$400,MASQ2!EC215,'Étape 1 - à remplir'!$C$31:$C$400,EL$3)),IF(EL$2="Âge",IF(EL$3="Tous",SUMIFS('Étape 1 - à remplir'!$F$31:$F$400,'Étape 1 - à remplir'!$E$31:$E$400,MASQ2!EC215,'Étape 1 - à remplir'!$G$31:$G$400,"kg"),SUMIFS('Étape 1 - à remplir'!$F$31:$F$400,'Étape 1 - à remplir'!$E$31:$E$400,MASQ2!EC215,'Étape 1 - à remplir'!$P$31:$P$400,EL$3,'Étape 1 - à remplir'!$G$31:$G$400,"kg")),IF(EL$2="Atelier",IF(EL$3="Tous",SUMIFS('Étape 1 - à remplir'!$F$31:$F$400,'Étape 1 - à remplir'!$E$31:$E$400,MASQ2!EC215,'Étape 1 - à remplir'!$G$31:$G$400,"kg"),SUMIFS('Étape 1 - à remplir'!$F$31:$F$400,'Étape 1 - à remplir'!$E$31:$E$400,MASQ2!EC215,'Étape 1 - à remplir'!$O$31:$O$400,EL$3,'Étape 1 - à remplir'!$G$31:$G$400,"kg")),IF(EL$2="Espèce",IF(EL$3="Toutes",SUMIFS('Étape 1 - à remplir'!$F$31:$F$400,'Étape 1 - à remplir'!$E$31:$E$400,MASQ2!EC215,'Étape 1 - à remplir'!$G$31:$G$400,"kg"),SUMIFS('Étape 1 - à remplir'!$F$31:$F$400,'Étape 1 - à remplir'!$E$31:$E$400,MASQ2!EC215,'Étape 1 - à remplir'!$N$31:$N$400,EL$3,'Étape 1 - à remplir'!$G$31:$G$400,"kg")))))))</f>
        <v>#N/A</v>
      </c>
      <c r="EE215" s="76">
        <f t="shared" si="209"/>
        <v>0</v>
      </c>
      <c r="EF215" t="str">
        <f t="shared" si="200"/>
        <v>Enrofloxacine</v>
      </c>
      <c r="EG215" t="str">
        <f t="shared" si="201"/>
        <v/>
      </c>
      <c r="EH215" t="str">
        <f t="shared" si="202"/>
        <v/>
      </c>
      <c r="EI215" t="str">
        <f t="shared" si="203"/>
        <v>Fluoroquinolones</v>
      </c>
      <c r="EJ215" t="str">
        <f t="shared" si="204"/>
        <v/>
      </c>
      <c r="EK215" s="63" t="str">
        <f t="shared" si="205"/>
        <v/>
      </c>
      <c r="EN215" s="42">
        <v>212</v>
      </c>
      <c r="EO215" t="e">
        <f t="shared" si="211"/>
        <v>#N/A</v>
      </c>
      <c r="EP215" s="63" t="e">
        <f t="shared" si="212"/>
        <v>#N/A</v>
      </c>
      <c r="FT215" s="63"/>
    </row>
    <row r="216" spans="2:176" x14ac:dyDescent="0.3">
      <c r="B216" s="42"/>
      <c r="M216" s="194" t="str">
        <f ca="1">INDEX(Données_ATB!BD:BU,MATCH(MASQ2!O216,Données_ATB!BD:BD,0),18)</f>
        <v>x</v>
      </c>
      <c r="N216" s="14" t="str">
        <f>IFERROR(IF(Q216=0,"",COUNTIF(Q$4:Q$600,"&gt;"&amp;Q216)+COUNTIF(Q$4:Q216,Q216)),"")</f>
        <v/>
      </c>
      <c r="O216" t="str">
        <f>Données_ATB!BD215</f>
        <v>ENROVAL 10 % SOLUTION BUVABLE POUR VOLAILLES</v>
      </c>
      <c r="P216" t="e">
        <f>IF(IF(X$2="Catégorie",IF(X$3="Toutes",SUMIFS('Étape 1 - à remplir'!$F$31:$F$400,'Étape 1 - à remplir'!$E$31:$E$400,MASQ2!O216,'Étape 1 - à remplir'!$G$31:$G$400,"animaux"),SUMIFS('Étape 1 - à remplir'!$F$31:$F$400,'Étape 1 - à remplir'!$E$31:$E$400,MASQ2!O216,'Étape 1 - à remplir'!$C$31:$C$400,X$3)),IF(X$2="Âge",IF(X$3="Tous",SUMIFS('Étape 1 - à remplir'!$F$31:$F$400,'Étape 1 - à remplir'!$E$31:$E$400,MASQ2!O216,'Étape 1 - à remplir'!$G$31:$G$400,"animaux"),SUMIFS('Étape 1 - à remplir'!$F$31:$F$400,'Étape 1 - à remplir'!$E$31:$E$400,MASQ2!O216,'Étape 1 - à remplir'!$P$31:$P$400,X$3)),IF(X$2="Atelier",IF(X$3="Tous",SUMIFS('Étape 1 - à remplir'!$F$31:$F$400,'Étape 1 - à remplir'!$E$31:$E$400,MASQ2!O216,'Étape 1 - à remplir'!$G$31:$G$400,"animaux"),SUMIFS('Étape 1 - à remplir'!$F$31:$F$400,'Étape 1 - à remplir'!$E$31:$E$400,MASQ2!O216,'Étape 1 - à remplir'!$O$31:$O$400,X$3)),IF(X$2="Espèce",IF(X$3="Toutes",SUMIFS('Étape 1 - à remplir'!$F$31:$F$400,'Étape 1 - à remplir'!$E$31:$E$400,MASQ2!O216,'Étape 1 - à remplir'!$G$31:$G$400,"animaux"),SUMIFS('Étape 1 - à remplir'!$F$31:$F$400,'Étape 1 - à remplir'!$E$31:$E$400,MASQ2!O216,'Étape 1 - à remplir'!$N$31:$N$400,X$3))))))=0,NA(),IF(X$2="Catégorie",IF(X$3="Toutes",SUMIFS('Étape 1 - à remplir'!$F$31:$F$400,'Étape 1 - à remplir'!$E$31:$E$400,MASQ2!O216,'Étape 1 - à remplir'!$G$31:$G$400,"animaux"),SUMIFS('Étape 1 - à remplir'!$F$31:$F$400,'Étape 1 - à remplir'!$E$31:$E$400,MASQ2!O216,'Étape 1 - à remplir'!$C$31:$C$400,X$3)),IF(X$2="Âge",IF(X$3="Tous",SUMIFS('Étape 1 - à remplir'!$F$31:$F$400,'Étape 1 - à remplir'!$E$31:$E$400,MASQ2!O216,'Étape 1 - à remplir'!$G$31:$G$400,"animaux"),SUMIFS('Étape 1 - à remplir'!$F$31:$F$400,'Étape 1 - à remplir'!$E$31:$E$400,MASQ2!O216,'Étape 1 - à remplir'!$P$31:$P$400,X$3)),IF(X$2="Atelier",IF(X$3="Tous",SUMIFS('Étape 1 - à remplir'!$F$31:$F$400,'Étape 1 - à remplir'!$E$31:$E$400,MASQ2!O216,'Étape 1 - à remplir'!$G$31:$G$400,"animaux"),SUMIFS('Étape 1 - à remplir'!$F$31:$F$400,'Étape 1 - à remplir'!$E$31:$E$400,MASQ2!O216,'Étape 1 - à remplir'!$O$31:$O$400,X$3)),IF(X$2="Espèce",IF(X$3="Toutes",SUMIFS('Étape 1 - à remplir'!$F$31:$F$400,'Étape 1 - à remplir'!$E$31:$E$400,MASQ2!O216,'Étape 1 - à remplir'!$G$31:$G$400,"animaux"),SUMIFS('Étape 1 - à remplir'!$F$31:$F$400,'Étape 1 - à remplir'!$E$31:$E$400,MASQ2!O216,'Étape 1 - à remplir'!$N$31:$N$400,X$3)))))))</f>
        <v>#N/A</v>
      </c>
      <c r="Q216" s="63">
        <f t="shared" si="210"/>
        <v>0</v>
      </c>
      <c r="R216" t="str">
        <f>Données_ATB!BM215</f>
        <v>Enrofloxacine</v>
      </c>
      <c r="S216" t="str">
        <f>Données_ATB!BN215</f>
        <v/>
      </c>
      <c r="T216" s="63" t="str">
        <f>Données_ATB!BO215</f>
        <v/>
      </c>
      <c r="U216" s="42" t="str">
        <f>Données_ATB!BQ215</f>
        <v>Fluoroquinolones</v>
      </c>
      <c r="V216" t="str">
        <f>Données_ATB!BR215</f>
        <v/>
      </c>
      <c r="W216" s="63" t="str">
        <f>Données_ATB!BS215</f>
        <v/>
      </c>
      <c r="Z216" s="42">
        <v>213</v>
      </c>
      <c r="AA216" t="e">
        <f t="shared" si="206"/>
        <v>#N/A</v>
      </c>
      <c r="AB216" s="63" t="e">
        <f t="shared" si="207"/>
        <v>#N/A</v>
      </c>
      <c r="BF216" s="63"/>
      <c r="BT216" s="194" t="str">
        <f t="shared" ca="1" si="190"/>
        <v>x</v>
      </c>
      <c r="BU216" s="219" t="str">
        <f>IFERROR(IF(BX216=0,"",COUNTIF(BX$4:BX$600,"&gt;"&amp;BX216)+COUNTIF(BX$4:BX216,BX216)),"")</f>
        <v/>
      </c>
      <c r="BV216" s="42" t="str">
        <f t="shared" si="191"/>
        <v>ENROVAL 10 % SOLUTION BUVABLE POUR VOLAILLES</v>
      </c>
      <c r="BW216" t="e">
        <f>IF(IF(CE$2="Catégorie",IF(CE$3="Toutes",SUMIFS('Étape 1 - à remplir'!$F$31:$F$400,'Étape 1 - à remplir'!$E$31:$E$400,MASQ2!BV216,'Étape 1 - à remplir'!$G$31:$G$400,"lots"),SUMIFS('Étape 1 - à remplir'!$F$31:$F$400,'Étape 1 - à remplir'!$E$31:$E$400,MASQ2!BV216,'Étape 1 - à remplir'!$C$31:$C$400,CE$3)),IF(CE$2="Âge",IF(CE$3="Tous",SUMIFS('Étape 1 - à remplir'!$F$31:$F$400,'Étape 1 - à remplir'!$E$31:$E$400,MASQ2!BV216,'Étape 1 - à remplir'!$G$31:$G$400,"lots"),SUMIFS('Étape 1 - à remplir'!$F$31:$F$400,'Étape 1 - à remplir'!$E$31:$E$400,MASQ2!BV216,'Étape 1 - à remplir'!$P$31:$P$400,CE$3,'Étape 1 - à remplir'!$G$31:$G$400,"lots")),IF(CE$2="Atelier",IF(CE$3="Tous",SUMIFS('Étape 1 - à remplir'!$F$31:$F$400,'Étape 1 - à remplir'!$E$31:$E$400,MASQ2!BV216,'Étape 1 - à remplir'!$G$31:$G$400,"lots"),SUMIFS('Étape 1 - à remplir'!$F$31:$F$400,'Étape 1 - à remplir'!$E$31:$E$400,MASQ2!BV216,'Étape 1 - à remplir'!$O$31:$O$400,CE$3,'Étape 1 - à remplir'!$G$31:$G$400,"lots")),IF(CE$2="Espèce",IF(CE$3="Toutes",SUMIFS('Étape 1 - à remplir'!$F$31:$F$400,'Étape 1 - à remplir'!$E$31:$E$400,MASQ2!BV216,'Étape 1 - à remplir'!$G$31:$G$400,"lots"),SUMIFS('Étape 1 - à remplir'!$F$31:$F$400,'Étape 1 - à remplir'!$E$31:$E$400,MASQ2!BV216,'Étape 1 - à remplir'!$N$31:$N$400,CE$3,'Étape 1 - à remplir'!$G$31:$G$400,"lots"))))))=0,NA(),IF(CE$2="Catégorie",IF(CE$3="Toutes",SUMIFS('Étape 1 - à remplir'!$F$31:$F$400,'Étape 1 - à remplir'!$E$31:$E$400,MASQ2!BV216,'Étape 1 - à remplir'!$G$31:$G$400,"lots"),SUMIFS('Étape 1 - à remplir'!$F$31:$F$400,'Étape 1 - à remplir'!$E$31:$E$400,MASQ2!BV216,'Étape 1 - à remplir'!$C$31:$C$400,CE$3)),IF(CE$2="Âge",IF(CE$3="Tous",SUMIFS('Étape 1 - à remplir'!$F$31:$F$400,'Étape 1 - à remplir'!$E$31:$E$400,MASQ2!BV216,'Étape 1 - à remplir'!$G$31:$G$400,"lots"),SUMIFS('Étape 1 - à remplir'!$F$31:$F$400,'Étape 1 - à remplir'!$E$31:$E$400,MASQ2!BV216,'Étape 1 - à remplir'!$P$31:$P$400,CE$3,'Étape 1 - à remplir'!$G$31:$G$400,"lots")),IF(CE$2="Atelier",IF(CE$3="Tous",SUMIFS('Étape 1 - à remplir'!$F$31:$F$400,'Étape 1 - à remplir'!$E$31:$E$400,MASQ2!BV216,'Étape 1 - à remplir'!$G$31:$G$400,"lots"),SUMIFS('Étape 1 - à remplir'!$F$31:$F$400,'Étape 1 - à remplir'!$E$31:$E$400,MASQ2!BV216,'Étape 1 - à remplir'!$O$31:$O$400,CE$3,'Étape 1 - à remplir'!$G$31:$G$400,"lots")),IF(CE$2="Espèce",IF(CE$3="Toutes",SUMIFS('Étape 1 - à remplir'!$F$31:$F$400,'Étape 1 - à remplir'!$E$31:$E$400,MASQ2!BV216,'Étape 1 - à remplir'!$G$31:$G$400,"lots"),SUMIFS('Étape 1 - à remplir'!$F$31:$F$400,'Étape 1 - à remplir'!$E$31:$E$400,MASQ2!BV216,'Étape 1 - à remplir'!$N$31:$N$400,CE$3,'Étape 1 - à remplir'!$G$31:$G$400,"lots")))))))</f>
        <v>#N/A</v>
      </c>
      <c r="BX216">
        <f t="shared" si="208"/>
        <v>0</v>
      </c>
      <c r="BY216" t="str">
        <f t="shared" si="192"/>
        <v>Enrofloxacine</v>
      </c>
      <c r="BZ216" t="str">
        <f t="shared" si="193"/>
        <v/>
      </c>
      <c r="CA216" t="str">
        <f t="shared" si="194"/>
        <v/>
      </c>
      <c r="CB216" t="str">
        <f t="shared" si="195"/>
        <v>Fluoroquinolones</v>
      </c>
      <c r="CC216" t="str">
        <f t="shared" si="196"/>
        <v/>
      </c>
      <c r="CD216" s="63" t="str">
        <f t="shared" si="197"/>
        <v/>
      </c>
      <c r="CG216" s="42">
        <v>213</v>
      </c>
      <c r="CH216" s="42" t="e">
        <f t="shared" si="213"/>
        <v>#N/A</v>
      </c>
      <c r="CI216" s="63" t="e">
        <f t="shared" si="214"/>
        <v>#N/A</v>
      </c>
      <c r="DM216" s="63"/>
      <c r="EA216" s="194" t="str">
        <f t="shared" ca="1" si="198"/>
        <v>x</v>
      </c>
      <c r="EB216" s="226" t="str">
        <f>IFERROR(IF(ED216=0,"",COUNTIF(ED$4:ED$600,"&gt;"&amp;ED216)+COUNTIF(ED$4:ED216,ED216)),"")</f>
        <v/>
      </c>
      <c r="EC216" t="str">
        <f t="shared" si="199"/>
        <v>ENROVAL 10 % SOLUTION BUVABLE POUR VOLAILLES</v>
      </c>
      <c r="ED216" t="e">
        <f>IF(IF(EL$2="Catégorie",IF(EL$3="Toutes",SUMIFS('Étape 1 - à remplir'!$F$31:$F$400,'Étape 1 - à remplir'!$E$31:$E$400,MASQ2!EC216,'Étape 1 - à remplir'!$G$31:$G$400,"kg"),SUMIFS('Étape 1 - à remplir'!$F$31:$F$400,'Étape 1 - à remplir'!$E$31:$E$400,MASQ2!EC216,'Étape 1 - à remplir'!$C$31:$C$400,EL$3)),IF(EL$2="Âge",IF(EL$3="Tous",SUMIFS('Étape 1 - à remplir'!$F$31:$F$400,'Étape 1 - à remplir'!$E$31:$E$400,MASQ2!EC216,'Étape 1 - à remplir'!$G$31:$G$400,"kg"),SUMIFS('Étape 1 - à remplir'!$F$31:$F$400,'Étape 1 - à remplir'!$E$31:$E$400,MASQ2!EC216,'Étape 1 - à remplir'!$P$31:$P$400,EL$3,'Étape 1 - à remplir'!$G$31:$G$400,"kg")),IF(EL$2="Atelier",IF(EL$3="Tous",SUMIFS('Étape 1 - à remplir'!$F$31:$F$400,'Étape 1 - à remplir'!$E$31:$E$400,MASQ2!EC216,'Étape 1 - à remplir'!$G$31:$G$400,"kg"),SUMIFS('Étape 1 - à remplir'!$F$31:$F$400,'Étape 1 - à remplir'!$E$31:$E$400,MASQ2!EC216,'Étape 1 - à remplir'!$O$31:$O$400,EL$3,'Étape 1 - à remplir'!$G$31:$G$400,"kg")),IF(EL$2="Espèce",IF(EL$3="Toutes",SUMIFS('Étape 1 - à remplir'!$F$31:$F$400,'Étape 1 - à remplir'!$E$31:$E$400,MASQ2!EC216,'Étape 1 - à remplir'!$G$31:$G$400,"kg"),SUMIFS('Étape 1 - à remplir'!$F$31:$F$400,'Étape 1 - à remplir'!$E$31:$E$400,MASQ2!EC216,'Étape 1 - à remplir'!$N$31:$N$400,EL$3,'Étape 1 - à remplir'!$G$31:$G$400,"kg"))))))=0,NA(),IF(EL$2="Catégorie",IF(EL$3="Toutes",SUMIFS('Étape 1 - à remplir'!$F$31:$F$400,'Étape 1 - à remplir'!$E$31:$E$400,MASQ2!EC216,'Étape 1 - à remplir'!$G$31:$G$400,"kg"),SUMIFS('Étape 1 - à remplir'!$F$31:$F$400,'Étape 1 - à remplir'!$E$31:$E$400,MASQ2!EC216,'Étape 1 - à remplir'!$C$31:$C$400,EL$3)),IF(EL$2="Âge",IF(EL$3="Tous",SUMIFS('Étape 1 - à remplir'!$F$31:$F$400,'Étape 1 - à remplir'!$E$31:$E$400,MASQ2!EC216,'Étape 1 - à remplir'!$G$31:$G$400,"kg"),SUMIFS('Étape 1 - à remplir'!$F$31:$F$400,'Étape 1 - à remplir'!$E$31:$E$400,MASQ2!EC216,'Étape 1 - à remplir'!$P$31:$P$400,EL$3,'Étape 1 - à remplir'!$G$31:$G$400,"kg")),IF(EL$2="Atelier",IF(EL$3="Tous",SUMIFS('Étape 1 - à remplir'!$F$31:$F$400,'Étape 1 - à remplir'!$E$31:$E$400,MASQ2!EC216,'Étape 1 - à remplir'!$G$31:$G$400,"kg"),SUMIFS('Étape 1 - à remplir'!$F$31:$F$400,'Étape 1 - à remplir'!$E$31:$E$400,MASQ2!EC216,'Étape 1 - à remplir'!$O$31:$O$400,EL$3,'Étape 1 - à remplir'!$G$31:$G$400,"kg")),IF(EL$2="Espèce",IF(EL$3="Toutes",SUMIFS('Étape 1 - à remplir'!$F$31:$F$400,'Étape 1 - à remplir'!$E$31:$E$400,MASQ2!EC216,'Étape 1 - à remplir'!$G$31:$G$400,"kg"),SUMIFS('Étape 1 - à remplir'!$F$31:$F$400,'Étape 1 - à remplir'!$E$31:$E$400,MASQ2!EC216,'Étape 1 - à remplir'!$N$31:$N$400,EL$3,'Étape 1 - à remplir'!$G$31:$G$400,"kg")))))))</f>
        <v>#N/A</v>
      </c>
      <c r="EE216" s="76">
        <f t="shared" si="209"/>
        <v>0</v>
      </c>
      <c r="EF216" t="str">
        <f t="shared" si="200"/>
        <v>Enrofloxacine</v>
      </c>
      <c r="EG216" t="str">
        <f t="shared" si="201"/>
        <v/>
      </c>
      <c r="EH216" t="str">
        <f t="shared" si="202"/>
        <v/>
      </c>
      <c r="EI216" t="str">
        <f t="shared" si="203"/>
        <v>Fluoroquinolones</v>
      </c>
      <c r="EJ216" t="str">
        <f t="shared" si="204"/>
        <v/>
      </c>
      <c r="EK216" s="63" t="str">
        <f t="shared" si="205"/>
        <v/>
      </c>
      <c r="EN216" s="42">
        <v>213</v>
      </c>
      <c r="EO216" t="e">
        <f t="shared" si="211"/>
        <v>#N/A</v>
      </c>
      <c r="EP216" s="63" t="e">
        <f t="shared" si="212"/>
        <v>#N/A</v>
      </c>
      <c r="FT216" s="63"/>
    </row>
    <row r="217" spans="2:176" x14ac:dyDescent="0.3">
      <c r="B217" s="42"/>
      <c r="M217" s="194" t="str">
        <f ca="1">INDEX(Données_ATB!BD:BU,MATCH(MASQ2!O217,Données_ATB!BD:BD,0),18)</f>
        <v>x</v>
      </c>
      <c r="N217" s="14" t="str">
        <f>IFERROR(IF(Q217=0,"",COUNTIF(Q$4:Q$600,"&gt;"&amp;Q217)+COUNTIF(Q$4:Q217,Q217)),"")</f>
        <v/>
      </c>
      <c r="O217" t="str">
        <f>Données_ATB!BD216</f>
        <v>ENTEROGEL 30</v>
      </c>
      <c r="P217" t="e">
        <f>IF(IF(X$2="Catégorie",IF(X$3="Toutes",SUMIFS('Étape 1 - à remplir'!$F$31:$F$400,'Étape 1 - à remplir'!$E$31:$E$400,MASQ2!O217,'Étape 1 - à remplir'!$G$31:$G$400,"animaux"),SUMIFS('Étape 1 - à remplir'!$F$31:$F$400,'Étape 1 - à remplir'!$E$31:$E$400,MASQ2!O217,'Étape 1 - à remplir'!$C$31:$C$400,X$3)),IF(X$2="Âge",IF(X$3="Tous",SUMIFS('Étape 1 - à remplir'!$F$31:$F$400,'Étape 1 - à remplir'!$E$31:$E$400,MASQ2!O217,'Étape 1 - à remplir'!$G$31:$G$400,"animaux"),SUMIFS('Étape 1 - à remplir'!$F$31:$F$400,'Étape 1 - à remplir'!$E$31:$E$400,MASQ2!O217,'Étape 1 - à remplir'!$P$31:$P$400,X$3)),IF(X$2="Atelier",IF(X$3="Tous",SUMIFS('Étape 1 - à remplir'!$F$31:$F$400,'Étape 1 - à remplir'!$E$31:$E$400,MASQ2!O217,'Étape 1 - à remplir'!$G$31:$G$400,"animaux"),SUMIFS('Étape 1 - à remplir'!$F$31:$F$400,'Étape 1 - à remplir'!$E$31:$E$400,MASQ2!O217,'Étape 1 - à remplir'!$O$31:$O$400,X$3)),IF(X$2="Espèce",IF(X$3="Toutes",SUMIFS('Étape 1 - à remplir'!$F$31:$F$400,'Étape 1 - à remplir'!$E$31:$E$400,MASQ2!O217,'Étape 1 - à remplir'!$G$31:$G$400,"animaux"),SUMIFS('Étape 1 - à remplir'!$F$31:$F$400,'Étape 1 - à remplir'!$E$31:$E$400,MASQ2!O217,'Étape 1 - à remplir'!$N$31:$N$400,X$3))))))=0,NA(),IF(X$2="Catégorie",IF(X$3="Toutes",SUMIFS('Étape 1 - à remplir'!$F$31:$F$400,'Étape 1 - à remplir'!$E$31:$E$400,MASQ2!O217,'Étape 1 - à remplir'!$G$31:$G$400,"animaux"),SUMIFS('Étape 1 - à remplir'!$F$31:$F$400,'Étape 1 - à remplir'!$E$31:$E$400,MASQ2!O217,'Étape 1 - à remplir'!$C$31:$C$400,X$3)),IF(X$2="Âge",IF(X$3="Tous",SUMIFS('Étape 1 - à remplir'!$F$31:$F$400,'Étape 1 - à remplir'!$E$31:$E$400,MASQ2!O217,'Étape 1 - à remplir'!$G$31:$G$400,"animaux"),SUMIFS('Étape 1 - à remplir'!$F$31:$F$400,'Étape 1 - à remplir'!$E$31:$E$400,MASQ2!O217,'Étape 1 - à remplir'!$P$31:$P$400,X$3)),IF(X$2="Atelier",IF(X$3="Tous",SUMIFS('Étape 1 - à remplir'!$F$31:$F$400,'Étape 1 - à remplir'!$E$31:$E$400,MASQ2!O217,'Étape 1 - à remplir'!$G$31:$G$400,"animaux"),SUMIFS('Étape 1 - à remplir'!$F$31:$F$400,'Étape 1 - à remplir'!$E$31:$E$400,MASQ2!O217,'Étape 1 - à remplir'!$O$31:$O$400,X$3)),IF(X$2="Espèce",IF(X$3="Toutes",SUMIFS('Étape 1 - à remplir'!$F$31:$F$400,'Étape 1 - à remplir'!$E$31:$E$400,MASQ2!O217,'Étape 1 - à remplir'!$G$31:$G$400,"animaux"),SUMIFS('Étape 1 - à remplir'!$F$31:$F$400,'Étape 1 - à remplir'!$E$31:$E$400,MASQ2!O217,'Étape 1 - à remplir'!$N$31:$N$400,X$3)))))))</f>
        <v>#N/A</v>
      </c>
      <c r="Q217" s="63">
        <f t="shared" si="210"/>
        <v>0</v>
      </c>
      <c r="R217" t="str">
        <f>Données_ATB!BM216</f>
        <v>Sulfaguanidine</v>
      </c>
      <c r="S217" t="str">
        <f>Données_ATB!BN216</f>
        <v>Colistine</v>
      </c>
      <c r="T217" s="63" t="str">
        <f>Données_ATB!BO216</f>
        <v/>
      </c>
      <c r="U217" s="42" t="str">
        <f>Données_ATB!BQ216</f>
        <v>Sulfamides</v>
      </c>
      <c r="V217" t="str">
        <f>Données_ATB!BR216</f>
        <v>Polypeptides</v>
      </c>
      <c r="W217" s="63" t="str">
        <f>Données_ATB!BS216</f>
        <v/>
      </c>
      <c r="Z217" s="42">
        <v>214</v>
      </c>
      <c r="AA217" t="e">
        <f t="shared" si="206"/>
        <v>#N/A</v>
      </c>
      <c r="AB217" s="63" t="e">
        <f t="shared" si="207"/>
        <v>#N/A</v>
      </c>
      <c r="BF217" s="63"/>
      <c r="BT217" s="194" t="str">
        <f t="shared" ca="1" si="190"/>
        <v>x</v>
      </c>
      <c r="BU217" s="219" t="str">
        <f>IFERROR(IF(BX217=0,"",COUNTIF(BX$4:BX$600,"&gt;"&amp;BX217)+COUNTIF(BX$4:BX217,BX217)),"")</f>
        <v/>
      </c>
      <c r="BV217" s="42" t="str">
        <f t="shared" si="191"/>
        <v>ENTEROGEL 30</v>
      </c>
      <c r="BW217" t="e">
        <f>IF(IF(CE$2="Catégorie",IF(CE$3="Toutes",SUMIFS('Étape 1 - à remplir'!$F$31:$F$400,'Étape 1 - à remplir'!$E$31:$E$400,MASQ2!BV217,'Étape 1 - à remplir'!$G$31:$G$400,"lots"),SUMIFS('Étape 1 - à remplir'!$F$31:$F$400,'Étape 1 - à remplir'!$E$31:$E$400,MASQ2!BV217,'Étape 1 - à remplir'!$C$31:$C$400,CE$3)),IF(CE$2="Âge",IF(CE$3="Tous",SUMIFS('Étape 1 - à remplir'!$F$31:$F$400,'Étape 1 - à remplir'!$E$31:$E$400,MASQ2!BV217,'Étape 1 - à remplir'!$G$31:$G$400,"lots"),SUMIFS('Étape 1 - à remplir'!$F$31:$F$400,'Étape 1 - à remplir'!$E$31:$E$400,MASQ2!BV217,'Étape 1 - à remplir'!$P$31:$P$400,CE$3,'Étape 1 - à remplir'!$G$31:$G$400,"lots")),IF(CE$2="Atelier",IF(CE$3="Tous",SUMIFS('Étape 1 - à remplir'!$F$31:$F$400,'Étape 1 - à remplir'!$E$31:$E$400,MASQ2!BV217,'Étape 1 - à remplir'!$G$31:$G$400,"lots"),SUMIFS('Étape 1 - à remplir'!$F$31:$F$400,'Étape 1 - à remplir'!$E$31:$E$400,MASQ2!BV217,'Étape 1 - à remplir'!$O$31:$O$400,CE$3,'Étape 1 - à remplir'!$G$31:$G$400,"lots")),IF(CE$2="Espèce",IF(CE$3="Toutes",SUMIFS('Étape 1 - à remplir'!$F$31:$F$400,'Étape 1 - à remplir'!$E$31:$E$400,MASQ2!BV217,'Étape 1 - à remplir'!$G$31:$G$400,"lots"),SUMIFS('Étape 1 - à remplir'!$F$31:$F$400,'Étape 1 - à remplir'!$E$31:$E$400,MASQ2!BV217,'Étape 1 - à remplir'!$N$31:$N$400,CE$3,'Étape 1 - à remplir'!$G$31:$G$400,"lots"))))))=0,NA(),IF(CE$2="Catégorie",IF(CE$3="Toutes",SUMIFS('Étape 1 - à remplir'!$F$31:$F$400,'Étape 1 - à remplir'!$E$31:$E$400,MASQ2!BV217,'Étape 1 - à remplir'!$G$31:$G$400,"lots"),SUMIFS('Étape 1 - à remplir'!$F$31:$F$400,'Étape 1 - à remplir'!$E$31:$E$400,MASQ2!BV217,'Étape 1 - à remplir'!$C$31:$C$400,CE$3)),IF(CE$2="Âge",IF(CE$3="Tous",SUMIFS('Étape 1 - à remplir'!$F$31:$F$400,'Étape 1 - à remplir'!$E$31:$E$400,MASQ2!BV217,'Étape 1 - à remplir'!$G$31:$G$400,"lots"),SUMIFS('Étape 1 - à remplir'!$F$31:$F$400,'Étape 1 - à remplir'!$E$31:$E$400,MASQ2!BV217,'Étape 1 - à remplir'!$P$31:$P$400,CE$3,'Étape 1 - à remplir'!$G$31:$G$400,"lots")),IF(CE$2="Atelier",IF(CE$3="Tous",SUMIFS('Étape 1 - à remplir'!$F$31:$F$400,'Étape 1 - à remplir'!$E$31:$E$400,MASQ2!BV217,'Étape 1 - à remplir'!$G$31:$G$400,"lots"),SUMIFS('Étape 1 - à remplir'!$F$31:$F$400,'Étape 1 - à remplir'!$E$31:$E$400,MASQ2!BV217,'Étape 1 - à remplir'!$O$31:$O$400,CE$3,'Étape 1 - à remplir'!$G$31:$G$400,"lots")),IF(CE$2="Espèce",IF(CE$3="Toutes",SUMIFS('Étape 1 - à remplir'!$F$31:$F$400,'Étape 1 - à remplir'!$E$31:$E$400,MASQ2!BV217,'Étape 1 - à remplir'!$G$31:$G$400,"lots"),SUMIFS('Étape 1 - à remplir'!$F$31:$F$400,'Étape 1 - à remplir'!$E$31:$E$400,MASQ2!BV217,'Étape 1 - à remplir'!$N$31:$N$400,CE$3,'Étape 1 - à remplir'!$G$31:$G$400,"lots")))))))</f>
        <v>#N/A</v>
      </c>
      <c r="BX217">
        <f t="shared" si="208"/>
        <v>0</v>
      </c>
      <c r="BY217" t="str">
        <f t="shared" si="192"/>
        <v>Sulfaguanidine</v>
      </c>
      <c r="BZ217" t="str">
        <f t="shared" si="193"/>
        <v>Colistine</v>
      </c>
      <c r="CA217" t="str">
        <f t="shared" si="194"/>
        <v/>
      </c>
      <c r="CB217" t="str">
        <f t="shared" si="195"/>
        <v>Sulfamides</v>
      </c>
      <c r="CC217" t="str">
        <f t="shared" si="196"/>
        <v>Polypeptides</v>
      </c>
      <c r="CD217" s="63" t="str">
        <f t="shared" si="197"/>
        <v/>
      </c>
      <c r="CG217" s="42">
        <v>214</v>
      </c>
      <c r="CH217" s="42" t="e">
        <f t="shared" si="213"/>
        <v>#N/A</v>
      </c>
      <c r="CI217" s="63" t="e">
        <f t="shared" si="214"/>
        <v>#N/A</v>
      </c>
      <c r="DM217" s="63"/>
      <c r="EA217" s="194" t="str">
        <f t="shared" ca="1" si="198"/>
        <v>x</v>
      </c>
      <c r="EB217" s="226" t="str">
        <f>IFERROR(IF(ED217=0,"",COUNTIF(ED$4:ED$600,"&gt;"&amp;ED217)+COUNTIF(ED$4:ED217,ED217)),"")</f>
        <v/>
      </c>
      <c r="EC217" t="str">
        <f t="shared" si="199"/>
        <v>ENTEROGEL 30</v>
      </c>
      <c r="ED217" t="e">
        <f>IF(IF(EL$2="Catégorie",IF(EL$3="Toutes",SUMIFS('Étape 1 - à remplir'!$F$31:$F$400,'Étape 1 - à remplir'!$E$31:$E$400,MASQ2!EC217,'Étape 1 - à remplir'!$G$31:$G$400,"kg"),SUMIFS('Étape 1 - à remplir'!$F$31:$F$400,'Étape 1 - à remplir'!$E$31:$E$400,MASQ2!EC217,'Étape 1 - à remplir'!$C$31:$C$400,EL$3)),IF(EL$2="Âge",IF(EL$3="Tous",SUMIFS('Étape 1 - à remplir'!$F$31:$F$400,'Étape 1 - à remplir'!$E$31:$E$400,MASQ2!EC217,'Étape 1 - à remplir'!$G$31:$G$400,"kg"),SUMIFS('Étape 1 - à remplir'!$F$31:$F$400,'Étape 1 - à remplir'!$E$31:$E$400,MASQ2!EC217,'Étape 1 - à remplir'!$P$31:$P$400,EL$3,'Étape 1 - à remplir'!$G$31:$G$400,"kg")),IF(EL$2="Atelier",IF(EL$3="Tous",SUMIFS('Étape 1 - à remplir'!$F$31:$F$400,'Étape 1 - à remplir'!$E$31:$E$400,MASQ2!EC217,'Étape 1 - à remplir'!$G$31:$G$400,"kg"),SUMIFS('Étape 1 - à remplir'!$F$31:$F$400,'Étape 1 - à remplir'!$E$31:$E$400,MASQ2!EC217,'Étape 1 - à remplir'!$O$31:$O$400,EL$3,'Étape 1 - à remplir'!$G$31:$G$400,"kg")),IF(EL$2="Espèce",IF(EL$3="Toutes",SUMIFS('Étape 1 - à remplir'!$F$31:$F$400,'Étape 1 - à remplir'!$E$31:$E$400,MASQ2!EC217,'Étape 1 - à remplir'!$G$31:$G$400,"kg"),SUMIFS('Étape 1 - à remplir'!$F$31:$F$400,'Étape 1 - à remplir'!$E$31:$E$400,MASQ2!EC217,'Étape 1 - à remplir'!$N$31:$N$400,EL$3,'Étape 1 - à remplir'!$G$31:$G$400,"kg"))))))=0,NA(),IF(EL$2="Catégorie",IF(EL$3="Toutes",SUMIFS('Étape 1 - à remplir'!$F$31:$F$400,'Étape 1 - à remplir'!$E$31:$E$400,MASQ2!EC217,'Étape 1 - à remplir'!$G$31:$G$400,"kg"),SUMIFS('Étape 1 - à remplir'!$F$31:$F$400,'Étape 1 - à remplir'!$E$31:$E$400,MASQ2!EC217,'Étape 1 - à remplir'!$C$31:$C$400,EL$3)),IF(EL$2="Âge",IF(EL$3="Tous",SUMIFS('Étape 1 - à remplir'!$F$31:$F$400,'Étape 1 - à remplir'!$E$31:$E$400,MASQ2!EC217,'Étape 1 - à remplir'!$G$31:$G$400,"kg"),SUMIFS('Étape 1 - à remplir'!$F$31:$F$400,'Étape 1 - à remplir'!$E$31:$E$400,MASQ2!EC217,'Étape 1 - à remplir'!$P$31:$P$400,EL$3,'Étape 1 - à remplir'!$G$31:$G$400,"kg")),IF(EL$2="Atelier",IF(EL$3="Tous",SUMIFS('Étape 1 - à remplir'!$F$31:$F$400,'Étape 1 - à remplir'!$E$31:$E$400,MASQ2!EC217,'Étape 1 - à remplir'!$G$31:$G$400,"kg"),SUMIFS('Étape 1 - à remplir'!$F$31:$F$400,'Étape 1 - à remplir'!$E$31:$E$400,MASQ2!EC217,'Étape 1 - à remplir'!$O$31:$O$400,EL$3,'Étape 1 - à remplir'!$G$31:$G$400,"kg")),IF(EL$2="Espèce",IF(EL$3="Toutes",SUMIFS('Étape 1 - à remplir'!$F$31:$F$400,'Étape 1 - à remplir'!$E$31:$E$400,MASQ2!EC217,'Étape 1 - à remplir'!$G$31:$G$400,"kg"),SUMIFS('Étape 1 - à remplir'!$F$31:$F$400,'Étape 1 - à remplir'!$E$31:$E$400,MASQ2!EC217,'Étape 1 - à remplir'!$N$31:$N$400,EL$3,'Étape 1 - à remplir'!$G$31:$G$400,"kg")))))))</f>
        <v>#N/A</v>
      </c>
      <c r="EE217" s="76">
        <f t="shared" si="209"/>
        <v>0</v>
      </c>
      <c r="EF217" t="str">
        <f t="shared" si="200"/>
        <v>Sulfaguanidine</v>
      </c>
      <c r="EG217" t="str">
        <f t="shared" si="201"/>
        <v>Colistine</v>
      </c>
      <c r="EH217" t="str">
        <f t="shared" si="202"/>
        <v/>
      </c>
      <c r="EI217" t="str">
        <f t="shared" si="203"/>
        <v>Sulfamides</v>
      </c>
      <c r="EJ217" t="str">
        <f t="shared" si="204"/>
        <v>Polypeptides</v>
      </c>
      <c r="EK217" s="63" t="str">
        <f t="shared" si="205"/>
        <v/>
      </c>
      <c r="EN217" s="42">
        <v>214</v>
      </c>
      <c r="EO217" t="e">
        <f t="shared" si="211"/>
        <v>#N/A</v>
      </c>
      <c r="EP217" s="63" t="e">
        <f t="shared" si="212"/>
        <v>#N/A</v>
      </c>
      <c r="FT217" s="63"/>
    </row>
    <row r="218" spans="2:176" x14ac:dyDescent="0.3">
      <c r="B218" s="42"/>
      <c r="M218" s="194" t="str">
        <f ca="1">INDEX(Données_ATB!BD:BU,MATCH(MASQ2!O218,Données_ATB!BD:BD,0),18)</f>
        <v>x</v>
      </c>
      <c r="N218" s="14" t="str">
        <f>IFERROR(IF(Q218=0,"",COUNTIF(Q$4:Q$600,"&gt;"&amp;Q218)+COUNTIF(Q$4:Q218,Q218)),"")</f>
        <v/>
      </c>
      <c r="O218" t="str">
        <f>Données_ATB!BD217</f>
        <v>ENTEROGRAM</v>
      </c>
      <c r="P218" t="e">
        <f>IF(IF(X$2="Catégorie",IF(X$3="Toutes",SUMIFS('Étape 1 - à remplir'!$F$31:$F$400,'Étape 1 - à remplir'!$E$31:$E$400,MASQ2!O218,'Étape 1 - à remplir'!$G$31:$G$400,"animaux"),SUMIFS('Étape 1 - à remplir'!$F$31:$F$400,'Étape 1 - à remplir'!$E$31:$E$400,MASQ2!O218,'Étape 1 - à remplir'!$C$31:$C$400,X$3)),IF(X$2="Âge",IF(X$3="Tous",SUMIFS('Étape 1 - à remplir'!$F$31:$F$400,'Étape 1 - à remplir'!$E$31:$E$400,MASQ2!O218,'Étape 1 - à remplir'!$G$31:$G$400,"animaux"),SUMIFS('Étape 1 - à remplir'!$F$31:$F$400,'Étape 1 - à remplir'!$E$31:$E$400,MASQ2!O218,'Étape 1 - à remplir'!$P$31:$P$400,X$3)),IF(X$2="Atelier",IF(X$3="Tous",SUMIFS('Étape 1 - à remplir'!$F$31:$F$400,'Étape 1 - à remplir'!$E$31:$E$400,MASQ2!O218,'Étape 1 - à remplir'!$G$31:$G$400,"animaux"),SUMIFS('Étape 1 - à remplir'!$F$31:$F$400,'Étape 1 - à remplir'!$E$31:$E$400,MASQ2!O218,'Étape 1 - à remplir'!$O$31:$O$400,X$3)),IF(X$2="Espèce",IF(X$3="Toutes",SUMIFS('Étape 1 - à remplir'!$F$31:$F$400,'Étape 1 - à remplir'!$E$31:$E$400,MASQ2!O218,'Étape 1 - à remplir'!$G$31:$G$400,"animaux"),SUMIFS('Étape 1 - à remplir'!$F$31:$F$400,'Étape 1 - à remplir'!$E$31:$E$400,MASQ2!O218,'Étape 1 - à remplir'!$N$31:$N$400,X$3))))))=0,NA(),IF(X$2="Catégorie",IF(X$3="Toutes",SUMIFS('Étape 1 - à remplir'!$F$31:$F$400,'Étape 1 - à remplir'!$E$31:$E$400,MASQ2!O218,'Étape 1 - à remplir'!$G$31:$G$400,"animaux"),SUMIFS('Étape 1 - à remplir'!$F$31:$F$400,'Étape 1 - à remplir'!$E$31:$E$400,MASQ2!O218,'Étape 1 - à remplir'!$C$31:$C$400,X$3)),IF(X$2="Âge",IF(X$3="Tous",SUMIFS('Étape 1 - à remplir'!$F$31:$F$400,'Étape 1 - à remplir'!$E$31:$E$400,MASQ2!O218,'Étape 1 - à remplir'!$G$31:$G$400,"animaux"),SUMIFS('Étape 1 - à remplir'!$F$31:$F$400,'Étape 1 - à remplir'!$E$31:$E$400,MASQ2!O218,'Étape 1 - à remplir'!$P$31:$P$400,X$3)),IF(X$2="Atelier",IF(X$3="Tous",SUMIFS('Étape 1 - à remplir'!$F$31:$F$400,'Étape 1 - à remplir'!$E$31:$E$400,MASQ2!O218,'Étape 1 - à remplir'!$G$31:$G$400,"animaux"),SUMIFS('Étape 1 - à remplir'!$F$31:$F$400,'Étape 1 - à remplir'!$E$31:$E$400,MASQ2!O218,'Étape 1 - à remplir'!$O$31:$O$400,X$3)),IF(X$2="Espèce",IF(X$3="Toutes",SUMIFS('Étape 1 - à remplir'!$F$31:$F$400,'Étape 1 - à remplir'!$E$31:$E$400,MASQ2!O218,'Étape 1 - à remplir'!$G$31:$G$400,"animaux"),SUMIFS('Étape 1 - à remplir'!$F$31:$F$400,'Étape 1 - à remplir'!$E$31:$E$400,MASQ2!O218,'Étape 1 - à remplir'!$N$31:$N$400,X$3)))))))</f>
        <v>#N/A</v>
      </c>
      <c r="Q218" s="63">
        <f t="shared" si="210"/>
        <v>0</v>
      </c>
      <c r="R218" t="str">
        <f>Données_ATB!BM217</f>
        <v>Colistine</v>
      </c>
      <c r="S218" t="str">
        <f>Données_ATB!BN217</f>
        <v/>
      </c>
      <c r="T218" s="63" t="str">
        <f>Données_ATB!BO217</f>
        <v/>
      </c>
      <c r="U218" s="42" t="str">
        <f>Données_ATB!BQ217</f>
        <v>Polypeptides</v>
      </c>
      <c r="V218" t="str">
        <f>Données_ATB!BR217</f>
        <v/>
      </c>
      <c r="W218" s="63" t="str">
        <f>Données_ATB!BS217</f>
        <v/>
      </c>
      <c r="Z218" s="42">
        <v>215</v>
      </c>
      <c r="AA218" t="e">
        <f t="shared" si="206"/>
        <v>#N/A</v>
      </c>
      <c r="AB218" s="63" t="e">
        <f t="shared" si="207"/>
        <v>#N/A</v>
      </c>
      <c r="BF218" s="63"/>
      <c r="BT218" s="194" t="str">
        <f t="shared" ca="1" si="190"/>
        <v>x</v>
      </c>
      <c r="BU218" s="219" t="str">
        <f>IFERROR(IF(BX218=0,"",COUNTIF(BX$4:BX$600,"&gt;"&amp;BX218)+COUNTIF(BX$4:BX218,BX218)),"")</f>
        <v/>
      </c>
      <c r="BV218" s="42" t="str">
        <f t="shared" si="191"/>
        <v>ENTEROGRAM</v>
      </c>
      <c r="BW218" t="e">
        <f>IF(IF(CE$2="Catégorie",IF(CE$3="Toutes",SUMIFS('Étape 1 - à remplir'!$F$31:$F$400,'Étape 1 - à remplir'!$E$31:$E$400,MASQ2!BV218,'Étape 1 - à remplir'!$G$31:$G$400,"lots"),SUMIFS('Étape 1 - à remplir'!$F$31:$F$400,'Étape 1 - à remplir'!$E$31:$E$400,MASQ2!BV218,'Étape 1 - à remplir'!$C$31:$C$400,CE$3)),IF(CE$2="Âge",IF(CE$3="Tous",SUMIFS('Étape 1 - à remplir'!$F$31:$F$400,'Étape 1 - à remplir'!$E$31:$E$400,MASQ2!BV218,'Étape 1 - à remplir'!$G$31:$G$400,"lots"),SUMIFS('Étape 1 - à remplir'!$F$31:$F$400,'Étape 1 - à remplir'!$E$31:$E$400,MASQ2!BV218,'Étape 1 - à remplir'!$P$31:$P$400,CE$3,'Étape 1 - à remplir'!$G$31:$G$400,"lots")),IF(CE$2="Atelier",IF(CE$3="Tous",SUMIFS('Étape 1 - à remplir'!$F$31:$F$400,'Étape 1 - à remplir'!$E$31:$E$400,MASQ2!BV218,'Étape 1 - à remplir'!$G$31:$G$400,"lots"),SUMIFS('Étape 1 - à remplir'!$F$31:$F$400,'Étape 1 - à remplir'!$E$31:$E$400,MASQ2!BV218,'Étape 1 - à remplir'!$O$31:$O$400,CE$3,'Étape 1 - à remplir'!$G$31:$G$400,"lots")),IF(CE$2="Espèce",IF(CE$3="Toutes",SUMIFS('Étape 1 - à remplir'!$F$31:$F$400,'Étape 1 - à remplir'!$E$31:$E$400,MASQ2!BV218,'Étape 1 - à remplir'!$G$31:$G$400,"lots"),SUMIFS('Étape 1 - à remplir'!$F$31:$F$400,'Étape 1 - à remplir'!$E$31:$E$400,MASQ2!BV218,'Étape 1 - à remplir'!$N$31:$N$400,CE$3,'Étape 1 - à remplir'!$G$31:$G$400,"lots"))))))=0,NA(),IF(CE$2="Catégorie",IF(CE$3="Toutes",SUMIFS('Étape 1 - à remplir'!$F$31:$F$400,'Étape 1 - à remplir'!$E$31:$E$400,MASQ2!BV218,'Étape 1 - à remplir'!$G$31:$G$400,"lots"),SUMIFS('Étape 1 - à remplir'!$F$31:$F$400,'Étape 1 - à remplir'!$E$31:$E$400,MASQ2!BV218,'Étape 1 - à remplir'!$C$31:$C$400,CE$3)),IF(CE$2="Âge",IF(CE$3="Tous",SUMIFS('Étape 1 - à remplir'!$F$31:$F$400,'Étape 1 - à remplir'!$E$31:$E$400,MASQ2!BV218,'Étape 1 - à remplir'!$G$31:$G$400,"lots"),SUMIFS('Étape 1 - à remplir'!$F$31:$F$400,'Étape 1 - à remplir'!$E$31:$E$400,MASQ2!BV218,'Étape 1 - à remplir'!$P$31:$P$400,CE$3,'Étape 1 - à remplir'!$G$31:$G$400,"lots")),IF(CE$2="Atelier",IF(CE$3="Tous",SUMIFS('Étape 1 - à remplir'!$F$31:$F$400,'Étape 1 - à remplir'!$E$31:$E$400,MASQ2!BV218,'Étape 1 - à remplir'!$G$31:$G$400,"lots"),SUMIFS('Étape 1 - à remplir'!$F$31:$F$400,'Étape 1 - à remplir'!$E$31:$E$400,MASQ2!BV218,'Étape 1 - à remplir'!$O$31:$O$400,CE$3,'Étape 1 - à remplir'!$G$31:$G$400,"lots")),IF(CE$2="Espèce",IF(CE$3="Toutes",SUMIFS('Étape 1 - à remplir'!$F$31:$F$400,'Étape 1 - à remplir'!$E$31:$E$400,MASQ2!BV218,'Étape 1 - à remplir'!$G$31:$G$400,"lots"),SUMIFS('Étape 1 - à remplir'!$F$31:$F$400,'Étape 1 - à remplir'!$E$31:$E$400,MASQ2!BV218,'Étape 1 - à remplir'!$N$31:$N$400,CE$3,'Étape 1 - à remplir'!$G$31:$G$400,"lots")))))))</f>
        <v>#N/A</v>
      </c>
      <c r="BX218">
        <f t="shared" si="208"/>
        <v>0</v>
      </c>
      <c r="BY218" t="str">
        <f t="shared" si="192"/>
        <v>Colistine</v>
      </c>
      <c r="BZ218" t="str">
        <f t="shared" si="193"/>
        <v/>
      </c>
      <c r="CA218" t="str">
        <f t="shared" si="194"/>
        <v/>
      </c>
      <c r="CB218" t="str">
        <f t="shared" si="195"/>
        <v>Polypeptides</v>
      </c>
      <c r="CC218" t="str">
        <f t="shared" si="196"/>
        <v/>
      </c>
      <c r="CD218" s="63" t="str">
        <f t="shared" si="197"/>
        <v/>
      </c>
      <c r="CG218" s="42">
        <v>215</v>
      </c>
      <c r="CH218" s="42" t="e">
        <f t="shared" si="213"/>
        <v>#N/A</v>
      </c>
      <c r="CI218" s="63" t="e">
        <f t="shared" si="214"/>
        <v>#N/A</v>
      </c>
      <c r="DM218" s="63"/>
      <c r="EA218" s="194" t="str">
        <f t="shared" ca="1" si="198"/>
        <v>x</v>
      </c>
      <c r="EB218" s="226" t="str">
        <f>IFERROR(IF(ED218=0,"",COUNTIF(ED$4:ED$600,"&gt;"&amp;ED218)+COUNTIF(ED$4:ED218,ED218)),"")</f>
        <v/>
      </c>
      <c r="EC218" t="str">
        <f t="shared" si="199"/>
        <v>ENTEROGRAM</v>
      </c>
      <c r="ED218" t="e">
        <f>IF(IF(EL$2="Catégorie",IF(EL$3="Toutes",SUMIFS('Étape 1 - à remplir'!$F$31:$F$400,'Étape 1 - à remplir'!$E$31:$E$400,MASQ2!EC218,'Étape 1 - à remplir'!$G$31:$G$400,"kg"),SUMIFS('Étape 1 - à remplir'!$F$31:$F$400,'Étape 1 - à remplir'!$E$31:$E$400,MASQ2!EC218,'Étape 1 - à remplir'!$C$31:$C$400,EL$3)),IF(EL$2="Âge",IF(EL$3="Tous",SUMIFS('Étape 1 - à remplir'!$F$31:$F$400,'Étape 1 - à remplir'!$E$31:$E$400,MASQ2!EC218,'Étape 1 - à remplir'!$G$31:$G$400,"kg"),SUMIFS('Étape 1 - à remplir'!$F$31:$F$400,'Étape 1 - à remplir'!$E$31:$E$400,MASQ2!EC218,'Étape 1 - à remplir'!$P$31:$P$400,EL$3,'Étape 1 - à remplir'!$G$31:$G$400,"kg")),IF(EL$2="Atelier",IF(EL$3="Tous",SUMIFS('Étape 1 - à remplir'!$F$31:$F$400,'Étape 1 - à remplir'!$E$31:$E$400,MASQ2!EC218,'Étape 1 - à remplir'!$G$31:$G$400,"kg"),SUMIFS('Étape 1 - à remplir'!$F$31:$F$400,'Étape 1 - à remplir'!$E$31:$E$400,MASQ2!EC218,'Étape 1 - à remplir'!$O$31:$O$400,EL$3,'Étape 1 - à remplir'!$G$31:$G$400,"kg")),IF(EL$2="Espèce",IF(EL$3="Toutes",SUMIFS('Étape 1 - à remplir'!$F$31:$F$400,'Étape 1 - à remplir'!$E$31:$E$400,MASQ2!EC218,'Étape 1 - à remplir'!$G$31:$G$400,"kg"),SUMIFS('Étape 1 - à remplir'!$F$31:$F$400,'Étape 1 - à remplir'!$E$31:$E$400,MASQ2!EC218,'Étape 1 - à remplir'!$N$31:$N$400,EL$3,'Étape 1 - à remplir'!$G$31:$G$400,"kg"))))))=0,NA(),IF(EL$2="Catégorie",IF(EL$3="Toutes",SUMIFS('Étape 1 - à remplir'!$F$31:$F$400,'Étape 1 - à remplir'!$E$31:$E$400,MASQ2!EC218,'Étape 1 - à remplir'!$G$31:$G$400,"kg"),SUMIFS('Étape 1 - à remplir'!$F$31:$F$400,'Étape 1 - à remplir'!$E$31:$E$400,MASQ2!EC218,'Étape 1 - à remplir'!$C$31:$C$400,EL$3)),IF(EL$2="Âge",IF(EL$3="Tous",SUMIFS('Étape 1 - à remplir'!$F$31:$F$400,'Étape 1 - à remplir'!$E$31:$E$400,MASQ2!EC218,'Étape 1 - à remplir'!$G$31:$G$400,"kg"),SUMIFS('Étape 1 - à remplir'!$F$31:$F$400,'Étape 1 - à remplir'!$E$31:$E$400,MASQ2!EC218,'Étape 1 - à remplir'!$P$31:$P$400,EL$3,'Étape 1 - à remplir'!$G$31:$G$400,"kg")),IF(EL$2="Atelier",IF(EL$3="Tous",SUMIFS('Étape 1 - à remplir'!$F$31:$F$400,'Étape 1 - à remplir'!$E$31:$E$400,MASQ2!EC218,'Étape 1 - à remplir'!$G$31:$G$400,"kg"),SUMIFS('Étape 1 - à remplir'!$F$31:$F$400,'Étape 1 - à remplir'!$E$31:$E$400,MASQ2!EC218,'Étape 1 - à remplir'!$O$31:$O$400,EL$3,'Étape 1 - à remplir'!$G$31:$G$400,"kg")),IF(EL$2="Espèce",IF(EL$3="Toutes",SUMIFS('Étape 1 - à remplir'!$F$31:$F$400,'Étape 1 - à remplir'!$E$31:$E$400,MASQ2!EC218,'Étape 1 - à remplir'!$G$31:$G$400,"kg"),SUMIFS('Étape 1 - à remplir'!$F$31:$F$400,'Étape 1 - à remplir'!$E$31:$E$400,MASQ2!EC218,'Étape 1 - à remplir'!$N$31:$N$400,EL$3,'Étape 1 - à remplir'!$G$31:$G$400,"kg")))))))</f>
        <v>#N/A</v>
      </c>
      <c r="EE218" s="76">
        <f t="shared" si="209"/>
        <v>0</v>
      </c>
      <c r="EF218" t="str">
        <f t="shared" si="200"/>
        <v>Colistine</v>
      </c>
      <c r="EG218" t="str">
        <f t="shared" si="201"/>
        <v/>
      </c>
      <c r="EH218" t="str">
        <f t="shared" si="202"/>
        <v/>
      </c>
      <c r="EI218" t="str">
        <f t="shared" si="203"/>
        <v>Polypeptides</v>
      </c>
      <c r="EJ218" t="str">
        <f t="shared" si="204"/>
        <v/>
      </c>
      <c r="EK218" s="63" t="str">
        <f t="shared" si="205"/>
        <v/>
      </c>
      <c r="EN218" s="42">
        <v>215</v>
      </c>
      <c r="EO218" t="e">
        <f t="shared" si="211"/>
        <v>#N/A</v>
      </c>
      <c r="EP218" s="63" t="e">
        <f t="shared" si="212"/>
        <v>#N/A</v>
      </c>
      <c r="FT218" s="63"/>
    </row>
    <row r="219" spans="2:176" x14ac:dyDescent="0.3">
      <c r="B219" s="42"/>
      <c r="M219" s="194" t="str">
        <f ca="1">INDEX(Données_ATB!BD:BU,MATCH(MASQ2!O219,Données_ATB!BD:BD,0),18)</f>
        <v/>
      </c>
      <c r="N219" s="14" t="str">
        <f>IFERROR(IF(Q219=0,"",COUNTIF(Q$4:Q$600,"&gt;"&amp;Q219)+COUNTIF(Q$4:Q219,Q219)),"")</f>
        <v/>
      </c>
      <c r="O219" t="str">
        <f>Données_ATB!BD218</f>
        <v>ENTOCUNIMYCINE</v>
      </c>
      <c r="P219" t="e">
        <f>IF(IF(X$2="Catégorie",IF(X$3="Toutes",SUMIFS('Étape 1 - à remplir'!$F$31:$F$400,'Étape 1 - à remplir'!$E$31:$E$400,MASQ2!O219,'Étape 1 - à remplir'!$G$31:$G$400,"animaux"),SUMIFS('Étape 1 - à remplir'!$F$31:$F$400,'Étape 1 - à remplir'!$E$31:$E$400,MASQ2!O219,'Étape 1 - à remplir'!$C$31:$C$400,X$3)),IF(X$2="Âge",IF(X$3="Tous",SUMIFS('Étape 1 - à remplir'!$F$31:$F$400,'Étape 1 - à remplir'!$E$31:$E$400,MASQ2!O219,'Étape 1 - à remplir'!$G$31:$G$400,"animaux"),SUMIFS('Étape 1 - à remplir'!$F$31:$F$400,'Étape 1 - à remplir'!$E$31:$E$400,MASQ2!O219,'Étape 1 - à remplir'!$P$31:$P$400,X$3)),IF(X$2="Atelier",IF(X$3="Tous",SUMIFS('Étape 1 - à remplir'!$F$31:$F$400,'Étape 1 - à remplir'!$E$31:$E$400,MASQ2!O219,'Étape 1 - à remplir'!$G$31:$G$400,"animaux"),SUMIFS('Étape 1 - à remplir'!$F$31:$F$400,'Étape 1 - à remplir'!$E$31:$E$400,MASQ2!O219,'Étape 1 - à remplir'!$O$31:$O$400,X$3)),IF(X$2="Espèce",IF(X$3="Toutes",SUMIFS('Étape 1 - à remplir'!$F$31:$F$400,'Étape 1 - à remplir'!$E$31:$E$400,MASQ2!O219,'Étape 1 - à remplir'!$G$31:$G$400,"animaux"),SUMIFS('Étape 1 - à remplir'!$F$31:$F$400,'Étape 1 - à remplir'!$E$31:$E$400,MASQ2!O219,'Étape 1 - à remplir'!$N$31:$N$400,X$3))))))=0,NA(),IF(X$2="Catégorie",IF(X$3="Toutes",SUMIFS('Étape 1 - à remplir'!$F$31:$F$400,'Étape 1 - à remplir'!$E$31:$E$400,MASQ2!O219,'Étape 1 - à remplir'!$G$31:$G$400,"animaux"),SUMIFS('Étape 1 - à remplir'!$F$31:$F$400,'Étape 1 - à remplir'!$E$31:$E$400,MASQ2!O219,'Étape 1 - à remplir'!$C$31:$C$400,X$3)),IF(X$2="Âge",IF(X$3="Tous",SUMIFS('Étape 1 - à remplir'!$F$31:$F$400,'Étape 1 - à remplir'!$E$31:$E$400,MASQ2!O219,'Étape 1 - à remplir'!$G$31:$G$400,"animaux"),SUMIFS('Étape 1 - à remplir'!$F$31:$F$400,'Étape 1 - à remplir'!$E$31:$E$400,MASQ2!O219,'Étape 1 - à remplir'!$P$31:$P$400,X$3)),IF(X$2="Atelier",IF(X$3="Tous",SUMIFS('Étape 1 - à remplir'!$F$31:$F$400,'Étape 1 - à remplir'!$E$31:$E$400,MASQ2!O219,'Étape 1 - à remplir'!$G$31:$G$400,"animaux"),SUMIFS('Étape 1 - à remplir'!$F$31:$F$400,'Étape 1 - à remplir'!$E$31:$E$400,MASQ2!O219,'Étape 1 - à remplir'!$O$31:$O$400,X$3)),IF(X$2="Espèce",IF(X$3="Toutes",SUMIFS('Étape 1 - à remplir'!$F$31:$F$400,'Étape 1 - à remplir'!$E$31:$E$400,MASQ2!O219,'Étape 1 - à remplir'!$G$31:$G$400,"animaux"),SUMIFS('Étape 1 - à remplir'!$F$31:$F$400,'Étape 1 - à remplir'!$E$31:$E$400,MASQ2!O219,'Étape 1 - à remplir'!$N$31:$N$400,X$3)))))))</f>
        <v>#N/A</v>
      </c>
      <c r="Q219" s="63">
        <f t="shared" si="210"/>
        <v>0</v>
      </c>
      <c r="R219" t="str">
        <f>Données_ATB!BM218</f>
        <v>Néomycine</v>
      </c>
      <c r="S219" t="str">
        <f>Données_ATB!BN218</f>
        <v/>
      </c>
      <c r="T219" s="63" t="str">
        <f>Données_ATB!BO218</f>
        <v/>
      </c>
      <c r="U219" s="42" t="str">
        <f>Données_ATB!BQ218</f>
        <v>Aminoglycosides</v>
      </c>
      <c r="V219" t="str">
        <f>Données_ATB!BR218</f>
        <v/>
      </c>
      <c r="W219" s="63" t="str">
        <f>Données_ATB!BS218</f>
        <v/>
      </c>
      <c r="Z219" s="42">
        <v>216</v>
      </c>
      <c r="AA219" t="e">
        <f t="shared" si="206"/>
        <v>#N/A</v>
      </c>
      <c r="AB219" s="63" t="e">
        <f t="shared" si="207"/>
        <v>#N/A</v>
      </c>
      <c r="BF219" s="63"/>
      <c r="BT219" s="194" t="str">
        <f t="shared" ca="1" si="190"/>
        <v/>
      </c>
      <c r="BU219" s="219" t="str">
        <f>IFERROR(IF(BX219=0,"",COUNTIF(BX$4:BX$600,"&gt;"&amp;BX219)+COUNTIF(BX$4:BX219,BX219)),"")</f>
        <v/>
      </c>
      <c r="BV219" s="42" t="str">
        <f t="shared" si="191"/>
        <v>ENTOCUNIMYCINE</v>
      </c>
      <c r="BW219" t="e">
        <f>IF(IF(CE$2="Catégorie",IF(CE$3="Toutes",SUMIFS('Étape 1 - à remplir'!$F$31:$F$400,'Étape 1 - à remplir'!$E$31:$E$400,MASQ2!BV219,'Étape 1 - à remplir'!$G$31:$G$400,"lots"),SUMIFS('Étape 1 - à remplir'!$F$31:$F$400,'Étape 1 - à remplir'!$E$31:$E$400,MASQ2!BV219,'Étape 1 - à remplir'!$C$31:$C$400,CE$3)),IF(CE$2="Âge",IF(CE$3="Tous",SUMIFS('Étape 1 - à remplir'!$F$31:$F$400,'Étape 1 - à remplir'!$E$31:$E$400,MASQ2!BV219,'Étape 1 - à remplir'!$G$31:$G$400,"lots"),SUMIFS('Étape 1 - à remplir'!$F$31:$F$400,'Étape 1 - à remplir'!$E$31:$E$400,MASQ2!BV219,'Étape 1 - à remplir'!$P$31:$P$400,CE$3,'Étape 1 - à remplir'!$G$31:$G$400,"lots")),IF(CE$2="Atelier",IF(CE$3="Tous",SUMIFS('Étape 1 - à remplir'!$F$31:$F$400,'Étape 1 - à remplir'!$E$31:$E$400,MASQ2!BV219,'Étape 1 - à remplir'!$G$31:$G$400,"lots"),SUMIFS('Étape 1 - à remplir'!$F$31:$F$400,'Étape 1 - à remplir'!$E$31:$E$400,MASQ2!BV219,'Étape 1 - à remplir'!$O$31:$O$400,CE$3,'Étape 1 - à remplir'!$G$31:$G$400,"lots")),IF(CE$2="Espèce",IF(CE$3="Toutes",SUMIFS('Étape 1 - à remplir'!$F$31:$F$400,'Étape 1 - à remplir'!$E$31:$E$400,MASQ2!BV219,'Étape 1 - à remplir'!$G$31:$G$400,"lots"),SUMIFS('Étape 1 - à remplir'!$F$31:$F$400,'Étape 1 - à remplir'!$E$31:$E$400,MASQ2!BV219,'Étape 1 - à remplir'!$N$31:$N$400,CE$3,'Étape 1 - à remplir'!$G$31:$G$400,"lots"))))))=0,NA(),IF(CE$2="Catégorie",IF(CE$3="Toutes",SUMIFS('Étape 1 - à remplir'!$F$31:$F$400,'Étape 1 - à remplir'!$E$31:$E$400,MASQ2!BV219,'Étape 1 - à remplir'!$G$31:$G$400,"lots"),SUMIFS('Étape 1 - à remplir'!$F$31:$F$400,'Étape 1 - à remplir'!$E$31:$E$400,MASQ2!BV219,'Étape 1 - à remplir'!$C$31:$C$400,CE$3)),IF(CE$2="Âge",IF(CE$3="Tous",SUMIFS('Étape 1 - à remplir'!$F$31:$F$400,'Étape 1 - à remplir'!$E$31:$E$400,MASQ2!BV219,'Étape 1 - à remplir'!$G$31:$G$400,"lots"),SUMIFS('Étape 1 - à remplir'!$F$31:$F$400,'Étape 1 - à remplir'!$E$31:$E$400,MASQ2!BV219,'Étape 1 - à remplir'!$P$31:$P$400,CE$3,'Étape 1 - à remplir'!$G$31:$G$400,"lots")),IF(CE$2="Atelier",IF(CE$3="Tous",SUMIFS('Étape 1 - à remplir'!$F$31:$F$400,'Étape 1 - à remplir'!$E$31:$E$400,MASQ2!BV219,'Étape 1 - à remplir'!$G$31:$G$400,"lots"),SUMIFS('Étape 1 - à remplir'!$F$31:$F$400,'Étape 1 - à remplir'!$E$31:$E$400,MASQ2!BV219,'Étape 1 - à remplir'!$O$31:$O$400,CE$3,'Étape 1 - à remplir'!$G$31:$G$400,"lots")),IF(CE$2="Espèce",IF(CE$3="Toutes",SUMIFS('Étape 1 - à remplir'!$F$31:$F$400,'Étape 1 - à remplir'!$E$31:$E$400,MASQ2!BV219,'Étape 1 - à remplir'!$G$31:$G$400,"lots"),SUMIFS('Étape 1 - à remplir'!$F$31:$F$400,'Étape 1 - à remplir'!$E$31:$E$400,MASQ2!BV219,'Étape 1 - à remplir'!$N$31:$N$400,CE$3,'Étape 1 - à remplir'!$G$31:$G$400,"lots")))))))</f>
        <v>#N/A</v>
      </c>
      <c r="BX219">
        <f t="shared" si="208"/>
        <v>0</v>
      </c>
      <c r="BY219" t="str">
        <f t="shared" si="192"/>
        <v>Néomycine</v>
      </c>
      <c r="BZ219" t="str">
        <f t="shared" si="193"/>
        <v/>
      </c>
      <c r="CA219" t="str">
        <f t="shared" si="194"/>
        <v/>
      </c>
      <c r="CB219" t="str">
        <f t="shared" si="195"/>
        <v>Aminoglycosides</v>
      </c>
      <c r="CC219" t="str">
        <f t="shared" si="196"/>
        <v/>
      </c>
      <c r="CD219" s="63" t="str">
        <f t="shared" si="197"/>
        <v/>
      </c>
      <c r="CG219" s="42">
        <v>216</v>
      </c>
      <c r="CH219" s="42" t="e">
        <f t="shared" si="213"/>
        <v>#N/A</v>
      </c>
      <c r="CI219" s="63" t="e">
        <f t="shared" si="214"/>
        <v>#N/A</v>
      </c>
      <c r="DM219" s="63"/>
      <c r="EA219" s="194" t="str">
        <f t="shared" ca="1" si="198"/>
        <v/>
      </c>
      <c r="EB219" s="226" t="str">
        <f>IFERROR(IF(ED219=0,"",COUNTIF(ED$4:ED$600,"&gt;"&amp;ED219)+COUNTIF(ED$4:ED219,ED219)),"")</f>
        <v/>
      </c>
      <c r="EC219" t="str">
        <f t="shared" si="199"/>
        <v>ENTOCUNIMYCINE</v>
      </c>
      <c r="ED219" t="e">
        <f>IF(IF(EL$2="Catégorie",IF(EL$3="Toutes",SUMIFS('Étape 1 - à remplir'!$F$31:$F$400,'Étape 1 - à remplir'!$E$31:$E$400,MASQ2!EC219,'Étape 1 - à remplir'!$G$31:$G$400,"kg"),SUMIFS('Étape 1 - à remplir'!$F$31:$F$400,'Étape 1 - à remplir'!$E$31:$E$400,MASQ2!EC219,'Étape 1 - à remplir'!$C$31:$C$400,EL$3)),IF(EL$2="Âge",IF(EL$3="Tous",SUMIFS('Étape 1 - à remplir'!$F$31:$F$400,'Étape 1 - à remplir'!$E$31:$E$400,MASQ2!EC219,'Étape 1 - à remplir'!$G$31:$G$400,"kg"),SUMIFS('Étape 1 - à remplir'!$F$31:$F$400,'Étape 1 - à remplir'!$E$31:$E$400,MASQ2!EC219,'Étape 1 - à remplir'!$P$31:$P$400,EL$3,'Étape 1 - à remplir'!$G$31:$G$400,"kg")),IF(EL$2="Atelier",IF(EL$3="Tous",SUMIFS('Étape 1 - à remplir'!$F$31:$F$400,'Étape 1 - à remplir'!$E$31:$E$400,MASQ2!EC219,'Étape 1 - à remplir'!$G$31:$G$400,"kg"),SUMIFS('Étape 1 - à remplir'!$F$31:$F$400,'Étape 1 - à remplir'!$E$31:$E$400,MASQ2!EC219,'Étape 1 - à remplir'!$O$31:$O$400,EL$3,'Étape 1 - à remplir'!$G$31:$G$400,"kg")),IF(EL$2="Espèce",IF(EL$3="Toutes",SUMIFS('Étape 1 - à remplir'!$F$31:$F$400,'Étape 1 - à remplir'!$E$31:$E$400,MASQ2!EC219,'Étape 1 - à remplir'!$G$31:$G$400,"kg"),SUMIFS('Étape 1 - à remplir'!$F$31:$F$400,'Étape 1 - à remplir'!$E$31:$E$400,MASQ2!EC219,'Étape 1 - à remplir'!$N$31:$N$400,EL$3,'Étape 1 - à remplir'!$G$31:$G$400,"kg"))))))=0,NA(),IF(EL$2="Catégorie",IF(EL$3="Toutes",SUMIFS('Étape 1 - à remplir'!$F$31:$F$400,'Étape 1 - à remplir'!$E$31:$E$400,MASQ2!EC219,'Étape 1 - à remplir'!$G$31:$G$400,"kg"),SUMIFS('Étape 1 - à remplir'!$F$31:$F$400,'Étape 1 - à remplir'!$E$31:$E$400,MASQ2!EC219,'Étape 1 - à remplir'!$C$31:$C$400,EL$3)),IF(EL$2="Âge",IF(EL$3="Tous",SUMIFS('Étape 1 - à remplir'!$F$31:$F$400,'Étape 1 - à remplir'!$E$31:$E$400,MASQ2!EC219,'Étape 1 - à remplir'!$G$31:$G$400,"kg"),SUMIFS('Étape 1 - à remplir'!$F$31:$F$400,'Étape 1 - à remplir'!$E$31:$E$400,MASQ2!EC219,'Étape 1 - à remplir'!$P$31:$P$400,EL$3,'Étape 1 - à remplir'!$G$31:$G$400,"kg")),IF(EL$2="Atelier",IF(EL$3="Tous",SUMIFS('Étape 1 - à remplir'!$F$31:$F$400,'Étape 1 - à remplir'!$E$31:$E$400,MASQ2!EC219,'Étape 1 - à remplir'!$G$31:$G$400,"kg"),SUMIFS('Étape 1 - à remplir'!$F$31:$F$400,'Étape 1 - à remplir'!$E$31:$E$400,MASQ2!EC219,'Étape 1 - à remplir'!$O$31:$O$400,EL$3,'Étape 1 - à remplir'!$G$31:$G$400,"kg")),IF(EL$2="Espèce",IF(EL$3="Toutes",SUMIFS('Étape 1 - à remplir'!$F$31:$F$400,'Étape 1 - à remplir'!$E$31:$E$400,MASQ2!EC219,'Étape 1 - à remplir'!$G$31:$G$400,"kg"),SUMIFS('Étape 1 - à remplir'!$F$31:$F$400,'Étape 1 - à remplir'!$E$31:$E$400,MASQ2!EC219,'Étape 1 - à remplir'!$N$31:$N$400,EL$3,'Étape 1 - à remplir'!$G$31:$G$400,"kg")))))))</f>
        <v>#N/A</v>
      </c>
      <c r="EE219" s="76">
        <f t="shared" si="209"/>
        <v>0</v>
      </c>
      <c r="EF219" t="str">
        <f t="shared" si="200"/>
        <v>Néomycine</v>
      </c>
      <c r="EG219" t="str">
        <f t="shared" si="201"/>
        <v/>
      </c>
      <c r="EH219" t="str">
        <f t="shared" si="202"/>
        <v/>
      </c>
      <c r="EI219" t="str">
        <f t="shared" si="203"/>
        <v>Aminoglycosides</v>
      </c>
      <c r="EJ219" t="str">
        <f t="shared" si="204"/>
        <v/>
      </c>
      <c r="EK219" s="63" t="str">
        <f t="shared" si="205"/>
        <v/>
      </c>
      <c r="EN219" s="42">
        <v>216</v>
      </c>
      <c r="EO219" t="e">
        <f t="shared" si="211"/>
        <v>#N/A</v>
      </c>
      <c r="EP219" s="63" t="e">
        <f t="shared" si="212"/>
        <v>#N/A</v>
      </c>
      <c r="FT219" s="63"/>
    </row>
    <row r="220" spans="2:176" x14ac:dyDescent="0.3">
      <c r="B220" s="42"/>
      <c r="M220" s="194" t="str">
        <f ca="1">INDEX(Données_ATB!BD:BU,MATCH(MASQ2!O220,Données_ATB!BD:BD,0),18)</f>
        <v/>
      </c>
      <c r="N220" s="14" t="str">
        <f>IFERROR(IF(Q220=0,"",COUNTIF(Q$4:Q$600,"&gt;"&amp;Q220)+COUNTIF(Q$4:Q220,Q220)),"")</f>
        <v/>
      </c>
      <c r="O220" t="str">
        <f>Données_ATB!BD219</f>
        <v>ENZOO-GROUP</v>
      </c>
      <c r="P220" t="e">
        <f>IF(IF(X$2="Catégorie",IF(X$3="Toutes",SUMIFS('Étape 1 - à remplir'!$F$31:$F$400,'Étape 1 - à remplir'!$E$31:$E$400,MASQ2!O220,'Étape 1 - à remplir'!$G$31:$G$400,"animaux"),SUMIFS('Étape 1 - à remplir'!$F$31:$F$400,'Étape 1 - à remplir'!$E$31:$E$400,MASQ2!O220,'Étape 1 - à remplir'!$C$31:$C$400,X$3)),IF(X$2="Âge",IF(X$3="Tous",SUMIFS('Étape 1 - à remplir'!$F$31:$F$400,'Étape 1 - à remplir'!$E$31:$E$400,MASQ2!O220,'Étape 1 - à remplir'!$G$31:$G$400,"animaux"),SUMIFS('Étape 1 - à remplir'!$F$31:$F$400,'Étape 1 - à remplir'!$E$31:$E$400,MASQ2!O220,'Étape 1 - à remplir'!$P$31:$P$400,X$3)),IF(X$2="Atelier",IF(X$3="Tous",SUMIFS('Étape 1 - à remplir'!$F$31:$F$400,'Étape 1 - à remplir'!$E$31:$E$400,MASQ2!O220,'Étape 1 - à remplir'!$G$31:$G$400,"animaux"),SUMIFS('Étape 1 - à remplir'!$F$31:$F$400,'Étape 1 - à remplir'!$E$31:$E$400,MASQ2!O220,'Étape 1 - à remplir'!$O$31:$O$400,X$3)),IF(X$2="Espèce",IF(X$3="Toutes",SUMIFS('Étape 1 - à remplir'!$F$31:$F$400,'Étape 1 - à remplir'!$E$31:$E$400,MASQ2!O220,'Étape 1 - à remplir'!$G$31:$G$400,"animaux"),SUMIFS('Étape 1 - à remplir'!$F$31:$F$400,'Étape 1 - à remplir'!$E$31:$E$400,MASQ2!O220,'Étape 1 - à remplir'!$N$31:$N$400,X$3))))))=0,NA(),IF(X$2="Catégorie",IF(X$3="Toutes",SUMIFS('Étape 1 - à remplir'!$F$31:$F$400,'Étape 1 - à remplir'!$E$31:$E$400,MASQ2!O220,'Étape 1 - à remplir'!$G$31:$G$400,"animaux"),SUMIFS('Étape 1 - à remplir'!$F$31:$F$400,'Étape 1 - à remplir'!$E$31:$E$400,MASQ2!O220,'Étape 1 - à remplir'!$C$31:$C$400,X$3)),IF(X$2="Âge",IF(X$3="Tous",SUMIFS('Étape 1 - à remplir'!$F$31:$F$400,'Étape 1 - à remplir'!$E$31:$E$400,MASQ2!O220,'Étape 1 - à remplir'!$G$31:$G$400,"animaux"),SUMIFS('Étape 1 - à remplir'!$F$31:$F$400,'Étape 1 - à remplir'!$E$31:$E$400,MASQ2!O220,'Étape 1 - à remplir'!$P$31:$P$400,X$3)),IF(X$2="Atelier",IF(X$3="Tous",SUMIFS('Étape 1 - à remplir'!$F$31:$F$400,'Étape 1 - à remplir'!$E$31:$E$400,MASQ2!O220,'Étape 1 - à remplir'!$G$31:$G$400,"animaux"),SUMIFS('Étape 1 - à remplir'!$F$31:$F$400,'Étape 1 - à remplir'!$E$31:$E$400,MASQ2!O220,'Étape 1 - à remplir'!$O$31:$O$400,X$3)),IF(X$2="Espèce",IF(X$3="Toutes",SUMIFS('Étape 1 - à remplir'!$F$31:$F$400,'Étape 1 - à remplir'!$E$31:$E$400,MASQ2!O220,'Étape 1 - à remplir'!$G$31:$G$400,"animaux"),SUMIFS('Étape 1 - à remplir'!$F$31:$F$400,'Étape 1 - à remplir'!$E$31:$E$400,MASQ2!O220,'Étape 1 - à remplir'!$N$31:$N$400,X$3)))))))</f>
        <v>#N/A</v>
      </c>
      <c r="Q220" s="63">
        <f t="shared" si="210"/>
        <v>0</v>
      </c>
      <c r="R220" t="str">
        <f>Données_ATB!BM219</f>
        <v>Sulfaguanidine</v>
      </c>
      <c r="S220" t="str">
        <f>Données_ATB!BN219</f>
        <v/>
      </c>
      <c r="T220" s="63" t="str">
        <f>Données_ATB!BO219</f>
        <v/>
      </c>
      <c r="U220" s="42" t="str">
        <f>Données_ATB!BQ219</f>
        <v>Sulfamides</v>
      </c>
      <c r="V220" t="str">
        <f>Données_ATB!BR219</f>
        <v/>
      </c>
      <c r="W220" s="63" t="str">
        <f>Données_ATB!BS219</f>
        <v/>
      </c>
      <c r="Z220" s="42">
        <v>217</v>
      </c>
      <c r="AA220" t="e">
        <f t="shared" si="206"/>
        <v>#N/A</v>
      </c>
      <c r="AB220" s="63" t="e">
        <f t="shared" si="207"/>
        <v>#N/A</v>
      </c>
      <c r="BF220" s="63"/>
      <c r="BT220" s="194" t="str">
        <f t="shared" ca="1" si="190"/>
        <v/>
      </c>
      <c r="BU220" s="219" t="str">
        <f>IFERROR(IF(BX220=0,"",COUNTIF(BX$4:BX$600,"&gt;"&amp;BX220)+COUNTIF(BX$4:BX220,BX220)),"")</f>
        <v/>
      </c>
      <c r="BV220" s="42" t="str">
        <f t="shared" si="191"/>
        <v>ENZOO-GROUP</v>
      </c>
      <c r="BW220" t="e">
        <f>IF(IF(CE$2="Catégorie",IF(CE$3="Toutes",SUMIFS('Étape 1 - à remplir'!$F$31:$F$400,'Étape 1 - à remplir'!$E$31:$E$400,MASQ2!BV220,'Étape 1 - à remplir'!$G$31:$G$400,"lots"),SUMIFS('Étape 1 - à remplir'!$F$31:$F$400,'Étape 1 - à remplir'!$E$31:$E$400,MASQ2!BV220,'Étape 1 - à remplir'!$C$31:$C$400,CE$3)),IF(CE$2="Âge",IF(CE$3="Tous",SUMIFS('Étape 1 - à remplir'!$F$31:$F$400,'Étape 1 - à remplir'!$E$31:$E$400,MASQ2!BV220,'Étape 1 - à remplir'!$G$31:$G$400,"lots"),SUMIFS('Étape 1 - à remplir'!$F$31:$F$400,'Étape 1 - à remplir'!$E$31:$E$400,MASQ2!BV220,'Étape 1 - à remplir'!$P$31:$P$400,CE$3,'Étape 1 - à remplir'!$G$31:$G$400,"lots")),IF(CE$2="Atelier",IF(CE$3="Tous",SUMIFS('Étape 1 - à remplir'!$F$31:$F$400,'Étape 1 - à remplir'!$E$31:$E$400,MASQ2!BV220,'Étape 1 - à remplir'!$G$31:$G$400,"lots"),SUMIFS('Étape 1 - à remplir'!$F$31:$F$400,'Étape 1 - à remplir'!$E$31:$E$400,MASQ2!BV220,'Étape 1 - à remplir'!$O$31:$O$400,CE$3,'Étape 1 - à remplir'!$G$31:$G$400,"lots")),IF(CE$2="Espèce",IF(CE$3="Toutes",SUMIFS('Étape 1 - à remplir'!$F$31:$F$400,'Étape 1 - à remplir'!$E$31:$E$400,MASQ2!BV220,'Étape 1 - à remplir'!$G$31:$G$400,"lots"),SUMIFS('Étape 1 - à remplir'!$F$31:$F$400,'Étape 1 - à remplir'!$E$31:$E$400,MASQ2!BV220,'Étape 1 - à remplir'!$N$31:$N$400,CE$3,'Étape 1 - à remplir'!$G$31:$G$400,"lots"))))))=0,NA(),IF(CE$2="Catégorie",IF(CE$3="Toutes",SUMIFS('Étape 1 - à remplir'!$F$31:$F$400,'Étape 1 - à remplir'!$E$31:$E$400,MASQ2!BV220,'Étape 1 - à remplir'!$G$31:$G$400,"lots"),SUMIFS('Étape 1 - à remplir'!$F$31:$F$400,'Étape 1 - à remplir'!$E$31:$E$400,MASQ2!BV220,'Étape 1 - à remplir'!$C$31:$C$400,CE$3)),IF(CE$2="Âge",IF(CE$3="Tous",SUMIFS('Étape 1 - à remplir'!$F$31:$F$400,'Étape 1 - à remplir'!$E$31:$E$400,MASQ2!BV220,'Étape 1 - à remplir'!$G$31:$G$400,"lots"),SUMIFS('Étape 1 - à remplir'!$F$31:$F$400,'Étape 1 - à remplir'!$E$31:$E$400,MASQ2!BV220,'Étape 1 - à remplir'!$P$31:$P$400,CE$3,'Étape 1 - à remplir'!$G$31:$G$400,"lots")),IF(CE$2="Atelier",IF(CE$3="Tous",SUMIFS('Étape 1 - à remplir'!$F$31:$F$400,'Étape 1 - à remplir'!$E$31:$E$400,MASQ2!BV220,'Étape 1 - à remplir'!$G$31:$G$400,"lots"),SUMIFS('Étape 1 - à remplir'!$F$31:$F$400,'Étape 1 - à remplir'!$E$31:$E$400,MASQ2!BV220,'Étape 1 - à remplir'!$O$31:$O$400,CE$3,'Étape 1 - à remplir'!$G$31:$G$400,"lots")),IF(CE$2="Espèce",IF(CE$3="Toutes",SUMIFS('Étape 1 - à remplir'!$F$31:$F$400,'Étape 1 - à remplir'!$E$31:$E$400,MASQ2!BV220,'Étape 1 - à remplir'!$G$31:$G$400,"lots"),SUMIFS('Étape 1 - à remplir'!$F$31:$F$400,'Étape 1 - à remplir'!$E$31:$E$400,MASQ2!BV220,'Étape 1 - à remplir'!$N$31:$N$400,CE$3,'Étape 1 - à remplir'!$G$31:$G$400,"lots")))))))</f>
        <v>#N/A</v>
      </c>
      <c r="BX220">
        <f t="shared" si="208"/>
        <v>0</v>
      </c>
      <c r="BY220" t="str">
        <f t="shared" si="192"/>
        <v>Sulfaguanidine</v>
      </c>
      <c r="BZ220" t="str">
        <f t="shared" si="193"/>
        <v/>
      </c>
      <c r="CA220" t="str">
        <f t="shared" si="194"/>
        <v/>
      </c>
      <c r="CB220" t="str">
        <f t="shared" si="195"/>
        <v>Sulfamides</v>
      </c>
      <c r="CC220" t="str">
        <f t="shared" si="196"/>
        <v/>
      </c>
      <c r="CD220" s="63" t="str">
        <f t="shared" si="197"/>
        <v/>
      </c>
      <c r="CG220" s="42">
        <v>217</v>
      </c>
      <c r="CH220" s="42" t="e">
        <f t="shared" si="213"/>
        <v>#N/A</v>
      </c>
      <c r="CI220" s="63" t="e">
        <f t="shared" si="214"/>
        <v>#N/A</v>
      </c>
      <c r="DM220" s="63"/>
      <c r="EA220" s="194" t="str">
        <f t="shared" ca="1" si="198"/>
        <v/>
      </c>
      <c r="EB220" s="226" t="str">
        <f>IFERROR(IF(ED220=0,"",COUNTIF(ED$4:ED$600,"&gt;"&amp;ED220)+COUNTIF(ED$4:ED220,ED220)),"")</f>
        <v/>
      </c>
      <c r="EC220" t="str">
        <f t="shared" si="199"/>
        <v>ENZOO-GROUP</v>
      </c>
      <c r="ED220" t="e">
        <f>IF(IF(EL$2="Catégorie",IF(EL$3="Toutes",SUMIFS('Étape 1 - à remplir'!$F$31:$F$400,'Étape 1 - à remplir'!$E$31:$E$400,MASQ2!EC220,'Étape 1 - à remplir'!$G$31:$G$400,"kg"),SUMIFS('Étape 1 - à remplir'!$F$31:$F$400,'Étape 1 - à remplir'!$E$31:$E$400,MASQ2!EC220,'Étape 1 - à remplir'!$C$31:$C$400,EL$3)),IF(EL$2="Âge",IF(EL$3="Tous",SUMIFS('Étape 1 - à remplir'!$F$31:$F$400,'Étape 1 - à remplir'!$E$31:$E$400,MASQ2!EC220,'Étape 1 - à remplir'!$G$31:$G$400,"kg"),SUMIFS('Étape 1 - à remplir'!$F$31:$F$400,'Étape 1 - à remplir'!$E$31:$E$400,MASQ2!EC220,'Étape 1 - à remplir'!$P$31:$P$400,EL$3,'Étape 1 - à remplir'!$G$31:$G$400,"kg")),IF(EL$2="Atelier",IF(EL$3="Tous",SUMIFS('Étape 1 - à remplir'!$F$31:$F$400,'Étape 1 - à remplir'!$E$31:$E$400,MASQ2!EC220,'Étape 1 - à remplir'!$G$31:$G$400,"kg"),SUMIFS('Étape 1 - à remplir'!$F$31:$F$400,'Étape 1 - à remplir'!$E$31:$E$400,MASQ2!EC220,'Étape 1 - à remplir'!$O$31:$O$400,EL$3,'Étape 1 - à remplir'!$G$31:$G$400,"kg")),IF(EL$2="Espèce",IF(EL$3="Toutes",SUMIFS('Étape 1 - à remplir'!$F$31:$F$400,'Étape 1 - à remplir'!$E$31:$E$400,MASQ2!EC220,'Étape 1 - à remplir'!$G$31:$G$400,"kg"),SUMIFS('Étape 1 - à remplir'!$F$31:$F$400,'Étape 1 - à remplir'!$E$31:$E$400,MASQ2!EC220,'Étape 1 - à remplir'!$N$31:$N$400,EL$3,'Étape 1 - à remplir'!$G$31:$G$400,"kg"))))))=0,NA(),IF(EL$2="Catégorie",IF(EL$3="Toutes",SUMIFS('Étape 1 - à remplir'!$F$31:$F$400,'Étape 1 - à remplir'!$E$31:$E$400,MASQ2!EC220,'Étape 1 - à remplir'!$G$31:$G$400,"kg"),SUMIFS('Étape 1 - à remplir'!$F$31:$F$400,'Étape 1 - à remplir'!$E$31:$E$400,MASQ2!EC220,'Étape 1 - à remplir'!$C$31:$C$400,EL$3)),IF(EL$2="Âge",IF(EL$3="Tous",SUMIFS('Étape 1 - à remplir'!$F$31:$F$400,'Étape 1 - à remplir'!$E$31:$E$400,MASQ2!EC220,'Étape 1 - à remplir'!$G$31:$G$400,"kg"),SUMIFS('Étape 1 - à remplir'!$F$31:$F$400,'Étape 1 - à remplir'!$E$31:$E$400,MASQ2!EC220,'Étape 1 - à remplir'!$P$31:$P$400,EL$3,'Étape 1 - à remplir'!$G$31:$G$400,"kg")),IF(EL$2="Atelier",IF(EL$3="Tous",SUMIFS('Étape 1 - à remplir'!$F$31:$F$400,'Étape 1 - à remplir'!$E$31:$E$400,MASQ2!EC220,'Étape 1 - à remplir'!$G$31:$G$400,"kg"),SUMIFS('Étape 1 - à remplir'!$F$31:$F$400,'Étape 1 - à remplir'!$E$31:$E$400,MASQ2!EC220,'Étape 1 - à remplir'!$O$31:$O$400,EL$3,'Étape 1 - à remplir'!$G$31:$G$400,"kg")),IF(EL$2="Espèce",IF(EL$3="Toutes",SUMIFS('Étape 1 - à remplir'!$F$31:$F$400,'Étape 1 - à remplir'!$E$31:$E$400,MASQ2!EC220,'Étape 1 - à remplir'!$G$31:$G$400,"kg"),SUMIFS('Étape 1 - à remplir'!$F$31:$F$400,'Étape 1 - à remplir'!$E$31:$E$400,MASQ2!EC220,'Étape 1 - à remplir'!$N$31:$N$400,EL$3,'Étape 1 - à remplir'!$G$31:$G$400,"kg")))))))</f>
        <v>#N/A</v>
      </c>
      <c r="EE220" s="76">
        <f t="shared" si="209"/>
        <v>0</v>
      </c>
      <c r="EF220" t="str">
        <f t="shared" si="200"/>
        <v>Sulfaguanidine</v>
      </c>
      <c r="EG220" t="str">
        <f t="shared" si="201"/>
        <v/>
      </c>
      <c r="EH220" t="str">
        <f t="shared" si="202"/>
        <v/>
      </c>
      <c r="EI220" t="str">
        <f t="shared" si="203"/>
        <v>Sulfamides</v>
      </c>
      <c r="EJ220" t="str">
        <f t="shared" si="204"/>
        <v/>
      </c>
      <c r="EK220" s="63" t="str">
        <f t="shared" si="205"/>
        <v/>
      </c>
      <c r="EN220" s="42">
        <v>217</v>
      </c>
      <c r="EO220" t="e">
        <f t="shared" si="211"/>
        <v>#N/A</v>
      </c>
      <c r="EP220" s="63" t="e">
        <f t="shared" si="212"/>
        <v>#N/A</v>
      </c>
      <c r="FT220" s="63"/>
    </row>
    <row r="221" spans="2:176" x14ac:dyDescent="0.3">
      <c r="B221" s="42"/>
      <c r="M221" s="194" t="str">
        <f ca="1">INDEX(Données_ATB!BD:BU,MATCH(MASQ2!O221,Données_ATB!BD:BD,0),18)</f>
        <v/>
      </c>
      <c r="N221" s="14" t="str">
        <f>IFERROR(IF(Q221=0,"",COUNTIF(Q$4:Q$600,"&gt;"&amp;Q221)+COUNTIF(Q$4:Q221,Q221)),"")</f>
        <v/>
      </c>
      <c r="O221" t="str">
        <f>Données_ATB!BD220</f>
        <v>EQUIBACTIN VET (333 MG/G + 67 MG/G) PATE ORALE POUR CHEVAUX</v>
      </c>
      <c r="P221" t="e">
        <f>IF(IF(X$2="Catégorie",IF(X$3="Toutes",SUMIFS('Étape 1 - à remplir'!$F$31:$F$400,'Étape 1 - à remplir'!$E$31:$E$400,MASQ2!O221,'Étape 1 - à remplir'!$G$31:$G$400,"animaux"),SUMIFS('Étape 1 - à remplir'!$F$31:$F$400,'Étape 1 - à remplir'!$E$31:$E$400,MASQ2!O221,'Étape 1 - à remplir'!$C$31:$C$400,X$3)),IF(X$2="Âge",IF(X$3="Tous",SUMIFS('Étape 1 - à remplir'!$F$31:$F$400,'Étape 1 - à remplir'!$E$31:$E$400,MASQ2!O221,'Étape 1 - à remplir'!$G$31:$G$400,"animaux"),SUMIFS('Étape 1 - à remplir'!$F$31:$F$400,'Étape 1 - à remplir'!$E$31:$E$400,MASQ2!O221,'Étape 1 - à remplir'!$P$31:$P$400,X$3)),IF(X$2="Atelier",IF(X$3="Tous",SUMIFS('Étape 1 - à remplir'!$F$31:$F$400,'Étape 1 - à remplir'!$E$31:$E$400,MASQ2!O221,'Étape 1 - à remplir'!$G$31:$G$400,"animaux"),SUMIFS('Étape 1 - à remplir'!$F$31:$F$400,'Étape 1 - à remplir'!$E$31:$E$400,MASQ2!O221,'Étape 1 - à remplir'!$O$31:$O$400,X$3)),IF(X$2="Espèce",IF(X$3="Toutes",SUMIFS('Étape 1 - à remplir'!$F$31:$F$400,'Étape 1 - à remplir'!$E$31:$E$400,MASQ2!O221,'Étape 1 - à remplir'!$G$31:$G$400,"animaux"),SUMIFS('Étape 1 - à remplir'!$F$31:$F$400,'Étape 1 - à remplir'!$E$31:$E$400,MASQ2!O221,'Étape 1 - à remplir'!$N$31:$N$400,X$3))))))=0,NA(),IF(X$2="Catégorie",IF(X$3="Toutes",SUMIFS('Étape 1 - à remplir'!$F$31:$F$400,'Étape 1 - à remplir'!$E$31:$E$400,MASQ2!O221,'Étape 1 - à remplir'!$G$31:$G$400,"animaux"),SUMIFS('Étape 1 - à remplir'!$F$31:$F$400,'Étape 1 - à remplir'!$E$31:$E$400,MASQ2!O221,'Étape 1 - à remplir'!$C$31:$C$400,X$3)),IF(X$2="Âge",IF(X$3="Tous",SUMIFS('Étape 1 - à remplir'!$F$31:$F$400,'Étape 1 - à remplir'!$E$31:$E$400,MASQ2!O221,'Étape 1 - à remplir'!$G$31:$G$400,"animaux"),SUMIFS('Étape 1 - à remplir'!$F$31:$F$400,'Étape 1 - à remplir'!$E$31:$E$400,MASQ2!O221,'Étape 1 - à remplir'!$P$31:$P$400,X$3)),IF(X$2="Atelier",IF(X$3="Tous",SUMIFS('Étape 1 - à remplir'!$F$31:$F$400,'Étape 1 - à remplir'!$E$31:$E$400,MASQ2!O221,'Étape 1 - à remplir'!$G$31:$G$400,"animaux"),SUMIFS('Étape 1 - à remplir'!$F$31:$F$400,'Étape 1 - à remplir'!$E$31:$E$400,MASQ2!O221,'Étape 1 - à remplir'!$O$31:$O$400,X$3)),IF(X$2="Espèce",IF(X$3="Toutes",SUMIFS('Étape 1 - à remplir'!$F$31:$F$400,'Étape 1 - à remplir'!$E$31:$E$400,MASQ2!O221,'Étape 1 - à remplir'!$G$31:$G$400,"animaux"),SUMIFS('Étape 1 - à remplir'!$F$31:$F$400,'Étape 1 - à remplir'!$E$31:$E$400,MASQ2!O221,'Étape 1 - à remplir'!$N$31:$N$400,X$3)))))))</f>
        <v>#N/A</v>
      </c>
      <c r="Q221" s="63">
        <f t="shared" si="210"/>
        <v>0</v>
      </c>
      <c r="R221" t="str">
        <f>Données_ATB!BM220</f>
        <v>Sulfadiazine</v>
      </c>
      <c r="S221" t="str">
        <f>Données_ATB!BN220</f>
        <v>Triméthoprime</v>
      </c>
      <c r="T221" s="63" t="str">
        <f>Données_ATB!BO220</f>
        <v/>
      </c>
      <c r="U221" s="42" t="str">
        <f>Données_ATB!BQ220</f>
        <v>Sulfamides</v>
      </c>
      <c r="V221" t="str">
        <f>Données_ATB!BR220</f>
        <v>Trimethoprime</v>
      </c>
      <c r="W221" s="63" t="str">
        <f>Données_ATB!BS220</f>
        <v/>
      </c>
      <c r="Z221" s="42">
        <v>218</v>
      </c>
      <c r="AA221" t="e">
        <f t="shared" si="206"/>
        <v>#N/A</v>
      </c>
      <c r="AB221" s="63" t="e">
        <f t="shared" si="207"/>
        <v>#N/A</v>
      </c>
      <c r="BF221" s="63"/>
      <c r="BT221" s="194" t="str">
        <f t="shared" ca="1" si="190"/>
        <v/>
      </c>
      <c r="BU221" s="219" t="str">
        <f>IFERROR(IF(BX221=0,"",COUNTIF(BX$4:BX$600,"&gt;"&amp;BX221)+COUNTIF(BX$4:BX221,BX221)),"")</f>
        <v/>
      </c>
      <c r="BV221" s="42" t="str">
        <f t="shared" si="191"/>
        <v>EQUIBACTIN VET (333 MG/G + 67 MG/G) PATE ORALE POUR CHEVAUX</v>
      </c>
      <c r="BW221" t="e">
        <f>IF(IF(CE$2="Catégorie",IF(CE$3="Toutes",SUMIFS('Étape 1 - à remplir'!$F$31:$F$400,'Étape 1 - à remplir'!$E$31:$E$400,MASQ2!BV221,'Étape 1 - à remplir'!$G$31:$G$400,"lots"),SUMIFS('Étape 1 - à remplir'!$F$31:$F$400,'Étape 1 - à remplir'!$E$31:$E$400,MASQ2!BV221,'Étape 1 - à remplir'!$C$31:$C$400,CE$3)),IF(CE$2="Âge",IF(CE$3="Tous",SUMIFS('Étape 1 - à remplir'!$F$31:$F$400,'Étape 1 - à remplir'!$E$31:$E$400,MASQ2!BV221,'Étape 1 - à remplir'!$G$31:$G$400,"lots"),SUMIFS('Étape 1 - à remplir'!$F$31:$F$400,'Étape 1 - à remplir'!$E$31:$E$400,MASQ2!BV221,'Étape 1 - à remplir'!$P$31:$P$400,CE$3,'Étape 1 - à remplir'!$G$31:$G$400,"lots")),IF(CE$2="Atelier",IF(CE$3="Tous",SUMIFS('Étape 1 - à remplir'!$F$31:$F$400,'Étape 1 - à remplir'!$E$31:$E$400,MASQ2!BV221,'Étape 1 - à remplir'!$G$31:$G$400,"lots"),SUMIFS('Étape 1 - à remplir'!$F$31:$F$400,'Étape 1 - à remplir'!$E$31:$E$400,MASQ2!BV221,'Étape 1 - à remplir'!$O$31:$O$400,CE$3,'Étape 1 - à remplir'!$G$31:$G$400,"lots")),IF(CE$2="Espèce",IF(CE$3="Toutes",SUMIFS('Étape 1 - à remplir'!$F$31:$F$400,'Étape 1 - à remplir'!$E$31:$E$400,MASQ2!BV221,'Étape 1 - à remplir'!$G$31:$G$400,"lots"),SUMIFS('Étape 1 - à remplir'!$F$31:$F$400,'Étape 1 - à remplir'!$E$31:$E$400,MASQ2!BV221,'Étape 1 - à remplir'!$N$31:$N$400,CE$3,'Étape 1 - à remplir'!$G$31:$G$400,"lots"))))))=0,NA(),IF(CE$2="Catégorie",IF(CE$3="Toutes",SUMIFS('Étape 1 - à remplir'!$F$31:$F$400,'Étape 1 - à remplir'!$E$31:$E$400,MASQ2!BV221,'Étape 1 - à remplir'!$G$31:$G$400,"lots"),SUMIFS('Étape 1 - à remplir'!$F$31:$F$400,'Étape 1 - à remplir'!$E$31:$E$400,MASQ2!BV221,'Étape 1 - à remplir'!$C$31:$C$400,CE$3)),IF(CE$2="Âge",IF(CE$3="Tous",SUMIFS('Étape 1 - à remplir'!$F$31:$F$400,'Étape 1 - à remplir'!$E$31:$E$400,MASQ2!BV221,'Étape 1 - à remplir'!$G$31:$G$400,"lots"),SUMIFS('Étape 1 - à remplir'!$F$31:$F$400,'Étape 1 - à remplir'!$E$31:$E$400,MASQ2!BV221,'Étape 1 - à remplir'!$P$31:$P$400,CE$3,'Étape 1 - à remplir'!$G$31:$G$400,"lots")),IF(CE$2="Atelier",IF(CE$3="Tous",SUMIFS('Étape 1 - à remplir'!$F$31:$F$400,'Étape 1 - à remplir'!$E$31:$E$400,MASQ2!BV221,'Étape 1 - à remplir'!$G$31:$G$400,"lots"),SUMIFS('Étape 1 - à remplir'!$F$31:$F$400,'Étape 1 - à remplir'!$E$31:$E$400,MASQ2!BV221,'Étape 1 - à remplir'!$O$31:$O$400,CE$3,'Étape 1 - à remplir'!$G$31:$G$400,"lots")),IF(CE$2="Espèce",IF(CE$3="Toutes",SUMIFS('Étape 1 - à remplir'!$F$31:$F$400,'Étape 1 - à remplir'!$E$31:$E$400,MASQ2!BV221,'Étape 1 - à remplir'!$G$31:$G$400,"lots"),SUMIFS('Étape 1 - à remplir'!$F$31:$F$400,'Étape 1 - à remplir'!$E$31:$E$400,MASQ2!BV221,'Étape 1 - à remplir'!$N$31:$N$400,CE$3,'Étape 1 - à remplir'!$G$31:$G$400,"lots")))))))</f>
        <v>#N/A</v>
      </c>
      <c r="BX221">
        <f t="shared" si="208"/>
        <v>0</v>
      </c>
      <c r="BY221" t="str">
        <f t="shared" si="192"/>
        <v>Sulfadiazine</v>
      </c>
      <c r="BZ221" t="str">
        <f t="shared" si="193"/>
        <v>Triméthoprime</v>
      </c>
      <c r="CA221" t="str">
        <f t="shared" si="194"/>
        <v/>
      </c>
      <c r="CB221" t="str">
        <f t="shared" si="195"/>
        <v>Sulfamides</v>
      </c>
      <c r="CC221" t="str">
        <f t="shared" si="196"/>
        <v>Trimethoprime</v>
      </c>
      <c r="CD221" s="63" t="str">
        <f t="shared" si="197"/>
        <v/>
      </c>
      <c r="CG221" s="42">
        <v>218</v>
      </c>
      <c r="CH221" s="42" t="e">
        <f t="shared" si="213"/>
        <v>#N/A</v>
      </c>
      <c r="CI221" s="63" t="e">
        <f t="shared" si="214"/>
        <v>#N/A</v>
      </c>
      <c r="DM221" s="63"/>
      <c r="EA221" s="194" t="str">
        <f t="shared" ca="1" si="198"/>
        <v/>
      </c>
      <c r="EB221" s="226" t="str">
        <f>IFERROR(IF(ED221=0,"",COUNTIF(ED$4:ED$600,"&gt;"&amp;ED221)+COUNTIF(ED$4:ED221,ED221)),"")</f>
        <v/>
      </c>
      <c r="EC221" t="str">
        <f t="shared" si="199"/>
        <v>EQUIBACTIN VET (333 MG/G + 67 MG/G) PATE ORALE POUR CHEVAUX</v>
      </c>
      <c r="ED221" t="e">
        <f>IF(IF(EL$2="Catégorie",IF(EL$3="Toutes",SUMIFS('Étape 1 - à remplir'!$F$31:$F$400,'Étape 1 - à remplir'!$E$31:$E$400,MASQ2!EC221,'Étape 1 - à remplir'!$G$31:$G$400,"kg"),SUMIFS('Étape 1 - à remplir'!$F$31:$F$400,'Étape 1 - à remplir'!$E$31:$E$400,MASQ2!EC221,'Étape 1 - à remplir'!$C$31:$C$400,EL$3)),IF(EL$2="Âge",IF(EL$3="Tous",SUMIFS('Étape 1 - à remplir'!$F$31:$F$400,'Étape 1 - à remplir'!$E$31:$E$400,MASQ2!EC221,'Étape 1 - à remplir'!$G$31:$G$400,"kg"),SUMIFS('Étape 1 - à remplir'!$F$31:$F$400,'Étape 1 - à remplir'!$E$31:$E$400,MASQ2!EC221,'Étape 1 - à remplir'!$P$31:$P$400,EL$3,'Étape 1 - à remplir'!$G$31:$G$400,"kg")),IF(EL$2="Atelier",IF(EL$3="Tous",SUMIFS('Étape 1 - à remplir'!$F$31:$F$400,'Étape 1 - à remplir'!$E$31:$E$400,MASQ2!EC221,'Étape 1 - à remplir'!$G$31:$G$400,"kg"),SUMIFS('Étape 1 - à remplir'!$F$31:$F$400,'Étape 1 - à remplir'!$E$31:$E$400,MASQ2!EC221,'Étape 1 - à remplir'!$O$31:$O$400,EL$3,'Étape 1 - à remplir'!$G$31:$G$400,"kg")),IF(EL$2="Espèce",IF(EL$3="Toutes",SUMIFS('Étape 1 - à remplir'!$F$31:$F$400,'Étape 1 - à remplir'!$E$31:$E$400,MASQ2!EC221,'Étape 1 - à remplir'!$G$31:$G$400,"kg"),SUMIFS('Étape 1 - à remplir'!$F$31:$F$400,'Étape 1 - à remplir'!$E$31:$E$400,MASQ2!EC221,'Étape 1 - à remplir'!$N$31:$N$400,EL$3,'Étape 1 - à remplir'!$G$31:$G$400,"kg"))))))=0,NA(),IF(EL$2="Catégorie",IF(EL$3="Toutes",SUMIFS('Étape 1 - à remplir'!$F$31:$F$400,'Étape 1 - à remplir'!$E$31:$E$400,MASQ2!EC221,'Étape 1 - à remplir'!$G$31:$G$400,"kg"),SUMIFS('Étape 1 - à remplir'!$F$31:$F$400,'Étape 1 - à remplir'!$E$31:$E$400,MASQ2!EC221,'Étape 1 - à remplir'!$C$31:$C$400,EL$3)),IF(EL$2="Âge",IF(EL$3="Tous",SUMIFS('Étape 1 - à remplir'!$F$31:$F$400,'Étape 1 - à remplir'!$E$31:$E$400,MASQ2!EC221,'Étape 1 - à remplir'!$G$31:$G$400,"kg"),SUMIFS('Étape 1 - à remplir'!$F$31:$F$400,'Étape 1 - à remplir'!$E$31:$E$400,MASQ2!EC221,'Étape 1 - à remplir'!$P$31:$P$400,EL$3,'Étape 1 - à remplir'!$G$31:$G$400,"kg")),IF(EL$2="Atelier",IF(EL$3="Tous",SUMIFS('Étape 1 - à remplir'!$F$31:$F$400,'Étape 1 - à remplir'!$E$31:$E$400,MASQ2!EC221,'Étape 1 - à remplir'!$G$31:$G$400,"kg"),SUMIFS('Étape 1 - à remplir'!$F$31:$F$400,'Étape 1 - à remplir'!$E$31:$E$400,MASQ2!EC221,'Étape 1 - à remplir'!$O$31:$O$400,EL$3,'Étape 1 - à remplir'!$G$31:$G$400,"kg")),IF(EL$2="Espèce",IF(EL$3="Toutes",SUMIFS('Étape 1 - à remplir'!$F$31:$F$400,'Étape 1 - à remplir'!$E$31:$E$400,MASQ2!EC221,'Étape 1 - à remplir'!$G$31:$G$400,"kg"),SUMIFS('Étape 1 - à remplir'!$F$31:$F$400,'Étape 1 - à remplir'!$E$31:$E$400,MASQ2!EC221,'Étape 1 - à remplir'!$N$31:$N$400,EL$3,'Étape 1 - à remplir'!$G$31:$G$400,"kg")))))))</f>
        <v>#N/A</v>
      </c>
      <c r="EE221" s="76">
        <f t="shared" si="209"/>
        <v>0</v>
      </c>
      <c r="EF221" t="str">
        <f t="shared" si="200"/>
        <v>Sulfadiazine</v>
      </c>
      <c r="EG221" t="str">
        <f t="shared" si="201"/>
        <v>Triméthoprime</v>
      </c>
      <c r="EH221" t="str">
        <f t="shared" si="202"/>
        <v/>
      </c>
      <c r="EI221" t="str">
        <f t="shared" si="203"/>
        <v>Sulfamides</v>
      </c>
      <c r="EJ221" t="str">
        <f t="shared" si="204"/>
        <v>Trimethoprime</v>
      </c>
      <c r="EK221" s="63" t="str">
        <f t="shared" si="205"/>
        <v/>
      </c>
      <c r="EN221" s="42">
        <v>218</v>
      </c>
      <c r="EO221" t="e">
        <f t="shared" si="211"/>
        <v>#N/A</v>
      </c>
      <c r="EP221" s="63" t="e">
        <f t="shared" si="212"/>
        <v>#N/A</v>
      </c>
      <c r="FT221" s="63"/>
    </row>
    <row r="222" spans="2:176" x14ac:dyDescent="0.3">
      <c r="B222" s="42"/>
      <c r="M222" s="194" t="str">
        <f ca="1">INDEX(Données_ATB!BD:BU,MATCH(MASQ2!O222,Données_ATB!BD:BD,0),18)</f>
        <v/>
      </c>
      <c r="N222" s="14" t="str">
        <f>IFERROR(IF(Q222=0,"",COUNTIF(Q$4:Q$600,"&gt;"&amp;Q222)+COUNTIF(Q$4:Q222,Q222)),"")</f>
        <v/>
      </c>
      <c r="O222" t="str">
        <f>Données_ATB!BD221</f>
        <v>EQUIBACTIN VET 250 MG/G + 50 MG/G POUDRE ORALE POUR CHEVAUX</v>
      </c>
      <c r="P222" t="e">
        <f>IF(IF(X$2="Catégorie",IF(X$3="Toutes",SUMIFS('Étape 1 - à remplir'!$F$31:$F$400,'Étape 1 - à remplir'!$E$31:$E$400,MASQ2!O222,'Étape 1 - à remplir'!$G$31:$G$400,"animaux"),SUMIFS('Étape 1 - à remplir'!$F$31:$F$400,'Étape 1 - à remplir'!$E$31:$E$400,MASQ2!O222,'Étape 1 - à remplir'!$C$31:$C$400,X$3)),IF(X$2="Âge",IF(X$3="Tous",SUMIFS('Étape 1 - à remplir'!$F$31:$F$400,'Étape 1 - à remplir'!$E$31:$E$400,MASQ2!O222,'Étape 1 - à remplir'!$G$31:$G$400,"animaux"),SUMIFS('Étape 1 - à remplir'!$F$31:$F$400,'Étape 1 - à remplir'!$E$31:$E$400,MASQ2!O222,'Étape 1 - à remplir'!$P$31:$P$400,X$3)),IF(X$2="Atelier",IF(X$3="Tous",SUMIFS('Étape 1 - à remplir'!$F$31:$F$400,'Étape 1 - à remplir'!$E$31:$E$400,MASQ2!O222,'Étape 1 - à remplir'!$G$31:$G$400,"animaux"),SUMIFS('Étape 1 - à remplir'!$F$31:$F$400,'Étape 1 - à remplir'!$E$31:$E$400,MASQ2!O222,'Étape 1 - à remplir'!$O$31:$O$400,X$3)),IF(X$2="Espèce",IF(X$3="Toutes",SUMIFS('Étape 1 - à remplir'!$F$31:$F$400,'Étape 1 - à remplir'!$E$31:$E$400,MASQ2!O222,'Étape 1 - à remplir'!$G$31:$G$400,"animaux"),SUMIFS('Étape 1 - à remplir'!$F$31:$F$400,'Étape 1 - à remplir'!$E$31:$E$400,MASQ2!O222,'Étape 1 - à remplir'!$N$31:$N$400,X$3))))))=0,NA(),IF(X$2="Catégorie",IF(X$3="Toutes",SUMIFS('Étape 1 - à remplir'!$F$31:$F$400,'Étape 1 - à remplir'!$E$31:$E$400,MASQ2!O222,'Étape 1 - à remplir'!$G$31:$G$400,"animaux"),SUMIFS('Étape 1 - à remplir'!$F$31:$F$400,'Étape 1 - à remplir'!$E$31:$E$400,MASQ2!O222,'Étape 1 - à remplir'!$C$31:$C$400,X$3)),IF(X$2="Âge",IF(X$3="Tous",SUMIFS('Étape 1 - à remplir'!$F$31:$F$400,'Étape 1 - à remplir'!$E$31:$E$400,MASQ2!O222,'Étape 1 - à remplir'!$G$31:$G$400,"animaux"),SUMIFS('Étape 1 - à remplir'!$F$31:$F$400,'Étape 1 - à remplir'!$E$31:$E$400,MASQ2!O222,'Étape 1 - à remplir'!$P$31:$P$400,X$3)),IF(X$2="Atelier",IF(X$3="Tous",SUMIFS('Étape 1 - à remplir'!$F$31:$F$400,'Étape 1 - à remplir'!$E$31:$E$400,MASQ2!O222,'Étape 1 - à remplir'!$G$31:$G$400,"animaux"),SUMIFS('Étape 1 - à remplir'!$F$31:$F$400,'Étape 1 - à remplir'!$E$31:$E$400,MASQ2!O222,'Étape 1 - à remplir'!$O$31:$O$400,X$3)),IF(X$2="Espèce",IF(X$3="Toutes",SUMIFS('Étape 1 - à remplir'!$F$31:$F$400,'Étape 1 - à remplir'!$E$31:$E$400,MASQ2!O222,'Étape 1 - à remplir'!$G$31:$G$400,"animaux"),SUMIFS('Étape 1 - à remplir'!$F$31:$F$400,'Étape 1 - à remplir'!$E$31:$E$400,MASQ2!O222,'Étape 1 - à remplir'!$N$31:$N$400,X$3)))))))</f>
        <v>#N/A</v>
      </c>
      <c r="Q222" s="63">
        <f t="shared" si="210"/>
        <v>0</v>
      </c>
      <c r="R222" t="str">
        <f>Données_ATB!BM221</f>
        <v>Sulfadiazine</v>
      </c>
      <c r="S222" t="str">
        <f>Données_ATB!BN221</f>
        <v>Triméthoprime</v>
      </c>
      <c r="T222" s="63" t="str">
        <f>Données_ATB!BO221</f>
        <v/>
      </c>
      <c r="U222" s="42" t="str">
        <f>Données_ATB!BQ221</f>
        <v>Sulfamides</v>
      </c>
      <c r="V222" t="str">
        <f>Données_ATB!BR221</f>
        <v>Trimethoprime</v>
      </c>
      <c r="W222" s="63" t="str">
        <f>Données_ATB!BS221</f>
        <v/>
      </c>
      <c r="Z222" s="42">
        <v>219</v>
      </c>
      <c r="AA222" t="e">
        <f t="shared" si="206"/>
        <v>#N/A</v>
      </c>
      <c r="AB222" s="63" t="e">
        <f t="shared" si="207"/>
        <v>#N/A</v>
      </c>
      <c r="BF222" s="63"/>
      <c r="BT222" s="194" t="str">
        <f t="shared" ca="1" si="190"/>
        <v/>
      </c>
      <c r="BU222" s="219" t="str">
        <f>IFERROR(IF(BX222=0,"",COUNTIF(BX$4:BX$600,"&gt;"&amp;BX222)+COUNTIF(BX$4:BX222,BX222)),"")</f>
        <v/>
      </c>
      <c r="BV222" s="42" t="str">
        <f t="shared" si="191"/>
        <v>EQUIBACTIN VET 250 MG/G + 50 MG/G POUDRE ORALE POUR CHEVAUX</v>
      </c>
      <c r="BW222" t="e">
        <f>IF(IF(CE$2="Catégorie",IF(CE$3="Toutes",SUMIFS('Étape 1 - à remplir'!$F$31:$F$400,'Étape 1 - à remplir'!$E$31:$E$400,MASQ2!BV222,'Étape 1 - à remplir'!$G$31:$G$400,"lots"),SUMIFS('Étape 1 - à remplir'!$F$31:$F$400,'Étape 1 - à remplir'!$E$31:$E$400,MASQ2!BV222,'Étape 1 - à remplir'!$C$31:$C$400,CE$3)),IF(CE$2="Âge",IF(CE$3="Tous",SUMIFS('Étape 1 - à remplir'!$F$31:$F$400,'Étape 1 - à remplir'!$E$31:$E$400,MASQ2!BV222,'Étape 1 - à remplir'!$G$31:$G$400,"lots"),SUMIFS('Étape 1 - à remplir'!$F$31:$F$400,'Étape 1 - à remplir'!$E$31:$E$400,MASQ2!BV222,'Étape 1 - à remplir'!$P$31:$P$400,CE$3,'Étape 1 - à remplir'!$G$31:$G$400,"lots")),IF(CE$2="Atelier",IF(CE$3="Tous",SUMIFS('Étape 1 - à remplir'!$F$31:$F$400,'Étape 1 - à remplir'!$E$31:$E$400,MASQ2!BV222,'Étape 1 - à remplir'!$G$31:$G$400,"lots"),SUMIFS('Étape 1 - à remplir'!$F$31:$F$400,'Étape 1 - à remplir'!$E$31:$E$400,MASQ2!BV222,'Étape 1 - à remplir'!$O$31:$O$400,CE$3,'Étape 1 - à remplir'!$G$31:$G$400,"lots")),IF(CE$2="Espèce",IF(CE$3="Toutes",SUMIFS('Étape 1 - à remplir'!$F$31:$F$400,'Étape 1 - à remplir'!$E$31:$E$400,MASQ2!BV222,'Étape 1 - à remplir'!$G$31:$G$400,"lots"),SUMIFS('Étape 1 - à remplir'!$F$31:$F$400,'Étape 1 - à remplir'!$E$31:$E$400,MASQ2!BV222,'Étape 1 - à remplir'!$N$31:$N$400,CE$3,'Étape 1 - à remplir'!$G$31:$G$400,"lots"))))))=0,NA(),IF(CE$2="Catégorie",IF(CE$3="Toutes",SUMIFS('Étape 1 - à remplir'!$F$31:$F$400,'Étape 1 - à remplir'!$E$31:$E$400,MASQ2!BV222,'Étape 1 - à remplir'!$G$31:$G$400,"lots"),SUMIFS('Étape 1 - à remplir'!$F$31:$F$400,'Étape 1 - à remplir'!$E$31:$E$400,MASQ2!BV222,'Étape 1 - à remplir'!$C$31:$C$400,CE$3)),IF(CE$2="Âge",IF(CE$3="Tous",SUMIFS('Étape 1 - à remplir'!$F$31:$F$400,'Étape 1 - à remplir'!$E$31:$E$400,MASQ2!BV222,'Étape 1 - à remplir'!$G$31:$G$400,"lots"),SUMIFS('Étape 1 - à remplir'!$F$31:$F$400,'Étape 1 - à remplir'!$E$31:$E$400,MASQ2!BV222,'Étape 1 - à remplir'!$P$31:$P$400,CE$3,'Étape 1 - à remplir'!$G$31:$G$400,"lots")),IF(CE$2="Atelier",IF(CE$3="Tous",SUMIFS('Étape 1 - à remplir'!$F$31:$F$400,'Étape 1 - à remplir'!$E$31:$E$400,MASQ2!BV222,'Étape 1 - à remplir'!$G$31:$G$400,"lots"),SUMIFS('Étape 1 - à remplir'!$F$31:$F$400,'Étape 1 - à remplir'!$E$31:$E$400,MASQ2!BV222,'Étape 1 - à remplir'!$O$31:$O$400,CE$3,'Étape 1 - à remplir'!$G$31:$G$400,"lots")),IF(CE$2="Espèce",IF(CE$3="Toutes",SUMIFS('Étape 1 - à remplir'!$F$31:$F$400,'Étape 1 - à remplir'!$E$31:$E$400,MASQ2!BV222,'Étape 1 - à remplir'!$G$31:$G$400,"lots"),SUMIFS('Étape 1 - à remplir'!$F$31:$F$400,'Étape 1 - à remplir'!$E$31:$E$400,MASQ2!BV222,'Étape 1 - à remplir'!$N$31:$N$400,CE$3,'Étape 1 - à remplir'!$G$31:$G$400,"lots")))))))</f>
        <v>#N/A</v>
      </c>
      <c r="BX222">
        <f t="shared" si="208"/>
        <v>0</v>
      </c>
      <c r="BY222" t="str">
        <f t="shared" si="192"/>
        <v>Sulfadiazine</v>
      </c>
      <c r="BZ222" t="str">
        <f t="shared" si="193"/>
        <v>Triméthoprime</v>
      </c>
      <c r="CA222" t="str">
        <f t="shared" si="194"/>
        <v/>
      </c>
      <c r="CB222" t="str">
        <f t="shared" si="195"/>
        <v>Sulfamides</v>
      </c>
      <c r="CC222" t="str">
        <f t="shared" si="196"/>
        <v>Trimethoprime</v>
      </c>
      <c r="CD222" s="63" t="str">
        <f t="shared" si="197"/>
        <v/>
      </c>
      <c r="CG222" s="42">
        <v>219</v>
      </c>
      <c r="CH222" s="42" t="e">
        <f t="shared" si="213"/>
        <v>#N/A</v>
      </c>
      <c r="CI222" s="63" t="e">
        <f t="shared" si="214"/>
        <v>#N/A</v>
      </c>
      <c r="DM222" s="63"/>
      <c r="EA222" s="194" t="str">
        <f t="shared" ca="1" si="198"/>
        <v/>
      </c>
      <c r="EB222" s="226" t="str">
        <f>IFERROR(IF(ED222=0,"",COUNTIF(ED$4:ED$600,"&gt;"&amp;ED222)+COUNTIF(ED$4:ED222,ED222)),"")</f>
        <v/>
      </c>
      <c r="EC222" t="str">
        <f t="shared" si="199"/>
        <v>EQUIBACTIN VET 250 MG/G + 50 MG/G POUDRE ORALE POUR CHEVAUX</v>
      </c>
      <c r="ED222" t="e">
        <f>IF(IF(EL$2="Catégorie",IF(EL$3="Toutes",SUMIFS('Étape 1 - à remplir'!$F$31:$F$400,'Étape 1 - à remplir'!$E$31:$E$400,MASQ2!EC222,'Étape 1 - à remplir'!$G$31:$G$400,"kg"),SUMIFS('Étape 1 - à remplir'!$F$31:$F$400,'Étape 1 - à remplir'!$E$31:$E$400,MASQ2!EC222,'Étape 1 - à remplir'!$C$31:$C$400,EL$3)),IF(EL$2="Âge",IF(EL$3="Tous",SUMIFS('Étape 1 - à remplir'!$F$31:$F$400,'Étape 1 - à remplir'!$E$31:$E$400,MASQ2!EC222,'Étape 1 - à remplir'!$G$31:$G$400,"kg"),SUMIFS('Étape 1 - à remplir'!$F$31:$F$400,'Étape 1 - à remplir'!$E$31:$E$400,MASQ2!EC222,'Étape 1 - à remplir'!$P$31:$P$400,EL$3,'Étape 1 - à remplir'!$G$31:$G$400,"kg")),IF(EL$2="Atelier",IF(EL$3="Tous",SUMIFS('Étape 1 - à remplir'!$F$31:$F$400,'Étape 1 - à remplir'!$E$31:$E$400,MASQ2!EC222,'Étape 1 - à remplir'!$G$31:$G$400,"kg"),SUMIFS('Étape 1 - à remplir'!$F$31:$F$400,'Étape 1 - à remplir'!$E$31:$E$400,MASQ2!EC222,'Étape 1 - à remplir'!$O$31:$O$400,EL$3,'Étape 1 - à remplir'!$G$31:$G$400,"kg")),IF(EL$2="Espèce",IF(EL$3="Toutes",SUMIFS('Étape 1 - à remplir'!$F$31:$F$400,'Étape 1 - à remplir'!$E$31:$E$400,MASQ2!EC222,'Étape 1 - à remplir'!$G$31:$G$400,"kg"),SUMIFS('Étape 1 - à remplir'!$F$31:$F$400,'Étape 1 - à remplir'!$E$31:$E$400,MASQ2!EC222,'Étape 1 - à remplir'!$N$31:$N$400,EL$3,'Étape 1 - à remplir'!$G$31:$G$400,"kg"))))))=0,NA(),IF(EL$2="Catégorie",IF(EL$3="Toutes",SUMIFS('Étape 1 - à remplir'!$F$31:$F$400,'Étape 1 - à remplir'!$E$31:$E$400,MASQ2!EC222,'Étape 1 - à remplir'!$G$31:$G$400,"kg"),SUMIFS('Étape 1 - à remplir'!$F$31:$F$400,'Étape 1 - à remplir'!$E$31:$E$400,MASQ2!EC222,'Étape 1 - à remplir'!$C$31:$C$400,EL$3)),IF(EL$2="Âge",IF(EL$3="Tous",SUMIFS('Étape 1 - à remplir'!$F$31:$F$400,'Étape 1 - à remplir'!$E$31:$E$400,MASQ2!EC222,'Étape 1 - à remplir'!$G$31:$G$400,"kg"),SUMIFS('Étape 1 - à remplir'!$F$31:$F$400,'Étape 1 - à remplir'!$E$31:$E$400,MASQ2!EC222,'Étape 1 - à remplir'!$P$31:$P$400,EL$3,'Étape 1 - à remplir'!$G$31:$G$400,"kg")),IF(EL$2="Atelier",IF(EL$3="Tous",SUMIFS('Étape 1 - à remplir'!$F$31:$F$400,'Étape 1 - à remplir'!$E$31:$E$400,MASQ2!EC222,'Étape 1 - à remplir'!$G$31:$G$400,"kg"),SUMIFS('Étape 1 - à remplir'!$F$31:$F$400,'Étape 1 - à remplir'!$E$31:$E$400,MASQ2!EC222,'Étape 1 - à remplir'!$O$31:$O$400,EL$3,'Étape 1 - à remplir'!$G$31:$G$400,"kg")),IF(EL$2="Espèce",IF(EL$3="Toutes",SUMIFS('Étape 1 - à remplir'!$F$31:$F$400,'Étape 1 - à remplir'!$E$31:$E$400,MASQ2!EC222,'Étape 1 - à remplir'!$G$31:$G$400,"kg"),SUMIFS('Étape 1 - à remplir'!$F$31:$F$400,'Étape 1 - à remplir'!$E$31:$E$400,MASQ2!EC222,'Étape 1 - à remplir'!$N$31:$N$400,EL$3,'Étape 1 - à remplir'!$G$31:$G$400,"kg")))))))</f>
        <v>#N/A</v>
      </c>
      <c r="EE222" s="76">
        <f t="shared" si="209"/>
        <v>0</v>
      </c>
      <c r="EF222" t="str">
        <f t="shared" si="200"/>
        <v>Sulfadiazine</v>
      </c>
      <c r="EG222" t="str">
        <f t="shared" si="201"/>
        <v>Triméthoprime</v>
      </c>
      <c r="EH222" t="str">
        <f t="shared" si="202"/>
        <v/>
      </c>
      <c r="EI222" t="str">
        <f t="shared" si="203"/>
        <v>Sulfamides</v>
      </c>
      <c r="EJ222" t="str">
        <f t="shared" si="204"/>
        <v>Trimethoprime</v>
      </c>
      <c r="EK222" s="63" t="str">
        <f t="shared" si="205"/>
        <v/>
      </c>
      <c r="EN222" s="42">
        <v>219</v>
      </c>
      <c r="EO222" t="e">
        <f t="shared" si="211"/>
        <v>#N/A</v>
      </c>
      <c r="EP222" s="63" t="e">
        <f t="shared" si="212"/>
        <v>#N/A</v>
      </c>
      <c r="FT222" s="63"/>
    </row>
    <row r="223" spans="2:176" x14ac:dyDescent="0.3">
      <c r="B223" s="42"/>
      <c r="M223" s="194" t="str">
        <f ca="1">INDEX(Données_ATB!BD:BU,MATCH(MASQ2!O223,Données_ATB!BD:BD,0),18)</f>
        <v/>
      </c>
      <c r="N223" s="14" t="str">
        <f>IFERROR(IF(Q223=0,"",COUNTIF(Q$4:Q$600,"&gt;"&amp;Q223)+COUNTIF(Q$4:Q223,Q223)),"")</f>
        <v/>
      </c>
      <c r="O223" t="str">
        <f>Données_ATB!BD222</f>
        <v>ERYTAVICOL</v>
      </c>
      <c r="P223" t="e">
        <f>IF(IF(X$2="Catégorie",IF(X$3="Toutes",SUMIFS('Étape 1 - à remplir'!$F$31:$F$400,'Étape 1 - à remplir'!$E$31:$E$400,MASQ2!O223,'Étape 1 - à remplir'!$G$31:$G$400,"animaux"),SUMIFS('Étape 1 - à remplir'!$F$31:$F$400,'Étape 1 - à remplir'!$E$31:$E$400,MASQ2!O223,'Étape 1 - à remplir'!$C$31:$C$400,X$3)),IF(X$2="Âge",IF(X$3="Tous",SUMIFS('Étape 1 - à remplir'!$F$31:$F$400,'Étape 1 - à remplir'!$E$31:$E$400,MASQ2!O223,'Étape 1 - à remplir'!$G$31:$G$400,"animaux"),SUMIFS('Étape 1 - à remplir'!$F$31:$F$400,'Étape 1 - à remplir'!$E$31:$E$400,MASQ2!O223,'Étape 1 - à remplir'!$P$31:$P$400,X$3)),IF(X$2="Atelier",IF(X$3="Tous",SUMIFS('Étape 1 - à remplir'!$F$31:$F$400,'Étape 1 - à remplir'!$E$31:$E$400,MASQ2!O223,'Étape 1 - à remplir'!$G$31:$G$400,"animaux"),SUMIFS('Étape 1 - à remplir'!$F$31:$F$400,'Étape 1 - à remplir'!$E$31:$E$400,MASQ2!O223,'Étape 1 - à remplir'!$O$31:$O$400,X$3)),IF(X$2="Espèce",IF(X$3="Toutes",SUMIFS('Étape 1 - à remplir'!$F$31:$F$400,'Étape 1 - à remplir'!$E$31:$E$400,MASQ2!O223,'Étape 1 - à remplir'!$G$31:$G$400,"animaux"),SUMIFS('Étape 1 - à remplir'!$F$31:$F$400,'Étape 1 - à remplir'!$E$31:$E$400,MASQ2!O223,'Étape 1 - à remplir'!$N$31:$N$400,X$3))))))=0,NA(),IF(X$2="Catégorie",IF(X$3="Toutes",SUMIFS('Étape 1 - à remplir'!$F$31:$F$400,'Étape 1 - à remplir'!$E$31:$E$400,MASQ2!O223,'Étape 1 - à remplir'!$G$31:$G$400,"animaux"),SUMIFS('Étape 1 - à remplir'!$F$31:$F$400,'Étape 1 - à remplir'!$E$31:$E$400,MASQ2!O223,'Étape 1 - à remplir'!$C$31:$C$400,X$3)),IF(X$2="Âge",IF(X$3="Tous",SUMIFS('Étape 1 - à remplir'!$F$31:$F$400,'Étape 1 - à remplir'!$E$31:$E$400,MASQ2!O223,'Étape 1 - à remplir'!$G$31:$G$400,"animaux"),SUMIFS('Étape 1 - à remplir'!$F$31:$F$400,'Étape 1 - à remplir'!$E$31:$E$400,MASQ2!O223,'Étape 1 - à remplir'!$P$31:$P$400,X$3)),IF(X$2="Atelier",IF(X$3="Tous",SUMIFS('Étape 1 - à remplir'!$F$31:$F$400,'Étape 1 - à remplir'!$E$31:$E$400,MASQ2!O223,'Étape 1 - à remplir'!$G$31:$G$400,"animaux"),SUMIFS('Étape 1 - à remplir'!$F$31:$F$400,'Étape 1 - à remplir'!$E$31:$E$400,MASQ2!O223,'Étape 1 - à remplir'!$O$31:$O$400,X$3)),IF(X$2="Espèce",IF(X$3="Toutes",SUMIFS('Étape 1 - à remplir'!$F$31:$F$400,'Étape 1 - à remplir'!$E$31:$E$400,MASQ2!O223,'Étape 1 - à remplir'!$G$31:$G$400,"animaux"),SUMIFS('Étape 1 - à remplir'!$F$31:$F$400,'Étape 1 - à remplir'!$E$31:$E$400,MASQ2!O223,'Étape 1 - à remplir'!$N$31:$N$400,X$3)))))))</f>
        <v>#N/A</v>
      </c>
      <c r="Q223" s="63">
        <f t="shared" si="210"/>
        <v>0</v>
      </c>
      <c r="R223" t="str">
        <f>Données_ATB!BM222</f>
        <v>Erythromycine</v>
      </c>
      <c r="S223" t="str">
        <f>Données_ATB!BN222</f>
        <v>Tétracycline</v>
      </c>
      <c r="T223" s="63" t="str">
        <f>Données_ATB!BO222</f>
        <v/>
      </c>
      <c r="U223" s="42" t="str">
        <f>Données_ATB!BQ222</f>
        <v>Macrolides</v>
      </c>
      <c r="V223" t="str">
        <f>Données_ATB!BR222</f>
        <v>Tetracyclines</v>
      </c>
      <c r="W223" s="63" t="str">
        <f>Données_ATB!BS222</f>
        <v/>
      </c>
      <c r="Z223" s="42">
        <v>220</v>
      </c>
      <c r="AA223" t="e">
        <f t="shared" si="206"/>
        <v>#N/A</v>
      </c>
      <c r="AB223" s="63" t="e">
        <f t="shared" si="207"/>
        <v>#N/A</v>
      </c>
      <c r="BF223" s="63"/>
      <c r="BT223" s="194" t="str">
        <f t="shared" ca="1" si="190"/>
        <v/>
      </c>
      <c r="BU223" s="219" t="str">
        <f>IFERROR(IF(BX223=0,"",COUNTIF(BX$4:BX$600,"&gt;"&amp;BX223)+COUNTIF(BX$4:BX223,BX223)),"")</f>
        <v/>
      </c>
      <c r="BV223" s="42" t="str">
        <f t="shared" si="191"/>
        <v>ERYTAVICOL</v>
      </c>
      <c r="BW223" t="e">
        <f>IF(IF(CE$2="Catégorie",IF(CE$3="Toutes",SUMIFS('Étape 1 - à remplir'!$F$31:$F$400,'Étape 1 - à remplir'!$E$31:$E$400,MASQ2!BV223,'Étape 1 - à remplir'!$G$31:$G$400,"lots"),SUMIFS('Étape 1 - à remplir'!$F$31:$F$400,'Étape 1 - à remplir'!$E$31:$E$400,MASQ2!BV223,'Étape 1 - à remplir'!$C$31:$C$400,CE$3)),IF(CE$2="Âge",IF(CE$3="Tous",SUMIFS('Étape 1 - à remplir'!$F$31:$F$400,'Étape 1 - à remplir'!$E$31:$E$400,MASQ2!BV223,'Étape 1 - à remplir'!$G$31:$G$400,"lots"),SUMIFS('Étape 1 - à remplir'!$F$31:$F$400,'Étape 1 - à remplir'!$E$31:$E$400,MASQ2!BV223,'Étape 1 - à remplir'!$P$31:$P$400,CE$3,'Étape 1 - à remplir'!$G$31:$G$400,"lots")),IF(CE$2="Atelier",IF(CE$3="Tous",SUMIFS('Étape 1 - à remplir'!$F$31:$F$400,'Étape 1 - à remplir'!$E$31:$E$400,MASQ2!BV223,'Étape 1 - à remplir'!$G$31:$G$400,"lots"),SUMIFS('Étape 1 - à remplir'!$F$31:$F$400,'Étape 1 - à remplir'!$E$31:$E$400,MASQ2!BV223,'Étape 1 - à remplir'!$O$31:$O$400,CE$3,'Étape 1 - à remplir'!$G$31:$G$400,"lots")),IF(CE$2="Espèce",IF(CE$3="Toutes",SUMIFS('Étape 1 - à remplir'!$F$31:$F$400,'Étape 1 - à remplir'!$E$31:$E$400,MASQ2!BV223,'Étape 1 - à remplir'!$G$31:$G$400,"lots"),SUMIFS('Étape 1 - à remplir'!$F$31:$F$400,'Étape 1 - à remplir'!$E$31:$E$400,MASQ2!BV223,'Étape 1 - à remplir'!$N$31:$N$400,CE$3,'Étape 1 - à remplir'!$G$31:$G$400,"lots"))))))=0,NA(),IF(CE$2="Catégorie",IF(CE$3="Toutes",SUMIFS('Étape 1 - à remplir'!$F$31:$F$400,'Étape 1 - à remplir'!$E$31:$E$400,MASQ2!BV223,'Étape 1 - à remplir'!$G$31:$G$400,"lots"),SUMIFS('Étape 1 - à remplir'!$F$31:$F$400,'Étape 1 - à remplir'!$E$31:$E$400,MASQ2!BV223,'Étape 1 - à remplir'!$C$31:$C$400,CE$3)),IF(CE$2="Âge",IF(CE$3="Tous",SUMIFS('Étape 1 - à remplir'!$F$31:$F$400,'Étape 1 - à remplir'!$E$31:$E$400,MASQ2!BV223,'Étape 1 - à remplir'!$G$31:$G$400,"lots"),SUMIFS('Étape 1 - à remplir'!$F$31:$F$400,'Étape 1 - à remplir'!$E$31:$E$400,MASQ2!BV223,'Étape 1 - à remplir'!$P$31:$P$400,CE$3,'Étape 1 - à remplir'!$G$31:$G$400,"lots")),IF(CE$2="Atelier",IF(CE$3="Tous",SUMIFS('Étape 1 - à remplir'!$F$31:$F$400,'Étape 1 - à remplir'!$E$31:$E$400,MASQ2!BV223,'Étape 1 - à remplir'!$G$31:$G$400,"lots"),SUMIFS('Étape 1 - à remplir'!$F$31:$F$400,'Étape 1 - à remplir'!$E$31:$E$400,MASQ2!BV223,'Étape 1 - à remplir'!$O$31:$O$400,CE$3,'Étape 1 - à remplir'!$G$31:$G$400,"lots")),IF(CE$2="Espèce",IF(CE$3="Toutes",SUMIFS('Étape 1 - à remplir'!$F$31:$F$400,'Étape 1 - à remplir'!$E$31:$E$400,MASQ2!BV223,'Étape 1 - à remplir'!$G$31:$G$400,"lots"),SUMIFS('Étape 1 - à remplir'!$F$31:$F$400,'Étape 1 - à remplir'!$E$31:$E$400,MASQ2!BV223,'Étape 1 - à remplir'!$N$31:$N$400,CE$3,'Étape 1 - à remplir'!$G$31:$G$400,"lots")))))))</f>
        <v>#N/A</v>
      </c>
      <c r="BX223">
        <f t="shared" si="208"/>
        <v>0</v>
      </c>
      <c r="BY223" t="str">
        <f t="shared" si="192"/>
        <v>Erythromycine</v>
      </c>
      <c r="BZ223" t="str">
        <f t="shared" si="193"/>
        <v>Tétracycline</v>
      </c>
      <c r="CA223" t="str">
        <f t="shared" si="194"/>
        <v/>
      </c>
      <c r="CB223" t="str">
        <f t="shared" si="195"/>
        <v>Macrolides</v>
      </c>
      <c r="CC223" t="str">
        <f t="shared" si="196"/>
        <v>Tetracyclines</v>
      </c>
      <c r="CD223" s="63" t="str">
        <f t="shared" si="197"/>
        <v/>
      </c>
      <c r="CG223" s="42">
        <v>220</v>
      </c>
      <c r="CH223" s="42" t="e">
        <f t="shared" si="213"/>
        <v>#N/A</v>
      </c>
      <c r="CI223" s="63" t="e">
        <f t="shared" si="214"/>
        <v>#N/A</v>
      </c>
      <c r="DM223" s="63"/>
      <c r="EA223" s="194" t="str">
        <f t="shared" ca="1" si="198"/>
        <v/>
      </c>
      <c r="EB223" s="226" t="str">
        <f>IFERROR(IF(ED223=0,"",COUNTIF(ED$4:ED$600,"&gt;"&amp;ED223)+COUNTIF(ED$4:ED223,ED223)),"")</f>
        <v/>
      </c>
      <c r="EC223" t="str">
        <f t="shared" si="199"/>
        <v>ERYTAVICOL</v>
      </c>
      <c r="ED223" t="e">
        <f>IF(IF(EL$2="Catégorie",IF(EL$3="Toutes",SUMIFS('Étape 1 - à remplir'!$F$31:$F$400,'Étape 1 - à remplir'!$E$31:$E$400,MASQ2!EC223,'Étape 1 - à remplir'!$G$31:$G$400,"kg"),SUMIFS('Étape 1 - à remplir'!$F$31:$F$400,'Étape 1 - à remplir'!$E$31:$E$400,MASQ2!EC223,'Étape 1 - à remplir'!$C$31:$C$400,EL$3)),IF(EL$2="Âge",IF(EL$3="Tous",SUMIFS('Étape 1 - à remplir'!$F$31:$F$400,'Étape 1 - à remplir'!$E$31:$E$400,MASQ2!EC223,'Étape 1 - à remplir'!$G$31:$G$400,"kg"),SUMIFS('Étape 1 - à remplir'!$F$31:$F$400,'Étape 1 - à remplir'!$E$31:$E$400,MASQ2!EC223,'Étape 1 - à remplir'!$P$31:$P$400,EL$3,'Étape 1 - à remplir'!$G$31:$G$400,"kg")),IF(EL$2="Atelier",IF(EL$3="Tous",SUMIFS('Étape 1 - à remplir'!$F$31:$F$400,'Étape 1 - à remplir'!$E$31:$E$400,MASQ2!EC223,'Étape 1 - à remplir'!$G$31:$G$400,"kg"),SUMIFS('Étape 1 - à remplir'!$F$31:$F$400,'Étape 1 - à remplir'!$E$31:$E$400,MASQ2!EC223,'Étape 1 - à remplir'!$O$31:$O$400,EL$3,'Étape 1 - à remplir'!$G$31:$G$400,"kg")),IF(EL$2="Espèce",IF(EL$3="Toutes",SUMIFS('Étape 1 - à remplir'!$F$31:$F$400,'Étape 1 - à remplir'!$E$31:$E$400,MASQ2!EC223,'Étape 1 - à remplir'!$G$31:$G$400,"kg"),SUMIFS('Étape 1 - à remplir'!$F$31:$F$400,'Étape 1 - à remplir'!$E$31:$E$400,MASQ2!EC223,'Étape 1 - à remplir'!$N$31:$N$400,EL$3,'Étape 1 - à remplir'!$G$31:$G$400,"kg"))))))=0,NA(),IF(EL$2="Catégorie",IF(EL$3="Toutes",SUMIFS('Étape 1 - à remplir'!$F$31:$F$400,'Étape 1 - à remplir'!$E$31:$E$400,MASQ2!EC223,'Étape 1 - à remplir'!$G$31:$G$400,"kg"),SUMIFS('Étape 1 - à remplir'!$F$31:$F$400,'Étape 1 - à remplir'!$E$31:$E$400,MASQ2!EC223,'Étape 1 - à remplir'!$C$31:$C$400,EL$3)),IF(EL$2="Âge",IF(EL$3="Tous",SUMIFS('Étape 1 - à remplir'!$F$31:$F$400,'Étape 1 - à remplir'!$E$31:$E$400,MASQ2!EC223,'Étape 1 - à remplir'!$G$31:$G$400,"kg"),SUMIFS('Étape 1 - à remplir'!$F$31:$F$400,'Étape 1 - à remplir'!$E$31:$E$400,MASQ2!EC223,'Étape 1 - à remplir'!$P$31:$P$400,EL$3,'Étape 1 - à remplir'!$G$31:$G$400,"kg")),IF(EL$2="Atelier",IF(EL$3="Tous",SUMIFS('Étape 1 - à remplir'!$F$31:$F$400,'Étape 1 - à remplir'!$E$31:$E$400,MASQ2!EC223,'Étape 1 - à remplir'!$G$31:$G$400,"kg"),SUMIFS('Étape 1 - à remplir'!$F$31:$F$400,'Étape 1 - à remplir'!$E$31:$E$400,MASQ2!EC223,'Étape 1 - à remplir'!$O$31:$O$400,EL$3,'Étape 1 - à remplir'!$G$31:$G$400,"kg")),IF(EL$2="Espèce",IF(EL$3="Toutes",SUMIFS('Étape 1 - à remplir'!$F$31:$F$400,'Étape 1 - à remplir'!$E$31:$E$400,MASQ2!EC223,'Étape 1 - à remplir'!$G$31:$G$400,"kg"),SUMIFS('Étape 1 - à remplir'!$F$31:$F$400,'Étape 1 - à remplir'!$E$31:$E$400,MASQ2!EC223,'Étape 1 - à remplir'!$N$31:$N$400,EL$3,'Étape 1 - à remplir'!$G$31:$G$400,"kg")))))))</f>
        <v>#N/A</v>
      </c>
      <c r="EE223" s="76">
        <f t="shared" si="209"/>
        <v>0</v>
      </c>
      <c r="EF223" t="str">
        <f t="shared" si="200"/>
        <v>Erythromycine</v>
      </c>
      <c r="EG223" t="str">
        <f t="shared" si="201"/>
        <v>Tétracycline</v>
      </c>
      <c r="EH223" t="str">
        <f t="shared" si="202"/>
        <v/>
      </c>
      <c r="EI223" t="str">
        <f t="shared" si="203"/>
        <v>Macrolides</v>
      </c>
      <c r="EJ223" t="str">
        <f t="shared" si="204"/>
        <v>Tetracyclines</v>
      </c>
      <c r="EK223" s="63" t="str">
        <f t="shared" si="205"/>
        <v/>
      </c>
      <c r="EN223" s="42">
        <v>220</v>
      </c>
      <c r="EO223" t="e">
        <f t="shared" si="211"/>
        <v>#N/A</v>
      </c>
      <c r="EP223" s="63" t="e">
        <f t="shared" si="212"/>
        <v>#N/A</v>
      </c>
      <c r="FT223" s="63"/>
    </row>
    <row r="224" spans="2:176" x14ac:dyDescent="0.3">
      <c r="B224" s="42"/>
      <c r="M224" s="194" t="str">
        <f ca="1">INDEX(Données_ATB!BD:BU,MATCH(MASQ2!O224,Données_ATB!BD:BD,0),18)</f>
        <v/>
      </c>
      <c r="N224" s="14" t="str">
        <f>IFERROR(IF(Q224=0,"",COUNTIF(Q$4:Q$600,"&gt;"&amp;Q224)+COUNTIF(Q$4:Q224,Q224)),"")</f>
        <v/>
      </c>
      <c r="O224" t="str">
        <f>Données_ATB!BD223</f>
        <v>ERYTHROCINE 200</v>
      </c>
      <c r="P224" t="e">
        <f>IF(IF(X$2="Catégorie",IF(X$3="Toutes",SUMIFS('Étape 1 - à remplir'!$F$31:$F$400,'Étape 1 - à remplir'!$E$31:$E$400,MASQ2!O224,'Étape 1 - à remplir'!$G$31:$G$400,"animaux"),SUMIFS('Étape 1 - à remplir'!$F$31:$F$400,'Étape 1 - à remplir'!$E$31:$E$400,MASQ2!O224,'Étape 1 - à remplir'!$C$31:$C$400,X$3)),IF(X$2="Âge",IF(X$3="Tous",SUMIFS('Étape 1 - à remplir'!$F$31:$F$400,'Étape 1 - à remplir'!$E$31:$E$400,MASQ2!O224,'Étape 1 - à remplir'!$G$31:$G$400,"animaux"),SUMIFS('Étape 1 - à remplir'!$F$31:$F$400,'Étape 1 - à remplir'!$E$31:$E$400,MASQ2!O224,'Étape 1 - à remplir'!$P$31:$P$400,X$3)),IF(X$2="Atelier",IF(X$3="Tous",SUMIFS('Étape 1 - à remplir'!$F$31:$F$400,'Étape 1 - à remplir'!$E$31:$E$400,MASQ2!O224,'Étape 1 - à remplir'!$G$31:$G$400,"animaux"),SUMIFS('Étape 1 - à remplir'!$F$31:$F$400,'Étape 1 - à remplir'!$E$31:$E$400,MASQ2!O224,'Étape 1 - à remplir'!$O$31:$O$400,X$3)),IF(X$2="Espèce",IF(X$3="Toutes",SUMIFS('Étape 1 - à remplir'!$F$31:$F$400,'Étape 1 - à remplir'!$E$31:$E$400,MASQ2!O224,'Étape 1 - à remplir'!$G$31:$G$400,"animaux"),SUMIFS('Étape 1 - à remplir'!$F$31:$F$400,'Étape 1 - à remplir'!$E$31:$E$400,MASQ2!O224,'Étape 1 - à remplir'!$N$31:$N$400,X$3))))))=0,NA(),IF(X$2="Catégorie",IF(X$3="Toutes",SUMIFS('Étape 1 - à remplir'!$F$31:$F$400,'Étape 1 - à remplir'!$E$31:$E$400,MASQ2!O224,'Étape 1 - à remplir'!$G$31:$G$400,"animaux"),SUMIFS('Étape 1 - à remplir'!$F$31:$F$400,'Étape 1 - à remplir'!$E$31:$E$400,MASQ2!O224,'Étape 1 - à remplir'!$C$31:$C$400,X$3)),IF(X$2="Âge",IF(X$3="Tous",SUMIFS('Étape 1 - à remplir'!$F$31:$F$400,'Étape 1 - à remplir'!$E$31:$E$400,MASQ2!O224,'Étape 1 - à remplir'!$G$31:$G$400,"animaux"),SUMIFS('Étape 1 - à remplir'!$F$31:$F$400,'Étape 1 - à remplir'!$E$31:$E$400,MASQ2!O224,'Étape 1 - à remplir'!$P$31:$P$400,X$3)),IF(X$2="Atelier",IF(X$3="Tous",SUMIFS('Étape 1 - à remplir'!$F$31:$F$400,'Étape 1 - à remplir'!$E$31:$E$400,MASQ2!O224,'Étape 1 - à remplir'!$G$31:$G$400,"animaux"),SUMIFS('Étape 1 - à remplir'!$F$31:$F$400,'Étape 1 - à remplir'!$E$31:$E$400,MASQ2!O224,'Étape 1 - à remplir'!$O$31:$O$400,X$3)),IF(X$2="Espèce",IF(X$3="Toutes",SUMIFS('Étape 1 - à remplir'!$F$31:$F$400,'Étape 1 - à remplir'!$E$31:$E$400,MASQ2!O224,'Étape 1 - à remplir'!$G$31:$G$400,"animaux"),SUMIFS('Étape 1 - à remplir'!$F$31:$F$400,'Étape 1 - à remplir'!$E$31:$E$400,MASQ2!O224,'Étape 1 - à remplir'!$N$31:$N$400,X$3)))))))</f>
        <v>#N/A</v>
      </c>
      <c r="Q224" s="63">
        <f t="shared" si="210"/>
        <v>0</v>
      </c>
      <c r="R224" t="str">
        <f>Données_ATB!BM223</f>
        <v>Erythromycine</v>
      </c>
      <c r="S224" t="str">
        <f>Données_ATB!BN223</f>
        <v/>
      </c>
      <c r="T224" s="63" t="str">
        <f>Données_ATB!BO223</f>
        <v/>
      </c>
      <c r="U224" s="42" t="str">
        <f>Données_ATB!BQ223</f>
        <v>Macrolides</v>
      </c>
      <c r="V224" t="str">
        <f>Données_ATB!BR223</f>
        <v/>
      </c>
      <c r="W224" s="63" t="str">
        <f>Données_ATB!BS223</f>
        <v/>
      </c>
      <c r="Z224" s="42">
        <v>221</v>
      </c>
      <c r="AA224" t="e">
        <f t="shared" si="206"/>
        <v>#N/A</v>
      </c>
      <c r="AB224" s="63" t="e">
        <f t="shared" si="207"/>
        <v>#N/A</v>
      </c>
      <c r="BF224" s="63"/>
      <c r="BT224" s="194" t="str">
        <f t="shared" ca="1" si="190"/>
        <v/>
      </c>
      <c r="BU224" s="219" t="str">
        <f>IFERROR(IF(BX224=0,"",COUNTIF(BX$4:BX$600,"&gt;"&amp;BX224)+COUNTIF(BX$4:BX224,BX224)),"")</f>
        <v/>
      </c>
      <c r="BV224" s="42" t="str">
        <f t="shared" si="191"/>
        <v>ERYTHROCINE 200</v>
      </c>
      <c r="BW224" t="e">
        <f>IF(IF(CE$2="Catégorie",IF(CE$3="Toutes",SUMIFS('Étape 1 - à remplir'!$F$31:$F$400,'Étape 1 - à remplir'!$E$31:$E$400,MASQ2!BV224,'Étape 1 - à remplir'!$G$31:$G$400,"lots"),SUMIFS('Étape 1 - à remplir'!$F$31:$F$400,'Étape 1 - à remplir'!$E$31:$E$400,MASQ2!BV224,'Étape 1 - à remplir'!$C$31:$C$400,CE$3)),IF(CE$2="Âge",IF(CE$3="Tous",SUMIFS('Étape 1 - à remplir'!$F$31:$F$400,'Étape 1 - à remplir'!$E$31:$E$400,MASQ2!BV224,'Étape 1 - à remplir'!$G$31:$G$400,"lots"),SUMIFS('Étape 1 - à remplir'!$F$31:$F$400,'Étape 1 - à remplir'!$E$31:$E$400,MASQ2!BV224,'Étape 1 - à remplir'!$P$31:$P$400,CE$3,'Étape 1 - à remplir'!$G$31:$G$400,"lots")),IF(CE$2="Atelier",IF(CE$3="Tous",SUMIFS('Étape 1 - à remplir'!$F$31:$F$400,'Étape 1 - à remplir'!$E$31:$E$400,MASQ2!BV224,'Étape 1 - à remplir'!$G$31:$G$400,"lots"),SUMIFS('Étape 1 - à remplir'!$F$31:$F$400,'Étape 1 - à remplir'!$E$31:$E$400,MASQ2!BV224,'Étape 1 - à remplir'!$O$31:$O$400,CE$3,'Étape 1 - à remplir'!$G$31:$G$400,"lots")),IF(CE$2="Espèce",IF(CE$3="Toutes",SUMIFS('Étape 1 - à remplir'!$F$31:$F$400,'Étape 1 - à remplir'!$E$31:$E$400,MASQ2!BV224,'Étape 1 - à remplir'!$G$31:$G$400,"lots"),SUMIFS('Étape 1 - à remplir'!$F$31:$F$400,'Étape 1 - à remplir'!$E$31:$E$400,MASQ2!BV224,'Étape 1 - à remplir'!$N$31:$N$400,CE$3,'Étape 1 - à remplir'!$G$31:$G$400,"lots"))))))=0,NA(),IF(CE$2="Catégorie",IF(CE$3="Toutes",SUMIFS('Étape 1 - à remplir'!$F$31:$F$400,'Étape 1 - à remplir'!$E$31:$E$400,MASQ2!BV224,'Étape 1 - à remplir'!$G$31:$G$400,"lots"),SUMIFS('Étape 1 - à remplir'!$F$31:$F$400,'Étape 1 - à remplir'!$E$31:$E$400,MASQ2!BV224,'Étape 1 - à remplir'!$C$31:$C$400,CE$3)),IF(CE$2="Âge",IF(CE$3="Tous",SUMIFS('Étape 1 - à remplir'!$F$31:$F$400,'Étape 1 - à remplir'!$E$31:$E$400,MASQ2!BV224,'Étape 1 - à remplir'!$G$31:$G$400,"lots"),SUMIFS('Étape 1 - à remplir'!$F$31:$F$400,'Étape 1 - à remplir'!$E$31:$E$400,MASQ2!BV224,'Étape 1 - à remplir'!$P$31:$P$400,CE$3,'Étape 1 - à remplir'!$G$31:$G$400,"lots")),IF(CE$2="Atelier",IF(CE$3="Tous",SUMIFS('Étape 1 - à remplir'!$F$31:$F$400,'Étape 1 - à remplir'!$E$31:$E$400,MASQ2!BV224,'Étape 1 - à remplir'!$G$31:$G$400,"lots"),SUMIFS('Étape 1 - à remplir'!$F$31:$F$400,'Étape 1 - à remplir'!$E$31:$E$400,MASQ2!BV224,'Étape 1 - à remplir'!$O$31:$O$400,CE$3,'Étape 1 - à remplir'!$G$31:$G$400,"lots")),IF(CE$2="Espèce",IF(CE$3="Toutes",SUMIFS('Étape 1 - à remplir'!$F$31:$F$400,'Étape 1 - à remplir'!$E$31:$E$400,MASQ2!BV224,'Étape 1 - à remplir'!$G$31:$G$400,"lots"),SUMIFS('Étape 1 - à remplir'!$F$31:$F$400,'Étape 1 - à remplir'!$E$31:$E$400,MASQ2!BV224,'Étape 1 - à remplir'!$N$31:$N$400,CE$3,'Étape 1 - à remplir'!$G$31:$G$400,"lots")))))))</f>
        <v>#N/A</v>
      </c>
      <c r="BX224">
        <f t="shared" si="208"/>
        <v>0</v>
      </c>
      <c r="BY224" t="str">
        <f t="shared" si="192"/>
        <v>Erythromycine</v>
      </c>
      <c r="BZ224" t="str">
        <f t="shared" si="193"/>
        <v/>
      </c>
      <c r="CA224" t="str">
        <f t="shared" si="194"/>
        <v/>
      </c>
      <c r="CB224" t="str">
        <f t="shared" si="195"/>
        <v>Macrolides</v>
      </c>
      <c r="CC224" t="str">
        <f t="shared" si="196"/>
        <v/>
      </c>
      <c r="CD224" s="63" t="str">
        <f t="shared" si="197"/>
        <v/>
      </c>
      <c r="CG224" s="42">
        <v>221</v>
      </c>
      <c r="CH224" s="42" t="e">
        <f t="shared" si="213"/>
        <v>#N/A</v>
      </c>
      <c r="CI224" s="63" t="e">
        <f t="shared" si="214"/>
        <v>#N/A</v>
      </c>
      <c r="DM224" s="63"/>
      <c r="EA224" s="194" t="str">
        <f t="shared" ca="1" si="198"/>
        <v/>
      </c>
      <c r="EB224" s="226" t="str">
        <f>IFERROR(IF(ED224=0,"",COUNTIF(ED$4:ED$600,"&gt;"&amp;ED224)+COUNTIF(ED$4:ED224,ED224)),"")</f>
        <v/>
      </c>
      <c r="EC224" t="str">
        <f t="shared" si="199"/>
        <v>ERYTHROCINE 200</v>
      </c>
      <c r="ED224" t="e">
        <f>IF(IF(EL$2="Catégorie",IF(EL$3="Toutes",SUMIFS('Étape 1 - à remplir'!$F$31:$F$400,'Étape 1 - à remplir'!$E$31:$E$400,MASQ2!EC224,'Étape 1 - à remplir'!$G$31:$G$400,"kg"),SUMIFS('Étape 1 - à remplir'!$F$31:$F$400,'Étape 1 - à remplir'!$E$31:$E$400,MASQ2!EC224,'Étape 1 - à remplir'!$C$31:$C$400,EL$3)),IF(EL$2="Âge",IF(EL$3="Tous",SUMIFS('Étape 1 - à remplir'!$F$31:$F$400,'Étape 1 - à remplir'!$E$31:$E$400,MASQ2!EC224,'Étape 1 - à remplir'!$G$31:$G$400,"kg"),SUMIFS('Étape 1 - à remplir'!$F$31:$F$400,'Étape 1 - à remplir'!$E$31:$E$400,MASQ2!EC224,'Étape 1 - à remplir'!$P$31:$P$400,EL$3,'Étape 1 - à remplir'!$G$31:$G$400,"kg")),IF(EL$2="Atelier",IF(EL$3="Tous",SUMIFS('Étape 1 - à remplir'!$F$31:$F$400,'Étape 1 - à remplir'!$E$31:$E$400,MASQ2!EC224,'Étape 1 - à remplir'!$G$31:$G$400,"kg"),SUMIFS('Étape 1 - à remplir'!$F$31:$F$400,'Étape 1 - à remplir'!$E$31:$E$400,MASQ2!EC224,'Étape 1 - à remplir'!$O$31:$O$400,EL$3,'Étape 1 - à remplir'!$G$31:$G$400,"kg")),IF(EL$2="Espèce",IF(EL$3="Toutes",SUMIFS('Étape 1 - à remplir'!$F$31:$F$400,'Étape 1 - à remplir'!$E$31:$E$400,MASQ2!EC224,'Étape 1 - à remplir'!$G$31:$G$400,"kg"),SUMIFS('Étape 1 - à remplir'!$F$31:$F$400,'Étape 1 - à remplir'!$E$31:$E$400,MASQ2!EC224,'Étape 1 - à remplir'!$N$31:$N$400,EL$3,'Étape 1 - à remplir'!$G$31:$G$400,"kg"))))))=0,NA(),IF(EL$2="Catégorie",IF(EL$3="Toutes",SUMIFS('Étape 1 - à remplir'!$F$31:$F$400,'Étape 1 - à remplir'!$E$31:$E$400,MASQ2!EC224,'Étape 1 - à remplir'!$G$31:$G$400,"kg"),SUMIFS('Étape 1 - à remplir'!$F$31:$F$400,'Étape 1 - à remplir'!$E$31:$E$400,MASQ2!EC224,'Étape 1 - à remplir'!$C$31:$C$400,EL$3)),IF(EL$2="Âge",IF(EL$3="Tous",SUMIFS('Étape 1 - à remplir'!$F$31:$F$400,'Étape 1 - à remplir'!$E$31:$E$400,MASQ2!EC224,'Étape 1 - à remplir'!$G$31:$G$400,"kg"),SUMIFS('Étape 1 - à remplir'!$F$31:$F$400,'Étape 1 - à remplir'!$E$31:$E$400,MASQ2!EC224,'Étape 1 - à remplir'!$P$31:$P$400,EL$3,'Étape 1 - à remplir'!$G$31:$G$400,"kg")),IF(EL$2="Atelier",IF(EL$3="Tous",SUMIFS('Étape 1 - à remplir'!$F$31:$F$400,'Étape 1 - à remplir'!$E$31:$E$400,MASQ2!EC224,'Étape 1 - à remplir'!$G$31:$G$400,"kg"),SUMIFS('Étape 1 - à remplir'!$F$31:$F$400,'Étape 1 - à remplir'!$E$31:$E$400,MASQ2!EC224,'Étape 1 - à remplir'!$O$31:$O$400,EL$3,'Étape 1 - à remplir'!$G$31:$G$400,"kg")),IF(EL$2="Espèce",IF(EL$3="Toutes",SUMIFS('Étape 1 - à remplir'!$F$31:$F$400,'Étape 1 - à remplir'!$E$31:$E$400,MASQ2!EC224,'Étape 1 - à remplir'!$G$31:$G$400,"kg"),SUMIFS('Étape 1 - à remplir'!$F$31:$F$400,'Étape 1 - à remplir'!$E$31:$E$400,MASQ2!EC224,'Étape 1 - à remplir'!$N$31:$N$400,EL$3,'Étape 1 - à remplir'!$G$31:$G$400,"kg")))))))</f>
        <v>#N/A</v>
      </c>
      <c r="EE224" s="76">
        <f t="shared" si="209"/>
        <v>0</v>
      </c>
      <c r="EF224" t="str">
        <f t="shared" si="200"/>
        <v>Erythromycine</v>
      </c>
      <c r="EG224" t="str">
        <f t="shared" si="201"/>
        <v/>
      </c>
      <c r="EH224" t="str">
        <f t="shared" si="202"/>
        <v/>
      </c>
      <c r="EI224" t="str">
        <f t="shared" si="203"/>
        <v>Macrolides</v>
      </c>
      <c r="EJ224" t="str">
        <f t="shared" si="204"/>
        <v/>
      </c>
      <c r="EK224" s="63" t="str">
        <f t="shared" si="205"/>
        <v/>
      </c>
      <c r="EN224" s="42">
        <v>221</v>
      </c>
      <c r="EO224" t="e">
        <f t="shared" si="211"/>
        <v>#N/A</v>
      </c>
      <c r="EP224" s="63" t="e">
        <f t="shared" si="212"/>
        <v>#N/A</v>
      </c>
      <c r="FT224" s="63"/>
    </row>
    <row r="225" spans="2:176" x14ac:dyDescent="0.3">
      <c r="B225" s="42"/>
      <c r="M225" s="194" t="str">
        <f ca="1">INDEX(Données_ATB!BD:BU,MATCH(MASQ2!O225,Données_ATB!BD:BD,0),18)</f>
        <v/>
      </c>
      <c r="N225" s="14" t="str">
        <f>IFERROR(IF(Q225=0,"",COUNTIF(Q$4:Q$600,"&gt;"&amp;Q225)+COUNTIF(Q$4:Q225,Q225)),"")</f>
        <v/>
      </c>
      <c r="O225" t="str">
        <f>Données_ATB!BD224</f>
        <v>ERYTHROVET</v>
      </c>
      <c r="P225" t="e">
        <f>IF(IF(X$2="Catégorie",IF(X$3="Toutes",SUMIFS('Étape 1 - à remplir'!$F$31:$F$400,'Étape 1 - à remplir'!$E$31:$E$400,MASQ2!O225,'Étape 1 - à remplir'!$G$31:$G$400,"animaux"),SUMIFS('Étape 1 - à remplir'!$F$31:$F$400,'Étape 1 - à remplir'!$E$31:$E$400,MASQ2!O225,'Étape 1 - à remplir'!$C$31:$C$400,X$3)),IF(X$2="Âge",IF(X$3="Tous",SUMIFS('Étape 1 - à remplir'!$F$31:$F$400,'Étape 1 - à remplir'!$E$31:$E$400,MASQ2!O225,'Étape 1 - à remplir'!$G$31:$G$400,"animaux"),SUMIFS('Étape 1 - à remplir'!$F$31:$F$400,'Étape 1 - à remplir'!$E$31:$E$400,MASQ2!O225,'Étape 1 - à remplir'!$P$31:$P$400,X$3)),IF(X$2="Atelier",IF(X$3="Tous",SUMIFS('Étape 1 - à remplir'!$F$31:$F$400,'Étape 1 - à remplir'!$E$31:$E$400,MASQ2!O225,'Étape 1 - à remplir'!$G$31:$G$400,"animaux"),SUMIFS('Étape 1 - à remplir'!$F$31:$F$400,'Étape 1 - à remplir'!$E$31:$E$400,MASQ2!O225,'Étape 1 - à remplir'!$O$31:$O$400,X$3)),IF(X$2="Espèce",IF(X$3="Toutes",SUMIFS('Étape 1 - à remplir'!$F$31:$F$400,'Étape 1 - à remplir'!$E$31:$E$400,MASQ2!O225,'Étape 1 - à remplir'!$G$31:$G$400,"animaux"),SUMIFS('Étape 1 - à remplir'!$F$31:$F$400,'Étape 1 - à remplir'!$E$31:$E$400,MASQ2!O225,'Étape 1 - à remplir'!$N$31:$N$400,X$3))))))=0,NA(),IF(X$2="Catégorie",IF(X$3="Toutes",SUMIFS('Étape 1 - à remplir'!$F$31:$F$400,'Étape 1 - à remplir'!$E$31:$E$400,MASQ2!O225,'Étape 1 - à remplir'!$G$31:$G$400,"animaux"),SUMIFS('Étape 1 - à remplir'!$F$31:$F$400,'Étape 1 - à remplir'!$E$31:$E$400,MASQ2!O225,'Étape 1 - à remplir'!$C$31:$C$400,X$3)),IF(X$2="Âge",IF(X$3="Tous",SUMIFS('Étape 1 - à remplir'!$F$31:$F$400,'Étape 1 - à remplir'!$E$31:$E$400,MASQ2!O225,'Étape 1 - à remplir'!$G$31:$G$400,"animaux"),SUMIFS('Étape 1 - à remplir'!$F$31:$F$400,'Étape 1 - à remplir'!$E$31:$E$400,MASQ2!O225,'Étape 1 - à remplir'!$P$31:$P$400,X$3)),IF(X$2="Atelier",IF(X$3="Tous",SUMIFS('Étape 1 - à remplir'!$F$31:$F$400,'Étape 1 - à remplir'!$E$31:$E$400,MASQ2!O225,'Étape 1 - à remplir'!$G$31:$G$400,"animaux"),SUMIFS('Étape 1 - à remplir'!$F$31:$F$400,'Étape 1 - à remplir'!$E$31:$E$400,MASQ2!O225,'Étape 1 - à remplir'!$O$31:$O$400,X$3)),IF(X$2="Espèce",IF(X$3="Toutes",SUMIFS('Étape 1 - à remplir'!$F$31:$F$400,'Étape 1 - à remplir'!$E$31:$E$400,MASQ2!O225,'Étape 1 - à remplir'!$G$31:$G$400,"animaux"),SUMIFS('Étape 1 - à remplir'!$F$31:$F$400,'Étape 1 - à remplir'!$E$31:$E$400,MASQ2!O225,'Étape 1 - à remplir'!$N$31:$N$400,X$3)))))))</f>
        <v>#N/A</v>
      </c>
      <c r="Q225" s="63">
        <f t="shared" si="210"/>
        <v>0</v>
      </c>
      <c r="R225" t="str">
        <f>Données_ATB!BM224</f>
        <v>Erythromycine</v>
      </c>
      <c r="S225" t="str">
        <f>Données_ATB!BN224</f>
        <v/>
      </c>
      <c r="T225" s="63" t="str">
        <f>Données_ATB!BO224</f>
        <v/>
      </c>
      <c r="U225" s="42" t="str">
        <f>Données_ATB!BQ224</f>
        <v>Macrolides</v>
      </c>
      <c r="V225" t="str">
        <f>Données_ATB!BR224</f>
        <v/>
      </c>
      <c r="W225" s="63" t="str">
        <f>Données_ATB!BS224</f>
        <v/>
      </c>
      <c r="Z225" s="42">
        <v>222</v>
      </c>
      <c r="AA225" t="e">
        <f t="shared" si="206"/>
        <v>#N/A</v>
      </c>
      <c r="AB225" s="63" t="e">
        <f t="shared" si="207"/>
        <v>#N/A</v>
      </c>
      <c r="BF225" s="63"/>
      <c r="BT225" s="194" t="str">
        <f t="shared" ca="1" si="190"/>
        <v/>
      </c>
      <c r="BU225" s="219" t="str">
        <f>IFERROR(IF(BX225=0,"",COUNTIF(BX$4:BX$600,"&gt;"&amp;BX225)+COUNTIF(BX$4:BX225,BX225)),"")</f>
        <v/>
      </c>
      <c r="BV225" s="42" t="str">
        <f t="shared" si="191"/>
        <v>ERYTHROVET</v>
      </c>
      <c r="BW225" t="e">
        <f>IF(IF(CE$2="Catégorie",IF(CE$3="Toutes",SUMIFS('Étape 1 - à remplir'!$F$31:$F$400,'Étape 1 - à remplir'!$E$31:$E$400,MASQ2!BV225,'Étape 1 - à remplir'!$G$31:$G$400,"lots"),SUMIFS('Étape 1 - à remplir'!$F$31:$F$400,'Étape 1 - à remplir'!$E$31:$E$400,MASQ2!BV225,'Étape 1 - à remplir'!$C$31:$C$400,CE$3)),IF(CE$2="Âge",IF(CE$3="Tous",SUMIFS('Étape 1 - à remplir'!$F$31:$F$400,'Étape 1 - à remplir'!$E$31:$E$400,MASQ2!BV225,'Étape 1 - à remplir'!$G$31:$G$400,"lots"),SUMIFS('Étape 1 - à remplir'!$F$31:$F$400,'Étape 1 - à remplir'!$E$31:$E$400,MASQ2!BV225,'Étape 1 - à remplir'!$P$31:$P$400,CE$3,'Étape 1 - à remplir'!$G$31:$G$400,"lots")),IF(CE$2="Atelier",IF(CE$3="Tous",SUMIFS('Étape 1 - à remplir'!$F$31:$F$400,'Étape 1 - à remplir'!$E$31:$E$400,MASQ2!BV225,'Étape 1 - à remplir'!$G$31:$G$400,"lots"),SUMIFS('Étape 1 - à remplir'!$F$31:$F$400,'Étape 1 - à remplir'!$E$31:$E$400,MASQ2!BV225,'Étape 1 - à remplir'!$O$31:$O$400,CE$3,'Étape 1 - à remplir'!$G$31:$G$400,"lots")),IF(CE$2="Espèce",IF(CE$3="Toutes",SUMIFS('Étape 1 - à remplir'!$F$31:$F$400,'Étape 1 - à remplir'!$E$31:$E$400,MASQ2!BV225,'Étape 1 - à remplir'!$G$31:$G$400,"lots"),SUMIFS('Étape 1 - à remplir'!$F$31:$F$400,'Étape 1 - à remplir'!$E$31:$E$400,MASQ2!BV225,'Étape 1 - à remplir'!$N$31:$N$400,CE$3,'Étape 1 - à remplir'!$G$31:$G$400,"lots"))))))=0,NA(),IF(CE$2="Catégorie",IF(CE$3="Toutes",SUMIFS('Étape 1 - à remplir'!$F$31:$F$400,'Étape 1 - à remplir'!$E$31:$E$400,MASQ2!BV225,'Étape 1 - à remplir'!$G$31:$G$400,"lots"),SUMIFS('Étape 1 - à remplir'!$F$31:$F$400,'Étape 1 - à remplir'!$E$31:$E$400,MASQ2!BV225,'Étape 1 - à remplir'!$C$31:$C$400,CE$3)),IF(CE$2="Âge",IF(CE$3="Tous",SUMIFS('Étape 1 - à remplir'!$F$31:$F$400,'Étape 1 - à remplir'!$E$31:$E$400,MASQ2!BV225,'Étape 1 - à remplir'!$G$31:$G$400,"lots"),SUMIFS('Étape 1 - à remplir'!$F$31:$F$400,'Étape 1 - à remplir'!$E$31:$E$400,MASQ2!BV225,'Étape 1 - à remplir'!$P$31:$P$400,CE$3,'Étape 1 - à remplir'!$G$31:$G$400,"lots")),IF(CE$2="Atelier",IF(CE$3="Tous",SUMIFS('Étape 1 - à remplir'!$F$31:$F$400,'Étape 1 - à remplir'!$E$31:$E$400,MASQ2!BV225,'Étape 1 - à remplir'!$G$31:$G$400,"lots"),SUMIFS('Étape 1 - à remplir'!$F$31:$F$400,'Étape 1 - à remplir'!$E$31:$E$400,MASQ2!BV225,'Étape 1 - à remplir'!$O$31:$O$400,CE$3,'Étape 1 - à remplir'!$G$31:$G$400,"lots")),IF(CE$2="Espèce",IF(CE$3="Toutes",SUMIFS('Étape 1 - à remplir'!$F$31:$F$400,'Étape 1 - à remplir'!$E$31:$E$400,MASQ2!BV225,'Étape 1 - à remplir'!$G$31:$G$400,"lots"),SUMIFS('Étape 1 - à remplir'!$F$31:$F$400,'Étape 1 - à remplir'!$E$31:$E$400,MASQ2!BV225,'Étape 1 - à remplir'!$N$31:$N$400,CE$3,'Étape 1 - à remplir'!$G$31:$G$400,"lots")))))))</f>
        <v>#N/A</v>
      </c>
      <c r="BX225">
        <f t="shared" si="208"/>
        <v>0</v>
      </c>
      <c r="BY225" t="str">
        <f t="shared" si="192"/>
        <v>Erythromycine</v>
      </c>
      <c r="BZ225" t="str">
        <f t="shared" si="193"/>
        <v/>
      </c>
      <c r="CA225" t="str">
        <f t="shared" si="194"/>
        <v/>
      </c>
      <c r="CB225" t="str">
        <f t="shared" si="195"/>
        <v>Macrolides</v>
      </c>
      <c r="CC225" t="str">
        <f t="shared" si="196"/>
        <v/>
      </c>
      <c r="CD225" s="63" t="str">
        <f t="shared" si="197"/>
        <v/>
      </c>
      <c r="CG225" s="42">
        <v>222</v>
      </c>
      <c r="CH225" s="42" t="e">
        <f t="shared" si="213"/>
        <v>#N/A</v>
      </c>
      <c r="CI225" s="63" t="e">
        <f t="shared" si="214"/>
        <v>#N/A</v>
      </c>
      <c r="DM225" s="63"/>
      <c r="EA225" s="194" t="str">
        <f t="shared" ca="1" si="198"/>
        <v/>
      </c>
      <c r="EB225" s="226" t="str">
        <f>IFERROR(IF(ED225=0,"",COUNTIF(ED$4:ED$600,"&gt;"&amp;ED225)+COUNTIF(ED$4:ED225,ED225)),"")</f>
        <v/>
      </c>
      <c r="EC225" t="str">
        <f t="shared" si="199"/>
        <v>ERYTHROVET</v>
      </c>
      <c r="ED225" t="e">
        <f>IF(IF(EL$2="Catégorie",IF(EL$3="Toutes",SUMIFS('Étape 1 - à remplir'!$F$31:$F$400,'Étape 1 - à remplir'!$E$31:$E$400,MASQ2!EC225,'Étape 1 - à remplir'!$G$31:$G$400,"kg"),SUMIFS('Étape 1 - à remplir'!$F$31:$F$400,'Étape 1 - à remplir'!$E$31:$E$400,MASQ2!EC225,'Étape 1 - à remplir'!$C$31:$C$400,EL$3)),IF(EL$2="Âge",IF(EL$3="Tous",SUMIFS('Étape 1 - à remplir'!$F$31:$F$400,'Étape 1 - à remplir'!$E$31:$E$400,MASQ2!EC225,'Étape 1 - à remplir'!$G$31:$G$400,"kg"),SUMIFS('Étape 1 - à remplir'!$F$31:$F$400,'Étape 1 - à remplir'!$E$31:$E$400,MASQ2!EC225,'Étape 1 - à remplir'!$P$31:$P$400,EL$3,'Étape 1 - à remplir'!$G$31:$G$400,"kg")),IF(EL$2="Atelier",IF(EL$3="Tous",SUMIFS('Étape 1 - à remplir'!$F$31:$F$400,'Étape 1 - à remplir'!$E$31:$E$400,MASQ2!EC225,'Étape 1 - à remplir'!$G$31:$G$400,"kg"),SUMIFS('Étape 1 - à remplir'!$F$31:$F$400,'Étape 1 - à remplir'!$E$31:$E$400,MASQ2!EC225,'Étape 1 - à remplir'!$O$31:$O$400,EL$3,'Étape 1 - à remplir'!$G$31:$G$400,"kg")),IF(EL$2="Espèce",IF(EL$3="Toutes",SUMIFS('Étape 1 - à remplir'!$F$31:$F$400,'Étape 1 - à remplir'!$E$31:$E$400,MASQ2!EC225,'Étape 1 - à remplir'!$G$31:$G$400,"kg"),SUMIFS('Étape 1 - à remplir'!$F$31:$F$400,'Étape 1 - à remplir'!$E$31:$E$400,MASQ2!EC225,'Étape 1 - à remplir'!$N$31:$N$400,EL$3,'Étape 1 - à remplir'!$G$31:$G$400,"kg"))))))=0,NA(),IF(EL$2="Catégorie",IF(EL$3="Toutes",SUMIFS('Étape 1 - à remplir'!$F$31:$F$400,'Étape 1 - à remplir'!$E$31:$E$400,MASQ2!EC225,'Étape 1 - à remplir'!$G$31:$G$400,"kg"),SUMIFS('Étape 1 - à remplir'!$F$31:$F$400,'Étape 1 - à remplir'!$E$31:$E$400,MASQ2!EC225,'Étape 1 - à remplir'!$C$31:$C$400,EL$3)),IF(EL$2="Âge",IF(EL$3="Tous",SUMIFS('Étape 1 - à remplir'!$F$31:$F$400,'Étape 1 - à remplir'!$E$31:$E$400,MASQ2!EC225,'Étape 1 - à remplir'!$G$31:$G$400,"kg"),SUMIFS('Étape 1 - à remplir'!$F$31:$F$400,'Étape 1 - à remplir'!$E$31:$E$400,MASQ2!EC225,'Étape 1 - à remplir'!$P$31:$P$400,EL$3,'Étape 1 - à remplir'!$G$31:$G$400,"kg")),IF(EL$2="Atelier",IF(EL$3="Tous",SUMIFS('Étape 1 - à remplir'!$F$31:$F$400,'Étape 1 - à remplir'!$E$31:$E$400,MASQ2!EC225,'Étape 1 - à remplir'!$G$31:$G$400,"kg"),SUMIFS('Étape 1 - à remplir'!$F$31:$F$400,'Étape 1 - à remplir'!$E$31:$E$400,MASQ2!EC225,'Étape 1 - à remplir'!$O$31:$O$400,EL$3,'Étape 1 - à remplir'!$G$31:$G$400,"kg")),IF(EL$2="Espèce",IF(EL$3="Toutes",SUMIFS('Étape 1 - à remplir'!$F$31:$F$400,'Étape 1 - à remplir'!$E$31:$E$400,MASQ2!EC225,'Étape 1 - à remplir'!$G$31:$G$400,"kg"),SUMIFS('Étape 1 - à remplir'!$F$31:$F$400,'Étape 1 - à remplir'!$E$31:$E$400,MASQ2!EC225,'Étape 1 - à remplir'!$N$31:$N$400,EL$3,'Étape 1 - à remplir'!$G$31:$G$400,"kg")))))))</f>
        <v>#N/A</v>
      </c>
      <c r="EE225" s="76">
        <f t="shared" si="209"/>
        <v>0</v>
      </c>
      <c r="EF225" t="str">
        <f t="shared" si="200"/>
        <v>Erythromycine</v>
      </c>
      <c r="EG225" t="str">
        <f t="shared" si="201"/>
        <v/>
      </c>
      <c r="EH225" t="str">
        <f t="shared" si="202"/>
        <v/>
      </c>
      <c r="EI225" t="str">
        <f t="shared" si="203"/>
        <v>Macrolides</v>
      </c>
      <c r="EJ225" t="str">
        <f t="shared" si="204"/>
        <v/>
      </c>
      <c r="EK225" s="63" t="str">
        <f t="shared" si="205"/>
        <v/>
      </c>
      <c r="EN225" s="42">
        <v>222</v>
      </c>
      <c r="EO225" t="e">
        <f t="shared" si="211"/>
        <v>#N/A</v>
      </c>
      <c r="EP225" s="63" t="e">
        <f t="shared" si="212"/>
        <v>#N/A</v>
      </c>
      <c r="FT225" s="63"/>
    </row>
    <row r="226" spans="2:176" x14ac:dyDescent="0.3">
      <c r="B226" s="42"/>
      <c r="M226" s="194" t="str">
        <f ca="1">INDEX(Données_ATB!BD:BU,MATCH(MASQ2!O226,Données_ATB!BD:BD,0),18)</f>
        <v>x</v>
      </c>
      <c r="N226" s="14" t="str">
        <f>IFERROR(IF(Q226=0,"",COUNTIF(Q$4:Q$600,"&gt;"&amp;Q226)+COUNTIF(Q$4:Q226,Q226)),"")</f>
        <v/>
      </c>
      <c r="O226" t="str">
        <f>Données_ATB!BD225</f>
        <v>EXCENEL 1 G</v>
      </c>
      <c r="P226" t="e">
        <f>IF(IF(X$2="Catégorie",IF(X$3="Toutes",SUMIFS('Étape 1 - à remplir'!$F$31:$F$400,'Étape 1 - à remplir'!$E$31:$E$400,MASQ2!O226,'Étape 1 - à remplir'!$G$31:$G$400,"animaux"),SUMIFS('Étape 1 - à remplir'!$F$31:$F$400,'Étape 1 - à remplir'!$E$31:$E$400,MASQ2!O226,'Étape 1 - à remplir'!$C$31:$C$400,X$3)),IF(X$2="Âge",IF(X$3="Tous",SUMIFS('Étape 1 - à remplir'!$F$31:$F$400,'Étape 1 - à remplir'!$E$31:$E$400,MASQ2!O226,'Étape 1 - à remplir'!$G$31:$G$400,"animaux"),SUMIFS('Étape 1 - à remplir'!$F$31:$F$400,'Étape 1 - à remplir'!$E$31:$E$400,MASQ2!O226,'Étape 1 - à remplir'!$P$31:$P$400,X$3)),IF(X$2="Atelier",IF(X$3="Tous",SUMIFS('Étape 1 - à remplir'!$F$31:$F$400,'Étape 1 - à remplir'!$E$31:$E$400,MASQ2!O226,'Étape 1 - à remplir'!$G$31:$G$400,"animaux"),SUMIFS('Étape 1 - à remplir'!$F$31:$F$400,'Étape 1 - à remplir'!$E$31:$E$400,MASQ2!O226,'Étape 1 - à remplir'!$O$31:$O$400,X$3)),IF(X$2="Espèce",IF(X$3="Toutes",SUMIFS('Étape 1 - à remplir'!$F$31:$F$400,'Étape 1 - à remplir'!$E$31:$E$400,MASQ2!O226,'Étape 1 - à remplir'!$G$31:$G$400,"animaux"),SUMIFS('Étape 1 - à remplir'!$F$31:$F$400,'Étape 1 - à remplir'!$E$31:$E$400,MASQ2!O226,'Étape 1 - à remplir'!$N$31:$N$400,X$3))))))=0,NA(),IF(X$2="Catégorie",IF(X$3="Toutes",SUMIFS('Étape 1 - à remplir'!$F$31:$F$400,'Étape 1 - à remplir'!$E$31:$E$400,MASQ2!O226,'Étape 1 - à remplir'!$G$31:$G$400,"animaux"),SUMIFS('Étape 1 - à remplir'!$F$31:$F$400,'Étape 1 - à remplir'!$E$31:$E$400,MASQ2!O226,'Étape 1 - à remplir'!$C$31:$C$400,X$3)),IF(X$2="Âge",IF(X$3="Tous",SUMIFS('Étape 1 - à remplir'!$F$31:$F$400,'Étape 1 - à remplir'!$E$31:$E$400,MASQ2!O226,'Étape 1 - à remplir'!$G$31:$G$400,"animaux"),SUMIFS('Étape 1 - à remplir'!$F$31:$F$400,'Étape 1 - à remplir'!$E$31:$E$400,MASQ2!O226,'Étape 1 - à remplir'!$P$31:$P$400,X$3)),IF(X$2="Atelier",IF(X$3="Tous",SUMIFS('Étape 1 - à remplir'!$F$31:$F$400,'Étape 1 - à remplir'!$E$31:$E$400,MASQ2!O226,'Étape 1 - à remplir'!$G$31:$G$400,"animaux"),SUMIFS('Étape 1 - à remplir'!$F$31:$F$400,'Étape 1 - à remplir'!$E$31:$E$400,MASQ2!O226,'Étape 1 - à remplir'!$O$31:$O$400,X$3)),IF(X$2="Espèce",IF(X$3="Toutes",SUMIFS('Étape 1 - à remplir'!$F$31:$F$400,'Étape 1 - à remplir'!$E$31:$E$400,MASQ2!O226,'Étape 1 - à remplir'!$G$31:$G$400,"animaux"),SUMIFS('Étape 1 - à remplir'!$F$31:$F$400,'Étape 1 - à remplir'!$E$31:$E$400,MASQ2!O226,'Étape 1 - à remplir'!$N$31:$N$400,X$3)))))))</f>
        <v>#N/A</v>
      </c>
      <c r="Q226" s="63">
        <f t="shared" si="210"/>
        <v>0</v>
      </c>
      <c r="R226" t="str">
        <f>Données_ATB!BM225</f>
        <v>Ceftiofur</v>
      </c>
      <c r="S226" t="str">
        <f>Données_ATB!BN225</f>
        <v/>
      </c>
      <c r="T226" s="63" t="str">
        <f>Données_ATB!BO225</f>
        <v/>
      </c>
      <c r="U226" s="42" t="str">
        <f>Données_ATB!BQ225</f>
        <v>Cephalosporines 3&amp;4G</v>
      </c>
      <c r="V226" t="str">
        <f>Données_ATB!BR225</f>
        <v/>
      </c>
      <c r="W226" s="63" t="str">
        <f>Données_ATB!BS225</f>
        <v/>
      </c>
      <c r="Z226" s="42">
        <v>223</v>
      </c>
      <c r="AA226" t="e">
        <f t="shared" si="206"/>
        <v>#N/A</v>
      </c>
      <c r="AB226" s="63" t="e">
        <f t="shared" si="207"/>
        <v>#N/A</v>
      </c>
      <c r="BF226" s="63"/>
      <c r="BT226" s="194" t="str">
        <f t="shared" ca="1" si="190"/>
        <v>x</v>
      </c>
      <c r="BU226" s="219" t="str">
        <f>IFERROR(IF(BX226=0,"",COUNTIF(BX$4:BX$600,"&gt;"&amp;BX226)+COUNTIF(BX$4:BX226,BX226)),"")</f>
        <v/>
      </c>
      <c r="BV226" s="42" t="str">
        <f t="shared" si="191"/>
        <v>EXCENEL 1 G</v>
      </c>
      <c r="BW226" t="e">
        <f>IF(IF(CE$2="Catégorie",IF(CE$3="Toutes",SUMIFS('Étape 1 - à remplir'!$F$31:$F$400,'Étape 1 - à remplir'!$E$31:$E$400,MASQ2!BV226,'Étape 1 - à remplir'!$G$31:$G$400,"lots"),SUMIFS('Étape 1 - à remplir'!$F$31:$F$400,'Étape 1 - à remplir'!$E$31:$E$400,MASQ2!BV226,'Étape 1 - à remplir'!$C$31:$C$400,CE$3)),IF(CE$2="Âge",IF(CE$3="Tous",SUMIFS('Étape 1 - à remplir'!$F$31:$F$400,'Étape 1 - à remplir'!$E$31:$E$400,MASQ2!BV226,'Étape 1 - à remplir'!$G$31:$G$400,"lots"),SUMIFS('Étape 1 - à remplir'!$F$31:$F$400,'Étape 1 - à remplir'!$E$31:$E$400,MASQ2!BV226,'Étape 1 - à remplir'!$P$31:$P$400,CE$3,'Étape 1 - à remplir'!$G$31:$G$400,"lots")),IF(CE$2="Atelier",IF(CE$3="Tous",SUMIFS('Étape 1 - à remplir'!$F$31:$F$400,'Étape 1 - à remplir'!$E$31:$E$400,MASQ2!BV226,'Étape 1 - à remplir'!$G$31:$G$400,"lots"),SUMIFS('Étape 1 - à remplir'!$F$31:$F$400,'Étape 1 - à remplir'!$E$31:$E$400,MASQ2!BV226,'Étape 1 - à remplir'!$O$31:$O$400,CE$3,'Étape 1 - à remplir'!$G$31:$G$400,"lots")),IF(CE$2="Espèce",IF(CE$3="Toutes",SUMIFS('Étape 1 - à remplir'!$F$31:$F$400,'Étape 1 - à remplir'!$E$31:$E$400,MASQ2!BV226,'Étape 1 - à remplir'!$G$31:$G$400,"lots"),SUMIFS('Étape 1 - à remplir'!$F$31:$F$400,'Étape 1 - à remplir'!$E$31:$E$400,MASQ2!BV226,'Étape 1 - à remplir'!$N$31:$N$400,CE$3,'Étape 1 - à remplir'!$G$31:$G$400,"lots"))))))=0,NA(),IF(CE$2="Catégorie",IF(CE$3="Toutes",SUMIFS('Étape 1 - à remplir'!$F$31:$F$400,'Étape 1 - à remplir'!$E$31:$E$400,MASQ2!BV226,'Étape 1 - à remplir'!$G$31:$G$400,"lots"),SUMIFS('Étape 1 - à remplir'!$F$31:$F$400,'Étape 1 - à remplir'!$E$31:$E$400,MASQ2!BV226,'Étape 1 - à remplir'!$C$31:$C$400,CE$3)),IF(CE$2="Âge",IF(CE$3="Tous",SUMIFS('Étape 1 - à remplir'!$F$31:$F$400,'Étape 1 - à remplir'!$E$31:$E$400,MASQ2!BV226,'Étape 1 - à remplir'!$G$31:$G$400,"lots"),SUMIFS('Étape 1 - à remplir'!$F$31:$F$400,'Étape 1 - à remplir'!$E$31:$E$400,MASQ2!BV226,'Étape 1 - à remplir'!$P$31:$P$400,CE$3,'Étape 1 - à remplir'!$G$31:$G$400,"lots")),IF(CE$2="Atelier",IF(CE$3="Tous",SUMIFS('Étape 1 - à remplir'!$F$31:$F$400,'Étape 1 - à remplir'!$E$31:$E$400,MASQ2!BV226,'Étape 1 - à remplir'!$G$31:$G$400,"lots"),SUMIFS('Étape 1 - à remplir'!$F$31:$F$400,'Étape 1 - à remplir'!$E$31:$E$400,MASQ2!BV226,'Étape 1 - à remplir'!$O$31:$O$400,CE$3,'Étape 1 - à remplir'!$G$31:$G$400,"lots")),IF(CE$2="Espèce",IF(CE$3="Toutes",SUMIFS('Étape 1 - à remplir'!$F$31:$F$400,'Étape 1 - à remplir'!$E$31:$E$400,MASQ2!BV226,'Étape 1 - à remplir'!$G$31:$G$400,"lots"),SUMIFS('Étape 1 - à remplir'!$F$31:$F$400,'Étape 1 - à remplir'!$E$31:$E$400,MASQ2!BV226,'Étape 1 - à remplir'!$N$31:$N$400,CE$3,'Étape 1 - à remplir'!$G$31:$G$400,"lots")))))))</f>
        <v>#N/A</v>
      </c>
      <c r="BX226">
        <f t="shared" si="208"/>
        <v>0</v>
      </c>
      <c r="BY226" t="str">
        <f t="shared" si="192"/>
        <v>Ceftiofur</v>
      </c>
      <c r="BZ226" t="str">
        <f t="shared" si="193"/>
        <v/>
      </c>
      <c r="CA226" t="str">
        <f t="shared" si="194"/>
        <v/>
      </c>
      <c r="CB226" t="str">
        <f t="shared" si="195"/>
        <v>Cephalosporines 3&amp;4G</v>
      </c>
      <c r="CC226" t="str">
        <f t="shared" si="196"/>
        <v/>
      </c>
      <c r="CD226" s="63" t="str">
        <f t="shared" si="197"/>
        <v/>
      </c>
      <c r="CG226" s="42">
        <v>223</v>
      </c>
      <c r="CH226" s="42" t="e">
        <f t="shared" si="213"/>
        <v>#N/A</v>
      </c>
      <c r="CI226" s="63" t="e">
        <f t="shared" si="214"/>
        <v>#N/A</v>
      </c>
      <c r="DM226" s="63"/>
      <c r="EA226" s="194" t="str">
        <f t="shared" ca="1" si="198"/>
        <v>x</v>
      </c>
      <c r="EB226" s="226" t="str">
        <f>IFERROR(IF(ED226=0,"",COUNTIF(ED$4:ED$600,"&gt;"&amp;ED226)+COUNTIF(ED$4:ED226,ED226)),"")</f>
        <v/>
      </c>
      <c r="EC226" t="str">
        <f t="shared" si="199"/>
        <v>EXCENEL 1 G</v>
      </c>
      <c r="ED226" t="e">
        <f>IF(IF(EL$2="Catégorie",IF(EL$3="Toutes",SUMIFS('Étape 1 - à remplir'!$F$31:$F$400,'Étape 1 - à remplir'!$E$31:$E$400,MASQ2!EC226,'Étape 1 - à remplir'!$G$31:$G$400,"kg"),SUMIFS('Étape 1 - à remplir'!$F$31:$F$400,'Étape 1 - à remplir'!$E$31:$E$400,MASQ2!EC226,'Étape 1 - à remplir'!$C$31:$C$400,EL$3)),IF(EL$2="Âge",IF(EL$3="Tous",SUMIFS('Étape 1 - à remplir'!$F$31:$F$400,'Étape 1 - à remplir'!$E$31:$E$400,MASQ2!EC226,'Étape 1 - à remplir'!$G$31:$G$400,"kg"),SUMIFS('Étape 1 - à remplir'!$F$31:$F$400,'Étape 1 - à remplir'!$E$31:$E$400,MASQ2!EC226,'Étape 1 - à remplir'!$P$31:$P$400,EL$3,'Étape 1 - à remplir'!$G$31:$G$400,"kg")),IF(EL$2="Atelier",IF(EL$3="Tous",SUMIFS('Étape 1 - à remplir'!$F$31:$F$400,'Étape 1 - à remplir'!$E$31:$E$400,MASQ2!EC226,'Étape 1 - à remplir'!$G$31:$G$400,"kg"),SUMIFS('Étape 1 - à remplir'!$F$31:$F$400,'Étape 1 - à remplir'!$E$31:$E$400,MASQ2!EC226,'Étape 1 - à remplir'!$O$31:$O$400,EL$3,'Étape 1 - à remplir'!$G$31:$G$400,"kg")),IF(EL$2="Espèce",IF(EL$3="Toutes",SUMIFS('Étape 1 - à remplir'!$F$31:$F$400,'Étape 1 - à remplir'!$E$31:$E$400,MASQ2!EC226,'Étape 1 - à remplir'!$G$31:$G$400,"kg"),SUMIFS('Étape 1 - à remplir'!$F$31:$F$400,'Étape 1 - à remplir'!$E$31:$E$400,MASQ2!EC226,'Étape 1 - à remplir'!$N$31:$N$400,EL$3,'Étape 1 - à remplir'!$G$31:$G$400,"kg"))))))=0,NA(),IF(EL$2="Catégorie",IF(EL$3="Toutes",SUMIFS('Étape 1 - à remplir'!$F$31:$F$400,'Étape 1 - à remplir'!$E$31:$E$400,MASQ2!EC226,'Étape 1 - à remplir'!$G$31:$G$400,"kg"),SUMIFS('Étape 1 - à remplir'!$F$31:$F$400,'Étape 1 - à remplir'!$E$31:$E$400,MASQ2!EC226,'Étape 1 - à remplir'!$C$31:$C$400,EL$3)),IF(EL$2="Âge",IF(EL$3="Tous",SUMIFS('Étape 1 - à remplir'!$F$31:$F$400,'Étape 1 - à remplir'!$E$31:$E$400,MASQ2!EC226,'Étape 1 - à remplir'!$G$31:$G$400,"kg"),SUMIFS('Étape 1 - à remplir'!$F$31:$F$400,'Étape 1 - à remplir'!$E$31:$E$400,MASQ2!EC226,'Étape 1 - à remplir'!$P$31:$P$400,EL$3,'Étape 1 - à remplir'!$G$31:$G$400,"kg")),IF(EL$2="Atelier",IF(EL$3="Tous",SUMIFS('Étape 1 - à remplir'!$F$31:$F$400,'Étape 1 - à remplir'!$E$31:$E$400,MASQ2!EC226,'Étape 1 - à remplir'!$G$31:$G$400,"kg"),SUMIFS('Étape 1 - à remplir'!$F$31:$F$400,'Étape 1 - à remplir'!$E$31:$E$400,MASQ2!EC226,'Étape 1 - à remplir'!$O$31:$O$400,EL$3,'Étape 1 - à remplir'!$G$31:$G$400,"kg")),IF(EL$2="Espèce",IF(EL$3="Toutes",SUMIFS('Étape 1 - à remplir'!$F$31:$F$400,'Étape 1 - à remplir'!$E$31:$E$400,MASQ2!EC226,'Étape 1 - à remplir'!$G$31:$G$400,"kg"),SUMIFS('Étape 1 - à remplir'!$F$31:$F$400,'Étape 1 - à remplir'!$E$31:$E$400,MASQ2!EC226,'Étape 1 - à remplir'!$N$31:$N$400,EL$3,'Étape 1 - à remplir'!$G$31:$G$400,"kg")))))))</f>
        <v>#N/A</v>
      </c>
      <c r="EE226" s="76">
        <f t="shared" si="209"/>
        <v>0</v>
      </c>
      <c r="EF226" t="str">
        <f t="shared" si="200"/>
        <v>Ceftiofur</v>
      </c>
      <c r="EG226" t="str">
        <f t="shared" si="201"/>
        <v/>
      </c>
      <c r="EH226" t="str">
        <f t="shared" si="202"/>
        <v/>
      </c>
      <c r="EI226" t="str">
        <f t="shared" si="203"/>
        <v>Cephalosporines 3&amp;4G</v>
      </c>
      <c r="EJ226" t="str">
        <f t="shared" si="204"/>
        <v/>
      </c>
      <c r="EK226" s="63" t="str">
        <f t="shared" si="205"/>
        <v/>
      </c>
      <c r="EN226" s="42">
        <v>223</v>
      </c>
      <c r="EO226" t="e">
        <f t="shared" si="211"/>
        <v>#N/A</v>
      </c>
      <c r="EP226" s="63" t="e">
        <f t="shared" si="212"/>
        <v>#N/A</v>
      </c>
      <c r="FT226" s="63"/>
    </row>
    <row r="227" spans="2:176" x14ac:dyDescent="0.3">
      <c r="B227" s="42"/>
      <c r="M227" s="194" t="str">
        <f ca="1">INDEX(Données_ATB!BD:BU,MATCH(MASQ2!O227,Données_ATB!BD:BD,0),18)</f>
        <v>x</v>
      </c>
      <c r="N227" s="14" t="str">
        <f>IFERROR(IF(Q227=0,"",COUNTIF(Q$4:Q$600,"&gt;"&amp;Q227)+COUNTIF(Q$4:Q227,Q227)),"")</f>
        <v/>
      </c>
      <c r="O227" t="str">
        <f>Données_ATB!BD226</f>
        <v>EXCENEL 4 G</v>
      </c>
      <c r="P227" t="e">
        <f>IF(IF(X$2="Catégorie",IF(X$3="Toutes",SUMIFS('Étape 1 - à remplir'!$F$31:$F$400,'Étape 1 - à remplir'!$E$31:$E$400,MASQ2!O227,'Étape 1 - à remplir'!$G$31:$G$400,"animaux"),SUMIFS('Étape 1 - à remplir'!$F$31:$F$400,'Étape 1 - à remplir'!$E$31:$E$400,MASQ2!O227,'Étape 1 - à remplir'!$C$31:$C$400,X$3)),IF(X$2="Âge",IF(X$3="Tous",SUMIFS('Étape 1 - à remplir'!$F$31:$F$400,'Étape 1 - à remplir'!$E$31:$E$400,MASQ2!O227,'Étape 1 - à remplir'!$G$31:$G$400,"animaux"),SUMIFS('Étape 1 - à remplir'!$F$31:$F$400,'Étape 1 - à remplir'!$E$31:$E$400,MASQ2!O227,'Étape 1 - à remplir'!$P$31:$P$400,X$3)),IF(X$2="Atelier",IF(X$3="Tous",SUMIFS('Étape 1 - à remplir'!$F$31:$F$400,'Étape 1 - à remplir'!$E$31:$E$400,MASQ2!O227,'Étape 1 - à remplir'!$G$31:$G$400,"animaux"),SUMIFS('Étape 1 - à remplir'!$F$31:$F$400,'Étape 1 - à remplir'!$E$31:$E$400,MASQ2!O227,'Étape 1 - à remplir'!$O$31:$O$400,X$3)),IF(X$2="Espèce",IF(X$3="Toutes",SUMIFS('Étape 1 - à remplir'!$F$31:$F$400,'Étape 1 - à remplir'!$E$31:$E$400,MASQ2!O227,'Étape 1 - à remplir'!$G$31:$G$400,"animaux"),SUMIFS('Étape 1 - à remplir'!$F$31:$F$400,'Étape 1 - à remplir'!$E$31:$E$400,MASQ2!O227,'Étape 1 - à remplir'!$N$31:$N$400,X$3))))))=0,NA(),IF(X$2="Catégorie",IF(X$3="Toutes",SUMIFS('Étape 1 - à remplir'!$F$31:$F$400,'Étape 1 - à remplir'!$E$31:$E$400,MASQ2!O227,'Étape 1 - à remplir'!$G$31:$G$400,"animaux"),SUMIFS('Étape 1 - à remplir'!$F$31:$F$400,'Étape 1 - à remplir'!$E$31:$E$400,MASQ2!O227,'Étape 1 - à remplir'!$C$31:$C$400,X$3)),IF(X$2="Âge",IF(X$3="Tous",SUMIFS('Étape 1 - à remplir'!$F$31:$F$400,'Étape 1 - à remplir'!$E$31:$E$400,MASQ2!O227,'Étape 1 - à remplir'!$G$31:$G$400,"animaux"),SUMIFS('Étape 1 - à remplir'!$F$31:$F$400,'Étape 1 - à remplir'!$E$31:$E$400,MASQ2!O227,'Étape 1 - à remplir'!$P$31:$P$400,X$3)),IF(X$2="Atelier",IF(X$3="Tous",SUMIFS('Étape 1 - à remplir'!$F$31:$F$400,'Étape 1 - à remplir'!$E$31:$E$400,MASQ2!O227,'Étape 1 - à remplir'!$G$31:$G$400,"animaux"),SUMIFS('Étape 1 - à remplir'!$F$31:$F$400,'Étape 1 - à remplir'!$E$31:$E$400,MASQ2!O227,'Étape 1 - à remplir'!$O$31:$O$400,X$3)),IF(X$2="Espèce",IF(X$3="Toutes",SUMIFS('Étape 1 - à remplir'!$F$31:$F$400,'Étape 1 - à remplir'!$E$31:$E$400,MASQ2!O227,'Étape 1 - à remplir'!$G$31:$G$400,"animaux"),SUMIFS('Étape 1 - à remplir'!$F$31:$F$400,'Étape 1 - à remplir'!$E$31:$E$400,MASQ2!O227,'Étape 1 - à remplir'!$N$31:$N$400,X$3)))))))</f>
        <v>#N/A</v>
      </c>
      <c r="Q227" s="63">
        <f t="shared" si="210"/>
        <v>0</v>
      </c>
      <c r="R227" t="str">
        <f>Données_ATB!BM226</f>
        <v>Ceftiofur</v>
      </c>
      <c r="S227" t="str">
        <f>Données_ATB!BN226</f>
        <v/>
      </c>
      <c r="T227" s="63" t="str">
        <f>Données_ATB!BO226</f>
        <v/>
      </c>
      <c r="U227" s="42" t="str">
        <f>Données_ATB!BQ226</f>
        <v>Cephalosporines 3&amp;4G</v>
      </c>
      <c r="V227" t="str">
        <f>Données_ATB!BR226</f>
        <v/>
      </c>
      <c r="W227" s="63" t="str">
        <f>Données_ATB!BS226</f>
        <v/>
      </c>
      <c r="Z227" s="42">
        <v>224</v>
      </c>
      <c r="AA227" t="e">
        <f t="shared" si="206"/>
        <v>#N/A</v>
      </c>
      <c r="AB227" s="63" t="e">
        <f t="shared" si="207"/>
        <v>#N/A</v>
      </c>
      <c r="BF227" s="63"/>
      <c r="BT227" s="194" t="str">
        <f t="shared" ca="1" si="190"/>
        <v>x</v>
      </c>
      <c r="BU227" s="219" t="str">
        <f>IFERROR(IF(BX227=0,"",COUNTIF(BX$4:BX$600,"&gt;"&amp;BX227)+COUNTIF(BX$4:BX227,BX227)),"")</f>
        <v/>
      </c>
      <c r="BV227" s="42" t="str">
        <f t="shared" si="191"/>
        <v>EXCENEL 4 G</v>
      </c>
      <c r="BW227" t="e">
        <f>IF(IF(CE$2="Catégorie",IF(CE$3="Toutes",SUMIFS('Étape 1 - à remplir'!$F$31:$F$400,'Étape 1 - à remplir'!$E$31:$E$400,MASQ2!BV227,'Étape 1 - à remplir'!$G$31:$G$400,"lots"),SUMIFS('Étape 1 - à remplir'!$F$31:$F$400,'Étape 1 - à remplir'!$E$31:$E$400,MASQ2!BV227,'Étape 1 - à remplir'!$C$31:$C$400,CE$3)),IF(CE$2="Âge",IF(CE$3="Tous",SUMIFS('Étape 1 - à remplir'!$F$31:$F$400,'Étape 1 - à remplir'!$E$31:$E$400,MASQ2!BV227,'Étape 1 - à remplir'!$G$31:$G$400,"lots"),SUMIFS('Étape 1 - à remplir'!$F$31:$F$400,'Étape 1 - à remplir'!$E$31:$E$400,MASQ2!BV227,'Étape 1 - à remplir'!$P$31:$P$400,CE$3,'Étape 1 - à remplir'!$G$31:$G$400,"lots")),IF(CE$2="Atelier",IF(CE$3="Tous",SUMIFS('Étape 1 - à remplir'!$F$31:$F$400,'Étape 1 - à remplir'!$E$31:$E$400,MASQ2!BV227,'Étape 1 - à remplir'!$G$31:$G$400,"lots"),SUMIFS('Étape 1 - à remplir'!$F$31:$F$400,'Étape 1 - à remplir'!$E$31:$E$400,MASQ2!BV227,'Étape 1 - à remplir'!$O$31:$O$400,CE$3,'Étape 1 - à remplir'!$G$31:$G$400,"lots")),IF(CE$2="Espèce",IF(CE$3="Toutes",SUMIFS('Étape 1 - à remplir'!$F$31:$F$400,'Étape 1 - à remplir'!$E$31:$E$400,MASQ2!BV227,'Étape 1 - à remplir'!$G$31:$G$400,"lots"),SUMIFS('Étape 1 - à remplir'!$F$31:$F$400,'Étape 1 - à remplir'!$E$31:$E$400,MASQ2!BV227,'Étape 1 - à remplir'!$N$31:$N$400,CE$3,'Étape 1 - à remplir'!$G$31:$G$400,"lots"))))))=0,NA(),IF(CE$2="Catégorie",IF(CE$3="Toutes",SUMIFS('Étape 1 - à remplir'!$F$31:$F$400,'Étape 1 - à remplir'!$E$31:$E$400,MASQ2!BV227,'Étape 1 - à remplir'!$G$31:$G$400,"lots"),SUMIFS('Étape 1 - à remplir'!$F$31:$F$400,'Étape 1 - à remplir'!$E$31:$E$400,MASQ2!BV227,'Étape 1 - à remplir'!$C$31:$C$400,CE$3)),IF(CE$2="Âge",IF(CE$3="Tous",SUMIFS('Étape 1 - à remplir'!$F$31:$F$400,'Étape 1 - à remplir'!$E$31:$E$400,MASQ2!BV227,'Étape 1 - à remplir'!$G$31:$G$400,"lots"),SUMIFS('Étape 1 - à remplir'!$F$31:$F$400,'Étape 1 - à remplir'!$E$31:$E$400,MASQ2!BV227,'Étape 1 - à remplir'!$P$31:$P$400,CE$3,'Étape 1 - à remplir'!$G$31:$G$400,"lots")),IF(CE$2="Atelier",IF(CE$3="Tous",SUMIFS('Étape 1 - à remplir'!$F$31:$F$400,'Étape 1 - à remplir'!$E$31:$E$400,MASQ2!BV227,'Étape 1 - à remplir'!$G$31:$G$400,"lots"),SUMIFS('Étape 1 - à remplir'!$F$31:$F$400,'Étape 1 - à remplir'!$E$31:$E$400,MASQ2!BV227,'Étape 1 - à remplir'!$O$31:$O$400,CE$3,'Étape 1 - à remplir'!$G$31:$G$400,"lots")),IF(CE$2="Espèce",IF(CE$3="Toutes",SUMIFS('Étape 1 - à remplir'!$F$31:$F$400,'Étape 1 - à remplir'!$E$31:$E$400,MASQ2!BV227,'Étape 1 - à remplir'!$G$31:$G$400,"lots"),SUMIFS('Étape 1 - à remplir'!$F$31:$F$400,'Étape 1 - à remplir'!$E$31:$E$400,MASQ2!BV227,'Étape 1 - à remplir'!$N$31:$N$400,CE$3,'Étape 1 - à remplir'!$G$31:$G$400,"lots")))))))</f>
        <v>#N/A</v>
      </c>
      <c r="BX227">
        <f t="shared" si="208"/>
        <v>0</v>
      </c>
      <c r="BY227" t="str">
        <f t="shared" si="192"/>
        <v>Ceftiofur</v>
      </c>
      <c r="BZ227" t="str">
        <f t="shared" si="193"/>
        <v/>
      </c>
      <c r="CA227" t="str">
        <f t="shared" si="194"/>
        <v/>
      </c>
      <c r="CB227" t="str">
        <f t="shared" si="195"/>
        <v>Cephalosporines 3&amp;4G</v>
      </c>
      <c r="CC227" t="str">
        <f t="shared" si="196"/>
        <v/>
      </c>
      <c r="CD227" s="63" t="str">
        <f t="shared" si="197"/>
        <v/>
      </c>
      <c r="CG227" s="42">
        <v>224</v>
      </c>
      <c r="CH227" s="42" t="e">
        <f t="shared" si="213"/>
        <v>#N/A</v>
      </c>
      <c r="CI227" s="63" t="e">
        <f t="shared" si="214"/>
        <v>#N/A</v>
      </c>
      <c r="DM227" s="63"/>
      <c r="EA227" s="194" t="str">
        <f t="shared" ca="1" si="198"/>
        <v>x</v>
      </c>
      <c r="EB227" s="226" t="str">
        <f>IFERROR(IF(ED227=0,"",COUNTIF(ED$4:ED$600,"&gt;"&amp;ED227)+COUNTIF(ED$4:ED227,ED227)),"")</f>
        <v/>
      </c>
      <c r="EC227" t="str">
        <f t="shared" si="199"/>
        <v>EXCENEL 4 G</v>
      </c>
      <c r="ED227" t="e">
        <f>IF(IF(EL$2="Catégorie",IF(EL$3="Toutes",SUMIFS('Étape 1 - à remplir'!$F$31:$F$400,'Étape 1 - à remplir'!$E$31:$E$400,MASQ2!EC227,'Étape 1 - à remplir'!$G$31:$G$400,"kg"),SUMIFS('Étape 1 - à remplir'!$F$31:$F$400,'Étape 1 - à remplir'!$E$31:$E$400,MASQ2!EC227,'Étape 1 - à remplir'!$C$31:$C$400,EL$3)),IF(EL$2="Âge",IF(EL$3="Tous",SUMIFS('Étape 1 - à remplir'!$F$31:$F$400,'Étape 1 - à remplir'!$E$31:$E$400,MASQ2!EC227,'Étape 1 - à remplir'!$G$31:$G$400,"kg"),SUMIFS('Étape 1 - à remplir'!$F$31:$F$400,'Étape 1 - à remplir'!$E$31:$E$400,MASQ2!EC227,'Étape 1 - à remplir'!$P$31:$P$400,EL$3,'Étape 1 - à remplir'!$G$31:$G$400,"kg")),IF(EL$2="Atelier",IF(EL$3="Tous",SUMIFS('Étape 1 - à remplir'!$F$31:$F$400,'Étape 1 - à remplir'!$E$31:$E$400,MASQ2!EC227,'Étape 1 - à remplir'!$G$31:$G$400,"kg"),SUMIFS('Étape 1 - à remplir'!$F$31:$F$400,'Étape 1 - à remplir'!$E$31:$E$400,MASQ2!EC227,'Étape 1 - à remplir'!$O$31:$O$400,EL$3,'Étape 1 - à remplir'!$G$31:$G$400,"kg")),IF(EL$2="Espèce",IF(EL$3="Toutes",SUMIFS('Étape 1 - à remplir'!$F$31:$F$400,'Étape 1 - à remplir'!$E$31:$E$400,MASQ2!EC227,'Étape 1 - à remplir'!$G$31:$G$400,"kg"),SUMIFS('Étape 1 - à remplir'!$F$31:$F$400,'Étape 1 - à remplir'!$E$31:$E$400,MASQ2!EC227,'Étape 1 - à remplir'!$N$31:$N$400,EL$3,'Étape 1 - à remplir'!$G$31:$G$400,"kg"))))))=0,NA(),IF(EL$2="Catégorie",IF(EL$3="Toutes",SUMIFS('Étape 1 - à remplir'!$F$31:$F$400,'Étape 1 - à remplir'!$E$31:$E$400,MASQ2!EC227,'Étape 1 - à remplir'!$G$31:$G$400,"kg"),SUMIFS('Étape 1 - à remplir'!$F$31:$F$400,'Étape 1 - à remplir'!$E$31:$E$400,MASQ2!EC227,'Étape 1 - à remplir'!$C$31:$C$400,EL$3)),IF(EL$2="Âge",IF(EL$3="Tous",SUMIFS('Étape 1 - à remplir'!$F$31:$F$400,'Étape 1 - à remplir'!$E$31:$E$400,MASQ2!EC227,'Étape 1 - à remplir'!$G$31:$G$400,"kg"),SUMIFS('Étape 1 - à remplir'!$F$31:$F$400,'Étape 1 - à remplir'!$E$31:$E$400,MASQ2!EC227,'Étape 1 - à remplir'!$P$31:$P$400,EL$3,'Étape 1 - à remplir'!$G$31:$G$400,"kg")),IF(EL$2="Atelier",IF(EL$3="Tous",SUMIFS('Étape 1 - à remplir'!$F$31:$F$400,'Étape 1 - à remplir'!$E$31:$E$400,MASQ2!EC227,'Étape 1 - à remplir'!$G$31:$G$400,"kg"),SUMIFS('Étape 1 - à remplir'!$F$31:$F$400,'Étape 1 - à remplir'!$E$31:$E$400,MASQ2!EC227,'Étape 1 - à remplir'!$O$31:$O$400,EL$3,'Étape 1 - à remplir'!$G$31:$G$400,"kg")),IF(EL$2="Espèce",IF(EL$3="Toutes",SUMIFS('Étape 1 - à remplir'!$F$31:$F$400,'Étape 1 - à remplir'!$E$31:$E$400,MASQ2!EC227,'Étape 1 - à remplir'!$G$31:$G$400,"kg"),SUMIFS('Étape 1 - à remplir'!$F$31:$F$400,'Étape 1 - à remplir'!$E$31:$E$400,MASQ2!EC227,'Étape 1 - à remplir'!$N$31:$N$400,EL$3,'Étape 1 - à remplir'!$G$31:$G$400,"kg")))))))</f>
        <v>#N/A</v>
      </c>
      <c r="EE227" s="76">
        <f t="shared" si="209"/>
        <v>0</v>
      </c>
      <c r="EF227" t="str">
        <f t="shared" si="200"/>
        <v>Ceftiofur</v>
      </c>
      <c r="EG227" t="str">
        <f t="shared" si="201"/>
        <v/>
      </c>
      <c r="EH227" t="str">
        <f t="shared" si="202"/>
        <v/>
      </c>
      <c r="EI227" t="str">
        <f t="shared" si="203"/>
        <v>Cephalosporines 3&amp;4G</v>
      </c>
      <c r="EJ227" t="str">
        <f t="shared" si="204"/>
        <v/>
      </c>
      <c r="EK227" s="63" t="str">
        <f t="shared" si="205"/>
        <v/>
      </c>
      <c r="EN227" s="42">
        <v>224</v>
      </c>
      <c r="EO227" t="e">
        <f t="shared" si="211"/>
        <v>#N/A</v>
      </c>
      <c r="EP227" s="63" t="e">
        <f t="shared" si="212"/>
        <v>#N/A</v>
      </c>
      <c r="FT227" s="63"/>
    </row>
    <row r="228" spans="2:176" x14ac:dyDescent="0.3">
      <c r="B228" s="42"/>
      <c r="M228" s="194" t="str">
        <f ca="1">INDEX(Données_ATB!BD:BU,MATCH(MASQ2!O228,Données_ATB!BD:BD,0),18)</f>
        <v>x</v>
      </c>
      <c r="N228" s="14" t="str">
        <f>IFERROR(IF(Q228=0,"",COUNTIF(Q$4:Q$600,"&gt;"&amp;Q228)+COUNTIF(Q$4:Q228,Q228)),"")</f>
        <v/>
      </c>
      <c r="O228" t="str">
        <f>Données_ATB!BD227</f>
        <v>EXCENEL FLOW 50 MG/ML SUSPENSION INJECTABLE POUR PORCINS ET BOVINS</v>
      </c>
      <c r="P228" t="e">
        <f>IF(IF(X$2="Catégorie",IF(X$3="Toutes",SUMIFS('Étape 1 - à remplir'!$F$31:$F$400,'Étape 1 - à remplir'!$E$31:$E$400,MASQ2!O228,'Étape 1 - à remplir'!$G$31:$G$400,"animaux"),SUMIFS('Étape 1 - à remplir'!$F$31:$F$400,'Étape 1 - à remplir'!$E$31:$E$400,MASQ2!O228,'Étape 1 - à remplir'!$C$31:$C$400,X$3)),IF(X$2="Âge",IF(X$3="Tous",SUMIFS('Étape 1 - à remplir'!$F$31:$F$400,'Étape 1 - à remplir'!$E$31:$E$400,MASQ2!O228,'Étape 1 - à remplir'!$G$31:$G$400,"animaux"),SUMIFS('Étape 1 - à remplir'!$F$31:$F$400,'Étape 1 - à remplir'!$E$31:$E$400,MASQ2!O228,'Étape 1 - à remplir'!$P$31:$P$400,X$3)),IF(X$2="Atelier",IF(X$3="Tous",SUMIFS('Étape 1 - à remplir'!$F$31:$F$400,'Étape 1 - à remplir'!$E$31:$E$400,MASQ2!O228,'Étape 1 - à remplir'!$G$31:$G$400,"animaux"),SUMIFS('Étape 1 - à remplir'!$F$31:$F$400,'Étape 1 - à remplir'!$E$31:$E$400,MASQ2!O228,'Étape 1 - à remplir'!$O$31:$O$400,X$3)),IF(X$2="Espèce",IF(X$3="Toutes",SUMIFS('Étape 1 - à remplir'!$F$31:$F$400,'Étape 1 - à remplir'!$E$31:$E$400,MASQ2!O228,'Étape 1 - à remplir'!$G$31:$G$400,"animaux"),SUMIFS('Étape 1 - à remplir'!$F$31:$F$400,'Étape 1 - à remplir'!$E$31:$E$400,MASQ2!O228,'Étape 1 - à remplir'!$N$31:$N$400,X$3))))))=0,NA(),IF(X$2="Catégorie",IF(X$3="Toutes",SUMIFS('Étape 1 - à remplir'!$F$31:$F$400,'Étape 1 - à remplir'!$E$31:$E$400,MASQ2!O228,'Étape 1 - à remplir'!$G$31:$G$400,"animaux"),SUMIFS('Étape 1 - à remplir'!$F$31:$F$400,'Étape 1 - à remplir'!$E$31:$E$400,MASQ2!O228,'Étape 1 - à remplir'!$C$31:$C$400,X$3)),IF(X$2="Âge",IF(X$3="Tous",SUMIFS('Étape 1 - à remplir'!$F$31:$F$400,'Étape 1 - à remplir'!$E$31:$E$400,MASQ2!O228,'Étape 1 - à remplir'!$G$31:$G$400,"animaux"),SUMIFS('Étape 1 - à remplir'!$F$31:$F$400,'Étape 1 - à remplir'!$E$31:$E$400,MASQ2!O228,'Étape 1 - à remplir'!$P$31:$P$400,X$3)),IF(X$2="Atelier",IF(X$3="Tous",SUMIFS('Étape 1 - à remplir'!$F$31:$F$400,'Étape 1 - à remplir'!$E$31:$E$400,MASQ2!O228,'Étape 1 - à remplir'!$G$31:$G$400,"animaux"),SUMIFS('Étape 1 - à remplir'!$F$31:$F$400,'Étape 1 - à remplir'!$E$31:$E$400,MASQ2!O228,'Étape 1 - à remplir'!$O$31:$O$400,X$3)),IF(X$2="Espèce",IF(X$3="Toutes",SUMIFS('Étape 1 - à remplir'!$F$31:$F$400,'Étape 1 - à remplir'!$E$31:$E$400,MASQ2!O228,'Étape 1 - à remplir'!$G$31:$G$400,"animaux"),SUMIFS('Étape 1 - à remplir'!$F$31:$F$400,'Étape 1 - à remplir'!$E$31:$E$400,MASQ2!O228,'Étape 1 - à remplir'!$N$31:$N$400,X$3)))))))</f>
        <v>#N/A</v>
      </c>
      <c r="Q228" s="63">
        <f t="shared" si="210"/>
        <v>0</v>
      </c>
      <c r="R228" t="str">
        <f>Données_ATB!BM227</f>
        <v>Ceftiofur</v>
      </c>
      <c r="S228" t="str">
        <f>Données_ATB!BN227</f>
        <v/>
      </c>
      <c r="T228" s="63" t="str">
        <f>Données_ATB!BO227</f>
        <v/>
      </c>
      <c r="U228" s="42" t="str">
        <f>Données_ATB!BQ227</f>
        <v>Cephalosporines 3&amp;4G</v>
      </c>
      <c r="V228" t="str">
        <f>Données_ATB!BR227</f>
        <v/>
      </c>
      <c r="W228" s="63" t="str">
        <f>Données_ATB!BS227</f>
        <v/>
      </c>
      <c r="Z228" s="42">
        <v>225</v>
      </c>
      <c r="AA228" t="e">
        <f t="shared" si="206"/>
        <v>#N/A</v>
      </c>
      <c r="AB228" s="63" t="e">
        <f t="shared" si="207"/>
        <v>#N/A</v>
      </c>
      <c r="BF228" s="63"/>
      <c r="BT228" s="194" t="str">
        <f t="shared" ca="1" si="190"/>
        <v>x</v>
      </c>
      <c r="BU228" s="219" t="str">
        <f>IFERROR(IF(BX228=0,"",COUNTIF(BX$4:BX$600,"&gt;"&amp;BX228)+COUNTIF(BX$4:BX228,BX228)),"")</f>
        <v/>
      </c>
      <c r="BV228" s="42" t="str">
        <f t="shared" si="191"/>
        <v>EXCENEL FLOW 50 MG/ML SUSPENSION INJECTABLE POUR PORCINS ET BOVINS</v>
      </c>
      <c r="BW228" t="e">
        <f>IF(IF(CE$2="Catégorie",IF(CE$3="Toutes",SUMIFS('Étape 1 - à remplir'!$F$31:$F$400,'Étape 1 - à remplir'!$E$31:$E$400,MASQ2!BV228,'Étape 1 - à remplir'!$G$31:$G$400,"lots"),SUMIFS('Étape 1 - à remplir'!$F$31:$F$400,'Étape 1 - à remplir'!$E$31:$E$400,MASQ2!BV228,'Étape 1 - à remplir'!$C$31:$C$400,CE$3)),IF(CE$2="Âge",IF(CE$3="Tous",SUMIFS('Étape 1 - à remplir'!$F$31:$F$400,'Étape 1 - à remplir'!$E$31:$E$400,MASQ2!BV228,'Étape 1 - à remplir'!$G$31:$G$400,"lots"),SUMIFS('Étape 1 - à remplir'!$F$31:$F$400,'Étape 1 - à remplir'!$E$31:$E$400,MASQ2!BV228,'Étape 1 - à remplir'!$P$31:$P$400,CE$3,'Étape 1 - à remplir'!$G$31:$G$400,"lots")),IF(CE$2="Atelier",IF(CE$3="Tous",SUMIFS('Étape 1 - à remplir'!$F$31:$F$400,'Étape 1 - à remplir'!$E$31:$E$400,MASQ2!BV228,'Étape 1 - à remplir'!$G$31:$G$400,"lots"),SUMIFS('Étape 1 - à remplir'!$F$31:$F$400,'Étape 1 - à remplir'!$E$31:$E$400,MASQ2!BV228,'Étape 1 - à remplir'!$O$31:$O$400,CE$3,'Étape 1 - à remplir'!$G$31:$G$400,"lots")),IF(CE$2="Espèce",IF(CE$3="Toutes",SUMIFS('Étape 1 - à remplir'!$F$31:$F$400,'Étape 1 - à remplir'!$E$31:$E$400,MASQ2!BV228,'Étape 1 - à remplir'!$G$31:$G$400,"lots"),SUMIFS('Étape 1 - à remplir'!$F$31:$F$400,'Étape 1 - à remplir'!$E$31:$E$400,MASQ2!BV228,'Étape 1 - à remplir'!$N$31:$N$400,CE$3,'Étape 1 - à remplir'!$G$31:$G$400,"lots"))))))=0,NA(),IF(CE$2="Catégorie",IF(CE$3="Toutes",SUMIFS('Étape 1 - à remplir'!$F$31:$F$400,'Étape 1 - à remplir'!$E$31:$E$400,MASQ2!BV228,'Étape 1 - à remplir'!$G$31:$G$400,"lots"),SUMIFS('Étape 1 - à remplir'!$F$31:$F$400,'Étape 1 - à remplir'!$E$31:$E$400,MASQ2!BV228,'Étape 1 - à remplir'!$C$31:$C$400,CE$3)),IF(CE$2="Âge",IF(CE$3="Tous",SUMIFS('Étape 1 - à remplir'!$F$31:$F$400,'Étape 1 - à remplir'!$E$31:$E$400,MASQ2!BV228,'Étape 1 - à remplir'!$G$31:$G$400,"lots"),SUMIFS('Étape 1 - à remplir'!$F$31:$F$400,'Étape 1 - à remplir'!$E$31:$E$400,MASQ2!BV228,'Étape 1 - à remplir'!$P$31:$P$400,CE$3,'Étape 1 - à remplir'!$G$31:$G$400,"lots")),IF(CE$2="Atelier",IF(CE$3="Tous",SUMIFS('Étape 1 - à remplir'!$F$31:$F$400,'Étape 1 - à remplir'!$E$31:$E$400,MASQ2!BV228,'Étape 1 - à remplir'!$G$31:$G$400,"lots"),SUMIFS('Étape 1 - à remplir'!$F$31:$F$400,'Étape 1 - à remplir'!$E$31:$E$400,MASQ2!BV228,'Étape 1 - à remplir'!$O$31:$O$400,CE$3,'Étape 1 - à remplir'!$G$31:$G$400,"lots")),IF(CE$2="Espèce",IF(CE$3="Toutes",SUMIFS('Étape 1 - à remplir'!$F$31:$F$400,'Étape 1 - à remplir'!$E$31:$E$400,MASQ2!BV228,'Étape 1 - à remplir'!$G$31:$G$400,"lots"),SUMIFS('Étape 1 - à remplir'!$F$31:$F$400,'Étape 1 - à remplir'!$E$31:$E$400,MASQ2!BV228,'Étape 1 - à remplir'!$N$31:$N$400,CE$3,'Étape 1 - à remplir'!$G$31:$G$400,"lots")))))))</f>
        <v>#N/A</v>
      </c>
      <c r="BX228">
        <f t="shared" si="208"/>
        <v>0</v>
      </c>
      <c r="BY228" t="str">
        <f t="shared" si="192"/>
        <v>Ceftiofur</v>
      </c>
      <c r="BZ228" t="str">
        <f t="shared" si="193"/>
        <v/>
      </c>
      <c r="CA228" t="str">
        <f t="shared" si="194"/>
        <v/>
      </c>
      <c r="CB228" t="str">
        <f t="shared" si="195"/>
        <v>Cephalosporines 3&amp;4G</v>
      </c>
      <c r="CC228" t="str">
        <f t="shared" si="196"/>
        <v/>
      </c>
      <c r="CD228" s="63" t="str">
        <f t="shared" si="197"/>
        <v/>
      </c>
      <c r="CG228" s="42">
        <v>225</v>
      </c>
      <c r="CH228" s="42" t="e">
        <f t="shared" si="213"/>
        <v>#N/A</v>
      </c>
      <c r="CI228" s="63" t="e">
        <f t="shared" si="214"/>
        <v>#N/A</v>
      </c>
      <c r="DM228" s="63"/>
      <c r="EA228" s="194" t="str">
        <f t="shared" ca="1" si="198"/>
        <v>x</v>
      </c>
      <c r="EB228" s="226" t="str">
        <f>IFERROR(IF(ED228=0,"",COUNTIF(ED$4:ED$600,"&gt;"&amp;ED228)+COUNTIF(ED$4:ED228,ED228)),"")</f>
        <v/>
      </c>
      <c r="EC228" t="str">
        <f t="shared" si="199"/>
        <v>EXCENEL FLOW 50 MG/ML SUSPENSION INJECTABLE POUR PORCINS ET BOVINS</v>
      </c>
      <c r="ED228" t="e">
        <f>IF(IF(EL$2="Catégorie",IF(EL$3="Toutes",SUMIFS('Étape 1 - à remplir'!$F$31:$F$400,'Étape 1 - à remplir'!$E$31:$E$400,MASQ2!EC228,'Étape 1 - à remplir'!$G$31:$G$400,"kg"),SUMIFS('Étape 1 - à remplir'!$F$31:$F$400,'Étape 1 - à remplir'!$E$31:$E$400,MASQ2!EC228,'Étape 1 - à remplir'!$C$31:$C$400,EL$3)),IF(EL$2="Âge",IF(EL$3="Tous",SUMIFS('Étape 1 - à remplir'!$F$31:$F$400,'Étape 1 - à remplir'!$E$31:$E$400,MASQ2!EC228,'Étape 1 - à remplir'!$G$31:$G$400,"kg"),SUMIFS('Étape 1 - à remplir'!$F$31:$F$400,'Étape 1 - à remplir'!$E$31:$E$400,MASQ2!EC228,'Étape 1 - à remplir'!$P$31:$P$400,EL$3,'Étape 1 - à remplir'!$G$31:$G$400,"kg")),IF(EL$2="Atelier",IF(EL$3="Tous",SUMIFS('Étape 1 - à remplir'!$F$31:$F$400,'Étape 1 - à remplir'!$E$31:$E$400,MASQ2!EC228,'Étape 1 - à remplir'!$G$31:$G$400,"kg"),SUMIFS('Étape 1 - à remplir'!$F$31:$F$400,'Étape 1 - à remplir'!$E$31:$E$400,MASQ2!EC228,'Étape 1 - à remplir'!$O$31:$O$400,EL$3,'Étape 1 - à remplir'!$G$31:$G$400,"kg")),IF(EL$2="Espèce",IF(EL$3="Toutes",SUMIFS('Étape 1 - à remplir'!$F$31:$F$400,'Étape 1 - à remplir'!$E$31:$E$400,MASQ2!EC228,'Étape 1 - à remplir'!$G$31:$G$400,"kg"),SUMIFS('Étape 1 - à remplir'!$F$31:$F$400,'Étape 1 - à remplir'!$E$31:$E$400,MASQ2!EC228,'Étape 1 - à remplir'!$N$31:$N$400,EL$3,'Étape 1 - à remplir'!$G$31:$G$400,"kg"))))))=0,NA(),IF(EL$2="Catégorie",IF(EL$3="Toutes",SUMIFS('Étape 1 - à remplir'!$F$31:$F$400,'Étape 1 - à remplir'!$E$31:$E$400,MASQ2!EC228,'Étape 1 - à remplir'!$G$31:$G$400,"kg"),SUMIFS('Étape 1 - à remplir'!$F$31:$F$400,'Étape 1 - à remplir'!$E$31:$E$400,MASQ2!EC228,'Étape 1 - à remplir'!$C$31:$C$400,EL$3)),IF(EL$2="Âge",IF(EL$3="Tous",SUMIFS('Étape 1 - à remplir'!$F$31:$F$400,'Étape 1 - à remplir'!$E$31:$E$400,MASQ2!EC228,'Étape 1 - à remplir'!$G$31:$G$400,"kg"),SUMIFS('Étape 1 - à remplir'!$F$31:$F$400,'Étape 1 - à remplir'!$E$31:$E$400,MASQ2!EC228,'Étape 1 - à remplir'!$P$31:$P$400,EL$3,'Étape 1 - à remplir'!$G$31:$G$400,"kg")),IF(EL$2="Atelier",IF(EL$3="Tous",SUMIFS('Étape 1 - à remplir'!$F$31:$F$400,'Étape 1 - à remplir'!$E$31:$E$400,MASQ2!EC228,'Étape 1 - à remplir'!$G$31:$G$400,"kg"),SUMIFS('Étape 1 - à remplir'!$F$31:$F$400,'Étape 1 - à remplir'!$E$31:$E$400,MASQ2!EC228,'Étape 1 - à remplir'!$O$31:$O$400,EL$3,'Étape 1 - à remplir'!$G$31:$G$400,"kg")),IF(EL$2="Espèce",IF(EL$3="Toutes",SUMIFS('Étape 1 - à remplir'!$F$31:$F$400,'Étape 1 - à remplir'!$E$31:$E$400,MASQ2!EC228,'Étape 1 - à remplir'!$G$31:$G$400,"kg"),SUMIFS('Étape 1 - à remplir'!$F$31:$F$400,'Étape 1 - à remplir'!$E$31:$E$400,MASQ2!EC228,'Étape 1 - à remplir'!$N$31:$N$400,EL$3,'Étape 1 - à remplir'!$G$31:$G$400,"kg")))))))</f>
        <v>#N/A</v>
      </c>
      <c r="EE228" s="76">
        <f t="shared" si="209"/>
        <v>0</v>
      </c>
      <c r="EF228" t="str">
        <f t="shared" si="200"/>
        <v>Ceftiofur</v>
      </c>
      <c r="EG228" t="str">
        <f t="shared" si="201"/>
        <v/>
      </c>
      <c r="EH228" t="str">
        <f t="shared" si="202"/>
        <v/>
      </c>
      <c r="EI228" t="str">
        <f t="shared" si="203"/>
        <v>Cephalosporines 3&amp;4G</v>
      </c>
      <c r="EJ228" t="str">
        <f t="shared" si="204"/>
        <v/>
      </c>
      <c r="EK228" s="63" t="str">
        <f t="shared" si="205"/>
        <v/>
      </c>
      <c r="EN228" s="42">
        <v>225</v>
      </c>
      <c r="EO228" t="e">
        <f t="shared" si="211"/>
        <v>#N/A</v>
      </c>
      <c r="EP228" s="63" t="e">
        <f t="shared" si="212"/>
        <v>#N/A</v>
      </c>
      <c r="FT228" s="63"/>
    </row>
    <row r="229" spans="2:176" x14ac:dyDescent="0.3">
      <c r="B229" s="42"/>
      <c r="M229" s="194" t="str">
        <f ca="1">INDEX(Données_ATB!BD:BU,MATCH(MASQ2!O229,Données_ATB!BD:BD,0),18)</f>
        <v/>
      </c>
      <c r="N229" s="14" t="str">
        <f>IFERROR(IF(Q229=0,"",COUNTIF(Q$4:Q$600,"&gt;"&amp;Q229)+COUNTIF(Q$4:Q229,Q229)),"")</f>
        <v/>
      </c>
      <c r="O229" t="str">
        <f>Données_ATB!BD228</f>
        <v>FACEL H.L.</v>
      </c>
      <c r="P229" t="e">
        <f>IF(IF(X$2="Catégorie",IF(X$3="Toutes",SUMIFS('Étape 1 - à remplir'!$F$31:$F$400,'Étape 1 - à remplir'!$E$31:$E$400,MASQ2!O229,'Étape 1 - à remplir'!$G$31:$G$400,"animaux"),SUMIFS('Étape 1 - à remplir'!$F$31:$F$400,'Étape 1 - à remplir'!$E$31:$E$400,MASQ2!O229,'Étape 1 - à remplir'!$C$31:$C$400,X$3)),IF(X$2="Âge",IF(X$3="Tous",SUMIFS('Étape 1 - à remplir'!$F$31:$F$400,'Étape 1 - à remplir'!$E$31:$E$400,MASQ2!O229,'Étape 1 - à remplir'!$G$31:$G$400,"animaux"),SUMIFS('Étape 1 - à remplir'!$F$31:$F$400,'Étape 1 - à remplir'!$E$31:$E$400,MASQ2!O229,'Étape 1 - à remplir'!$P$31:$P$400,X$3)),IF(X$2="Atelier",IF(X$3="Tous",SUMIFS('Étape 1 - à remplir'!$F$31:$F$400,'Étape 1 - à remplir'!$E$31:$E$400,MASQ2!O229,'Étape 1 - à remplir'!$G$31:$G$400,"animaux"),SUMIFS('Étape 1 - à remplir'!$F$31:$F$400,'Étape 1 - à remplir'!$E$31:$E$400,MASQ2!O229,'Étape 1 - à remplir'!$O$31:$O$400,X$3)),IF(X$2="Espèce",IF(X$3="Toutes",SUMIFS('Étape 1 - à remplir'!$F$31:$F$400,'Étape 1 - à remplir'!$E$31:$E$400,MASQ2!O229,'Étape 1 - à remplir'!$G$31:$G$400,"animaux"),SUMIFS('Étape 1 - à remplir'!$F$31:$F$400,'Étape 1 - à remplir'!$E$31:$E$400,MASQ2!O229,'Étape 1 - à remplir'!$N$31:$N$400,X$3))))))=0,NA(),IF(X$2="Catégorie",IF(X$3="Toutes",SUMIFS('Étape 1 - à remplir'!$F$31:$F$400,'Étape 1 - à remplir'!$E$31:$E$400,MASQ2!O229,'Étape 1 - à remplir'!$G$31:$G$400,"animaux"),SUMIFS('Étape 1 - à remplir'!$F$31:$F$400,'Étape 1 - à remplir'!$E$31:$E$400,MASQ2!O229,'Étape 1 - à remplir'!$C$31:$C$400,X$3)),IF(X$2="Âge",IF(X$3="Tous",SUMIFS('Étape 1 - à remplir'!$F$31:$F$400,'Étape 1 - à remplir'!$E$31:$E$400,MASQ2!O229,'Étape 1 - à remplir'!$G$31:$G$400,"animaux"),SUMIFS('Étape 1 - à remplir'!$F$31:$F$400,'Étape 1 - à remplir'!$E$31:$E$400,MASQ2!O229,'Étape 1 - à remplir'!$P$31:$P$400,X$3)),IF(X$2="Atelier",IF(X$3="Tous",SUMIFS('Étape 1 - à remplir'!$F$31:$F$400,'Étape 1 - à remplir'!$E$31:$E$400,MASQ2!O229,'Étape 1 - à remplir'!$G$31:$G$400,"animaux"),SUMIFS('Étape 1 - à remplir'!$F$31:$F$400,'Étape 1 - à remplir'!$E$31:$E$400,MASQ2!O229,'Étape 1 - à remplir'!$O$31:$O$400,X$3)),IF(X$2="Espèce",IF(X$3="Toutes",SUMIFS('Étape 1 - à remplir'!$F$31:$F$400,'Étape 1 - à remplir'!$E$31:$E$400,MASQ2!O229,'Étape 1 - à remplir'!$G$31:$G$400,"animaux"),SUMIFS('Étape 1 - à remplir'!$F$31:$F$400,'Étape 1 - à remplir'!$E$31:$E$400,MASQ2!O229,'Étape 1 - à remplir'!$N$31:$N$400,X$3)))))))</f>
        <v>#N/A</v>
      </c>
      <c r="Q229" s="63">
        <f t="shared" si="210"/>
        <v>0</v>
      </c>
      <c r="R229" t="str">
        <f>Données_ATB!BM228</f>
        <v>Céfapirine</v>
      </c>
      <c r="S229" t="str">
        <f>Données_ATB!BN228</f>
        <v/>
      </c>
      <c r="T229" s="63" t="str">
        <f>Données_ATB!BO228</f>
        <v/>
      </c>
      <c r="U229" s="42" t="str">
        <f>Données_ATB!BQ228</f>
        <v>Cephalosporines 1&amp;2G</v>
      </c>
      <c r="V229" t="str">
        <f>Données_ATB!BR228</f>
        <v/>
      </c>
      <c r="W229" s="63" t="str">
        <f>Données_ATB!BS228</f>
        <v/>
      </c>
      <c r="Z229" s="42">
        <v>226</v>
      </c>
      <c r="AA229" t="e">
        <f t="shared" si="206"/>
        <v>#N/A</v>
      </c>
      <c r="AB229" s="63" t="e">
        <f t="shared" si="207"/>
        <v>#N/A</v>
      </c>
      <c r="BF229" s="63"/>
      <c r="BT229" s="194" t="str">
        <f t="shared" ca="1" si="190"/>
        <v/>
      </c>
      <c r="BU229" s="219" t="str">
        <f>IFERROR(IF(BX229=0,"",COUNTIF(BX$4:BX$600,"&gt;"&amp;BX229)+COUNTIF(BX$4:BX229,BX229)),"")</f>
        <v/>
      </c>
      <c r="BV229" s="42" t="str">
        <f t="shared" si="191"/>
        <v>FACEL H.L.</v>
      </c>
      <c r="BW229" t="e">
        <f>IF(IF(CE$2="Catégorie",IF(CE$3="Toutes",SUMIFS('Étape 1 - à remplir'!$F$31:$F$400,'Étape 1 - à remplir'!$E$31:$E$400,MASQ2!BV229,'Étape 1 - à remplir'!$G$31:$G$400,"lots"),SUMIFS('Étape 1 - à remplir'!$F$31:$F$400,'Étape 1 - à remplir'!$E$31:$E$400,MASQ2!BV229,'Étape 1 - à remplir'!$C$31:$C$400,CE$3)),IF(CE$2="Âge",IF(CE$3="Tous",SUMIFS('Étape 1 - à remplir'!$F$31:$F$400,'Étape 1 - à remplir'!$E$31:$E$400,MASQ2!BV229,'Étape 1 - à remplir'!$G$31:$G$400,"lots"),SUMIFS('Étape 1 - à remplir'!$F$31:$F$400,'Étape 1 - à remplir'!$E$31:$E$400,MASQ2!BV229,'Étape 1 - à remplir'!$P$31:$P$400,CE$3,'Étape 1 - à remplir'!$G$31:$G$400,"lots")),IF(CE$2="Atelier",IF(CE$3="Tous",SUMIFS('Étape 1 - à remplir'!$F$31:$F$400,'Étape 1 - à remplir'!$E$31:$E$400,MASQ2!BV229,'Étape 1 - à remplir'!$G$31:$G$400,"lots"),SUMIFS('Étape 1 - à remplir'!$F$31:$F$400,'Étape 1 - à remplir'!$E$31:$E$400,MASQ2!BV229,'Étape 1 - à remplir'!$O$31:$O$400,CE$3,'Étape 1 - à remplir'!$G$31:$G$400,"lots")),IF(CE$2="Espèce",IF(CE$3="Toutes",SUMIFS('Étape 1 - à remplir'!$F$31:$F$400,'Étape 1 - à remplir'!$E$31:$E$400,MASQ2!BV229,'Étape 1 - à remplir'!$G$31:$G$400,"lots"),SUMIFS('Étape 1 - à remplir'!$F$31:$F$400,'Étape 1 - à remplir'!$E$31:$E$400,MASQ2!BV229,'Étape 1 - à remplir'!$N$31:$N$400,CE$3,'Étape 1 - à remplir'!$G$31:$G$400,"lots"))))))=0,NA(),IF(CE$2="Catégorie",IF(CE$3="Toutes",SUMIFS('Étape 1 - à remplir'!$F$31:$F$400,'Étape 1 - à remplir'!$E$31:$E$400,MASQ2!BV229,'Étape 1 - à remplir'!$G$31:$G$400,"lots"),SUMIFS('Étape 1 - à remplir'!$F$31:$F$400,'Étape 1 - à remplir'!$E$31:$E$400,MASQ2!BV229,'Étape 1 - à remplir'!$C$31:$C$400,CE$3)),IF(CE$2="Âge",IF(CE$3="Tous",SUMIFS('Étape 1 - à remplir'!$F$31:$F$400,'Étape 1 - à remplir'!$E$31:$E$400,MASQ2!BV229,'Étape 1 - à remplir'!$G$31:$G$400,"lots"),SUMIFS('Étape 1 - à remplir'!$F$31:$F$400,'Étape 1 - à remplir'!$E$31:$E$400,MASQ2!BV229,'Étape 1 - à remplir'!$P$31:$P$400,CE$3,'Étape 1 - à remplir'!$G$31:$G$400,"lots")),IF(CE$2="Atelier",IF(CE$3="Tous",SUMIFS('Étape 1 - à remplir'!$F$31:$F$400,'Étape 1 - à remplir'!$E$31:$E$400,MASQ2!BV229,'Étape 1 - à remplir'!$G$31:$G$400,"lots"),SUMIFS('Étape 1 - à remplir'!$F$31:$F$400,'Étape 1 - à remplir'!$E$31:$E$400,MASQ2!BV229,'Étape 1 - à remplir'!$O$31:$O$400,CE$3,'Étape 1 - à remplir'!$G$31:$G$400,"lots")),IF(CE$2="Espèce",IF(CE$3="Toutes",SUMIFS('Étape 1 - à remplir'!$F$31:$F$400,'Étape 1 - à remplir'!$E$31:$E$400,MASQ2!BV229,'Étape 1 - à remplir'!$G$31:$G$400,"lots"),SUMIFS('Étape 1 - à remplir'!$F$31:$F$400,'Étape 1 - à remplir'!$E$31:$E$400,MASQ2!BV229,'Étape 1 - à remplir'!$N$31:$N$400,CE$3,'Étape 1 - à remplir'!$G$31:$G$400,"lots")))))))</f>
        <v>#N/A</v>
      </c>
      <c r="BX229">
        <f t="shared" si="208"/>
        <v>0</v>
      </c>
      <c r="BY229" t="str">
        <f t="shared" si="192"/>
        <v>Céfapirine</v>
      </c>
      <c r="BZ229" t="str">
        <f t="shared" si="193"/>
        <v/>
      </c>
      <c r="CA229" t="str">
        <f t="shared" si="194"/>
        <v/>
      </c>
      <c r="CB229" t="str">
        <f t="shared" si="195"/>
        <v>Cephalosporines 1&amp;2G</v>
      </c>
      <c r="CC229" t="str">
        <f t="shared" si="196"/>
        <v/>
      </c>
      <c r="CD229" s="63" t="str">
        <f t="shared" si="197"/>
        <v/>
      </c>
      <c r="CG229" s="42">
        <v>226</v>
      </c>
      <c r="CH229" s="42" t="e">
        <f t="shared" si="213"/>
        <v>#N/A</v>
      </c>
      <c r="CI229" s="63" t="e">
        <f t="shared" si="214"/>
        <v>#N/A</v>
      </c>
      <c r="DM229" s="63"/>
      <c r="EA229" s="194" t="str">
        <f t="shared" ca="1" si="198"/>
        <v/>
      </c>
      <c r="EB229" s="226" t="str">
        <f>IFERROR(IF(ED229=0,"",COUNTIF(ED$4:ED$600,"&gt;"&amp;ED229)+COUNTIF(ED$4:ED229,ED229)),"")</f>
        <v/>
      </c>
      <c r="EC229" t="str">
        <f t="shared" si="199"/>
        <v>FACEL H.L.</v>
      </c>
      <c r="ED229" t="e">
        <f>IF(IF(EL$2="Catégorie",IF(EL$3="Toutes",SUMIFS('Étape 1 - à remplir'!$F$31:$F$400,'Étape 1 - à remplir'!$E$31:$E$400,MASQ2!EC229,'Étape 1 - à remplir'!$G$31:$G$400,"kg"),SUMIFS('Étape 1 - à remplir'!$F$31:$F$400,'Étape 1 - à remplir'!$E$31:$E$400,MASQ2!EC229,'Étape 1 - à remplir'!$C$31:$C$400,EL$3)),IF(EL$2="Âge",IF(EL$3="Tous",SUMIFS('Étape 1 - à remplir'!$F$31:$F$400,'Étape 1 - à remplir'!$E$31:$E$400,MASQ2!EC229,'Étape 1 - à remplir'!$G$31:$G$400,"kg"),SUMIFS('Étape 1 - à remplir'!$F$31:$F$400,'Étape 1 - à remplir'!$E$31:$E$400,MASQ2!EC229,'Étape 1 - à remplir'!$P$31:$P$400,EL$3,'Étape 1 - à remplir'!$G$31:$G$400,"kg")),IF(EL$2="Atelier",IF(EL$3="Tous",SUMIFS('Étape 1 - à remplir'!$F$31:$F$400,'Étape 1 - à remplir'!$E$31:$E$400,MASQ2!EC229,'Étape 1 - à remplir'!$G$31:$G$400,"kg"),SUMIFS('Étape 1 - à remplir'!$F$31:$F$400,'Étape 1 - à remplir'!$E$31:$E$400,MASQ2!EC229,'Étape 1 - à remplir'!$O$31:$O$400,EL$3,'Étape 1 - à remplir'!$G$31:$G$400,"kg")),IF(EL$2="Espèce",IF(EL$3="Toutes",SUMIFS('Étape 1 - à remplir'!$F$31:$F$400,'Étape 1 - à remplir'!$E$31:$E$400,MASQ2!EC229,'Étape 1 - à remplir'!$G$31:$G$400,"kg"),SUMIFS('Étape 1 - à remplir'!$F$31:$F$400,'Étape 1 - à remplir'!$E$31:$E$400,MASQ2!EC229,'Étape 1 - à remplir'!$N$31:$N$400,EL$3,'Étape 1 - à remplir'!$G$31:$G$400,"kg"))))))=0,NA(),IF(EL$2="Catégorie",IF(EL$3="Toutes",SUMIFS('Étape 1 - à remplir'!$F$31:$F$400,'Étape 1 - à remplir'!$E$31:$E$400,MASQ2!EC229,'Étape 1 - à remplir'!$G$31:$G$400,"kg"),SUMIFS('Étape 1 - à remplir'!$F$31:$F$400,'Étape 1 - à remplir'!$E$31:$E$400,MASQ2!EC229,'Étape 1 - à remplir'!$C$31:$C$400,EL$3)),IF(EL$2="Âge",IF(EL$3="Tous",SUMIFS('Étape 1 - à remplir'!$F$31:$F$400,'Étape 1 - à remplir'!$E$31:$E$400,MASQ2!EC229,'Étape 1 - à remplir'!$G$31:$G$400,"kg"),SUMIFS('Étape 1 - à remplir'!$F$31:$F$400,'Étape 1 - à remplir'!$E$31:$E$400,MASQ2!EC229,'Étape 1 - à remplir'!$P$31:$P$400,EL$3,'Étape 1 - à remplir'!$G$31:$G$400,"kg")),IF(EL$2="Atelier",IF(EL$3="Tous",SUMIFS('Étape 1 - à remplir'!$F$31:$F$400,'Étape 1 - à remplir'!$E$31:$E$400,MASQ2!EC229,'Étape 1 - à remplir'!$G$31:$G$400,"kg"),SUMIFS('Étape 1 - à remplir'!$F$31:$F$400,'Étape 1 - à remplir'!$E$31:$E$400,MASQ2!EC229,'Étape 1 - à remplir'!$O$31:$O$400,EL$3,'Étape 1 - à remplir'!$G$31:$G$400,"kg")),IF(EL$2="Espèce",IF(EL$3="Toutes",SUMIFS('Étape 1 - à remplir'!$F$31:$F$400,'Étape 1 - à remplir'!$E$31:$E$400,MASQ2!EC229,'Étape 1 - à remplir'!$G$31:$G$400,"kg"),SUMIFS('Étape 1 - à remplir'!$F$31:$F$400,'Étape 1 - à remplir'!$E$31:$E$400,MASQ2!EC229,'Étape 1 - à remplir'!$N$31:$N$400,EL$3,'Étape 1 - à remplir'!$G$31:$G$400,"kg")))))))</f>
        <v>#N/A</v>
      </c>
      <c r="EE229" s="76">
        <f t="shared" si="209"/>
        <v>0</v>
      </c>
      <c r="EF229" t="str">
        <f t="shared" si="200"/>
        <v>Céfapirine</v>
      </c>
      <c r="EG229" t="str">
        <f t="shared" si="201"/>
        <v/>
      </c>
      <c r="EH229" t="str">
        <f t="shared" si="202"/>
        <v/>
      </c>
      <c r="EI229" t="str">
        <f t="shared" si="203"/>
        <v>Cephalosporines 1&amp;2G</v>
      </c>
      <c r="EJ229" t="str">
        <f t="shared" si="204"/>
        <v/>
      </c>
      <c r="EK229" s="63" t="str">
        <f t="shared" si="205"/>
        <v/>
      </c>
      <c r="EN229" s="42">
        <v>226</v>
      </c>
      <c r="EO229" t="e">
        <f t="shared" si="211"/>
        <v>#N/A</v>
      </c>
      <c r="EP229" s="63" t="e">
        <f t="shared" si="212"/>
        <v>#N/A</v>
      </c>
      <c r="FT229" s="63"/>
    </row>
    <row r="230" spans="2:176" x14ac:dyDescent="0.3">
      <c r="B230" s="42"/>
      <c r="M230" s="194" t="str">
        <f ca="1">INDEX(Données_ATB!BD:BU,MATCH(MASQ2!O230,Données_ATB!BD:BD,0),18)</f>
        <v/>
      </c>
      <c r="N230" s="14" t="str">
        <f>IFERROR(IF(Q230=0,"",COUNTIF(Q$4:Q$600,"&gt;"&amp;Q230)+COUNTIF(Q$4:Q230,Q230)),"")</f>
        <v/>
      </c>
      <c r="O230" t="str">
        <f>Données_ATB!BD229</f>
        <v>FATROX</v>
      </c>
      <c r="P230" t="e">
        <f>IF(IF(X$2="Catégorie",IF(X$3="Toutes",SUMIFS('Étape 1 - à remplir'!$F$31:$F$400,'Étape 1 - à remplir'!$E$31:$E$400,MASQ2!O230,'Étape 1 - à remplir'!$G$31:$G$400,"animaux"),SUMIFS('Étape 1 - à remplir'!$F$31:$F$400,'Étape 1 - à remplir'!$E$31:$E$400,MASQ2!O230,'Étape 1 - à remplir'!$C$31:$C$400,X$3)),IF(X$2="Âge",IF(X$3="Tous",SUMIFS('Étape 1 - à remplir'!$F$31:$F$400,'Étape 1 - à remplir'!$E$31:$E$400,MASQ2!O230,'Étape 1 - à remplir'!$G$31:$G$400,"animaux"),SUMIFS('Étape 1 - à remplir'!$F$31:$F$400,'Étape 1 - à remplir'!$E$31:$E$400,MASQ2!O230,'Étape 1 - à remplir'!$P$31:$P$400,X$3)),IF(X$2="Atelier",IF(X$3="Tous",SUMIFS('Étape 1 - à remplir'!$F$31:$F$400,'Étape 1 - à remplir'!$E$31:$E$400,MASQ2!O230,'Étape 1 - à remplir'!$G$31:$G$400,"animaux"),SUMIFS('Étape 1 - à remplir'!$F$31:$F$400,'Étape 1 - à remplir'!$E$31:$E$400,MASQ2!O230,'Étape 1 - à remplir'!$O$31:$O$400,X$3)),IF(X$2="Espèce",IF(X$3="Toutes",SUMIFS('Étape 1 - à remplir'!$F$31:$F$400,'Étape 1 - à remplir'!$E$31:$E$400,MASQ2!O230,'Étape 1 - à remplir'!$G$31:$G$400,"animaux"),SUMIFS('Étape 1 - à remplir'!$F$31:$F$400,'Étape 1 - à remplir'!$E$31:$E$400,MASQ2!O230,'Étape 1 - à remplir'!$N$31:$N$400,X$3))))))=0,NA(),IF(X$2="Catégorie",IF(X$3="Toutes",SUMIFS('Étape 1 - à remplir'!$F$31:$F$400,'Étape 1 - à remplir'!$E$31:$E$400,MASQ2!O230,'Étape 1 - à remplir'!$G$31:$G$400,"animaux"),SUMIFS('Étape 1 - à remplir'!$F$31:$F$400,'Étape 1 - à remplir'!$E$31:$E$400,MASQ2!O230,'Étape 1 - à remplir'!$C$31:$C$400,X$3)),IF(X$2="Âge",IF(X$3="Tous",SUMIFS('Étape 1 - à remplir'!$F$31:$F$400,'Étape 1 - à remplir'!$E$31:$E$400,MASQ2!O230,'Étape 1 - à remplir'!$G$31:$G$400,"animaux"),SUMIFS('Étape 1 - à remplir'!$F$31:$F$400,'Étape 1 - à remplir'!$E$31:$E$400,MASQ2!O230,'Étape 1 - à remplir'!$P$31:$P$400,X$3)),IF(X$2="Atelier",IF(X$3="Tous",SUMIFS('Étape 1 - à remplir'!$F$31:$F$400,'Étape 1 - à remplir'!$E$31:$E$400,MASQ2!O230,'Étape 1 - à remplir'!$G$31:$G$400,"animaux"),SUMIFS('Étape 1 - à remplir'!$F$31:$F$400,'Étape 1 - à remplir'!$E$31:$E$400,MASQ2!O230,'Étape 1 - à remplir'!$O$31:$O$400,X$3)),IF(X$2="Espèce",IF(X$3="Toutes",SUMIFS('Étape 1 - à remplir'!$F$31:$F$400,'Étape 1 - à remplir'!$E$31:$E$400,MASQ2!O230,'Étape 1 - à remplir'!$G$31:$G$400,"animaux"),SUMIFS('Étape 1 - à remplir'!$F$31:$F$400,'Étape 1 - à remplir'!$E$31:$E$400,MASQ2!O230,'Étape 1 - à remplir'!$N$31:$N$400,X$3)))))))</f>
        <v>#N/A</v>
      </c>
      <c r="Q230" s="63">
        <f t="shared" si="210"/>
        <v>0</v>
      </c>
      <c r="R230" t="str">
        <f>Données_ATB!BM229</f>
        <v>Rifaximine</v>
      </c>
      <c r="S230" t="str">
        <f>Données_ATB!BN229</f>
        <v/>
      </c>
      <c r="T230" s="63" t="str">
        <f>Données_ATB!BO229</f>
        <v/>
      </c>
      <c r="U230" s="42" t="str">
        <f>Données_ATB!BQ229</f>
        <v>Autres familles</v>
      </c>
      <c r="V230" t="str">
        <f>Données_ATB!BR229</f>
        <v/>
      </c>
      <c r="W230" s="63" t="str">
        <f>Données_ATB!BS229</f>
        <v/>
      </c>
      <c r="Z230" s="42">
        <v>227</v>
      </c>
      <c r="AA230" t="e">
        <f t="shared" si="206"/>
        <v>#N/A</v>
      </c>
      <c r="AB230" s="63" t="e">
        <f t="shared" si="207"/>
        <v>#N/A</v>
      </c>
      <c r="BF230" s="63"/>
      <c r="BT230" s="194" t="str">
        <f t="shared" ca="1" si="190"/>
        <v/>
      </c>
      <c r="BU230" s="219" t="str">
        <f>IFERROR(IF(BX230=0,"",COUNTIF(BX$4:BX$600,"&gt;"&amp;BX230)+COUNTIF(BX$4:BX230,BX230)),"")</f>
        <v/>
      </c>
      <c r="BV230" s="42" t="str">
        <f t="shared" si="191"/>
        <v>FATROX</v>
      </c>
      <c r="BW230" t="e">
        <f>IF(IF(CE$2="Catégorie",IF(CE$3="Toutes",SUMIFS('Étape 1 - à remplir'!$F$31:$F$400,'Étape 1 - à remplir'!$E$31:$E$400,MASQ2!BV230,'Étape 1 - à remplir'!$G$31:$G$400,"lots"),SUMIFS('Étape 1 - à remplir'!$F$31:$F$400,'Étape 1 - à remplir'!$E$31:$E$400,MASQ2!BV230,'Étape 1 - à remplir'!$C$31:$C$400,CE$3)),IF(CE$2="Âge",IF(CE$3="Tous",SUMIFS('Étape 1 - à remplir'!$F$31:$F$400,'Étape 1 - à remplir'!$E$31:$E$400,MASQ2!BV230,'Étape 1 - à remplir'!$G$31:$G$400,"lots"),SUMIFS('Étape 1 - à remplir'!$F$31:$F$400,'Étape 1 - à remplir'!$E$31:$E$400,MASQ2!BV230,'Étape 1 - à remplir'!$P$31:$P$400,CE$3,'Étape 1 - à remplir'!$G$31:$G$400,"lots")),IF(CE$2="Atelier",IF(CE$3="Tous",SUMIFS('Étape 1 - à remplir'!$F$31:$F$400,'Étape 1 - à remplir'!$E$31:$E$400,MASQ2!BV230,'Étape 1 - à remplir'!$G$31:$G$400,"lots"),SUMIFS('Étape 1 - à remplir'!$F$31:$F$400,'Étape 1 - à remplir'!$E$31:$E$400,MASQ2!BV230,'Étape 1 - à remplir'!$O$31:$O$400,CE$3,'Étape 1 - à remplir'!$G$31:$G$400,"lots")),IF(CE$2="Espèce",IF(CE$3="Toutes",SUMIFS('Étape 1 - à remplir'!$F$31:$F$400,'Étape 1 - à remplir'!$E$31:$E$400,MASQ2!BV230,'Étape 1 - à remplir'!$G$31:$G$400,"lots"),SUMIFS('Étape 1 - à remplir'!$F$31:$F$400,'Étape 1 - à remplir'!$E$31:$E$400,MASQ2!BV230,'Étape 1 - à remplir'!$N$31:$N$400,CE$3,'Étape 1 - à remplir'!$G$31:$G$400,"lots"))))))=0,NA(),IF(CE$2="Catégorie",IF(CE$3="Toutes",SUMIFS('Étape 1 - à remplir'!$F$31:$F$400,'Étape 1 - à remplir'!$E$31:$E$400,MASQ2!BV230,'Étape 1 - à remplir'!$G$31:$G$400,"lots"),SUMIFS('Étape 1 - à remplir'!$F$31:$F$400,'Étape 1 - à remplir'!$E$31:$E$400,MASQ2!BV230,'Étape 1 - à remplir'!$C$31:$C$400,CE$3)),IF(CE$2="Âge",IF(CE$3="Tous",SUMIFS('Étape 1 - à remplir'!$F$31:$F$400,'Étape 1 - à remplir'!$E$31:$E$400,MASQ2!BV230,'Étape 1 - à remplir'!$G$31:$G$400,"lots"),SUMIFS('Étape 1 - à remplir'!$F$31:$F$400,'Étape 1 - à remplir'!$E$31:$E$400,MASQ2!BV230,'Étape 1 - à remplir'!$P$31:$P$400,CE$3,'Étape 1 - à remplir'!$G$31:$G$400,"lots")),IF(CE$2="Atelier",IF(CE$3="Tous",SUMIFS('Étape 1 - à remplir'!$F$31:$F$400,'Étape 1 - à remplir'!$E$31:$E$400,MASQ2!BV230,'Étape 1 - à remplir'!$G$31:$G$400,"lots"),SUMIFS('Étape 1 - à remplir'!$F$31:$F$400,'Étape 1 - à remplir'!$E$31:$E$400,MASQ2!BV230,'Étape 1 - à remplir'!$O$31:$O$400,CE$3,'Étape 1 - à remplir'!$G$31:$G$400,"lots")),IF(CE$2="Espèce",IF(CE$3="Toutes",SUMIFS('Étape 1 - à remplir'!$F$31:$F$400,'Étape 1 - à remplir'!$E$31:$E$400,MASQ2!BV230,'Étape 1 - à remplir'!$G$31:$G$400,"lots"),SUMIFS('Étape 1 - à remplir'!$F$31:$F$400,'Étape 1 - à remplir'!$E$31:$E$400,MASQ2!BV230,'Étape 1 - à remplir'!$N$31:$N$400,CE$3,'Étape 1 - à remplir'!$G$31:$G$400,"lots")))))))</f>
        <v>#N/A</v>
      </c>
      <c r="BX230">
        <f t="shared" si="208"/>
        <v>0</v>
      </c>
      <c r="BY230" t="str">
        <f t="shared" si="192"/>
        <v>Rifaximine</v>
      </c>
      <c r="BZ230" t="str">
        <f t="shared" si="193"/>
        <v/>
      </c>
      <c r="CA230" t="str">
        <f t="shared" si="194"/>
        <v/>
      </c>
      <c r="CB230" t="str">
        <f t="shared" si="195"/>
        <v>Autres familles</v>
      </c>
      <c r="CC230" t="str">
        <f t="shared" si="196"/>
        <v/>
      </c>
      <c r="CD230" s="63" t="str">
        <f t="shared" si="197"/>
        <v/>
      </c>
      <c r="CG230" s="42">
        <v>227</v>
      </c>
      <c r="CH230" s="42" t="e">
        <f t="shared" si="213"/>
        <v>#N/A</v>
      </c>
      <c r="CI230" s="63" t="e">
        <f t="shared" si="214"/>
        <v>#N/A</v>
      </c>
      <c r="DM230" s="63"/>
      <c r="EA230" s="194" t="str">
        <f t="shared" ca="1" si="198"/>
        <v/>
      </c>
      <c r="EB230" s="226" t="str">
        <f>IFERROR(IF(ED230=0,"",COUNTIF(ED$4:ED$600,"&gt;"&amp;ED230)+COUNTIF(ED$4:ED230,ED230)),"")</f>
        <v/>
      </c>
      <c r="EC230" t="str">
        <f t="shared" si="199"/>
        <v>FATROX</v>
      </c>
      <c r="ED230" t="e">
        <f>IF(IF(EL$2="Catégorie",IF(EL$3="Toutes",SUMIFS('Étape 1 - à remplir'!$F$31:$F$400,'Étape 1 - à remplir'!$E$31:$E$400,MASQ2!EC230,'Étape 1 - à remplir'!$G$31:$G$400,"kg"),SUMIFS('Étape 1 - à remplir'!$F$31:$F$400,'Étape 1 - à remplir'!$E$31:$E$400,MASQ2!EC230,'Étape 1 - à remplir'!$C$31:$C$400,EL$3)),IF(EL$2="Âge",IF(EL$3="Tous",SUMIFS('Étape 1 - à remplir'!$F$31:$F$400,'Étape 1 - à remplir'!$E$31:$E$400,MASQ2!EC230,'Étape 1 - à remplir'!$G$31:$G$400,"kg"),SUMIFS('Étape 1 - à remplir'!$F$31:$F$400,'Étape 1 - à remplir'!$E$31:$E$400,MASQ2!EC230,'Étape 1 - à remplir'!$P$31:$P$400,EL$3,'Étape 1 - à remplir'!$G$31:$G$400,"kg")),IF(EL$2="Atelier",IF(EL$3="Tous",SUMIFS('Étape 1 - à remplir'!$F$31:$F$400,'Étape 1 - à remplir'!$E$31:$E$400,MASQ2!EC230,'Étape 1 - à remplir'!$G$31:$G$400,"kg"),SUMIFS('Étape 1 - à remplir'!$F$31:$F$400,'Étape 1 - à remplir'!$E$31:$E$400,MASQ2!EC230,'Étape 1 - à remplir'!$O$31:$O$400,EL$3,'Étape 1 - à remplir'!$G$31:$G$400,"kg")),IF(EL$2="Espèce",IF(EL$3="Toutes",SUMIFS('Étape 1 - à remplir'!$F$31:$F$400,'Étape 1 - à remplir'!$E$31:$E$400,MASQ2!EC230,'Étape 1 - à remplir'!$G$31:$G$400,"kg"),SUMIFS('Étape 1 - à remplir'!$F$31:$F$400,'Étape 1 - à remplir'!$E$31:$E$400,MASQ2!EC230,'Étape 1 - à remplir'!$N$31:$N$400,EL$3,'Étape 1 - à remplir'!$G$31:$G$400,"kg"))))))=0,NA(),IF(EL$2="Catégorie",IF(EL$3="Toutes",SUMIFS('Étape 1 - à remplir'!$F$31:$F$400,'Étape 1 - à remplir'!$E$31:$E$400,MASQ2!EC230,'Étape 1 - à remplir'!$G$31:$G$400,"kg"),SUMIFS('Étape 1 - à remplir'!$F$31:$F$400,'Étape 1 - à remplir'!$E$31:$E$400,MASQ2!EC230,'Étape 1 - à remplir'!$C$31:$C$400,EL$3)),IF(EL$2="Âge",IF(EL$3="Tous",SUMIFS('Étape 1 - à remplir'!$F$31:$F$400,'Étape 1 - à remplir'!$E$31:$E$400,MASQ2!EC230,'Étape 1 - à remplir'!$G$31:$G$400,"kg"),SUMIFS('Étape 1 - à remplir'!$F$31:$F$400,'Étape 1 - à remplir'!$E$31:$E$400,MASQ2!EC230,'Étape 1 - à remplir'!$P$31:$P$400,EL$3,'Étape 1 - à remplir'!$G$31:$G$400,"kg")),IF(EL$2="Atelier",IF(EL$3="Tous",SUMIFS('Étape 1 - à remplir'!$F$31:$F$400,'Étape 1 - à remplir'!$E$31:$E$400,MASQ2!EC230,'Étape 1 - à remplir'!$G$31:$G$400,"kg"),SUMIFS('Étape 1 - à remplir'!$F$31:$F$400,'Étape 1 - à remplir'!$E$31:$E$400,MASQ2!EC230,'Étape 1 - à remplir'!$O$31:$O$400,EL$3,'Étape 1 - à remplir'!$G$31:$G$400,"kg")),IF(EL$2="Espèce",IF(EL$3="Toutes",SUMIFS('Étape 1 - à remplir'!$F$31:$F$400,'Étape 1 - à remplir'!$E$31:$E$400,MASQ2!EC230,'Étape 1 - à remplir'!$G$31:$G$400,"kg"),SUMIFS('Étape 1 - à remplir'!$F$31:$F$400,'Étape 1 - à remplir'!$E$31:$E$400,MASQ2!EC230,'Étape 1 - à remplir'!$N$31:$N$400,EL$3,'Étape 1 - à remplir'!$G$31:$G$400,"kg")))))))</f>
        <v>#N/A</v>
      </c>
      <c r="EE230" s="76">
        <f t="shared" si="209"/>
        <v>0</v>
      </c>
      <c r="EF230" t="str">
        <f t="shared" si="200"/>
        <v>Rifaximine</v>
      </c>
      <c r="EG230" t="str">
        <f t="shared" si="201"/>
        <v/>
      </c>
      <c r="EH230" t="str">
        <f t="shared" si="202"/>
        <v/>
      </c>
      <c r="EI230" t="str">
        <f t="shared" si="203"/>
        <v>Autres familles</v>
      </c>
      <c r="EJ230" t="str">
        <f t="shared" si="204"/>
        <v/>
      </c>
      <c r="EK230" s="63" t="str">
        <f t="shared" si="205"/>
        <v/>
      </c>
      <c r="EN230" s="42">
        <v>227</v>
      </c>
      <c r="EO230" t="e">
        <f t="shared" si="211"/>
        <v>#N/A</v>
      </c>
      <c r="EP230" s="63" t="e">
        <f t="shared" si="212"/>
        <v>#N/A</v>
      </c>
      <c r="FT230" s="63"/>
    </row>
    <row r="231" spans="2:176" x14ac:dyDescent="0.3">
      <c r="B231" s="42"/>
      <c r="M231" s="194" t="str">
        <f ca="1">INDEX(Données_ATB!BD:BU,MATCH(MASQ2!O231,Données_ATB!BD:BD,0),18)</f>
        <v/>
      </c>
      <c r="N231" s="14" t="str">
        <f>IFERROR(IF(Q231=0,"",COUNTIF(Q$4:Q$600,"&gt;"&amp;Q231)+COUNTIF(Q$4:Q231,Q231)),"")</f>
        <v/>
      </c>
      <c r="O231" t="str">
        <f>Données_ATB!BD230</f>
        <v>FINOXALINE</v>
      </c>
      <c r="P231" t="e">
        <f>IF(IF(X$2="Catégorie",IF(X$3="Toutes",SUMIFS('Étape 1 - à remplir'!$F$31:$F$400,'Étape 1 - à remplir'!$E$31:$E$400,MASQ2!O231,'Étape 1 - à remplir'!$G$31:$G$400,"animaux"),SUMIFS('Étape 1 - à remplir'!$F$31:$F$400,'Étape 1 - à remplir'!$E$31:$E$400,MASQ2!O231,'Étape 1 - à remplir'!$C$31:$C$400,X$3)),IF(X$2="Âge",IF(X$3="Tous",SUMIFS('Étape 1 - à remplir'!$F$31:$F$400,'Étape 1 - à remplir'!$E$31:$E$400,MASQ2!O231,'Étape 1 - à remplir'!$G$31:$G$400,"animaux"),SUMIFS('Étape 1 - à remplir'!$F$31:$F$400,'Étape 1 - à remplir'!$E$31:$E$400,MASQ2!O231,'Étape 1 - à remplir'!$P$31:$P$400,X$3)),IF(X$2="Atelier",IF(X$3="Tous",SUMIFS('Étape 1 - à remplir'!$F$31:$F$400,'Étape 1 - à remplir'!$E$31:$E$400,MASQ2!O231,'Étape 1 - à remplir'!$G$31:$G$400,"animaux"),SUMIFS('Étape 1 - à remplir'!$F$31:$F$400,'Étape 1 - à remplir'!$E$31:$E$400,MASQ2!O231,'Étape 1 - à remplir'!$O$31:$O$400,X$3)),IF(X$2="Espèce",IF(X$3="Toutes",SUMIFS('Étape 1 - à remplir'!$F$31:$F$400,'Étape 1 - à remplir'!$E$31:$E$400,MASQ2!O231,'Étape 1 - à remplir'!$G$31:$G$400,"animaux"),SUMIFS('Étape 1 - à remplir'!$F$31:$F$400,'Étape 1 - à remplir'!$E$31:$E$400,MASQ2!O231,'Étape 1 - à remplir'!$N$31:$N$400,X$3))))))=0,NA(),IF(X$2="Catégorie",IF(X$3="Toutes",SUMIFS('Étape 1 - à remplir'!$F$31:$F$400,'Étape 1 - à remplir'!$E$31:$E$400,MASQ2!O231,'Étape 1 - à remplir'!$G$31:$G$400,"animaux"),SUMIFS('Étape 1 - à remplir'!$F$31:$F$400,'Étape 1 - à remplir'!$E$31:$E$400,MASQ2!O231,'Étape 1 - à remplir'!$C$31:$C$400,X$3)),IF(X$2="Âge",IF(X$3="Tous",SUMIFS('Étape 1 - à remplir'!$F$31:$F$400,'Étape 1 - à remplir'!$E$31:$E$400,MASQ2!O231,'Étape 1 - à remplir'!$G$31:$G$400,"animaux"),SUMIFS('Étape 1 - à remplir'!$F$31:$F$400,'Étape 1 - à remplir'!$E$31:$E$400,MASQ2!O231,'Étape 1 - à remplir'!$P$31:$P$400,X$3)),IF(X$2="Atelier",IF(X$3="Tous",SUMIFS('Étape 1 - à remplir'!$F$31:$F$400,'Étape 1 - à remplir'!$E$31:$E$400,MASQ2!O231,'Étape 1 - à remplir'!$G$31:$G$400,"animaux"),SUMIFS('Étape 1 - à remplir'!$F$31:$F$400,'Étape 1 - à remplir'!$E$31:$E$400,MASQ2!O231,'Étape 1 - à remplir'!$O$31:$O$400,X$3)),IF(X$2="Espèce",IF(X$3="Toutes",SUMIFS('Étape 1 - à remplir'!$F$31:$F$400,'Étape 1 - à remplir'!$E$31:$E$400,MASQ2!O231,'Étape 1 - à remplir'!$G$31:$G$400,"animaux"),SUMIFS('Étape 1 - à remplir'!$F$31:$F$400,'Étape 1 - à remplir'!$E$31:$E$400,MASQ2!O231,'Étape 1 - à remplir'!$N$31:$N$400,X$3)))))))</f>
        <v>#N/A</v>
      </c>
      <c r="Q231" s="63">
        <f t="shared" si="210"/>
        <v>0</v>
      </c>
      <c r="R231" t="str">
        <f>Données_ATB!BM230</f>
        <v>Oxytétracycline</v>
      </c>
      <c r="S231" t="str">
        <f>Données_ATB!BN230</f>
        <v/>
      </c>
      <c r="T231" s="63" t="str">
        <f>Données_ATB!BO230</f>
        <v/>
      </c>
      <c r="U231" s="42" t="str">
        <f>Données_ATB!BQ230</f>
        <v>Tetracyclines</v>
      </c>
      <c r="V231" t="str">
        <f>Données_ATB!BR230</f>
        <v/>
      </c>
      <c r="W231" s="63" t="str">
        <f>Données_ATB!BS230</f>
        <v/>
      </c>
      <c r="Z231" s="42">
        <v>228</v>
      </c>
      <c r="AA231" t="e">
        <f t="shared" si="206"/>
        <v>#N/A</v>
      </c>
      <c r="AB231" s="63" t="e">
        <f t="shared" si="207"/>
        <v>#N/A</v>
      </c>
      <c r="BF231" s="63"/>
      <c r="BT231" s="194" t="str">
        <f t="shared" ca="1" si="190"/>
        <v/>
      </c>
      <c r="BU231" s="219" t="str">
        <f>IFERROR(IF(BX231=0,"",COUNTIF(BX$4:BX$600,"&gt;"&amp;BX231)+COUNTIF(BX$4:BX231,BX231)),"")</f>
        <v/>
      </c>
      <c r="BV231" s="42" t="str">
        <f t="shared" si="191"/>
        <v>FINOXALINE</v>
      </c>
      <c r="BW231" t="e">
        <f>IF(IF(CE$2="Catégorie",IF(CE$3="Toutes",SUMIFS('Étape 1 - à remplir'!$F$31:$F$400,'Étape 1 - à remplir'!$E$31:$E$400,MASQ2!BV231,'Étape 1 - à remplir'!$G$31:$G$400,"lots"),SUMIFS('Étape 1 - à remplir'!$F$31:$F$400,'Étape 1 - à remplir'!$E$31:$E$400,MASQ2!BV231,'Étape 1 - à remplir'!$C$31:$C$400,CE$3)),IF(CE$2="Âge",IF(CE$3="Tous",SUMIFS('Étape 1 - à remplir'!$F$31:$F$400,'Étape 1 - à remplir'!$E$31:$E$400,MASQ2!BV231,'Étape 1 - à remplir'!$G$31:$G$400,"lots"),SUMIFS('Étape 1 - à remplir'!$F$31:$F$400,'Étape 1 - à remplir'!$E$31:$E$400,MASQ2!BV231,'Étape 1 - à remplir'!$P$31:$P$400,CE$3,'Étape 1 - à remplir'!$G$31:$G$400,"lots")),IF(CE$2="Atelier",IF(CE$3="Tous",SUMIFS('Étape 1 - à remplir'!$F$31:$F$400,'Étape 1 - à remplir'!$E$31:$E$400,MASQ2!BV231,'Étape 1 - à remplir'!$G$31:$G$400,"lots"),SUMIFS('Étape 1 - à remplir'!$F$31:$F$400,'Étape 1 - à remplir'!$E$31:$E$400,MASQ2!BV231,'Étape 1 - à remplir'!$O$31:$O$400,CE$3,'Étape 1 - à remplir'!$G$31:$G$400,"lots")),IF(CE$2="Espèce",IF(CE$3="Toutes",SUMIFS('Étape 1 - à remplir'!$F$31:$F$400,'Étape 1 - à remplir'!$E$31:$E$400,MASQ2!BV231,'Étape 1 - à remplir'!$G$31:$G$400,"lots"),SUMIFS('Étape 1 - à remplir'!$F$31:$F$400,'Étape 1 - à remplir'!$E$31:$E$400,MASQ2!BV231,'Étape 1 - à remplir'!$N$31:$N$400,CE$3,'Étape 1 - à remplir'!$G$31:$G$400,"lots"))))))=0,NA(),IF(CE$2="Catégorie",IF(CE$3="Toutes",SUMIFS('Étape 1 - à remplir'!$F$31:$F$400,'Étape 1 - à remplir'!$E$31:$E$400,MASQ2!BV231,'Étape 1 - à remplir'!$G$31:$G$400,"lots"),SUMIFS('Étape 1 - à remplir'!$F$31:$F$400,'Étape 1 - à remplir'!$E$31:$E$400,MASQ2!BV231,'Étape 1 - à remplir'!$C$31:$C$400,CE$3)),IF(CE$2="Âge",IF(CE$3="Tous",SUMIFS('Étape 1 - à remplir'!$F$31:$F$400,'Étape 1 - à remplir'!$E$31:$E$400,MASQ2!BV231,'Étape 1 - à remplir'!$G$31:$G$400,"lots"),SUMIFS('Étape 1 - à remplir'!$F$31:$F$400,'Étape 1 - à remplir'!$E$31:$E$400,MASQ2!BV231,'Étape 1 - à remplir'!$P$31:$P$400,CE$3,'Étape 1 - à remplir'!$G$31:$G$400,"lots")),IF(CE$2="Atelier",IF(CE$3="Tous",SUMIFS('Étape 1 - à remplir'!$F$31:$F$400,'Étape 1 - à remplir'!$E$31:$E$400,MASQ2!BV231,'Étape 1 - à remplir'!$G$31:$G$400,"lots"),SUMIFS('Étape 1 - à remplir'!$F$31:$F$400,'Étape 1 - à remplir'!$E$31:$E$400,MASQ2!BV231,'Étape 1 - à remplir'!$O$31:$O$400,CE$3,'Étape 1 - à remplir'!$G$31:$G$400,"lots")),IF(CE$2="Espèce",IF(CE$3="Toutes",SUMIFS('Étape 1 - à remplir'!$F$31:$F$400,'Étape 1 - à remplir'!$E$31:$E$400,MASQ2!BV231,'Étape 1 - à remplir'!$G$31:$G$400,"lots"),SUMIFS('Étape 1 - à remplir'!$F$31:$F$400,'Étape 1 - à remplir'!$E$31:$E$400,MASQ2!BV231,'Étape 1 - à remplir'!$N$31:$N$400,CE$3,'Étape 1 - à remplir'!$G$31:$G$400,"lots")))))))</f>
        <v>#N/A</v>
      </c>
      <c r="BX231">
        <f t="shared" si="208"/>
        <v>0</v>
      </c>
      <c r="BY231" t="str">
        <f t="shared" si="192"/>
        <v>Oxytétracycline</v>
      </c>
      <c r="BZ231" t="str">
        <f t="shared" si="193"/>
        <v/>
      </c>
      <c r="CA231" t="str">
        <f t="shared" si="194"/>
        <v/>
      </c>
      <c r="CB231" t="str">
        <f t="shared" si="195"/>
        <v>Tetracyclines</v>
      </c>
      <c r="CC231" t="str">
        <f t="shared" si="196"/>
        <v/>
      </c>
      <c r="CD231" s="63" t="str">
        <f t="shared" si="197"/>
        <v/>
      </c>
      <c r="CG231" s="42">
        <v>228</v>
      </c>
      <c r="CH231" s="42" t="e">
        <f t="shared" si="213"/>
        <v>#N/A</v>
      </c>
      <c r="CI231" s="63" t="e">
        <f t="shared" si="214"/>
        <v>#N/A</v>
      </c>
      <c r="DM231" s="63"/>
      <c r="EA231" s="194" t="str">
        <f t="shared" ca="1" si="198"/>
        <v/>
      </c>
      <c r="EB231" s="226" t="str">
        <f>IFERROR(IF(ED231=0,"",COUNTIF(ED$4:ED$600,"&gt;"&amp;ED231)+COUNTIF(ED$4:ED231,ED231)),"")</f>
        <v/>
      </c>
      <c r="EC231" t="str">
        <f t="shared" si="199"/>
        <v>FINOXALINE</v>
      </c>
      <c r="ED231" t="e">
        <f>IF(IF(EL$2="Catégorie",IF(EL$3="Toutes",SUMIFS('Étape 1 - à remplir'!$F$31:$F$400,'Étape 1 - à remplir'!$E$31:$E$400,MASQ2!EC231,'Étape 1 - à remplir'!$G$31:$G$400,"kg"),SUMIFS('Étape 1 - à remplir'!$F$31:$F$400,'Étape 1 - à remplir'!$E$31:$E$400,MASQ2!EC231,'Étape 1 - à remplir'!$C$31:$C$400,EL$3)),IF(EL$2="Âge",IF(EL$3="Tous",SUMIFS('Étape 1 - à remplir'!$F$31:$F$400,'Étape 1 - à remplir'!$E$31:$E$400,MASQ2!EC231,'Étape 1 - à remplir'!$G$31:$G$400,"kg"),SUMIFS('Étape 1 - à remplir'!$F$31:$F$400,'Étape 1 - à remplir'!$E$31:$E$400,MASQ2!EC231,'Étape 1 - à remplir'!$P$31:$P$400,EL$3,'Étape 1 - à remplir'!$G$31:$G$400,"kg")),IF(EL$2="Atelier",IF(EL$3="Tous",SUMIFS('Étape 1 - à remplir'!$F$31:$F$400,'Étape 1 - à remplir'!$E$31:$E$400,MASQ2!EC231,'Étape 1 - à remplir'!$G$31:$G$400,"kg"),SUMIFS('Étape 1 - à remplir'!$F$31:$F$400,'Étape 1 - à remplir'!$E$31:$E$400,MASQ2!EC231,'Étape 1 - à remplir'!$O$31:$O$400,EL$3,'Étape 1 - à remplir'!$G$31:$G$400,"kg")),IF(EL$2="Espèce",IF(EL$3="Toutes",SUMIFS('Étape 1 - à remplir'!$F$31:$F$400,'Étape 1 - à remplir'!$E$31:$E$400,MASQ2!EC231,'Étape 1 - à remplir'!$G$31:$G$400,"kg"),SUMIFS('Étape 1 - à remplir'!$F$31:$F$400,'Étape 1 - à remplir'!$E$31:$E$400,MASQ2!EC231,'Étape 1 - à remplir'!$N$31:$N$400,EL$3,'Étape 1 - à remplir'!$G$31:$G$400,"kg"))))))=0,NA(),IF(EL$2="Catégorie",IF(EL$3="Toutes",SUMIFS('Étape 1 - à remplir'!$F$31:$F$400,'Étape 1 - à remplir'!$E$31:$E$400,MASQ2!EC231,'Étape 1 - à remplir'!$G$31:$G$400,"kg"),SUMIFS('Étape 1 - à remplir'!$F$31:$F$400,'Étape 1 - à remplir'!$E$31:$E$400,MASQ2!EC231,'Étape 1 - à remplir'!$C$31:$C$400,EL$3)),IF(EL$2="Âge",IF(EL$3="Tous",SUMIFS('Étape 1 - à remplir'!$F$31:$F$400,'Étape 1 - à remplir'!$E$31:$E$400,MASQ2!EC231,'Étape 1 - à remplir'!$G$31:$G$400,"kg"),SUMIFS('Étape 1 - à remplir'!$F$31:$F$400,'Étape 1 - à remplir'!$E$31:$E$400,MASQ2!EC231,'Étape 1 - à remplir'!$P$31:$P$400,EL$3,'Étape 1 - à remplir'!$G$31:$G$400,"kg")),IF(EL$2="Atelier",IF(EL$3="Tous",SUMIFS('Étape 1 - à remplir'!$F$31:$F$400,'Étape 1 - à remplir'!$E$31:$E$400,MASQ2!EC231,'Étape 1 - à remplir'!$G$31:$G$400,"kg"),SUMIFS('Étape 1 - à remplir'!$F$31:$F$400,'Étape 1 - à remplir'!$E$31:$E$400,MASQ2!EC231,'Étape 1 - à remplir'!$O$31:$O$400,EL$3,'Étape 1 - à remplir'!$G$31:$G$400,"kg")),IF(EL$2="Espèce",IF(EL$3="Toutes",SUMIFS('Étape 1 - à remplir'!$F$31:$F$400,'Étape 1 - à remplir'!$E$31:$E$400,MASQ2!EC231,'Étape 1 - à remplir'!$G$31:$G$400,"kg"),SUMIFS('Étape 1 - à remplir'!$F$31:$F$400,'Étape 1 - à remplir'!$E$31:$E$400,MASQ2!EC231,'Étape 1 - à remplir'!$N$31:$N$400,EL$3,'Étape 1 - à remplir'!$G$31:$G$400,"kg")))))))</f>
        <v>#N/A</v>
      </c>
      <c r="EE231" s="76">
        <f t="shared" si="209"/>
        <v>0</v>
      </c>
      <c r="EF231" t="str">
        <f t="shared" si="200"/>
        <v>Oxytétracycline</v>
      </c>
      <c r="EG231" t="str">
        <f t="shared" si="201"/>
        <v/>
      </c>
      <c r="EH231" t="str">
        <f t="shared" si="202"/>
        <v/>
      </c>
      <c r="EI231" t="str">
        <f t="shared" si="203"/>
        <v>Tetracyclines</v>
      </c>
      <c r="EJ231" t="str">
        <f t="shared" si="204"/>
        <v/>
      </c>
      <c r="EK231" s="63" t="str">
        <f t="shared" si="205"/>
        <v/>
      </c>
      <c r="EN231" s="42">
        <v>228</v>
      </c>
      <c r="EO231" t="e">
        <f t="shared" si="211"/>
        <v>#N/A</v>
      </c>
      <c r="EP231" s="63" t="e">
        <f t="shared" si="212"/>
        <v>#N/A</v>
      </c>
      <c r="FT231" s="63"/>
    </row>
    <row r="232" spans="2:176" x14ac:dyDescent="0.3">
      <c r="B232" s="42"/>
      <c r="M232" s="194" t="str">
        <f ca="1">INDEX(Données_ATB!BD:BU,MATCH(MASQ2!O232,Données_ATB!BD:BD,0),18)</f>
        <v/>
      </c>
      <c r="N232" s="14" t="str">
        <f>IFERROR(IF(Q232=0,"",COUNTIF(Q$4:Q$600,"&gt;"&amp;Q232)+COUNTIF(Q$4:Q232,Q232)),"")</f>
        <v/>
      </c>
      <c r="O232" t="str">
        <f>Données_ATB!BD231</f>
        <v>FLORDOFEN 300 MG/ML SOLUTION INJECTABLE POUR BOVINS ET PORCINS</v>
      </c>
      <c r="P232" t="e">
        <f>IF(IF(X$2="Catégorie",IF(X$3="Toutes",SUMIFS('Étape 1 - à remplir'!$F$31:$F$400,'Étape 1 - à remplir'!$E$31:$E$400,MASQ2!O232,'Étape 1 - à remplir'!$G$31:$G$400,"animaux"),SUMIFS('Étape 1 - à remplir'!$F$31:$F$400,'Étape 1 - à remplir'!$E$31:$E$400,MASQ2!O232,'Étape 1 - à remplir'!$C$31:$C$400,X$3)),IF(X$2="Âge",IF(X$3="Tous",SUMIFS('Étape 1 - à remplir'!$F$31:$F$400,'Étape 1 - à remplir'!$E$31:$E$400,MASQ2!O232,'Étape 1 - à remplir'!$G$31:$G$400,"animaux"),SUMIFS('Étape 1 - à remplir'!$F$31:$F$400,'Étape 1 - à remplir'!$E$31:$E$400,MASQ2!O232,'Étape 1 - à remplir'!$P$31:$P$400,X$3)),IF(X$2="Atelier",IF(X$3="Tous",SUMIFS('Étape 1 - à remplir'!$F$31:$F$400,'Étape 1 - à remplir'!$E$31:$E$400,MASQ2!O232,'Étape 1 - à remplir'!$G$31:$G$400,"animaux"),SUMIFS('Étape 1 - à remplir'!$F$31:$F$400,'Étape 1 - à remplir'!$E$31:$E$400,MASQ2!O232,'Étape 1 - à remplir'!$O$31:$O$400,X$3)),IF(X$2="Espèce",IF(X$3="Toutes",SUMIFS('Étape 1 - à remplir'!$F$31:$F$400,'Étape 1 - à remplir'!$E$31:$E$400,MASQ2!O232,'Étape 1 - à remplir'!$G$31:$G$400,"animaux"),SUMIFS('Étape 1 - à remplir'!$F$31:$F$400,'Étape 1 - à remplir'!$E$31:$E$400,MASQ2!O232,'Étape 1 - à remplir'!$N$31:$N$400,X$3))))))=0,NA(),IF(X$2="Catégorie",IF(X$3="Toutes",SUMIFS('Étape 1 - à remplir'!$F$31:$F$400,'Étape 1 - à remplir'!$E$31:$E$400,MASQ2!O232,'Étape 1 - à remplir'!$G$31:$G$400,"animaux"),SUMIFS('Étape 1 - à remplir'!$F$31:$F$400,'Étape 1 - à remplir'!$E$31:$E$400,MASQ2!O232,'Étape 1 - à remplir'!$C$31:$C$400,X$3)),IF(X$2="Âge",IF(X$3="Tous",SUMIFS('Étape 1 - à remplir'!$F$31:$F$400,'Étape 1 - à remplir'!$E$31:$E$400,MASQ2!O232,'Étape 1 - à remplir'!$G$31:$G$400,"animaux"),SUMIFS('Étape 1 - à remplir'!$F$31:$F$400,'Étape 1 - à remplir'!$E$31:$E$400,MASQ2!O232,'Étape 1 - à remplir'!$P$31:$P$400,X$3)),IF(X$2="Atelier",IF(X$3="Tous",SUMIFS('Étape 1 - à remplir'!$F$31:$F$400,'Étape 1 - à remplir'!$E$31:$E$400,MASQ2!O232,'Étape 1 - à remplir'!$G$31:$G$400,"animaux"),SUMIFS('Étape 1 - à remplir'!$F$31:$F$400,'Étape 1 - à remplir'!$E$31:$E$400,MASQ2!O232,'Étape 1 - à remplir'!$O$31:$O$400,X$3)),IF(X$2="Espèce",IF(X$3="Toutes",SUMIFS('Étape 1 - à remplir'!$F$31:$F$400,'Étape 1 - à remplir'!$E$31:$E$400,MASQ2!O232,'Étape 1 - à remplir'!$G$31:$G$400,"animaux"),SUMIFS('Étape 1 - à remplir'!$F$31:$F$400,'Étape 1 - à remplir'!$E$31:$E$400,MASQ2!O232,'Étape 1 - à remplir'!$N$31:$N$400,X$3)))))))</f>
        <v>#N/A</v>
      </c>
      <c r="Q232" s="63">
        <f t="shared" si="210"/>
        <v>0</v>
      </c>
      <c r="R232" t="str">
        <f>Données_ATB!BM231</f>
        <v>Florfénicol</v>
      </c>
      <c r="S232" t="str">
        <f>Données_ATB!BN231</f>
        <v/>
      </c>
      <c r="T232" s="63" t="str">
        <f>Données_ATB!BO231</f>
        <v/>
      </c>
      <c r="U232" s="42" t="str">
        <f>Données_ATB!BQ231</f>
        <v>Phenicoles</v>
      </c>
      <c r="V232" t="str">
        <f>Données_ATB!BR231</f>
        <v/>
      </c>
      <c r="W232" s="63" t="str">
        <f>Données_ATB!BS231</f>
        <v/>
      </c>
      <c r="Z232" s="42">
        <v>229</v>
      </c>
      <c r="AA232" t="e">
        <f t="shared" si="206"/>
        <v>#N/A</v>
      </c>
      <c r="AB232" s="63" t="e">
        <f t="shared" si="207"/>
        <v>#N/A</v>
      </c>
      <c r="BF232" s="63"/>
      <c r="BT232" s="194" t="str">
        <f t="shared" ca="1" si="190"/>
        <v/>
      </c>
      <c r="BU232" s="219" t="str">
        <f>IFERROR(IF(BX232=0,"",COUNTIF(BX$4:BX$600,"&gt;"&amp;BX232)+COUNTIF(BX$4:BX232,BX232)),"")</f>
        <v/>
      </c>
      <c r="BV232" s="42" t="str">
        <f t="shared" si="191"/>
        <v>FLORDOFEN 300 MG/ML SOLUTION INJECTABLE POUR BOVINS ET PORCINS</v>
      </c>
      <c r="BW232" t="e">
        <f>IF(IF(CE$2="Catégorie",IF(CE$3="Toutes",SUMIFS('Étape 1 - à remplir'!$F$31:$F$400,'Étape 1 - à remplir'!$E$31:$E$400,MASQ2!BV232,'Étape 1 - à remplir'!$G$31:$G$400,"lots"),SUMIFS('Étape 1 - à remplir'!$F$31:$F$400,'Étape 1 - à remplir'!$E$31:$E$400,MASQ2!BV232,'Étape 1 - à remplir'!$C$31:$C$400,CE$3)),IF(CE$2="Âge",IF(CE$3="Tous",SUMIFS('Étape 1 - à remplir'!$F$31:$F$400,'Étape 1 - à remplir'!$E$31:$E$400,MASQ2!BV232,'Étape 1 - à remplir'!$G$31:$G$400,"lots"),SUMIFS('Étape 1 - à remplir'!$F$31:$F$400,'Étape 1 - à remplir'!$E$31:$E$400,MASQ2!BV232,'Étape 1 - à remplir'!$P$31:$P$400,CE$3,'Étape 1 - à remplir'!$G$31:$G$400,"lots")),IF(CE$2="Atelier",IF(CE$3="Tous",SUMIFS('Étape 1 - à remplir'!$F$31:$F$400,'Étape 1 - à remplir'!$E$31:$E$400,MASQ2!BV232,'Étape 1 - à remplir'!$G$31:$G$400,"lots"),SUMIFS('Étape 1 - à remplir'!$F$31:$F$400,'Étape 1 - à remplir'!$E$31:$E$400,MASQ2!BV232,'Étape 1 - à remplir'!$O$31:$O$400,CE$3,'Étape 1 - à remplir'!$G$31:$G$400,"lots")),IF(CE$2="Espèce",IF(CE$3="Toutes",SUMIFS('Étape 1 - à remplir'!$F$31:$F$400,'Étape 1 - à remplir'!$E$31:$E$400,MASQ2!BV232,'Étape 1 - à remplir'!$G$31:$G$400,"lots"),SUMIFS('Étape 1 - à remplir'!$F$31:$F$400,'Étape 1 - à remplir'!$E$31:$E$400,MASQ2!BV232,'Étape 1 - à remplir'!$N$31:$N$400,CE$3,'Étape 1 - à remplir'!$G$31:$G$400,"lots"))))))=0,NA(),IF(CE$2="Catégorie",IF(CE$3="Toutes",SUMIFS('Étape 1 - à remplir'!$F$31:$F$400,'Étape 1 - à remplir'!$E$31:$E$400,MASQ2!BV232,'Étape 1 - à remplir'!$G$31:$G$400,"lots"),SUMIFS('Étape 1 - à remplir'!$F$31:$F$400,'Étape 1 - à remplir'!$E$31:$E$400,MASQ2!BV232,'Étape 1 - à remplir'!$C$31:$C$400,CE$3)),IF(CE$2="Âge",IF(CE$3="Tous",SUMIFS('Étape 1 - à remplir'!$F$31:$F$400,'Étape 1 - à remplir'!$E$31:$E$400,MASQ2!BV232,'Étape 1 - à remplir'!$G$31:$G$400,"lots"),SUMIFS('Étape 1 - à remplir'!$F$31:$F$400,'Étape 1 - à remplir'!$E$31:$E$400,MASQ2!BV232,'Étape 1 - à remplir'!$P$31:$P$400,CE$3,'Étape 1 - à remplir'!$G$31:$G$400,"lots")),IF(CE$2="Atelier",IF(CE$3="Tous",SUMIFS('Étape 1 - à remplir'!$F$31:$F$400,'Étape 1 - à remplir'!$E$31:$E$400,MASQ2!BV232,'Étape 1 - à remplir'!$G$31:$G$400,"lots"),SUMIFS('Étape 1 - à remplir'!$F$31:$F$400,'Étape 1 - à remplir'!$E$31:$E$400,MASQ2!BV232,'Étape 1 - à remplir'!$O$31:$O$400,CE$3,'Étape 1 - à remplir'!$G$31:$G$400,"lots")),IF(CE$2="Espèce",IF(CE$3="Toutes",SUMIFS('Étape 1 - à remplir'!$F$31:$F$400,'Étape 1 - à remplir'!$E$31:$E$400,MASQ2!BV232,'Étape 1 - à remplir'!$G$31:$G$400,"lots"),SUMIFS('Étape 1 - à remplir'!$F$31:$F$400,'Étape 1 - à remplir'!$E$31:$E$400,MASQ2!BV232,'Étape 1 - à remplir'!$N$31:$N$400,CE$3,'Étape 1 - à remplir'!$G$31:$G$400,"lots")))))))</f>
        <v>#N/A</v>
      </c>
      <c r="BX232">
        <f t="shared" si="208"/>
        <v>0</v>
      </c>
      <c r="BY232" t="str">
        <f t="shared" si="192"/>
        <v>Florfénicol</v>
      </c>
      <c r="BZ232" t="str">
        <f t="shared" si="193"/>
        <v/>
      </c>
      <c r="CA232" t="str">
        <f t="shared" si="194"/>
        <v/>
      </c>
      <c r="CB232" t="str">
        <f t="shared" si="195"/>
        <v>Phenicoles</v>
      </c>
      <c r="CC232" t="str">
        <f t="shared" si="196"/>
        <v/>
      </c>
      <c r="CD232" s="63" t="str">
        <f t="shared" si="197"/>
        <v/>
      </c>
      <c r="CG232" s="42">
        <v>229</v>
      </c>
      <c r="CH232" s="42" t="e">
        <f t="shared" si="213"/>
        <v>#N/A</v>
      </c>
      <c r="CI232" s="63" t="e">
        <f t="shared" si="214"/>
        <v>#N/A</v>
      </c>
      <c r="DM232" s="63"/>
      <c r="EA232" s="194" t="str">
        <f t="shared" ca="1" si="198"/>
        <v/>
      </c>
      <c r="EB232" s="226" t="str">
        <f>IFERROR(IF(ED232=0,"",COUNTIF(ED$4:ED$600,"&gt;"&amp;ED232)+COUNTIF(ED$4:ED232,ED232)),"")</f>
        <v/>
      </c>
      <c r="EC232" t="str">
        <f t="shared" si="199"/>
        <v>FLORDOFEN 300 MG/ML SOLUTION INJECTABLE POUR BOVINS ET PORCINS</v>
      </c>
      <c r="ED232" t="e">
        <f>IF(IF(EL$2="Catégorie",IF(EL$3="Toutes",SUMIFS('Étape 1 - à remplir'!$F$31:$F$400,'Étape 1 - à remplir'!$E$31:$E$400,MASQ2!EC232,'Étape 1 - à remplir'!$G$31:$G$400,"kg"),SUMIFS('Étape 1 - à remplir'!$F$31:$F$400,'Étape 1 - à remplir'!$E$31:$E$400,MASQ2!EC232,'Étape 1 - à remplir'!$C$31:$C$400,EL$3)),IF(EL$2="Âge",IF(EL$3="Tous",SUMIFS('Étape 1 - à remplir'!$F$31:$F$400,'Étape 1 - à remplir'!$E$31:$E$400,MASQ2!EC232,'Étape 1 - à remplir'!$G$31:$G$400,"kg"),SUMIFS('Étape 1 - à remplir'!$F$31:$F$400,'Étape 1 - à remplir'!$E$31:$E$400,MASQ2!EC232,'Étape 1 - à remplir'!$P$31:$P$400,EL$3,'Étape 1 - à remplir'!$G$31:$G$400,"kg")),IF(EL$2="Atelier",IF(EL$3="Tous",SUMIFS('Étape 1 - à remplir'!$F$31:$F$400,'Étape 1 - à remplir'!$E$31:$E$400,MASQ2!EC232,'Étape 1 - à remplir'!$G$31:$G$400,"kg"),SUMIFS('Étape 1 - à remplir'!$F$31:$F$400,'Étape 1 - à remplir'!$E$31:$E$400,MASQ2!EC232,'Étape 1 - à remplir'!$O$31:$O$400,EL$3,'Étape 1 - à remplir'!$G$31:$G$400,"kg")),IF(EL$2="Espèce",IF(EL$3="Toutes",SUMIFS('Étape 1 - à remplir'!$F$31:$F$400,'Étape 1 - à remplir'!$E$31:$E$400,MASQ2!EC232,'Étape 1 - à remplir'!$G$31:$G$400,"kg"),SUMIFS('Étape 1 - à remplir'!$F$31:$F$400,'Étape 1 - à remplir'!$E$31:$E$400,MASQ2!EC232,'Étape 1 - à remplir'!$N$31:$N$400,EL$3,'Étape 1 - à remplir'!$G$31:$G$400,"kg"))))))=0,NA(),IF(EL$2="Catégorie",IF(EL$3="Toutes",SUMIFS('Étape 1 - à remplir'!$F$31:$F$400,'Étape 1 - à remplir'!$E$31:$E$400,MASQ2!EC232,'Étape 1 - à remplir'!$G$31:$G$400,"kg"),SUMIFS('Étape 1 - à remplir'!$F$31:$F$400,'Étape 1 - à remplir'!$E$31:$E$400,MASQ2!EC232,'Étape 1 - à remplir'!$C$31:$C$400,EL$3)),IF(EL$2="Âge",IF(EL$3="Tous",SUMIFS('Étape 1 - à remplir'!$F$31:$F$400,'Étape 1 - à remplir'!$E$31:$E$400,MASQ2!EC232,'Étape 1 - à remplir'!$G$31:$G$400,"kg"),SUMIFS('Étape 1 - à remplir'!$F$31:$F$400,'Étape 1 - à remplir'!$E$31:$E$400,MASQ2!EC232,'Étape 1 - à remplir'!$P$31:$P$400,EL$3,'Étape 1 - à remplir'!$G$31:$G$400,"kg")),IF(EL$2="Atelier",IF(EL$3="Tous",SUMIFS('Étape 1 - à remplir'!$F$31:$F$400,'Étape 1 - à remplir'!$E$31:$E$400,MASQ2!EC232,'Étape 1 - à remplir'!$G$31:$G$400,"kg"),SUMIFS('Étape 1 - à remplir'!$F$31:$F$400,'Étape 1 - à remplir'!$E$31:$E$400,MASQ2!EC232,'Étape 1 - à remplir'!$O$31:$O$400,EL$3,'Étape 1 - à remplir'!$G$31:$G$400,"kg")),IF(EL$2="Espèce",IF(EL$3="Toutes",SUMIFS('Étape 1 - à remplir'!$F$31:$F$400,'Étape 1 - à remplir'!$E$31:$E$400,MASQ2!EC232,'Étape 1 - à remplir'!$G$31:$G$400,"kg"),SUMIFS('Étape 1 - à remplir'!$F$31:$F$400,'Étape 1 - à remplir'!$E$31:$E$400,MASQ2!EC232,'Étape 1 - à remplir'!$N$31:$N$400,EL$3,'Étape 1 - à remplir'!$G$31:$G$400,"kg")))))))</f>
        <v>#N/A</v>
      </c>
      <c r="EE232" s="76">
        <f t="shared" si="209"/>
        <v>0</v>
      </c>
      <c r="EF232" t="str">
        <f t="shared" si="200"/>
        <v>Florfénicol</v>
      </c>
      <c r="EG232" t="str">
        <f t="shared" si="201"/>
        <v/>
      </c>
      <c r="EH232" t="str">
        <f t="shared" si="202"/>
        <v/>
      </c>
      <c r="EI232" t="str">
        <f t="shared" si="203"/>
        <v>Phenicoles</v>
      </c>
      <c r="EJ232" t="str">
        <f t="shared" si="204"/>
        <v/>
      </c>
      <c r="EK232" s="63" t="str">
        <f t="shared" si="205"/>
        <v/>
      </c>
      <c r="EN232" s="42">
        <v>229</v>
      </c>
      <c r="EO232" t="e">
        <f t="shared" si="211"/>
        <v>#N/A</v>
      </c>
      <c r="EP232" s="63" t="e">
        <f t="shared" si="212"/>
        <v>#N/A</v>
      </c>
      <c r="FT232" s="63"/>
    </row>
    <row r="233" spans="2:176" x14ac:dyDescent="0.3">
      <c r="B233" s="42"/>
      <c r="M233" s="194" t="str">
        <f ca="1">INDEX(Données_ATB!BD:BU,MATCH(MASQ2!O233,Données_ATB!BD:BD,0),18)</f>
        <v/>
      </c>
      <c r="N233" s="14" t="str">
        <f>IFERROR(IF(Q233=0,"",COUNTIF(Q$4:Q$600,"&gt;"&amp;Q233)+COUNTIF(Q$4:Q233,Q233)),"")</f>
        <v/>
      </c>
      <c r="O233" t="str">
        <f>Données_ATB!BD232</f>
        <v>FLORFENIKEL 300 MG/ML SOLUTION INJECTABLE POUR BOVINS ET PORCINS</v>
      </c>
      <c r="P233" t="e">
        <f>IF(IF(X$2="Catégorie",IF(X$3="Toutes",SUMIFS('Étape 1 - à remplir'!$F$31:$F$400,'Étape 1 - à remplir'!$E$31:$E$400,MASQ2!O233,'Étape 1 - à remplir'!$G$31:$G$400,"animaux"),SUMIFS('Étape 1 - à remplir'!$F$31:$F$400,'Étape 1 - à remplir'!$E$31:$E$400,MASQ2!O233,'Étape 1 - à remplir'!$C$31:$C$400,X$3)),IF(X$2="Âge",IF(X$3="Tous",SUMIFS('Étape 1 - à remplir'!$F$31:$F$400,'Étape 1 - à remplir'!$E$31:$E$400,MASQ2!O233,'Étape 1 - à remplir'!$G$31:$G$400,"animaux"),SUMIFS('Étape 1 - à remplir'!$F$31:$F$400,'Étape 1 - à remplir'!$E$31:$E$400,MASQ2!O233,'Étape 1 - à remplir'!$P$31:$P$400,X$3)),IF(X$2="Atelier",IF(X$3="Tous",SUMIFS('Étape 1 - à remplir'!$F$31:$F$400,'Étape 1 - à remplir'!$E$31:$E$400,MASQ2!O233,'Étape 1 - à remplir'!$G$31:$G$400,"animaux"),SUMIFS('Étape 1 - à remplir'!$F$31:$F$400,'Étape 1 - à remplir'!$E$31:$E$400,MASQ2!O233,'Étape 1 - à remplir'!$O$31:$O$400,X$3)),IF(X$2="Espèce",IF(X$3="Toutes",SUMIFS('Étape 1 - à remplir'!$F$31:$F$400,'Étape 1 - à remplir'!$E$31:$E$400,MASQ2!O233,'Étape 1 - à remplir'!$G$31:$G$400,"animaux"),SUMIFS('Étape 1 - à remplir'!$F$31:$F$400,'Étape 1 - à remplir'!$E$31:$E$400,MASQ2!O233,'Étape 1 - à remplir'!$N$31:$N$400,X$3))))))=0,NA(),IF(X$2="Catégorie",IF(X$3="Toutes",SUMIFS('Étape 1 - à remplir'!$F$31:$F$400,'Étape 1 - à remplir'!$E$31:$E$400,MASQ2!O233,'Étape 1 - à remplir'!$G$31:$G$400,"animaux"),SUMIFS('Étape 1 - à remplir'!$F$31:$F$400,'Étape 1 - à remplir'!$E$31:$E$400,MASQ2!O233,'Étape 1 - à remplir'!$C$31:$C$400,X$3)),IF(X$2="Âge",IF(X$3="Tous",SUMIFS('Étape 1 - à remplir'!$F$31:$F$400,'Étape 1 - à remplir'!$E$31:$E$400,MASQ2!O233,'Étape 1 - à remplir'!$G$31:$G$400,"animaux"),SUMIFS('Étape 1 - à remplir'!$F$31:$F$400,'Étape 1 - à remplir'!$E$31:$E$400,MASQ2!O233,'Étape 1 - à remplir'!$P$31:$P$400,X$3)),IF(X$2="Atelier",IF(X$3="Tous",SUMIFS('Étape 1 - à remplir'!$F$31:$F$400,'Étape 1 - à remplir'!$E$31:$E$400,MASQ2!O233,'Étape 1 - à remplir'!$G$31:$G$400,"animaux"),SUMIFS('Étape 1 - à remplir'!$F$31:$F$400,'Étape 1 - à remplir'!$E$31:$E$400,MASQ2!O233,'Étape 1 - à remplir'!$O$31:$O$400,X$3)),IF(X$2="Espèce",IF(X$3="Toutes",SUMIFS('Étape 1 - à remplir'!$F$31:$F$400,'Étape 1 - à remplir'!$E$31:$E$400,MASQ2!O233,'Étape 1 - à remplir'!$G$31:$G$400,"animaux"),SUMIFS('Étape 1 - à remplir'!$F$31:$F$400,'Étape 1 - à remplir'!$E$31:$E$400,MASQ2!O233,'Étape 1 - à remplir'!$N$31:$N$400,X$3)))))))</f>
        <v>#N/A</v>
      </c>
      <c r="Q233" s="63">
        <f t="shared" si="210"/>
        <v>0</v>
      </c>
      <c r="R233" t="str">
        <f>Données_ATB!BM232</f>
        <v>Florfénicol</v>
      </c>
      <c r="S233" t="str">
        <f>Données_ATB!BN232</f>
        <v/>
      </c>
      <c r="T233" s="63" t="str">
        <f>Données_ATB!BO232</f>
        <v/>
      </c>
      <c r="U233" s="42" t="str">
        <f>Données_ATB!BQ232</f>
        <v>Phenicoles</v>
      </c>
      <c r="V233" t="str">
        <f>Données_ATB!BR232</f>
        <v/>
      </c>
      <c r="W233" s="63" t="str">
        <f>Données_ATB!BS232</f>
        <v/>
      </c>
      <c r="Z233" s="42">
        <v>230</v>
      </c>
      <c r="AA233" t="e">
        <f t="shared" si="206"/>
        <v>#N/A</v>
      </c>
      <c r="AB233" s="63" t="e">
        <f t="shared" si="207"/>
        <v>#N/A</v>
      </c>
      <c r="BF233" s="63"/>
      <c r="BT233" s="194" t="str">
        <f t="shared" ca="1" si="190"/>
        <v/>
      </c>
      <c r="BU233" s="219" t="str">
        <f>IFERROR(IF(BX233=0,"",COUNTIF(BX$4:BX$600,"&gt;"&amp;BX233)+COUNTIF(BX$4:BX233,BX233)),"")</f>
        <v/>
      </c>
      <c r="BV233" s="42" t="str">
        <f t="shared" si="191"/>
        <v>FLORFENIKEL 300 MG/ML SOLUTION INJECTABLE POUR BOVINS ET PORCINS</v>
      </c>
      <c r="BW233" t="e">
        <f>IF(IF(CE$2="Catégorie",IF(CE$3="Toutes",SUMIFS('Étape 1 - à remplir'!$F$31:$F$400,'Étape 1 - à remplir'!$E$31:$E$400,MASQ2!BV233,'Étape 1 - à remplir'!$G$31:$G$400,"lots"),SUMIFS('Étape 1 - à remplir'!$F$31:$F$400,'Étape 1 - à remplir'!$E$31:$E$400,MASQ2!BV233,'Étape 1 - à remplir'!$C$31:$C$400,CE$3)),IF(CE$2="Âge",IF(CE$3="Tous",SUMIFS('Étape 1 - à remplir'!$F$31:$F$400,'Étape 1 - à remplir'!$E$31:$E$400,MASQ2!BV233,'Étape 1 - à remplir'!$G$31:$G$400,"lots"),SUMIFS('Étape 1 - à remplir'!$F$31:$F$400,'Étape 1 - à remplir'!$E$31:$E$400,MASQ2!BV233,'Étape 1 - à remplir'!$P$31:$P$400,CE$3,'Étape 1 - à remplir'!$G$31:$G$400,"lots")),IF(CE$2="Atelier",IF(CE$3="Tous",SUMIFS('Étape 1 - à remplir'!$F$31:$F$400,'Étape 1 - à remplir'!$E$31:$E$400,MASQ2!BV233,'Étape 1 - à remplir'!$G$31:$G$400,"lots"),SUMIFS('Étape 1 - à remplir'!$F$31:$F$400,'Étape 1 - à remplir'!$E$31:$E$400,MASQ2!BV233,'Étape 1 - à remplir'!$O$31:$O$400,CE$3,'Étape 1 - à remplir'!$G$31:$G$400,"lots")),IF(CE$2="Espèce",IF(CE$3="Toutes",SUMIFS('Étape 1 - à remplir'!$F$31:$F$400,'Étape 1 - à remplir'!$E$31:$E$400,MASQ2!BV233,'Étape 1 - à remplir'!$G$31:$G$400,"lots"),SUMIFS('Étape 1 - à remplir'!$F$31:$F$400,'Étape 1 - à remplir'!$E$31:$E$400,MASQ2!BV233,'Étape 1 - à remplir'!$N$31:$N$400,CE$3,'Étape 1 - à remplir'!$G$31:$G$400,"lots"))))))=0,NA(),IF(CE$2="Catégorie",IF(CE$3="Toutes",SUMIFS('Étape 1 - à remplir'!$F$31:$F$400,'Étape 1 - à remplir'!$E$31:$E$400,MASQ2!BV233,'Étape 1 - à remplir'!$G$31:$G$400,"lots"),SUMIFS('Étape 1 - à remplir'!$F$31:$F$400,'Étape 1 - à remplir'!$E$31:$E$400,MASQ2!BV233,'Étape 1 - à remplir'!$C$31:$C$400,CE$3)),IF(CE$2="Âge",IF(CE$3="Tous",SUMIFS('Étape 1 - à remplir'!$F$31:$F$400,'Étape 1 - à remplir'!$E$31:$E$400,MASQ2!BV233,'Étape 1 - à remplir'!$G$31:$G$400,"lots"),SUMIFS('Étape 1 - à remplir'!$F$31:$F$400,'Étape 1 - à remplir'!$E$31:$E$400,MASQ2!BV233,'Étape 1 - à remplir'!$P$31:$P$400,CE$3,'Étape 1 - à remplir'!$G$31:$G$400,"lots")),IF(CE$2="Atelier",IF(CE$3="Tous",SUMIFS('Étape 1 - à remplir'!$F$31:$F$400,'Étape 1 - à remplir'!$E$31:$E$400,MASQ2!BV233,'Étape 1 - à remplir'!$G$31:$G$400,"lots"),SUMIFS('Étape 1 - à remplir'!$F$31:$F$400,'Étape 1 - à remplir'!$E$31:$E$400,MASQ2!BV233,'Étape 1 - à remplir'!$O$31:$O$400,CE$3,'Étape 1 - à remplir'!$G$31:$G$400,"lots")),IF(CE$2="Espèce",IF(CE$3="Toutes",SUMIFS('Étape 1 - à remplir'!$F$31:$F$400,'Étape 1 - à remplir'!$E$31:$E$400,MASQ2!BV233,'Étape 1 - à remplir'!$G$31:$G$400,"lots"),SUMIFS('Étape 1 - à remplir'!$F$31:$F$400,'Étape 1 - à remplir'!$E$31:$E$400,MASQ2!BV233,'Étape 1 - à remplir'!$N$31:$N$400,CE$3,'Étape 1 - à remplir'!$G$31:$G$400,"lots")))))))</f>
        <v>#N/A</v>
      </c>
      <c r="BX233">
        <f t="shared" si="208"/>
        <v>0</v>
      </c>
      <c r="BY233" t="str">
        <f t="shared" si="192"/>
        <v>Florfénicol</v>
      </c>
      <c r="BZ233" t="str">
        <f t="shared" si="193"/>
        <v/>
      </c>
      <c r="CA233" t="str">
        <f t="shared" si="194"/>
        <v/>
      </c>
      <c r="CB233" t="str">
        <f t="shared" si="195"/>
        <v>Phenicoles</v>
      </c>
      <c r="CC233" t="str">
        <f t="shared" si="196"/>
        <v/>
      </c>
      <c r="CD233" s="63" t="str">
        <f t="shared" si="197"/>
        <v/>
      </c>
      <c r="CG233" s="42">
        <v>230</v>
      </c>
      <c r="CH233" s="42" t="e">
        <f t="shared" si="213"/>
        <v>#N/A</v>
      </c>
      <c r="CI233" s="63" t="e">
        <f t="shared" si="214"/>
        <v>#N/A</v>
      </c>
      <c r="DM233" s="63"/>
      <c r="EA233" s="194" t="str">
        <f t="shared" ca="1" si="198"/>
        <v/>
      </c>
      <c r="EB233" s="226" t="str">
        <f>IFERROR(IF(ED233=0,"",COUNTIF(ED$4:ED$600,"&gt;"&amp;ED233)+COUNTIF(ED$4:ED233,ED233)),"")</f>
        <v/>
      </c>
      <c r="EC233" t="str">
        <f t="shared" si="199"/>
        <v>FLORFENIKEL 300 MG/ML SOLUTION INJECTABLE POUR BOVINS ET PORCINS</v>
      </c>
      <c r="ED233" t="e">
        <f>IF(IF(EL$2="Catégorie",IF(EL$3="Toutes",SUMIFS('Étape 1 - à remplir'!$F$31:$F$400,'Étape 1 - à remplir'!$E$31:$E$400,MASQ2!EC233,'Étape 1 - à remplir'!$G$31:$G$400,"kg"),SUMIFS('Étape 1 - à remplir'!$F$31:$F$400,'Étape 1 - à remplir'!$E$31:$E$400,MASQ2!EC233,'Étape 1 - à remplir'!$C$31:$C$400,EL$3)),IF(EL$2="Âge",IF(EL$3="Tous",SUMIFS('Étape 1 - à remplir'!$F$31:$F$400,'Étape 1 - à remplir'!$E$31:$E$400,MASQ2!EC233,'Étape 1 - à remplir'!$G$31:$G$400,"kg"),SUMIFS('Étape 1 - à remplir'!$F$31:$F$400,'Étape 1 - à remplir'!$E$31:$E$400,MASQ2!EC233,'Étape 1 - à remplir'!$P$31:$P$400,EL$3,'Étape 1 - à remplir'!$G$31:$G$400,"kg")),IF(EL$2="Atelier",IF(EL$3="Tous",SUMIFS('Étape 1 - à remplir'!$F$31:$F$400,'Étape 1 - à remplir'!$E$31:$E$400,MASQ2!EC233,'Étape 1 - à remplir'!$G$31:$G$400,"kg"),SUMIFS('Étape 1 - à remplir'!$F$31:$F$400,'Étape 1 - à remplir'!$E$31:$E$400,MASQ2!EC233,'Étape 1 - à remplir'!$O$31:$O$400,EL$3,'Étape 1 - à remplir'!$G$31:$G$400,"kg")),IF(EL$2="Espèce",IF(EL$3="Toutes",SUMIFS('Étape 1 - à remplir'!$F$31:$F$400,'Étape 1 - à remplir'!$E$31:$E$400,MASQ2!EC233,'Étape 1 - à remplir'!$G$31:$G$400,"kg"),SUMIFS('Étape 1 - à remplir'!$F$31:$F$400,'Étape 1 - à remplir'!$E$31:$E$400,MASQ2!EC233,'Étape 1 - à remplir'!$N$31:$N$400,EL$3,'Étape 1 - à remplir'!$G$31:$G$400,"kg"))))))=0,NA(),IF(EL$2="Catégorie",IF(EL$3="Toutes",SUMIFS('Étape 1 - à remplir'!$F$31:$F$400,'Étape 1 - à remplir'!$E$31:$E$400,MASQ2!EC233,'Étape 1 - à remplir'!$G$31:$G$400,"kg"),SUMIFS('Étape 1 - à remplir'!$F$31:$F$400,'Étape 1 - à remplir'!$E$31:$E$400,MASQ2!EC233,'Étape 1 - à remplir'!$C$31:$C$400,EL$3)),IF(EL$2="Âge",IF(EL$3="Tous",SUMIFS('Étape 1 - à remplir'!$F$31:$F$400,'Étape 1 - à remplir'!$E$31:$E$400,MASQ2!EC233,'Étape 1 - à remplir'!$G$31:$G$400,"kg"),SUMIFS('Étape 1 - à remplir'!$F$31:$F$400,'Étape 1 - à remplir'!$E$31:$E$400,MASQ2!EC233,'Étape 1 - à remplir'!$P$31:$P$400,EL$3,'Étape 1 - à remplir'!$G$31:$G$400,"kg")),IF(EL$2="Atelier",IF(EL$3="Tous",SUMIFS('Étape 1 - à remplir'!$F$31:$F$400,'Étape 1 - à remplir'!$E$31:$E$400,MASQ2!EC233,'Étape 1 - à remplir'!$G$31:$G$400,"kg"),SUMIFS('Étape 1 - à remplir'!$F$31:$F$400,'Étape 1 - à remplir'!$E$31:$E$400,MASQ2!EC233,'Étape 1 - à remplir'!$O$31:$O$400,EL$3,'Étape 1 - à remplir'!$G$31:$G$400,"kg")),IF(EL$2="Espèce",IF(EL$3="Toutes",SUMIFS('Étape 1 - à remplir'!$F$31:$F$400,'Étape 1 - à remplir'!$E$31:$E$400,MASQ2!EC233,'Étape 1 - à remplir'!$G$31:$G$400,"kg"),SUMIFS('Étape 1 - à remplir'!$F$31:$F$400,'Étape 1 - à remplir'!$E$31:$E$400,MASQ2!EC233,'Étape 1 - à remplir'!$N$31:$N$400,EL$3,'Étape 1 - à remplir'!$G$31:$G$400,"kg")))))))</f>
        <v>#N/A</v>
      </c>
      <c r="EE233" s="76">
        <f t="shared" si="209"/>
        <v>0</v>
      </c>
      <c r="EF233" t="str">
        <f t="shared" si="200"/>
        <v>Florfénicol</v>
      </c>
      <c r="EG233" t="str">
        <f t="shared" si="201"/>
        <v/>
      </c>
      <c r="EH233" t="str">
        <f t="shared" si="202"/>
        <v/>
      </c>
      <c r="EI233" t="str">
        <f t="shared" si="203"/>
        <v>Phenicoles</v>
      </c>
      <c r="EJ233" t="str">
        <f t="shared" si="204"/>
        <v/>
      </c>
      <c r="EK233" s="63" t="str">
        <f t="shared" si="205"/>
        <v/>
      </c>
      <c r="EN233" s="42">
        <v>230</v>
      </c>
      <c r="EO233" t="e">
        <f t="shared" si="211"/>
        <v>#N/A</v>
      </c>
      <c r="EP233" s="63" t="e">
        <f t="shared" si="212"/>
        <v>#N/A</v>
      </c>
      <c r="FT233" s="63"/>
    </row>
    <row r="234" spans="2:176" x14ac:dyDescent="0.3">
      <c r="B234" s="42"/>
      <c r="M234" s="194" t="str">
        <f ca="1">INDEX(Données_ATB!BD:BU,MATCH(MASQ2!O234,Données_ATB!BD:BD,0),18)</f>
        <v/>
      </c>
      <c r="N234" s="14" t="str">
        <f>IFERROR(IF(Q234=0,"",COUNTIF(Q$4:Q$600,"&gt;"&amp;Q234)+COUNTIF(Q$4:Q234,Q234)),"")</f>
        <v/>
      </c>
      <c r="O234" t="str">
        <f>Données_ATB!BD233</f>
        <v>FLORGANE 300 MG/ML SUSPENSION INJECTABLE POUR BOVINS ET PORCINS</v>
      </c>
      <c r="P234" t="e">
        <f>IF(IF(X$2="Catégorie",IF(X$3="Toutes",SUMIFS('Étape 1 - à remplir'!$F$31:$F$400,'Étape 1 - à remplir'!$E$31:$E$400,MASQ2!O234,'Étape 1 - à remplir'!$G$31:$G$400,"animaux"),SUMIFS('Étape 1 - à remplir'!$F$31:$F$400,'Étape 1 - à remplir'!$E$31:$E$400,MASQ2!O234,'Étape 1 - à remplir'!$C$31:$C$400,X$3)),IF(X$2="Âge",IF(X$3="Tous",SUMIFS('Étape 1 - à remplir'!$F$31:$F$400,'Étape 1 - à remplir'!$E$31:$E$400,MASQ2!O234,'Étape 1 - à remplir'!$G$31:$G$400,"animaux"),SUMIFS('Étape 1 - à remplir'!$F$31:$F$400,'Étape 1 - à remplir'!$E$31:$E$400,MASQ2!O234,'Étape 1 - à remplir'!$P$31:$P$400,X$3)),IF(X$2="Atelier",IF(X$3="Tous",SUMIFS('Étape 1 - à remplir'!$F$31:$F$400,'Étape 1 - à remplir'!$E$31:$E$400,MASQ2!O234,'Étape 1 - à remplir'!$G$31:$G$400,"animaux"),SUMIFS('Étape 1 - à remplir'!$F$31:$F$400,'Étape 1 - à remplir'!$E$31:$E$400,MASQ2!O234,'Étape 1 - à remplir'!$O$31:$O$400,X$3)),IF(X$2="Espèce",IF(X$3="Toutes",SUMIFS('Étape 1 - à remplir'!$F$31:$F$400,'Étape 1 - à remplir'!$E$31:$E$400,MASQ2!O234,'Étape 1 - à remplir'!$G$31:$G$400,"animaux"),SUMIFS('Étape 1 - à remplir'!$F$31:$F$400,'Étape 1 - à remplir'!$E$31:$E$400,MASQ2!O234,'Étape 1 - à remplir'!$N$31:$N$400,X$3))))))=0,NA(),IF(X$2="Catégorie",IF(X$3="Toutes",SUMIFS('Étape 1 - à remplir'!$F$31:$F$400,'Étape 1 - à remplir'!$E$31:$E$400,MASQ2!O234,'Étape 1 - à remplir'!$G$31:$G$400,"animaux"),SUMIFS('Étape 1 - à remplir'!$F$31:$F$400,'Étape 1 - à remplir'!$E$31:$E$400,MASQ2!O234,'Étape 1 - à remplir'!$C$31:$C$400,X$3)),IF(X$2="Âge",IF(X$3="Tous",SUMIFS('Étape 1 - à remplir'!$F$31:$F$400,'Étape 1 - à remplir'!$E$31:$E$400,MASQ2!O234,'Étape 1 - à remplir'!$G$31:$G$400,"animaux"),SUMIFS('Étape 1 - à remplir'!$F$31:$F$400,'Étape 1 - à remplir'!$E$31:$E$400,MASQ2!O234,'Étape 1 - à remplir'!$P$31:$P$400,X$3)),IF(X$2="Atelier",IF(X$3="Tous",SUMIFS('Étape 1 - à remplir'!$F$31:$F$400,'Étape 1 - à remplir'!$E$31:$E$400,MASQ2!O234,'Étape 1 - à remplir'!$G$31:$G$400,"animaux"),SUMIFS('Étape 1 - à remplir'!$F$31:$F$400,'Étape 1 - à remplir'!$E$31:$E$400,MASQ2!O234,'Étape 1 - à remplir'!$O$31:$O$400,X$3)),IF(X$2="Espèce",IF(X$3="Toutes",SUMIFS('Étape 1 - à remplir'!$F$31:$F$400,'Étape 1 - à remplir'!$E$31:$E$400,MASQ2!O234,'Étape 1 - à remplir'!$G$31:$G$400,"animaux"),SUMIFS('Étape 1 - à remplir'!$F$31:$F$400,'Étape 1 - à remplir'!$E$31:$E$400,MASQ2!O234,'Étape 1 - à remplir'!$N$31:$N$400,X$3)))))))</f>
        <v>#N/A</v>
      </c>
      <c r="Q234" s="63">
        <f t="shared" si="210"/>
        <v>0</v>
      </c>
      <c r="R234" t="str">
        <f>Données_ATB!BM233</f>
        <v>Florfénicol</v>
      </c>
      <c r="S234" t="str">
        <f>Données_ATB!BN233</f>
        <v/>
      </c>
      <c r="T234" s="63" t="str">
        <f>Données_ATB!BO233</f>
        <v/>
      </c>
      <c r="U234" s="42" t="str">
        <f>Données_ATB!BQ233</f>
        <v>Phenicoles</v>
      </c>
      <c r="V234" t="str">
        <f>Données_ATB!BR233</f>
        <v/>
      </c>
      <c r="W234" s="63" t="str">
        <f>Données_ATB!BS233</f>
        <v/>
      </c>
      <c r="Z234" s="42">
        <v>231</v>
      </c>
      <c r="AA234" t="e">
        <f t="shared" si="206"/>
        <v>#N/A</v>
      </c>
      <c r="AB234" s="63" t="e">
        <f t="shared" si="207"/>
        <v>#N/A</v>
      </c>
      <c r="BF234" s="63"/>
      <c r="BT234" s="194" t="str">
        <f t="shared" ca="1" si="190"/>
        <v/>
      </c>
      <c r="BU234" s="219" t="str">
        <f>IFERROR(IF(BX234=0,"",COUNTIF(BX$4:BX$600,"&gt;"&amp;BX234)+COUNTIF(BX$4:BX234,BX234)),"")</f>
        <v/>
      </c>
      <c r="BV234" s="42" t="str">
        <f t="shared" si="191"/>
        <v>FLORGANE 300 MG/ML SUSPENSION INJECTABLE POUR BOVINS ET PORCINS</v>
      </c>
      <c r="BW234" t="e">
        <f>IF(IF(CE$2="Catégorie",IF(CE$3="Toutes",SUMIFS('Étape 1 - à remplir'!$F$31:$F$400,'Étape 1 - à remplir'!$E$31:$E$400,MASQ2!BV234,'Étape 1 - à remplir'!$G$31:$G$400,"lots"),SUMIFS('Étape 1 - à remplir'!$F$31:$F$400,'Étape 1 - à remplir'!$E$31:$E$400,MASQ2!BV234,'Étape 1 - à remplir'!$C$31:$C$400,CE$3)),IF(CE$2="Âge",IF(CE$3="Tous",SUMIFS('Étape 1 - à remplir'!$F$31:$F$400,'Étape 1 - à remplir'!$E$31:$E$400,MASQ2!BV234,'Étape 1 - à remplir'!$G$31:$G$400,"lots"),SUMIFS('Étape 1 - à remplir'!$F$31:$F$400,'Étape 1 - à remplir'!$E$31:$E$400,MASQ2!BV234,'Étape 1 - à remplir'!$P$31:$P$400,CE$3,'Étape 1 - à remplir'!$G$31:$G$400,"lots")),IF(CE$2="Atelier",IF(CE$3="Tous",SUMIFS('Étape 1 - à remplir'!$F$31:$F$400,'Étape 1 - à remplir'!$E$31:$E$400,MASQ2!BV234,'Étape 1 - à remplir'!$G$31:$G$400,"lots"),SUMIFS('Étape 1 - à remplir'!$F$31:$F$400,'Étape 1 - à remplir'!$E$31:$E$400,MASQ2!BV234,'Étape 1 - à remplir'!$O$31:$O$400,CE$3,'Étape 1 - à remplir'!$G$31:$G$400,"lots")),IF(CE$2="Espèce",IF(CE$3="Toutes",SUMIFS('Étape 1 - à remplir'!$F$31:$F$400,'Étape 1 - à remplir'!$E$31:$E$400,MASQ2!BV234,'Étape 1 - à remplir'!$G$31:$G$400,"lots"),SUMIFS('Étape 1 - à remplir'!$F$31:$F$400,'Étape 1 - à remplir'!$E$31:$E$400,MASQ2!BV234,'Étape 1 - à remplir'!$N$31:$N$400,CE$3,'Étape 1 - à remplir'!$G$31:$G$400,"lots"))))))=0,NA(),IF(CE$2="Catégorie",IF(CE$3="Toutes",SUMIFS('Étape 1 - à remplir'!$F$31:$F$400,'Étape 1 - à remplir'!$E$31:$E$400,MASQ2!BV234,'Étape 1 - à remplir'!$G$31:$G$400,"lots"),SUMIFS('Étape 1 - à remplir'!$F$31:$F$400,'Étape 1 - à remplir'!$E$31:$E$400,MASQ2!BV234,'Étape 1 - à remplir'!$C$31:$C$400,CE$3)),IF(CE$2="Âge",IF(CE$3="Tous",SUMIFS('Étape 1 - à remplir'!$F$31:$F$400,'Étape 1 - à remplir'!$E$31:$E$400,MASQ2!BV234,'Étape 1 - à remplir'!$G$31:$G$400,"lots"),SUMIFS('Étape 1 - à remplir'!$F$31:$F$400,'Étape 1 - à remplir'!$E$31:$E$400,MASQ2!BV234,'Étape 1 - à remplir'!$P$31:$P$400,CE$3,'Étape 1 - à remplir'!$G$31:$G$400,"lots")),IF(CE$2="Atelier",IF(CE$3="Tous",SUMIFS('Étape 1 - à remplir'!$F$31:$F$400,'Étape 1 - à remplir'!$E$31:$E$400,MASQ2!BV234,'Étape 1 - à remplir'!$G$31:$G$400,"lots"),SUMIFS('Étape 1 - à remplir'!$F$31:$F$400,'Étape 1 - à remplir'!$E$31:$E$400,MASQ2!BV234,'Étape 1 - à remplir'!$O$31:$O$400,CE$3,'Étape 1 - à remplir'!$G$31:$G$400,"lots")),IF(CE$2="Espèce",IF(CE$3="Toutes",SUMIFS('Étape 1 - à remplir'!$F$31:$F$400,'Étape 1 - à remplir'!$E$31:$E$400,MASQ2!BV234,'Étape 1 - à remplir'!$G$31:$G$400,"lots"),SUMIFS('Étape 1 - à remplir'!$F$31:$F$400,'Étape 1 - à remplir'!$E$31:$E$400,MASQ2!BV234,'Étape 1 - à remplir'!$N$31:$N$400,CE$3,'Étape 1 - à remplir'!$G$31:$G$400,"lots")))))))</f>
        <v>#N/A</v>
      </c>
      <c r="BX234">
        <f t="shared" si="208"/>
        <v>0</v>
      </c>
      <c r="BY234" t="str">
        <f t="shared" si="192"/>
        <v>Florfénicol</v>
      </c>
      <c r="BZ234" t="str">
        <f t="shared" si="193"/>
        <v/>
      </c>
      <c r="CA234" t="str">
        <f t="shared" si="194"/>
        <v/>
      </c>
      <c r="CB234" t="str">
        <f t="shared" si="195"/>
        <v>Phenicoles</v>
      </c>
      <c r="CC234" t="str">
        <f t="shared" si="196"/>
        <v/>
      </c>
      <c r="CD234" s="63" t="str">
        <f t="shared" si="197"/>
        <v/>
      </c>
      <c r="CG234" s="42">
        <v>231</v>
      </c>
      <c r="CH234" s="42" t="e">
        <f t="shared" si="213"/>
        <v>#N/A</v>
      </c>
      <c r="CI234" s="63" t="e">
        <f t="shared" si="214"/>
        <v>#N/A</v>
      </c>
      <c r="DM234" s="63"/>
      <c r="EA234" s="194" t="str">
        <f t="shared" ca="1" si="198"/>
        <v/>
      </c>
      <c r="EB234" s="226" t="str">
        <f>IFERROR(IF(ED234=0,"",COUNTIF(ED$4:ED$600,"&gt;"&amp;ED234)+COUNTIF(ED$4:ED234,ED234)),"")</f>
        <v/>
      </c>
      <c r="EC234" t="str">
        <f t="shared" si="199"/>
        <v>FLORGANE 300 MG/ML SUSPENSION INJECTABLE POUR BOVINS ET PORCINS</v>
      </c>
      <c r="ED234" t="e">
        <f>IF(IF(EL$2="Catégorie",IF(EL$3="Toutes",SUMIFS('Étape 1 - à remplir'!$F$31:$F$400,'Étape 1 - à remplir'!$E$31:$E$400,MASQ2!EC234,'Étape 1 - à remplir'!$G$31:$G$400,"kg"),SUMIFS('Étape 1 - à remplir'!$F$31:$F$400,'Étape 1 - à remplir'!$E$31:$E$400,MASQ2!EC234,'Étape 1 - à remplir'!$C$31:$C$400,EL$3)),IF(EL$2="Âge",IF(EL$3="Tous",SUMIFS('Étape 1 - à remplir'!$F$31:$F$400,'Étape 1 - à remplir'!$E$31:$E$400,MASQ2!EC234,'Étape 1 - à remplir'!$G$31:$G$400,"kg"),SUMIFS('Étape 1 - à remplir'!$F$31:$F$400,'Étape 1 - à remplir'!$E$31:$E$400,MASQ2!EC234,'Étape 1 - à remplir'!$P$31:$P$400,EL$3,'Étape 1 - à remplir'!$G$31:$G$400,"kg")),IF(EL$2="Atelier",IF(EL$3="Tous",SUMIFS('Étape 1 - à remplir'!$F$31:$F$400,'Étape 1 - à remplir'!$E$31:$E$400,MASQ2!EC234,'Étape 1 - à remplir'!$G$31:$G$400,"kg"),SUMIFS('Étape 1 - à remplir'!$F$31:$F$400,'Étape 1 - à remplir'!$E$31:$E$400,MASQ2!EC234,'Étape 1 - à remplir'!$O$31:$O$400,EL$3,'Étape 1 - à remplir'!$G$31:$G$400,"kg")),IF(EL$2="Espèce",IF(EL$3="Toutes",SUMIFS('Étape 1 - à remplir'!$F$31:$F$400,'Étape 1 - à remplir'!$E$31:$E$400,MASQ2!EC234,'Étape 1 - à remplir'!$G$31:$G$400,"kg"),SUMIFS('Étape 1 - à remplir'!$F$31:$F$400,'Étape 1 - à remplir'!$E$31:$E$400,MASQ2!EC234,'Étape 1 - à remplir'!$N$31:$N$400,EL$3,'Étape 1 - à remplir'!$G$31:$G$400,"kg"))))))=0,NA(),IF(EL$2="Catégorie",IF(EL$3="Toutes",SUMIFS('Étape 1 - à remplir'!$F$31:$F$400,'Étape 1 - à remplir'!$E$31:$E$400,MASQ2!EC234,'Étape 1 - à remplir'!$G$31:$G$400,"kg"),SUMIFS('Étape 1 - à remplir'!$F$31:$F$400,'Étape 1 - à remplir'!$E$31:$E$400,MASQ2!EC234,'Étape 1 - à remplir'!$C$31:$C$400,EL$3)),IF(EL$2="Âge",IF(EL$3="Tous",SUMIFS('Étape 1 - à remplir'!$F$31:$F$400,'Étape 1 - à remplir'!$E$31:$E$400,MASQ2!EC234,'Étape 1 - à remplir'!$G$31:$G$400,"kg"),SUMIFS('Étape 1 - à remplir'!$F$31:$F$400,'Étape 1 - à remplir'!$E$31:$E$400,MASQ2!EC234,'Étape 1 - à remplir'!$P$31:$P$400,EL$3,'Étape 1 - à remplir'!$G$31:$G$400,"kg")),IF(EL$2="Atelier",IF(EL$3="Tous",SUMIFS('Étape 1 - à remplir'!$F$31:$F$400,'Étape 1 - à remplir'!$E$31:$E$400,MASQ2!EC234,'Étape 1 - à remplir'!$G$31:$G$400,"kg"),SUMIFS('Étape 1 - à remplir'!$F$31:$F$400,'Étape 1 - à remplir'!$E$31:$E$400,MASQ2!EC234,'Étape 1 - à remplir'!$O$31:$O$400,EL$3,'Étape 1 - à remplir'!$G$31:$G$400,"kg")),IF(EL$2="Espèce",IF(EL$3="Toutes",SUMIFS('Étape 1 - à remplir'!$F$31:$F$400,'Étape 1 - à remplir'!$E$31:$E$400,MASQ2!EC234,'Étape 1 - à remplir'!$G$31:$G$400,"kg"),SUMIFS('Étape 1 - à remplir'!$F$31:$F$400,'Étape 1 - à remplir'!$E$31:$E$400,MASQ2!EC234,'Étape 1 - à remplir'!$N$31:$N$400,EL$3,'Étape 1 - à remplir'!$G$31:$G$400,"kg")))))))</f>
        <v>#N/A</v>
      </c>
      <c r="EE234" s="76">
        <f t="shared" si="209"/>
        <v>0</v>
      </c>
      <c r="EF234" t="str">
        <f t="shared" si="200"/>
        <v>Florfénicol</v>
      </c>
      <c r="EG234" t="str">
        <f t="shared" si="201"/>
        <v/>
      </c>
      <c r="EH234" t="str">
        <f t="shared" si="202"/>
        <v/>
      </c>
      <c r="EI234" t="str">
        <f t="shared" si="203"/>
        <v>Phenicoles</v>
      </c>
      <c r="EJ234" t="str">
        <f t="shared" si="204"/>
        <v/>
      </c>
      <c r="EK234" s="63" t="str">
        <f t="shared" si="205"/>
        <v/>
      </c>
      <c r="EN234" s="42">
        <v>231</v>
      </c>
      <c r="EO234" t="e">
        <f t="shared" si="211"/>
        <v>#N/A</v>
      </c>
      <c r="EP234" s="63" t="e">
        <f t="shared" si="212"/>
        <v>#N/A</v>
      </c>
      <c r="FT234" s="63"/>
    </row>
    <row r="235" spans="2:176" x14ac:dyDescent="0.3">
      <c r="B235" s="42"/>
      <c r="M235" s="194" t="str">
        <f ca="1">INDEX(Données_ATB!BD:BU,MATCH(MASQ2!O235,Données_ATB!BD:BD,0),18)</f>
        <v/>
      </c>
      <c r="N235" s="14" t="str">
        <f>IFERROR(IF(Q235=0,"",COUNTIF(Q$4:Q$600,"&gt;"&amp;Q235)+COUNTIF(Q$4:Q235,Q235)),"")</f>
        <v/>
      </c>
      <c r="O235" t="str">
        <f>Données_ATB!BD234</f>
        <v>FLORKEM 300 MG/ML SOLUTION INJECTABLE POUR BOVINS ET PORCINS</v>
      </c>
      <c r="P235" t="e">
        <f>IF(IF(X$2="Catégorie",IF(X$3="Toutes",SUMIFS('Étape 1 - à remplir'!$F$31:$F$400,'Étape 1 - à remplir'!$E$31:$E$400,MASQ2!O235,'Étape 1 - à remplir'!$G$31:$G$400,"animaux"),SUMIFS('Étape 1 - à remplir'!$F$31:$F$400,'Étape 1 - à remplir'!$E$31:$E$400,MASQ2!O235,'Étape 1 - à remplir'!$C$31:$C$400,X$3)),IF(X$2="Âge",IF(X$3="Tous",SUMIFS('Étape 1 - à remplir'!$F$31:$F$400,'Étape 1 - à remplir'!$E$31:$E$400,MASQ2!O235,'Étape 1 - à remplir'!$G$31:$G$400,"animaux"),SUMIFS('Étape 1 - à remplir'!$F$31:$F$400,'Étape 1 - à remplir'!$E$31:$E$400,MASQ2!O235,'Étape 1 - à remplir'!$P$31:$P$400,X$3)),IF(X$2="Atelier",IF(X$3="Tous",SUMIFS('Étape 1 - à remplir'!$F$31:$F$400,'Étape 1 - à remplir'!$E$31:$E$400,MASQ2!O235,'Étape 1 - à remplir'!$G$31:$G$400,"animaux"),SUMIFS('Étape 1 - à remplir'!$F$31:$F$400,'Étape 1 - à remplir'!$E$31:$E$400,MASQ2!O235,'Étape 1 - à remplir'!$O$31:$O$400,X$3)),IF(X$2="Espèce",IF(X$3="Toutes",SUMIFS('Étape 1 - à remplir'!$F$31:$F$400,'Étape 1 - à remplir'!$E$31:$E$400,MASQ2!O235,'Étape 1 - à remplir'!$G$31:$G$400,"animaux"),SUMIFS('Étape 1 - à remplir'!$F$31:$F$400,'Étape 1 - à remplir'!$E$31:$E$400,MASQ2!O235,'Étape 1 - à remplir'!$N$31:$N$400,X$3))))))=0,NA(),IF(X$2="Catégorie",IF(X$3="Toutes",SUMIFS('Étape 1 - à remplir'!$F$31:$F$400,'Étape 1 - à remplir'!$E$31:$E$400,MASQ2!O235,'Étape 1 - à remplir'!$G$31:$G$400,"animaux"),SUMIFS('Étape 1 - à remplir'!$F$31:$F$400,'Étape 1 - à remplir'!$E$31:$E$400,MASQ2!O235,'Étape 1 - à remplir'!$C$31:$C$400,X$3)),IF(X$2="Âge",IF(X$3="Tous",SUMIFS('Étape 1 - à remplir'!$F$31:$F$400,'Étape 1 - à remplir'!$E$31:$E$400,MASQ2!O235,'Étape 1 - à remplir'!$G$31:$G$400,"animaux"),SUMIFS('Étape 1 - à remplir'!$F$31:$F$400,'Étape 1 - à remplir'!$E$31:$E$400,MASQ2!O235,'Étape 1 - à remplir'!$P$31:$P$400,X$3)),IF(X$2="Atelier",IF(X$3="Tous",SUMIFS('Étape 1 - à remplir'!$F$31:$F$400,'Étape 1 - à remplir'!$E$31:$E$400,MASQ2!O235,'Étape 1 - à remplir'!$G$31:$G$400,"animaux"),SUMIFS('Étape 1 - à remplir'!$F$31:$F$400,'Étape 1 - à remplir'!$E$31:$E$400,MASQ2!O235,'Étape 1 - à remplir'!$O$31:$O$400,X$3)),IF(X$2="Espèce",IF(X$3="Toutes",SUMIFS('Étape 1 - à remplir'!$F$31:$F$400,'Étape 1 - à remplir'!$E$31:$E$400,MASQ2!O235,'Étape 1 - à remplir'!$G$31:$G$400,"animaux"),SUMIFS('Étape 1 - à remplir'!$F$31:$F$400,'Étape 1 - à remplir'!$E$31:$E$400,MASQ2!O235,'Étape 1 - à remplir'!$N$31:$N$400,X$3)))))))</f>
        <v>#N/A</v>
      </c>
      <c r="Q235" s="63">
        <f t="shared" si="210"/>
        <v>0</v>
      </c>
      <c r="R235" t="str">
        <f>Données_ATB!BM234</f>
        <v>Florfénicol</v>
      </c>
      <c r="S235" t="str">
        <f>Données_ATB!BN234</f>
        <v/>
      </c>
      <c r="T235" s="63" t="str">
        <f>Données_ATB!BO234</f>
        <v/>
      </c>
      <c r="U235" s="42" t="str">
        <f>Données_ATB!BQ234</f>
        <v>Phenicoles</v>
      </c>
      <c r="V235" t="str">
        <f>Données_ATB!BR234</f>
        <v/>
      </c>
      <c r="W235" s="63" t="str">
        <f>Données_ATB!BS234</f>
        <v/>
      </c>
      <c r="Z235" s="42">
        <v>232</v>
      </c>
      <c r="AA235" t="e">
        <f t="shared" si="206"/>
        <v>#N/A</v>
      </c>
      <c r="AB235" s="63" t="e">
        <f t="shared" si="207"/>
        <v>#N/A</v>
      </c>
      <c r="BF235" s="63"/>
      <c r="BT235" s="194" t="str">
        <f t="shared" ca="1" si="190"/>
        <v/>
      </c>
      <c r="BU235" s="219" t="str">
        <f>IFERROR(IF(BX235=0,"",COUNTIF(BX$4:BX$600,"&gt;"&amp;BX235)+COUNTIF(BX$4:BX235,BX235)),"")</f>
        <v/>
      </c>
      <c r="BV235" s="42" t="str">
        <f t="shared" si="191"/>
        <v>FLORKEM 300 MG/ML SOLUTION INJECTABLE POUR BOVINS ET PORCINS</v>
      </c>
      <c r="BW235" t="e">
        <f>IF(IF(CE$2="Catégorie",IF(CE$3="Toutes",SUMIFS('Étape 1 - à remplir'!$F$31:$F$400,'Étape 1 - à remplir'!$E$31:$E$400,MASQ2!BV235,'Étape 1 - à remplir'!$G$31:$G$400,"lots"),SUMIFS('Étape 1 - à remplir'!$F$31:$F$400,'Étape 1 - à remplir'!$E$31:$E$400,MASQ2!BV235,'Étape 1 - à remplir'!$C$31:$C$400,CE$3)),IF(CE$2="Âge",IF(CE$3="Tous",SUMIFS('Étape 1 - à remplir'!$F$31:$F$400,'Étape 1 - à remplir'!$E$31:$E$400,MASQ2!BV235,'Étape 1 - à remplir'!$G$31:$G$400,"lots"),SUMIFS('Étape 1 - à remplir'!$F$31:$F$400,'Étape 1 - à remplir'!$E$31:$E$400,MASQ2!BV235,'Étape 1 - à remplir'!$P$31:$P$400,CE$3,'Étape 1 - à remplir'!$G$31:$G$400,"lots")),IF(CE$2="Atelier",IF(CE$3="Tous",SUMIFS('Étape 1 - à remplir'!$F$31:$F$400,'Étape 1 - à remplir'!$E$31:$E$400,MASQ2!BV235,'Étape 1 - à remplir'!$G$31:$G$400,"lots"),SUMIFS('Étape 1 - à remplir'!$F$31:$F$400,'Étape 1 - à remplir'!$E$31:$E$400,MASQ2!BV235,'Étape 1 - à remplir'!$O$31:$O$400,CE$3,'Étape 1 - à remplir'!$G$31:$G$400,"lots")),IF(CE$2="Espèce",IF(CE$3="Toutes",SUMIFS('Étape 1 - à remplir'!$F$31:$F$400,'Étape 1 - à remplir'!$E$31:$E$400,MASQ2!BV235,'Étape 1 - à remplir'!$G$31:$G$400,"lots"),SUMIFS('Étape 1 - à remplir'!$F$31:$F$400,'Étape 1 - à remplir'!$E$31:$E$400,MASQ2!BV235,'Étape 1 - à remplir'!$N$31:$N$400,CE$3,'Étape 1 - à remplir'!$G$31:$G$400,"lots"))))))=0,NA(),IF(CE$2="Catégorie",IF(CE$3="Toutes",SUMIFS('Étape 1 - à remplir'!$F$31:$F$400,'Étape 1 - à remplir'!$E$31:$E$400,MASQ2!BV235,'Étape 1 - à remplir'!$G$31:$G$400,"lots"),SUMIFS('Étape 1 - à remplir'!$F$31:$F$400,'Étape 1 - à remplir'!$E$31:$E$400,MASQ2!BV235,'Étape 1 - à remplir'!$C$31:$C$400,CE$3)),IF(CE$2="Âge",IF(CE$3="Tous",SUMIFS('Étape 1 - à remplir'!$F$31:$F$400,'Étape 1 - à remplir'!$E$31:$E$400,MASQ2!BV235,'Étape 1 - à remplir'!$G$31:$G$400,"lots"),SUMIFS('Étape 1 - à remplir'!$F$31:$F$400,'Étape 1 - à remplir'!$E$31:$E$400,MASQ2!BV235,'Étape 1 - à remplir'!$P$31:$P$400,CE$3,'Étape 1 - à remplir'!$G$31:$G$400,"lots")),IF(CE$2="Atelier",IF(CE$3="Tous",SUMIFS('Étape 1 - à remplir'!$F$31:$F$400,'Étape 1 - à remplir'!$E$31:$E$400,MASQ2!BV235,'Étape 1 - à remplir'!$G$31:$G$400,"lots"),SUMIFS('Étape 1 - à remplir'!$F$31:$F$400,'Étape 1 - à remplir'!$E$31:$E$400,MASQ2!BV235,'Étape 1 - à remplir'!$O$31:$O$400,CE$3,'Étape 1 - à remplir'!$G$31:$G$400,"lots")),IF(CE$2="Espèce",IF(CE$3="Toutes",SUMIFS('Étape 1 - à remplir'!$F$31:$F$400,'Étape 1 - à remplir'!$E$31:$E$400,MASQ2!BV235,'Étape 1 - à remplir'!$G$31:$G$400,"lots"),SUMIFS('Étape 1 - à remplir'!$F$31:$F$400,'Étape 1 - à remplir'!$E$31:$E$400,MASQ2!BV235,'Étape 1 - à remplir'!$N$31:$N$400,CE$3,'Étape 1 - à remplir'!$G$31:$G$400,"lots")))))))</f>
        <v>#N/A</v>
      </c>
      <c r="BX235">
        <f t="shared" si="208"/>
        <v>0</v>
      </c>
      <c r="BY235" t="str">
        <f t="shared" si="192"/>
        <v>Florfénicol</v>
      </c>
      <c r="BZ235" t="str">
        <f t="shared" si="193"/>
        <v/>
      </c>
      <c r="CA235" t="str">
        <f t="shared" si="194"/>
        <v/>
      </c>
      <c r="CB235" t="str">
        <f t="shared" si="195"/>
        <v>Phenicoles</v>
      </c>
      <c r="CC235" t="str">
        <f t="shared" si="196"/>
        <v/>
      </c>
      <c r="CD235" s="63" t="str">
        <f t="shared" si="197"/>
        <v/>
      </c>
      <c r="CG235" s="42">
        <v>232</v>
      </c>
      <c r="CH235" s="42" t="e">
        <f t="shared" si="213"/>
        <v>#N/A</v>
      </c>
      <c r="CI235" s="63" t="e">
        <f t="shared" si="214"/>
        <v>#N/A</v>
      </c>
      <c r="DM235" s="63"/>
      <c r="EA235" s="194" t="str">
        <f t="shared" ca="1" si="198"/>
        <v/>
      </c>
      <c r="EB235" s="226" t="str">
        <f>IFERROR(IF(ED235=0,"",COUNTIF(ED$4:ED$600,"&gt;"&amp;ED235)+COUNTIF(ED$4:ED235,ED235)),"")</f>
        <v/>
      </c>
      <c r="EC235" t="str">
        <f t="shared" si="199"/>
        <v>FLORKEM 300 MG/ML SOLUTION INJECTABLE POUR BOVINS ET PORCINS</v>
      </c>
      <c r="ED235" t="e">
        <f>IF(IF(EL$2="Catégorie",IF(EL$3="Toutes",SUMIFS('Étape 1 - à remplir'!$F$31:$F$400,'Étape 1 - à remplir'!$E$31:$E$400,MASQ2!EC235,'Étape 1 - à remplir'!$G$31:$G$400,"kg"),SUMIFS('Étape 1 - à remplir'!$F$31:$F$400,'Étape 1 - à remplir'!$E$31:$E$400,MASQ2!EC235,'Étape 1 - à remplir'!$C$31:$C$400,EL$3)),IF(EL$2="Âge",IF(EL$3="Tous",SUMIFS('Étape 1 - à remplir'!$F$31:$F$400,'Étape 1 - à remplir'!$E$31:$E$400,MASQ2!EC235,'Étape 1 - à remplir'!$G$31:$G$400,"kg"),SUMIFS('Étape 1 - à remplir'!$F$31:$F$400,'Étape 1 - à remplir'!$E$31:$E$400,MASQ2!EC235,'Étape 1 - à remplir'!$P$31:$P$400,EL$3,'Étape 1 - à remplir'!$G$31:$G$400,"kg")),IF(EL$2="Atelier",IF(EL$3="Tous",SUMIFS('Étape 1 - à remplir'!$F$31:$F$400,'Étape 1 - à remplir'!$E$31:$E$400,MASQ2!EC235,'Étape 1 - à remplir'!$G$31:$G$400,"kg"),SUMIFS('Étape 1 - à remplir'!$F$31:$F$400,'Étape 1 - à remplir'!$E$31:$E$400,MASQ2!EC235,'Étape 1 - à remplir'!$O$31:$O$400,EL$3,'Étape 1 - à remplir'!$G$31:$G$400,"kg")),IF(EL$2="Espèce",IF(EL$3="Toutes",SUMIFS('Étape 1 - à remplir'!$F$31:$F$400,'Étape 1 - à remplir'!$E$31:$E$400,MASQ2!EC235,'Étape 1 - à remplir'!$G$31:$G$400,"kg"),SUMIFS('Étape 1 - à remplir'!$F$31:$F$400,'Étape 1 - à remplir'!$E$31:$E$400,MASQ2!EC235,'Étape 1 - à remplir'!$N$31:$N$400,EL$3,'Étape 1 - à remplir'!$G$31:$G$400,"kg"))))))=0,NA(),IF(EL$2="Catégorie",IF(EL$3="Toutes",SUMIFS('Étape 1 - à remplir'!$F$31:$F$400,'Étape 1 - à remplir'!$E$31:$E$400,MASQ2!EC235,'Étape 1 - à remplir'!$G$31:$G$400,"kg"),SUMIFS('Étape 1 - à remplir'!$F$31:$F$400,'Étape 1 - à remplir'!$E$31:$E$400,MASQ2!EC235,'Étape 1 - à remplir'!$C$31:$C$400,EL$3)),IF(EL$2="Âge",IF(EL$3="Tous",SUMIFS('Étape 1 - à remplir'!$F$31:$F$400,'Étape 1 - à remplir'!$E$31:$E$400,MASQ2!EC235,'Étape 1 - à remplir'!$G$31:$G$400,"kg"),SUMIFS('Étape 1 - à remplir'!$F$31:$F$400,'Étape 1 - à remplir'!$E$31:$E$400,MASQ2!EC235,'Étape 1 - à remplir'!$P$31:$P$400,EL$3,'Étape 1 - à remplir'!$G$31:$G$400,"kg")),IF(EL$2="Atelier",IF(EL$3="Tous",SUMIFS('Étape 1 - à remplir'!$F$31:$F$400,'Étape 1 - à remplir'!$E$31:$E$400,MASQ2!EC235,'Étape 1 - à remplir'!$G$31:$G$400,"kg"),SUMIFS('Étape 1 - à remplir'!$F$31:$F$400,'Étape 1 - à remplir'!$E$31:$E$400,MASQ2!EC235,'Étape 1 - à remplir'!$O$31:$O$400,EL$3,'Étape 1 - à remplir'!$G$31:$G$400,"kg")),IF(EL$2="Espèce",IF(EL$3="Toutes",SUMIFS('Étape 1 - à remplir'!$F$31:$F$400,'Étape 1 - à remplir'!$E$31:$E$400,MASQ2!EC235,'Étape 1 - à remplir'!$G$31:$G$400,"kg"),SUMIFS('Étape 1 - à remplir'!$F$31:$F$400,'Étape 1 - à remplir'!$E$31:$E$400,MASQ2!EC235,'Étape 1 - à remplir'!$N$31:$N$400,EL$3,'Étape 1 - à remplir'!$G$31:$G$400,"kg")))))))</f>
        <v>#N/A</v>
      </c>
      <c r="EE235" s="76">
        <f t="shared" si="209"/>
        <v>0</v>
      </c>
      <c r="EF235" t="str">
        <f t="shared" si="200"/>
        <v>Florfénicol</v>
      </c>
      <c r="EG235" t="str">
        <f t="shared" si="201"/>
        <v/>
      </c>
      <c r="EH235" t="str">
        <f t="shared" si="202"/>
        <v/>
      </c>
      <c r="EI235" t="str">
        <f t="shared" si="203"/>
        <v>Phenicoles</v>
      </c>
      <c r="EJ235" t="str">
        <f t="shared" si="204"/>
        <v/>
      </c>
      <c r="EK235" s="63" t="str">
        <f t="shared" si="205"/>
        <v/>
      </c>
      <c r="EN235" s="42">
        <v>232</v>
      </c>
      <c r="EO235" t="e">
        <f t="shared" si="211"/>
        <v>#N/A</v>
      </c>
      <c r="EP235" s="63" t="e">
        <f t="shared" si="212"/>
        <v>#N/A</v>
      </c>
      <c r="FT235" s="63"/>
    </row>
    <row r="236" spans="2:176" x14ac:dyDescent="0.3">
      <c r="B236" s="42"/>
      <c r="M236" s="194" t="str">
        <f ca="1">INDEX(Données_ATB!BD:BU,MATCH(MASQ2!O236,Données_ATB!BD:BD,0),18)</f>
        <v>x</v>
      </c>
      <c r="N236" s="14" t="str">
        <f>IFERROR(IF(Q236=0,"",COUNTIF(Q$4:Q$600,"&gt;"&amp;Q236)+COUNTIF(Q$4:Q236,Q236)),"")</f>
        <v/>
      </c>
      <c r="O236" t="str">
        <f>Données_ATB!BD235</f>
        <v>FLOXIBAC 100 MG/ML SOLUTION INJECTABLE POUR BOVINS ET PORCINS</v>
      </c>
      <c r="P236" t="e">
        <f>IF(IF(X$2="Catégorie",IF(X$3="Toutes",SUMIFS('Étape 1 - à remplir'!$F$31:$F$400,'Étape 1 - à remplir'!$E$31:$E$400,MASQ2!O236,'Étape 1 - à remplir'!$G$31:$G$400,"animaux"),SUMIFS('Étape 1 - à remplir'!$F$31:$F$400,'Étape 1 - à remplir'!$E$31:$E$400,MASQ2!O236,'Étape 1 - à remplir'!$C$31:$C$400,X$3)),IF(X$2="Âge",IF(X$3="Tous",SUMIFS('Étape 1 - à remplir'!$F$31:$F$400,'Étape 1 - à remplir'!$E$31:$E$400,MASQ2!O236,'Étape 1 - à remplir'!$G$31:$G$400,"animaux"),SUMIFS('Étape 1 - à remplir'!$F$31:$F$400,'Étape 1 - à remplir'!$E$31:$E$400,MASQ2!O236,'Étape 1 - à remplir'!$P$31:$P$400,X$3)),IF(X$2="Atelier",IF(X$3="Tous",SUMIFS('Étape 1 - à remplir'!$F$31:$F$400,'Étape 1 - à remplir'!$E$31:$E$400,MASQ2!O236,'Étape 1 - à remplir'!$G$31:$G$400,"animaux"),SUMIFS('Étape 1 - à remplir'!$F$31:$F$400,'Étape 1 - à remplir'!$E$31:$E$400,MASQ2!O236,'Étape 1 - à remplir'!$O$31:$O$400,X$3)),IF(X$2="Espèce",IF(X$3="Toutes",SUMIFS('Étape 1 - à remplir'!$F$31:$F$400,'Étape 1 - à remplir'!$E$31:$E$400,MASQ2!O236,'Étape 1 - à remplir'!$G$31:$G$400,"animaux"),SUMIFS('Étape 1 - à remplir'!$F$31:$F$400,'Étape 1 - à remplir'!$E$31:$E$400,MASQ2!O236,'Étape 1 - à remplir'!$N$31:$N$400,X$3))))))=0,NA(),IF(X$2="Catégorie",IF(X$3="Toutes",SUMIFS('Étape 1 - à remplir'!$F$31:$F$400,'Étape 1 - à remplir'!$E$31:$E$400,MASQ2!O236,'Étape 1 - à remplir'!$G$31:$G$400,"animaux"),SUMIFS('Étape 1 - à remplir'!$F$31:$F$400,'Étape 1 - à remplir'!$E$31:$E$400,MASQ2!O236,'Étape 1 - à remplir'!$C$31:$C$400,X$3)),IF(X$2="Âge",IF(X$3="Tous",SUMIFS('Étape 1 - à remplir'!$F$31:$F$400,'Étape 1 - à remplir'!$E$31:$E$400,MASQ2!O236,'Étape 1 - à remplir'!$G$31:$G$400,"animaux"),SUMIFS('Étape 1 - à remplir'!$F$31:$F$400,'Étape 1 - à remplir'!$E$31:$E$400,MASQ2!O236,'Étape 1 - à remplir'!$P$31:$P$400,X$3)),IF(X$2="Atelier",IF(X$3="Tous",SUMIFS('Étape 1 - à remplir'!$F$31:$F$400,'Étape 1 - à remplir'!$E$31:$E$400,MASQ2!O236,'Étape 1 - à remplir'!$G$31:$G$400,"animaux"),SUMIFS('Étape 1 - à remplir'!$F$31:$F$400,'Étape 1 - à remplir'!$E$31:$E$400,MASQ2!O236,'Étape 1 - à remplir'!$O$31:$O$400,X$3)),IF(X$2="Espèce",IF(X$3="Toutes",SUMIFS('Étape 1 - à remplir'!$F$31:$F$400,'Étape 1 - à remplir'!$E$31:$E$400,MASQ2!O236,'Étape 1 - à remplir'!$G$31:$G$400,"animaux"),SUMIFS('Étape 1 - à remplir'!$F$31:$F$400,'Étape 1 - à remplir'!$E$31:$E$400,MASQ2!O236,'Étape 1 - à remplir'!$N$31:$N$400,X$3)))))))</f>
        <v>#N/A</v>
      </c>
      <c r="Q236" s="63">
        <f t="shared" si="210"/>
        <v>0</v>
      </c>
      <c r="R236" t="str">
        <f>Données_ATB!BM235</f>
        <v>Enrofloxacine</v>
      </c>
      <c r="S236" t="str">
        <f>Données_ATB!BN235</f>
        <v/>
      </c>
      <c r="T236" s="63" t="str">
        <f>Données_ATB!BO235</f>
        <v/>
      </c>
      <c r="U236" s="42" t="str">
        <f>Données_ATB!BQ235</f>
        <v>Fluoroquinolones</v>
      </c>
      <c r="V236" t="str">
        <f>Données_ATB!BR235</f>
        <v/>
      </c>
      <c r="W236" s="63" t="str">
        <f>Données_ATB!BS235</f>
        <v/>
      </c>
      <c r="Z236" s="42">
        <v>233</v>
      </c>
      <c r="AA236" t="e">
        <f t="shared" si="206"/>
        <v>#N/A</v>
      </c>
      <c r="AB236" s="63" t="e">
        <f t="shared" si="207"/>
        <v>#N/A</v>
      </c>
      <c r="BF236" s="63"/>
      <c r="BT236" s="194" t="str">
        <f t="shared" ca="1" si="190"/>
        <v>x</v>
      </c>
      <c r="BU236" s="219" t="str">
        <f>IFERROR(IF(BX236=0,"",COUNTIF(BX$4:BX$600,"&gt;"&amp;BX236)+COUNTIF(BX$4:BX236,BX236)),"")</f>
        <v/>
      </c>
      <c r="BV236" s="42" t="str">
        <f t="shared" si="191"/>
        <v>FLOXIBAC 100 MG/ML SOLUTION INJECTABLE POUR BOVINS ET PORCINS</v>
      </c>
      <c r="BW236" t="e">
        <f>IF(IF(CE$2="Catégorie",IF(CE$3="Toutes",SUMIFS('Étape 1 - à remplir'!$F$31:$F$400,'Étape 1 - à remplir'!$E$31:$E$400,MASQ2!BV236,'Étape 1 - à remplir'!$G$31:$G$400,"lots"),SUMIFS('Étape 1 - à remplir'!$F$31:$F$400,'Étape 1 - à remplir'!$E$31:$E$400,MASQ2!BV236,'Étape 1 - à remplir'!$C$31:$C$400,CE$3)),IF(CE$2="Âge",IF(CE$3="Tous",SUMIFS('Étape 1 - à remplir'!$F$31:$F$400,'Étape 1 - à remplir'!$E$31:$E$400,MASQ2!BV236,'Étape 1 - à remplir'!$G$31:$G$400,"lots"),SUMIFS('Étape 1 - à remplir'!$F$31:$F$400,'Étape 1 - à remplir'!$E$31:$E$400,MASQ2!BV236,'Étape 1 - à remplir'!$P$31:$P$400,CE$3,'Étape 1 - à remplir'!$G$31:$G$400,"lots")),IF(CE$2="Atelier",IF(CE$3="Tous",SUMIFS('Étape 1 - à remplir'!$F$31:$F$400,'Étape 1 - à remplir'!$E$31:$E$400,MASQ2!BV236,'Étape 1 - à remplir'!$G$31:$G$400,"lots"),SUMIFS('Étape 1 - à remplir'!$F$31:$F$400,'Étape 1 - à remplir'!$E$31:$E$400,MASQ2!BV236,'Étape 1 - à remplir'!$O$31:$O$400,CE$3,'Étape 1 - à remplir'!$G$31:$G$400,"lots")),IF(CE$2="Espèce",IF(CE$3="Toutes",SUMIFS('Étape 1 - à remplir'!$F$31:$F$400,'Étape 1 - à remplir'!$E$31:$E$400,MASQ2!BV236,'Étape 1 - à remplir'!$G$31:$G$400,"lots"),SUMIFS('Étape 1 - à remplir'!$F$31:$F$400,'Étape 1 - à remplir'!$E$31:$E$400,MASQ2!BV236,'Étape 1 - à remplir'!$N$31:$N$400,CE$3,'Étape 1 - à remplir'!$G$31:$G$400,"lots"))))))=0,NA(),IF(CE$2="Catégorie",IF(CE$3="Toutes",SUMIFS('Étape 1 - à remplir'!$F$31:$F$400,'Étape 1 - à remplir'!$E$31:$E$400,MASQ2!BV236,'Étape 1 - à remplir'!$G$31:$G$400,"lots"),SUMIFS('Étape 1 - à remplir'!$F$31:$F$400,'Étape 1 - à remplir'!$E$31:$E$400,MASQ2!BV236,'Étape 1 - à remplir'!$C$31:$C$400,CE$3)),IF(CE$2="Âge",IF(CE$3="Tous",SUMIFS('Étape 1 - à remplir'!$F$31:$F$400,'Étape 1 - à remplir'!$E$31:$E$400,MASQ2!BV236,'Étape 1 - à remplir'!$G$31:$G$400,"lots"),SUMIFS('Étape 1 - à remplir'!$F$31:$F$400,'Étape 1 - à remplir'!$E$31:$E$400,MASQ2!BV236,'Étape 1 - à remplir'!$P$31:$P$400,CE$3,'Étape 1 - à remplir'!$G$31:$G$400,"lots")),IF(CE$2="Atelier",IF(CE$3="Tous",SUMIFS('Étape 1 - à remplir'!$F$31:$F$400,'Étape 1 - à remplir'!$E$31:$E$400,MASQ2!BV236,'Étape 1 - à remplir'!$G$31:$G$400,"lots"),SUMIFS('Étape 1 - à remplir'!$F$31:$F$400,'Étape 1 - à remplir'!$E$31:$E$400,MASQ2!BV236,'Étape 1 - à remplir'!$O$31:$O$400,CE$3,'Étape 1 - à remplir'!$G$31:$G$400,"lots")),IF(CE$2="Espèce",IF(CE$3="Toutes",SUMIFS('Étape 1 - à remplir'!$F$31:$F$400,'Étape 1 - à remplir'!$E$31:$E$400,MASQ2!BV236,'Étape 1 - à remplir'!$G$31:$G$400,"lots"),SUMIFS('Étape 1 - à remplir'!$F$31:$F$400,'Étape 1 - à remplir'!$E$31:$E$400,MASQ2!BV236,'Étape 1 - à remplir'!$N$31:$N$400,CE$3,'Étape 1 - à remplir'!$G$31:$G$400,"lots")))))))</f>
        <v>#N/A</v>
      </c>
      <c r="BX236">
        <f t="shared" si="208"/>
        <v>0</v>
      </c>
      <c r="BY236" t="str">
        <f t="shared" si="192"/>
        <v>Enrofloxacine</v>
      </c>
      <c r="BZ236" t="str">
        <f t="shared" si="193"/>
        <v/>
      </c>
      <c r="CA236" t="str">
        <f t="shared" si="194"/>
        <v/>
      </c>
      <c r="CB236" t="str">
        <f t="shared" si="195"/>
        <v>Fluoroquinolones</v>
      </c>
      <c r="CC236" t="str">
        <f t="shared" si="196"/>
        <v/>
      </c>
      <c r="CD236" s="63" t="str">
        <f t="shared" si="197"/>
        <v/>
      </c>
      <c r="CG236" s="42">
        <v>233</v>
      </c>
      <c r="CH236" s="42" t="e">
        <f t="shared" si="213"/>
        <v>#N/A</v>
      </c>
      <c r="CI236" s="63" t="e">
        <f t="shared" si="214"/>
        <v>#N/A</v>
      </c>
      <c r="DM236" s="63"/>
      <c r="EA236" s="194" t="str">
        <f t="shared" ca="1" si="198"/>
        <v>x</v>
      </c>
      <c r="EB236" s="226" t="str">
        <f>IFERROR(IF(ED236=0,"",COUNTIF(ED$4:ED$600,"&gt;"&amp;ED236)+COUNTIF(ED$4:ED236,ED236)),"")</f>
        <v/>
      </c>
      <c r="EC236" t="str">
        <f t="shared" si="199"/>
        <v>FLOXIBAC 100 MG/ML SOLUTION INJECTABLE POUR BOVINS ET PORCINS</v>
      </c>
      <c r="ED236" t="e">
        <f>IF(IF(EL$2="Catégorie",IF(EL$3="Toutes",SUMIFS('Étape 1 - à remplir'!$F$31:$F$400,'Étape 1 - à remplir'!$E$31:$E$400,MASQ2!EC236,'Étape 1 - à remplir'!$G$31:$G$400,"kg"),SUMIFS('Étape 1 - à remplir'!$F$31:$F$400,'Étape 1 - à remplir'!$E$31:$E$400,MASQ2!EC236,'Étape 1 - à remplir'!$C$31:$C$400,EL$3)),IF(EL$2="Âge",IF(EL$3="Tous",SUMIFS('Étape 1 - à remplir'!$F$31:$F$400,'Étape 1 - à remplir'!$E$31:$E$400,MASQ2!EC236,'Étape 1 - à remplir'!$G$31:$G$400,"kg"),SUMIFS('Étape 1 - à remplir'!$F$31:$F$400,'Étape 1 - à remplir'!$E$31:$E$400,MASQ2!EC236,'Étape 1 - à remplir'!$P$31:$P$400,EL$3,'Étape 1 - à remplir'!$G$31:$G$400,"kg")),IF(EL$2="Atelier",IF(EL$3="Tous",SUMIFS('Étape 1 - à remplir'!$F$31:$F$400,'Étape 1 - à remplir'!$E$31:$E$400,MASQ2!EC236,'Étape 1 - à remplir'!$G$31:$G$400,"kg"),SUMIFS('Étape 1 - à remplir'!$F$31:$F$400,'Étape 1 - à remplir'!$E$31:$E$400,MASQ2!EC236,'Étape 1 - à remplir'!$O$31:$O$400,EL$3,'Étape 1 - à remplir'!$G$31:$G$400,"kg")),IF(EL$2="Espèce",IF(EL$3="Toutes",SUMIFS('Étape 1 - à remplir'!$F$31:$F$400,'Étape 1 - à remplir'!$E$31:$E$400,MASQ2!EC236,'Étape 1 - à remplir'!$G$31:$G$400,"kg"),SUMIFS('Étape 1 - à remplir'!$F$31:$F$400,'Étape 1 - à remplir'!$E$31:$E$400,MASQ2!EC236,'Étape 1 - à remplir'!$N$31:$N$400,EL$3,'Étape 1 - à remplir'!$G$31:$G$400,"kg"))))))=0,NA(),IF(EL$2="Catégorie",IF(EL$3="Toutes",SUMIFS('Étape 1 - à remplir'!$F$31:$F$400,'Étape 1 - à remplir'!$E$31:$E$400,MASQ2!EC236,'Étape 1 - à remplir'!$G$31:$G$400,"kg"),SUMIFS('Étape 1 - à remplir'!$F$31:$F$400,'Étape 1 - à remplir'!$E$31:$E$400,MASQ2!EC236,'Étape 1 - à remplir'!$C$31:$C$400,EL$3)),IF(EL$2="Âge",IF(EL$3="Tous",SUMIFS('Étape 1 - à remplir'!$F$31:$F$400,'Étape 1 - à remplir'!$E$31:$E$400,MASQ2!EC236,'Étape 1 - à remplir'!$G$31:$G$400,"kg"),SUMIFS('Étape 1 - à remplir'!$F$31:$F$400,'Étape 1 - à remplir'!$E$31:$E$400,MASQ2!EC236,'Étape 1 - à remplir'!$P$31:$P$400,EL$3,'Étape 1 - à remplir'!$G$31:$G$400,"kg")),IF(EL$2="Atelier",IF(EL$3="Tous",SUMIFS('Étape 1 - à remplir'!$F$31:$F$400,'Étape 1 - à remplir'!$E$31:$E$400,MASQ2!EC236,'Étape 1 - à remplir'!$G$31:$G$400,"kg"),SUMIFS('Étape 1 - à remplir'!$F$31:$F$400,'Étape 1 - à remplir'!$E$31:$E$400,MASQ2!EC236,'Étape 1 - à remplir'!$O$31:$O$400,EL$3,'Étape 1 - à remplir'!$G$31:$G$400,"kg")),IF(EL$2="Espèce",IF(EL$3="Toutes",SUMIFS('Étape 1 - à remplir'!$F$31:$F$400,'Étape 1 - à remplir'!$E$31:$E$400,MASQ2!EC236,'Étape 1 - à remplir'!$G$31:$G$400,"kg"),SUMIFS('Étape 1 - à remplir'!$F$31:$F$400,'Étape 1 - à remplir'!$E$31:$E$400,MASQ2!EC236,'Étape 1 - à remplir'!$N$31:$N$400,EL$3,'Étape 1 - à remplir'!$G$31:$G$400,"kg")))))))</f>
        <v>#N/A</v>
      </c>
      <c r="EE236" s="76">
        <f t="shared" si="209"/>
        <v>0</v>
      </c>
      <c r="EF236" t="str">
        <f t="shared" si="200"/>
        <v>Enrofloxacine</v>
      </c>
      <c r="EG236" t="str">
        <f t="shared" si="201"/>
        <v/>
      </c>
      <c r="EH236" t="str">
        <f t="shared" si="202"/>
        <v/>
      </c>
      <c r="EI236" t="str">
        <f t="shared" si="203"/>
        <v>Fluoroquinolones</v>
      </c>
      <c r="EJ236" t="str">
        <f t="shared" si="204"/>
        <v/>
      </c>
      <c r="EK236" s="63" t="str">
        <f t="shared" si="205"/>
        <v/>
      </c>
      <c r="EN236" s="42">
        <v>233</v>
      </c>
      <c r="EO236" t="e">
        <f t="shared" si="211"/>
        <v>#N/A</v>
      </c>
      <c r="EP236" s="63" t="e">
        <f t="shared" si="212"/>
        <v>#N/A</v>
      </c>
      <c r="FT236" s="63"/>
    </row>
    <row r="237" spans="2:176" x14ac:dyDescent="0.3">
      <c r="B237" s="42"/>
      <c r="M237" s="194" t="str">
        <f ca="1">INDEX(Données_ATB!BD:BU,MATCH(MASQ2!O237,Données_ATB!BD:BD,0),18)</f>
        <v>x</v>
      </c>
      <c r="N237" s="14" t="str">
        <f>IFERROR(IF(Q237=0,"",COUNTIF(Q$4:Q$600,"&gt;"&amp;Q237)+COUNTIF(Q$4:Q237,Q237)),"")</f>
        <v/>
      </c>
      <c r="O237" t="str">
        <f>Données_ATB!BD236</f>
        <v>FLOXIBAC 50 MG/ML SOLUTION INJECTABLE POUR BOVINS, PORCINS, CHIENS ET CHATS</v>
      </c>
      <c r="P237" t="e">
        <f>IF(IF(X$2="Catégorie",IF(X$3="Toutes",SUMIFS('Étape 1 - à remplir'!$F$31:$F$400,'Étape 1 - à remplir'!$E$31:$E$400,MASQ2!O237,'Étape 1 - à remplir'!$G$31:$G$400,"animaux"),SUMIFS('Étape 1 - à remplir'!$F$31:$F$400,'Étape 1 - à remplir'!$E$31:$E$400,MASQ2!O237,'Étape 1 - à remplir'!$C$31:$C$400,X$3)),IF(X$2="Âge",IF(X$3="Tous",SUMIFS('Étape 1 - à remplir'!$F$31:$F$400,'Étape 1 - à remplir'!$E$31:$E$400,MASQ2!O237,'Étape 1 - à remplir'!$G$31:$G$400,"animaux"),SUMIFS('Étape 1 - à remplir'!$F$31:$F$400,'Étape 1 - à remplir'!$E$31:$E$400,MASQ2!O237,'Étape 1 - à remplir'!$P$31:$P$400,X$3)),IF(X$2="Atelier",IF(X$3="Tous",SUMIFS('Étape 1 - à remplir'!$F$31:$F$400,'Étape 1 - à remplir'!$E$31:$E$400,MASQ2!O237,'Étape 1 - à remplir'!$G$31:$G$400,"animaux"),SUMIFS('Étape 1 - à remplir'!$F$31:$F$400,'Étape 1 - à remplir'!$E$31:$E$400,MASQ2!O237,'Étape 1 - à remplir'!$O$31:$O$400,X$3)),IF(X$2="Espèce",IF(X$3="Toutes",SUMIFS('Étape 1 - à remplir'!$F$31:$F$400,'Étape 1 - à remplir'!$E$31:$E$400,MASQ2!O237,'Étape 1 - à remplir'!$G$31:$G$400,"animaux"),SUMIFS('Étape 1 - à remplir'!$F$31:$F$400,'Étape 1 - à remplir'!$E$31:$E$400,MASQ2!O237,'Étape 1 - à remplir'!$N$31:$N$400,X$3))))))=0,NA(),IF(X$2="Catégorie",IF(X$3="Toutes",SUMIFS('Étape 1 - à remplir'!$F$31:$F$400,'Étape 1 - à remplir'!$E$31:$E$400,MASQ2!O237,'Étape 1 - à remplir'!$G$31:$G$400,"animaux"),SUMIFS('Étape 1 - à remplir'!$F$31:$F$400,'Étape 1 - à remplir'!$E$31:$E$400,MASQ2!O237,'Étape 1 - à remplir'!$C$31:$C$400,X$3)),IF(X$2="Âge",IF(X$3="Tous",SUMIFS('Étape 1 - à remplir'!$F$31:$F$400,'Étape 1 - à remplir'!$E$31:$E$400,MASQ2!O237,'Étape 1 - à remplir'!$G$31:$G$400,"animaux"),SUMIFS('Étape 1 - à remplir'!$F$31:$F$400,'Étape 1 - à remplir'!$E$31:$E$400,MASQ2!O237,'Étape 1 - à remplir'!$P$31:$P$400,X$3)),IF(X$2="Atelier",IF(X$3="Tous",SUMIFS('Étape 1 - à remplir'!$F$31:$F$400,'Étape 1 - à remplir'!$E$31:$E$400,MASQ2!O237,'Étape 1 - à remplir'!$G$31:$G$400,"animaux"),SUMIFS('Étape 1 - à remplir'!$F$31:$F$400,'Étape 1 - à remplir'!$E$31:$E$400,MASQ2!O237,'Étape 1 - à remplir'!$O$31:$O$400,X$3)),IF(X$2="Espèce",IF(X$3="Toutes",SUMIFS('Étape 1 - à remplir'!$F$31:$F$400,'Étape 1 - à remplir'!$E$31:$E$400,MASQ2!O237,'Étape 1 - à remplir'!$G$31:$G$400,"animaux"),SUMIFS('Étape 1 - à remplir'!$F$31:$F$400,'Étape 1 - à remplir'!$E$31:$E$400,MASQ2!O237,'Étape 1 - à remplir'!$N$31:$N$400,X$3)))))))</f>
        <v>#N/A</v>
      </c>
      <c r="Q237" s="63">
        <f t="shared" si="210"/>
        <v>0</v>
      </c>
      <c r="R237" t="str">
        <f>Données_ATB!BM236</f>
        <v>Enrofloxacine</v>
      </c>
      <c r="S237" t="str">
        <f>Données_ATB!BN236</f>
        <v/>
      </c>
      <c r="T237" s="63" t="str">
        <f>Données_ATB!BO236</f>
        <v/>
      </c>
      <c r="U237" s="42" t="str">
        <f>Données_ATB!BQ236</f>
        <v>Fluoroquinolones</v>
      </c>
      <c r="V237" t="str">
        <f>Données_ATB!BR236</f>
        <v/>
      </c>
      <c r="W237" s="63" t="str">
        <f>Données_ATB!BS236</f>
        <v/>
      </c>
      <c r="Z237" s="42">
        <v>234</v>
      </c>
      <c r="AA237" t="e">
        <f t="shared" si="206"/>
        <v>#N/A</v>
      </c>
      <c r="AB237" s="63" t="e">
        <f t="shared" si="207"/>
        <v>#N/A</v>
      </c>
      <c r="BF237" s="63"/>
      <c r="BT237" s="194" t="str">
        <f t="shared" ca="1" si="190"/>
        <v>x</v>
      </c>
      <c r="BU237" s="219" t="str">
        <f>IFERROR(IF(BX237=0,"",COUNTIF(BX$4:BX$600,"&gt;"&amp;BX237)+COUNTIF(BX$4:BX237,BX237)),"")</f>
        <v/>
      </c>
      <c r="BV237" s="42" t="str">
        <f t="shared" si="191"/>
        <v>FLOXIBAC 50 MG/ML SOLUTION INJECTABLE POUR BOVINS, PORCINS, CHIENS ET CHATS</v>
      </c>
      <c r="BW237" t="e">
        <f>IF(IF(CE$2="Catégorie",IF(CE$3="Toutes",SUMIFS('Étape 1 - à remplir'!$F$31:$F$400,'Étape 1 - à remplir'!$E$31:$E$400,MASQ2!BV237,'Étape 1 - à remplir'!$G$31:$G$400,"lots"),SUMIFS('Étape 1 - à remplir'!$F$31:$F$400,'Étape 1 - à remplir'!$E$31:$E$400,MASQ2!BV237,'Étape 1 - à remplir'!$C$31:$C$400,CE$3)),IF(CE$2="Âge",IF(CE$3="Tous",SUMIFS('Étape 1 - à remplir'!$F$31:$F$400,'Étape 1 - à remplir'!$E$31:$E$400,MASQ2!BV237,'Étape 1 - à remplir'!$G$31:$G$400,"lots"),SUMIFS('Étape 1 - à remplir'!$F$31:$F$400,'Étape 1 - à remplir'!$E$31:$E$400,MASQ2!BV237,'Étape 1 - à remplir'!$P$31:$P$400,CE$3,'Étape 1 - à remplir'!$G$31:$G$400,"lots")),IF(CE$2="Atelier",IF(CE$3="Tous",SUMIFS('Étape 1 - à remplir'!$F$31:$F$400,'Étape 1 - à remplir'!$E$31:$E$400,MASQ2!BV237,'Étape 1 - à remplir'!$G$31:$G$400,"lots"),SUMIFS('Étape 1 - à remplir'!$F$31:$F$400,'Étape 1 - à remplir'!$E$31:$E$400,MASQ2!BV237,'Étape 1 - à remplir'!$O$31:$O$400,CE$3,'Étape 1 - à remplir'!$G$31:$G$400,"lots")),IF(CE$2="Espèce",IF(CE$3="Toutes",SUMIFS('Étape 1 - à remplir'!$F$31:$F$400,'Étape 1 - à remplir'!$E$31:$E$400,MASQ2!BV237,'Étape 1 - à remplir'!$G$31:$G$400,"lots"),SUMIFS('Étape 1 - à remplir'!$F$31:$F$400,'Étape 1 - à remplir'!$E$31:$E$400,MASQ2!BV237,'Étape 1 - à remplir'!$N$31:$N$400,CE$3,'Étape 1 - à remplir'!$G$31:$G$400,"lots"))))))=0,NA(),IF(CE$2="Catégorie",IF(CE$3="Toutes",SUMIFS('Étape 1 - à remplir'!$F$31:$F$400,'Étape 1 - à remplir'!$E$31:$E$400,MASQ2!BV237,'Étape 1 - à remplir'!$G$31:$G$400,"lots"),SUMIFS('Étape 1 - à remplir'!$F$31:$F$400,'Étape 1 - à remplir'!$E$31:$E$400,MASQ2!BV237,'Étape 1 - à remplir'!$C$31:$C$400,CE$3)),IF(CE$2="Âge",IF(CE$3="Tous",SUMIFS('Étape 1 - à remplir'!$F$31:$F$400,'Étape 1 - à remplir'!$E$31:$E$400,MASQ2!BV237,'Étape 1 - à remplir'!$G$31:$G$400,"lots"),SUMIFS('Étape 1 - à remplir'!$F$31:$F$400,'Étape 1 - à remplir'!$E$31:$E$400,MASQ2!BV237,'Étape 1 - à remplir'!$P$31:$P$400,CE$3,'Étape 1 - à remplir'!$G$31:$G$400,"lots")),IF(CE$2="Atelier",IF(CE$3="Tous",SUMIFS('Étape 1 - à remplir'!$F$31:$F$400,'Étape 1 - à remplir'!$E$31:$E$400,MASQ2!BV237,'Étape 1 - à remplir'!$G$31:$G$400,"lots"),SUMIFS('Étape 1 - à remplir'!$F$31:$F$400,'Étape 1 - à remplir'!$E$31:$E$400,MASQ2!BV237,'Étape 1 - à remplir'!$O$31:$O$400,CE$3,'Étape 1 - à remplir'!$G$31:$G$400,"lots")),IF(CE$2="Espèce",IF(CE$3="Toutes",SUMIFS('Étape 1 - à remplir'!$F$31:$F$400,'Étape 1 - à remplir'!$E$31:$E$400,MASQ2!BV237,'Étape 1 - à remplir'!$G$31:$G$400,"lots"),SUMIFS('Étape 1 - à remplir'!$F$31:$F$400,'Étape 1 - à remplir'!$E$31:$E$400,MASQ2!BV237,'Étape 1 - à remplir'!$N$31:$N$400,CE$3,'Étape 1 - à remplir'!$G$31:$G$400,"lots")))))))</f>
        <v>#N/A</v>
      </c>
      <c r="BX237">
        <f t="shared" si="208"/>
        <v>0</v>
      </c>
      <c r="BY237" t="str">
        <f t="shared" si="192"/>
        <v>Enrofloxacine</v>
      </c>
      <c r="BZ237" t="str">
        <f t="shared" si="193"/>
        <v/>
      </c>
      <c r="CA237" t="str">
        <f t="shared" si="194"/>
        <v/>
      </c>
      <c r="CB237" t="str">
        <f t="shared" si="195"/>
        <v>Fluoroquinolones</v>
      </c>
      <c r="CC237" t="str">
        <f t="shared" si="196"/>
        <v/>
      </c>
      <c r="CD237" s="63" t="str">
        <f t="shared" si="197"/>
        <v/>
      </c>
      <c r="CG237" s="42">
        <v>234</v>
      </c>
      <c r="CH237" s="42" t="e">
        <f t="shared" si="213"/>
        <v>#N/A</v>
      </c>
      <c r="CI237" s="63" t="e">
        <f t="shared" si="214"/>
        <v>#N/A</v>
      </c>
      <c r="DM237" s="63"/>
      <c r="EA237" s="194" t="str">
        <f t="shared" ca="1" si="198"/>
        <v>x</v>
      </c>
      <c r="EB237" s="226" t="str">
        <f>IFERROR(IF(ED237=0,"",COUNTIF(ED$4:ED$600,"&gt;"&amp;ED237)+COUNTIF(ED$4:ED237,ED237)),"")</f>
        <v/>
      </c>
      <c r="EC237" t="str">
        <f t="shared" si="199"/>
        <v>FLOXIBAC 50 MG/ML SOLUTION INJECTABLE POUR BOVINS, PORCINS, CHIENS ET CHATS</v>
      </c>
      <c r="ED237" t="e">
        <f>IF(IF(EL$2="Catégorie",IF(EL$3="Toutes",SUMIFS('Étape 1 - à remplir'!$F$31:$F$400,'Étape 1 - à remplir'!$E$31:$E$400,MASQ2!EC237,'Étape 1 - à remplir'!$G$31:$G$400,"kg"),SUMIFS('Étape 1 - à remplir'!$F$31:$F$400,'Étape 1 - à remplir'!$E$31:$E$400,MASQ2!EC237,'Étape 1 - à remplir'!$C$31:$C$400,EL$3)),IF(EL$2="Âge",IF(EL$3="Tous",SUMIFS('Étape 1 - à remplir'!$F$31:$F$400,'Étape 1 - à remplir'!$E$31:$E$400,MASQ2!EC237,'Étape 1 - à remplir'!$G$31:$G$400,"kg"),SUMIFS('Étape 1 - à remplir'!$F$31:$F$400,'Étape 1 - à remplir'!$E$31:$E$400,MASQ2!EC237,'Étape 1 - à remplir'!$P$31:$P$400,EL$3,'Étape 1 - à remplir'!$G$31:$G$400,"kg")),IF(EL$2="Atelier",IF(EL$3="Tous",SUMIFS('Étape 1 - à remplir'!$F$31:$F$400,'Étape 1 - à remplir'!$E$31:$E$400,MASQ2!EC237,'Étape 1 - à remplir'!$G$31:$G$400,"kg"),SUMIFS('Étape 1 - à remplir'!$F$31:$F$400,'Étape 1 - à remplir'!$E$31:$E$400,MASQ2!EC237,'Étape 1 - à remplir'!$O$31:$O$400,EL$3,'Étape 1 - à remplir'!$G$31:$G$400,"kg")),IF(EL$2="Espèce",IF(EL$3="Toutes",SUMIFS('Étape 1 - à remplir'!$F$31:$F$400,'Étape 1 - à remplir'!$E$31:$E$400,MASQ2!EC237,'Étape 1 - à remplir'!$G$31:$G$400,"kg"),SUMIFS('Étape 1 - à remplir'!$F$31:$F$400,'Étape 1 - à remplir'!$E$31:$E$400,MASQ2!EC237,'Étape 1 - à remplir'!$N$31:$N$400,EL$3,'Étape 1 - à remplir'!$G$31:$G$400,"kg"))))))=0,NA(),IF(EL$2="Catégorie",IF(EL$3="Toutes",SUMIFS('Étape 1 - à remplir'!$F$31:$F$400,'Étape 1 - à remplir'!$E$31:$E$400,MASQ2!EC237,'Étape 1 - à remplir'!$G$31:$G$400,"kg"),SUMIFS('Étape 1 - à remplir'!$F$31:$F$400,'Étape 1 - à remplir'!$E$31:$E$400,MASQ2!EC237,'Étape 1 - à remplir'!$C$31:$C$400,EL$3)),IF(EL$2="Âge",IF(EL$3="Tous",SUMIFS('Étape 1 - à remplir'!$F$31:$F$400,'Étape 1 - à remplir'!$E$31:$E$400,MASQ2!EC237,'Étape 1 - à remplir'!$G$31:$G$400,"kg"),SUMIFS('Étape 1 - à remplir'!$F$31:$F$400,'Étape 1 - à remplir'!$E$31:$E$400,MASQ2!EC237,'Étape 1 - à remplir'!$P$31:$P$400,EL$3,'Étape 1 - à remplir'!$G$31:$G$400,"kg")),IF(EL$2="Atelier",IF(EL$3="Tous",SUMIFS('Étape 1 - à remplir'!$F$31:$F$400,'Étape 1 - à remplir'!$E$31:$E$400,MASQ2!EC237,'Étape 1 - à remplir'!$G$31:$G$400,"kg"),SUMIFS('Étape 1 - à remplir'!$F$31:$F$400,'Étape 1 - à remplir'!$E$31:$E$400,MASQ2!EC237,'Étape 1 - à remplir'!$O$31:$O$400,EL$3,'Étape 1 - à remplir'!$G$31:$G$400,"kg")),IF(EL$2="Espèce",IF(EL$3="Toutes",SUMIFS('Étape 1 - à remplir'!$F$31:$F$400,'Étape 1 - à remplir'!$E$31:$E$400,MASQ2!EC237,'Étape 1 - à remplir'!$G$31:$G$400,"kg"),SUMIFS('Étape 1 - à remplir'!$F$31:$F$400,'Étape 1 - à remplir'!$E$31:$E$400,MASQ2!EC237,'Étape 1 - à remplir'!$N$31:$N$400,EL$3,'Étape 1 - à remplir'!$G$31:$G$400,"kg")))))))</f>
        <v>#N/A</v>
      </c>
      <c r="EE237" s="76">
        <f t="shared" si="209"/>
        <v>0</v>
      </c>
      <c r="EF237" t="str">
        <f t="shared" si="200"/>
        <v>Enrofloxacine</v>
      </c>
      <c r="EG237" t="str">
        <f t="shared" si="201"/>
        <v/>
      </c>
      <c r="EH237" t="str">
        <f t="shared" si="202"/>
        <v/>
      </c>
      <c r="EI237" t="str">
        <f t="shared" si="203"/>
        <v>Fluoroquinolones</v>
      </c>
      <c r="EJ237" t="str">
        <f t="shared" si="204"/>
        <v/>
      </c>
      <c r="EK237" s="63" t="str">
        <f t="shared" si="205"/>
        <v/>
      </c>
      <c r="EN237" s="42">
        <v>234</v>
      </c>
      <c r="EO237" t="e">
        <f t="shared" si="211"/>
        <v>#N/A</v>
      </c>
      <c r="EP237" s="63" t="e">
        <f t="shared" si="212"/>
        <v>#N/A</v>
      </c>
      <c r="FT237" s="63"/>
    </row>
    <row r="238" spans="2:176" x14ac:dyDescent="0.3">
      <c r="B238" s="42"/>
      <c r="M238" s="194" t="str">
        <f ca="1">INDEX(Données_ATB!BD:BU,MATCH(MASQ2!O238,Données_ATB!BD:BD,0),18)</f>
        <v/>
      </c>
      <c r="N238" s="14" t="str">
        <f>IFERROR(IF(Q238=0,"",COUNTIF(Q$4:Q$600,"&gt;"&amp;Q238)+COUNTIF(Q$4:Q238,Q238)),"")</f>
        <v/>
      </c>
      <c r="O238" t="str">
        <f>Données_ATB!BD237</f>
        <v>FLOXYME 50 MG/ML SOLUTION POUR EAU DE BOISSON</v>
      </c>
      <c r="P238" t="e">
        <f>IF(IF(X$2="Catégorie",IF(X$3="Toutes",SUMIFS('Étape 1 - à remplir'!$F$31:$F$400,'Étape 1 - à remplir'!$E$31:$E$400,MASQ2!O238,'Étape 1 - à remplir'!$G$31:$G$400,"animaux"),SUMIFS('Étape 1 - à remplir'!$F$31:$F$400,'Étape 1 - à remplir'!$E$31:$E$400,MASQ2!O238,'Étape 1 - à remplir'!$C$31:$C$400,X$3)),IF(X$2="Âge",IF(X$3="Tous",SUMIFS('Étape 1 - à remplir'!$F$31:$F$400,'Étape 1 - à remplir'!$E$31:$E$400,MASQ2!O238,'Étape 1 - à remplir'!$G$31:$G$400,"animaux"),SUMIFS('Étape 1 - à remplir'!$F$31:$F$400,'Étape 1 - à remplir'!$E$31:$E$400,MASQ2!O238,'Étape 1 - à remplir'!$P$31:$P$400,X$3)),IF(X$2="Atelier",IF(X$3="Tous",SUMIFS('Étape 1 - à remplir'!$F$31:$F$400,'Étape 1 - à remplir'!$E$31:$E$400,MASQ2!O238,'Étape 1 - à remplir'!$G$31:$G$400,"animaux"),SUMIFS('Étape 1 - à remplir'!$F$31:$F$400,'Étape 1 - à remplir'!$E$31:$E$400,MASQ2!O238,'Étape 1 - à remplir'!$O$31:$O$400,X$3)),IF(X$2="Espèce",IF(X$3="Toutes",SUMIFS('Étape 1 - à remplir'!$F$31:$F$400,'Étape 1 - à remplir'!$E$31:$E$400,MASQ2!O238,'Étape 1 - à remplir'!$G$31:$G$400,"animaux"),SUMIFS('Étape 1 - à remplir'!$F$31:$F$400,'Étape 1 - à remplir'!$E$31:$E$400,MASQ2!O238,'Étape 1 - à remplir'!$N$31:$N$400,X$3))))))=0,NA(),IF(X$2="Catégorie",IF(X$3="Toutes",SUMIFS('Étape 1 - à remplir'!$F$31:$F$400,'Étape 1 - à remplir'!$E$31:$E$400,MASQ2!O238,'Étape 1 - à remplir'!$G$31:$G$400,"animaux"),SUMIFS('Étape 1 - à remplir'!$F$31:$F$400,'Étape 1 - à remplir'!$E$31:$E$400,MASQ2!O238,'Étape 1 - à remplir'!$C$31:$C$400,X$3)),IF(X$2="Âge",IF(X$3="Tous",SUMIFS('Étape 1 - à remplir'!$F$31:$F$400,'Étape 1 - à remplir'!$E$31:$E$400,MASQ2!O238,'Étape 1 - à remplir'!$G$31:$G$400,"animaux"),SUMIFS('Étape 1 - à remplir'!$F$31:$F$400,'Étape 1 - à remplir'!$E$31:$E$400,MASQ2!O238,'Étape 1 - à remplir'!$P$31:$P$400,X$3)),IF(X$2="Atelier",IF(X$3="Tous",SUMIFS('Étape 1 - à remplir'!$F$31:$F$400,'Étape 1 - à remplir'!$E$31:$E$400,MASQ2!O238,'Étape 1 - à remplir'!$G$31:$G$400,"animaux"),SUMIFS('Étape 1 - à remplir'!$F$31:$F$400,'Étape 1 - à remplir'!$E$31:$E$400,MASQ2!O238,'Étape 1 - à remplir'!$O$31:$O$400,X$3)),IF(X$2="Espèce",IF(X$3="Toutes",SUMIFS('Étape 1 - à remplir'!$F$31:$F$400,'Étape 1 - à remplir'!$E$31:$E$400,MASQ2!O238,'Étape 1 - à remplir'!$G$31:$G$400,"animaux"),SUMIFS('Étape 1 - à remplir'!$F$31:$F$400,'Étape 1 - à remplir'!$E$31:$E$400,MASQ2!O238,'Étape 1 - à remplir'!$N$31:$N$400,X$3)))))))</f>
        <v>#N/A</v>
      </c>
      <c r="Q238" s="63">
        <f t="shared" si="210"/>
        <v>0</v>
      </c>
      <c r="R238" t="str">
        <f>Données_ATB!BM237</f>
        <v>Florfénicol</v>
      </c>
      <c r="S238" t="str">
        <f>Données_ATB!BN237</f>
        <v/>
      </c>
      <c r="T238" s="63" t="str">
        <f>Données_ATB!BO237</f>
        <v/>
      </c>
      <c r="U238" s="42" t="str">
        <f>Données_ATB!BQ237</f>
        <v>Phenicoles</v>
      </c>
      <c r="V238" t="str">
        <f>Données_ATB!BR237</f>
        <v/>
      </c>
      <c r="W238" s="63" t="str">
        <f>Données_ATB!BS237</f>
        <v/>
      </c>
      <c r="Z238" s="42">
        <v>235</v>
      </c>
      <c r="AA238" t="e">
        <f t="shared" si="206"/>
        <v>#N/A</v>
      </c>
      <c r="AB238" s="63" t="e">
        <f t="shared" si="207"/>
        <v>#N/A</v>
      </c>
      <c r="BF238" s="63"/>
      <c r="BT238" s="194" t="str">
        <f t="shared" ca="1" si="190"/>
        <v/>
      </c>
      <c r="BU238" s="219" t="str">
        <f>IFERROR(IF(BX238=0,"",COUNTIF(BX$4:BX$600,"&gt;"&amp;BX238)+COUNTIF(BX$4:BX238,BX238)),"")</f>
        <v/>
      </c>
      <c r="BV238" s="42" t="str">
        <f t="shared" si="191"/>
        <v>FLOXYME 50 MG/ML SOLUTION POUR EAU DE BOISSON</v>
      </c>
      <c r="BW238" t="e">
        <f>IF(IF(CE$2="Catégorie",IF(CE$3="Toutes",SUMIFS('Étape 1 - à remplir'!$F$31:$F$400,'Étape 1 - à remplir'!$E$31:$E$400,MASQ2!BV238,'Étape 1 - à remplir'!$G$31:$G$400,"lots"),SUMIFS('Étape 1 - à remplir'!$F$31:$F$400,'Étape 1 - à remplir'!$E$31:$E$400,MASQ2!BV238,'Étape 1 - à remplir'!$C$31:$C$400,CE$3)),IF(CE$2="Âge",IF(CE$3="Tous",SUMIFS('Étape 1 - à remplir'!$F$31:$F$400,'Étape 1 - à remplir'!$E$31:$E$400,MASQ2!BV238,'Étape 1 - à remplir'!$G$31:$G$400,"lots"),SUMIFS('Étape 1 - à remplir'!$F$31:$F$400,'Étape 1 - à remplir'!$E$31:$E$400,MASQ2!BV238,'Étape 1 - à remplir'!$P$31:$P$400,CE$3,'Étape 1 - à remplir'!$G$31:$G$400,"lots")),IF(CE$2="Atelier",IF(CE$3="Tous",SUMIFS('Étape 1 - à remplir'!$F$31:$F$400,'Étape 1 - à remplir'!$E$31:$E$400,MASQ2!BV238,'Étape 1 - à remplir'!$G$31:$G$400,"lots"),SUMIFS('Étape 1 - à remplir'!$F$31:$F$400,'Étape 1 - à remplir'!$E$31:$E$400,MASQ2!BV238,'Étape 1 - à remplir'!$O$31:$O$400,CE$3,'Étape 1 - à remplir'!$G$31:$G$400,"lots")),IF(CE$2="Espèce",IF(CE$3="Toutes",SUMIFS('Étape 1 - à remplir'!$F$31:$F$400,'Étape 1 - à remplir'!$E$31:$E$400,MASQ2!BV238,'Étape 1 - à remplir'!$G$31:$G$400,"lots"),SUMIFS('Étape 1 - à remplir'!$F$31:$F$400,'Étape 1 - à remplir'!$E$31:$E$400,MASQ2!BV238,'Étape 1 - à remplir'!$N$31:$N$400,CE$3,'Étape 1 - à remplir'!$G$31:$G$400,"lots"))))))=0,NA(),IF(CE$2="Catégorie",IF(CE$3="Toutes",SUMIFS('Étape 1 - à remplir'!$F$31:$F$400,'Étape 1 - à remplir'!$E$31:$E$400,MASQ2!BV238,'Étape 1 - à remplir'!$G$31:$G$400,"lots"),SUMIFS('Étape 1 - à remplir'!$F$31:$F$400,'Étape 1 - à remplir'!$E$31:$E$400,MASQ2!BV238,'Étape 1 - à remplir'!$C$31:$C$400,CE$3)),IF(CE$2="Âge",IF(CE$3="Tous",SUMIFS('Étape 1 - à remplir'!$F$31:$F$400,'Étape 1 - à remplir'!$E$31:$E$400,MASQ2!BV238,'Étape 1 - à remplir'!$G$31:$G$400,"lots"),SUMIFS('Étape 1 - à remplir'!$F$31:$F$400,'Étape 1 - à remplir'!$E$31:$E$400,MASQ2!BV238,'Étape 1 - à remplir'!$P$31:$P$400,CE$3,'Étape 1 - à remplir'!$G$31:$G$400,"lots")),IF(CE$2="Atelier",IF(CE$3="Tous",SUMIFS('Étape 1 - à remplir'!$F$31:$F$400,'Étape 1 - à remplir'!$E$31:$E$400,MASQ2!BV238,'Étape 1 - à remplir'!$G$31:$G$400,"lots"),SUMIFS('Étape 1 - à remplir'!$F$31:$F$400,'Étape 1 - à remplir'!$E$31:$E$400,MASQ2!BV238,'Étape 1 - à remplir'!$O$31:$O$400,CE$3,'Étape 1 - à remplir'!$G$31:$G$400,"lots")),IF(CE$2="Espèce",IF(CE$3="Toutes",SUMIFS('Étape 1 - à remplir'!$F$31:$F$400,'Étape 1 - à remplir'!$E$31:$E$400,MASQ2!BV238,'Étape 1 - à remplir'!$G$31:$G$400,"lots"),SUMIFS('Étape 1 - à remplir'!$F$31:$F$400,'Étape 1 - à remplir'!$E$31:$E$400,MASQ2!BV238,'Étape 1 - à remplir'!$N$31:$N$400,CE$3,'Étape 1 - à remplir'!$G$31:$G$400,"lots")))))))</f>
        <v>#N/A</v>
      </c>
      <c r="BX238">
        <f t="shared" si="208"/>
        <v>0</v>
      </c>
      <c r="BY238" t="str">
        <f t="shared" si="192"/>
        <v>Florfénicol</v>
      </c>
      <c r="BZ238" t="str">
        <f t="shared" si="193"/>
        <v/>
      </c>
      <c r="CA238" t="str">
        <f t="shared" si="194"/>
        <v/>
      </c>
      <c r="CB238" t="str">
        <f t="shared" si="195"/>
        <v>Phenicoles</v>
      </c>
      <c r="CC238" t="str">
        <f t="shared" si="196"/>
        <v/>
      </c>
      <c r="CD238" s="63" t="str">
        <f t="shared" si="197"/>
        <v/>
      </c>
      <c r="CG238" s="42">
        <v>235</v>
      </c>
      <c r="CH238" s="42" t="e">
        <f t="shared" si="213"/>
        <v>#N/A</v>
      </c>
      <c r="CI238" s="63" t="e">
        <f t="shared" si="214"/>
        <v>#N/A</v>
      </c>
      <c r="DM238" s="63"/>
      <c r="EA238" s="194" t="str">
        <f t="shared" ca="1" si="198"/>
        <v/>
      </c>
      <c r="EB238" s="226" t="str">
        <f>IFERROR(IF(ED238=0,"",COUNTIF(ED$4:ED$600,"&gt;"&amp;ED238)+COUNTIF(ED$4:ED238,ED238)),"")</f>
        <v/>
      </c>
      <c r="EC238" t="str">
        <f t="shared" si="199"/>
        <v>FLOXYME 50 MG/ML SOLUTION POUR EAU DE BOISSON</v>
      </c>
      <c r="ED238" t="e">
        <f>IF(IF(EL$2="Catégorie",IF(EL$3="Toutes",SUMIFS('Étape 1 - à remplir'!$F$31:$F$400,'Étape 1 - à remplir'!$E$31:$E$400,MASQ2!EC238,'Étape 1 - à remplir'!$G$31:$G$400,"kg"),SUMIFS('Étape 1 - à remplir'!$F$31:$F$400,'Étape 1 - à remplir'!$E$31:$E$400,MASQ2!EC238,'Étape 1 - à remplir'!$C$31:$C$400,EL$3)),IF(EL$2="Âge",IF(EL$3="Tous",SUMIFS('Étape 1 - à remplir'!$F$31:$F$400,'Étape 1 - à remplir'!$E$31:$E$400,MASQ2!EC238,'Étape 1 - à remplir'!$G$31:$G$400,"kg"),SUMIFS('Étape 1 - à remplir'!$F$31:$F$400,'Étape 1 - à remplir'!$E$31:$E$400,MASQ2!EC238,'Étape 1 - à remplir'!$P$31:$P$400,EL$3,'Étape 1 - à remplir'!$G$31:$G$400,"kg")),IF(EL$2="Atelier",IF(EL$3="Tous",SUMIFS('Étape 1 - à remplir'!$F$31:$F$400,'Étape 1 - à remplir'!$E$31:$E$400,MASQ2!EC238,'Étape 1 - à remplir'!$G$31:$G$400,"kg"),SUMIFS('Étape 1 - à remplir'!$F$31:$F$400,'Étape 1 - à remplir'!$E$31:$E$400,MASQ2!EC238,'Étape 1 - à remplir'!$O$31:$O$400,EL$3,'Étape 1 - à remplir'!$G$31:$G$400,"kg")),IF(EL$2="Espèce",IF(EL$3="Toutes",SUMIFS('Étape 1 - à remplir'!$F$31:$F$400,'Étape 1 - à remplir'!$E$31:$E$400,MASQ2!EC238,'Étape 1 - à remplir'!$G$31:$G$400,"kg"),SUMIFS('Étape 1 - à remplir'!$F$31:$F$400,'Étape 1 - à remplir'!$E$31:$E$400,MASQ2!EC238,'Étape 1 - à remplir'!$N$31:$N$400,EL$3,'Étape 1 - à remplir'!$G$31:$G$400,"kg"))))))=0,NA(),IF(EL$2="Catégorie",IF(EL$3="Toutes",SUMIFS('Étape 1 - à remplir'!$F$31:$F$400,'Étape 1 - à remplir'!$E$31:$E$400,MASQ2!EC238,'Étape 1 - à remplir'!$G$31:$G$400,"kg"),SUMIFS('Étape 1 - à remplir'!$F$31:$F$400,'Étape 1 - à remplir'!$E$31:$E$400,MASQ2!EC238,'Étape 1 - à remplir'!$C$31:$C$400,EL$3)),IF(EL$2="Âge",IF(EL$3="Tous",SUMIFS('Étape 1 - à remplir'!$F$31:$F$400,'Étape 1 - à remplir'!$E$31:$E$400,MASQ2!EC238,'Étape 1 - à remplir'!$G$31:$G$400,"kg"),SUMIFS('Étape 1 - à remplir'!$F$31:$F$400,'Étape 1 - à remplir'!$E$31:$E$400,MASQ2!EC238,'Étape 1 - à remplir'!$P$31:$P$400,EL$3,'Étape 1 - à remplir'!$G$31:$G$400,"kg")),IF(EL$2="Atelier",IF(EL$3="Tous",SUMIFS('Étape 1 - à remplir'!$F$31:$F$400,'Étape 1 - à remplir'!$E$31:$E$400,MASQ2!EC238,'Étape 1 - à remplir'!$G$31:$G$400,"kg"),SUMIFS('Étape 1 - à remplir'!$F$31:$F$400,'Étape 1 - à remplir'!$E$31:$E$400,MASQ2!EC238,'Étape 1 - à remplir'!$O$31:$O$400,EL$3,'Étape 1 - à remplir'!$G$31:$G$400,"kg")),IF(EL$2="Espèce",IF(EL$3="Toutes",SUMIFS('Étape 1 - à remplir'!$F$31:$F$400,'Étape 1 - à remplir'!$E$31:$E$400,MASQ2!EC238,'Étape 1 - à remplir'!$G$31:$G$400,"kg"),SUMIFS('Étape 1 - à remplir'!$F$31:$F$400,'Étape 1 - à remplir'!$E$31:$E$400,MASQ2!EC238,'Étape 1 - à remplir'!$N$31:$N$400,EL$3,'Étape 1 - à remplir'!$G$31:$G$400,"kg")))))))</f>
        <v>#N/A</v>
      </c>
      <c r="EE238" s="76">
        <f t="shared" si="209"/>
        <v>0</v>
      </c>
      <c r="EF238" t="str">
        <f t="shared" si="200"/>
        <v>Florfénicol</v>
      </c>
      <c r="EG238" t="str">
        <f t="shared" si="201"/>
        <v/>
      </c>
      <c r="EH238" t="str">
        <f t="shared" si="202"/>
        <v/>
      </c>
      <c r="EI238" t="str">
        <f t="shared" si="203"/>
        <v>Phenicoles</v>
      </c>
      <c r="EJ238" t="str">
        <f t="shared" si="204"/>
        <v/>
      </c>
      <c r="EK238" s="63" t="str">
        <f t="shared" si="205"/>
        <v/>
      </c>
      <c r="EN238" s="42">
        <v>235</v>
      </c>
      <c r="EO238" t="e">
        <f t="shared" si="211"/>
        <v>#N/A</v>
      </c>
      <c r="EP238" s="63" t="e">
        <f t="shared" si="212"/>
        <v>#N/A</v>
      </c>
      <c r="FT238" s="63"/>
    </row>
    <row r="239" spans="2:176" x14ac:dyDescent="0.3">
      <c r="B239" s="42"/>
      <c r="M239" s="194" t="str">
        <f ca="1">INDEX(Données_ATB!BD:BU,MATCH(MASQ2!O239,Données_ATB!BD:BD,0),18)</f>
        <v/>
      </c>
      <c r="N239" s="14" t="str">
        <f>IFERROR(IF(Q239=0,"",COUNTIF(Q$4:Q$600,"&gt;"&amp;Q239)+COUNTIF(Q$4:Q239,Q239)),"")</f>
        <v/>
      </c>
      <c r="O239" t="str">
        <f>Données_ATB!BD238</f>
        <v>FLUMIQUIL POUDRE A 10 %</v>
      </c>
      <c r="P239" t="e">
        <f>IF(IF(X$2="Catégorie",IF(X$3="Toutes",SUMIFS('Étape 1 - à remplir'!$F$31:$F$400,'Étape 1 - à remplir'!$E$31:$E$400,MASQ2!O239,'Étape 1 - à remplir'!$G$31:$G$400,"animaux"),SUMIFS('Étape 1 - à remplir'!$F$31:$F$400,'Étape 1 - à remplir'!$E$31:$E$400,MASQ2!O239,'Étape 1 - à remplir'!$C$31:$C$400,X$3)),IF(X$2="Âge",IF(X$3="Tous",SUMIFS('Étape 1 - à remplir'!$F$31:$F$400,'Étape 1 - à remplir'!$E$31:$E$400,MASQ2!O239,'Étape 1 - à remplir'!$G$31:$G$400,"animaux"),SUMIFS('Étape 1 - à remplir'!$F$31:$F$400,'Étape 1 - à remplir'!$E$31:$E$400,MASQ2!O239,'Étape 1 - à remplir'!$P$31:$P$400,X$3)),IF(X$2="Atelier",IF(X$3="Tous",SUMIFS('Étape 1 - à remplir'!$F$31:$F$400,'Étape 1 - à remplir'!$E$31:$E$400,MASQ2!O239,'Étape 1 - à remplir'!$G$31:$G$400,"animaux"),SUMIFS('Étape 1 - à remplir'!$F$31:$F$400,'Étape 1 - à remplir'!$E$31:$E$400,MASQ2!O239,'Étape 1 - à remplir'!$O$31:$O$400,X$3)),IF(X$2="Espèce",IF(X$3="Toutes",SUMIFS('Étape 1 - à remplir'!$F$31:$F$400,'Étape 1 - à remplir'!$E$31:$E$400,MASQ2!O239,'Étape 1 - à remplir'!$G$31:$G$400,"animaux"),SUMIFS('Étape 1 - à remplir'!$F$31:$F$400,'Étape 1 - à remplir'!$E$31:$E$400,MASQ2!O239,'Étape 1 - à remplir'!$N$31:$N$400,X$3))))))=0,NA(),IF(X$2="Catégorie",IF(X$3="Toutes",SUMIFS('Étape 1 - à remplir'!$F$31:$F$400,'Étape 1 - à remplir'!$E$31:$E$400,MASQ2!O239,'Étape 1 - à remplir'!$G$31:$G$400,"animaux"),SUMIFS('Étape 1 - à remplir'!$F$31:$F$400,'Étape 1 - à remplir'!$E$31:$E$400,MASQ2!O239,'Étape 1 - à remplir'!$C$31:$C$400,X$3)),IF(X$2="Âge",IF(X$3="Tous",SUMIFS('Étape 1 - à remplir'!$F$31:$F$400,'Étape 1 - à remplir'!$E$31:$E$400,MASQ2!O239,'Étape 1 - à remplir'!$G$31:$G$400,"animaux"),SUMIFS('Étape 1 - à remplir'!$F$31:$F$400,'Étape 1 - à remplir'!$E$31:$E$400,MASQ2!O239,'Étape 1 - à remplir'!$P$31:$P$400,X$3)),IF(X$2="Atelier",IF(X$3="Tous",SUMIFS('Étape 1 - à remplir'!$F$31:$F$400,'Étape 1 - à remplir'!$E$31:$E$400,MASQ2!O239,'Étape 1 - à remplir'!$G$31:$G$400,"animaux"),SUMIFS('Étape 1 - à remplir'!$F$31:$F$400,'Étape 1 - à remplir'!$E$31:$E$400,MASQ2!O239,'Étape 1 - à remplir'!$O$31:$O$400,X$3)),IF(X$2="Espèce",IF(X$3="Toutes",SUMIFS('Étape 1 - à remplir'!$F$31:$F$400,'Étape 1 - à remplir'!$E$31:$E$400,MASQ2!O239,'Étape 1 - à remplir'!$G$31:$G$400,"animaux"),SUMIFS('Étape 1 - à remplir'!$F$31:$F$400,'Étape 1 - à remplir'!$E$31:$E$400,MASQ2!O239,'Étape 1 - à remplir'!$N$31:$N$400,X$3)))))))</f>
        <v>#N/A</v>
      </c>
      <c r="Q239" s="63">
        <f t="shared" si="210"/>
        <v>0</v>
      </c>
      <c r="R239" t="str">
        <f>Données_ATB!BM238</f>
        <v>Fluméquine</v>
      </c>
      <c r="S239" t="str">
        <f>Données_ATB!BN238</f>
        <v/>
      </c>
      <c r="T239" s="63" t="str">
        <f>Données_ATB!BO238</f>
        <v/>
      </c>
      <c r="U239" s="42" t="str">
        <f>Données_ATB!BQ238</f>
        <v>Quinolones</v>
      </c>
      <c r="V239" t="str">
        <f>Données_ATB!BR238</f>
        <v/>
      </c>
      <c r="W239" s="63" t="str">
        <f>Données_ATB!BS238</f>
        <v/>
      </c>
      <c r="Z239" s="42">
        <v>236</v>
      </c>
      <c r="AA239" t="e">
        <f t="shared" si="206"/>
        <v>#N/A</v>
      </c>
      <c r="AB239" s="63" t="e">
        <f t="shared" si="207"/>
        <v>#N/A</v>
      </c>
      <c r="BF239" s="63"/>
      <c r="BT239" s="194" t="str">
        <f t="shared" ca="1" si="190"/>
        <v/>
      </c>
      <c r="BU239" s="219" t="str">
        <f>IFERROR(IF(BX239=0,"",COUNTIF(BX$4:BX$600,"&gt;"&amp;BX239)+COUNTIF(BX$4:BX239,BX239)),"")</f>
        <v/>
      </c>
      <c r="BV239" s="42" t="str">
        <f t="shared" si="191"/>
        <v>FLUMIQUIL POUDRE A 10 %</v>
      </c>
      <c r="BW239" t="e">
        <f>IF(IF(CE$2="Catégorie",IF(CE$3="Toutes",SUMIFS('Étape 1 - à remplir'!$F$31:$F$400,'Étape 1 - à remplir'!$E$31:$E$400,MASQ2!BV239,'Étape 1 - à remplir'!$G$31:$G$400,"lots"),SUMIFS('Étape 1 - à remplir'!$F$31:$F$400,'Étape 1 - à remplir'!$E$31:$E$400,MASQ2!BV239,'Étape 1 - à remplir'!$C$31:$C$400,CE$3)),IF(CE$2="Âge",IF(CE$3="Tous",SUMIFS('Étape 1 - à remplir'!$F$31:$F$400,'Étape 1 - à remplir'!$E$31:$E$400,MASQ2!BV239,'Étape 1 - à remplir'!$G$31:$G$400,"lots"),SUMIFS('Étape 1 - à remplir'!$F$31:$F$400,'Étape 1 - à remplir'!$E$31:$E$400,MASQ2!BV239,'Étape 1 - à remplir'!$P$31:$P$400,CE$3,'Étape 1 - à remplir'!$G$31:$G$400,"lots")),IF(CE$2="Atelier",IF(CE$3="Tous",SUMIFS('Étape 1 - à remplir'!$F$31:$F$400,'Étape 1 - à remplir'!$E$31:$E$400,MASQ2!BV239,'Étape 1 - à remplir'!$G$31:$G$400,"lots"),SUMIFS('Étape 1 - à remplir'!$F$31:$F$400,'Étape 1 - à remplir'!$E$31:$E$400,MASQ2!BV239,'Étape 1 - à remplir'!$O$31:$O$400,CE$3,'Étape 1 - à remplir'!$G$31:$G$400,"lots")),IF(CE$2="Espèce",IF(CE$3="Toutes",SUMIFS('Étape 1 - à remplir'!$F$31:$F$400,'Étape 1 - à remplir'!$E$31:$E$400,MASQ2!BV239,'Étape 1 - à remplir'!$G$31:$G$400,"lots"),SUMIFS('Étape 1 - à remplir'!$F$31:$F$400,'Étape 1 - à remplir'!$E$31:$E$400,MASQ2!BV239,'Étape 1 - à remplir'!$N$31:$N$400,CE$3,'Étape 1 - à remplir'!$G$31:$G$400,"lots"))))))=0,NA(),IF(CE$2="Catégorie",IF(CE$3="Toutes",SUMIFS('Étape 1 - à remplir'!$F$31:$F$400,'Étape 1 - à remplir'!$E$31:$E$400,MASQ2!BV239,'Étape 1 - à remplir'!$G$31:$G$400,"lots"),SUMIFS('Étape 1 - à remplir'!$F$31:$F$400,'Étape 1 - à remplir'!$E$31:$E$400,MASQ2!BV239,'Étape 1 - à remplir'!$C$31:$C$400,CE$3)),IF(CE$2="Âge",IF(CE$3="Tous",SUMIFS('Étape 1 - à remplir'!$F$31:$F$400,'Étape 1 - à remplir'!$E$31:$E$400,MASQ2!BV239,'Étape 1 - à remplir'!$G$31:$G$400,"lots"),SUMIFS('Étape 1 - à remplir'!$F$31:$F$400,'Étape 1 - à remplir'!$E$31:$E$400,MASQ2!BV239,'Étape 1 - à remplir'!$P$31:$P$400,CE$3,'Étape 1 - à remplir'!$G$31:$G$400,"lots")),IF(CE$2="Atelier",IF(CE$3="Tous",SUMIFS('Étape 1 - à remplir'!$F$31:$F$400,'Étape 1 - à remplir'!$E$31:$E$400,MASQ2!BV239,'Étape 1 - à remplir'!$G$31:$G$400,"lots"),SUMIFS('Étape 1 - à remplir'!$F$31:$F$400,'Étape 1 - à remplir'!$E$31:$E$400,MASQ2!BV239,'Étape 1 - à remplir'!$O$31:$O$400,CE$3,'Étape 1 - à remplir'!$G$31:$G$400,"lots")),IF(CE$2="Espèce",IF(CE$3="Toutes",SUMIFS('Étape 1 - à remplir'!$F$31:$F$400,'Étape 1 - à remplir'!$E$31:$E$400,MASQ2!BV239,'Étape 1 - à remplir'!$G$31:$G$400,"lots"),SUMIFS('Étape 1 - à remplir'!$F$31:$F$400,'Étape 1 - à remplir'!$E$31:$E$400,MASQ2!BV239,'Étape 1 - à remplir'!$N$31:$N$400,CE$3,'Étape 1 - à remplir'!$G$31:$G$400,"lots")))))))</f>
        <v>#N/A</v>
      </c>
      <c r="BX239">
        <f t="shared" si="208"/>
        <v>0</v>
      </c>
      <c r="BY239" t="str">
        <f t="shared" si="192"/>
        <v>Fluméquine</v>
      </c>
      <c r="BZ239" t="str">
        <f t="shared" si="193"/>
        <v/>
      </c>
      <c r="CA239" t="str">
        <f t="shared" si="194"/>
        <v/>
      </c>
      <c r="CB239" t="str">
        <f t="shared" si="195"/>
        <v>Quinolones</v>
      </c>
      <c r="CC239" t="str">
        <f t="shared" si="196"/>
        <v/>
      </c>
      <c r="CD239" s="63" t="str">
        <f t="shared" si="197"/>
        <v/>
      </c>
      <c r="CG239" s="42">
        <v>236</v>
      </c>
      <c r="CH239" s="42" t="e">
        <f t="shared" si="213"/>
        <v>#N/A</v>
      </c>
      <c r="CI239" s="63" t="e">
        <f t="shared" si="214"/>
        <v>#N/A</v>
      </c>
      <c r="DM239" s="63"/>
      <c r="EA239" s="194" t="str">
        <f t="shared" ca="1" si="198"/>
        <v/>
      </c>
      <c r="EB239" s="226" t="str">
        <f>IFERROR(IF(ED239=0,"",COUNTIF(ED$4:ED$600,"&gt;"&amp;ED239)+COUNTIF(ED$4:ED239,ED239)),"")</f>
        <v/>
      </c>
      <c r="EC239" t="str">
        <f t="shared" si="199"/>
        <v>FLUMIQUIL POUDRE A 10 %</v>
      </c>
      <c r="ED239" t="e">
        <f>IF(IF(EL$2="Catégorie",IF(EL$3="Toutes",SUMIFS('Étape 1 - à remplir'!$F$31:$F$400,'Étape 1 - à remplir'!$E$31:$E$400,MASQ2!EC239,'Étape 1 - à remplir'!$G$31:$G$400,"kg"),SUMIFS('Étape 1 - à remplir'!$F$31:$F$400,'Étape 1 - à remplir'!$E$31:$E$400,MASQ2!EC239,'Étape 1 - à remplir'!$C$31:$C$400,EL$3)),IF(EL$2="Âge",IF(EL$3="Tous",SUMIFS('Étape 1 - à remplir'!$F$31:$F$400,'Étape 1 - à remplir'!$E$31:$E$400,MASQ2!EC239,'Étape 1 - à remplir'!$G$31:$G$400,"kg"),SUMIFS('Étape 1 - à remplir'!$F$31:$F$400,'Étape 1 - à remplir'!$E$31:$E$400,MASQ2!EC239,'Étape 1 - à remplir'!$P$31:$P$400,EL$3,'Étape 1 - à remplir'!$G$31:$G$400,"kg")),IF(EL$2="Atelier",IF(EL$3="Tous",SUMIFS('Étape 1 - à remplir'!$F$31:$F$400,'Étape 1 - à remplir'!$E$31:$E$400,MASQ2!EC239,'Étape 1 - à remplir'!$G$31:$G$400,"kg"),SUMIFS('Étape 1 - à remplir'!$F$31:$F$400,'Étape 1 - à remplir'!$E$31:$E$400,MASQ2!EC239,'Étape 1 - à remplir'!$O$31:$O$400,EL$3,'Étape 1 - à remplir'!$G$31:$G$400,"kg")),IF(EL$2="Espèce",IF(EL$3="Toutes",SUMIFS('Étape 1 - à remplir'!$F$31:$F$400,'Étape 1 - à remplir'!$E$31:$E$400,MASQ2!EC239,'Étape 1 - à remplir'!$G$31:$G$400,"kg"),SUMIFS('Étape 1 - à remplir'!$F$31:$F$400,'Étape 1 - à remplir'!$E$31:$E$400,MASQ2!EC239,'Étape 1 - à remplir'!$N$31:$N$400,EL$3,'Étape 1 - à remplir'!$G$31:$G$400,"kg"))))))=0,NA(),IF(EL$2="Catégorie",IF(EL$3="Toutes",SUMIFS('Étape 1 - à remplir'!$F$31:$F$400,'Étape 1 - à remplir'!$E$31:$E$400,MASQ2!EC239,'Étape 1 - à remplir'!$G$31:$G$400,"kg"),SUMIFS('Étape 1 - à remplir'!$F$31:$F$400,'Étape 1 - à remplir'!$E$31:$E$400,MASQ2!EC239,'Étape 1 - à remplir'!$C$31:$C$400,EL$3)),IF(EL$2="Âge",IF(EL$3="Tous",SUMIFS('Étape 1 - à remplir'!$F$31:$F$400,'Étape 1 - à remplir'!$E$31:$E$400,MASQ2!EC239,'Étape 1 - à remplir'!$G$31:$G$400,"kg"),SUMIFS('Étape 1 - à remplir'!$F$31:$F$400,'Étape 1 - à remplir'!$E$31:$E$400,MASQ2!EC239,'Étape 1 - à remplir'!$P$31:$P$400,EL$3,'Étape 1 - à remplir'!$G$31:$G$400,"kg")),IF(EL$2="Atelier",IF(EL$3="Tous",SUMIFS('Étape 1 - à remplir'!$F$31:$F$400,'Étape 1 - à remplir'!$E$31:$E$400,MASQ2!EC239,'Étape 1 - à remplir'!$G$31:$G$400,"kg"),SUMIFS('Étape 1 - à remplir'!$F$31:$F$400,'Étape 1 - à remplir'!$E$31:$E$400,MASQ2!EC239,'Étape 1 - à remplir'!$O$31:$O$400,EL$3,'Étape 1 - à remplir'!$G$31:$G$400,"kg")),IF(EL$2="Espèce",IF(EL$3="Toutes",SUMIFS('Étape 1 - à remplir'!$F$31:$F$400,'Étape 1 - à remplir'!$E$31:$E$400,MASQ2!EC239,'Étape 1 - à remplir'!$G$31:$G$400,"kg"),SUMIFS('Étape 1 - à remplir'!$F$31:$F$400,'Étape 1 - à remplir'!$E$31:$E$400,MASQ2!EC239,'Étape 1 - à remplir'!$N$31:$N$400,EL$3,'Étape 1 - à remplir'!$G$31:$G$400,"kg")))))))</f>
        <v>#N/A</v>
      </c>
      <c r="EE239" s="76">
        <f t="shared" si="209"/>
        <v>0</v>
      </c>
      <c r="EF239" t="str">
        <f t="shared" si="200"/>
        <v>Fluméquine</v>
      </c>
      <c r="EG239" t="str">
        <f t="shared" si="201"/>
        <v/>
      </c>
      <c r="EH239" t="str">
        <f t="shared" si="202"/>
        <v/>
      </c>
      <c r="EI239" t="str">
        <f t="shared" si="203"/>
        <v>Quinolones</v>
      </c>
      <c r="EJ239" t="str">
        <f t="shared" si="204"/>
        <v/>
      </c>
      <c r="EK239" s="63" t="str">
        <f t="shared" si="205"/>
        <v/>
      </c>
      <c r="EN239" s="42">
        <v>236</v>
      </c>
      <c r="EO239" t="e">
        <f t="shared" si="211"/>
        <v>#N/A</v>
      </c>
      <c r="EP239" s="63" t="e">
        <f t="shared" si="212"/>
        <v>#N/A</v>
      </c>
      <c r="FT239" s="63"/>
    </row>
    <row r="240" spans="2:176" x14ac:dyDescent="0.3">
      <c r="B240" s="42"/>
      <c r="M240" s="194" t="str">
        <f ca="1">INDEX(Données_ATB!BD:BU,MATCH(MASQ2!O240,Données_ATB!BD:BD,0),18)</f>
        <v/>
      </c>
      <c r="N240" s="14" t="str">
        <f>IFERROR(IF(Q240=0,"",COUNTIF(Q$4:Q$600,"&gt;"&amp;Q240)+COUNTIF(Q$4:Q240,Q240)),"")</f>
        <v/>
      </c>
      <c r="O240" t="str">
        <f>Données_ATB!BD239</f>
        <v>FLUMIQUIL POUDRE A 3 %</v>
      </c>
      <c r="P240" t="e">
        <f>IF(IF(X$2="Catégorie",IF(X$3="Toutes",SUMIFS('Étape 1 - à remplir'!$F$31:$F$400,'Étape 1 - à remplir'!$E$31:$E$400,MASQ2!O240,'Étape 1 - à remplir'!$G$31:$G$400,"animaux"),SUMIFS('Étape 1 - à remplir'!$F$31:$F$400,'Étape 1 - à remplir'!$E$31:$E$400,MASQ2!O240,'Étape 1 - à remplir'!$C$31:$C$400,X$3)),IF(X$2="Âge",IF(X$3="Tous",SUMIFS('Étape 1 - à remplir'!$F$31:$F$400,'Étape 1 - à remplir'!$E$31:$E$400,MASQ2!O240,'Étape 1 - à remplir'!$G$31:$G$400,"animaux"),SUMIFS('Étape 1 - à remplir'!$F$31:$F$400,'Étape 1 - à remplir'!$E$31:$E$400,MASQ2!O240,'Étape 1 - à remplir'!$P$31:$P$400,X$3)),IF(X$2="Atelier",IF(X$3="Tous",SUMIFS('Étape 1 - à remplir'!$F$31:$F$400,'Étape 1 - à remplir'!$E$31:$E$400,MASQ2!O240,'Étape 1 - à remplir'!$G$31:$G$400,"animaux"),SUMIFS('Étape 1 - à remplir'!$F$31:$F$400,'Étape 1 - à remplir'!$E$31:$E$400,MASQ2!O240,'Étape 1 - à remplir'!$O$31:$O$400,X$3)),IF(X$2="Espèce",IF(X$3="Toutes",SUMIFS('Étape 1 - à remplir'!$F$31:$F$400,'Étape 1 - à remplir'!$E$31:$E$400,MASQ2!O240,'Étape 1 - à remplir'!$G$31:$G$400,"animaux"),SUMIFS('Étape 1 - à remplir'!$F$31:$F$400,'Étape 1 - à remplir'!$E$31:$E$400,MASQ2!O240,'Étape 1 - à remplir'!$N$31:$N$400,X$3))))))=0,NA(),IF(X$2="Catégorie",IF(X$3="Toutes",SUMIFS('Étape 1 - à remplir'!$F$31:$F$400,'Étape 1 - à remplir'!$E$31:$E$400,MASQ2!O240,'Étape 1 - à remplir'!$G$31:$G$400,"animaux"),SUMIFS('Étape 1 - à remplir'!$F$31:$F$400,'Étape 1 - à remplir'!$E$31:$E$400,MASQ2!O240,'Étape 1 - à remplir'!$C$31:$C$400,X$3)),IF(X$2="Âge",IF(X$3="Tous",SUMIFS('Étape 1 - à remplir'!$F$31:$F$400,'Étape 1 - à remplir'!$E$31:$E$400,MASQ2!O240,'Étape 1 - à remplir'!$G$31:$G$400,"animaux"),SUMIFS('Étape 1 - à remplir'!$F$31:$F$400,'Étape 1 - à remplir'!$E$31:$E$400,MASQ2!O240,'Étape 1 - à remplir'!$P$31:$P$400,X$3)),IF(X$2="Atelier",IF(X$3="Tous",SUMIFS('Étape 1 - à remplir'!$F$31:$F$400,'Étape 1 - à remplir'!$E$31:$E$400,MASQ2!O240,'Étape 1 - à remplir'!$G$31:$G$400,"animaux"),SUMIFS('Étape 1 - à remplir'!$F$31:$F$400,'Étape 1 - à remplir'!$E$31:$E$400,MASQ2!O240,'Étape 1 - à remplir'!$O$31:$O$400,X$3)),IF(X$2="Espèce",IF(X$3="Toutes",SUMIFS('Étape 1 - à remplir'!$F$31:$F$400,'Étape 1 - à remplir'!$E$31:$E$400,MASQ2!O240,'Étape 1 - à remplir'!$G$31:$G$400,"animaux"),SUMIFS('Étape 1 - à remplir'!$F$31:$F$400,'Étape 1 - à remplir'!$E$31:$E$400,MASQ2!O240,'Étape 1 - à remplir'!$N$31:$N$400,X$3)))))))</f>
        <v>#N/A</v>
      </c>
      <c r="Q240" s="63">
        <f t="shared" si="210"/>
        <v>0</v>
      </c>
      <c r="R240" t="str">
        <f>Données_ATB!BM239</f>
        <v>Fluméquine</v>
      </c>
      <c r="S240" t="str">
        <f>Données_ATB!BN239</f>
        <v/>
      </c>
      <c r="T240" s="63" t="str">
        <f>Données_ATB!BO239</f>
        <v/>
      </c>
      <c r="U240" s="42" t="str">
        <f>Données_ATB!BQ239</f>
        <v>Quinolones</v>
      </c>
      <c r="V240" t="str">
        <f>Données_ATB!BR239</f>
        <v/>
      </c>
      <c r="W240" s="63" t="str">
        <f>Données_ATB!BS239</f>
        <v/>
      </c>
      <c r="Z240" s="42">
        <v>237</v>
      </c>
      <c r="AA240" t="e">
        <f t="shared" si="206"/>
        <v>#N/A</v>
      </c>
      <c r="AB240" s="63" t="e">
        <f t="shared" si="207"/>
        <v>#N/A</v>
      </c>
      <c r="BF240" s="63"/>
      <c r="BT240" s="194" t="str">
        <f t="shared" ca="1" si="190"/>
        <v/>
      </c>
      <c r="BU240" s="219" t="str">
        <f>IFERROR(IF(BX240=0,"",COUNTIF(BX$4:BX$600,"&gt;"&amp;BX240)+COUNTIF(BX$4:BX240,BX240)),"")</f>
        <v/>
      </c>
      <c r="BV240" s="42" t="str">
        <f t="shared" si="191"/>
        <v>FLUMIQUIL POUDRE A 3 %</v>
      </c>
      <c r="BW240" t="e">
        <f>IF(IF(CE$2="Catégorie",IF(CE$3="Toutes",SUMIFS('Étape 1 - à remplir'!$F$31:$F$400,'Étape 1 - à remplir'!$E$31:$E$400,MASQ2!BV240,'Étape 1 - à remplir'!$G$31:$G$400,"lots"),SUMIFS('Étape 1 - à remplir'!$F$31:$F$400,'Étape 1 - à remplir'!$E$31:$E$400,MASQ2!BV240,'Étape 1 - à remplir'!$C$31:$C$400,CE$3)),IF(CE$2="Âge",IF(CE$3="Tous",SUMIFS('Étape 1 - à remplir'!$F$31:$F$400,'Étape 1 - à remplir'!$E$31:$E$400,MASQ2!BV240,'Étape 1 - à remplir'!$G$31:$G$400,"lots"),SUMIFS('Étape 1 - à remplir'!$F$31:$F$400,'Étape 1 - à remplir'!$E$31:$E$400,MASQ2!BV240,'Étape 1 - à remplir'!$P$31:$P$400,CE$3,'Étape 1 - à remplir'!$G$31:$G$400,"lots")),IF(CE$2="Atelier",IF(CE$3="Tous",SUMIFS('Étape 1 - à remplir'!$F$31:$F$400,'Étape 1 - à remplir'!$E$31:$E$400,MASQ2!BV240,'Étape 1 - à remplir'!$G$31:$G$400,"lots"),SUMIFS('Étape 1 - à remplir'!$F$31:$F$400,'Étape 1 - à remplir'!$E$31:$E$400,MASQ2!BV240,'Étape 1 - à remplir'!$O$31:$O$400,CE$3,'Étape 1 - à remplir'!$G$31:$G$400,"lots")),IF(CE$2="Espèce",IF(CE$3="Toutes",SUMIFS('Étape 1 - à remplir'!$F$31:$F$400,'Étape 1 - à remplir'!$E$31:$E$400,MASQ2!BV240,'Étape 1 - à remplir'!$G$31:$G$400,"lots"),SUMIFS('Étape 1 - à remplir'!$F$31:$F$400,'Étape 1 - à remplir'!$E$31:$E$400,MASQ2!BV240,'Étape 1 - à remplir'!$N$31:$N$400,CE$3,'Étape 1 - à remplir'!$G$31:$G$400,"lots"))))))=0,NA(),IF(CE$2="Catégorie",IF(CE$3="Toutes",SUMIFS('Étape 1 - à remplir'!$F$31:$F$400,'Étape 1 - à remplir'!$E$31:$E$400,MASQ2!BV240,'Étape 1 - à remplir'!$G$31:$G$400,"lots"),SUMIFS('Étape 1 - à remplir'!$F$31:$F$400,'Étape 1 - à remplir'!$E$31:$E$400,MASQ2!BV240,'Étape 1 - à remplir'!$C$31:$C$400,CE$3)),IF(CE$2="Âge",IF(CE$3="Tous",SUMIFS('Étape 1 - à remplir'!$F$31:$F$400,'Étape 1 - à remplir'!$E$31:$E$400,MASQ2!BV240,'Étape 1 - à remplir'!$G$31:$G$400,"lots"),SUMIFS('Étape 1 - à remplir'!$F$31:$F$400,'Étape 1 - à remplir'!$E$31:$E$400,MASQ2!BV240,'Étape 1 - à remplir'!$P$31:$P$400,CE$3,'Étape 1 - à remplir'!$G$31:$G$400,"lots")),IF(CE$2="Atelier",IF(CE$3="Tous",SUMIFS('Étape 1 - à remplir'!$F$31:$F$400,'Étape 1 - à remplir'!$E$31:$E$400,MASQ2!BV240,'Étape 1 - à remplir'!$G$31:$G$400,"lots"),SUMIFS('Étape 1 - à remplir'!$F$31:$F$400,'Étape 1 - à remplir'!$E$31:$E$400,MASQ2!BV240,'Étape 1 - à remplir'!$O$31:$O$400,CE$3,'Étape 1 - à remplir'!$G$31:$G$400,"lots")),IF(CE$2="Espèce",IF(CE$3="Toutes",SUMIFS('Étape 1 - à remplir'!$F$31:$F$400,'Étape 1 - à remplir'!$E$31:$E$400,MASQ2!BV240,'Étape 1 - à remplir'!$G$31:$G$400,"lots"),SUMIFS('Étape 1 - à remplir'!$F$31:$F$400,'Étape 1 - à remplir'!$E$31:$E$400,MASQ2!BV240,'Étape 1 - à remplir'!$N$31:$N$400,CE$3,'Étape 1 - à remplir'!$G$31:$G$400,"lots")))))))</f>
        <v>#N/A</v>
      </c>
      <c r="BX240">
        <f t="shared" si="208"/>
        <v>0</v>
      </c>
      <c r="BY240" t="str">
        <f t="shared" si="192"/>
        <v>Fluméquine</v>
      </c>
      <c r="BZ240" t="str">
        <f t="shared" si="193"/>
        <v/>
      </c>
      <c r="CA240" t="str">
        <f t="shared" si="194"/>
        <v/>
      </c>
      <c r="CB240" t="str">
        <f t="shared" si="195"/>
        <v>Quinolones</v>
      </c>
      <c r="CC240" t="str">
        <f t="shared" si="196"/>
        <v/>
      </c>
      <c r="CD240" s="63" t="str">
        <f t="shared" si="197"/>
        <v/>
      </c>
      <c r="CG240" s="42">
        <v>237</v>
      </c>
      <c r="CH240" s="42" t="e">
        <f t="shared" si="213"/>
        <v>#N/A</v>
      </c>
      <c r="CI240" s="63" t="e">
        <f t="shared" si="214"/>
        <v>#N/A</v>
      </c>
      <c r="DM240" s="63"/>
      <c r="EA240" s="194" t="str">
        <f t="shared" ca="1" si="198"/>
        <v/>
      </c>
      <c r="EB240" s="226" t="str">
        <f>IFERROR(IF(ED240=0,"",COUNTIF(ED$4:ED$600,"&gt;"&amp;ED240)+COUNTIF(ED$4:ED240,ED240)),"")</f>
        <v/>
      </c>
      <c r="EC240" t="str">
        <f t="shared" si="199"/>
        <v>FLUMIQUIL POUDRE A 3 %</v>
      </c>
      <c r="ED240" t="e">
        <f>IF(IF(EL$2="Catégorie",IF(EL$3="Toutes",SUMIFS('Étape 1 - à remplir'!$F$31:$F$400,'Étape 1 - à remplir'!$E$31:$E$400,MASQ2!EC240,'Étape 1 - à remplir'!$G$31:$G$400,"kg"),SUMIFS('Étape 1 - à remplir'!$F$31:$F$400,'Étape 1 - à remplir'!$E$31:$E$400,MASQ2!EC240,'Étape 1 - à remplir'!$C$31:$C$400,EL$3)),IF(EL$2="Âge",IF(EL$3="Tous",SUMIFS('Étape 1 - à remplir'!$F$31:$F$400,'Étape 1 - à remplir'!$E$31:$E$400,MASQ2!EC240,'Étape 1 - à remplir'!$G$31:$G$400,"kg"),SUMIFS('Étape 1 - à remplir'!$F$31:$F$400,'Étape 1 - à remplir'!$E$31:$E$400,MASQ2!EC240,'Étape 1 - à remplir'!$P$31:$P$400,EL$3,'Étape 1 - à remplir'!$G$31:$G$400,"kg")),IF(EL$2="Atelier",IF(EL$3="Tous",SUMIFS('Étape 1 - à remplir'!$F$31:$F$400,'Étape 1 - à remplir'!$E$31:$E$400,MASQ2!EC240,'Étape 1 - à remplir'!$G$31:$G$400,"kg"),SUMIFS('Étape 1 - à remplir'!$F$31:$F$400,'Étape 1 - à remplir'!$E$31:$E$400,MASQ2!EC240,'Étape 1 - à remplir'!$O$31:$O$400,EL$3,'Étape 1 - à remplir'!$G$31:$G$400,"kg")),IF(EL$2="Espèce",IF(EL$3="Toutes",SUMIFS('Étape 1 - à remplir'!$F$31:$F$400,'Étape 1 - à remplir'!$E$31:$E$400,MASQ2!EC240,'Étape 1 - à remplir'!$G$31:$G$400,"kg"),SUMIFS('Étape 1 - à remplir'!$F$31:$F$400,'Étape 1 - à remplir'!$E$31:$E$400,MASQ2!EC240,'Étape 1 - à remplir'!$N$31:$N$400,EL$3,'Étape 1 - à remplir'!$G$31:$G$400,"kg"))))))=0,NA(),IF(EL$2="Catégorie",IF(EL$3="Toutes",SUMIFS('Étape 1 - à remplir'!$F$31:$F$400,'Étape 1 - à remplir'!$E$31:$E$400,MASQ2!EC240,'Étape 1 - à remplir'!$G$31:$G$400,"kg"),SUMIFS('Étape 1 - à remplir'!$F$31:$F$400,'Étape 1 - à remplir'!$E$31:$E$400,MASQ2!EC240,'Étape 1 - à remplir'!$C$31:$C$400,EL$3)),IF(EL$2="Âge",IF(EL$3="Tous",SUMIFS('Étape 1 - à remplir'!$F$31:$F$400,'Étape 1 - à remplir'!$E$31:$E$400,MASQ2!EC240,'Étape 1 - à remplir'!$G$31:$G$400,"kg"),SUMIFS('Étape 1 - à remplir'!$F$31:$F$400,'Étape 1 - à remplir'!$E$31:$E$400,MASQ2!EC240,'Étape 1 - à remplir'!$P$31:$P$400,EL$3,'Étape 1 - à remplir'!$G$31:$G$400,"kg")),IF(EL$2="Atelier",IF(EL$3="Tous",SUMIFS('Étape 1 - à remplir'!$F$31:$F$400,'Étape 1 - à remplir'!$E$31:$E$400,MASQ2!EC240,'Étape 1 - à remplir'!$G$31:$G$400,"kg"),SUMIFS('Étape 1 - à remplir'!$F$31:$F$400,'Étape 1 - à remplir'!$E$31:$E$400,MASQ2!EC240,'Étape 1 - à remplir'!$O$31:$O$400,EL$3,'Étape 1 - à remplir'!$G$31:$G$400,"kg")),IF(EL$2="Espèce",IF(EL$3="Toutes",SUMIFS('Étape 1 - à remplir'!$F$31:$F$400,'Étape 1 - à remplir'!$E$31:$E$400,MASQ2!EC240,'Étape 1 - à remplir'!$G$31:$G$400,"kg"),SUMIFS('Étape 1 - à remplir'!$F$31:$F$400,'Étape 1 - à remplir'!$E$31:$E$400,MASQ2!EC240,'Étape 1 - à remplir'!$N$31:$N$400,EL$3,'Étape 1 - à remplir'!$G$31:$G$400,"kg")))))))</f>
        <v>#N/A</v>
      </c>
      <c r="EE240" s="76">
        <f t="shared" si="209"/>
        <v>0</v>
      </c>
      <c r="EF240" t="str">
        <f t="shared" si="200"/>
        <v>Fluméquine</v>
      </c>
      <c r="EG240" t="str">
        <f t="shared" si="201"/>
        <v/>
      </c>
      <c r="EH240" t="str">
        <f t="shared" si="202"/>
        <v/>
      </c>
      <c r="EI240" t="str">
        <f t="shared" si="203"/>
        <v>Quinolones</v>
      </c>
      <c r="EJ240" t="str">
        <f t="shared" si="204"/>
        <v/>
      </c>
      <c r="EK240" s="63" t="str">
        <f t="shared" si="205"/>
        <v/>
      </c>
      <c r="EN240" s="42">
        <v>237</v>
      </c>
      <c r="EO240" t="e">
        <f t="shared" si="211"/>
        <v>#N/A</v>
      </c>
      <c r="EP240" s="63" t="e">
        <f t="shared" si="212"/>
        <v>#N/A</v>
      </c>
      <c r="FT240" s="63"/>
    </row>
    <row r="241" spans="2:176" x14ac:dyDescent="0.3">
      <c r="B241" s="42"/>
      <c r="M241" s="194" t="str">
        <f ca="1">INDEX(Données_ATB!BD:BU,MATCH(MASQ2!O241,Données_ATB!BD:BD,0),18)</f>
        <v/>
      </c>
      <c r="N241" s="14" t="str">
        <f>IFERROR(IF(Q241=0,"",COUNTIF(Q$4:Q$600,"&gt;"&amp;Q241)+COUNTIF(Q$4:Q241,Q241)),"")</f>
        <v/>
      </c>
      <c r="O241" t="str">
        <f>Données_ATB!BD240</f>
        <v>FLUMISOL 36 %</v>
      </c>
      <c r="P241" t="e">
        <f>IF(IF(X$2="Catégorie",IF(X$3="Toutes",SUMIFS('Étape 1 - à remplir'!$F$31:$F$400,'Étape 1 - à remplir'!$E$31:$E$400,MASQ2!O241,'Étape 1 - à remplir'!$G$31:$G$400,"animaux"),SUMIFS('Étape 1 - à remplir'!$F$31:$F$400,'Étape 1 - à remplir'!$E$31:$E$400,MASQ2!O241,'Étape 1 - à remplir'!$C$31:$C$400,X$3)),IF(X$2="Âge",IF(X$3="Tous",SUMIFS('Étape 1 - à remplir'!$F$31:$F$400,'Étape 1 - à remplir'!$E$31:$E$400,MASQ2!O241,'Étape 1 - à remplir'!$G$31:$G$400,"animaux"),SUMIFS('Étape 1 - à remplir'!$F$31:$F$400,'Étape 1 - à remplir'!$E$31:$E$400,MASQ2!O241,'Étape 1 - à remplir'!$P$31:$P$400,X$3)),IF(X$2="Atelier",IF(X$3="Tous",SUMIFS('Étape 1 - à remplir'!$F$31:$F$400,'Étape 1 - à remplir'!$E$31:$E$400,MASQ2!O241,'Étape 1 - à remplir'!$G$31:$G$400,"animaux"),SUMIFS('Étape 1 - à remplir'!$F$31:$F$400,'Étape 1 - à remplir'!$E$31:$E$400,MASQ2!O241,'Étape 1 - à remplir'!$O$31:$O$400,X$3)),IF(X$2="Espèce",IF(X$3="Toutes",SUMIFS('Étape 1 - à remplir'!$F$31:$F$400,'Étape 1 - à remplir'!$E$31:$E$400,MASQ2!O241,'Étape 1 - à remplir'!$G$31:$G$400,"animaux"),SUMIFS('Étape 1 - à remplir'!$F$31:$F$400,'Étape 1 - à remplir'!$E$31:$E$400,MASQ2!O241,'Étape 1 - à remplir'!$N$31:$N$400,X$3))))))=0,NA(),IF(X$2="Catégorie",IF(X$3="Toutes",SUMIFS('Étape 1 - à remplir'!$F$31:$F$400,'Étape 1 - à remplir'!$E$31:$E$400,MASQ2!O241,'Étape 1 - à remplir'!$G$31:$G$400,"animaux"),SUMIFS('Étape 1 - à remplir'!$F$31:$F$400,'Étape 1 - à remplir'!$E$31:$E$400,MASQ2!O241,'Étape 1 - à remplir'!$C$31:$C$400,X$3)),IF(X$2="Âge",IF(X$3="Tous",SUMIFS('Étape 1 - à remplir'!$F$31:$F$400,'Étape 1 - à remplir'!$E$31:$E$400,MASQ2!O241,'Étape 1 - à remplir'!$G$31:$G$400,"animaux"),SUMIFS('Étape 1 - à remplir'!$F$31:$F$400,'Étape 1 - à remplir'!$E$31:$E$400,MASQ2!O241,'Étape 1 - à remplir'!$P$31:$P$400,X$3)),IF(X$2="Atelier",IF(X$3="Tous",SUMIFS('Étape 1 - à remplir'!$F$31:$F$400,'Étape 1 - à remplir'!$E$31:$E$400,MASQ2!O241,'Étape 1 - à remplir'!$G$31:$G$400,"animaux"),SUMIFS('Étape 1 - à remplir'!$F$31:$F$400,'Étape 1 - à remplir'!$E$31:$E$400,MASQ2!O241,'Étape 1 - à remplir'!$O$31:$O$400,X$3)),IF(X$2="Espèce",IF(X$3="Toutes",SUMIFS('Étape 1 - à remplir'!$F$31:$F$400,'Étape 1 - à remplir'!$E$31:$E$400,MASQ2!O241,'Étape 1 - à remplir'!$G$31:$G$400,"animaux"),SUMIFS('Étape 1 - à remplir'!$F$31:$F$400,'Étape 1 - à remplir'!$E$31:$E$400,MASQ2!O241,'Étape 1 - à remplir'!$N$31:$N$400,X$3)))))))</f>
        <v>#N/A</v>
      </c>
      <c r="Q241" s="63">
        <f t="shared" si="210"/>
        <v>0</v>
      </c>
      <c r="R241" t="str">
        <f>Données_ATB!BM240</f>
        <v>Fluméquine</v>
      </c>
      <c r="S241" t="str">
        <f>Données_ATB!BN240</f>
        <v/>
      </c>
      <c r="T241" s="63" t="str">
        <f>Données_ATB!BO240</f>
        <v/>
      </c>
      <c r="U241" s="42" t="str">
        <f>Données_ATB!BQ240</f>
        <v>Quinolones</v>
      </c>
      <c r="V241" t="str">
        <f>Données_ATB!BR240</f>
        <v/>
      </c>
      <c r="W241" s="63" t="str">
        <f>Données_ATB!BS240</f>
        <v/>
      </c>
      <c r="Z241" s="42">
        <v>238</v>
      </c>
      <c r="AA241" t="e">
        <f t="shared" si="206"/>
        <v>#N/A</v>
      </c>
      <c r="AB241" s="63" t="e">
        <f t="shared" si="207"/>
        <v>#N/A</v>
      </c>
      <c r="BF241" s="63"/>
      <c r="BT241" s="194" t="str">
        <f t="shared" ca="1" si="190"/>
        <v/>
      </c>
      <c r="BU241" s="219" t="str">
        <f>IFERROR(IF(BX241=0,"",COUNTIF(BX$4:BX$600,"&gt;"&amp;BX241)+COUNTIF(BX$4:BX241,BX241)),"")</f>
        <v/>
      </c>
      <c r="BV241" s="42" t="str">
        <f t="shared" si="191"/>
        <v>FLUMISOL 36 %</v>
      </c>
      <c r="BW241" t="e">
        <f>IF(IF(CE$2="Catégorie",IF(CE$3="Toutes",SUMIFS('Étape 1 - à remplir'!$F$31:$F$400,'Étape 1 - à remplir'!$E$31:$E$400,MASQ2!BV241,'Étape 1 - à remplir'!$G$31:$G$400,"lots"),SUMIFS('Étape 1 - à remplir'!$F$31:$F$400,'Étape 1 - à remplir'!$E$31:$E$400,MASQ2!BV241,'Étape 1 - à remplir'!$C$31:$C$400,CE$3)),IF(CE$2="Âge",IF(CE$3="Tous",SUMIFS('Étape 1 - à remplir'!$F$31:$F$400,'Étape 1 - à remplir'!$E$31:$E$400,MASQ2!BV241,'Étape 1 - à remplir'!$G$31:$G$400,"lots"),SUMIFS('Étape 1 - à remplir'!$F$31:$F$400,'Étape 1 - à remplir'!$E$31:$E$400,MASQ2!BV241,'Étape 1 - à remplir'!$P$31:$P$400,CE$3,'Étape 1 - à remplir'!$G$31:$G$400,"lots")),IF(CE$2="Atelier",IF(CE$3="Tous",SUMIFS('Étape 1 - à remplir'!$F$31:$F$400,'Étape 1 - à remplir'!$E$31:$E$400,MASQ2!BV241,'Étape 1 - à remplir'!$G$31:$G$400,"lots"),SUMIFS('Étape 1 - à remplir'!$F$31:$F$400,'Étape 1 - à remplir'!$E$31:$E$400,MASQ2!BV241,'Étape 1 - à remplir'!$O$31:$O$400,CE$3,'Étape 1 - à remplir'!$G$31:$G$400,"lots")),IF(CE$2="Espèce",IF(CE$3="Toutes",SUMIFS('Étape 1 - à remplir'!$F$31:$F$400,'Étape 1 - à remplir'!$E$31:$E$400,MASQ2!BV241,'Étape 1 - à remplir'!$G$31:$G$400,"lots"),SUMIFS('Étape 1 - à remplir'!$F$31:$F$400,'Étape 1 - à remplir'!$E$31:$E$400,MASQ2!BV241,'Étape 1 - à remplir'!$N$31:$N$400,CE$3,'Étape 1 - à remplir'!$G$31:$G$400,"lots"))))))=0,NA(),IF(CE$2="Catégorie",IF(CE$3="Toutes",SUMIFS('Étape 1 - à remplir'!$F$31:$F$400,'Étape 1 - à remplir'!$E$31:$E$400,MASQ2!BV241,'Étape 1 - à remplir'!$G$31:$G$400,"lots"),SUMIFS('Étape 1 - à remplir'!$F$31:$F$400,'Étape 1 - à remplir'!$E$31:$E$400,MASQ2!BV241,'Étape 1 - à remplir'!$C$31:$C$400,CE$3)),IF(CE$2="Âge",IF(CE$3="Tous",SUMIFS('Étape 1 - à remplir'!$F$31:$F$400,'Étape 1 - à remplir'!$E$31:$E$400,MASQ2!BV241,'Étape 1 - à remplir'!$G$31:$G$400,"lots"),SUMIFS('Étape 1 - à remplir'!$F$31:$F$400,'Étape 1 - à remplir'!$E$31:$E$400,MASQ2!BV241,'Étape 1 - à remplir'!$P$31:$P$400,CE$3,'Étape 1 - à remplir'!$G$31:$G$400,"lots")),IF(CE$2="Atelier",IF(CE$3="Tous",SUMIFS('Étape 1 - à remplir'!$F$31:$F$400,'Étape 1 - à remplir'!$E$31:$E$400,MASQ2!BV241,'Étape 1 - à remplir'!$G$31:$G$400,"lots"),SUMIFS('Étape 1 - à remplir'!$F$31:$F$400,'Étape 1 - à remplir'!$E$31:$E$400,MASQ2!BV241,'Étape 1 - à remplir'!$O$31:$O$400,CE$3,'Étape 1 - à remplir'!$G$31:$G$400,"lots")),IF(CE$2="Espèce",IF(CE$3="Toutes",SUMIFS('Étape 1 - à remplir'!$F$31:$F$400,'Étape 1 - à remplir'!$E$31:$E$400,MASQ2!BV241,'Étape 1 - à remplir'!$G$31:$G$400,"lots"),SUMIFS('Étape 1 - à remplir'!$F$31:$F$400,'Étape 1 - à remplir'!$E$31:$E$400,MASQ2!BV241,'Étape 1 - à remplir'!$N$31:$N$400,CE$3,'Étape 1 - à remplir'!$G$31:$G$400,"lots")))))))</f>
        <v>#N/A</v>
      </c>
      <c r="BX241">
        <f t="shared" si="208"/>
        <v>0</v>
      </c>
      <c r="BY241" t="str">
        <f t="shared" si="192"/>
        <v>Fluméquine</v>
      </c>
      <c r="BZ241" t="str">
        <f t="shared" si="193"/>
        <v/>
      </c>
      <c r="CA241" t="str">
        <f t="shared" si="194"/>
        <v/>
      </c>
      <c r="CB241" t="str">
        <f t="shared" si="195"/>
        <v>Quinolones</v>
      </c>
      <c r="CC241" t="str">
        <f t="shared" si="196"/>
        <v/>
      </c>
      <c r="CD241" s="63" t="str">
        <f t="shared" si="197"/>
        <v/>
      </c>
      <c r="CG241" s="42">
        <v>238</v>
      </c>
      <c r="CH241" s="42" t="e">
        <f t="shared" si="213"/>
        <v>#N/A</v>
      </c>
      <c r="CI241" s="63" t="e">
        <f t="shared" si="214"/>
        <v>#N/A</v>
      </c>
      <c r="DM241" s="63"/>
      <c r="EA241" s="194" t="str">
        <f t="shared" ca="1" si="198"/>
        <v/>
      </c>
      <c r="EB241" s="226" t="str">
        <f>IFERROR(IF(ED241=0,"",COUNTIF(ED$4:ED$600,"&gt;"&amp;ED241)+COUNTIF(ED$4:ED241,ED241)),"")</f>
        <v/>
      </c>
      <c r="EC241" t="str">
        <f t="shared" si="199"/>
        <v>FLUMISOL 36 %</v>
      </c>
      <c r="ED241" t="e">
        <f>IF(IF(EL$2="Catégorie",IF(EL$3="Toutes",SUMIFS('Étape 1 - à remplir'!$F$31:$F$400,'Étape 1 - à remplir'!$E$31:$E$400,MASQ2!EC241,'Étape 1 - à remplir'!$G$31:$G$400,"kg"),SUMIFS('Étape 1 - à remplir'!$F$31:$F$400,'Étape 1 - à remplir'!$E$31:$E$400,MASQ2!EC241,'Étape 1 - à remplir'!$C$31:$C$400,EL$3)),IF(EL$2="Âge",IF(EL$3="Tous",SUMIFS('Étape 1 - à remplir'!$F$31:$F$400,'Étape 1 - à remplir'!$E$31:$E$400,MASQ2!EC241,'Étape 1 - à remplir'!$G$31:$G$400,"kg"),SUMIFS('Étape 1 - à remplir'!$F$31:$F$400,'Étape 1 - à remplir'!$E$31:$E$400,MASQ2!EC241,'Étape 1 - à remplir'!$P$31:$P$400,EL$3,'Étape 1 - à remplir'!$G$31:$G$400,"kg")),IF(EL$2="Atelier",IF(EL$3="Tous",SUMIFS('Étape 1 - à remplir'!$F$31:$F$400,'Étape 1 - à remplir'!$E$31:$E$400,MASQ2!EC241,'Étape 1 - à remplir'!$G$31:$G$400,"kg"),SUMIFS('Étape 1 - à remplir'!$F$31:$F$400,'Étape 1 - à remplir'!$E$31:$E$400,MASQ2!EC241,'Étape 1 - à remplir'!$O$31:$O$400,EL$3,'Étape 1 - à remplir'!$G$31:$G$400,"kg")),IF(EL$2="Espèce",IF(EL$3="Toutes",SUMIFS('Étape 1 - à remplir'!$F$31:$F$400,'Étape 1 - à remplir'!$E$31:$E$400,MASQ2!EC241,'Étape 1 - à remplir'!$G$31:$G$400,"kg"),SUMIFS('Étape 1 - à remplir'!$F$31:$F$400,'Étape 1 - à remplir'!$E$31:$E$400,MASQ2!EC241,'Étape 1 - à remplir'!$N$31:$N$400,EL$3,'Étape 1 - à remplir'!$G$31:$G$400,"kg"))))))=0,NA(),IF(EL$2="Catégorie",IF(EL$3="Toutes",SUMIFS('Étape 1 - à remplir'!$F$31:$F$400,'Étape 1 - à remplir'!$E$31:$E$400,MASQ2!EC241,'Étape 1 - à remplir'!$G$31:$G$400,"kg"),SUMIFS('Étape 1 - à remplir'!$F$31:$F$400,'Étape 1 - à remplir'!$E$31:$E$400,MASQ2!EC241,'Étape 1 - à remplir'!$C$31:$C$400,EL$3)),IF(EL$2="Âge",IF(EL$3="Tous",SUMIFS('Étape 1 - à remplir'!$F$31:$F$400,'Étape 1 - à remplir'!$E$31:$E$400,MASQ2!EC241,'Étape 1 - à remplir'!$G$31:$G$400,"kg"),SUMIFS('Étape 1 - à remplir'!$F$31:$F$400,'Étape 1 - à remplir'!$E$31:$E$400,MASQ2!EC241,'Étape 1 - à remplir'!$P$31:$P$400,EL$3,'Étape 1 - à remplir'!$G$31:$G$400,"kg")),IF(EL$2="Atelier",IF(EL$3="Tous",SUMIFS('Étape 1 - à remplir'!$F$31:$F$400,'Étape 1 - à remplir'!$E$31:$E$400,MASQ2!EC241,'Étape 1 - à remplir'!$G$31:$G$400,"kg"),SUMIFS('Étape 1 - à remplir'!$F$31:$F$400,'Étape 1 - à remplir'!$E$31:$E$400,MASQ2!EC241,'Étape 1 - à remplir'!$O$31:$O$400,EL$3,'Étape 1 - à remplir'!$G$31:$G$400,"kg")),IF(EL$2="Espèce",IF(EL$3="Toutes",SUMIFS('Étape 1 - à remplir'!$F$31:$F$400,'Étape 1 - à remplir'!$E$31:$E$400,MASQ2!EC241,'Étape 1 - à remplir'!$G$31:$G$400,"kg"),SUMIFS('Étape 1 - à remplir'!$F$31:$F$400,'Étape 1 - à remplir'!$E$31:$E$400,MASQ2!EC241,'Étape 1 - à remplir'!$N$31:$N$400,EL$3,'Étape 1 - à remplir'!$G$31:$G$400,"kg")))))))</f>
        <v>#N/A</v>
      </c>
      <c r="EE241" s="76">
        <f t="shared" si="209"/>
        <v>0</v>
      </c>
      <c r="EF241" t="str">
        <f t="shared" si="200"/>
        <v>Fluméquine</v>
      </c>
      <c r="EG241" t="str">
        <f t="shared" si="201"/>
        <v/>
      </c>
      <c r="EH241" t="str">
        <f t="shared" si="202"/>
        <v/>
      </c>
      <c r="EI241" t="str">
        <f t="shared" si="203"/>
        <v>Quinolones</v>
      </c>
      <c r="EJ241" t="str">
        <f t="shared" si="204"/>
        <v/>
      </c>
      <c r="EK241" s="63" t="str">
        <f t="shared" si="205"/>
        <v/>
      </c>
      <c r="EN241" s="42">
        <v>238</v>
      </c>
      <c r="EO241" t="e">
        <f t="shared" si="211"/>
        <v>#N/A</v>
      </c>
      <c r="EP241" s="63" t="e">
        <f t="shared" si="212"/>
        <v>#N/A</v>
      </c>
      <c r="FT241" s="63"/>
    </row>
    <row r="242" spans="2:176" x14ac:dyDescent="0.3">
      <c r="B242" s="42"/>
      <c r="M242" s="194" t="str">
        <f ca="1">INDEX(Données_ATB!BD:BU,MATCH(MASQ2!O242,Données_ATB!BD:BD,0),18)</f>
        <v/>
      </c>
      <c r="N242" s="14" t="str">
        <f>IFERROR(IF(Q242=0,"",COUNTIF(Q$4:Q$600,"&gt;"&amp;Q242)+COUNTIF(Q$4:Q242,Q242)),"")</f>
        <v/>
      </c>
      <c r="O242" t="str">
        <f>Données_ATB!BD241</f>
        <v>FLUMIVAL 10% SOLUTION ORALE POUR VOLAILLES ET VEAUX</v>
      </c>
      <c r="P242" t="e">
        <f>IF(IF(X$2="Catégorie",IF(X$3="Toutes",SUMIFS('Étape 1 - à remplir'!$F$31:$F$400,'Étape 1 - à remplir'!$E$31:$E$400,MASQ2!O242,'Étape 1 - à remplir'!$G$31:$G$400,"animaux"),SUMIFS('Étape 1 - à remplir'!$F$31:$F$400,'Étape 1 - à remplir'!$E$31:$E$400,MASQ2!O242,'Étape 1 - à remplir'!$C$31:$C$400,X$3)),IF(X$2="Âge",IF(X$3="Tous",SUMIFS('Étape 1 - à remplir'!$F$31:$F$400,'Étape 1 - à remplir'!$E$31:$E$400,MASQ2!O242,'Étape 1 - à remplir'!$G$31:$G$400,"animaux"),SUMIFS('Étape 1 - à remplir'!$F$31:$F$400,'Étape 1 - à remplir'!$E$31:$E$400,MASQ2!O242,'Étape 1 - à remplir'!$P$31:$P$400,X$3)),IF(X$2="Atelier",IF(X$3="Tous",SUMIFS('Étape 1 - à remplir'!$F$31:$F$400,'Étape 1 - à remplir'!$E$31:$E$400,MASQ2!O242,'Étape 1 - à remplir'!$G$31:$G$400,"animaux"),SUMIFS('Étape 1 - à remplir'!$F$31:$F$400,'Étape 1 - à remplir'!$E$31:$E$400,MASQ2!O242,'Étape 1 - à remplir'!$O$31:$O$400,X$3)),IF(X$2="Espèce",IF(X$3="Toutes",SUMIFS('Étape 1 - à remplir'!$F$31:$F$400,'Étape 1 - à remplir'!$E$31:$E$400,MASQ2!O242,'Étape 1 - à remplir'!$G$31:$G$400,"animaux"),SUMIFS('Étape 1 - à remplir'!$F$31:$F$400,'Étape 1 - à remplir'!$E$31:$E$400,MASQ2!O242,'Étape 1 - à remplir'!$N$31:$N$400,X$3))))))=0,NA(),IF(X$2="Catégorie",IF(X$3="Toutes",SUMIFS('Étape 1 - à remplir'!$F$31:$F$400,'Étape 1 - à remplir'!$E$31:$E$400,MASQ2!O242,'Étape 1 - à remplir'!$G$31:$G$400,"animaux"),SUMIFS('Étape 1 - à remplir'!$F$31:$F$400,'Étape 1 - à remplir'!$E$31:$E$400,MASQ2!O242,'Étape 1 - à remplir'!$C$31:$C$400,X$3)),IF(X$2="Âge",IF(X$3="Tous",SUMIFS('Étape 1 - à remplir'!$F$31:$F$400,'Étape 1 - à remplir'!$E$31:$E$400,MASQ2!O242,'Étape 1 - à remplir'!$G$31:$G$400,"animaux"),SUMIFS('Étape 1 - à remplir'!$F$31:$F$400,'Étape 1 - à remplir'!$E$31:$E$400,MASQ2!O242,'Étape 1 - à remplir'!$P$31:$P$400,X$3)),IF(X$2="Atelier",IF(X$3="Tous",SUMIFS('Étape 1 - à remplir'!$F$31:$F$400,'Étape 1 - à remplir'!$E$31:$E$400,MASQ2!O242,'Étape 1 - à remplir'!$G$31:$G$400,"animaux"),SUMIFS('Étape 1 - à remplir'!$F$31:$F$400,'Étape 1 - à remplir'!$E$31:$E$400,MASQ2!O242,'Étape 1 - à remplir'!$O$31:$O$400,X$3)),IF(X$2="Espèce",IF(X$3="Toutes",SUMIFS('Étape 1 - à remplir'!$F$31:$F$400,'Étape 1 - à remplir'!$E$31:$E$400,MASQ2!O242,'Étape 1 - à remplir'!$G$31:$G$400,"animaux"),SUMIFS('Étape 1 - à remplir'!$F$31:$F$400,'Étape 1 - à remplir'!$E$31:$E$400,MASQ2!O242,'Étape 1 - à remplir'!$N$31:$N$400,X$3)))))))</f>
        <v>#N/A</v>
      </c>
      <c r="Q242" s="63">
        <f t="shared" si="210"/>
        <v>0</v>
      </c>
      <c r="R242" t="str">
        <f>Données_ATB!BM241</f>
        <v>Fluméquine</v>
      </c>
      <c r="S242" t="str">
        <f>Données_ATB!BN241</f>
        <v/>
      </c>
      <c r="T242" s="63" t="str">
        <f>Données_ATB!BO241</f>
        <v/>
      </c>
      <c r="U242" s="42" t="str">
        <f>Données_ATB!BQ241</f>
        <v>Quinolones</v>
      </c>
      <c r="V242" t="str">
        <f>Données_ATB!BR241</f>
        <v/>
      </c>
      <c r="W242" s="63" t="str">
        <f>Données_ATB!BS241</f>
        <v/>
      </c>
      <c r="Z242" s="42">
        <v>239</v>
      </c>
      <c r="AA242" t="e">
        <f t="shared" si="206"/>
        <v>#N/A</v>
      </c>
      <c r="AB242" s="63" t="e">
        <f t="shared" si="207"/>
        <v>#N/A</v>
      </c>
      <c r="BF242" s="63"/>
      <c r="BT242" s="194" t="str">
        <f t="shared" ca="1" si="190"/>
        <v/>
      </c>
      <c r="BU242" s="219" t="str">
        <f>IFERROR(IF(BX242=0,"",COUNTIF(BX$4:BX$600,"&gt;"&amp;BX242)+COUNTIF(BX$4:BX242,BX242)),"")</f>
        <v/>
      </c>
      <c r="BV242" s="42" t="str">
        <f t="shared" si="191"/>
        <v>FLUMIVAL 10% SOLUTION ORALE POUR VOLAILLES ET VEAUX</v>
      </c>
      <c r="BW242" t="e">
        <f>IF(IF(CE$2="Catégorie",IF(CE$3="Toutes",SUMIFS('Étape 1 - à remplir'!$F$31:$F$400,'Étape 1 - à remplir'!$E$31:$E$400,MASQ2!BV242,'Étape 1 - à remplir'!$G$31:$G$400,"lots"),SUMIFS('Étape 1 - à remplir'!$F$31:$F$400,'Étape 1 - à remplir'!$E$31:$E$400,MASQ2!BV242,'Étape 1 - à remplir'!$C$31:$C$400,CE$3)),IF(CE$2="Âge",IF(CE$3="Tous",SUMIFS('Étape 1 - à remplir'!$F$31:$F$400,'Étape 1 - à remplir'!$E$31:$E$400,MASQ2!BV242,'Étape 1 - à remplir'!$G$31:$G$400,"lots"),SUMIFS('Étape 1 - à remplir'!$F$31:$F$400,'Étape 1 - à remplir'!$E$31:$E$400,MASQ2!BV242,'Étape 1 - à remplir'!$P$31:$P$400,CE$3,'Étape 1 - à remplir'!$G$31:$G$400,"lots")),IF(CE$2="Atelier",IF(CE$3="Tous",SUMIFS('Étape 1 - à remplir'!$F$31:$F$400,'Étape 1 - à remplir'!$E$31:$E$400,MASQ2!BV242,'Étape 1 - à remplir'!$G$31:$G$400,"lots"),SUMIFS('Étape 1 - à remplir'!$F$31:$F$400,'Étape 1 - à remplir'!$E$31:$E$400,MASQ2!BV242,'Étape 1 - à remplir'!$O$31:$O$400,CE$3,'Étape 1 - à remplir'!$G$31:$G$400,"lots")),IF(CE$2="Espèce",IF(CE$3="Toutes",SUMIFS('Étape 1 - à remplir'!$F$31:$F$400,'Étape 1 - à remplir'!$E$31:$E$400,MASQ2!BV242,'Étape 1 - à remplir'!$G$31:$G$400,"lots"),SUMIFS('Étape 1 - à remplir'!$F$31:$F$400,'Étape 1 - à remplir'!$E$31:$E$400,MASQ2!BV242,'Étape 1 - à remplir'!$N$31:$N$400,CE$3,'Étape 1 - à remplir'!$G$31:$G$400,"lots"))))))=0,NA(),IF(CE$2="Catégorie",IF(CE$3="Toutes",SUMIFS('Étape 1 - à remplir'!$F$31:$F$400,'Étape 1 - à remplir'!$E$31:$E$400,MASQ2!BV242,'Étape 1 - à remplir'!$G$31:$G$400,"lots"),SUMIFS('Étape 1 - à remplir'!$F$31:$F$400,'Étape 1 - à remplir'!$E$31:$E$400,MASQ2!BV242,'Étape 1 - à remplir'!$C$31:$C$400,CE$3)),IF(CE$2="Âge",IF(CE$3="Tous",SUMIFS('Étape 1 - à remplir'!$F$31:$F$400,'Étape 1 - à remplir'!$E$31:$E$400,MASQ2!BV242,'Étape 1 - à remplir'!$G$31:$G$400,"lots"),SUMIFS('Étape 1 - à remplir'!$F$31:$F$400,'Étape 1 - à remplir'!$E$31:$E$400,MASQ2!BV242,'Étape 1 - à remplir'!$P$31:$P$400,CE$3,'Étape 1 - à remplir'!$G$31:$G$400,"lots")),IF(CE$2="Atelier",IF(CE$3="Tous",SUMIFS('Étape 1 - à remplir'!$F$31:$F$400,'Étape 1 - à remplir'!$E$31:$E$400,MASQ2!BV242,'Étape 1 - à remplir'!$G$31:$G$400,"lots"),SUMIFS('Étape 1 - à remplir'!$F$31:$F$400,'Étape 1 - à remplir'!$E$31:$E$400,MASQ2!BV242,'Étape 1 - à remplir'!$O$31:$O$400,CE$3,'Étape 1 - à remplir'!$G$31:$G$400,"lots")),IF(CE$2="Espèce",IF(CE$3="Toutes",SUMIFS('Étape 1 - à remplir'!$F$31:$F$400,'Étape 1 - à remplir'!$E$31:$E$400,MASQ2!BV242,'Étape 1 - à remplir'!$G$31:$G$400,"lots"),SUMIFS('Étape 1 - à remplir'!$F$31:$F$400,'Étape 1 - à remplir'!$E$31:$E$400,MASQ2!BV242,'Étape 1 - à remplir'!$N$31:$N$400,CE$3,'Étape 1 - à remplir'!$G$31:$G$400,"lots")))))))</f>
        <v>#N/A</v>
      </c>
      <c r="BX242">
        <f t="shared" si="208"/>
        <v>0</v>
      </c>
      <c r="BY242" t="str">
        <f t="shared" si="192"/>
        <v>Fluméquine</v>
      </c>
      <c r="BZ242" t="str">
        <f t="shared" si="193"/>
        <v/>
      </c>
      <c r="CA242" t="str">
        <f t="shared" si="194"/>
        <v/>
      </c>
      <c r="CB242" t="str">
        <f t="shared" si="195"/>
        <v>Quinolones</v>
      </c>
      <c r="CC242" t="str">
        <f t="shared" si="196"/>
        <v/>
      </c>
      <c r="CD242" s="63" t="str">
        <f t="shared" si="197"/>
        <v/>
      </c>
      <c r="CG242" s="42">
        <v>239</v>
      </c>
      <c r="CH242" s="42" t="e">
        <f t="shared" si="213"/>
        <v>#N/A</v>
      </c>
      <c r="CI242" s="63" t="e">
        <f t="shared" si="214"/>
        <v>#N/A</v>
      </c>
      <c r="DM242" s="63"/>
      <c r="EA242" s="194" t="str">
        <f t="shared" ca="1" si="198"/>
        <v/>
      </c>
      <c r="EB242" s="226" t="str">
        <f>IFERROR(IF(ED242=0,"",COUNTIF(ED$4:ED$600,"&gt;"&amp;ED242)+COUNTIF(ED$4:ED242,ED242)),"")</f>
        <v/>
      </c>
      <c r="EC242" t="str">
        <f t="shared" si="199"/>
        <v>FLUMIVAL 10% SOLUTION ORALE POUR VOLAILLES ET VEAUX</v>
      </c>
      <c r="ED242" t="e">
        <f>IF(IF(EL$2="Catégorie",IF(EL$3="Toutes",SUMIFS('Étape 1 - à remplir'!$F$31:$F$400,'Étape 1 - à remplir'!$E$31:$E$400,MASQ2!EC242,'Étape 1 - à remplir'!$G$31:$G$400,"kg"),SUMIFS('Étape 1 - à remplir'!$F$31:$F$400,'Étape 1 - à remplir'!$E$31:$E$400,MASQ2!EC242,'Étape 1 - à remplir'!$C$31:$C$400,EL$3)),IF(EL$2="Âge",IF(EL$3="Tous",SUMIFS('Étape 1 - à remplir'!$F$31:$F$400,'Étape 1 - à remplir'!$E$31:$E$400,MASQ2!EC242,'Étape 1 - à remplir'!$G$31:$G$400,"kg"),SUMIFS('Étape 1 - à remplir'!$F$31:$F$400,'Étape 1 - à remplir'!$E$31:$E$400,MASQ2!EC242,'Étape 1 - à remplir'!$P$31:$P$400,EL$3,'Étape 1 - à remplir'!$G$31:$G$400,"kg")),IF(EL$2="Atelier",IF(EL$3="Tous",SUMIFS('Étape 1 - à remplir'!$F$31:$F$400,'Étape 1 - à remplir'!$E$31:$E$400,MASQ2!EC242,'Étape 1 - à remplir'!$G$31:$G$400,"kg"),SUMIFS('Étape 1 - à remplir'!$F$31:$F$400,'Étape 1 - à remplir'!$E$31:$E$400,MASQ2!EC242,'Étape 1 - à remplir'!$O$31:$O$400,EL$3,'Étape 1 - à remplir'!$G$31:$G$400,"kg")),IF(EL$2="Espèce",IF(EL$3="Toutes",SUMIFS('Étape 1 - à remplir'!$F$31:$F$400,'Étape 1 - à remplir'!$E$31:$E$400,MASQ2!EC242,'Étape 1 - à remplir'!$G$31:$G$400,"kg"),SUMIFS('Étape 1 - à remplir'!$F$31:$F$400,'Étape 1 - à remplir'!$E$31:$E$400,MASQ2!EC242,'Étape 1 - à remplir'!$N$31:$N$400,EL$3,'Étape 1 - à remplir'!$G$31:$G$400,"kg"))))))=0,NA(),IF(EL$2="Catégorie",IF(EL$3="Toutes",SUMIFS('Étape 1 - à remplir'!$F$31:$F$400,'Étape 1 - à remplir'!$E$31:$E$400,MASQ2!EC242,'Étape 1 - à remplir'!$G$31:$G$400,"kg"),SUMIFS('Étape 1 - à remplir'!$F$31:$F$400,'Étape 1 - à remplir'!$E$31:$E$400,MASQ2!EC242,'Étape 1 - à remplir'!$C$31:$C$400,EL$3)),IF(EL$2="Âge",IF(EL$3="Tous",SUMIFS('Étape 1 - à remplir'!$F$31:$F$400,'Étape 1 - à remplir'!$E$31:$E$400,MASQ2!EC242,'Étape 1 - à remplir'!$G$31:$G$400,"kg"),SUMIFS('Étape 1 - à remplir'!$F$31:$F$400,'Étape 1 - à remplir'!$E$31:$E$400,MASQ2!EC242,'Étape 1 - à remplir'!$P$31:$P$400,EL$3,'Étape 1 - à remplir'!$G$31:$G$400,"kg")),IF(EL$2="Atelier",IF(EL$3="Tous",SUMIFS('Étape 1 - à remplir'!$F$31:$F$400,'Étape 1 - à remplir'!$E$31:$E$400,MASQ2!EC242,'Étape 1 - à remplir'!$G$31:$G$400,"kg"),SUMIFS('Étape 1 - à remplir'!$F$31:$F$400,'Étape 1 - à remplir'!$E$31:$E$400,MASQ2!EC242,'Étape 1 - à remplir'!$O$31:$O$400,EL$3,'Étape 1 - à remplir'!$G$31:$G$400,"kg")),IF(EL$2="Espèce",IF(EL$3="Toutes",SUMIFS('Étape 1 - à remplir'!$F$31:$F$400,'Étape 1 - à remplir'!$E$31:$E$400,MASQ2!EC242,'Étape 1 - à remplir'!$G$31:$G$400,"kg"),SUMIFS('Étape 1 - à remplir'!$F$31:$F$400,'Étape 1 - à remplir'!$E$31:$E$400,MASQ2!EC242,'Étape 1 - à remplir'!$N$31:$N$400,EL$3,'Étape 1 - à remplir'!$G$31:$G$400,"kg")))))))</f>
        <v>#N/A</v>
      </c>
      <c r="EE242" s="76">
        <f t="shared" si="209"/>
        <v>0</v>
      </c>
      <c r="EF242" t="str">
        <f t="shared" si="200"/>
        <v>Fluméquine</v>
      </c>
      <c r="EG242" t="str">
        <f t="shared" si="201"/>
        <v/>
      </c>
      <c r="EH242" t="str">
        <f t="shared" si="202"/>
        <v/>
      </c>
      <c r="EI242" t="str">
        <f t="shared" si="203"/>
        <v>Quinolones</v>
      </c>
      <c r="EJ242" t="str">
        <f t="shared" si="204"/>
        <v/>
      </c>
      <c r="EK242" s="63" t="str">
        <f t="shared" si="205"/>
        <v/>
      </c>
      <c r="EN242" s="42">
        <v>239</v>
      </c>
      <c r="EO242" t="e">
        <f t="shared" si="211"/>
        <v>#N/A</v>
      </c>
      <c r="EP242" s="63" t="e">
        <f t="shared" si="212"/>
        <v>#N/A</v>
      </c>
      <c r="FT242" s="63"/>
    </row>
    <row r="243" spans="2:176" x14ac:dyDescent="0.3">
      <c r="B243" s="42"/>
      <c r="M243" s="194" t="str">
        <f ca="1">INDEX(Données_ATB!BD:BU,MATCH(MASQ2!O243,Données_ATB!BD:BD,0),18)</f>
        <v/>
      </c>
      <c r="N243" s="14" t="str">
        <f>IFERROR(IF(Q243=0,"",COUNTIF(Q$4:Q$600,"&gt;"&amp;Q243)+COUNTIF(Q$4:Q243,Q243)),"")</f>
        <v/>
      </c>
      <c r="O243" t="str">
        <f>Données_ATB!BD242</f>
        <v>FLUMIX FLUMEQUINE 160 SALMONIDES</v>
      </c>
      <c r="P243" t="e">
        <f>IF(IF(X$2="Catégorie",IF(X$3="Toutes",SUMIFS('Étape 1 - à remplir'!$F$31:$F$400,'Étape 1 - à remplir'!$E$31:$E$400,MASQ2!O243,'Étape 1 - à remplir'!$G$31:$G$400,"animaux"),SUMIFS('Étape 1 - à remplir'!$F$31:$F$400,'Étape 1 - à remplir'!$E$31:$E$400,MASQ2!O243,'Étape 1 - à remplir'!$C$31:$C$400,X$3)),IF(X$2="Âge",IF(X$3="Tous",SUMIFS('Étape 1 - à remplir'!$F$31:$F$400,'Étape 1 - à remplir'!$E$31:$E$400,MASQ2!O243,'Étape 1 - à remplir'!$G$31:$G$400,"animaux"),SUMIFS('Étape 1 - à remplir'!$F$31:$F$400,'Étape 1 - à remplir'!$E$31:$E$400,MASQ2!O243,'Étape 1 - à remplir'!$P$31:$P$400,X$3)),IF(X$2="Atelier",IF(X$3="Tous",SUMIFS('Étape 1 - à remplir'!$F$31:$F$400,'Étape 1 - à remplir'!$E$31:$E$400,MASQ2!O243,'Étape 1 - à remplir'!$G$31:$G$400,"animaux"),SUMIFS('Étape 1 - à remplir'!$F$31:$F$400,'Étape 1 - à remplir'!$E$31:$E$400,MASQ2!O243,'Étape 1 - à remplir'!$O$31:$O$400,X$3)),IF(X$2="Espèce",IF(X$3="Toutes",SUMIFS('Étape 1 - à remplir'!$F$31:$F$400,'Étape 1 - à remplir'!$E$31:$E$400,MASQ2!O243,'Étape 1 - à remplir'!$G$31:$G$400,"animaux"),SUMIFS('Étape 1 - à remplir'!$F$31:$F$400,'Étape 1 - à remplir'!$E$31:$E$400,MASQ2!O243,'Étape 1 - à remplir'!$N$31:$N$400,X$3))))))=0,NA(),IF(X$2="Catégorie",IF(X$3="Toutes",SUMIFS('Étape 1 - à remplir'!$F$31:$F$400,'Étape 1 - à remplir'!$E$31:$E$400,MASQ2!O243,'Étape 1 - à remplir'!$G$31:$G$400,"animaux"),SUMIFS('Étape 1 - à remplir'!$F$31:$F$400,'Étape 1 - à remplir'!$E$31:$E$400,MASQ2!O243,'Étape 1 - à remplir'!$C$31:$C$400,X$3)),IF(X$2="Âge",IF(X$3="Tous",SUMIFS('Étape 1 - à remplir'!$F$31:$F$400,'Étape 1 - à remplir'!$E$31:$E$400,MASQ2!O243,'Étape 1 - à remplir'!$G$31:$G$400,"animaux"),SUMIFS('Étape 1 - à remplir'!$F$31:$F$400,'Étape 1 - à remplir'!$E$31:$E$400,MASQ2!O243,'Étape 1 - à remplir'!$P$31:$P$400,X$3)),IF(X$2="Atelier",IF(X$3="Tous",SUMIFS('Étape 1 - à remplir'!$F$31:$F$400,'Étape 1 - à remplir'!$E$31:$E$400,MASQ2!O243,'Étape 1 - à remplir'!$G$31:$G$400,"animaux"),SUMIFS('Étape 1 - à remplir'!$F$31:$F$400,'Étape 1 - à remplir'!$E$31:$E$400,MASQ2!O243,'Étape 1 - à remplir'!$O$31:$O$400,X$3)),IF(X$2="Espèce",IF(X$3="Toutes",SUMIFS('Étape 1 - à remplir'!$F$31:$F$400,'Étape 1 - à remplir'!$E$31:$E$400,MASQ2!O243,'Étape 1 - à remplir'!$G$31:$G$400,"animaux"),SUMIFS('Étape 1 - à remplir'!$F$31:$F$400,'Étape 1 - à remplir'!$E$31:$E$400,MASQ2!O243,'Étape 1 - à remplir'!$N$31:$N$400,X$3)))))))</f>
        <v>#N/A</v>
      </c>
      <c r="Q243" s="63">
        <f t="shared" si="210"/>
        <v>0</v>
      </c>
      <c r="R243" t="str">
        <f>Données_ATB!BM242</f>
        <v>Fluméquine</v>
      </c>
      <c r="S243" t="str">
        <f>Données_ATB!BN242</f>
        <v/>
      </c>
      <c r="T243" s="63" t="str">
        <f>Données_ATB!BO242</f>
        <v/>
      </c>
      <c r="U243" s="42" t="str">
        <f>Données_ATB!BQ242</f>
        <v>Quinolones</v>
      </c>
      <c r="V243" t="str">
        <f>Données_ATB!BR242</f>
        <v/>
      </c>
      <c r="W243" s="63" t="str">
        <f>Données_ATB!BS242</f>
        <v/>
      </c>
      <c r="Z243" s="42">
        <v>240</v>
      </c>
      <c r="AA243" t="e">
        <f t="shared" si="206"/>
        <v>#N/A</v>
      </c>
      <c r="AB243" s="63" t="e">
        <f t="shared" si="207"/>
        <v>#N/A</v>
      </c>
      <c r="BF243" s="63"/>
      <c r="BT243" s="194" t="str">
        <f t="shared" ca="1" si="190"/>
        <v/>
      </c>
      <c r="BU243" s="219" t="str">
        <f>IFERROR(IF(BX243=0,"",COUNTIF(BX$4:BX$600,"&gt;"&amp;BX243)+COUNTIF(BX$4:BX243,BX243)),"")</f>
        <v/>
      </c>
      <c r="BV243" s="42" t="str">
        <f t="shared" si="191"/>
        <v>FLUMIX FLUMEQUINE 160 SALMONIDES</v>
      </c>
      <c r="BW243" t="e">
        <f>IF(IF(CE$2="Catégorie",IF(CE$3="Toutes",SUMIFS('Étape 1 - à remplir'!$F$31:$F$400,'Étape 1 - à remplir'!$E$31:$E$400,MASQ2!BV243,'Étape 1 - à remplir'!$G$31:$G$400,"lots"),SUMIFS('Étape 1 - à remplir'!$F$31:$F$400,'Étape 1 - à remplir'!$E$31:$E$400,MASQ2!BV243,'Étape 1 - à remplir'!$C$31:$C$400,CE$3)),IF(CE$2="Âge",IF(CE$3="Tous",SUMIFS('Étape 1 - à remplir'!$F$31:$F$400,'Étape 1 - à remplir'!$E$31:$E$400,MASQ2!BV243,'Étape 1 - à remplir'!$G$31:$G$400,"lots"),SUMIFS('Étape 1 - à remplir'!$F$31:$F$400,'Étape 1 - à remplir'!$E$31:$E$400,MASQ2!BV243,'Étape 1 - à remplir'!$P$31:$P$400,CE$3,'Étape 1 - à remplir'!$G$31:$G$400,"lots")),IF(CE$2="Atelier",IF(CE$3="Tous",SUMIFS('Étape 1 - à remplir'!$F$31:$F$400,'Étape 1 - à remplir'!$E$31:$E$400,MASQ2!BV243,'Étape 1 - à remplir'!$G$31:$G$400,"lots"),SUMIFS('Étape 1 - à remplir'!$F$31:$F$400,'Étape 1 - à remplir'!$E$31:$E$400,MASQ2!BV243,'Étape 1 - à remplir'!$O$31:$O$400,CE$3,'Étape 1 - à remplir'!$G$31:$G$400,"lots")),IF(CE$2="Espèce",IF(CE$3="Toutes",SUMIFS('Étape 1 - à remplir'!$F$31:$F$400,'Étape 1 - à remplir'!$E$31:$E$400,MASQ2!BV243,'Étape 1 - à remplir'!$G$31:$G$400,"lots"),SUMIFS('Étape 1 - à remplir'!$F$31:$F$400,'Étape 1 - à remplir'!$E$31:$E$400,MASQ2!BV243,'Étape 1 - à remplir'!$N$31:$N$400,CE$3,'Étape 1 - à remplir'!$G$31:$G$400,"lots"))))))=0,NA(),IF(CE$2="Catégorie",IF(CE$3="Toutes",SUMIFS('Étape 1 - à remplir'!$F$31:$F$400,'Étape 1 - à remplir'!$E$31:$E$400,MASQ2!BV243,'Étape 1 - à remplir'!$G$31:$G$400,"lots"),SUMIFS('Étape 1 - à remplir'!$F$31:$F$400,'Étape 1 - à remplir'!$E$31:$E$400,MASQ2!BV243,'Étape 1 - à remplir'!$C$31:$C$400,CE$3)),IF(CE$2="Âge",IF(CE$3="Tous",SUMIFS('Étape 1 - à remplir'!$F$31:$F$400,'Étape 1 - à remplir'!$E$31:$E$400,MASQ2!BV243,'Étape 1 - à remplir'!$G$31:$G$400,"lots"),SUMIFS('Étape 1 - à remplir'!$F$31:$F$400,'Étape 1 - à remplir'!$E$31:$E$400,MASQ2!BV243,'Étape 1 - à remplir'!$P$31:$P$400,CE$3,'Étape 1 - à remplir'!$G$31:$G$400,"lots")),IF(CE$2="Atelier",IF(CE$3="Tous",SUMIFS('Étape 1 - à remplir'!$F$31:$F$400,'Étape 1 - à remplir'!$E$31:$E$400,MASQ2!BV243,'Étape 1 - à remplir'!$G$31:$G$400,"lots"),SUMIFS('Étape 1 - à remplir'!$F$31:$F$400,'Étape 1 - à remplir'!$E$31:$E$400,MASQ2!BV243,'Étape 1 - à remplir'!$O$31:$O$400,CE$3,'Étape 1 - à remplir'!$G$31:$G$400,"lots")),IF(CE$2="Espèce",IF(CE$3="Toutes",SUMIFS('Étape 1 - à remplir'!$F$31:$F$400,'Étape 1 - à remplir'!$E$31:$E$400,MASQ2!BV243,'Étape 1 - à remplir'!$G$31:$G$400,"lots"),SUMIFS('Étape 1 - à remplir'!$F$31:$F$400,'Étape 1 - à remplir'!$E$31:$E$400,MASQ2!BV243,'Étape 1 - à remplir'!$N$31:$N$400,CE$3,'Étape 1 - à remplir'!$G$31:$G$400,"lots")))))))</f>
        <v>#N/A</v>
      </c>
      <c r="BX243">
        <f t="shared" si="208"/>
        <v>0</v>
      </c>
      <c r="BY243" t="str">
        <f t="shared" si="192"/>
        <v>Fluméquine</v>
      </c>
      <c r="BZ243" t="str">
        <f t="shared" si="193"/>
        <v/>
      </c>
      <c r="CA243" t="str">
        <f t="shared" si="194"/>
        <v/>
      </c>
      <c r="CB243" t="str">
        <f t="shared" si="195"/>
        <v>Quinolones</v>
      </c>
      <c r="CC243" t="str">
        <f t="shared" si="196"/>
        <v/>
      </c>
      <c r="CD243" s="63" t="str">
        <f t="shared" si="197"/>
        <v/>
      </c>
      <c r="CG243" s="42">
        <v>240</v>
      </c>
      <c r="CH243" s="42" t="e">
        <f t="shared" si="213"/>
        <v>#N/A</v>
      </c>
      <c r="CI243" s="63" t="e">
        <f t="shared" si="214"/>
        <v>#N/A</v>
      </c>
      <c r="DM243" s="63"/>
      <c r="EA243" s="194" t="str">
        <f t="shared" ca="1" si="198"/>
        <v/>
      </c>
      <c r="EB243" s="226" t="str">
        <f>IFERROR(IF(ED243=0,"",COUNTIF(ED$4:ED$600,"&gt;"&amp;ED243)+COUNTIF(ED$4:ED243,ED243)),"")</f>
        <v/>
      </c>
      <c r="EC243" t="str">
        <f t="shared" si="199"/>
        <v>FLUMIX FLUMEQUINE 160 SALMONIDES</v>
      </c>
      <c r="ED243" t="e">
        <f>IF(IF(EL$2="Catégorie",IF(EL$3="Toutes",SUMIFS('Étape 1 - à remplir'!$F$31:$F$400,'Étape 1 - à remplir'!$E$31:$E$400,MASQ2!EC243,'Étape 1 - à remplir'!$G$31:$G$400,"kg"),SUMIFS('Étape 1 - à remplir'!$F$31:$F$400,'Étape 1 - à remplir'!$E$31:$E$400,MASQ2!EC243,'Étape 1 - à remplir'!$C$31:$C$400,EL$3)),IF(EL$2="Âge",IF(EL$3="Tous",SUMIFS('Étape 1 - à remplir'!$F$31:$F$400,'Étape 1 - à remplir'!$E$31:$E$400,MASQ2!EC243,'Étape 1 - à remplir'!$G$31:$G$400,"kg"),SUMIFS('Étape 1 - à remplir'!$F$31:$F$400,'Étape 1 - à remplir'!$E$31:$E$400,MASQ2!EC243,'Étape 1 - à remplir'!$P$31:$P$400,EL$3,'Étape 1 - à remplir'!$G$31:$G$400,"kg")),IF(EL$2="Atelier",IF(EL$3="Tous",SUMIFS('Étape 1 - à remplir'!$F$31:$F$400,'Étape 1 - à remplir'!$E$31:$E$400,MASQ2!EC243,'Étape 1 - à remplir'!$G$31:$G$400,"kg"),SUMIFS('Étape 1 - à remplir'!$F$31:$F$400,'Étape 1 - à remplir'!$E$31:$E$400,MASQ2!EC243,'Étape 1 - à remplir'!$O$31:$O$400,EL$3,'Étape 1 - à remplir'!$G$31:$G$400,"kg")),IF(EL$2="Espèce",IF(EL$3="Toutes",SUMIFS('Étape 1 - à remplir'!$F$31:$F$400,'Étape 1 - à remplir'!$E$31:$E$400,MASQ2!EC243,'Étape 1 - à remplir'!$G$31:$G$400,"kg"),SUMIFS('Étape 1 - à remplir'!$F$31:$F$400,'Étape 1 - à remplir'!$E$31:$E$400,MASQ2!EC243,'Étape 1 - à remplir'!$N$31:$N$400,EL$3,'Étape 1 - à remplir'!$G$31:$G$400,"kg"))))))=0,NA(),IF(EL$2="Catégorie",IF(EL$3="Toutes",SUMIFS('Étape 1 - à remplir'!$F$31:$F$400,'Étape 1 - à remplir'!$E$31:$E$400,MASQ2!EC243,'Étape 1 - à remplir'!$G$31:$G$400,"kg"),SUMIFS('Étape 1 - à remplir'!$F$31:$F$400,'Étape 1 - à remplir'!$E$31:$E$400,MASQ2!EC243,'Étape 1 - à remplir'!$C$31:$C$400,EL$3)),IF(EL$2="Âge",IF(EL$3="Tous",SUMIFS('Étape 1 - à remplir'!$F$31:$F$400,'Étape 1 - à remplir'!$E$31:$E$400,MASQ2!EC243,'Étape 1 - à remplir'!$G$31:$G$400,"kg"),SUMIFS('Étape 1 - à remplir'!$F$31:$F$400,'Étape 1 - à remplir'!$E$31:$E$400,MASQ2!EC243,'Étape 1 - à remplir'!$P$31:$P$400,EL$3,'Étape 1 - à remplir'!$G$31:$G$400,"kg")),IF(EL$2="Atelier",IF(EL$3="Tous",SUMIFS('Étape 1 - à remplir'!$F$31:$F$400,'Étape 1 - à remplir'!$E$31:$E$400,MASQ2!EC243,'Étape 1 - à remplir'!$G$31:$G$400,"kg"),SUMIFS('Étape 1 - à remplir'!$F$31:$F$400,'Étape 1 - à remplir'!$E$31:$E$400,MASQ2!EC243,'Étape 1 - à remplir'!$O$31:$O$400,EL$3,'Étape 1 - à remplir'!$G$31:$G$400,"kg")),IF(EL$2="Espèce",IF(EL$3="Toutes",SUMIFS('Étape 1 - à remplir'!$F$31:$F$400,'Étape 1 - à remplir'!$E$31:$E$400,MASQ2!EC243,'Étape 1 - à remplir'!$G$31:$G$400,"kg"),SUMIFS('Étape 1 - à remplir'!$F$31:$F$400,'Étape 1 - à remplir'!$E$31:$E$400,MASQ2!EC243,'Étape 1 - à remplir'!$N$31:$N$400,EL$3,'Étape 1 - à remplir'!$G$31:$G$400,"kg")))))))</f>
        <v>#N/A</v>
      </c>
      <c r="EE243" s="76">
        <f t="shared" si="209"/>
        <v>0</v>
      </c>
      <c r="EF243" t="str">
        <f t="shared" si="200"/>
        <v>Fluméquine</v>
      </c>
      <c r="EG243" t="str">
        <f t="shared" si="201"/>
        <v/>
      </c>
      <c r="EH243" t="str">
        <f t="shared" si="202"/>
        <v/>
      </c>
      <c r="EI243" t="str">
        <f t="shared" si="203"/>
        <v>Quinolones</v>
      </c>
      <c r="EJ243" t="str">
        <f t="shared" si="204"/>
        <v/>
      </c>
      <c r="EK243" s="63" t="str">
        <f t="shared" si="205"/>
        <v/>
      </c>
      <c r="EN243" s="42">
        <v>240</v>
      </c>
      <c r="EO243" t="e">
        <f t="shared" si="211"/>
        <v>#N/A</v>
      </c>
      <c r="EP243" s="63" t="e">
        <f t="shared" si="212"/>
        <v>#N/A</v>
      </c>
      <c r="FT243" s="63"/>
    </row>
    <row r="244" spans="2:176" x14ac:dyDescent="0.3">
      <c r="B244" s="42"/>
      <c r="M244" s="194" t="str">
        <f ca="1">INDEX(Données_ATB!BD:BU,MATCH(MASQ2!O244,Données_ATB!BD:BD,0),18)</f>
        <v/>
      </c>
      <c r="N244" s="14" t="str">
        <f>IFERROR(IF(Q244=0,"",COUNTIF(Q$4:Q$600,"&gt;"&amp;Q244)+COUNTIF(Q$4:Q244,Q244)),"")</f>
        <v/>
      </c>
      <c r="O244" t="str">
        <f>Données_ATB!BD243</f>
        <v>FLUQUICK POUDRE A 50 %</v>
      </c>
      <c r="P244" t="e">
        <f>IF(IF(X$2="Catégorie",IF(X$3="Toutes",SUMIFS('Étape 1 - à remplir'!$F$31:$F$400,'Étape 1 - à remplir'!$E$31:$E$400,MASQ2!O244,'Étape 1 - à remplir'!$G$31:$G$400,"animaux"),SUMIFS('Étape 1 - à remplir'!$F$31:$F$400,'Étape 1 - à remplir'!$E$31:$E$400,MASQ2!O244,'Étape 1 - à remplir'!$C$31:$C$400,X$3)),IF(X$2="Âge",IF(X$3="Tous",SUMIFS('Étape 1 - à remplir'!$F$31:$F$400,'Étape 1 - à remplir'!$E$31:$E$400,MASQ2!O244,'Étape 1 - à remplir'!$G$31:$G$400,"animaux"),SUMIFS('Étape 1 - à remplir'!$F$31:$F$400,'Étape 1 - à remplir'!$E$31:$E$400,MASQ2!O244,'Étape 1 - à remplir'!$P$31:$P$400,X$3)),IF(X$2="Atelier",IF(X$3="Tous",SUMIFS('Étape 1 - à remplir'!$F$31:$F$400,'Étape 1 - à remplir'!$E$31:$E$400,MASQ2!O244,'Étape 1 - à remplir'!$G$31:$G$400,"animaux"),SUMIFS('Étape 1 - à remplir'!$F$31:$F$400,'Étape 1 - à remplir'!$E$31:$E$400,MASQ2!O244,'Étape 1 - à remplir'!$O$31:$O$400,X$3)),IF(X$2="Espèce",IF(X$3="Toutes",SUMIFS('Étape 1 - à remplir'!$F$31:$F$400,'Étape 1 - à remplir'!$E$31:$E$400,MASQ2!O244,'Étape 1 - à remplir'!$G$31:$G$400,"animaux"),SUMIFS('Étape 1 - à remplir'!$F$31:$F$400,'Étape 1 - à remplir'!$E$31:$E$400,MASQ2!O244,'Étape 1 - à remplir'!$N$31:$N$400,X$3))))))=0,NA(),IF(X$2="Catégorie",IF(X$3="Toutes",SUMIFS('Étape 1 - à remplir'!$F$31:$F$400,'Étape 1 - à remplir'!$E$31:$E$400,MASQ2!O244,'Étape 1 - à remplir'!$G$31:$G$400,"animaux"),SUMIFS('Étape 1 - à remplir'!$F$31:$F$400,'Étape 1 - à remplir'!$E$31:$E$400,MASQ2!O244,'Étape 1 - à remplir'!$C$31:$C$400,X$3)),IF(X$2="Âge",IF(X$3="Tous",SUMIFS('Étape 1 - à remplir'!$F$31:$F$400,'Étape 1 - à remplir'!$E$31:$E$400,MASQ2!O244,'Étape 1 - à remplir'!$G$31:$G$400,"animaux"),SUMIFS('Étape 1 - à remplir'!$F$31:$F$400,'Étape 1 - à remplir'!$E$31:$E$400,MASQ2!O244,'Étape 1 - à remplir'!$P$31:$P$400,X$3)),IF(X$2="Atelier",IF(X$3="Tous",SUMIFS('Étape 1 - à remplir'!$F$31:$F$400,'Étape 1 - à remplir'!$E$31:$E$400,MASQ2!O244,'Étape 1 - à remplir'!$G$31:$G$400,"animaux"),SUMIFS('Étape 1 - à remplir'!$F$31:$F$400,'Étape 1 - à remplir'!$E$31:$E$400,MASQ2!O244,'Étape 1 - à remplir'!$O$31:$O$400,X$3)),IF(X$2="Espèce",IF(X$3="Toutes",SUMIFS('Étape 1 - à remplir'!$F$31:$F$400,'Étape 1 - à remplir'!$E$31:$E$400,MASQ2!O244,'Étape 1 - à remplir'!$G$31:$G$400,"animaux"),SUMIFS('Étape 1 - à remplir'!$F$31:$F$400,'Étape 1 - à remplir'!$E$31:$E$400,MASQ2!O244,'Étape 1 - à remplir'!$N$31:$N$400,X$3)))))))</f>
        <v>#N/A</v>
      </c>
      <c r="Q244" s="63">
        <f t="shared" si="210"/>
        <v>0</v>
      </c>
      <c r="R244" t="str">
        <f>Données_ATB!BM243</f>
        <v>Fluméquine</v>
      </c>
      <c r="S244" t="str">
        <f>Données_ATB!BN243</f>
        <v/>
      </c>
      <c r="T244" s="63" t="str">
        <f>Données_ATB!BO243</f>
        <v/>
      </c>
      <c r="U244" s="42" t="str">
        <f>Données_ATB!BQ243</f>
        <v>Quinolones</v>
      </c>
      <c r="V244" t="str">
        <f>Données_ATB!BR243</f>
        <v/>
      </c>
      <c r="W244" s="63" t="str">
        <f>Données_ATB!BS243</f>
        <v/>
      </c>
      <c r="Z244" s="42">
        <v>241</v>
      </c>
      <c r="AA244" t="e">
        <f t="shared" si="206"/>
        <v>#N/A</v>
      </c>
      <c r="AB244" s="63" t="e">
        <f t="shared" si="207"/>
        <v>#N/A</v>
      </c>
      <c r="BF244" s="63"/>
      <c r="BT244" s="194" t="str">
        <f t="shared" ca="1" si="190"/>
        <v/>
      </c>
      <c r="BU244" s="219" t="str">
        <f>IFERROR(IF(BX244=0,"",COUNTIF(BX$4:BX$600,"&gt;"&amp;BX244)+COUNTIF(BX$4:BX244,BX244)),"")</f>
        <v/>
      </c>
      <c r="BV244" s="42" t="str">
        <f t="shared" si="191"/>
        <v>FLUQUICK POUDRE A 50 %</v>
      </c>
      <c r="BW244" t="e">
        <f>IF(IF(CE$2="Catégorie",IF(CE$3="Toutes",SUMIFS('Étape 1 - à remplir'!$F$31:$F$400,'Étape 1 - à remplir'!$E$31:$E$400,MASQ2!BV244,'Étape 1 - à remplir'!$G$31:$G$400,"lots"),SUMIFS('Étape 1 - à remplir'!$F$31:$F$400,'Étape 1 - à remplir'!$E$31:$E$400,MASQ2!BV244,'Étape 1 - à remplir'!$C$31:$C$400,CE$3)),IF(CE$2="Âge",IF(CE$3="Tous",SUMIFS('Étape 1 - à remplir'!$F$31:$F$400,'Étape 1 - à remplir'!$E$31:$E$400,MASQ2!BV244,'Étape 1 - à remplir'!$G$31:$G$400,"lots"),SUMIFS('Étape 1 - à remplir'!$F$31:$F$400,'Étape 1 - à remplir'!$E$31:$E$400,MASQ2!BV244,'Étape 1 - à remplir'!$P$31:$P$400,CE$3,'Étape 1 - à remplir'!$G$31:$G$400,"lots")),IF(CE$2="Atelier",IF(CE$3="Tous",SUMIFS('Étape 1 - à remplir'!$F$31:$F$400,'Étape 1 - à remplir'!$E$31:$E$400,MASQ2!BV244,'Étape 1 - à remplir'!$G$31:$G$400,"lots"),SUMIFS('Étape 1 - à remplir'!$F$31:$F$400,'Étape 1 - à remplir'!$E$31:$E$400,MASQ2!BV244,'Étape 1 - à remplir'!$O$31:$O$400,CE$3,'Étape 1 - à remplir'!$G$31:$G$400,"lots")),IF(CE$2="Espèce",IF(CE$3="Toutes",SUMIFS('Étape 1 - à remplir'!$F$31:$F$400,'Étape 1 - à remplir'!$E$31:$E$400,MASQ2!BV244,'Étape 1 - à remplir'!$G$31:$G$400,"lots"),SUMIFS('Étape 1 - à remplir'!$F$31:$F$400,'Étape 1 - à remplir'!$E$31:$E$400,MASQ2!BV244,'Étape 1 - à remplir'!$N$31:$N$400,CE$3,'Étape 1 - à remplir'!$G$31:$G$400,"lots"))))))=0,NA(),IF(CE$2="Catégorie",IF(CE$3="Toutes",SUMIFS('Étape 1 - à remplir'!$F$31:$F$400,'Étape 1 - à remplir'!$E$31:$E$400,MASQ2!BV244,'Étape 1 - à remplir'!$G$31:$G$400,"lots"),SUMIFS('Étape 1 - à remplir'!$F$31:$F$400,'Étape 1 - à remplir'!$E$31:$E$400,MASQ2!BV244,'Étape 1 - à remplir'!$C$31:$C$400,CE$3)),IF(CE$2="Âge",IF(CE$3="Tous",SUMIFS('Étape 1 - à remplir'!$F$31:$F$400,'Étape 1 - à remplir'!$E$31:$E$400,MASQ2!BV244,'Étape 1 - à remplir'!$G$31:$G$400,"lots"),SUMIFS('Étape 1 - à remplir'!$F$31:$F$400,'Étape 1 - à remplir'!$E$31:$E$400,MASQ2!BV244,'Étape 1 - à remplir'!$P$31:$P$400,CE$3,'Étape 1 - à remplir'!$G$31:$G$400,"lots")),IF(CE$2="Atelier",IF(CE$3="Tous",SUMIFS('Étape 1 - à remplir'!$F$31:$F$400,'Étape 1 - à remplir'!$E$31:$E$400,MASQ2!BV244,'Étape 1 - à remplir'!$G$31:$G$400,"lots"),SUMIFS('Étape 1 - à remplir'!$F$31:$F$400,'Étape 1 - à remplir'!$E$31:$E$400,MASQ2!BV244,'Étape 1 - à remplir'!$O$31:$O$400,CE$3,'Étape 1 - à remplir'!$G$31:$G$400,"lots")),IF(CE$2="Espèce",IF(CE$3="Toutes",SUMIFS('Étape 1 - à remplir'!$F$31:$F$400,'Étape 1 - à remplir'!$E$31:$E$400,MASQ2!BV244,'Étape 1 - à remplir'!$G$31:$G$400,"lots"),SUMIFS('Étape 1 - à remplir'!$F$31:$F$400,'Étape 1 - à remplir'!$E$31:$E$400,MASQ2!BV244,'Étape 1 - à remplir'!$N$31:$N$400,CE$3,'Étape 1 - à remplir'!$G$31:$G$400,"lots")))))))</f>
        <v>#N/A</v>
      </c>
      <c r="BX244">
        <f t="shared" si="208"/>
        <v>0</v>
      </c>
      <c r="BY244" t="str">
        <f t="shared" si="192"/>
        <v>Fluméquine</v>
      </c>
      <c r="BZ244" t="str">
        <f t="shared" si="193"/>
        <v/>
      </c>
      <c r="CA244" t="str">
        <f t="shared" si="194"/>
        <v/>
      </c>
      <c r="CB244" t="str">
        <f t="shared" si="195"/>
        <v>Quinolones</v>
      </c>
      <c r="CC244" t="str">
        <f t="shared" si="196"/>
        <v/>
      </c>
      <c r="CD244" s="63" t="str">
        <f t="shared" si="197"/>
        <v/>
      </c>
      <c r="CG244" s="42">
        <v>241</v>
      </c>
      <c r="CH244" s="42" t="e">
        <f t="shared" si="213"/>
        <v>#N/A</v>
      </c>
      <c r="CI244" s="63" t="e">
        <f t="shared" si="214"/>
        <v>#N/A</v>
      </c>
      <c r="DM244" s="63"/>
      <c r="EA244" s="194" t="str">
        <f t="shared" ca="1" si="198"/>
        <v/>
      </c>
      <c r="EB244" s="226" t="str">
        <f>IFERROR(IF(ED244=0,"",COUNTIF(ED$4:ED$600,"&gt;"&amp;ED244)+COUNTIF(ED$4:ED244,ED244)),"")</f>
        <v/>
      </c>
      <c r="EC244" t="str">
        <f t="shared" si="199"/>
        <v>FLUQUICK POUDRE A 50 %</v>
      </c>
      <c r="ED244" t="e">
        <f>IF(IF(EL$2="Catégorie",IF(EL$3="Toutes",SUMIFS('Étape 1 - à remplir'!$F$31:$F$400,'Étape 1 - à remplir'!$E$31:$E$400,MASQ2!EC244,'Étape 1 - à remplir'!$G$31:$G$400,"kg"),SUMIFS('Étape 1 - à remplir'!$F$31:$F$400,'Étape 1 - à remplir'!$E$31:$E$400,MASQ2!EC244,'Étape 1 - à remplir'!$C$31:$C$400,EL$3)),IF(EL$2="Âge",IF(EL$3="Tous",SUMIFS('Étape 1 - à remplir'!$F$31:$F$400,'Étape 1 - à remplir'!$E$31:$E$400,MASQ2!EC244,'Étape 1 - à remplir'!$G$31:$G$400,"kg"),SUMIFS('Étape 1 - à remplir'!$F$31:$F$400,'Étape 1 - à remplir'!$E$31:$E$400,MASQ2!EC244,'Étape 1 - à remplir'!$P$31:$P$400,EL$3,'Étape 1 - à remplir'!$G$31:$G$400,"kg")),IF(EL$2="Atelier",IF(EL$3="Tous",SUMIFS('Étape 1 - à remplir'!$F$31:$F$400,'Étape 1 - à remplir'!$E$31:$E$400,MASQ2!EC244,'Étape 1 - à remplir'!$G$31:$G$400,"kg"),SUMIFS('Étape 1 - à remplir'!$F$31:$F$400,'Étape 1 - à remplir'!$E$31:$E$400,MASQ2!EC244,'Étape 1 - à remplir'!$O$31:$O$400,EL$3,'Étape 1 - à remplir'!$G$31:$G$400,"kg")),IF(EL$2="Espèce",IF(EL$3="Toutes",SUMIFS('Étape 1 - à remplir'!$F$31:$F$400,'Étape 1 - à remplir'!$E$31:$E$400,MASQ2!EC244,'Étape 1 - à remplir'!$G$31:$G$400,"kg"),SUMIFS('Étape 1 - à remplir'!$F$31:$F$400,'Étape 1 - à remplir'!$E$31:$E$400,MASQ2!EC244,'Étape 1 - à remplir'!$N$31:$N$400,EL$3,'Étape 1 - à remplir'!$G$31:$G$400,"kg"))))))=0,NA(),IF(EL$2="Catégorie",IF(EL$3="Toutes",SUMIFS('Étape 1 - à remplir'!$F$31:$F$400,'Étape 1 - à remplir'!$E$31:$E$400,MASQ2!EC244,'Étape 1 - à remplir'!$G$31:$G$400,"kg"),SUMIFS('Étape 1 - à remplir'!$F$31:$F$400,'Étape 1 - à remplir'!$E$31:$E$400,MASQ2!EC244,'Étape 1 - à remplir'!$C$31:$C$400,EL$3)),IF(EL$2="Âge",IF(EL$3="Tous",SUMIFS('Étape 1 - à remplir'!$F$31:$F$400,'Étape 1 - à remplir'!$E$31:$E$400,MASQ2!EC244,'Étape 1 - à remplir'!$G$31:$G$400,"kg"),SUMIFS('Étape 1 - à remplir'!$F$31:$F$400,'Étape 1 - à remplir'!$E$31:$E$400,MASQ2!EC244,'Étape 1 - à remplir'!$P$31:$P$400,EL$3,'Étape 1 - à remplir'!$G$31:$G$400,"kg")),IF(EL$2="Atelier",IF(EL$3="Tous",SUMIFS('Étape 1 - à remplir'!$F$31:$F$400,'Étape 1 - à remplir'!$E$31:$E$400,MASQ2!EC244,'Étape 1 - à remplir'!$G$31:$G$400,"kg"),SUMIFS('Étape 1 - à remplir'!$F$31:$F$400,'Étape 1 - à remplir'!$E$31:$E$400,MASQ2!EC244,'Étape 1 - à remplir'!$O$31:$O$400,EL$3,'Étape 1 - à remplir'!$G$31:$G$400,"kg")),IF(EL$2="Espèce",IF(EL$3="Toutes",SUMIFS('Étape 1 - à remplir'!$F$31:$F$400,'Étape 1 - à remplir'!$E$31:$E$400,MASQ2!EC244,'Étape 1 - à remplir'!$G$31:$G$400,"kg"),SUMIFS('Étape 1 - à remplir'!$F$31:$F$400,'Étape 1 - à remplir'!$E$31:$E$400,MASQ2!EC244,'Étape 1 - à remplir'!$N$31:$N$400,EL$3,'Étape 1 - à remplir'!$G$31:$G$400,"kg")))))))</f>
        <v>#N/A</v>
      </c>
      <c r="EE244" s="76">
        <f t="shared" si="209"/>
        <v>0</v>
      </c>
      <c r="EF244" t="str">
        <f t="shared" si="200"/>
        <v>Fluméquine</v>
      </c>
      <c r="EG244" t="str">
        <f t="shared" si="201"/>
        <v/>
      </c>
      <c r="EH244" t="str">
        <f t="shared" si="202"/>
        <v/>
      </c>
      <c r="EI244" t="str">
        <f t="shared" si="203"/>
        <v>Quinolones</v>
      </c>
      <c r="EJ244" t="str">
        <f t="shared" si="204"/>
        <v/>
      </c>
      <c r="EK244" s="63" t="str">
        <f t="shared" si="205"/>
        <v/>
      </c>
      <c r="EN244" s="42">
        <v>241</v>
      </c>
      <c r="EO244" t="e">
        <f t="shared" si="211"/>
        <v>#N/A</v>
      </c>
      <c r="EP244" s="63" t="e">
        <f t="shared" si="212"/>
        <v>#N/A</v>
      </c>
      <c r="FT244" s="63"/>
    </row>
    <row r="245" spans="2:176" x14ac:dyDescent="0.3">
      <c r="B245" s="42"/>
      <c r="M245" s="194" t="str">
        <f ca="1">INDEX(Données_ATB!BD:BU,MATCH(MASQ2!O245,Données_ATB!BD:BD,0),18)</f>
        <v>x</v>
      </c>
      <c r="N245" s="14" t="str">
        <f>IFERROR(IF(Q245=0,"",COUNTIF(Q$4:Q$600,"&gt;"&amp;Q245)+COUNTIF(Q$4:Q245,Q245)),"")</f>
        <v/>
      </c>
      <c r="O245" t="str">
        <f>Données_ATB!BD244</f>
        <v>FORCYL 160 MG/ML SOLUTION INJECTABLE POUR BOVINS</v>
      </c>
      <c r="P245" t="e">
        <f>IF(IF(X$2="Catégorie",IF(X$3="Toutes",SUMIFS('Étape 1 - à remplir'!$F$31:$F$400,'Étape 1 - à remplir'!$E$31:$E$400,MASQ2!O245,'Étape 1 - à remplir'!$G$31:$G$400,"animaux"),SUMIFS('Étape 1 - à remplir'!$F$31:$F$400,'Étape 1 - à remplir'!$E$31:$E$400,MASQ2!O245,'Étape 1 - à remplir'!$C$31:$C$400,X$3)),IF(X$2="Âge",IF(X$3="Tous",SUMIFS('Étape 1 - à remplir'!$F$31:$F$400,'Étape 1 - à remplir'!$E$31:$E$400,MASQ2!O245,'Étape 1 - à remplir'!$G$31:$G$400,"animaux"),SUMIFS('Étape 1 - à remplir'!$F$31:$F$400,'Étape 1 - à remplir'!$E$31:$E$400,MASQ2!O245,'Étape 1 - à remplir'!$P$31:$P$400,X$3)),IF(X$2="Atelier",IF(X$3="Tous",SUMIFS('Étape 1 - à remplir'!$F$31:$F$400,'Étape 1 - à remplir'!$E$31:$E$400,MASQ2!O245,'Étape 1 - à remplir'!$G$31:$G$400,"animaux"),SUMIFS('Étape 1 - à remplir'!$F$31:$F$400,'Étape 1 - à remplir'!$E$31:$E$400,MASQ2!O245,'Étape 1 - à remplir'!$O$31:$O$400,X$3)),IF(X$2="Espèce",IF(X$3="Toutes",SUMIFS('Étape 1 - à remplir'!$F$31:$F$400,'Étape 1 - à remplir'!$E$31:$E$400,MASQ2!O245,'Étape 1 - à remplir'!$G$31:$G$400,"animaux"),SUMIFS('Étape 1 - à remplir'!$F$31:$F$400,'Étape 1 - à remplir'!$E$31:$E$400,MASQ2!O245,'Étape 1 - à remplir'!$N$31:$N$400,X$3))))))=0,NA(),IF(X$2="Catégorie",IF(X$3="Toutes",SUMIFS('Étape 1 - à remplir'!$F$31:$F$400,'Étape 1 - à remplir'!$E$31:$E$400,MASQ2!O245,'Étape 1 - à remplir'!$G$31:$G$400,"animaux"),SUMIFS('Étape 1 - à remplir'!$F$31:$F$400,'Étape 1 - à remplir'!$E$31:$E$400,MASQ2!O245,'Étape 1 - à remplir'!$C$31:$C$400,X$3)),IF(X$2="Âge",IF(X$3="Tous",SUMIFS('Étape 1 - à remplir'!$F$31:$F$400,'Étape 1 - à remplir'!$E$31:$E$400,MASQ2!O245,'Étape 1 - à remplir'!$G$31:$G$400,"animaux"),SUMIFS('Étape 1 - à remplir'!$F$31:$F$400,'Étape 1 - à remplir'!$E$31:$E$400,MASQ2!O245,'Étape 1 - à remplir'!$P$31:$P$400,X$3)),IF(X$2="Atelier",IF(X$3="Tous",SUMIFS('Étape 1 - à remplir'!$F$31:$F$400,'Étape 1 - à remplir'!$E$31:$E$400,MASQ2!O245,'Étape 1 - à remplir'!$G$31:$G$400,"animaux"),SUMIFS('Étape 1 - à remplir'!$F$31:$F$400,'Étape 1 - à remplir'!$E$31:$E$400,MASQ2!O245,'Étape 1 - à remplir'!$O$31:$O$400,X$3)),IF(X$2="Espèce",IF(X$3="Toutes",SUMIFS('Étape 1 - à remplir'!$F$31:$F$400,'Étape 1 - à remplir'!$E$31:$E$400,MASQ2!O245,'Étape 1 - à remplir'!$G$31:$G$400,"animaux"),SUMIFS('Étape 1 - à remplir'!$F$31:$F$400,'Étape 1 - à remplir'!$E$31:$E$400,MASQ2!O245,'Étape 1 - à remplir'!$N$31:$N$400,X$3)))))))</f>
        <v>#N/A</v>
      </c>
      <c r="Q245" s="63">
        <f t="shared" si="210"/>
        <v>0</v>
      </c>
      <c r="R245" t="str">
        <f>Données_ATB!BM244</f>
        <v>Marbofloxacine</v>
      </c>
      <c r="S245" t="str">
        <f>Données_ATB!BN244</f>
        <v/>
      </c>
      <c r="T245" s="63" t="str">
        <f>Données_ATB!BO244</f>
        <v/>
      </c>
      <c r="U245" s="42" t="str">
        <f>Données_ATB!BQ244</f>
        <v>Fluoroquinolones</v>
      </c>
      <c r="V245" t="str">
        <f>Données_ATB!BR244</f>
        <v/>
      </c>
      <c r="W245" s="63" t="str">
        <f>Données_ATB!BS244</f>
        <v/>
      </c>
      <c r="Z245" s="42">
        <v>242</v>
      </c>
      <c r="AA245" t="e">
        <f t="shared" si="206"/>
        <v>#N/A</v>
      </c>
      <c r="AB245" s="63" t="e">
        <f t="shared" si="207"/>
        <v>#N/A</v>
      </c>
      <c r="BF245" s="63"/>
      <c r="BT245" s="194" t="str">
        <f t="shared" ca="1" si="190"/>
        <v>x</v>
      </c>
      <c r="BU245" s="219" t="str">
        <f>IFERROR(IF(BX245=0,"",COUNTIF(BX$4:BX$600,"&gt;"&amp;BX245)+COUNTIF(BX$4:BX245,BX245)),"")</f>
        <v/>
      </c>
      <c r="BV245" s="42" t="str">
        <f t="shared" si="191"/>
        <v>FORCYL 160 MG/ML SOLUTION INJECTABLE POUR BOVINS</v>
      </c>
      <c r="BW245" t="e">
        <f>IF(IF(CE$2="Catégorie",IF(CE$3="Toutes",SUMIFS('Étape 1 - à remplir'!$F$31:$F$400,'Étape 1 - à remplir'!$E$31:$E$400,MASQ2!BV245,'Étape 1 - à remplir'!$G$31:$G$400,"lots"),SUMIFS('Étape 1 - à remplir'!$F$31:$F$400,'Étape 1 - à remplir'!$E$31:$E$400,MASQ2!BV245,'Étape 1 - à remplir'!$C$31:$C$400,CE$3)),IF(CE$2="Âge",IF(CE$3="Tous",SUMIFS('Étape 1 - à remplir'!$F$31:$F$400,'Étape 1 - à remplir'!$E$31:$E$400,MASQ2!BV245,'Étape 1 - à remplir'!$G$31:$G$400,"lots"),SUMIFS('Étape 1 - à remplir'!$F$31:$F$400,'Étape 1 - à remplir'!$E$31:$E$400,MASQ2!BV245,'Étape 1 - à remplir'!$P$31:$P$400,CE$3,'Étape 1 - à remplir'!$G$31:$G$400,"lots")),IF(CE$2="Atelier",IF(CE$3="Tous",SUMIFS('Étape 1 - à remplir'!$F$31:$F$400,'Étape 1 - à remplir'!$E$31:$E$400,MASQ2!BV245,'Étape 1 - à remplir'!$G$31:$G$400,"lots"),SUMIFS('Étape 1 - à remplir'!$F$31:$F$400,'Étape 1 - à remplir'!$E$31:$E$400,MASQ2!BV245,'Étape 1 - à remplir'!$O$31:$O$400,CE$3,'Étape 1 - à remplir'!$G$31:$G$400,"lots")),IF(CE$2="Espèce",IF(CE$3="Toutes",SUMIFS('Étape 1 - à remplir'!$F$31:$F$400,'Étape 1 - à remplir'!$E$31:$E$400,MASQ2!BV245,'Étape 1 - à remplir'!$G$31:$G$400,"lots"),SUMIFS('Étape 1 - à remplir'!$F$31:$F$400,'Étape 1 - à remplir'!$E$31:$E$400,MASQ2!BV245,'Étape 1 - à remplir'!$N$31:$N$400,CE$3,'Étape 1 - à remplir'!$G$31:$G$400,"lots"))))))=0,NA(),IF(CE$2="Catégorie",IF(CE$3="Toutes",SUMIFS('Étape 1 - à remplir'!$F$31:$F$400,'Étape 1 - à remplir'!$E$31:$E$400,MASQ2!BV245,'Étape 1 - à remplir'!$G$31:$G$400,"lots"),SUMIFS('Étape 1 - à remplir'!$F$31:$F$400,'Étape 1 - à remplir'!$E$31:$E$400,MASQ2!BV245,'Étape 1 - à remplir'!$C$31:$C$400,CE$3)),IF(CE$2="Âge",IF(CE$3="Tous",SUMIFS('Étape 1 - à remplir'!$F$31:$F$400,'Étape 1 - à remplir'!$E$31:$E$400,MASQ2!BV245,'Étape 1 - à remplir'!$G$31:$G$400,"lots"),SUMIFS('Étape 1 - à remplir'!$F$31:$F$400,'Étape 1 - à remplir'!$E$31:$E$400,MASQ2!BV245,'Étape 1 - à remplir'!$P$31:$P$400,CE$3,'Étape 1 - à remplir'!$G$31:$G$400,"lots")),IF(CE$2="Atelier",IF(CE$3="Tous",SUMIFS('Étape 1 - à remplir'!$F$31:$F$400,'Étape 1 - à remplir'!$E$31:$E$400,MASQ2!BV245,'Étape 1 - à remplir'!$G$31:$G$400,"lots"),SUMIFS('Étape 1 - à remplir'!$F$31:$F$400,'Étape 1 - à remplir'!$E$31:$E$400,MASQ2!BV245,'Étape 1 - à remplir'!$O$31:$O$400,CE$3,'Étape 1 - à remplir'!$G$31:$G$400,"lots")),IF(CE$2="Espèce",IF(CE$3="Toutes",SUMIFS('Étape 1 - à remplir'!$F$31:$F$400,'Étape 1 - à remplir'!$E$31:$E$400,MASQ2!BV245,'Étape 1 - à remplir'!$G$31:$G$400,"lots"),SUMIFS('Étape 1 - à remplir'!$F$31:$F$400,'Étape 1 - à remplir'!$E$31:$E$400,MASQ2!BV245,'Étape 1 - à remplir'!$N$31:$N$400,CE$3,'Étape 1 - à remplir'!$G$31:$G$400,"lots")))))))</f>
        <v>#N/A</v>
      </c>
      <c r="BX245">
        <f t="shared" si="208"/>
        <v>0</v>
      </c>
      <c r="BY245" t="str">
        <f t="shared" si="192"/>
        <v>Marbofloxacine</v>
      </c>
      <c r="BZ245" t="str">
        <f t="shared" si="193"/>
        <v/>
      </c>
      <c r="CA245" t="str">
        <f t="shared" si="194"/>
        <v/>
      </c>
      <c r="CB245" t="str">
        <f t="shared" si="195"/>
        <v>Fluoroquinolones</v>
      </c>
      <c r="CC245" t="str">
        <f t="shared" si="196"/>
        <v/>
      </c>
      <c r="CD245" s="63" t="str">
        <f t="shared" si="197"/>
        <v/>
      </c>
      <c r="CG245" s="42">
        <v>242</v>
      </c>
      <c r="CH245" s="42" t="e">
        <f t="shared" si="213"/>
        <v>#N/A</v>
      </c>
      <c r="CI245" s="63" t="e">
        <f t="shared" si="214"/>
        <v>#N/A</v>
      </c>
      <c r="DM245" s="63"/>
      <c r="EA245" s="194" t="str">
        <f t="shared" ca="1" si="198"/>
        <v>x</v>
      </c>
      <c r="EB245" s="226" t="str">
        <f>IFERROR(IF(ED245=0,"",COUNTIF(ED$4:ED$600,"&gt;"&amp;ED245)+COUNTIF(ED$4:ED245,ED245)),"")</f>
        <v/>
      </c>
      <c r="EC245" t="str">
        <f t="shared" si="199"/>
        <v>FORCYL 160 MG/ML SOLUTION INJECTABLE POUR BOVINS</v>
      </c>
      <c r="ED245" t="e">
        <f>IF(IF(EL$2="Catégorie",IF(EL$3="Toutes",SUMIFS('Étape 1 - à remplir'!$F$31:$F$400,'Étape 1 - à remplir'!$E$31:$E$400,MASQ2!EC245,'Étape 1 - à remplir'!$G$31:$G$400,"kg"),SUMIFS('Étape 1 - à remplir'!$F$31:$F$400,'Étape 1 - à remplir'!$E$31:$E$400,MASQ2!EC245,'Étape 1 - à remplir'!$C$31:$C$400,EL$3)),IF(EL$2="Âge",IF(EL$3="Tous",SUMIFS('Étape 1 - à remplir'!$F$31:$F$400,'Étape 1 - à remplir'!$E$31:$E$400,MASQ2!EC245,'Étape 1 - à remplir'!$G$31:$G$400,"kg"),SUMIFS('Étape 1 - à remplir'!$F$31:$F$400,'Étape 1 - à remplir'!$E$31:$E$400,MASQ2!EC245,'Étape 1 - à remplir'!$P$31:$P$400,EL$3,'Étape 1 - à remplir'!$G$31:$G$400,"kg")),IF(EL$2="Atelier",IF(EL$3="Tous",SUMIFS('Étape 1 - à remplir'!$F$31:$F$400,'Étape 1 - à remplir'!$E$31:$E$400,MASQ2!EC245,'Étape 1 - à remplir'!$G$31:$G$400,"kg"),SUMIFS('Étape 1 - à remplir'!$F$31:$F$400,'Étape 1 - à remplir'!$E$31:$E$400,MASQ2!EC245,'Étape 1 - à remplir'!$O$31:$O$400,EL$3,'Étape 1 - à remplir'!$G$31:$G$400,"kg")),IF(EL$2="Espèce",IF(EL$3="Toutes",SUMIFS('Étape 1 - à remplir'!$F$31:$F$400,'Étape 1 - à remplir'!$E$31:$E$400,MASQ2!EC245,'Étape 1 - à remplir'!$G$31:$G$400,"kg"),SUMIFS('Étape 1 - à remplir'!$F$31:$F$400,'Étape 1 - à remplir'!$E$31:$E$400,MASQ2!EC245,'Étape 1 - à remplir'!$N$31:$N$400,EL$3,'Étape 1 - à remplir'!$G$31:$G$400,"kg"))))))=0,NA(),IF(EL$2="Catégorie",IF(EL$3="Toutes",SUMIFS('Étape 1 - à remplir'!$F$31:$F$400,'Étape 1 - à remplir'!$E$31:$E$400,MASQ2!EC245,'Étape 1 - à remplir'!$G$31:$G$400,"kg"),SUMIFS('Étape 1 - à remplir'!$F$31:$F$400,'Étape 1 - à remplir'!$E$31:$E$400,MASQ2!EC245,'Étape 1 - à remplir'!$C$31:$C$400,EL$3)),IF(EL$2="Âge",IF(EL$3="Tous",SUMIFS('Étape 1 - à remplir'!$F$31:$F$400,'Étape 1 - à remplir'!$E$31:$E$400,MASQ2!EC245,'Étape 1 - à remplir'!$G$31:$G$400,"kg"),SUMIFS('Étape 1 - à remplir'!$F$31:$F$400,'Étape 1 - à remplir'!$E$31:$E$400,MASQ2!EC245,'Étape 1 - à remplir'!$P$31:$P$400,EL$3,'Étape 1 - à remplir'!$G$31:$G$400,"kg")),IF(EL$2="Atelier",IF(EL$3="Tous",SUMIFS('Étape 1 - à remplir'!$F$31:$F$400,'Étape 1 - à remplir'!$E$31:$E$400,MASQ2!EC245,'Étape 1 - à remplir'!$G$31:$G$400,"kg"),SUMIFS('Étape 1 - à remplir'!$F$31:$F$400,'Étape 1 - à remplir'!$E$31:$E$400,MASQ2!EC245,'Étape 1 - à remplir'!$O$31:$O$400,EL$3,'Étape 1 - à remplir'!$G$31:$G$400,"kg")),IF(EL$2="Espèce",IF(EL$3="Toutes",SUMIFS('Étape 1 - à remplir'!$F$31:$F$400,'Étape 1 - à remplir'!$E$31:$E$400,MASQ2!EC245,'Étape 1 - à remplir'!$G$31:$G$400,"kg"),SUMIFS('Étape 1 - à remplir'!$F$31:$F$400,'Étape 1 - à remplir'!$E$31:$E$400,MASQ2!EC245,'Étape 1 - à remplir'!$N$31:$N$400,EL$3,'Étape 1 - à remplir'!$G$31:$G$400,"kg")))))))</f>
        <v>#N/A</v>
      </c>
      <c r="EE245" s="76">
        <f t="shared" si="209"/>
        <v>0</v>
      </c>
      <c r="EF245" t="str">
        <f t="shared" si="200"/>
        <v>Marbofloxacine</v>
      </c>
      <c r="EG245" t="str">
        <f t="shared" si="201"/>
        <v/>
      </c>
      <c r="EH245" t="str">
        <f t="shared" si="202"/>
        <v/>
      </c>
      <c r="EI245" t="str">
        <f t="shared" si="203"/>
        <v>Fluoroquinolones</v>
      </c>
      <c r="EJ245" t="str">
        <f t="shared" si="204"/>
        <v/>
      </c>
      <c r="EK245" s="63" t="str">
        <f t="shared" si="205"/>
        <v/>
      </c>
      <c r="EN245" s="42">
        <v>242</v>
      </c>
      <c r="EO245" t="e">
        <f t="shared" si="211"/>
        <v>#N/A</v>
      </c>
      <c r="EP245" s="63" t="e">
        <f t="shared" si="212"/>
        <v>#N/A</v>
      </c>
      <c r="FT245" s="63"/>
    </row>
    <row r="246" spans="2:176" x14ac:dyDescent="0.3">
      <c r="B246" s="42"/>
      <c r="M246" s="194" t="str">
        <f ca="1">INDEX(Données_ATB!BD:BU,MATCH(MASQ2!O246,Données_ATB!BD:BD,0),18)</f>
        <v>x</v>
      </c>
      <c r="N246" s="14" t="str">
        <f>IFERROR(IF(Q246=0,"",COUNTIF(Q$4:Q$600,"&gt;"&amp;Q246)+COUNTIF(Q$4:Q246,Q246)),"")</f>
        <v/>
      </c>
      <c r="O246" t="str">
        <f>Données_ATB!BD245</f>
        <v>FORCYL SWINE 160 MG/ML SOLUTION INJECTABLE POUR PORCINS</v>
      </c>
      <c r="P246" t="e">
        <f>IF(IF(X$2="Catégorie",IF(X$3="Toutes",SUMIFS('Étape 1 - à remplir'!$F$31:$F$400,'Étape 1 - à remplir'!$E$31:$E$400,MASQ2!O246,'Étape 1 - à remplir'!$G$31:$G$400,"animaux"),SUMIFS('Étape 1 - à remplir'!$F$31:$F$400,'Étape 1 - à remplir'!$E$31:$E$400,MASQ2!O246,'Étape 1 - à remplir'!$C$31:$C$400,X$3)),IF(X$2="Âge",IF(X$3="Tous",SUMIFS('Étape 1 - à remplir'!$F$31:$F$400,'Étape 1 - à remplir'!$E$31:$E$400,MASQ2!O246,'Étape 1 - à remplir'!$G$31:$G$400,"animaux"),SUMIFS('Étape 1 - à remplir'!$F$31:$F$400,'Étape 1 - à remplir'!$E$31:$E$400,MASQ2!O246,'Étape 1 - à remplir'!$P$31:$P$400,X$3)),IF(X$2="Atelier",IF(X$3="Tous",SUMIFS('Étape 1 - à remplir'!$F$31:$F$400,'Étape 1 - à remplir'!$E$31:$E$400,MASQ2!O246,'Étape 1 - à remplir'!$G$31:$G$400,"animaux"),SUMIFS('Étape 1 - à remplir'!$F$31:$F$400,'Étape 1 - à remplir'!$E$31:$E$400,MASQ2!O246,'Étape 1 - à remplir'!$O$31:$O$400,X$3)),IF(X$2="Espèce",IF(X$3="Toutes",SUMIFS('Étape 1 - à remplir'!$F$31:$F$400,'Étape 1 - à remplir'!$E$31:$E$400,MASQ2!O246,'Étape 1 - à remplir'!$G$31:$G$400,"animaux"),SUMIFS('Étape 1 - à remplir'!$F$31:$F$400,'Étape 1 - à remplir'!$E$31:$E$400,MASQ2!O246,'Étape 1 - à remplir'!$N$31:$N$400,X$3))))))=0,NA(),IF(X$2="Catégorie",IF(X$3="Toutes",SUMIFS('Étape 1 - à remplir'!$F$31:$F$400,'Étape 1 - à remplir'!$E$31:$E$400,MASQ2!O246,'Étape 1 - à remplir'!$G$31:$G$400,"animaux"),SUMIFS('Étape 1 - à remplir'!$F$31:$F$400,'Étape 1 - à remplir'!$E$31:$E$400,MASQ2!O246,'Étape 1 - à remplir'!$C$31:$C$400,X$3)),IF(X$2="Âge",IF(X$3="Tous",SUMIFS('Étape 1 - à remplir'!$F$31:$F$400,'Étape 1 - à remplir'!$E$31:$E$400,MASQ2!O246,'Étape 1 - à remplir'!$G$31:$G$400,"animaux"),SUMIFS('Étape 1 - à remplir'!$F$31:$F$400,'Étape 1 - à remplir'!$E$31:$E$400,MASQ2!O246,'Étape 1 - à remplir'!$P$31:$P$400,X$3)),IF(X$2="Atelier",IF(X$3="Tous",SUMIFS('Étape 1 - à remplir'!$F$31:$F$400,'Étape 1 - à remplir'!$E$31:$E$400,MASQ2!O246,'Étape 1 - à remplir'!$G$31:$G$400,"animaux"),SUMIFS('Étape 1 - à remplir'!$F$31:$F$400,'Étape 1 - à remplir'!$E$31:$E$400,MASQ2!O246,'Étape 1 - à remplir'!$O$31:$O$400,X$3)),IF(X$2="Espèce",IF(X$3="Toutes",SUMIFS('Étape 1 - à remplir'!$F$31:$F$400,'Étape 1 - à remplir'!$E$31:$E$400,MASQ2!O246,'Étape 1 - à remplir'!$G$31:$G$400,"animaux"),SUMIFS('Étape 1 - à remplir'!$F$31:$F$400,'Étape 1 - à remplir'!$E$31:$E$400,MASQ2!O246,'Étape 1 - à remplir'!$N$31:$N$400,X$3)))))))</f>
        <v>#N/A</v>
      </c>
      <c r="Q246" s="63">
        <f t="shared" si="210"/>
        <v>0</v>
      </c>
      <c r="R246" t="str">
        <f>Données_ATB!BM245</f>
        <v>Marbofloxacine</v>
      </c>
      <c r="S246" t="str">
        <f>Données_ATB!BN245</f>
        <v/>
      </c>
      <c r="T246" s="63" t="str">
        <f>Données_ATB!BO245</f>
        <v/>
      </c>
      <c r="U246" s="42" t="str">
        <f>Données_ATB!BQ245</f>
        <v>Fluoroquinolones</v>
      </c>
      <c r="V246" t="str">
        <f>Données_ATB!BR245</f>
        <v/>
      </c>
      <c r="W246" s="63" t="str">
        <f>Données_ATB!BS245</f>
        <v/>
      </c>
      <c r="Z246" s="42">
        <v>243</v>
      </c>
      <c r="AA246" t="e">
        <f t="shared" si="206"/>
        <v>#N/A</v>
      </c>
      <c r="AB246" s="63" t="e">
        <f t="shared" si="207"/>
        <v>#N/A</v>
      </c>
      <c r="BF246" s="63"/>
      <c r="BT246" s="194" t="str">
        <f t="shared" ca="1" si="190"/>
        <v>x</v>
      </c>
      <c r="BU246" s="219" t="str">
        <f>IFERROR(IF(BX246=0,"",COUNTIF(BX$4:BX$600,"&gt;"&amp;BX246)+COUNTIF(BX$4:BX246,BX246)),"")</f>
        <v/>
      </c>
      <c r="BV246" s="42" t="str">
        <f t="shared" si="191"/>
        <v>FORCYL SWINE 160 MG/ML SOLUTION INJECTABLE POUR PORCINS</v>
      </c>
      <c r="BW246" t="e">
        <f>IF(IF(CE$2="Catégorie",IF(CE$3="Toutes",SUMIFS('Étape 1 - à remplir'!$F$31:$F$400,'Étape 1 - à remplir'!$E$31:$E$400,MASQ2!BV246,'Étape 1 - à remplir'!$G$31:$G$400,"lots"),SUMIFS('Étape 1 - à remplir'!$F$31:$F$400,'Étape 1 - à remplir'!$E$31:$E$400,MASQ2!BV246,'Étape 1 - à remplir'!$C$31:$C$400,CE$3)),IF(CE$2="Âge",IF(CE$3="Tous",SUMIFS('Étape 1 - à remplir'!$F$31:$F$400,'Étape 1 - à remplir'!$E$31:$E$400,MASQ2!BV246,'Étape 1 - à remplir'!$G$31:$G$400,"lots"),SUMIFS('Étape 1 - à remplir'!$F$31:$F$400,'Étape 1 - à remplir'!$E$31:$E$400,MASQ2!BV246,'Étape 1 - à remplir'!$P$31:$P$400,CE$3,'Étape 1 - à remplir'!$G$31:$G$400,"lots")),IF(CE$2="Atelier",IF(CE$3="Tous",SUMIFS('Étape 1 - à remplir'!$F$31:$F$400,'Étape 1 - à remplir'!$E$31:$E$400,MASQ2!BV246,'Étape 1 - à remplir'!$G$31:$G$400,"lots"),SUMIFS('Étape 1 - à remplir'!$F$31:$F$400,'Étape 1 - à remplir'!$E$31:$E$400,MASQ2!BV246,'Étape 1 - à remplir'!$O$31:$O$400,CE$3,'Étape 1 - à remplir'!$G$31:$G$400,"lots")),IF(CE$2="Espèce",IF(CE$3="Toutes",SUMIFS('Étape 1 - à remplir'!$F$31:$F$400,'Étape 1 - à remplir'!$E$31:$E$400,MASQ2!BV246,'Étape 1 - à remplir'!$G$31:$G$400,"lots"),SUMIFS('Étape 1 - à remplir'!$F$31:$F$400,'Étape 1 - à remplir'!$E$31:$E$400,MASQ2!BV246,'Étape 1 - à remplir'!$N$31:$N$400,CE$3,'Étape 1 - à remplir'!$G$31:$G$400,"lots"))))))=0,NA(),IF(CE$2="Catégorie",IF(CE$3="Toutes",SUMIFS('Étape 1 - à remplir'!$F$31:$F$400,'Étape 1 - à remplir'!$E$31:$E$400,MASQ2!BV246,'Étape 1 - à remplir'!$G$31:$G$400,"lots"),SUMIFS('Étape 1 - à remplir'!$F$31:$F$400,'Étape 1 - à remplir'!$E$31:$E$400,MASQ2!BV246,'Étape 1 - à remplir'!$C$31:$C$400,CE$3)),IF(CE$2="Âge",IF(CE$3="Tous",SUMIFS('Étape 1 - à remplir'!$F$31:$F$400,'Étape 1 - à remplir'!$E$31:$E$400,MASQ2!BV246,'Étape 1 - à remplir'!$G$31:$G$400,"lots"),SUMIFS('Étape 1 - à remplir'!$F$31:$F$400,'Étape 1 - à remplir'!$E$31:$E$400,MASQ2!BV246,'Étape 1 - à remplir'!$P$31:$P$400,CE$3,'Étape 1 - à remplir'!$G$31:$G$400,"lots")),IF(CE$2="Atelier",IF(CE$3="Tous",SUMIFS('Étape 1 - à remplir'!$F$31:$F$400,'Étape 1 - à remplir'!$E$31:$E$400,MASQ2!BV246,'Étape 1 - à remplir'!$G$31:$G$400,"lots"),SUMIFS('Étape 1 - à remplir'!$F$31:$F$400,'Étape 1 - à remplir'!$E$31:$E$400,MASQ2!BV246,'Étape 1 - à remplir'!$O$31:$O$400,CE$3,'Étape 1 - à remplir'!$G$31:$G$400,"lots")),IF(CE$2="Espèce",IF(CE$3="Toutes",SUMIFS('Étape 1 - à remplir'!$F$31:$F$400,'Étape 1 - à remplir'!$E$31:$E$400,MASQ2!BV246,'Étape 1 - à remplir'!$G$31:$G$400,"lots"),SUMIFS('Étape 1 - à remplir'!$F$31:$F$400,'Étape 1 - à remplir'!$E$31:$E$400,MASQ2!BV246,'Étape 1 - à remplir'!$N$31:$N$400,CE$3,'Étape 1 - à remplir'!$G$31:$G$400,"lots")))))))</f>
        <v>#N/A</v>
      </c>
      <c r="BX246">
        <f t="shared" si="208"/>
        <v>0</v>
      </c>
      <c r="BY246" t="str">
        <f t="shared" si="192"/>
        <v>Marbofloxacine</v>
      </c>
      <c r="BZ246" t="str">
        <f t="shared" si="193"/>
        <v/>
      </c>
      <c r="CA246" t="str">
        <f t="shared" si="194"/>
        <v/>
      </c>
      <c r="CB246" t="str">
        <f t="shared" si="195"/>
        <v>Fluoroquinolones</v>
      </c>
      <c r="CC246" t="str">
        <f t="shared" si="196"/>
        <v/>
      </c>
      <c r="CD246" s="63" t="str">
        <f t="shared" si="197"/>
        <v/>
      </c>
      <c r="CG246" s="42">
        <v>243</v>
      </c>
      <c r="CH246" s="42" t="e">
        <f t="shared" si="213"/>
        <v>#N/A</v>
      </c>
      <c r="CI246" s="63" t="e">
        <f t="shared" si="214"/>
        <v>#N/A</v>
      </c>
      <c r="DM246" s="63"/>
      <c r="EA246" s="194" t="str">
        <f t="shared" ca="1" si="198"/>
        <v>x</v>
      </c>
      <c r="EB246" s="226" t="str">
        <f>IFERROR(IF(ED246=0,"",COUNTIF(ED$4:ED$600,"&gt;"&amp;ED246)+COUNTIF(ED$4:ED246,ED246)),"")</f>
        <v/>
      </c>
      <c r="EC246" t="str">
        <f t="shared" si="199"/>
        <v>FORCYL SWINE 160 MG/ML SOLUTION INJECTABLE POUR PORCINS</v>
      </c>
      <c r="ED246" t="e">
        <f>IF(IF(EL$2="Catégorie",IF(EL$3="Toutes",SUMIFS('Étape 1 - à remplir'!$F$31:$F$400,'Étape 1 - à remplir'!$E$31:$E$400,MASQ2!EC246,'Étape 1 - à remplir'!$G$31:$G$400,"kg"),SUMIFS('Étape 1 - à remplir'!$F$31:$F$400,'Étape 1 - à remplir'!$E$31:$E$400,MASQ2!EC246,'Étape 1 - à remplir'!$C$31:$C$400,EL$3)),IF(EL$2="Âge",IF(EL$3="Tous",SUMIFS('Étape 1 - à remplir'!$F$31:$F$400,'Étape 1 - à remplir'!$E$31:$E$400,MASQ2!EC246,'Étape 1 - à remplir'!$G$31:$G$400,"kg"),SUMIFS('Étape 1 - à remplir'!$F$31:$F$400,'Étape 1 - à remplir'!$E$31:$E$400,MASQ2!EC246,'Étape 1 - à remplir'!$P$31:$P$400,EL$3,'Étape 1 - à remplir'!$G$31:$G$400,"kg")),IF(EL$2="Atelier",IF(EL$3="Tous",SUMIFS('Étape 1 - à remplir'!$F$31:$F$400,'Étape 1 - à remplir'!$E$31:$E$400,MASQ2!EC246,'Étape 1 - à remplir'!$G$31:$G$400,"kg"),SUMIFS('Étape 1 - à remplir'!$F$31:$F$400,'Étape 1 - à remplir'!$E$31:$E$400,MASQ2!EC246,'Étape 1 - à remplir'!$O$31:$O$400,EL$3,'Étape 1 - à remplir'!$G$31:$G$400,"kg")),IF(EL$2="Espèce",IF(EL$3="Toutes",SUMIFS('Étape 1 - à remplir'!$F$31:$F$400,'Étape 1 - à remplir'!$E$31:$E$400,MASQ2!EC246,'Étape 1 - à remplir'!$G$31:$G$400,"kg"),SUMIFS('Étape 1 - à remplir'!$F$31:$F$400,'Étape 1 - à remplir'!$E$31:$E$400,MASQ2!EC246,'Étape 1 - à remplir'!$N$31:$N$400,EL$3,'Étape 1 - à remplir'!$G$31:$G$400,"kg"))))))=0,NA(),IF(EL$2="Catégorie",IF(EL$3="Toutes",SUMIFS('Étape 1 - à remplir'!$F$31:$F$400,'Étape 1 - à remplir'!$E$31:$E$400,MASQ2!EC246,'Étape 1 - à remplir'!$G$31:$G$400,"kg"),SUMIFS('Étape 1 - à remplir'!$F$31:$F$400,'Étape 1 - à remplir'!$E$31:$E$400,MASQ2!EC246,'Étape 1 - à remplir'!$C$31:$C$400,EL$3)),IF(EL$2="Âge",IF(EL$3="Tous",SUMIFS('Étape 1 - à remplir'!$F$31:$F$400,'Étape 1 - à remplir'!$E$31:$E$400,MASQ2!EC246,'Étape 1 - à remplir'!$G$31:$G$400,"kg"),SUMIFS('Étape 1 - à remplir'!$F$31:$F$400,'Étape 1 - à remplir'!$E$31:$E$400,MASQ2!EC246,'Étape 1 - à remplir'!$P$31:$P$400,EL$3,'Étape 1 - à remplir'!$G$31:$G$400,"kg")),IF(EL$2="Atelier",IF(EL$3="Tous",SUMIFS('Étape 1 - à remplir'!$F$31:$F$400,'Étape 1 - à remplir'!$E$31:$E$400,MASQ2!EC246,'Étape 1 - à remplir'!$G$31:$G$400,"kg"),SUMIFS('Étape 1 - à remplir'!$F$31:$F$400,'Étape 1 - à remplir'!$E$31:$E$400,MASQ2!EC246,'Étape 1 - à remplir'!$O$31:$O$400,EL$3,'Étape 1 - à remplir'!$G$31:$G$400,"kg")),IF(EL$2="Espèce",IF(EL$3="Toutes",SUMIFS('Étape 1 - à remplir'!$F$31:$F$400,'Étape 1 - à remplir'!$E$31:$E$400,MASQ2!EC246,'Étape 1 - à remplir'!$G$31:$G$400,"kg"),SUMIFS('Étape 1 - à remplir'!$F$31:$F$400,'Étape 1 - à remplir'!$E$31:$E$400,MASQ2!EC246,'Étape 1 - à remplir'!$N$31:$N$400,EL$3,'Étape 1 - à remplir'!$G$31:$G$400,"kg")))))))</f>
        <v>#N/A</v>
      </c>
      <c r="EE246" s="76">
        <f t="shared" si="209"/>
        <v>0</v>
      </c>
      <c r="EF246" t="str">
        <f t="shared" si="200"/>
        <v>Marbofloxacine</v>
      </c>
      <c r="EG246" t="str">
        <f t="shared" si="201"/>
        <v/>
      </c>
      <c r="EH246" t="str">
        <f t="shared" si="202"/>
        <v/>
      </c>
      <c r="EI246" t="str">
        <f t="shared" si="203"/>
        <v>Fluoroquinolones</v>
      </c>
      <c r="EJ246" t="str">
        <f t="shared" si="204"/>
        <v/>
      </c>
      <c r="EK246" s="63" t="str">
        <f t="shared" si="205"/>
        <v/>
      </c>
      <c r="EN246" s="42">
        <v>243</v>
      </c>
      <c r="EO246" t="e">
        <f t="shared" si="211"/>
        <v>#N/A</v>
      </c>
      <c r="EP246" s="63" t="e">
        <f t="shared" si="212"/>
        <v>#N/A</v>
      </c>
      <c r="FT246" s="63"/>
    </row>
    <row r="247" spans="2:176" x14ac:dyDescent="0.3">
      <c r="B247" s="42"/>
      <c r="M247" s="194" t="str">
        <f ca="1">INDEX(Données_ATB!BD:BU,MATCH(MASQ2!O247,Données_ATB!BD:BD,0),18)</f>
        <v/>
      </c>
      <c r="N247" s="14" t="str">
        <f>IFERROR(IF(Q247=0,"",COUNTIF(Q$4:Q$600,"&gt;"&amp;Q247)+COUNTIF(Q$4:Q247,Q247)),"")</f>
        <v/>
      </c>
      <c r="O247" t="str">
        <f>Données_ATB!BD246</f>
        <v>FORESPIX 100 MG/ML, SOLUTION INJECTABLE POUR BOVINS, PORCINS ET OVINS</v>
      </c>
      <c r="P247" t="e">
        <f>IF(IF(X$2="Catégorie",IF(X$3="Toutes",SUMIFS('Étape 1 - à remplir'!$F$31:$F$400,'Étape 1 - à remplir'!$E$31:$E$400,MASQ2!O247,'Étape 1 - à remplir'!$G$31:$G$400,"animaux"),SUMIFS('Étape 1 - à remplir'!$F$31:$F$400,'Étape 1 - à remplir'!$E$31:$E$400,MASQ2!O247,'Étape 1 - à remplir'!$C$31:$C$400,X$3)),IF(X$2="Âge",IF(X$3="Tous",SUMIFS('Étape 1 - à remplir'!$F$31:$F$400,'Étape 1 - à remplir'!$E$31:$E$400,MASQ2!O247,'Étape 1 - à remplir'!$G$31:$G$400,"animaux"),SUMIFS('Étape 1 - à remplir'!$F$31:$F$400,'Étape 1 - à remplir'!$E$31:$E$400,MASQ2!O247,'Étape 1 - à remplir'!$P$31:$P$400,X$3)),IF(X$2="Atelier",IF(X$3="Tous",SUMIFS('Étape 1 - à remplir'!$F$31:$F$400,'Étape 1 - à remplir'!$E$31:$E$400,MASQ2!O247,'Étape 1 - à remplir'!$G$31:$G$400,"animaux"),SUMIFS('Étape 1 - à remplir'!$F$31:$F$400,'Étape 1 - à remplir'!$E$31:$E$400,MASQ2!O247,'Étape 1 - à remplir'!$O$31:$O$400,X$3)),IF(X$2="Espèce",IF(X$3="Toutes",SUMIFS('Étape 1 - à remplir'!$F$31:$F$400,'Étape 1 - à remplir'!$E$31:$E$400,MASQ2!O247,'Étape 1 - à remplir'!$G$31:$G$400,"animaux"),SUMIFS('Étape 1 - à remplir'!$F$31:$F$400,'Étape 1 - à remplir'!$E$31:$E$400,MASQ2!O247,'Étape 1 - à remplir'!$N$31:$N$400,X$3))))))=0,NA(),IF(X$2="Catégorie",IF(X$3="Toutes",SUMIFS('Étape 1 - à remplir'!$F$31:$F$400,'Étape 1 - à remplir'!$E$31:$E$400,MASQ2!O247,'Étape 1 - à remplir'!$G$31:$G$400,"animaux"),SUMIFS('Étape 1 - à remplir'!$F$31:$F$400,'Étape 1 - à remplir'!$E$31:$E$400,MASQ2!O247,'Étape 1 - à remplir'!$C$31:$C$400,X$3)),IF(X$2="Âge",IF(X$3="Tous",SUMIFS('Étape 1 - à remplir'!$F$31:$F$400,'Étape 1 - à remplir'!$E$31:$E$400,MASQ2!O247,'Étape 1 - à remplir'!$G$31:$G$400,"animaux"),SUMIFS('Étape 1 - à remplir'!$F$31:$F$400,'Étape 1 - à remplir'!$E$31:$E$400,MASQ2!O247,'Étape 1 - à remplir'!$P$31:$P$400,X$3)),IF(X$2="Atelier",IF(X$3="Tous",SUMIFS('Étape 1 - à remplir'!$F$31:$F$400,'Étape 1 - à remplir'!$E$31:$E$400,MASQ2!O247,'Étape 1 - à remplir'!$G$31:$G$400,"animaux"),SUMIFS('Étape 1 - à remplir'!$F$31:$F$400,'Étape 1 - à remplir'!$E$31:$E$400,MASQ2!O247,'Étape 1 - à remplir'!$O$31:$O$400,X$3)),IF(X$2="Espèce",IF(X$3="Toutes",SUMIFS('Étape 1 - à remplir'!$F$31:$F$400,'Étape 1 - à remplir'!$E$31:$E$400,MASQ2!O247,'Étape 1 - à remplir'!$G$31:$G$400,"animaux"),SUMIFS('Étape 1 - à remplir'!$F$31:$F$400,'Étape 1 - à remplir'!$E$31:$E$400,MASQ2!O247,'Étape 1 - à remplir'!$N$31:$N$400,X$3)))))))</f>
        <v>#N/A</v>
      </c>
      <c r="Q247" s="63">
        <f t="shared" si="210"/>
        <v>0</v>
      </c>
      <c r="R247" t="str">
        <f>Données_ATB!BM246</f>
        <v>Tulathromycine</v>
      </c>
      <c r="S247" t="str">
        <f>Données_ATB!BN246</f>
        <v/>
      </c>
      <c r="T247" s="63" t="str">
        <f>Données_ATB!BO246</f>
        <v/>
      </c>
      <c r="U247" s="42" t="str">
        <f>Données_ATB!BQ246</f>
        <v>Macrolides</v>
      </c>
      <c r="V247" t="str">
        <f>Données_ATB!BR246</f>
        <v/>
      </c>
      <c r="W247" s="63" t="str">
        <f>Données_ATB!BS246</f>
        <v/>
      </c>
      <c r="Z247" s="42">
        <v>244</v>
      </c>
      <c r="AA247" t="e">
        <f t="shared" si="206"/>
        <v>#N/A</v>
      </c>
      <c r="AB247" s="63" t="e">
        <f t="shared" si="207"/>
        <v>#N/A</v>
      </c>
      <c r="BF247" s="63"/>
      <c r="BT247" s="194" t="str">
        <f t="shared" ca="1" si="190"/>
        <v/>
      </c>
      <c r="BU247" s="219" t="str">
        <f>IFERROR(IF(BX247=0,"",COUNTIF(BX$4:BX$600,"&gt;"&amp;BX247)+COUNTIF(BX$4:BX247,BX247)),"")</f>
        <v/>
      </c>
      <c r="BV247" s="42" t="str">
        <f t="shared" si="191"/>
        <v>FORESPIX 100 MG/ML, SOLUTION INJECTABLE POUR BOVINS, PORCINS ET OVINS</v>
      </c>
      <c r="BW247" t="e">
        <f>IF(IF(CE$2="Catégorie",IF(CE$3="Toutes",SUMIFS('Étape 1 - à remplir'!$F$31:$F$400,'Étape 1 - à remplir'!$E$31:$E$400,MASQ2!BV247,'Étape 1 - à remplir'!$G$31:$G$400,"lots"),SUMIFS('Étape 1 - à remplir'!$F$31:$F$400,'Étape 1 - à remplir'!$E$31:$E$400,MASQ2!BV247,'Étape 1 - à remplir'!$C$31:$C$400,CE$3)),IF(CE$2="Âge",IF(CE$3="Tous",SUMIFS('Étape 1 - à remplir'!$F$31:$F$400,'Étape 1 - à remplir'!$E$31:$E$400,MASQ2!BV247,'Étape 1 - à remplir'!$G$31:$G$400,"lots"),SUMIFS('Étape 1 - à remplir'!$F$31:$F$400,'Étape 1 - à remplir'!$E$31:$E$400,MASQ2!BV247,'Étape 1 - à remplir'!$P$31:$P$400,CE$3,'Étape 1 - à remplir'!$G$31:$G$400,"lots")),IF(CE$2="Atelier",IF(CE$3="Tous",SUMIFS('Étape 1 - à remplir'!$F$31:$F$400,'Étape 1 - à remplir'!$E$31:$E$400,MASQ2!BV247,'Étape 1 - à remplir'!$G$31:$G$400,"lots"),SUMIFS('Étape 1 - à remplir'!$F$31:$F$400,'Étape 1 - à remplir'!$E$31:$E$400,MASQ2!BV247,'Étape 1 - à remplir'!$O$31:$O$400,CE$3,'Étape 1 - à remplir'!$G$31:$G$400,"lots")),IF(CE$2="Espèce",IF(CE$3="Toutes",SUMIFS('Étape 1 - à remplir'!$F$31:$F$400,'Étape 1 - à remplir'!$E$31:$E$400,MASQ2!BV247,'Étape 1 - à remplir'!$G$31:$G$400,"lots"),SUMIFS('Étape 1 - à remplir'!$F$31:$F$400,'Étape 1 - à remplir'!$E$31:$E$400,MASQ2!BV247,'Étape 1 - à remplir'!$N$31:$N$400,CE$3,'Étape 1 - à remplir'!$G$31:$G$400,"lots"))))))=0,NA(),IF(CE$2="Catégorie",IF(CE$3="Toutes",SUMIFS('Étape 1 - à remplir'!$F$31:$F$400,'Étape 1 - à remplir'!$E$31:$E$400,MASQ2!BV247,'Étape 1 - à remplir'!$G$31:$G$400,"lots"),SUMIFS('Étape 1 - à remplir'!$F$31:$F$400,'Étape 1 - à remplir'!$E$31:$E$400,MASQ2!BV247,'Étape 1 - à remplir'!$C$31:$C$400,CE$3)),IF(CE$2="Âge",IF(CE$3="Tous",SUMIFS('Étape 1 - à remplir'!$F$31:$F$400,'Étape 1 - à remplir'!$E$31:$E$400,MASQ2!BV247,'Étape 1 - à remplir'!$G$31:$G$400,"lots"),SUMIFS('Étape 1 - à remplir'!$F$31:$F$400,'Étape 1 - à remplir'!$E$31:$E$400,MASQ2!BV247,'Étape 1 - à remplir'!$P$31:$P$400,CE$3,'Étape 1 - à remplir'!$G$31:$G$400,"lots")),IF(CE$2="Atelier",IF(CE$3="Tous",SUMIFS('Étape 1 - à remplir'!$F$31:$F$400,'Étape 1 - à remplir'!$E$31:$E$400,MASQ2!BV247,'Étape 1 - à remplir'!$G$31:$G$400,"lots"),SUMIFS('Étape 1 - à remplir'!$F$31:$F$400,'Étape 1 - à remplir'!$E$31:$E$400,MASQ2!BV247,'Étape 1 - à remplir'!$O$31:$O$400,CE$3,'Étape 1 - à remplir'!$G$31:$G$400,"lots")),IF(CE$2="Espèce",IF(CE$3="Toutes",SUMIFS('Étape 1 - à remplir'!$F$31:$F$400,'Étape 1 - à remplir'!$E$31:$E$400,MASQ2!BV247,'Étape 1 - à remplir'!$G$31:$G$400,"lots"),SUMIFS('Étape 1 - à remplir'!$F$31:$F$400,'Étape 1 - à remplir'!$E$31:$E$400,MASQ2!BV247,'Étape 1 - à remplir'!$N$31:$N$400,CE$3,'Étape 1 - à remplir'!$G$31:$G$400,"lots")))))))</f>
        <v>#N/A</v>
      </c>
      <c r="BX247">
        <f t="shared" si="208"/>
        <v>0</v>
      </c>
      <c r="BY247" t="str">
        <f t="shared" si="192"/>
        <v>Tulathromycine</v>
      </c>
      <c r="BZ247" t="str">
        <f t="shared" si="193"/>
        <v/>
      </c>
      <c r="CA247" t="str">
        <f t="shared" si="194"/>
        <v/>
      </c>
      <c r="CB247" t="str">
        <f t="shared" si="195"/>
        <v>Macrolides</v>
      </c>
      <c r="CC247" t="str">
        <f t="shared" si="196"/>
        <v/>
      </c>
      <c r="CD247" s="63" t="str">
        <f t="shared" si="197"/>
        <v/>
      </c>
      <c r="CG247" s="42">
        <v>244</v>
      </c>
      <c r="CH247" s="42" t="e">
        <f t="shared" si="213"/>
        <v>#N/A</v>
      </c>
      <c r="CI247" s="63" t="e">
        <f t="shared" si="214"/>
        <v>#N/A</v>
      </c>
      <c r="DM247" s="63"/>
      <c r="EA247" s="194" t="str">
        <f t="shared" ca="1" si="198"/>
        <v/>
      </c>
      <c r="EB247" s="226" t="str">
        <f>IFERROR(IF(ED247=0,"",COUNTIF(ED$4:ED$600,"&gt;"&amp;ED247)+COUNTIF(ED$4:ED247,ED247)),"")</f>
        <v/>
      </c>
      <c r="EC247" t="str">
        <f t="shared" si="199"/>
        <v>FORESPIX 100 MG/ML, SOLUTION INJECTABLE POUR BOVINS, PORCINS ET OVINS</v>
      </c>
      <c r="ED247" t="e">
        <f>IF(IF(EL$2="Catégorie",IF(EL$3="Toutes",SUMIFS('Étape 1 - à remplir'!$F$31:$F$400,'Étape 1 - à remplir'!$E$31:$E$400,MASQ2!EC247,'Étape 1 - à remplir'!$G$31:$G$400,"kg"),SUMIFS('Étape 1 - à remplir'!$F$31:$F$400,'Étape 1 - à remplir'!$E$31:$E$400,MASQ2!EC247,'Étape 1 - à remplir'!$C$31:$C$400,EL$3)),IF(EL$2="Âge",IF(EL$3="Tous",SUMIFS('Étape 1 - à remplir'!$F$31:$F$400,'Étape 1 - à remplir'!$E$31:$E$400,MASQ2!EC247,'Étape 1 - à remplir'!$G$31:$G$400,"kg"),SUMIFS('Étape 1 - à remplir'!$F$31:$F$400,'Étape 1 - à remplir'!$E$31:$E$400,MASQ2!EC247,'Étape 1 - à remplir'!$P$31:$P$400,EL$3,'Étape 1 - à remplir'!$G$31:$G$400,"kg")),IF(EL$2="Atelier",IF(EL$3="Tous",SUMIFS('Étape 1 - à remplir'!$F$31:$F$400,'Étape 1 - à remplir'!$E$31:$E$400,MASQ2!EC247,'Étape 1 - à remplir'!$G$31:$G$400,"kg"),SUMIFS('Étape 1 - à remplir'!$F$31:$F$400,'Étape 1 - à remplir'!$E$31:$E$400,MASQ2!EC247,'Étape 1 - à remplir'!$O$31:$O$400,EL$3,'Étape 1 - à remplir'!$G$31:$G$400,"kg")),IF(EL$2="Espèce",IF(EL$3="Toutes",SUMIFS('Étape 1 - à remplir'!$F$31:$F$400,'Étape 1 - à remplir'!$E$31:$E$400,MASQ2!EC247,'Étape 1 - à remplir'!$G$31:$G$400,"kg"),SUMIFS('Étape 1 - à remplir'!$F$31:$F$400,'Étape 1 - à remplir'!$E$31:$E$400,MASQ2!EC247,'Étape 1 - à remplir'!$N$31:$N$400,EL$3,'Étape 1 - à remplir'!$G$31:$G$400,"kg"))))))=0,NA(),IF(EL$2="Catégorie",IF(EL$3="Toutes",SUMIFS('Étape 1 - à remplir'!$F$31:$F$400,'Étape 1 - à remplir'!$E$31:$E$400,MASQ2!EC247,'Étape 1 - à remplir'!$G$31:$G$400,"kg"),SUMIFS('Étape 1 - à remplir'!$F$31:$F$400,'Étape 1 - à remplir'!$E$31:$E$400,MASQ2!EC247,'Étape 1 - à remplir'!$C$31:$C$400,EL$3)),IF(EL$2="Âge",IF(EL$3="Tous",SUMIFS('Étape 1 - à remplir'!$F$31:$F$400,'Étape 1 - à remplir'!$E$31:$E$400,MASQ2!EC247,'Étape 1 - à remplir'!$G$31:$G$400,"kg"),SUMIFS('Étape 1 - à remplir'!$F$31:$F$400,'Étape 1 - à remplir'!$E$31:$E$400,MASQ2!EC247,'Étape 1 - à remplir'!$P$31:$P$400,EL$3,'Étape 1 - à remplir'!$G$31:$G$400,"kg")),IF(EL$2="Atelier",IF(EL$3="Tous",SUMIFS('Étape 1 - à remplir'!$F$31:$F$400,'Étape 1 - à remplir'!$E$31:$E$400,MASQ2!EC247,'Étape 1 - à remplir'!$G$31:$G$400,"kg"),SUMIFS('Étape 1 - à remplir'!$F$31:$F$400,'Étape 1 - à remplir'!$E$31:$E$400,MASQ2!EC247,'Étape 1 - à remplir'!$O$31:$O$400,EL$3,'Étape 1 - à remplir'!$G$31:$G$400,"kg")),IF(EL$2="Espèce",IF(EL$3="Toutes",SUMIFS('Étape 1 - à remplir'!$F$31:$F$400,'Étape 1 - à remplir'!$E$31:$E$400,MASQ2!EC247,'Étape 1 - à remplir'!$G$31:$G$400,"kg"),SUMIFS('Étape 1 - à remplir'!$F$31:$F$400,'Étape 1 - à remplir'!$E$31:$E$400,MASQ2!EC247,'Étape 1 - à remplir'!$N$31:$N$400,EL$3,'Étape 1 - à remplir'!$G$31:$G$400,"kg")))))))</f>
        <v>#N/A</v>
      </c>
      <c r="EE247" s="76">
        <f t="shared" si="209"/>
        <v>0</v>
      </c>
      <c r="EF247" t="str">
        <f t="shared" si="200"/>
        <v>Tulathromycine</v>
      </c>
      <c r="EG247" t="str">
        <f t="shared" si="201"/>
        <v/>
      </c>
      <c r="EH247" t="str">
        <f t="shared" si="202"/>
        <v/>
      </c>
      <c r="EI247" t="str">
        <f t="shared" si="203"/>
        <v>Macrolides</v>
      </c>
      <c r="EJ247" t="str">
        <f t="shared" si="204"/>
        <v/>
      </c>
      <c r="EK247" s="63" t="str">
        <f t="shared" si="205"/>
        <v/>
      </c>
      <c r="EN247" s="42">
        <v>244</v>
      </c>
      <c r="EO247" t="e">
        <f t="shared" si="211"/>
        <v>#N/A</v>
      </c>
      <c r="EP247" s="63" t="e">
        <f t="shared" si="212"/>
        <v>#N/A</v>
      </c>
      <c r="FT247" s="63"/>
    </row>
    <row r="248" spans="2:176" x14ac:dyDescent="0.3">
      <c r="B248" s="42"/>
      <c r="M248" s="194" t="str">
        <f ca="1">INDEX(Données_ATB!BD:BU,MATCH(MASQ2!O248,Données_ATB!BD:BD,0),18)</f>
        <v/>
      </c>
      <c r="N248" s="14" t="str">
        <f>IFERROR(IF(Q248=0,"",COUNTIF(Q$4:Q$600,"&gt;"&amp;Q248)+COUNTIF(Q$4:Q248,Q248)),"")</f>
        <v/>
      </c>
      <c r="O248" t="str">
        <f>Données_ATB!BD247</f>
        <v>FORTICINE SOLUTION</v>
      </c>
      <c r="P248" t="e">
        <f>IF(IF(X$2="Catégorie",IF(X$3="Toutes",SUMIFS('Étape 1 - à remplir'!$F$31:$F$400,'Étape 1 - à remplir'!$E$31:$E$400,MASQ2!O248,'Étape 1 - à remplir'!$G$31:$G$400,"animaux"),SUMIFS('Étape 1 - à remplir'!$F$31:$F$400,'Étape 1 - à remplir'!$E$31:$E$400,MASQ2!O248,'Étape 1 - à remplir'!$C$31:$C$400,X$3)),IF(X$2="Âge",IF(X$3="Tous",SUMIFS('Étape 1 - à remplir'!$F$31:$F$400,'Étape 1 - à remplir'!$E$31:$E$400,MASQ2!O248,'Étape 1 - à remplir'!$G$31:$G$400,"animaux"),SUMIFS('Étape 1 - à remplir'!$F$31:$F$400,'Étape 1 - à remplir'!$E$31:$E$400,MASQ2!O248,'Étape 1 - à remplir'!$P$31:$P$400,X$3)),IF(X$2="Atelier",IF(X$3="Tous",SUMIFS('Étape 1 - à remplir'!$F$31:$F$400,'Étape 1 - à remplir'!$E$31:$E$400,MASQ2!O248,'Étape 1 - à remplir'!$G$31:$G$400,"animaux"),SUMIFS('Étape 1 - à remplir'!$F$31:$F$400,'Étape 1 - à remplir'!$E$31:$E$400,MASQ2!O248,'Étape 1 - à remplir'!$O$31:$O$400,X$3)),IF(X$2="Espèce",IF(X$3="Toutes",SUMIFS('Étape 1 - à remplir'!$F$31:$F$400,'Étape 1 - à remplir'!$E$31:$E$400,MASQ2!O248,'Étape 1 - à remplir'!$G$31:$G$400,"animaux"),SUMIFS('Étape 1 - à remplir'!$F$31:$F$400,'Étape 1 - à remplir'!$E$31:$E$400,MASQ2!O248,'Étape 1 - à remplir'!$N$31:$N$400,X$3))))))=0,NA(),IF(X$2="Catégorie",IF(X$3="Toutes",SUMIFS('Étape 1 - à remplir'!$F$31:$F$400,'Étape 1 - à remplir'!$E$31:$E$400,MASQ2!O248,'Étape 1 - à remplir'!$G$31:$G$400,"animaux"),SUMIFS('Étape 1 - à remplir'!$F$31:$F$400,'Étape 1 - à remplir'!$E$31:$E$400,MASQ2!O248,'Étape 1 - à remplir'!$C$31:$C$400,X$3)),IF(X$2="Âge",IF(X$3="Tous",SUMIFS('Étape 1 - à remplir'!$F$31:$F$400,'Étape 1 - à remplir'!$E$31:$E$400,MASQ2!O248,'Étape 1 - à remplir'!$G$31:$G$400,"animaux"),SUMIFS('Étape 1 - à remplir'!$F$31:$F$400,'Étape 1 - à remplir'!$E$31:$E$400,MASQ2!O248,'Étape 1 - à remplir'!$P$31:$P$400,X$3)),IF(X$2="Atelier",IF(X$3="Tous",SUMIFS('Étape 1 - à remplir'!$F$31:$F$400,'Étape 1 - à remplir'!$E$31:$E$400,MASQ2!O248,'Étape 1 - à remplir'!$G$31:$G$400,"animaux"),SUMIFS('Étape 1 - à remplir'!$F$31:$F$400,'Étape 1 - à remplir'!$E$31:$E$400,MASQ2!O248,'Étape 1 - à remplir'!$O$31:$O$400,X$3)),IF(X$2="Espèce",IF(X$3="Toutes",SUMIFS('Étape 1 - à remplir'!$F$31:$F$400,'Étape 1 - à remplir'!$E$31:$E$400,MASQ2!O248,'Étape 1 - à remplir'!$G$31:$G$400,"animaux"),SUMIFS('Étape 1 - à remplir'!$F$31:$F$400,'Étape 1 - à remplir'!$E$31:$E$400,MASQ2!O248,'Étape 1 - à remplir'!$N$31:$N$400,X$3)))))))</f>
        <v>#N/A</v>
      </c>
      <c r="Q248" s="63">
        <f t="shared" si="210"/>
        <v>0</v>
      </c>
      <c r="R248" t="str">
        <f>Données_ATB!BM247</f>
        <v>Gentamicine</v>
      </c>
      <c r="S248" t="str">
        <f>Données_ATB!BN247</f>
        <v/>
      </c>
      <c r="T248" s="63" t="str">
        <f>Données_ATB!BO247</f>
        <v/>
      </c>
      <c r="U248" s="42" t="str">
        <f>Données_ATB!BQ247</f>
        <v>Aminoglycosides</v>
      </c>
      <c r="V248" t="str">
        <f>Données_ATB!BR247</f>
        <v/>
      </c>
      <c r="W248" s="63" t="str">
        <f>Données_ATB!BS247</f>
        <v/>
      </c>
      <c r="Z248" s="42">
        <v>245</v>
      </c>
      <c r="AA248" t="e">
        <f t="shared" si="206"/>
        <v>#N/A</v>
      </c>
      <c r="AB248" s="63" t="e">
        <f t="shared" si="207"/>
        <v>#N/A</v>
      </c>
      <c r="BF248" s="63"/>
      <c r="BT248" s="194" t="str">
        <f t="shared" ca="1" si="190"/>
        <v/>
      </c>
      <c r="BU248" s="219" t="str">
        <f>IFERROR(IF(BX248=0,"",COUNTIF(BX$4:BX$600,"&gt;"&amp;BX248)+COUNTIF(BX$4:BX248,BX248)),"")</f>
        <v/>
      </c>
      <c r="BV248" s="42" t="str">
        <f t="shared" si="191"/>
        <v>FORTICINE SOLUTION</v>
      </c>
      <c r="BW248" t="e">
        <f>IF(IF(CE$2="Catégorie",IF(CE$3="Toutes",SUMIFS('Étape 1 - à remplir'!$F$31:$F$400,'Étape 1 - à remplir'!$E$31:$E$400,MASQ2!BV248,'Étape 1 - à remplir'!$G$31:$G$400,"lots"),SUMIFS('Étape 1 - à remplir'!$F$31:$F$400,'Étape 1 - à remplir'!$E$31:$E$400,MASQ2!BV248,'Étape 1 - à remplir'!$C$31:$C$400,CE$3)),IF(CE$2="Âge",IF(CE$3="Tous",SUMIFS('Étape 1 - à remplir'!$F$31:$F$400,'Étape 1 - à remplir'!$E$31:$E$400,MASQ2!BV248,'Étape 1 - à remplir'!$G$31:$G$400,"lots"),SUMIFS('Étape 1 - à remplir'!$F$31:$F$400,'Étape 1 - à remplir'!$E$31:$E$400,MASQ2!BV248,'Étape 1 - à remplir'!$P$31:$P$400,CE$3,'Étape 1 - à remplir'!$G$31:$G$400,"lots")),IF(CE$2="Atelier",IF(CE$3="Tous",SUMIFS('Étape 1 - à remplir'!$F$31:$F$400,'Étape 1 - à remplir'!$E$31:$E$400,MASQ2!BV248,'Étape 1 - à remplir'!$G$31:$G$400,"lots"),SUMIFS('Étape 1 - à remplir'!$F$31:$F$400,'Étape 1 - à remplir'!$E$31:$E$400,MASQ2!BV248,'Étape 1 - à remplir'!$O$31:$O$400,CE$3,'Étape 1 - à remplir'!$G$31:$G$400,"lots")),IF(CE$2="Espèce",IF(CE$3="Toutes",SUMIFS('Étape 1 - à remplir'!$F$31:$F$400,'Étape 1 - à remplir'!$E$31:$E$400,MASQ2!BV248,'Étape 1 - à remplir'!$G$31:$G$400,"lots"),SUMIFS('Étape 1 - à remplir'!$F$31:$F$400,'Étape 1 - à remplir'!$E$31:$E$400,MASQ2!BV248,'Étape 1 - à remplir'!$N$31:$N$400,CE$3,'Étape 1 - à remplir'!$G$31:$G$400,"lots"))))))=0,NA(),IF(CE$2="Catégorie",IF(CE$3="Toutes",SUMIFS('Étape 1 - à remplir'!$F$31:$F$400,'Étape 1 - à remplir'!$E$31:$E$400,MASQ2!BV248,'Étape 1 - à remplir'!$G$31:$G$400,"lots"),SUMIFS('Étape 1 - à remplir'!$F$31:$F$400,'Étape 1 - à remplir'!$E$31:$E$400,MASQ2!BV248,'Étape 1 - à remplir'!$C$31:$C$400,CE$3)),IF(CE$2="Âge",IF(CE$3="Tous",SUMIFS('Étape 1 - à remplir'!$F$31:$F$400,'Étape 1 - à remplir'!$E$31:$E$400,MASQ2!BV248,'Étape 1 - à remplir'!$G$31:$G$400,"lots"),SUMIFS('Étape 1 - à remplir'!$F$31:$F$400,'Étape 1 - à remplir'!$E$31:$E$400,MASQ2!BV248,'Étape 1 - à remplir'!$P$31:$P$400,CE$3,'Étape 1 - à remplir'!$G$31:$G$400,"lots")),IF(CE$2="Atelier",IF(CE$3="Tous",SUMIFS('Étape 1 - à remplir'!$F$31:$F$400,'Étape 1 - à remplir'!$E$31:$E$400,MASQ2!BV248,'Étape 1 - à remplir'!$G$31:$G$400,"lots"),SUMIFS('Étape 1 - à remplir'!$F$31:$F$400,'Étape 1 - à remplir'!$E$31:$E$400,MASQ2!BV248,'Étape 1 - à remplir'!$O$31:$O$400,CE$3,'Étape 1 - à remplir'!$G$31:$G$400,"lots")),IF(CE$2="Espèce",IF(CE$3="Toutes",SUMIFS('Étape 1 - à remplir'!$F$31:$F$400,'Étape 1 - à remplir'!$E$31:$E$400,MASQ2!BV248,'Étape 1 - à remplir'!$G$31:$G$400,"lots"),SUMIFS('Étape 1 - à remplir'!$F$31:$F$400,'Étape 1 - à remplir'!$E$31:$E$400,MASQ2!BV248,'Étape 1 - à remplir'!$N$31:$N$400,CE$3,'Étape 1 - à remplir'!$G$31:$G$400,"lots")))))))</f>
        <v>#N/A</v>
      </c>
      <c r="BX248">
        <f t="shared" si="208"/>
        <v>0</v>
      </c>
      <c r="BY248" t="str">
        <f t="shared" si="192"/>
        <v>Gentamicine</v>
      </c>
      <c r="BZ248" t="str">
        <f t="shared" si="193"/>
        <v/>
      </c>
      <c r="CA248" t="str">
        <f t="shared" si="194"/>
        <v/>
      </c>
      <c r="CB248" t="str">
        <f t="shared" si="195"/>
        <v>Aminoglycosides</v>
      </c>
      <c r="CC248" t="str">
        <f t="shared" si="196"/>
        <v/>
      </c>
      <c r="CD248" s="63" t="str">
        <f t="shared" si="197"/>
        <v/>
      </c>
      <c r="CG248" s="42">
        <v>245</v>
      </c>
      <c r="CH248" s="42" t="e">
        <f t="shared" si="213"/>
        <v>#N/A</v>
      </c>
      <c r="CI248" s="63" t="e">
        <f t="shared" si="214"/>
        <v>#N/A</v>
      </c>
      <c r="DM248" s="63"/>
      <c r="EA248" s="194" t="str">
        <f t="shared" ca="1" si="198"/>
        <v/>
      </c>
      <c r="EB248" s="226" t="str">
        <f>IFERROR(IF(ED248=0,"",COUNTIF(ED$4:ED$600,"&gt;"&amp;ED248)+COUNTIF(ED$4:ED248,ED248)),"")</f>
        <v/>
      </c>
      <c r="EC248" t="str">
        <f t="shared" si="199"/>
        <v>FORTICINE SOLUTION</v>
      </c>
      <c r="ED248" t="e">
        <f>IF(IF(EL$2="Catégorie",IF(EL$3="Toutes",SUMIFS('Étape 1 - à remplir'!$F$31:$F$400,'Étape 1 - à remplir'!$E$31:$E$400,MASQ2!EC248,'Étape 1 - à remplir'!$G$31:$G$400,"kg"),SUMIFS('Étape 1 - à remplir'!$F$31:$F$400,'Étape 1 - à remplir'!$E$31:$E$400,MASQ2!EC248,'Étape 1 - à remplir'!$C$31:$C$400,EL$3)),IF(EL$2="Âge",IF(EL$3="Tous",SUMIFS('Étape 1 - à remplir'!$F$31:$F$400,'Étape 1 - à remplir'!$E$31:$E$400,MASQ2!EC248,'Étape 1 - à remplir'!$G$31:$G$400,"kg"),SUMIFS('Étape 1 - à remplir'!$F$31:$F$400,'Étape 1 - à remplir'!$E$31:$E$400,MASQ2!EC248,'Étape 1 - à remplir'!$P$31:$P$400,EL$3,'Étape 1 - à remplir'!$G$31:$G$400,"kg")),IF(EL$2="Atelier",IF(EL$3="Tous",SUMIFS('Étape 1 - à remplir'!$F$31:$F$400,'Étape 1 - à remplir'!$E$31:$E$400,MASQ2!EC248,'Étape 1 - à remplir'!$G$31:$G$400,"kg"),SUMIFS('Étape 1 - à remplir'!$F$31:$F$400,'Étape 1 - à remplir'!$E$31:$E$400,MASQ2!EC248,'Étape 1 - à remplir'!$O$31:$O$400,EL$3,'Étape 1 - à remplir'!$G$31:$G$400,"kg")),IF(EL$2="Espèce",IF(EL$3="Toutes",SUMIFS('Étape 1 - à remplir'!$F$31:$F$400,'Étape 1 - à remplir'!$E$31:$E$400,MASQ2!EC248,'Étape 1 - à remplir'!$G$31:$G$400,"kg"),SUMIFS('Étape 1 - à remplir'!$F$31:$F$400,'Étape 1 - à remplir'!$E$31:$E$400,MASQ2!EC248,'Étape 1 - à remplir'!$N$31:$N$400,EL$3,'Étape 1 - à remplir'!$G$31:$G$400,"kg"))))))=0,NA(),IF(EL$2="Catégorie",IF(EL$3="Toutes",SUMIFS('Étape 1 - à remplir'!$F$31:$F$400,'Étape 1 - à remplir'!$E$31:$E$400,MASQ2!EC248,'Étape 1 - à remplir'!$G$31:$G$400,"kg"),SUMIFS('Étape 1 - à remplir'!$F$31:$F$400,'Étape 1 - à remplir'!$E$31:$E$400,MASQ2!EC248,'Étape 1 - à remplir'!$C$31:$C$400,EL$3)),IF(EL$2="Âge",IF(EL$3="Tous",SUMIFS('Étape 1 - à remplir'!$F$31:$F$400,'Étape 1 - à remplir'!$E$31:$E$400,MASQ2!EC248,'Étape 1 - à remplir'!$G$31:$G$400,"kg"),SUMIFS('Étape 1 - à remplir'!$F$31:$F$400,'Étape 1 - à remplir'!$E$31:$E$400,MASQ2!EC248,'Étape 1 - à remplir'!$P$31:$P$400,EL$3,'Étape 1 - à remplir'!$G$31:$G$400,"kg")),IF(EL$2="Atelier",IF(EL$3="Tous",SUMIFS('Étape 1 - à remplir'!$F$31:$F$400,'Étape 1 - à remplir'!$E$31:$E$400,MASQ2!EC248,'Étape 1 - à remplir'!$G$31:$G$400,"kg"),SUMIFS('Étape 1 - à remplir'!$F$31:$F$400,'Étape 1 - à remplir'!$E$31:$E$400,MASQ2!EC248,'Étape 1 - à remplir'!$O$31:$O$400,EL$3,'Étape 1 - à remplir'!$G$31:$G$400,"kg")),IF(EL$2="Espèce",IF(EL$3="Toutes",SUMIFS('Étape 1 - à remplir'!$F$31:$F$400,'Étape 1 - à remplir'!$E$31:$E$400,MASQ2!EC248,'Étape 1 - à remplir'!$G$31:$G$400,"kg"),SUMIFS('Étape 1 - à remplir'!$F$31:$F$400,'Étape 1 - à remplir'!$E$31:$E$400,MASQ2!EC248,'Étape 1 - à remplir'!$N$31:$N$400,EL$3,'Étape 1 - à remplir'!$G$31:$G$400,"kg")))))))</f>
        <v>#N/A</v>
      </c>
      <c r="EE248" s="76">
        <f t="shared" si="209"/>
        <v>0</v>
      </c>
      <c r="EF248" t="str">
        <f t="shared" si="200"/>
        <v>Gentamicine</v>
      </c>
      <c r="EG248" t="str">
        <f t="shared" si="201"/>
        <v/>
      </c>
      <c r="EH248" t="str">
        <f t="shared" si="202"/>
        <v/>
      </c>
      <c r="EI248" t="str">
        <f t="shared" si="203"/>
        <v>Aminoglycosides</v>
      </c>
      <c r="EJ248" t="str">
        <f t="shared" si="204"/>
        <v/>
      </c>
      <c r="EK248" s="63" t="str">
        <f t="shared" si="205"/>
        <v/>
      </c>
      <c r="EN248" s="42">
        <v>245</v>
      </c>
      <c r="EO248" t="e">
        <f t="shared" si="211"/>
        <v>#N/A</v>
      </c>
      <c r="EP248" s="63" t="e">
        <f t="shared" si="212"/>
        <v>#N/A</v>
      </c>
      <c r="FT248" s="63"/>
    </row>
    <row r="249" spans="2:176" x14ac:dyDescent="0.3">
      <c r="B249" s="42"/>
      <c r="M249" s="194" t="str">
        <f ca="1">INDEX(Données_ATB!BD:BU,MATCH(MASQ2!O249,Données_ATB!BD:BD,0),18)</f>
        <v/>
      </c>
      <c r="N249" s="14" t="str">
        <f>IFERROR(IF(Q249=0,"",COUNTIF(Q$4:Q$600,"&gt;"&amp;Q249)+COUNTIF(Q$4:Q249,Q249)),"")</f>
        <v/>
      </c>
      <c r="O249" t="str">
        <f>Données_ATB!BD248</f>
        <v>FRAMOX 50</v>
      </c>
      <c r="P249" t="e">
        <f>IF(IF(X$2="Catégorie",IF(X$3="Toutes",SUMIFS('Étape 1 - à remplir'!$F$31:$F$400,'Étape 1 - à remplir'!$E$31:$E$400,MASQ2!O249,'Étape 1 - à remplir'!$G$31:$G$400,"animaux"),SUMIFS('Étape 1 - à remplir'!$F$31:$F$400,'Étape 1 - à remplir'!$E$31:$E$400,MASQ2!O249,'Étape 1 - à remplir'!$C$31:$C$400,X$3)),IF(X$2="Âge",IF(X$3="Tous",SUMIFS('Étape 1 - à remplir'!$F$31:$F$400,'Étape 1 - à remplir'!$E$31:$E$400,MASQ2!O249,'Étape 1 - à remplir'!$G$31:$G$400,"animaux"),SUMIFS('Étape 1 - à remplir'!$F$31:$F$400,'Étape 1 - à remplir'!$E$31:$E$400,MASQ2!O249,'Étape 1 - à remplir'!$P$31:$P$400,X$3)),IF(X$2="Atelier",IF(X$3="Tous",SUMIFS('Étape 1 - à remplir'!$F$31:$F$400,'Étape 1 - à remplir'!$E$31:$E$400,MASQ2!O249,'Étape 1 - à remplir'!$G$31:$G$400,"animaux"),SUMIFS('Étape 1 - à remplir'!$F$31:$F$400,'Étape 1 - à remplir'!$E$31:$E$400,MASQ2!O249,'Étape 1 - à remplir'!$O$31:$O$400,X$3)),IF(X$2="Espèce",IF(X$3="Toutes",SUMIFS('Étape 1 - à remplir'!$F$31:$F$400,'Étape 1 - à remplir'!$E$31:$E$400,MASQ2!O249,'Étape 1 - à remplir'!$G$31:$G$400,"animaux"),SUMIFS('Étape 1 - à remplir'!$F$31:$F$400,'Étape 1 - à remplir'!$E$31:$E$400,MASQ2!O249,'Étape 1 - à remplir'!$N$31:$N$400,X$3))))))=0,NA(),IF(X$2="Catégorie",IF(X$3="Toutes",SUMIFS('Étape 1 - à remplir'!$F$31:$F$400,'Étape 1 - à remplir'!$E$31:$E$400,MASQ2!O249,'Étape 1 - à remplir'!$G$31:$G$400,"animaux"),SUMIFS('Étape 1 - à remplir'!$F$31:$F$400,'Étape 1 - à remplir'!$E$31:$E$400,MASQ2!O249,'Étape 1 - à remplir'!$C$31:$C$400,X$3)),IF(X$2="Âge",IF(X$3="Tous",SUMIFS('Étape 1 - à remplir'!$F$31:$F$400,'Étape 1 - à remplir'!$E$31:$E$400,MASQ2!O249,'Étape 1 - à remplir'!$G$31:$G$400,"animaux"),SUMIFS('Étape 1 - à remplir'!$F$31:$F$400,'Étape 1 - à remplir'!$E$31:$E$400,MASQ2!O249,'Étape 1 - à remplir'!$P$31:$P$400,X$3)),IF(X$2="Atelier",IF(X$3="Tous",SUMIFS('Étape 1 - à remplir'!$F$31:$F$400,'Étape 1 - à remplir'!$E$31:$E$400,MASQ2!O249,'Étape 1 - à remplir'!$G$31:$G$400,"animaux"),SUMIFS('Étape 1 - à remplir'!$F$31:$F$400,'Étape 1 - à remplir'!$E$31:$E$400,MASQ2!O249,'Étape 1 - à remplir'!$O$31:$O$400,X$3)),IF(X$2="Espèce",IF(X$3="Toutes",SUMIFS('Étape 1 - à remplir'!$F$31:$F$400,'Étape 1 - à remplir'!$E$31:$E$400,MASQ2!O249,'Étape 1 - à remplir'!$G$31:$G$400,"animaux"),SUMIFS('Étape 1 - à remplir'!$F$31:$F$400,'Étape 1 - à remplir'!$E$31:$E$400,MASQ2!O249,'Étape 1 - à remplir'!$N$31:$N$400,X$3)))))))</f>
        <v>#N/A</v>
      </c>
      <c r="Q249" s="63">
        <f t="shared" si="210"/>
        <v>0</v>
      </c>
      <c r="R249" t="str">
        <f>Données_ATB!BM248</f>
        <v>Amoxicilline</v>
      </c>
      <c r="S249" t="str">
        <f>Données_ATB!BN248</f>
        <v/>
      </c>
      <c r="T249" s="63" t="str">
        <f>Données_ATB!BO248</f>
        <v/>
      </c>
      <c r="U249" s="42" t="str">
        <f>Données_ATB!BQ248</f>
        <v>Penicillines</v>
      </c>
      <c r="V249" t="str">
        <f>Données_ATB!BR248</f>
        <v/>
      </c>
      <c r="W249" s="63" t="str">
        <f>Données_ATB!BS248</f>
        <v/>
      </c>
      <c r="Z249" s="42">
        <v>246</v>
      </c>
      <c r="AA249" t="e">
        <f t="shared" si="206"/>
        <v>#N/A</v>
      </c>
      <c r="AB249" s="63" t="e">
        <f t="shared" si="207"/>
        <v>#N/A</v>
      </c>
      <c r="BF249" s="63"/>
      <c r="BT249" s="194" t="str">
        <f t="shared" ca="1" si="190"/>
        <v/>
      </c>
      <c r="BU249" s="219" t="str">
        <f>IFERROR(IF(BX249=0,"",COUNTIF(BX$4:BX$600,"&gt;"&amp;BX249)+COUNTIF(BX$4:BX249,BX249)),"")</f>
        <v/>
      </c>
      <c r="BV249" s="42" t="str">
        <f t="shared" si="191"/>
        <v>FRAMOX 50</v>
      </c>
      <c r="BW249" t="e">
        <f>IF(IF(CE$2="Catégorie",IF(CE$3="Toutes",SUMIFS('Étape 1 - à remplir'!$F$31:$F$400,'Étape 1 - à remplir'!$E$31:$E$400,MASQ2!BV249,'Étape 1 - à remplir'!$G$31:$G$400,"lots"),SUMIFS('Étape 1 - à remplir'!$F$31:$F$400,'Étape 1 - à remplir'!$E$31:$E$400,MASQ2!BV249,'Étape 1 - à remplir'!$C$31:$C$400,CE$3)),IF(CE$2="Âge",IF(CE$3="Tous",SUMIFS('Étape 1 - à remplir'!$F$31:$F$400,'Étape 1 - à remplir'!$E$31:$E$400,MASQ2!BV249,'Étape 1 - à remplir'!$G$31:$G$400,"lots"),SUMIFS('Étape 1 - à remplir'!$F$31:$F$400,'Étape 1 - à remplir'!$E$31:$E$400,MASQ2!BV249,'Étape 1 - à remplir'!$P$31:$P$400,CE$3,'Étape 1 - à remplir'!$G$31:$G$400,"lots")),IF(CE$2="Atelier",IF(CE$3="Tous",SUMIFS('Étape 1 - à remplir'!$F$31:$F$400,'Étape 1 - à remplir'!$E$31:$E$400,MASQ2!BV249,'Étape 1 - à remplir'!$G$31:$G$400,"lots"),SUMIFS('Étape 1 - à remplir'!$F$31:$F$400,'Étape 1 - à remplir'!$E$31:$E$400,MASQ2!BV249,'Étape 1 - à remplir'!$O$31:$O$400,CE$3,'Étape 1 - à remplir'!$G$31:$G$400,"lots")),IF(CE$2="Espèce",IF(CE$3="Toutes",SUMIFS('Étape 1 - à remplir'!$F$31:$F$400,'Étape 1 - à remplir'!$E$31:$E$400,MASQ2!BV249,'Étape 1 - à remplir'!$G$31:$G$400,"lots"),SUMIFS('Étape 1 - à remplir'!$F$31:$F$400,'Étape 1 - à remplir'!$E$31:$E$400,MASQ2!BV249,'Étape 1 - à remplir'!$N$31:$N$400,CE$3,'Étape 1 - à remplir'!$G$31:$G$400,"lots"))))))=0,NA(),IF(CE$2="Catégorie",IF(CE$3="Toutes",SUMIFS('Étape 1 - à remplir'!$F$31:$F$400,'Étape 1 - à remplir'!$E$31:$E$400,MASQ2!BV249,'Étape 1 - à remplir'!$G$31:$G$400,"lots"),SUMIFS('Étape 1 - à remplir'!$F$31:$F$400,'Étape 1 - à remplir'!$E$31:$E$400,MASQ2!BV249,'Étape 1 - à remplir'!$C$31:$C$400,CE$3)),IF(CE$2="Âge",IF(CE$3="Tous",SUMIFS('Étape 1 - à remplir'!$F$31:$F$400,'Étape 1 - à remplir'!$E$31:$E$400,MASQ2!BV249,'Étape 1 - à remplir'!$G$31:$G$400,"lots"),SUMIFS('Étape 1 - à remplir'!$F$31:$F$400,'Étape 1 - à remplir'!$E$31:$E$400,MASQ2!BV249,'Étape 1 - à remplir'!$P$31:$P$400,CE$3,'Étape 1 - à remplir'!$G$31:$G$400,"lots")),IF(CE$2="Atelier",IF(CE$3="Tous",SUMIFS('Étape 1 - à remplir'!$F$31:$F$400,'Étape 1 - à remplir'!$E$31:$E$400,MASQ2!BV249,'Étape 1 - à remplir'!$G$31:$G$400,"lots"),SUMIFS('Étape 1 - à remplir'!$F$31:$F$400,'Étape 1 - à remplir'!$E$31:$E$400,MASQ2!BV249,'Étape 1 - à remplir'!$O$31:$O$400,CE$3,'Étape 1 - à remplir'!$G$31:$G$400,"lots")),IF(CE$2="Espèce",IF(CE$3="Toutes",SUMIFS('Étape 1 - à remplir'!$F$31:$F$400,'Étape 1 - à remplir'!$E$31:$E$400,MASQ2!BV249,'Étape 1 - à remplir'!$G$31:$G$400,"lots"),SUMIFS('Étape 1 - à remplir'!$F$31:$F$400,'Étape 1 - à remplir'!$E$31:$E$400,MASQ2!BV249,'Étape 1 - à remplir'!$N$31:$N$400,CE$3,'Étape 1 - à remplir'!$G$31:$G$400,"lots")))))))</f>
        <v>#N/A</v>
      </c>
      <c r="BX249">
        <f t="shared" si="208"/>
        <v>0</v>
      </c>
      <c r="BY249" t="str">
        <f t="shared" si="192"/>
        <v>Amoxicilline</v>
      </c>
      <c r="BZ249" t="str">
        <f t="shared" si="193"/>
        <v/>
      </c>
      <c r="CA249" t="str">
        <f t="shared" si="194"/>
        <v/>
      </c>
      <c r="CB249" t="str">
        <f t="shared" si="195"/>
        <v>Penicillines</v>
      </c>
      <c r="CC249" t="str">
        <f t="shared" si="196"/>
        <v/>
      </c>
      <c r="CD249" s="63" t="str">
        <f t="shared" si="197"/>
        <v/>
      </c>
      <c r="CG249" s="42">
        <v>246</v>
      </c>
      <c r="CH249" s="42" t="e">
        <f t="shared" si="213"/>
        <v>#N/A</v>
      </c>
      <c r="CI249" s="63" t="e">
        <f t="shared" si="214"/>
        <v>#N/A</v>
      </c>
      <c r="DM249" s="63"/>
      <c r="EA249" s="194" t="str">
        <f t="shared" ca="1" si="198"/>
        <v/>
      </c>
      <c r="EB249" s="226" t="str">
        <f>IFERROR(IF(ED249=0,"",COUNTIF(ED$4:ED$600,"&gt;"&amp;ED249)+COUNTIF(ED$4:ED249,ED249)),"")</f>
        <v/>
      </c>
      <c r="EC249" t="str">
        <f t="shared" si="199"/>
        <v>FRAMOX 50</v>
      </c>
      <c r="ED249" t="e">
        <f>IF(IF(EL$2="Catégorie",IF(EL$3="Toutes",SUMIFS('Étape 1 - à remplir'!$F$31:$F$400,'Étape 1 - à remplir'!$E$31:$E$400,MASQ2!EC249,'Étape 1 - à remplir'!$G$31:$G$400,"kg"),SUMIFS('Étape 1 - à remplir'!$F$31:$F$400,'Étape 1 - à remplir'!$E$31:$E$400,MASQ2!EC249,'Étape 1 - à remplir'!$C$31:$C$400,EL$3)),IF(EL$2="Âge",IF(EL$3="Tous",SUMIFS('Étape 1 - à remplir'!$F$31:$F$400,'Étape 1 - à remplir'!$E$31:$E$400,MASQ2!EC249,'Étape 1 - à remplir'!$G$31:$G$400,"kg"),SUMIFS('Étape 1 - à remplir'!$F$31:$F$400,'Étape 1 - à remplir'!$E$31:$E$400,MASQ2!EC249,'Étape 1 - à remplir'!$P$31:$P$400,EL$3,'Étape 1 - à remplir'!$G$31:$G$400,"kg")),IF(EL$2="Atelier",IF(EL$3="Tous",SUMIFS('Étape 1 - à remplir'!$F$31:$F$400,'Étape 1 - à remplir'!$E$31:$E$400,MASQ2!EC249,'Étape 1 - à remplir'!$G$31:$G$400,"kg"),SUMIFS('Étape 1 - à remplir'!$F$31:$F$400,'Étape 1 - à remplir'!$E$31:$E$400,MASQ2!EC249,'Étape 1 - à remplir'!$O$31:$O$400,EL$3,'Étape 1 - à remplir'!$G$31:$G$400,"kg")),IF(EL$2="Espèce",IF(EL$3="Toutes",SUMIFS('Étape 1 - à remplir'!$F$31:$F$400,'Étape 1 - à remplir'!$E$31:$E$400,MASQ2!EC249,'Étape 1 - à remplir'!$G$31:$G$400,"kg"),SUMIFS('Étape 1 - à remplir'!$F$31:$F$400,'Étape 1 - à remplir'!$E$31:$E$400,MASQ2!EC249,'Étape 1 - à remplir'!$N$31:$N$400,EL$3,'Étape 1 - à remplir'!$G$31:$G$400,"kg"))))))=0,NA(),IF(EL$2="Catégorie",IF(EL$3="Toutes",SUMIFS('Étape 1 - à remplir'!$F$31:$F$400,'Étape 1 - à remplir'!$E$31:$E$400,MASQ2!EC249,'Étape 1 - à remplir'!$G$31:$G$400,"kg"),SUMIFS('Étape 1 - à remplir'!$F$31:$F$400,'Étape 1 - à remplir'!$E$31:$E$400,MASQ2!EC249,'Étape 1 - à remplir'!$C$31:$C$400,EL$3)),IF(EL$2="Âge",IF(EL$3="Tous",SUMIFS('Étape 1 - à remplir'!$F$31:$F$400,'Étape 1 - à remplir'!$E$31:$E$400,MASQ2!EC249,'Étape 1 - à remplir'!$G$31:$G$400,"kg"),SUMIFS('Étape 1 - à remplir'!$F$31:$F$400,'Étape 1 - à remplir'!$E$31:$E$400,MASQ2!EC249,'Étape 1 - à remplir'!$P$31:$P$400,EL$3,'Étape 1 - à remplir'!$G$31:$G$400,"kg")),IF(EL$2="Atelier",IF(EL$3="Tous",SUMIFS('Étape 1 - à remplir'!$F$31:$F$400,'Étape 1 - à remplir'!$E$31:$E$400,MASQ2!EC249,'Étape 1 - à remplir'!$G$31:$G$400,"kg"),SUMIFS('Étape 1 - à remplir'!$F$31:$F$400,'Étape 1 - à remplir'!$E$31:$E$400,MASQ2!EC249,'Étape 1 - à remplir'!$O$31:$O$400,EL$3,'Étape 1 - à remplir'!$G$31:$G$400,"kg")),IF(EL$2="Espèce",IF(EL$3="Toutes",SUMIFS('Étape 1 - à remplir'!$F$31:$F$400,'Étape 1 - à remplir'!$E$31:$E$400,MASQ2!EC249,'Étape 1 - à remplir'!$G$31:$G$400,"kg"),SUMIFS('Étape 1 - à remplir'!$F$31:$F$400,'Étape 1 - à remplir'!$E$31:$E$400,MASQ2!EC249,'Étape 1 - à remplir'!$N$31:$N$400,EL$3,'Étape 1 - à remplir'!$G$31:$G$400,"kg")))))))</f>
        <v>#N/A</v>
      </c>
      <c r="EE249" s="76">
        <f t="shared" si="209"/>
        <v>0</v>
      </c>
      <c r="EF249" t="str">
        <f t="shared" si="200"/>
        <v>Amoxicilline</v>
      </c>
      <c r="EG249" t="str">
        <f t="shared" si="201"/>
        <v/>
      </c>
      <c r="EH249" t="str">
        <f t="shared" si="202"/>
        <v/>
      </c>
      <c r="EI249" t="str">
        <f t="shared" si="203"/>
        <v>Penicillines</v>
      </c>
      <c r="EJ249" t="str">
        <f t="shared" si="204"/>
        <v/>
      </c>
      <c r="EK249" s="63" t="str">
        <f t="shared" si="205"/>
        <v/>
      </c>
      <c r="EN249" s="42">
        <v>246</v>
      </c>
      <c r="EO249" t="e">
        <f t="shared" si="211"/>
        <v>#N/A</v>
      </c>
      <c r="EP249" s="63" t="e">
        <f t="shared" si="212"/>
        <v>#N/A</v>
      </c>
      <c r="FT249" s="63"/>
    </row>
    <row r="250" spans="2:176" x14ac:dyDescent="0.3">
      <c r="B250" s="42"/>
      <c r="M250" s="194" t="str">
        <f ca="1">INDEX(Données_ATB!BD:BU,MATCH(MASQ2!O250,Données_ATB!BD:BD,0),18)</f>
        <v/>
      </c>
      <c r="N250" s="14" t="str">
        <f>IFERROR(IF(Q250=0,"",COUNTIF(Q$4:Q$600,"&gt;"&amp;Q250)+COUNTIF(Q$4:Q250,Q250)),"")</f>
        <v/>
      </c>
      <c r="O250" t="str">
        <f>Données_ATB!BD249</f>
        <v>G.4</v>
      </c>
      <c r="P250" t="e">
        <f>IF(IF(X$2="Catégorie",IF(X$3="Toutes",SUMIFS('Étape 1 - à remplir'!$F$31:$F$400,'Étape 1 - à remplir'!$E$31:$E$400,MASQ2!O250,'Étape 1 - à remplir'!$G$31:$G$400,"animaux"),SUMIFS('Étape 1 - à remplir'!$F$31:$F$400,'Étape 1 - à remplir'!$E$31:$E$400,MASQ2!O250,'Étape 1 - à remplir'!$C$31:$C$400,X$3)),IF(X$2="Âge",IF(X$3="Tous",SUMIFS('Étape 1 - à remplir'!$F$31:$F$400,'Étape 1 - à remplir'!$E$31:$E$400,MASQ2!O250,'Étape 1 - à remplir'!$G$31:$G$400,"animaux"),SUMIFS('Étape 1 - à remplir'!$F$31:$F$400,'Étape 1 - à remplir'!$E$31:$E$400,MASQ2!O250,'Étape 1 - à remplir'!$P$31:$P$400,X$3)),IF(X$2="Atelier",IF(X$3="Tous",SUMIFS('Étape 1 - à remplir'!$F$31:$F$400,'Étape 1 - à remplir'!$E$31:$E$400,MASQ2!O250,'Étape 1 - à remplir'!$G$31:$G$400,"animaux"),SUMIFS('Étape 1 - à remplir'!$F$31:$F$400,'Étape 1 - à remplir'!$E$31:$E$400,MASQ2!O250,'Étape 1 - à remplir'!$O$31:$O$400,X$3)),IF(X$2="Espèce",IF(X$3="Toutes",SUMIFS('Étape 1 - à remplir'!$F$31:$F$400,'Étape 1 - à remplir'!$E$31:$E$400,MASQ2!O250,'Étape 1 - à remplir'!$G$31:$G$400,"animaux"),SUMIFS('Étape 1 - à remplir'!$F$31:$F$400,'Étape 1 - à remplir'!$E$31:$E$400,MASQ2!O250,'Étape 1 - à remplir'!$N$31:$N$400,X$3))))))=0,NA(),IF(X$2="Catégorie",IF(X$3="Toutes",SUMIFS('Étape 1 - à remplir'!$F$31:$F$400,'Étape 1 - à remplir'!$E$31:$E$400,MASQ2!O250,'Étape 1 - à remplir'!$G$31:$G$400,"animaux"),SUMIFS('Étape 1 - à remplir'!$F$31:$F$400,'Étape 1 - à remplir'!$E$31:$E$400,MASQ2!O250,'Étape 1 - à remplir'!$C$31:$C$400,X$3)),IF(X$2="Âge",IF(X$3="Tous",SUMIFS('Étape 1 - à remplir'!$F$31:$F$400,'Étape 1 - à remplir'!$E$31:$E$400,MASQ2!O250,'Étape 1 - à remplir'!$G$31:$G$400,"animaux"),SUMIFS('Étape 1 - à remplir'!$F$31:$F$400,'Étape 1 - à remplir'!$E$31:$E$400,MASQ2!O250,'Étape 1 - à remplir'!$P$31:$P$400,X$3)),IF(X$2="Atelier",IF(X$3="Tous",SUMIFS('Étape 1 - à remplir'!$F$31:$F$400,'Étape 1 - à remplir'!$E$31:$E$400,MASQ2!O250,'Étape 1 - à remplir'!$G$31:$G$400,"animaux"),SUMIFS('Étape 1 - à remplir'!$F$31:$F$400,'Étape 1 - à remplir'!$E$31:$E$400,MASQ2!O250,'Étape 1 - à remplir'!$O$31:$O$400,X$3)),IF(X$2="Espèce",IF(X$3="Toutes",SUMIFS('Étape 1 - à remplir'!$F$31:$F$400,'Étape 1 - à remplir'!$E$31:$E$400,MASQ2!O250,'Étape 1 - à remplir'!$G$31:$G$400,"animaux"),SUMIFS('Étape 1 - à remplir'!$F$31:$F$400,'Étape 1 - à remplir'!$E$31:$E$400,MASQ2!O250,'Étape 1 - à remplir'!$N$31:$N$400,X$3)))))))</f>
        <v>#N/A</v>
      </c>
      <c r="Q250" s="63">
        <f t="shared" si="210"/>
        <v>0</v>
      </c>
      <c r="R250" t="str">
        <f>Données_ATB!BM249</f>
        <v>Gentamicine</v>
      </c>
      <c r="S250" t="str">
        <f>Données_ATB!BN249</f>
        <v/>
      </c>
      <c r="T250" s="63" t="str">
        <f>Données_ATB!BO249</f>
        <v/>
      </c>
      <c r="U250" s="42" t="str">
        <f>Données_ATB!BQ249</f>
        <v>Aminoglycosides</v>
      </c>
      <c r="V250" t="str">
        <f>Données_ATB!BR249</f>
        <v/>
      </c>
      <c r="W250" s="63" t="str">
        <f>Données_ATB!BS249</f>
        <v/>
      </c>
      <c r="Z250" s="42">
        <v>247</v>
      </c>
      <c r="AA250" t="e">
        <f t="shared" si="206"/>
        <v>#N/A</v>
      </c>
      <c r="AB250" s="63" t="e">
        <f t="shared" si="207"/>
        <v>#N/A</v>
      </c>
      <c r="BF250" s="63"/>
      <c r="BT250" s="194" t="str">
        <f t="shared" ca="1" si="190"/>
        <v/>
      </c>
      <c r="BU250" s="219" t="str">
        <f>IFERROR(IF(BX250=0,"",COUNTIF(BX$4:BX$600,"&gt;"&amp;BX250)+COUNTIF(BX$4:BX250,BX250)),"")</f>
        <v/>
      </c>
      <c r="BV250" s="42" t="str">
        <f t="shared" si="191"/>
        <v>G.4</v>
      </c>
      <c r="BW250" t="e">
        <f>IF(IF(CE$2="Catégorie",IF(CE$3="Toutes",SUMIFS('Étape 1 - à remplir'!$F$31:$F$400,'Étape 1 - à remplir'!$E$31:$E$400,MASQ2!BV250,'Étape 1 - à remplir'!$G$31:$G$400,"lots"),SUMIFS('Étape 1 - à remplir'!$F$31:$F$400,'Étape 1 - à remplir'!$E$31:$E$400,MASQ2!BV250,'Étape 1 - à remplir'!$C$31:$C$400,CE$3)),IF(CE$2="Âge",IF(CE$3="Tous",SUMIFS('Étape 1 - à remplir'!$F$31:$F$400,'Étape 1 - à remplir'!$E$31:$E$400,MASQ2!BV250,'Étape 1 - à remplir'!$G$31:$G$400,"lots"),SUMIFS('Étape 1 - à remplir'!$F$31:$F$400,'Étape 1 - à remplir'!$E$31:$E$400,MASQ2!BV250,'Étape 1 - à remplir'!$P$31:$P$400,CE$3,'Étape 1 - à remplir'!$G$31:$G$400,"lots")),IF(CE$2="Atelier",IF(CE$3="Tous",SUMIFS('Étape 1 - à remplir'!$F$31:$F$400,'Étape 1 - à remplir'!$E$31:$E$400,MASQ2!BV250,'Étape 1 - à remplir'!$G$31:$G$400,"lots"),SUMIFS('Étape 1 - à remplir'!$F$31:$F$400,'Étape 1 - à remplir'!$E$31:$E$400,MASQ2!BV250,'Étape 1 - à remplir'!$O$31:$O$400,CE$3,'Étape 1 - à remplir'!$G$31:$G$400,"lots")),IF(CE$2="Espèce",IF(CE$3="Toutes",SUMIFS('Étape 1 - à remplir'!$F$31:$F$400,'Étape 1 - à remplir'!$E$31:$E$400,MASQ2!BV250,'Étape 1 - à remplir'!$G$31:$G$400,"lots"),SUMIFS('Étape 1 - à remplir'!$F$31:$F$400,'Étape 1 - à remplir'!$E$31:$E$400,MASQ2!BV250,'Étape 1 - à remplir'!$N$31:$N$400,CE$3,'Étape 1 - à remplir'!$G$31:$G$400,"lots"))))))=0,NA(),IF(CE$2="Catégorie",IF(CE$3="Toutes",SUMIFS('Étape 1 - à remplir'!$F$31:$F$400,'Étape 1 - à remplir'!$E$31:$E$400,MASQ2!BV250,'Étape 1 - à remplir'!$G$31:$G$400,"lots"),SUMIFS('Étape 1 - à remplir'!$F$31:$F$400,'Étape 1 - à remplir'!$E$31:$E$400,MASQ2!BV250,'Étape 1 - à remplir'!$C$31:$C$400,CE$3)),IF(CE$2="Âge",IF(CE$3="Tous",SUMIFS('Étape 1 - à remplir'!$F$31:$F$400,'Étape 1 - à remplir'!$E$31:$E$400,MASQ2!BV250,'Étape 1 - à remplir'!$G$31:$G$400,"lots"),SUMIFS('Étape 1 - à remplir'!$F$31:$F$400,'Étape 1 - à remplir'!$E$31:$E$400,MASQ2!BV250,'Étape 1 - à remplir'!$P$31:$P$400,CE$3,'Étape 1 - à remplir'!$G$31:$G$400,"lots")),IF(CE$2="Atelier",IF(CE$3="Tous",SUMIFS('Étape 1 - à remplir'!$F$31:$F$400,'Étape 1 - à remplir'!$E$31:$E$400,MASQ2!BV250,'Étape 1 - à remplir'!$G$31:$G$400,"lots"),SUMIFS('Étape 1 - à remplir'!$F$31:$F$400,'Étape 1 - à remplir'!$E$31:$E$400,MASQ2!BV250,'Étape 1 - à remplir'!$O$31:$O$400,CE$3,'Étape 1 - à remplir'!$G$31:$G$400,"lots")),IF(CE$2="Espèce",IF(CE$3="Toutes",SUMIFS('Étape 1 - à remplir'!$F$31:$F$400,'Étape 1 - à remplir'!$E$31:$E$400,MASQ2!BV250,'Étape 1 - à remplir'!$G$31:$G$400,"lots"),SUMIFS('Étape 1 - à remplir'!$F$31:$F$400,'Étape 1 - à remplir'!$E$31:$E$400,MASQ2!BV250,'Étape 1 - à remplir'!$N$31:$N$400,CE$3,'Étape 1 - à remplir'!$G$31:$G$400,"lots")))))))</f>
        <v>#N/A</v>
      </c>
      <c r="BX250">
        <f t="shared" si="208"/>
        <v>0</v>
      </c>
      <c r="BY250" t="str">
        <f t="shared" si="192"/>
        <v>Gentamicine</v>
      </c>
      <c r="BZ250" t="str">
        <f t="shared" si="193"/>
        <v/>
      </c>
      <c r="CA250" t="str">
        <f t="shared" si="194"/>
        <v/>
      </c>
      <c r="CB250" t="str">
        <f t="shared" si="195"/>
        <v>Aminoglycosides</v>
      </c>
      <c r="CC250" t="str">
        <f t="shared" si="196"/>
        <v/>
      </c>
      <c r="CD250" s="63" t="str">
        <f t="shared" si="197"/>
        <v/>
      </c>
      <c r="CG250" s="42">
        <v>247</v>
      </c>
      <c r="CH250" s="42" t="e">
        <f t="shared" si="213"/>
        <v>#N/A</v>
      </c>
      <c r="CI250" s="63" t="e">
        <f t="shared" si="214"/>
        <v>#N/A</v>
      </c>
      <c r="DM250" s="63"/>
      <c r="EA250" s="194" t="str">
        <f t="shared" ca="1" si="198"/>
        <v/>
      </c>
      <c r="EB250" s="226" t="str">
        <f>IFERROR(IF(ED250=0,"",COUNTIF(ED$4:ED$600,"&gt;"&amp;ED250)+COUNTIF(ED$4:ED250,ED250)),"")</f>
        <v/>
      </c>
      <c r="EC250" t="str">
        <f t="shared" si="199"/>
        <v>G.4</v>
      </c>
      <c r="ED250" t="e">
        <f>IF(IF(EL$2="Catégorie",IF(EL$3="Toutes",SUMIFS('Étape 1 - à remplir'!$F$31:$F$400,'Étape 1 - à remplir'!$E$31:$E$400,MASQ2!EC250,'Étape 1 - à remplir'!$G$31:$G$400,"kg"),SUMIFS('Étape 1 - à remplir'!$F$31:$F$400,'Étape 1 - à remplir'!$E$31:$E$400,MASQ2!EC250,'Étape 1 - à remplir'!$C$31:$C$400,EL$3)),IF(EL$2="Âge",IF(EL$3="Tous",SUMIFS('Étape 1 - à remplir'!$F$31:$F$400,'Étape 1 - à remplir'!$E$31:$E$400,MASQ2!EC250,'Étape 1 - à remplir'!$G$31:$G$400,"kg"),SUMIFS('Étape 1 - à remplir'!$F$31:$F$400,'Étape 1 - à remplir'!$E$31:$E$400,MASQ2!EC250,'Étape 1 - à remplir'!$P$31:$P$400,EL$3,'Étape 1 - à remplir'!$G$31:$G$400,"kg")),IF(EL$2="Atelier",IF(EL$3="Tous",SUMIFS('Étape 1 - à remplir'!$F$31:$F$400,'Étape 1 - à remplir'!$E$31:$E$400,MASQ2!EC250,'Étape 1 - à remplir'!$G$31:$G$400,"kg"),SUMIFS('Étape 1 - à remplir'!$F$31:$F$400,'Étape 1 - à remplir'!$E$31:$E$400,MASQ2!EC250,'Étape 1 - à remplir'!$O$31:$O$400,EL$3,'Étape 1 - à remplir'!$G$31:$G$400,"kg")),IF(EL$2="Espèce",IF(EL$3="Toutes",SUMIFS('Étape 1 - à remplir'!$F$31:$F$400,'Étape 1 - à remplir'!$E$31:$E$400,MASQ2!EC250,'Étape 1 - à remplir'!$G$31:$G$400,"kg"),SUMIFS('Étape 1 - à remplir'!$F$31:$F$400,'Étape 1 - à remplir'!$E$31:$E$400,MASQ2!EC250,'Étape 1 - à remplir'!$N$31:$N$400,EL$3,'Étape 1 - à remplir'!$G$31:$G$400,"kg"))))))=0,NA(),IF(EL$2="Catégorie",IF(EL$3="Toutes",SUMIFS('Étape 1 - à remplir'!$F$31:$F$400,'Étape 1 - à remplir'!$E$31:$E$400,MASQ2!EC250,'Étape 1 - à remplir'!$G$31:$G$400,"kg"),SUMIFS('Étape 1 - à remplir'!$F$31:$F$400,'Étape 1 - à remplir'!$E$31:$E$400,MASQ2!EC250,'Étape 1 - à remplir'!$C$31:$C$400,EL$3)),IF(EL$2="Âge",IF(EL$3="Tous",SUMIFS('Étape 1 - à remplir'!$F$31:$F$400,'Étape 1 - à remplir'!$E$31:$E$400,MASQ2!EC250,'Étape 1 - à remplir'!$G$31:$G$400,"kg"),SUMIFS('Étape 1 - à remplir'!$F$31:$F$400,'Étape 1 - à remplir'!$E$31:$E$400,MASQ2!EC250,'Étape 1 - à remplir'!$P$31:$P$400,EL$3,'Étape 1 - à remplir'!$G$31:$G$400,"kg")),IF(EL$2="Atelier",IF(EL$3="Tous",SUMIFS('Étape 1 - à remplir'!$F$31:$F$400,'Étape 1 - à remplir'!$E$31:$E$400,MASQ2!EC250,'Étape 1 - à remplir'!$G$31:$G$400,"kg"),SUMIFS('Étape 1 - à remplir'!$F$31:$F$400,'Étape 1 - à remplir'!$E$31:$E$400,MASQ2!EC250,'Étape 1 - à remplir'!$O$31:$O$400,EL$3,'Étape 1 - à remplir'!$G$31:$G$400,"kg")),IF(EL$2="Espèce",IF(EL$3="Toutes",SUMIFS('Étape 1 - à remplir'!$F$31:$F$400,'Étape 1 - à remplir'!$E$31:$E$400,MASQ2!EC250,'Étape 1 - à remplir'!$G$31:$G$400,"kg"),SUMIFS('Étape 1 - à remplir'!$F$31:$F$400,'Étape 1 - à remplir'!$E$31:$E$400,MASQ2!EC250,'Étape 1 - à remplir'!$N$31:$N$400,EL$3,'Étape 1 - à remplir'!$G$31:$G$400,"kg")))))))</f>
        <v>#N/A</v>
      </c>
      <c r="EE250" s="76">
        <f t="shared" si="209"/>
        <v>0</v>
      </c>
      <c r="EF250" t="str">
        <f t="shared" si="200"/>
        <v>Gentamicine</v>
      </c>
      <c r="EG250" t="str">
        <f t="shared" si="201"/>
        <v/>
      </c>
      <c r="EH250" t="str">
        <f t="shared" si="202"/>
        <v/>
      </c>
      <c r="EI250" t="str">
        <f t="shared" si="203"/>
        <v>Aminoglycosides</v>
      </c>
      <c r="EJ250" t="str">
        <f t="shared" si="204"/>
        <v/>
      </c>
      <c r="EK250" s="63" t="str">
        <f t="shared" si="205"/>
        <v/>
      </c>
      <c r="EN250" s="42">
        <v>247</v>
      </c>
      <c r="EO250" t="e">
        <f t="shared" si="211"/>
        <v>#N/A</v>
      </c>
      <c r="EP250" s="63" t="e">
        <f t="shared" si="212"/>
        <v>#N/A</v>
      </c>
      <c r="FT250" s="63"/>
    </row>
    <row r="251" spans="2:176" x14ac:dyDescent="0.3">
      <c r="B251" s="42"/>
      <c r="M251" s="194" t="str">
        <f ca="1">INDEX(Données_ATB!BD:BU,MATCH(MASQ2!O251,Données_ATB!BD:BD,0),18)</f>
        <v/>
      </c>
      <c r="N251" s="14" t="str">
        <f>IFERROR(IF(Q251=0,"",COUNTIF(Q$4:Q$600,"&gt;"&amp;Q251)+COUNTIF(Q$4:Q251,Q251)),"")</f>
        <v/>
      </c>
      <c r="O251" t="str">
        <f>Données_ATB!BD250</f>
        <v>GABBROVET 140 MG/ML SOLUTION POUR ADMINISTRATION DANS L’EAU DE BOISSON LE LAIT OU L’ALIMENT D’ALLAITEMENT POUR BOVINS PRE-RUMINANTS ET PORCS</v>
      </c>
      <c r="P251" t="e">
        <f>IF(IF(X$2="Catégorie",IF(X$3="Toutes",SUMIFS('Étape 1 - à remplir'!$F$31:$F$400,'Étape 1 - à remplir'!$E$31:$E$400,MASQ2!O251,'Étape 1 - à remplir'!$G$31:$G$400,"animaux"),SUMIFS('Étape 1 - à remplir'!$F$31:$F$400,'Étape 1 - à remplir'!$E$31:$E$400,MASQ2!O251,'Étape 1 - à remplir'!$C$31:$C$400,X$3)),IF(X$2="Âge",IF(X$3="Tous",SUMIFS('Étape 1 - à remplir'!$F$31:$F$400,'Étape 1 - à remplir'!$E$31:$E$400,MASQ2!O251,'Étape 1 - à remplir'!$G$31:$G$400,"animaux"),SUMIFS('Étape 1 - à remplir'!$F$31:$F$400,'Étape 1 - à remplir'!$E$31:$E$400,MASQ2!O251,'Étape 1 - à remplir'!$P$31:$P$400,X$3)),IF(X$2="Atelier",IF(X$3="Tous",SUMIFS('Étape 1 - à remplir'!$F$31:$F$400,'Étape 1 - à remplir'!$E$31:$E$400,MASQ2!O251,'Étape 1 - à remplir'!$G$31:$G$400,"animaux"),SUMIFS('Étape 1 - à remplir'!$F$31:$F$400,'Étape 1 - à remplir'!$E$31:$E$400,MASQ2!O251,'Étape 1 - à remplir'!$O$31:$O$400,X$3)),IF(X$2="Espèce",IF(X$3="Toutes",SUMIFS('Étape 1 - à remplir'!$F$31:$F$400,'Étape 1 - à remplir'!$E$31:$E$400,MASQ2!O251,'Étape 1 - à remplir'!$G$31:$G$400,"animaux"),SUMIFS('Étape 1 - à remplir'!$F$31:$F$400,'Étape 1 - à remplir'!$E$31:$E$400,MASQ2!O251,'Étape 1 - à remplir'!$N$31:$N$400,X$3))))))=0,NA(),IF(X$2="Catégorie",IF(X$3="Toutes",SUMIFS('Étape 1 - à remplir'!$F$31:$F$400,'Étape 1 - à remplir'!$E$31:$E$400,MASQ2!O251,'Étape 1 - à remplir'!$G$31:$G$400,"animaux"),SUMIFS('Étape 1 - à remplir'!$F$31:$F$400,'Étape 1 - à remplir'!$E$31:$E$400,MASQ2!O251,'Étape 1 - à remplir'!$C$31:$C$400,X$3)),IF(X$2="Âge",IF(X$3="Tous",SUMIFS('Étape 1 - à remplir'!$F$31:$F$400,'Étape 1 - à remplir'!$E$31:$E$400,MASQ2!O251,'Étape 1 - à remplir'!$G$31:$G$400,"animaux"),SUMIFS('Étape 1 - à remplir'!$F$31:$F$400,'Étape 1 - à remplir'!$E$31:$E$400,MASQ2!O251,'Étape 1 - à remplir'!$P$31:$P$400,X$3)),IF(X$2="Atelier",IF(X$3="Tous",SUMIFS('Étape 1 - à remplir'!$F$31:$F$400,'Étape 1 - à remplir'!$E$31:$E$400,MASQ2!O251,'Étape 1 - à remplir'!$G$31:$G$400,"animaux"),SUMIFS('Étape 1 - à remplir'!$F$31:$F$400,'Étape 1 - à remplir'!$E$31:$E$400,MASQ2!O251,'Étape 1 - à remplir'!$O$31:$O$400,X$3)),IF(X$2="Espèce",IF(X$3="Toutes",SUMIFS('Étape 1 - à remplir'!$F$31:$F$400,'Étape 1 - à remplir'!$E$31:$E$400,MASQ2!O251,'Étape 1 - à remplir'!$G$31:$G$400,"animaux"),SUMIFS('Étape 1 - à remplir'!$F$31:$F$400,'Étape 1 - à remplir'!$E$31:$E$400,MASQ2!O251,'Étape 1 - à remplir'!$N$31:$N$400,X$3)))))))</f>
        <v>#N/A</v>
      </c>
      <c r="Q251" s="63">
        <f t="shared" si="210"/>
        <v>0</v>
      </c>
      <c r="R251" t="str">
        <f>Données_ATB!BM250</f>
        <v/>
      </c>
      <c r="S251" t="str">
        <f>Données_ATB!BN250</f>
        <v/>
      </c>
      <c r="T251" s="63" t="str">
        <f>Données_ATB!BO250</f>
        <v/>
      </c>
      <c r="U251" s="42" t="str">
        <f>Données_ATB!BQ250</f>
        <v>Aminoglycosides</v>
      </c>
      <c r="V251" t="str">
        <f>Données_ATB!BR250</f>
        <v/>
      </c>
      <c r="W251" s="63" t="str">
        <f>Données_ATB!BS250</f>
        <v/>
      </c>
      <c r="Z251" s="42">
        <v>248</v>
      </c>
      <c r="AA251" t="e">
        <f t="shared" si="206"/>
        <v>#N/A</v>
      </c>
      <c r="AB251" s="63" t="e">
        <f t="shared" si="207"/>
        <v>#N/A</v>
      </c>
      <c r="BF251" s="63"/>
      <c r="BT251" s="194" t="str">
        <f t="shared" ca="1" si="190"/>
        <v/>
      </c>
      <c r="BU251" s="219" t="str">
        <f>IFERROR(IF(BX251=0,"",COUNTIF(BX$4:BX$600,"&gt;"&amp;BX251)+COUNTIF(BX$4:BX251,BX251)),"")</f>
        <v/>
      </c>
      <c r="BV251" s="42" t="str">
        <f t="shared" si="191"/>
        <v>GABBROVET 140 MG/ML SOLUTION POUR ADMINISTRATION DANS L’EAU DE BOISSON LE LAIT OU L’ALIMENT D’ALLAITEMENT POUR BOVINS PRE-RUMINANTS ET PORCS</v>
      </c>
      <c r="BW251" t="e">
        <f>IF(IF(CE$2="Catégorie",IF(CE$3="Toutes",SUMIFS('Étape 1 - à remplir'!$F$31:$F$400,'Étape 1 - à remplir'!$E$31:$E$400,MASQ2!BV251,'Étape 1 - à remplir'!$G$31:$G$400,"lots"),SUMIFS('Étape 1 - à remplir'!$F$31:$F$400,'Étape 1 - à remplir'!$E$31:$E$400,MASQ2!BV251,'Étape 1 - à remplir'!$C$31:$C$400,CE$3)),IF(CE$2="Âge",IF(CE$3="Tous",SUMIFS('Étape 1 - à remplir'!$F$31:$F$400,'Étape 1 - à remplir'!$E$31:$E$400,MASQ2!BV251,'Étape 1 - à remplir'!$G$31:$G$400,"lots"),SUMIFS('Étape 1 - à remplir'!$F$31:$F$400,'Étape 1 - à remplir'!$E$31:$E$400,MASQ2!BV251,'Étape 1 - à remplir'!$P$31:$P$400,CE$3,'Étape 1 - à remplir'!$G$31:$G$400,"lots")),IF(CE$2="Atelier",IF(CE$3="Tous",SUMIFS('Étape 1 - à remplir'!$F$31:$F$400,'Étape 1 - à remplir'!$E$31:$E$400,MASQ2!BV251,'Étape 1 - à remplir'!$G$31:$G$400,"lots"),SUMIFS('Étape 1 - à remplir'!$F$31:$F$400,'Étape 1 - à remplir'!$E$31:$E$400,MASQ2!BV251,'Étape 1 - à remplir'!$O$31:$O$400,CE$3,'Étape 1 - à remplir'!$G$31:$G$400,"lots")),IF(CE$2="Espèce",IF(CE$3="Toutes",SUMIFS('Étape 1 - à remplir'!$F$31:$F$400,'Étape 1 - à remplir'!$E$31:$E$400,MASQ2!BV251,'Étape 1 - à remplir'!$G$31:$G$400,"lots"),SUMIFS('Étape 1 - à remplir'!$F$31:$F$400,'Étape 1 - à remplir'!$E$31:$E$400,MASQ2!BV251,'Étape 1 - à remplir'!$N$31:$N$400,CE$3,'Étape 1 - à remplir'!$G$31:$G$400,"lots"))))))=0,NA(),IF(CE$2="Catégorie",IF(CE$3="Toutes",SUMIFS('Étape 1 - à remplir'!$F$31:$F$400,'Étape 1 - à remplir'!$E$31:$E$400,MASQ2!BV251,'Étape 1 - à remplir'!$G$31:$G$400,"lots"),SUMIFS('Étape 1 - à remplir'!$F$31:$F$400,'Étape 1 - à remplir'!$E$31:$E$400,MASQ2!BV251,'Étape 1 - à remplir'!$C$31:$C$400,CE$3)),IF(CE$2="Âge",IF(CE$3="Tous",SUMIFS('Étape 1 - à remplir'!$F$31:$F$400,'Étape 1 - à remplir'!$E$31:$E$400,MASQ2!BV251,'Étape 1 - à remplir'!$G$31:$G$400,"lots"),SUMIFS('Étape 1 - à remplir'!$F$31:$F$400,'Étape 1 - à remplir'!$E$31:$E$400,MASQ2!BV251,'Étape 1 - à remplir'!$P$31:$P$400,CE$3,'Étape 1 - à remplir'!$G$31:$G$400,"lots")),IF(CE$2="Atelier",IF(CE$3="Tous",SUMIFS('Étape 1 - à remplir'!$F$31:$F$400,'Étape 1 - à remplir'!$E$31:$E$400,MASQ2!BV251,'Étape 1 - à remplir'!$G$31:$G$400,"lots"),SUMIFS('Étape 1 - à remplir'!$F$31:$F$400,'Étape 1 - à remplir'!$E$31:$E$400,MASQ2!BV251,'Étape 1 - à remplir'!$O$31:$O$400,CE$3,'Étape 1 - à remplir'!$G$31:$G$400,"lots")),IF(CE$2="Espèce",IF(CE$3="Toutes",SUMIFS('Étape 1 - à remplir'!$F$31:$F$400,'Étape 1 - à remplir'!$E$31:$E$400,MASQ2!BV251,'Étape 1 - à remplir'!$G$31:$G$400,"lots"),SUMIFS('Étape 1 - à remplir'!$F$31:$F$400,'Étape 1 - à remplir'!$E$31:$E$400,MASQ2!BV251,'Étape 1 - à remplir'!$N$31:$N$400,CE$3,'Étape 1 - à remplir'!$G$31:$G$400,"lots")))))))</f>
        <v>#N/A</v>
      </c>
      <c r="BX251">
        <f t="shared" si="208"/>
        <v>0</v>
      </c>
      <c r="BY251" t="str">
        <f t="shared" si="192"/>
        <v/>
      </c>
      <c r="BZ251" t="str">
        <f t="shared" si="193"/>
        <v/>
      </c>
      <c r="CA251" t="str">
        <f t="shared" si="194"/>
        <v/>
      </c>
      <c r="CB251" t="str">
        <f t="shared" si="195"/>
        <v>Aminoglycosides</v>
      </c>
      <c r="CC251" t="str">
        <f t="shared" si="196"/>
        <v/>
      </c>
      <c r="CD251" s="63" t="str">
        <f t="shared" si="197"/>
        <v/>
      </c>
      <c r="CG251" s="42">
        <v>248</v>
      </c>
      <c r="CH251" s="42" t="e">
        <f t="shared" si="213"/>
        <v>#N/A</v>
      </c>
      <c r="CI251" s="63" t="e">
        <f t="shared" si="214"/>
        <v>#N/A</v>
      </c>
      <c r="DM251" s="63"/>
      <c r="EA251" s="194" t="str">
        <f t="shared" ca="1" si="198"/>
        <v/>
      </c>
      <c r="EB251" s="226" t="str">
        <f>IFERROR(IF(ED251=0,"",COUNTIF(ED$4:ED$600,"&gt;"&amp;ED251)+COUNTIF(ED$4:ED251,ED251)),"")</f>
        <v/>
      </c>
      <c r="EC251" t="str">
        <f t="shared" si="199"/>
        <v>GABBROVET 140 MG/ML SOLUTION POUR ADMINISTRATION DANS L’EAU DE BOISSON LE LAIT OU L’ALIMENT D’ALLAITEMENT POUR BOVINS PRE-RUMINANTS ET PORCS</v>
      </c>
      <c r="ED251" t="e">
        <f>IF(IF(EL$2="Catégorie",IF(EL$3="Toutes",SUMIFS('Étape 1 - à remplir'!$F$31:$F$400,'Étape 1 - à remplir'!$E$31:$E$400,MASQ2!EC251,'Étape 1 - à remplir'!$G$31:$G$400,"kg"),SUMIFS('Étape 1 - à remplir'!$F$31:$F$400,'Étape 1 - à remplir'!$E$31:$E$400,MASQ2!EC251,'Étape 1 - à remplir'!$C$31:$C$400,EL$3)),IF(EL$2="Âge",IF(EL$3="Tous",SUMIFS('Étape 1 - à remplir'!$F$31:$F$400,'Étape 1 - à remplir'!$E$31:$E$400,MASQ2!EC251,'Étape 1 - à remplir'!$G$31:$G$400,"kg"),SUMIFS('Étape 1 - à remplir'!$F$31:$F$400,'Étape 1 - à remplir'!$E$31:$E$400,MASQ2!EC251,'Étape 1 - à remplir'!$P$31:$P$400,EL$3,'Étape 1 - à remplir'!$G$31:$G$400,"kg")),IF(EL$2="Atelier",IF(EL$3="Tous",SUMIFS('Étape 1 - à remplir'!$F$31:$F$400,'Étape 1 - à remplir'!$E$31:$E$400,MASQ2!EC251,'Étape 1 - à remplir'!$G$31:$G$400,"kg"),SUMIFS('Étape 1 - à remplir'!$F$31:$F$400,'Étape 1 - à remplir'!$E$31:$E$400,MASQ2!EC251,'Étape 1 - à remplir'!$O$31:$O$400,EL$3,'Étape 1 - à remplir'!$G$31:$G$400,"kg")),IF(EL$2="Espèce",IF(EL$3="Toutes",SUMIFS('Étape 1 - à remplir'!$F$31:$F$400,'Étape 1 - à remplir'!$E$31:$E$400,MASQ2!EC251,'Étape 1 - à remplir'!$G$31:$G$400,"kg"),SUMIFS('Étape 1 - à remplir'!$F$31:$F$400,'Étape 1 - à remplir'!$E$31:$E$400,MASQ2!EC251,'Étape 1 - à remplir'!$N$31:$N$400,EL$3,'Étape 1 - à remplir'!$G$31:$G$400,"kg"))))))=0,NA(),IF(EL$2="Catégorie",IF(EL$3="Toutes",SUMIFS('Étape 1 - à remplir'!$F$31:$F$400,'Étape 1 - à remplir'!$E$31:$E$400,MASQ2!EC251,'Étape 1 - à remplir'!$G$31:$G$400,"kg"),SUMIFS('Étape 1 - à remplir'!$F$31:$F$400,'Étape 1 - à remplir'!$E$31:$E$400,MASQ2!EC251,'Étape 1 - à remplir'!$C$31:$C$400,EL$3)),IF(EL$2="Âge",IF(EL$3="Tous",SUMIFS('Étape 1 - à remplir'!$F$31:$F$400,'Étape 1 - à remplir'!$E$31:$E$400,MASQ2!EC251,'Étape 1 - à remplir'!$G$31:$G$400,"kg"),SUMIFS('Étape 1 - à remplir'!$F$31:$F$400,'Étape 1 - à remplir'!$E$31:$E$400,MASQ2!EC251,'Étape 1 - à remplir'!$P$31:$P$400,EL$3,'Étape 1 - à remplir'!$G$31:$G$400,"kg")),IF(EL$2="Atelier",IF(EL$3="Tous",SUMIFS('Étape 1 - à remplir'!$F$31:$F$400,'Étape 1 - à remplir'!$E$31:$E$400,MASQ2!EC251,'Étape 1 - à remplir'!$G$31:$G$400,"kg"),SUMIFS('Étape 1 - à remplir'!$F$31:$F$400,'Étape 1 - à remplir'!$E$31:$E$400,MASQ2!EC251,'Étape 1 - à remplir'!$O$31:$O$400,EL$3,'Étape 1 - à remplir'!$G$31:$G$400,"kg")),IF(EL$2="Espèce",IF(EL$3="Toutes",SUMIFS('Étape 1 - à remplir'!$F$31:$F$400,'Étape 1 - à remplir'!$E$31:$E$400,MASQ2!EC251,'Étape 1 - à remplir'!$G$31:$G$400,"kg"),SUMIFS('Étape 1 - à remplir'!$F$31:$F$400,'Étape 1 - à remplir'!$E$31:$E$400,MASQ2!EC251,'Étape 1 - à remplir'!$N$31:$N$400,EL$3,'Étape 1 - à remplir'!$G$31:$G$400,"kg")))))))</f>
        <v>#N/A</v>
      </c>
      <c r="EE251" s="76">
        <f t="shared" si="209"/>
        <v>0</v>
      </c>
      <c r="EF251" t="str">
        <f t="shared" si="200"/>
        <v/>
      </c>
      <c r="EG251" t="str">
        <f t="shared" si="201"/>
        <v/>
      </c>
      <c r="EH251" t="str">
        <f t="shared" si="202"/>
        <v/>
      </c>
      <c r="EI251" t="str">
        <f t="shared" si="203"/>
        <v>Aminoglycosides</v>
      </c>
      <c r="EJ251" t="str">
        <f t="shared" si="204"/>
        <v/>
      </c>
      <c r="EK251" s="63" t="str">
        <f t="shared" si="205"/>
        <v/>
      </c>
      <c r="EN251" s="42">
        <v>248</v>
      </c>
      <c r="EO251" t="e">
        <f t="shared" si="211"/>
        <v>#N/A</v>
      </c>
      <c r="EP251" s="63" t="e">
        <f t="shared" si="212"/>
        <v>#N/A</v>
      </c>
      <c r="FT251" s="63"/>
    </row>
    <row r="252" spans="2:176" x14ac:dyDescent="0.3">
      <c r="B252" s="42"/>
      <c r="M252" s="194" t="str">
        <f ca="1">INDEX(Données_ATB!BD:BU,MATCH(MASQ2!O252,Données_ATB!BD:BD,0),18)</f>
        <v/>
      </c>
      <c r="N252" s="14" t="str">
        <f>IFERROR(IF(Q252=0,"",COUNTIF(Q$4:Q$600,"&gt;"&amp;Q252)+COUNTIF(Q$4:Q252,Q252)),"")</f>
        <v/>
      </c>
      <c r="O252" t="str">
        <f>Données_ATB!BD251</f>
        <v>GENTAMAM</v>
      </c>
      <c r="P252" t="e">
        <f>IF(IF(X$2="Catégorie",IF(X$3="Toutes",SUMIFS('Étape 1 - à remplir'!$F$31:$F$400,'Étape 1 - à remplir'!$E$31:$E$400,MASQ2!O252,'Étape 1 - à remplir'!$G$31:$G$400,"animaux"),SUMIFS('Étape 1 - à remplir'!$F$31:$F$400,'Étape 1 - à remplir'!$E$31:$E$400,MASQ2!O252,'Étape 1 - à remplir'!$C$31:$C$400,X$3)),IF(X$2="Âge",IF(X$3="Tous",SUMIFS('Étape 1 - à remplir'!$F$31:$F$400,'Étape 1 - à remplir'!$E$31:$E$400,MASQ2!O252,'Étape 1 - à remplir'!$G$31:$G$400,"animaux"),SUMIFS('Étape 1 - à remplir'!$F$31:$F$400,'Étape 1 - à remplir'!$E$31:$E$400,MASQ2!O252,'Étape 1 - à remplir'!$P$31:$P$400,X$3)),IF(X$2="Atelier",IF(X$3="Tous",SUMIFS('Étape 1 - à remplir'!$F$31:$F$400,'Étape 1 - à remplir'!$E$31:$E$400,MASQ2!O252,'Étape 1 - à remplir'!$G$31:$G$400,"animaux"),SUMIFS('Étape 1 - à remplir'!$F$31:$F$400,'Étape 1 - à remplir'!$E$31:$E$400,MASQ2!O252,'Étape 1 - à remplir'!$O$31:$O$400,X$3)),IF(X$2="Espèce",IF(X$3="Toutes",SUMIFS('Étape 1 - à remplir'!$F$31:$F$400,'Étape 1 - à remplir'!$E$31:$E$400,MASQ2!O252,'Étape 1 - à remplir'!$G$31:$G$400,"animaux"),SUMIFS('Étape 1 - à remplir'!$F$31:$F$400,'Étape 1 - à remplir'!$E$31:$E$400,MASQ2!O252,'Étape 1 - à remplir'!$N$31:$N$400,X$3))))))=0,NA(),IF(X$2="Catégorie",IF(X$3="Toutes",SUMIFS('Étape 1 - à remplir'!$F$31:$F$400,'Étape 1 - à remplir'!$E$31:$E$400,MASQ2!O252,'Étape 1 - à remplir'!$G$31:$G$400,"animaux"),SUMIFS('Étape 1 - à remplir'!$F$31:$F$400,'Étape 1 - à remplir'!$E$31:$E$400,MASQ2!O252,'Étape 1 - à remplir'!$C$31:$C$400,X$3)),IF(X$2="Âge",IF(X$3="Tous",SUMIFS('Étape 1 - à remplir'!$F$31:$F$400,'Étape 1 - à remplir'!$E$31:$E$400,MASQ2!O252,'Étape 1 - à remplir'!$G$31:$G$400,"animaux"),SUMIFS('Étape 1 - à remplir'!$F$31:$F$400,'Étape 1 - à remplir'!$E$31:$E$400,MASQ2!O252,'Étape 1 - à remplir'!$P$31:$P$400,X$3)),IF(X$2="Atelier",IF(X$3="Tous",SUMIFS('Étape 1 - à remplir'!$F$31:$F$400,'Étape 1 - à remplir'!$E$31:$E$400,MASQ2!O252,'Étape 1 - à remplir'!$G$31:$G$400,"animaux"),SUMIFS('Étape 1 - à remplir'!$F$31:$F$400,'Étape 1 - à remplir'!$E$31:$E$400,MASQ2!O252,'Étape 1 - à remplir'!$O$31:$O$400,X$3)),IF(X$2="Espèce",IF(X$3="Toutes",SUMIFS('Étape 1 - à remplir'!$F$31:$F$400,'Étape 1 - à remplir'!$E$31:$E$400,MASQ2!O252,'Étape 1 - à remplir'!$G$31:$G$400,"animaux"),SUMIFS('Étape 1 - à remplir'!$F$31:$F$400,'Étape 1 - à remplir'!$E$31:$E$400,MASQ2!O252,'Étape 1 - à remplir'!$N$31:$N$400,X$3)))))))</f>
        <v>#N/A</v>
      </c>
      <c r="Q252" s="63">
        <f t="shared" si="210"/>
        <v>0</v>
      </c>
      <c r="R252" t="str">
        <f>Données_ATB!BM251</f>
        <v>Cloxacilline</v>
      </c>
      <c r="S252" t="str">
        <f>Données_ATB!BN251</f>
        <v>Gentamicine</v>
      </c>
      <c r="T252" s="63" t="str">
        <f>Données_ATB!BO251</f>
        <v/>
      </c>
      <c r="U252" s="42" t="str">
        <f>Données_ATB!BQ251</f>
        <v>Penicillines</v>
      </c>
      <c r="V252" t="str">
        <f>Données_ATB!BR251</f>
        <v>Aminoglycosides</v>
      </c>
      <c r="W252" s="63" t="str">
        <f>Données_ATB!BS251</f>
        <v/>
      </c>
      <c r="Z252" s="42">
        <v>249</v>
      </c>
      <c r="AA252" t="e">
        <f t="shared" si="206"/>
        <v>#N/A</v>
      </c>
      <c r="AB252" s="63" t="e">
        <f t="shared" si="207"/>
        <v>#N/A</v>
      </c>
      <c r="BF252" s="63"/>
      <c r="BT252" s="194" t="str">
        <f t="shared" ca="1" si="190"/>
        <v/>
      </c>
      <c r="BU252" s="219" t="str">
        <f>IFERROR(IF(BX252=0,"",COUNTIF(BX$4:BX$600,"&gt;"&amp;BX252)+COUNTIF(BX$4:BX252,BX252)),"")</f>
        <v/>
      </c>
      <c r="BV252" s="42" t="str">
        <f t="shared" si="191"/>
        <v>GENTAMAM</v>
      </c>
      <c r="BW252" t="e">
        <f>IF(IF(CE$2="Catégorie",IF(CE$3="Toutes",SUMIFS('Étape 1 - à remplir'!$F$31:$F$400,'Étape 1 - à remplir'!$E$31:$E$400,MASQ2!BV252,'Étape 1 - à remplir'!$G$31:$G$400,"lots"),SUMIFS('Étape 1 - à remplir'!$F$31:$F$400,'Étape 1 - à remplir'!$E$31:$E$400,MASQ2!BV252,'Étape 1 - à remplir'!$C$31:$C$400,CE$3)),IF(CE$2="Âge",IF(CE$3="Tous",SUMIFS('Étape 1 - à remplir'!$F$31:$F$400,'Étape 1 - à remplir'!$E$31:$E$400,MASQ2!BV252,'Étape 1 - à remplir'!$G$31:$G$400,"lots"),SUMIFS('Étape 1 - à remplir'!$F$31:$F$400,'Étape 1 - à remplir'!$E$31:$E$400,MASQ2!BV252,'Étape 1 - à remplir'!$P$31:$P$400,CE$3,'Étape 1 - à remplir'!$G$31:$G$400,"lots")),IF(CE$2="Atelier",IF(CE$3="Tous",SUMIFS('Étape 1 - à remplir'!$F$31:$F$400,'Étape 1 - à remplir'!$E$31:$E$400,MASQ2!BV252,'Étape 1 - à remplir'!$G$31:$G$400,"lots"),SUMIFS('Étape 1 - à remplir'!$F$31:$F$400,'Étape 1 - à remplir'!$E$31:$E$400,MASQ2!BV252,'Étape 1 - à remplir'!$O$31:$O$400,CE$3,'Étape 1 - à remplir'!$G$31:$G$400,"lots")),IF(CE$2="Espèce",IF(CE$3="Toutes",SUMIFS('Étape 1 - à remplir'!$F$31:$F$400,'Étape 1 - à remplir'!$E$31:$E$400,MASQ2!BV252,'Étape 1 - à remplir'!$G$31:$G$400,"lots"),SUMIFS('Étape 1 - à remplir'!$F$31:$F$400,'Étape 1 - à remplir'!$E$31:$E$400,MASQ2!BV252,'Étape 1 - à remplir'!$N$31:$N$400,CE$3,'Étape 1 - à remplir'!$G$31:$G$400,"lots"))))))=0,NA(),IF(CE$2="Catégorie",IF(CE$3="Toutes",SUMIFS('Étape 1 - à remplir'!$F$31:$F$400,'Étape 1 - à remplir'!$E$31:$E$400,MASQ2!BV252,'Étape 1 - à remplir'!$G$31:$G$400,"lots"),SUMIFS('Étape 1 - à remplir'!$F$31:$F$400,'Étape 1 - à remplir'!$E$31:$E$400,MASQ2!BV252,'Étape 1 - à remplir'!$C$31:$C$400,CE$3)),IF(CE$2="Âge",IF(CE$3="Tous",SUMIFS('Étape 1 - à remplir'!$F$31:$F$400,'Étape 1 - à remplir'!$E$31:$E$400,MASQ2!BV252,'Étape 1 - à remplir'!$G$31:$G$400,"lots"),SUMIFS('Étape 1 - à remplir'!$F$31:$F$400,'Étape 1 - à remplir'!$E$31:$E$400,MASQ2!BV252,'Étape 1 - à remplir'!$P$31:$P$400,CE$3,'Étape 1 - à remplir'!$G$31:$G$400,"lots")),IF(CE$2="Atelier",IF(CE$3="Tous",SUMIFS('Étape 1 - à remplir'!$F$31:$F$400,'Étape 1 - à remplir'!$E$31:$E$400,MASQ2!BV252,'Étape 1 - à remplir'!$G$31:$G$400,"lots"),SUMIFS('Étape 1 - à remplir'!$F$31:$F$400,'Étape 1 - à remplir'!$E$31:$E$400,MASQ2!BV252,'Étape 1 - à remplir'!$O$31:$O$400,CE$3,'Étape 1 - à remplir'!$G$31:$G$400,"lots")),IF(CE$2="Espèce",IF(CE$3="Toutes",SUMIFS('Étape 1 - à remplir'!$F$31:$F$400,'Étape 1 - à remplir'!$E$31:$E$400,MASQ2!BV252,'Étape 1 - à remplir'!$G$31:$G$400,"lots"),SUMIFS('Étape 1 - à remplir'!$F$31:$F$400,'Étape 1 - à remplir'!$E$31:$E$400,MASQ2!BV252,'Étape 1 - à remplir'!$N$31:$N$400,CE$3,'Étape 1 - à remplir'!$G$31:$G$400,"lots")))))))</f>
        <v>#N/A</v>
      </c>
      <c r="BX252">
        <f t="shared" si="208"/>
        <v>0</v>
      </c>
      <c r="BY252" t="str">
        <f t="shared" si="192"/>
        <v>Cloxacilline</v>
      </c>
      <c r="BZ252" t="str">
        <f t="shared" si="193"/>
        <v>Gentamicine</v>
      </c>
      <c r="CA252" t="str">
        <f t="shared" si="194"/>
        <v/>
      </c>
      <c r="CB252" t="str">
        <f t="shared" si="195"/>
        <v>Penicillines</v>
      </c>
      <c r="CC252" t="str">
        <f t="shared" si="196"/>
        <v>Aminoglycosides</v>
      </c>
      <c r="CD252" s="63" t="str">
        <f t="shared" si="197"/>
        <v/>
      </c>
      <c r="CG252" s="42">
        <v>249</v>
      </c>
      <c r="CH252" s="42" t="e">
        <f t="shared" si="213"/>
        <v>#N/A</v>
      </c>
      <c r="CI252" s="63" t="e">
        <f t="shared" si="214"/>
        <v>#N/A</v>
      </c>
      <c r="DM252" s="63"/>
      <c r="EA252" s="194" t="str">
        <f t="shared" ca="1" si="198"/>
        <v/>
      </c>
      <c r="EB252" s="226" t="str">
        <f>IFERROR(IF(ED252=0,"",COUNTIF(ED$4:ED$600,"&gt;"&amp;ED252)+COUNTIF(ED$4:ED252,ED252)),"")</f>
        <v/>
      </c>
      <c r="EC252" t="str">
        <f t="shared" si="199"/>
        <v>GENTAMAM</v>
      </c>
      <c r="ED252" t="e">
        <f>IF(IF(EL$2="Catégorie",IF(EL$3="Toutes",SUMIFS('Étape 1 - à remplir'!$F$31:$F$400,'Étape 1 - à remplir'!$E$31:$E$400,MASQ2!EC252,'Étape 1 - à remplir'!$G$31:$G$400,"kg"),SUMIFS('Étape 1 - à remplir'!$F$31:$F$400,'Étape 1 - à remplir'!$E$31:$E$400,MASQ2!EC252,'Étape 1 - à remplir'!$C$31:$C$400,EL$3)),IF(EL$2="Âge",IF(EL$3="Tous",SUMIFS('Étape 1 - à remplir'!$F$31:$F$400,'Étape 1 - à remplir'!$E$31:$E$400,MASQ2!EC252,'Étape 1 - à remplir'!$G$31:$G$400,"kg"),SUMIFS('Étape 1 - à remplir'!$F$31:$F$400,'Étape 1 - à remplir'!$E$31:$E$400,MASQ2!EC252,'Étape 1 - à remplir'!$P$31:$P$400,EL$3,'Étape 1 - à remplir'!$G$31:$G$400,"kg")),IF(EL$2="Atelier",IF(EL$3="Tous",SUMIFS('Étape 1 - à remplir'!$F$31:$F$400,'Étape 1 - à remplir'!$E$31:$E$400,MASQ2!EC252,'Étape 1 - à remplir'!$G$31:$G$400,"kg"),SUMIFS('Étape 1 - à remplir'!$F$31:$F$400,'Étape 1 - à remplir'!$E$31:$E$400,MASQ2!EC252,'Étape 1 - à remplir'!$O$31:$O$400,EL$3,'Étape 1 - à remplir'!$G$31:$G$400,"kg")),IF(EL$2="Espèce",IF(EL$3="Toutes",SUMIFS('Étape 1 - à remplir'!$F$31:$F$400,'Étape 1 - à remplir'!$E$31:$E$400,MASQ2!EC252,'Étape 1 - à remplir'!$G$31:$G$400,"kg"),SUMIFS('Étape 1 - à remplir'!$F$31:$F$400,'Étape 1 - à remplir'!$E$31:$E$400,MASQ2!EC252,'Étape 1 - à remplir'!$N$31:$N$400,EL$3,'Étape 1 - à remplir'!$G$31:$G$400,"kg"))))))=0,NA(),IF(EL$2="Catégorie",IF(EL$3="Toutes",SUMIFS('Étape 1 - à remplir'!$F$31:$F$400,'Étape 1 - à remplir'!$E$31:$E$400,MASQ2!EC252,'Étape 1 - à remplir'!$G$31:$G$400,"kg"),SUMIFS('Étape 1 - à remplir'!$F$31:$F$400,'Étape 1 - à remplir'!$E$31:$E$400,MASQ2!EC252,'Étape 1 - à remplir'!$C$31:$C$400,EL$3)),IF(EL$2="Âge",IF(EL$3="Tous",SUMIFS('Étape 1 - à remplir'!$F$31:$F$400,'Étape 1 - à remplir'!$E$31:$E$400,MASQ2!EC252,'Étape 1 - à remplir'!$G$31:$G$400,"kg"),SUMIFS('Étape 1 - à remplir'!$F$31:$F$400,'Étape 1 - à remplir'!$E$31:$E$400,MASQ2!EC252,'Étape 1 - à remplir'!$P$31:$P$400,EL$3,'Étape 1 - à remplir'!$G$31:$G$400,"kg")),IF(EL$2="Atelier",IF(EL$3="Tous",SUMIFS('Étape 1 - à remplir'!$F$31:$F$400,'Étape 1 - à remplir'!$E$31:$E$400,MASQ2!EC252,'Étape 1 - à remplir'!$G$31:$G$400,"kg"),SUMIFS('Étape 1 - à remplir'!$F$31:$F$400,'Étape 1 - à remplir'!$E$31:$E$400,MASQ2!EC252,'Étape 1 - à remplir'!$O$31:$O$400,EL$3,'Étape 1 - à remplir'!$G$31:$G$400,"kg")),IF(EL$2="Espèce",IF(EL$3="Toutes",SUMIFS('Étape 1 - à remplir'!$F$31:$F$400,'Étape 1 - à remplir'!$E$31:$E$400,MASQ2!EC252,'Étape 1 - à remplir'!$G$31:$G$400,"kg"),SUMIFS('Étape 1 - à remplir'!$F$31:$F$400,'Étape 1 - à remplir'!$E$31:$E$400,MASQ2!EC252,'Étape 1 - à remplir'!$N$31:$N$400,EL$3,'Étape 1 - à remplir'!$G$31:$G$400,"kg")))))))</f>
        <v>#N/A</v>
      </c>
      <c r="EE252" s="76">
        <f t="shared" si="209"/>
        <v>0</v>
      </c>
      <c r="EF252" t="str">
        <f t="shared" si="200"/>
        <v>Cloxacilline</v>
      </c>
      <c r="EG252" t="str">
        <f t="shared" si="201"/>
        <v>Gentamicine</v>
      </c>
      <c r="EH252" t="str">
        <f t="shared" si="202"/>
        <v/>
      </c>
      <c r="EI252" t="str">
        <f t="shared" si="203"/>
        <v>Penicillines</v>
      </c>
      <c r="EJ252" t="str">
        <f t="shared" si="204"/>
        <v>Aminoglycosides</v>
      </c>
      <c r="EK252" s="63" t="str">
        <f t="shared" si="205"/>
        <v/>
      </c>
      <c r="EN252" s="42">
        <v>249</v>
      </c>
      <c r="EO252" t="e">
        <f t="shared" si="211"/>
        <v>#N/A</v>
      </c>
      <c r="EP252" s="63" t="e">
        <f t="shared" si="212"/>
        <v>#N/A</v>
      </c>
      <c r="FT252" s="63"/>
    </row>
    <row r="253" spans="2:176" x14ac:dyDescent="0.3">
      <c r="B253" s="42"/>
      <c r="M253" s="194" t="str">
        <f ca="1">INDEX(Données_ATB!BD:BU,MATCH(MASQ2!O253,Données_ATB!BD:BD,0),18)</f>
        <v/>
      </c>
      <c r="N253" s="14" t="str">
        <f>IFERROR(IF(Q253=0,"",COUNTIF(Q$4:Q$600,"&gt;"&amp;Q253)+COUNTIF(Q$4:Q253,Q253)),"")</f>
        <v/>
      </c>
      <c r="O253" t="str">
        <f>Données_ATB!BD252</f>
        <v>HEMODIARH</v>
      </c>
      <c r="P253" t="e">
        <f>IF(IF(X$2="Catégorie",IF(X$3="Toutes",SUMIFS('Étape 1 - à remplir'!$F$31:$F$400,'Étape 1 - à remplir'!$E$31:$E$400,MASQ2!O253,'Étape 1 - à remplir'!$G$31:$G$400,"animaux"),SUMIFS('Étape 1 - à remplir'!$F$31:$F$400,'Étape 1 - à remplir'!$E$31:$E$400,MASQ2!O253,'Étape 1 - à remplir'!$C$31:$C$400,X$3)),IF(X$2="Âge",IF(X$3="Tous",SUMIFS('Étape 1 - à remplir'!$F$31:$F$400,'Étape 1 - à remplir'!$E$31:$E$400,MASQ2!O253,'Étape 1 - à remplir'!$G$31:$G$400,"animaux"),SUMIFS('Étape 1 - à remplir'!$F$31:$F$400,'Étape 1 - à remplir'!$E$31:$E$400,MASQ2!O253,'Étape 1 - à remplir'!$P$31:$P$400,X$3)),IF(X$2="Atelier",IF(X$3="Tous",SUMIFS('Étape 1 - à remplir'!$F$31:$F$400,'Étape 1 - à remplir'!$E$31:$E$400,MASQ2!O253,'Étape 1 - à remplir'!$G$31:$G$400,"animaux"),SUMIFS('Étape 1 - à remplir'!$F$31:$F$400,'Étape 1 - à remplir'!$E$31:$E$400,MASQ2!O253,'Étape 1 - à remplir'!$O$31:$O$400,X$3)),IF(X$2="Espèce",IF(X$3="Toutes",SUMIFS('Étape 1 - à remplir'!$F$31:$F$400,'Étape 1 - à remplir'!$E$31:$E$400,MASQ2!O253,'Étape 1 - à remplir'!$G$31:$G$400,"animaux"),SUMIFS('Étape 1 - à remplir'!$F$31:$F$400,'Étape 1 - à remplir'!$E$31:$E$400,MASQ2!O253,'Étape 1 - à remplir'!$N$31:$N$400,X$3))))))=0,NA(),IF(X$2="Catégorie",IF(X$3="Toutes",SUMIFS('Étape 1 - à remplir'!$F$31:$F$400,'Étape 1 - à remplir'!$E$31:$E$400,MASQ2!O253,'Étape 1 - à remplir'!$G$31:$G$400,"animaux"),SUMIFS('Étape 1 - à remplir'!$F$31:$F$400,'Étape 1 - à remplir'!$E$31:$E$400,MASQ2!O253,'Étape 1 - à remplir'!$C$31:$C$400,X$3)),IF(X$2="Âge",IF(X$3="Tous",SUMIFS('Étape 1 - à remplir'!$F$31:$F$400,'Étape 1 - à remplir'!$E$31:$E$400,MASQ2!O253,'Étape 1 - à remplir'!$G$31:$G$400,"animaux"),SUMIFS('Étape 1 - à remplir'!$F$31:$F$400,'Étape 1 - à remplir'!$E$31:$E$400,MASQ2!O253,'Étape 1 - à remplir'!$P$31:$P$400,X$3)),IF(X$2="Atelier",IF(X$3="Tous",SUMIFS('Étape 1 - à remplir'!$F$31:$F$400,'Étape 1 - à remplir'!$E$31:$E$400,MASQ2!O253,'Étape 1 - à remplir'!$G$31:$G$400,"animaux"),SUMIFS('Étape 1 - à remplir'!$F$31:$F$400,'Étape 1 - à remplir'!$E$31:$E$400,MASQ2!O253,'Étape 1 - à remplir'!$O$31:$O$400,X$3)),IF(X$2="Espèce",IF(X$3="Toutes",SUMIFS('Étape 1 - à remplir'!$F$31:$F$400,'Étape 1 - à remplir'!$E$31:$E$400,MASQ2!O253,'Étape 1 - à remplir'!$G$31:$G$400,"animaux"),SUMIFS('Étape 1 - à remplir'!$F$31:$F$400,'Étape 1 - à remplir'!$E$31:$E$400,MASQ2!O253,'Étape 1 - à remplir'!$N$31:$N$400,X$3)))))))</f>
        <v>#N/A</v>
      </c>
      <c r="Q253" s="63">
        <f t="shared" si="210"/>
        <v>0</v>
      </c>
      <c r="R253" t="str">
        <f>Données_ATB!BM252</f>
        <v>Sulfadimidine</v>
      </c>
      <c r="S253" t="str">
        <f>Données_ATB!BN252</f>
        <v>Sulfaguanidine</v>
      </c>
      <c r="T253" s="63" t="str">
        <f>Données_ATB!BO252</f>
        <v/>
      </c>
      <c r="U253" s="42" t="str">
        <f>Données_ATB!BQ252</f>
        <v>Sulfamides</v>
      </c>
      <c r="V253" t="str">
        <f>Données_ATB!BR252</f>
        <v>Sulfamides</v>
      </c>
      <c r="W253" s="63" t="str">
        <f>Données_ATB!BS252</f>
        <v/>
      </c>
      <c r="Z253" s="42">
        <v>250</v>
      </c>
      <c r="AA253" t="e">
        <f t="shared" si="206"/>
        <v>#N/A</v>
      </c>
      <c r="AB253" s="63" t="e">
        <f t="shared" si="207"/>
        <v>#N/A</v>
      </c>
      <c r="BF253" s="63"/>
      <c r="BT253" s="194" t="str">
        <f t="shared" ca="1" si="190"/>
        <v/>
      </c>
      <c r="BU253" s="219" t="str">
        <f>IFERROR(IF(BX253=0,"",COUNTIF(BX$4:BX$600,"&gt;"&amp;BX253)+COUNTIF(BX$4:BX253,BX253)),"")</f>
        <v/>
      </c>
      <c r="BV253" s="42" t="str">
        <f t="shared" si="191"/>
        <v>HEMODIARH</v>
      </c>
      <c r="BW253" t="e">
        <f>IF(IF(CE$2="Catégorie",IF(CE$3="Toutes",SUMIFS('Étape 1 - à remplir'!$F$31:$F$400,'Étape 1 - à remplir'!$E$31:$E$400,MASQ2!BV253,'Étape 1 - à remplir'!$G$31:$G$400,"lots"),SUMIFS('Étape 1 - à remplir'!$F$31:$F$400,'Étape 1 - à remplir'!$E$31:$E$400,MASQ2!BV253,'Étape 1 - à remplir'!$C$31:$C$400,CE$3)),IF(CE$2="Âge",IF(CE$3="Tous",SUMIFS('Étape 1 - à remplir'!$F$31:$F$400,'Étape 1 - à remplir'!$E$31:$E$400,MASQ2!BV253,'Étape 1 - à remplir'!$G$31:$G$400,"lots"),SUMIFS('Étape 1 - à remplir'!$F$31:$F$400,'Étape 1 - à remplir'!$E$31:$E$400,MASQ2!BV253,'Étape 1 - à remplir'!$P$31:$P$400,CE$3,'Étape 1 - à remplir'!$G$31:$G$400,"lots")),IF(CE$2="Atelier",IF(CE$3="Tous",SUMIFS('Étape 1 - à remplir'!$F$31:$F$400,'Étape 1 - à remplir'!$E$31:$E$400,MASQ2!BV253,'Étape 1 - à remplir'!$G$31:$G$400,"lots"),SUMIFS('Étape 1 - à remplir'!$F$31:$F$400,'Étape 1 - à remplir'!$E$31:$E$400,MASQ2!BV253,'Étape 1 - à remplir'!$O$31:$O$400,CE$3,'Étape 1 - à remplir'!$G$31:$G$400,"lots")),IF(CE$2="Espèce",IF(CE$3="Toutes",SUMIFS('Étape 1 - à remplir'!$F$31:$F$400,'Étape 1 - à remplir'!$E$31:$E$400,MASQ2!BV253,'Étape 1 - à remplir'!$G$31:$G$400,"lots"),SUMIFS('Étape 1 - à remplir'!$F$31:$F$400,'Étape 1 - à remplir'!$E$31:$E$400,MASQ2!BV253,'Étape 1 - à remplir'!$N$31:$N$400,CE$3,'Étape 1 - à remplir'!$G$31:$G$400,"lots"))))))=0,NA(),IF(CE$2="Catégorie",IF(CE$3="Toutes",SUMIFS('Étape 1 - à remplir'!$F$31:$F$400,'Étape 1 - à remplir'!$E$31:$E$400,MASQ2!BV253,'Étape 1 - à remplir'!$G$31:$G$400,"lots"),SUMIFS('Étape 1 - à remplir'!$F$31:$F$400,'Étape 1 - à remplir'!$E$31:$E$400,MASQ2!BV253,'Étape 1 - à remplir'!$C$31:$C$400,CE$3)),IF(CE$2="Âge",IF(CE$3="Tous",SUMIFS('Étape 1 - à remplir'!$F$31:$F$400,'Étape 1 - à remplir'!$E$31:$E$400,MASQ2!BV253,'Étape 1 - à remplir'!$G$31:$G$400,"lots"),SUMIFS('Étape 1 - à remplir'!$F$31:$F$400,'Étape 1 - à remplir'!$E$31:$E$400,MASQ2!BV253,'Étape 1 - à remplir'!$P$31:$P$400,CE$3,'Étape 1 - à remplir'!$G$31:$G$400,"lots")),IF(CE$2="Atelier",IF(CE$3="Tous",SUMIFS('Étape 1 - à remplir'!$F$31:$F$400,'Étape 1 - à remplir'!$E$31:$E$400,MASQ2!BV253,'Étape 1 - à remplir'!$G$31:$G$400,"lots"),SUMIFS('Étape 1 - à remplir'!$F$31:$F$400,'Étape 1 - à remplir'!$E$31:$E$400,MASQ2!BV253,'Étape 1 - à remplir'!$O$31:$O$400,CE$3,'Étape 1 - à remplir'!$G$31:$G$400,"lots")),IF(CE$2="Espèce",IF(CE$3="Toutes",SUMIFS('Étape 1 - à remplir'!$F$31:$F$400,'Étape 1 - à remplir'!$E$31:$E$400,MASQ2!BV253,'Étape 1 - à remplir'!$G$31:$G$400,"lots"),SUMIFS('Étape 1 - à remplir'!$F$31:$F$400,'Étape 1 - à remplir'!$E$31:$E$400,MASQ2!BV253,'Étape 1 - à remplir'!$N$31:$N$400,CE$3,'Étape 1 - à remplir'!$G$31:$G$400,"lots")))))))</f>
        <v>#N/A</v>
      </c>
      <c r="BX253">
        <f t="shared" si="208"/>
        <v>0</v>
      </c>
      <c r="BY253" t="str">
        <f t="shared" si="192"/>
        <v>Sulfadimidine</v>
      </c>
      <c r="BZ253" t="str">
        <f t="shared" si="193"/>
        <v>Sulfaguanidine</v>
      </c>
      <c r="CA253" t="str">
        <f t="shared" si="194"/>
        <v/>
      </c>
      <c r="CB253" t="str">
        <f t="shared" si="195"/>
        <v>Sulfamides</v>
      </c>
      <c r="CC253" t="str">
        <f t="shared" si="196"/>
        <v>Sulfamides</v>
      </c>
      <c r="CD253" s="63" t="str">
        <f t="shared" si="197"/>
        <v/>
      </c>
      <c r="CG253" s="42">
        <v>250</v>
      </c>
      <c r="CH253" s="42" t="e">
        <f t="shared" si="213"/>
        <v>#N/A</v>
      </c>
      <c r="CI253" s="63" t="e">
        <f t="shared" si="214"/>
        <v>#N/A</v>
      </c>
      <c r="DM253" s="63"/>
      <c r="EA253" s="194" t="str">
        <f t="shared" ca="1" si="198"/>
        <v/>
      </c>
      <c r="EB253" s="226" t="str">
        <f>IFERROR(IF(ED253=0,"",COUNTIF(ED$4:ED$600,"&gt;"&amp;ED253)+COUNTIF(ED$4:ED253,ED253)),"")</f>
        <v/>
      </c>
      <c r="EC253" t="str">
        <f t="shared" si="199"/>
        <v>HEMODIARH</v>
      </c>
      <c r="ED253" t="e">
        <f>IF(IF(EL$2="Catégorie",IF(EL$3="Toutes",SUMIFS('Étape 1 - à remplir'!$F$31:$F$400,'Étape 1 - à remplir'!$E$31:$E$400,MASQ2!EC253,'Étape 1 - à remplir'!$G$31:$G$400,"kg"),SUMIFS('Étape 1 - à remplir'!$F$31:$F$400,'Étape 1 - à remplir'!$E$31:$E$400,MASQ2!EC253,'Étape 1 - à remplir'!$C$31:$C$400,EL$3)),IF(EL$2="Âge",IF(EL$3="Tous",SUMIFS('Étape 1 - à remplir'!$F$31:$F$400,'Étape 1 - à remplir'!$E$31:$E$400,MASQ2!EC253,'Étape 1 - à remplir'!$G$31:$G$400,"kg"),SUMIFS('Étape 1 - à remplir'!$F$31:$F$400,'Étape 1 - à remplir'!$E$31:$E$400,MASQ2!EC253,'Étape 1 - à remplir'!$P$31:$P$400,EL$3,'Étape 1 - à remplir'!$G$31:$G$400,"kg")),IF(EL$2="Atelier",IF(EL$3="Tous",SUMIFS('Étape 1 - à remplir'!$F$31:$F$400,'Étape 1 - à remplir'!$E$31:$E$400,MASQ2!EC253,'Étape 1 - à remplir'!$G$31:$G$400,"kg"),SUMIFS('Étape 1 - à remplir'!$F$31:$F$400,'Étape 1 - à remplir'!$E$31:$E$400,MASQ2!EC253,'Étape 1 - à remplir'!$O$31:$O$400,EL$3,'Étape 1 - à remplir'!$G$31:$G$400,"kg")),IF(EL$2="Espèce",IF(EL$3="Toutes",SUMIFS('Étape 1 - à remplir'!$F$31:$F$400,'Étape 1 - à remplir'!$E$31:$E$400,MASQ2!EC253,'Étape 1 - à remplir'!$G$31:$G$400,"kg"),SUMIFS('Étape 1 - à remplir'!$F$31:$F$400,'Étape 1 - à remplir'!$E$31:$E$400,MASQ2!EC253,'Étape 1 - à remplir'!$N$31:$N$400,EL$3,'Étape 1 - à remplir'!$G$31:$G$400,"kg"))))))=0,NA(),IF(EL$2="Catégorie",IF(EL$3="Toutes",SUMIFS('Étape 1 - à remplir'!$F$31:$F$400,'Étape 1 - à remplir'!$E$31:$E$400,MASQ2!EC253,'Étape 1 - à remplir'!$G$31:$G$400,"kg"),SUMIFS('Étape 1 - à remplir'!$F$31:$F$400,'Étape 1 - à remplir'!$E$31:$E$400,MASQ2!EC253,'Étape 1 - à remplir'!$C$31:$C$400,EL$3)),IF(EL$2="Âge",IF(EL$3="Tous",SUMIFS('Étape 1 - à remplir'!$F$31:$F$400,'Étape 1 - à remplir'!$E$31:$E$400,MASQ2!EC253,'Étape 1 - à remplir'!$G$31:$G$400,"kg"),SUMIFS('Étape 1 - à remplir'!$F$31:$F$400,'Étape 1 - à remplir'!$E$31:$E$400,MASQ2!EC253,'Étape 1 - à remplir'!$P$31:$P$400,EL$3,'Étape 1 - à remplir'!$G$31:$G$400,"kg")),IF(EL$2="Atelier",IF(EL$3="Tous",SUMIFS('Étape 1 - à remplir'!$F$31:$F$400,'Étape 1 - à remplir'!$E$31:$E$400,MASQ2!EC253,'Étape 1 - à remplir'!$G$31:$G$400,"kg"),SUMIFS('Étape 1 - à remplir'!$F$31:$F$400,'Étape 1 - à remplir'!$E$31:$E$400,MASQ2!EC253,'Étape 1 - à remplir'!$O$31:$O$400,EL$3,'Étape 1 - à remplir'!$G$31:$G$400,"kg")),IF(EL$2="Espèce",IF(EL$3="Toutes",SUMIFS('Étape 1 - à remplir'!$F$31:$F$400,'Étape 1 - à remplir'!$E$31:$E$400,MASQ2!EC253,'Étape 1 - à remplir'!$G$31:$G$400,"kg"),SUMIFS('Étape 1 - à remplir'!$F$31:$F$400,'Étape 1 - à remplir'!$E$31:$E$400,MASQ2!EC253,'Étape 1 - à remplir'!$N$31:$N$400,EL$3,'Étape 1 - à remplir'!$G$31:$G$400,"kg")))))))</f>
        <v>#N/A</v>
      </c>
      <c r="EE253" s="76">
        <f t="shared" si="209"/>
        <v>0</v>
      </c>
      <c r="EF253" t="str">
        <f t="shared" si="200"/>
        <v>Sulfadimidine</v>
      </c>
      <c r="EG253" t="str">
        <f t="shared" si="201"/>
        <v>Sulfaguanidine</v>
      </c>
      <c r="EH253" t="str">
        <f t="shared" si="202"/>
        <v/>
      </c>
      <c r="EI253" t="str">
        <f t="shared" si="203"/>
        <v>Sulfamides</v>
      </c>
      <c r="EJ253" t="str">
        <f t="shared" si="204"/>
        <v>Sulfamides</v>
      </c>
      <c r="EK253" s="63" t="str">
        <f t="shared" si="205"/>
        <v/>
      </c>
      <c r="EN253" s="42">
        <v>250</v>
      </c>
      <c r="EO253" t="e">
        <f t="shared" si="211"/>
        <v>#N/A</v>
      </c>
      <c r="EP253" s="63" t="e">
        <f t="shared" si="212"/>
        <v>#N/A</v>
      </c>
      <c r="FT253" s="63"/>
    </row>
    <row r="254" spans="2:176" x14ac:dyDescent="0.3">
      <c r="B254" s="42"/>
      <c r="M254" s="194" t="str">
        <f ca="1">INDEX(Données_ATB!BD:BU,MATCH(MASQ2!O254,Données_ATB!BD:BD,0),18)</f>
        <v/>
      </c>
      <c r="N254" s="14" t="str">
        <f>IFERROR(IF(Q254=0,"",COUNTIF(Q$4:Q$600,"&gt;"&amp;Q254)+COUNTIF(Q$4:Q254,Q254)),"")</f>
        <v/>
      </c>
      <c r="O254" t="str">
        <f>Données_ATB!BD253</f>
        <v>HISTABIOSONE</v>
      </c>
      <c r="P254" t="e">
        <f>IF(IF(X$2="Catégorie",IF(X$3="Toutes",SUMIFS('Étape 1 - à remplir'!$F$31:$F$400,'Étape 1 - à remplir'!$E$31:$E$400,MASQ2!O254,'Étape 1 - à remplir'!$G$31:$G$400,"animaux"),SUMIFS('Étape 1 - à remplir'!$F$31:$F$400,'Étape 1 - à remplir'!$E$31:$E$400,MASQ2!O254,'Étape 1 - à remplir'!$C$31:$C$400,X$3)),IF(X$2="Âge",IF(X$3="Tous",SUMIFS('Étape 1 - à remplir'!$F$31:$F$400,'Étape 1 - à remplir'!$E$31:$E$400,MASQ2!O254,'Étape 1 - à remplir'!$G$31:$G$400,"animaux"),SUMIFS('Étape 1 - à remplir'!$F$31:$F$400,'Étape 1 - à remplir'!$E$31:$E$400,MASQ2!O254,'Étape 1 - à remplir'!$P$31:$P$400,X$3)),IF(X$2="Atelier",IF(X$3="Tous",SUMIFS('Étape 1 - à remplir'!$F$31:$F$400,'Étape 1 - à remplir'!$E$31:$E$400,MASQ2!O254,'Étape 1 - à remplir'!$G$31:$G$400,"animaux"),SUMIFS('Étape 1 - à remplir'!$F$31:$F$400,'Étape 1 - à remplir'!$E$31:$E$400,MASQ2!O254,'Étape 1 - à remplir'!$O$31:$O$400,X$3)),IF(X$2="Espèce",IF(X$3="Toutes",SUMIFS('Étape 1 - à remplir'!$F$31:$F$400,'Étape 1 - à remplir'!$E$31:$E$400,MASQ2!O254,'Étape 1 - à remplir'!$G$31:$G$400,"animaux"),SUMIFS('Étape 1 - à remplir'!$F$31:$F$400,'Étape 1 - à remplir'!$E$31:$E$400,MASQ2!O254,'Étape 1 - à remplir'!$N$31:$N$400,X$3))))))=0,NA(),IF(X$2="Catégorie",IF(X$3="Toutes",SUMIFS('Étape 1 - à remplir'!$F$31:$F$400,'Étape 1 - à remplir'!$E$31:$E$400,MASQ2!O254,'Étape 1 - à remplir'!$G$31:$G$400,"animaux"),SUMIFS('Étape 1 - à remplir'!$F$31:$F$400,'Étape 1 - à remplir'!$E$31:$E$400,MASQ2!O254,'Étape 1 - à remplir'!$C$31:$C$400,X$3)),IF(X$2="Âge",IF(X$3="Tous",SUMIFS('Étape 1 - à remplir'!$F$31:$F$400,'Étape 1 - à remplir'!$E$31:$E$400,MASQ2!O254,'Étape 1 - à remplir'!$G$31:$G$400,"animaux"),SUMIFS('Étape 1 - à remplir'!$F$31:$F$400,'Étape 1 - à remplir'!$E$31:$E$400,MASQ2!O254,'Étape 1 - à remplir'!$P$31:$P$400,X$3)),IF(X$2="Atelier",IF(X$3="Tous",SUMIFS('Étape 1 - à remplir'!$F$31:$F$400,'Étape 1 - à remplir'!$E$31:$E$400,MASQ2!O254,'Étape 1 - à remplir'!$G$31:$G$400,"animaux"),SUMIFS('Étape 1 - à remplir'!$F$31:$F$400,'Étape 1 - à remplir'!$E$31:$E$400,MASQ2!O254,'Étape 1 - à remplir'!$O$31:$O$400,X$3)),IF(X$2="Espèce",IF(X$3="Toutes",SUMIFS('Étape 1 - à remplir'!$F$31:$F$400,'Étape 1 - à remplir'!$E$31:$E$400,MASQ2!O254,'Étape 1 - à remplir'!$G$31:$G$400,"animaux"),SUMIFS('Étape 1 - à remplir'!$F$31:$F$400,'Étape 1 - à remplir'!$E$31:$E$400,MASQ2!O254,'Étape 1 - à remplir'!$N$31:$N$400,X$3)))))))</f>
        <v>#N/A</v>
      </c>
      <c r="Q254" s="63">
        <f t="shared" si="210"/>
        <v>0</v>
      </c>
      <c r="R254" t="str">
        <f>Données_ATB!BM253</f>
        <v>Dihydrostreptomycine</v>
      </c>
      <c r="S254" t="str">
        <f>Données_ATB!BN253</f>
        <v>Benzylpénicilline</v>
      </c>
      <c r="T254" s="63" t="str">
        <f>Données_ATB!BO253</f>
        <v/>
      </c>
      <c r="U254" s="42" t="str">
        <f>Données_ATB!BQ253</f>
        <v>Aminoglycosides</v>
      </c>
      <c r="V254" t="str">
        <f>Données_ATB!BR253</f>
        <v>Penicillines</v>
      </c>
      <c r="W254" s="63" t="str">
        <f>Données_ATB!BS253</f>
        <v/>
      </c>
      <c r="Z254" s="42">
        <v>251</v>
      </c>
      <c r="AA254" t="e">
        <f t="shared" si="206"/>
        <v>#N/A</v>
      </c>
      <c r="AB254" s="63" t="e">
        <f t="shared" si="207"/>
        <v>#N/A</v>
      </c>
      <c r="BF254" s="63"/>
      <c r="BT254" s="194" t="str">
        <f t="shared" ca="1" si="190"/>
        <v/>
      </c>
      <c r="BU254" s="219" t="str">
        <f>IFERROR(IF(BX254=0,"",COUNTIF(BX$4:BX$600,"&gt;"&amp;BX254)+COUNTIF(BX$4:BX254,BX254)),"")</f>
        <v/>
      </c>
      <c r="BV254" s="42" t="str">
        <f t="shared" si="191"/>
        <v>HISTABIOSONE</v>
      </c>
      <c r="BW254" t="e">
        <f>IF(IF(CE$2="Catégorie",IF(CE$3="Toutes",SUMIFS('Étape 1 - à remplir'!$F$31:$F$400,'Étape 1 - à remplir'!$E$31:$E$400,MASQ2!BV254,'Étape 1 - à remplir'!$G$31:$G$400,"lots"),SUMIFS('Étape 1 - à remplir'!$F$31:$F$400,'Étape 1 - à remplir'!$E$31:$E$400,MASQ2!BV254,'Étape 1 - à remplir'!$C$31:$C$400,CE$3)),IF(CE$2="Âge",IF(CE$3="Tous",SUMIFS('Étape 1 - à remplir'!$F$31:$F$400,'Étape 1 - à remplir'!$E$31:$E$400,MASQ2!BV254,'Étape 1 - à remplir'!$G$31:$G$400,"lots"),SUMIFS('Étape 1 - à remplir'!$F$31:$F$400,'Étape 1 - à remplir'!$E$31:$E$400,MASQ2!BV254,'Étape 1 - à remplir'!$P$31:$P$400,CE$3,'Étape 1 - à remplir'!$G$31:$G$400,"lots")),IF(CE$2="Atelier",IF(CE$3="Tous",SUMIFS('Étape 1 - à remplir'!$F$31:$F$400,'Étape 1 - à remplir'!$E$31:$E$400,MASQ2!BV254,'Étape 1 - à remplir'!$G$31:$G$400,"lots"),SUMIFS('Étape 1 - à remplir'!$F$31:$F$400,'Étape 1 - à remplir'!$E$31:$E$400,MASQ2!BV254,'Étape 1 - à remplir'!$O$31:$O$400,CE$3,'Étape 1 - à remplir'!$G$31:$G$400,"lots")),IF(CE$2="Espèce",IF(CE$3="Toutes",SUMIFS('Étape 1 - à remplir'!$F$31:$F$400,'Étape 1 - à remplir'!$E$31:$E$400,MASQ2!BV254,'Étape 1 - à remplir'!$G$31:$G$400,"lots"),SUMIFS('Étape 1 - à remplir'!$F$31:$F$400,'Étape 1 - à remplir'!$E$31:$E$400,MASQ2!BV254,'Étape 1 - à remplir'!$N$31:$N$400,CE$3,'Étape 1 - à remplir'!$G$31:$G$400,"lots"))))))=0,NA(),IF(CE$2="Catégorie",IF(CE$3="Toutes",SUMIFS('Étape 1 - à remplir'!$F$31:$F$400,'Étape 1 - à remplir'!$E$31:$E$400,MASQ2!BV254,'Étape 1 - à remplir'!$G$31:$G$400,"lots"),SUMIFS('Étape 1 - à remplir'!$F$31:$F$400,'Étape 1 - à remplir'!$E$31:$E$400,MASQ2!BV254,'Étape 1 - à remplir'!$C$31:$C$400,CE$3)),IF(CE$2="Âge",IF(CE$3="Tous",SUMIFS('Étape 1 - à remplir'!$F$31:$F$400,'Étape 1 - à remplir'!$E$31:$E$400,MASQ2!BV254,'Étape 1 - à remplir'!$G$31:$G$400,"lots"),SUMIFS('Étape 1 - à remplir'!$F$31:$F$400,'Étape 1 - à remplir'!$E$31:$E$400,MASQ2!BV254,'Étape 1 - à remplir'!$P$31:$P$400,CE$3,'Étape 1 - à remplir'!$G$31:$G$400,"lots")),IF(CE$2="Atelier",IF(CE$3="Tous",SUMIFS('Étape 1 - à remplir'!$F$31:$F$400,'Étape 1 - à remplir'!$E$31:$E$400,MASQ2!BV254,'Étape 1 - à remplir'!$G$31:$G$400,"lots"),SUMIFS('Étape 1 - à remplir'!$F$31:$F$400,'Étape 1 - à remplir'!$E$31:$E$400,MASQ2!BV254,'Étape 1 - à remplir'!$O$31:$O$400,CE$3,'Étape 1 - à remplir'!$G$31:$G$400,"lots")),IF(CE$2="Espèce",IF(CE$3="Toutes",SUMIFS('Étape 1 - à remplir'!$F$31:$F$400,'Étape 1 - à remplir'!$E$31:$E$400,MASQ2!BV254,'Étape 1 - à remplir'!$G$31:$G$400,"lots"),SUMIFS('Étape 1 - à remplir'!$F$31:$F$400,'Étape 1 - à remplir'!$E$31:$E$400,MASQ2!BV254,'Étape 1 - à remplir'!$N$31:$N$400,CE$3,'Étape 1 - à remplir'!$G$31:$G$400,"lots")))))))</f>
        <v>#N/A</v>
      </c>
      <c r="BX254">
        <f t="shared" si="208"/>
        <v>0</v>
      </c>
      <c r="BY254" t="str">
        <f t="shared" si="192"/>
        <v>Dihydrostreptomycine</v>
      </c>
      <c r="BZ254" t="str">
        <f t="shared" si="193"/>
        <v>Benzylpénicilline</v>
      </c>
      <c r="CA254" t="str">
        <f t="shared" si="194"/>
        <v/>
      </c>
      <c r="CB254" t="str">
        <f t="shared" si="195"/>
        <v>Aminoglycosides</v>
      </c>
      <c r="CC254" t="str">
        <f t="shared" si="196"/>
        <v>Penicillines</v>
      </c>
      <c r="CD254" s="63" t="str">
        <f t="shared" si="197"/>
        <v/>
      </c>
      <c r="CG254" s="42">
        <v>251</v>
      </c>
      <c r="CH254" s="42" t="e">
        <f t="shared" si="213"/>
        <v>#N/A</v>
      </c>
      <c r="CI254" s="63" t="e">
        <f t="shared" si="214"/>
        <v>#N/A</v>
      </c>
      <c r="DM254" s="63"/>
      <c r="EA254" s="194" t="str">
        <f t="shared" ca="1" si="198"/>
        <v/>
      </c>
      <c r="EB254" s="226" t="str">
        <f>IFERROR(IF(ED254=0,"",COUNTIF(ED$4:ED$600,"&gt;"&amp;ED254)+COUNTIF(ED$4:ED254,ED254)),"")</f>
        <v/>
      </c>
      <c r="EC254" t="str">
        <f t="shared" si="199"/>
        <v>HISTABIOSONE</v>
      </c>
      <c r="ED254" t="e">
        <f>IF(IF(EL$2="Catégorie",IF(EL$3="Toutes",SUMIFS('Étape 1 - à remplir'!$F$31:$F$400,'Étape 1 - à remplir'!$E$31:$E$400,MASQ2!EC254,'Étape 1 - à remplir'!$G$31:$G$400,"kg"),SUMIFS('Étape 1 - à remplir'!$F$31:$F$400,'Étape 1 - à remplir'!$E$31:$E$400,MASQ2!EC254,'Étape 1 - à remplir'!$C$31:$C$400,EL$3)),IF(EL$2="Âge",IF(EL$3="Tous",SUMIFS('Étape 1 - à remplir'!$F$31:$F$400,'Étape 1 - à remplir'!$E$31:$E$400,MASQ2!EC254,'Étape 1 - à remplir'!$G$31:$G$400,"kg"),SUMIFS('Étape 1 - à remplir'!$F$31:$F$400,'Étape 1 - à remplir'!$E$31:$E$400,MASQ2!EC254,'Étape 1 - à remplir'!$P$31:$P$400,EL$3,'Étape 1 - à remplir'!$G$31:$G$400,"kg")),IF(EL$2="Atelier",IF(EL$3="Tous",SUMIFS('Étape 1 - à remplir'!$F$31:$F$400,'Étape 1 - à remplir'!$E$31:$E$400,MASQ2!EC254,'Étape 1 - à remplir'!$G$31:$G$400,"kg"),SUMIFS('Étape 1 - à remplir'!$F$31:$F$400,'Étape 1 - à remplir'!$E$31:$E$400,MASQ2!EC254,'Étape 1 - à remplir'!$O$31:$O$400,EL$3,'Étape 1 - à remplir'!$G$31:$G$400,"kg")),IF(EL$2="Espèce",IF(EL$3="Toutes",SUMIFS('Étape 1 - à remplir'!$F$31:$F$400,'Étape 1 - à remplir'!$E$31:$E$400,MASQ2!EC254,'Étape 1 - à remplir'!$G$31:$G$400,"kg"),SUMIFS('Étape 1 - à remplir'!$F$31:$F$400,'Étape 1 - à remplir'!$E$31:$E$400,MASQ2!EC254,'Étape 1 - à remplir'!$N$31:$N$400,EL$3,'Étape 1 - à remplir'!$G$31:$G$400,"kg"))))))=0,NA(),IF(EL$2="Catégorie",IF(EL$3="Toutes",SUMIFS('Étape 1 - à remplir'!$F$31:$F$400,'Étape 1 - à remplir'!$E$31:$E$400,MASQ2!EC254,'Étape 1 - à remplir'!$G$31:$G$400,"kg"),SUMIFS('Étape 1 - à remplir'!$F$31:$F$400,'Étape 1 - à remplir'!$E$31:$E$400,MASQ2!EC254,'Étape 1 - à remplir'!$C$31:$C$400,EL$3)),IF(EL$2="Âge",IF(EL$3="Tous",SUMIFS('Étape 1 - à remplir'!$F$31:$F$400,'Étape 1 - à remplir'!$E$31:$E$400,MASQ2!EC254,'Étape 1 - à remplir'!$G$31:$G$400,"kg"),SUMIFS('Étape 1 - à remplir'!$F$31:$F$400,'Étape 1 - à remplir'!$E$31:$E$400,MASQ2!EC254,'Étape 1 - à remplir'!$P$31:$P$400,EL$3,'Étape 1 - à remplir'!$G$31:$G$400,"kg")),IF(EL$2="Atelier",IF(EL$3="Tous",SUMIFS('Étape 1 - à remplir'!$F$31:$F$400,'Étape 1 - à remplir'!$E$31:$E$400,MASQ2!EC254,'Étape 1 - à remplir'!$G$31:$G$400,"kg"),SUMIFS('Étape 1 - à remplir'!$F$31:$F$400,'Étape 1 - à remplir'!$E$31:$E$400,MASQ2!EC254,'Étape 1 - à remplir'!$O$31:$O$400,EL$3,'Étape 1 - à remplir'!$G$31:$G$400,"kg")),IF(EL$2="Espèce",IF(EL$3="Toutes",SUMIFS('Étape 1 - à remplir'!$F$31:$F$400,'Étape 1 - à remplir'!$E$31:$E$400,MASQ2!EC254,'Étape 1 - à remplir'!$G$31:$G$400,"kg"),SUMIFS('Étape 1 - à remplir'!$F$31:$F$400,'Étape 1 - à remplir'!$E$31:$E$400,MASQ2!EC254,'Étape 1 - à remplir'!$N$31:$N$400,EL$3,'Étape 1 - à remplir'!$G$31:$G$400,"kg")))))))</f>
        <v>#N/A</v>
      </c>
      <c r="EE254" s="76">
        <f t="shared" si="209"/>
        <v>0</v>
      </c>
      <c r="EF254" t="str">
        <f t="shared" si="200"/>
        <v>Dihydrostreptomycine</v>
      </c>
      <c r="EG254" t="str">
        <f t="shared" si="201"/>
        <v>Benzylpénicilline</v>
      </c>
      <c r="EH254" t="str">
        <f t="shared" si="202"/>
        <v/>
      </c>
      <c r="EI254" t="str">
        <f t="shared" si="203"/>
        <v>Aminoglycosides</v>
      </c>
      <c r="EJ254" t="str">
        <f t="shared" si="204"/>
        <v>Penicillines</v>
      </c>
      <c r="EK254" s="63" t="str">
        <f t="shared" si="205"/>
        <v/>
      </c>
      <c r="EN254" s="42">
        <v>251</v>
      </c>
      <c r="EO254" t="e">
        <f t="shared" si="211"/>
        <v>#N/A</v>
      </c>
      <c r="EP254" s="63" t="e">
        <f t="shared" si="212"/>
        <v>#N/A</v>
      </c>
      <c r="FT254" s="63"/>
    </row>
    <row r="255" spans="2:176" x14ac:dyDescent="0.3">
      <c r="B255" s="42"/>
      <c r="M255" s="194" t="str">
        <f ca="1">INDEX(Données_ATB!BD:BU,MATCH(MASQ2!O255,Données_ATB!BD:BD,0),18)</f>
        <v/>
      </c>
      <c r="N255" s="14" t="str">
        <f>IFERROR(IF(Q255=0,"",COUNTIF(Q$4:Q$600,"&gt;"&amp;Q255)+COUNTIF(Q$4:Q255,Q255)),"")</f>
        <v/>
      </c>
      <c r="O255" t="str">
        <f>Données_ATB!BD254</f>
        <v>HISTACLINE</v>
      </c>
      <c r="P255" t="e">
        <f>IF(IF(X$2="Catégorie",IF(X$3="Toutes",SUMIFS('Étape 1 - à remplir'!$F$31:$F$400,'Étape 1 - à remplir'!$E$31:$E$400,MASQ2!O255,'Étape 1 - à remplir'!$G$31:$G$400,"animaux"),SUMIFS('Étape 1 - à remplir'!$F$31:$F$400,'Étape 1 - à remplir'!$E$31:$E$400,MASQ2!O255,'Étape 1 - à remplir'!$C$31:$C$400,X$3)),IF(X$2="Âge",IF(X$3="Tous",SUMIFS('Étape 1 - à remplir'!$F$31:$F$400,'Étape 1 - à remplir'!$E$31:$E$400,MASQ2!O255,'Étape 1 - à remplir'!$G$31:$G$400,"animaux"),SUMIFS('Étape 1 - à remplir'!$F$31:$F$400,'Étape 1 - à remplir'!$E$31:$E$400,MASQ2!O255,'Étape 1 - à remplir'!$P$31:$P$400,X$3)),IF(X$2="Atelier",IF(X$3="Tous",SUMIFS('Étape 1 - à remplir'!$F$31:$F$400,'Étape 1 - à remplir'!$E$31:$E$400,MASQ2!O255,'Étape 1 - à remplir'!$G$31:$G$400,"animaux"),SUMIFS('Étape 1 - à remplir'!$F$31:$F$400,'Étape 1 - à remplir'!$E$31:$E$400,MASQ2!O255,'Étape 1 - à remplir'!$O$31:$O$400,X$3)),IF(X$2="Espèce",IF(X$3="Toutes",SUMIFS('Étape 1 - à remplir'!$F$31:$F$400,'Étape 1 - à remplir'!$E$31:$E$400,MASQ2!O255,'Étape 1 - à remplir'!$G$31:$G$400,"animaux"),SUMIFS('Étape 1 - à remplir'!$F$31:$F$400,'Étape 1 - à remplir'!$E$31:$E$400,MASQ2!O255,'Étape 1 - à remplir'!$N$31:$N$400,X$3))))))=0,NA(),IF(X$2="Catégorie",IF(X$3="Toutes",SUMIFS('Étape 1 - à remplir'!$F$31:$F$400,'Étape 1 - à remplir'!$E$31:$E$400,MASQ2!O255,'Étape 1 - à remplir'!$G$31:$G$400,"animaux"),SUMIFS('Étape 1 - à remplir'!$F$31:$F$400,'Étape 1 - à remplir'!$E$31:$E$400,MASQ2!O255,'Étape 1 - à remplir'!$C$31:$C$400,X$3)),IF(X$2="Âge",IF(X$3="Tous",SUMIFS('Étape 1 - à remplir'!$F$31:$F$400,'Étape 1 - à remplir'!$E$31:$E$400,MASQ2!O255,'Étape 1 - à remplir'!$G$31:$G$400,"animaux"),SUMIFS('Étape 1 - à remplir'!$F$31:$F$400,'Étape 1 - à remplir'!$E$31:$E$400,MASQ2!O255,'Étape 1 - à remplir'!$P$31:$P$400,X$3)),IF(X$2="Atelier",IF(X$3="Tous",SUMIFS('Étape 1 - à remplir'!$F$31:$F$400,'Étape 1 - à remplir'!$E$31:$E$400,MASQ2!O255,'Étape 1 - à remplir'!$G$31:$G$400,"animaux"),SUMIFS('Étape 1 - à remplir'!$F$31:$F$400,'Étape 1 - à remplir'!$E$31:$E$400,MASQ2!O255,'Étape 1 - à remplir'!$O$31:$O$400,X$3)),IF(X$2="Espèce",IF(X$3="Toutes",SUMIFS('Étape 1 - à remplir'!$F$31:$F$400,'Étape 1 - à remplir'!$E$31:$E$400,MASQ2!O255,'Étape 1 - à remplir'!$G$31:$G$400,"animaux"),SUMIFS('Étape 1 - à remplir'!$F$31:$F$400,'Étape 1 - à remplir'!$E$31:$E$400,MASQ2!O255,'Étape 1 - à remplir'!$N$31:$N$400,X$3)))))))</f>
        <v>#N/A</v>
      </c>
      <c r="Q255" s="63">
        <f t="shared" si="210"/>
        <v>0</v>
      </c>
      <c r="R255" t="str">
        <f>Données_ATB!BM254</f>
        <v>Dihydrostreptomycine</v>
      </c>
      <c r="S255" t="str">
        <f>Données_ATB!BN254</f>
        <v>Benzylpénicilline</v>
      </c>
      <c r="T255" s="63" t="str">
        <f>Données_ATB!BO254</f>
        <v/>
      </c>
      <c r="U255" s="42" t="str">
        <f>Données_ATB!BQ254</f>
        <v>Aminoglycosides</v>
      </c>
      <c r="V255" t="str">
        <f>Données_ATB!BR254</f>
        <v>Penicillines</v>
      </c>
      <c r="W255" s="63" t="str">
        <f>Données_ATB!BS254</f>
        <v/>
      </c>
      <c r="Z255" s="42">
        <v>252</v>
      </c>
      <c r="AA255" t="e">
        <f t="shared" si="206"/>
        <v>#N/A</v>
      </c>
      <c r="AB255" s="63" t="e">
        <f t="shared" si="207"/>
        <v>#N/A</v>
      </c>
      <c r="BF255" s="63"/>
      <c r="BT255" s="194" t="str">
        <f t="shared" ca="1" si="190"/>
        <v/>
      </c>
      <c r="BU255" s="219" t="str">
        <f>IFERROR(IF(BX255=0,"",COUNTIF(BX$4:BX$600,"&gt;"&amp;BX255)+COUNTIF(BX$4:BX255,BX255)),"")</f>
        <v/>
      </c>
      <c r="BV255" s="42" t="str">
        <f t="shared" si="191"/>
        <v>HISTACLINE</v>
      </c>
      <c r="BW255" t="e">
        <f>IF(IF(CE$2="Catégorie",IF(CE$3="Toutes",SUMIFS('Étape 1 - à remplir'!$F$31:$F$400,'Étape 1 - à remplir'!$E$31:$E$400,MASQ2!BV255,'Étape 1 - à remplir'!$G$31:$G$400,"lots"),SUMIFS('Étape 1 - à remplir'!$F$31:$F$400,'Étape 1 - à remplir'!$E$31:$E$400,MASQ2!BV255,'Étape 1 - à remplir'!$C$31:$C$400,CE$3)),IF(CE$2="Âge",IF(CE$3="Tous",SUMIFS('Étape 1 - à remplir'!$F$31:$F$400,'Étape 1 - à remplir'!$E$31:$E$400,MASQ2!BV255,'Étape 1 - à remplir'!$G$31:$G$400,"lots"),SUMIFS('Étape 1 - à remplir'!$F$31:$F$400,'Étape 1 - à remplir'!$E$31:$E$400,MASQ2!BV255,'Étape 1 - à remplir'!$P$31:$P$400,CE$3,'Étape 1 - à remplir'!$G$31:$G$400,"lots")),IF(CE$2="Atelier",IF(CE$3="Tous",SUMIFS('Étape 1 - à remplir'!$F$31:$F$400,'Étape 1 - à remplir'!$E$31:$E$400,MASQ2!BV255,'Étape 1 - à remplir'!$G$31:$G$400,"lots"),SUMIFS('Étape 1 - à remplir'!$F$31:$F$400,'Étape 1 - à remplir'!$E$31:$E$400,MASQ2!BV255,'Étape 1 - à remplir'!$O$31:$O$400,CE$3,'Étape 1 - à remplir'!$G$31:$G$400,"lots")),IF(CE$2="Espèce",IF(CE$3="Toutes",SUMIFS('Étape 1 - à remplir'!$F$31:$F$400,'Étape 1 - à remplir'!$E$31:$E$400,MASQ2!BV255,'Étape 1 - à remplir'!$G$31:$G$400,"lots"),SUMIFS('Étape 1 - à remplir'!$F$31:$F$400,'Étape 1 - à remplir'!$E$31:$E$400,MASQ2!BV255,'Étape 1 - à remplir'!$N$31:$N$400,CE$3,'Étape 1 - à remplir'!$G$31:$G$400,"lots"))))))=0,NA(),IF(CE$2="Catégorie",IF(CE$3="Toutes",SUMIFS('Étape 1 - à remplir'!$F$31:$F$400,'Étape 1 - à remplir'!$E$31:$E$400,MASQ2!BV255,'Étape 1 - à remplir'!$G$31:$G$400,"lots"),SUMIFS('Étape 1 - à remplir'!$F$31:$F$400,'Étape 1 - à remplir'!$E$31:$E$400,MASQ2!BV255,'Étape 1 - à remplir'!$C$31:$C$400,CE$3)),IF(CE$2="Âge",IF(CE$3="Tous",SUMIFS('Étape 1 - à remplir'!$F$31:$F$400,'Étape 1 - à remplir'!$E$31:$E$400,MASQ2!BV255,'Étape 1 - à remplir'!$G$31:$G$400,"lots"),SUMIFS('Étape 1 - à remplir'!$F$31:$F$400,'Étape 1 - à remplir'!$E$31:$E$400,MASQ2!BV255,'Étape 1 - à remplir'!$P$31:$P$400,CE$3,'Étape 1 - à remplir'!$G$31:$G$400,"lots")),IF(CE$2="Atelier",IF(CE$3="Tous",SUMIFS('Étape 1 - à remplir'!$F$31:$F$400,'Étape 1 - à remplir'!$E$31:$E$400,MASQ2!BV255,'Étape 1 - à remplir'!$G$31:$G$400,"lots"),SUMIFS('Étape 1 - à remplir'!$F$31:$F$400,'Étape 1 - à remplir'!$E$31:$E$400,MASQ2!BV255,'Étape 1 - à remplir'!$O$31:$O$400,CE$3,'Étape 1 - à remplir'!$G$31:$G$400,"lots")),IF(CE$2="Espèce",IF(CE$3="Toutes",SUMIFS('Étape 1 - à remplir'!$F$31:$F$400,'Étape 1 - à remplir'!$E$31:$E$400,MASQ2!BV255,'Étape 1 - à remplir'!$G$31:$G$400,"lots"),SUMIFS('Étape 1 - à remplir'!$F$31:$F$400,'Étape 1 - à remplir'!$E$31:$E$400,MASQ2!BV255,'Étape 1 - à remplir'!$N$31:$N$400,CE$3,'Étape 1 - à remplir'!$G$31:$G$400,"lots")))))))</f>
        <v>#N/A</v>
      </c>
      <c r="BX255">
        <f t="shared" si="208"/>
        <v>0</v>
      </c>
      <c r="BY255" t="str">
        <f t="shared" si="192"/>
        <v>Dihydrostreptomycine</v>
      </c>
      <c r="BZ255" t="str">
        <f t="shared" si="193"/>
        <v>Benzylpénicilline</v>
      </c>
      <c r="CA255" t="str">
        <f t="shared" si="194"/>
        <v/>
      </c>
      <c r="CB255" t="str">
        <f t="shared" si="195"/>
        <v>Aminoglycosides</v>
      </c>
      <c r="CC255" t="str">
        <f t="shared" si="196"/>
        <v>Penicillines</v>
      </c>
      <c r="CD255" s="63" t="str">
        <f t="shared" si="197"/>
        <v/>
      </c>
      <c r="CG255" s="42">
        <v>252</v>
      </c>
      <c r="CH255" s="42" t="e">
        <f t="shared" si="213"/>
        <v>#N/A</v>
      </c>
      <c r="CI255" s="63" t="e">
        <f t="shared" si="214"/>
        <v>#N/A</v>
      </c>
      <c r="DM255" s="63"/>
      <c r="EA255" s="194" t="str">
        <f t="shared" ca="1" si="198"/>
        <v/>
      </c>
      <c r="EB255" s="226" t="str">
        <f>IFERROR(IF(ED255=0,"",COUNTIF(ED$4:ED$600,"&gt;"&amp;ED255)+COUNTIF(ED$4:ED255,ED255)),"")</f>
        <v/>
      </c>
      <c r="EC255" t="str">
        <f t="shared" si="199"/>
        <v>HISTACLINE</v>
      </c>
      <c r="ED255" t="e">
        <f>IF(IF(EL$2="Catégorie",IF(EL$3="Toutes",SUMIFS('Étape 1 - à remplir'!$F$31:$F$400,'Étape 1 - à remplir'!$E$31:$E$400,MASQ2!EC255,'Étape 1 - à remplir'!$G$31:$G$400,"kg"),SUMIFS('Étape 1 - à remplir'!$F$31:$F$400,'Étape 1 - à remplir'!$E$31:$E$400,MASQ2!EC255,'Étape 1 - à remplir'!$C$31:$C$400,EL$3)),IF(EL$2="Âge",IF(EL$3="Tous",SUMIFS('Étape 1 - à remplir'!$F$31:$F$400,'Étape 1 - à remplir'!$E$31:$E$400,MASQ2!EC255,'Étape 1 - à remplir'!$G$31:$G$400,"kg"),SUMIFS('Étape 1 - à remplir'!$F$31:$F$400,'Étape 1 - à remplir'!$E$31:$E$400,MASQ2!EC255,'Étape 1 - à remplir'!$P$31:$P$400,EL$3,'Étape 1 - à remplir'!$G$31:$G$400,"kg")),IF(EL$2="Atelier",IF(EL$3="Tous",SUMIFS('Étape 1 - à remplir'!$F$31:$F$400,'Étape 1 - à remplir'!$E$31:$E$400,MASQ2!EC255,'Étape 1 - à remplir'!$G$31:$G$400,"kg"),SUMIFS('Étape 1 - à remplir'!$F$31:$F$400,'Étape 1 - à remplir'!$E$31:$E$400,MASQ2!EC255,'Étape 1 - à remplir'!$O$31:$O$400,EL$3,'Étape 1 - à remplir'!$G$31:$G$400,"kg")),IF(EL$2="Espèce",IF(EL$3="Toutes",SUMIFS('Étape 1 - à remplir'!$F$31:$F$400,'Étape 1 - à remplir'!$E$31:$E$400,MASQ2!EC255,'Étape 1 - à remplir'!$G$31:$G$400,"kg"),SUMIFS('Étape 1 - à remplir'!$F$31:$F$400,'Étape 1 - à remplir'!$E$31:$E$400,MASQ2!EC255,'Étape 1 - à remplir'!$N$31:$N$400,EL$3,'Étape 1 - à remplir'!$G$31:$G$400,"kg"))))))=0,NA(),IF(EL$2="Catégorie",IF(EL$3="Toutes",SUMIFS('Étape 1 - à remplir'!$F$31:$F$400,'Étape 1 - à remplir'!$E$31:$E$400,MASQ2!EC255,'Étape 1 - à remplir'!$G$31:$G$400,"kg"),SUMIFS('Étape 1 - à remplir'!$F$31:$F$400,'Étape 1 - à remplir'!$E$31:$E$400,MASQ2!EC255,'Étape 1 - à remplir'!$C$31:$C$400,EL$3)),IF(EL$2="Âge",IF(EL$3="Tous",SUMIFS('Étape 1 - à remplir'!$F$31:$F$400,'Étape 1 - à remplir'!$E$31:$E$400,MASQ2!EC255,'Étape 1 - à remplir'!$G$31:$G$400,"kg"),SUMIFS('Étape 1 - à remplir'!$F$31:$F$400,'Étape 1 - à remplir'!$E$31:$E$400,MASQ2!EC255,'Étape 1 - à remplir'!$P$31:$P$400,EL$3,'Étape 1 - à remplir'!$G$31:$G$400,"kg")),IF(EL$2="Atelier",IF(EL$3="Tous",SUMIFS('Étape 1 - à remplir'!$F$31:$F$400,'Étape 1 - à remplir'!$E$31:$E$400,MASQ2!EC255,'Étape 1 - à remplir'!$G$31:$G$400,"kg"),SUMIFS('Étape 1 - à remplir'!$F$31:$F$400,'Étape 1 - à remplir'!$E$31:$E$400,MASQ2!EC255,'Étape 1 - à remplir'!$O$31:$O$400,EL$3,'Étape 1 - à remplir'!$G$31:$G$400,"kg")),IF(EL$2="Espèce",IF(EL$3="Toutes",SUMIFS('Étape 1 - à remplir'!$F$31:$F$400,'Étape 1 - à remplir'!$E$31:$E$400,MASQ2!EC255,'Étape 1 - à remplir'!$G$31:$G$400,"kg"),SUMIFS('Étape 1 - à remplir'!$F$31:$F$400,'Étape 1 - à remplir'!$E$31:$E$400,MASQ2!EC255,'Étape 1 - à remplir'!$N$31:$N$400,EL$3,'Étape 1 - à remplir'!$G$31:$G$400,"kg")))))))</f>
        <v>#N/A</v>
      </c>
      <c r="EE255" s="76">
        <f t="shared" si="209"/>
        <v>0</v>
      </c>
      <c r="EF255" t="str">
        <f t="shared" si="200"/>
        <v>Dihydrostreptomycine</v>
      </c>
      <c r="EG255" t="str">
        <f t="shared" si="201"/>
        <v>Benzylpénicilline</v>
      </c>
      <c r="EH255" t="str">
        <f t="shared" si="202"/>
        <v/>
      </c>
      <c r="EI255" t="str">
        <f t="shared" si="203"/>
        <v>Aminoglycosides</v>
      </c>
      <c r="EJ255" t="str">
        <f t="shared" si="204"/>
        <v>Penicillines</v>
      </c>
      <c r="EK255" s="63" t="str">
        <f t="shared" si="205"/>
        <v/>
      </c>
      <c r="EN255" s="42">
        <v>252</v>
      </c>
      <c r="EO255" t="e">
        <f t="shared" si="211"/>
        <v>#N/A</v>
      </c>
      <c r="EP255" s="63" t="e">
        <f t="shared" si="212"/>
        <v>#N/A</v>
      </c>
      <c r="FT255" s="63"/>
    </row>
    <row r="256" spans="2:176" x14ac:dyDescent="0.3">
      <c r="B256" s="42"/>
      <c r="M256" s="194" t="str">
        <f ca="1">INDEX(Données_ATB!BD:BU,MATCH(MASQ2!O256,Données_ATB!BD:BD,0),18)</f>
        <v/>
      </c>
      <c r="N256" s="14" t="str">
        <f>IFERROR(IF(Q256=0,"",COUNTIF(Q$4:Q$600,"&gt;"&amp;Q256)+COUNTIF(Q$4:Q256,Q256)),"")</f>
        <v/>
      </c>
      <c r="O256" t="str">
        <f>Données_ATB!BD255</f>
        <v>HUVAMOX 697 MG/G POUDRE POUR ADMINISTRATION DANS L’EAU DE BOISSON POUR POULES, DINDES, CANARDS ET PORCS</v>
      </c>
      <c r="P256" t="e">
        <f>IF(IF(X$2="Catégorie",IF(X$3="Toutes",SUMIFS('Étape 1 - à remplir'!$F$31:$F$400,'Étape 1 - à remplir'!$E$31:$E$400,MASQ2!O256,'Étape 1 - à remplir'!$G$31:$G$400,"animaux"),SUMIFS('Étape 1 - à remplir'!$F$31:$F$400,'Étape 1 - à remplir'!$E$31:$E$400,MASQ2!O256,'Étape 1 - à remplir'!$C$31:$C$400,X$3)),IF(X$2="Âge",IF(X$3="Tous",SUMIFS('Étape 1 - à remplir'!$F$31:$F$400,'Étape 1 - à remplir'!$E$31:$E$400,MASQ2!O256,'Étape 1 - à remplir'!$G$31:$G$400,"animaux"),SUMIFS('Étape 1 - à remplir'!$F$31:$F$400,'Étape 1 - à remplir'!$E$31:$E$400,MASQ2!O256,'Étape 1 - à remplir'!$P$31:$P$400,X$3)),IF(X$2="Atelier",IF(X$3="Tous",SUMIFS('Étape 1 - à remplir'!$F$31:$F$400,'Étape 1 - à remplir'!$E$31:$E$400,MASQ2!O256,'Étape 1 - à remplir'!$G$31:$G$400,"animaux"),SUMIFS('Étape 1 - à remplir'!$F$31:$F$400,'Étape 1 - à remplir'!$E$31:$E$400,MASQ2!O256,'Étape 1 - à remplir'!$O$31:$O$400,X$3)),IF(X$2="Espèce",IF(X$3="Toutes",SUMIFS('Étape 1 - à remplir'!$F$31:$F$400,'Étape 1 - à remplir'!$E$31:$E$400,MASQ2!O256,'Étape 1 - à remplir'!$G$31:$G$400,"animaux"),SUMIFS('Étape 1 - à remplir'!$F$31:$F$400,'Étape 1 - à remplir'!$E$31:$E$400,MASQ2!O256,'Étape 1 - à remplir'!$N$31:$N$400,X$3))))))=0,NA(),IF(X$2="Catégorie",IF(X$3="Toutes",SUMIFS('Étape 1 - à remplir'!$F$31:$F$400,'Étape 1 - à remplir'!$E$31:$E$400,MASQ2!O256,'Étape 1 - à remplir'!$G$31:$G$400,"animaux"),SUMIFS('Étape 1 - à remplir'!$F$31:$F$400,'Étape 1 - à remplir'!$E$31:$E$400,MASQ2!O256,'Étape 1 - à remplir'!$C$31:$C$400,X$3)),IF(X$2="Âge",IF(X$3="Tous",SUMIFS('Étape 1 - à remplir'!$F$31:$F$400,'Étape 1 - à remplir'!$E$31:$E$400,MASQ2!O256,'Étape 1 - à remplir'!$G$31:$G$400,"animaux"),SUMIFS('Étape 1 - à remplir'!$F$31:$F$400,'Étape 1 - à remplir'!$E$31:$E$400,MASQ2!O256,'Étape 1 - à remplir'!$P$31:$P$400,X$3)),IF(X$2="Atelier",IF(X$3="Tous",SUMIFS('Étape 1 - à remplir'!$F$31:$F$400,'Étape 1 - à remplir'!$E$31:$E$400,MASQ2!O256,'Étape 1 - à remplir'!$G$31:$G$400,"animaux"),SUMIFS('Étape 1 - à remplir'!$F$31:$F$400,'Étape 1 - à remplir'!$E$31:$E$400,MASQ2!O256,'Étape 1 - à remplir'!$O$31:$O$400,X$3)),IF(X$2="Espèce",IF(X$3="Toutes",SUMIFS('Étape 1 - à remplir'!$F$31:$F$400,'Étape 1 - à remplir'!$E$31:$E$400,MASQ2!O256,'Étape 1 - à remplir'!$G$31:$G$400,"animaux"),SUMIFS('Étape 1 - à remplir'!$F$31:$F$400,'Étape 1 - à remplir'!$E$31:$E$400,MASQ2!O256,'Étape 1 - à remplir'!$N$31:$N$400,X$3)))))))</f>
        <v>#N/A</v>
      </c>
      <c r="Q256" s="63">
        <f t="shared" si="210"/>
        <v>0</v>
      </c>
      <c r="R256" t="str">
        <f>Données_ATB!BM255</f>
        <v>Amoxicilline</v>
      </c>
      <c r="S256" t="str">
        <f>Données_ATB!BN255</f>
        <v/>
      </c>
      <c r="T256" s="63" t="str">
        <f>Données_ATB!BO255</f>
        <v/>
      </c>
      <c r="U256" s="42" t="str">
        <f>Données_ATB!BQ255</f>
        <v>Penicillines</v>
      </c>
      <c r="V256" t="str">
        <f>Données_ATB!BR255</f>
        <v/>
      </c>
      <c r="W256" s="63" t="str">
        <f>Données_ATB!BS255</f>
        <v/>
      </c>
      <c r="Z256" s="42">
        <v>253</v>
      </c>
      <c r="AA256" t="e">
        <f t="shared" si="206"/>
        <v>#N/A</v>
      </c>
      <c r="AB256" s="63" t="e">
        <f t="shared" si="207"/>
        <v>#N/A</v>
      </c>
      <c r="BF256" s="63"/>
      <c r="BT256" s="194" t="str">
        <f t="shared" ca="1" si="190"/>
        <v/>
      </c>
      <c r="BU256" s="219" t="str">
        <f>IFERROR(IF(BX256=0,"",COUNTIF(BX$4:BX$600,"&gt;"&amp;BX256)+COUNTIF(BX$4:BX256,BX256)),"")</f>
        <v/>
      </c>
      <c r="BV256" s="42" t="str">
        <f t="shared" si="191"/>
        <v>HUVAMOX 697 MG/G POUDRE POUR ADMINISTRATION DANS L’EAU DE BOISSON POUR POULES, DINDES, CANARDS ET PORCS</v>
      </c>
      <c r="BW256" t="e">
        <f>IF(IF(CE$2="Catégorie",IF(CE$3="Toutes",SUMIFS('Étape 1 - à remplir'!$F$31:$F$400,'Étape 1 - à remplir'!$E$31:$E$400,MASQ2!BV256,'Étape 1 - à remplir'!$G$31:$G$400,"lots"),SUMIFS('Étape 1 - à remplir'!$F$31:$F$400,'Étape 1 - à remplir'!$E$31:$E$400,MASQ2!BV256,'Étape 1 - à remplir'!$C$31:$C$400,CE$3)),IF(CE$2="Âge",IF(CE$3="Tous",SUMIFS('Étape 1 - à remplir'!$F$31:$F$400,'Étape 1 - à remplir'!$E$31:$E$400,MASQ2!BV256,'Étape 1 - à remplir'!$G$31:$G$400,"lots"),SUMIFS('Étape 1 - à remplir'!$F$31:$F$400,'Étape 1 - à remplir'!$E$31:$E$400,MASQ2!BV256,'Étape 1 - à remplir'!$P$31:$P$400,CE$3,'Étape 1 - à remplir'!$G$31:$G$400,"lots")),IF(CE$2="Atelier",IF(CE$3="Tous",SUMIFS('Étape 1 - à remplir'!$F$31:$F$400,'Étape 1 - à remplir'!$E$31:$E$400,MASQ2!BV256,'Étape 1 - à remplir'!$G$31:$G$400,"lots"),SUMIFS('Étape 1 - à remplir'!$F$31:$F$400,'Étape 1 - à remplir'!$E$31:$E$400,MASQ2!BV256,'Étape 1 - à remplir'!$O$31:$O$400,CE$3,'Étape 1 - à remplir'!$G$31:$G$400,"lots")),IF(CE$2="Espèce",IF(CE$3="Toutes",SUMIFS('Étape 1 - à remplir'!$F$31:$F$400,'Étape 1 - à remplir'!$E$31:$E$400,MASQ2!BV256,'Étape 1 - à remplir'!$G$31:$G$400,"lots"),SUMIFS('Étape 1 - à remplir'!$F$31:$F$400,'Étape 1 - à remplir'!$E$31:$E$400,MASQ2!BV256,'Étape 1 - à remplir'!$N$31:$N$400,CE$3,'Étape 1 - à remplir'!$G$31:$G$400,"lots"))))))=0,NA(),IF(CE$2="Catégorie",IF(CE$3="Toutes",SUMIFS('Étape 1 - à remplir'!$F$31:$F$400,'Étape 1 - à remplir'!$E$31:$E$400,MASQ2!BV256,'Étape 1 - à remplir'!$G$31:$G$400,"lots"),SUMIFS('Étape 1 - à remplir'!$F$31:$F$400,'Étape 1 - à remplir'!$E$31:$E$400,MASQ2!BV256,'Étape 1 - à remplir'!$C$31:$C$400,CE$3)),IF(CE$2="Âge",IF(CE$3="Tous",SUMIFS('Étape 1 - à remplir'!$F$31:$F$400,'Étape 1 - à remplir'!$E$31:$E$400,MASQ2!BV256,'Étape 1 - à remplir'!$G$31:$G$400,"lots"),SUMIFS('Étape 1 - à remplir'!$F$31:$F$400,'Étape 1 - à remplir'!$E$31:$E$400,MASQ2!BV256,'Étape 1 - à remplir'!$P$31:$P$400,CE$3,'Étape 1 - à remplir'!$G$31:$G$400,"lots")),IF(CE$2="Atelier",IF(CE$3="Tous",SUMIFS('Étape 1 - à remplir'!$F$31:$F$400,'Étape 1 - à remplir'!$E$31:$E$400,MASQ2!BV256,'Étape 1 - à remplir'!$G$31:$G$400,"lots"),SUMIFS('Étape 1 - à remplir'!$F$31:$F$400,'Étape 1 - à remplir'!$E$31:$E$400,MASQ2!BV256,'Étape 1 - à remplir'!$O$31:$O$400,CE$3,'Étape 1 - à remplir'!$G$31:$G$400,"lots")),IF(CE$2="Espèce",IF(CE$3="Toutes",SUMIFS('Étape 1 - à remplir'!$F$31:$F$400,'Étape 1 - à remplir'!$E$31:$E$400,MASQ2!BV256,'Étape 1 - à remplir'!$G$31:$G$400,"lots"),SUMIFS('Étape 1 - à remplir'!$F$31:$F$400,'Étape 1 - à remplir'!$E$31:$E$400,MASQ2!BV256,'Étape 1 - à remplir'!$N$31:$N$400,CE$3,'Étape 1 - à remplir'!$G$31:$G$400,"lots")))))))</f>
        <v>#N/A</v>
      </c>
      <c r="BX256">
        <f t="shared" si="208"/>
        <v>0</v>
      </c>
      <c r="BY256" t="str">
        <f t="shared" si="192"/>
        <v>Amoxicilline</v>
      </c>
      <c r="BZ256" t="str">
        <f t="shared" si="193"/>
        <v/>
      </c>
      <c r="CA256" t="str">
        <f t="shared" si="194"/>
        <v/>
      </c>
      <c r="CB256" t="str">
        <f t="shared" si="195"/>
        <v>Penicillines</v>
      </c>
      <c r="CC256" t="str">
        <f t="shared" si="196"/>
        <v/>
      </c>
      <c r="CD256" s="63" t="str">
        <f t="shared" si="197"/>
        <v/>
      </c>
      <c r="CG256" s="42">
        <v>253</v>
      </c>
      <c r="CH256" s="42" t="e">
        <f t="shared" si="213"/>
        <v>#N/A</v>
      </c>
      <c r="CI256" s="63" t="e">
        <f t="shared" si="214"/>
        <v>#N/A</v>
      </c>
      <c r="DM256" s="63"/>
      <c r="EA256" s="194" t="str">
        <f t="shared" ca="1" si="198"/>
        <v/>
      </c>
      <c r="EB256" s="226" t="str">
        <f>IFERROR(IF(ED256=0,"",COUNTIF(ED$4:ED$600,"&gt;"&amp;ED256)+COUNTIF(ED$4:ED256,ED256)),"")</f>
        <v/>
      </c>
      <c r="EC256" t="str">
        <f t="shared" si="199"/>
        <v>HUVAMOX 697 MG/G POUDRE POUR ADMINISTRATION DANS L’EAU DE BOISSON POUR POULES, DINDES, CANARDS ET PORCS</v>
      </c>
      <c r="ED256" t="e">
        <f>IF(IF(EL$2="Catégorie",IF(EL$3="Toutes",SUMIFS('Étape 1 - à remplir'!$F$31:$F$400,'Étape 1 - à remplir'!$E$31:$E$400,MASQ2!EC256,'Étape 1 - à remplir'!$G$31:$G$400,"kg"),SUMIFS('Étape 1 - à remplir'!$F$31:$F$400,'Étape 1 - à remplir'!$E$31:$E$400,MASQ2!EC256,'Étape 1 - à remplir'!$C$31:$C$400,EL$3)),IF(EL$2="Âge",IF(EL$3="Tous",SUMIFS('Étape 1 - à remplir'!$F$31:$F$400,'Étape 1 - à remplir'!$E$31:$E$400,MASQ2!EC256,'Étape 1 - à remplir'!$G$31:$G$400,"kg"),SUMIFS('Étape 1 - à remplir'!$F$31:$F$400,'Étape 1 - à remplir'!$E$31:$E$400,MASQ2!EC256,'Étape 1 - à remplir'!$P$31:$P$400,EL$3,'Étape 1 - à remplir'!$G$31:$G$400,"kg")),IF(EL$2="Atelier",IF(EL$3="Tous",SUMIFS('Étape 1 - à remplir'!$F$31:$F$400,'Étape 1 - à remplir'!$E$31:$E$400,MASQ2!EC256,'Étape 1 - à remplir'!$G$31:$G$400,"kg"),SUMIFS('Étape 1 - à remplir'!$F$31:$F$400,'Étape 1 - à remplir'!$E$31:$E$400,MASQ2!EC256,'Étape 1 - à remplir'!$O$31:$O$400,EL$3,'Étape 1 - à remplir'!$G$31:$G$400,"kg")),IF(EL$2="Espèce",IF(EL$3="Toutes",SUMIFS('Étape 1 - à remplir'!$F$31:$F$400,'Étape 1 - à remplir'!$E$31:$E$400,MASQ2!EC256,'Étape 1 - à remplir'!$G$31:$G$400,"kg"),SUMIFS('Étape 1 - à remplir'!$F$31:$F$400,'Étape 1 - à remplir'!$E$31:$E$400,MASQ2!EC256,'Étape 1 - à remplir'!$N$31:$N$400,EL$3,'Étape 1 - à remplir'!$G$31:$G$400,"kg"))))))=0,NA(),IF(EL$2="Catégorie",IF(EL$3="Toutes",SUMIFS('Étape 1 - à remplir'!$F$31:$F$400,'Étape 1 - à remplir'!$E$31:$E$400,MASQ2!EC256,'Étape 1 - à remplir'!$G$31:$G$400,"kg"),SUMIFS('Étape 1 - à remplir'!$F$31:$F$400,'Étape 1 - à remplir'!$E$31:$E$400,MASQ2!EC256,'Étape 1 - à remplir'!$C$31:$C$400,EL$3)),IF(EL$2="Âge",IF(EL$3="Tous",SUMIFS('Étape 1 - à remplir'!$F$31:$F$400,'Étape 1 - à remplir'!$E$31:$E$400,MASQ2!EC256,'Étape 1 - à remplir'!$G$31:$G$400,"kg"),SUMIFS('Étape 1 - à remplir'!$F$31:$F$400,'Étape 1 - à remplir'!$E$31:$E$400,MASQ2!EC256,'Étape 1 - à remplir'!$P$31:$P$400,EL$3,'Étape 1 - à remplir'!$G$31:$G$400,"kg")),IF(EL$2="Atelier",IF(EL$3="Tous",SUMIFS('Étape 1 - à remplir'!$F$31:$F$400,'Étape 1 - à remplir'!$E$31:$E$400,MASQ2!EC256,'Étape 1 - à remplir'!$G$31:$G$400,"kg"),SUMIFS('Étape 1 - à remplir'!$F$31:$F$400,'Étape 1 - à remplir'!$E$31:$E$400,MASQ2!EC256,'Étape 1 - à remplir'!$O$31:$O$400,EL$3,'Étape 1 - à remplir'!$G$31:$G$400,"kg")),IF(EL$2="Espèce",IF(EL$3="Toutes",SUMIFS('Étape 1 - à remplir'!$F$31:$F$400,'Étape 1 - à remplir'!$E$31:$E$400,MASQ2!EC256,'Étape 1 - à remplir'!$G$31:$G$400,"kg"),SUMIFS('Étape 1 - à remplir'!$F$31:$F$400,'Étape 1 - à remplir'!$E$31:$E$400,MASQ2!EC256,'Étape 1 - à remplir'!$N$31:$N$400,EL$3,'Étape 1 - à remplir'!$G$31:$G$400,"kg")))))))</f>
        <v>#N/A</v>
      </c>
      <c r="EE256" s="76">
        <f t="shared" si="209"/>
        <v>0</v>
      </c>
      <c r="EF256" t="str">
        <f t="shared" si="200"/>
        <v>Amoxicilline</v>
      </c>
      <c r="EG256" t="str">
        <f t="shared" si="201"/>
        <v/>
      </c>
      <c r="EH256" t="str">
        <f t="shared" si="202"/>
        <v/>
      </c>
      <c r="EI256" t="str">
        <f t="shared" si="203"/>
        <v>Penicillines</v>
      </c>
      <c r="EJ256" t="str">
        <f t="shared" si="204"/>
        <v/>
      </c>
      <c r="EK256" s="63" t="str">
        <f t="shared" si="205"/>
        <v/>
      </c>
      <c r="EN256" s="42">
        <v>253</v>
      </c>
      <c r="EO256" t="e">
        <f t="shared" si="211"/>
        <v>#N/A</v>
      </c>
      <c r="EP256" s="63" t="e">
        <f t="shared" si="212"/>
        <v>#N/A</v>
      </c>
      <c r="FT256" s="63"/>
    </row>
    <row r="257" spans="2:176" x14ac:dyDescent="0.3">
      <c r="B257" s="42"/>
      <c r="M257" s="194" t="str">
        <f ca="1">INDEX(Données_ATB!BD:BU,MATCH(MASQ2!O257,Données_ATB!BD:BD,0),18)</f>
        <v/>
      </c>
      <c r="N257" s="14" t="str">
        <f>IFERROR(IF(Q257=0,"",COUNTIF(Q$4:Q$600,"&gt;"&amp;Q257)+COUNTIF(Q$4:Q257,Q257)),"")</f>
        <v/>
      </c>
      <c r="O257" t="str">
        <f>Données_ATB!BD256</f>
        <v>HYDRODOXX 500 MG/G POUDRE POUR ADMINISTRATION DANS L'EAU DE BOISSON POUR POULETS ET PORCS</v>
      </c>
      <c r="P257" t="e">
        <f>IF(IF(X$2="Catégorie",IF(X$3="Toutes",SUMIFS('Étape 1 - à remplir'!$F$31:$F$400,'Étape 1 - à remplir'!$E$31:$E$400,MASQ2!O257,'Étape 1 - à remplir'!$G$31:$G$400,"animaux"),SUMIFS('Étape 1 - à remplir'!$F$31:$F$400,'Étape 1 - à remplir'!$E$31:$E$400,MASQ2!O257,'Étape 1 - à remplir'!$C$31:$C$400,X$3)),IF(X$2="Âge",IF(X$3="Tous",SUMIFS('Étape 1 - à remplir'!$F$31:$F$400,'Étape 1 - à remplir'!$E$31:$E$400,MASQ2!O257,'Étape 1 - à remplir'!$G$31:$G$400,"animaux"),SUMIFS('Étape 1 - à remplir'!$F$31:$F$400,'Étape 1 - à remplir'!$E$31:$E$400,MASQ2!O257,'Étape 1 - à remplir'!$P$31:$P$400,X$3)),IF(X$2="Atelier",IF(X$3="Tous",SUMIFS('Étape 1 - à remplir'!$F$31:$F$400,'Étape 1 - à remplir'!$E$31:$E$400,MASQ2!O257,'Étape 1 - à remplir'!$G$31:$G$400,"animaux"),SUMIFS('Étape 1 - à remplir'!$F$31:$F$400,'Étape 1 - à remplir'!$E$31:$E$400,MASQ2!O257,'Étape 1 - à remplir'!$O$31:$O$400,X$3)),IF(X$2="Espèce",IF(X$3="Toutes",SUMIFS('Étape 1 - à remplir'!$F$31:$F$400,'Étape 1 - à remplir'!$E$31:$E$400,MASQ2!O257,'Étape 1 - à remplir'!$G$31:$G$400,"animaux"),SUMIFS('Étape 1 - à remplir'!$F$31:$F$400,'Étape 1 - à remplir'!$E$31:$E$400,MASQ2!O257,'Étape 1 - à remplir'!$N$31:$N$400,X$3))))))=0,NA(),IF(X$2="Catégorie",IF(X$3="Toutes",SUMIFS('Étape 1 - à remplir'!$F$31:$F$400,'Étape 1 - à remplir'!$E$31:$E$400,MASQ2!O257,'Étape 1 - à remplir'!$G$31:$G$400,"animaux"),SUMIFS('Étape 1 - à remplir'!$F$31:$F$400,'Étape 1 - à remplir'!$E$31:$E$400,MASQ2!O257,'Étape 1 - à remplir'!$C$31:$C$400,X$3)),IF(X$2="Âge",IF(X$3="Tous",SUMIFS('Étape 1 - à remplir'!$F$31:$F$400,'Étape 1 - à remplir'!$E$31:$E$400,MASQ2!O257,'Étape 1 - à remplir'!$G$31:$G$400,"animaux"),SUMIFS('Étape 1 - à remplir'!$F$31:$F$400,'Étape 1 - à remplir'!$E$31:$E$400,MASQ2!O257,'Étape 1 - à remplir'!$P$31:$P$400,X$3)),IF(X$2="Atelier",IF(X$3="Tous",SUMIFS('Étape 1 - à remplir'!$F$31:$F$400,'Étape 1 - à remplir'!$E$31:$E$400,MASQ2!O257,'Étape 1 - à remplir'!$G$31:$G$400,"animaux"),SUMIFS('Étape 1 - à remplir'!$F$31:$F$400,'Étape 1 - à remplir'!$E$31:$E$400,MASQ2!O257,'Étape 1 - à remplir'!$O$31:$O$400,X$3)),IF(X$2="Espèce",IF(X$3="Toutes",SUMIFS('Étape 1 - à remplir'!$F$31:$F$400,'Étape 1 - à remplir'!$E$31:$E$400,MASQ2!O257,'Étape 1 - à remplir'!$G$31:$G$400,"animaux"),SUMIFS('Étape 1 - à remplir'!$F$31:$F$400,'Étape 1 - à remplir'!$E$31:$E$400,MASQ2!O257,'Étape 1 - à remplir'!$N$31:$N$400,X$3)))))))</f>
        <v>#N/A</v>
      </c>
      <c r="Q257" s="63">
        <f t="shared" si="210"/>
        <v>0</v>
      </c>
      <c r="R257" t="str">
        <f>Données_ATB!BM256</f>
        <v>Doxycycline</v>
      </c>
      <c r="S257" t="str">
        <f>Données_ATB!BN256</f>
        <v/>
      </c>
      <c r="T257" s="63" t="str">
        <f>Données_ATB!BO256</f>
        <v/>
      </c>
      <c r="U257" s="42" t="str">
        <f>Données_ATB!BQ256</f>
        <v>Tetracyclines</v>
      </c>
      <c r="V257" t="str">
        <f>Données_ATB!BR256</f>
        <v/>
      </c>
      <c r="W257" s="63" t="str">
        <f>Données_ATB!BS256</f>
        <v/>
      </c>
      <c r="Z257" s="42">
        <v>254</v>
      </c>
      <c r="AA257" t="e">
        <f t="shared" si="206"/>
        <v>#N/A</v>
      </c>
      <c r="AB257" s="63" t="e">
        <f t="shared" si="207"/>
        <v>#N/A</v>
      </c>
      <c r="BF257" s="63"/>
      <c r="BT257" s="194" t="str">
        <f t="shared" ca="1" si="190"/>
        <v/>
      </c>
      <c r="BU257" s="219" t="str">
        <f>IFERROR(IF(BX257=0,"",COUNTIF(BX$4:BX$600,"&gt;"&amp;BX257)+COUNTIF(BX$4:BX257,BX257)),"")</f>
        <v/>
      </c>
      <c r="BV257" s="42" t="str">
        <f t="shared" si="191"/>
        <v>HYDRODOXX 500 MG/G POUDRE POUR ADMINISTRATION DANS L'EAU DE BOISSON POUR POULETS ET PORCS</v>
      </c>
      <c r="BW257" t="e">
        <f>IF(IF(CE$2="Catégorie",IF(CE$3="Toutes",SUMIFS('Étape 1 - à remplir'!$F$31:$F$400,'Étape 1 - à remplir'!$E$31:$E$400,MASQ2!BV257,'Étape 1 - à remplir'!$G$31:$G$400,"lots"),SUMIFS('Étape 1 - à remplir'!$F$31:$F$400,'Étape 1 - à remplir'!$E$31:$E$400,MASQ2!BV257,'Étape 1 - à remplir'!$C$31:$C$400,CE$3)),IF(CE$2="Âge",IF(CE$3="Tous",SUMIFS('Étape 1 - à remplir'!$F$31:$F$400,'Étape 1 - à remplir'!$E$31:$E$400,MASQ2!BV257,'Étape 1 - à remplir'!$G$31:$G$400,"lots"),SUMIFS('Étape 1 - à remplir'!$F$31:$F$400,'Étape 1 - à remplir'!$E$31:$E$400,MASQ2!BV257,'Étape 1 - à remplir'!$P$31:$P$400,CE$3,'Étape 1 - à remplir'!$G$31:$G$400,"lots")),IF(CE$2="Atelier",IF(CE$3="Tous",SUMIFS('Étape 1 - à remplir'!$F$31:$F$400,'Étape 1 - à remplir'!$E$31:$E$400,MASQ2!BV257,'Étape 1 - à remplir'!$G$31:$G$400,"lots"),SUMIFS('Étape 1 - à remplir'!$F$31:$F$400,'Étape 1 - à remplir'!$E$31:$E$400,MASQ2!BV257,'Étape 1 - à remplir'!$O$31:$O$400,CE$3,'Étape 1 - à remplir'!$G$31:$G$400,"lots")),IF(CE$2="Espèce",IF(CE$3="Toutes",SUMIFS('Étape 1 - à remplir'!$F$31:$F$400,'Étape 1 - à remplir'!$E$31:$E$400,MASQ2!BV257,'Étape 1 - à remplir'!$G$31:$G$400,"lots"),SUMIFS('Étape 1 - à remplir'!$F$31:$F$400,'Étape 1 - à remplir'!$E$31:$E$400,MASQ2!BV257,'Étape 1 - à remplir'!$N$31:$N$400,CE$3,'Étape 1 - à remplir'!$G$31:$G$400,"lots"))))))=0,NA(),IF(CE$2="Catégorie",IF(CE$3="Toutes",SUMIFS('Étape 1 - à remplir'!$F$31:$F$400,'Étape 1 - à remplir'!$E$31:$E$400,MASQ2!BV257,'Étape 1 - à remplir'!$G$31:$G$400,"lots"),SUMIFS('Étape 1 - à remplir'!$F$31:$F$400,'Étape 1 - à remplir'!$E$31:$E$400,MASQ2!BV257,'Étape 1 - à remplir'!$C$31:$C$400,CE$3)),IF(CE$2="Âge",IF(CE$3="Tous",SUMIFS('Étape 1 - à remplir'!$F$31:$F$400,'Étape 1 - à remplir'!$E$31:$E$400,MASQ2!BV257,'Étape 1 - à remplir'!$G$31:$G$400,"lots"),SUMIFS('Étape 1 - à remplir'!$F$31:$F$400,'Étape 1 - à remplir'!$E$31:$E$400,MASQ2!BV257,'Étape 1 - à remplir'!$P$31:$P$400,CE$3,'Étape 1 - à remplir'!$G$31:$G$400,"lots")),IF(CE$2="Atelier",IF(CE$3="Tous",SUMIFS('Étape 1 - à remplir'!$F$31:$F$400,'Étape 1 - à remplir'!$E$31:$E$400,MASQ2!BV257,'Étape 1 - à remplir'!$G$31:$G$400,"lots"),SUMIFS('Étape 1 - à remplir'!$F$31:$F$400,'Étape 1 - à remplir'!$E$31:$E$400,MASQ2!BV257,'Étape 1 - à remplir'!$O$31:$O$400,CE$3,'Étape 1 - à remplir'!$G$31:$G$400,"lots")),IF(CE$2="Espèce",IF(CE$3="Toutes",SUMIFS('Étape 1 - à remplir'!$F$31:$F$400,'Étape 1 - à remplir'!$E$31:$E$400,MASQ2!BV257,'Étape 1 - à remplir'!$G$31:$G$400,"lots"),SUMIFS('Étape 1 - à remplir'!$F$31:$F$400,'Étape 1 - à remplir'!$E$31:$E$400,MASQ2!BV257,'Étape 1 - à remplir'!$N$31:$N$400,CE$3,'Étape 1 - à remplir'!$G$31:$G$400,"lots")))))))</f>
        <v>#N/A</v>
      </c>
      <c r="BX257">
        <f t="shared" si="208"/>
        <v>0</v>
      </c>
      <c r="BY257" t="str">
        <f t="shared" si="192"/>
        <v>Doxycycline</v>
      </c>
      <c r="BZ257" t="str">
        <f t="shared" si="193"/>
        <v/>
      </c>
      <c r="CA257" t="str">
        <f t="shared" si="194"/>
        <v/>
      </c>
      <c r="CB257" t="str">
        <f t="shared" si="195"/>
        <v>Tetracyclines</v>
      </c>
      <c r="CC257" t="str">
        <f t="shared" si="196"/>
        <v/>
      </c>
      <c r="CD257" s="63" t="str">
        <f t="shared" si="197"/>
        <v/>
      </c>
      <c r="CG257" s="42">
        <v>254</v>
      </c>
      <c r="CH257" s="42" t="e">
        <f t="shared" si="213"/>
        <v>#N/A</v>
      </c>
      <c r="CI257" s="63" t="e">
        <f t="shared" si="214"/>
        <v>#N/A</v>
      </c>
      <c r="DM257" s="63"/>
      <c r="EA257" s="194" t="str">
        <f t="shared" ca="1" si="198"/>
        <v/>
      </c>
      <c r="EB257" s="226" t="str">
        <f>IFERROR(IF(ED257=0,"",COUNTIF(ED$4:ED$600,"&gt;"&amp;ED257)+COUNTIF(ED$4:ED257,ED257)),"")</f>
        <v/>
      </c>
      <c r="EC257" t="str">
        <f t="shared" si="199"/>
        <v>HYDRODOXX 500 MG/G POUDRE POUR ADMINISTRATION DANS L'EAU DE BOISSON POUR POULETS ET PORCS</v>
      </c>
      <c r="ED257" t="e">
        <f>IF(IF(EL$2="Catégorie",IF(EL$3="Toutes",SUMIFS('Étape 1 - à remplir'!$F$31:$F$400,'Étape 1 - à remplir'!$E$31:$E$400,MASQ2!EC257,'Étape 1 - à remplir'!$G$31:$G$400,"kg"),SUMIFS('Étape 1 - à remplir'!$F$31:$F$400,'Étape 1 - à remplir'!$E$31:$E$400,MASQ2!EC257,'Étape 1 - à remplir'!$C$31:$C$400,EL$3)),IF(EL$2="Âge",IF(EL$3="Tous",SUMIFS('Étape 1 - à remplir'!$F$31:$F$400,'Étape 1 - à remplir'!$E$31:$E$400,MASQ2!EC257,'Étape 1 - à remplir'!$G$31:$G$400,"kg"),SUMIFS('Étape 1 - à remplir'!$F$31:$F$400,'Étape 1 - à remplir'!$E$31:$E$400,MASQ2!EC257,'Étape 1 - à remplir'!$P$31:$P$400,EL$3,'Étape 1 - à remplir'!$G$31:$G$400,"kg")),IF(EL$2="Atelier",IF(EL$3="Tous",SUMIFS('Étape 1 - à remplir'!$F$31:$F$400,'Étape 1 - à remplir'!$E$31:$E$400,MASQ2!EC257,'Étape 1 - à remplir'!$G$31:$G$400,"kg"),SUMIFS('Étape 1 - à remplir'!$F$31:$F$400,'Étape 1 - à remplir'!$E$31:$E$400,MASQ2!EC257,'Étape 1 - à remplir'!$O$31:$O$400,EL$3,'Étape 1 - à remplir'!$G$31:$G$400,"kg")),IF(EL$2="Espèce",IF(EL$3="Toutes",SUMIFS('Étape 1 - à remplir'!$F$31:$F$400,'Étape 1 - à remplir'!$E$31:$E$400,MASQ2!EC257,'Étape 1 - à remplir'!$G$31:$G$400,"kg"),SUMIFS('Étape 1 - à remplir'!$F$31:$F$400,'Étape 1 - à remplir'!$E$31:$E$400,MASQ2!EC257,'Étape 1 - à remplir'!$N$31:$N$400,EL$3,'Étape 1 - à remplir'!$G$31:$G$400,"kg"))))))=0,NA(),IF(EL$2="Catégorie",IF(EL$3="Toutes",SUMIFS('Étape 1 - à remplir'!$F$31:$F$400,'Étape 1 - à remplir'!$E$31:$E$400,MASQ2!EC257,'Étape 1 - à remplir'!$G$31:$G$400,"kg"),SUMIFS('Étape 1 - à remplir'!$F$31:$F$400,'Étape 1 - à remplir'!$E$31:$E$400,MASQ2!EC257,'Étape 1 - à remplir'!$C$31:$C$400,EL$3)),IF(EL$2="Âge",IF(EL$3="Tous",SUMIFS('Étape 1 - à remplir'!$F$31:$F$400,'Étape 1 - à remplir'!$E$31:$E$400,MASQ2!EC257,'Étape 1 - à remplir'!$G$31:$G$400,"kg"),SUMIFS('Étape 1 - à remplir'!$F$31:$F$400,'Étape 1 - à remplir'!$E$31:$E$400,MASQ2!EC257,'Étape 1 - à remplir'!$P$31:$P$400,EL$3,'Étape 1 - à remplir'!$G$31:$G$400,"kg")),IF(EL$2="Atelier",IF(EL$3="Tous",SUMIFS('Étape 1 - à remplir'!$F$31:$F$400,'Étape 1 - à remplir'!$E$31:$E$400,MASQ2!EC257,'Étape 1 - à remplir'!$G$31:$G$400,"kg"),SUMIFS('Étape 1 - à remplir'!$F$31:$F$400,'Étape 1 - à remplir'!$E$31:$E$400,MASQ2!EC257,'Étape 1 - à remplir'!$O$31:$O$400,EL$3,'Étape 1 - à remplir'!$G$31:$G$400,"kg")),IF(EL$2="Espèce",IF(EL$3="Toutes",SUMIFS('Étape 1 - à remplir'!$F$31:$F$400,'Étape 1 - à remplir'!$E$31:$E$400,MASQ2!EC257,'Étape 1 - à remplir'!$G$31:$G$400,"kg"),SUMIFS('Étape 1 - à remplir'!$F$31:$F$400,'Étape 1 - à remplir'!$E$31:$E$400,MASQ2!EC257,'Étape 1 - à remplir'!$N$31:$N$400,EL$3,'Étape 1 - à remplir'!$G$31:$G$400,"kg")))))))</f>
        <v>#N/A</v>
      </c>
      <c r="EE257" s="76">
        <f t="shared" si="209"/>
        <v>0</v>
      </c>
      <c r="EF257" t="str">
        <f t="shared" si="200"/>
        <v>Doxycycline</v>
      </c>
      <c r="EG257" t="str">
        <f t="shared" si="201"/>
        <v/>
      </c>
      <c r="EH257" t="str">
        <f t="shared" si="202"/>
        <v/>
      </c>
      <c r="EI257" t="str">
        <f t="shared" si="203"/>
        <v>Tetracyclines</v>
      </c>
      <c r="EJ257" t="str">
        <f t="shared" si="204"/>
        <v/>
      </c>
      <c r="EK257" s="63" t="str">
        <f t="shared" si="205"/>
        <v/>
      </c>
      <c r="EN257" s="42">
        <v>254</v>
      </c>
      <c r="EO257" t="e">
        <f t="shared" si="211"/>
        <v>#N/A</v>
      </c>
      <c r="EP257" s="63" t="e">
        <f t="shared" si="212"/>
        <v>#N/A</v>
      </c>
      <c r="FT257" s="63"/>
    </row>
    <row r="258" spans="2:176" x14ac:dyDescent="0.3">
      <c r="B258" s="42"/>
      <c r="M258" s="194" t="str">
        <f ca="1">INDEX(Données_ATB!BD:BU,MATCH(MASQ2!O258,Données_ATB!BD:BD,0),18)</f>
        <v/>
      </c>
      <c r="N258" s="14" t="str">
        <f>IFERROR(IF(Q258=0,"",COUNTIF(Q$4:Q$600,"&gt;"&amp;Q258)+COUNTIF(Q$4:Q258,Q258)),"")</f>
        <v/>
      </c>
      <c r="O258" t="str">
        <f>Données_ATB!BD257</f>
        <v>INCREXXA 100 MG/ML SOLUTION INJECTABLE POUR BOVINS PORCINS ET OVINS</v>
      </c>
      <c r="P258" t="e">
        <f>IF(IF(X$2="Catégorie",IF(X$3="Toutes",SUMIFS('Étape 1 - à remplir'!$F$31:$F$400,'Étape 1 - à remplir'!$E$31:$E$400,MASQ2!O258,'Étape 1 - à remplir'!$G$31:$G$400,"animaux"),SUMIFS('Étape 1 - à remplir'!$F$31:$F$400,'Étape 1 - à remplir'!$E$31:$E$400,MASQ2!O258,'Étape 1 - à remplir'!$C$31:$C$400,X$3)),IF(X$2="Âge",IF(X$3="Tous",SUMIFS('Étape 1 - à remplir'!$F$31:$F$400,'Étape 1 - à remplir'!$E$31:$E$400,MASQ2!O258,'Étape 1 - à remplir'!$G$31:$G$400,"animaux"),SUMIFS('Étape 1 - à remplir'!$F$31:$F$400,'Étape 1 - à remplir'!$E$31:$E$400,MASQ2!O258,'Étape 1 - à remplir'!$P$31:$P$400,X$3)),IF(X$2="Atelier",IF(X$3="Tous",SUMIFS('Étape 1 - à remplir'!$F$31:$F$400,'Étape 1 - à remplir'!$E$31:$E$400,MASQ2!O258,'Étape 1 - à remplir'!$G$31:$G$400,"animaux"),SUMIFS('Étape 1 - à remplir'!$F$31:$F$400,'Étape 1 - à remplir'!$E$31:$E$400,MASQ2!O258,'Étape 1 - à remplir'!$O$31:$O$400,X$3)),IF(X$2="Espèce",IF(X$3="Toutes",SUMIFS('Étape 1 - à remplir'!$F$31:$F$400,'Étape 1 - à remplir'!$E$31:$E$400,MASQ2!O258,'Étape 1 - à remplir'!$G$31:$G$400,"animaux"),SUMIFS('Étape 1 - à remplir'!$F$31:$F$400,'Étape 1 - à remplir'!$E$31:$E$400,MASQ2!O258,'Étape 1 - à remplir'!$N$31:$N$400,X$3))))))=0,NA(),IF(X$2="Catégorie",IF(X$3="Toutes",SUMIFS('Étape 1 - à remplir'!$F$31:$F$400,'Étape 1 - à remplir'!$E$31:$E$400,MASQ2!O258,'Étape 1 - à remplir'!$G$31:$G$400,"animaux"),SUMIFS('Étape 1 - à remplir'!$F$31:$F$400,'Étape 1 - à remplir'!$E$31:$E$400,MASQ2!O258,'Étape 1 - à remplir'!$C$31:$C$400,X$3)),IF(X$2="Âge",IF(X$3="Tous",SUMIFS('Étape 1 - à remplir'!$F$31:$F$400,'Étape 1 - à remplir'!$E$31:$E$400,MASQ2!O258,'Étape 1 - à remplir'!$G$31:$G$400,"animaux"),SUMIFS('Étape 1 - à remplir'!$F$31:$F$400,'Étape 1 - à remplir'!$E$31:$E$400,MASQ2!O258,'Étape 1 - à remplir'!$P$31:$P$400,X$3)),IF(X$2="Atelier",IF(X$3="Tous",SUMIFS('Étape 1 - à remplir'!$F$31:$F$400,'Étape 1 - à remplir'!$E$31:$E$400,MASQ2!O258,'Étape 1 - à remplir'!$G$31:$G$400,"animaux"),SUMIFS('Étape 1 - à remplir'!$F$31:$F$400,'Étape 1 - à remplir'!$E$31:$E$400,MASQ2!O258,'Étape 1 - à remplir'!$O$31:$O$400,X$3)),IF(X$2="Espèce",IF(X$3="Toutes",SUMIFS('Étape 1 - à remplir'!$F$31:$F$400,'Étape 1 - à remplir'!$E$31:$E$400,MASQ2!O258,'Étape 1 - à remplir'!$G$31:$G$400,"animaux"),SUMIFS('Étape 1 - à remplir'!$F$31:$F$400,'Étape 1 - à remplir'!$E$31:$E$400,MASQ2!O258,'Étape 1 - à remplir'!$N$31:$N$400,X$3)))))))</f>
        <v>#N/A</v>
      </c>
      <c r="Q258" s="63">
        <f t="shared" si="210"/>
        <v>0</v>
      </c>
      <c r="R258" t="str">
        <f>Données_ATB!BM257</f>
        <v>Tulathromycine</v>
      </c>
      <c r="S258" t="str">
        <f>Données_ATB!BN257</f>
        <v/>
      </c>
      <c r="T258" s="63" t="str">
        <f>Données_ATB!BO257</f>
        <v/>
      </c>
      <c r="U258" s="42" t="str">
        <f>Données_ATB!BQ257</f>
        <v>Macrolides</v>
      </c>
      <c r="V258" t="str">
        <f>Données_ATB!BR257</f>
        <v/>
      </c>
      <c r="W258" s="63" t="str">
        <f>Données_ATB!BS257</f>
        <v/>
      </c>
      <c r="Z258" s="42">
        <v>255</v>
      </c>
      <c r="AA258" t="e">
        <f t="shared" si="206"/>
        <v>#N/A</v>
      </c>
      <c r="AB258" s="63" t="e">
        <f t="shared" si="207"/>
        <v>#N/A</v>
      </c>
      <c r="BF258" s="63"/>
      <c r="BT258" s="194" t="str">
        <f t="shared" ca="1" si="190"/>
        <v/>
      </c>
      <c r="BU258" s="219" t="str">
        <f>IFERROR(IF(BX258=0,"",COUNTIF(BX$4:BX$600,"&gt;"&amp;BX258)+COUNTIF(BX$4:BX258,BX258)),"")</f>
        <v/>
      </c>
      <c r="BV258" s="42" t="str">
        <f t="shared" si="191"/>
        <v>INCREXXA 100 MG/ML SOLUTION INJECTABLE POUR BOVINS PORCINS ET OVINS</v>
      </c>
      <c r="BW258" t="e">
        <f>IF(IF(CE$2="Catégorie",IF(CE$3="Toutes",SUMIFS('Étape 1 - à remplir'!$F$31:$F$400,'Étape 1 - à remplir'!$E$31:$E$400,MASQ2!BV258,'Étape 1 - à remplir'!$G$31:$G$400,"lots"),SUMIFS('Étape 1 - à remplir'!$F$31:$F$400,'Étape 1 - à remplir'!$E$31:$E$400,MASQ2!BV258,'Étape 1 - à remplir'!$C$31:$C$400,CE$3)),IF(CE$2="Âge",IF(CE$3="Tous",SUMIFS('Étape 1 - à remplir'!$F$31:$F$400,'Étape 1 - à remplir'!$E$31:$E$400,MASQ2!BV258,'Étape 1 - à remplir'!$G$31:$G$400,"lots"),SUMIFS('Étape 1 - à remplir'!$F$31:$F$400,'Étape 1 - à remplir'!$E$31:$E$400,MASQ2!BV258,'Étape 1 - à remplir'!$P$31:$P$400,CE$3,'Étape 1 - à remplir'!$G$31:$G$400,"lots")),IF(CE$2="Atelier",IF(CE$3="Tous",SUMIFS('Étape 1 - à remplir'!$F$31:$F$400,'Étape 1 - à remplir'!$E$31:$E$400,MASQ2!BV258,'Étape 1 - à remplir'!$G$31:$G$400,"lots"),SUMIFS('Étape 1 - à remplir'!$F$31:$F$400,'Étape 1 - à remplir'!$E$31:$E$400,MASQ2!BV258,'Étape 1 - à remplir'!$O$31:$O$400,CE$3,'Étape 1 - à remplir'!$G$31:$G$400,"lots")),IF(CE$2="Espèce",IF(CE$3="Toutes",SUMIFS('Étape 1 - à remplir'!$F$31:$F$400,'Étape 1 - à remplir'!$E$31:$E$400,MASQ2!BV258,'Étape 1 - à remplir'!$G$31:$G$400,"lots"),SUMIFS('Étape 1 - à remplir'!$F$31:$F$400,'Étape 1 - à remplir'!$E$31:$E$400,MASQ2!BV258,'Étape 1 - à remplir'!$N$31:$N$400,CE$3,'Étape 1 - à remplir'!$G$31:$G$400,"lots"))))))=0,NA(),IF(CE$2="Catégorie",IF(CE$3="Toutes",SUMIFS('Étape 1 - à remplir'!$F$31:$F$400,'Étape 1 - à remplir'!$E$31:$E$400,MASQ2!BV258,'Étape 1 - à remplir'!$G$31:$G$400,"lots"),SUMIFS('Étape 1 - à remplir'!$F$31:$F$400,'Étape 1 - à remplir'!$E$31:$E$400,MASQ2!BV258,'Étape 1 - à remplir'!$C$31:$C$400,CE$3)),IF(CE$2="Âge",IF(CE$3="Tous",SUMIFS('Étape 1 - à remplir'!$F$31:$F$400,'Étape 1 - à remplir'!$E$31:$E$400,MASQ2!BV258,'Étape 1 - à remplir'!$G$31:$G$400,"lots"),SUMIFS('Étape 1 - à remplir'!$F$31:$F$400,'Étape 1 - à remplir'!$E$31:$E$400,MASQ2!BV258,'Étape 1 - à remplir'!$P$31:$P$400,CE$3,'Étape 1 - à remplir'!$G$31:$G$400,"lots")),IF(CE$2="Atelier",IF(CE$3="Tous",SUMIFS('Étape 1 - à remplir'!$F$31:$F$400,'Étape 1 - à remplir'!$E$31:$E$400,MASQ2!BV258,'Étape 1 - à remplir'!$G$31:$G$400,"lots"),SUMIFS('Étape 1 - à remplir'!$F$31:$F$400,'Étape 1 - à remplir'!$E$31:$E$400,MASQ2!BV258,'Étape 1 - à remplir'!$O$31:$O$400,CE$3,'Étape 1 - à remplir'!$G$31:$G$400,"lots")),IF(CE$2="Espèce",IF(CE$3="Toutes",SUMIFS('Étape 1 - à remplir'!$F$31:$F$400,'Étape 1 - à remplir'!$E$31:$E$400,MASQ2!BV258,'Étape 1 - à remplir'!$G$31:$G$400,"lots"),SUMIFS('Étape 1 - à remplir'!$F$31:$F$400,'Étape 1 - à remplir'!$E$31:$E$400,MASQ2!BV258,'Étape 1 - à remplir'!$N$31:$N$400,CE$3,'Étape 1 - à remplir'!$G$31:$G$400,"lots")))))))</f>
        <v>#N/A</v>
      </c>
      <c r="BX258">
        <f t="shared" si="208"/>
        <v>0</v>
      </c>
      <c r="BY258" t="str">
        <f t="shared" si="192"/>
        <v>Tulathromycine</v>
      </c>
      <c r="BZ258" t="str">
        <f t="shared" si="193"/>
        <v/>
      </c>
      <c r="CA258" t="str">
        <f t="shared" si="194"/>
        <v/>
      </c>
      <c r="CB258" t="str">
        <f t="shared" si="195"/>
        <v>Macrolides</v>
      </c>
      <c r="CC258" t="str">
        <f t="shared" si="196"/>
        <v/>
      </c>
      <c r="CD258" s="63" t="str">
        <f t="shared" si="197"/>
        <v/>
      </c>
      <c r="CG258" s="42">
        <v>255</v>
      </c>
      <c r="CH258" s="42" t="e">
        <f t="shared" si="213"/>
        <v>#N/A</v>
      </c>
      <c r="CI258" s="63" t="e">
        <f t="shared" si="214"/>
        <v>#N/A</v>
      </c>
      <c r="DM258" s="63"/>
      <c r="EA258" s="194" t="str">
        <f t="shared" ca="1" si="198"/>
        <v/>
      </c>
      <c r="EB258" s="226" t="str">
        <f>IFERROR(IF(ED258=0,"",COUNTIF(ED$4:ED$600,"&gt;"&amp;ED258)+COUNTIF(ED$4:ED258,ED258)),"")</f>
        <v/>
      </c>
      <c r="EC258" t="str">
        <f t="shared" si="199"/>
        <v>INCREXXA 100 MG/ML SOLUTION INJECTABLE POUR BOVINS PORCINS ET OVINS</v>
      </c>
      <c r="ED258" t="e">
        <f>IF(IF(EL$2="Catégorie",IF(EL$3="Toutes",SUMIFS('Étape 1 - à remplir'!$F$31:$F$400,'Étape 1 - à remplir'!$E$31:$E$400,MASQ2!EC258,'Étape 1 - à remplir'!$G$31:$G$400,"kg"),SUMIFS('Étape 1 - à remplir'!$F$31:$F$400,'Étape 1 - à remplir'!$E$31:$E$400,MASQ2!EC258,'Étape 1 - à remplir'!$C$31:$C$400,EL$3)),IF(EL$2="Âge",IF(EL$3="Tous",SUMIFS('Étape 1 - à remplir'!$F$31:$F$400,'Étape 1 - à remplir'!$E$31:$E$400,MASQ2!EC258,'Étape 1 - à remplir'!$G$31:$G$400,"kg"),SUMIFS('Étape 1 - à remplir'!$F$31:$F$400,'Étape 1 - à remplir'!$E$31:$E$400,MASQ2!EC258,'Étape 1 - à remplir'!$P$31:$P$400,EL$3,'Étape 1 - à remplir'!$G$31:$G$400,"kg")),IF(EL$2="Atelier",IF(EL$3="Tous",SUMIFS('Étape 1 - à remplir'!$F$31:$F$400,'Étape 1 - à remplir'!$E$31:$E$400,MASQ2!EC258,'Étape 1 - à remplir'!$G$31:$G$400,"kg"),SUMIFS('Étape 1 - à remplir'!$F$31:$F$400,'Étape 1 - à remplir'!$E$31:$E$400,MASQ2!EC258,'Étape 1 - à remplir'!$O$31:$O$400,EL$3,'Étape 1 - à remplir'!$G$31:$G$400,"kg")),IF(EL$2="Espèce",IF(EL$3="Toutes",SUMIFS('Étape 1 - à remplir'!$F$31:$F$400,'Étape 1 - à remplir'!$E$31:$E$400,MASQ2!EC258,'Étape 1 - à remplir'!$G$31:$G$400,"kg"),SUMIFS('Étape 1 - à remplir'!$F$31:$F$400,'Étape 1 - à remplir'!$E$31:$E$400,MASQ2!EC258,'Étape 1 - à remplir'!$N$31:$N$400,EL$3,'Étape 1 - à remplir'!$G$31:$G$400,"kg"))))))=0,NA(),IF(EL$2="Catégorie",IF(EL$3="Toutes",SUMIFS('Étape 1 - à remplir'!$F$31:$F$400,'Étape 1 - à remplir'!$E$31:$E$400,MASQ2!EC258,'Étape 1 - à remplir'!$G$31:$G$400,"kg"),SUMIFS('Étape 1 - à remplir'!$F$31:$F$400,'Étape 1 - à remplir'!$E$31:$E$400,MASQ2!EC258,'Étape 1 - à remplir'!$C$31:$C$400,EL$3)),IF(EL$2="Âge",IF(EL$3="Tous",SUMIFS('Étape 1 - à remplir'!$F$31:$F$400,'Étape 1 - à remplir'!$E$31:$E$400,MASQ2!EC258,'Étape 1 - à remplir'!$G$31:$G$400,"kg"),SUMIFS('Étape 1 - à remplir'!$F$31:$F$400,'Étape 1 - à remplir'!$E$31:$E$400,MASQ2!EC258,'Étape 1 - à remplir'!$P$31:$P$400,EL$3,'Étape 1 - à remplir'!$G$31:$G$400,"kg")),IF(EL$2="Atelier",IF(EL$3="Tous",SUMIFS('Étape 1 - à remplir'!$F$31:$F$400,'Étape 1 - à remplir'!$E$31:$E$400,MASQ2!EC258,'Étape 1 - à remplir'!$G$31:$G$400,"kg"),SUMIFS('Étape 1 - à remplir'!$F$31:$F$400,'Étape 1 - à remplir'!$E$31:$E$400,MASQ2!EC258,'Étape 1 - à remplir'!$O$31:$O$400,EL$3,'Étape 1 - à remplir'!$G$31:$G$400,"kg")),IF(EL$2="Espèce",IF(EL$3="Toutes",SUMIFS('Étape 1 - à remplir'!$F$31:$F$400,'Étape 1 - à remplir'!$E$31:$E$400,MASQ2!EC258,'Étape 1 - à remplir'!$G$31:$G$400,"kg"),SUMIFS('Étape 1 - à remplir'!$F$31:$F$400,'Étape 1 - à remplir'!$E$31:$E$400,MASQ2!EC258,'Étape 1 - à remplir'!$N$31:$N$400,EL$3,'Étape 1 - à remplir'!$G$31:$G$400,"kg")))))))</f>
        <v>#N/A</v>
      </c>
      <c r="EE258" s="76">
        <f t="shared" si="209"/>
        <v>0</v>
      </c>
      <c r="EF258" t="str">
        <f t="shared" si="200"/>
        <v>Tulathromycine</v>
      </c>
      <c r="EG258" t="str">
        <f t="shared" si="201"/>
        <v/>
      </c>
      <c r="EH258" t="str">
        <f t="shared" si="202"/>
        <v/>
      </c>
      <c r="EI258" t="str">
        <f t="shared" si="203"/>
        <v>Macrolides</v>
      </c>
      <c r="EJ258" t="str">
        <f t="shared" si="204"/>
        <v/>
      </c>
      <c r="EK258" s="63" t="str">
        <f t="shared" si="205"/>
        <v/>
      </c>
      <c r="EN258" s="42">
        <v>255</v>
      </c>
      <c r="EO258" t="e">
        <f t="shared" si="211"/>
        <v>#N/A</v>
      </c>
      <c r="EP258" s="63" t="e">
        <f t="shared" si="212"/>
        <v>#N/A</v>
      </c>
      <c r="FT258" s="63"/>
    </row>
    <row r="259" spans="2:176" x14ac:dyDescent="0.3">
      <c r="B259" s="42"/>
      <c r="M259" s="194" t="str">
        <f ca="1">INDEX(Données_ATB!BD:BU,MATCH(MASQ2!O259,Données_ATB!BD:BD,0),18)</f>
        <v/>
      </c>
      <c r="N259" s="14" t="str">
        <f>IFERROR(IF(Q259=0,"",COUNTIF(Q$4:Q$600,"&gt;"&amp;Q259)+COUNTIF(Q$4:Q259,Q259)),"")</f>
        <v/>
      </c>
      <c r="O259" t="str">
        <f>Données_ATB!BD258</f>
        <v>INCREXXA 25 MG/ML SOLUTION INJECTABLE POUR PORCINS</v>
      </c>
      <c r="P259" t="e">
        <f>IF(IF(X$2="Catégorie",IF(X$3="Toutes",SUMIFS('Étape 1 - à remplir'!$F$31:$F$400,'Étape 1 - à remplir'!$E$31:$E$400,MASQ2!O259,'Étape 1 - à remplir'!$G$31:$G$400,"animaux"),SUMIFS('Étape 1 - à remplir'!$F$31:$F$400,'Étape 1 - à remplir'!$E$31:$E$400,MASQ2!O259,'Étape 1 - à remplir'!$C$31:$C$400,X$3)),IF(X$2="Âge",IF(X$3="Tous",SUMIFS('Étape 1 - à remplir'!$F$31:$F$400,'Étape 1 - à remplir'!$E$31:$E$400,MASQ2!O259,'Étape 1 - à remplir'!$G$31:$G$400,"animaux"),SUMIFS('Étape 1 - à remplir'!$F$31:$F$400,'Étape 1 - à remplir'!$E$31:$E$400,MASQ2!O259,'Étape 1 - à remplir'!$P$31:$P$400,X$3)),IF(X$2="Atelier",IF(X$3="Tous",SUMIFS('Étape 1 - à remplir'!$F$31:$F$400,'Étape 1 - à remplir'!$E$31:$E$400,MASQ2!O259,'Étape 1 - à remplir'!$G$31:$G$400,"animaux"),SUMIFS('Étape 1 - à remplir'!$F$31:$F$400,'Étape 1 - à remplir'!$E$31:$E$400,MASQ2!O259,'Étape 1 - à remplir'!$O$31:$O$400,X$3)),IF(X$2="Espèce",IF(X$3="Toutes",SUMIFS('Étape 1 - à remplir'!$F$31:$F$400,'Étape 1 - à remplir'!$E$31:$E$400,MASQ2!O259,'Étape 1 - à remplir'!$G$31:$G$400,"animaux"),SUMIFS('Étape 1 - à remplir'!$F$31:$F$400,'Étape 1 - à remplir'!$E$31:$E$400,MASQ2!O259,'Étape 1 - à remplir'!$N$31:$N$400,X$3))))))=0,NA(),IF(X$2="Catégorie",IF(X$3="Toutes",SUMIFS('Étape 1 - à remplir'!$F$31:$F$400,'Étape 1 - à remplir'!$E$31:$E$400,MASQ2!O259,'Étape 1 - à remplir'!$G$31:$G$400,"animaux"),SUMIFS('Étape 1 - à remplir'!$F$31:$F$400,'Étape 1 - à remplir'!$E$31:$E$400,MASQ2!O259,'Étape 1 - à remplir'!$C$31:$C$400,X$3)),IF(X$2="Âge",IF(X$3="Tous",SUMIFS('Étape 1 - à remplir'!$F$31:$F$400,'Étape 1 - à remplir'!$E$31:$E$400,MASQ2!O259,'Étape 1 - à remplir'!$G$31:$G$400,"animaux"),SUMIFS('Étape 1 - à remplir'!$F$31:$F$400,'Étape 1 - à remplir'!$E$31:$E$400,MASQ2!O259,'Étape 1 - à remplir'!$P$31:$P$400,X$3)),IF(X$2="Atelier",IF(X$3="Tous",SUMIFS('Étape 1 - à remplir'!$F$31:$F$400,'Étape 1 - à remplir'!$E$31:$E$400,MASQ2!O259,'Étape 1 - à remplir'!$G$31:$G$400,"animaux"),SUMIFS('Étape 1 - à remplir'!$F$31:$F$400,'Étape 1 - à remplir'!$E$31:$E$400,MASQ2!O259,'Étape 1 - à remplir'!$O$31:$O$400,X$3)),IF(X$2="Espèce",IF(X$3="Toutes",SUMIFS('Étape 1 - à remplir'!$F$31:$F$400,'Étape 1 - à remplir'!$E$31:$E$400,MASQ2!O259,'Étape 1 - à remplir'!$G$31:$G$400,"animaux"),SUMIFS('Étape 1 - à remplir'!$F$31:$F$400,'Étape 1 - à remplir'!$E$31:$E$400,MASQ2!O259,'Étape 1 - à remplir'!$N$31:$N$400,X$3)))))))</f>
        <v>#N/A</v>
      </c>
      <c r="Q259" s="63">
        <f t="shared" si="210"/>
        <v>0</v>
      </c>
      <c r="R259" t="str">
        <f>Données_ATB!BM258</f>
        <v>Tulathromycine</v>
      </c>
      <c r="S259" t="str">
        <f>Données_ATB!BN258</f>
        <v/>
      </c>
      <c r="T259" s="63" t="str">
        <f>Données_ATB!BO258</f>
        <v/>
      </c>
      <c r="U259" s="42" t="str">
        <f>Données_ATB!BQ258</f>
        <v>Macrolides</v>
      </c>
      <c r="V259" t="str">
        <f>Données_ATB!BR258</f>
        <v/>
      </c>
      <c r="W259" s="63" t="str">
        <f>Données_ATB!BS258</f>
        <v/>
      </c>
      <c r="Z259" s="42">
        <v>256</v>
      </c>
      <c r="AA259" t="e">
        <f t="shared" si="206"/>
        <v>#N/A</v>
      </c>
      <c r="AB259" s="63" t="e">
        <f t="shared" si="207"/>
        <v>#N/A</v>
      </c>
      <c r="BF259" s="63"/>
      <c r="BT259" s="194" t="str">
        <f t="shared" ca="1" si="190"/>
        <v/>
      </c>
      <c r="BU259" s="219" t="str">
        <f>IFERROR(IF(BX259=0,"",COUNTIF(BX$4:BX$600,"&gt;"&amp;BX259)+COUNTIF(BX$4:BX259,BX259)),"")</f>
        <v/>
      </c>
      <c r="BV259" s="42" t="str">
        <f t="shared" si="191"/>
        <v>INCREXXA 25 MG/ML SOLUTION INJECTABLE POUR PORCINS</v>
      </c>
      <c r="BW259" t="e">
        <f>IF(IF(CE$2="Catégorie",IF(CE$3="Toutes",SUMIFS('Étape 1 - à remplir'!$F$31:$F$400,'Étape 1 - à remplir'!$E$31:$E$400,MASQ2!BV259,'Étape 1 - à remplir'!$G$31:$G$400,"lots"),SUMIFS('Étape 1 - à remplir'!$F$31:$F$400,'Étape 1 - à remplir'!$E$31:$E$400,MASQ2!BV259,'Étape 1 - à remplir'!$C$31:$C$400,CE$3)),IF(CE$2="Âge",IF(CE$3="Tous",SUMIFS('Étape 1 - à remplir'!$F$31:$F$400,'Étape 1 - à remplir'!$E$31:$E$400,MASQ2!BV259,'Étape 1 - à remplir'!$G$31:$G$400,"lots"),SUMIFS('Étape 1 - à remplir'!$F$31:$F$400,'Étape 1 - à remplir'!$E$31:$E$400,MASQ2!BV259,'Étape 1 - à remplir'!$P$31:$P$400,CE$3,'Étape 1 - à remplir'!$G$31:$G$400,"lots")),IF(CE$2="Atelier",IF(CE$3="Tous",SUMIFS('Étape 1 - à remplir'!$F$31:$F$400,'Étape 1 - à remplir'!$E$31:$E$400,MASQ2!BV259,'Étape 1 - à remplir'!$G$31:$G$400,"lots"),SUMIFS('Étape 1 - à remplir'!$F$31:$F$400,'Étape 1 - à remplir'!$E$31:$E$400,MASQ2!BV259,'Étape 1 - à remplir'!$O$31:$O$400,CE$3,'Étape 1 - à remplir'!$G$31:$G$400,"lots")),IF(CE$2="Espèce",IF(CE$3="Toutes",SUMIFS('Étape 1 - à remplir'!$F$31:$F$400,'Étape 1 - à remplir'!$E$31:$E$400,MASQ2!BV259,'Étape 1 - à remplir'!$G$31:$G$400,"lots"),SUMIFS('Étape 1 - à remplir'!$F$31:$F$400,'Étape 1 - à remplir'!$E$31:$E$400,MASQ2!BV259,'Étape 1 - à remplir'!$N$31:$N$400,CE$3,'Étape 1 - à remplir'!$G$31:$G$400,"lots"))))))=0,NA(),IF(CE$2="Catégorie",IF(CE$3="Toutes",SUMIFS('Étape 1 - à remplir'!$F$31:$F$400,'Étape 1 - à remplir'!$E$31:$E$400,MASQ2!BV259,'Étape 1 - à remplir'!$G$31:$G$400,"lots"),SUMIFS('Étape 1 - à remplir'!$F$31:$F$400,'Étape 1 - à remplir'!$E$31:$E$400,MASQ2!BV259,'Étape 1 - à remplir'!$C$31:$C$400,CE$3)),IF(CE$2="Âge",IF(CE$3="Tous",SUMIFS('Étape 1 - à remplir'!$F$31:$F$400,'Étape 1 - à remplir'!$E$31:$E$400,MASQ2!BV259,'Étape 1 - à remplir'!$G$31:$G$400,"lots"),SUMIFS('Étape 1 - à remplir'!$F$31:$F$400,'Étape 1 - à remplir'!$E$31:$E$400,MASQ2!BV259,'Étape 1 - à remplir'!$P$31:$P$400,CE$3,'Étape 1 - à remplir'!$G$31:$G$400,"lots")),IF(CE$2="Atelier",IF(CE$3="Tous",SUMIFS('Étape 1 - à remplir'!$F$31:$F$400,'Étape 1 - à remplir'!$E$31:$E$400,MASQ2!BV259,'Étape 1 - à remplir'!$G$31:$G$400,"lots"),SUMIFS('Étape 1 - à remplir'!$F$31:$F$400,'Étape 1 - à remplir'!$E$31:$E$400,MASQ2!BV259,'Étape 1 - à remplir'!$O$31:$O$400,CE$3,'Étape 1 - à remplir'!$G$31:$G$400,"lots")),IF(CE$2="Espèce",IF(CE$3="Toutes",SUMIFS('Étape 1 - à remplir'!$F$31:$F$400,'Étape 1 - à remplir'!$E$31:$E$400,MASQ2!BV259,'Étape 1 - à remplir'!$G$31:$G$400,"lots"),SUMIFS('Étape 1 - à remplir'!$F$31:$F$400,'Étape 1 - à remplir'!$E$31:$E$400,MASQ2!BV259,'Étape 1 - à remplir'!$N$31:$N$400,CE$3,'Étape 1 - à remplir'!$G$31:$G$400,"lots")))))))</f>
        <v>#N/A</v>
      </c>
      <c r="BX259">
        <f t="shared" si="208"/>
        <v>0</v>
      </c>
      <c r="BY259" t="str">
        <f t="shared" si="192"/>
        <v>Tulathromycine</v>
      </c>
      <c r="BZ259" t="str">
        <f t="shared" si="193"/>
        <v/>
      </c>
      <c r="CA259" t="str">
        <f t="shared" si="194"/>
        <v/>
      </c>
      <c r="CB259" t="str">
        <f t="shared" si="195"/>
        <v>Macrolides</v>
      </c>
      <c r="CC259" t="str">
        <f t="shared" si="196"/>
        <v/>
      </c>
      <c r="CD259" s="63" t="str">
        <f t="shared" si="197"/>
        <v/>
      </c>
      <c r="CG259" s="42">
        <v>256</v>
      </c>
      <c r="CH259" s="42" t="e">
        <f t="shared" si="213"/>
        <v>#N/A</v>
      </c>
      <c r="CI259" s="63" t="e">
        <f t="shared" si="214"/>
        <v>#N/A</v>
      </c>
      <c r="DM259" s="63"/>
      <c r="EA259" s="194" t="str">
        <f t="shared" ca="1" si="198"/>
        <v/>
      </c>
      <c r="EB259" s="226" t="str">
        <f>IFERROR(IF(ED259=0,"",COUNTIF(ED$4:ED$600,"&gt;"&amp;ED259)+COUNTIF(ED$4:ED259,ED259)),"")</f>
        <v/>
      </c>
      <c r="EC259" t="str">
        <f t="shared" si="199"/>
        <v>INCREXXA 25 MG/ML SOLUTION INJECTABLE POUR PORCINS</v>
      </c>
      <c r="ED259" t="e">
        <f>IF(IF(EL$2="Catégorie",IF(EL$3="Toutes",SUMIFS('Étape 1 - à remplir'!$F$31:$F$400,'Étape 1 - à remplir'!$E$31:$E$400,MASQ2!EC259,'Étape 1 - à remplir'!$G$31:$G$400,"kg"),SUMIFS('Étape 1 - à remplir'!$F$31:$F$400,'Étape 1 - à remplir'!$E$31:$E$400,MASQ2!EC259,'Étape 1 - à remplir'!$C$31:$C$400,EL$3)),IF(EL$2="Âge",IF(EL$3="Tous",SUMIFS('Étape 1 - à remplir'!$F$31:$F$400,'Étape 1 - à remplir'!$E$31:$E$400,MASQ2!EC259,'Étape 1 - à remplir'!$G$31:$G$400,"kg"),SUMIFS('Étape 1 - à remplir'!$F$31:$F$400,'Étape 1 - à remplir'!$E$31:$E$400,MASQ2!EC259,'Étape 1 - à remplir'!$P$31:$P$400,EL$3,'Étape 1 - à remplir'!$G$31:$G$400,"kg")),IF(EL$2="Atelier",IF(EL$3="Tous",SUMIFS('Étape 1 - à remplir'!$F$31:$F$400,'Étape 1 - à remplir'!$E$31:$E$400,MASQ2!EC259,'Étape 1 - à remplir'!$G$31:$G$400,"kg"),SUMIFS('Étape 1 - à remplir'!$F$31:$F$400,'Étape 1 - à remplir'!$E$31:$E$400,MASQ2!EC259,'Étape 1 - à remplir'!$O$31:$O$400,EL$3,'Étape 1 - à remplir'!$G$31:$G$400,"kg")),IF(EL$2="Espèce",IF(EL$3="Toutes",SUMIFS('Étape 1 - à remplir'!$F$31:$F$400,'Étape 1 - à remplir'!$E$31:$E$400,MASQ2!EC259,'Étape 1 - à remplir'!$G$31:$G$400,"kg"),SUMIFS('Étape 1 - à remplir'!$F$31:$F$400,'Étape 1 - à remplir'!$E$31:$E$400,MASQ2!EC259,'Étape 1 - à remplir'!$N$31:$N$400,EL$3,'Étape 1 - à remplir'!$G$31:$G$400,"kg"))))))=0,NA(),IF(EL$2="Catégorie",IF(EL$3="Toutes",SUMIFS('Étape 1 - à remplir'!$F$31:$F$400,'Étape 1 - à remplir'!$E$31:$E$400,MASQ2!EC259,'Étape 1 - à remplir'!$G$31:$G$400,"kg"),SUMIFS('Étape 1 - à remplir'!$F$31:$F$400,'Étape 1 - à remplir'!$E$31:$E$400,MASQ2!EC259,'Étape 1 - à remplir'!$C$31:$C$400,EL$3)),IF(EL$2="Âge",IF(EL$3="Tous",SUMIFS('Étape 1 - à remplir'!$F$31:$F$400,'Étape 1 - à remplir'!$E$31:$E$400,MASQ2!EC259,'Étape 1 - à remplir'!$G$31:$G$400,"kg"),SUMIFS('Étape 1 - à remplir'!$F$31:$F$400,'Étape 1 - à remplir'!$E$31:$E$400,MASQ2!EC259,'Étape 1 - à remplir'!$P$31:$P$400,EL$3,'Étape 1 - à remplir'!$G$31:$G$400,"kg")),IF(EL$2="Atelier",IF(EL$3="Tous",SUMIFS('Étape 1 - à remplir'!$F$31:$F$400,'Étape 1 - à remplir'!$E$31:$E$400,MASQ2!EC259,'Étape 1 - à remplir'!$G$31:$G$400,"kg"),SUMIFS('Étape 1 - à remplir'!$F$31:$F$400,'Étape 1 - à remplir'!$E$31:$E$400,MASQ2!EC259,'Étape 1 - à remplir'!$O$31:$O$400,EL$3,'Étape 1 - à remplir'!$G$31:$G$400,"kg")),IF(EL$2="Espèce",IF(EL$3="Toutes",SUMIFS('Étape 1 - à remplir'!$F$31:$F$400,'Étape 1 - à remplir'!$E$31:$E$400,MASQ2!EC259,'Étape 1 - à remplir'!$G$31:$G$400,"kg"),SUMIFS('Étape 1 - à remplir'!$F$31:$F$400,'Étape 1 - à remplir'!$E$31:$E$400,MASQ2!EC259,'Étape 1 - à remplir'!$N$31:$N$400,EL$3,'Étape 1 - à remplir'!$G$31:$G$400,"kg")))))))</f>
        <v>#N/A</v>
      </c>
      <c r="EE259" s="76">
        <f t="shared" si="209"/>
        <v>0</v>
      </c>
      <c r="EF259" t="str">
        <f t="shared" si="200"/>
        <v>Tulathromycine</v>
      </c>
      <c r="EG259" t="str">
        <f t="shared" si="201"/>
        <v/>
      </c>
      <c r="EH259" t="str">
        <f t="shared" si="202"/>
        <v/>
      </c>
      <c r="EI259" t="str">
        <f t="shared" si="203"/>
        <v>Macrolides</v>
      </c>
      <c r="EJ259" t="str">
        <f t="shared" si="204"/>
        <v/>
      </c>
      <c r="EK259" s="63" t="str">
        <f t="shared" si="205"/>
        <v/>
      </c>
      <c r="EN259" s="42">
        <v>256</v>
      </c>
      <c r="EO259" t="e">
        <f t="shared" si="211"/>
        <v>#N/A</v>
      </c>
      <c r="EP259" s="63" t="e">
        <f t="shared" si="212"/>
        <v>#N/A</v>
      </c>
      <c r="FT259" s="63"/>
    </row>
    <row r="260" spans="2:176" x14ac:dyDescent="0.3">
      <c r="B260" s="42"/>
      <c r="M260" s="194" t="str">
        <f ca="1">INDEX(Données_ATB!BD:BU,MATCH(MASQ2!O260,Données_ATB!BD:BD,0),18)</f>
        <v/>
      </c>
      <c r="N260" s="14" t="str">
        <f>IFERROR(IF(Q260=0,"",COUNTIF(Q$4:Q$600,"&gt;"&amp;Q260)+COUNTIF(Q$4:Q260,Q260)),"")</f>
        <v/>
      </c>
      <c r="O260" t="str">
        <f>Données_ATB!BD259</f>
        <v>INOXYL ACIDE OXOLINIQUE 240 SALMONIDES</v>
      </c>
      <c r="P260" t="e">
        <f>IF(IF(X$2="Catégorie",IF(X$3="Toutes",SUMIFS('Étape 1 - à remplir'!$F$31:$F$400,'Étape 1 - à remplir'!$E$31:$E$400,MASQ2!O260,'Étape 1 - à remplir'!$G$31:$G$400,"animaux"),SUMIFS('Étape 1 - à remplir'!$F$31:$F$400,'Étape 1 - à remplir'!$E$31:$E$400,MASQ2!O260,'Étape 1 - à remplir'!$C$31:$C$400,X$3)),IF(X$2="Âge",IF(X$3="Tous",SUMIFS('Étape 1 - à remplir'!$F$31:$F$400,'Étape 1 - à remplir'!$E$31:$E$400,MASQ2!O260,'Étape 1 - à remplir'!$G$31:$G$400,"animaux"),SUMIFS('Étape 1 - à remplir'!$F$31:$F$400,'Étape 1 - à remplir'!$E$31:$E$400,MASQ2!O260,'Étape 1 - à remplir'!$P$31:$P$400,X$3)),IF(X$2="Atelier",IF(X$3="Tous",SUMIFS('Étape 1 - à remplir'!$F$31:$F$400,'Étape 1 - à remplir'!$E$31:$E$400,MASQ2!O260,'Étape 1 - à remplir'!$G$31:$G$400,"animaux"),SUMIFS('Étape 1 - à remplir'!$F$31:$F$400,'Étape 1 - à remplir'!$E$31:$E$400,MASQ2!O260,'Étape 1 - à remplir'!$O$31:$O$400,X$3)),IF(X$2="Espèce",IF(X$3="Toutes",SUMIFS('Étape 1 - à remplir'!$F$31:$F$400,'Étape 1 - à remplir'!$E$31:$E$400,MASQ2!O260,'Étape 1 - à remplir'!$G$31:$G$400,"animaux"),SUMIFS('Étape 1 - à remplir'!$F$31:$F$400,'Étape 1 - à remplir'!$E$31:$E$400,MASQ2!O260,'Étape 1 - à remplir'!$N$31:$N$400,X$3))))))=0,NA(),IF(X$2="Catégorie",IF(X$3="Toutes",SUMIFS('Étape 1 - à remplir'!$F$31:$F$400,'Étape 1 - à remplir'!$E$31:$E$400,MASQ2!O260,'Étape 1 - à remplir'!$G$31:$G$400,"animaux"),SUMIFS('Étape 1 - à remplir'!$F$31:$F$400,'Étape 1 - à remplir'!$E$31:$E$400,MASQ2!O260,'Étape 1 - à remplir'!$C$31:$C$400,X$3)),IF(X$2="Âge",IF(X$3="Tous",SUMIFS('Étape 1 - à remplir'!$F$31:$F$400,'Étape 1 - à remplir'!$E$31:$E$400,MASQ2!O260,'Étape 1 - à remplir'!$G$31:$G$400,"animaux"),SUMIFS('Étape 1 - à remplir'!$F$31:$F$400,'Étape 1 - à remplir'!$E$31:$E$400,MASQ2!O260,'Étape 1 - à remplir'!$P$31:$P$400,X$3)),IF(X$2="Atelier",IF(X$3="Tous",SUMIFS('Étape 1 - à remplir'!$F$31:$F$400,'Étape 1 - à remplir'!$E$31:$E$400,MASQ2!O260,'Étape 1 - à remplir'!$G$31:$G$400,"animaux"),SUMIFS('Étape 1 - à remplir'!$F$31:$F$400,'Étape 1 - à remplir'!$E$31:$E$400,MASQ2!O260,'Étape 1 - à remplir'!$O$31:$O$400,X$3)),IF(X$2="Espèce",IF(X$3="Toutes",SUMIFS('Étape 1 - à remplir'!$F$31:$F$400,'Étape 1 - à remplir'!$E$31:$E$400,MASQ2!O260,'Étape 1 - à remplir'!$G$31:$G$400,"animaux"),SUMIFS('Étape 1 - à remplir'!$F$31:$F$400,'Étape 1 - à remplir'!$E$31:$E$400,MASQ2!O260,'Étape 1 - à remplir'!$N$31:$N$400,X$3)))))))</f>
        <v>#N/A</v>
      </c>
      <c r="Q260" s="63">
        <f t="shared" si="210"/>
        <v>0</v>
      </c>
      <c r="R260" t="str">
        <f>Données_ATB!BM259</f>
        <v>Acide oxolinique</v>
      </c>
      <c r="S260" t="str">
        <f>Données_ATB!BN259</f>
        <v/>
      </c>
      <c r="T260" s="63" t="str">
        <f>Données_ATB!BO259</f>
        <v/>
      </c>
      <c r="U260" s="42" t="str">
        <f>Données_ATB!BQ259</f>
        <v>Quinolones</v>
      </c>
      <c r="V260" t="str">
        <f>Données_ATB!BR259</f>
        <v/>
      </c>
      <c r="W260" s="63" t="str">
        <f>Données_ATB!BS259</f>
        <v/>
      </c>
      <c r="Z260" s="42">
        <v>257</v>
      </c>
      <c r="AA260" t="e">
        <f t="shared" si="206"/>
        <v>#N/A</v>
      </c>
      <c r="AB260" s="63" t="e">
        <f t="shared" si="207"/>
        <v>#N/A</v>
      </c>
      <c r="BF260" s="63"/>
      <c r="BT260" s="194" t="str">
        <f t="shared" ref="BT260:BT323" ca="1" si="215">M260</f>
        <v/>
      </c>
      <c r="BU260" s="219" t="str">
        <f>IFERROR(IF(BX260=0,"",COUNTIF(BX$4:BX$600,"&gt;"&amp;BX260)+COUNTIF(BX$4:BX260,BX260)),"")</f>
        <v/>
      </c>
      <c r="BV260" s="42" t="str">
        <f t="shared" ref="BV260:BV323" si="216">O260</f>
        <v>INOXYL ACIDE OXOLINIQUE 240 SALMONIDES</v>
      </c>
      <c r="BW260" t="e">
        <f>IF(IF(CE$2="Catégorie",IF(CE$3="Toutes",SUMIFS('Étape 1 - à remplir'!$F$31:$F$400,'Étape 1 - à remplir'!$E$31:$E$400,MASQ2!BV260,'Étape 1 - à remplir'!$G$31:$G$400,"lots"),SUMIFS('Étape 1 - à remplir'!$F$31:$F$400,'Étape 1 - à remplir'!$E$31:$E$400,MASQ2!BV260,'Étape 1 - à remplir'!$C$31:$C$400,CE$3)),IF(CE$2="Âge",IF(CE$3="Tous",SUMIFS('Étape 1 - à remplir'!$F$31:$F$400,'Étape 1 - à remplir'!$E$31:$E$400,MASQ2!BV260,'Étape 1 - à remplir'!$G$31:$G$400,"lots"),SUMIFS('Étape 1 - à remplir'!$F$31:$F$400,'Étape 1 - à remplir'!$E$31:$E$400,MASQ2!BV260,'Étape 1 - à remplir'!$P$31:$P$400,CE$3,'Étape 1 - à remplir'!$G$31:$G$400,"lots")),IF(CE$2="Atelier",IF(CE$3="Tous",SUMIFS('Étape 1 - à remplir'!$F$31:$F$400,'Étape 1 - à remplir'!$E$31:$E$400,MASQ2!BV260,'Étape 1 - à remplir'!$G$31:$G$400,"lots"),SUMIFS('Étape 1 - à remplir'!$F$31:$F$400,'Étape 1 - à remplir'!$E$31:$E$400,MASQ2!BV260,'Étape 1 - à remplir'!$O$31:$O$400,CE$3,'Étape 1 - à remplir'!$G$31:$G$400,"lots")),IF(CE$2="Espèce",IF(CE$3="Toutes",SUMIFS('Étape 1 - à remplir'!$F$31:$F$400,'Étape 1 - à remplir'!$E$31:$E$400,MASQ2!BV260,'Étape 1 - à remplir'!$G$31:$G$400,"lots"),SUMIFS('Étape 1 - à remplir'!$F$31:$F$400,'Étape 1 - à remplir'!$E$31:$E$400,MASQ2!BV260,'Étape 1 - à remplir'!$N$31:$N$400,CE$3,'Étape 1 - à remplir'!$G$31:$G$400,"lots"))))))=0,NA(),IF(CE$2="Catégorie",IF(CE$3="Toutes",SUMIFS('Étape 1 - à remplir'!$F$31:$F$400,'Étape 1 - à remplir'!$E$31:$E$400,MASQ2!BV260,'Étape 1 - à remplir'!$G$31:$G$400,"lots"),SUMIFS('Étape 1 - à remplir'!$F$31:$F$400,'Étape 1 - à remplir'!$E$31:$E$400,MASQ2!BV260,'Étape 1 - à remplir'!$C$31:$C$400,CE$3)),IF(CE$2="Âge",IF(CE$3="Tous",SUMIFS('Étape 1 - à remplir'!$F$31:$F$400,'Étape 1 - à remplir'!$E$31:$E$400,MASQ2!BV260,'Étape 1 - à remplir'!$G$31:$G$400,"lots"),SUMIFS('Étape 1 - à remplir'!$F$31:$F$400,'Étape 1 - à remplir'!$E$31:$E$400,MASQ2!BV260,'Étape 1 - à remplir'!$P$31:$P$400,CE$3,'Étape 1 - à remplir'!$G$31:$G$400,"lots")),IF(CE$2="Atelier",IF(CE$3="Tous",SUMIFS('Étape 1 - à remplir'!$F$31:$F$400,'Étape 1 - à remplir'!$E$31:$E$400,MASQ2!BV260,'Étape 1 - à remplir'!$G$31:$G$400,"lots"),SUMIFS('Étape 1 - à remplir'!$F$31:$F$400,'Étape 1 - à remplir'!$E$31:$E$400,MASQ2!BV260,'Étape 1 - à remplir'!$O$31:$O$400,CE$3,'Étape 1 - à remplir'!$G$31:$G$400,"lots")),IF(CE$2="Espèce",IF(CE$3="Toutes",SUMIFS('Étape 1 - à remplir'!$F$31:$F$400,'Étape 1 - à remplir'!$E$31:$E$400,MASQ2!BV260,'Étape 1 - à remplir'!$G$31:$G$400,"lots"),SUMIFS('Étape 1 - à remplir'!$F$31:$F$400,'Étape 1 - à remplir'!$E$31:$E$400,MASQ2!BV260,'Étape 1 - à remplir'!$N$31:$N$400,CE$3,'Étape 1 - à remplir'!$G$31:$G$400,"lots")))))))</f>
        <v>#N/A</v>
      </c>
      <c r="BX260">
        <f t="shared" si="208"/>
        <v>0</v>
      </c>
      <c r="BY260" t="str">
        <f t="shared" ref="BY260:BY323" si="217">R260</f>
        <v>Acide oxolinique</v>
      </c>
      <c r="BZ260" t="str">
        <f t="shared" ref="BZ260:BZ323" si="218">S260</f>
        <v/>
      </c>
      <c r="CA260" t="str">
        <f t="shared" ref="CA260:CA323" si="219">T260</f>
        <v/>
      </c>
      <c r="CB260" t="str">
        <f t="shared" ref="CB260:CB323" si="220">U260</f>
        <v>Quinolones</v>
      </c>
      <c r="CC260" t="str">
        <f t="shared" ref="CC260:CC323" si="221">V260</f>
        <v/>
      </c>
      <c r="CD260" s="63" t="str">
        <f t="shared" ref="CD260:CD323" si="222">W260</f>
        <v/>
      </c>
      <c r="CG260" s="42">
        <v>257</v>
      </c>
      <c r="CH260" s="42" t="e">
        <f t="shared" si="213"/>
        <v>#N/A</v>
      </c>
      <c r="CI260" s="63" t="e">
        <f t="shared" si="214"/>
        <v>#N/A</v>
      </c>
      <c r="DM260" s="63"/>
      <c r="EA260" s="194" t="str">
        <f t="shared" ref="EA260:EA323" ca="1" si="223">M260</f>
        <v/>
      </c>
      <c r="EB260" s="226" t="str">
        <f>IFERROR(IF(ED260=0,"",COUNTIF(ED$4:ED$600,"&gt;"&amp;ED260)+COUNTIF(ED$4:ED260,ED260)),"")</f>
        <v/>
      </c>
      <c r="EC260" t="str">
        <f t="shared" ref="EC260:EC323" si="224">O260</f>
        <v>INOXYL ACIDE OXOLINIQUE 240 SALMONIDES</v>
      </c>
      <c r="ED260" t="e">
        <f>IF(IF(EL$2="Catégorie",IF(EL$3="Toutes",SUMIFS('Étape 1 - à remplir'!$F$31:$F$400,'Étape 1 - à remplir'!$E$31:$E$400,MASQ2!EC260,'Étape 1 - à remplir'!$G$31:$G$400,"kg"),SUMIFS('Étape 1 - à remplir'!$F$31:$F$400,'Étape 1 - à remplir'!$E$31:$E$400,MASQ2!EC260,'Étape 1 - à remplir'!$C$31:$C$400,EL$3)),IF(EL$2="Âge",IF(EL$3="Tous",SUMIFS('Étape 1 - à remplir'!$F$31:$F$400,'Étape 1 - à remplir'!$E$31:$E$400,MASQ2!EC260,'Étape 1 - à remplir'!$G$31:$G$400,"kg"),SUMIFS('Étape 1 - à remplir'!$F$31:$F$400,'Étape 1 - à remplir'!$E$31:$E$400,MASQ2!EC260,'Étape 1 - à remplir'!$P$31:$P$400,EL$3,'Étape 1 - à remplir'!$G$31:$G$400,"kg")),IF(EL$2="Atelier",IF(EL$3="Tous",SUMIFS('Étape 1 - à remplir'!$F$31:$F$400,'Étape 1 - à remplir'!$E$31:$E$400,MASQ2!EC260,'Étape 1 - à remplir'!$G$31:$G$400,"kg"),SUMIFS('Étape 1 - à remplir'!$F$31:$F$400,'Étape 1 - à remplir'!$E$31:$E$400,MASQ2!EC260,'Étape 1 - à remplir'!$O$31:$O$400,EL$3,'Étape 1 - à remplir'!$G$31:$G$400,"kg")),IF(EL$2="Espèce",IF(EL$3="Toutes",SUMIFS('Étape 1 - à remplir'!$F$31:$F$400,'Étape 1 - à remplir'!$E$31:$E$400,MASQ2!EC260,'Étape 1 - à remplir'!$G$31:$G$400,"kg"),SUMIFS('Étape 1 - à remplir'!$F$31:$F$400,'Étape 1 - à remplir'!$E$31:$E$400,MASQ2!EC260,'Étape 1 - à remplir'!$N$31:$N$400,EL$3,'Étape 1 - à remplir'!$G$31:$G$400,"kg"))))))=0,NA(),IF(EL$2="Catégorie",IF(EL$3="Toutes",SUMIFS('Étape 1 - à remplir'!$F$31:$F$400,'Étape 1 - à remplir'!$E$31:$E$400,MASQ2!EC260,'Étape 1 - à remplir'!$G$31:$G$400,"kg"),SUMIFS('Étape 1 - à remplir'!$F$31:$F$400,'Étape 1 - à remplir'!$E$31:$E$400,MASQ2!EC260,'Étape 1 - à remplir'!$C$31:$C$400,EL$3)),IF(EL$2="Âge",IF(EL$3="Tous",SUMIFS('Étape 1 - à remplir'!$F$31:$F$400,'Étape 1 - à remplir'!$E$31:$E$400,MASQ2!EC260,'Étape 1 - à remplir'!$G$31:$G$400,"kg"),SUMIFS('Étape 1 - à remplir'!$F$31:$F$400,'Étape 1 - à remplir'!$E$31:$E$400,MASQ2!EC260,'Étape 1 - à remplir'!$P$31:$P$400,EL$3,'Étape 1 - à remplir'!$G$31:$G$400,"kg")),IF(EL$2="Atelier",IF(EL$3="Tous",SUMIFS('Étape 1 - à remplir'!$F$31:$F$400,'Étape 1 - à remplir'!$E$31:$E$400,MASQ2!EC260,'Étape 1 - à remplir'!$G$31:$G$400,"kg"),SUMIFS('Étape 1 - à remplir'!$F$31:$F$400,'Étape 1 - à remplir'!$E$31:$E$400,MASQ2!EC260,'Étape 1 - à remplir'!$O$31:$O$400,EL$3,'Étape 1 - à remplir'!$G$31:$G$400,"kg")),IF(EL$2="Espèce",IF(EL$3="Toutes",SUMIFS('Étape 1 - à remplir'!$F$31:$F$400,'Étape 1 - à remplir'!$E$31:$E$400,MASQ2!EC260,'Étape 1 - à remplir'!$G$31:$G$400,"kg"),SUMIFS('Étape 1 - à remplir'!$F$31:$F$400,'Étape 1 - à remplir'!$E$31:$E$400,MASQ2!EC260,'Étape 1 - à remplir'!$N$31:$N$400,EL$3,'Étape 1 - à remplir'!$G$31:$G$400,"kg")))))))</f>
        <v>#N/A</v>
      </c>
      <c r="EE260" s="76">
        <f t="shared" si="209"/>
        <v>0</v>
      </c>
      <c r="EF260" t="str">
        <f t="shared" ref="EF260:EF323" si="225">R260</f>
        <v>Acide oxolinique</v>
      </c>
      <c r="EG260" t="str">
        <f t="shared" ref="EG260:EG323" si="226">S260</f>
        <v/>
      </c>
      <c r="EH260" t="str">
        <f t="shared" ref="EH260:EH323" si="227">T260</f>
        <v/>
      </c>
      <c r="EI260" t="str">
        <f t="shared" ref="EI260:EI323" si="228">U260</f>
        <v>Quinolones</v>
      </c>
      <c r="EJ260" t="str">
        <f t="shared" ref="EJ260:EJ323" si="229">V260</f>
        <v/>
      </c>
      <c r="EK260" s="63" t="str">
        <f t="shared" ref="EK260:EK323" si="230">W260</f>
        <v/>
      </c>
      <c r="EN260" s="42">
        <v>257</v>
      </c>
      <c r="EO260" t="e">
        <f t="shared" si="211"/>
        <v>#N/A</v>
      </c>
      <c r="EP260" s="63" t="e">
        <f t="shared" si="212"/>
        <v>#N/A</v>
      </c>
      <c r="FT260" s="63"/>
    </row>
    <row r="261" spans="2:176" x14ac:dyDescent="0.3">
      <c r="B261" s="42"/>
      <c r="M261" s="194" t="str">
        <f ca="1">INDEX(Données_ATB!BD:BU,MATCH(MASQ2!O261,Données_ATB!BD:BD,0),18)</f>
        <v/>
      </c>
      <c r="N261" s="14" t="str">
        <f>IFERROR(IF(Q261=0,"",COUNTIF(Q$4:Q$600,"&gt;"&amp;Q261)+COUNTIF(Q$4:Q261,Q261)),"")</f>
        <v/>
      </c>
      <c r="O261" t="str">
        <f>Données_ATB!BD260</f>
        <v>INOXYL BOLUS</v>
      </c>
      <c r="P261" t="e">
        <f>IF(IF(X$2="Catégorie",IF(X$3="Toutes",SUMIFS('Étape 1 - à remplir'!$F$31:$F$400,'Étape 1 - à remplir'!$E$31:$E$400,MASQ2!O261,'Étape 1 - à remplir'!$G$31:$G$400,"animaux"),SUMIFS('Étape 1 - à remplir'!$F$31:$F$400,'Étape 1 - à remplir'!$E$31:$E$400,MASQ2!O261,'Étape 1 - à remplir'!$C$31:$C$400,X$3)),IF(X$2="Âge",IF(X$3="Tous",SUMIFS('Étape 1 - à remplir'!$F$31:$F$400,'Étape 1 - à remplir'!$E$31:$E$400,MASQ2!O261,'Étape 1 - à remplir'!$G$31:$G$400,"animaux"),SUMIFS('Étape 1 - à remplir'!$F$31:$F$400,'Étape 1 - à remplir'!$E$31:$E$400,MASQ2!O261,'Étape 1 - à remplir'!$P$31:$P$400,X$3)),IF(X$2="Atelier",IF(X$3="Tous",SUMIFS('Étape 1 - à remplir'!$F$31:$F$400,'Étape 1 - à remplir'!$E$31:$E$400,MASQ2!O261,'Étape 1 - à remplir'!$G$31:$G$400,"animaux"),SUMIFS('Étape 1 - à remplir'!$F$31:$F$400,'Étape 1 - à remplir'!$E$31:$E$400,MASQ2!O261,'Étape 1 - à remplir'!$O$31:$O$400,X$3)),IF(X$2="Espèce",IF(X$3="Toutes",SUMIFS('Étape 1 - à remplir'!$F$31:$F$400,'Étape 1 - à remplir'!$E$31:$E$400,MASQ2!O261,'Étape 1 - à remplir'!$G$31:$G$400,"animaux"),SUMIFS('Étape 1 - à remplir'!$F$31:$F$400,'Étape 1 - à remplir'!$E$31:$E$400,MASQ2!O261,'Étape 1 - à remplir'!$N$31:$N$400,X$3))))))=0,NA(),IF(X$2="Catégorie",IF(X$3="Toutes",SUMIFS('Étape 1 - à remplir'!$F$31:$F$400,'Étape 1 - à remplir'!$E$31:$E$400,MASQ2!O261,'Étape 1 - à remplir'!$G$31:$G$400,"animaux"),SUMIFS('Étape 1 - à remplir'!$F$31:$F$400,'Étape 1 - à remplir'!$E$31:$E$400,MASQ2!O261,'Étape 1 - à remplir'!$C$31:$C$400,X$3)),IF(X$2="Âge",IF(X$3="Tous",SUMIFS('Étape 1 - à remplir'!$F$31:$F$400,'Étape 1 - à remplir'!$E$31:$E$400,MASQ2!O261,'Étape 1 - à remplir'!$G$31:$G$400,"animaux"),SUMIFS('Étape 1 - à remplir'!$F$31:$F$400,'Étape 1 - à remplir'!$E$31:$E$400,MASQ2!O261,'Étape 1 - à remplir'!$P$31:$P$400,X$3)),IF(X$2="Atelier",IF(X$3="Tous",SUMIFS('Étape 1 - à remplir'!$F$31:$F$400,'Étape 1 - à remplir'!$E$31:$E$400,MASQ2!O261,'Étape 1 - à remplir'!$G$31:$G$400,"animaux"),SUMIFS('Étape 1 - à remplir'!$F$31:$F$400,'Étape 1 - à remplir'!$E$31:$E$400,MASQ2!O261,'Étape 1 - à remplir'!$O$31:$O$400,X$3)),IF(X$2="Espèce",IF(X$3="Toutes",SUMIFS('Étape 1 - à remplir'!$F$31:$F$400,'Étape 1 - à remplir'!$E$31:$E$400,MASQ2!O261,'Étape 1 - à remplir'!$G$31:$G$400,"animaux"),SUMIFS('Étape 1 - à remplir'!$F$31:$F$400,'Étape 1 - à remplir'!$E$31:$E$400,MASQ2!O261,'Étape 1 - à remplir'!$N$31:$N$400,X$3)))))))</f>
        <v>#N/A</v>
      </c>
      <c r="Q261" s="63">
        <f t="shared" si="210"/>
        <v>0</v>
      </c>
      <c r="R261" t="str">
        <f>Données_ATB!BM260</f>
        <v>Acide oxolinique</v>
      </c>
      <c r="S261" t="str">
        <f>Données_ATB!BN260</f>
        <v/>
      </c>
      <c r="T261" s="63" t="str">
        <f>Données_ATB!BO260</f>
        <v/>
      </c>
      <c r="U261" s="42" t="str">
        <f>Données_ATB!BQ260</f>
        <v>Quinolones</v>
      </c>
      <c r="V261" t="str">
        <f>Données_ATB!BR260</f>
        <v/>
      </c>
      <c r="W261" s="63" t="str">
        <f>Données_ATB!BS260</f>
        <v/>
      </c>
      <c r="Z261" s="42">
        <v>258</v>
      </c>
      <c r="AA261" t="e">
        <f t="shared" ref="AA261:AA324" si="231">INDEX(N$3:Q$600,MATCH(Z261,N$3:N$600,0),2)</f>
        <v>#N/A</v>
      </c>
      <c r="AB261" s="63" t="e">
        <f t="shared" ref="AB261:AB324" si="232">INDEX(N$3:Q$600,MATCH(Z261,N$3:N$600,0),4)</f>
        <v>#N/A</v>
      </c>
      <c r="BF261" s="63"/>
      <c r="BT261" s="194" t="str">
        <f t="shared" ca="1" si="215"/>
        <v/>
      </c>
      <c r="BU261" s="219" t="str">
        <f>IFERROR(IF(BX261=0,"",COUNTIF(BX$4:BX$600,"&gt;"&amp;BX261)+COUNTIF(BX$4:BX261,BX261)),"")</f>
        <v/>
      </c>
      <c r="BV261" s="42" t="str">
        <f t="shared" si="216"/>
        <v>INOXYL BOLUS</v>
      </c>
      <c r="BW261" t="e">
        <f>IF(IF(CE$2="Catégorie",IF(CE$3="Toutes",SUMIFS('Étape 1 - à remplir'!$F$31:$F$400,'Étape 1 - à remplir'!$E$31:$E$400,MASQ2!BV261,'Étape 1 - à remplir'!$G$31:$G$400,"lots"),SUMIFS('Étape 1 - à remplir'!$F$31:$F$400,'Étape 1 - à remplir'!$E$31:$E$400,MASQ2!BV261,'Étape 1 - à remplir'!$C$31:$C$400,CE$3)),IF(CE$2="Âge",IF(CE$3="Tous",SUMIFS('Étape 1 - à remplir'!$F$31:$F$400,'Étape 1 - à remplir'!$E$31:$E$400,MASQ2!BV261,'Étape 1 - à remplir'!$G$31:$G$400,"lots"),SUMIFS('Étape 1 - à remplir'!$F$31:$F$400,'Étape 1 - à remplir'!$E$31:$E$400,MASQ2!BV261,'Étape 1 - à remplir'!$P$31:$P$400,CE$3,'Étape 1 - à remplir'!$G$31:$G$400,"lots")),IF(CE$2="Atelier",IF(CE$3="Tous",SUMIFS('Étape 1 - à remplir'!$F$31:$F$400,'Étape 1 - à remplir'!$E$31:$E$400,MASQ2!BV261,'Étape 1 - à remplir'!$G$31:$G$400,"lots"),SUMIFS('Étape 1 - à remplir'!$F$31:$F$400,'Étape 1 - à remplir'!$E$31:$E$400,MASQ2!BV261,'Étape 1 - à remplir'!$O$31:$O$400,CE$3,'Étape 1 - à remplir'!$G$31:$G$400,"lots")),IF(CE$2="Espèce",IF(CE$3="Toutes",SUMIFS('Étape 1 - à remplir'!$F$31:$F$400,'Étape 1 - à remplir'!$E$31:$E$400,MASQ2!BV261,'Étape 1 - à remplir'!$G$31:$G$400,"lots"),SUMIFS('Étape 1 - à remplir'!$F$31:$F$400,'Étape 1 - à remplir'!$E$31:$E$400,MASQ2!BV261,'Étape 1 - à remplir'!$N$31:$N$400,CE$3,'Étape 1 - à remplir'!$G$31:$G$400,"lots"))))))=0,NA(),IF(CE$2="Catégorie",IF(CE$3="Toutes",SUMIFS('Étape 1 - à remplir'!$F$31:$F$400,'Étape 1 - à remplir'!$E$31:$E$400,MASQ2!BV261,'Étape 1 - à remplir'!$G$31:$G$400,"lots"),SUMIFS('Étape 1 - à remplir'!$F$31:$F$400,'Étape 1 - à remplir'!$E$31:$E$400,MASQ2!BV261,'Étape 1 - à remplir'!$C$31:$C$400,CE$3)),IF(CE$2="Âge",IF(CE$3="Tous",SUMIFS('Étape 1 - à remplir'!$F$31:$F$400,'Étape 1 - à remplir'!$E$31:$E$400,MASQ2!BV261,'Étape 1 - à remplir'!$G$31:$G$400,"lots"),SUMIFS('Étape 1 - à remplir'!$F$31:$F$400,'Étape 1 - à remplir'!$E$31:$E$400,MASQ2!BV261,'Étape 1 - à remplir'!$P$31:$P$400,CE$3,'Étape 1 - à remplir'!$G$31:$G$400,"lots")),IF(CE$2="Atelier",IF(CE$3="Tous",SUMIFS('Étape 1 - à remplir'!$F$31:$F$400,'Étape 1 - à remplir'!$E$31:$E$400,MASQ2!BV261,'Étape 1 - à remplir'!$G$31:$G$400,"lots"),SUMIFS('Étape 1 - à remplir'!$F$31:$F$400,'Étape 1 - à remplir'!$E$31:$E$400,MASQ2!BV261,'Étape 1 - à remplir'!$O$31:$O$400,CE$3,'Étape 1 - à remplir'!$G$31:$G$400,"lots")),IF(CE$2="Espèce",IF(CE$3="Toutes",SUMIFS('Étape 1 - à remplir'!$F$31:$F$400,'Étape 1 - à remplir'!$E$31:$E$400,MASQ2!BV261,'Étape 1 - à remplir'!$G$31:$G$400,"lots"),SUMIFS('Étape 1 - à remplir'!$F$31:$F$400,'Étape 1 - à remplir'!$E$31:$E$400,MASQ2!BV261,'Étape 1 - à remplir'!$N$31:$N$400,CE$3,'Étape 1 - à remplir'!$G$31:$G$400,"lots")))))))</f>
        <v>#N/A</v>
      </c>
      <c r="BX261">
        <f t="shared" ref="BX261:BX324" si="233">IFERROR(BW261,0)</f>
        <v>0</v>
      </c>
      <c r="BY261" t="str">
        <f t="shared" si="217"/>
        <v>Acide oxolinique</v>
      </c>
      <c r="BZ261" t="str">
        <f t="shared" si="218"/>
        <v/>
      </c>
      <c r="CA261" t="str">
        <f t="shared" si="219"/>
        <v/>
      </c>
      <c r="CB261" t="str">
        <f t="shared" si="220"/>
        <v>Quinolones</v>
      </c>
      <c r="CC261" t="str">
        <f t="shared" si="221"/>
        <v/>
      </c>
      <c r="CD261" s="63" t="str">
        <f t="shared" si="222"/>
        <v/>
      </c>
      <c r="CG261" s="42">
        <v>258</v>
      </c>
      <c r="CH261" s="42" t="e">
        <f t="shared" si="213"/>
        <v>#N/A</v>
      </c>
      <c r="CI261" s="63" t="e">
        <f t="shared" si="214"/>
        <v>#N/A</v>
      </c>
      <c r="DM261" s="63"/>
      <c r="EA261" s="194" t="str">
        <f t="shared" ca="1" si="223"/>
        <v/>
      </c>
      <c r="EB261" s="226" t="str">
        <f>IFERROR(IF(ED261=0,"",COUNTIF(ED$4:ED$600,"&gt;"&amp;ED261)+COUNTIF(ED$4:ED261,ED261)),"")</f>
        <v/>
      </c>
      <c r="EC261" t="str">
        <f t="shared" si="224"/>
        <v>INOXYL BOLUS</v>
      </c>
      <c r="ED261" t="e">
        <f>IF(IF(EL$2="Catégorie",IF(EL$3="Toutes",SUMIFS('Étape 1 - à remplir'!$F$31:$F$400,'Étape 1 - à remplir'!$E$31:$E$400,MASQ2!EC261,'Étape 1 - à remplir'!$G$31:$G$400,"kg"),SUMIFS('Étape 1 - à remplir'!$F$31:$F$400,'Étape 1 - à remplir'!$E$31:$E$400,MASQ2!EC261,'Étape 1 - à remplir'!$C$31:$C$400,EL$3)),IF(EL$2="Âge",IF(EL$3="Tous",SUMIFS('Étape 1 - à remplir'!$F$31:$F$400,'Étape 1 - à remplir'!$E$31:$E$400,MASQ2!EC261,'Étape 1 - à remplir'!$G$31:$G$400,"kg"),SUMIFS('Étape 1 - à remplir'!$F$31:$F$400,'Étape 1 - à remplir'!$E$31:$E$400,MASQ2!EC261,'Étape 1 - à remplir'!$P$31:$P$400,EL$3,'Étape 1 - à remplir'!$G$31:$G$400,"kg")),IF(EL$2="Atelier",IF(EL$3="Tous",SUMIFS('Étape 1 - à remplir'!$F$31:$F$400,'Étape 1 - à remplir'!$E$31:$E$400,MASQ2!EC261,'Étape 1 - à remplir'!$G$31:$G$400,"kg"),SUMIFS('Étape 1 - à remplir'!$F$31:$F$400,'Étape 1 - à remplir'!$E$31:$E$400,MASQ2!EC261,'Étape 1 - à remplir'!$O$31:$O$400,EL$3,'Étape 1 - à remplir'!$G$31:$G$400,"kg")),IF(EL$2="Espèce",IF(EL$3="Toutes",SUMIFS('Étape 1 - à remplir'!$F$31:$F$400,'Étape 1 - à remplir'!$E$31:$E$400,MASQ2!EC261,'Étape 1 - à remplir'!$G$31:$G$400,"kg"),SUMIFS('Étape 1 - à remplir'!$F$31:$F$400,'Étape 1 - à remplir'!$E$31:$E$400,MASQ2!EC261,'Étape 1 - à remplir'!$N$31:$N$400,EL$3,'Étape 1 - à remplir'!$G$31:$G$400,"kg"))))))=0,NA(),IF(EL$2="Catégorie",IF(EL$3="Toutes",SUMIFS('Étape 1 - à remplir'!$F$31:$F$400,'Étape 1 - à remplir'!$E$31:$E$400,MASQ2!EC261,'Étape 1 - à remplir'!$G$31:$G$400,"kg"),SUMIFS('Étape 1 - à remplir'!$F$31:$F$400,'Étape 1 - à remplir'!$E$31:$E$400,MASQ2!EC261,'Étape 1 - à remplir'!$C$31:$C$400,EL$3)),IF(EL$2="Âge",IF(EL$3="Tous",SUMIFS('Étape 1 - à remplir'!$F$31:$F$400,'Étape 1 - à remplir'!$E$31:$E$400,MASQ2!EC261,'Étape 1 - à remplir'!$G$31:$G$400,"kg"),SUMIFS('Étape 1 - à remplir'!$F$31:$F$400,'Étape 1 - à remplir'!$E$31:$E$400,MASQ2!EC261,'Étape 1 - à remplir'!$P$31:$P$400,EL$3,'Étape 1 - à remplir'!$G$31:$G$400,"kg")),IF(EL$2="Atelier",IF(EL$3="Tous",SUMIFS('Étape 1 - à remplir'!$F$31:$F$400,'Étape 1 - à remplir'!$E$31:$E$400,MASQ2!EC261,'Étape 1 - à remplir'!$G$31:$G$400,"kg"),SUMIFS('Étape 1 - à remplir'!$F$31:$F$400,'Étape 1 - à remplir'!$E$31:$E$400,MASQ2!EC261,'Étape 1 - à remplir'!$O$31:$O$400,EL$3,'Étape 1 - à remplir'!$G$31:$G$400,"kg")),IF(EL$2="Espèce",IF(EL$3="Toutes",SUMIFS('Étape 1 - à remplir'!$F$31:$F$400,'Étape 1 - à remplir'!$E$31:$E$400,MASQ2!EC261,'Étape 1 - à remplir'!$G$31:$G$400,"kg"),SUMIFS('Étape 1 - à remplir'!$F$31:$F$400,'Étape 1 - à remplir'!$E$31:$E$400,MASQ2!EC261,'Étape 1 - à remplir'!$N$31:$N$400,EL$3,'Étape 1 - à remplir'!$G$31:$G$400,"kg")))))))</f>
        <v>#N/A</v>
      </c>
      <c r="EE261" s="76">
        <f t="shared" ref="EE261:EE324" si="234">IFERROR(ED261,0)</f>
        <v>0</v>
      </c>
      <c r="EF261" t="str">
        <f t="shared" si="225"/>
        <v>Acide oxolinique</v>
      </c>
      <c r="EG261" t="str">
        <f t="shared" si="226"/>
        <v/>
      </c>
      <c r="EH261" t="str">
        <f t="shared" si="227"/>
        <v/>
      </c>
      <c r="EI261" t="str">
        <f t="shared" si="228"/>
        <v>Quinolones</v>
      </c>
      <c r="EJ261" t="str">
        <f t="shared" si="229"/>
        <v/>
      </c>
      <c r="EK261" s="63" t="str">
        <f t="shared" si="230"/>
        <v/>
      </c>
      <c r="EN261" s="42">
        <v>258</v>
      </c>
      <c r="EO261" t="e">
        <f t="shared" si="211"/>
        <v>#N/A</v>
      </c>
      <c r="EP261" s="63" t="e">
        <f t="shared" si="212"/>
        <v>#N/A</v>
      </c>
      <c r="FT261" s="63"/>
    </row>
    <row r="262" spans="2:176" x14ac:dyDescent="0.3">
      <c r="B262" s="42"/>
      <c r="M262" s="194" t="str">
        <f ca="1">INDEX(Données_ATB!BD:BU,MATCH(MASQ2!O262,Données_ATB!BD:BD,0),18)</f>
        <v/>
      </c>
      <c r="N262" s="14" t="str">
        <f>IFERROR(IF(Q262=0,"",COUNTIF(Q$4:Q$600,"&gt;"&amp;Q262)+COUNTIF(Q$4:Q262,Q262)),"")</f>
        <v/>
      </c>
      <c r="O262" t="str">
        <f>Données_ATB!BD261</f>
        <v>INOXYL PATE ORALE</v>
      </c>
      <c r="P262" t="e">
        <f>IF(IF(X$2="Catégorie",IF(X$3="Toutes",SUMIFS('Étape 1 - à remplir'!$F$31:$F$400,'Étape 1 - à remplir'!$E$31:$E$400,MASQ2!O262,'Étape 1 - à remplir'!$G$31:$G$400,"animaux"),SUMIFS('Étape 1 - à remplir'!$F$31:$F$400,'Étape 1 - à remplir'!$E$31:$E$400,MASQ2!O262,'Étape 1 - à remplir'!$C$31:$C$400,X$3)),IF(X$2="Âge",IF(X$3="Tous",SUMIFS('Étape 1 - à remplir'!$F$31:$F$400,'Étape 1 - à remplir'!$E$31:$E$400,MASQ2!O262,'Étape 1 - à remplir'!$G$31:$G$400,"animaux"),SUMIFS('Étape 1 - à remplir'!$F$31:$F$400,'Étape 1 - à remplir'!$E$31:$E$400,MASQ2!O262,'Étape 1 - à remplir'!$P$31:$P$400,X$3)),IF(X$2="Atelier",IF(X$3="Tous",SUMIFS('Étape 1 - à remplir'!$F$31:$F$400,'Étape 1 - à remplir'!$E$31:$E$400,MASQ2!O262,'Étape 1 - à remplir'!$G$31:$G$400,"animaux"),SUMIFS('Étape 1 - à remplir'!$F$31:$F$400,'Étape 1 - à remplir'!$E$31:$E$400,MASQ2!O262,'Étape 1 - à remplir'!$O$31:$O$400,X$3)),IF(X$2="Espèce",IF(X$3="Toutes",SUMIFS('Étape 1 - à remplir'!$F$31:$F$400,'Étape 1 - à remplir'!$E$31:$E$400,MASQ2!O262,'Étape 1 - à remplir'!$G$31:$G$400,"animaux"),SUMIFS('Étape 1 - à remplir'!$F$31:$F$400,'Étape 1 - à remplir'!$E$31:$E$400,MASQ2!O262,'Étape 1 - à remplir'!$N$31:$N$400,X$3))))))=0,NA(),IF(X$2="Catégorie",IF(X$3="Toutes",SUMIFS('Étape 1 - à remplir'!$F$31:$F$400,'Étape 1 - à remplir'!$E$31:$E$400,MASQ2!O262,'Étape 1 - à remplir'!$G$31:$G$400,"animaux"),SUMIFS('Étape 1 - à remplir'!$F$31:$F$400,'Étape 1 - à remplir'!$E$31:$E$400,MASQ2!O262,'Étape 1 - à remplir'!$C$31:$C$400,X$3)),IF(X$2="Âge",IF(X$3="Tous",SUMIFS('Étape 1 - à remplir'!$F$31:$F$400,'Étape 1 - à remplir'!$E$31:$E$400,MASQ2!O262,'Étape 1 - à remplir'!$G$31:$G$400,"animaux"),SUMIFS('Étape 1 - à remplir'!$F$31:$F$400,'Étape 1 - à remplir'!$E$31:$E$400,MASQ2!O262,'Étape 1 - à remplir'!$P$31:$P$400,X$3)),IF(X$2="Atelier",IF(X$3="Tous",SUMIFS('Étape 1 - à remplir'!$F$31:$F$400,'Étape 1 - à remplir'!$E$31:$E$400,MASQ2!O262,'Étape 1 - à remplir'!$G$31:$G$400,"animaux"),SUMIFS('Étape 1 - à remplir'!$F$31:$F$400,'Étape 1 - à remplir'!$E$31:$E$400,MASQ2!O262,'Étape 1 - à remplir'!$O$31:$O$400,X$3)),IF(X$2="Espèce",IF(X$3="Toutes",SUMIFS('Étape 1 - à remplir'!$F$31:$F$400,'Étape 1 - à remplir'!$E$31:$E$400,MASQ2!O262,'Étape 1 - à remplir'!$G$31:$G$400,"animaux"),SUMIFS('Étape 1 - à remplir'!$F$31:$F$400,'Étape 1 - à remplir'!$E$31:$E$400,MASQ2!O262,'Étape 1 - à remplir'!$N$31:$N$400,X$3)))))))</f>
        <v>#N/A</v>
      </c>
      <c r="Q262" s="63">
        <f t="shared" ref="Q262:Q325" si="235">IFERROR(P262,0)</f>
        <v>0</v>
      </c>
      <c r="R262" t="str">
        <f>Données_ATB!BM261</f>
        <v>Acide oxolinique</v>
      </c>
      <c r="S262" t="str">
        <f>Données_ATB!BN261</f>
        <v/>
      </c>
      <c r="T262" s="63" t="str">
        <f>Données_ATB!BO261</f>
        <v/>
      </c>
      <c r="U262" s="42" t="str">
        <f>Données_ATB!BQ261</f>
        <v>Quinolones</v>
      </c>
      <c r="V262" t="str">
        <f>Données_ATB!BR261</f>
        <v/>
      </c>
      <c r="W262" s="63" t="str">
        <f>Données_ATB!BS261</f>
        <v/>
      </c>
      <c r="Z262" s="42">
        <v>259</v>
      </c>
      <c r="AA262" t="e">
        <f t="shared" si="231"/>
        <v>#N/A</v>
      </c>
      <c r="AB262" s="63" t="e">
        <f t="shared" si="232"/>
        <v>#N/A</v>
      </c>
      <c r="BF262" s="63"/>
      <c r="BT262" s="194" t="str">
        <f t="shared" ca="1" si="215"/>
        <v/>
      </c>
      <c r="BU262" s="219" t="str">
        <f>IFERROR(IF(BX262=0,"",COUNTIF(BX$4:BX$600,"&gt;"&amp;BX262)+COUNTIF(BX$4:BX262,BX262)),"")</f>
        <v/>
      </c>
      <c r="BV262" s="42" t="str">
        <f t="shared" si="216"/>
        <v>INOXYL PATE ORALE</v>
      </c>
      <c r="BW262" t="e">
        <f>IF(IF(CE$2="Catégorie",IF(CE$3="Toutes",SUMIFS('Étape 1 - à remplir'!$F$31:$F$400,'Étape 1 - à remplir'!$E$31:$E$400,MASQ2!BV262,'Étape 1 - à remplir'!$G$31:$G$400,"lots"),SUMIFS('Étape 1 - à remplir'!$F$31:$F$400,'Étape 1 - à remplir'!$E$31:$E$400,MASQ2!BV262,'Étape 1 - à remplir'!$C$31:$C$400,CE$3)),IF(CE$2="Âge",IF(CE$3="Tous",SUMIFS('Étape 1 - à remplir'!$F$31:$F$400,'Étape 1 - à remplir'!$E$31:$E$400,MASQ2!BV262,'Étape 1 - à remplir'!$G$31:$G$400,"lots"),SUMIFS('Étape 1 - à remplir'!$F$31:$F$400,'Étape 1 - à remplir'!$E$31:$E$400,MASQ2!BV262,'Étape 1 - à remplir'!$P$31:$P$400,CE$3,'Étape 1 - à remplir'!$G$31:$G$400,"lots")),IF(CE$2="Atelier",IF(CE$3="Tous",SUMIFS('Étape 1 - à remplir'!$F$31:$F$400,'Étape 1 - à remplir'!$E$31:$E$400,MASQ2!BV262,'Étape 1 - à remplir'!$G$31:$G$400,"lots"),SUMIFS('Étape 1 - à remplir'!$F$31:$F$400,'Étape 1 - à remplir'!$E$31:$E$400,MASQ2!BV262,'Étape 1 - à remplir'!$O$31:$O$400,CE$3,'Étape 1 - à remplir'!$G$31:$G$400,"lots")),IF(CE$2="Espèce",IF(CE$3="Toutes",SUMIFS('Étape 1 - à remplir'!$F$31:$F$400,'Étape 1 - à remplir'!$E$31:$E$400,MASQ2!BV262,'Étape 1 - à remplir'!$G$31:$G$400,"lots"),SUMIFS('Étape 1 - à remplir'!$F$31:$F$400,'Étape 1 - à remplir'!$E$31:$E$400,MASQ2!BV262,'Étape 1 - à remplir'!$N$31:$N$400,CE$3,'Étape 1 - à remplir'!$G$31:$G$400,"lots"))))))=0,NA(),IF(CE$2="Catégorie",IF(CE$3="Toutes",SUMIFS('Étape 1 - à remplir'!$F$31:$F$400,'Étape 1 - à remplir'!$E$31:$E$400,MASQ2!BV262,'Étape 1 - à remplir'!$G$31:$G$400,"lots"),SUMIFS('Étape 1 - à remplir'!$F$31:$F$400,'Étape 1 - à remplir'!$E$31:$E$400,MASQ2!BV262,'Étape 1 - à remplir'!$C$31:$C$400,CE$3)),IF(CE$2="Âge",IF(CE$3="Tous",SUMIFS('Étape 1 - à remplir'!$F$31:$F$400,'Étape 1 - à remplir'!$E$31:$E$400,MASQ2!BV262,'Étape 1 - à remplir'!$G$31:$G$400,"lots"),SUMIFS('Étape 1 - à remplir'!$F$31:$F$400,'Étape 1 - à remplir'!$E$31:$E$400,MASQ2!BV262,'Étape 1 - à remplir'!$P$31:$P$400,CE$3,'Étape 1 - à remplir'!$G$31:$G$400,"lots")),IF(CE$2="Atelier",IF(CE$3="Tous",SUMIFS('Étape 1 - à remplir'!$F$31:$F$400,'Étape 1 - à remplir'!$E$31:$E$400,MASQ2!BV262,'Étape 1 - à remplir'!$G$31:$G$400,"lots"),SUMIFS('Étape 1 - à remplir'!$F$31:$F$400,'Étape 1 - à remplir'!$E$31:$E$400,MASQ2!BV262,'Étape 1 - à remplir'!$O$31:$O$400,CE$3,'Étape 1 - à remplir'!$G$31:$G$400,"lots")),IF(CE$2="Espèce",IF(CE$3="Toutes",SUMIFS('Étape 1 - à remplir'!$F$31:$F$400,'Étape 1 - à remplir'!$E$31:$E$400,MASQ2!BV262,'Étape 1 - à remplir'!$G$31:$G$400,"lots"),SUMIFS('Étape 1 - à remplir'!$F$31:$F$400,'Étape 1 - à remplir'!$E$31:$E$400,MASQ2!BV262,'Étape 1 - à remplir'!$N$31:$N$400,CE$3,'Étape 1 - à remplir'!$G$31:$G$400,"lots")))))))</f>
        <v>#N/A</v>
      </c>
      <c r="BX262">
        <f t="shared" si="233"/>
        <v>0</v>
      </c>
      <c r="BY262" t="str">
        <f t="shared" si="217"/>
        <v>Acide oxolinique</v>
      </c>
      <c r="BZ262" t="str">
        <f t="shared" si="218"/>
        <v/>
      </c>
      <c r="CA262" t="str">
        <f t="shared" si="219"/>
        <v/>
      </c>
      <c r="CB262" t="str">
        <f t="shared" si="220"/>
        <v>Quinolones</v>
      </c>
      <c r="CC262" t="str">
        <f t="shared" si="221"/>
        <v/>
      </c>
      <c r="CD262" s="63" t="str">
        <f t="shared" si="222"/>
        <v/>
      </c>
      <c r="CG262" s="42">
        <v>259</v>
      </c>
      <c r="CH262" s="42" t="e">
        <f t="shared" si="213"/>
        <v>#N/A</v>
      </c>
      <c r="CI262" s="63" t="e">
        <f t="shared" si="214"/>
        <v>#N/A</v>
      </c>
      <c r="DM262" s="63"/>
      <c r="EA262" s="194" t="str">
        <f t="shared" ca="1" si="223"/>
        <v/>
      </c>
      <c r="EB262" s="226" t="str">
        <f>IFERROR(IF(ED262=0,"",COUNTIF(ED$4:ED$600,"&gt;"&amp;ED262)+COUNTIF(ED$4:ED262,ED262)),"")</f>
        <v/>
      </c>
      <c r="EC262" t="str">
        <f t="shared" si="224"/>
        <v>INOXYL PATE ORALE</v>
      </c>
      <c r="ED262" t="e">
        <f>IF(IF(EL$2="Catégorie",IF(EL$3="Toutes",SUMIFS('Étape 1 - à remplir'!$F$31:$F$400,'Étape 1 - à remplir'!$E$31:$E$400,MASQ2!EC262,'Étape 1 - à remplir'!$G$31:$G$400,"kg"),SUMIFS('Étape 1 - à remplir'!$F$31:$F$400,'Étape 1 - à remplir'!$E$31:$E$400,MASQ2!EC262,'Étape 1 - à remplir'!$C$31:$C$400,EL$3)),IF(EL$2="Âge",IF(EL$3="Tous",SUMIFS('Étape 1 - à remplir'!$F$31:$F$400,'Étape 1 - à remplir'!$E$31:$E$400,MASQ2!EC262,'Étape 1 - à remplir'!$G$31:$G$400,"kg"),SUMIFS('Étape 1 - à remplir'!$F$31:$F$400,'Étape 1 - à remplir'!$E$31:$E$400,MASQ2!EC262,'Étape 1 - à remplir'!$P$31:$P$400,EL$3,'Étape 1 - à remplir'!$G$31:$G$400,"kg")),IF(EL$2="Atelier",IF(EL$3="Tous",SUMIFS('Étape 1 - à remplir'!$F$31:$F$400,'Étape 1 - à remplir'!$E$31:$E$400,MASQ2!EC262,'Étape 1 - à remplir'!$G$31:$G$400,"kg"),SUMIFS('Étape 1 - à remplir'!$F$31:$F$400,'Étape 1 - à remplir'!$E$31:$E$400,MASQ2!EC262,'Étape 1 - à remplir'!$O$31:$O$400,EL$3,'Étape 1 - à remplir'!$G$31:$G$400,"kg")),IF(EL$2="Espèce",IF(EL$3="Toutes",SUMIFS('Étape 1 - à remplir'!$F$31:$F$400,'Étape 1 - à remplir'!$E$31:$E$400,MASQ2!EC262,'Étape 1 - à remplir'!$G$31:$G$400,"kg"),SUMIFS('Étape 1 - à remplir'!$F$31:$F$400,'Étape 1 - à remplir'!$E$31:$E$400,MASQ2!EC262,'Étape 1 - à remplir'!$N$31:$N$400,EL$3,'Étape 1 - à remplir'!$G$31:$G$400,"kg"))))))=0,NA(),IF(EL$2="Catégorie",IF(EL$3="Toutes",SUMIFS('Étape 1 - à remplir'!$F$31:$F$400,'Étape 1 - à remplir'!$E$31:$E$400,MASQ2!EC262,'Étape 1 - à remplir'!$G$31:$G$400,"kg"),SUMIFS('Étape 1 - à remplir'!$F$31:$F$400,'Étape 1 - à remplir'!$E$31:$E$400,MASQ2!EC262,'Étape 1 - à remplir'!$C$31:$C$400,EL$3)),IF(EL$2="Âge",IF(EL$3="Tous",SUMIFS('Étape 1 - à remplir'!$F$31:$F$400,'Étape 1 - à remplir'!$E$31:$E$400,MASQ2!EC262,'Étape 1 - à remplir'!$G$31:$G$400,"kg"),SUMIFS('Étape 1 - à remplir'!$F$31:$F$400,'Étape 1 - à remplir'!$E$31:$E$400,MASQ2!EC262,'Étape 1 - à remplir'!$P$31:$P$400,EL$3,'Étape 1 - à remplir'!$G$31:$G$400,"kg")),IF(EL$2="Atelier",IF(EL$3="Tous",SUMIFS('Étape 1 - à remplir'!$F$31:$F$400,'Étape 1 - à remplir'!$E$31:$E$400,MASQ2!EC262,'Étape 1 - à remplir'!$G$31:$G$400,"kg"),SUMIFS('Étape 1 - à remplir'!$F$31:$F$400,'Étape 1 - à remplir'!$E$31:$E$400,MASQ2!EC262,'Étape 1 - à remplir'!$O$31:$O$400,EL$3,'Étape 1 - à remplir'!$G$31:$G$400,"kg")),IF(EL$2="Espèce",IF(EL$3="Toutes",SUMIFS('Étape 1 - à remplir'!$F$31:$F$400,'Étape 1 - à remplir'!$E$31:$E$400,MASQ2!EC262,'Étape 1 - à remplir'!$G$31:$G$400,"kg"),SUMIFS('Étape 1 - à remplir'!$F$31:$F$400,'Étape 1 - à remplir'!$E$31:$E$400,MASQ2!EC262,'Étape 1 - à remplir'!$N$31:$N$400,EL$3,'Étape 1 - à remplir'!$G$31:$G$400,"kg")))))))</f>
        <v>#N/A</v>
      </c>
      <c r="EE262" s="76">
        <f t="shared" si="234"/>
        <v>0</v>
      </c>
      <c r="EF262" t="str">
        <f t="shared" si="225"/>
        <v>Acide oxolinique</v>
      </c>
      <c r="EG262" t="str">
        <f t="shared" si="226"/>
        <v/>
      </c>
      <c r="EH262" t="str">
        <f t="shared" si="227"/>
        <v/>
      </c>
      <c r="EI262" t="str">
        <f t="shared" si="228"/>
        <v>Quinolones</v>
      </c>
      <c r="EJ262" t="str">
        <f t="shared" si="229"/>
        <v/>
      </c>
      <c r="EK262" s="63" t="str">
        <f t="shared" si="230"/>
        <v/>
      </c>
      <c r="EN262" s="42">
        <v>259</v>
      </c>
      <c r="EO262" t="e">
        <f t="shared" si="211"/>
        <v>#N/A</v>
      </c>
      <c r="EP262" s="63" t="e">
        <f t="shared" si="212"/>
        <v>#N/A</v>
      </c>
      <c r="FT262" s="63"/>
    </row>
    <row r="263" spans="2:176" x14ac:dyDescent="0.3">
      <c r="B263" s="42"/>
      <c r="M263" s="194" t="str">
        <f ca="1">INDEX(Données_ATB!BD:BU,MATCH(MASQ2!O263,Données_ATB!BD:BD,0),18)</f>
        <v/>
      </c>
      <c r="N263" s="14" t="str">
        <f>IFERROR(IF(Q263=0,"",COUNTIF(Q$4:Q$600,"&gt;"&amp;Q263)+COUNTIF(Q$4:Q263,Q263)),"")</f>
        <v/>
      </c>
      <c r="O263" t="str">
        <f>Données_ATB!BD262</f>
        <v>INOXYL POUDRE ORALE</v>
      </c>
      <c r="P263" t="e">
        <f>IF(IF(X$2="Catégorie",IF(X$3="Toutes",SUMIFS('Étape 1 - à remplir'!$F$31:$F$400,'Étape 1 - à remplir'!$E$31:$E$400,MASQ2!O263,'Étape 1 - à remplir'!$G$31:$G$400,"animaux"),SUMIFS('Étape 1 - à remplir'!$F$31:$F$400,'Étape 1 - à remplir'!$E$31:$E$400,MASQ2!O263,'Étape 1 - à remplir'!$C$31:$C$400,X$3)),IF(X$2="Âge",IF(X$3="Tous",SUMIFS('Étape 1 - à remplir'!$F$31:$F$400,'Étape 1 - à remplir'!$E$31:$E$400,MASQ2!O263,'Étape 1 - à remplir'!$G$31:$G$400,"animaux"),SUMIFS('Étape 1 - à remplir'!$F$31:$F$400,'Étape 1 - à remplir'!$E$31:$E$400,MASQ2!O263,'Étape 1 - à remplir'!$P$31:$P$400,X$3)),IF(X$2="Atelier",IF(X$3="Tous",SUMIFS('Étape 1 - à remplir'!$F$31:$F$400,'Étape 1 - à remplir'!$E$31:$E$400,MASQ2!O263,'Étape 1 - à remplir'!$G$31:$G$400,"animaux"),SUMIFS('Étape 1 - à remplir'!$F$31:$F$400,'Étape 1 - à remplir'!$E$31:$E$400,MASQ2!O263,'Étape 1 - à remplir'!$O$31:$O$400,X$3)),IF(X$2="Espèce",IF(X$3="Toutes",SUMIFS('Étape 1 - à remplir'!$F$31:$F$400,'Étape 1 - à remplir'!$E$31:$E$400,MASQ2!O263,'Étape 1 - à remplir'!$G$31:$G$400,"animaux"),SUMIFS('Étape 1 - à remplir'!$F$31:$F$400,'Étape 1 - à remplir'!$E$31:$E$400,MASQ2!O263,'Étape 1 - à remplir'!$N$31:$N$400,X$3))))))=0,NA(),IF(X$2="Catégorie",IF(X$3="Toutes",SUMIFS('Étape 1 - à remplir'!$F$31:$F$400,'Étape 1 - à remplir'!$E$31:$E$400,MASQ2!O263,'Étape 1 - à remplir'!$G$31:$G$400,"animaux"),SUMIFS('Étape 1 - à remplir'!$F$31:$F$400,'Étape 1 - à remplir'!$E$31:$E$400,MASQ2!O263,'Étape 1 - à remplir'!$C$31:$C$400,X$3)),IF(X$2="Âge",IF(X$3="Tous",SUMIFS('Étape 1 - à remplir'!$F$31:$F$400,'Étape 1 - à remplir'!$E$31:$E$400,MASQ2!O263,'Étape 1 - à remplir'!$G$31:$G$400,"animaux"),SUMIFS('Étape 1 - à remplir'!$F$31:$F$400,'Étape 1 - à remplir'!$E$31:$E$400,MASQ2!O263,'Étape 1 - à remplir'!$P$31:$P$400,X$3)),IF(X$2="Atelier",IF(X$3="Tous",SUMIFS('Étape 1 - à remplir'!$F$31:$F$400,'Étape 1 - à remplir'!$E$31:$E$400,MASQ2!O263,'Étape 1 - à remplir'!$G$31:$G$400,"animaux"),SUMIFS('Étape 1 - à remplir'!$F$31:$F$400,'Étape 1 - à remplir'!$E$31:$E$400,MASQ2!O263,'Étape 1 - à remplir'!$O$31:$O$400,X$3)),IF(X$2="Espèce",IF(X$3="Toutes",SUMIFS('Étape 1 - à remplir'!$F$31:$F$400,'Étape 1 - à remplir'!$E$31:$E$400,MASQ2!O263,'Étape 1 - à remplir'!$G$31:$G$400,"animaux"),SUMIFS('Étape 1 - à remplir'!$F$31:$F$400,'Étape 1 - à remplir'!$E$31:$E$400,MASQ2!O263,'Étape 1 - à remplir'!$N$31:$N$400,X$3)))))))</f>
        <v>#N/A</v>
      </c>
      <c r="Q263" s="63">
        <f t="shared" si="235"/>
        <v>0</v>
      </c>
      <c r="R263" t="str">
        <f>Données_ATB!BM262</f>
        <v>Acide oxolinique</v>
      </c>
      <c r="S263" t="str">
        <f>Données_ATB!BN262</f>
        <v/>
      </c>
      <c r="T263" s="63" t="str">
        <f>Données_ATB!BO262</f>
        <v/>
      </c>
      <c r="U263" s="42" t="str">
        <f>Données_ATB!BQ262</f>
        <v>Quinolones</v>
      </c>
      <c r="V263" t="str">
        <f>Données_ATB!BR262</f>
        <v/>
      </c>
      <c r="W263" s="63" t="str">
        <f>Données_ATB!BS262</f>
        <v/>
      </c>
      <c r="Z263" s="42">
        <v>260</v>
      </c>
      <c r="AA263" t="e">
        <f t="shared" si="231"/>
        <v>#N/A</v>
      </c>
      <c r="AB263" s="63" t="e">
        <f t="shared" si="232"/>
        <v>#N/A</v>
      </c>
      <c r="BF263" s="63"/>
      <c r="BT263" s="194" t="str">
        <f t="shared" ca="1" si="215"/>
        <v/>
      </c>
      <c r="BU263" s="219" t="str">
        <f>IFERROR(IF(BX263=0,"",COUNTIF(BX$4:BX$600,"&gt;"&amp;BX263)+COUNTIF(BX$4:BX263,BX263)),"")</f>
        <v/>
      </c>
      <c r="BV263" s="42" t="str">
        <f t="shared" si="216"/>
        <v>INOXYL POUDRE ORALE</v>
      </c>
      <c r="BW263" t="e">
        <f>IF(IF(CE$2="Catégorie",IF(CE$3="Toutes",SUMIFS('Étape 1 - à remplir'!$F$31:$F$400,'Étape 1 - à remplir'!$E$31:$E$400,MASQ2!BV263,'Étape 1 - à remplir'!$G$31:$G$400,"lots"),SUMIFS('Étape 1 - à remplir'!$F$31:$F$400,'Étape 1 - à remplir'!$E$31:$E$400,MASQ2!BV263,'Étape 1 - à remplir'!$C$31:$C$400,CE$3)),IF(CE$2="Âge",IF(CE$3="Tous",SUMIFS('Étape 1 - à remplir'!$F$31:$F$400,'Étape 1 - à remplir'!$E$31:$E$400,MASQ2!BV263,'Étape 1 - à remplir'!$G$31:$G$400,"lots"),SUMIFS('Étape 1 - à remplir'!$F$31:$F$400,'Étape 1 - à remplir'!$E$31:$E$400,MASQ2!BV263,'Étape 1 - à remplir'!$P$31:$P$400,CE$3,'Étape 1 - à remplir'!$G$31:$G$400,"lots")),IF(CE$2="Atelier",IF(CE$3="Tous",SUMIFS('Étape 1 - à remplir'!$F$31:$F$400,'Étape 1 - à remplir'!$E$31:$E$400,MASQ2!BV263,'Étape 1 - à remplir'!$G$31:$G$400,"lots"),SUMIFS('Étape 1 - à remplir'!$F$31:$F$400,'Étape 1 - à remplir'!$E$31:$E$400,MASQ2!BV263,'Étape 1 - à remplir'!$O$31:$O$400,CE$3,'Étape 1 - à remplir'!$G$31:$G$400,"lots")),IF(CE$2="Espèce",IF(CE$3="Toutes",SUMIFS('Étape 1 - à remplir'!$F$31:$F$400,'Étape 1 - à remplir'!$E$31:$E$400,MASQ2!BV263,'Étape 1 - à remplir'!$G$31:$G$400,"lots"),SUMIFS('Étape 1 - à remplir'!$F$31:$F$400,'Étape 1 - à remplir'!$E$31:$E$400,MASQ2!BV263,'Étape 1 - à remplir'!$N$31:$N$400,CE$3,'Étape 1 - à remplir'!$G$31:$G$400,"lots"))))))=0,NA(),IF(CE$2="Catégorie",IF(CE$3="Toutes",SUMIFS('Étape 1 - à remplir'!$F$31:$F$400,'Étape 1 - à remplir'!$E$31:$E$400,MASQ2!BV263,'Étape 1 - à remplir'!$G$31:$G$400,"lots"),SUMIFS('Étape 1 - à remplir'!$F$31:$F$400,'Étape 1 - à remplir'!$E$31:$E$400,MASQ2!BV263,'Étape 1 - à remplir'!$C$31:$C$400,CE$3)),IF(CE$2="Âge",IF(CE$3="Tous",SUMIFS('Étape 1 - à remplir'!$F$31:$F$400,'Étape 1 - à remplir'!$E$31:$E$400,MASQ2!BV263,'Étape 1 - à remplir'!$G$31:$G$400,"lots"),SUMIFS('Étape 1 - à remplir'!$F$31:$F$400,'Étape 1 - à remplir'!$E$31:$E$400,MASQ2!BV263,'Étape 1 - à remplir'!$P$31:$P$400,CE$3,'Étape 1 - à remplir'!$G$31:$G$400,"lots")),IF(CE$2="Atelier",IF(CE$3="Tous",SUMIFS('Étape 1 - à remplir'!$F$31:$F$400,'Étape 1 - à remplir'!$E$31:$E$400,MASQ2!BV263,'Étape 1 - à remplir'!$G$31:$G$400,"lots"),SUMIFS('Étape 1 - à remplir'!$F$31:$F$400,'Étape 1 - à remplir'!$E$31:$E$400,MASQ2!BV263,'Étape 1 - à remplir'!$O$31:$O$400,CE$3,'Étape 1 - à remplir'!$G$31:$G$400,"lots")),IF(CE$2="Espèce",IF(CE$3="Toutes",SUMIFS('Étape 1 - à remplir'!$F$31:$F$400,'Étape 1 - à remplir'!$E$31:$E$400,MASQ2!BV263,'Étape 1 - à remplir'!$G$31:$G$400,"lots"),SUMIFS('Étape 1 - à remplir'!$F$31:$F$400,'Étape 1 - à remplir'!$E$31:$E$400,MASQ2!BV263,'Étape 1 - à remplir'!$N$31:$N$400,CE$3,'Étape 1 - à remplir'!$G$31:$G$400,"lots")))))))</f>
        <v>#N/A</v>
      </c>
      <c r="BX263">
        <f t="shared" si="233"/>
        <v>0</v>
      </c>
      <c r="BY263" t="str">
        <f t="shared" si="217"/>
        <v>Acide oxolinique</v>
      </c>
      <c r="BZ263" t="str">
        <f t="shared" si="218"/>
        <v/>
      </c>
      <c r="CA263" t="str">
        <f t="shared" si="219"/>
        <v/>
      </c>
      <c r="CB263" t="str">
        <f t="shared" si="220"/>
        <v>Quinolones</v>
      </c>
      <c r="CC263" t="str">
        <f t="shared" si="221"/>
        <v/>
      </c>
      <c r="CD263" s="63" t="str">
        <f t="shared" si="222"/>
        <v/>
      </c>
      <c r="CG263" s="42">
        <v>260</v>
      </c>
      <c r="CH263" s="42" t="e">
        <f t="shared" si="213"/>
        <v>#N/A</v>
      </c>
      <c r="CI263" s="63" t="e">
        <f t="shared" si="214"/>
        <v>#N/A</v>
      </c>
      <c r="DM263" s="63"/>
      <c r="EA263" s="194" t="str">
        <f t="shared" ca="1" si="223"/>
        <v/>
      </c>
      <c r="EB263" s="226" t="str">
        <f>IFERROR(IF(ED263=0,"",COUNTIF(ED$4:ED$600,"&gt;"&amp;ED263)+COUNTIF(ED$4:ED263,ED263)),"")</f>
        <v/>
      </c>
      <c r="EC263" t="str">
        <f t="shared" si="224"/>
        <v>INOXYL POUDRE ORALE</v>
      </c>
      <c r="ED263" t="e">
        <f>IF(IF(EL$2="Catégorie",IF(EL$3="Toutes",SUMIFS('Étape 1 - à remplir'!$F$31:$F$400,'Étape 1 - à remplir'!$E$31:$E$400,MASQ2!EC263,'Étape 1 - à remplir'!$G$31:$G$400,"kg"),SUMIFS('Étape 1 - à remplir'!$F$31:$F$400,'Étape 1 - à remplir'!$E$31:$E$400,MASQ2!EC263,'Étape 1 - à remplir'!$C$31:$C$400,EL$3)),IF(EL$2="Âge",IF(EL$3="Tous",SUMIFS('Étape 1 - à remplir'!$F$31:$F$400,'Étape 1 - à remplir'!$E$31:$E$400,MASQ2!EC263,'Étape 1 - à remplir'!$G$31:$G$400,"kg"),SUMIFS('Étape 1 - à remplir'!$F$31:$F$400,'Étape 1 - à remplir'!$E$31:$E$400,MASQ2!EC263,'Étape 1 - à remplir'!$P$31:$P$400,EL$3,'Étape 1 - à remplir'!$G$31:$G$400,"kg")),IF(EL$2="Atelier",IF(EL$3="Tous",SUMIFS('Étape 1 - à remplir'!$F$31:$F$400,'Étape 1 - à remplir'!$E$31:$E$400,MASQ2!EC263,'Étape 1 - à remplir'!$G$31:$G$400,"kg"),SUMIFS('Étape 1 - à remplir'!$F$31:$F$400,'Étape 1 - à remplir'!$E$31:$E$400,MASQ2!EC263,'Étape 1 - à remplir'!$O$31:$O$400,EL$3,'Étape 1 - à remplir'!$G$31:$G$400,"kg")),IF(EL$2="Espèce",IF(EL$3="Toutes",SUMIFS('Étape 1 - à remplir'!$F$31:$F$400,'Étape 1 - à remplir'!$E$31:$E$400,MASQ2!EC263,'Étape 1 - à remplir'!$G$31:$G$400,"kg"),SUMIFS('Étape 1 - à remplir'!$F$31:$F$400,'Étape 1 - à remplir'!$E$31:$E$400,MASQ2!EC263,'Étape 1 - à remplir'!$N$31:$N$400,EL$3,'Étape 1 - à remplir'!$G$31:$G$400,"kg"))))))=0,NA(),IF(EL$2="Catégorie",IF(EL$3="Toutes",SUMIFS('Étape 1 - à remplir'!$F$31:$F$400,'Étape 1 - à remplir'!$E$31:$E$400,MASQ2!EC263,'Étape 1 - à remplir'!$G$31:$G$400,"kg"),SUMIFS('Étape 1 - à remplir'!$F$31:$F$400,'Étape 1 - à remplir'!$E$31:$E$400,MASQ2!EC263,'Étape 1 - à remplir'!$C$31:$C$400,EL$3)),IF(EL$2="Âge",IF(EL$3="Tous",SUMIFS('Étape 1 - à remplir'!$F$31:$F$400,'Étape 1 - à remplir'!$E$31:$E$400,MASQ2!EC263,'Étape 1 - à remplir'!$G$31:$G$400,"kg"),SUMIFS('Étape 1 - à remplir'!$F$31:$F$400,'Étape 1 - à remplir'!$E$31:$E$400,MASQ2!EC263,'Étape 1 - à remplir'!$P$31:$P$400,EL$3,'Étape 1 - à remplir'!$G$31:$G$400,"kg")),IF(EL$2="Atelier",IF(EL$3="Tous",SUMIFS('Étape 1 - à remplir'!$F$31:$F$400,'Étape 1 - à remplir'!$E$31:$E$400,MASQ2!EC263,'Étape 1 - à remplir'!$G$31:$G$400,"kg"),SUMIFS('Étape 1 - à remplir'!$F$31:$F$400,'Étape 1 - à remplir'!$E$31:$E$400,MASQ2!EC263,'Étape 1 - à remplir'!$O$31:$O$400,EL$3,'Étape 1 - à remplir'!$G$31:$G$400,"kg")),IF(EL$2="Espèce",IF(EL$3="Toutes",SUMIFS('Étape 1 - à remplir'!$F$31:$F$400,'Étape 1 - à remplir'!$E$31:$E$400,MASQ2!EC263,'Étape 1 - à remplir'!$G$31:$G$400,"kg"),SUMIFS('Étape 1 - à remplir'!$F$31:$F$400,'Étape 1 - à remplir'!$E$31:$E$400,MASQ2!EC263,'Étape 1 - à remplir'!$N$31:$N$400,EL$3,'Étape 1 - à remplir'!$G$31:$G$400,"kg")))))))</f>
        <v>#N/A</v>
      </c>
      <c r="EE263" s="76">
        <f t="shared" si="234"/>
        <v>0</v>
      </c>
      <c r="EF263" t="str">
        <f t="shared" si="225"/>
        <v>Acide oxolinique</v>
      </c>
      <c r="EG263" t="str">
        <f t="shared" si="226"/>
        <v/>
      </c>
      <c r="EH263" t="str">
        <f t="shared" si="227"/>
        <v/>
      </c>
      <c r="EI263" t="str">
        <f t="shared" si="228"/>
        <v>Quinolones</v>
      </c>
      <c r="EJ263" t="str">
        <f t="shared" si="229"/>
        <v/>
      </c>
      <c r="EK263" s="63" t="str">
        <f t="shared" si="230"/>
        <v/>
      </c>
      <c r="EN263" s="42">
        <v>260</v>
      </c>
      <c r="EO263" t="e">
        <f t="shared" si="211"/>
        <v>#N/A</v>
      </c>
      <c r="EP263" s="63" t="e">
        <f t="shared" si="212"/>
        <v>#N/A</v>
      </c>
      <c r="FT263" s="63"/>
    </row>
    <row r="264" spans="2:176" x14ac:dyDescent="0.3">
      <c r="B264" s="42"/>
      <c r="M264" s="194" t="str">
        <f ca="1">INDEX(Données_ATB!BD:BU,MATCH(MASQ2!O264,Données_ATB!BD:BD,0),18)</f>
        <v/>
      </c>
      <c r="N264" s="14" t="str">
        <f>IFERROR(IF(Q264=0,"",COUNTIF(Q$4:Q$600,"&gt;"&amp;Q264)+COUNTIF(Q$4:Q264,Q264)),"")</f>
        <v/>
      </c>
      <c r="O264" t="str">
        <f>Données_ATB!BD263</f>
        <v>INOXYL SOLUTION BUVABLE</v>
      </c>
      <c r="P264" t="e">
        <f>IF(IF(X$2="Catégorie",IF(X$3="Toutes",SUMIFS('Étape 1 - à remplir'!$F$31:$F$400,'Étape 1 - à remplir'!$E$31:$E$400,MASQ2!O264,'Étape 1 - à remplir'!$G$31:$G$400,"animaux"),SUMIFS('Étape 1 - à remplir'!$F$31:$F$400,'Étape 1 - à remplir'!$E$31:$E$400,MASQ2!O264,'Étape 1 - à remplir'!$C$31:$C$400,X$3)),IF(X$2="Âge",IF(X$3="Tous",SUMIFS('Étape 1 - à remplir'!$F$31:$F$400,'Étape 1 - à remplir'!$E$31:$E$400,MASQ2!O264,'Étape 1 - à remplir'!$G$31:$G$400,"animaux"),SUMIFS('Étape 1 - à remplir'!$F$31:$F$400,'Étape 1 - à remplir'!$E$31:$E$400,MASQ2!O264,'Étape 1 - à remplir'!$P$31:$P$400,X$3)),IF(X$2="Atelier",IF(X$3="Tous",SUMIFS('Étape 1 - à remplir'!$F$31:$F$400,'Étape 1 - à remplir'!$E$31:$E$400,MASQ2!O264,'Étape 1 - à remplir'!$G$31:$G$400,"animaux"),SUMIFS('Étape 1 - à remplir'!$F$31:$F$400,'Étape 1 - à remplir'!$E$31:$E$400,MASQ2!O264,'Étape 1 - à remplir'!$O$31:$O$400,X$3)),IF(X$2="Espèce",IF(X$3="Toutes",SUMIFS('Étape 1 - à remplir'!$F$31:$F$400,'Étape 1 - à remplir'!$E$31:$E$400,MASQ2!O264,'Étape 1 - à remplir'!$G$31:$G$400,"animaux"),SUMIFS('Étape 1 - à remplir'!$F$31:$F$400,'Étape 1 - à remplir'!$E$31:$E$400,MASQ2!O264,'Étape 1 - à remplir'!$N$31:$N$400,X$3))))))=0,NA(),IF(X$2="Catégorie",IF(X$3="Toutes",SUMIFS('Étape 1 - à remplir'!$F$31:$F$400,'Étape 1 - à remplir'!$E$31:$E$400,MASQ2!O264,'Étape 1 - à remplir'!$G$31:$G$400,"animaux"),SUMIFS('Étape 1 - à remplir'!$F$31:$F$400,'Étape 1 - à remplir'!$E$31:$E$400,MASQ2!O264,'Étape 1 - à remplir'!$C$31:$C$400,X$3)),IF(X$2="Âge",IF(X$3="Tous",SUMIFS('Étape 1 - à remplir'!$F$31:$F$400,'Étape 1 - à remplir'!$E$31:$E$400,MASQ2!O264,'Étape 1 - à remplir'!$G$31:$G$400,"animaux"),SUMIFS('Étape 1 - à remplir'!$F$31:$F$400,'Étape 1 - à remplir'!$E$31:$E$400,MASQ2!O264,'Étape 1 - à remplir'!$P$31:$P$400,X$3)),IF(X$2="Atelier",IF(X$3="Tous",SUMIFS('Étape 1 - à remplir'!$F$31:$F$400,'Étape 1 - à remplir'!$E$31:$E$400,MASQ2!O264,'Étape 1 - à remplir'!$G$31:$G$400,"animaux"),SUMIFS('Étape 1 - à remplir'!$F$31:$F$400,'Étape 1 - à remplir'!$E$31:$E$400,MASQ2!O264,'Étape 1 - à remplir'!$O$31:$O$400,X$3)),IF(X$2="Espèce",IF(X$3="Toutes",SUMIFS('Étape 1 - à remplir'!$F$31:$F$400,'Étape 1 - à remplir'!$E$31:$E$400,MASQ2!O264,'Étape 1 - à remplir'!$G$31:$G$400,"animaux"),SUMIFS('Étape 1 - à remplir'!$F$31:$F$400,'Étape 1 - à remplir'!$E$31:$E$400,MASQ2!O264,'Étape 1 - à remplir'!$N$31:$N$400,X$3)))))))</f>
        <v>#N/A</v>
      </c>
      <c r="Q264" s="63">
        <f t="shared" si="235"/>
        <v>0</v>
      </c>
      <c r="R264" t="str">
        <f>Données_ATB!BM263</f>
        <v>Acide oxolinique</v>
      </c>
      <c r="S264" t="str">
        <f>Données_ATB!BN263</f>
        <v/>
      </c>
      <c r="T264" s="63" t="str">
        <f>Données_ATB!BO263</f>
        <v/>
      </c>
      <c r="U264" s="42" t="str">
        <f>Données_ATB!BQ263</f>
        <v>Quinolones</v>
      </c>
      <c r="V264" t="str">
        <f>Données_ATB!BR263</f>
        <v/>
      </c>
      <c r="W264" s="63" t="str">
        <f>Données_ATB!BS263</f>
        <v/>
      </c>
      <c r="Z264" s="42">
        <v>261</v>
      </c>
      <c r="AA264" t="e">
        <f t="shared" si="231"/>
        <v>#N/A</v>
      </c>
      <c r="AB264" s="63" t="e">
        <f t="shared" si="232"/>
        <v>#N/A</v>
      </c>
      <c r="BF264" s="63"/>
      <c r="BT264" s="194" t="str">
        <f t="shared" ca="1" si="215"/>
        <v/>
      </c>
      <c r="BU264" s="219" t="str">
        <f>IFERROR(IF(BX264=0,"",COUNTIF(BX$4:BX$600,"&gt;"&amp;BX264)+COUNTIF(BX$4:BX264,BX264)),"")</f>
        <v/>
      </c>
      <c r="BV264" s="42" t="str">
        <f t="shared" si="216"/>
        <v>INOXYL SOLUTION BUVABLE</v>
      </c>
      <c r="BW264" t="e">
        <f>IF(IF(CE$2="Catégorie",IF(CE$3="Toutes",SUMIFS('Étape 1 - à remplir'!$F$31:$F$400,'Étape 1 - à remplir'!$E$31:$E$400,MASQ2!BV264,'Étape 1 - à remplir'!$G$31:$G$400,"lots"),SUMIFS('Étape 1 - à remplir'!$F$31:$F$400,'Étape 1 - à remplir'!$E$31:$E$400,MASQ2!BV264,'Étape 1 - à remplir'!$C$31:$C$400,CE$3)),IF(CE$2="Âge",IF(CE$3="Tous",SUMIFS('Étape 1 - à remplir'!$F$31:$F$400,'Étape 1 - à remplir'!$E$31:$E$400,MASQ2!BV264,'Étape 1 - à remplir'!$G$31:$G$400,"lots"),SUMIFS('Étape 1 - à remplir'!$F$31:$F$400,'Étape 1 - à remplir'!$E$31:$E$400,MASQ2!BV264,'Étape 1 - à remplir'!$P$31:$P$400,CE$3,'Étape 1 - à remplir'!$G$31:$G$400,"lots")),IF(CE$2="Atelier",IF(CE$3="Tous",SUMIFS('Étape 1 - à remplir'!$F$31:$F$400,'Étape 1 - à remplir'!$E$31:$E$400,MASQ2!BV264,'Étape 1 - à remplir'!$G$31:$G$400,"lots"),SUMIFS('Étape 1 - à remplir'!$F$31:$F$400,'Étape 1 - à remplir'!$E$31:$E$400,MASQ2!BV264,'Étape 1 - à remplir'!$O$31:$O$400,CE$3,'Étape 1 - à remplir'!$G$31:$G$400,"lots")),IF(CE$2="Espèce",IF(CE$3="Toutes",SUMIFS('Étape 1 - à remplir'!$F$31:$F$400,'Étape 1 - à remplir'!$E$31:$E$400,MASQ2!BV264,'Étape 1 - à remplir'!$G$31:$G$400,"lots"),SUMIFS('Étape 1 - à remplir'!$F$31:$F$400,'Étape 1 - à remplir'!$E$31:$E$400,MASQ2!BV264,'Étape 1 - à remplir'!$N$31:$N$400,CE$3,'Étape 1 - à remplir'!$G$31:$G$400,"lots"))))))=0,NA(),IF(CE$2="Catégorie",IF(CE$3="Toutes",SUMIFS('Étape 1 - à remplir'!$F$31:$F$400,'Étape 1 - à remplir'!$E$31:$E$400,MASQ2!BV264,'Étape 1 - à remplir'!$G$31:$G$400,"lots"),SUMIFS('Étape 1 - à remplir'!$F$31:$F$400,'Étape 1 - à remplir'!$E$31:$E$400,MASQ2!BV264,'Étape 1 - à remplir'!$C$31:$C$400,CE$3)),IF(CE$2="Âge",IF(CE$3="Tous",SUMIFS('Étape 1 - à remplir'!$F$31:$F$400,'Étape 1 - à remplir'!$E$31:$E$400,MASQ2!BV264,'Étape 1 - à remplir'!$G$31:$G$400,"lots"),SUMIFS('Étape 1 - à remplir'!$F$31:$F$400,'Étape 1 - à remplir'!$E$31:$E$400,MASQ2!BV264,'Étape 1 - à remplir'!$P$31:$P$400,CE$3,'Étape 1 - à remplir'!$G$31:$G$400,"lots")),IF(CE$2="Atelier",IF(CE$3="Tous",SUMIFS('Étape 1 - à remplir'!$F$31:$F$400,'Étape 1 - à remplir'!$E$31:$E$400,MASQ2!BV264,'Étape 1 - à remplir'!$G$31:$G$400,"lots"),SUMIFS('Étape 1 - à remplir'!$F$31:$F$400,'Étape 1 - à remplir'!$E$31:$E$400,MASQ2!BV264,'Étape 1 - à remplir'!$O$31:$O$400,CE$3,'Étape 1 - à remplir'!$G$31:$G$400,"lots")),IF(CE$2="Espèce",IF(CE$3="Toutes",SUMIFS('Étape 1 - à remplir'!$F$31:$F$400,'Étape 1 - à remplir'!$E$31:$E$400,MASQ2!BV264,'Étape 1 - à remplir'!$G$31:$G$400,"lots"),SUMIFS('Étape 1 - à remplir'!$F$31:$F$400,'Étape 1 - à remplir'!$E$31:$E$400,MASQ2!BV264,'Étape 1 - à remplir'!$N$31:$N$400,CE$3,'Étape 1 - à remplir'!$G$31:$G$400,"lots")))))))</f>
        <v>#N/A</v>
      </c>
      <c r="BX264">
        <f t="shared" si="233"/>
        <v>0</v>
      </c>
      <c r="BY264" t="str">
        <f t="shared" si="217"/>
        <v>Acide oxolinique</v>
      </c>
      <c r="BZ264" t="str">
        <f t="shared" si="218"/>
        <v/>
      </c>
      <c r="CA264" t="str">
        <f t="shared" si="219"/>
        <v/>
      </c>
      <c r="CB264" t="str">
        <f t="shared" si="220"/>
        <v>Quinolones</v>
      </c>
      <c r="CC264" t="str">
        <f t="shared" si="221"/>
        <v/>
      </c>
      <c r="CD264" s="63" t="str">
        <f t="shared" si="222"/>
        <v/>
      </c>
      <c r="CG264" s="42">
        <v>261</v>
      </c>
      <c r="CH264" s="42" t="e">
        <f t="shared" si="213"/>
        <v>#N/A</v>
      </c>
      <c r="CI264" s="63" t="e">
        <f t="shared" si="214"/>
        <v>#N/A</v>
      </c>
      <c r="DM264" s="63"/>
      <c r="EA264" s="194" t="str">
        <f t="shared" ca="1" si="223"/>
        <v/>
      </c>
      <c r="EB264" s="226" t="str">
        <f>IFERROR(IF(ED264=0,"",COUNTIF(ED$4:ED$600,"&gt;"&amp;ED264)+COUNTIF(ED$4:ED264,ED264)),"")</f>
        <v/>
      </c>
      <c r="EC264" t="str">
        <f t="shared" si="224"/>
        <v>INOXYL SOLUTION BUVABLE</v>
      </c>
      <c r="ED264" t="e">
        <f>IF(IF(EL$2="Catégorie",IF(EL$3="Toutes",SUMIFS('Étape 1 - à remplir'!$F$31:$F$400,'Étape 1 - à remplir'!$E$31:$E$400,MASQ2!EC264,'Étape 1 - à remplir'!$G$31:$G$400,"kg"),SUMIFS('Étape 1 - à remplir'!$F$31:$F$400,'Étape 1 - à remplir'!$E$31:$E$400,MASQ2!EC264,'Étape 1 - à remplir'!$C$31:$C$400,EL$3)),IF(EL$2="Âge",IF(EL$3="Tous",SUMIFS('Étape 1 - à remplir'!$F$31:$F$400,'Étape 1 - à remplir'!$E$31:$E$400,MASQ2!EC264,'Étape 1 - à remplir'!$G$31:$G$400,"kg"),SUMIFS('Étape 1 - à remplir'!$F$31:$F$400,'Étape 1 - à remplir'!$E$31:$E$400,MASQ2!EC264,'Étape 1 - à remplir'!$P$31:$P$400,EL$3,'Étape 1 - à remplir'!$G$31:$G$400,"kg")),IF(EL$2="Atelier",IF(EL$3="Tous",SUMIFS('Étape 1 - à remplir'!$F$31:$F$400,'Étape 1 - à remplir'!$E$31:$E$400,MASQ2!EC264,'Étape 1 - à remplir'!$G$31:$G$400,"kg"),SUMIFS('Étape 1 - à remplir'!$F$31:$F$400,'Étape 1 - à remplir'!$E$31:$E$400,MASQ2!EC264,'Étape 1 - à remplir'!$O$31:$O$400,EL$3,'Étape 1 - à remplir'!$G$31:$G$400,"kg")),IF(EL$2="Espèce",IF(EL$3="Toutes",SUMIFS('Étape 1 - à remplir'!$F$31:$F$400,'Étape 1 - à remplir'!$E$31:$E$400,MASQ2!EC264,'Étape 1 - à remplir'!$G$31:$G$400,"kg"),SUMIFS('Étape 1 - à remplir'!$F$31:$F$400,'Étape 1 - à remplir'!$E$31:$E$400,MASQ2!EC264,'Étape 1 - à remplir'!$N$31:$N$400,EL$3,'Étape 1 - à remplir'!$G$31:$G$400,"kg"))))))=0,NA(),IF(EL$2="Catégorie",IF(EL$3="Toutes",SUMIFS('Étape 1 - à remplir'!$F$31:$F$400,'Étape 1 - à remplir'!$E$31:$E$400,MASQ2!EC264,'Étape 1 - à remplir'!$G$31:$G$400,"kg"),SUMIFS('Étape 1 - à remplir'!$F$31:$F$400,'Étape 1 - à remplir'!$E$31:$E$400,MASQ2!EC264,'Étape 1 - à remplir'!$C$31:$C$400,EL$3)),IF(EL$2="Âge",IF(EL$3="Tous",SUMIFS('Étape 1 - à remplir'!$F$31:$F$400,'Étape 1 - à remplir'!$E$31:$E$400,MASQ2!EC264,'Étape 1 - à remplir'!$G$31:$G$400,"kg"),SUMIFS('Étape 1 - à remplir'!$F$31:$F$400,'Étape 1 - à remplir'!$E$31:$E$400,MASQ2!EC264,'Étape 1 - à remplir'!$P$31:$P$400,EL$3,'Étape 1 - à remplir'!$G$31:$G$400,"kg")),IF(EL$2="Atelier",IF(EL$3="Tous",SUMIFS('Étape 1 - à remplir'!$F$31:$F$400,'Étape 1 - à remplir'!$E$31:$E$400,MASQ2!EC264,'Étape 1 - à remplir'!$G$31:$G$400,"kg"),SUMIFS('Étape 1 - à remplir'!$F$31:$F$400,'Étape 1 - à remplir'!$E$31:$E$400,MASQ2!EC264,'Étape 1 - à remplir'!$O$31:$O$400,EL$3,'Étape 1 - à remplir'!$G$31:$G$400,"kg")),IF(EL$2="Espèce",IF(EL$3="Toutes",SUMIFS('Étape 1 - à remplir'!$F$31:$F$400,'Étape 1 - à remplir'!$E$31:$E$400,MASQ2!EC264,'Étape 1 - à remplir'!$G$31:$G$400,"kg"),SUMIFS('Étape 1 - à remplir'!$F$31:$F$400,'Étape 1 - à remplir'!$E$31:$E$400,MASQ2!EC264,'Étape 1 - à remplir'!$N$31:$N$400,EL$3,'Étape 1 - à remplir'!$G$31:$G$400,"kg")))))))</f>
        <v>#N/A</v>
      </c>
      <c r="EE264" s="76">
        <f t="shared" si="234"/>
        <v>0</v>
      </c>
      <c r="EF264" t="str">
        <f t="shared" si="225"/>
        <v>Acide oxolinique</v>
      </c>
      <c r="EG264" t="str">
        <f t="shared" si="226"/>
        <v/>
      </c>
      <c r="EH264" t="str">
        <f t="shared" si="227"/>
        <v/>
      </c>
      <c r="EI264" t="str">
        <f t="shared" si="228"/>
        <v>Quinolones</v>
      </c>
      <c r="EJ264" t="str">
        <f t="shared" si="229"/>
        <v/>
      </c>
      <c r="EK264" s="63" t="str">
        <f t="shared" si="230"/>
        <v/>
      </c>
      <c r="EN264" s="42">
        <v>261</v>
      </c>
      <c r="EO264" t="e">
        <f t="shared" si="211"/>
        <v>#N/A</v>
      </c>
      <c r="EP264" s="63" t="e">
        <f t="shared" si="212"/>
        <v>#N/A</v>
      </c>
      <c r="FT264" s="63"/>
    </row>
    <row r="265" spans="2:176" x14ac:dyDescent="0.3">
      <c r="B265" s="42"/>
      <c r="M265" s="194" t="str">
        <f ca="1">INDEX(Données_ATB!BD:BU,MATCH(MASQ2!O265,Données_ATB!BD:BD,0),18)</f>
        <v>x</v>
      </c>
      <c r="N265" s="14" t="str">
        <f>IFERROR(IF(Q265=0,"",COUNTIF(Q$4:Q$600,"&gt;"&amp;Q265)+COUNTIF(Q$4:Q265,Q265)),"")</f>
        <v/>
      </c>
      <c r="O265" t="str">
        <f>Données_ATB!BD264</f>
        <v>INTESTIVO</v>
      </c>
      <c r="P265" t="e">
        <f>IF(IF(X$2="Catégorie",IF(X$3="Toutes",SUMIFS('Étape 1 - à remplir'!$F$31:$F$400,'Étape 1 - à remplir'!$E$31:$E$400,MASQ2!O265,'Étape 1 - à remplir'!$G$31:$G$400,"animaux"),SUMIFS('Étape 1 - à remplir'!$F$31:$F$400,'Étape 1 - à remplir'!$E$31:$E$400,MASQ2!O265,'Étape 1 - à remplir'!$C$31:$C$400,X$3)),IF(X$2="Âge",IF(X$3="Tous",SUMIFS('Étape 1 - à remplir'!$F$31:$F$400,'Étape 1 - à remplir'!$E$31:$E$400,MASQ2!O265,'Étape 1 - à remplir'!$G$31:$G$400,"animaux"),SUMIFS('Étape 1 - à remplir'!$F$31:$F$400,'Étape 1 - à remplir'!$E$31:$E$400,MASQ2!O265,'Étape 1 - à remplir'!$P$31:$P$400,X$3)),IF(X$2="Atelier",IF(X$3="Tous",SUMIFS('Étape 1 - à remplir'!$F$31:$F$400,'Étape 1 - à remplir'!$E$31:$E$400,MASQ2!O265,'Étape 1 - à remplir'!$G$31:$G$400,"animaux"),SUMIFS('Étape 1 - à remplir'!$F$31:$F$400,'Étape 1 - à remplir'!$E$31:$E$400,MASQ2!O265,'Étape 1 - à remplir'!$O$31:$O$400,X$3)),IF(X$2="Espèce",IF(X$3="Toutes",SUMIFS('Étape 1 - à remplir'!$F$31:$F$400,'Étape 1 - à remplir'!$E$31:$E$400,MASQ2!O265,'Étape 1 - à remplir'!$G$31:$G$400,"animaux"),SUMIFS('Étape 1 - à remplir'!$F$31:$F$400,'Étape 1 - à remplir'!$E$31:$E$400,MASQ2!O265,'Étape 1 - à remplir'!$N$31:$N$400,X$3))))))=0,NA(),IF(X$2="Catégorie",IF(X$3="Toutes",SUMIFS('Étape 1 - à remplir'!$F$31:$F$400,'Étape 1 - à remplir'!$E$31:$E$400,MASQ2!O265,'Étape 1 - à remplir'!$G$31:$G$400,"animaux"),SUMIFS('Étape 1 - à remplir'!$F$31:$F$400,'Étape 1 - à remplir'!$E$31:$E$400,MASQ2!O265,'Étape 1 - à remplir'!$C$31:$C$400,X$3)),IF(X$2="Âge",IF(X$3="Tous",SUMIFS('Étape 1 - à remplir'!$F$31:$F$400,'Étape 1 - à remplir'!$E$31:$E$400,MASQ2!O265,'Étape 1 - à remplir'!$G$31:$G$400,"animaux"),SUMIFS('Étape 1 - à remplir'!$F$31:$F$400,'Étape 1 - à remplir'!$E$31:$E$400,MASQ2!O265,'Étape 1 - à remplir'!$P$31:$P$400,X$3)),IF(X$2="Atelier",IF(X$3="Tous",SUMIFS('Étape 1 - à remplir'!$F$31:$F$400,'Étape 1 - à remplir'!$E$31:$E$400,MASQ2!O265,'Étape 1 - à remplir'!$G$31:$G$400,"animaux"),SUMIFS('Étape 1 - à remplir'!$F$31:$F$400,'Étape 1 - à remplir'!$E$31:$E$400,MASQ2!O265,'Étape 1 - à remplir'!$O$31:$O$400,X$3)),IF(X$2="Espèce",IF(X$3="Toutes",SUMIFS('Étape 1 - à remplir'!$F$31:$F$400,'Étape 1 - à remplir'!$E$31:$E$400,MASQ2!O265,'Étape 1 - à remplir'!$G$31:$G$400,"animaux"),SUMIFS('Étape 1 - à remplir'!$F$31:$F$400,'Étape 1 - à remplir'!$E$31:$E$400,MASQ2!O265,'Étape 1 - à remplir'!$N$31:$N$400,X$3)))))))</f>
        <v>#N/A</v>
      </c>
      <c r="Q265" s="63">
        <f t="shared" si="235"/>
        <v>0</v>
      </c>
      <c r="R265" t="str">
        <f>Données_ATB!BM264</f>
        <v>Sulfaguanidine</v>
      </c>
      <c r="S265" t="str">
        <f>Données_ATB!BN264</f>
        <v>Colistine</v>
      </c>
      <c r="T265" s="63" t="str">
        <f>Données_ATB!BO264</f>
        <v/>
      </c>
      <c r="U265" s="42" t="str">
        <f>Données_ATB!BQ264</f>
        <v>Sulfamides</v>
      </c>
      <c r="V265" t="str">
        <f>Données_ATB!BR264</f>
        <v>Polypeptides</v>
      </c>
      <c r="W265" s="63" t="str">
        <f>Données_ATB!BS264</f>
        <v/>
      </c>
      <c r="Z265" s="42">
        <v>262</v>
      </c>
      <c r="AA265" t="e">
        <f t="shared" si="231"/>
        <v>#N/A</v>
      </c>
      <c r="AB265" s="63" t="e">
        <f t="shared" si="232"/>
        <v>#N/A</v>
      </c>
      <c r="BF265" s="63"/>
      <c r="BT265" s="194" t="str">
        <f t="shared" ca="1" si="215"/>
        <v>x</v>
      </c>
      <c r="BU265" s="219" t="str">
        <f>IFERROR(IF(BX265=0,"",COUNTIF(BX$4:BX$600,"&gt;"&amp;BX265)+COUNTIF(BX$4:BX265,BX265)),"")</f>
        <v/>
      </c>
      <c r="BV265" s="42" t="str">
        <f t="shared" si="216"/>
        <v>INTESTIVO</v>
      </c>
      <c r="BW265" t="e">
        <f>IF(IF(CE$2="Catégorie",IF(CE$3="Toutes",SUMIFS('Étape 1 - à remplir'!$F$31:$F$400,'Étape 1 - à remplir'!$E$31:$E$400,MASQ2!BV265,'Étape 1 - à remplir'!$G$31:$G$400,"lots"),SUMIFS('Étape 1 - à remplir'!$F$31:$F$400,'Étape 1 - à remplir'!$E$31:$E$400,MASQ2!BV265,'Étape 1 - à remplir'!$C$31:$C$400,CE$3)),IF(CE$2="Âge",IF(CE$3="Tous",SUMIFS('Étape 1 - à remplir'!$F$31:$F$400,'Étape 1 - à remplir'!$E$31:$E$400,MASQ2!BV265,'Étape 1 - à remplir'!$G$31:$G$400,"lots"),SUMIFS('Étape 1 - à remplir'!$F$31:$F$400,'Étape 1 - à remplir'!$E$31:$E$400,MASQ2!BV265,'Étape 1 - à remplir'!$P$31:$P$400,CE$3,'Étape 1 - à remplir'!$G$31:$G$400,"lots")),IF(CE$2="Atelier",IF(CE$3="Tous",SUMIFS('Étape 1 - à remplir'!$F$31:$F$400,'Étape 1 - à remplir'!$E$31:$E$400,MASQ2!BV265,'Étape 1 - à remplir'!$G$31:$G$400,"lots"),SUMIFS('Étape 1 - à remplir'!$F$31:$F$400,'Étape 1 - à remplir'!$E$31:$E$400,MASQ2!BV265,'Étape 1 - à remplir'!$O$31:$O$400,CE$3,'Étape 1 - à remplir'!$G$31:$G$400,"lots")),IF(CE$2="Espèce",IF(CE$3="Toutes",SUMIFS('Étape 1 - à remplir'!$F$31:$F$400,'Étape 1 - à remplir'!$E$31:$E$400,MASQ2!BV265,'Étape 1 - à remplir'!$G$31:$G$400,"lots"),SUMIFS('Étape 1 - à remplir'!$F$31:$F$400,'Étape 1 - à remplir'!$E$31:$E$400,MASQ2!BV265,'Étape 1 - à remplir'!$N$31:$N$400,CE$3,'Étape 1 - à remplir'!$G$31:$G$400,"lots"))))))=0,NA(),IF(CE$2="Catégorie",IF(CE$3="Toutes",SUMIFS('Étape 1 - à remplir'!$F$31:$F$400,'Étape 1 - à remplir'!$E$31:$E$400,MASQ2!BV265,'Étape 1 - à remplir'!$G$31:$G$400,"lots"),SUMIFS('Étape 1 - à remplir'!$F$31:$F$400,'Étape 1 - à remplir'!$E$31:$E$400,MASQ2!BV265,'Étape 1 - à remplir'!$C$31:$C$400,CE$3)),IF(CE$2="Âge",IF(CE$3="Tous",SUMIFS('Étape 1 - à remplir'!$F$31:$F$400,'Étape 1 - à remplir'!$E$31:$E$400,MASQ2!BV265,'Étape 1 - à remplir'!$G$31:$G$400,"lots"),SUMIFS('Étape 1 - à remplir'!$F$31:$F$400,'Étape 1 - à remplir'!$E$31:$E$400,MASQ2!BV265,'Étape 1 - à remplir'!$P$31:$P$400,CE$3,'Étape 1 - à remplir'!$G$31:$G$400,"lots")),IF(CE$2="Atelier",IF(CE$3="Tous",SUMIFS('Étape 1 - à remplir'!$F$31:$F$400,'Étape 1 - à remplir'!$E$31:$E$400,MASQ2!BV265,'Étape 1 - à remplir'!$G$31:$G$400,"lots"),SUMIFS('Étape 1 - à remplir'!$F$31:$F$400,'Étape 1 - à remplir'!$E$31:$E$400,MASQ2!BV265,'Étape 1 - à remplir'!$O$31:$O$400,CE$3,'Étape 1 - à remplir'!$G$31:$G$400,"lots")),IF(CE$2="Espèce",IF(CE$3="Toutes",SUMIFS('Étape 1 - à remplir'!$F$31:$F$400,'Étape 1 - à remplir'!$E$31:$E$400,MASQ2!BV265,'Étape 1 - à remplir'!$G$31:$G$400,"lots"),SUMIFS('Étape 1 - à remplir'!$F$31:$F$400,'Étape 1 - à remplir'!$E$31:$E$400,MASQ2!BV265,'Étape 1 - à remplir'!$N$31:$N$400,CE$3,'Étape 1 - à remplir'!$G$31:$G$400,"lots")))))))</f>
        <v>#N/A</v>
      </c>
      <c r="BX265">
        <f t="shared" si="233"/>
        <v>0</v>
      </c>
      <c r="BY265" t="str">
        <f t="shared" si="217"/>
        <v>Sulfaguanidine</v>
      </c>
      <c r="BZ265" t="str">
        <f t="shared" si="218"/>
        <v>Colistine</v>
      </c>
      <c r="CA265" t="str">
        <f t="shared" si="219"/>
        <v/>
      </c>
      <c r="CB265" t="str">
        <f t="shared" si="220"/>
        <v>Sulfamides</v>
      </c>
      <c r="CC265" t="str">
        <f t="shared" si="221"/>
        <v>Polypeptides</v>
      </c>
      <c r="CD265" s="63" t="str">
        <f t="shared" si="222"/>
        <v/>
      </c>
      <c r="CG265" s="42">
        <v>262</v>
      </c>
      <c r="CH265" s="42" t="e">
        <f t="shared" si="213"/>
        <v>#N/A</v>
      </c>
      <c r="CI265" s="63" t="e">
        <f t="shared" si="214"/>
        <v>#N/A</v>
      </c>
      <c r="DM265" s="63"/>
      <c r="EA265" s="194" t="str">
        <f t="shared" ca="1" si="223"/>
        <v>x</v>
      </c>
      <c r="EB265" s="226" t="str">
        <f>IFERROR(IF(ED265=0,"",COUNTIF(ED$4:ED$600,"&gt;"&amp;ED265)+COUNTIF(ED$4:ED265,ED265)),"")</f>
        <v/>
      </c>
      <c r="EC265" t="str">
        <f t="shared" si="224"/>
        <v>INTESTIVO</v>
      </c>
      <c r="ED265" t="e">
        <f>IF(IF(EL$2="Catégorie",IF(EL$3="Toutes",SUMIFS('Étape 1 - à remplir'!$F$31:$F$400,'Étape 1 - à remplir'!$E$31:$E$400,MASQ2!EC265,'Étape 1 - à remplir'!$G$31:$G$400,"kg"),SUMIFS('Étape 1 - à remplir'!$F$31:$F$400,'Étape 1 - à remplir'!$E$31:$E$400,MASQ2!EC265,'Étape 1 - à remplir'!$C$31:$C$400,EL$3)),IF(EL$2="Âge",IF(EL$3="Tous",SUMIFS('Étape 1 - à remplir'!$F$31:$F$400,'Étape 1 - à remplir'!$E$31:$E$400,MASQ2!EC265,'Étape 1 - à remplir'!$G$31:$G$400,"kg"),SUMIFS('Étape 1 - à remplir'!$F$31:$F$400,'Étape 1 - à remplir'!$E$31:$E$400,MASQ2!EC265,'Étape 1 - à remplir'!$P$31:$P$400,EL$3,'Étape 1 - à remplir'!$G$31:$G$400,"kg")),IF(EL$2="Atelier",IF(EL$3="Tous",SUMIFS('Étape 1 - à remplir'!$F$31:$F$400,'Étape 1 - à remplir'!$E$31:$E$400,MASQ2!EC265,'Étape 1 - à remplir'!$G$31:$G$400,"kg"),SUMIFS('Étape 1 - à remplir'!$F$31:$F$400,'Étape 1 - à remplir'!$E$31:$E$400,MASQ2!EC265,'Étape 1 - à remplir'!$O$31:$O$400,EL$3,'Étape 1 - à remplir'!$G$31:$G$400,"kg")),IF(EL$2="Espèce",IF(EL$3="Toutes",SUMIFS('Étape 1 - à remplir'!$F$31:$F$400,'Étape 1 - à remplir'!$E$31:$E$400,MASQ2!EC265,'Étape 1 - à remplir'!$G$31:$G$400,"kg"),SUMIFS('Étape 1 - à remplir'!$F$31:$F$400,'Étape 1 - à remplir'!$E$31:$E$400,MASQ2!EC265,'Étape 1 - à remplir'!$N$31:$N$400,EL$3,'Étape 1 - à remplir'!$G$31:$G$400,"kg"))))))=0,NA(),IF(EL$2="Catégorie",IF(EL$3="Toutes",SUMIFS('Étape 1 - à remplir'!$F$31:$F$400,'Étape 1 - à remplir'!$E$31:$E$400,MASQ2!EC265,'Étape 1 - à remplir'!$G$31:$G$400,"kg"),SUMIFS('Étape 1 - à remplir'!$F$31:$F$400,'Étape 1 - à remplir'!$E$31:$E$400,MASQ2!EC265,'Étape 1 - à remplir'!$C$31:$C$400,EL$3)),IF(EL$2="Âge",IF(EL$3="Tous",SUMIFS('Étape 1 - à remplir'!$F$31:$F$400,'Étape 1 - à remplir'!$E$31:$E$400,MASQ2!EC265,'Étape 1 - à remplir'!$G$31:$G$400,"kg"),SUMIFS('Étape 1 - à remplir'!$F$31:$F$400,'Étape 1 - à remplir'!$E$31:$E$400,MASQ2!EC265,'Étape 1 - à remplir'!$P$31:$P$400,EL$3,'Étape 1 - à remplir'!$G$31:$G$400,"kg")),IF(EL$2="Atelier",IF(EL$3="Tous",SUMIFS('Étape 1 - à remplir'!$F$31:$F$400,'Étape 1 - à remplir'!$E$31:$E$400,MASQ2!EC265,'Étape 1 - à remplir'!$G$31:$G$400,"kg"),SUMIFS('Étape 1 - à remplir'!$F$31:$F$400,'Étape 1 - à remplir'!$E$31:$E$400,MASQ2!EC265,'Étape 1 - à remplir'!$O$31:$O$400,EL$3,'Étape 1 - à remplir'!$G$31:$G$400,"kg")),IF(EL$2="Espèce",IF(EL$3="Toutes",SUMIFS('Étape 1 - à remplir'!$F$31:$F$400,'Étape 1 - à remplir'!$E$31:$E$400,MASQ2!EC265,'Étape 1 - à remplir'!$G$31:$G$400,"kg"),SUMIFS('Étape 1 - à remplir'!$F$31:$F$400,'Étape 1 - à remplir'!$E$31:$E$400,MASQ2!EC265,'Étape 1 - à remplir'!$N$31:$N$400,EL$3,'Étape 1 - à remplir'!$G$31:$G$400,"kg")))))))</f>
        <v>#N/A</v>
      </c>
      <c r="EE265" s="76">
        <f t="shared" si="234"/>
        <v>0</v>
      </c>
      <c r="EF265" t="str">
        <f t="shared" si="225"/>
        <v>Sulfaguanidine</v>
      </c>
      <c r="EG265" t="str">
        <f t="shared" si="226"/>
        <v>Colistine</v>
      </c>
      <c r="EH265" t="str">
        <f t="shared" si="227"/>
        <v/>
      </c>
      <c r="EI265" t="str">
        <f t="shared" si="228"/>
        <v>Sulfamides</v>
      </c>
      <c r="EJ265" t="str">
        <f t="shared" si="229"/>
        <v>Polypeptides</v>
      </c>
      <c r="EK265" s="63" t="str">
        <f t="shared" si="230"/>
        <v/>
      </c>
      <c r="EN265" s="42">
        <v>262</v>
      </c>
      <c r="EO265" t="e">
        <f t="shared" si="211"/>
        <v>#N/A</v>
      </c>
      <c r="EP265" s="63" t="e">
        <f t="shared" si="212"/>
        <v>#N/A</v>
      </c>
      <c r="FT265" s="63"/>
    </row>
    <row r="266" spans="2:176" x14ac:dyDescent="0.3">
      <c r="B266" s="42"/>
      <c r="M266" s="194" t="str">
        <f ca="1">INDEX(Données_ATB!BD:BU,MATCH(MASQ2!O266,Données_ATB!BD:BD,0),18)</f>
        <v/>
      </c>
      <c r="N266" s="14" t="str">
        <f>IFERROR(IF(Q266=0,"",COUNTIF(Q$4:Q$600,"&gt;"&amp;Q266)+COUNTIF(Q$4:Q266,Q266)),"")</f>
        <v/>
      </c>
      <c r="O266" t="str">
        <f>Données_ATB!BD265</f>
        <v>INTRAMICINE</v>
      </c>
      <c r="P266" t="e">
        <f>IF(IF(X$2="Catégorie",IF(X$3="Toutes",SUMIFS('Étape 1 - à remplir'!$F$31:$F$400,'Étape 1 - à remplir'!$E$31:$E$400,MASQ2!O266,'Étape 1 - à remplir'!$G$31:$G$400,"animaux"),SUMIFS('Étape 1 - à remplir'!$F$31:$F$400,'Étape 1 - à remplir'!$E$31:$E$400,MASQ2!O266,'Étape 1 - à remplir'!$C$31:$C$400,X$3)),IF(X$2="Âge",IF(X$3="Tous",SUMIFS('Étape 1 - à remplir'!$F$31:$F$400,'Étape 1 - à remplir'!$E$31:$E$400,MASQ2!O266,'Étape 1 - à remplir'!$G$31:$G$400,"animaux"),SUMIFS('Étape 1 - à remplir'!$F$31:$F$400,'Étape 1 - à remplir'!$E$31:$E$400,MASQ2!O266,'Étape 1 - à remplir'!$P$31:$P$400,X$3)),IF(X$2="Atelier",IF(X$3="Tous",SUMIFS('Étape 1 - à remplir'!$F$31:$F$400,'Étape 1 - à remplir'!$E$31:$E$400,MASQ2!O266,'Étape 1 - à remplir'!$G$31:$G$400,"animaux"),SUMIFS('Étape 1 - à remplir'!$F$31:$F$400,'Étape 1 - à remplir'!$E$31:$E$400,MASQ2!O266,'Étape 1 - à remplir'!$O$31:$O$400,X$3)),IF(X$2="Espèce",IF(X$3="Toutes",SUMIFS('Étape 1 - à remplir'!$F$31:$F$400,'Étape 1 - à remplir'!$E$31:$E$400,MASQ2!O266,'Étape 1 - à remplir'!$G$31:$G$400,"animaux"),SUMIFS('Étape 1 - à remplir'!$F$31:$F$400,'Étape 1 - à remplir'!$E$31:$E$400,MASQ2!O266,'Étape 1 - à remplir'!$N$31:$N$400,X$3))))))=0,NA(),IF(X$2="Catégorie",IF(X$3="Toutes",SUMIFS('Étape 1 - à remplir'!$F$31:$F$400,'Étape 1 - à remplir'!$E$31:$E$400,MASQ2!O266,'Étape 1 - à remplir'!$G$31:$G$400,"animaux"),SUMIFS('Étape 1 - à remplir'!$F$31:$F$400,'Étape 1 - à remplir'!$E$31:$E$400,MASQ2!O266,'Étape 1 - à remplir'!$C$31:$C$400,X$3)),IF(X$2="Âge",IF(X$3="Tous",SUMIFS('Étape 1 - à remplir'!$F$31:$F$400,'Étape 1 - à remplir'!$E$31:$E$400,MASQ2!O266,'Étape 1 - à remplir'!$G$31:$G$400,"animaux"),SUMIFS('Étape 1 - à remplir'!$F$31:$F$400,'Étape 1 - à remplir'!$E$31:$E$400,MASQ2!O266,'Étape 1 - à remplir'!$P$31:$P$400,X$3)),IF(X$2="Atelier",IF(X$3="Tous",SUMIFS('Étape 1 - à remplir'!$F$31:$F$400,'Étape 1 - à remplir'!$E$31:$E$400,MASQ2!O266,'Étape 1 - à remplir'!$G$31:$G$400,"animaux"),SUMIFS('Étape 1 - à remplir'!$F$31:$F$400,'Étape 1 - à remplir'!$E$31:$E$400,MASQ2!O266,'Étape 1 - à remplir'!$O$31:$O$400,X$3)),IF(X$2="Espèce",IF(X$3="Toutes",SUMIFS('Étape 1 - à remplir'!$F$31:$F$400,'Étape 1 - à remplir'!$E$31:$E$400,MASQ2!O266,'Étape 1 - à remplir'!$G$31:$G$400,"animaux"),SUMIFS('Étape 1 - à remplir'!$F$31:$F$400,'Étape 1 - à remplir'!$E$31:$E$400,MASQ2!O266,'Étape 1 - à remplir'!$N$31:$N$400,X$3)))))))</f>
        <v>#N/A</v>
      </c>
      <c r="Q266" s="63">
        <f t="shared" si="235"/>
        <v>0</v>
      </c>
      <c r="R266" t="str">
        <f>Données_ATB!BM265</f>
        <v>Dihydrostreptomycine</v>
      </c>
      <c r="S266" t="str">
        <f>Données_ATB!BN265</f>
        <v>Benzylpénicilline</v>
      </c>
      <c r="T266" s="63" t="str">
        <f>Données_ATB!BO265</f>
        <v/>
      </c>
      <c r="U266" s="42" t="str">
        <f>Données_ATB!BQ265</f>
        <v>Aminoglycosides</v>
      </c>
      <c r="V266" t="str">
        <f>Données_ATB!BR265</f>
        <v>Penicillines</v>
      </c>
      <c r="W266" s="63" t="str">
        <f>Données_ATB!BS265</f>
        <v/>
      </c>
      <c r="Z266" s="42">
        <v>263</v>
      </c>
      <c r="AA266" t="e">
        <f t="shared" si="231"/>
        <v>#N/A</v>
      </c>
      <c r="AB266" s="63" t="e">
        <f t="shared" si="232"/>
        <v>#N/A</v>
      </c>
      <c r="BF266" s="63"/>
      <c r="BT266" s="194" t="str">
        <f t="shared" ca="1" si="215"/>
        <v/>
      </c>
      <c r="BU266" s="219" t="str">
        <f>IFERROR(IF(BX266=0,"",COUNTIF(BX$4:BX$600,"&gt;"&amp;BX266)+COUNTIF(BX$4:BX266,BX266)),"")</f>
        <v/>
      </c>
      <c r="BV266" s="42" t="str">
        <f t="shared" si="216"/>
        <v>INTRAMICINE</v>
      </c>
      <c r="BW266" t="e">
        <f>IF(IF(CE$2="Catégorie",IF(CE$3="Toutes",SUMIFS('Étape 1 - à remplir'!$F$31:$F$400,'Étape 1 - à remplir'!$E$31:$E$400,MASQ2!BV266,'Étape 1 - à remplir'!$G$31:$G$400,"lots"),SUMIFS('Étape 1 - à remplir'!$F$31:$F$400,'Étape 1 - à remplir'!$E$31:$E$400,MASQ2!BV266,'Étape 1 - à remplir'!$C$31:$C$400,CE$3)),IF(CE$2="Âge",IF(CE$3="Tous",SUMIFS('Étape 1 - à remplir'!$F$31:$F$400,'Étape 1 - à remplir'!$E$31:$E$400,MASQ2!BV266,'Étape 1 - à remplir'!$G$31:$G$400,"lots"),SUMIFS('Étape 1 - à remplir'!$F$31:$F$400,'Étape 1 - à remplir'!$E$31:$E$400,MASQ2!BV266,'Étape 1 - à remplir'!$P$31:$P$400,CE$3,'Étape 1 - à remplir'!$G$31:$G$400,"lots")),IF(CE$2="Atelier",IF(CE$3="Tous",SUMIFS('Étape 1 - à remplir'!$F$31:$F$400,'Étape 1 - à remplir'!$E$31:$E$400,MASQ2!BV266,'Étape 1 - à remplir'!$G$31:$G$400,"lots"),SUMIFS('Étape 1 - à remplir'!$F$31:$F$400,'Étape 1 - à remplir'!$E$31:$E$400,MASQ2!BV266,'Étape 1 - à remplir'!$O$31:$O$400,CE$3,'Étape 1 - à remplir'!$G$31:$G$400,"lots")),IF(CE$2="Espèce",IF(CE$3="Toutes",SUMIFS('Étape 1 - à remplir'!$F$31:$F$400,'Étape 1 - à remplir'!$E$31:$E$400,MASQ2!BV266,'Étape 1 - à remplir'!$G$31:$G$400,"lots"),SUMIFS('Étape 1 - à remplir'!$F$31:$F$400,'Étape 1 - à remplir'!$E$31:$E$400,MASQ2!BV266,'Étape 1 - à remplir'!$N$31:$N$400,CE$3,'Étape 1 - à remplir'!$G$31:$G$400,"lots"))))))=0,NA(),IF(CE$2="Catégorie",IF(CE$3="Toutes",SUMIFS('Étape 1 - à remplir'!$F$31:$F$400,'Étape 1 - à remplir'!$E$31:$E$400,MASQ2!BV266,'Étape 1 - à remplir'!$G$31:$G$400,"lots"),SUMIFS('Étape 1 - à remplir'!$F$31:$F$400,'Étape 1 - à remplir'!$E$31:$E$400,MASQ2!BV266,'Étape 1 - à remplir'!$C$31:$C$400,CE$3)),IF(CE$2="Âge",IF(CE$3="Tous",SUMIFS('Étape 1 - à remplir'!$F$31:$F$400,'Étape 1 - à remplir'!$E$31:$E$400,MASQ2!BV266,'Étape 1 - à remplir'!$G$31:$G$400,"lots"),SUMIFS('Étape 1 - à remplir'!$F$31:$F$400,'Étape 1 - à remplir'!$E$31:$E$400,MASQ2!BV266,'Étape 1 - à remplir'!$P$31:$P$400,CE$3,'Étape 1 - à remplir'!$G$31:$G$400,"lots")),IF(CE$2="Atelier",IF(CE$3="Tous",SUMIFS('Étape 1 - à remplir'!$F$31:$F$400,'Étape 1 - à remplir'!$E$31:$E$400,MASQ2!BV266,'Étape 1 - à remplir'!$G$31:$G$400,"lots"),SUMIFS('Étape 1 - à remplir'!$F$31:$F$400,'Étape 1 - à remplir'!$E$31:$E$400,MASQ2!BV266,'Étape 1 - à remplir'!$O$31:$O$400,CE$3,'Étape 1 - à remplir'!$G$31:$G$400,"lots")),IF(CE$2="Espèce",IF(CE$3="Toutes",SUMIFS('Étape 1 - à remplir'!$F$31:$F$400,'Étape 1 - à remplir'!$E$31:$E$400,MASQ2!BV266,'Étape 1 - à remplir'!$G$31:$G$400,"lots"),SUMIFS('Étape 1 - à remplir'!$F$31:$F$400,'Étape 1 - à remplir'!$E$31:$E$400,MASQ2!BV266,'Étape 1 - à remplir'!$N$31:$N$400,CE$3,'Étape 1 - à remplir'!$G$31:$G$400,"lots")))))))</f>
        <v>#N/A</v>
      </c>
      <c r="BX266">
        <f t="shared" si="233"/>
        <v>0</v>
      </c>
      <c r="BY266" t="str">
        <f t="shared" si="217"/>
        <v>Dihydrostreptomycine</v>
      </c>
      <c r="BZ266" t="str">
        <f t="shared" si="218"/>
        <v>Benzylpénicilline</v>
      </c>
      <c r="CA266" t="str">
        <f t="shared" si="219"/>
        <v/>
      </c>
      <c r="CB266" t="str">
        <f t="shared" si="220"/>
        <v>Aminoglycosides</v>
      </c>
      <c r="CC266" t="str">
        <f t="shared" si="221"/>
        <v>Penicillines</v>
      </c>
      <c r="CD266" s="63" t="str">
        <f t="shared" si="222"/>
        <v/>
      </c>
      <c r="CG266" s="42">
        <v>263</v>
      </c>
      <c r="CH266" s="42" t="e">
        <f t="shared" si="213"/>
        <v>#N/A</v>
      </c>
      <c r="CI266" s="63" t="e">
        <f t="shared" si="214"/>
        <v>#N/A</v>
      </c>
      <c r="DM266" s="63"/>
      <c r="EA266" s="194" t="str">
        <f t="shared" ca="1" si="223"/>
        <v/>
      </c>
      <c r="EB266" s="226" t="str">
        <f>IFERROR(IF(ED266=0,"",COUNTIF(ED$4:ED$600,"&gt;"&amp;ED266)+COUNTIF(ED$4:ED266,ED266)),"")</f>
        <v/>
      </c>
      <c r="EC266" t="str">
        <f t="shared" si="224"/>
        <v>INTRAMICINE</v>
      </c>
      <c r="ED266" t="e">
        <f>IF(IF(EL$2="Catégorie",IF(EL$3="Toutes",SUMIFS('Étape 1 - à remplir'!$F$31:$F$400,'Étape 1 - à remplir'!$E$31:$E$400,MASQ2!EC266,'Étape 1 - à remplir'!$G$31:$G$400,"kg"),SUMIFS('Étape 1 - à remplir'!$F$31:$F$400,'Étape 1 - à remplir'!$E$31:$E$400,MASQ2!EC266,'Étape 1 - à remplir'!$C$31:$C$400,EL$3)),IF(EL$2="Âge",IF(EL$3="Tous",SUMIFS('Étape 1 - à remplir'!$F$31:$F$400,'Étape 1 - à remplir'!$E$31:$E$400,MASQ2!EC266,'Étape 1 - à remplir'!$G$31:$G$400,"kg"),SUMIFS('Étape 1 - à remplir'!$F$31:$F$400,'Étape 1 - à remplir'!$E$31:$E$400,MASQ2!EC266,'Étape 1 - à remplir'!$P$31:$P$400,EL$3,'Étape 1 - à remplir'!$G$31:$G$400,"kg")),IF(EL$2="Atelier",IF(EL$3="Tous",SUMIFS('Étape 1 - à remplir'!$F$31:$F$400,'Étape 1 - à remplir'!$E$31:$E$400,MASQ2!EC266,'Étape 1 - à remplir'!$G$31:$G$400,"kg"),SUMIFS('Étape 1 - à remplir'!$F$31:$F$400,'Étape 1 - à remplir'!$E$31:$E$400,MASQ2!EC266,'Étape 1 - à remplir'!$O$31:$O$400,EL$3,'Étape 1 - à remplir'!$G$31:$G$400,"kg")),IF(EL$2="Espèce",IF(EL$3="Toutes",SUMIFS('Étape 1 - à remplir'!$F$31:$F$400,'Étape 1 - à remplir'!$E$31:$E$400,MASQ2!EC266,'Étape 1 - à remplir'!$G$31:$G$400,"kg"),SUMIFS('Étape 1 - à remplir'!$F$31:$F$400,'Étape 1 - à remplir'!$E$31:$E$400,MASQ2!EC266,'Étape 1 - à remplir'!$N$31:$N$400,EL$3,'Étape 1 - à remplir'!$G$31:$G$400,"kg"))))))=0,NA(),IF(EL$2="Catégorie",IF(EL$3="Toutes",SUMIFS('Étape 1 - à remplir'!$F$31:$F$400,'Étape 1 - à remplir'!$E$31:$E$400,MASQ2!EC266,'Étape 1 - à remplir'!$G$31:$G$400,"kg"),SUMIFS('Étape 1 - à remplir'!$F$31:$F$400,'Étape 1 - à remplir'!$E$31:$E$400,MASQ2!EC266,'Étape 1 - à remplir'!$C$31:$C$400,EL$3)),IF(EL$2="Âge",IF(EL$3="Tous",SUMIFS('Étape 1 - à remplir'!$F$31:$F$400,'Étape 1 - à remplir'!$E$31:$E$400,MASQ2!EC266,'Étape 1 - à remplir'!$G$31:$G$400,"kg"),SUMIFS('Étape 1 - à remplir'!$F$31:$F$400,'Étape 1 - à remplir'!$E$31:$E$400,MASQ2!EC266,'Étape 1 - à remplir'!$P$31:$P$400,EL$3,'Étape 1 - à remplir'!$G$31:$G$400,"kg")),IF(EL$2="Atelier",IF(EL$3="Tous",SUMIFS('Étape 1 - à remplir'!$F$31:$F$400,'Étape 1 - à remplir'!$E$31:$E$400,MASQ2!EC266,'Étape 1 - à remplir'!$G$31:$G$400,"kg"),SUMIFS('Étape 1 - à remplir'!$F$31:$F$400,'Étape 1 - à remplir'!$E$31:$E$400,MASQ2!EC266,'Étape 1 - à remplir'!$O$31:$O$400,EL$3,'Étape 1 - à remplir'!$G$31:$G$400,"kg")),IF(EL$2="Espèce",IF(EL$3="Toutes",SUMIFS('Étape 1 - à remplir'!$F$31:$F$400,'Étape 1 - à remplir'!$E$31:$E$400,MASQ2!EC266,'Étape 1 - à remplir'!$G$31:$G$400,"kg"),SUMIFS('Étape 1 - à remplir'!$F$31:$F$400,'Étape 1 - à remplir'!$E$31:$E$400,MASQ2!EC266,'Étape 1 - à remplir'!$N$31:$N$400,EL$3,'Étape 1 - à remplir'!$G$31:$G$400,"kg")))))))</f>
        <v>#N/A</v>
      </c>
      <c r="EE266" s="76">
        <f t="shared" si="234"/>
        <v>0</v>
      </c>
      <c r="EF266" t="str">
        <f t="shared" si="225"/>
        <v>Dihydrostreptomycine</v>
      </c>
      <c r="EG266" t="str">
        <f t="shared" si="226"/>
        <v>Benzylpénicilline</v>
      </c>
      <c r="EH266" t="str">
        <f t="shared" si="227"/>
        <v/>
      </c>
      <c r="EI266" t="str">
        <f t="shared" si="228"/>
        <v>Aminoglycosides</v>
      </c>
      <c r="EJ266" t="str">
        <f t="shared" si="229"/>
        <v>Penicillines</v>
      </c>
      <c r="EK266" s="63" t="str">
        <f t="shared" si="230"/>
        <v/>
      </c>
      <c r="EN266" s="42">
        <v>263</v>
      </c>
      <c r="EO266" t="e">
        <f t="shared" ref="EO266:EO329" si="236">INDEX(EB$3:EE$600,MATCH(EN266,EB$3:EB$600,0),2)</f>
        <v>#N/A</v>
      </c>
      <c r="EP266" s="63" t="e">
        <f t="shared" ref="EP266:EP329" si="237">INDEX(EB$3:EE$600,MATCH(EN266,EB$3:EB$600,0),3)</f>
        <v>#N/A</v>
      </c>
      <c r="FT266" s="63"/>
    </row>
    <row r="267" spans="2:176" x14ac:dyDescent="0.3">
      <c r="B267" s="42"/>
      <c r="M267" s="194" t="str">
        <f ca="1">INDEX(Données_ATB!BD:BU,MATCH(MASQ2!O267,Données_ATB!BD:BD,0),18)</f>
        <v>x</v>
      </c>
      <c r="N267" s="14" t="str">
        <f>IFERROR(IF(Q267=0,"",COUNTIF(Q$4:Q$600,"&gt;"&amp;Q267)+COUNTIF(Q$4:Q267,Q267)),"")</f>
        <v/>
      </c>
      <c r="O267" t="str">
        <f>Données_ATB!BD266</f>
        <v>KARIFLOX 10 % SOLUTION BUVABLE POUR POULES ET DINDES</v>
      </c>
      <c r="P267" t="e">
        <f>IF(IF(X$2="Catégorie",IF(X$3="Toutes",SUMIFS('Étape 1 - à remplir'!$F$31:$F$400,'Étape 1 - à remplir'!$E$31:$E$400,MASQ2!O267,'Étape 1 - à remplir'!$G$31:$G$400,"animaux"),SUMIFS('Étape 1 - à remplir'!$F$31:$F$400,'Étape 1 - à remplir'!$E$31:$E$400,MASQ2!O267,'Étape 1 - à remplir'!$C$31:$C$400,X$3)),IF(X$2="Âge",IF(X$3="Tous",SUMIFS('Étape 1 - à remplir'!$F$31:$F$400,'Étape 1 - à remplir'!$E$31:$E$400,MASQ2!O267,'Étape 1 - à remplir'!$G$31:$G$400,"animaux"),SUMIFS('Étape 1 - à remplir'!$F$31:$F$400,'Étape 1 - à remplir'!$E$31:$E$400,MASQ2!O267,'Étape 1 - à remplir'!$P$31:$P$400,X$3)),IF(X$2="Atelier",IF(X$3="Tous",SUMIFS('Étape 1 - à remplir'!$F$31:$F$400,'Étape 1 - à remplir'!$E$31:$E$400,MASQ2!O267,'Étape 1 - à remplir'!$G$31:$G$400,"animaux"),SUMIFS('Étape 1 - à remplir'!$F$31:$F$400,'Étape 1 - à remplir'!$E$31:$E$400,MASQ2!O267,'Étape 1 - à remplir'!$O$31:$O$400,X$3)),IF(X$2="Espèce",IF(X$3="Toutes",SUMIFS('Étape 1 - à remplir'!$F$31:$F$400,'Étape 1 - à remplir'!$E$31:$E$400,MASQ2!O267,'Étape 1 - à remplir'!$G$31:$G$400,"animaux"),SUMIFS('Étape 1 - à remplir'!$F$31:$F$400,'Étape 1 - à remplir'!$E$31:$E$400,MASQ2!O267,'Étape 1 - à remplir'!$N$31:$N$400,X$3))))))=0,NA(),IF(X$2="Catégorie",IF(X$3="Toutes",SUMIFS('Étape 1 - à remplir'!$F$31:$F$400,'Étape 1 - à remplir'!$E$31:$E$400,MASQ2!O267,'Étape 1 - à remplir'!$G$31:$G$400,"animaux"),SUMIFS('Étape 1 - à remplir'!$F$31:$F$400,'Étape 1 - à remplir'!$E$31:$E$400,MASQ2!O267,'Étape 1 - à remplir'!$C$31:$C$400,X$3)),IF(X$2="Âge",IF(X$3="Tous",SUMIFS('Étape 1 - à remplir'!$F$31:$F$400,'Étape 1 - à remplir'!$E$31:$E$400,MASQ2!O267,'Étape 1 - à remplir'!$G$31:$G$400,"animaux"),SUMIFS('Étape 1 - à remplir'!$F$31:$F$400,'Étape 1 - à remplir'!$E$31:$E$400,MASQ2!O267,'Étape 1 - à remplir'!$P$31:$P$400,X$3)),IF(X$2="Atelier",IF(X$3="Tous",SUMIFS('Étape 1 - à remplir'!$F$31:$F$400,'Étape 1 - à remplir'!$E$31:$E$400,MASQ2!O267,'Étape 1 - à remplir'!$G$31:$G$400,"animaux"),SUMIFS('Étape 1 - à remplir'!$F$31:$F$400,'Étape 1 - à remplir'!$E$31:$E$400,MASQ2!O267,'Étape 1 - à remplir'!$O$31:$O$400,X$3)),IF(X$2="Espèce",IF(X$3="Toutes",SUMIFS('Étape 1 - à remplir'!$F$31:$F$400,'Étape 1 - à remplir'!$E$31:$E$400,MASQ2!O267,'Étape 1 - à remplir'!$G$31:$G$400,"animaux"),SUMIFS('Étape 1 - à remplir'!$F$31:$F$400,'Étape 1 - à remplir'!$E$31:$E$400,MASQ2!O267,'Étape 1 - à remplir'!$N$31:$N$400,X$3)))))))</f>
        <v>#N/A</v>
      </c>
      <c r="Q267" s="63">
        <f t="shared" si="235"/>
        <v>0</v>
      </c>
      <c r="R267" t="str">
        <f>Données_ATB!BM266</f>
        <v>Enrofloxacine</v>
      </c>
      <c r="S267" t="str">
        <f>Données_ATB!BN266</f>
        <v/>
      </c>
      <c r="T267" s="63" t="str">
        <f>Données_ATB!BO266</f>
        <v/>
      </c>
      <c r="U267" s="42" t="str">
        <f>Données_ATB!BQ266</f>
        <v>Fluoroquinolones</v>
      </c>
      <c r="V267" t="str">
        <f>Données_ATB!BR266</f>
        <v/>
      </c>
      <c r="W267" s="63" t="str">
        <f>Données_ATB!BS266</f>
        <v/>
      </c>
      <c r="Z267" s="42">
        <v>264</v>
      </c>
      <c r="AA267" t="e">
        <f t="shared" si="231"/>
        <v>#N/A</v>
      </c>
      <c r="AB267" s="63" t="e">
        <f t="shared" si="232"/>
        <v>#N/A</v>
      </c>
      <c r="BF267" s="63"/>
      <c r="BT267" s="194" t="str">
        <f t="shared" ca="1" si="215"/>
        <v>x</v>
      </c>
      <c r="BU267" s="219" t="str">
        <f>IFERROR(IF(BX267=0,"",COUNTIF(BX$4:BX$600,"&gt;"&amp;BX267)+COUNTIF(BX$4:BX267,BX267)),"")</f>
        <v/>
      </c>
      <c r="BV267" s="42" t="str">
        <f t="shared" si="216"/>
        <v>KARIFLOX 10 % SOLUTION BUVABLE POUR POULES ET DINDES</v>
      </c>
      <c r="BW267" t="e">
        <f>IF(IF(CE$2="Catégorie",IF(CE$3="Toutes",SUMIFS('Étape 1 - à remplir'!$F$31:$F$400,'Étape 1 - à remplir'!$E$31:$E$400,MASQ2!BV267,'Étape 1 - à remplir'!$G$31:$G$400,"lots"),SUMIFS('Étape 1 - à remplir'!$F$31:$F$400,'Étape 1 - à remplir'!$E$31:$E$400,MASQ2!BV267,'Étape 1 - à remplir'!$C$31:$C$400,CE$3)),IF(CE$2="Âge",IF(CE$3="Tous",SUMIFS('Étape 1 - à remplir'!$F$31:$F$400,'Étape 1 - à remplir'!$E$31:$E$400,MASQ2!BV267,'Étape 1 - à remplir'!$G$31:$G$400,"lots"),SUMIFS('Étape 1 - à remplir'!$F$31:$F$400,'Étape 1 - à remplir'!$E$31:$E$400,MASQ2!BV267,'Étape 1 - à remplir'!$P$31:$P$400,CE$3,'Étape 1 - à remplir'!$G$31:$G$400,"lots")),IF(CE$2="Atelier",IF(CE$3="Tous",SUMIFS('Étape 1 - à remplir'!$F$31:$F$400,'Étape 1 - à remplir'!$E$31:$E$400,MASQ2!BV267,'Étape 1 - à remplir'!$G$31:$G$400,"lots"),SUMIFS('Étape 1 - à remplir'!$F$31:$F$400,'Étape 1 - à remplir'!$E$31:$E$400,MASQ2!BV267,'Étape 1 - à remplir'!$O$31:$O$400,CE$3,'Étape 1 - à remplir'!$G$31:$G$400,"lots")),IF(CE$2="Espèce",IF(CE$3="Toutes",SUMIFS('Étape 1 - à remplir'!$F$31:$F$400,'Étape 1 - à remplir'!$E$31:$E$400,MASQ2!BV267,'Étape 1 - à remplir'!$G$31:$G$400,"lots"),SUMIFS('Étape 1 - à remplir'!$F$31:$F$400,'Étape 1 - à remplir'!$E$31:$E$400,MASQ2!BV267,'Étape 1 - à remplir'!$N$31:$N$400,CE$3,'Étape 1 - à remplir'!$G$31:$G$400,"lots"))))))=0,NA(),IF(CE$2="Catégorie",IF(CE$3="Toutes",SUMIFS('Étape 1 - à remplir'!$F$31:$F$400,'Étape 1 - à remplir'!$E$31:$E$400,MASQ2!BV267,'Étape 1 - à remplir'!$G$31:$G$400,"lots"),SUMIFS('Étape 1 - à remplir'!$F$31:$F$400,'Étape 1 - à remplir'!$E$31:$E$400,MASQ2!BV267,'Étape 1 - à remplir'!$C$31:$C$400,CE$3)),IF(CE$2="Âge",IF(CE$3="Tous",SUMIFS('Étape 1 - à remplir'!$F$31:$F$400,'Étape 1 - à remplir'!$E$31:$E$400,MASQ2!BV267,'Étape 1 - à remplir'!$G$31:$G$400,"lots"),SUMIFS('Étape 1 - à remplir'!$F$31:$F$400,'Étape 1 - à remplir'!$E$31:$E$400,MASQ2!BV267,'Étape 1 - à remplir'!$P$31:$P$400,CE$3,'Étape 1 - à remplir'!$G$31:$G$400,"lots")),IF(CE$2="Atelier",IF(CE$3="Tous",SUMIFS('Étape 1 - à remplir'!$F$31:$F$400,'Étape 1 - à remplir'!$E$31:$E$400,MASQ2!BV267,'Étape 1 - à remplir'!$G$31:$G$400,"lots"),SUMIFS('Étape 1 - à remplir'!$F$31:$F$400,'Étape 1 - à remplir'!$E$31:$E$400,MASQ2!BV267,'Étape 1 - à remplir'!$O$31:$O$400,CE$3,'Étape 1 - à remplir'!$G$31:$G$400,"lots")),IF(CE$2="Espèce",IF(CE$3="Toutes",SUMIFS('Étape 1 - à remplir'!$F$31:$F$400,'Étape 1 - à remplir'!$E$31:$E$400,MASQ2!BV267,'Étape 1 - à remplir'!$G$31:$G$400,"lots"),SUMIFS('Étape 1 - à remplir'!$F$31:$F$400,'Étape 1 - à remplir'!$E$31:$E$400,MASQ2!BV267,'Étape 1 - à remplir'!$N$31:$N$400,CE$3,'Étape 1 - à remplir'!$G$31:$G$400,"lots")))))))</f>
        <v>#N/A</v>
      </c>
      <c r="BX267">
        <f t="shared" si="233"/>
        <v>0</v>
      </c>
      <c r="BY267" t="str">
        <f t="shared" si="217"/>
        <v>Enrofloxacine</v>
      </c>
      <c r="BZ267" t="str">
        <f t="shared" si="218"/>
        <v/>
      </c>
      <c r="CA267" t="str">
        <f t="shared" si="219"/>
        <v/>
      </c>
      <c r="CB267" t="str">
        <f t="shared" si="220"/>
        <v>Fluoroquinolones</v>
      </c>
      <c r="CC267" t="str">
        <f t="shared" si="221"/>
        <v/>
      </c>
      <c r="CD267" s="63" t="str">
        <f t="shared" si="222"/>
        <v/>
      </c>
      <c r="CG267" s="42">
        <v>264</v>
      </c>
      <c r="CH267" s="42" t="e">
        <f t="shared" si="213"/>
        <v>#N/A</v>
      </c>
      <c r="CI267" s="63" t="e">
        <f t="shared" si="214"/>
        <v>#N/A</v>
      </c>
      <c r="DM267" s="63"/>
      <c r="EA267" s="194" t="str">
        <f t="shared" ca="1" si="223"/>
        <v>x</v>
      </c>
      <c r="EB267" s="226" t="str">
        <f>IFERROR(IF(ED267=0,"",COUNTIF(ED$4:ED$600,"&gt;"&amp;ED267)+COUNTIF(ED$4:ED267,ED267)),"")</f>
        <v/>
      </c>
      <c r="EC267" t="str">
        <f t="shared" si="224"/>
        <v>KARIFLOX 10 % SOLUTION BUVABLE POUR POULES ET DINDES</v>
      </c>
      <c r="ED267" t="e">
        <f>IF(IF(EL$2="Catégorie",IF(EL$3="Toutes",SUMIFS('Étape 1 - à remplir'!$F$31:$F$400,'Étape 1 - à remplir'!$E$31:$E$400,MASQ2!EC267,'Étape 1 - à remplir'!$G$31:$G$400,"kg"),SUMIFS('Étape 1 - à remplir'!$F$31:$F$400,'Étape 1 - à remplir'!$E$31:$E$400,MASQ2!EC267,'Étape 1 - à remplir'!$C$31:$C$400,EL$3)),IF(EL$2="Âge",IF(EL$3="Tous",SUMIFS('Étape 1 - à remplir'!$F$31:$F$400,'Étape 1 - à remplir'!$E$31:$E$400,MASQ2!EC267,'Étape 1 - à remplir'!$G$31:$G$400,"kg"),SUMIFS('Étape 1 - à remplir'!$F$31:$F$400,'Étape 1 - à remplir'!$E$31:$E$400,MASQ2!EC267,'Étape 1 - à remplir'!$P$31:$P$400,EL$3,'Étape 1 - à remplir'!$G$31:$G$400,"kg")),IF(EL$2="Atelier",IF(EL$3="Tous",SUMIFS('Étape 1 - à remplir'!$F$31:$F$400,'Étape 1 - à remplir'!$E$31:$E$400,MASQ2!EC267,'Étape 1 - à remplir'!$G$31:$G$400,"kg"),SUMIFS('Étape 1 - à remplir'!$F$31:$F$400,'Étape 1 - à remplir'!$E$31:$E$400,MASQ2!EC267,'Étape 1 - à remplir'!$O$31:$O$400,EL$3,'Étape 1 - à remplir'!$G$31:$G$400,"kg")),IF(EL$2="Espèce",IF(EL$3="Toutes",SUMIFS('Étape 1 - à remplir'!$F$31:$F$400,'Étape 1 - à remplir'!$E$31:$E$400,MASQ2!EC267,'Étape 1 - à remplir'!$G$31:$G$400,"kg"),SUMIFS('Étape 1 - à remplir'!$F$31:$F$400,'Étape 1 - à remplir'!$E$31:$E$400,MASQ2!EC267,'Étape 1 - à remplir'!$N$31:$N$400,EL$3,'Étape 1 - à remplir'!$G$31:$G$400,"kg"))))))=0,NA(),IF(EL$2="Catégorie",IF(EL$3="Toutes",SUMIFS('Étape 1 - à remplir'!$F$31:$F$400,'Étape 1 - à remplir'!$E$31:$E$400,MASQ2!EC267,'Étape 1 - à remplir'!$G$31:$G$400,"kg"),SUMIFS('Étape 1 - à remplir'!$F$31:$F$400,'Étape 1 - à remplir'!$E$31:$E$400,MASQ2!EC267,'Étape 1 - à remplir'!$C$31:$C$400,EL$3)),IF(EL$2="Âge",IF(EL$3="Tous",SUMIFS('Étape 1 - à remplir'!$F$31:$F$400,'Étape 1 - à remplir'!$E$31:$E$400,MASQ2!EC267,'Étape 1 - à remplir'!$G$31:$G$400,"kg"),SUMIFS('Étape 1 - à remplir'!$F$31:$F$400,'Étape 1 - à remplir'!$E$31:$E$400,MASQ2!EC267,'Étape 1 - à remplir'!$P$31:$P$400,EL$3,'Étape 1 - à remplir'!$G$31:$G$400,"kg")),IF(EL$2="Atelier",IF(EL$3="Tous",SUMIFS('Étape 1 - à remplir'!$F$31:$F$400,'Étape 1 - à remplir'!$E$31:$E$400,MASQ2!EC267,'Étape 1 - à remplir'!$G$31:$G$400,"kg"),SUMIFS('Étape 1 - à remplir'!$F$31:$F$400,'Étape 1 - à remplir'!$E$31:$E$400,MASQ2!EC267,'Étape 1 - à remplir'!$O$31:$O$400,EL$3,'Étape 1 - à remplir'!$G$31:$G$400,"kg")),IF(EL$2="Espèce",IF(EL$3="Toutes",SUMIFS('Étape 1 - à remplir'!$F$31:$F$400,'Étape 1 - à remplir'!$E$31:$E$400,MASQ2!EC267,'Étape 1 - à remplir'!$G$31:$G$400,"kg"),SUMIFS('Étape 1 - à remplir'!$F$31:$F$400,'Étape 1 - à remplir'!$E$31:$E$400,MASQ2!EC267,'Étape 1 - à remplir'!$N$31:$N$400,EL$3,'Étape 1 - à remplir'!$G$31:$G$400,"kg")))))))</f>
        <v>#N/A</v>
      </c>
      <c r="EE267" s="76">
        <f t="shared" si="234"/>
        <v>0</v>
      </c>
      <c r="EF267" t="str">
        <f t="shared" si="225"/>
        <v>Enrofloxacine</v>
      </c>
      <c r="EG267" t="str">
        <f t="shared" si="226"/>
        <v/>
      </c>
      <c r="EH267" t="str">
        <f t="shared" si="227"/>
        <v/>
      </c>
      <c r="EI267" t="str">
        <f t="shared" si="228"/>
        <v>Fluoroquinolones</v>
      </c>
      <c r="EJ267" t="str">
        <f t="shared" si="229"/>
        <v/>
      </c>
      <c r="EK267" s="63" t="str">
        <f t="shared" si="230"/>
        <v/>
      </c>
      <c r="EN267" s="42">
        <v>264</v>
      </c>
      <c r="EO267" t="e">
        <f t="shared" si="236"/>
        <v>#N/A</v>
      </c>
      <c r="EP267" s="63" t="e">
        <f t="shared" si="237"/>
        <v>#N/A</v>
      </c>
      <c r="FT267" s="63"/>
    </row>
    <row r="268" spans="2:176" x14ac:dyDescent="0.3">
      <c r="B268" s="42"/>
      <c r="M268" s="194" t="str">
        <f ca="1">INDEX(Données_ATB!BD:BU,MATCH(MASQ2!O268,Données_ATB!BD:BD,0),18)</f>
        <v/>
      </c>
      <c r="N268" s="14" t="str">
        <f>IFERROR(IF(Q268=0,"",COUNTIF(Q$4:Q$600,"&gt;"&amp;Q268)+COUNTIF(Q$4:Q268,Q268)),"")</f>
        <v/>
      </c>
      <c r="O268" t="str">
        <f>Données_ATB!BD267</f>
        <v>KEFLORIL 300 MG/ML SOLUTION INJECTABLE POUR BOVINS ET PORCINS</v>
      </c>
      <c r="P268" t="e">
        <f>IF(IF(X$2="Catégorie",IF(X$3="Toutes",SUMIFS('Étape 1 - à remplir'!$F$31:$F$400,'Étape 1 - à remplir'!$E$31:$E$400,MASQ2!O268,'Étape 1 - à remplir'!$G$31:$G$400,"animaux"),SUMIFS('Étape 1 - à remplir'!$F$31:$F$400,'Étape 1 - à remplir'!$E$31:$E$400,MASQ2!O268,'Étape 1 - à remplir'!$C$31:$C$400,X$3)),IF(X$2="Âge",IF(X$3="Tous",SUMIFS('Étape 1 - à remplir'!$F$31:$F$400,'Étape 1 - à remplir'!$E$31:$E$400,MASQ2!O268,'Étape 1 - à remplir'!$G$31:$G$400,"animaux"),SUMIFS('Étape 1 - à remplir'!$F$31:$F$400,'Étape 1 - à remplir'!$E$31:$E$400,MASQ2!O268,'Étape 1 - à remplir'!$P$31:$P$400,X$3)),IF(X$2="Atelier",IF(X$3="Tous",SUMIFS('Étape 1 - à remplir'!$F$31:$F$400,'Étape 1 - à remplir'!$E$31:$E$400,MASQ2!O268,'Étape 1 - à remplir'!$G$31:$G$400,"animaux"),SUMIFS('Étape 1 - à remplir'!$F$31:$F$400,'Étape 1 - à remplir'!$E$31:$E$400,MASQ2!O268,'Étape 1 - à remplir'!$O$31:$O$400,X$3)),IF(X$2="Espèce",IF(X$3="Toutes",SUMIFS('Étape 1 - à remplir'!$F$31:$F$400,'Étape 1 - à remplir'!$E$31:$E$400,MASQ2!O268,'Étape 1 - à remplir'!$G$31:$G$400,"animaux"),SUMIFS('Étape 1 - à remplir'!$F$31:$F$400,'Étape 1 - à remplir'!$E$31:$E$400,MASQ2!O268,'Étape 1 - à remplir'!$N$31:$N$400,X$3))))))=0,NA(),IF(X$2="Catégorie",IF(X$3="Toutes",SUMIFS('Étape 1 - à remplir'!$F$31:$F$400,'Étape 1 - à remplir'!$E$31:$E$400,MASQ2!O268,'Étape 1 - à remplir'!$G$31:$G$400,"animaux"),SUMIFS('Étape 1 - à remplir'!$F$31:$F$400,'Étape 1 - à remplir'!$E$31:$E$400,MASQ2!O268,'Étape 1 - à remplir'!$C$31:$C$400,X$3)),IF(X$2="Âge",IF(X$3="Tous",SUMIFS('Étape 1 - à remplir'!$F$31:$F$400,'Étape 1 - à remplir'!$E$31:$E$400,MASQ2!O268,'Étape 1 - à remplir'!$G$31:$G$400,"animaux"),SUMIFS('Étape 1 - à remplir'!$F$31:$F$400,'Étape 1 - à remplir'!$E$31:$E$400,MASQ2!O268,'Étape 1 - à remplir'!$P$31:$P$400,X$3)),IF(X$2="Atelier",IF(X$3="Tous",SUMIFS('Étape 1 - à remplir'!$F$31:$F$400,'Étape 1 - à remplir'!$E$31:$E$400,MASQ2!O268,'Étape 1 - à remplir'!$G$31:$G$400,"animaux"),SUMIFS('Étape 1 - à remplir'!$F$31:$F$400,'Étape 1 - à remplir'!$E$31:$E$400,MASQ2!O268,'Étape 1 - à remplir'!$O$31:$O$400,X$3)),IF(X$2="Espèce",IF(X$3="Toutes",SUMIFS('Étape 1 - à remplir'!$F$31:$F$400,'Étape 1 - à remplir'!$E$31:$E$400,MASQ2!O268,'Étape 1 - à remplir'!$G$31:$G$400,"animaux"),SUMIFS('Étape 1 - à remplir'!$F$31:$F$400,'Étape 1 - à remplir'!$E$31:$E$400,MASQ2!O268,'Étape 1 - à remplir'!$N$31:$N$400,X$3)))))))</f>
        <v>#N/A</v>
      </c>
      <c r="Q268" s="63">
        <f t="shared" si="235"/>
        <v>0</v>
      </c>
      <c r="R268" t="str">
        <f>Données_ATB!BM267</f>
        <v>Florfénicol</v>
      </c>
      <c r="S268" t="str">
        <f>Données_ATB!BN267</f>
        <v/>
      </c>
      <c r="T268" s="63" t="str">
        <f>Données_ATB!BO267</f>
        <v/>
      </c>
      <c r="U268" s="42" t="str">
        <f>Données_ATB!BQ267</f>
        <v>Phenicoles</v>
      </c>
      <c r="V268" t="str">
        <f>Données_ATB!BR267</f>
        <v/>
      </c>
      <c r="W268" s="63" t="str">
        <f>Données_ATB!BS267</f>
        <v/>
      </c>
      <c r="Z268" s="42">
        <v>265</v>
      </c>
      <c r="AA268" t="e">
        <f t="shared" si="231"/>
        <v>#N/A</v>
      </c>
      <c r="AB268" s="63" t="e">
        <f t="shared" si="232"/>
        <v>#N/A</v>
      </c>
      <c r="BF268" s="63"/>
      <c r="BT268" s="194" t="str">
        <f t="shared" ca="1" si="215"/>
        <v/>
      </c>
      <c r="BU268" s="219" t="str">
        <f>IFERROR(IF(BX268=0,"",COUNTIF(BX$4:BX$600,"&gt;"&amp;BX268)+COUNTIF(BX$4:BX268,BX268)),"")</f>
        <v/>
      </c>
      <c r="BV268" s="42" t="str">
        <f t="shared" si="216"/>
        <v>KEFLORIL 300 MG/ML SOLUTION INJECTABLE POUR BOVINS ET PORCINS</v>
      </c>
      <c r="BW268" t="e">
        <f>IF(IF(CE$2="Catégorie",IF(CE$3="Toutes",SUMIFS('Étape 1 - à remplir'!$F$31:$F$400,'Étape 1 - à remplir'!$E$31:$E$400,MASQ2!BV268,'Étape 1 - à remplir'!$G$31:$G$400,"lots"),SUMIFS('Étape 1 - à remplir'!$F$31:$F$400,'Étape 1 - à remplir'!$E$31:$E$400,MASQ2!BV268,'Étape 1 - à remplir'!$C$31:$C$400,CE$3)),IF(CE$2="Âge",IF(CE$3="Tous",SUMIFS('Étape 1 - à remplir'!$F$31:$F$400,'Étape 1 - à remplir'!$E$31:$E$400,MASQ2!BV268,'Étape 1 - à remplir'!$G$31:$G$400,"lots"),SUMIFS('Étape 1 - à remplir'!$F$31:$F$400,'Étape 1 - à remplir'!$E$31:$E$400,MASQ2!BV268,'Étape 1 - à remplir'!$P$31:$P$400,CE$3,'Étape 1 - à remplir'!$G$31:$G$400,"lots")),IF(CE$2="Atelier",IF(CE$3="Tous",SUMIFS('Étape 1 - à remplir'!$F$31:$F$400,'Étape 1 - à remplir'!$E$31:$E$400,MASQ2!BV268,'Étape 1 - à remplir'!$G$31:$G$400,"lots"),SUMIFS('Étape 1 - à remplir'!$F$31:$F$400,'Étape 1 - à remplir'!$E$31:$E$400,MASQ2!BV268,'Étape 1 - à remplir'!$O$31:$O$400,CE$3,'Étape 1 - à remplir'!$G$31:$G$400,"lots")),IF(CE$2="Espèce",IF(CE$3="Toutes",SUMIFS('Étape 1 - à remplir'!$F$31:$F$400,'Étape 1 - à remplir'!$E$31:$E$400,MASQ2!BV268,'Étape 1 - à remplir'!$G$31:$G$400,"lots"),SUMIFS('Étape 1 - à remplir'!$F$31:$F$400,'Étape 1 - à remplir'!$E$31:$E$400,MASQ2!BV268,'Étape 1 - à remplir'!$N$31:$N$400,CE$3,'Étape 1 - à remplir'!$G$31:$G$400,"lots"))))))=0,NA(),IF(CE$2="Catégorie",IF(CE$3="Toutes",SUMIFS('Étape 1 - à remplir'!$F$31:$F$400,'Étape 1 - à remplir'!$E$31:$E$400,MASQ2!BV268,'Étape 1 - à remplir'!$G$31:$G$400,"lots"),SUMIFS('Étape 1 - à remplir'!$F$31:$F$400,'Étape 1 - à remplir'!$E$31:$E$400,MASQ2!BV268,'Étape 1 - à remplir'!$C$31:$C$400,CE$3)),IF(CE$2="Âge",IF(CE$3="Tous",SUMIFS('Étape 1 - à remplir'!$F$31:$F$400,'Étape 1 - à remplir'!$E$31:$E$400,MASQ2!BV268,'Étape 1 - à remplir'!$G$31:$G$400,"lots"),SUMIFS('Étape 1 - à remplir'!$F$31:$F$400,'Étape 1 - à remplir'!$E$31:$E$400,MASQ2!BV268,'Étape 1 - à remplir'!$P$31:$P$400,CE$3,'Étape 1 - à remplir'!$G$31:$G$400,"lots")),IF(CE$2="Atelier",IF(CE$3="Tous",SUMIFS('Étape 1 - à remplir'!$F$31:$F$400,'Étape 1 - à remplir'!$E$31:$E$400,MASQ2!BV268,'Étape 1 - à remplir'!$G$31:$G$400,"lots"),SUMIFS('Étape 1 - à remplir'!$F$31:$F$400,'Étape 1 - à remplir'!$E$31:$E$400,MASQ2!BV268,'Étape 1 - à remplir'!$O$31:$O$400,CE$3,'Étape 1 - à remplir'!$G$31:$G$400,"lots")),IF(CE$2="Espèce",IF(CE$3="Toutes",SUMIFS('Étape 1 - à remplir'!$F$31:$F$400,'Étape 1 - à remplir'!$E$31:$E$400,MASQ2!BV268,'Étape 1 - à remplir'!$G$31:$G$400,"lots"),SUMIFS('Étape 1 - à remplir'!$F$31:$F$400,'Étape 1 - à remplir'!$E$31:$E$400,MASQ2!BV268,'Étape 1 - à remplir'!$N$31:$N$400,CE$3,'Étape 1 - à remplir'!$G$31:$G$400,"lots")))))))</f>
        <v>#N/A</v>
      </c>
      <c r="BX268">
        <f t="shared" si="233"/>
        <v>0</v>
      </c>
      <c r="BY268" t="str">
        <f t="shared" si="217"/>
        <v>Florfénicol</v>
      </c>
      <c r="BZ268" t="str">
        <f t="shared" si="218"/>
        <v/>
      </c>
      <c r="CA268" t="str">
        <f t="shared" si="219"/>
        <v/>
      </c>
      <c r="CB268" t="str">
        <f t="shared" si="220"/>
        <v>Phenicoles</v>
      </c>
      <c r="CC268" t="str">
        <f t="shared" si="221"/>
        <v/>
      </c>
      <c r="CD268" s="63" t="str">
        <f t="shared" si="222"/>
        <v/>
      </c>
      <c r="CG268" s="42">
        <v>265</v>
      </c>
      <c r="CH268" s="42" t="e">
        <f t="shared" si="213"/>
        <v>#N/A</v>
      </c>
      <c r="CI268" s="63" t="e">
        <f t="shared" si="214"/>
        <v>#N/A</v>
      </c>
      <c r="DM268" s="63"/>
      <c r="EA268" s="194" t="str">
        <f t="shared" ca="1" si="223"/>
        <v/>
      </c>
      <c r="EB268" s="226" t="str">
        <f>IFERROR(IF(ED268=0,"",COUNTIF(ED$4:ED$600,"&gt;"&amp;ED268)+COUNTIF(ED$4:ED268,ED268)),"")</f>
        <v/>
      </c>
      <c r="EC268" t="str">
        <f t="shared" si="224"/>
        <v>KEFLORIL 300 MG/ML SOLUTION INJECTABLE POUR BOVINS ET PORCINS</v>
      </c>
      <c r="ED268" t="e">
        <f>IF(IF(EL$2="Catégorie",IF(EL$3="Toutes",SUMIFS('Étape 1 - à remplir'!$F$31:$F$400,'Étape 1 - à remplir'!$E$31:$E$400,MASQ2!EC268,'Étape 1 - à remplir'!$G$31:$G$400,"kg"),SUMIFS('Étape 1 - à remplir'!$F$31:$F$400,'Étape 1 - à remplir'!$E$31:$E$400,MASQ2!EC268,'Étape 1 - à remplir'!$C$31:$C$400,EL$3)),IF(EL$2="Âge",IF(EL$3="Tous",SUMIFS('Étape 1 - à remplir'!$F$31:$F$400,'Étape 1 - à remplir'!$E$31:$E$400,MASQ2!EC268,'Étape 1 - à remplir'!$G$31:$G$400,"kg"),SUMIFS('Étape 1 - à remplir'!$F$31:$F$400,'Étape 1 - à remplir'!$E$31:$E$400,MASQ2!EC268,'Étape 1 - à remplir'!$P$31:$P$400,EL$3,'Étape 1 - à remplir'!$G$31:$G$400,"kg")),IF(EL$2="Atelier",IF(EL$3="Tous",SUMIFS('Étape 1 - à remplir'!$F$31:$F$400,'Étape 1 - à remplir'!$E$31:$E$400,MASQ2!EC268,'Étape 1 - à remplir'!$G$31:$G$400,"kg"),SUMIFS('Étape 1 - à remplir'!$F$31:$F$400,'Étape 1 - à remplir'!$E$31:$E$400,MASQ2!EC268,'Étape 1 - à remplir'!$O$31:$O$400,EL$3,'Étape 1 - à remplir'!$G$31:$G$400,"kg")),IF(EL$2="Espèce",IF(EL$3="Toutes",SUMIFS('Étape 1 - à remplir'!$F$31:$F$400,'Étape 1 - à remplir'!$E$31:$E$400,MASQ2!EC268,'Étape 1 - à remplir'!$G$31:$G$400,"kg"),SUMIFS('Étape 1 - à remplir'!$F$31:$F$400,'Étape 1 - à remplir'!$E$31:$E$400,MASQ2!EC268,'Étape 1 - à remplir'!$N$31:$N$400,EL$3,'Étape 1 - à remplir'!$G$31:$G$400,"kg"))))))=0,NA(),IF(EL$2="Catégorie",IF(EL$3="Toutes",SUMIFS('Étape 1 - à remplir'!$F$31:$F$400,'Étape 1 - à remplir'!$E$31:$E$400,MASQ2!EC268,'Étape 1 - à remplir'!$G$31:$G$400,"kg"),SUMIFS('Étape 1 - à remplir'!$F$31:$F$400,'Étape 1 - à remplir'!$E$31:$E$400,MASQ2!EC268,'Étape 1 - à remplir'!$C$31:$C$400,EL$3)),IF(EL$2="Âge",IF(EL$3="Tous",SUMIFS('Étape 1 - à remplir'!$F$31:$F$400,'Étape 1 - à remplir'!$E$31:$E$400,MASQ2!EC268,'Étape 1 - à remplir'!$G$31:$G$400,"kg"),SUMIFS('Étape 1 - à remplir'!$F$31:$F$400,'Étape 1 - à remplir'!$E$31:$E$400,MASQ2!EC268,'Étape 1 - à remplir'!$P$31:$P$400,EL$3,'Étape 1 - à remplir'!$G$31:$G$400,"kg")),IF(EL$2="Atelier",IF(EL$3="Tous",SUMIFS('Étape 1 - à remplir'!$F$31:$F$400,'Étape 1 - à remplir'!$E$31:$E$400,MASQ2!EC268,'Étape 1 - à remplir'!$G$31:$G$400,"kg"),SUMIFS('Étape 1 - à remplir'!$F$31:$F$400,'Étape 1 - à remplir'!$E$31:$E$400,MASQ2!EC268,'Étape 1 - à remplir'!$O$31:$O$400,EL$3,'Étape 1 - à remplir'!$G$31:$G$400,"kg")),IF(EL$2="Espèce",IF(EL$3="Toutes",SUMIFS('Étape 1 - à remplir'!$F$31:$F$400,'Étape 1 - à remplir'!$E$31:$E$400,MASQ2!EC268,'Étape 1 - à remplir'!$G$31:$G$400,"kg"),SUMIFS('Étape 1 - à remplir'!$F$31:$F$400,'Étape 1 - à remplir'!$E$31:$E$400,MASQ2!EC268,'Étape 1 - à remplir'!$N$31:$N$400,EL$3,'Étape 1 - à remplir'!$G$31:$G$400,"kg")))))))</f>
        <v>#N/A</v>
      </c>
      <c r="EE268" s="76">
        <f t="shared" si="234"/>
        <v>0</v>
      </c>
      <c r="EF268" t="str">
        <f t="shared" si="225"/>
        <v>Florfénicol</v>
      </c>
      <c r="EG268" t="str">
        <f t="shared" si="226"/>
        <v/>
      </c>
      <c r="EH268" t="str">
        <f t="shared" si="227"/>
        <v/>
      </c>
      <c r="EI268" t="str">
        <f t="shared" si="228"/>
        <v>Phenicoles</v>
      </c>
      <c r="EJ268" t="str">
        <f t="shared" si="229"/>
        <v/>
      </c>
      <c r="EK268" s="63" t="str">
        <f t="shared" si="230"/>
        <v/>
      </c>
      <c r="EN268" s="42">
        <v>265</v>
      </c>
      <c r="EO268" t="e">
        <f t="shared" si="236"/>
        <v>#N/A</v>
      </c>
      <c r="EP268" s="63" t="e">
        <f t="shared" si="237"/>
        <v>#N/A</v>
      </c>
      <c r="FT268" s="63"/>
    </row>
    <row r="269" spans="2:176" x14ac:dyDescent="0.3">
      <c r="B269" s="42"/>
      <c r="M269" s="194" t="str">
        <f ca="1">INDEX(Données_ATB!BD:BU,MATCH(MASQ2!O269,Données_ATB!BD:BD,0),18)</f>
        <v>x</v>
      </c>
      <c r="N269" s="14" t="str">
        <f>IFERROR(IF(Q269=0,"",COUNTIF(Q$4:Q$600,"&gt;"&amp;Q269)+COUNTIF(Q$4:Q269,Q269)),"")</f>
        <v/>
      </c>
      <c r="O269" t="str">
        <f>Données_ATB!BD268</f>
        <v>KELACYL 100 MG/ML SOLUTION INJECTABLE POUR BOVINS ET PORCINS</v>
      </c>
      <c r="P269" t="e">
        <f>IF(IF(X$2="Catégorie",IF(X$3="Toutes",SUMIFS('Étape 1 - à remplir'!$F$31:$F$400,'Étape 1 - à remplir'!$E$31:$E$400,MASQ2!O269,'Étape 1 - à remplir'!$G$31:$G$400,"animaux"),SUMIFS('Étape 1 - à remplir'!$F$31:$F$400,'Étape 1 - à remplir'!$E$31:$E$400,MASQ2!O269,'Étape 1 - à remplir'!$C$31:$C$400,X$3)),IF(X$2="Âge",IF(X$3="Tous",SUMIFS('Étape 1 - à remplir'!$F$31:$F$400,'Étape 1 - à remplir'!$E$31:$E$400,MASQ2!O269,'Étape 1 - à remplir'!$G$31:$G$400,"animaux"),SUMIFS('Étape 1 - à remplir'!$F$31:$F$400,'Étape 1 - à remplir'!$E$31:$E$400,MASQ2!O269,'Étape 1 - à remplir'!$P$31:$P$400,X$3)),IF(X$2="Atelier",IF(X$3="Tous",SUMIFS('Étape 1 - à remplir'!$F$31:$F$400,'Étape 1 - à remplir'!$E$31:$E$400,MASQ2!O269,'Étape 1 - à remplir'!$G$31:$G$400,"animaux"),SUMIFS('Étape 1 - à remplir'!$F$31:$F$400,'Étape 1 - à remplir'!$E$31:$E$400,MASQ2!O269,'Étape 1 - à remplir'!$O$31:$O$400,X$3)),IF(X$2="Espèce",IF(X$3="Toutes",SUMIFS('Étape 1 - à remplir'!$F$31:$F$400,'Étape 1 - à remplir'!$E$31:$E$400,MASQ2!O269,'Étape 1 - à remplir'!$G$31:$G$400,"animaux"),SUMIFS('Étape 1 - à remplir'!$F$31:$F$400,'Étape 1 - à remplir'!$E$31:$E$400,MASQ2!O269,'Étape 1 - à remplir'!$N$31:$N$400,X$3))))))=0,NA(),IF(X$2="Catégorie",IF(X$3="Toutes",SUMIFS('Étape 1 - à remplir'!$F$31:$F$400,'Étape 1 - à remplir'!$E$31:$E$400,MASQ2!O269,'Étape 1 - à remplir'!$G$31:$G$400,"animaux"),SUMIFS('Étape 1 - à remplir'!$F$31:$F$400,'Étape 1 - à remplir'!$E$31:$E$400,MASQ2!O269,'Étape 1 - à remplir'!$C$31:$C$400,X$3)),IF(X$2="Âge",IF(X$3="Tous",SUMIFS('Étape 1 - à remplir'!$F$31:$F$400,'Étape 1 - à remplir'!$E$31:$E$400,MASQ2!O269,'Étape 1 - à remplir'!$G$31:$G$400,"animaux"),SUMIFS('Étape 1 - à remplir'!$F$31:$F$400,'Étape 1 - à remplir'!$E$31:$E$400,MASQ2!O269,'Étape 1 - à remplir'!$P$31:$P$400,X$3)),IF(X$2="Atelier",IF(X$3="Tous",SUMIFS('Étape 1 - à remplir'!$F$31:$F$400,'Étape 1 - à remplir'!$E$31:$E$400,MASQ2!O269,'Étape 1 - à remplir'!$G$31:$G$400,"animaux"),SUMIFS('Étape 1 - à remplir'!$F$31:$F$400,'Étape 1 - à remplir'!$E$31:$E$400,MASQ2!O269,'Étape 1 - à remplir'!$O$31:$O$400,X$3)),IF(X$2="Espèce",IF(X$3="Toutes",SUMIFS('Étape 1 - à remplir'!$F$31:$F$400,'Étape 1 - à remplir'!$E$31:$E$400,MASQ2!O269,'Étape 1 - à remplir'!$G$31:$G$400,"animaux"),SUMIFS('Étape 1 - à remplir'!$F$31:$F$400,'Étape 1 - à remplir'!$E$31:$E$400,MASQ2!O269,'Étape 1 - à remplir'!$N$31:$N$400,X$3)))))))</f>
        <v>#N/A</v>
      </c>
      <c r="Q269" s="63">
        <f t="shared" si="235"/>
        <v>0</v>
      </c>
      <c r="R269" t="str">
        <f>Données_ATB!BM268</f>
        <v>Marbofloxacine</v>
      </c>
      <c r="S269" t="str">
        <f>Données_ATB!BN268</f>
        <v/>
      </c>
      <c r="T269" s="63" t="str">
        <f>Données_ATB!BO268</f>
        <v/>
      </c>
      <c r="U269" s="42" t="str">
        <f>Données_ATB!BQ268</f>
        <v>Fluoroquinolones</v>
      </c>
      <c r="V269" t="str">
        <f>Données_ATB!BR268</f>
        <v/>
      </c>
      <c r="W269" s="63" t="str">
        <f>Données_ATB!BS268</f>
        <v/>
      </c>
      <c r="Z269" s="42">
        <v>266</v>
      </c>
      <c r="AA269" t="e">
        <f t="shared" si="231"/>
        <v>#N/A</v>
      </c>
      <c r="AB269" s="63" t="e">
        <f t="shared" si="232"/>
        <v>#N/A</v>
      </c>
      <c r="BF269" s="63"/>
      <c r="BT269" s="194" t="str">
        <f t="shared" ca="1" si="215"/>
        <v>x</v>
      </c>
      <c r="BU269" s="219" t="str">
        <f>IFERROR(IF(BX269=0,"",COUNTIF(BX$4:BX$600,"&gt;"&amp;BX269)+COUNTIF(BX$4:BX269,BX269)),"")</f>
        <v/>
      </c>
      <c r="BV269" s="42" t="str">
        <f t="shared" si="216"/>
        <v>KELACYL 100 MG/ML SOLUTION INJECTABLE POUR BOVINS ET PORCINS</v>
      </c>
      <c r="BW269" t="e">
        <f>IF(IF(CE$2="Catégorie",IF(CE$3="Toutes",SUMIFS('Étape 1 - à remplir'!$F$31:$F$400,'Étape 1 - à remplir'!$E$31:$E$400,MASQ2!BV269,'Étape 1 - à remplir'!$G$31:$G$400,"lots"),SUMIFS('Étape 1 - à remplir'!$F$31:$F$400,'Étape 1 - à remplir'!$E$31:$E$400,MASQ2!BV269,'Étape 1 - à remplir'!$C$31:$C$400,CE$3)),IF(CE$2="Âge",IF(CE$3="Tous",SUMIFS('Étape 1 - à remplir'!$F$31:$F$400,'Étape 1 - à remplir'!$E$31:$E$400,MASQ2!BV269,'Étape 1 - à remplir'!$G$31:$G$400,"lots"),SUMIFS('Étape 1 - à remplir'!$F$31:$F$400,'Étape 1 - à remplir'!$E$31:$E$400,MASQ2!BV269,'Étape 1 - à remplir'!$P$31:$P$400,CE$3,'Étape 1 - à remplir'!$G$31:$G$400,"lots")),IF(CE$2="Atelier",IF(CE$3="Tous",SUMIFS('Étape 1 - à remplir'!$F$31:$F$400,'Étape 1 - à remplir'!$E$31:$E$400,MASQ2!BV269,'Étape 1 - à remplir'!$G$31:$G$400,"lots"),SUMIFS('Étape 1 - à remplir'!$F$31:$F$400,'Étape 1 - à remplir'!$E$31:$E$400,MASQ2!BV269,'Étape 1 - à remplir'!$O$31:$O$400,CE$3,'Étape 1 - à remplir'!$G$31:$G$400,"lots")),IF(CE$2="Espèce",IF(CE$3="Toutes",SUMIFS('Étape 1 - à remplir'!$F$31:$F$400,'Étape 1 - à remplir'!$E$31:$E$400,MASQ2!BV269,'Étape 1 - à remplir'!$G$31:$G$400,"lots"),SUMIFS('Étape 1 - à remplir'!$F$31:$F$400,'Étape 1 - à remplir'!$E$31:$E$400,MASQ2!BV269,'Étape 1 - à remplir'!$N$31:$N$400,CE$3,'Étape 1 - à remplir'!$G$31:$G$400,"lots"))))))=0,NA(),IF(CE$2="Catégorie",IF(CE$3="Toutes",SUMIFS('Étape 1 - à remplir'!$F$31:$F$400,'Étape 1 - à remplir'!$E$31:$E$400,MASQ2!BV269,'Étape 1 - à remplir'!$G$31:$G$400,"lots"),SUMIFS('Étape 1 - à remplir'!$F$31:$F$400,'Étape 1 - à remplir'!$E$31:$E$400,MASQ2!BV269,'Étape 1 - à remplir'!$C$31:$C$400,CE$3)),IF(CE$2="Âge",IF(CE$3="Tous",SUMIFS('Étape 1 - à remplir'!$F$31:$F$400,'Étape 1 - à remplir'!$E$31:$E$400,MASQ2!BV269,'Étape 1 - à remplir'!$G$31:$G$400,"lots"),SUMIFS('Étape 1 - à remplir'!$F$31:$F$400,'Étape 1 - à remplir'!$E$31:$E$400,MASQ2!BV269,'Étape 1 - à remplir'!$P$31:$P$400,CE$3,'Étape 1 - à remplir'!$G$31:$G$400,"lots")),IF(CE$2="Atelier",IF(CE$3="Tous",SUMIFS('Étape 1 - à remplir'!$F$31:$F$400,'Étape 1 - à remplir'!$E$31:$E$400,MASQ2!BV269,'Étape 1 - à remplir'!$G$31:$G$400,"lots"),SUMIFS('Étape 1 - à remplir'!$F$31:$F$400,'Étape 1 - à remplir'!$E$31:$E$400,MASQ2!BV269,'Étape 1 - à remplir'!$O$31:$O$400,CE$3,'Étape 1 - à remplir'!$G$31:$G$400,"lots")),IF(CE$2="Espèce",IF(CE$3="Toutes",SUMIFS('Étape 1 - à remplir'!$F$31:$F$400,'Étape 1 - à remplir'!$E$31:$E$400,MASQ2!BV269,'Étape 1 - à remplir'!$G$31:$G$400,"lots"),SUMIFS('Étape 1 - à remplir'!$F$31:$F$400,'Étape 1 - à remplir'!$E$31:$E$400,MASQ2!BV269,'Étape 1 - à remplir'!$N$31:$N$400,CE$3,'Étape 1 - à remplir'!$G$31:$G$400,"lots")))))))</f>
        <v>#N/A</v>
      </c>
      <c r="BX269">
        <f t="shared" si="233"/>
        <v>0</v>
      </c>
      <c r="BY269" t="str">
        <f t="shared" si="217"/>
        <v>Marbofloxacine</v>
      </c>
      <c r="BZ269" t="str">
        <f t="shared" si="218"/>
        <v/>
      </c>
      <c r="CA269" t="str">
        <f t="shared" si="219"/>
        <v/>
      </c>
      <c r="CB269" t="str">
        <f t="shared" si="220"/>
        <v>Fluoroquinolones</v>
      </c>
      <c r="CC269" t="str">
        <f t="shared" si="221"/>
        <v/>
      </c>
      <c r="CD269" s="63" t="str">
        <f t="shared" si="222"/>
        <v/>
      </c>
      <c r="CG269" s="42">
        <v>266</v>
      </c>
      <c r="CH269" s="42" t="e">
        <f t="shared" si="213"/>
        <v>#N/A</v>
      </c>
      <c r="CI269" s="63" t="e">
        <f t="shared" si="214"/>
        <v>#N/A</v>
      </c>
      <c r="DM269" s="63"/>
      <c r="EA269" s="194" t="str">
        <f t="shared" ca="1" si="223"/>
        <v>x</v>
      </c>
      <c r="EB269" s="226" t="str">
        <f>IFERROR(IF(ED269=0,"",COUNTIF(ED$4:ED$600,"&gt;"&amp;ED269)+COUNTIF(ED$4:ED269,ED269)),"")</f>
        <v/>
      </c>
      <c r="EC269" t="str">
        <f t="shared" si="224"/>
        <v>KELACYL 100 MG/ML SOLUTION INJECTABLE POUR BOVINS ET PORCINS</v>
      </c>
      <c r="ED269" t="e">
        <f>IF(IF(EL$2="Catégorie",IF(EL$3="Toutes",SUMIFS('Étape 1 - à remplir'!$F$31:$F$400,'Étape 1 - à remplir'!$E$31:$E$400,MASQ2!EC269,'Étape 1 - à remplir'!$G$31:$G$400,"kg"),SUMIFS('Étape 1 - à remplir'!$F$31:$F$400,'Étape 1 - à remplir'!$E$31:$E$400,MASQ2!EC269,'Étape 1 - à remplir'!$C$31:$C$400,EL$3)),IF(EL$2="Âge",IF(EL$3="Tous",SUMIFS('Étape 1 - à remplir'!$F$31:$F$400,'Étape 1 - à remplir'!$E$31:$E$400,MASQ2!EC269,'Étape 1 - à remplir'!$G$31:$G$400,"kg"),SUMIFS('Étape 1 - à remplir'!$F$31:$F$400,'Étape 1 - à remplir'!$E$31:$E$400,MASQ2!EC269,'Étape 1 - à remplir'!$P$31:$P$400,EL$3,'Étape 1 - à remplir'!$G$31:$G$400,"kg")),IF(EL$2="Atelier",IF(EL$3="Tous",SUMIFS('Étape 1 - à remplir'!$F$31:$F$400,'Étape 1 - à remplir'!$E$31:$E$400,MASQ2!EC269,'Étape 1 - à remplir'!$G$31:$G$400,"kg"),SUMIFS('Étape 1 - à remplir'!$F$31:$F$400,'Étape 1 - à remplir'!$E$31:$E$400,MASQ2!EC269,'Étape 1 - à remplir'!$O$31:$O$400,EL$3,'Étape 1 - à remplir'!$G$31:$G$400,"kg")),IF(EL$2="Espèce",IF(EL$3="Toutes",SUMIFS('Étape 1 - à remplir'!$F$31:$F$400,'Étape 1 - à remplir'!$E$31:$E$400,MASQ2!EC269,'Étape 1 - à remplir'!$G$31:$G$400,"kg"),SUMIFS('Étape 1 - à remplir'!$F$31:$F$400,'Étape 1 - à remplir'!$E$31:$E$400,MASQ2!EC269,'Étape 1 - à remplir'!$N$31:$N$400,EL$3,'Étape 1 - à remplir'!$G$31:$G$400,"kg"))))))=0,NA(),IF(EL$2="Catégorie",IF(EL$3="Toutes",SUMIFS('Étape 1 - à remplir'!$F$31:$F$400,'Étape 1 - à remplir'!$E$31:$E$400,MASQ2!EC269,'Étape 1 - à remplir'!$G$31:$G$400,"kg"),SUMIFS('Étape 1 - à remplir'!$F$31:$F$400,'Étape 1 - à remplir'!$E$31:$E$400,MASQ2!EC269,'Étape 1 - à remplir'!$C$31:$C$400,EL$3)),IF(EL$2="Âge",IF(EL$3="Tous",SUMIFS('Étape 1 - à remplir'!$F$31:$F$400,'Étape 1 - à remplir'!$E$31:$E$400,MASQ2!EC269,'Étape 1 - à remplir'!$G$31:$G$400,"kg"),SUMIFS('Étape 1 - à remplir'!$F$31:$F$400,'Étape 1 - à remplir'!$E$31:$E$400,MASQ2!EC269,'Étape 1 - à remplir'!$P$31:$P$400,EL$3,'Étape 1 - à remplir'!$G$31:$G$400,"kg")),IF(EL$2="Atelier",IF(EL$3="Tous",SUMIFS('Étape 1 - à remplir'!$F$31:$F$400,'Étape 1 - à remplir'!$E$31:$E$400,MASQ2!EC269,'Étape 1 - à remplir'!$G$31:$G$400,"kg"),SUMIFS('Étape 1 - à remplir'!$F$31:$F$400,'Étape 1 - à remplir'!$E$31:$E$400,MASQ2!EC269,'Étape 1 - à remplir'!$O$31:$O$400,EL$3,'Étape 1 - à remplir'!$G$31:$G$400,"kg")),IF(EL$2="Espèce",IF(EL$3="Toutes",SUMIFS('Étape 1 - à remplir'!$F$31:$F$400,'Étape 1 - à remplir'!$E$31:$E$400,MASQ2!EC269,'Étape 1 - à remplir'!$G$31:$G$400,"kg"),SUMIFS('Étape 1 - à remplir'!$F$31:$F$400,'Étape 1 - à remplir'!$E$31:$E$400,MASQ2!EC269,'Étape 1 - à remplir'!$N$31:$N$400,EL$3,'Étape 1 - à remplir'!$G$31:$G$400,"kg")))))))</f>
        <v>#N/A</v>
      </c>
      <c r="EE269" s="76">
        <f t="shared" si="234"/>
        <v>0</v>
      </c>
      <c r="EF269" t="str">
        <f t="shared" si="225"/>
        <v>Marbofloxacine</v>
      </c>
      <c r="EG269" t="str">
        <f t="shared" si="226"/>
        <v/>
      </c>
      <c r="EH269" t="str">
        <f t="shared" si="227"/>
        <v/>
      </c>
      <c r="EI269" t="str">
        <f t="shared" si="228"/>
        <v>Fluoroquinolones</v>
      </c>
      <c r="EJ269" t="str">
        <f t="shared" si="229"/>
        <v/>
      </c>
      <c r="EK269" s="63" t="str">
        <f t="shared" si="230"/>
        <v/>
      </c>
      <c r="EN269" s="42">
        <v>266</v>
      </c>
      <c r="EO269" t="e">
        <f t="shared" si="236"/>
        <v>#N/A</v>
      </c>
      <c r="EP269" s="63" t="e">
        <f t="shared" si="237"/>
        <v>#N/A</v>
      </c>
      <c r="FT269" s="63"/>
    </row>
    <row r="270" spans="2:176" x14ac:dyDescent="0.3">
      <c r="B270" s="42"/>
      <c r="M270" s="194" t="str">
        <f ca="1">INDEX(Données_ATB!BD:BU,MATCH(MASQ2!O270,Données_ATB!BD:BD,0),18)</f>
        <v/>
      </c>
      <c r="N270" s="14" t="str">
        <f>IFERROR(IF(Q270=0,"",COUNTIF(Q$4:Q$600,"&gt;"&amp;Q270)+COUNTIF(Q$4:Q270,Q270)),"")</f>
        <v/>
      </c>
      <c r="O270" t="str">
        <f>Données_ATB!BD269</f>
        <v>K-VET DOXYCYCLINE 50 MG/G POUDRE</v>
      </c>
      <c r="P270" t="e">
        <f>IF(IF(X$2="Catégorie",IF(X$3="Toutes",SUMIFS('Étape 1 - à remplir'!$F$31:$F$400,'Étape 1 - à remplir'!$E$31:$E$400,MASQ2!O270,'Étape 1 - à remplir'!$G$31:$G$400,"animaux"),SUMIFS('Étape 1 - à remplir'!$F$31:$F$400,'Étape 1 - à remplir'!$E$31:$E$400,MASQ2!O270,'Étape 1 - à remplir'!$C$31:$C$400,X$3)),IF(X$2="Âge",IF(X$3="Tous",SUMIFS('Étape 1 - à remplir'!$F$31:$F$400,'Étape 1 - à remplir'!$E$31:$E$400,MASQ2!O270,'Étape 1 - à remplir'!$G$31:$G$400,"animaux"),SUMIFS('Étape 1 - à remplir'!$F$31:$F$400,'Étape 1 - à remplir'!$E$31:$E$400,MASQ2!O270,'Étape 1 - à remplir'!$P$31:$P$400,X$3)),IF(X$2="Atelier",IF(X$3="Tous",SUMIFS('Étape 1 - à remplir'!$F$31:$F$400,'Étape 1 - à remplir'!$E$31:$E$400,MASQ2!O270,'Étape 1 - à remplir'!$G$31:$G$400,"animaux"),SUMIFS('Étape 1 - à remplir'!$F$31:$F$400,'Étape 1 - à remplir'!$E$31:$E$400,MASQ2!O270,'Étape 1 - à remplir'!$O$31:$O$400,X$3)),IF(X$2="Espèce",IF(X$3="Toutes",SUMIFS('Étape 1 - à remplir'!$F$31:$F$400,'Étape 1 - à remplir'!$E$31:$E$400,MASQ2!O270,'Étape 1 - à remplir'!$G$31:$G$400,"animaux"),SUMIFS('Étape 1 - à remplir'!$F$31:$F$400,'Étape 1 - à remplir'!$E$31:$E$400,MASQ2!O270,'Étape 1 - à remplir'!$N$31:$N$400,X$3))))))=0,NA(),IF(X$2="Catégorie",IF(X$3="Toutes",SUMIFS('Étape 1 - à remplir'!$F$31:$F$400,'Étape 1 - à remplir'!$E$31:$E$400,MASQ2!O270,'Étape 1 - à remplir'!$G$31:$G$400,"animaux"),SUMIFS('Étape 1 - à remplir'!$F$31:$F$400,'Étape 1 - à remplir'!$E$31:$E$400,MASQ2!O270,'Étape 1 - à remplir'!$C$31:$C$400,X$3)),IF(X$2="Âge",IF(X$3="Tous",SUMIFS('Étape 1 - à remplir'!$F$31:$F$400,'Étape 1 - à remplir'!$E$31:$E$400,MASQ2!O270,'Étape 1 - à remplir'!$G$31:$G$400,"animaux"),SUMIFS('Étape 1 - à remplir'!$F$31:$F$400,'Étape 1 - à remplir'!$E$31:$E$400,MASQ2!O270,'Étape 1 - à remplir'!$P$31:$P$400,X$3)),IF(X$2="Atelier",IF(X$3="Tous",SUMIFS('Étape 1 - à remplir'!$F$31:$F$400,'Étape 1 - à remplir'!$E$31:$E$400,MASQ2!O270,'Étape 1 - à remplir'!$G$31:$G$400,"animaux"),SUMIFS('Étape 1 - à remplir'!$F$31:$F$400,'Étape 1 - à remplir'!$E$31:$E$400,MASQ2!O270,'Étape 1 - à remplir'!$O$31:$O$400,X$3)),IF(X$2="Espèce",IF(X$3="Toutes",SUMIFS('Étape 1 - à remplir'!$F$31:$F$400,'Étape 1 - à remplir'!$E$31:$E$400,MASQ2!O270,'Étape 1 - à remplir'!$G$31:$G$400,"animaux"),SUMIFS('Étape 1 - à remplir'!$F$31:$F$400,'Étape 1 - à remplir'!$E$31:$E$400,MASQ2!O270,'Étape 1 - à remplir'!$N$31:$N$400,X$3)))))))</f>
        <v>#N/A</v>
      </c>
      <c r="Q270" s="63">
        <f t="shared" si="235"/>
        <v>0</v>
      </c>
      <c r="R270" t="str">
        <f>Données_ATB!BM269</f>
        <v>Doxycycline</v>
      </c>
      <c r="S270" t="str">
        <f>Données_ATB!BN269</f>
        <v/>
      </c>
      <c r="T270" s="63" t="str">
        <f>Données_ATB!BO269</f>
        <v/>
      </c>
      <c r="U270" s="42" t="str">
        <f>Données_ATB!BQ269</f>
        <v>Tetracyclines</v>
      </c>
      <c r="V270" t="str">
        <f>Données_ATB!BR269</f>
        <v/>
      </c>
      <c r="W270" s="63" t="str">
        <f>Données_ATB!BS269</f>
        <v/>
      </c>
      <c r="Z270" s="42">
        <v>267</v>
      </c>
      <c r="AA270" t="e">
        <f t="shared" si="231"/>
        <v>#N/A</v>
      </c>
      <c r="AB270" s="63" t="e">
        <f t="shared" si="232"/>
        <v>#N/A</v>
      </c>
      <c r="BF270" s="63"/>
      <c r="BT270" s="194" t="str">
        <f t="shared" ca="1" si="215"/>
        <v/>
      </c>
      <c r="BU270" s="219" t="str">
        <f>IFERROR(IF(BX270=0,"",COUNTIF(BX$4:BX$600,"&gt;"&amp;BX270)+COUNTIF(BX$4:BX270,BX270)),"")</f>
        <v/>
      </c>
      <c r="BV270" s="42" t="str">
        <f t="shared" si="216"/>
        <v>K-VET DOXYCYCLINE 50 MG/G POUDRE</v>
      </c>
      <c r="BW270" t="e">
        <f>IF(IF(CE$2="Catégorie",IF(CE$3="Toutes",SUMIFS('Étape 1 - à remplir'!$F$31:$F$400,'Étape 1 - à remplir'!$E$31:$E$400,MASQ2!BV270,'Étape 1 - à remplir'!$G$31:$G$400,"lots"),SUMIFS('Étape 1 - à remplir'!$F$31:$F$400,'Étape 1 - à remplir'!$E$31:$E$400,MASQ2!BV270,'Étape 1 - à remplir'!$C$31:$C$400,CE$3)),IF(CE$2="Âge",IF(CE$3="Tous",SUMIFS('Étape 1 - à remplir'!$F$31:$F$400,'Étape 1 - à remplir'!$E$31:$E$400,MASQ2!BV270,'Étape 1 - à remplir'!$G$31:$G$400,"lots"),SUMIFS('Étape 1 - à remplir'!$F$31:$F$400,'Étape 1 - à remplir'!$E$31:$E$400,MASQ2!BV270,'Étape 1 - à remplir'!$P$31:$P$400,CE$3,'Étape 1 - à remplir'!$G$31:$G$400,"lots")),IF(CE$2="Atelier",IF(CE$3="Tous",SUMIFS('Étape 1 - à remplir'!$F$31:$F$400,'Étape 1 - à remplir'!$E$31:$E$400,MASQ2!BV270,'Étape 1 - à remplir'!$G$31:$G$400,"lots"),SUMIFS('Étape 1 - à remplir'!$F$31:$F$400,'Étape 1 - à remplir'!$E$31:$E$400,MASQ2!BV270,'Étape 1 - à remplir'!$O$31:$O$400,CE$3,'Étape 1 - à remplir'!$G$31:$G$400,"lots")),IF(CE$2="Espèce",IF(CE$3="Toutes",SUMIFS('Étape 1 - à remplir'!$F$31:$F$400,'Étape 1 - à remplir'!$E$31:$E$400,MASQ2!BV270,'Étape 1 - à remplir'!$G$31:$G$400,"lots"),SUMIFS('Étape 1 - à remplir'!$F$31:$F$400,'Étape 1 - à remplir'!$E$31:$E$400,MASQ2!BV270,'Étape 1 - à remplir'!$N$31:$N$400,CE$3,'Étape 1 - à remplir'!$G$31:$G$400,"lots"))))))=0,NA(),IF(CE$2="Catégorie",IF(CE$3="Toutes",SUMIFS('Étape 1 - à remplir'!$F$31:$F$400,'Étape 1 - à remplir'!$E$31:$E$400,MASQ2!BV270,'Étape 1 - à remplir'!$G$31:$G$400,"lots"),SUMIFS('Étape 1 - à remplir'!$F$31:$F$400,'Étape 1 - à remplir'!$E$31:$E$400,MASQ2!BV270,'Étape 1 - à remplir'!$C$31:$C$400,CE$3)),IF(CE$2="Âge",IF(CE$3="Tous",SUMIFS('Étape 1 - à remplir'!$F$31:$F$400,'Étape 1 - à remplir'!$E$31:$E$400,MASQ2!BV270,'Étape 1 - à remplir'!$G$31:$G$400,"lots"),SUMIFS('Étape 1 - à remplir'!$F$31:$F$400,'Étape 1 - à remplir'!$E$31:$E$400,MASQ2!BV270,'Étape 1 - à remplir'!$P$31:$P$400,CE$3,'Étape 1 - à remplir'!$G$31:$G$400,"lots")),IF(CE$2="Atelier",IF(CE$3="Tous",SUMIFS('Étape 1 - à remplir'!$F$31:$F$400,'Étape 1 - à remplir'!$E$31:$E$400,MASQ2!BV270,'Étape 1 - à remplir'!$G$31:$G$400,"lots"),SUMIFS('Étape 1 - à remplir'!$F$31:$F$400,'Étape 1 - à remplir'!$E$31:$E$400,MASQ2!BV270,'Étape 1 - à remplir'!$O$31:$O$400,CE$3,'Étape 1 - à remplir'!$G$31:$G$400,"lots")),IF(CE$2="Espèce",IF(CE$3="Toutes",SUMIFS('Étape 1 - à remplir'!$F$31:$F$400,'Étape 1 - à remplir'!$E$31:$E$400,MASQ2!BV270,'Étape 1 - à remplir'!$G$31:$G$400,"lots"),SUMIFS('Étape 1 - à remplir'!$F$31:$F$400,'Étape 1 - à remplir'!$E$31:$E$400,MASQ2!BV270,'Étape 1 - à remplir'!$N$31:$N$400,CE$3,'Étape 1 - à remplir'!$G$31:$G$400,"lots")))))))</f>
        <v>#N/A</v>
      </c>
      <c r="BX270">
        <f t="shared" si="233"/>
        <v>0</v>
      </c>
      <c r="BY270" t="str">
        <f t="shared" si="217"/>
        <v>Doxycycline</v>
      </c>
      <c r="BZ270" t="str">
        <f t="shared" si="218"/>
        <v/>
      </c>
      <c r="CA270" t="str">
        <f t="shared" si="219"/>
        <v/>
      </c>
      <c r="CB270" t="str">
        <f t="shared" si="220"/>
        <v>Tetracyclines</v>
      </c>
      <c r="CC270" t="str">
        <f t="shared" si="221"/>
        <v/>
      </c>
      <c r="CD270" s="63" t="str">
        <f t="shared" si="222"/>
        <v/>
      </c>
      <c r="CG270" s="42">
        <v>267</v>
      </c>
      <c r="CH270" s="42" t="e">
        <f t="shared" si="213"/>
        <v>#N/A</v>
      </c>
      <c r="CI270" s="63" t="e">
        <f t="shared" si="214"/>
        <v>#N/A</v>
      </c>
      <c r="DM270" s="63"/>
      <c r="EA270" s="194" t="str">
        <f t="shared" ca="1" si="223"/>
        <v/>
      </c>
      <c r="EB270" s="226" t="str">
        <f>IFERROR(IF(ED270=0,"",COUNTIF(ED$4:ED$600,"&gt;"&amp;ED270)+COUNTIF(ED$4:ED270,ED270)),"")</f>
        <v/>
      </c>
      <c r="EC270" t="str">
        <f t="shared" si="224"/>
        <v>K-VET DOXYCYCLINE 50 MG/G POUDRE</v>
      </c>
      <c r="ED270" t="e">
        <f>IF(IF(EL$2="Catégorie",IF(EL$3="Toutes",SUMIFS('Étape 1 - à remplir'!$F$31:$F$400,'Étape 1 - à remplir'!$E$31:$E$400,MASQ2!EC270,'Étape 1 - à remplir'!$G$31:$G$400,"kg"),SUMIFS('Étape 1 - à remplir'!$F$31:$F$400,'Étape 1 - à remplir'!$E$31:$E$400,MASQ2!EC270,'Étape 1 - à remplir'!$C$31:$C$400,EL$3)),IF(EL$2="Âge",IF(EL$3="Tous",SUMIFS('Étape 1 - à remplir'!$F$31:$F$400,'Étape 1 - à remplir'!$E$31:$E$400,MASQ2!EC270,'Étape 1 - à remplir'!$G$31:$G$400,"kg"),SUMIFS('Étape 1 - à remplir'!$F$31:$F$400,'Étape 1 - à remplir'!$E$31:$E$400,MASQ2!EC270,'Étape 1 - à remplir'!$P$31:$P$400,EL$3,'Étape 1 - à remplir'!$G$31:$G$400,"kg")),IF(EL$2="Atelier",IF(EL$3="Tous",SUMIFS('Étape 1 - à remplir'!$F$31:$F$400,'Étape 1 - à remplir'!$E$31:$E$400,MASQ2!EC270,'Étape 1 - à remplir'!$G$31:$G$400,"kg"),SUMIFS('Étape 1 - à remplir'!$F$31:$F$400,'Étape 1 - à remplir'!$E$31:$E$400,MASQ2!EC270,'Étape 1 - à remplir'!$O$31:$O$400,EL$3,'Étape 1 - à remplir'!$G$31:$G$400,"kg")),IF(EL$2="Espèce",IF(EL$3="Toutes",SUMIFS('Étape 1 - à remplir'!$F$31:$F$400,'Étape 1 - à remplir'!$E$31:$E$400,MASQ2!EC270,'Étape 1 - à remplir'!$G$31:$G$400,"kg"),SUMIFS('Étape 1 - à remplir'!$F$31:$F$400,'Étape 1 - à remplir'!$E$31:$E$400,MASQ2!EC270,'Étape 1 - à remplir'!$N$31:$N$400,EL$3,'Étape 1 - à remplir'!$G$31:$G$400,"kg"))))))=0,NA(),IF(EL$2="Catégorie",IF(EL$3="Toutes",SUMIFS('Étape 1 - à remplir'!$F$31:$F$400,'Étape 1 - à remplir'!$E$31:$E$400,MASQ2!EC270,'Étape 1 - à remplir'!$G$31:$G$400,"kg"),SUMIFS('Étape 1 - à remplir'!$F$31:$F$400,'Étape 1 - à remplir'!$E$31:$E$400,MASQ2!EC270,'Étape 1 - à remplir'!$C$31:$C$400,EL$3)),IF(EL$2="Âge",IF(EL$3="Tous",SUMIFS('Étape 1 - à remplir'!$F$31:$F$400,'Étape 1 - à remplir'!$E$31:$E$400,MASQ2!EC270,'Étape 1 - à remplir'!$G$31:$G$400,"kg"),SUMIFS('Étape 1 - à remplir'!$F$31:$F$400,'Étape 1 - à remplir'!$E$31:$E$400,MASQ2!EC270,'Étape 1 - à remplir'!$P$31:$P$400,EL$3,'Étape 1 - à remplir'!$G$31:$G$400,"kg")),IF(EL$2="Atelier",IF(EL$3="Tous",SUMIFS('Étape 1 - à remplir'!$F$31:$F$400,'Étape 1 - à remplir'!$E$31:$E$400,MASQ2!EC270,'Étape 1 - à remplir'!$G$31:$G$400,"kg"),SUMIFS('Étape 1 - à remplir'!$F$31:$F$400,'Étape 1 - à remplir'!$E$31:$E$400,MASQ2!EC270,'Étape 1 - à remplir'!$O$31:$O$400,EL$3,'Étape 1 - à remplir'!$G$31:$G$400,"kg")),IF(EL$2="Espèce",IF(EL$3="Toutes",SUMIFS('Étape 1 - à remplir'!$F$31:$F$400,'Étape 1 - à remplir'!$E$31:$E$400,MASQ2!EC270,'Étape 1 - à remplir'!$G$31:$G$400,"kg"),SUMIFS('Étape 1 - à remplir'!$F$31:$F$400,'Étape 1 - à remplir'!$E$31:$E$400,MASQ2!EC270,'Étape 1 - à remplir'!$N$31:$N$400,EL$3,'Étape 1 - à remplir'!$G$31:$G$400,"kg")))))))</f>
        <v>#N/A</v>
      </c>
      <c r="EE270" s="76">
        <f t="shared" si="234"/>
        <v>0</v>
      </c>
      <c r="EF270" t="str">
        <f t="shared" si="225"/>
        <v>Doxycycline</v>
      </c>
      <c r="EG270" t="str">
        <f t="shared" si="226"/>
        <v/>
      </c>
      <c r="EH270" t="str">
        <f t="shared" si="227"/>
        <v/>
      </c>
      <c r="EI270" t="str">
        <f t="shared" si="228"/>
        <v>Tetracyclines</v>
      </c>
      <c r="EJ270" t="str">
        <f t="shared" si="229"/>
        <v/>
      </c>
      <c r="EK270" s="63" t="str">
        <f t="shared" si="230"/>
        <v/>
      </c>
      <c r="EN270" s="42">
        <v>267</v>
      </c>
      <c r="EO270" t="e">
        <f t="shared" si="236"/>
        <v>#N/A</v>
      </c>
      <c r="EP270" s="63" t="e">
        <f t="shared" si="237"/>
        <v>#N/A</v>
      </c>
      <c r="FT270" s="63"/>
    </row>
    <row r="271" spans="2:176" x14ac:dyDescent="0.3">
      <c r="B271" s="42"/>
      <c r="M271" s="194" t="str">
        <f ca="1">INDEX(Données_ATB!BD:BU,MATCH(MASQ2!O271,Données_ATB!BD:BD,0),18)</f>
        <v/>
      </c>
      <c r="N271" s="14" t="str">
        <f>IFERROR(IF(Q271=0,"",COUNTIF(Q$4:Q$600,"&gt;"&amp;Q271)+COUNTIF(Q$4:Q271,Q271)),"")</f>
        <v/>
      </c>
      <c r="O271" t="str">
        <f>Données_ATB!BD270</f>
        <v>K-VET OTC 500 MG/G POUDRE POUR ADMINISTRATION DANS L’EAU DE BOISSON, LE LAIT ET L’ALIMENT D’ALLAITEMENT</v>
      </c>
      <c r="P271" t="e">
        <f>IF(IF(X$2="Catégorie",IF(X$3="Toutes",SUMIFS('Étape 1 - à remplir'!$F$31:$F$400,'Étape 1 - à remplir'!$E$31:$E$400,MASQ2!O271,'Étape 1 - à remplir'!$G$31:$G$400,"animaux"),SUMIFS('Étape 1 - à remplir'!$F$31:$F$400,'Étape 1 - à remplir'!$E$31:$E$400,MASQ2!O271,'Étape 1 - à remplir'!$C$31:$C$400,X$3)),IF(X$2="Âge",IF(X$3="Tous",SUMIFS('Étape 1 - à remplir'!$F$31:$F$400,'Étape 1 - à remplir'!$E$31:$E$400,MASQ2!O271,'Étape 1 - à remplir'!$G$31:$G$400,"animaux"),SUMIFS('Étape 1 - à remplir'!$F$31:$F$400,'Étape 1 - à remplir'!$E$31:$E$400,MASQ2!O271,'Étape 1 - à remplir'!$P$31:$P$400,X$3)),IF(X$2="Atelier",IF(X$3="Tous",SUMIFS('Étape 1 - à remplir'!$F$31:$F$400,'Étape 1 - à remplir'!$E$31:$E$400,MASQ2!O271,'Étape 1 - à remplir'!$G$31:$G$400,"animaux"),SUMIFS('Étape 1 - à remplir'!$F$31:$F$400,'Étape 1 - à remplir'!$E$31:$E$400,MASQ2!O271,'Étape 1 - à remplir'!$O$31:$O$400,X$3)),IF(X$2="Espèce",IF(X$3="Toutes",SUMIFS('Étape 1 - à remplir'!$F$31:$F$400,'Étape 1 - à remplir'!$E$31:$E$400,MASQ2!O271,'Étape 1 - à remplir'!$G$31:$G$400,"animaux"),SUMIFS('Étape 1 - à remplir'!$F$31:$F$400,'Étape 1 - à remplir'!$E$31:$E$400,MASQ2!O271,'Étape 1 - à remplir'!$N$31:$N$400,X$3))))))=0,NA(),IF(X$2="Catégorie",IF(X$3="Toutes",SUMIFS('Étape 1 - à remplir'!$F$31:$F$400,'Étape 1 - à remplir'!$E$31:$E$400,MASQ2!O271,'Étape 1 - à remplir'!$G$31:$G$400,"animaux"),SUMIFS('Étape 1 - à remplir'!$F$31:$F$400,'Étape 1 - à remplir'!$E$31:$E$400,MASQ2!O271,'Étape 1 - à remplir'!$C$31:$C$400,X$3)),IF(X$2="Âge",IF(X$3="Tous",SUMIFS('Étape 1 - à remplir'!$F$31:$F$400,'Étape 1 - à remplir'!$E$31:$E$400,MASQ2!O271,'Étape 1 - à remplir'!$G$31:$G$400,"animaux"),SUMIFS('Étape 1 - à remplir'!$F$31:$F$400,'Étape 1 - à remplir'!$E$31:$E$400,MASQ2!O271,'Étape 1 - à remplir'!$P$31:$P$400,X$3)),IF(X$2="Atelier",IF(X$3="Tous",SUMIFS('Étape 1 - à remplir'!$F$31:$F$400,'Étape 1 - à remplir'!$E$31:$E$400,MASQ2!O271,'Étape 1 - à remplir'!$G$31:$G$400,"animaux"),SUMIFS('Étape 1 - à remplir'!$F$31:$F$400,'Étape 1 - à remplir'!$E$31:$E$400,MASQ2!O271,'Étape 1 - à remplir'!$O$31:$O$400,X$3)),IF(X$2="Espèce",IF(X$3="Toutes",SUMIFS('Étape 1 - à remplir'!$F$31:$F$400,'Étape 1 - à remplir'!$E$31:$E$400,MASQ2!O271,'Étape 1 - à remplir'!$G$31:$G$400,"animaux"),SUMIFS('Étape 1 - à remplir'!$F$31:$F$400,'Étape 1 - à remplir'!$E$31:$E$400,MASQ2!O271,'Étape 1 - à remplir'!$N$31:$N$400,X$3)))))))</f>
        <v>#N/A</v>
      </c>
      <c r="Q271" s="63">
        <f t="shared" si="235"/>
        <v>0</v>
      </c>
      <c r="R271" t="str">
        <f>Données_ATB!BM270</f>
        <v>Oxytétracycline</v>
      </c>
      <c r="S271" t="str">
        <f>Données_ATB!BN270</f>
        <v/>
      </c>
      <c r="T271" s="63" t="str">
        <f>Données_ATB!BO270</f>
        <v/>
      </c>
      <c r="U271" s="42" t="str">
        <f>Données_ATB!BQ270</f>
        <v>Tetracyclines</v>
      </c>
      <c r="V271" t="str">
        <f>Données_ATB!BR270</f>
        <v/>
      </c>
      <c r="W271" s="63" t="str">
        <f>Données_ATB!BS270</f>
        <v/>
      </c>
      <c r="Z271" s="42">
        <v>268</v>
      </c>
      <c r="AA271" t="e">
        <f t="shared" si="231"/>
        <v>#N/A</v>
      </c>
      <c r="AB271" s="63" t="e">
        <f t="shared" si="232"/>
        <v>#N/A</v>
      </c>
      <c r="BF271" s="63"/>
      <c r="BT271" s="194" t="str">
        <f t="shared" ca="1" si="215"/>
        <v/>
      </c>
      <c r="BU271" s="219" t="str">
        <f>IFERROR(IF(BX271=0,"",COUNTIF(BX$4:BX$600,"&gt;"&amp;BX271)+COUNTIF(BX$4:BX271,BX271)),"")</f>
        <v/>
      </c>
      <c r="BV271" s="42" t="str">
        <f t="shared" si="216"/>
        <v>K-VET OTC 500 MG/G POUDRE POUR ADMINISTRATION DANS L’EAU DE BOISSON, LE LAIT ET L’ALIMENT D’ALLAITEMENT</v>
      </c>
      <c r="BW271" t="e">
        <f>IF(IF(CE$2="Catégorie",IF(CE$3="Toutes",SUMIFS('Étape 1 - à remplir'!$F$31:$F$400,'Étape 1 - à remplir'!$E$31:$E$400,MASQ2!BV271,'Étape 1 - à remplir'!$G$31:$G$400,"lots"),SUMIFS('Étape 1 - à remplir'!$F$31:$F$400,'Étape 1 - à remplir'!$E$31:$E$400,MASQ2!BV271,'Étape 1 - à remplir'!$C$31:$C$400,CE$3)),IF(CE$2="Âge",IF(CE$3="Tous",SUMIFS('Étape 1 - à remplir'!$F$31:$F$400,'Étape 1 - à remplir'!$E$31:$E$400,MASQ2!BV271,'Étape 1 - à remplir'!$G$31:$G$400,"lots"),SUMIFS('Étape 1 - à remplir'!$F$31:$F$400,'Étape 1 - à remplir'!$E$31:$E$400,MASQ2!BV271,'Étape 1 - à remplir'!$P$31:$P$400,CE$3,'Étape 1 - à remplir'!$G$31:$G$400,"lots")),IF(CE$2="Atelier",IF(CE$3="Tous",SUMIFS('Étape 1 - à remplir'!$F$31:$F$400,'Étape 1 - à remplir'!$E$31:$E$400,MASQ2!BV271,'Étape 1 - à remplir'!$G$31:$G$400,"lots"),SUMIFS('Étape 1 - à remplir'!$F$31:$F$400,'Étape 1 - à remplir'!$E$31:$E$400,MASQ2!BV271,'Étape 1 - à remplir'!$O$31:$O$400,CE$3,'Étape 1 - à remplir'!$G$31:$G$400,"lots")),IF(CE$2="Espèce",IF(CE$3="Toutes",SUMIFS('Étape 1 - à remplir'!$F$31:$F$400,'Étape 1 - à remplir'!$E$31:$E$400,MASQ2!BV271,'Étape 1 - à remplir'!$G$31:$G$400,"lots"),SUMIFS('Étape 1 - à remplir'!$F$31:$F$400,'Étape 1 - à remplir'!$E$31:$E$400,MASQ2!BV271,'Étape 1 - à remplir'!$N$31:$N$400,CE$3,'Étape 1 - à remplir'!$G$31:$G$400,"lots"))))))=0,NA(),IF(CE$2="Catégorie",IF(CE$3="Toutes",SUMIFS('Étape 1 - à remplir'!$F$31:$F$400,'Étape 1 - à remplir'!$E$31:$E$400,MASQ2!BV271,'Étape 1 - à remplir'!$G$31:$G$400,"lots"),SUMIFS('Étape 1 - à remplir'!$F$31:$F$400,'Étape 1 - à remplir'!$E$31:$E$400,MASQ2!BV271,'Étape 1 - à remplir'!$C$31:$C$400,CE$3)),IF(CE$2="Âge",IF(CE$3="Tous",SUMIFS('Étape 1 - à remplir'!$F$31:$F$400,'Étape 1 - à remplir'!$E$31:$E$400,MASQ2!BV271,'Étape 1 - à remplir'!$G$31:$G$400,"lots"),SUMIFS('Étape 1 - à remplir'!$F$31:$F$400,'Étape 1 - à remplir'!$E$31:$E$400,MASQ2!BV271,'Étape 1 - à remplir'!$P$31:$P$400,CE$3,'Étape 1 - à remplir'!$G$31:$G$400,"lots")),IF(CE$2="Atelier",IF(CE$3="Tous",SUMIFS('Étape 1 - à remplir'!$F$31:$F$400,'Étape 1 - à remplir'!$E$31:$E$400,MASQ2!BV271,'Étape 1 - à remplir'!$G$31:$G$400,"lots"),SUMIFS('Étape 1 - à remplir'!$F$31:$F$400,'Étape 1 - à remplir'!$E$31:$E$400,MASQ2!BV271,'Étape 1 - à remplir'!$O$31:$O$400,CE$3,'Étape 1 - à remplir'!$G$31:$G$400,"lots")),IF(CE$2="Espèce",IF(CE$3="Toutes",SUMIFS('Étape 1 - à remplir'!$F$31:$F$400,'Étape 1 - à remplir'!$E$31:$E$400,MASQ2!BV271,'Étape 1 - à remplir'!$G$31:$G$400,"lots"),SUMIFS('Étape 1 - à remplir'!$F$31:$F$400,'Étape 1 - à remplir'!$E$31:$E$400,MASQ2!BV271,'Étape 1 - à remplir'!$N$31:$N$400,CE$3,'Étape 1 - à remplir'!$G$31:$G$400,"lots")))))))</f>
        <v>#N/A</v>
      </c>
      <c r="BX271">
        <f t="shared" si="233"/>
        <v>0</v>
      </c>
      <c r="BY271" t="str">
        <f t="shared" si="217"/>
        <v>Oxytétracycline</v>
      </c>
      <c r="BZ271" t="str">
        <f t="shared" si="218"/>
        <v/>
      </c>
      <c r="CA271" t="str">
        <f t="shared" si="219"/>
        <v/>
      </c>
      <c r="CB271" t="str">
        <f t="shared" si="220"/>
        <v>Tetracyclines</v>
      </c>
      <c r="CC271" t="str">
        <f t="shared" si="221"/>
        <v/>
      </c>
      <c r="CD271" s="63" t="str">
        <f t="shared" si="222"/>
        <v/>
      </c>
      <c r="CG271" s="42">
        <v>268</v>
      </c>
      <c r="CH271" s="42" t="e">
        <f t="shared" si="213"/>
        <v>#N/A</v>
      </c>
      <c r="CI271" s="63" t="e">
        <f t="shared" si="214"/>
        <v>#N/A</v>
      </c>
      <c r="DM271" s="63"/>
      <c r="EA271" s="194" t="str">
        <f t="shared" ca="1" si="223"/>
        <v/>
      </c>
      <c r="EB271" s="226" t="str">
        <f>IFERROR(IF(ED271=0,"",COUNTIF(ED$4:ED$600,"&gt;"&amp;ED271)+COUNTIF(ED$4:ED271,ED271)),"")</f>
        <v/>
      </c>
      <c r="EC271" t="str">
        <f t="shared" si="224"/>
        <v>K-VET OTC 500 MG/G POUDRE POUR ADMINISTRATION DANS L’EAU DE BOISSON, LE LAIT ET L’ALIMENT D’ALLAITEMENT</v>
      </c>
      <c r="ED271" t="e">
        <f>IF(IF(EL$2="Catégorie",IF(EL$3="Toutes",SUMIFS('Étape 1 - à remplir'!$F$31:$F$400,'Étape 1 - à remplir'!$E$31:$E$400,MASQ2!EC271,'Étape 1 - à remplir'!$G$31:$G$400,"kg"),SUMIFS('Étape 1 - à remplir'!$F$31:$F$400,'Étape 1 - à remplir'!$E$31:$E$400,MASQ2!EC271,'Étape 1 - à remplir'!$C$31:$C$400,EL$3)),IF(EL$2="Âge",IF(EL$3="Tous",SUMIFS('Étape 1 - à remplir'!$F$31:$F$400,'Étape 1 - à remplir'!$E$31:$E$400,MASQ2!EC271,'Étape 1 - à remplir'!$G$31:$G$400,"kg"),SUMIFS('Étape 1 - à remplir'!$F$31:$F$400,'Étape 1 - à remplir'!$E$31:$E$400,MASQ2!EC271,'Étape 1 - à remplir'!$P$31:$P$400,EL$3,'Étape 1 - à remplir'!$G$31:$G$400,"kg")),IF(EL$2="Atelier",IF(EL$3="Tous",SUMIFS('Étape 1 - à remplir'!$F$31:$F$400,'Étape 1 - à remplir'!$E$31:$E$400,MASQ2!EC271,'Étape 1 - à remplir'!$G$31:$G$400,"kg"),SUMIFS('Étape 1 - à remplir'!$F$31:$F$400,'Étape 1 - à remplir'!$E$31:$E$400,MASQ2!EC271,'Étape 1 - à remplir'!$O$31:$O$400,EL$3,'Étape 1 - à remplir'!$G$31:$G$400,"kg")),IF(EL$2="Espèce",IF(EL$3="Toutes",SUMIFS('Étape 1 - à remplir'!$F$31:$F$400,'Étape 1 - à remplir'!$E$31:$E$400,MASQ2!EC271,'Étape 1 - à remplir'!$G$31:$G$400,"kg"),SUMIFS('Étape 1 - à remplir'!$F$31:$F$400,'Étape 1 - à remplir'!$E$31:$E$400,MASQ2!EC271,'Étape 1 - à remplir'!$N$31:$N$400,EL$3,'Étape 1 - à remplir'!$G$31:$G$400,"kg"))))))=0,NA(),IF(EL$2="Catégorie",IF(EL$3="Toutes",SUMIFS('Étape 1 - à remplir'!$F$31:$F$400,'Étape 1 - à remplir'!$E$31:$E$400,MASQ2!EC271,'Étape 1 - à remplir'!$G$31:$G$400,"kg"),SUMIFS('Étape 1 - à remplir'!$F$31:$F$400,'Étape 1 - à remplir'!$E$31:$E$400,MASQ2!EC271,'Étape 1 - à remplir'!$C$31:$C$400,EL$3)),IF(EL$2="Âge",IF(EL$3="Tous",SUMIFS('Étape 1 - à remplir'!$F$31:$F$400,'Étape 1 - à remplir'!$E$31:$E$400,MASQ2!EC271,'Étape 1 - à remplir'!$G$31:$G$400,"kg"),SUMIFS('Étape 1 - à remplir'!$F$31:$F$400,'Étape 1 - à remplir'!$E$31:$E$400,MASQ2!EC271,'Étape 1 - à remplir'!$P$31:$P$400,EL$3,'Étape 1 - à remplir'!$G$31:$G$400,"kg")),IF(EL$2="Atelier",IF(EL$3="Tous",SUMIFS('Étape 1 - à remplir'!$F$31:$F$400,'Étape 1 - à remplir'!$E$31:$E$400,MASQ2!EC271,'Étape 1 - à remplir'!$G$31:$G$400,"kg"),SUMIFS('Étape 1 - à remplir'!$F$31:$F$400,'Étape 1 - à remplir'!$E$31:$E$400,MASQ2!EC271,'Étape 1 - à remplir'!$O$31:$O$400,EL$3,'Étape 1 - à remplir'!$G$31:$G$400,"kg")),IF(EL$2="Espèce",IF(EL$3="Toutes",SUMIFS('Étape 1 - à remplir'!$F$31:$F$400,'Étape 1 - à remplir'!$E$31:$E$400,MASQ2!EC271,'Étape 1 - à remplir'!$G$31:$G$400,"kg"),SUMIFS('Étape 1 - à remplir'!$F$31:$F$400,'Étape 1 - à remplir'!$E$31:$E$400,MASQ2!EC271,'Étape 1 - à remplir'!$N$31:$N$400,EL$3,'Étape 1 - à remplir'!$G$31:$G$400,"kg")))))))</f>
        <v>#N/A</v>
      </c>
      <c r="EE271" s="76">
        <f t="shared" si="234"/>
        <v>0</v>
      </c>
      <c r="EF271" t="str">
        <f t="shared" si="225"/>
        <v>Oxytétracycline</v>
      </c>
      <c r="EG271" t="str">
        <f t="shared" si="226"/>
        <v/>
      </c>
      <c r="EH271" t="str">
        <f t="shared" si="227"/>
        <v/>
      </c>
      <c r="EI271" t="str">
        <f t="shared" si="228"/>
        <v>Tetracyclines</v>
      </c>
      <c r="EJ271" t="str">
        <f t="shared" si="229"/>
        <v/>
      </c>
      <c r="EK271" s="63" t="str">
        <f t="shared" si="230"/>
        <v/>
      </c>
      <c r="EN271" s="42">
        <v>268</v>
      </c>
      <c r="EO271" t="e">
        <f t="shared" si="236"/>
        <v>#N/A</v>
      </c>
      <c r="EP271" s="63" t="e">
        <f t="shared" si="237"/>
        <v>#N/A</v>
      </c>
      <c r="FT271" s="63"/>
    </row>
    <row r="272" spans="2:176" x14ac:dyDescent="0.3">
      <c r="B272" s="42"/>
      <c r="M272" s="194" t="str">
        <f ca="1">INDEX(Données_ATB!BD:BU,MATCH(MASQ2!O272,Données_ATB!BD:BD,0),18)</f>
        <v/>
      </c>
      <c r="N272" s="14" t="str">
        <f>IFERROR(IF(Q272=0,"",COUNTIF(Q$4:Q$600,"&gt;"&amp;Q272)+COUNTIF(Q$4:Q272,Q272)),"")</f>
        <v/>
      </c>
      <c r="O272" t="str">
        <f>Données_ATB!BD271</f>
        <v>K-VET TYLOSINE 92 000 UI/G POUDRE ORALE PORCS</v>
      </c>
      <c r="P272" t="e">
        <f>IF(IF(X$2="Catégorie",IF(X$3="Toutes",SUMIFS('Étape 1 - à remplir'!$F$31:$F$400,'Étape 1 - à remplir'!$E$31:$E$400,MASQ2!O272,'Étape 1 - à remplir'!$G$31:$G$400,"animaux"),SUMIFS('Étape 1 - à remplir'!$F$31:$F$400,'Étape 1 - à remplir'!$E$31:$E$400,MASQ2!O272,'Étape 1 - à remplir'!$C$31:$C$400,X$3)),IF(X$2="Âge",IF(X$3="Tous",SUMIFS('Étape 1 - à remplir'!$F$31:$F$400,'Étape 1 - à remplir'!$E$31:$E$400,MASQ2!O272,'Étape 1 - à remplir'!$G$31:$G$400,"animaux"),SUMIFS('Étape 1 - à remplir'!$F$31:$F$400,'Étape 1 - à remplir'!$E$31:$E$400,MASQ2!O272,'Étape 1 - à remplir'!$P$31:$P$400,X$3)),IF(X$2="Atelier",IF(X$3="Tous",SUMIFS('Étape 1 - à remplir'!$F$31:$F$400,'Étape 1 - à remplir'!$E$31:$E$400,MASQ2!O272,'Étape 1 - à remplir'!$G$31:$G$400,"animaux"),SUMIFS('Étape 1 - à remplir'!$F$31:$F$400,'Étape 1 - à remplir'!$E$31:$E$400,MASQ2!O272,'Étape 1 - à remplir'!$O$31:$O$400,X$3)),IF(X$2="Espèce",IF(X$3="Toutes",SUMIFS('Étape 1 - à remplir'!$F$31:$F$400,'Étape 1 - à remplir'!$E$31:$E$400,MASQ2!O272,'Étape 1 - à remplir'!$G$31:$G$400,"animaux"),SUMIFS('Étape 1 - à remplir'!$F$31:$F$400,'Étape 1 - à remplir'!$E$31:$E$400,MASQ2!O272,'Étape 1 - à remplir'!$N$31:$N$400,X$3))))))=0,NA(),IF(X$2="Catégorie",IF(X$3="Toutes",SUMIFS('Étape 1 - à remplir'!$F$31:$F$400,'Étape 1 - à remplir'!$E$31:$E$400,MASQ2!O272,'Étape 1 - à remplir'!$G$31:$G$400,"animaux"),SUMIFS('Étape 1 - à remplir'!$F$31:$F$400,'Étape 1 - à remplir'!$E$31:$E$400,MASQ2!O272,'Étape 1 - à remplir'!$C$31:$C$400,X$3)),IF(X$2="Âge",IF(X$3="Tous",SUMIFS('Étape 1 - à remplir'!$F$31:$F$400,'Étape 1 - à remplir'!$E$31:$E$400,MASQ2!O272,'Étape 1 - à remplir'!$G$31:$G$400,"animaux"),SUMIFS('Étape 1 - à remplir'!$F$31:$F$400,'Étape 1 - à remplir'!$E$31:$E$400,MASQ2!O272,'Étape 1 - à remplir'!$P$31:$P$400,X$3)),IF(X$2="Atelier",IF(X$3="Tous",SUMIFS('Étape 1 - à remplir'!$F$31:$F$400,'Étape 1 - à remplir'!$E$31:$E$400,MASQ2!O272,'Étape 1 - à remplir'!$G$31:$G$400,"animaux"),SUMIFS('Étape 1 - à remplir'!$F$31:$F$400,'Étape 1 - à remplir'!$E$31:$E$400,MASQ2!O272,'Étape 1 - à remplir'!$O$31:$O$400,X$3)),IF(X$2="Espèce",IF(X$3="Toutes",SUMIFS('Étape 1 - à remplir'!$F$31:$F$400,'Étape 1 - à remplir'!$E$31:$E$400,MASQ2!O272,'Étape 1 - à remplir'!$G$31:$G$400,"animaux"),SUMIFS('Étape 1 - à remplir'!$F$31:$F$400,'Étape 1 - à remplir'!$E$31:$E$400,MASQ2!O272,'Étape 1 - à remplir'!$N$31:$N$400,X$3)))))))</f>
        <v>#N/A</v>
      </c>
      <c r="Q272" s="63">
        <f t="shared" si="235"/>
        <v>0</v>
      </c>
      <c r="R272" t="str">
        <f>Données_ATB!BM271</f>
        <v>Tylosine</v>
      </c>
      <c r="S272" t="str">
        <f>Données_ATB!BN271</f>
        <v/>
      </c>
      <c r="T272" s="63" t="str">
        <f>Données_ATB!BO271</f>
        <v/>
      </c>
      <c r="U272" s="42" t="str">
        <f>Données_ATB!BQ271</f>
        <v>Macrolides</v>
      </c>
      <c r="V272" t="str">
        <f>Données_ATB!BR271</f>
        <v/>
      </c>
      <c r="W272" s="63" t="str">
        <f>Données_ATB!BS271</f>
        <v/>
      </c>
      <c r="Z272" s="42">
        <v>269</v>
      </c>
      <c r="AA272" t="e">
        <f t="shared" si="231"/>
        <v>#N/A</v>
      </c>
      <c r="AB272" s="63" t="e">
        <f t="shared" si="232"/>
        <v>#N/A</v>
      </c>
      <c r="BF272" s="63"/>
      <c r="BT272" s="194" t="str">
        <f t="shared" ca="1" si="215"/>
        <v/>
      </c>
      <c r="BU272" s="219" t="str">
        <f>IFERROR(IF(BX272=0,"",COUNTIF(BX$4:BX$600,"&gt;"&amp;BX272)+COUNTIF(BX$4:BX272,BX272)),"")</f>
        <v/>
      </c>
      <c r="BV272" s="42" t="str">
        <f t="shared" si="216"/>
        <v>K-VET TYLOSINE 92 000 UI/G POUDRE ORALE PORCS</v>
      </c>
      <c r="BW272" t="e">
        <f>IF(IF(CE$2="Catégorie",IF(CE$3="Toutes",SUMIFS('Étape 1 - à remplir'!$F$31:$F$400,'Étape 1 - à remplir'!$E$31:$E$400,MASQ2!BV272,'Étape 1 - à remplir'!$G$31:$G$400,"lots"),SUMIFS('Étape 1 - à remplir'!$F$31:$F$400,'Étape 1 - à remplir'!$E$31:$E$400,MASQ2!BV272,'Étape 1 - à remplir'!$C$31:$C$400,CE$3)),IF(CE$2="Âge",IF(CE$3="Tous",SUMIFS('Étape 1 - à remplir'!$F$31:$F$400,'Étape 1 - à remplir'!$E$31:$E$400,MASQ2!BV272,'Étape 1 - à remplir'!$G$31:$G$400,"lots"),SUMIFS('Étape 1 - à remplir'!$F$31:$F$400,'Étape 1 - à remplir'!$E$31:$E$400,MASQ2!BV272,'Étape 1 - à remplir'!$P$31:$P$400,CE$3,'Étape 1 - à remplir'!$G$31:$G$400,"lots")),IF(CE$2="Atelier",IF(CE$3="Tous",SUMIFS('Étape 1 - à remplir'!$F$31:$F$400,'Étape 1 - à remplir'!$E$31:$E$400,MASQ2!BV272,'Étape 1 - à remplir'!$G$31:$G$400,"lots"),SUMIFS('Étape 1 - à remplir'!$F$31:$F$400,'Étape 1 - à remplir'!$E$31:$E$400,MASQ2!BV272,'Étape 1 - à remplir'!$O$31:$O$400,CE$3,'Étape 1 - à remplir'!$G$31:$G$400,"lots")),IF(CE$2="Espèce",IF(CE$3="Toutes",SUMIFS('Étape 1 - à remplir'!$F$31:$F$400,'Étape 1 - à remplir'!$E$31:$E$400,MASQ2!BV272,'Étape 1 - à remplir'!$G$31:$G$400,"lots"),SUMIFS('Étape 1 - à remplir'!$F$31:$F$400,'Étape 1 - à remplir'!$E$31:$E$400,MASQ2!BV272,'Étape 1 - à remplir'!$N$31:$N$400,CE$3,'Étape 1 - à remplir'!$G$31:$G$400,"lots"))))))=0,NA(),IF(CE$2="Catégorie",IF(CE$3="Toutes",SUMIFS('Étape 1 - à remplir'!$F$31:$F$400,'Étape 1 - à remplir'!$E$31:$E$400,MASQ2!BV272,'Étape 1 - à remplir'!$G$31:$G$400,"lots"),SUMIFS('Étape 1 - à remplir'!$F$31:$F$400,'Étape 1 - à remplir'!$E$31:$E$400,MASQ2!BV272,'Étape 1 - à remplir'!$C$31:$C$400,CE$3)),IF(CE$2="Âge",IF(CE$3="Tous",SUMIFS('Étape 1 - à remplir'!$F$31:$F$400,'Étape 1 - à remplir'!$E$31:$E$400,MASQ2!BV272,'Étape 1 - à remplir'!$G$31:$G$400,"lots"),SUMIFS('Étape 1 - à remplir'!$F$31:$F$400,'Étape 1 - à remplir'!$E$31:$E$400,MASQ2!BV272,'Étape 1 - à remplir'!$P$31:$P$400,CE$3,'Étape 1 - à remplir'!$G$31:$G$400,"lots")),IF(CE$2="Atelier",IF(CE$3="Tous",SUMIFS('Étape 1 - à remplir'!$F$31:$F$400,'Étape 1 - à remplir'!$E$31:$E$400,MASQ2!BV272,'Étape 1 - à remplir'!$G$31:$G$400,"lots"),SUMIFS('Étape 1 - à remplir'!$F$31:$F$400,'Étape 1 - à remplir'!$E$31:$E$400,MASQ2!BV272,'Étape 1 - à remplir'!$O$31:$O$400,CE$3,'Étape 1 - à remplir'!$G$31:$G$400,"lots")),IF(CE$2="Espèce",IF(CE$3="Toutes",SUMIFS('Étape 1 - à remplir'!$F$31:$F$400,'Étape 1 - à remplir'!$E$31:$E$400,MASQ2!BV272,'Étape 1 - à remplir'!$G$31:$G$400,"lots"),SUMIFS('Étape 1 - à remplir'!$F$31:$F$400,'Étape 1 - à remplir'!$E$31:$E$400,MASQ2!BV272,'Étape 1 - à remplir'!$N$31:$N$400,CE$3,'Étape 1 - à remplir'!$G$31:$G$400,"lots")))))))</f>
        <v>#N/A</v>
      </c>
      <c r="BX272">
        <f t="shared" si="233"/>
        <v>0</v>
      </c>
      <c r="BY272" t="str">
        <f t="shared" si="217"/>
        <v>Tylosine</v>
      </c>
      <c r="BZ272" t="str">
        <f t="shared" si="218"/>
        <v/>
      </c>
      <c r="CA272" t="str">
        <f t="shared" si="219"/>
        <v/>
      </c>
      <c r="CB272" t="str">
        <f t="shared" si="220"/>
        <v>Macrolides</v>
      </c>
      <c r="CC272" t="str">
        <f t="shared" si="221"/>
        <v/>
      </c>
      <c r="CD272" s="63" t="str">
        <f t="shared" si="222"/>
        <v/>
      </c>
      <c r="CG272" s="42">
        <v>269</v>
      </c>
      <c r="CH272" s="42" t="e">
        <f t="shared" si="213"/>
        <v>#N/A</v>
      </c>
      <c r="CI272" s="63" t="e">
        <f t="shared" si="214"/>
        <v>#N/A</v>
      </c>
      <c r="DM272" s="63"/>
      <c r="EA272" s="194" t="str">
        <f t="shared" ca="1" si="223"/>
        <v/>
      </c>
      <c r="EB272" s="226" t="str">
        <f>IFERROR(IF(ED272=0,"",COUNTIF(ED$4:ED$600,"&gt;"&amp;ED272)+COUNTIF(ED$4:ED272,ED272)),"")</f>
        <v/>
      </c>
      <c r="EC272" t="str">
        <f t="shared" si="224"/>
        <v>K-VET TYLOSINE 92 000 UI/G POUDRE ORALE PORCS</v>
      </c>
      <c r="ED272" t="e">
        <f>IF(IF(EL$2="Catégorie",IF(EL$3="Toutes",SUMIFS('Étape 1 - à remplir'!$F$31:$F$400,'Étape 1 - à remplir'!$E$31:$E$400,MASQ2!EC272,'Étape 1 - à remplir'!$G$31:$G$400,"kg"),SUMIFS('Étape 1 - à remplir'!$F$31:$F$400,'Étape 1 - à remplir'!$E$31:$E$400,MASQ2!EC272,'Étape 1 - à remplir'!$C$31:$C$400,EL$3)),IF(EL$2="Âge",IF(EL$3="Tous",SUMIFS('Étape 1 - à remplir'!$F$31:$F$400,'Étape 1 - à remplir'!$E$31:$E$400,MASQ2!EC272,'Étape 1 - à remplir'!$G$31:$G$400,"kg"),SUMIFS('Étape 1 - à remplir'!$F$31:$F$400,'Étape 1 - à remplir'!$E$31:$E$400,MASQ2!EC272,'Étape 1 - à remplir'!$P$31:$P$400,EL$3,'Étape 1 - à remplir'!$G$31:$G$400,"kg")),IF(EL$2="Atelier",IF(EL$3="Tous",SUMIFS('Étape 1 - à remplir'!$F$31:$F$400,'Étape 1 - à remplir'!$E$31:$E$400,MASQ2!EC272,'Étape 1 - à remplir'!$G$31:$G$400,"kg"),SUMIFS('Étape 1 - à remplir'!$F$31:$F$400,'Étape 1 - à remplir'!$E$31:$E$400,MASQ2!EC272,'Étape 1 - à remplir'!$O$31:$O$400,EL$3,'Étape 1 - à remplir'!$G$31:$G$400,"kg")),IF(EL$2="Espèce",IF(EL$3="Toutes",SUMIFS('Étape 1 - à remplir'!$F$31:$F$400,'Étape 1 - à remplir'!$E$31:$E$400,MASQ2!EC272,'Étape 1 - à remplir'!$G$31:$G$400,"kg"),SUMIFS('Étape 1 - à remplir'!$F$31:$F$400,'Étape 1 - à remplir'!$E$31:$E$400,MASQ2!EC272,'Étape 1 - à remplir'!$N$31:$N$400,EL$3,'Étape 1 - à remplir'!$G$31:$G$400,"kg"))))))=0,NA(),IF(EL$2="Catégorie",IF(EL$3="Toutes",SUMIFS('Étape 1 - à remplir'!$F$31:$F$400,'Étape 1 - à remplir'!$E$31:$E$400,MASQ2!EC272,'Étape 1 - à remplir'!$G$31:$G$400,"kg"),SUMIFS('Étape 1 - à remplir'!$F$31:$F$400,'Étape 1 - à remplir'!$E$31:$E$400,MASQ2!EC272,'Étape 1 - à remplir'!$C$31:$C$400,EL$3)),IF(EL$2="Âge",IF(EL$3="Tous",SUMIFS('Étape 1 - à remplir'!$F$31:$F$400,'Étape 1 - à remplir'!$E$31:$E$400,MASQ2!EC272,'Étape 1 - à remplir'!$G$31:$G$400,"kg"),SUMIFS('Étape 1 - à remplir'!$F$31:$F$400,'Étape 1 - à remplir'!$E$31:$E$400,MASQ2!EC272,'Étape 1 - à remplir'!$P$31:$P$400,EL$3,'Étape 1 - à remplir'!$G$31:$G$400,"kg")),IF(EL$2="Atelier",IF(EL$3="Tous",SUMIFS('Étape 1 - à remplir'!$F$31:$F$400,'Étape 1 - à remplir'!$E$31:$E$400,MASQ2!EC272,'Étape 1 - à remplir'!$G$31:$G$400,"kg"),SUMIFS('Étape 1 - à remplir'!$F$31:$F$400,'Étape 1 - à remplir'!$E$31:$E$400,MASQ2!EC272,'Étape 1 - à remplir'!$O$31:$O$400,EL$3,'Étape 1 - à remplir'!$G$31:$G$400,"kg")),IF(EL$2="Espèce",IF(EL$3="Toutes",SUMIFS('Étape 1 - à remplir'!$F$31:$F$400,'Étape 1 - à remplir'!$E$31:$E$400,MASQ2!EC272,'Étape 1 - à remplir'!$G$31:$G$400,"kg"),SUMIFS('Étape 1 - à remplir'!$F$31:$F$400,'Étape 1 - à remplir'!$E$31:$E$400,MASQ2!EC272,'Étape 1 - à remplir'!$N$31:$N$400,EL$3,'Étape 1 - à remplir'!$G$31:$G$400,"kg")))))))</f>
        <v>#N/A</v>
      </c>
      <c r="EE272" s="76">
        <f t="shared" si="234"/>
        <v>0</v>
      </c>
      <c r="EF272" t="str">
        <f t="shared" si="225"/>
        <v>Tylosine</v>
      </c>
      <c r="EG272" t="str">
        <f t="shared" si="226"/>
        <v/>
      </c>
      <c r="EH272" t="str">
        <f t="shared" si="227"/>
        <v/>
      </c>
      <c r="EI272" t="str">
        <f t="shared" si="228"/>
        <v>Macrolides</v>
      </c>
      <c r="EJ272" t="str">
        <f t="shared" si="229"/>
        <v/>
      </c>
      <c r="EK272" s="63" t="str">
        <f t="shared" si="230"/>
        <v/>
      </c>
      <c r="EN272" s="42">
        <v>269</v>
      </c>
      <c r="EO272" t="e">
        <f t="shared" si="236"/>
        <v>#N/A</v>
      </c>
      <c r="EP272" s="63" t="e">
        <f t="shared" si="237"/>
        <v>#N/A</v>
      </c>
      <c r="FT272" s="63"/>
    </row>
    <row r="273" spans="2:176" x14ac:dyDescent="0.3">
      <c r="B273" s="42"/>
      <c r="M273" s="194" t="str">
        <f ca="1">INDEX(Données_ATB!BD:BU,MATCH(MASQ2!O273,Données_ATB!BD:BD,0),18)</f>
        <v>x</v>
      </c>
      <c r="N273" s="14" t="str">
        <f>IFERROR(IF(Q273=0,"",COUNTIF(Q$4:Q$600,"&gt;"&amp;Q273)+COUNTIF(Q$4:Q273,Q273)),"")</f>
        <v/>
      </c>
      <c r="O273" t="str">
        <f>Données_ATB!BD272</f>
        <v>LANFLOX 100 MG/ML SOLUTION POUR UTILISATION DANS L'EAU DE BOISSON POUR POULETS ET DINDES</v>
      </c>
      <c r="P273" t="e">
        <f>IF(IF(X$2="Catégorie",IF(X$3="Toutes",SUMIFS('Étape 1 - à remplir'!$F$31:$F$400,'Étape 1 - à remplir'!$E$31:$E$400,MASQ2!O273,'Étape 1 - à remplir'!$G$31:$G$400,"animaux"),SUMIFS('Étape 1 - à remplir'!$F$31:$F$400,'Étape 1 - à remplir'!$E$31:$E$400,MASQ2!O273,'Étape 1 - à remplir'!$C$31:$C$400,X$3)),IF(X$2="Âge",IF(X$3="Tous",SUMIFS('Étape 1 - à remplir'!$F$31:$F$400,'Étape 1 - à remplir'!$E$31:$E$400,MASQ2!O273,'Étape 1 - à remplir'!$G$31:$G$400,"animaux"),SUMIFS('Étape 1 - à remplir'!$F$31:$F$400,'Étape 1 - à remplir'!$E$31:$E$400,MASQ2!O273,'Étape 1 - à remplir'!$P$31:$P$400,X$3)),IF(X$2="Atelier",IF(X$3="Tous",SUMIFS('Étape 1 - à remplir'!$F$31:$F$400,'Étape 1 - à remplir'!$E$31:$E$400,MASQ2!O273,'Étape 1 - à remplir'!$G$31:$G$400,"animaux"),SUMIFS('Étape 1 - à remplir'!$F$31:$F$400,'Étape 1 - à remplir'!$E$31:$E$400,MASQ2!O273,'Étape 1 - à remplir'!$O$31:$O$400,X$3)),IF(X$2="Espèce",IF(X$3="Toutes",SUMIFS('Étape 1 - à remplir'!$F$31:$F$400,'Étape 1 - à remplir'!$E$31:$E$400,MASQ2!O273,'Étape 1 - à remplir'!$G$31:$G$400,"animaux"),SUMIFS('Étape 1 - à remplir'!$F$31:$F$400,'Étape 1 - à remplir'!$E$31:$E$400,MASQ2!O273,'Étape 1 - à remplir'!$N$31:$N$400,X$3))))))=0,NA(),IF(X$2="Catégorie",IF(X$3="Toutes",SUMIFS('Étape 1 - à remplir'!$F$31:$F$400,'Étape 1 - à remplir'!$E$31:$E$400,MASQ2!O273,'Étape 1 - à remplir'!$G$31:$G$400,"animaux"),SUMIFS('Étape 1 - à remplir'!$F$31:$F$400,'Étape 1 - à remplir'!$E$31:$E$400,MASQ2!O273,'Étape 1 - à remplir'!$C$31:$C$400,X$3)),IF(X$2="Âge",IF(X$3="Tous",SUMIFS('Étape 1 - à remplir'!$F$31:$F$400,'Étape 1 - à remplir'!$E$31:$E$400,MASQ2!O273,'Étape 1 - à remplir'!$G$31:$G$400,"animaux"),SUMIFS('Étape 1 - à remplir'!$F$31:$F$400,'Étape 1 - à remplir'!$E$31:$E$400,MASQ2!O273,'Étape 1 - à remplir'!$P$31:$P$400,X$3)),IF(X$2="Atelier",IF(X$3="Tous",SUMIFS('Étape 1 - à remplir'!$F$31:$F$400,'Étape 1 - à remplir'!$E$31:$E$400,MASQ2!O273,'Étape 1 - à remplir'!$G$31:$G$400,"animaux"),SUMIFS('Étape 1 - à remplir'!$F$31:$F$400,'Étape 1 - à remplir'!$E$31:$E$400,MASQ2!O273,'Étape 1 - à remplir'!$O$31:$O$400,X$3)),IF(X$2="Espèce",IF(X$3="Toutes",SUMIFS('Étape 1 - à remplir'!$F$31:$F$400,'Étape 1 - à remplir'!$E$31:$E$400,MASQ2!O273,'Étape 1 - à remplir'!$G$31:$G$400,"animaux"),SUMIFS('Étape 1 - à remplir'!$F$31:$F$400,'Étape 1 - à remplir'!$E$31:$E$400,MASQ2!O273,'Étape 1 - à remplir'!$N$31:$N$400,X$3)))))))</f>
        <v>#N/A</v>
      </c>
      <c r="Q273" s="63">
        <f t="shared" si="235"/>
        <v>0</v>
      </c>
      <c r="R273" t="str">
        <f>Données_ATB!BM272</f>
        <v>Enrofloxacine</v>
      </c>
      <c r="S273" t="str">
        <f>Données_ATB!BN272</f>
        <v/>
      </c>
      <c r="T273" s="63" t="str">
        <f>Données_ATB!BO272</f>
        <v/>
      </c>
      <c r="U273" s="42" t="str">
        <f>Données_ATB!BQ272</f>
        <v>Fluoroquinolones</v>
      </c>
      <c r="V273" t="str">
        <f>Données_ATB!BR272</f>
        <v/>
      </c>
      <c r="W273" s="63" t="str">
        <f>Données_ATB!BS272</f>
        <v/>
      </c>
      <c r="Z273" s="42">
        <v>270</v>
      </c>
      <c r="AA273" t="e">
        <f t="shared" si="231"/>
        <v>#N/A</v>
      </c>
      <c r="AB273" s="63" t="e">
        <f t="shared" si="232"/>
        <v>#N/A</v>
      </c>
      <c r="BF273" s="63"/>
      <c r="BT273" s="194" t="str">
        <f t="shared" ca="1" si="215"/>
        <v>x</v>
      </c>
      <c r="BU273" s="219" t="str">
        <f>IFERROR(IF(BX273=0,"",COUNTIF(BX$4:BX$600,"&gt;"&amp;BX273)+COUNTIF(BX$4:BX273,BX273)),"")</f>
        <v/>
      </c>
      <c r="BV273" s="42" t="str">
        <f t="shared" si="216"/>
        <v>LANFLOX 100 MG/ML SOLUTION POUR UTILISATION DANS L'EAU DE BOISSON POUR POULETS ET DINDES</v>
      </c>
      <c r="BW273" t="e">
        <f>IF(IF(CE$2="Catégorie",IF(CE$3="Toutes",SUMIFS('Étape 1 - à remplir'!$F$31:$F$400,'Étape 1 - à remplir'!$E$31:$E$400,MASQ2!BV273,'Étape 1 - à remplir'!$G$31:$G$400,"lots"),SUMIFS('Étape 1 - à remplir'!$F$31:$F$400,'Étape 1 - à remplir'!$E$31:$E$400,MASQ2!BV273,'Étape 1 - à remplir'!$C$31:$C$400,CE$3)),IF(CE$2="Âge",IF(CE$3="Tous",SUMIFS('Étape 1 - à remplir'!$F$31:$F$400,'Étape 1 - à remplir'!$E$31:$E$400,MASQ2!BV273,'Étape 1 - à remplir'!$G$31:$G$400,"lots"),SUMIFS('Étape 1 - à remplir'!$F$31:$F$400,'Étape 1 - à remplir'!$E$31:$E$400,MASQ2!BV273,'Étape 1 - à remplir'!$P$31:$P$400,CE$3,'Étape 1 - à remplir'!$G$31:$G$400,"lots")),IF(CE$2="Atelier",IF(CE$3="Tous",SUMIFS('Étape 1 - à remplir'!$F$31:$F$400,'Étape 1 - à remplir'!$E$31:$E$400,MASQ2!BV273,'Étape 1 - à remplir'!$G$31:$G$400,"lots"),SUMIFS('Étape 1 - à remplir'!$F$31:$F$400,'Étape 1 - à remplir'!$E$31:$E$400,MASQ2!BV273,'Étape 1 - à remplir'!$O$31:$O$400,CE$3,'Étape 1 - à remplir'!$G$31:$G$400,"lots")),IF(CE$2="Espèce",IF(CE$3="Toutes",SUMIFS('Étape 1 - à remplir'!$F$31:$F$400,'Étape 1 - à remplir'!$E$31:$E$400,MASQ2!BV273,'Étape 1 - à remplir'!$G$31:$G$400,"lots"),SUMIFS('Étape 1 - à remplir'!$F$31:$F$400,'Étape 1 - à remplir'!$E$31:$E$400,MASQ2!BV273,'Étape 1 - à remplir'!$N$31:$N$400,CE$3,'Étape 1 - à remplir'!$G$31:$G$400,"lots"))))))=0,NA(),IF(CE$2="Catégorie",IF(CE$3="Toutes",SUMIFS('Étape 1 - à remplir'!$F$31:$F$400,'Étape 1 - à remplir'!$E$31:$E$400,MASQ2!BV273,'Étape 1 - à remplir'!$G$31:$G$400,"lots"),SUMIFS('Étape 1 - à remplir'!$F$31:$F$400,'Étape 1 - à remplir'!$E$31:$E$400,MASQ2!BV273,'Étape 1 - à remplir'!$C$31:$C$400,CE$3)),IF(CE$2="Âge",IF(CE$3="Tous",SUMIFS('Étape 1 - à remplir'!$F$31:$F$400,'Étape 1 - à remplir'!$E$31:$E$400,MASQ2!BV273,'Étape 1 - à remplir'!$G$31:$G$400,"lots"),SUMIFS('Étape 1 - à remplir'!$F$31:$F$400,'Étape 1 - à remplir'!$E$31:$E$400,MASQ2!BV273,'Étape 1 - à remplir'!$P$31:$P$400,CE$3,'Étape 1 - à remplir'!$G$31:$G$400,"lots")),IF(CE$2="Atelier",IF(CE$3="Tous",SUMIFS('Étape 1 - à remplir'!$F$31:$F$400,'Étape 1 - à remplir'!$E$31:$E$400,MASQ2!BV273,'Étape 1 - à remplir'!$G$31:$G$400,"lots"),SUMIFS('Étape 1 - à remplir'!$F$31:$F$400,'Étape 1 - à remplir'!$E$31:$E$400,MASQ2!BV273,'Étape 1 - à remplir'!$O$31:$O$400,CE$3,'Étape 1 - à remplir'!$G$31:$G$400,"lots")),IF(CE$2="Espèce",IF(CE$3="Toutes",SUMIFS('Étape 1 - à remplir'!$F$31:$F$400,'Étape 1 - à remplir'!$E$31:$E$400,MASQ2!BV273,'Étape 1 - à remplir'!$G$31:$G$400,"lots"),SUMIFS('Étape 1 - à remplir'!$F$31:$F$400,'Étape 1 - à remplir'!$E$31:$E$400,MASQ2!BV273,'Étape 1 - à remplir'!$N$31:$N$400,CE$3,'Étape 1 - à remplir'!$G$31:$G$400,"lots")))))))</f>
        <v>#N/A</v>
      </c>
      <c r="BX273">
        <f t="shared" si="233"/>
        <v>0</v>
      </c>
      <c r="BY273" t="str">
        <f t="shared" si="217"/>
        <v>Enrofloxacine</v>
      </c>
      <c r="BZ273" t="str">
        <f t="shared" si="218"/>
        <v/>
      </c>
      <c r="CA273" t="str">
        <f t="shared" si="219"/>
        <v/>
      </c>
      <c r="CB273" t="str">
        <f t="shared" si="220"/>
        <v>Fluoroquinolones</v>
      </c>
      <c r="CC273" t="str">
        <f t="shared" si="221"/>
        <v/>
      </c>
      <c r="CD273" s="63" t="str">
        <f t="shared" si="222"/>
        <v/>
      </c>
      <c r="CG273" s="42">
        <v>270</v>
      </c>
      <c r="CH273" s="42" t="e">
        <f t="shared" si="213"/>
        <v>#N/A</v>
      </c>
      <c r="CI273" s="63" t="e">
        <f t="shared" si="214"/>
        <v>#N/A</v>
      </c>
      <c r="DM273" s="63"/>
      <c r="EA273" s="194" t="str">
        <f t="shared" ca="1" si="223"/>
        <v>x</v>
      </c>
      <c r="EB273" s="226" t="str">
        <f>IFERROR(IF(ED273=0,"",COUNTIF(ED$4:ED$600,"&gt;"&amp;ED273)+COUNTIF(ED$4:ED273,ED273)),"")</f>
        <v/>
      </c>
      <c r="EC273" t="str">
        <f t="shared" si="224"/>
        <v>LANFLOX 100 MG/ML SOLUTION POUR UTILISATION DANS L'EAU DE BOISSON POUR POULETS ET DINDES</v>
      </c>
      <c r="ED273" t="e">
        <f>IF(IF(EL$2="Catégorie",IF(EL$3="Toutes",SUMIFS('Étape 1 - à remplir'!$F$31:$F$400,'Étape 1 - à remplir'!$E$31:$E$400,MASQ2!EC273,'Étape 1 - à remplir'!$G$31:$G$400,"kg"),SUMIFS('Étape 1 - à remplir'!$F$31:$F$400,'Étape 1 - à remplir'!$E$31:$E$400,MASQ2!EC273,'Étape 1 - à remplir'!$C$31:$C$400,EL$3)),IF(EL$2="Âge",IF(EL$3="Tous",SUMIFS('Étape 1 - à remplir'!$F$31:$F$400,'Étape 1 - à remplir'!$E$31:$E$400,MASQ2!EC273,'Étape 1 - à remplir'!$G$31:$G$400,"kg"),SUMIFS('Étape 1 - à remplir'!$F$31:$F$400,'Étape 1 - à remplir'!$E$31:$E$400,MASQ2!EC273,'Étape 1 - à remplir'!$P$31:$P$400,EL$3,'Étape 1 - à remplir'!$G$31:$G$400,"kg")),IF(EL$2="Atelier",IF(EL$3="Tous",SUMIFS('Étape 1 - à remplir'!$F$31:$F$400,'Étape 1 - à remplir'!$E$31:$E$400,MASQ2!EC273,'Étape 1 - à remplir'!$G$31:$G$400,"kg"),SUMIFS('Étape 1 - à remplir'!$F$31:$F$400,'Étape 1 - à remplir'!$E$31:$E$400,MASQ2!EC273,'Étape 1 - à remplir'!$O$31:$O$400,EL$3,'Étape 1 - à remplir'!$G$31:$G$400,"kg")),IF(EL$2="Espèce",IF(EL$3="Toutes",SUMIFS('Étape 1 - à remplir'!$F$31:$F$400,'Étape 1 - à remplir'!$E$31:$E$400,MASQ2!EC273,'Étape 1 - à remplir'!$G$31:$G$400,"kg"),SUMIFS('Étape 1 - à remplir'!$F$31:$F$400,'Étape 1 - à remplir'!$E$31:$E$400,MASQ2!EC273,'Étape 1 - à remplir'!$N$31:$N$400,EL$3,'Étape 1 - à remplir'!$G$31:$G$400,"kg"))))))=0,NA(),IF(EL$2="Catégorie",IF(EL$3="Toutes",SUMIFS('Étape 1 - à remplir'!$F$31:$F$400,'Étape 1 - à remplir'!$E$31:$E$400,MASQ2!EC273,'Étape 1 - à remplir'!$G$31:$G$400,"kg"),SUMIFS('Étape 1 - à remplir'!$F$31:$F$400,'Étape 1 - à remplir'!$E$31:$E$400,MASQ2!EC273,'Étape 1 - à remplir'!$C$31:$C$400,EL$3)),IF(EL$2="Âge",IF(EL$3="Tous",SUMIFS('Étape 1 - à remplir'!$F$31:$F$400,'Étape 1 - à remplir'!$E$31:$E$400,MASQ2!EC273,'Étape 1 - à remplir'!$G$31:$G$400,"kg"),SUMIFS('Étape 1 - à remplir'!$F$31:$F$400,'Étape 1 - à remplir'!$E$31:$E$400,MASQ2!EC273,'Étape 1 - à remplir'!$P$31:$P$400,EL$3,'Étape 1 - à remplir'!$G$31:$G$400,"kg")),IF(EL$2="Atelier",IF(EL$3="Tous",SUMIFS('Étape 1 - à remplir'!$F$31:$F$400,'Étape 1 - à remplir'!$E$31:$E$400,MASQ2!EC273,'Étape 1 - à remplir'!$G$31:$G$400,"kg"),SUMIFS('Étape 1 - à remplir'!$F$31:$F$400,'Étape 1 - à remplir'!$E$31:$E$400,MASQ2!EC273,'Étape 1 - à remplir'!$O$31:$O$400,EL$3,'Étape 1 - à remplir'!$G$31:$G$400,"kg")),IF(EL$2="Espèce",IF(EL$3="Toutes",SUMIFS('Étape 1 - à remplir'!$F$31:$F$400,'Étape 1 - à remplir'!$E$31:$E$400,MASQ2!EC273,'Étape 1 - à remplir'!$G$31:$G$400,"kg"),SUMIFS('Étape 1 - à remplir'!$F$31:$F$400,'Étape 1 - à remplir'!$E$31:$E$400,MASQ2!EC273,'Étape 1 - à remplir'!$N$31:$N$400,EL$3,'Étape 1 - à remplir'!$G$31:$G$400,"kg")))))))</f>
        <v>#N/A</v>
      </c>
      <c r="EE273" s="76">
        <f t="shared" si="234"/>
        <v>0</v>
      </c>
      <c r="EF273" t="str">
        <f t="shared" si="225"/>
        <v>Enrofloxacine</v>
      </c>
      <c r="EG273" t="str">
        <f t="shared" si="226"/>
        <v/>
      </c>
      <c r="EH273" t="str">
        <f t="shared" si="227"/>
        <v/>
      </c>
      <c r="EI273" t="str">
        <f t="shared" si="228"/>
        <v>Fluoroquinolones</v>
      </c>
      <c r="EJ273" t="str">
        <f t="shared" si="229"/>
        <v/>
      </c>
      <c r="EK273" s="63" t="str">
        <f t="shared" si="230"/>
        <v/>
      </c>
      <c r="EN273" s="42">
        <v>270</v>
      </c>
      <c r="EO273" t="e">
        <f t="shared" si="236"/>
        <v>#N/A</v>
      </c>
      <c r="EP273" s="63" t="e">
        <f t="shared" si="237"/>
        <v>#N/A</v>
      </c>
      <c r="FT273" s="63"/>
    </row>
    <row r="274" spans="2:176" x14ac:dyDescent="0.3">
      <c r="B274" s="42"/>
      <c r="M274" s="194" t="str">
        <f ca="1">INDEX(Données_ATB!BD:BU,MATCH(MASQ2!O274,Données_ATB!BD:BD,0),18)</f>
        <v>x</v>
      </c>
      <c r="N274" s="14" t="str">
        <f>IFERROR(IF(Q274=0,"",COUNTIF(Q$4:Q$600,"&gt;"&amp;Q274)+COUNTIF(Q$4:Q274,Q274)),"")</f>
        <v/>
      </c>
      <c r="O274" t="str">
        <f>Données_ATB!BD273</f>
        <v>LANFLOX 2,5%</v>
      </c>
      <c r="P274" t="e">
        <f>IF(IF(X$2="Catégorie",IF(X$3="Toutes",SUMIFS('Étape 1 - à remplir'!$F$31:$F$400,'Étape 1 - à remplir'!$E$31:$E$400,MASQ2!O274,'Étape 1 - à remplir'!$G$31:$G$400,"animaux"),SUMIFS('Étape 1 - à remplir'!$F$31:$F$400,'Étape 1 - à remplir'!$E$31:$E$400,MASQ2!O274,'Étape 1 - à remplir'!$C$31:$C$400,X$3)),IF(X$2="Âge",IF(X$3="Tous",SUMIFS('Étape 1 - à remplir'!$F$31:$F$400,'Étape 1 - à remplir'!$E$31:$E$400,MASQ2!O274,'Étape 1 - à remplir'!$G$31:$G$400,"animaux"),SUMIFS('Étape 1 - à remplir'!$F$31:$F$400,'Étape 1 - à remplir'!$E$31:$E$400,MASQ2!O274,'Étape 1 - à remplir'!$P$31:$P$400,X$3)),IF(X$2="Atelier",IF(X$3="Tous",SUMIFS('Étape 1 - à remplir'!$F$31:$F$400,'Étape 1 - à remplir'!$E$31:$E$400,MASQ2!O274,'Étape 1 - à remplir'!$G$31:$G$400,"animaux"),SUMIFS('Étape 1 - à remplir'!$F$31:$F$400,'Étape 1 - à remplir'!$E$31:$E$400,MASQ2!O274,'Étape 1 - à remplir'!$O$31:$O$400,X$3)),IF(X$2="Espèce",IF(X$3="Toutes",SUMIFS('Étape 1 - à remplir'!$F$31:$F$400,'Étape 1 - à remplir'!$E$31:$E$400,MASQ2!O274,'Étape 1 - à remplir'!$G$31:$G$400,"animaux"),SUMIFS('Étape 1 - à remplir'!$F$31:$F$400,'Étape 1 - à remplir'!$E$31:$E$400,MASQ2!O274,'Étape 1 - à remplir'!$N$31:$N$400,X$3))))))=0,NA(),IF(X$2="Catégorie",IF(X$3="Toutes",SUMIFS('Étape 1 - à remplir'!$F$31:$F$400,'Étape 1 - à remplir'!$E$31:$E$400,MASQ2!O274,'Étape 1 - à remplir'!$G$31:$G$400,"animaux"),SUMIFS('Étape 1 - à remplir'!$F$31:$F$400,'Étape 1 - à remplir'!$E$31:$E$400,MASQ2!O274,'Étape 1 - à remplir'!$C$31:$C$400,X$3)),IF(X$2="Âge",IF(X$3="Tous",SUMIFS('Étape 1 - à remplir'!$F$31:$F$400,'Étape 1 - à remplir'!$E$31:$E$400,MASQ2!O274,'Étape 1 - à remplir'!$G$31:$G$400,"animaux"),SUMIFS('Étape 1 - à remplir'!$F$31:$F$400,'Étape 1 - à remplir'!$E$31:$E$400,MASQ2!O274,'Étape 1 - à remplir'!$P$31:$P$400,X$3)),IF(X$2="Atelier",IF(X$3="Tous",SUMIFS('Étape 1 - à remplir'!$F$31:$F$400,'Étape 1 - à remplir'!$E$31:$E$400,MASQ2!O274,'Étape 1 - à remplir'!$G$31:$G$400,"animaux"),SUMIFS('Étape 1 - à remplir'!$F$31:$F$400,'Étape 1 - à remplir'!$E$31:$E$400,MASQ2!O274,'Étape 1 - à remplir'!$O$31:$O$400,X$3)),IF(X$2="Espèce",IF(X$3="Toutes",SUMIFS('Étape 1 - à remplir'!$F$31:$F$400,'Étape 1 - à remplir'!$E$31:$E$400,MASQ2!O274,'Étape 1 - à remplir'!$G$31:$G$400,"animaux"),SUMIFS('Étape 1 - à remplir'!$F$31:$F$400,'Étape 1 - à remplir'!$E$31:$E$400,MASQ2!O274,'Étape 1 - à remplir'!$N$31:$N$400,X$3)))))))</f>
        <v>#N/A</v>
      </c>
      <c r="Q274" s="63">
        <f t="shared" si="235"/>
        <v>0</v>
      </c>
      <c r="R274" t="str">
        <f>Données_ATB!BM273</f>
        <v>Enrofloxacine</v>
      </c>
      <c r="S274" t="str">
        <f>Données_ATB!BN273</f>
        <v/>
      </c>
      <c r="T274" s="63" t="str">
        <f>Données_ATB!BO273</f>
        <v/>
      </c>
      <c r="U274" s="42" t="str">
        <f>Données_ATB!BQ273</f>
        <v>Fluoroquinolones</v>
      </c>
      <c r="V274" t="str">
        <f>Données_ATB!BR273</f>
        <v/>
      </c>
      <c r="W274" s="63" t="str">
        <f>Données_ATB!BS273</f>
        <v/>
      </c>
      <c r="Z274" s="42">
        <v>271</v>
      </c>
      <c r="AA274" t="e">
        <f t="shared" si="231"/>
        <v>#N/A</v>
      </c>
      <c r="AB274" s="63" t="e">
        <f t="shared" si="232"/>
        <v>#N/A</v>
      </c>
      <c r="BF274" s="63"/>
      <c r="BT274" s="194" t="str">
        <f t="shared" ca="1" si="215"/>
        <v>x</v>
      </c>
      <c r="BU274" s="219" t="str">
        <f>IFERROR(IF(BX274=0,"",COUNTIF(BX$4:BX$600,"&gt;"&amp;BX274)+COUNTIF(BX$4:BX274,BX274)),"")</f>
        <v/>
      </c>
      <c r="BV274" s="42" t="str">
        <f t="shared" si="216"/>
        <v>LANFLOX 2,5%</v>
      </c>
      <c r="BW274" t="e">
        <f>IF(IF(CE$2="Catégorie",IF(CE$3="Toutes",SUMIFS('Étape 1 - à remplir'!$F$31:$F$400,'Étape 1 - à remplir'!$E$31:$E$400,MASQ2!BV274,'Étape 1 - à remplir'!$G$31:$G$400,"lots"),SUMIFS('Étape 1 - à remplir'!$F$31:$F$400,'Étape 1 - à remplir'!$E$31:$E$400,MASQ2!BV274,'Étape 1 - à remplir'!$C$31:$C$400,CE$3)),IF(CE$2="Âge",IF(CE$3="Tous",SUMIFS('Étape 1 - à remplir'!$F$31:$F$400,'Étape 1 - à remplir'!$E$31:$E$400,MASQ2!BV274,'Étape 1 - à remplir'!$G$31:$G$400,"lots"),SUMIFS('Étape 1 - à remplir'!$F$31:$F$400,'Étape 1 - à remplir'!$E$31:$E$400,MASQ2!BV274,'Étape 1 - à remplir'!$P$31:$P$400,CE$3,'Étape 1 - à remplir'!$G$31:$G$400,"lots")),IF(CE$2="Atelier",IF(CE$3="Tous",SUMIFS('Étape 1 - à remplir'!$F$31:$F$400,'Étape 1 - à remplir'!$E$31:$E$400,MASQ2!BV274,'Étape 1 - à remplir'!$G$31:$G$400,"lots"),SUMIFS('Étape 1 - à remplir'!$F$31:$F$400,'Étape 1 - à remplir'!$E$31:$E$400,MASQ2!BV274,'Étape 1 - à remplir'!$O$31:$O$400,CE$3,'Étape 1 - à remplir'!$G$31:$G$400,"lots")),IF(CE$2="Espèce",IF(CE$3="Toutes",SUMIFS('Étape 1 - à remplir'!$F$31:$F$400,'Étape 1 - à remplir'!$E$31:$E$400,MASQ2!BV274,'Étape 1 - à remplir'!$G$31:$G$400,"lots"),SUMIFS('Étape 1 - à remplir'!$F$31:$F$400,'Étape 1 - à remplir'!$E$31:$E$400,MASQ2!BV274,'Étape 1 - à remplir'!$N$31:$N$400,CE$3,'Étape 1 - à remplir'!$G$31:$G$400,"lots"))))))=0,NA(),IF(CE$2="Catégorie",IF(CE$3="Toutes",SUMIFS('Étape 1 - à remplir'!$F$31:$F$400,'Étape 1 - à remplir'!$E$31:$E$400,MASQ2!BV274,'Étape 1 - à remplir'!$G$31:$G$400,"lots"),SUMIFS('Étape 1 - à remplir'!$F$31:$F$400,'Étape 1 - à remplir'!$E$31:$E$400,MASQ2!BV274,'Étape 1 - à remplir'!$C$31:$C$400,CE$3)),IF(CE$2="Âge",IF(CE$3="Tous",SUMIFS('Étape 1 - à remplir'!$F$31:$F$400,'Étape 1 - à remplir'!$E$31:$E$400,MASQ2!BV274,'Étape 1 - à remplir'!$G$31:$G$400,"lots"),SUMIFS('Étape 1 - à remplir'!$F$31:$F$400,'Étape 1 - à remplir'!$E$31:$E$400,MASQ2!BV274,'Étape 1 - à remplir'!$P$31:$P$400,CE$3,'Étape 1 - à remplir'!$G$31:$G$400,"lots")),IF(CE$2="Atelier",IF(CE$3="Tous",SUMIFS('Étape 1 - à remplir'!$F$31:$F$400,'Étape 1 - à remplir'!$E$31:$E$400,MASQ2!BV274,'Étape 1 - à remplir'!$G$31:$G$400,"lots"),SUMIFS('Étape 1 - à remplir'!$F$31:$F$400,'Étape 1 - à remplir'!$E$31:$E$400,MASQ2!BV274,'Étape 1 - à remplir'!$O$31:$O$400,CE$3,'Étape 1 - à remplir'!$G$31:$G$400,"lots")),IF(CE$2="Espèce",IF(CE$3="Toutes",SUMIFS('Étape 1 - à remplir'!$F$31:$F$400,'Étape 1 - à remplir'!$E$31:$E$400,MASQ2!BV274,'Étape 1 - à remplir'!$G$31:$G$400,"lots"),SUMIFS('Étape 1 - à remplir'!$F$31:$F$400,'Étape 1 - à remplir'!$E$31:$E$400,MASQ2!BV274,'Étape 1 - à remplir'!$N$31:$N$400,CE$3,'Étape 1 - à remplir'!$G$31:$G$400,"lots")))))))</f>
        <v>#N/A</v>
      </c>
      <c r="BX274">
        <f t="shared" si="233"/>
        <v>0</v>
      </c>
      <c r="BY274" t="str">
        <f t="shared" si="217"/>
        <v>Enrofloxacine</v>
      </c>
      <c r="BZ274" t="str">
        <f t="shared" si="218"/>
        <v/>
      </c>
      <c r="CA274" t="str">
        <f t="shared" si="219"/>
        <v/>
      </c>
      <c r="CB274" t="str">
        <f t="shared" si="220"/>
        <v>Fluoroquinolones</v>
      </c>
      <c r="CC274" t="str">
        <f t="shared" si="221"/>
        <v/>
      </c>
      <c r="CD274" s="63" t="str">
        <f t="shared" si="222"/>
        <v/>
      </c>
      <c r="CG274" s="42">
        <v>271</v>
      </c>
      <c r="CH274" s="42" t="e">
        <f t="shared" ref="CH274:CH337" si="238">INDEX(BU$3:BX$600,MATCH(CG274,BU$3:BU$600,0),2)</f>
        <v>#N/A</v>
      </c>
      <c r="CI274" s="63" t="e">
        <f t="shared" ref="CI274:CI337" si="239">INDEX(BU$3:BX$600,MATCH(CG274,BU$3:BU$600,0),3)</f>
        <v>#N/A</v>
      </c>
      <c r="DM274" s="63"/>
      <c r="EA274" s="194" t="str">
        <f t="shared" ca="1" si="223"/>
        <v>x</v>
      </c>
      <c r="EB274" s="226" t="str">
        <f>IFERROR(IF(ED274=0,"",COUNTIF(ED$4:ED$600,"&gt;"&amp;ED274)+COUNTIF(ED$4:ED274,ED274)),"")</f>
        <v/>
      </c>
      <c r="EC274" t="str">
        <f t="shared" si="224"/>
        <v>LANFLOX 2,5%</v>
      </c>
      <c r="ED274" t="e">
        <f>IF(IF(EL$2="Catégorie",IF(EL$3="Toutes",SUMIFS('Étape 1 - à remplir'!$F$31:$F$400,'Étape 1 - à remplir'!$E$31:$E$400,MASQ2!EC274,'Étape 1 - à remplir'!$G$31:$G$400,"kg"),SUMIFS('Étape 1 - à remplir'!$F$31:$F$400,'Étape 1 - à remplir'!$E$31:$E$400,MASQ2!EC274,'Étape 1 - à remplir'!$C$31:$C$400,EL$3)),IF(EL$2="Âge",IF(EL$3="Tous",SUMIFS('Étape 1 - à remplir'!$F$31:$F$400,'Étape 1 - à remplir'!$E$31:$E$400,MASQ2!EC274,'Étape 1 - à remplir'!$G$31:$G$400,"kg"),SUMIFS('Étape 1 - à remplir'!$F$31:$F$400,'Étape 1 - à remplir'!$E$31:$E$400,MASQ2!EC274,'Étape 1 - à remplir'!$P$31:$P$400,EL$3,'Étape 1 - à remplir'!$G$31:$G$400,"kg")),IF(EL$2="Atelier",IF(EL$3="Tous",SUMIFS('Étape 1 - à remplir'!$F$31:$F$400,'Étape 1 - à remplir'!$E$31:$E$400,MASQ2!EC274,'Étape 1 - à remplir'!$G$31:$G$400,"kg"),SUMIFS('Étape 1 - à remplir'!$F$31:$F$400,'Étape 1 - à remplir'!$E$31:$E$400,MASQ2!EC274,'Étape 1 - à remplir'!$O$31:$O$400,EL$3,'Étape 1 - à remplir'!$G$31:$G$400,"kg")),IF(EL$2="Espèce",IF(EL$3="Toutes",SUMIFS('Étape 1 - à remplir'!$F$31:$F$400,'Étape 1 - à remplir'!$E$31:$E$400,MASQ2!EC274,'Étape 1 - à remplir'!$G$31:$G$400,"kg"),SUMIFS('Étape 1 - à remplir'!$F$31:$F$400,'Étape 1 - à remplir'!$E$31:$E$400,MASQ2!EC274,'Étape 1 - à remplir'!$N$31:$N$400,EL$3,'Étape 1 - à remplir'!$G$31:$G$400,"kg"))))))=0,NA(),IF(EL$2="Catégorie",IF(EL$3="Toutes",SUMIFS('Étape 1 - à remplir'!$F$31:$F$400,'Étape 1 - à remplir'!$E$31:$E$400,MASQ2!EC274,'Étape 1 - à remplir'!$G$31:$G$400,"kg"),SUMIFS('Étape 1 - à remplir'!$F$31:$F$400,'Étape 1 - à remplir'!$E$31:$E$400,MASQ2!EC274,'Étape 1 - à remplir'!$C$31:$C$400,EL$3)),IF(EL$2="Âge",IF(EL$3="Tous",SUMIFS('Étape 1 - à remplir'!$F$31:$F$400,'Étape 1 - à remplir'!$E$31:$E$400,MASQ2!EC274,'Étape 1 - à remplir'!$G$31:$G$400,"kg"),SUMIFS('Étape 1 - à remplir'!$F$31:$F$400,'Étape 1 - à remplir'!$E$31:$E$400,MASQ2!EC274,'Étape 1 - à remplir'!$P$31:$P$400,EL$3,'Étape 1 - à remplir'!$G$31:$G$400,"kg")),IF(EL$2="Atelier",IF(EL$3="Tous",SUMIFS('Étape 1 - à remplir'!$F$31:$F$400,'Étape 1 - à remplir'!$E$31:$E$400,MASQ2!EC274,'Étape 1 - à remplir'!$G$31:$G$400,"kg"),SUMIFS('Étape 1 - à remplir'!$F$31:$F$400,'Étape 1 - à remplir'!$E$31:$E$400,MASQ2!EC274,'Étape 1 - à remplir'!$O$31:$O$400,EL$3,'Étape 1 - à remplir'!$G$31:$G$400,"kg")),IF(EL$2="Espèce",IF(EL$3="Toutes",SUMIFS('Étape 1 - à remplir'!$F$31:$F$400,'Étape 1 - à remplir'!$E$31:$E$400,MASQ2!EC274,'Étape 1 - à remplir'!$G$31:$G$400,"kg"),SUMIFS('Étape 1 - à remplir'!$F$31:$F$400,'Étape 1 - à remplir'!$E$31:$E$400,MASQ2!EC274,'Étape 1 - à remplir'!$N$31:$N$400,EL$3,'Étape 1 - à remplir'!$G$31:$G$400,"kg")))))))</f>
        <v>#N/A</v>
      </c>
      <c r="EE274" s="76">
        <f t="shared" si="234"/>
        <v>0</v>
      </c>
      <c r="EF274" t="str">
        <f t="shared" si="225"/>
        <v>Enrofloxacine</v>
      </c>
      <c r="EG274" t="str">
        <f t="shared" si="226"/>
        <v/>
      </c>
      <c r="EH274" t="str">
        <f t="shared" si="227"/>
        <v/>
      </c>
      <c r="EI274" t="str">
        <f t="shared" si="228"/>
        <v>Fluoroquinolones</v>
      </c>
      <c r="EJ274" t="str">
        <f t="shared" si="229"/>
        <v/>
      </c>
      <c r="EK274" s="63" t="str">
        <f t="shared" si="230"/>
        <v/>
      </c>
      <c r="EN274" s="42">
        <v>271</v>
      </c>
      <c r="EO274" t="e">
        <f t="shared" si="236"/>
        <v>#N/A</v>
      </c>
      <c r="EP274" s="63" t="e">
        <f t="shared" si="237"/>
        <v>#N/A</v>
      </c>
      <c r="FT274" s="63"/>
    </row>
    <row r="275" spans="2:176" x14ac:dyDescent="0.3">
      <c r="B275" s="42"/>
      <c r="M275" s="194" t="str">
        <f ca="1">INDEX(Données_ATB!BD:BU,MATCH(MASQ2!O275,Données_ATB!BD:BD,0),18)</f>
        <v/>
      </c>
      <c r="N275" s="14" t="str">
        <f>IFERROR(IF(Q275=0,"",COUNTIF(Q$4:Q$600,"&gt;"&amp;Q275)+COUNTIF(Q$4:Q275,Q275)),"")</f>
        <v/>
      </c>
      <c r="O275" t="str">
        <f>Données_ATB!BD274</f>
        <v>LAPICRINE SULFA</v>
      </c>
      <c r="P275" t="e">
        <f>IF(IF(X$2="Catégorie",IF(X$3="Toutes",SUMIFS('Étape 1 - à remplir'!$F$31:$F$400,'Étape 1 - à remplir'!$E$31:$E$400,MASQ2!O275,'Étape 1 - à remplir'!$G$31:$G$400,"animaux"),SUMIFS('Étape 1 - à remplir'!$F$31:$F$400,'Étape 1 - à remplir'!$E$31:$E$400,MASQ2!O275,'Étape 1 - à remplir'!$C$31:$C$400,X$3)),IF(X$2="Âge",IF(X$3="Tous",SUMIFS('Étape 1 - à remplir'!$F$31:$F$400,'Étape 1 - à remplir'!$E$31:$E$400,MASQ2!O275,'Étape 1 - à remplir'!$G$31:$G$400,"animaux"),SUMIFS('Étape 1 - à remplir'!$F$31:$F$400,'Étape 1 - à remplir'!$E$31:$E$400,MASQ2!O275,'Étape 1 - à remplir'!$P$31:$P$400,X$3)),IF(X$2="Atelier",IF(X$3="Tous",SUMIFS('Étape 1 - à remplir'!$F$31:$F$400,'Étape 1 - à remplir'!$E$31:$E$400,MASQ2!O275,'Étape 1 - à remplir'!$G$31:$G$400,"animaux"),SUMIFS('Étape 1 - à remplir'!$F$31:$F$400,'Étape 1 - à remplir'!$E$31:$E$400,MASQ2!O275,'Étape 1 - à remplir'!$O$31:$O$400,X$3)),IF(X$2="Espèce",IF(X$3="Toutes",SUMIFS('Étape 1 - à remplir'!$F$31:$F$400,'Étape 1 - à remplir'!$E$31:$E$400,MASQ2!O275,'Étape 1 - à remplir'!$G$31:$G$400,"animaux"),SUMIFS('Étape 1 - à remplir'!$F$31:$F$400,'Étape 1 - à remplir'!$E$31:$E$400,MASQ2!O275,'Étape 1 - à remplir'!$N$31:$N$400,X$3))))))=0,NA(),IF(X$2="Catégorie",IF(X$3="Toutes",SUMIFS('Étape 1 - à remplir'!$F$31:$F$400,'Étape 1 - à remplir'!$E$31:$E$400,MASQ2!O275,'Étape 1 - à remplir'!$G$31:$G$400,"animaux"),SUMIFS('Étape 1 - à remplir'!$F$31:$F$400,'Étape 1 - à remplir'!$E$31:$E$400,MASQ2!O275,'Étape 1 - à remplir'!$C$31:$C$400,X$3)),IF(X$2="Âge",IF(X$3="Tous",SUMIFS('Étape 1 - à remplir'!$F$31:$F$400,'Étape 1 - à remplir'!$E$31:$E$400,MASQ2!O275,'Étape 1 - à remplir'!$G$31:$G$400,"animaux"),SUMIFS('Étape 1 - à remplir'!$F$31:$F$400,'Étape 1 - à remplir'!$E$31:$E$400,MASQ2!O275,'Étape 1 - à remplir'!$P$31:$P$400,X$3)),IF(X$2="Atelier",IF(X$3="Tous",SUMIFS('Étape 1 - à remplir'!$F$31:$F$400,'Étape 1 - à remplir'!$E$31:$E$400,MASQ2!O275,'Étape 1 - à remplir'!$G$31:$G$400,"animaux"),SUMIFS('Étape 1 - à remplir'!$F$31:$F$400,'Étape 1 - à remplir'!$E$31:$E$400,MASQ2!O275,'Étape 1 - à remplir'!$O$31:$O$400,X$3)),IF(X$2="Espèce",IF(X$3="Toutes",SUMIFS('Étape 1 - à remplir'!$F$31:$F$400,'Étape 1 - à remplir'!$E$31:$E$400,MASQ2!O275,'Étape 1 - à remplir'!$G$31:$G$400,"animaux"),SUMIFS('Étape 1 - à remplir'!$F$31:$F$400,'Étape 1 - à remplir'!$E$31:$E$400,MASQ2!O275,'Étape 1 - à remplir'!$N$31:$N$400,X$3)))))))</f>
        <v>#N/A</v>
      </c>
      <c r="Q275" s="63">
        <f t="shared" si="235"/>
        <v>0</v>
      </c>
      <c r="R275" t="str">
        <f>Données_ATB!BM274</f>
        <v>Sulfadimidine</v>
      </c>
      <c r="S275" t="str">
        <f>Données_ATB!BN274</f>
        <v>Sulfaquinoxaline</v>
      </c>
      <c r="T275" s="63" t="str">
        <f>Données_ATB!BO274</f>
        <v/>
      </c>
      <c r="U275" s="42" t="str">
        <f>Données_ATB!BQ274</f>
        <v>Sulfamides</v>
      </c>
      <c r="V275" t="str">
        <f>Données_ATB!BR274</f>
        <v>Sulfamides</v>
      </c>
      <c r="W275" s="63" t="str">
        <f>Données_ATB!BS274</f>
        <v/>
      </c>
      <c r="Z275" s="42">
        <v>272</v>
      </c>
      <c r="AA275" t="e">
        <f t="shared" si="231"/>
        <v>#N/A</v>
      </c>
      <c r="AB275" s="63" t="e">
        <f t="shared" si="232"/>
        <v>#N/A</v>
      </c>
      <c r="BF275" s="63"/>
      <c r="BT275" s="194" t="str">
        <f t="shared" ca="1" si="215"/>
        <v/>
      </c>
      <c r="BU275" s="219" t="str">
        <f>IFERROR(IF(BX275=0,"",COUNTIF(BX$4:BX$600,"&gt;"&amp;BX275)+COUNTIF(BX$4:BX275,BX275)),"")</f>
        <v/>
      </c>
      <c r="BV275" s="42" t="str">
        <f t="shared" si="216"/>
        <v>LAPICRINE SULFA</v>
      </c>
      <c r="BW275" t="e">
        <f>IF(IF(CE$2="Catégorie",IF(CE$3="Toutes",SUMIFS('Étape 1 - à remplir'!$F$31:$F$400,'Étape 1 - à remplir'!$E$31:$E$400,MASQ2!BV275,'Étape 1 - à remplir'!$G$31:$G$400,"lots"),SUMIFS('Étape 1 - à remplir'!$F$31:$F$400,'Étape 1 - à remplir'!$E$31:$E$400,MASQ2!BV275,'Étape 1 - à remplir'!$C$31:$C$400,CE$3)),IF(CE$2="Âge",IF(CE$3="Tous",SUMIFS('Étape 1 - à remplir'!$F$31:$F$400,'Étape 1 - à remplir'!$E$31:$E$400,MASQ2!BV275,'Étape 1 - à remplir'!$G$31:$G$400,"lots"),SUMIFS('Étape 1 - à remplir'!$F$31:$F$400,'Étape 1 - à remplir'!$E$31:$E$400,MASQ2!BV275,'Étape 1 - à remplir'!$P$31:$P$400,CE$3,'Étape 1 - à remplir'!$G$31:$G$400,"lots")),IF(CE$2="Atelier",IF(CE$3="Tous",SUMIFS('Étape 1 - à remplir'!$F$31:$F$400,'Étape 1 - à remplir'!$E$31:$E$400,MASQ2!BV275,'Étape 1 - à remplir'!$G$31:$G$400,"lots"),SUMIFS('Étape 1 - à remplir'!$F$31:$F$400,'Étape 1 - à remplir'!$E$31:$E$400,MASQ2!BV275,'Étape 1 - à remplir'!$O$31:$O$400,CE$3,'Étape 1 - à remplir'!$G$31:$G$400,"lots")),IF(CE$2="Espèce",IF(CE$3="Toutes",SUMIFS('Étape 1 - à remplir'!$F$31:$F$400,'Étape 1 - à remplir'!$E$31:$E$400,MASQ2!BV275,'Étape 1 - à remplir'!$G$31:$G$400,"lots"),SUMIFS('Étape 1 - à remplir'!$F$31:$F$400,'Étape 1 - à remplir'!$E$31:$E$400,MASQ2!BV275,'Étape 1 - à remplir'!$N$31:$N$400,CE$3,'Étape 1 - à remplir'!$G$31:$G$400,"lots"))))))=0,NA(),IF(CE$2="Catégorie",IF(CE$3="Toutes",SUMIFS('Étape 1 - à remplir'!$F$31:$F$400,'Étape 1 - à remplir'!$E$31:$E$400,MASQ2!BV275,'Étape 1 - à remplir'!$G$31:$G$400,"lots"),SUMIFS('Étape 1 - à remplir'!$F$31:$F$400,'Étape 1 - à remplir'!$E$31:$E$400,MASQ2!BV275,'Étape 1 - à remplir'!$C$31:$C$400,CE$3)),IF(CE$2="Âge",IF(CE$3="Tous",SUMIFS('Étape 1 - à remplir'!$F$31:$F$400,'Étape 1 - à remplir'!$E$31:$E$400,MASQ2!BV275,'Étape 1 - à remplir'!$G$31:$G$400,"lots"),SUMIFS('Étape 1 - à remplir'!$F$31:$F$400,'Étape 1 - à remplir'!$E$31:$E$400,MASQ2!BV275,'Étape 1 - à remplir'!$P$31:$P$400,CE$3,'Étape 1 - à remplir'!$G$31:$G$400,"lots")),IF(CE$2="Atelier",IF(CE$3="Tous",SUMIFS('Étape 1 - à remplir'!$F$31:$F$400,'Étape 1 - à remplir'!$E$31:$E$400,MASQ2!BV275,'Étape 1 - à remplir'!$G$31:$G$400,"lots"),SUMIFS('Étape 1 - à remplir'!$F$31:$F$400,'Étape 1 - à remplir'!$E$31:$E$400,MASQ2!BV275,'Étape 1 - à remplir'!$O$31:$O$400,CE$3,'Étape 1 - à remplir'!$G$31:$G$400,"lots")),IF(CE$2="Espèce",IF(CE$3="Toutes",SUMIFS('Étape 1 - à remplir'!$F$31:$F$400,'Étape 1 - à remplir'!$E$31:$E$400,MASQ2!BV275,'Étape 1 - à remplir'!$G$31:$G$400,"lots"),SUMIFS('Étape 1 - à remplir'!$F$31:$F$400,'Étape 1 - à remplir'!$E$31:$E$400,MASQ2!BV275,'Étape 1 - à remplir'!$N$31:$N$400,CE$3,'Étape 1 - à remplir'!$G$31:$G$400,"lots")))))))</f>
        <v>#N/A</v>
      </c>
      <c r="BX275">
        <f t="shared" si="233"/>
        <v>0</v>
      </c>
      <c r="BY275" t="str">
        <f t="shared" si="217"/>
        <v>Sulfadimidine</v>
      </c>
      <c r="BZ275" t="str">
        <f t="shared" si="218"/>
        <v>Sulfaquinoxaline</v>
      </c>
      <c r="CA275" t="str">
        <f t="shared" si="219"/>
        <v/>
      </c>
      <c r="CB275" t="str">
        <f t="shared" si="220"/>
        <v>Sulfamides</v>
      </c>
      <c r="CC275" t="str">
        <f t="shared" si="221"/>
        <v>Sulfamides</v>
      </c>
      <c r="CD275" s="63" t="str">
        <f t="shared" si="222"/>
        <v/>
      </c>
      <c r="CG275" s="42">
        <v>272</v>
      </c>
      <c r="CH275" s="42" t="e">
        <f t="shared" si="238"/>
        <v>#N/A</v>
      </c>
      <c r="CI275" s="63" t="e">
        <f t="shared" si="239"/>
        <v>#N/A</v>
      </c>
      <c r="DM275" s="63"/>
      <c r="EA275" s="194" t="str">
        <f t="shared" ca="1" si="223"/>
        <v/>
      </c>
      <c r="EB275" s="226" t="str">
        <f>IFERROR(IF(ED275=0,"",COUNTIF(ED$4:ED$600,"&gt;"&amp;ED275)+COUNTIF(ED$4:ED275,ED275)),"")</f>
        <v/>
      </c>
      <c r="EC275" t="str">
        <f t="shared" si="224"/>
        <v>LAPICRINE SULFA</v>
      </c>
      <c r="ED275" t="e">
        <f>IF(IF(EL$2="Catégorie",IF(EL$3="Toutes",SUMIFS('Étape 1 - à remplir'!$F$31:$F$400,'Étape 1 - à remplir'!$E$31:$E$400,MASQ2!EC275,'Étape 1 - à remplir'!$G$31:$G$400,"kg"),SUMIFS('Étape 1 - à remplir'!$F$31:$F$400,'Étape 1 - à remplir'!$E$31:$E$400,MASQ2!EC275,'Étape 1 - à remplir'!$C$31:$C$400,EL$3)),IF(EL$2="Âge",IF(EL$3="Tous",SUMIFS('Étape 1 - à remplir'!$F$31:$F$400,'Étape 1 - à remplir'!$E$31:$E$400,MASQ2!EC275,'Étape 1 - à remplir'!$G$31:$G$400,"kg"),SUMIFS('Étape 1 - à remplir'!$F$31:$F$400,'Étape 1 - à remplir'!$E$31:$E$400,MASQ2!EC275,'Étape 1 - à remplir'!$P$31:$P$400,EL$3,'Étape 1 - à remplir'!$G$31:$G$400,"kg")),IF(EL$2="Atelier",IF(EL$3="Tous",SUMIFS('Étape 1 - à remplir'!$F$31:$F$400,'Étape 1 - à remplir'!$E$31:$E$400,MASQ2!EC275,'Étape 1 - à remplir'!$G$31:$G$400,"kg"),SUMIFS('Étape 1 - à remplir'!$F$31:$F$400,'Étape 1 - à remplir'!$E$31:$E$400,MASQ2!EC275,'Étape 1 - à remplir'!$O$31:$O$400,EL$3,'Étape 1 - à remplir'!$G$31:$G$400,"kg")),IF(EL$2="Espèce",IF(EL$3="Toutes",SUMIFS('Étape 1 - à remplir'!$F$31:$F$400,'Étape 1 - à remplir'!$E$31:$E$400,MASQ2!EC275,'Étape 1 - à remplir'!$G$31:$G$400,"kg"),SUMIFS('Étape 1 - à remplir'!$F$31:$F$400,'Étape 1 - à remplir'!$E$31:$E$400,MASQ2!EC275,'Étape 1 - à remplir'!$N$31:$N$400,EL$3,'Étape 1 - à remplir'!$G$31:$G$400,"kg"))))))=0,NA(),IF(EL$2="Catégorie",IF(EL$3="Toutes",SUMIFS('Étape 1 - à remplir'!$F$31:$F$400,'Étape 1 - à remplir'!$E$31:$E$400,MASQ2!EC275,'Étape 1 - à remplir'!$G$31:$G$400,"kg"),SUMIFS('Étape 1 - à remplir'!$F$31:$F$400,'Étape 1 - à remplir'!$E$31:$E$400,MASQ2!EC275,'Étape 1 - à remplir'!$C$31:$C$400,EL$3)),IF(EL$2="Âge",IF(EL$3="Tous",SUMIFS('Étape 1 - à remplir'!$F$31:$F$400,'Étape 1 - à remplir'!$E$31:$E$400,MASQ2!EC275,'Étape 1 - à remplir'!$G$31:$G$400,"kg"),SUMIFS('Étape 1 - à remplir'!$F$31:$F$400,'Étape 1 - à remplir'!$E$31:$E$400,MASQ2!EC275,'Étape 1 - à remplir'!$P$31:$P$400,EL$3,'Étape 1 - à remplir'!$G$31:$G$400,"kg")),IF(EL$2="Atelier",IF(EL$3="Tous",SUMIFS('Étape 1 - à remplir'!$F$31:$F$400,'Étape 1 - à remplir'!$E$31:$E$400,MASQ2!EC275,'Étape 1 - à remplir'!$G$31:$G$400,"kg"),SUMIFS('Étape 1 - à remplir'!$F$31:$F$400,'Étape 1 - à remplir'!$E$31:$E$400,MASQ2!EC275,'Étape 1 - à remplir'!$O$31:$O$400,EL$3,'Étape 1 - à remplir'!$G$31:$G$400,"kg")),IF(EL$2="Espèce",IF(EL$3="Toutes",SUMIFS('Étape 1 - à remplir'!$F$31:$F$400,'Étape 1 - à remplir'!$E$31:$E$400,MASQ2!EC275,'Étape 1 - à remplir'!$G$31:$G$400,"kg"),SUMIFS('Étape 1 - à remplir'!$F$31:$F$400,'Étape 1 - à remplir'!$E$31:$E$400,MASQ2!EC275,'Étape 1 - à remplir'!$N$31:$N$400,EL$3,'Étape 1 - à remplir'!$G$31:$G$400,"kg")))))))</f>
        <v>#N/A</v>
      </c>
      <c r="EE275" s="76">
        <f t="shared" si="234"/>
        <v>0</v>
      </c>
      <c r="EF275" t="str">
        <f t="shared" si="225"/>
        <v>Sulfadimidine</v>
      </c>
      <c r="EG275" t="str">
        <f t="shared" si="226"/>
        <v>Sulfaquinoxaline</v>
      </c>
      <c r="EH275" t="str">
        <f t="shared" si="227"/>
        <v/>
      </c>
      <c r="EI275" t="str">
        <f t="shared" si="228"/>
        <v>Sulfamides</v>
      </c>
      <c r="EJ275" t="str">
        <f t="shared" si="229"/>
        <v>Sulfamides</v>
      </c>
      <c r="EK275" s="63" t="str">
        <f t="shared" si="230"/>
        <v/>
      </c>
      <c r="EN275" s="42">
        <v>272</v>
      </c>
      <c r="EO275" t="e">
        <f t="shared" si="236"/>
        <v>#N/A</v>
      </c>
      <c r="EP275" s="63" t="e">
        <f t="shared" si="237"/>
        <v>#N/A</v>
      </c>
      <c r="FT275" s="63"/>
    </row>
    <row r="276" spans="2:176" x14ac:dyDescent="0.3">
      <c r="B276" s="42"/>
      <c r="M276" s="194" t="str">
        <f ca="1">INDEX(Données_ATB!BD:BU,MATCH(MASQ2!O276,Données_ATB!BD:BD,0),18)</f>
        <v/>
      </c>
      <c r="N276" s="14" t="str">
        <f>IFERROR(IF(Q276=0,"",COUNTIF(Q$4:Q$600,"&gt;"&amp;Q276)+COUNTIF(Q$4:Q276,Q276)),"")</f>
        <v/>
      </c>
      <c r="O276" t="str">
        <f>Données_ATB!BD275</f>
        <v>LINCOCINE 400 MG/G POUDRE POUR ADMINISTRATION DANS L’EAU DE BOISSON</v>
      </c>
      <c r="P276" t="e">
        <f>IF(IF(X$2="Catégorie",IF(X$3="Toutes",SUMIFS('Étape 1 - à remplir'!$F$31:$F$400,'Étape 1 - à remplir'!$E$31:$E$400,MASQ2!O276,'Étape 1 - à remplir'!$G$31:$G$400,"animaux"),SUMIFS('Étape 1 - à remplir'!$F$31:$F$400,'Étape 1 - à remplir'!$E$31:$E$400,MASQ2!O276,'Étape 1 - à remplir'!$C$31:$C$400,X$3)),IF(X$2="Âge",IF(X$3="Tous",SUMIFS('Étape 1 - à remplir'!$F$31:$F$400,'Étape 1 - à remplir'!$E$31:$E$400,MASQ2!O276,'Étape 1 - à remplir'!$G$31:$G$400,"animaux"),SUMIFS('Étape 1 - à remplir'!$F$31:$F$400,'Étape 1 - à remplir'!$E$31:$E$400,MASQ2!O276,'Étape 1 - à remplir'!$P$31:$P$400,X$3)),IF(X$2="Atelier",IF(X$3="Tous",SUMIFS('Étape 1 - à remplir'!$F$31:$F$400,'Étape 1 - à remplir'!$E$31:$E$400,MASQ2!O276,'Étape 1 - à remplir'!$G$31:$G$400,"animaux"),SUMIFS('Étape 1 - à remplir'!$F$31:$F$400,'Étape 1 - à remplir'!$E$31:$E$400,MASQ2!O276,'Étape 1 - à remplir'!$O$31:$O$400,X$3)),IF(X$2="Espèce",IF(X$3="Toutes",SUMIFS('Étape 1 - à remplir'!$F$31:$F$400,'Étape 1 - à remplir'!$E$31:$E$400,MASQ2!O276,'Étape 1 - à remplir'!$G$31:$G$400,"animaux"),SUMIFS('Étape 1 - à remplir'!$F$31:$F$400,'Étape 1 - à remplir'!$E$31:$E$400,MASQ2!O276,'Étape 1 - à remplir'!$N$31:$N$400,X$3))))))=0,NA(),IF(X$2="Catégorie",IF(X$3="Toutes",SUMIFS('Étape 1 - à remplir'!$F$31:$F$400,'Étape 1 - à remplir'!$E$31:$E$400,MASQ2!O276,'Étape 1 - à remplir'!$G$31:$G$400,"animaux"),SUMIFS('Étape 1 - à remplir'!$F$31:$F$400,'Étape 1 - à remplir'!$E$31:$E$400,MASQ2!O276,'Étape 1 - à remplir'!$C$31:$C$400,X$3)),IF(X$2="Âge",IF(X$3="Tous",SUMIFS('Étape 1 - à remplir'!$F$31:$F$400,'Étape 1 - à remplir'!$E$31:$E$400,MASQ2!O276,'Étape 1 - à remplir'!$G$31:$G$400,"animaux"),SUMIFS('Étape 1 - à remplir'!$F$31:$F$400,'Étape 1 - à remplir'!$E$31:$E$400,MASQ2!O276,'Étape 1 - à remplir'!$P$31:$P$400,X$3)),IF(X$2="Atelier",IF(X$3="Tous",SUMIFS('Étape 1 - à remplir'!$F$31:$F$400,'Étape 1 - à remplir'!$E$31:$E$400,MASQ2!O276,'Étape 1 - à remplir'!$G$31:$G$400,"animaux"),SUMIFS('Étape 1 - à remplir'!$F$31:$F$400,'Étape 1 - à remplir'!$E$31:$E$400,MASQ2!O276,'Étape 1 - à remplir'!$O$31:$O$400,X$3)),IF(X$2="Espèce",IF(X$3="Toutes",SUMIFS('Étape 1 - à remplir'!$F$31:$F$400,'Étape 1 - à remplir'!$E$31:$E$400,MASQ2!O276,'Étape 1 - à remplir'!$G$31:$G$400,"animaux"),SUMIFS('Étape 1 - à remplir'!$F$31:$F$400,'Étape 1 - à remplir'!$E$31:$E$400,MASQ2!O276,'Étape 1 - à remplir'!$N$31:$N$400,X$3)))))))</f>
        <v>#N/A</v>
      </c>
      <c r="Q276" s="63">
        <f t="shared" si="235"/>
        <v>0</v>
      </c>
      <c r="R276" t="str">
        <f>Données_ATB!BM275</f>
        <v>Lincomycine</v>
      </c>
      <c r="S276" t="str">
        <f>Données_ATB!BN275</f>
        <v/>
      </c>
      <c r="T276" s="63" t="str">
        <f>Données_ATB!BO275</f>
        <v/>
      </c>
      <c r="U276" s="42" t="str">
        <f>Données_ATB!BQ275</f>
        <v>Lincosamides</v>
      </c>
      <c r="V276" t="str">
        <f>Données_ATB!BR275</f>
        <v/>
      </c>
      <c r="W276" s="63" t="str">
        <f>Données_ATB!BS275</f>
        <v/>
      </c>
      <c r="Z276" s="42">
        <v>273</v>
      </c>
      <c r="AA276" t="e">
        <f t="shared" si="231"/>
        <v>#N/A</v>
      </c>
      <c r="AB276" s="63" t="e">
        <f t="shared" si="232"/>
        <v>#N/A</v>
      </c>
      <c r="BF276" s="63"/>
      <c r="BT276" s="194" t="str">
        <f t="shared" ca="1" si="215"/>
        <v/>
      </c>
      <c r="BU276" s="219" t="str">
        <f>IFERROR(IF(BX276=0,"",COUNTIF(BX$4:BX$600,"&gt;"&amp;BX276)+COUNTIF(BX$4:BX276,BX276)),"")</f>
        <v/>
      </c>
      <c r="BV276" s="42" t="str">
        <f t="shared" si="216"/>
        <v>LINCOCINE 400 MG/G POUDRE POUR ADMINISTRATION DANS L’EAU DE BOISSON</v>
      </c>
      <c r="BW276" t="e">
        <f>IF(IF(CE$2="Catégorie",IF(CE$3="Toutes",SUMIFS('Étape 1 - à remplir'!$F$31:$F$400,'Étape 1 - à remplir'!$E$31:$E$400,MASQ2!BV276,'Étape 1 - à remplir'!$G$31:$G$400,"lots"),SUMIFS('Étape 1 - à remplir'!$F$31:$F$400,'Étape 1 - à remplir'!$E$31:$E$400,MASQ2!BV276,'Étape 1 - à remplir'!$C$31:$C$400,CE$3)),IF(CE$2="Âge",IF(CE$3="Tous",SUMIFS('Étape 1 - à remplir'!$F$31:$F$400,'Étape 1 - à remplir'!$E$31:$E$400,MASQ2!BV276,'Étape 1 - à remplir'!$G$31:$G$400,"lots"),SUMIFS('Étape 1 - à remplir'!$F$31:$F$400,'Étape 1 - à remplir'!$E$31:$E$400,MASQ2!BV276,'Étape 1 - à remplir'!$P$31:$P$400,CE$3,'Étape 1 - à remplir'!$G$31:$G$400,"lots")),IF(CE$2="Atelier",IF(CE$3="Tous",SUMIFS('Étape 1 - à remplir'!$F$31:$F$400,'Étape 1 - à remplir'!$E$31:$E$400,MASQ2!BV276,'Étape 1 - à remplir'!$G$31:$G$400,"lots"),SUMIFS('Étape 1 - à remplir'!$F$31:$F$400,'Étape 1 - à remplir'!$E$31:$E$400,MASQ2!BV276,'Étape 1 - à remplir'!$O$31:$O$400,CE$3,'Étape 1 - à remplir'!$G$31:$G$400,"lots")),IF(CE$2="Espèce",IF(CE$3="Toutes",SUMIFS('Étape 1 - à remplir'!$F$31:$F$400,'Étape 1 - à remplir'!$E$31:$E$400,MASQ2!BV276,'Étape 1 - à remplir'!$G$31:$G$400,"lots"),SUMIFS('Étape 1 - à remplir'!$F$31:$F$400,'Étape 1 - à remplir'!$E$31:$E$400,MASQ2!BV276,'Étape 1 - à remplir'!$N$31:$N$400,CE$3,'Étape 1 - à remplir'!$G$31:$G$400,"lots"))))))=0,NA(),IF(CE$2="Catégorie",IF(CE$3="Toutes",SUMIFS('Étape 1 - à remplir'!$F$31:$F$400,'Étape 1 - à remplir'!$E$31:$E$400,MASQ2!BV276,'Étape 1 - à remplir'!$G$31:$G$400,"lots"),SUMIFS('Étape 1 - à remplir'!$F$31:$F$400,'Étape 1 - à remplir'!$E$31:$E$400,MASQ2!BV276,'Étape 1 - à remplir'!$C$31:$C$400,CE$3)),IF(CE$2="Âge",IF(CE$3="Tous",SUMIFS('Étape 1 - à remplir'!$F$31:$F$400,'Étape 1 - à remplir'!$E$31:$E$400,MASQ2!BV276,'Étape 1 - à remplir'!$G$31:$G$400,"lots"),SUMIFS('Étape 1 - à remplir'!$F$31:$F$400,'Étape 1 - à remplir'!$E$31:$E$400,MASQ2!BV276,'Étape 1 - à remplir'!$P$31:$P$400,CE$3,'Étape 1 - à remplir'!$G$31:$G$400,"lots")),IF(CE$2="Atelier",IF(CE$3="Tous",SUMIFS('Étape 1 - à remplir'!$F$31:$F$400,'Étape 1 - à remplir'!$E$31:$E$400,MASQ2!BV276,'Étape 1 - à remplir'!$G$31:$G$400,"lots"),SUMIFS('Étape 1 - à remplir'!$F$31:$F$400,'Étape 1 - à remplir'!$E$31:$E$400,MASQ2!BV276,'Étape 1 - à remplir'!$O$31:$O$400,CE$3,'Étape 1 - à remplir'!$G$31:$G$400,"lots")),IF(CE$2="Espèce",IF(CE$3="Toutes",SUMIFS('Étape 1 - à remplir'!$F$31:$F$400,'Étape 1 - à remplir'!$E$31:$E$400,MASQ2!BV276,'Étape 1 - à remplir'!$G$31:$G$400,"lots"),SUMIFS('Étape 1 - à remplir'!$F$31:$F$400,'Étape 1 - à remplir'!$E$31:$E$400,MASQ2!BV276,'Étape 1 - à remplir'!$N$31:$N$400,CE$3,'Étape 1 - à remplir'!$G$31:$G$400,"lots")))))))</f>
        <v>#N/A</v>
      </c>
      <c r="BX276">
        <f t="shared" si="233"/>
        <v>0</v>
      </c>
      <c r="BY276" t="str">
        <f t="shared" si="217"/>
        <v>Lincomycine</v>
      </c>
      <c r="BZ276" t="str">
        <f t="shared" si="218"/>
        <v/>
      </c>
      <c r="CA276" t="str">
        <f t="shared" si="219"/>
        <v/>
      </c>
      <c r="CB276" t="str">
        <f t="shared" si="220"/>
        <v>Lincosamides</v>
      </c>
      <c r="CC276" t="str">
        <f t="shared" si="221"/>
        <v/>
      </c>
      <c r="CD276" s="63" t="str">
        <f t="shared" si="222"/>
        <v/>
      </c>
      <c r="CG276" s="42">
        <v>273</v>
      </c>
      <c r="CH276" s="42" t="e">
        <f t="shared" si="238"/>
        <v>#N/A</v>
      </c>
      <c r="CI276" s="63" t="e">
        <f t="shared" si="239"/>
        <v>#N/A</v>
      </c>
      <c r="DM276" s="63"/>
      <c r="EA276" s="194" t="str">
        <f t="shared" ca="1" si="223"/>
        <v/>
      </c>
      <c r="EB276" s="226" t="str">
        <f>IFERROR(IF(ED276=0,"",COUNTIF(ED$4:ED$600,"&gt;"&amp;ED276)+COUNTIF(ED$4:ED276,ED276)),"")</f>
        <v/>
      </c>
      <c r="EC276" t="str">
        <f t="shared" si="224"/>
        <v>LINCOCINE 400 MG/G POUDRE POUR ADMINISTRATION DANS L’EAU DE BOISSON</v>
      </c>
      <c r="ED276" t="e">
        <f>IF(IF(EL$2="Catégorie",IF(EL$3="Toutes",SUMIFS('Étape 1 - à remplir'!$F$31:$F$400,'Étape 1 - à remplir'!$E$31:$E$400,MASQ2!EC276,'Étape 1 - à remplir'!$G$31:$G$400,"kg"),SUMIFS('Étape 1 - à remplir'!$F$31:$F$400,'Étape 1 - à remplir'!$E$31:$E$400,MASQ2!EC276,'Étape 1 - à remplir'!$C$31:$C$400,EL$3)),IF(EL$2="Âge",IF(EL$3="Tous",SUMIFS('Étape 1 - à remplir'!$F$31:$F$400,'Étape 1 - à remplir'!$E$31:$E$400,MASQ2!EC276,'Étape 1 - à remplir'!$G$31:$G$400,"kg"),SUMIFS('Étape 1 - à remplir'!$F$31:$F$400,'Étape 1 - à remplir'!$E$31:$E$400,MASQ2!EC276,'Étape 1 - à remplir'!$P$31:$P$400,EL$3,'Étape 1 - à remplir'!$G$31:$G$400,"kg")),IF(EL$2="Atelier",IF(EL$3="Tous",SUMIFS('Étape 1 - à remplir'!$F$31:$F$400,'Étape 1 - à remplir'!$E$31:$E$400,MASQ2!EC276,'Étape 1 - à remplir'!$G$31:$G$400,"kg"),SUMIFS('Étape 1 - à remplir'!$F$31:$F$400,'Étape 1 - à remplir'!$E$31:$E$400,MASQ2!EC276,'Étape 1 - à remplir'!$O$31:$O$400,EL$3,'Étape 1 - à remplir'!$G$31:$G$400,"kg")),IF(EL$2="Espèce",IF(EL$3="Toutes",SUMIFS('Étape 1 - à remplir'!$F$31:$F$400,'Étape 1 - à remplir'!$E$31:$E$400,MASQ2!EC276,'Étape 1 - à remplir'!$G$31:$G$400,"kg"),SUMIFS('Étape 1 - à remplir'!$F$31:$F$400,'Étape 1 - à remplir'!$E$31:$E$400,MASQ2!EC276,'Étape 1 - à remplir'!$N$31:$N$400,EL$3,'Étape 1 - à remplir'!$G$31:$G$400,"kg"))))))=0,NA(),IF(EL$2="Catégorie",IF(EL$3="Toutes",SUMIFS('Étape 1 - à remplir'!$F$31:$F$400,'Étape 1 - à remplir'!$E$31:$E$400,MASQ2!EC276,'Étape 1 - à remplir'!$G$31:$G$400,"kg"),SUMIFS('Étape 1 - à remplir'!$F$31:$F$400,'Étape 1 - à remplir'!$E$31:$E$400,MASQ2!EC276,'Étape 1 - à remplir'!$C$31:$C$400,EL$3)),IF(EL$2="Âge",IF(EL$3="Tous",SUMIFS('Étape 1 - à remplir'!$F$31:$F$400,'Étape 1 - à remplir'!$E$31:$E$400,MASQ2!EC276,'Étape 1 - à remplir'!$G$31:$G$400,"kg"),SUMIFS('Étape 1 - à remplir'!$F$31:$F$400,'Étape 1 - à remplir'!$E$31:$E$400,MASQ2!EC276,'Étape 1 - à remplir'!$P$31:$P$400,EL$3,'Étape 1 - à remplir'!$G$31:$G$400,"kg")),IF(EL$2="Atelier",IF(EL$3="Tous",SUMIFS('Étape 1 - à remplir'!$F$31:$F$400,'Étape 1 - à remplir'!$E$31:$E$400,MASQ2!EC276,'Étape 1 - à remplir'!$G$31:$G$400,"kg"),SUMIFS('Étape 1 - à remplir'!$F$31:$F$400,'Étape 1 - à remplir'!$E$31:$E$400,MASQ2!EC276,'Étape 1 - à remplir'!$O$31:$O$400,EL$3,'Étape 1 - à remplir'!$G$31:$G$400,"kg")),IF(EL$2="Espèce",IF(EL$3="Toutes",SUMIFS('Étape 1 - à remplir'!$F$31:$F$400,'Étape 1 - à remplir'!$E$31:$E$400,MASQ2!EC276,'Étape 1 - à remplir'!$G$31:$G$400,"kg"),SUMIFS('Étape 1 - à remplir'!$F$31:$F$400,'Étape 1 - à remplir'!$E$31:$E$400,MASQ2!EC276,'Étape 1 - à remplir'!$N$31:$N$400,EL$3,'Étape 1 - à remplir'!$G$31:$G$400,"kg")))))))</f>
        <v>#N/A</v>
      </c>
      <c r="EE276" s="76">
        <f t="shared" si="234"/>
        <v>0</v>
      </c>
      <c r="EF276" t="str">
        <f t="shared" si="225"/>
        <v>Lincomycine</v>
      </c>
      <c r="EG276" t="str">
        <f t="shared" si="226"/>
        <v/>
      </c>
      <c r="EH276" t="str">
        <f t="shared" si="227"/>
        <v/>
      </c>
      <c r="EI276" t="str">
        <f t="shared" si="228"/>
        <v>Lincosamides</v>
      </c>
      <c r="EJ276" t="str">
        <f t="shared" si="229"/>
        <v/>
      </c>
      <c r="EK276" s="63" t="str">
        <f t="shared" si="230"/>
        <v/>
      </c>
      <c r="EN276" s="42">
        <v>273</v>
      </c>
      <c r="EO276" t="e">
        <f t="shared" si="236"/>
        <v>#N/A</v>
      </c>
      <c r="EP276" s="63" t="e">
        <f t="shared" si="237"/>
        <v>#N/A</v>
      </c>
      <c r="FT276" s="63"/>
    </row>
    <row r="277" spans="2:176" x14ac:dyDescent="0.3">
      <c r="B277" s="42"/>
      <c r="M277" s="194" t="str">
        <f ca="1">INDEX(Données_ATB!BD:BU,MATCH(MASQ2!O277,Données_ATB!BD:BD,0),18)</f>
        <v/>
      </c>
      <c r="N277" s="14" t="str">
        <f>IFERROR(IF(Q277=0,"",COUNTIF(Q$4:Q$600,"&gt;"&amp;Q277)+COUNTIF(Q$4:Q277,Q277)),"")</f>
        <v/>
      </c>
      <c r="O277" t="str">
        <f>Données_ATB!BD276</f>
        <v>LINCOCINE SOLUTION</v>
      </c>
      <c r="P277" t="e">
        <f>IF(IF(X$2="Catégorie",IF(X$3="Toutes",SUMIFS('Étape 1 - à remplir'!$F$31:$F$400,'Étape 1 - à remplir'!$E$31:$E$400,MASQ2!O277,'Étape 1 - à remplir'!$G$31:$G$400,"animaux"),SUMIFS('Étape 1 - à remplir'!$F$31:$F$400,'Étape 1 - à remplir'!$E$31:$E$400,MASQ2!O277,'Étape 1 - à remplir'!$C$31:$C$400,X$3)),IF(X$2="Âge",IF(X$3="Tous",SUMIFS('Étape 1 - à remplir'!$F$31:$F$400,'Étape 1 - à remplir'!$E$31:$E$400,MASQ2!O277,'Étape 1 - à remplir'!$G$31:$G$400,"animaux"),SUMIFS('Étape 1 - à remplir'!$F$31:$F$400,'Étape 1 - à remplir'!$E$31:$E$400,MASQ2!O277,'Étape 1 - à remplir'!$P$31:$P$400,X$3)),IF(X$2="Atelier",IF(X$3="Tous",SUMIFS('Étape 1 - à remplir'!$F$31:$F$400,'Étape 1 - à remplir'!$E$31:$E$400,MASQ2!O277,'Étape 1 - à remplir'!$G$31:$G$400,"animaux"),SUMIFS('Étape 1 - à remplir'!$F$31:$F$400,'Étape 1 - à remplir'!$E$31:$E$400,MASQ2!O277,'Étape 1 - à remplir'!$O$31:$O$400,X$3)),IF(X$2="Espèce",IF(X$3="Toutes",SUMIFS('Étape 1 - à remplir'!$F$31:$F$400,'Étape 1 - à remplir'!$E$31:$E$400,MASQ2!O277,'Étape 1 - à remplir'!$G$31:$G$400,"animaux"),SUMIFS('Étape 1 - à remplir'!$F$31:$F$400,'Étape 1 - à remplir'!$E$31:$E$400,MASQ2!O277,'Étape 1 - à remplir'!$N$31:$N$400,X$3))))))=0,NA(),IF(X$2="Catégorie",IF(X$3="Toutes",SUMIFS('Étape 1 - à remplir'!$F$31:$F$400,'Étape 1 - à remplir'!$E$31:$E$400,MASQ2!O277,'Étape 1 - à remplir'!$G$31:$G$400,"animaux"),SUMIFS('Étape 1 - à remplir'!$F$31:$F$400,'Étape 1 - à remplir'!$E$31:$E$400,MASQ2!O277,'Étape 1 - à remplir'!$C$31:$C$400,X$3)),IF(X$2="Âge",IF(X$3="Tous",SUMIFS('Étape 1 - à remplir'!$F$31:$F$400,'Étape 1 - à remplir'!$E$31:$E$400,MASQ2!O277,'Étape 1 - à remplir'!$G$31:$G$400,"animaux"),SUMIFS('Étape 1 - à remplir'!$F$31:$F$400,'Étape 1 - à remplir'!$E$31:$E$400,MASQ2!O277,'Étape 1 - à remplir'!$P$31:$P$400,X$3)),IF(X$2="Atelier",IF(X$3="Tous",SUMIFS('Étape 1 - à remplir'!$F$31:$F$400,'Étape 1 - à remplir'!$E$31:$E$400,MASQ2!O277,'Étape 1 - à remplir'!$G$31:$G$400,"animaux"),SUMIFS('Étape 1 - à remplir'!$F$31:$F$400,'Étape 1 - à remplir'!$E$31:$E$400,MASQ2!O277,'Étape 1 - à remplir'!$O$31:$O$400,X$3)),IF(X$2="Espèce",IF(X$3="Toutes",SUMIFS('Étape 1 - à remplir'!$F$31:$F$400,'Étape 1 - à remplir'!$E$31:$E$400,MASQ2!O277,'Étape 1 - à remplir'!$G$31:$G$400,"animaux"),SUMIFS('Étape 1 - à remplir'!$F$31:$F$400,'Étape 1 - à remplir'!$E$31:$E$400,MASQ2!O277,'Étape 1 - à remplir'!$N$31:$N$400,X$3)))))))</f>
        <v>#N/A</v>
      </c>
      <c r="Q277" s="63">
        <f t="shared" si="235"/>
        <v>0</v>
      </c>
      <c r="R277" t="str">
        <f>Données_ATB!BM276</f>
        <v>Lincomycine</v>
      </c>
      <c r="S277" t="str">
        <f>Données_ATB!BN276</f>
        <v/>
      </c>
      <c r="T277" s="63" t="str">
        <f>Données_ATB!BO276</f>
        <v/>
      </c>
      <c r="U277" s="42" t="str">
        <f>Données_ATB!BQ276</f>
        <v>Lincosamides</v>
      </c>
      <c r="V277" t="str">
        <f>Données_ATB!BR276</f>
        <v/>
      </c>
      <c r="W277" s="63" t="str">
        <f>Données_ATB!BS276</f>
        <v/>
      </c>
      <c r="Z277" s="42">
        <v>274</v>
      </c>
      <c r="AA277" t="e">
        <f t="shared" si="231"/>
        <v>#N/A</v>
      </c>
      <c r="AB277" s="63" t="e">
        <f t="shared" si="232"/>
        <v>#N/A</v>
      </c>
      <c r="BF277" s="63"/>
      <c r="BT277" s="194" t="str">
        <f t="shared" ca="1" si="215"/>
        <v/>
      </c>
      <c r="BU277" s="219" t="str">
        <f>IFERROR(IF(BX277=0,"",COUNTIF(BX$4:BX$600,"&gt;"&amp;BX277)+COUNTIF(BX$4:BX277,BX277)),"")</f>
        <v/>
      </c>
      <c r="BV277" s="42" t="str">
        <f t="shared" si="216"/>
        <v>LINCOCINE SOLUTION</v>
      </c>
      <c r="BW277" t="e">
        <f>IF(IF(CE$2="Catégorie",IF(CE$3="Toutes",SUMIFS('Étape 1 - à remplir'!$F$31:$F$400,'Étape 1 - à remplir'!$E$31:$E$400,MASQ2!BV277,'Étape 1 - à remplir'!$G$31:$G$400,"lots"),SUMIFS('Étape 1 - à remplir'!$F$31:$F$400,'Étape 1 - à remplir'!$E$31:$E$400,MASQ2!BV277,'Étape 1 - à remplir'!$C$31:$C$400,CE$3)),IF(CE$2="Âge",IF(CE$3="Tous",SUMIFS('Étape 1 - à remplir'!$F$31:$F$400,'Étape 1 - à remplir'!$E$31:$E$400,MASQ2!BV277,'Étape 1 - à remplir'!$G$31:$G$400,"lots"),SUMIFS('Étape 1 - à remplir'!$F$31:$F$400,'Étape 1 - à remplir'!$E$31:$E$400,MASQ2!BV277,'Étape 1 - à remplir'!$P$31:$P$400,CE$3,'Étape 1 - à remplir'!$G$31:$G$400,"lots")),IF(CE$2="Atelier",IF(CE$3="Tous",SUMIFS('Étape 1 - à remplir'!$F$31:$F$400,'Étape 1 - à remplir'!$E$31:$E$400,MASQ2!BV277,'Étape 1 - à remplir'!$G$31:$G$400,"lots"),SUMIFS('Étape 1 - à remplir'!$F$31:$F$400,'Étape 1 - à remplir'!$E$31:$E$400,MASQ2!BV277,'Étape 1 - à remplir'!$O$31:$O$400,CE$3,'Étape 1 - à remplir'!$G$31:$G$400,"lots")),IF(CE$2="Espèce",IF(CE$3="Toutes",SUMIFS('Étape 1 - à remplir'!$F$31:$F$400,'Étape 1 - à remplir'!$E$31:$E$400,MASQ2!BV277,'Étape 1 - à remplir'!$G$31:$G$400,"lots"),SUMIFS('Étape 1 - à remplir'!$F$31:$F$400,'Étape 1 - à remplir'!$E$31:$E$400,MASQ2!BV277,'Étape 1 - à remplir'!$N$31:$N$400,CE$3,'Étape 1 - à remplir'!$G$31:$G$400,"lots"))))))=0,NA(),IF(CE$2="Catégorie",IF(CE$3="Toutes",SUMIFS('Étape 1 - à remplir'!$F$31:$F$400,'Étape 1 - à remplir'!$E$31:$E$400,MASQ2!BV277,'Étape 1 - à remplir'!$G$31:$G$400,"lots"),SUMIFS('Étape 1 - à remplir'!$F$31:$F$400,'Étape 1 - à remplir'!$E$31:$E$400,MASQ2!BV277,'Étape 1 - à remplir'!$C$31:$C$400,CE$3)),IF(CE$2="Âge",IF(CE$3="Tous",SUMIFS('Étape 1 - à remplir'!$F$31:$F$400,'Étape 1 - à remplir'!$E$31:$E$400,MASQ2!BV277,'Étape 1 - à remplir'!$G$31:$G$400,"lots"),SUMIFS('Étape 1 - à remplir'!$F$31:$F$400,'Étape 1 - à remplir'!$E$31:$E$400,MASQ2!BV277,'Étape 1 - à remplir'!$P$31:$P$400,CE$3,'Étape 1 - à remplir'!$G$31:$G$400,"lots")),IF(CE$2="Atelier",IF(CE$3="Tous",SUMIFS('Étape 1 - à remplir'!$F$31:$F$400,'Étape 1 - à remplir'!$E$31:$E$400,MASQ2!BV277,'Étape 1 - à remplir'!$G$31:$G$400,"lots"),SUMIFS('Étape 1 - à remplir'!$F$31:$F$400,'Étape 1 - à remplir'!$E$31:$E$400,MASQ2!BV277,'Étape 1 - à remplir'!$O$31:$O$400,CE$3,'Étape 1 - à remplir'!$G$31:$G$400,"lots")),IF(CE$2="Espèce",IF(CE$3="Toutes",SUMIFS('Étape 1 - à remplir'!$F$31:$F$400,'Étape 1 - à remplir'!$E$31:$E$400,MASQ2!BV277,'Étape 1 - à remplir'!$G$31:$G$400,"lots"),SUMIFS('Étape 1 - à remplir'!$F$31:$F$400,'Étape 1 - à remplir'!$E$31:$E$400,MASQ2!BV277,'Étape 1 - à remplir'!$N$31:$N$400,CE$3,'Étape 1 - à remplir'!$G$31:$G$400,"lots")))))))</f>
        <v>#N/A</v>
      </c>
      <c r="BX277">
        <f t="shared" si="233"/>
        <v>0</v>
      </c>
      <c r="BY277" t="str">
        <f t="shared" si="217"/>
        <v>Lincomycine</v>
      </c>
      <c r="BZ277" t="str">
        <f t="shared" si="218"/>
        <v/>
      </c>
      <c r="CA277" t="str">
        <f t="shared" si="219"/>
        <v/>
      </c>
      <c r="CB277" t="str">
        <f t="shared" si="220"/>
        <v>Lincosamides</v>
      </c>
      <c r="CC277" t="str">
        <f t="shared" si="221"/>
        <v/>
      </c>
      <c r="CD277" s="63" t="str">
        <f t="shared" si="222"/>
        <v/>
      </c>
      <c r="CG277" s="42">
        <v>274</v>
      </c>
      <c r="CH277" s="42" t="e">
        <f t="shared" si="238"/>
        <v>#N/A</v>
      </c>
      <c r="CI277" s="63" t="e">
        <f t="shared" si="239"/>
        <v>#N/A</v>
      </c>
      <c r="DM277" s="63"/>
      <c r="EA277" s="194" t="str">
        <f t="shared" ca="1" si="223"/>
        <v/>
      </c>
      <c r="EB277" s="226" t="str">
        <f>IFERROR(IF(ED277=0,"",COUNTIF(ED$4:ED$600,"&gt;"&amp;ED277)+COUNTIF(ED$4:ED277,ED277)),"")</f>
        <v/>
      </c>
      <c r="EC277" t="str">
        <f t="shared" si="224"/>
        <v>LINCOCINE SOLUTION</v>
      </c>
      <c r="ED277" t="e">
        <f>IF(IF(EL$2="Catégorie",IF(EL$3="Toutes",SUMIFS('Étape 1 - à remplir'!$F$31:$F$400,'Étape 1 - à remplir'!$E$31:$E$400,MASQ2!EC277,'Étape 1 - à remplir'!$G$31:$G$400,"kg"),SUMIFS('Étape 1 - à remplir'!$F$31:$F$400,'Étape 1 - à remplir'!$E$31:$E$400,MASQ2!EC277,'Étape 1 - à remplir'!$C$31:$C$400,EL$3)),IF(EL$2="Âge",IF(EL$3="Tous",SUMIFS('Étape 1 - à remplir'!$F$31:$F$400,'Étape 1 - à remplir'!$E$31:$E$400,MASQ2!EC277,'Étape 1 - à remplir'!$G$31:$G$400,"kg"),SUMIFS('Étape 1 - à remplir'!$F$31:$F$400,'Étape 1 - à remplir'!$E$31:$E$400,MASQ2!EC277,'Étape 1 - à remplir'!$P$31:$P$400,EL$3,'Étape 1 - à remplir'!$G$31:$G$400,"kg")),IF(EL$2="Atelier",IF(EL$3="Tous",SUMIFS('Étape 1 - à remplir'!$F$31:$F$400,'Étape 1 - à remplir'!$E$31:$E$400,MASQ2!EC277,'Étape 1 - à remplir'!$G$31:$G$400,"kg"),SUMIFS('Étape 1 - à remplir'!$F$31:$F$400,'Étape 1 - à remplir'!$E$31:$E$400,MASQ2!EC277,'Étape 1 - à remplir'!$O$31:$O$400,EL$3,'Étape 1 - à remplir'!$G$31:$G$400,"kg")),IF(EL$2="Espèce",IF(EL$3="Toutes",SUMIFS('Étape 1 - à remplir'!$F$31:$F$400,'Étape 1 - à remplir'!$E$31:$E$400,MASQ2!EC277,'Étape 1 - à remplir'!$G$31:$G$400,"kg"),SUMIFS('Étape 1 - à remplir'!$F$31:$F$400,'Étape 1 - à remplir'!$E$31:$E$400,MASQ2!EC277,'Étape 1 - à remplir'!$N$31:$N$400,EL$3,'Étape 1 - à remplir'!$G$31:$G$400,"kg"))))))=0,NA(),IF(EL$2="Catégorie",IF(EL$3="Toutes",SUMIFS('Étape 1 - à remplir'!$F$31:$F$400,'Étape 1 - à remplir'!$E$31:$E$400,MASQ2!EC277,'Étape 1 - à remplir'!$G$31:$G$400,"kg"),SUMIFS('Étape 1 - à remplir'!$F$31:$F$400,'Étape 1 - à remplir'!$E$31:$E$400,MASQ2!EC277,'Étape 1 - à remplir'!$C$31:$C$400,EL$3)),IF(EL$2="Âge",IF(EL$3="Tous",SUMIFS('Étape 1 - à remplir'!$F$31:$F$400,'Étape 1 - à remplir'!$E$31:$E$400,MASQ2!EC277,'Étape 1 - à remplir'!$G$31:$G$400,"kg"),SUMIFS('Étape 1 - à remplir'!$F$31:$F$400,'Étape 1 - à remplir'!$E$31:$E$400,MASQ2!EC277,'Étape 1 - à remplir'!$P$31:$P$400,EL$3,'Étape 1 - à remplir'!$G$31:$G$400,"kg")),IF(EL$2="Atelier",IF(EL$3="Tous",SUMIFS('Étape 1 - à remplir'!$F$31:$F$400,'Étape 1 - à remplir'!$E$31:$E$400,MASQ2!EC277,'Étape 1 - à remplir'!$G$31:$G$400,"kg"),SUMIFS('Étape 1 - à remplir'!$F$31:$F$400,'Étape 1 - à remplir'!$E$31:$E$400,MASQ2!EC277,'Étape 1 - à remplir'!$O$31:$O$400,EL$3,'Étape 1 - à remplir'!$G$31:$G$400,"kg")),IF(EL$2="Espèce",IF(EL$3="Toutes",SUMIFS('Étape 1 - à remplir'!$F$31:$F$400,'Étape 1 - à remplir'!$E$31:$E$400,MASQ2!EC277,'Étape 1 - à remplir'!$G$31:$G$400,"kg"),SUMIFS('Étape 1 - à remplir'!$F$31:$F$400,'Étape 1 - à remplir'!$E$31:$E$400,MASQ2!EC277,'Étape 1 - à remplir'!$N$31:$N$400,EL$3,'Étape 1 - à remplir'!$G$31:$G$400,"kg")))))))</f>
        <v>#N/A</v>
      </c>
      <c r="EE277" s="76">
        <f t="shared" si="234"/>
        <v>0</v>
      </c>
      <c r="EF277" t="str">
        <f t="shared" si="225"/>
        <v>Lincomycine</v>
      </c>
      <c r="EG277" t="str">
        <f t="shared" si="226"/>
        <v/>
      </c>
      <c r="EH277" t="str">
        <f t="shared" si="227"/>
        <v/>
      </c>
      <c r="EI277" t="str">
        <f t="shared" si="228"/>
        <v>Lincosamides</v>
      </c>
      <c r="EJ277" t="str">
        <f t="shared" si="229"/>
        <v/>
      </c>
      <c r="EK277" s="63" t="str">
        <f t="shared" si="230"/>
        <v/>
      </c>
      <c r="EN277" s="42">
        <v>274</v>
      </c>
      <c r="EO277" t="e">
        <f t="shared" si="236"/>
        <v>#N/A</v>
      </c>
      <c r="EP277" s="63" t="e">
        <f t="shared" si="237"/>
        <v>#N/A</v>
      </c>
      <c r="FT277" s="63"/>
    </row>
    <row r="278" spans="2:176" x14ac:dyDescent="0.3">
      <c r="B278" s="42"/>
      <c r="M278" s="194" t="str">
        <f ca="1">INDEX(Données_ATB!BD:BU,MATCH(MASQ2!O278,Données_ATB!BD:BD,0),18)</f>
        <v/>
      </c>
      <c r="N278" s="14" t="str">
        <f>IFERROR(IF(Q278=0,"",COUNTIF(Q$4:Q$600,"&gt;"&amp;Q278)+COUNTIF(Q$4:Q278,Q278)),"")</f>
        <v/>
      </c>
      <c r="O278" t="str">
        <f>Données_ATB!BD277</f>
        <v>LINCOMYCINE 22 PNEUMONIE PORC FRANVET</v>
      </c>
      <c r="P278" t="e">
        <f>IF(IF(X$2="Catégorie",IF(X$3="Toutes",SUMIFS('Étape 1 - à remplir'!$F$31:$F$400,'Étape 1 - à remplir'!$E$31:$E$400,MASQ2!O278,'Étape 1 - à remplir'!$G$31:$G$400,"animaux"),SUMIFS('Étape 1 - à remplir'!$F$31:$F$400,'Étape 1 - à remplir'!$E$31:$E$400,MASQ2!O278,'Étape 1 - à remplir'!$C$31:$C$400,X$3)),IF(X$2="Âge",IF(X$3="Tous",SUMIFS('Étape 1 - à remplir'!$F$31:$F$400,'Étape 1 - à remplir'!$E$31:$E$400,MASQ2!O278,'Étape 1 - à remplir'!$G$31:$G$400,"animaux"),SUMIFS('Étape 1 - à remplir'!$F$31:$F$400,'Étape 1 - à remplir'!$E$31:$E$400,MASQ2!O278,'Étape 1 - à remplir'!$P$31:$P$400,X$3)),IF(X$2="Atelier",IF(X$3="Tous",SUMIFS('Étape 1 - à remplir'!$F$31:$F$400,'Étape 1 - à remplir'!$E$31:$E$400,MASQ2!O278,'Étape 1 - à remplir'!$G$31:$G$400,"animaux"),SUMIFS('Étape 1 - à remplir'!$F$31:$F$400,'Étape 1 - à remplir'!$E$31:$E$400,MASQ2!O278,'Étape 1 - à remplir'!$O$31:$O$400,X$3)),IF(X$2="Espèce",IF(X$3="Toutes",SUMIFS('Étape 1 - à remplir'!$F$31:$F$400,'Étape 1 - à remplir'!$E$31:$E$400,MASQ2!O278,'Étape 1 - à remplir'!$G$31:$G$400,"animaux"),SUMIFS('Étape 1 - à remplir'!$F$31:$F$400,'Étape 1 - à remplir'!$E$31:$E$400,MASQ2!O278,'Étape 1 - à remplir'!$N$31:$N$400,X$3))))))=0,NA(),IF(X$2="Catégorie",IF(X$3="Toutes",SUMIFS('Étape 1 - à remplir'!$F$31:$F$400,'Étape 1 - à remplir'!$E$31:$E$400,MASQ2!O278,'Étape 1 - à remplir'!$G$31:$G$400,"animaux"),SUMIFS('Étape 1 - à remplir'!$F$31:$F$400,'Étape 1 - à remplir'!$E$31:$E$400,MASQ2!O278,'Étape 1 - à remplir'!$C$31:$C$400,X$3)),IF(X$2="Âge",IF(X$3="Tous",SUMIFS('Étape 1 - à remplir'!$F$31:$F$400,'Étape 1 - à remplir'!$E$31:$E$400,MASQ2!O278,'Étape 1 - à remplir'!$G$31:$G$400,"animaux"),SUMIFS('Étape 1 - à remplir'!$F$31:$F$400,'Étape 1 - à remplir'!$E$31:$E$400,MASQ2!O278,'Étape 1 - à remplir'!$P$31:$P$400,X$3)),IF(X$2="Atelier",IF(X$3="Tous",SUMIFS('Étape 1 - à remplir'!$F$31:$F$400,'Étape 1 - à remplir'!$E$31:$E$400,MASQ2!O278,'Étape 1 - à remplir'!$G$31:$G$400,"animaux"),SUMIFS('Étape 1 - à remplir'!$F$31:$F$400,'Étape 1 - à remplir'!$E$31:$E$400,MASQ2!O278,'Étape 1 - à remplir'!$O$31:$O$400,X$3)),IF(X$2="Espèce",IF(X$3="Toutes",SUMIFS('Étape 1 - à remplir'!$F$31:$F$400,'Étape 1 - à remplir'!$E$31:$E$400,MASQ2!O278,'Étape 1 - à remplir'!$G$31:$G$400,"animaux"),SUMIFS('Étape 1 - à remplir'!$F$31:$F$400,'Étape 1 - à remplir'!$E$31:$E$400,MASQ2!O278,'Étape 1 - à remplir'!$N$31:$N$400,X$3)))))))</f>
        <v>#N/A</v>
      </c>
      <c r="Q278" s="63">
        <f t="shared" si="235"/>
        <v>0</v>
      </c>
      <c r="R278" t="str">
        <f>Données_ATB!BM277</f>
        <v>Lincomycine</v>
      </c>
      <c r="S278" t="str">
        <f>Données_ATB!BN277</f>
        <v/>
      </c>
      <c r="T278" s="63" t="str">
        <f>Données_ATB!BO277</f>
        <v/>
      </c>
      <c r="U278" s="42" t="str">
        <f>Données_ATB!BQ277</f>
        <v>Lincosamides</v>
      </c>
      <c r="V278" t="str">
        <f>Données_ATB!BR277</f>
        <v/>
      </c>
      <c r="W278" s="63" t="str">
        <f>Données_ATB!BS277</f>
        <v/>
      </c>
      <c r="Z278" s="42">
        <v>275</v>
      </c>
      <c r="AA278" t="e">
        <f t="shared" si="231"/>
        <v>#N/A</v>
      </c>
      <c r="AB278" s="63" t="e">
        <f t="shared" si="232"/>
        <v>#N/A</v>
      </c>
      <c r="BF278" s="63"/>
      <c r="BT278" s="194" t="str">
        <f t="shared" ca="1" si="215"/>
        <v/>
      </c>
      <c r="BU278" s="219" t="str">
        <f>IFERROR(IF(BX278=0,"",COUNTIF(BX$4:BX$600,"&gt;"&amp;BX278)+COUNTIF(BX$4:BX278,BX278)),"")</f>
        <v/>
      </c>
      <c r="BV278" s="42" t="str">
        <f t="shared" si="216"/>
        <v>LINCOMYCINE 22 PNEUMONIE PORC FRANVET</v>
      </c>
      <c r="BW278" t="e">
        <f>IF(IF(CE$2="Catégorie",IF(CE$3="Toutes",SUMIFS('Étape 1 - à remplir'!$F$31:$F$400,'Étape 1 - à remplir'!$E$31:$E$400,MASQ2!BV278,'Étape 1 - à remplir'!$G$31:$G$400,"lots"),SUMIFS('Étape 1 - à remplir'!$F$31:$F$400,'Étape 1 - à remplir'!$E$31:$E$400,MASQ2!BV278,'Étape 1 - à remplir'!$C$31:$C$400,CE$3)),IF(CE$2="Âge",IF(CE$3="Tous",SUMIFS('Étape 1 - à remplir'!$F$31:$F$400,'Étape 1 - à remplir'!$E$31:$E$400,MASQ2!BV278,'Étape 1 - à remplir'!$G$31:$G$400,"lots"),SUMIFS('Étape 1 - à remplir'!$F$31:$F$400,'Étape 1 - à remplir'!$E$31:$E$400,MASQ2!BV278,'Étape 1 - à remplir'!$P$31:$P$400,CE$3,'Étape 1 - à remplir'!$G$31:$G$400,"lots")),IF(CE$2="Atelier",IF(CE$3="Tous",SUMIFS('Étape 1 - à remplir'!$F$31:$F$400,'Étape 1 - à remplir'!$E$31:$E$400,MASQ2!BV278,'Étape 1 - à remplir'!$G$31:$G$400,"lots"),SUMIFS('Étape 1 - à remplir'!$F$31:$F$400,'Étape 1 - à remplir'!$E$31:$E$400,MASQ2!BV278,'Étape 1 - à remplir'!$O$31:$O$400,CE$3,'Étape 1 - à remplir'!$G$31:$G$400,"lots")),IF(CE$2="Espèce",IF(CE$3="Toutes",SUMIFS('Étape 1 - à remplir'!$F$31:$F$400,'Étape 1 - à remplir'!$E$31:$E$400,MASQ2!BV278,'Étape 1 - à remplir'!$G$31:$G$400,"lots"),SUMIFS('Étape 1 - à remplir'!$F$31:$F$400,'Étape 1 - à remplir'!$E$31:$E$400,MASQ2!BV278,'Étape 1 - à remplir'!$N$31:$N$400,CE$3,'Étape 1 - à remplir'!$G$31:$G$400,"lots"))))))=0,NA(),IF(CE$2="Catégorie",IF(CE$3="Toutes",SUMIFS('Étape 1 - à remplir'!$F$31:$F$400,'Étape 1 - à remplir'!$E$31:$E$400,MASQ2!BV278,'Étape 1 - à remplir'!$G$31:$G$400,"lots"),SUMIFS('Étape 1 - à remplir'!$F$31:$F$400,'Étape 1 - à remplir'!$E$31:$E$400,MASQ2!BV278,'Étape 1 - à remplir'!$C$31:$C$400,CE$3)),IF(CE$2="Âge",IF(CE$3="Tous",SUMIFS('Étape 1 - à remplir'!$F$31:$F$400,'Étape 1 - à remplir'!$E$31:$E$400,MASQ2!BV278,'Étape 1 - à remplir'!$G$31:$G$400,"lots"),SUMIFS('Étape 1 - à remplir'!$F$31:$F$400,'Étape 1 - à remplir'!$E$31:$E$400,MASQ2!BV278,'Étape 1 - à remplir'!$P$31:$P$400,CE$3,'Étape 1 - à remplir'!$G$31:$G$400,"lots")),IF(CE$2="Atelier",IF(CE$3="Tous",SUMIFS('Étape 1 - à remplir'!$F$31:$F$400,'Étape 1 - à remplir'!$E$31:$E$400,MASQ2!BV278,'Étape 1 - à remplir'!$G$31:$G$400,"lots"),SUMIFS('Étape 1 - à remplir'!$F$31:$F$400,'Étape 1 - à remplir'!$E$31:$E$400,MASQ2!BV278,'Étape 1 - à remplir'!$O$31:$O$400,CE$3,'Étape 1 - à remplir'!$G$31:$G$400,"lots")),IF(CE$2="Espèce",IF(CE$3="Toutes",SUMIFS('Étape 1 - à remplir'!$F$31:$F$400,'Étape 1 - à remplir'!$E$31:$E$400,MASQ2!BV278,'Étape 1 - à remplir'!$G$31:$G$400,"lots"),SUMIFS('Étape 1 - à remplir'!$F$31:$F$400,'Étape 1 - à remplir'!$E$31:$E$400,MASQ2!BV278,'Étape 1 - à remplir'!$N$31:$N$400,CE$3,'Étape 1 - à remplir'!$G$31:$G$400,"lots")))))))</f>
        <v>#N/A</v>
      </c>
      <c r="BX278">
        <f t="shared" si="233"/>
        <v>0</v>
      </c>
      <c r="BY278" t="str">
        <f t="shared" si="217"/>
        <v>Lincomycine</v>
      </c>
      <c r="BZ278" t="str">
        <f t="shared" si="218"/>
        <v/>
      </c>
      <c r="CA278" t="str">
        <f t="shared" si="219"/>
        <v/>
      </c>
      <c r="CB278" t="str">
        <f t="shared" si="220"/>
        <v>Lincosamides</v>
      </c>
      <c r="CC278" t="str">
        <f t="shared" si="221"/>
        <v/>
      </c>
      <c r="CD278" s="63" t="str">
        <f t="shared" si="222"/>
        <v/>
      </c>
      <c r="CG278" s="42">
        <v>275</v>
      </c>
      <c r="CH278" s="42" t="e">
        <f t="shared" si="238"/>
        <v>#N/A</v>
      </c>
      <c r="CI278" s="63" t="e">
        <f t="shared" si="239"/>
        <v>#N/A</v>
      </c>
      <c r="DM278" s="63"/>
      <c r="EA278" s="194" t="str">
        <f t="shared" ca="1" si="223"/>
        <v/>
      </c>
      <c r="EB278" s="226" t="str">
        <f>IFERROR(IF(ED278=0,"",COUNTIF(ED$4:ED$600,"&gt;"&amp;ED278)+COUNTIF(ED$4:ED278,ED278)),"")</f>
        <v/>
      </c>
      <c r="EC278" t="str">
        <f t="shared" si="224"/>
        <v>LINCOMYCINE 22 PNEUMONIE PORC FRANVET</v>
      </c>
      <c r="ED278" t="e">
        <f>IF(IF(EL$2="Catégorie",IF(EL$3="Toutes",SUMIFS('Étape 1 - à remplir'!$F$31:$F$400,'Étape 1 - à remplir'!$E$31:$E$400,MASQ2!EC278,'Étape 1 - à remplir'!$G$31:$G$400,"kg"),SUMIFS('Étape 1 - à remplir'!$F$31:$F$400,'Étape 1 - à remplir'!$E$31:$E$400,MASQ2!EC278,'Étape 1 - à remplir'!$C$31:$C$400,EL$3)),IF(EL$2="Âge",IF(EL$3="Tous",SUMIFS('Étape 1 - à remplir'!$F$31:$F$400,'Étape 1 - à remplir'!$E$31:$E$400,MASQ2!EC278,'Étape 1 - à remplir'!$G$31:$G$400,"kg"),SUMIFS('Étape 1 - à remplir'!$F$31:$F$400,'Étape 1 - à remplir'!$E$31:$E$400,MASQ2!EC278,'Étape 1 - à remplir'!$P$31:$P$400,EL$3,'Étape 1 - à remplir'!$G$31:$G$400,"kg")),IF(EL$2="Atelier",IF(EL$3="Tous",SUMIFS('Étape 1 - à remplir'!$F$31:$F$400,'Étape 1 - à remplir'!$E$31:$E$400,MASQ2!EC278,'Étape 1 - à remplir'!$G$31:$G$400,"kg"),SUMIFS('Étape 1 - à remplir'!$F$31:$F$400,'Étape 1 - à remplir'!$E$31:$E$400,MASQ2!EC278,'Étape 1 - à remplir'!$O$31:$O$400,EL$3,'Étape 1 - à remplir'!$G$31:$G$400,"kg")),IF(EL$2="Espèce",IF(EL$3="Toutes",SUMIFS('Étape 1 - à remplir'!$F$31:$F$400,'Étape 1 - à remplir'!$E$31:$E$400,MASQ2!EC278,'Étape 1 - à remplir'!$G$31:$G$400,"kg"),SUMIFS('Étape 1 - à remplir'!$F$31:$F$400,'Étape 1 - à remplir'!$E$31:$E$400,MASQ2!EC278,'Étape 1 - à remplir'!$N$31:$N$400,EL$3,'Étape 1 - à remplir'!$G$31:$G$400,"kg"))))))=0,NA(),IF(EL$2="Catégorie",IF(EL$3="Toutes",SUMIFS('Étape 1 - à remplir'!$F$31:$F$400,'Étape 1 - à remplir'!$E$31:$E$400,MASQ2!EC278,'Étape 1 - à remplir'!$G$31:$G$400,"kg"),SUMIFS('Étape 1 - à remplir'!$F$31:$F$400,'Étape 1 - à remplir'!$E$31:$E$400,MASQ2!EC278,'Étape 1 - à remplir'!$C$31:$C$400,EL$3)),IF(EL$2="Âge",IF(EL$3="Tous",SUMIFS('Étape 1 - à remplir'!$F$31:$F$400,'Étape 1 - à remplir'!$E$31:$E$400,MASQ2!EC278,'Étape 1 - à remplir'!$G$31:$G$400,"kg"),SUMIFS('Étape 1 - à remplir'!$F$31:$F$400,'Étape 1 - à remplir'!$E$31:$E$400,MASQ2!EC278,'Étape 1 - à remplir'!$P$31:$P$400,EL$3,'Étape 1 - à remplir'!$G$31:$G$400,"kg")),IF(EL$2="Atelier",IF(EL$3="Tous",SUMIFS('Étape 1 - à remplir'!$F$31:$F$400,'Étape 1 - à remplir'!$E$31:$E$400,MASQ2!EC278,'Étape 1 - à remplir'!$G$31:$G$400,"kg"),SUMIFS('Étape 1 - à remplir'!$F$31:$F$400,'Étape 1 - à remplir'!$E$31:$E$400,MASQ2!EC278,'Étape 1 - à remplir'!$O$31:$O$400,EL$3,'Étape 1 - à remplir'!$G$31:$G$400,"kg")),IF(EL$2="Espèce",IF(EL$3="Toutes",SUMIFS('Étape 1 - à remplir'!$F$31:$F$400,'Étape 1 - à remplir'!$E$31:$E$400,MASQ2!EC278,'Étape 1 - à remplir'!$G$31:$G$400,"kg"),SUMIFS('Étape 1 - à remplir'!$F$31:$F$400,'Étape 1 - à remplir'!$E$31:$E$400,MASQ2!EC278,'Étape 1 - à remplir'!$N$31:$N$400,EL$3,'Étape 1 - à remplir'!$G$31:$G$400,"kg")))))))</f>
        <v>#N/A</v>
      </c>
      <c r="EE278" s="76">
        <f t="shared" si="234"/>
        <v>0</v>
      </c>
      <c r="EF278" t="str">
        <f t="shared" si="225"/>
        <v>Lincomycine</v>
      </c>
      <c r="EG278" t="str">
        <f t="shared" si="226"/>
        <v/>
      </c>
      <c r="EH278" t="str">
        <f t="shared" si="227"/>
        <v/>
      </c>
      <c r="EI278" t="str">
        <f t="shared" si="228"/>
        <v>Lincosamides</v>
      </c>
      <c r="EJ278" t="str">
        <f t="shared" si="229"/>
        <v/>
      </c>
      <c r="EK278" s="63" t="str">
        <f t="shared" si="230"/>
        <v/>
      </c>
      <c r="EN278" s="42">
        <v>275</v>
      </c>
      <c r="EO278" t="e">
        <f t="shared" si="236"/>
        <v>#N/A</v>
      </c>
      <c r="EP278" s="63" t="e">
        <f t="shared" si="237"/>
        <v>#N/A</v>
      </c>
      <c r="FT278" s="63"/>
    </row>
    <row r="279" spans="2:176" x14ac:dyDescent="0.3">
      <c r="B279" s="42"/>
      <c r="M279" s="194" t="str">
        <f ca="1">INDEX(Données_ATB!BD:BU,MATCH(MASQ2!O279,Données_ATB!BD:BD,0),18)</f>
        <v/>
      </c>
      <c r="N279" s="14" t="str">
        <f>IFERROR(IF(Q279=0,"",COUNTIF(Q$4:Q$600,"&gt;"&amp;Q279)+COUNTIF(Q$4:Q279,Q279)),"")</f>
        <v/>
      </c>
      <c r="O279" t="str">
        <f>Données_ATB!BD278</f>
        <v>LINCOMYCINE 4.4 SPECTINOMYCINE 4.4 PORC FRANVET</v>
      </c>
      <c r="P279" t="e">
        <f>IF(IF(X$2="Catégorie",IF(X$3="Toutes",SUMIFS('Étape 1 - à remplir'!$F$31:$F$400,'Étape 1 - à remplir'!$E$31:$E$400,MASQ2!O279,'Étape 1 - à remplir'!$G$31:$G$400,"animaux"),SUMIFS('Étape 1 - à remplir'!$F$31:$F$400,'Étape 1 - à remplir'!$E$31:$E$400,MASQ2!O279,'Étape 1 - à remplir'!$C$31:$C$400,X$3)),IF(X$2="Âge",IF(X$3="Tous",SUMIFS('Étape 1 - à remplir'!$F$31:$F$400,'Étape 1 - à remplir'!$E$31:$E$400,MASQ2!O279,'Étape 1 - à remplir'!$G$31:$G$400,"animaux"),SUMIFS('Étape 1 - à remplir'!$F$31:$F$400,'Étape 1 - à remplir'!$E$31:$E$400,MASQ2!O279,'Étape 1 - à remplir'!$P$31:$P$400,X$3)),IF(X$2="Atelier",IF(X$3="Tous",SUMIFS('Étape 1 - à remplir'!$F$31:$F$400,'Étape 1 - à remplir'!$E$31:$E$400,MASQ2!O279,'Étape 1 - à remplir'!$G$31:$G$400,"animaux"),SUMIFS('Étape 1 - à remplir'!$F$31:$F$400,'Étape 1 - à remplir'!$E$31:$E$400,MASQ2!O279,'Étape 1 - à remplir'!$O$31:$O$400,X$3)),IF(X$2="Espèce",IF(X$3="Toutes",SUMIFS('Étape 1 - à remplir'!$F$31:$F$400,'Étape 1 - à remplir'!$E$31:$E$400,MASQ2!O279,'Étape 1 - à remplir'!$G$31:$G$400,"animaux"),SUMIFS('Étape 1 - à remplir'!$F$31:$F$400,'Étape 1 - à remplir'!$E$31:$E$400,MASQ2!O279,'Étape 1 - à remplir'!$N$31:$N$400,X$3))))))=0,NA(),IF(X$2="Catégorie",IF(X$3="Toutes",SUMIFS('Étape 1 - à remplir'!$F$31:$F$400,'Étape 1 - à remplir'!$E$31:$E$400,MASQ2!O279,'Étape 1 - à remplir'!$G$31:$G$400,"animaux"),SUMIFS('Étape 1 - à remplir'!$F$31:$F$400,'Étape 1 - à remplir'!$E$31:$E$400,MASQ2!O279,'Étape 1 - à remplir'!$C$31:$C$400,X$3)),IF(X$2="Âge",IF(X$3="Tous",SUMIFS('Étape 1 - à remplir'!$F$31:$F$400,'Étape 1 - à remplir'!$E$31:$E$400,MASQ2!O279,'Étape 1 - à remplir'!$G$31:$G$400,"animaux"),SUMIFS('Étape 1 - à remplir'!$F$31:$F$400,'Étape 1 - à remplir'!$E$31:$E$400,MASQ2!O279,'Étape 1 - à remplir'!$P$31:$P$400,X$3)),IF(X$2="Atelier",IF(X$3="Tous",SUMIFS('Étape 1 - à remplir'!$F$31:$F$400,'Étape 1 - à remplir'!$E$31:$E$400,MASQ2!O279,'Étape 1 - à remplir'!$G$31:$G$400,"animaux"),SUMIFS('Étape 1 - à remplir'!$F$31:$F$400,'Étape 1 - à remplir'!$E$31:$E$400,MASQ2!O279,'Étape 1 - à remplir'!$O$31:$O$400,X$3)),IF(X$2="Espèce",IF(X$3="Toutes",SUMIFS('Étape 1 - à remplir'!$F$31:$F$400,'Étape 1 - à remplir'!$E$31:$E$400,MASQ2!O279,'Étape 1 - à remplir'!$G$31:$G$400,"animaux"),SUMIFS('Étape 1 - à remplir'!$F$31:$F$400,'Étape 1 - à remplir'!$E$31:$E$400,MASQ2!O279,'Étape 1 - à remplir'!$N$31:$N$400,X$3)))))))</f>
        <v>#N/A</v>
      </c>
      <c r="Q279" s="63">
        <f t="shared" si="235"/>
        <v>0</v>
      </c>
      <c r="R279" t="str">
        <f>Données_ATB!BM278</f>
        <v>Lincomycine</v>
      </c>
      <c r="S279" t="str">
        <f>Données_ATB!BN278</f>
        <v>Spectinomycine</v>
      </c>
      <c r="T279" s="63" t="str">
        <f>Données_ATB!BO278</f>
        <v/>
      </c>
      <c r="U279" s="42" t="str">
        <f>Données_ATB!BQ278</f>
        <v>Lincosamides</v>
      </c>
      <c r="V279" t="str">
        <f>Données_ATB!BR278</f>
        <v>Aminoglycosides</v>
      </c>
      <c r="W279" s="63" t="str">
        <f>Données_ATB!BS278</f>
        <v/>
      </c>
      <c r="Z279" s="42">
        <v>276</v>
      </c>
      <c r="AA279" t="e">
        <f t="shared" si="231"/>
        <v>#N/A</v>
      </c>
      <c r="AB279" s="63" t="e">
        <f t="shared" si="232"/>
        <v>#N/A</v>
      </c>
      <c r="BF279" s="63"/>
      <c r="BT279" s="194" t="str">
        <f t="shared" ca="1" si="215"/>
        <v/>
      </c>
      <c r="BU279" s="219" t="str">
        <f>IFERROR(IF(BX279=0,"",COUNTIF(BX$4:BX$600,"&gt;"&amp;BX279)+COUNTIF(BX$4:BX279,BX279)),"")</f>
        <v/>
      </c>
      <c r="BV279" s="42" t="str">
        <f t="shared" si="216"/>
        <v>LINCOMYCINE 4.4 SPECTINOMYCINE 4.4 PORC FRANVET</v>
      </c>
      <c r="BW279" t="e">
        <f>IF(IF(CE$2="Catégorie",IF(CE$3="Toutes",SUMIFS('Étape 1 - à remplir'!$F$31:$F$400,'Étape 1 - à remplir'!$E$31:$E$400,MASQ2!BV279,'Étape 1 - à remplir'!$G$31:$G$400,"lots"),SUMIFS('Étape 1 - à remplir'!$F$31:$F$400,'Étape 1 - à remplir'!$E$31:$E$400,MASQ2!BV279,'Étape 1 - à remplir'!$C$31:$C$400,CE$3)),IF(CE$2="Âge",IF(CE$3="Tous",SUMIFS('Étape 1 - à remplir'!$F$31:$F$400,'Étape 1 - à remplir'!$E$31:$E$400,MASQ2!BV279,'Étape 1 - à remplir'!$G$31:$G$400,"lots"),SUMIFS('Étape 1 - à remplir'!$F$31:$F$400,'Étape 1 - à remplir'!$E$31:$E$400,MASQ2!BV279,'Étape 1 - à remplir'!$P$31:$P$400,CE$3,'Étape 1 - à remplir'!$G$31:$G$400,"lots")),IF(CE$2="Atelier",IF(CE$3="Tous",SUMIFS('Étape 1 - à remplir'!$F$31:$F$400,'Étape 1 - à remplir'!$E$31:$E$400,MASQ2!BV279,'Étape 1 - à remplir'!$G$31:$G$400,"lots"),SUMIFS('Étape 1 - à remplir'!$F$31:$F$400,'Étape 1 - à remplir'!$E$31:$E$400,MASQ2!BV279,'Étape 1 - à remplir'!$O$31:$O$400,CE$3,'Étape 1 - à remplir'!$G$31:$G$400,"lots")),IF(CE$2="Espèce",IF(CE$3="Toutes",SUMIFS('Étape 1 - à remplir'!$F$31:$F$400,'Étape 1 - à remplir'!$E$31:$E$400,MASQ2!BV279,'Étape 1 - à remplir'!$G$31:$G$400,"lots"),SUMIFS('Étape 1 - à remplir'!$F$31:$F$400,'Étape 1 - à remplir'!$E$31:$E$400,MASQ2!BV279,'Étape 1 - à remplir'!$N$31:$N$400,CE$3,'Étape 1 - à remplir'!$G$31:$G$400,"lots"))))))=0,NA(),IF(CE$2="Catégorie",IF(CE$3="Toutes",SUMIFS('Étape 1 - à remplir'!$F$31:$F$400,'Étape 1 - à remplir'!$E$31:$E$400,MASQ2!BV279,'Étape 1 - à remplir'!$G$31:$G$400,"lots"),SUMIFS('Étape 1 - à remplir'!$F$31:$F$400,'Étape 1 - à remplir'!$E$31:$E$400,MASQ2!BV279,'Étape 1 - à remplir'!$C$31:$C$400,CE$3)),IF(CE$2="Âge",IF(CE$3="Tous",SUMIFS('Étape 1 - à remplir'!$F$31:$F$400,'Étape 1 - à remplir'!$E$31:$E$400,MASQ2!BV279,'Étape 1 - à remplir'!$G$31:$G$400,"lots"),SUMIFS('Étape 1 - à remplir'!$F$31:$F$400,'Étape 1 - à remplir'!$E$31:$E$400,MASQ2!BV279,'Étape 1 - à remplir'!$P$31:$P$400,CE$3,'Étape 1 - à remplir'!$G$31:$G$400,"lots")),IF(CE$2="Atelier",IF(CE$3="Tous",SUMIFS('Étape 1 - à remplir'!$F$31:$F$400,'Étape 1 - à remplir'!$E$31:$E$400,MASQ2!BV279,'Étape 1 - à remplir'!$G$31:$G$400,"lots"),SUMIFS('Étape 1 - à remplir'!$F$31:$F$400,'Étape 1 - à remplir'!$E$31:$E$400,MASQ2!BV279,'Étape 1 - à remplir'!$O$31:$O$400,CE$3,'Étape 1 - à remplir'!$G$31:$G$400,"lots")),IF(CE$2="Espèce",IF(CE$3="Toutes",SUMIFS('Étape 1 - à remplir'!$F$31:$F$400,'Étape 1 - à remplir'!$E$31:$E$400,MASQ2!BV279,'Étape 1 - à remplir'!$G$31:$G$400,"lots"),SUMIFS('Étape 1 - à remplir'!$F$31:$F$400,'Étape 1 - à remplir'!$E$31:$E$400,MASQ2!BV279,'Étape 1 - à remplir'!$N$31:$N$400,CE$3,'Étape 1 - à remplir'!$G$31:$G$400,"lots")))))))</f>
        <v>#N/A</v>
      </c>
      <c r="BX279">
        <f t="shared" si="233"/>
        <v>0</v>
      </c>
      <c r="BY279" t="str">
        <f t="shared" si="217"/>
        <v>Lincomycine</v>
      </c>
      <c r="BZ279" t="str">
        <f t="shared" si="218"/>
        <v>Spectinomycine</v>
      </c>
      <c r="CA279" t="str">
        <f t="shared" si="219"/>
        <v/>
      </c>
      <c r="CB279" t="str">
        <f t="shared" si="220"/>
        <v>Lincosamides</v>
      </c>
      <c r="CC279" t="str">
        <f t="shared" si="221"/>
        <v>Aminoglycosides</v>
      </c>
      <c r="CD279" s="63" t="str">
        <f t="shared" si="222"/>
        <v/>
      </c>
      <c r="CG279" s="42">
        <v>276</v>
      </c>
      <c r="CH279" s="42" t="e">
        <f t="shared" si="238"/>
        <v>#N/A</v>
      </c>
      <c r="CI279" s="63" t="e">
        <f t="shared" si="239"/>
        <v>#N/A</v>
      </c>
      <c r="DM279" s="63"/>
      <c r="EA279" s="194" t="str">
        <f t="shared" ca="1" si="223"/>
        <v/>
      </c>
      <c r="EB279" s="226" t="str">
        <f>IFERROR(IF(ED279=0,"",COUNTIF(ED$4:ED$600,"&gt;"&amp;ED279)+COUNTIF(ED$4:ED279,ED279)),"")</f>
        <v/>
      </c>
      <c r="EC279" t="str">
        <f t="shared" si="224"/>
        <v>LINCOMYCINE 4.4 SPECTINOMYCINE 4.4 PORC FRANVET</v>
      </c>
      <c r="ED279" t="e">
        <f>IF(IF(EL$2="Catégorie",IF(EL$3="Toutes",SUMIFS('Étape 1 - à remplir'!$F$31:$F$400,'Étape 1 - à remplir'!$E$31:$E$400,MASQ2!EC279,'Étape 1 - à remplir'!$G$31:$G$400,"kg"),SUMIFS('Étape 1 - à remplir'!$F$31:$F$400,'Étape 1 - à remplir'!$E$31:$E$400,MASQ2!EC279,'Étape 1 - à remplir'!$C$31:$C$400,EL$3)),IF(EL$2="Âge",IF(EL$3="Tous",SUMIFS('Étape 1 - à remplir'!$F$31:$F$400,'Étape 1 - à remplir'!$E$31:$E$400,MASQ2!EC279,'Étape 1 - à remplir'!$G$31:$G$400,"kg"),SUMIFS('Étape 1 - à remplir'!$F$31:$F$400,'Étape 1 - à remplir'!$E$31:$E$400,MASQ2!EC279,'Étape 1 - à remplir'!$P$31:$P$400,EL$3,'Étape 1 - à remplir'!$G$31:$G$400,"kg")),IF(EL$2="Atelier",IF(EL$3="Tous",SUMIFS('Étape 1 - à remplir'!$F$31:$F$400,'Étape 1 - à remplir'!$E$31:$E$400,MASQ2!EC279,'Étape 1 - à remplir'!$G$31:$G$400,"kg"),SUMIFS('Étape 1 - à remplir'!$F$31:$F$400,'Étape 1 - à remplir'!$E$31:$E$400,MASQ2!EC279,'Étape 1 - à remplir'!$O$31:$O$400,EL$3,'Étape 1 - à remplir'!$G$31:$G$400,"kg")),IF(EL$2="Espèce",IF(EL$3="Toutes",SUMIFS('Étape 1 - à remplir'!$F$31:$F$400,'Étape 1 - à remplir'!$E$31:$E$400,MASQ2!EC279,'Étape 1 - à remplir'!$G$31:$G$400,"kg"),SUMIFS('Étape 1 - à remplir'!$F$31:$F$400,'Étape 1 - à remplir'!$E$31:$E$400,MASQ2!EC279,'Étape 1 - à remplir'!$N$31:$N$400,EL$3,'Étape 1 - à remplir'!$G$31:$G$400,"kg"))))))=0,NA(),IF(EL$2="Catégorie",IF(EL$3="Toutes",SUMIFS('Étape 1 - à remplir'!$F$31:$F$400,'Étape 1 - à remplir'!$E$31:$E$400,MASQ2!EC279,'Étape 1 - à remplir'!$G$31:$G$400,"kg"),SUMIFS('Étape 1 - à remplir'!$F$31:$F$400,'Étape 1 - à remplir'!$E$31:$E$400,MASQ2!EC279,'Étape 1 - à remplir'!$C$31:$C$400,EL$3)),IF(EL$2="Âge",IF(EL$3="Tous",SUMIFS('Étape 1 - à remplir'!$F$31:$F$400,'Étape 1 - à remplir'!$E$31:$E$400,MASQ2!EC279,'Étape 1 - à remplir'!$G$31:$G$400,"kg"),SUMIFS('Étape 1 - à remplir'!$F$31:$F$400,'Étape 1 - à remplir'!$E$31:$E$400,MASQ2!EC279,'Étape 1 - à remplir'!$P$31:$P$400,EL$3,'Étape 1 - à remplir'!$G$31:$G$400,"kg")),IF(EL$2="Atelier",IF(EL$3="Tous",SUMIFS('Étape 1 - à remplir'!$F$31:$F$400,'Étape 1 - à remplir'!$E$31:$E$400,MASQ2!EC279,'Étape 1 - à remplir'!$G$31:$G$400,"kg"),SUMIFS('Étape 1 - à remplir'!$F$31:$F$400,'Étape 1 - à remplir'!$E$31:$E$400,MASQ2!EC279,'Étape 1 - à remplir'!$O$31:$O$400,EL$3,'Étape 1 - à remplir'!$G$31:$G$400,"kg")),IF(EL$2="Espèce",IF(EL$3="Toutes",SUMIFS('Étape 1 - à remplir'!$F$31:$F$400,'Étape 1 - à remplir'!$E$31:$E$400,MASQ2!EC279,'Étape 1 - à remplir'!$G$31:$G$400,"kg"),SUMIFS('Étape 1 - à remplir'!$F$31:$F$400,'Étape 1 - à remplir'!$E$31:$E$400,MASQ2!EC279,'Étape 1 - à remplir'!$N$31:$N$400,EL$3,'Étape 1 - à remplir'!$G$31:$G$400,"kg")))))))</f>
        <v>#N/A</v>
      </c>
      <c r="EE279" s="76">
        <f t="shared" si="234"/>
        <v>0</v>
      </c>
      <c r="EF279" t="str">
        <f t="shared" si="225"/>
        <v>Lincomycine</v>
      </c>
      <c r="EG279" t="str">
        <f t="shared" si="226"/>
        <v>Spectinomycine</v>
      </c>
      <c r="EH279" t="str">
        <f t="shared" si="227"/>
        <v/>
      </c>
      <c r="EI279" t="str">
        <f t="shared" si="228"/>
        <v>Lincosamides</v>
      </c>
      <c r="EJ279" t="str">
        <f t="shared" si="229"/>
        <v>Aminoglycosides</v>
      </c>
      <c r="EK279" s="63" t="str">
        <f t="shared" si="230"/>
        <v/>
      </c>
      <c r="EN279" s="42">
        <v>276</v>
      </c>
      <c r="EO279" t="e">
        <f t="shared" si="236"/>
        <v>#N/A</v>
      </c>
      <c r="EP279" s="63" t="e">
        <f t="shared" si="237"/>
        <v>#N/A</v>
      </c>
      <c r="FT279" s="63"/>
    </row>
    <row r="280" spans="2:176" x14ac:dyDescent="0.3">
      <c r="B280" s="42"/>
      <c r="M280" s="194" t="str">
        <f ca="1">INDEX(Données_ATB!BD:BU,MATCH(MASQ2!O280,Données_ATB!BD:BD,0),18)</f>
        <v/>
      </c>
      <c r="N280" s="14" t="str">
        <f>IFERROR(IF(Q280=0,"",COUNTIF(Q$4:Q$600,"&gt;"&amp;Q280)+COUNTIF(Q$4:Q280,Q280)),"")</f>
        <v/>
      </c>
      <c r="O280" t="str">
        <f>Données_ATB!BD279</f>
        <v>LINCOMYCINE 8.8 ENTERITE PORC FRANVET</v>
      </c>
      <c r="P280" t="e">
        <f>IF(IF(X$2="Catégorie",IF(X$3="Toutes",SUMIFS('Étape 1 - à remplir'!$F$31:$F$400,'Étape 1 - à remplir'!$E$31:$E$400,MASQ2!O280,'Étape 1 - à remplir'!$G$31:$G$400,"animaux"),SUMIFS('Étape 1 - à remplir'!$F$31:$F$400,'Étape 1 - à remplir'!$E$31:$E$400,MASQ2!O280,'Étape 1 - à remplir'!$C$31:$C$400,X$3)),IF(X$2="Âge",IF(X$3="Tous",SUMIFS('Étape 1 - à remplir'!$F$31:$F$400,'Étape 1 - à remplir'!$E$31:$E$400,MASQ2!O280,'Étape 1 - à remplir'!$G$31:$G$400,"animaux"),SUMIFS('Étape 1 - à remplir'!$F$31:$F$400,'Étape 1 - à remplir'!$E$31:$E$400,MASQ2!O280,'Étape 1 - à remplir'!$P$31:$P$400,X$3)),IF(X$2="Atelier",IF(X$3="Tous",SUMIFS('Étape 1 - à remplir'!$F$31:$F$400,'Étape 1 - à remplir'!$E$31:$E$400,MASQ2!O280,'Étape 1 - à remplir'!$G$31:$G$400,"animaux"),SUMIFS('Étape 1 - à remplir'!$F$31:$F$400,'Étape 1 - à remplir'!$E$31:$E$400,MASQ2!O280,'Étape 1 - à remplir'!$O$31:$O$400,X$3)),IF(X$2="Espèce",IF(X$3="Toutes",SUMIFS('Étape 1 - à remplir'!$F$31:$F$400,'Étape 1 - à remplir'!$E$31:$E$400,MASQ2!O280,'Étape 1 - à remplir'!$G$31:$G$400,"animaux"),SUMIFS('Étape 1 - à remplir'!$F$31:$F$400,'Étape 1 - à remplir'!$E$31:$E$400,MASQ2!O280,'Étape 1 - à remplir'!$N$31:$N$400,X$3))))))=0,NA(),IF(X$2="Catégorie",IF(X$3="Toutes",SUMIFS('Étape 1 - à remplir'!$F$31:$F$400,'Étape 1 - à remplir'!$E$31:$E$400,MASQ2!O280,'Étape 1 - à remplir'!$G$31:$G$400,"animaux"),SUMIFS('Étape 1 - à remplir'!$F$31:$F$400,'Étape 1 - à remplir'!$E$31:$E$400,MASQ2!O280,'Étape 1 - à remplir'!$C$31:$C$400,X$3)),IF(X$2="Âge",IF(X$3="Tous",SUMIFS('Étape 1 - à remplir'!$F$31:$F$400,'Étape 1 - à remplir'!$E$31:$E$400,MASQ2!O280,'Étape 1 - à remplir'!$G$31:$G$400,"animaux"),SUMIFS('Étape 1 - à remplir'!$F$31:$F$400,'Étape 1 - à remplir'!$E$31:$E$400,MASQ2!O280,'Étape 1 - à remplir'!$P$31:$P$400,X$3)),IF(X$2="Atelier",IF(X$3="Tous",SUMIFS('Étape 1 - à remplir'!$F$31:$F$400,'Étape 1 - à remplir'!$E$31:$E$400,MASQ2!O280,'Étape 1 - à remplir'!$G$31:$G$400,"animaux"),SUMIFS('Étape 1 - à remplir'!$F$31:$F$400,'Étape 1 - à remplir'!$E$31:$E$400,MASQ2!O280,'Étape 1 - à remplir'!$O$31:$O$400,X$3)),IF(X$2="Espèce",IF(X$3="Toutes",SUMIFS('Étape 1 - à remplir'!$F$31:$F$400,'Étape 1 - à remplir'!$E$31:$E$400,MASQ2!O280,'Étape 1 - à remplir'!$G$31:$G$400,"animaux"),SUMIFS('Étape 1 - à remplir'!$F$31:$F$400,'Étape 1 - à remplir'!$E$31:$E$400,MASQ2!O280,'Étape 1 - à remplir'!$N$31:$N$400,X$3)))))))</f>
        <v>#N/A</v>
      </c>
      <c r="Q280" s="63">
        <f t="shared" si="235"/>
        <v>0</v>
      </c>
      <c r="R280" t="str">
        <f>Données_ATB!BM279</f>
        <v>Lincomycine</v>
      </c>
      <c r="S280" t="str">
        <f>Données_ATB!BN279</f>
        <v/>
      </c>
      <c r="T280" s="63" t="str">
        <f>Données_ATB!BO279</f>
        <v/>
      </c>
      <c r="U280" s="42" t="str">
        <f>Données_ATB!BQ279</f>
        <v>Lincosamides</v>
      </c>
      <c r="V280" t="str">
        <f>Données_ATB!BR279</f>
        <v/>
      </c>
      <c r="W280" s="63" t="str">
        <f>Données_ATB!BS279</f>
        <v/>
      </c>
      <c r="Z280" s="42">
        <v>277</v>
      </c>
      <c r="AA280" t="e">
        <f t="shared" si="231"/>
        <v>#N/A</v>
      </c>
      <c r="AB280" s="63" t="e">
        <f t="shared" si="232"/>
        <v>#N/A</v>
      </c>
      <c r="BF280" s="63"/>
      <c r="BT280" s="194" t="str">
        <f t="shared" ca="1" si="215"/>
        <v/>
      </c>
      <c r="BU280" s="219" t="str">
        <f>IFERROR(IF(BX280=0,"",COUNTIF(BX$4:BX$600,"&gt;"&amp;BX280)+COUNTIF(BX$4:BX280,BX280)),"")</f>
        <v/>
      </c>
      <c r="BV280" s="42" t="str">
        <f t="shared" si="216"/>
        <v>LINCOMYCINE 8.8 ENTERITE PORC FRANVET</v>
      </c>
      <c r="BW280" t="e">
        <f>IF(IF(CE$2="Catégorie",IF(CE$3="Toutes",SUMIFS('Étape 1 - à remplir'!$F$31:$F$400,'Étape 1 - à remplir'!$E$31:$E$400,MASQ2!BV280,'Étape 1 - à remplir'!$G$31:$G$400,"lots"),SUMIFS('Étape 1 - à remplir'!$F$31:$F$400,'Étape 1 - à remplir'!$E$31:$E$400,MASQ2!BV280,'Étape 1 - à remplir'!$C$31:$C$400,CE$3)),IF(CE$2="Âge",IF(CE$3="Tous",SUMIFS('Étape 1 - à remplir'!$F$31:$F$400,'Étape 1 - à remplir'!$E$31:$E$400,MASQ2!BV280,'Étape 1 - à remplir'!$G$31:$G$400,"lots"),SUMIFS('Étape 1 - à remplir'!$F$31:$F$400,'Étape 1 - à remplir'!$E$31:$E$400,MASQ2!BV280,'Étape 1 - à remplir'!$P$31:$P$400,CE$3,'Étape 1 - à remplir'!$G$31:$G$400,"lots")),IF(CE$2="Atelier",IF(CE$3="Tous",SUMIFS('Étape 1 - à remplir'!$F$31:$F$400,'Étape 1 - à remplir'!$E$31:$E$400,MASQ2!BV280,'Étape 1 - à remplir'!$G$31:$G$400,"lots"),SUMIFS('Étape 1 - à remplir'!$F$31:$F$400,'Étape 1 - à remplir'!$E$31:$E$400,MASQ2!BV280,'Étape 1 - à remplir'!$O$31:$O$400,CE$3,'Étape 1 - à remplir'!$G$31:$G$400,"lots")),IF(CE$2="Espèce",IF(CE$3="Toutes",SUMIFS('Étape 1 - à remplir'!$F$31:$F$400,'Étape 1 - à remplir'!$E$31:$E$400,MASQ2!BV280,'Étape 1 - à remplir'!$G$31:$G$400,"lots"),SUMIFS('Étape 1 - à remplir'!$F$31:$F$400,'Étape 1 - à remplir'!$E$31:$E$400,MASQ2!BV280,'Étape 1 - à remplir'!$N$31:$N$400,CE$3,'Étape 1 - à remplir'!$G$31:$G$400,"lots"))))))=0,NA(),IF(CE$2="Catégorie",IF(CE$3="Toutes",SUMIFS('Étape 1 - à remplir'!$F$31:$F$400,'Étape 1 - à remplir'!$E$31:$E$400,MASQ2!BV280,'Étape 1 - à remplir'!$G$31:$G$400,"lots"),SUMIFS('Étape 1 - à remplir'!$F$31:$F$400,'Étape 1 - à remplir'!$E$31:$E$400,MASQ2!BV280,'Étape 1 - à remplir'!$C$31:$C$400,CE$3)),IF(CE$2="Âge",IF(CE$3="Tous",SUMIFS('Étape 1 - à remplir'!$F$31:$F$400,'Étape 1 - à remplir'!$E$31:$E$400,MASQ2!BV280,'Étape 1 - à remplir'!$G$31:$G$400,"lots"),SUMIFS('Étape 1 - à remplir'!$F$31:$F$400,'Étape 1 - à remplir'!$E$31:$E$400,MASQ2!BV280,'Étape 1 - à remplir'!$P$31:$P$400,CE$3,'Étape 1 - à remplir'!$G$31:$G$400,"lots")),IF(CE$2="Atelier",IF(CE$3="Tous",SUMIFS('Étape 1 - à remplir'!$F$31:$F$400,'Étape 1 - à remplir'!$E$31:$E$400,MASQ2!BV280,'Étape 1 - à remplir'!$G$31:$G$400,"lots"),SUMIFS('Étape 1 - à remplir'!$F$31:$F$400,'Étape 1 - à remplir'!$E$31:$E$400,MASQ2!BV280,'Étape 1 - à remplir'!$O$31:$O$400,CE$3,'Étape 1 - à remplir'!$G$31:$G$400,"lots")),IF(CE$2="Espèce",IF(CE$3="Toutes",SUMIFS('Étape 1 - à remplir'!$F$31:$F$400,'Étape 1 - à remplir'!$E$31:$E$400,MASQ2!BV280,'Étape 1 - à remplir'!$G$31:$G$400,"lots"),SUMIFS('Étape 1 - à remplir'!$F$31:$F$400,'Étape 1 - à remplir'!$E$31:$E$400,MASQ2!BV280,'Étape 1 - à remplir'!$N$31:$N$400,CE$3,'Étape 1 - à remplir'!$G$31:$G$400,"lots")))))))</f>
        <v>#N/A</v>
      </c>
      <c r="BX280">
        <f t="shared" si="233"/>
        <v>0</v>
      </c>
      <c r="BY280" t="str">
        <f t="shared" si="217"/>
        <v>Lincomycine</v>
      </c>
      <c r="BZ280" t="str">
        <f t="shared" si="218"/>
        <v/>
      </c>
      <c r="CA280" t="str">
        <f t="shared" si="219"/>
        <v/>
      </c>
      <c r="CB280" t="str">
        <f t="shared" si="220"/>
        <v>Lincosamides</v>
      </c>
      <c r="CC280" t="str">
        <f t="shared" si="221"/>
        <v/>
      </c>
      <c r="CD280" s="63" t="str">
        <f t="shared" si="222"/>
        <v/>
      </c>
      <c r="CG280" s="42">
        <v>277</v>
      </c>
      <c r="CH280" s="42" t="e">
        <f t="shared" si="238"/>
        <v>#N/A</v>
      </c>
      <c r="CI280" s="63" t="e">
        <f t="shared" si="239"/>
        <v>#N/A</v>
      </c>
      <c r="DM280" s="63"/>
      <c r="EA280" s="194" t="str">
        <f t="shared" ca="1" si="223"/>
        <v/>
      </c>
      <c r="EB280" s="226" t="str">
        <f>IFERROR(IF(ED280=0,"",COUNTIF(ED$4:ED$600,"&gt;"&amp;ED280)+COUNTIF(ED$4:ED280,ED280)),"")</f>
        <v/>
      </c>
      <c r="EC280" t="str">
        <f t="shared" si="224"/>
        <v>LINCOMYCINE 8.8 ENTERITE PORC FRANVET</v>
      </c>
      <c r="ED280" t="e">
        <f>IF(IF(EL$2="Catégorie",IF(EL$3="Toutes",SUMIFS('Étape 1 - à remplir'!$F$31:$F$400,'Étape 1 - à remplir'!$E$31:$E$400,MASQ2!EC280,'Étape 1 - à remplir'!$G$31:$G$400,"kg"),SUMIFS('Étape 1 - à remplir'!$F$31:$F$400,'Étape 1 - à remplir'!$E$31:$E$400,MASQ2!EC280,'Étape 1 - à remplir'!$C$31:$C$400,EL$3)),IF(EL$2="Âge",IF(EL$3="Tous",SUMIFS('Étape 1 - à remplir'!$F$31:$F$400,'Étape 1 - à remplir'!$E$31:$E$400,MASQ2!EC280,'Étape 1 - à remplir'!$G$31:$G$400,"kg"),SUMIFS('Étape 1 - à remplir'!$F$31:$F$400,'Étape 1 - à remplir'!$E$31:$E$400,MASQ2!EC280,'Étape 1 - à remplir'!$P$31:$P$400,EL$3,'Étape 1 - à remplir'!$G$31:$G$400,"kg")),IF(EL$2="Atelier",IF(EL$3="Tous",SUMIFS('Étape 1 - à remplir'!$F$31:$F$400,'Étape 1 - à remplir'!$E$31:$E$400,MASQ2!EC280,'Étape 1 - à remplir'!$G$31:$G$400,"kg"),SUMIFS('Étape 1 - à remplir'!$F$31:$F$400,'Étape 1 - à remplir'!$E$31:$E$400,MASQ2!EC280,'Étape 1 - à remplir'!$O$31:$O$400,EL$3,'Étape 1 - à remplir'!$G$31:$G$400,"kg")),IF(EL$2="Espèce",IF(EL$3="Toutes",SUMIFS('Étape 1 - à remplir'!$F$31:$F$400,'Étape 1 - à remplir'!$E$31:$E$400,MASQ2!EC280,'Étape 1 - à remplir'!$G$31:$G$400,"kg"),SUMIFS('Étape 1 - à remplir'!$F$31:$F$400,'Étape 1 - à remplir'!$E$31:$E$400,MASQ2!EC280,'Étape 1 - à remplir'!$N$31:$N$400,EL$3,'Étape 1 - à remplir'!$G$31:$G$400,"kg"))))))=0,NA(),IF(EL$2="Catégorie",IF(EL$3="Toutes",SUMIFS('Étape 1 - à remplir'!$F$31:$F$400,'Étape 1 - à remplir'!$E$31:$E$400,MASQ2!EC280,'Étape 1 - à remplir'!$G$31:$G$400,"kg"),SUMIFS('Étape 1 - à remplir'!$F$31:$F$400,'Étape 1 - à remplir'!$E$31:$E$400,MASQ2!EC280,'Étape 1 - à remplir'!$C$31:$C$400,EL$3)),IF(EL$2="Âge",IF(EL$3="Tous",SUMIFS('Étape 1 - à remplir'!$F$31:$F$400,'Étape 1 - à remplir'!$E$31:$E$400,MASQ2!EC280,'Étape 1 - à remplir'!$G$31:$G$400,"kg"),SUMIFS('Étape 1 - à remplir'!$F$31:$F$400,'Étape 1 - à remplir'!$E$31:$E$400,MASQ2!EC280,'Étape 1 - à remplir'!$P$31:$P$400,EL$3,'Étape 1 - à remplir'!$G$31:$G$400,"kg")),IF(EL$2="Atelier",IF(EL$3="Tous",SUMIFS('Étape 1 - à remplir'!$F$31:$F$400,'Étape 1 - à remplir'!$E$31:$E$400,MASQ2!EC280,'Étape 1 - à remplir'!$G$31:$G$400,"kg"),SUMIFS('Étape 1 - à remplir'!$F$31:$F$400,'Étape 1 - à remplir'!$E$31:$E$400,MASQ2!EC280,'Étape 1 - à remplir'!$O$31:$O$400,EL$3,'Étape 1 - à remplir'!$G$31:$G$400,"kg")),IF(EL$2="Espèce",IF(EL$3="Toutes",SUMIFS('Étape 1 - à remplir'!$F$31:$F$400,'Étape 1 - à remplir'!$E$31:$E$400,MASQ2!EC280,'Étape 1 - à remplir'!$G$31:$G$400,"kg"),SUMIFS('Étape 1 - à remplir'!$F$31:$F$400,'Étape 1 - à remplir'!$E$31:$E$400,MASQ2!EC280,'Étape 1 - à remplir'!$N$31:$N$400,EL$3,'Étape 1 - à remplir'!$G$31:$G$400,"kg")))))))</f>
        <v>#N/A</v>
      </c>
      <c r="EE280" s="76">
        <f t="shared" si="234"/>
        <v>0</v>
      </c>
      <c r="EF280" t="str">
        <f t="shared" si="225"/>
        <v>Lincomycine</v>
      </c>
      <c r="EG280" t="str">
        <f t="shared" si="226"/>
        <v/>
      </c>
      <c r="EH280" t="str">
        <f t="shared" si="227"/>
        <v/>
      </c>
      <c r="EI280" t="str">
        <f t="shared" si="228"/>
        <v>Lincosamides</v>
      </c>
      <c r="EJ280" t="str">
        <f t="shared" si="229"/>
        <v/>
      </c>
      <c r="EK280" s="63" t="str">
        <f t="shared" si="230"/>
        <v/>
      </c>
      <c r="EN280" s="42">
        <v>277</v>
      </c>
      <c r="EO280" t="e">
        <f t="shared" si="236"/>
        <v>#N/A</v>
      </c>
      <c r="EP280" s="63" t="e">
        <f t="shared" si="237"/>
        <v>#N/A</v>
      </c>
      <c r="FT280" s="63"/>
    </row>
    <row r="281" spans="2:176" x14ac:dyDescent="0.3">
      <c r="B281" s="42"/>
      <c r="M281" s="194" t="str">
        <f ca="1">INDEX(Données_ATB!BD:BU,MATCH(MASQ2!O281,Données_ATB!BD:BD,0),18)</f>
        <v/>
      </c>
      <c r="N281" s="14" t="str">
        <f>IFERROR(IF(Q281=0,"",COUNTIF(Q$4:Q$600,"&gt;"&amp;Q281)+COUNTIF(Q$4:Q281,Q281)),"")</f>
        <v/>
      </c>
      <c r="O281" t="str">
        <f>Données_ATB!BD280</f>
        <v>LINCO-SPECTIN 100, 222/444,7 MG/G POUDRE POUR ADMINISTRATION DANS L'EAU DE BOISSON POUR PORCINS ET POULETS</v>
      </c>
      <c r="P281" t="e">
        <f>IF(IF(X$2="Catégorie",IF(X$3="Toutes",SUMIFS('Étape 1 - à remplir'!$F$31:$F$400,'Étape 1 - à remplir'!$E$31:$E$400,MASQ2!O281,'Étape 1 - à remplir'!$G$31:$G$400,"animaux"),SUMIFS('Étape 1 - à remplir'!$F$31:$F$400,'Étape 1 - à remplir'!$E$31:$E$400,MASQ2!O281,'Étape 1 - à remplir'!$C$31:$C$400,X$3)),IF(X$2="Âge",IF(X$3="Tous",SUMIFS('Étape 1 - à remplir'!$F$31:$F$400,'Étape 1 - à remplir'!$E$31:$E$400,MASQ2!O281,'Étape 1 - à remplir'!$G$31:$G$400,"animaux"),SUMIFS('Étape 1 - à remplir'!$F$31:$F$400,'Étape 1 - à remplir'!$E$31:$E$400,MASQ2!O281,'Étape 1 - à remplir'!$P$31:$P$400,X$3)),IF(X$2="Atelier",IF(X$3="Tous",SUMIFS('Étape 1 - à remplir'!$F$31:$F$400,'Étape 1 - à remplir'!$E$31:$E$400,MASQ2!O281,'Étape 1 - à remplir'!$G$31:$G$400,"animaux"),SUMIFS('Étape 1 - à remplir'!$F$31:$F$400,'Étape 1 - à remplir'!$E$31:$E$400,MASQ2!O281,'Étape 1 - à remplir'!$O$31:$O$400,X$3)),IF(X$2="Espèce",IF(X$3="Toutes",SUMIFS('Étape 1 - à remplir'!$F$31:$F$400,'Étape 1 - à remplir'!$E$31:$E$400,MASQ2!O281,'Étape 1 - à remplir'!$G$31:$G$400,"animaux"),SUMIFS('Étape 1 - à remplir'!$F$31:$F$400,'Étape 1 - à remplir'!$E$31:$E$400,MASQ2!O281,'Étape 1 - à remplir'!$N$31:$N$400,X$3))))))=0,NA(),IF(X$2="Catégorie",IF(X$3="Toutes",SUMIFS('Étape 1 - à remplir'!$F$31:$F$400,'Étape 1 - à remplir'!$E$31:$E$400,MASQ2!O281,'Étape 1 - à remplir'!$G$31:$G$400,"animaux"),SUMIFS('Étape 1 - à remplir'!$F$31:$F$400,'Étape 1 - à remplir'!$E$31:$E$400,MASQ2!O281,'Étape 1 - à remplir'!$C$31:$C$400,X$3)),IF(X$2="Âge",IF(X$3="Tous",SUMIFS('Étape 1 - à remplir'!$F$31:$F$400,'Étape 1 - à remplir'!$E$31:$E$400,MASQ2!O281,'Étape 1 - à remplir'!$G$31:$G$400,"animaux"),SUMIFS('Étape 1 - à remplir'!$F$31:$F$400,'Étape 1 - à remplir'!$E$31:$E$400,MASQ2!O281,'Étape 1 - à remplir'!$P$31:$P$400,X$3)),IF(X$2="Atelier",IF(X$3="Tous",SUMIFS('Étape 1 - à remplir'!$F$31:$F$400,'Étape 1 - à remplir'!$E$31:$E$400,MASQ2!O281,'Étape 1 - à remplir'!$G$31:$G$400,"animaux"),SUMIFS('Étape 1 - à remplir'!$F$31:$F$400,'Étape 1 - à remplir'!$E$31:$E$400,MASQ2!O281,'Étape 1 - à remplir'!$O$31:$O$400,X$3)),IF(X$2="Espèce",IF(X$3="Toutes",SUMIFS('Étape 1 - à remplir'!$F$31:$F$400,'Étape 1 - à remplir'!$E$31:$E$400,MASQ2!O281,'Étape 1 - à remplir'!$G$31:$G$400,"animaux"),SUMIFS('Étape 1 - à remplir'!$F$31:$F$400,'Étape 1 - à remplir'!$E$31:$E$400,MASQ2!O281,'Étape 1 - à remplir'!$N$31:$N$400,X$3)))))))</f>
        <v>#N/A</v>
      </c>
      <c r="Q281" s="63">
        <f t="shared" si="235"/>
        <v>0</v>
      </c>
      <c r="R281" t="str">
        <f>Données_ATB!BM280</f>
        <v>Spectinomycine</v>
      </c>
      <c r="S281" t="str">
        <f>Données_ATB!BN280</f>
        <v>Lincomycine</v>
      </c>
      <c r="T281" s="63" t="str">
        <f>Données_ATB!BO280</f>
        <v/>
      </c>
      <c r="U281" s="42" t="str">
        <f>Données_ATB!BQ280</f>
        <v>Aminoglycosides</v>
      </c>
      <c r="V281" t="str">
        <f>Données_ATB!BR280</f>
        <v>Lincosamides</v>
      </c>
      <c r="W281" s="63" t="str">
        <f>Données_ATB!BS280</f>
        <v/>
      </c>
      <c r="Z281" s="42">
        <v>278</v>
      </c>
      <c r="AA281" t="e">
        <f t="shared" si="231"/>
        <v>#N/A</v>
      </c>
      <c r="AB281" s="63" t="e">
        <f t="shared" si="232"/>
        <v>#N/A</v>
      </c>
      <c r="BF281" s="63"/>
      <c r="BT281" s="194" t="str">
        <f t="shared" ca="1" si="215"/>
        <v/>
      </c>
      <c r="BU281" s="219" t="str">
        <f>IFERROR(IF(BX281=0,"",COUNTIF(BX$4:BX$600,"&gt;"&amp;BX281)+COUNTIF(BX$4:BX281,BX281)),"")</f>
        <v/>
      </c>
      <c r="BV281" s="42" t="str">
        <f t="shared" si="216"/>
        <v>LINCO-SPECTIN 100, 222/444,7 MG/G POUDRE POUR ADMINISTRATION DANS L'EAU DE BOISSON POUR PORCINS ET POULETS</v>
      </c>
      <c r="BW281" t="e">
        <f>IF(IF(CE$2="Catégorie",IF(CE$3="Toutes",SUMIFS('Étape 1 - à remplir'!$F$31:$F$400,'Étape 1 - à remplir'!$E$31:$E$400,MASQ2!BV281,'Étape 1 - à remplir'!$G$31:$G$400,"lots"),SUMIFS('Étape 1 - à remplir'!$F$31:$F$400,'Étape 1 - à remplir'!$E$31:$E$400,MASQ2!BV281,'Étape 1 - à remplir'!$C$31:$C$400,CE$3)),IF(CE$2="Âge",IF(CE$3="Tous",SUMIFS('Étape 1 - à remplir'!$F$31:$F$400,'Étape 1 - à remplir'!$E$31:$E$400,MASQ2!BV281,'Étape 1 - à remplir'!$G$31:$G$400,"lots"),SUMIFS('Étape 1 - à remplir'!$F$31:$F$400,'Étape 1 - à remplir'!$E$31:$E$400,MASQ2!BV281,'Étape 1 - à remplir'!$P$31:$P$400,CE$3,'Étape 1 - à remplir'!$G$31:$G$400,"lots")),IF(CE$2="Atelier",IF(CE$3="Tous",SUMIFS('Étape 1 - à remplir'!$F$31:$F$400,'Étape 1 - à remplir'!$E$31:$E$400,MASQ2!BV281,'Étape 1 - à remplir'!$G$31:$G$400,"lots"),SUMIFS('Étape 1 - à remplir'!$F$31:$F$400,'Étape 1 - à remplir'!$E$31:$E$400,MASQ2!BV281,'Étape 1 - à remplir'!$O$31:$O$400,CE$3,'Étape 1 - à remplir'!$G$31:$G$400,"lots")),IF(CE$2="Espèce",IF(CE$3="Toutes",SUMIFS('Étape 1 - à remplir'!$F$31:$F$400,'Étape 1 - à remplir'!$E$31:$E$400,MASQ2!BV281,'Étape 1 - à remplir'!$G$31:$G$400,"lots"),SUMIFS('Étape 1 - à remplir'!$F$31:$F$400,'Étape 1 - à remplir'!$E$31:$E$400,MASQ2!BV281,'Étape 1 - à remplir'!$N$31:$N$400,CE$3,'Étape 1 - à remplir'!$G$31:$G$400,"lots"))))))=0,NA(),IF(CE$2="Catégorie",IF(CE$3="Toutes",SUMIFS('Étape 1 - à remplir'!$F$31:$F$400,'Étape 1 - à remplir'!$E$31:$E$400,MASQ2!BV281,'Étape 1 - à remplir'!$G$31:$G$400,"lots"),SUMIFS('Étape 1 - à remplir'!$F$31:$F$400,'Étape 1 - à remplir'!$E$31:$E$400,MASQ2!BV281,'Étape 1 - à remplir'!$C$31:$C$400,CE$3)),IF(CE$2="Âge",IF(CE$3="Tous",SUMIFS('Étape 1 - à remplir'!$F$31:$F$400,'Étape 1 - à remplir'!$E$31:$E$400,MASQ2!BV281,'Étape 1 - à remplir'!$G$31:$G$400,"lots"),SUMIFS('Étape 1 - à remplir'!$F$31:$F$400,'Étape 1 - à remplir'!$E$31:$E$400,MASQ2!BV281,'Étape 1 - à remplir'!$P$31:$P$400,CE$3,'Étape 1 - à remplir'!$G$31:$G$400,"lots")),IF(CE$2="Atelier",IF(CE$3="Tous",SUMIFS('Étape 1 - à remplir'!$F$31:$F$400,'Étape 1 - à remplir'!$E$31:$E$400,MASQ2!BV281,'Étape 1 - à remplir'!$G$31:$G$400,"lots"),SUMIFS('Étape 1 - à remplir'!$F$31:$F$400,'Étape 1 - à remplir'!$E$31:$E$400,MASQ2!BV281,'Étape 1 - à remplir'!$O$31:$O$400,CE$3,'Étape 1 - à remplir'!$G$31:$G$400,"lots")),IF(CE$2="Espèce",IF(CE$3="Toutes",SUMIFS('Étape 1 - à remplir'!$F$31:$F$400,'Étape 1 - à remplir'!$E$31:$E$400,MASQ2!BV281,'Étape 1 - à remplir'!$G$31:$G$400,"lots"),SUMIFS('Étape 1 - à remplir'!$F$31:$F$400,'Étape 1 - à remplir'!$E$31:$E$400,MASQ2!BV281,'Étape 1 - à remplir'!$N$31:$N$400,CE$3,'Étape 1 - à remplir'!$G$31:$G$400,"lots")))))))</f>
        <v>#N/A</v>
      </c>
      <c r="BX281">
        <f t="shared" si="233"/>
        <v>0</v>
      </c>
      <c r="BY281" t="str">
        <f t="shared" si="217"/>
        <v>Spectinomycine</v>
      </c>
      <c r="BZ281" t="str">
        <f t="shared" si="218"/>
        <v>Lincomycine</v>
      </c>
      <c r="CA281" t="str">
        <f t="shared" si="219"/>
        <v/>
      </c>
      <c r="CB281" t="str">
        <f t="shared" si="220"/>
        <v>Aminoglycosides</v>
      </c>
      <c r="CC281" t="str">
        <f t="shared" si="221"/>
        <v>Lincosamides</v>
      </c>
      <c r="CD281" s="63" t="str">
        <f t="shared" si="222"/>
        <v/>
      </c>
      <c r="CG281" s="42">
        <v>278</v>
      </c>
      <c r="CH281" s="42" t="e">
        <f t="shared" si="238"/>
        <v>#N/A</v>
      </c>
      <c r="CI281" s="63" t="e">
        <f t="shared" si="239"/>
        <v>#N/A</v>
      </c>
      <c r="DM281" s="63"/>
      <c r="EA281" s="194" t="str">
        <f t="shared" ca="1" si="223"/>
        <v/>
      </c>
      <c r="EB281" s="226" t="str">
        <f>IFERROR(IF(ED281=0,"",COUNTIF(ED$4:ED$600,"&gt;"&amp;ED281)+COUNTIF(ED$4:ED281,ED281)),"")</f>
        <v/>
      </c>
      <c r="EC281" t="str">
        <f t="shared" si="224"/>
        <v>LINCO-SPECTIN 100, 222/444,7 MG/G POUDRE POUR ADMINISTRATION DANS L'EAU DE BOISSON POUR PORCINS ET POULETS</v>
      </c>
      <c r="ED281" t="e">
        <f>IF(IF(EL$2="Catégorie",IF(EL$3="Toutes",SUMIFS('Étape 1 - à remplir'!$F$31:$F$400,'Étape 1 - à remplir'!$E$31:$E$400,MASQ2!EC281,'Étape 1 - à remplir'!$G$31:$G$400,"kg"),SUMIFS('Étape 1 - à remplir'!$F$31:$F$400,'Étape 1 - à remplir'!$E$31:$E$400,MASQ2!EC281,'Étape 1 - à remplir'!$C$31:$C$400,EL$3)),IF(EL$2="Âge",IF(EL$3="Tous",SUMIFS('Étape 1 - à remplir'!$F$31:$F$400,'Étape 1 - à remplir'!$E$31:$E$400,MASQ2!EC281,'Étape 1 - à remplir'!$G$31:$G$400,"kg"),SUMIFS('Étape 1 - à remplir'!$F$31:$F$400,'Étape 1 - à remplir'!$E$31:$E$400,MASQ2!EC281,'Étape 1 - à remplir'!$P$31:$P$400,EL$3,'Étape 1 - à remplir'!$G$31:$G$400,"kg")),IF(EL$2="Atelier",IF(EL$3="Tous",SUMIFS('Étape 1 - à remplir'!$F$31:$F$400,'Étape 1 - à remplir'!$E$31:$E$400,MASQ2!EC281,'Étape 1 - à remplir'!$G$31:$G$400,"kg"),SUMIFS('Étape 1 - à remplir'!$F$31:$F$400,'Étape 1 - à remplir'!$E$31:$E$400,MASQ2!EC281,'Étape 1 - à remplir'!$O$31:$O$400,EL$3,'Étape 1 - à remplir'!$G$31:$G$400,"kg")),IF(EL$2="Espèce",IF(EL$3="Toutes",SUMIFS('Étape 1 - à remplir'!$F$31:$F$400,'Étape 1 - à remplir'!$E$31:$E$400,MASQ2!EC281,'Étape 1 - à remplir'!$G$31:$G$400,"kg"),SUMIFS('Étape 1 - à remplir'!$F$31:$F$400,'Étape 1 - à remplir'!$E$31:$E$400,MASQ2!EC281,'Étape 1 - à remplir'!$N$31:$N$400,EL$3,'Étape 1 - à remplir'!$G$31:$G$400,"kg"))))))=0,NA(),IF(EL$2="Catégorie",IF(EL$3="Toutes",SUMIFS('Étape 1 - à remplir'!$F$31:$F$400,'Étape 1 - à remplir'!$E$31:$E$400,MASQ2!EC281,'Étape 1 - à remplir'!$G$31:$G$400,"kg"),SUMIFS('Étape 1 - à remplir'!$F$31:$F$400,'Étape 1 - à remplir'!$E$31:$E$400,MASQ2!EC281,'Étape 1 - à remplir'!$C$31:$C$400,EL$3)),IF(EL$2="Âge",IF(EL$3="Tous",SUMIFS('Étape 1 - à remplir'!$F$31:$F$400,'Étape 1 - à remplir'!$E$31:$E$400,MASQ2!EC281,'Étape 1 - à remplir'!$G$31:$G$400,"kg"),SUMIFS('Étape 1 - à remplir'!$F$31:$F$400,'Étape 1 - à remplir'!$E$31:$E$400,MASQ2!EC281,'Étape 1 - à remplir'!$P$31:$P$400,EL$3,'Étape 1 - à remplir'!$G$31:$G$400,"kg")),IF(EL$2="Atelier",IF(EL$3="Tous",SUMIFS('Étape 1 - à remplir'!$F$31:$F$400,'Étape 1 - à remplir'!$E$31:$E$400,MASQ2!EC281,'Étape 1 - à remplir'!$G$31:$G$400,"kg"),SUMIFS('Étape 1 - à remplir'!$F$31:$F$400,'Étape 1 - à remplir'!$E$31:$E$400,MASQ2!EC281,'Étape 1 - à remplir'!$O$31:$O$400,EL$3,'Étape 1 - à remplir'!$G$31:$G$400,"kg")),IF(EL$2="Espèce",IF(EL$3="Toutes",SUMIFS('Étape 1 - à remplir'!$F$31:$F$400,'Étape 1 - à remplir'!$E$31:$E$400,MASQ2!EC281,'Étape 1 - à remplir'!$G$31:$G$400,"kg"),SUMIFS('Étape 1 - à remplir'!$F$31:$F$400,'Étape 1 - à remplir'!$E$31:$E$400,MASQ2!EC281,'Étape 1 - à remplir'!$N$31:$N$400,EL$3,'Étape 1 - à remplir'!$G$31:$G$400,"kg")))))))</f>
        <v>#N/A</v>
      </c>
      <c r="EE281" s="76">
        <f t="shared" si="234"/>
        <v>0</v>
      </c>
      <c r="EF281" t="str">
        <f t="shared" si="225"/>
        <v>Spectinomycine</v>
      </c>
      <c r="EG281" t="str">
        <f t="shared" si="226"/>
        <v>Lincomycine</v>
      </c>
      <c r="EH281" t="str">
        <f t="shared" si="227"/>
        <v/>
      </c>
      <c r="EI281" t="str">
        <f t="shared" si="228"/>
        <v>Aminoglycosides</v>
      </c>
      <c r="EJ281" t="str">
        <f t="shared" si="229"/>
        <v>Lincosamides</v>
      </c>
      <c r="EK281" s="63" t="str">
        <f t="shared" si="230"/>
        <v/>
      </c>
      <c r="EN281" s="42">
        <v>278</v>
      </c>
      <c r="EO281" t="e">
        <f t="shared" si="236"/>
        <v>#N/A</v>
      </c>
      <c r="EP281" s="63" t="e">
        <f t="shared" si="237"/>
        <v>#N/A</v>
      </c>
      <c r="FT281" s="63"/>
    </row>
    <row r="282" spans="2:176" x14ac:dyDescent="0.3">
      <c r="B282" s="42"/>
      <c r="M282" s="194" t="str">
        <f ca="1">INDEX(Données_ATB!BD:BU,MATCH(MASQ2!O282,Données_ATB!BD:BD,0),18)</f>
        <v/>
      </c>
      <c r="N282" s="14" t="str">
        <f>IFERROR(IF(Q282=0,"",COUNTIF(Q$4:Q$600,"&gt;"&amp;Q282)+COUNTIF(Q$4:Q282,Q282)),"")</f>
        <v/>
      </c>
      <c r="O282" t="str">
        <f>Données_ATB!BD281</f>
        <v>LINCO-SPECTIN INJECTABLE</v>
      </c>
      <c r="P282" t="e">
        <f>IF(IF(X$2="Catégorie",IF(X$3="Toutes",SUMIFS('Étape 1 - à remplir'!$F$31:$F$400,'Étape 1 - à remplir'!$E$31:$E$400,MASQ2!O282,'Étape 1 - à remplir'!$G$31:$G$400,"animaux"),SUMIFS('Étape 1 - à remplir'!$F$31:$F$400,'Étape 1 - à remplir'!$E$31:$E$400,MASQ2!O282,'Étape 1 - à remplir'!$C$31:$C$400,X$3)),IF(X$2="Âge",IF(X$3="Tous",SUMIFS('Étape 1 - à remplir'!$F$31:$F$400,'Étape 1 - à remplir'!$E$31:$E$400,MASQ2!O282,'Étape 1 - à remplir'!$G$31:$G$400,"animaux"),SUMIFS('Étape 1 - à remplir'!$F$31:$F$400,'Étape 1 - à remplir'!$E$31:$E$400,MASQ2!O282,'Étape 1 - à remplir'!$P$31:$P$400,X$3)),IF(X$2="Atelier",IF(X$3="Tous",SUMIFS('Étape 1 - à remplir'!$F$31:$F$400,'Étape 1 - à remplir'!$E$31:$E$400,MASQ2!O282,'Étape 1 - à remplir'!$G$31:$G$400,"animaux"),SUMIFS('Étape 1 - à remplir'!$F$31:$F$400,'Étape 1 - à remplir'!$E$31:$E$400,MASQ2!O282,'Étape 1 - à remplir'!$O$31:$O$400,X$3)),IF(X$2="Espèce",IF(X$3="Toutes",SUMIFS('Étape 1 - à remplir'!$F$31:$F$400,'Étape 1 - à remplir'!$E$31:$E$400,MASQ2!O282,'Étape 1 - à remplir'!$G$31:$G$400,"animaux"),SUMIFS('Étape 1 - à remplir'!$F$31:$F$400,'Étape 1 - à remplir'!$E$31:$E$400,MASQ2!O282,'Étape 1 - à remplir'!$N$31:$N$400,X$3))))))=0,NA(),IF(X$2="Catégorie",IF(X$3="Toutes",SUMIFS('Étape 1 - à remplir'!$F$31:$F$400,'Étape 1 - à remplir'!$E$31:$E$400,MASQ2!O282,'Étape 1 - à remplir'!$G$31:$G$400,"animaux"),SUMIFS('Étape 1 - à remplir'!$F$31:$F$400,'Étape 1 - à remplir'!$E$31:$E$400,MASQ2!O282,'Étape 1 - à remplir'!$C$31:$C$400,X$3)),IF(X$2="Âge",IF(X$3="Tous",SUMIFS('Étape 1 - à remplir'!$F$31:$F$400,'Étape 1 - à remplir'!$E$31:$E$400,MASQ2!O282,'Étape 1 - à remplir'!$G$31:$G$400,"animaux"),SUMIFS('Étape 1 - à remplir'!$F$31:$F$400,'Étape 1 - à remplir'!$E$31:$E$400,MASQ2!O282,'Étape 1 - à remplir'!$P$31:$P$400,X$3)),IF(X$2="Atelier",IF(X$3="Tous",SUMIFS('Étape 1 - à remplir'!$F$31:$F$400,'Étape 1 - à remplir'!$E$31:$E$400,MASQ2!O282,'Étape 1 - à remplir'!$G$31:$G$400,"animaux"),SUMIFS('Étape 1 - à remplir'!$F$31:$F$400,'Étape 1 - à remplir'!$E$31:$E$400,MASQ2!O282,'Étape 1 - à remplir'!$O$31:$O$400,X$3)),IF(X$2="Espèce",IF(X$3="Toutes",SUMIFS('Étape 1 - à remplir'!$F$31:$F$400,'Étape 1 - à remplir'!$E$31:$E$400,MASQ2!O282,'Étape 1 - à remplir'!$G$31:$G$400,"animaux"),SUMIFS('Étape 1 - à remplir'!$F$31:$F$400,'Étape 1 - à remplir'!$E$31:$E$400,MASQ2!O282,'Étape 1 - à remplir'!$N$31:$N$400,X$3)))))))</f>
        <v>#N/A</v>
      </c>
      <c r="Q282" s="63">
        <f t="shared" si="235"/>
        <v>0</v>
      </c>
      <c r="R282" t="str">
        <f>Données_ATB!BM281</f>
        <v>Spectinomycine</v>
      </c>
      <c r="S282" t="str">
        <f>Données_ATB!BN281</f>
        <v>Lincomycine</v>
      </c>
      <c r="T282" s="63" t="str">
        <f>Données_ATB!BO281</f>
        <v/>
      </c>
      <c r="U282" s="42" t="str">
        <f>Données_ATB!BQ281</f>
        <v>Aminoglycosides</v>
      </c>
      <c r="V282" t="str">
        <f>Données_ATB!BR281</f>
        <v>Lincosamides</v>
      </c>
      <c r="W282" s="63" t="str">
        <f>Données_ATB!BS281</f>
        <v/>
      </c>
      <c r="Z282" s="42">
        <v>279</v>
      </c>
      <c r="AA282" t="e">
        <f t="shared" si="231"/>
        <v>#N/A</v>
      </c>
      <c r="AB282" s="63" t="e">
        <f t="shared" si="232"/>
        <v>#N/A</v>
      </c>
      <c r="BF282" s="63"/>
      <c r="BT282" s="194" t="str">
        <f t="shared" ca="1" si="215"/>
        <v/>
      </c>
      <c r="BU282" s="219" t="str">
        <f>IFERROR(IF(BX282=0,"",COUNTIF(BX$4:BX$600,"&gt;"&amp;BX282)+COUNTIF(BX$4:BX282,BX282)),"")</f>
        <v/>
      </c>
      <c r="BV282" s="42" t="str">
        <f t="shared" si="216"/>
        <v>LINCO-SPECTIN INJECTABLE</v>
      </c>
      <c r="BW282" t="e">
        <f>IF(IF(CE$2="Catégorie",IF(CE$3="Toutes",SUMIFS('Étape 1 - à remplir'!$F$31:$F$400,'Étape 1 - à remplir'!$E$31:$E$400,MASQ2!BV282,'Étape 1 - à remplir'!$G$31:$G$400,"lots"),SUMIFS('Étape 1 - à remplir'!$F$31:$F$400,'Étape 1 - à remplir'!$E$31:$E$400,MASQ2!BV282,'Étape 1 - à remplir'!$C$31:$C$400,CE$3)),IF(CE$2="Âge",IF(CE$3="Tous",SUMIFS('Étape 1 - à remplir'!$F$31:$F$400,'Étape 1 - à remplir'!$E$31:$E$400,MASQ2!BV282,'Étape 1 - à remplir'!$G$31:$G$400,"lots"),SUMIFS('Étape 1 - à remplir'!$F$31:$F$400,'Étape 1 - à remplir'!$E$31:$E$400,MASQ2!BV282,'Étape 1 - à remplir'!$P$31:$P$400,CE$3,'Étape 1 - à remplir'!$G$31:$G$400,"lots")),IF(CE$2="Atelier",IF(CE$3="Tous",SUMIFS('Étape 1 - à remplir'!$F$31:$F$400,'Étape 1 - à remplir'!$E$31:$E$400,MASQ2!BV282,'Étape 1 - à remplir'!$G$31:$G$400,"lots"),SUMIFS('Étape 1 - à remplir'!$F$31:$F$400,'Étape 1 - à remplir'!$E$31:$E$400,MASQ2!BV282,'Étape 1 - à remplir'!$O$31:$O$400,CE$3,'Étape 1 - à remplir'!$G$31:$G$400,"lots")),IF(CE$2="Espèce",IF(CE$3="Toutes",SUMIFS('Étape 1 - à remplir'!$F$31:$F$400,'Étape 1 - à remplir'!$E$31:$E$400,MASQ2!BV282,'Étape 1 - à remplir'!$G$31:$G$400,"lots"),SUMIFS('Étape 1 - à remplir'!$F$31:$F$400,'Étape 1 - à remplir'!$E$31:$E$400,MASQ2!BV282,'Étape 1 - à remplir'!$N$31:$N$400,CE$3,'Étape 1 - à remplir'!$G$31:$G$400,"lots"))))))=0,NA(),IF(CE$2="Catégorie",IF(CE$3="Toutes",SUMIFS('Étape 1 - à remplir'!$F$31:$F$400,'Étape 1 - à remplir'!$E$31:$E$400,MASQ2!BV282,'Étape 1 - à remplir'!$G$31:$G$400,"lots"),SUMIFS('Étape 1 - à remplir'!$F$31:$F$400,'Étape 1 - à remplir'!$E$31:$E$400,MASQ2!BV282,'Étape 1 - à remplir'!$C$31:$C$400,CE$3)),IF(CE$2="Âge",IF(CE$3="Tous",SUMIFS('Étape 1 - à remplir'!$F$31:$F$400,'Étape 1 - à remplir'!$E$31:$E$400,MASQ2!BV282,'Étape 1 - à remplir'!$G$31:$G$400,"lots"),SUMIFS('Étape 1 - à remplir'!$F$31:$F$400,'Étape 1 - à remplir'!$E$31:$E$400,MASQ2!BV282,'Étape 1 - à remplir'!$P$31:$P$400,CE$3,'Étape 1 - à remplir'!$G$31:$G$400,"lots")),IF(CE$2="Atelier",IF(CE$3="Tous",SUMIFS('Étape 1 - à remplir'!$F$31:$F$400,'Étape 1 - à remplir'!$E$31:$E$400,MASQ2!BV282,'Étape 1 - à remplir'!$G$31:$G$400,"lots"),SUMIFS('Étape 1 - à remplir'!$F$31:$F$400,'Étape 1 - à remplir'!$E$31:$E$400,MASQ2!BV282,'Étape 1 - à remplir'!$O$31:$O$400,CE$3,'Étape 1 - à remplir'!$G$31:$G$400,"lots")),IF(CE$2="Espèce",IF(CE$3="Toutes",SUMIFS('Étape 1 - à remplir'!$F$31:$F$400,'Étape 1 - à remplir'!$E$31:$E$400,MASQ2!BV282,'Étape 1 - à remplir'!$G$31:$G$400,"lots"),SUMIFS('Étape 1 - à remplir'!$F$31:$F$400,'Étape 1 - à remplir'!$E$31:$E$400,MASQ2!BV282,'Étape 1 - à remplir'!$N$31:$N$400,CE$3,'Étape 1 - à remplir'!$G$31:$G$400,"lots")))))))</f>
        <v>#N/A</v>
      </c>
      <c r="BX282">
        <f t="shared" si="233"/>
        <v>0</v>
      </c>
      <c r="BY282" t="str">
        <f t="shared" si="217"/>
        <v>Spectinomycine</v>
      </c>
      <c r="BZ282" t="str">
        <f t="shared" si="218"/>
        <v>Lincomycine</v>
      </c>
      <c r="CA282" t="str">
        <f t="shared" si="219"/>
        <v/>
      </c>
      <c r="CB282" t="str">
        <f t="shared" si="220"/>
        <v>Aminoglycosides</v>
      </c>
      <c r="CC282" t="str">
        <f t="shared" si="221"/>
        <v>Lincosamides</v>
      </c>
      <c r="CD282" s="63" t="str">
        <f t="shared" si="222"/>
        <v/>
      </c>
      <c r="CG282" s="42">
        <v>279</v>
      </c>
      <c r="CH282" s="42" t="e">
        <f t="shared" si="238"/>
        <v>#N/A</v>
      </c>
      <c r="CI282" s="63" t="e">
        <f t="shared" si="239"/>
        <v>#N/A</v>
      </c>
      <c r="DM282" s="63"/>
      <c r="EA282" s="194" t="str">
        <f t="shared" ca="1" si="223"/>
        <v/>
      </c>
      <c r="EB282" s="226" t="str">
        <f>IFERROR(IF(ED282=0,"",COUNTIF(ED$4:ED$600,"&gt;"&amp;ED282)+COUNTIF(ED$4:ED282,ED282)),"")</f>
        <v/>
      </c>
      <c r="EC282" t="str">
        <f t="shared" si="224"/>
        <v>LINCO-SPECTIN INJECTABLE</v>
      </c>
      <c r="ED282" t="e">
        <f>IF(IF(EL$2="Catégorie",IF(EL$3="Toutes",SUMIFS('Étape 1 - à remplir'!$F$31:$F$400,'Étape 1 - à remplir'!$E$31:$E$400,MASQ2!EC282,'Étape 1 - à remplir'!$G$31:$G$400,"kg"),SUMIFS('Étape 1 - à remplir'!$F$31:$F$400,'Étape 1 - à remplir'!$E$31:$E$400,MASQ2!EC282,'Étape 1 - à remplir'!$C$31:$C$400,EL$3)),IF(EL$2="Âge",IF(EL$3="Tous",SUMIFS('Étape 1 - à remplir'!$F$31:$F$400,'Étape 1 - à remplir'!$E$31:$E$400,MASQ2!EC282,'Étape 1 - à remplir'!$G$31:$G$400,"kg"),SUMIFS('Étape 1 - à remplir'!$F$31:$F$400,'Étape 1 - à remplir'!$E$31:$E$400,MASQ2!EC282,'Étape 1 - à remplir'!$P$31:$P$400,EL$3,'Étape 1 - à remplir'!$G$31:$G$400,"kg")),IF(EL$2="Atelier",IF(EL$3="Tous",SUMIFS('Étape 1 - à remplir'!$F$31:$F$400,'Étape 1 - à remplir'!$E$31:$E$400,MASQ2!EC282,'Étape 1 - à remplir'!$G$31:$G$400,"kg"),SUMIFS('Étape 1 - à remplir'!$F$31:$F$400,'Étape 1 - à remplir'!$E$31:$E$400,MASQ2!EC282,'Étape 1 - à remplir'!$O$31:$O$400,EL$3,'Étape 1 - à remplir'!$G$31:$G$400,"kg")),IF(EL$2="Espèce",IF(EL$3="Toutes",SUMIFS('Étape 1 - à remplir'!$F$31:$F$400,'Étape 1 - à remplir'!$E$31:$E$400,MASQ2!EC282,'Étape 1 - à remplir'!$G$31:$G$400,"kg"),SUMIFS('Étape 1 - à remplir'!$F$31:$F$400,'Étape 1 - à remplir'!$E$31:$E$400,MASQ2!EC282,'Étape 1 - à remplir'!$N$31:$N$400,EL$3,'Étape 1 - à remplir'!$G$31:$G$400,"kg"))))))=0,NA(),IF(EL$2="Catégorie",IF(EL$3="Toutes",SUMIFS('Étape 1 - à remplir'!$F$31:$F$400,'Étape 1 - à remplir'!$E$31:$E$400,MASQ2!EC282,'Étape 1 - à remplir'!$G$31:$G$400,"kg"),SUMIFS('Étape 1 - à remplir'!$F$31:$F$400,'Étape 1 - à remplir'!$E$31:$E$400,MASQ2!EC282,'Étape 1 - à remplir'!$C$31:$C$400,EL$3)),IF(EL$2="Âge",IF(EL$3="Tous",SUMIFS('Étape 1 - à remplir'!$F$31:$F$400,'Étape 1 - à remplir'!$E$31:$E$400,MASQ2!EC282,'Étape 1 - à remplir'!$G$31:$G$400,"kg"),SUMIFS('Étape 1 - à remplir'!$F$31:$F$400,'Étape 1 - à remplir'!$E$31:$E$400,MASQ2!EC282,'Étape 1 - à remplir'!$P$31:$P$400,EL$3,'Étape 1 - à remplir'!$G$31:$G$400,"kg")),IF(EL$2="Atelier",IF(EL$3="Tous",SUMIFS('Étape 1 - à remplir'!$F$31:$F$400,'Étape 1 - à remplir'!$E$31:$E$400,MASQ2!EC282,'Étape 1 - à remplir'!$G$31:$G$400,"kg"),SUMIFS('Étape 1 - à remplir'!$F$31:$F$400,'Étape 1 - à remplir'!$E$31:$E$400,MASQ2!EC282,'Étape 1 - à remplir'!$O$31:$O$400,EL$3,'Étape 1 - à remplir'!$G$31:$G$400,"kg")),IF(EL$2="Espèce",IF(EL$3="Toutes",SUMIFS('Étape 1 - à remplir'!$F$31:$F$400,'Étape 1 - à remplir'!$E$31:$E$400,MASQ2!EC282,'Étape 1 - à remplir'!$G$31:$G$400,"kg"),SUMIFS('Étape 1 - à remplir'!$F$31:$F$400,'Étape 1 - à remplir'!$E$31:$E$400,MASQ2!EC282,'Étape 1 - à remplir'!$N$31:$N$400,EL$3,'Étape 1 - à remplir'!$G$31:$G$400,"kg")))))))</f>
        <v>#N/A</v>
      </c>
      <c r="EE282" s="76">
        <f t="shared" si="234"/>
        <v>0</v>
      </c>
      <c r="EF282" t="str">
        <f t="shared" si="225"/>
        <v>Spectinomycine</v>
      </c>
      <c r="EG282" t="str">
        <f t="shared" si="226"/>
        <v>Lincomycine</v>
      </c>
      <c r="EH282" t="str">
        <f t="shared" si="227"/>
        <v/>
      </c>
      <c r="EI282" t="str">
        <f t="shared" si="228"/>
        <v>Aminoglycosides</v>
      </c>
      <c r="EJ282" t="str">
        <f t="shared" si="229"/>
        <v>Lincosamides</v>
      </c>
      <c r="EK282" s="63" t="str">
        <f t="shared" si="230"/>
        <v/>
      </c>
      <c r="EN282" s="42">
        <v>279</v>
      </c>
      <c r="EO282" t="e">
        <f t="shared" si="236"/>
        <v>#N/A</v>
      </c>
      <c r="EP282" s="63" t="e">
        <f t="shared" si="237"/>
        <v>#N/A</v>
      </c>
      <c r="FT282" s="63"/>
    </row>
    <row r="283" spans="2:176" x14ac:dyDescent="0.3">
      <c r="B283" s="42"/>
      <c r="M283" s="194" t="str">
        <f ca="1">INDEX(Données_ATB!BD:BU,MATCH(MASQ2!O283,Données_ATB!BD:BD,0),18)</f>
        <v/>
      </c>
      <c r="N283" s="14" t="str">
        <f>IFERROR(IF(Q283=0,"",COUNTIF(Q$4:Q$600,"&gt;"&amp;Q283)+COUNTIF(Q$4:Q283,Q283)),"")</f>
        <v/>
      </c>
      <c r="O283" t="str">
        <f>Données_ATB!BD282</f>
        <v>LINSPEC 50/100 MG/ML SOLUTION INJECTABLE POUR CHIENS CHATS PORCINS ET VEAUX PRE-RUMINANTS</v>
      </c>
      <c r="P283" t="e">
        <f>IF(IF(X$2="Catégorie",IF(X$3="Toutes",SUMIFS('Étape 1 - à remplir'!$F$31:$F$400,'Étape 1 - à remplir'!$E$31:$E$400,MASQ2!O283,'Étape 1 - à remplir'!$G$31:$G$400,"animaux"),SUMIFS('Étape 1 - à remplir'!$F$31:$F$400,'Étape 1 - à remplir'!$E$31:$E$400,MASQ2!O283,'Étape 1 - à remplir'!$C$31:$C$400,X$3)),IF(X$2="Âge",IF(X$3="Tous",SUMIFS('Étape 1 - à remplir'!$F$31:$F$400,'Étape 1 - à remplir'!$E$31:$E$400,MASQ2!O283,'Étape 1 - à remplir'!$G$31:$G$400,"animaux"),SUMIFS('Étape 1 - à remplir'!$F$31:$F$400,'Étape 1 - à remplir'!$E$31:$E$400,MASQ2!O283,'Étape 1 - à remplir'!$P$31:$P$400,X$3)),IF(X$2="Atelier",IF(X$3="Tous",SUMIFS('Étape 1 - à remplir'!$F$31:$F$400,'Étape 1 - à remplir'!$E$31:$E$400,MASQ2!O283,'Étape 1 - à remplir'!$G$31:$G$400,"animaux"),SUMIFS('Étape 1 - à remplir'!$F$31:$F$400,'Étape 1 - à remplir'!$E$31:$E$400,MASQ2!O283,'Étape 1 - à remplir'!$O$31:$O$400,X$3)),IF(X$2="Espèce",IF(X$3="Toutes",SUMIFS('Étape 1 - à remplir'!$F$31:$F$400,'Étape 1 - à remplir'!$E$31:$E$400,MASQ2!O283,'Étape 1 - à remplir'!$G$31:$G$400,"animaux"),SUMIFS('Étape 1 - à remplir'!$F$31:$F$400,'Étape 1 - à remplir'!$E$31:$E$400,MASQ2!O283,'Étape 1 - à remplir'!$N$31:$N$400,X$3))))))=0,NA(),IF(X$2="Catégorie",IF(X$3="Toutes",SUMIFS('Étape 1 - à remplir'!$F$31:$F$400,'Étape 1 - à remplir'!$E$31:$E$400,MASQ2!O283,'Étape 1 - à remplir'!$G$31:$G$400,"animaux"),SUMIFS('Étape 1 - à remplir'!$F$31:$F$400,'Étape 1 - à remplir'!$E$31:$E$400,MASQ2!O283,'Étape 1 - à remplir'!$C$31:$C$400,X$3)),IF(X$2="Âge",IF(X$3="Tous",SUMIFS('Étape 1 - à remplir'!$F$31:$F$400,'Étape 1 - à remplir'!$E$31:$E$400,MASQ2!O283,'Étape 1 - à remplir'!$G$31:$G$400,"animaux"),SUMIFS('Étape 1 - à remplir'!$F$31:$F$400,'Étape 1 - à remplir'!$E$31:$E$400,MASQ2!O283,'Étape 1 - à remplir'!$P$31:$P$400,X$3)),IF(X$2="Atelier",IF(X$3="Tous",SUMIFS('Étape 1 - à remplir'!$F$31:$F$400,'Étape 1 - à remplir'!$E$31:$E$400,MASQ2!O283,'Étape 1 - à remplir'!$G$31:$G$400,"animaux"),SUMIFS('Étape 1 - à remplir'!$F$31:$F$400,'Étape 1 - à remplir'!$E$31:$E$400,MASQ2!O283,'Étape 1 - à remplir'!$O$31:$O$400,X$3)),IF(X$2="Espèce",IF(X$3="Toutes",SUMIFS('Étape 1 - à remplir'!$F$31:$F$400,'Étape 1 - à remplir'!$E$31:$E$400,MASQ2!O283,'Étape 1 - à remplir'!$G$31:$G$400,"animaux"),SUMIFS('Étape 1 - à remplir'!$F$31:$F$400,'Étape 1 - à remplir'!$E$31:$E$400,MASQ2!O283,'Étape 1 - à remplir'!$N$31:$N$400,X$3)))))))</f>
        <v>#N/A</v>
      </c>
      <c r="Q283" s="63">
        <f t="shared" si="235"/>
        <v>0</v>
      </c>
      <c r="R283" t="str">
        <f>Données_ATB!BM282</f>
        <v>Spectinomycine</v>
      </c>
      <c r="S283" t="str">
        <f>Données_ATB!BN282</f>
        <v>Lincomycine</v>
      </c>
      <c r="T283" s="63" t="str">
        <f>Données_ATB!BO282</f>
        <v/>
      </c>
      <c r="U283" s="42" t="str">
        <f>Données_ATB!BQ282</f>
        <v>Aminoglycosides</v>
      </c>
      <c r="V283" t="str">
        <f>Données_ATB!BR282</f>
        <v>Lincosamides</v>
      </c>
      <c r="W283" s="63" t="str">
        <f>Données_ATB!BS282</f>
        <v/>
      </c>
      <c r="Z283" s="42">
        <v>280</v>
      </c>
      <c r="AA283" t="e">
        <f t="shared" si="231"/>
        <v>#N/A</v>
      </c>
      <c r="AB283" s="63" t="e">
        <f t="shared" si="232"/>
        <v>#N/A</v>
      </c>
      <c r="BF283" s="63"/>
      <c r="BT283" s="194" t="str">
        <f t="shared" ca="1" si="215"/>
        <v/>
      </c>
      <c r="BU283" s="219" t="str">
        <f>IFERROR(IF(BX283=0,"",COUNTIF(BX$4:BX$600,"&gt;"&amp;BX283)+COUNTIF(BX$4:BX283,BX283)),"")</f>
        <v/>
      </c>
      <c r="BV283" s="42" t="str">
        <f t="shared" si="216"/>
        <v>LINSPEC 50/100 MG/ML SOLUTION INJECTABLE POUR CHIENS CHATS PORCINS ET VEAUX PRE-RUMINANTS</v>
      </c>
      <c r="BW283" t="e">
        <f>IF(IF(CE$2="Catégorie",IF(CE$3="Toutes",SUMIFS('Étape 1 - à remplir'!$F$31:$F$400,'Étape 1 - à remplir'!$E$31:$E$400,MASQ2!BV283,'Étape 1 - à remplir'!$G$31:$G$400,"lots"),SUMIFS('Étape 1 - à remplir'!$F$31:$F$400,'Étape 1 - à remplir'!$E$31:$E$400,MASQ2!BV283,'Étape 1 - à remplir'!$C$31:$C$400,CE$3)),IF(CE$2="Âge",IF(CE$3="Tous",SUMIFS('Étape 1 - à remplir'!$F$31:$F$400,'Étape 1 - à remplir'!$E$31:$E$400,MASQ2!BV283,'Étape 1 - à remplir'!$G$31:$G$400,"lots"),SUMIFS('Étape 1 - à remplir'!$F$31:$F$400,'Étape 1 - à remplir'!$E$31:$E$400,MASQ2!BV283,'Étape 1 - à remplir'!$P$31:$P$400,CE$3,'Étape 1 - à remplir'!$G$31:$G$400,"lots")),IF(CE$2="Atelier",IF(CE$3="Tous",SUMIFS('Étape 1 - à remplir'!$F$31:$F$400,'Étape 1 - à remplir'!$E$31:$E$400,MASQ2!BV283,'Étape 1 - à remplir'!$G$31:$G$400,"lots"),SUMIFS('Étape 1 - à remplir'!$F$31:$F$400,'Étape 1 - à remplir'!$E$31:$E$400,MASQ2!BV283,'Étape 1 - à remplir'!$O$31:$O$400,CE$3,'Étape 1 - à remplir'!$G$31:$G$400,"lots")),IF(CE$2="Espèce",IF(CE$3="Toutes",SUMIFS('Étape 1 - à remplir'!$F$31:$F$400,'Étape 1 - à remplir'!$E$31:$E$400,MASQ2!BV283,'Étape 1 - à remplir'!$G$31:$G$400,"lots"),SUMIFS('Étape 1 - à remplir'!$F$31:$F$400,'Étape 1 - à remplir'!$E$31:$E$400,MASQ2!BV283,'Étape 1 - à remplir'!$N$31:$N$400,CE$3,'Étape 1 - à remplir'!$G$31:$G$400,"lots"))))))=0,NA(),IF(CE$2="Catégorie",IF(CE$3="Toutes",SUMIFS('Étape 1 - à remplir'!$F$31:$F$400,'Étape 1 - à remplir'!$E$31:$E$400,MASQ2!BV283,'Étape 1 - à remplir'!$G$31:$G$400,"lots"),SUMIFS('Étape 1 - à remplir'!$F$31:$F$400,'Étape 1 - à remplir'!$E$31:$E$400,MASQ2!BV283,'Étape 1 - à remplir'!$C$31:$C$400,CE$3)),IF(CE$2="Âge",IF(CE$3="Tous",SUMIFS('Étape 1 - à remplir'!$F$31:$F$400,'Étape 1 - à remplir'!$E$31:$E$400,MASQ2!BV283,'Étape 1 - à remplir'!$G$31:$G$400,"lots"),SUMIFS('Étape 1 - à remplir'!$F$31:$F$400,'Étape 1 - à remplir'!$E$31:$E$400,MASQ2!BV283,'Étape 1 - à remplir'!$P$31:$P$400,CE$3,'Étape 1 - à remplir'!$G$31:$G$400,"lots")),IF(CE$2="Atelier",IF(CE$3="Tous",SUMIFS('Étape 1 - à remplir'!$F$31:$F$400,'Étape 1 - à remplir'!$E$31:$E$400,MASQ2!BV283,'Étape 1 - à remplir'!$G$31:$G$400,"lots"),SUMIFS('Étape 1 - à remplir'!$F$31:$F$400,'Étape 1 - à remplir'!$E$31:$E$400,MASQ2!BV283,'Étape 1 - à remplir'!$O$31:$O$400,CE$3,'Étape 1 - à remplir'!$G$31:$G$400,"lots")),IF(CE$2="Espèce",IF(CE$3="Toutes",SUMIFS('Étape 1 - à remplir'!$F$31:$F$400,'Étape 1 - à remplir'!$E$31:$E$400,MASQ2!BV283,'Étape 1 - à remplir'!$G$31:$G$400,"lots"),SUMIFS('Étape 1 - à remplir'!$F$31:$F$400,'Étape 1 - à remplir'!$E$31:$E$400,MASQ2!BV283,'Étape 1 - à remplir'!$N$31:$N$400,CE$3,'Étape 1 - à remplir'!$G$31:$G$400,"lots")))))))</f>
        <v>#N/A</v>
      </c>
      <c r="BX283">
        <f t="shared" si="233"/>
        <v>0</v>
      </c>
      <c r="BY283" t="str">
        <f t="shared" si="217"/>
        <v>Spectinomycine</v>
      </c>
      <c r="BZ283" t="str">
        <f t="shared" si="218"/>
        <v>Lincomycine</v>
      </c>
      <c r="CA283" t="str">
        <f t="shared" si="219"/>
        <v/>
      </c>
      <c r="CB283" t="str">
        <f t="shared" si="220"/>
        <v>Aminoglycosides</v>
      </c>
      <c r="CC283" t="str">
        <f t="shared" si="221"/>
        <v>Lincosamides</v>
      </c>
      <c r="CD283" s="63" t="str">
        <f t="shared" si="222"/>
        <v/>
      </c>
      <c r="CG283" s="42">
        <v>280</v>
      </c>
      <c r="CH283" s="42" t="e">
        <f t="shared" si="238"/>
        <v>#N/A</v>
      </c>
      <c r="CI283" s="63" t="e">
        <f t="shared" si="239"/>
        <v>#N/A</v>
      </c>
      <c r="DM283" s="63"/>
      <c r="EA283" s="194" t="str">
        <f t="shared" ca="1" si="223"/>
        <v/>
      </c>
      <c r="EB283" s="226" t="str">
        <f>IFERROR(IF(ED283=0,"",COUNTIF(ED$4:ED$600,"&gt;"&amp;ED283)+COUNTIF(ED$4:ED283,ED283)),"")</f>
        <v/>
      </c>
      <c r="EC283" t="str">
        <f t="shared" si="224"/>
        <v>LINSPEC 50/100 MG/ML SOLUTION INJECTABLE POUR CHIENS CHATS PORCINS ET VEAUX PRE-RUMINANTS</v>
      </c>
      <c r="ED283" t="e">
        <f>IF(IF(EL$2="Catégorie",IF(EL$3="Toutes",SUMIFS('Étape 1 - à remplir'!$F$31:$F$400,'Étape 1 - à remplir'!$E$31:$E$400,MASQ2!EC283,'Étape 1 - à remplir'!$G$31:$G$400,"kg"),SUMIFS('Étape 1 - à remplir'!$F$31:$F$400,'Étape 1 - à remplir'!$E$31:$E$400,MASQ2!EC283,'Étape 1 - à remplir'!$C$31:$C$400,EL$3)),IF(EL$2="Âge",IF(EL$3="Tous",SUMIFS('Étape 1 - à remplir'!$F$31:$F$400,'Étape 1 - à remplir'!$E$31:$E$400,MASQ2!EC283,'Étape 1 - à remplir'!$G$31:$G$400,"kg"),SUMIFS('Étape 1 - à remplir'!$F$31:$F$400,'Étape 1 - à remplir'!$E$31:$E$400,MASQ2!EC283,'Étape 1 - à remplir'!$P$31:$P$400,EL$3,'Étape 1 - à remplir'!$G$31:$G$400,"kg")),IF(EL$2="Atelier",IF(EL$3="Tous",SUMIFS('Étape 1 - à remplir'!$F$31:$F$400,'Étape 1 - à remplir'!$E$31:$E$400,MASQ2!EC283,'Étape 1 - à remplir'!$G$31:$G$400,"kg"),SUMIFS('Étape 1 - à remplir'!$F$31:$F$400,'Étape 1 - à remplir'!$E$31:$E$400,MASQ2!EC283,'Étape 1 - à remplir'!$O$31:$O$400,EL$3,'Étape 1 - à remplir'!$G$31:$G$400,"kg")),IF(EL$2="Espèce",IF(EL$3="Toutes",SUMIFS('Étape 1 - à remplir'!$F$31:$F$400,'Étape 1 - à remplir'!$E$31:$E$400,MASQ2!EC283,'Étape 1 - à remplir'!$G$31:$G$400,"kg"),SUMIFS('Étape 1 - à remplir'!$F$31:$F$400,'Étape 1 - à remplir'!$E$31:$E$400,MASQ2!EC283,'Étape 1 - à remplir'!$N$31:$N$400,EL$3,'Étape 1 - à remplir'!$G$31:$G$400,"kg"))))))=0,NA(),IF(EL$2="Catégorie",IF(EL$3="Toutes",SUMIFS('Étape 1 - à remplir'!$F$31:$F$400,'Étape 1 - à remplir'!$E$31:$E$400,MASQ2!EC283,'Étape 1 - à remplir'!$G$31:$G$400,"kg"),SUMIFS('Étape 1 - à remplir'!$F$31:$F$400,'Étape 1 - à remplir'!$E$31:$E$400,MASQ2!EC283,'Étape 1 - à remplir'!$C$31:$C$400,EL$3)),IF(EL$2="Âge",IF(EL$3="Tous",SUMIFS('Étape 1 - à remplir'!$F$31:$F$400,'Étape 1 - à remplir'!$E$31:$E$400,MASQ2!EC283,'Étape 1 - à remplir'!$G$31:$G$400,"kg"),SUMIFS('Étape 1 - à remplir'!$F$31:$F$400,'Étape 1 - à remplir'!$E$31:$E$400,MASQ2!EC283,'Étape 1 - à remplir'!$P$31:$P$400,EL$3,'Étape 1 - à remplir'!$G$31:$G$400,"kg")),IF(EL$2="Atelier",IF(EL$3="Tous",SUMIFS('Étape 1 - à remplir'!$F$31:$F$400,'Étape 1 - à remplir'!$E$31:$E$400,MASQ2!EC283,'Étape 1 - à remplir'!$G$31:$G$400,"kg"),SUMIFS('Étape 1 - à remplir'!$F$31:$F$400,'Étape 1 - à remplir'!$E$31:$E$400,MASQ2!EC283,'Étape 1 - à remplir'!$O$31:$O$400,EL$3,'Étape 1 - à remplir'!$G$31:$G$400,"kg")),IF(EL$2="Espèce",IF(EL$3="Toutes",SUMIFS('Étape 1 - à remplir'!$F$31:$F$400,'Étape 1 - à remplir'!$E$31:$E$400,MASQ2!EC283,'Étape 1 - à remplir'!$G$31:$G$400,"kg"),SUMIFS('Étape 1 - à remplir'!$F$31:$F$400,'Étape 1 - à remplir'!$E$31:$E$400,MASQ2!EC283,'Étape 1 - à remplir'!$N$31:$N$400,EL$3,'Étape 1 - à remplir'!$G$31:$G$400,"kg")))))))</f>
        <v>#N/A</v>
      </c>
      <c r="EE283" s="76">
        <f t="shared" si="234"/>
        <v>0</v>
      </c>
      <c r="EF283" t="str">
        <f t="shared" si="225"/>
        <v>Spectinomycine</v>
      </c>
      <c r="EG283" t="str">
        <f t="shared" si="226"/>
        <v>Lincomycine</v>
      </c>
      <c r="EH283" t="str">
        <f t="shared" si="227"/>
        <v/>
      </c>
      <c r="EI283" t="str">
        <f t="shared" si="228"/>
        <v>Aminoglycosides</v>
      </c>
      <c r="EJ283" t="str">
        <f t="shared" si="229"/>
        <v>Lincosamides</v>
      </c>
      <c r="EK283" s="63" t="str">
        <f t="shared" si="230"/>
        <v/>
      </c>
      <c r="EN283" s="42">
        <v>280</v>
      </c>
      <c r="EO283" t="e">
        <f t="shared" si="236"/>
        <v>#N/A</v>
      </c>
      <c r="EP283" s="63" t="e">
        <f t="shared" si="237"/>
        <v>#N/A</v>
      </c>
      <c r="FT283" s="63"/>
    </row>
    <row r="284" spans="2:176" x14ac:dyDescent="0.3">
      <c r="B284" s="42"/>
      <c r="M284" s="194" t="str">
        <f ca="1">INDEX(Données_ATB!BD:BU,MATCH(MASQ2!O284,Données_ATB!BD:BD,0),18)</f>
        <v/>
      </c>
      <c r="N284" s="14" t="str">
        <f>IFERROR(IF(Q284=0,"",COUNTIF(Q$4:Q$600,"&gt;"&amp;Q284)+COUNTIF(Q$4:Q284,Q284)),"")</f>
        <v/>
      </c>
      <c r="O284" t="str">
        <f>Données_ATB!BD283</f>
        <v>LOHMASTITE 214,5 MG/ML POUDRE ET SOLVANT POUR SUSPENSION INJECTABLE POUR BOVINS</v>
      </c>
      <c r="P284" t="e">
        <f>IF(IF(X$2="Catégorie",IF(X$3="Toutes",SUMIFS('Étape 1 - à remplir'!$F$31:$F$400,'Étape 1 - à remplir'!$E$31:$E$400,MASQ2!O284,'Étape 1 - à remplir'!$G$31:$G$400,"animaux"),SUMIFS('Étape 1 - à remplir'!$F$31:$F$400,'Étape 1 - à remplir'!$E$31:$E$400,MASQ2!O284,'Étape 1 - à remplir'!$C$31:$C$400,X$3)),IF(X$2="Âge",IF(X$3="Tous",SUMIFS('Étape 1 - à remplir'!$F$31:$F$400,'Étape 1 - à remplir'!$E$31:$E$400,MASQ2!O284,'Étape 1 - à remplir'!$G$31:$G$400,"animaux"),SUMIFS('Étape 1 - à remplir'!$F$31:$F$400,'Étape 1 - à remplir'!$E$31:$E$400,MASQ2!O284,'Étape 1 - à remplir'!$P$31:$P$400,X$3)),IF(X$2="Atelier",IF(X$3="Tous",SUMIFS('Étape 1 - à remplir'!$F$31:$F$400,'Étape 1 - à remplir'!$E$31:$E$400,MASQ2!O284,'Étape 1 - à remplir'!$G$31:$G$400,"animaux"),SUMIFS('Étape 1 - à remplir'!$F$31:$F$400,'Étape 1 - à remplir'!$E$31:$E$400,MASQ2!O284,'Étape 1 - à remplir'!$O$31:$O$400,X$3)),IF(X$2="Espèce",IF(X$3="Toutes",SUMIFS('Étape 1 - à remplir'!$F$31:$F$400,'Étape 1 - à remplir'!$E$31:$E$400,MASQ2!O284,'Étape 1 - à remplir'!$G$31:$G$400,"animaux"),SUMIFS('Étape 1 - à remplir'!$F$31:$F$400,'Étape 1 - à remplir'!$E$31:$E$400,MASQ2!O284,'Étape 1 - à remplir'!$N$31:$N$400,X$3))))))=0,NA(),IF(X$2="Catégorie",IF(X$3="Toutes",SUMIFS('Étape 1 - à remplir'!$F$31:$F$400,'Étape 1 - à remplir'!$E$31:$E$400,MASQ2!O284,'Étape 1 - à remplir'!$G$31:$G$400,"animaux"),SUMIFS('Étape 1 - à remplir'!$F$31:$F$400,'Étape 1 - à remplir'!$E$31:$E$400,MASQ2!O284,'Étape 1 - à remplir'!$C$31:$C$400,X$3)),IF(X$2="Âge",IF(X$3="Tous",SUMIFS('Étape 1 - à remplir'!$F$31:$F$400,'Étape 1 - à remplir'!$E$31:$E$400,MASQ2!O284,'Étape 1 - à remplir'!$G$31:$G$400,"animaux"),SUMIFS('Étape 1 - à remplir'!$F$31:$F$400,'Étape 1 - à remplir'!$E$31:$E$400,MASQ2!O284,'Étape 1 - à remplir'!$P$31:$P$400,X$3)),IF(X$2="Atelier",IF(X$3="Tous",SUMIFS('Étape 1 - à remplir'!$F$31:$F$400,'Étape 1 - à remplir'!$E$31:$E$400,MASQ2!O284,'Étape 1 - à remplir'!$G$31:$G$400,"animaux"),SUMIFS('Étape 1 - à remplir'!$F$31:$F$400,'Étape 1 - à remplir'!$E$31:$E$400,MASQ2!O284,'Étape 1 - à remplir'!$O$31:$O$400,X$3)),IF(X$2="Espèce",IF(X$3="Toutes",SUMIFS('Étape 1 - à remplir'!$F$31:$F$400,'Étape 1 - à remplir'!$E$31:$E$400,MASQ2!O284,'Étape 1 - à remplir'!$G$31:$G$400,"animaux"),SUMIFS('Étape 1 - à remplir'!$F$31:$F$400,'Étape 1 - à remplir'!$E$31:$E$400,MASQ2!O284,'Étape 1 - à remplir'!$N$31:$N$400,X$3)))))))</f>
        <v>#N/A</v>
      </c>
      <c r="Q284" s="63">
        <f t="shared" si="235"/>
        <v>0</v>
      </c>
      <c r="R284" t="str">
        <f>Données_ATB!BM283</f>
        <v>Pénéthamate (ou pénéthacilline)</v>
      </c>
      <c r="S284" t="str">
        <f>Données_ATB!BN283</f>
        <v/>
      </c>
      <c r="T284" s="63" t="str">
        <f>Données_ATB!BO283</f>
        <v/>
      </c>
      <c r="U284" s="42" t="str">
        <f>Données_ATB!BQ283</f>
        <v>Penicillines</v>
      </c>
      <c r="V284" t="str">
        <f>Données_ATB!BR283</f>
        <v/>
      </c>
      <c r="W284" s="63" t="str">
        <f>Données_ATB!BS283</f>
        <v/>
      </c>
      <c r="Z284" s="42">
        <v>281</v>
      </c>
      <c r="AA284" t="e">
        <f t="shared" si="231"/>
        <v>#N/A</v>
      </c>
      <c r="AB284" s="63" t="e">
        <f t="shared" si="232"/>
        <v>#N/A</v>
      </c>
      <c r="BF284" s="63"/>
      <c r="BT284" s="194" t="str">
        <f t="shared" ca="1" si="215"/>
        <v/>
      </c>
      <c r="BU284" s="219" t="str">
        <f>IFERROR(IF(BX284=0,"",COUNTIF(BX$4:BX$600,"&gt;"&amp;BX284)+COUNTIF(BX$4:BX284,BX284)),"")</f>
        <v/>
      </c>
      <c r="BV284" s="42" t="str">
        <f t="shared" si="216"/>
        <v>LOHMASTITE 214,5 MG/ML POUDRE ET SOLVANT POUR SUSPENSION INJECTABLE POUR BOVINS</v>
      </c>
      <c r="BW284" t="e">
        <f>IF(IF(CE$2="Catégorie",IF(CE$3="Toutes",SUMIFS('Étape 1 - à remplir'!$F$31:$F$400,'Étape 1 - à remplir'!$E$31:$E$400,MASQ2!BV284,'Étape 1 - à remplir'!$G$31:$G$400,"lots"),SUMIFS('Étape 1 - à remplir'!$F$31:$F$400,'Étape 1 - à remplir'!$E$31:$E$400,MASQ2!BV284,'Étape 1 - à remplir'!$C$31:$C$400,CE$3)),IF(CE$2="Âge",IF(CE$3="Tous",SUMIFS('Étape 1 - à remplir'!$F$31:$F$400,'Étape 1 - à remplir'!$E$31:$E$400,MASQ2!BV284,'Étape 1 - à remplir'!$G$31:$G$400,"lots"),SUMIFS('Étape 1 - à remplir'!$F$31:$F$400,'Étape 1 - à remplir'!$E$31:$E$400,MASQ2!BV284,'Étape 1 - à remplir'!$P$31:$P$400,CE$3,'Étape 1 - à remplir'!$G$31:$G$400,"lots")),IF(CE$2="Atelier",IF(CE$3="Tous",SUMIFS('Étape 1 - à remplir'!$F$31:$F$400,'Étape 1 - à remplir'!$E$31:$E$400,MASQ2!BV284,'Étape 1 - à remplir'!$G$31:$G$400,"lots"),SUMIFS('Étape 1 - à remplir'!$F$31:$F$400,'Étape 1 - à remplir'!$E$31:$E$400,MASQ2!BV284,'Étape 1 - à remplir'!$O$31:$O$400,CE$3,'Étape 1 - à remplir'!$G$31:$G$400,"lots")),IF(CE$2="Espèce",IF(CE$3="Toutes",SUMIFS('Étape 1 - à remplir'!$F$31:$F$400,'Étape 1 - à remplir'!$E$31:$E$400,MASQ2!BV284,'Étape 1 - à remplir'!$G$31:$G$400,"lots"),SUMIFS('Étape 1 - à remplir'!$F$31:$F$400,'Étape 1 - à remplir'!$E$31:$E$400,MASQ2!BV284,'Étape 1 - à remplir'!$N$31:$N$400,CE$3,'Étape 1 - à remplir'!$G$31:$G$400,"lots"))))))=0,NA(),IF(CE$2="Catégorie",IF(CE$3="Toutes",SUMIFS('Étape 1 - à remplir'!$F$31:$F$400,'Étape 1 - à remplir'!$E$31:$E$400,MASQ2!BV284,'Étape 1 - à remplir'!$G$31:$G$400,"lots"),SUMIFS('Étape 1 - à remplir'!$F$31:$F$400,'Étape 1 - à remplir'!$E$31:$E$400,MASQ2!BV284,'Étape 1 - à remplir'!$C$31:$C$400,CE$3)),IF(CE$2="Âge",IF(CE$3="Tous",SUMIFS('Étape 1 - à remplir'!$F$31:$F$400,'Étape 1 - à remplir'!$E$31:$E$400,MASQ2!BV284,'Étape 1 - à remplir'!$G$31:$G$400,"lots"),SUMIFS('Étape 1 - à remplir'!$F$31:$F$400,'Étape 1 - à remplir'!$E$31:$E$400,MASQ2!BV284,'Étape 1 - à remplir'!$P$31:$P$400,CE$3,'Étape 1 - à remplir'!$G$31:$G$400,"lots")),IF(CE$2="Atelier",IF(CE$3="Tous",SUMIFS('Étape 1 - à remplir'!$F$31:$F$400,'Étape 1 - à remplir'!$E$31:$E$400,MASQ2!BV284,'Étape 1 - à remplir'!$G$31:$G$400,"lots"),SUMIFS('Étape 1 - à remplir'!$F$31:$F$400,'Étape 1 - à remplir'!$E$31:$E$400,MASQ2!BV284,'Étape 1 - à remplir'!$O$31:$O$400,CE$3,'Étape 1 - à remplir'!$G$31:$G$400,"lots")),IF(CE$2="Espèce",IF(CE$3="Toutes",SUMIFS('Étape 1 - à remplir'!$F$31:$F$400,'Étape 1 - à remplir'!$E$31:$E$400,MASQ2!BV284,'Étape 1 - à remplir'!$G$31:$G$400,"lots"),SUMIFS('Étape 1 - à remplir'!$F$31:$F$400,'Étape 1 - à remplir'!$E$31:$E$400,MASQ2!BV284,'Étape 1 - à remplir'!$N$31:$N$400,CE$3,'Étape 1 - à remplir'!$G$31:$G$400,"lots")))))))</f>
        <v>#N/A</v>
      </c>
      <c r="BX284">
        <f t="shared" si="233"/>
        <v>0</v>
      </c>
      <c r="BY284" t="str">
        <f t="shared" si="217"/>
        <v>Pénéthamate (ou pénéthacilline)</v>
      </c>
      <c r="BZ284" t="str">
        <f t="shared" si="218"/>
        <v/>
      </c>
      <c r="CA284" t="str">
        <f t="shared" si="219"/>
        <v/>
      </c>
      <c r="CB284" t="str">
        <f t="shared" si="220"/>
        <v>Penicillines</v>
      </c>
      <c r="CC284" t="str">
        <f t="shared" si="221"/>
        <v/>
      </c>
      <c r="CD284" s="63" t="str">
        <f t="shared" si="222"/>
        <v/>
      </c>
      <c r="CG284" s="42">
        <v>281</v>
      </c>
      <c r="CH284" s="42" t="e">
        <f t="shared" si="238"/>
        <v>#N/A</v>
      </c>
      <c r="CI284" s="63" t="e">
        <f t="shared" si="239"/>
        <v>#N/A</v>
      </c>
      <c r="DM284" s="63"/>
      <c r="EA284" s="194" t="str">
        <f t="shared" ca="1" si="223"/>
        <v/>
      </c>
      <c r="EB284" s="226" t="str">
        <f>IFERROR(IF(ED284=0,"",COUNTIF(ED$4:ED$600,"&gt;"&amp;ED284)+COUNTIF(ED$4:ED284,ED284)),"")</f>
        <v/>
      </c>
      <c r="EC284" t="str">
        <f t="shared" si="224"/>
        <v>LOHMASTITE 214,5 MG/ML POUDRE ET SOLVANT POUR SUSPENSION INJECTABLE POUR BOVINS</v>
      </c>
      <c r="ED284" t="e">
        <f>IF(IF(EL$2="Catégorie",IF(EL$3="Toutes",SUMIFS('Étape 1 - à remplir'!$F$31:$F$400,'Étape 1 - à remplir'!$E$31:$E$400,MASQ2!EC284,'Étape 1 - à remplir'!$G$31:$G$400,"kg"),SUMIFS('Étape 1 - à remplir'!$F$31:$F$400,'Étape 1 - à remplir'!$E$31:$E$400,MASQ2!EC284,'Étape 1 - à remplir'!$C$31:$C$400,EL$3)),IF(EL$2="Âge",IF(EL$3="Tous",SUMIFS('Étape 1 - à remplir'!$F$31:$F$400,'Étape 1 - à remplir'!$E$31:$E$400,MASQ2!EC284,'Étape 1 - à remplir'!$G$31:$G$400,"kg"),SUMIFS('Étape 1 - à remplir'!$F$31:$F$400,'Étape 1 - à remplir'!$E$31:$E$400,MASQ2!EC284,'Étape 1 - à remplir'!$P$31:$P$400,EL$3,'Étape 1 - à remplir'!$G$31:$G$400,"kg")),IF(EL$2="Atelier",IF(EL$3="Tous",SUMIFS('Étape 1 - à remplir'!$F$31:$F$400,'Étape 1 - à remplir'!$E$31:$E$400,MASQ2!EC284,'Étape 1 - à remplir'!$G$31:$G$400,"kg"),SUMIFS('Étape 1 - à remplir'!$F$31:$F$400,'Étape 1 - à remplir'!$E$31:$E$400,MASQ2!EC284,'Étape 1 - à remplir'!$O$31:$O$400,EL$3,'Étape 1 - à remplir'!$G$31:$G$400,"kg")),IF(EL$2="Espèce",IF(EL$3="Toutes",SUMIFS('Étape 1 - à remplir'!$F$31:$F$400,'Étape 1 - à remplir'!$E$31:$E$400,MASQ2!EC284,'Étape 1 - à remplir'!$G$31:$G$400,"kg"),SUMIFS('Étape 1 - à remplir'!$F$31:$F$400,'Étape 1 - à remplir'!$E$31:$E$400,MASQ2!EC284,'Étape 1 - à remplir'!$N$31:$N$400,EL$3,'Étape 1 - à remplir'!$G$31:$G$400,"kg"))))))=0,NA(),IF(EL$2="Catégorie",IF(EL$3="Toutes",SUMIFS('Étape 1 - à remplir'!$F$31:$F$400,'Étape 1 - à remplir'!$E$31:$E$400,MASQ2!EC284,'Étape 1 - à remplir'!$G$31:$G$400,"kg"),SUMIFS('Étape 1 - à remplir'!$F$31:$F$400,'Étape 1 - à remplir'!$E$31:$E$400,MASQ2!EC284,'Étape 1 - à remplir'!$C$31:$C$400,EL$3)),IF(EL$2="Âge",IF(EL$3="Tous",SUMIFS('Étape 1 - à remplir'!$F$31:$F$400,'Étape 1 - à remplir'!$E$31:$E$400,MASQ2!EC284,'Étape 1 - à remplir'!$G$31:$G$400,"kg"),SUMIFS('Étape 1 - à remplir'!$F$31:$F$400,'Étape 1 - à remplir'!$E$31:$E$400,MASQ2!EC284,'Étape 1 - à remplir'!$P$31:$P$400,EL$3,'Étape 1 - à remplir'!$G$31:$G$400,"kg")),IF(EL$2="Atelier",IF(EL$3="Tous",SUMIFS('Étape 1 - à remplir'!$F$31:$F$400,'Étape 1 - à remplir'!$E$31:$E$400,MASQ2!EC284,'Étape 1 - à remplir'!$G$31:$G$400,"kg"),SUMIFS('Étape 1 - à remplir'!$F$31:$F$400,'Étape 1 - à remplir'!$E$31:$E$400,MASQ2!EC284,'Étape 1 - à remplir'!$O$31:$O$400,EL$3,'Étape 1 - à remplir'!$G$31:$G$400,"kg")),IF(EL$2="Espèce",IF(EL$3="Toutes",SUMIFS('Étape 1 - à remplir'!$F$31:$F$400,'Étape 1 - à remplir'!$E$31:$E$400,MASQ2!EC284,'Étape 1 - à remplir'!$G$31:$G$400,"kg"),SUMIFS('Étape 1 - à remplir'!$F$31:$F$400,'Étape 1 - à remplir'!$E$31:$E$400,MASQ2!EC284,'Étape 1 - à remplir'!$N$31:$N$400,EL$3,'Étape 1 - à remplir'!$G$31:$G$400,"kg")))))))</f>
        <v>#N/A</v>
      </c>
      <c r="EE284" s="76">
        <f t="shared" si="234"/>
        <v>0</v>
      </c>
      <c r="EF284" t="str">
        <f t="shared" si="225"/>
        <v>Pénéthamate (ou pénéthacilline)</v>
      </c>
      <c r="EG284" t="str">
        <f t="shared" si="226"/>
        <v/>
      </c>
      <c r="EH284" t="str">
        <f t="shared" si="227"/>
        <v/>
      </c>
      <c r="EI284" t="str">
        <f t="shared" si="228"/>
        <v>Penicillines</v>
      </c>
      <c r="EJ284" t="str">
        <f t="shared" si="229"/>
        <v/>
      </c>
      <c r="EK284" s="63" t="str">
        <f t="shared" si="230"/>
        <v/>
      </c>
      <c r="EN284" s="42">
        <v>281</v>
      </c>
      <c r="EO284" t="e">
        <f t="shared" si="236"/>
        <v>#N/A</v>
      </c>
      <c r="EP284" s="63" t="e">
        <f t="shared" si="237"/>
        <v>#N/A</v>
      </c>
      <c r="FT284" s="63"/>
    </row>
    <row r="285" spans="2:176" x14ac:dyDescent="0.3">
      <c r="B285" s="42"/>
      <c r="M285" s="194" t="str">
        <f ca="1">INDEX(Données_ATB!BD:BU,MATCH(MASQ2!O285,Données_ATB!BD:BD,0),18)</f>
        <v/>
      </c>
      <c r="N285" s="14" t="str">
        <f>IFERROR(IF(Q285=0,"",COUNTIF(Q$4:Q$600,"&gt;"&amp;Q285)+COUNTIF(Q$4:Q285,Q285)),"")</f>
        <v/>
      </c>
      <c r="O285" t="str">
        <f>Données_ATB!BD284</f>
        <v>LONGAMOX</v>
      </c>
      <c r="P285" t="e">
        <f>IF(IF(X$2="Catégorie",IF(X$3="Toutes",SUMIFS('Étape 1 - à remplir'!$F$31:$F$400,'Étape 1 - à remplir'!$E$31:$E$400,MASQ2!O285,'Étape 1 - à remplir'!$G$31:$G$400,"animaux"),SUMIFS('Étape 1 - à remplir'!$F$31:$F$400,'Étape 1 - à remplir'!$E$31:$E$400,MASQ2!O285,'Étape 1 - à remplir'!$C$31:$C$400,X$3)),IF(X$2="Âge",IF(X$3="Tous",SUMIFS('Étape 1 - à remplir'!$F$31:$F$400,'Étape 1 - à remplir'!$E$31:$E$400,MASQ2!O285,'Étape 1 - à remplir'!$G$31:$G$400,"animaux"),SUMIFS('Étape 1 - à remplir'!$F$31:$F$400,'Étape 1 - à remplir'!$E$31:$E$400,MASQ2!O285,'Étape 1 - à remplir'!$P$31:$P$400,X$3)),IF(X$2="Atelier",IF(X$3="Tous",SUMIFS('Étape 1 - à remplir'!$F$31:$F$400,'Étape 1 - à remplir'!$E$31:$E$400,MASQ2!O285,'Étape 1 - à remplir'!$G$31:$G$400,"animaux"),SUMIFS('Étape 1 - à remplir'!$F$31:$F$400,'Étape 1 - à remplir'!$E$31:$E$400,MASQ2!O285,'Étape 1 - à remplir'!$O$31:$O$400,X$3)),IF(X$2="Espèce",IF(X$3="Toutes",SUMIFS('Étape 1 - à remplir'!$F$31:$F$400,'Étape 1 - à remplir'!$E$31:$E$400,MASQ2!O285,'Étape 1 - à remplir'!$G$31:$G$400,"animaux"),SUMIFS('Étape 1 - à remplir'!$F$31:$F$400,'Étape 1 - à remplir'!$E$31:$E$400,MASQ2!O285,'Étape 1 - à remplir'!$N$31:$N$400,X$3))))))=0,NA(),IF(X$2="Catégorie",IF(X$3="Toutes",SUMIFS('Étape 1 - à remplir'!$F$31:$F$400,'Étape 1 - à remplir'!$E$31:$E$400,MASQ2!O285,'Étape 1 - à remplir'!$G$31:$G$400,"animaux"),SUMIFS('Étape 1 - à remplir'!$F$31:$F$400,'Étape 1 - à remplir'!$E$31:$E$400,MASQ2!O285,'Étape 1 - à remplir'!$C$31:$C$400,X$3)),IF(X$2="Âge",IF(X$3="Tous",SUMIFS('Étape 1 - à remplir'!$F$31:$F$400,'Étape 1 - à remplir'!$E$31:$E$400,MASQ2!O285,'Étape 1 - à remplir'!$G$31:$G$400,"animaux"),SUMIFS('Étape 1 - à remplir'!$F$31:$F$400,'Étape 1 - à remplir'!$E$31:$E$400,MASQ2!O285,'Étape 1 - à remplir'!$P$31:$P$400,X$3)),IF(X$2="Atelier",IF(X$3="Tous",SUMIFS('Étape 1 - à remplir'!$F$31:$F$400,'Étape 1 - à remplir'!$E$31:$E$400,MASQ2!O285,'Étape 1 - à remplir'!$G$31:$G$400,"animaux"),SUMIFS('Étape 1 - à remplir'!$F$31:$F$400,'Étape 1 - à remplir'!$E$31:$E$400,MASQ2!O285,'Étape 1 - à remplir'!$O$31:$O$400,X$3)),IF(X$2="Espèce",IF(X$3="Toutes",SUMIFS('Étape 1 - à remplir'!$F$31:$F$400,'Étape 1 - à remplir'!$E$31:$E$400,MASQ2!O285,'Étape 1 - à remplir'!$G$31:$G$400,"animaux"),SUMIFS('Étape 1 - à remplir'!$F$31:$F$400,'Étape 1 - à remplir'!$E$31:$E$400,MASQ2!O285,'Étape 1 - à remplir'!$N$31:$N$400,X$3)))))))</f>
        <v>#N/A</v>
      </c>
      <c r="Q285" s="63">
        <f t="shared" si="235"/>
        <v>0</v>
      </c>
      <c r="R285" t="str">
        <f>Données_ATB!BM284</f>
        <v>Amoxicilline</v>
      </c>
      <c r="S285" t="str">
        <f>Données_ATB!BN284</f>
        <v/>
      </c>
      <c r="T285" s="63" t="str">
        <f>Données_ATB!BO284</f>
        <v/>
      </c>
      <c r="U285" s="42" t="str">
        <f>Données_ATB!BQ284</f>
        <v>Penicillines</v>
      </c>
      <c r="V285" t="str">
        <f>Données_ATB!BR284</f>
        <v/>
      </c>
      <c r="W285" s="63" t="str">
        <f>Données_ATB!BS284</f>
        <v/>
      </c>
      <c r="Z285" s="42">
        <v>282</v>
      </c>
      <c r="AA285" t="e">
        <f t="shared" si="231"/>
        <v>#N/A</v>
      </c>
      <c r="AB285" s="63" t="e">
        <f t="shared" si="232"/>
        <v>#N/A</v>
      </c>
      <c r="BF285" s="63"/>
      <c r="BT285" s="194" t="str">
        <f t="shared" ca="1" si="215"/>
        <v/>
      </c>
      <c r="BU285" s="219" t="str">
        <f>IFERROR(IF(BX285=0,"",COUNTIF(BX$4:BX$600,"&gt;"&amp;BX285)+COUNTIF(BX$4:BX285,BX285)),"")</f>
        <v/>
      </c>
      <c r="BV285" s="42" t="str">
        <f t="shared" si="216"/>
        <v>LONGAMOX</v>
      </c>
      <c r="BW285" t="e">
        <f>IF(IF(CE$2="Catégorie",IF(CE$3="Toutes",SUMIFS('Étape 1 - à remplir'!$F$31:$F$400,'Étape 1 - à remplir'!$E$31:$E$400,MASQ2!BV285,'Étape 1 - à remplir'!$G$31:$G$400,"lots"),SUMIFS('Étape 1 - à remplir'!$F$31:$F$400,'Étape 1 - à remplir'!$E$31:$E$400,MASQ2!BV285,'Étape 1 - à remplir'!$C$31:$C$400,CE$3)),IF(CE$2="Âge",IF(CE$3="Tous",SUMIFS('Étape 1 - à remplir'!$F$31:$F$400,'Étape 1 - à remplir'!$E$31:$E$400,MASQ2!BV285,'Étape 1 - à remplir'!$G$31:$G$400,"lots"),SUMIFS('Étape 1 - à remplir'!$F$31:$F$400,'Étape 1 - à remplir'!$E$31:$E$400,MASQ2!BV285,'Étape 1 - à remplir'!$P$31:$P$400,CE$3,'Étape 1 - à remplir'!$G$31:$G$400,"lots")),IF(CE$2="Atelier",IF(CE$3="Tous",SUMIFS('Étape 1 - à remplir'!$F$31:$F$400,'Étape 1 - à remplir'!$E$31:$E$400,MASQ2!BV285,'Étape 1 - à remplir'!$G$31:$G$400,"lots"),SUMIFS('Étape 1 - à remplir'!$F$31:$F$400,'Étape 1 - à remplir'!$E$31:$E$400,MASQ2!BV285,'Étape 1 - à remplir'!$O$31:$O$400,CE$3,'Étape 1 - à remplir'!$G$31:$G$400,"lots")),IF(CE$2="Espèce",IF(CE$3="Toutes",SUMIFS('Étape 1 - à remplir'!$F$31:$F$400,'Étape 1 - à remplir'!$E$31:$E$400,MASQ2!BV285,'Étape 1 - à remplir'!$G$31:$G$400,"lots"),SUMIFS('Étape 1 - à remplir'!$F$31:$F$400,'Étape 1 - à remplir'!$E$31:$E$400,MASQ2!BV285,'Étape 1 - à remplir'!$N$31:$N$400,CE$3,'Étape 1 - à remplir'!$G$31:$G$400,"lots"))))))=0,NA(),IF(CE$2="Catégorie",IF(CE$3="Toutes",SUMIFS('Étape 1 - à remplir'!$F$31:$F$400,'Étape 1 - à remplir'!$E$31:$E$400,MASQ2!BV285,'Étape 1 - à remplir'!$G$31:$G$400,"lots"),SUMIFS('Étape 1 - à remplir'!$F$31:$F$400,'Étape 1 - à remplir'!$E$31:$E$400,MASQ2!BV285,'Étape 1 - à remplir'!$C$31:$C$400,CE$3)),IF(CE$2="Âge",IF(CE$3="Tous",SUMIFS('Étape 1 - à remplir'!$F$31:$F$400,'Étape 1 - à remplir'!$E$31:$E$400,MASQ2!BV285,'Étape 1 - à remplir'!$G$31:$G$400,"lots"),SUMIFS('Étape 1 - à remplir'!$F$31:$F$400,'Étape 1 - à remplir'!$E$31:$E$400,MASQ2!BV285,'Étape 1 - à remplir'!$P$31:$P$400,CE$3,'Étape 1 - à remplir'!$G$31:$G$400,"lots")),IF(CE$2="Atelier",IF(CE$3="Tous",SUMIFS('Étape 1 - à remplir'!$F$31:$F$400,'Étape 1 - à remplir'!$E$31:$E$400,MASQ2!BV285,'Étape 1 - à remplir'!$G$31:$G$400,"lots"),SUMIFS('Étape 1 - à remplir'!$F$31:$F$400,'Étape 1 - à remplir'!$E$31:$E$400,MASQ2!BV285,'Étape 1 - à remplir'!$O$31:$O$400,CE$3,'Étape 1 - à remplir'!$G$31:$G$400,"lots")),IF(CE$2="Espèce",IF(CE$3="Toutes",SUMIFS('Étape 1 - à remplir'!$F$31:$F$400,'Étape 1 - à remplir'!$E$31:$E$400,MASQ2!BV285,'Étape 1 - à remplir'!$G$31:$G$400,"lots"),SUMIFS('Étape 1 - à remplir'!$F$31:$F$400,'Étape 1 - à remplir'!$E$31:$E$400,MASQ2!BV285,'Étape 1 - à remplir'!$N$31:$N$400,CE$3,'Étape 1 - à remplir'!$G$31:$G$400,"lots")))))))</f>
        <v>#N/A</v>
      </c>
      <c r="BX285">
        <f t="shared" si="233"/>
        <v>0</v>
      </c>
      <c r="BY285" t="str">
        <f t="shared" si="217"/>
        <v>Amoxicilline</v>
      </c>
      <c r="BZ285" t="str">
        <f t="shared" si="218"/>
        <v/>
      </c>
      <c r="CA285" t="str">
        <f t="shared" si="219"/>
        <v/>
      </c>
      <c r="CB285" t="str">
        <f t="shared" si="220"/>
        <v>Penicillines</v>
      </c>
      <c r="CC285" t="str">
        <f t="shared" si="221"/>
        <v/>
      </c>
      <c r="CD285" s="63" t="str">
        <f t="shared" si="222"/>
        <v/>
      </c>
      <c r="CG285" s="42">
        <v>282</v>
      </c>
      <c r="CH285" s="42" t="e">
        <f t="shared" si="238"/>
        <v>#N/A</v>
      </c>
      <c r="CI285" s="63" t="e">
        <f t="shared" si="239"/>
        <v>#N/A</v>
      </c>
      <c r="DM285" s="63"/>
      <c r="EA285" s="194" t="str">
        <f t="shared" ca="1" si="223"/>
        <v/>
      </c>
      <c r="EB285" s="226" t="str">
        <f>IFERROR(IF(ED285=0,"",COUNTIF(ED$4:ED$600,"&gt;"&amp;ED285)+COUNTIF(ED$4:ED285,ED285)),"")</f>
        <v/>
      </c>
      <c r="EC285" t="str">
        <f t="shared" si="224"/>
        <v>LONGAMOX</v>
      </c>
      <c r="ED285" t="e">
        <f>IF(IF(EL$2="Catégorie",IF(EL$3="Toutes",SUMIFS('Étape 1 - à remplir'!$F$31:$F$400,'Étape 1 - à remplir'!$E$31:$E$400,MASQ2!EC285,'Étape 1 - à remplir'!$G$31:$G$400,"kg"),SUMIFS('Étape 1 - à remplir'!$F$31:$F$400,'Étape 1 - à remplir'!$E$31:$E$400,MASQ2!EC285,'Étape 1 - à remplir'!$C$31:$C$400,EL$3)),IF(EL$2="Âge",IF(EL$3="Tous",SUMIFS('Étape 1 - à remplir'!$F$31:$F$400,'Étape 1 - à remplir'!$E$31:$E$400,MASQ2!EC285,'Étape 1 - à remplir'!$G$31:$G$400,"kg"),SUMIFS('Étape 1 - à remplir'!$F$31:$F$400,'Étape 1 - à remplir'!$E$31:$E$400,MASQ2!EC285,'Étape 1 - à remplir'!$P$31:$P$400,EL$3,'Étape 1 - à remplir'!$G$31:$G$400,"kg")),IF(EL$2="Atelier",IF(EL$3="Tous",SUMIFS('Étape 1 - à remplir'!$F$31:$F$400,'Étape 1 - à remplir'!$E$31:$E$400,MASQ2!EC285,'Étape 1 - à remplir'!$G$31:$G$400,"kg"),SUMIFS('Étape 1 - à remplir'!$F$31:$F$400,'Étape 1 - à remplir'!$E$31:$E$400,MASQ2!EC285,'Étape 1 - à remplir'!$O$31:$O$400,EL$3,'Étape 1 - à remplir'!$G$31:$G$400,"kg")),IF(EL$2="Espèce",IF(EL$3="Toutes",SUMIFS('Étape 1 - à remplir'!$F$31:$F$400,'Étape 1 - à remplir'!$E$31:$E$400,MASQ2!EC285,'Étape 1 - à remplir'!$G$31:$G$400,"kg"),SUMIFS('Étape 1 - à remplir'!$F$31:$F$400,'Étape 1 - à remplir'!$E$31:$E$400,MASQ2!EC285,'Étape 1 - à remplir'!$N$31:$N$400,EL$3,'Étape 1 - à remplir'!$G$31:$G$400,"kg"))))))=0,NA(),IF(EL$2="Catégorie",IF(EL$3="Toutes",SUMIFS('Étape 1 - à remplir'!$F$31:$F$400,'Étape 1 - à remplir'!$E$31:$E$400,MASQ2!EC285,'Étape 1 - à remplir'!$G$31:$G$400,"kg"),SUMIFS('Étape 1 - à remplir'!$F$31:$F$400,'Étape 1 - à remplir'!$E$31:$E$400,MASQ2!EC285,'Étape 1 - à remplir'!$C$31:$C$400,EL$3)),IF(EL$2="Âge",IF(EL$3="Tous",SUMIFS('Étape 1 - à remplir'!$F$31:$F$400,'Étape 1 - à remplir'!$E$31:$E$400,MASQ2!EC285,'Étape 1 - à remplir'!$G$31:$G$400,"kg"),SUMIFS('Étape 1 - à remplir'!$F$31:$F$400,'Étape 1 - à remplir'!$E$31:$E$400,MASQ2!EC285,'Étape 1 - à remplir'!$P$31:$P$400,EL$3,'Étape 1 - à remplir'!$G$31:$G$400,"kg")),IF(EL$2="Atelier",IF(EL$3="Tous",SUMIFS('Étape 1 - à remplir'!$F$31:$F$400,'Étape 1 - à remplir'!$E$31:$E$400,MASQ2!EC285,'Étape 1 - à remplir'!$G$31:$G$400,"kg"),SUMIFS('Étape 1 - à remplir'!$F$31:$F$400,'Étape 1 - à remplir'!$E$31:$E$400,MASQ2!EC285,'Étape 1 - à remplir'!$O$31:$O$400,EL$3,'Étape 1 - à remplir'!$G$31:$G$400,"kg")),IF(EL$2="Espèce",IF(EL$3="Toutes",SUMIFS('Étape 1 - à remplir'!$F$31:$F$400,'Étape 1 - à remplir'!$E$31:$E$400,MASQ2!EC285,'Étape 1 - à remplir'!$G$31:$G$400,"kg"),SUMIFS('Étape 1 - à remplir'!$F$31:$F$400,'Étape 1 - à remplir'!$E$31:$E$400,MASQ2!EC285,'Étape 1 - à remplir'!$N$31:$N$400,EL$3,'Étape 1 - à remplir'!$G$31:$G$400,"kg")))))))</f>
        <v>#N/A</v>
      </c>
      <c r="EE285" s="76">
        <f t="shared" si="234"/>
        <v>0</v>
      </c>
      <c r="EF285" t="str">
        <f t="shared" si="225"/>
        <v>Amoxicilline</v>
      </c>
      <c r="EG285" t="str">
        <f t="shared" si="226"/>
        <v/>
      </c>
      <c r="EH285" t="str">
        <f t="shared" si="227"/>
        <v/>
      </c>
      <c r="EI285" t="str">
        <f t="shared" si="228"/>
        <v>Penicillines</v>
      </c>
      <c r="EJ285" t="str">
        <f t="shared" si="229"/>
        <v/>
      </c>
      <c r="EK285" s="63" t="str">
        <f t="shared" si="230"/>
        <v/>
      </c>
      <c r="EN285" s="42">
        <v>282</v>
      </c>
      <c r="EO285" t="e">
        <f t="shared" si="236"/>
        <v>#N/A</v>
      </c>
      <c r="EP285" s="63" t="e">
        <f t="shared" si="237"/>
        <v>#N/A</v>
      </c>
      <c r="FT285" s="63"/>
    </row>
    <row r="286" spans="2:176" x14ac:dyDescent="0.3">
      <c r="B286" s="42"/>
      <c r="M286" s="194" t="str">
        <f ca="1">INDEX(Données_ATB!BD:BU,MATCH(MASQ2!O286,Données_ATB!BD:BD,0),18)</f>
        <v/>
      </c>
      <c r="N286" s="14" t="str">
        <f>IFERROR(IF(Q286=0,"",COUNTIF(Q$4:Q$600,"&gt;"&amp;Q286)+COUNTIF(Q$4:Q286,Q286)),"")</f>
        <v/>
      </c>
      <c r="O286" t="str">
        <f>Données_ATB!BD285</f>
        <v>LONGICINE</v>
      </c>
      <c r="P286" t="e">
        <f>IF(IF(X$2="Catégorie",IF(X$3="Toutes",SUMIFS('Étape 1 - à remplir'!$F$31:$F$400,'Étape 1 - à remplir'!$E$31:$E$400,MASQ2!O286,'Étape 1 - à remplir'!$G$31:$G$400,"animaux"),SUMIFS('Étape 1 - à remplir'!$F$31:$F$400,'Étape 1 - à remplir'!$E$31:$E$400,MASQ2!O286,'Étape 1 - à remplir'!$C$31:$C$400,X$3)),IF(X$2="Âge",IF(X$3="Tous",SUMIFS('Étape 1 - à remplir'!$F$31:$F$400,'Étape 1 - à remplir'!$E$31:$E$400,MASQ2!O286,'Étape 1 - à remplir'!$G$31:$G$400,"animaux"),SUMIFS('Étape 1 - à remplir'!$F$31:$F$400,'Étape 1 - à remplir'!$E$31:$E$400,MASQ2!O286,'Étape 1 - à remplir'!$P$31:$P$400,X$3)),IF(X$2="Atelier",IF(X$3="Tous",SUMIFS('Étape 1 - à remplir'!$F$31:$F$400,'Étape 1 - à remplir'!$E$31:$E$400,MASQ2!O286,'Étape 1 - à remplir'!$G$31:$G$400,"animaux"),SUMIFS('Étape 1 - à remplir'!$F$31:$F$400,'Étape 1 - à remplir'!$E$31:$E$400,MASQ2!O286,'Étape 1 - à remplir'!$O$31:$O$400,X$3)),IF(X$2="Espèce",IF(X$3="Toutes",SUMIFS('Étape 1 - à remplir'!$F$31:$F$400,'Étape 1 - à remplir'!$E$31:$E$400,MASQ2!O286,'Étape 1 - à remplir'!$G$31:$G$400,"animaux"),SUMIFS('Étape 1 - à remplir'!$F$31:$F$400,'Étape 1 - à remplir'!$E$31:$E$400,MASQ2!O286,'Étape 1 - à remplir'!$N$31:$N$400,X$3))))))=0,NA(),IF(X$2="Catégorie",IF(X$3="Toutes",SUMIFS('Étape 1 - à remplir'!$F$31:$F$400,'Étape 1 - à remplir'!$E$31:$E$400,MASQ2!O286,'Étape 1 - à remplir'!$G$31:$G$400,"animaux"),SUMIFS('Étape 1 - à remplir'!$F$31:$F$400,'Étape 1 - à remplir'!$E$31:$E$400,MASQ2!O286,'Étape 1 - à remplir'!$C$31:$C$400,X$3)),IF(X$2="Âge",IF(X$3="Tous",SUMIFS('Étape 1 - à remplir'!$F$31:$F$400,'Étape 1 - à remplir'!$E$31:$E$400,MASQ2!O286,'Étape 1 - à remplir'!$G$31:$G$400,"animaux"),SUMIFS('Étape 1 - à remplir'!$F$31:$F$400,'Étape 1 - à remplir'!$E$31:$E$400,MASQ2!O286,'Étape 1 - à remplir'!$P$31:$P$400,X$3)),IF(X$2="Atelier",IF(X$3="Tous",SUMIFS('Étape 1 - à remplir'!$F$31:$F$400,'Étape 1 - à remplir'!$E$31:$E$400,MASQ2!O286,'Étape 1 - à remplir'!$G$31:$G$400,"animaux"),SUMIFS('Étape 1 - à remplir'!$F$31:$F$400,'Étape 1 - à remplir'!$E$31:$E$400,MASQ2!O286,'Étape 1 - à remplir'!$O$31:$O$400,X$3)),IF(X$2="Espèce",IF(X$3="Toutes",SUMIFS('Étape 1 - à remplir'!$F$31:$F$400,'Étape 1 - à remplir'!$E$31:$E$400,MASQ2!O286,'Étape 1 - à remplir'!$G$31:$G$400,"animaux"),SUMIFS('Étape 1 - à remplir'!$F$31:$F$400,'Étape 1 - à remplir'!$E$31:$E$400,MASQ2!O286,'Étape 1 - à remplir'!$N$31:$N$400,X$3)))))))</f>
        <v>#N/A</v>
      </c>
      <c r="Q286" s="63">
        <f t="shared" si="235"/>
        <v>0</v>
      </c>
      <c r="R286" t="str">
        <f>Données_ATB!BM285</f>
        <v>Oxytétracycline</v>
      </c>
      <c r="S286" t="str">
        <f>Données_ATB!BN285</f>
        <v/>
      </c>
      <c r="T286" s="63" t="str">
        <f>Données_ATB!BO285</f>
        <v/>
      </c>
      <c r="U286" s="42" t="str">
        <f>Données_ATB!BQ285</f>
        <v>Tetracyclines</v>
      </c>
      <c r="V286" t="str">
        <f>Données_ATB!BR285</f>
        <v/>
      </c>
      <c r="W286" s="63" t="str">
        <f>Données_ATB!BS285</f>
        <v/>
      </c>
      <c r="Z286" s="42">
        <v>283</v>
      </c>
      <c r="AA286" t="e">
        <f t="shared" si="231"/>
        <v>#N/A</v>
      </c>
      <c r="AB286" s="63" t="e">
        <f t="shared" si="232"/>
        <v>#N/A</v>
      </c>
      <c r="BF286" s="63"/>
      <c r="BT286" s="194" t="str">
        <f t="shared" ca="1" si="215"/>
        <v/>
      </c>
      <c r="BU286" s="219" t="str">
        <f>IFERROR(IF(BX286=0,"",COUNTIF(BX$4:BX$600,"&gt;"&amp;BX286)+COUNTIF(BX$4:BX286,BX286)),"")</f>
        <v/>
      </c>
      <c r="BV286" s="42" t="str">
        <f t="shared" si="216"/>
        <v>LONGICINE</v>
      </c>
      <c r="BW286" t="e">
        <f>IF(IF(CE$2="Catégorie",IF(CE$3="Toutes",SUMIFS('Étape 1 - à remplir'!$F$31:$F$400,'Étape 1 - à remplir'!$E$31:$E$400,MASQ2!BV286,'Étape 1 - à remplir'!$G$31:$G$400,"lots"),SUMIFS('Étape 1 - à remplir'!$F$31:$F$400,'Étape 1 - à remplir'!$E$31:$E$400,MASQ2!BV286,'Étape 1 - à remplir'!$C$31:$C$400,CE$3)),IF(CE$2="Âge",IF(CE$3="Tous",SUMIFS('Étape 1 - à remplir'!$F$31:$F$400,'Étape 1 - à remplir'!$E$31:$E$400,MASQ2!BV286,'Étape 1 - à remplir'!$G$31:$G$400,"lots"),SUMIFS('Étape 1 - à remplir'!$F$31:$F$400,'Étape 1 - à remplir'!$E$31:$E$400,MASQ2!BV286,'Étape 1 - à remplir'!$P$31:$P$400,CE$3,'Étape 1 - à remplir'!$G$31:$G$400,"lots")),IF(CE$2="Atelier",IF(CE$3="Tous",SUMIFS('Étape 1 - à remplir'!$F$31:$F$400,'Étape 1 - à remplir'!$E$31:$E$400,MASQ2!BV286,'Étape 1 - à remplir'!$G$31:$G$400,"lots"),SUMIFS('Étape 1 - à remplir'!$F$31:$F$400,'Étape 1 - à remplir'!$E$31:$E$400,MASQ2!BV286,'Étape 1 - à remplir'!$O$31:$O$400,CE$3,'Étape 1 - à remplir'!$G$31:$G$400,"lots")),IF(CE$2="Espèce",IF(CE$3="Toutes",SUMIFS('Étape 1 - à remplir'!$F$31:$F$400,'Étape 1 - à remplir'!$E$31:$E$400,MASQ2!BV286,'Étape 1 - à remplir'!$G$31:$G$400,"lots"),SUMIFS('Étape 1 - à remplir'!$F$31:$F$400,'Étape 1 - à remplir'!$E$31:$E$400,MASQ2!BV286,'Étape 1 - à remplir'!$N$31:$N$400,CE$3,'Étape 1 - à remplir'!$G$31:$G$400,"lots"))))))=0,NA(),IF(CE$2="Catégorie",IF(CE$3="Toutes",SUMIFS('Étape 1 - à remplir'!$F$31:$F$400,'Étape 1 - à remplir'!$E$31:$E$400,MASQ2!BV286,'Étape 1 - à remplir'!$G$31:$G$400,"lots"),SUMIFS('Étape 1 - à remplir'!$F$31:$F$400,'Étape 1 - à remplir'!$E$31:$E$400,MASQ2!BV286,'Étape 1 - à remplir'!$C$31:$C$400,CE$3)),IF(CE$2="Âge",IF(CE$3="Tous",SUMIFS('Étape 1 - à remplir'!$F$31:$F$400,'Étape 1 - à remplir'!$E$31:$E$400,MASQ2!BV286,'Étape 1 - à remplir'!$G$31:$G$400,"lots"),SUMIFS('Étape 1 - à remplir'!$F$31:$F$400,'Étape 1 - à remplir'!$E$31:$E$400,MASQ2!BV286,'Étape 1 - à remplir'!$P$31:$P$400,CE$3,'Étape 1 - à remplir'!$G$31:$G$400,"lots")),IF(CE$2="Atelier",IF(CE$3="Tous",SUMIFS('Étape 1 - à remplir'!$F$31:$F$400,'Étape 1 - à remplir'!$E$31:$E$400,MASQ2!BV286,'Étape 1 - à remplir'!$G$31:$G$400,"lots"),SUMIFS('Étape 1 - à remplir'!$F$31:$F$400,'Étape 1 - à remplir'!$E$31:$E$400,MASQ2!BV286,'Étape 1 - à remplir'!$O$31:$O$400,CE$3,'Étape 1 - à remplir'!$G$31:$G$400,"lots")),IF(CE$2="Espèce",IF(CE$3="Toutes",SUMIFS('Étape 1 - à remplir'!$F$31:$F$400,'Étape 1 - à remplir'!$E$31:$E$400,MASQ2!BV286,'Étape 1 - à remplir'!$G$31:$G$400,"lots"),SUMIFS('Étape 1 - à remplir'!$F$31:$F$400,'Étape 1 - à remplir'!$E$31:$E$400,MASQ2!BV286,'Étape 1 - à remplir'!$N$31:$N$400,CE$3,'Étape 1 - à remplir'!$G$31:$G$400,"lots")))))))</f>
        <v>#N/A</v>
      </c>
      <c r="BX286">
        <f t="shared" si="233"/>
        <v>0</v>
      </c>
      <c r="BY286" t="str">
        <f t="shared" si="217"/>
        <v>Oxytétracycline</v>
      </c>
      <c r="BZ286" t="str">
        <f t="shared" si="218"/>
        <v/>
      </c>
      <c r="CA286" t="str">
        <f t="shared" si="219"/>
        <v/>
      </c>
      <c r="CB286" t="str">
        <f t="shared" si="220"/>
        <v>Tetracyclines</v>
      </c>
      <c r="CC286" t="str">
        <f t="shared" si="221"/>
        <v/>
      </c>
      <c r="CD286" s="63" t="str">
        <f t="shared" si="222"/>
        <v/>
      </c>
      <c r="CG286" s="42">
        <v>283</v>
      </c>
      <c r="CH286" s="42" t="e">
        <f t="shared" si="238"/>
        <v>#N/A</v>
      </c>
      <c r="CI286" s="63" t="e">
        <f t="shared" si="239"/>
        <v>#N/A</v>
      </c>
      <c r="DM286" s="63"/>
      <c r="EA286" s="194" t="str">
        <f t="shared" ca="1" si="223"/>
        <v/>
      </c>
      <c r="EB286" s="226" t="str">
        <f>IFERROR(IF(ED286=0,"",COUNTIF(ED$4:ED$600,"&gt;"&amp;ED286)+COUNTIF(ED$4:ED286,ED286)),"")</f>
        <v/>
      </c>
      <c r="EC286" t="str">
        <f t="shared" si="224"/>
        <v>LONGICINE</v>
      </c>
      <c r="ED286" t="e">
        <f>IF(IF(EL$2="Catégorie",IF(EL$3="Toutes",SUMIFS('Étape 1 - à remplir'!$F$31:$F$400,'Étape 1 - à remplir'!$E$31:$E$400,MASQ2!EC286,'Étape 1 - à remplir'!$G$31:$G$400,"kg"),SUMIFS('Étape 1 - à remplir'!$F$31:$F$400,'Étape 1 - à remplir'!$E$31:$E$400,MASQ2!EC286,'Étape 1 - à remplir'!$C$31:$C$400,EL$3)),IF(EL$2="Âge",IF(EL$3="Tous",SUMIFS('Étape 1 - à remplir'!$F$31:$F$400,'Étape 1 - à remplir'!$E$31:$E$400,MASQ2!EC286,'Étape 1 - à remplir'!$G$31:$G$400,"kg"),SUMIFS('Étape 1 - à remplir'!$F$31:$F$400,'Étape 1 - à remplir'!$E$31:$E$400,MASQ2!EC286,'Étape 1 - à remplir'!$P$31:$P$400,EL$3,'Étape 1 - à remplir'!$G$31:$G$400,"kg")),IF(EL$2="Atelier",IF(EL$3="Tous",SUMIFS('Étape 1 - à remplir'!$F$31:$F$400,'Étape 1 - à remplir'!$E$31:$E$400,MASQ2!EC286,'Étape 1 - à remplir'!$G$31:$G$400,"kg"),SUMIFS('Étape 1 - à remplir'!$F$31:$F$400,'Étape 1 - à remplir'!$E$31:$E$400,MASQ2!EC286,'Étape 1 - à remplir'!$O$31:$O$400,EL$3,'Étape 1 - à remplir'!$G$31:$G$400,"kg")),IF(EL$2="Espèce",IF(EL$3="Toutes",SUMIFS('Étape 1 - à remplir'!$F$31:$F$400,'Étape 1 - à remplir'!$E$31:$E$400,MASQ2!EC286,'Étape 1 - à remplir'!$G$31:$G$400,"kg"),SUMIFS('Étape 1 - à remplir'!$F$31:$F$400,'Étape 1 - à remplir'!$E$31:$E$400,MASQ2!EC286,'Étape 1 - à remplir'!$N$31:$N$400,EL$3,'Étape 1 - à remplir'!$G$31:$G$400,"kg"))))))=0,NA(),IF(EL$2="Catégorie",IF(EL$3="Toutes",SUMIFS('Étape 1 - à remplir'!$F$31:$F$400,'Étape 1 - à remplir'!$E$31:$E$400,MASQ2!EC286,'Étape 1 - à remplir'!$G$31:$G$400,"kg"),SUMIFS('Étape 1 - à remplir'!$F$31:$F$400,'Étape 1 - à remplir'!$E$31:$E$400,MASQ2!EC286,'Étape 1 - à remplir'!$C$31:$C$400,EL$3)),IF(EL$2="Âge",IF(EL$3="Tous",SUMIFS('Étape 1 - à remplir'!$F$31:$F$400,'Étape 1 - à remplir'!$E$31:$E$400,MASQ2!EC286,'Étape 1 - à remplir'!$G$31:$G$400,"kg"),SUMIFS('Étape 1 - à remplir'!$F$31:$F$400,'Étape 1 - à remplir'!$E$31:$E$400,MASQ2!EC286,'Étape 1 - à remplir'!$P$31:$P$400,EL$3,'Étape 1 - à remplir'!$G$31:$G$400,"kg")),IF(EL$2="Atelier",IF(EL$3="Tous",SUMIFS('Étape 1 - à remplir'!$F$31:$F$400,'Étape 1 - à remplir'!$E$31:$E$400,MASQ2!EC286,'Étape 1 - à remplir'!$G$31:$G$400,"kg"),SUMIFS('Étape 1 - à remplir'!$F$31:$F$400,'Étape 1 - à remplir'!$E$31:$E$400,MASQ2!EC286,'Étape 1 - à remplir'!$O$31:$O$400,EL$3,'Étape 1 - à remplir'!$G$31:$G$400,"kg")),IF(EL$2="Espèce",IF(EL$3="Toutes",SUMIFS('Étape 1 - à remplir'!$F$31:$F$400,'Étape 1 - à remplir'!$E$31:$E$400,MASQ2!EC286,'Étape 1 - à remplir'!$G$31:$G$400,"kg"),SUMIFS('Étape 1 - à remplir'!$F$31:$F$400,'Étape 1 - à remplir'!$E$31:$E$400,MASQ2!EC286,'Étape 1 - à remplir'!$N$31:$N$400,EL$3,'Étape 1 - à remplir'!$G$31:$G$400,"kg")))))))</f>
        <v>#N/A</v>
      </c>
      <c r="EE286" s="76">
        <f t="shared" si="234"/>
        <v>0</v>
      </c>
      <c r="EF286" t="str">
        <f t="shared" si="225"/>
        <v>Oxytétracycline</v>
      </c>
      <c r="EG286" t="str">
        <f t="shared" si="226"/>
        <v/>
      </c>
      <c r="EH286" t="str">
        <f t="shared" si="227"/>
        <v/>
      </c>
      <c r="EI286" t="str">
        <f t="shared" si="228"/>
        <v>Tetracyclines</v>
      </c>
      <c r="EJ286" t="str">
        <f t="shared" si="229"/>
        <v/>
      </c>
      <c r="EK286" s="63" t="str">
        <f t="shared" si="230"/>
        <v/>
      </c>
      <c r="EN286" s="42">
        <v>283</v>
      </c>
      <c r="EO286" t="e">
        <f t="shared" si="236"/>
        <v>#N/A</v>
      </c>
      <c r="EP286" s="63" t="e">
        <f t="shared" si="237"/>
        <v>#N/A</v>
      </c>
      <c r="FT286" s="63"/>
    </row>
    <row r="287" spans="2:176" x14ac:dyDescent="0.3">
      <c r="B287" s="42"/>
      <c r="M287" s="194" t="str">
        <f ca="1">INDEX(Données_ATB!BD:BU,MATCH(MASQ2!O287,Données_ATB!BD:BD,0),18)</f>
        <v/>
      </c>
      <c r="N287" s="14" t="str">
        <f>IFERROR(IF(Q287=0,"",COUNTIF(Q$4:Q$600,"&gt;"&amp;Q287)+COUNTIF(Q$4:Q287,Q287)),"")</f>
        <v/>
      </c>
      <c r="O287" t="str">
        <f>Données_ATB!BD286</f>
        <v>LYDAXX 100 MG/ML SOLUTION INJECTABLE POUR BOVINS PORCINS ET OVINS</v>
      </c>
      <c r="P287" t="e">
        <f>IF(IF(X$2="Catégorie",IF(X$3="Toutes",SUMIFS('Étape 1 - à remplir'!$F$31:$F$400,'Étape 1 - à remplir'!$E$31:$E$400,MASQ2!O287,'Étape 1 - à remplir'!$G$31:$G$400,"animaux"),SUMIFS('Étape 1 - à remplir'!$F$31:$F$400,'Étape 1 - à remplir'!$E$31:$E$400,MASQ2!O287,'Étape 1 - à remplir'!$C$31:$C$400,X$3)),IF(X$2="Âge",IF(X$3="Tous",SUMIFS('Étape 1 - à remplir'!$F$31:$F$400,'Étape 1 - à remplir'!$E$31:$E$400,MASQ2!O287,'Étape 1 - à remplir'!$G$31:$G$400,"animaux"),SUMIFS('Étape 1 - à remplir'!$F$31:$F$400,'Étape 1 - à remplir'!$E$31:$E$400,MASQ2!O287,'Étape 1 - à remplir'!$P$31:$P$400,X$3)),IF(X$2="Atelier",IF(X$3="Tous",SUMIFS('Étape 1 - à remplir'!$F$31:$F$400,'Étape 1 - à remplir'!$E$31:$E$400,MASQ2!O287,'Étape 1 - à remplir'!$G$31:$G$400,"animaux"),SUMIFS('Étape 1 - à remplir'!$F$31:$F$400,'Étape 1 - à remplir'!$E$31:$E$400,MASQ2!O287,'Étape 1 - à remplir'!$O$31:$O$400,X$3)),IF(X$2="Espèce",IF(X$3="Toutes",SUMIFS('Étape 1 - à remplir'!$F$31:$F$400,'Étape 1 - à remplir'!$E$31:$E$400,MASQ2!O287,'Étape 1 - à remplir'!$G$31:$G$400,"animaux"),SUMIFS('Étape 1 - à remplir'!$F$31:$F$400,'Étape 1 - à remplir'!$E$31:$E$400,MASQ2!O287,'Étape 1 - à remplir'!$N$31:$N$400,X$3))))))=0,NA(),IF(X$2="Catégorie",IF(X$3="Toutes",SUMIFS('Étape 1 - à remplir'!$F$31:$F$400,'Étape 1 - à remplir'!$E$31:$E$400,MASQ2!O287,'Étape 1 - à remplir'!$G$31:$G$400,"animaux"),SUMIFS('Étape 1 - à remplir'!$F$31:$F$400,'Étape 1 - à remplir'!$E$31:$E$400,MASQ2!O287,'Étape 1 - à remplir'!$C$31:$C$400,X$3)),IF(X$2="Âge",IF(X$3="Tous",SUMIFS('Étape 1 - à remplir'!$F$31:$F$400,'Étape 1 - à remplir'!$E$31:$E$400,MASQ2!O287,'Étape 1 - à remplir'!$G$31:$G$400,"animaux"),SUMIFS('Étape 1 - à remplir'!$F$31:$F$400,'Étape 1 - à remplir'!$E$31:$E$400,MASQ2!O287,'Étape 1 - à remplir'!$P$31:$P$400,X$3)),IF(X$2="Atelier",IF(X$3="Tous",SUMIFS('Étape 1 - à remplir'!$F$31:$F$400,'Étape 1 - à remplir'!$E$31:$E$400,MASQ2!O287,'Étape 1 - à remplir'!$G$31:$G$400,"animaux"),SUMIFS('Étape 1 - à remplir'!$F$31:$F$400,'Étape 1 - à remplir'!$E$31:$E$400,MASQ2!O287,'Étape 1 - à remplir'!$O$31:$O$400,X$3)),IF(X$2="Espèce",IF(X$3="Toutes",SUMIFS('Étape 1 - à remplir'!$F$31:$F$400,'Étape 1 - à remplir'!$E$31:$E$400,MASQ2!O287,'Étape 1 - à remplir'!$G$31:$G$400,"animaux"),SUMIFS('Étape 1 - à remplir'!$F$31:$F$400,'Étape 1 - à remplir'!$E$31:$E$400,MASQ2!O287,'Étape 1 - à remplir'!$N$31:$N$400,X$3)))))))</f>
        <v>#N/A</v>
      </c>
      <c r="Q287" s="63">
        <f t="shared" si="235"/>
        <v>0</v>
      </c>
      <c r="R287" t="str">
        <f>Données_ATB!BM286</f>
        <v>Tulathromycine</v>
      </c>
      <c r="S287" t="str">
        <f>Données_ATB!BN286</f>
        <v/>
      </c>
      <c r="T287" s="63" t="str">
        <f>Données_ATB!BO286</f>
        <v/>
      </c>
      <c r="U287" s="42" t="str">
        <f>Données_ATB!BQ286</f>
        <v>Macrolides</v>
      </c>
      <c r="V287" t="str">
        <f>Données_ATB!BR286</f>
        <v/>
      </c>
      <c r="W287" s="63" t="str">
        <f>Données_ATB!BS286</f>
        <v/>
      </c>
      <c r="Z287" s="42">
        <v>284</v>
      </c>
      <c r="AA287" t="e">
        <f t="shared" si="231"/>
        <v>#N/A</v>
      </c>
      <c r="AB287" s="63" t="e">
        <f t="shared" si="232"/>
        <v>#N/A</v>
      </c>
      <c r="BF287" s="63"/>
      <c r="BT287" s="194" t="str">
        <f t="shared" ca="1" si="215"/>
        <v/>
      </c>
      <c r="BU287" s="219" t="str">
        <f>IFERROR(IF(BX287=0,"",COUNTIF(BX$4:BX$600,"&gt;"&amp;BX287)+COUNTIF(BX$4:BX287,BX287)),"")</f>
        <v/>
      </c>
      <c r="BV287" s="42" t="str">
        <f t="shared" si="216"/>
        <v>LYDAXX 100 MG/ML SOLUTION INJECTABLE POUR BOVINS PORCINS ET OVINS</v>
      </c>
      <c r="BW287" t="e">
        <f>IF(IF(CE$2="Catégorie",IF(CE$3="Toutes",SUMIFS('Étape 1 - à remplir'!$F$31:$F$400,'Étape 1 - à remplir'!$E$31:$E$400,MASQ2!BV287,'Étape 1 - à remplir'!$G$31:$G$400,"lots"),SUMIFS('Étape 1 - à remplir'!$F$31:$F$400,'Étape 1 - à remplir'!$E$31:$E$400,MASQ2!BV287,'Étape 1 - à remplir'!$C$31:$C$400,CE$3)),IF(CE$2="Âge",IF(CE$3="Tous",SUMIFS('Étape 1 - à remplir'!$F$31:$F$400,'Étape 1 - à remplir'!$E$31:$E$400,MASQ2!BV287,'Étape 1 - à remplir'!$G$31:$G$400,"lots"),SUMIFS('Étape 1 - à remplir'!$F$31:$F$400,'Étape 1 - à remplir'!$E$31:$E$400,MASQ2!BV287,'Étape 1 - à remplir'!$P$31:$P$400,CE$3,'Étape 1 - à remplir'!$G$31:$G$400,"lots")),IF(CE$2="Atelier",IF(CE$3="Tous",SUMIFS('Étape 1 - à remplir'!$F$31:$F$400,'Étape 1 - à remplir'!$E$31:$E$400,MASQ2!BV287,'Étape 1 - à remplir'!$G$31:$G$400,"lots"),SUMIFS('Étape 1 - à remplir'!$F$31:$F$400,'Étape 1 - à remplir'!$E$31:$E$400,MASQ2!BV287,'Étape 1 - à remplir'!$O$31:$O$400,CE$3,'Étape 1 - à remplir'!$G$31:$G$400,"lots")),IF(CE$2="Espèce",IF(CE$3="Toutes",SUMIFS('Étape 1 - à remplir'!$F$31:$F$400,'Étape 1 - à remplir'!$E$31:$E$400,MASQ2!BV287,'Étape 1 - à remplir'!$G$31:$G$400,"lots"),SUMIFS('Étape 1 - à remplir'!$F$31:$F$400,'Étape 1 - à remplir'!$E$31:$E$400,MASQ2!BV287,'Étape 1 - à remplir'!$N$31:$N$400,CE$3,'Étape 1 - à remplir'!$G$31:$G$400,"lots"))))))=0,NA(),IF(CE$2="Catégorie",IF(CE$3="Toutes",SUMIFS('Étape 1 - à remplir'!$F$31:$F$400,'Étape 1 - à remplir'!$E$31:$E$400,MASQ2!BV287,'Étape 1 - à remplir'!$G$31:$G$400,"lots"),SUMIFS('Étape 1 - à remplir'!$F$31:$F$400,'Étape 1 - à remplir'!$E$31:$E$400,MASQ2!BV287,'Étape 1 - à remplir'!$C$31:$C$400,CE$3)),IF(CE$2="Âge",IF(CE$3="Tous",SUMIFS('Étape 1 - à remplir'!$F$31:$F$400,'Étape 1 - à remplir'!$E$31:$E$400,MASQ2!BV287,'Étape 1 - à remplir'!$G$31:$G$400,"lots"),SUMIFS('Étape 1 - à remplir'!$F$31:$F$400,'Étape 1 - à remplir'!$E$31:$E$400,MASQ2!BV287,'Étape 1 - à remplir'!$P$31:$P$400,CE$3,'Étape 1 - à remplir'!$G$31:$G$400,"lots")),IF(CE$2="Atelier",IF(CE$3="Tous",SUMIFS('Étape 1 - à remplir'!$F$31:$F$400,'Étape 1 - à remplir'!$E$31:$E$400,MASQ2!BV287,'Étape 1 - à remplir'!$G$31:$G$400,"lots"),SUMIFS('Étape 1 - à remplir'!$F$31:$F$400,'Étape 1 - à remplir'!$E$31:$E$400,MASQ2!BV287,'Étape 1 - à remplir'!$O$31:$O$400,CE$3,'Étape 1 - à remplir'!$G$31:$G$400,"lots")),IF(CE$2="Espèce",IF(CE$3="Toutes",SUMIFS('Étape 1 - à remplir'!$F$31:$F$400,'Étape 1 - à remplir'!$E$31:$E$400,MASQ2!BV287,'Étape 1 - à remplir'!$G$31:$G$400,"lots"),SUMIFS('Étape 1 - à remplir'!$F$31:$F$400,'Étape 1 - à remplir'!$E$31:$E$400,MASQ2!BV287,'Étape 1 - à remplir'!$N$31:$N$400,CE$3,'Étape 1 - à remplir'!$G$31:$G$400,"lots")))))))</f>
        <v>#N/A</v>
      </c>
      <c r="BX287">
        <f t="shared" si="233"/>
        <v>0</v>
      </c>
      <c r="BY287" t="str">
        <f t="shared" si="217"/>
        <v>Tulathromycine</v>
      </c>
      <c r="BZ287" t="str">
        <f t="shared" si="218"/>
        <v/>
      </c>
      <c r="CA287" t="str">
        <f t="shared" si="219"/>
        <v/>
      </c>
      <c r="CB287" t="str">
        <f t="shared" si="220"/>
        <v>Macrolides</v>
      </c>
      <c r="CC287" t="str">
        <f t="shared" si="221"/>
        <v/>
      </c>
      <c r="CD287" s="63" t="str">
        <f t="shared" si="222"/>
        <v/>
      </c>
      <c r="CG287" s="42">
        <v>284</v>
      </c>
      <c r="CH287" s="42" t="e">
        <f t="shared" si="238"/>
        <v>#N/A</v>
      </c>
      <c r="CI287" s="63" t="e">
        <f t="shared" si="239"/>
        <v>#N/A</v>
      </c>
      <c r="DM287" s="63"/>
      <c r="EA287" s="194" t="str">
        <f t="shared" ca="1" si="223"/>
        <v/>
      </c>
      <c r="EB287" s="226" t="str">
        <f>IFERROR(IF(ED287=0,"",COUNTIF(ED$4:ED$600,"&gt;"&amp;ED287)+COUNTIF(ED$4:ED287,ED287)),"")</f>
        <v/>
      </c>
      <c r="EC287" t="str">
        <f t="shared" si="224"/>
        <v>LYDAXX 100 MG/ML SOLUTION INJECTABLE POUR BOVINS PORCINS ET OVINS</v>
      </c>
      <c r="ED287" t="e">
        <f>IF(IF(EL$2="Catégorie",IF(EL$3="Toutes",SUMIFS('Étape 1 - à remplir'!$F$31:$F$400,'Étape 1 - à remplir'!$E$31:$E$400,MASQ2!EC287,'Étape 1 - à remplir'!$G$31:$G$400,"kg"),SUMIFS('Étape 1 - à remplir'!$F$31:$F$400,'Étape 1 - à remplir'!$E$31:$E$400,MASQ2!EC287,'Étape 1 - à remplir'!$C$31:$C$400,EL$3)),IF(EL$2="Âge",IF(EL$3="Tous",SUMIFS('Étape 1 - à remplir'!$F$31:$F$400,'Étape 1 - à remplir'!$E$31:$E$400,MASQ2!EC287,'Étape 1 - à remplir'!$G$31:$G$400,"kg"),SUMIFS('Étape 1 - à remplir'!$F$31:$F$400,'Étape 1 - à remplir'!$E$31:$E$400,MASQ2!EC287,'Étape 1 - à remplir'!$P$31:$P$400,EL$3,'Étape 1 - à remplir'!$G$31:$G$400,"kg")),IF(EL$2="Atelier",IF(EL$3="Tous",SUMIFS('Étape 1 - à remplir'!$F$31:$F$400,'Étape 1 - à remplir'!$E$31:$E$400,MASQ2!EC287,'Étape 1 - à remplir'!$G$31:$G$400,"kg"),SUMIFS('Étape 1 - à remplir'!$F$31:$F$400,'Étape 1 - à remplir'!$E$31:$E$400,MASQ2!EC287,'Étape 1 - à remplir'!$O$31:$O$400,EL$3,'Étape 1 - à remplir'!$G$31:$G$400,"kg")),IF(EL$2="Espèce",IF(EL$3="Toutes",SUMIFS('Étape 1 - à remplir'!$F$31:$F$400,'Étape 1 - à remplir'!$E$31:$E$400,MASQ2!EC287,'Étape 1 - à remplir'!$G$31:$G$400,"kg"),SUMIFS('Étape 1 - à remplir'!$F$31:$F$400,'Étape 1 - à remplir'!$E$31:$E$400,MASQ2!EC287,'Étape 1 - à remplir'!$N$31:$N$400,EL$3,'Étape 1 - à remplir'!$G$31:$G$400,"kg"))))))=0,NA(),IF(EL$2="Catégorie",IF(EL$3="Toutes",SUMIFS('Étape 1 - à remplir'!$F$31:$F$400,'Étape 1 - à remplir'!$E$31:$E$400,MASQ2!EC287,'Étape 1 - à remplir'!$G$31:$G$400,"kg"),SUMIFS('Étape 1 - à remplir'!$F$31:$F$400,'Étape 1 - à remplir'!$E$31:$E$400,MASQ2!EC287,'Étape 1 - à remplir'!$C$31:$C$400,EL$3)),IF(EL$2="Âge",IF(EL$3="Tous",SUMIFS('Étape 1 - à remplir'!$F$31:$F$400,'Étape 1 - à remplir'!$E$31:$E$400,MASQ2!EC287,'Étape 1 - à remplir'!$G$31:$G$400,"kg"),SUMIFS('Étape 1 - à remplir'!$F$31:$F$400,'Étape 1 - à remplir'!$E$31:$E$400,MASQ2!EC287,'Étape 1 - à remplir'!$P$31:$P$400,EL$3,'Étape 1 - à remplir'!$G$31:$G$400,"kg")),IF(EL$2="Atelier",IF(EL$3="Tous",SUMIFS('Étape 1 - à remplir'!$F$31:$F$400,'Étape 1 - à remplir'!$E$31:$E$400,MASQ2!EC287,'Étape 1 - à remplir'!$G$31:$G$400,"kg"),SUMIFS('Étape 1 - à remplir'!$F$31:$F$400,'Étape 1 - à remplir'!$E$31:$E$400,MASQ2!EC287,'Étape 1 - à remplir'!$O$31:$O$400,EL$3,'Étape 1 - à remplir'!$G$31:$G$400,"kg")),IF(EL$2="Espèce",IF(EL$3="Toutes",SUMIFS('Étape 1 - à remplir'!$F$31:$F$400,'Étape 1 - à remplir'!$E$31:$E$400,MASQ2!EC287,'Étape 1 - à remplir'!$G$31:$G$400,"kg"),SUMIFS('Étape 1 - à remplir'!$F$31:$F$400,'Étape 1 - à remplir'!$E$31:$E$400,MASQ2!EC287,'Étape 1 - à remplir'!$N$31:$N$400,EL$3,'Étape 1 - à remplir'!$G$31:$G$400,"kg")))))))</f>
        <v>#N/A</v>
      </c>
      <c r="EE287" s="76">
        <f t="shared" si="234"/>
        <v>0</v>
      </c>
      <c r="EF287" t="str">
        <f t="shared" si="225"/>
        <v>Tulathromycine</v>
      </c>
      <c r="EG287" t="str">
        <f t="shared" si="226"/>
        <v/>
      </c>
      <c r="EH287" t="str">
        <f t="shared" si="227"/>
        <v/>
      </c>
      <c r="EI287" t="str">
        <f t="shared" si="228"/>
        <v>Macrolides</v>
      </c>
      <c r="EJ287" t="str">
        <f t="shared" si="229"/>
        <v/>
      </c>
      <c r="EK287" s="63" t="str">
        <f t="shared" si="230"/>
        <v/>
      </c>
      <c r="EN287" s="42">
        <v>284</v>
      </c>
      <c r="EO287" t="e">
        <f t="shared" si="236"/>
        <v>#N/A</v>
      </c>
      <c r="EP287" s="63" t="e">
        <f t="shared" si="237"/>
        <v>#N/A</v>
      </c>
      <c r="FT287" s="63"/>
    </row>
    <row r="288" spans="2:176" x14ac:dyDescent="0.3">
      <c r="B288" s="42"/>
      <c r="M288" s="194" t="str">
        <f ca="1">INDEX(Données_ATB!BD:BU,MATCH(MASQ2!O288,Données_ATB!BD:BD,0),18)</f>
        <v/>
      </c>
      <c r="N288" s="14" t="str">
        <f>IFERROR(IF(Q288=0,"",COUNTIF(Q$4:Q$600,"&gt;"&amp;Q288)+COUNTIF(Q$4:Q288,Q288)),"")</f>
        <v/>
      </c>
      <c r="O288" t="str">
        <f>Données_ATB!BD287</f>
        <v>MACROSYN 100 MG/ML SOLUTION INJECTABLE POUR BOVINS, PORCINS ET OVINS</v>
      </c>
      <c r="P288" t="e">
        <f>IF(IF(X$2="Catégorie",IF(X$3="Toutes",SUMIFS('Étape 1 - à remplir'!$F$31:$F$400,'Étape 1 - à remplir'!$E$31:$E$400,MASQ2!O288,'Étape 1 - à remplir'!$G$31:$G$400,"animaux"),SUMIFS('Étape 1 - à remplir'!$F$31:$F$400,'Étape 1 - à remplir'!$E$31:$E$400,MASQ2!O288,'Étape 1 - à remplir'!$C$31:$C$400,X$3)),IF(X$2="Âge",IF(X$3="Tous",SUMIFS('Étape 1 - à remplir'!$F$31:$F$400,'Étape 1 - à remplir'!$E$31:$E$400,MASQ2!O288,'Étape 1 - à remplir'!$G$31:$G$400,"animaux"),SUMIFS('Étape 1 - à remplir'!$F$31:$F$400,'Étape 1 - à remplir'!$E$31:$E$400,MASQ2!O288,'Étape 1 - à remplir'!$P$31:$P$400,X$3)),IF(X$2="Atelier",IF(X$3="Tous",SUMIFS('Étape 1 - à remplir'!$F$31:$F$400,'Étape 1 - à remplir'!$E$31:$E$400,MASQ2!O288,'Étape 1 - à remplir'!$G$31:$G$400,"animaux"),SUMIFS('Étape 1 - à remplir'!$F$31:$F$400,'Étape 1 - à remplir'!$E$31:$E$400,MASQ2!O288,'Étape 1 - à remplir'!$O$31:$O$400,X$3)),IF(X$2="Espèce",IF(X$3="Toutes",SUMIFS('Étape 1 - à remplir'!$F$31:$F$400,'Étape 1 - à remplir'!$E$31:$E$400,MASQ2!O288,'Étape 1 - à remplir'!$G$31:$G$400,"animaux"),SUMIFS('Étape 1 - à remplir'!$F$31:$F$400,'Étape 1 - à remplir'!$E$31:$E$400,MASQ2!O288,'Étape 1 - à remplir'!$N$31:$N$400,X$3))))))=0,NA(),IF(X$2="Catégorie",IF(X$3="Toutes",SUMIFS('Étape 1 - à remplir'!$F$31:$F$400,'Étape 1 - à remplir'!$E$31:$E$400,MASQ2!O288,'Étape 1 - à remplir'!$G$31:$G$400,"animaux"),SUMIFS('Étape 1 - à remplir'!$F$31:$F$400,'Étape 1 - à remplir'!$E$31:$E$400,MASQ2!O288,'Étape 1 - à remplir'!$C$31:$C$400,X$3)),IF(X$2="Âge",IF(X$3="Tous",SUMIFS('Étape 1 - à remplir'!$F$31:$F$400,'Étape 1 - à remplir'!$E$31:$E$400,MASQ2!O288,'Étape 1 - à remplir'!$G$31:$G$400,"animaux"),SUMIFS('Étape 1 - à remplir'!$F$31:$F$400,'Étape 1 - à remplir'!$E$31:$E$400,MASQ2!O288,'Étape 1 - à remplir'!$P$31:$P$400,X$3)),IF(X$2="Atelier",IF(X$3="Tous",SUMIFS('Étape 1 - à remplir'!$F$31:$F$400,'Étape 1 - à remplir'!$E$31:$E$400,MASQ2!O288,'Étape 1 - à remplir'!$G$31:$G$400,"animaux"),SUMIFS('Étape 1 - à remplir'!$F$31:$F$400,'Étape 1 - à remplir'!$E$31:$E$400,MASQ2!O288,'Étape 1 - à remplir'!$O$31:$O$400,X$3)),IF(X$2="Espèce",IF(X$3="Toutes",SUMIFS('Étape 1 - à remplir'!$F$31:$F$400,'Étape 1 - à remplir'!$E$31:$E$400,MASQ2!O288,'Étape 1 - à remplir'!$G$31:$G$400,"animaux"),SUMIFS('Étape 1 - à remplir'!$F$31:$F$400,'Étape 1 - à remplir'!$E$31:$E$400,MASQ2!O288,'Étape 1 - à remplir'!$N$31:$N$400,X$3)))))))</f>
        <v>#N/A</v>
      </c>
      <c r="Q288" s="63">
        <f t="shared" si="235"/>
        <v>0</v>
      </c>
      <c r="R288" t="str">
        <f>Données_ATB!BM287</f>
        <v>Tulathromycine</v>
      </c>
      <c r="S288" t="str">
        <f>Données_ATB!BN287</f>
        <v/>
      </c>
      <c r="T288" s="63" t="str">
        <f>Données_ATB!BO287</f>
        <v/>
      </c>
      <c r="U288" s="42" t="str">
        <f>Données_ATB!BQ287</f>
        <v>Macrolides</v>
      </c>
      <c r="V288" t="str">
        <f>Données_ATB!BR287</f>
        <v/>
      </c>
      <c r="W288" s="63" t="str">
        <f>Données_ATB!BS287</f>
        <v/>
      </c>
      <c r="Z288" s="42">
        <v>285</v>
      </c>
      <c r="AA288" t="e">
        <f t="shared" si="231"/>
        <v>#N/A</v>
      </c>
      <c r="AB288" s="63" t="e">
        <f t="shared" si="232"/>
        <v>#N/A</v>
      </c>
      <c r="BF288" s="63"/>
      <c r="BT288" s="194" t="str">
        <f t="shared" ca="1" si="215"/>
        <v/>
      </c>
      <c r="BU288" s="219" t="str">
        <f>IFERROR(IF(BX288=0,"",COUNTIF(BX$4:BX$600,"&gt;"&amp;BX288)+COUNTIF(BX$4:BX288,BX288)),"")</f>
        <v/>
      </c>
      <c r="BV288" s="42" t="str">
        <f t="shared" si="216"/>
        <v>MACROSYN 100 MG/ML SOLUTION INJECTABLE POUR BOVINS, PORCINS ET OVINS</v>
      </c>
      <c r="BW288" t="e">
        <f>IF(IF(CE$2="Catégorie",IF(CE$3="Toutes",SUMIFS('Étape 1 - à remplir'!$F$31:$F$400,'Étape 1 - à remplir'!$E$31:$E$400,MASQ2!BV288,'Étape 1 - à remplir'!$G$31:$G$400,"lots"),SUMIFS('Étape 1 - à remplir'!$F$31:$F$400,'Étape 1 - à remplir'!$E$31:$E$400,MASQ2!BV288,'Étape 1 - à remplir'!$C$31:$C$400,CE$3)),IF(CE$2="Âge",IF(CE$3="Tous",SUMIFS('Étape 1 - à remplir'!$F$31:$F$400,'Étape 1 - à remplir'!$E$31:$E$400,MASQ2!BV288,'Étape 1 - à remplir'!$G$31:$G$400,"lots"),SUMIFS('Étape 1 - à remplir'!$F$31:$F$400,'Étape 1 - à remplir'!$E$31:$E$400,MASQ2!BV288,'Étape 1 - à remplir'!$P$31:$P$400,CE$3,'Étape 1 - à remplir'!$G$31:$G$400,"lots")),IF(CE$2="Atelier",IF(CE$3="Tous",SUMIFS('Étape 1 - à remplir'!$F$31:$F$400,'Étape 1 - à remplir'!$E$31:$E$400,MASQ2!BV288,'Étape 1 - à remplir'!$G$31:$G$400,"lots"),SUMIFS('Étape 1 - à remplir'!$F$31:$F$400,'Étape 1 - à remplir'!$E$31:$E$400,MASQ2!BV288,'Étape 1 - à remplir'!$O$31:$O$400,CE$3,'Étape 1 - à remplir'!$G$31:$G$400,"lots")),IF(CE$2="Espèce",IF(CE$3="Toutes",SUMIFS('Étape 1 - à remplir'!$F$31:$F$400,'Étape 1 - à remplir'!$E$31:$E$400,MASQ2!BV288,'Étape 1 - à remplir'!$G$31:$G$400,"lots"),SUMIFS('Étape 1 - à remplir'!$F$31:$F$400,'Étape 1 - à remplir'!$E$31:$E$400,MASQ2!BV288,'Étape 1 - à remplir'!$N$31:$N$400,CE$3,'Étape 1 - à remplir'!$G$31:$G$400,"lots"))))))=0,NA(),IF(CE$2="Catégorie",IF(CE$3="Toutes",SUMIFS('Étape 1 - à remplir'!$F$31:$F$400,'Étape 1 - à remplir'!$E$31:$E$400,MASQ2!BV288,'Étape 1 - à remplir'!$G$31:$G$400,"lots"),SUMIFS('Étape 1 - à remplir'!$F$31:$F$400,'Étape 1 - à remplir'!$E$31:$E$400,MASQ2!BV288,'Étape 1 - à remplir'!$C$31:$C$400,CE$3)),IF(CE$2="Âge",IF(CE$3="Tous",SUMIFS('Étape 1 - à remplir'!$F$31:$F$400,'Étape 1 - à remplir'!$E$31:$E$400,MASQ2!BV288,'Étape 1 - à remplir'!$G$31:$G$400,"lots"),SUMIFS('Étape 1 - à remplir'!$F$31:$F$400,'Étape 1 - à remplir'!$E$31:$E$400,MASQ2!BV288,'Étape 1 - à remplir'!$P$31:$P$400,CE$3,'Étape 1 - à remplir'!$G$31:$G$400,"lots")),IF(CE$2="Atelier",IF(CE$3="Tous",SUMIFS('Étape 1 - à remplir'!$F$31:$F$400,'Étape 1 - à remplir'!$E$31:$E$400,MASQ2!BV288,'Étape 1 - à remplir'!$G$31:$G$400,"lots"),SUMIFS('Étape 1 - à remplir'!$F$31:$F$400,'Étape 1 - à remplir'!$E$31:$E$400,MASQ2!BV288,'Étape 1 - à remplir'!$O$31:$O$400,CE$3,'Étape 1 - à remplir'!$G$31:$G$400,"lots")),IF(CE$2="Espèce",IF(CE$3="Toutes",SUMIFS('Étape 1 - à remplir'!$F$31:$F$400,'Étape 1 - à remplir'!$E$31:$E$400,MASQ2!BV288,'Étape 1 - à remplir'!$G$31:$G$400,"lots"),SUMIFS('Étape 1 - à remplir'!$F$31:$F$400,'Étape 1 - à remplir'!$E$31:$E$400,MASQ2!BV288,'Étape 1 - à remplir'!$N$31:$N$400,CE$3,'Étape 1 - à remplir'!$G$31:$G$400,"lots")))))))</f>
        <v>#N/A</v>
      </c>
      <c r="BX288">
        <f t="shared" si="233"/>
        <v>0</v>
      </c>
      <c r="BY288" t="str">
        <f t="shared" si="217"/>
        <v>Tulathromycine</v>
      </c>
      <c r="BZ288" t="str">
        <f t="shared" si="218"/>
        <v/>
      </c>
      <c r="CA288" t="str">
        <f t="shared" si="219"/>
        <v/>
      </c>
      <c r="CB288" t="str">
        <f t="shared" si="220"/>
        <v>Macrolides</v>
      </c>
      <c r="CC288" t="str">
        <f t="shared" si="221"/>
        <v/>
      </c>
      <c r="CD288" s="63" t="str">
        <f t="shared" si="222"/>
        <v/>
      </c>
      <c r="CG288" s="42">
        <v>285</v>
      </c>
      <c r="CH288" s="42" t="e">
        <f t="shared" si="238"/>
        <v>#N/A</v>
      </c>
      <c r="CI288" s="63" t="e">
        <f t="shared" si="239"/>
        <v>#N/A</v>
      </c>
      <c r="DM288" s="63"/>
      <c r="EA288" s="194" t="str">
        <f t="shared" ca="1" si="223"/>
        <v/>
      </c>
      <c r="EB288" s="226" t="str">
        <f>IFERROR(IF(ED288=0,"",COUNTIF(ED$4:ED$600,"&gt;"&amp;ED288)+COUNTIF(ED$4:ED288,ED288)),"")</f>
        <v/>
      </c>
      <c r="EC288" t="str">
        <f t="shared" si="224"/>
        <v>MACROSYN 100 MG/ML SOLUTION INJECTABLE POUR BOVINS, PORCINS ET OVINS</v>
      </c>
      <c r="ED288" t="e">
        <f>IF(IF(EL$2="Catégorie",IF(EL$3="Toutes",SUMIFS('Étape 1 - à remplir'!$F$31:$F$400,'Étape 1 - à remplir'!$E$31:$E$400,MASQ2!EC288,'Étape 1 - à remplir'!$G$31:$G$400,"kg"),SUMIFS('Étape 1 - à remplir'!$F$31:$F$400,'Étape 1 - à remplir'!$E$31:$E$400,MASQ2!EC288,'Étape 1 - à remplir'!$C$31:$C$400,EL$3)),IF(EL$2="Âge",IF(EL$3="Tous",SUMIFS('Étape 1 - à remplir'!$F$31:$F$400,'Étape 1 - à remplir'!$E$31:$E$400,MASQ2!EC288,'Étape 1 - à remplir'!$G$31:$G$400,"kg"),SUMIFS('Étape 1 - à remplir'!$F$31:$F$400,'Étape 1 - à remplir'!$E$31:$E$400,MASQ2!EC288,'Étape 1 - à remplir'!$P$31:$P$400,EL$3,'Étape 1 - à remplir'!$G$31:$G$400,"kg")),IF(EL$2="Atelier",IF(EL$3="Tous",SUMIFS('Étape 1 - à remplir'!$F$31:$F$400,'Étape 1 - à remplir'!$E$31:$E$400,MASQ2!EC288,'Étape 1 - à remplir'!$G$31:$G$400,"kg"),SUMIFS('Étape 1 - à remplir'!$F$31:$F$400,'Étape 1 - à remplir'!$E$31:$E$400,MASQ2!EC288,'Étape 1 - à remplir'!$O$31:$O$400,EL$3,'Étape 1 - à remplir'!$G$31:$G$400,"kg")),IF(EL$2="Espèce",IF(EL$3="Toutes",SUMIFS('Étape 1 - à remplir'!$F$31:$F$400,'Étape 1 - à remplir'!$E$31:$E$400,MASQ2!EC288,'Étape 1 - à remplir'!$G$31:$G$400,"kg"),SUMIFS('Étape 1 - à remplir'!$F$31:$F$400,'Étape 1 - à remplir'!$E$31:$E$400,MASQ2!EC288,'Étape 1 - à remplir'!$N$31:$N$400,EL$3,'Étape 1 - à remplir'!$G$31:$G$400,"kg"))))))=0,NA(),IF(EL$2="Catégorie",IF(EL$3="Toutes",SUMIFS('Étape 1 - à remplir'!$F$31:$F$400,'Étape 1 - à remplir'!$E$31:$E$400,MASQ2!EC288,'Étape 1 - à remplir'!$G$31:$G$400,"kg"),SUMIFS('Étape 1 - à remplir'!$F$31:$F$400,'Étape 1 - à remplir'!$E$31:$E$400,MASQ2!EC288,'Étape 1 - à remplir'!$C$31:$C$400,EL$3)),IF(EL$2="Âge",IF(EL$3="Tous",SUMIFS('Étape 1 - à remplir'!$F$31:$F$400,'Étape 1 - à remplir'!$E$31:$E$400,MASQ2!EC288,'Étape 1 - à remplir'!$G$31:$G$400,"kg"),SUMIFS('Étape 1 - à remplir'!$F$31:$F$400,'Étape 1 - à remplir'!$E$31:$E$400,MASQ2!EC288,'Étape 1 - à remplir'!$P$31:$P$400,EL$3,'Étape 1 - à remplir'!$G$31:$G$400,"kg")),IF(EL$2="Atelier",IF(EL$3="Tous",SUMIFS('Étape 1 - à remplir'!$F$31:$F$400,'Étape 1 - à remplir'!$E$31:$E$400,MASQ2!EC288,'Étape 1 - à remplir'!$G$31:$G$400,"kg"),SUMIFS('Étape 1 - à remplir'!$F$31:$F$400,'Étape 1 - à remplir'!$E$31:$E$400,MASQ2!EC288,'Étape 1 - à remplir'!$O$31:$O$400,EL$3,'Étape 1 - à remplir'!$G$31:$G$400,"kg")),IF(EL$2="Espèce",IF(EL$3="Toutes",SUMIFS('Étape 1 - à remplir'!$F$31:$F$400,'Étape 1 - à remplir'!$E$31:$E$400,MASQ2!EC288,'Étape 1 - à remplir'!$G$31:$G$400,"kg"),SUMIFS('Étape 1 - à remplir'!$F$31:$F$400,'Étape 1 - à remplir'!$E$31:$E$400,MASQ2!EC288,'Étape 1 - à remplir'!$N$31:$N$400,EL$3,'Étape 1 - à remplir'!$G$31:$G$400,"kg")))))))</f>
        <v>#N/A</v>
      </c>
      <c r="EE288" s="76">
        <f t="shared" si="234"/>
        <v>0</v>
      </c>
      <c r="EF288" t="str">
        <f t="shared" si="225"/>
        <v>Tulathromycine</v>
      </c>
      <c r="EG288" t="str">
        <f t="shared" si="226"/>
        <v/>
      </c>
      <c r="EH288" t="str">
        <f t="shared" si="227"/>
        <v/>
      </c>
      <c r="EI288" t="str">
        <f t="shared" si="228"/>
        <v>Macrolides</v>
      </c>
      <c r="EJ288" t="str">
        <f t="shared" si="229"/>
        <v/>
      </c>
      <c r="EK288" s="63" t="str">
        <f t="shared" si="230"/>
        <v/>
      </c>
      <c r="EN288" s="42">
        <v>285</v>
      </c>
      <c r="EO288" t="e">
        <f t="shared" si="236"/>
        <v>#N/A</v>
      </c>
      <c r="EP288" s="63" t="e">
        <f t="shared" si="237"/>
        <v>#N/A</v>
      </c>
      <c r="FT288" s="63"/>
    </row>
    <row r="289" spans="2:176" x14ac:dyDescent="0.3">
      <c r="B289" s="42"/>
      <c r="M289" s="194" t="str">
        <f ca="1">INDEX(Données_ATB!BD:BU,MATCH(MASQ2!O289,Données_ATB!BD:BD,0),18)</f>
        <v>x</v>
      </c>
      <c r="N289" s="14" t="str">
        <f>IFERROR(IF(Q289=0,"",COUNTIF(Q$4:Q$600,"&gt;"&amp;Q289)+COUNTIF(Q$4:Q289,Q289)),"")</f>
        <v/>
      </c>
      <c r="O289" t="str">
        <f>Données_ATB!BD288</f>
        <v>MAMMITEL</v>
      </c>
      <c r="P289" t="e">
        <f>IF(IF(X$2="Catégorie",IF(X$3="Toutes",SUMIFS('Étape 1 - à remplir'!$F$31:$F$400,'Étape 1 - à remplir'!$E$31:$E$400,MASQ2!O289,'Étape 1 - à remplir'!$G$31:$G$400,"animaux"),SUMIFS('Étape 1 - à remplir'!$F$31:$F$400,'Étape 1 - à remplir'!$E$31:$E$400,MASQ2!O289,'Étape 1 - à remplir'!$C$31:$C$400,X$3)),IF(X$2="Âge",IF(X$3="Tous",SUMIFS('Étape 1 - à remplir'!$F$31:$F$400,'Étape 1 - à remplir'!$E$31:$E$400,MASQ2!O289,'Étape 1 - à remplir'!$G$31:$G$400,"animaux"),SUMIFS('Étape 1 - à remplir'!$F$31:$F$400,'Étape 1 - à remplir'!$E$31:$E$400,MASQ2!O289,'Étape 1 - à remplir'!$P$31:$P$400,X$3)),IF(X$2="Atelier",IF(X$3="Tous",SUMIFS('Étape 1 - à remplir'!$F$31:$F$400,'Étape 1 - à remplir'!$E$31:$E$400,MASQ2!O289,'Étape 1 - à remplir'!$G$31:$G$400,"animaux"),SUMIFS('Étape 1 - à remplir'!$F$31:$F$400,'Étape 1 - à remplir'!$E$31:$E$400,MASQ2!O289,'Étape 1 - à remplir'!$O$31:$O$400,X$3)),IF(X$2="Espèce",IF(X$3="Toutes",SUMIFS('Étape 1 - à remplir'!$F$31:$F$400,'Étape 1 - à remplir'!$E$31:$E$400,MASQ2!O289,'Étape 1 - à remplir'!$G$31:$G$400,"animaux"),SUMIFS('Étape 1 - à remplir'!$F$31:$F$400,'Étape 1 - à remplir'!$E$31:$E$400,MASQ2!O289,'Étape 1 - à remplir'!$N$31:$N$400,X$3))))))=0,NA(),IF(X$2="Catégorie",IF(X$3="Toutes",SUMIFS('Étape 1 - à remplir'!$F$31:$F$400,'Étape 1 - à remplir'!$E$31:$E$400,MASQ2!O289,'Étape 1 - à remplir'!$G$31:$G$400,"animaux"),SUMIFS('Étape 1 - à remplir'!$F$31:$F$400,'Étape 1 - à remplir'!$E$31:$E$400,MASQ2!O289,'Étape 1 - à remplir'!$C$31:$C$400,X$3)),IF(X$2="Âge",IF(X$3="Tous",SUMIFS('Étape 1 - à remplir'!$F$31:$F$400,'Étape 1 - à remplir'!$E$31:$E$400,MASQ2!O289,'Étape 1 - à remplir'!$G$31:$G$400,"animaux"),SUMIFS('Étape 1 - à remplir'!$F$31:$F$400,'Étape 1 - à remplir'!$E$31:$E$400,MASQ2!O289,'Étape 1 - à remplir'!$P$31:$P$400,X$3)),IF(X$2="Atelier",IF(X$3="Tous",SUMIFS('Étape 1 - à remplir'!$F$31:$F$400,'Étape 1 - à remplir'!$E$31:$E$400,MASQ2!O289,'Étape 1 - à remplir'!$G$31:$G$400,"animaux"),SUMIFS('Étape 1 - à remplir'!$F$31:$F$400,'Étape 1 - à remplir'!$E$31:$E$400,MASQ2!O289,'Étape 1 - à remplir'!$O$31:$O$400,X$3)),IF(X$2="Espèce",IF(X$3="Toutes",SUMIFS('Étape 1 - à remplir'!$F$31:$F$400,'Étape 1 - à remplir'!$E$31:$E$400,MASQ2!O289,'Étape 1 - à remplir'!$G$31:$G$400,"animaux"),SUMIFS('Étape 1 - à remplir'!$F$31:$F$400,'Étape 1 - à remplir'!$E$31:$E$400,MASQ2!O289,'Étape 1 - à remplir'!$N$31:$N$400,X$3)))))))</f>
        <v>#N/A</v>
      </c>
      <c r="Q289" s="63">
        <f t="shared" si="235"/>
        <v>0</v>
      </c>
      <c r="R289" t="str">
        <f>Données_ATB!BM288</f>
        <v>Cloxacilline</v>
      </c>
      <c r="S289" t="str">
        <f>Données_ATB!BN288</f>
        <v>Colistine</v>
      </c>
      <c r="T289" s="63" t="str">
        <f>Données_ATB!BO288</f>
        <v/>
      </c>
      <c r="U289" s="42" t="str">
        <f>Données_ATB!BQ288</f>
        <v>Penicillines</v>
      </c>
      <c r="V289" t="str">
        <f>Données_ATB!BR288</f>
        <v>Polypeptides</v>
      </c>
      <c r="W289" s="63" t="str">
        <f>Données_ATB!BS288</f>
        <v/>
      </c>
      <c r="Z289" s="42">
        <v>286</v>
      </c>
      <c r="AA289" t="e">
        <f t="shared" si="231"/>
        <v>#N/A</v>
      </c>
      <c r="AB289" s="63" t="e">
        <f t="shared" si="232"/>
        <v>#N/A</v>
      </c>
      <c r="BF289" s="63"/>
      <c r="BT289" s="194" t="str">
        <f t="shared" ca="1" si="215"/>
        <v>x</v>
      </c>
      <c r="BU289" s="219" t="str">
        <f>IFERROR(IF(BX289=0,"",COUNTIF(BX$4:BX$600,"&gt;"&amp;BX289)+COUNTIF(BX$4:BX289,BX289)),"")</f>
        <v/>
      </c>
      <c r="BV289" s="42" t="str">
        <f t="shared" si="216"/>
        <v>MAMMITEL</v>
      </c>
      <c r="BW289" t="e">
        <f>IF(IF(CE$2="Catégorie",IF(CE$3="Toutes",SUMIFS('Étape 1 - à remplir'!$F$31:$F$400,'Étape 1 - à remplir'!$E$31:$E$400,MASQ2!BV289,'Étape 1 - à remplir'!$G$31:$G$400,"lots"),SUMIFS('Étape 1 - à remplir'!$F$31:$F$400,'Étape 1 - à remplir'!$E$31:$E$400,MASQ2!BV289,'Étape 1 - à remplir'!$C$31:$C$400,CE$3)),IF(CE$2="Âge",IF(CE$3="Tous",SUMIFS('Étape 1 - à remplir'!$F$31:$F$400,'Étape 1 - à remplir'!$E$31:$E$400,MASQ2!BV289,'Étape 1 - à remplir'!$G$31:$G$400,"lots"),SUMIFS('Étape 1 - à remplir'!$F$31:$F$400,'Étape 1 - à remplir'!$E$31:$E$400,MASQ2!BV289,'Étape 1 - à remplir'!$P$31:$P$400,CE$3,'Étape 1 - à remplir'!$G$31:$G$400,"lots")),IF(CE$2="Atelier",IF(CE$3="Tous",SUMIFS('Étape 1 - à remplir'!$F$31:$F$400,'Étape 1 - à remplir'!$E$31:$E$400,MASQ2!BV289,'Étape 1 - à remplir'!$G$31:$G$400,"lots"),SUMIFS('Étape 1 - à remplir'!$F$31:$F$400,'Étape 1 - à remplir'!$E$31:$E$400,MASQ2!BV289,'Étape 1 - à remplir'!$O$31:$O$400,CE$3,'Étape 1 - à remplir'!$G$31:$G$400,"lots")),IF(CE$2="Espèce",IF(CE$3="Toutes",SUMIFS('Étape 1 - à remplir'!$F$31:$F$400,'Étape 1 - à remplir'!$E$31:$E$400,MASQ2!BV289,'Étape 1 - à remplir'!$G$31:$G$400,"lots"),SUMIFS('Étape 1 - à remplir'!$F$31:$F$400,'Étape 1 - à remplir'!$E$31:$E$400,MASQ2!BV289,'Étape 1 - à remplir'!$N$31:$N$400,CE$3,'Étape 1 - à remplir'!$G$31:$G$400,"lots"))))))=0,NA(),IF(CE$2="Catégorie",IF(CE$3="Toutes",SUMIFS('Étape 1 - à remplir'!$F$31:$F$400,'Étape 1 - à remplir'!$E$31:$E$400,MASQ2!BV289,'Étape 1 - à remplir'!$G$31:$G$400,"lots"),SUMIFS('Étape 1 - à remplir'!$F$31:$F$400,'Étape 1 - à remplir'!$E$31:$E$400,MASQ2!BV289,'Étape 1 - à remplir'!$C$31:$C$400,CE$3)),IF(CE$2="Âge",IF(CE$3="Tous",SUMIFS('Étape 1 - à remplir'!$F$31:$F$400,'Étape 1 - à remplir'!$E$31:$E$400,MASQ2!BV289,'Étape 1 - à remplir'!$G$31:$G$400,"lots"),SUMIFS('Étape 1 - à remplir'!$F$31:$F$400,'Étape 1 - à remplir'!$E$31:$E$400,MASQ2!BV289,'Étape 1 - à remplir'!$P$31:$P$400,CE$3,'Étape 1 - à remplir'!$G$31:$G$400,"lots")),IF(CE$2="Atelier",IF(CE$3="Tous",SUMIFS('Étape 1 - à remplir'!$F$31:$F$400,'Étape 1 - à remplir'!$E$31:$E$400,MASQ2!BV289,'Étape 1 - à remplir'!$G$31:$G$400,"lots"),SUMIFS('Étape 1 - à remplir'!$F$31:$F$400,'Étape 1 - à remplir'!$E$31:$E$400,MASQ2!BV289,'Étape 1 - à remplir'!$O$31:$O$400,CE$3,'Étape 1 - à remplir'!$G$31:$G$400,"lots")),IF(CE$2="Espèce",IF(CE$3="Toutes",SUMIFS('Étape 1 - à remplir'!$F$31:$F$400,'Étape 1 - à remplir'!$E$31:$E$400,MASQ2!BV289,'Étape 1 - à remplir'!$G$31:$G$400,"lots"),SUMIFS('Étape 1 - à remplir'!$F$31:$F$400,'Étape 1 - à remplir'!$E$31:$E$400,MASQ2!BV289,'Étape 1 - à remplir'!$N$31:$N$400,CE$3,'Étape 1 - à remplir'!$G$31:$G$400,"lots")))))))</f>
        <v>#N/A</v>
      </c>
      <c r="BX289">
        <f t="shared" si="233"/>
        <v>0</v>
      </c>
      <c r="BY289" t="str">
        <f t="shared" si="217"/>
        <v>Cloxacilline</v>
      </c>
      <c r="BZ289" t="str">
        <f t="shared" si="218"/>
        <v>Colistine</v>
      </c>
      <c r="CA289" t="str">
        <f t="shared" si="219"/>
        <v/>
      </c>
      <c r="CB289" t="str">
        <f t="shared" si="220"/>
        <v>Penicillines</v>
      </c>
      <c r="CC289" t="str">
        <f t="shared" si="221"/>
        <v>Polypeptides</v>
      </c>
      <c r="CD289" s="63" t="str">
        <f t="shared" si="222"/>
        <v/>
      </c>
      <c r="CG289" s="42">
        <v>286</v>
      </c>
      <c r="CH289" s="42" t="e">
        <f t="shared" si="238"/>
        <v>#N/A</v>
      </c>
      <c r="CI289" s="63" t="e">
        <f t="shared" si="239"/>
        <v>#N/A</v>
      </c>
      <c r="DM289" s="63"/>
      <c r="EA289" s="194" t="str">
        <f t="shared" ca="1" si="223"/>
        <v>x</v>
      </c>
      <c r="EB289" s="226" t="str">
        <f>IFERROR(IF(ED289=0,"",COUNTIF(ED$4:ED$600,"&gt;"&amp;ED289)+COUNTIF(ED$4:ED289,ED289)),"")</f>
        <v/>
      </c>
      <c r="EC289" t="str">
        <f t="shared" si="224"/>
        <v>MAMMITEL</v>
      </c>
      <c r="ED289" t="e">
        <f>IF(IF(EL$2="Catégorie",IF(EL$3="Toutes",SUMIFS('Étape 1 - à remplir'!$F$31:$F$400,'Étape 1 - à remplir'!$E$31:$E$400,MASQ2!EC289,'Étape 1 - à remplir'!$G$31:$G$400,"kg"),SUMIFS('Étape 1 - à remplir'!$F$31:$F$400,'Étape 1 - à remplir'!$E$31:$E$400,MASQ2!EC289,'Étape 1 - à remplir'!$C$31:$C$400,EL$3)),IF(EL$2="Âge",IF(EL$3="Tous",SUMIFS('Étape 1 - à remplir'!$F$31:$F$400,'Étape 1 - à remplir'!$E$31:$E$400,MASQ2!EC289,'Étape 1 - à remplir'!$G$31:$G$400,"kg"),SUMIFS('Étape 1 - à remplir'!$F$31:$F$400,'Étape 1 - à remplir'!$E$31:$E$400,MASQ2!EC289,'Étape 1 - à remplir'!$P$31:$P$400,EL$3,'Étape 1 - à remplir'!$G$31:$G$400,"kg")),IF(EL$2="Atelier",IF(EL$3="Tous",SUMIFS('Étape 1 - à remplir'!$F$31:$F$400,'Étape 1 - à remplir'!$E$31:$E$400,MASQ2!EC289,'Étape 1 - à remplir'!$G$31:$G$400,"kg"),SUMIFS('Étape 1 - à remplir'!$F$31:$F$400,'Étape 1 - à remplir'!$E$31:$E$400,MASQ2!EC289,'Étape 1 - à remplir'!$O$31:$O$400,EL$3,'Étape 1 - à remplir'!$G$31:$G$400,"kg")),IF(EL$2="Espèce",IF(EL$3="Toutes",SUMIFS('Étape 1 - à remplir'!$F$31:$F$400,'Étape 1 - à remplir'!$E$31:$E$400,MASQ2!EC289,'Étape 1 - à remplir'!$G$31:$G$400,"kg"),SUMIFS('Étape 1 - à remplir'!$F$31:$F$400,'Étape 1 - à remplir'!$E$31:$E$400,MASQ2!EC289,'Étape 1 - à remplir'!$N$31:$N$400,EL$3,'Étape 1 - à remplir'!$G$31:$G$400,"kg"))))))=0,NA(),IF(EL$2="Catégorie",IF(EL$3="Toutes",SUMIFS('Étape 1 - à remplir'!$F$31:$F$400,'Étape 1 - à remplir'!$E$31:$E$400,MASQ2!EC289,'Étape 1 - à remplir'!$G$31:$G$400,"kg"),SUMIFS('Étape 1 - à remplir'!$F$31:$F$400,'Étape 1 - à remplir'!$E$31:$E$400,MASQ2!EC289,'Étape 1 - à remplir'!$C$31:$C$400,EL$3)),IF(EL$2="Âge",IF(EL$3="Tous",SUMIFS('Étape 1 - à remplir'!$F$31:$F$400,'Étape 1 - à remplir'!$E$31:$E$400,MASQ2!EC289,'Étape 1 - à remplir'!$G$31:$G$400,"kg"),SUMIFS('Étape 1 - à remplir'!$F$31:$F$400,'Étape 1 - à remplir'!$E$31:$E$400,MASQ2!EC289,'Étape 1 - à remplir'!$P$31:$P$400,EL$3,'Étape 1 - à remplir'!$G$31:$G$400,"kg")),IF(EL$2="Atelier",IF(EL$3="Tous",SUMIFS('Étape 1 - à remplir'!$F$31:$F$400,'Étape 1 - à remplir'!$E$31:$E$400,MASQ2!EC289,'Étape 1 - à remplir'!$G$31:$G$400,"kg"),SUMIFS('Étape 1 - à remplir'!$F$31:$F$400,'Étape 1 - à remplir'!$E$31:$E$400,MASQ2!EC289,'Étape 1 - à remplir'!$O$31:$O$400,EL$3,'Étape 1 - à remplir'!$G$31:$G$400,"kg")),IF(EL$2="Espèce",IF(EL$3="Toutes",SUMIFS('Étape 1 - à remplir'!$F$31:$F$400,'Étape 1 - à remplir'!$E$31:$E$400,MASQ2!EC289,'Étape 1 - à remplir'!$G$31:$G$400,"kg"),SUMIFS('Étape 1 - à remplir'!$F$31:$F$400,'Étape 1 - à remplir'!$E$31:$E$400,MASQ2!EC289,'Étape 1 - à remplir'!$N$31:$N$400,EL$3,'Étape 1 - à remplir'!$G$31:$G$400,"kg")))))))</f>
        <v>#N/A</v>
      </c>
      <c r="EE289" s="76">
        <f t="shared" si="234"/>
        <v>0</v>
      </c>
      <c r="EF289" t="str">
        <f t="shared" si="225"/>
        <v>Cloxacilline</v>
      </c>
      <c r="EG289" t="str">
        <f t="shared" si="226"/>
        <v>Colistine</v>
      </c>
      <c r="EH289" t="str">
        <f t="shared" si="227"/>
        <v/>
      </c>
      <c r="EI289" t="str">
        <f t="shared" si="228"/>
        <v>Penicillines</v>
      </c>
      <c r="EJ289" t="str">
        <f t="shared" si="229"/>
        <v>Polypeptides</v>
      </c>
      <c r="EK289" s="63" t="str">
        <f t="shared" si="230"/>
        <v/>
      </c>
      <c r="EN289" s="42">
        <v>286</v>
      </c>
      <c r="EO289" t="e">
        <f t="shared" si="236"/>
        <v>#N/A</v>
      </c>
      <c r="EP289" s="63" t="e">
        <f t="shared" si="237"/>
        <v>#N/A</v>
      </c>
      <c r="FT289" s="63"/>
    </row>
    <row r="290" spans="2:176" x14ac:dyDescent="0.3">
      <c r="B290" s="42"/>
      <c r="M290" s="194" t="str">
        <f ca="1">INDEX(Données_ATB!BD:BU,MATCH(MASQ2!O290,Données_ATB!BD:BD,0),18)</f>
        <v>x</v>
      </c>
      <c r="N290" s="14" t="str">
        <f>IFERROR(IF(Q290=0,"",COUNTIF(Q$4:Q$600,"&gt;"&amp;Q290)+COUNTIF(Q$4:Q290,Q290)),"")</f>
        <v/>
      </c>
      <c r="O290" t="str">
        <f>Données_ATB!BD289</f>
        <v>MARBOCARE 100 MG/ML SOLUTION INJECTABLE POUR BOVINS ET PORCINS</v>
      </c>
      <c r="P290" t="e">
        <f>IF(IF(X$2="Catégorie",IF(X$3="Toutes",SUMIFS('Étape 1 - à remplir'!$F$31:$F$400,'Étape 1 - à remplir'!$E$31:$E$400,MASQ2!O290,'Étape 1 - à remplir'!$G$31:$G$400,"animaux"),SUMIFS('Étape 1 - à remplir'!$F$31:$F$400,'Étape 1 - à remplir'!$E$31:$E$400,MASQ2!O290,'Étape 1 - à remplir'!$C$31:$C$400,X$3)),IF(X$2="Âge",IF(X$3="Tous",SUMIFS('Étape 1 - à remplir'!$F$31:$F$400,'Étape 1 - à remplir'!$E$31:$E$400,MASQ2!O290,'Étape 1 - à remplir'!$G$31:$G$400,"animaux"),SUMIFS('Étape 1 - à remplir'!$F$31:$F$400,'Étape 1 - à remplir'!$E$31:$E$400,MASQ2!O290,'Étape 1 - à remplir'!$P$31:$P$400,X$3)),IF(X$2="Atelier",IF(X$3="Tous",SUMIFS('Étape 1 - à remplir'!$F$31:$F$400,'Étape 1 - à remplir'!$E$31:$E$400,MASQ2!O290,'Étape 1 - à remplir'!$G$31:$G$400,"animaux"),SUMIFS('Étape 1 - à remplir'!$F$31:$F$400,'Étape 1 - à remplir'!$E$31:$E$400,MASQ2!O290,'Étape 1 - à remplir'!$O$31:$O$400,X$3)),IF(X$2="Espèce",IF(X$3="Toutes",SUMIFS('Étape 1 - à remplir'!$F$31:$F$400,'Étape 1 - à remplir'!$E$31:$E$400,MASQ2!O290,'Étape 1 - à remplir'!$G$31:$G$400,"animaux"),SUMIFS('Étape 1 - à remplir'!$F$31:$F$400,'Étape 1 - à remplir'!$E$31:$E$400,MASQ2!O290,'Étape 1 - à remplir'!$N$31:$N$400,X$3))))))=0,NA(),IF(X$2="Catégorie",IF(X$3="Toutes",SUMIFS('Étape 1 - à remplir'!$F$31:$F$400,'Étape 1 - à remplir'!$E$31:$E$400,MASQ2!O290,'Étape 1 - à remplir'!$G$31:$G$400,"animaux"),SUMIFS('Étape 1 - à remplir'!$F$31:$F$400,'Étape 1 - à remplir'!$E$31:$E$400,MASQ2!O290,'Étape 1 - à remplir'!$C$31:$C$400,X$3)),IF(X$2="Âge",IF(X$3="Tous",SUMIFS('Étape 1 - à remplir'!$F$31:$F$400,'Étape 1 - à remplir'!$E$31:$E$400,MASQ2!O290,'Étape 1 - à remplir'!$G$31:$G$400,"animaux"),SUMIFS('Étape 1 - à remplir'!$F$31:$F$400,'Étape 1 - à remplir'!$E$31:$E$400,MASQ2!O290,'Étape 1 - à remplir'!$P$31:$P$400,X$3)),IF(X$2="Atelier",IF(X$3="Tous",SUMIFS('Étape 1 - à remplir'!$F$31:$F$400,'Étape 1 - à remplir'!$E$31:$E$400,MASQ2!O290,'Étape 1 - à remplir'!$G$31:$G$400,"animaux"),SUMIFS('Étape 1 - à remplir'!$F$31:$F$400,'Étape 1 - à remplir'!$E$31:$E$400,MASQ2!O290,'Étape 1 - à remplir'!$O$31:$O$400,X$3)),IF(X$2="Espèce",IF(X$3="Toutes",SUMIFS('Étape 1 - à remplir'!$F$31:$F$400,'Étape 1 - à remplir'!$E$31:$E$400,MASQ2!O290,'Étape 1 - à remplir'!$G$31:$G$400,"animaux"),SUMIFS('Étape 1 - à remplir'!$F$31:$F$400,'Étape 1 - à remplir'!$E$31:$E$400,MASQ2!O290,'Étape 1 - à remplir'!$N$31:$N$400,X$3)))))))</f>
        <v>#N/A</v>
      </c>
      <c r="Q290" s="63">
        <f t="shared" si="235"/>
        <v>0</v>
      </c>
      <c r="R290" t="str">
        <f>Données_ATB!BM289</f>
        <v>Marbofloxacine</v>
      </c>
      <c r="S290" t="str">
        <f>Données_ATB!BN289</f>
        <v/>
      </c>
      <c r="T290" s="63" t="str">
        <f>Données_ATB!BO289</f>
        <v/>
      </c>
      <c r="U290" s="42" t="str">
        <f>Données_ATB!BQ289</f>
        <v>Fluoroquinolones</v>
      </c>
      <c r="V290" t="str">
        <f>Données_ATB!BR289</f>
        <v/>
      </c>
      <c r="W290" s="63" t="str">
        <f>Données_ATB!BS289</f>
        <v/>
      </c>
      <c r="Z290" s="42">
        <v>287</v>
      </c>
      <c r="AA290" t="e">
        <f t="shared" si="231"/>
        <v>#N/A</v>
      </c>
      <c r="AB290" s="63" t="e">
        <f t="shared" si="232"/>
        <v>#N/A</v>
      </c>
      <c r="BF290" s="63"/>
      <c r="BT290" s="194" t="str">
        <f t="shared" ca="1" si="215"/>
        <v>x</v>
      </c>
      <c r="BU290" s="219" t="str">
        <f>IFERROR(IF(BX290=0,"",COUNTIF(BX$4:BX$600,"&gt;"&amp;BX290)+COUNTIF(BX$4:BX290,BX290)),"")</f>
        <v/>
      </c>
      <c r="BV290" s="42" t="str">
        <f t="shared" si="216"/>
        <v>MARBOCARE 100 MG/ML SOLUTION INJECTABLE POUR BOVINS ET PORCINS</v>
      </c>
      <c r="BW290" t="e">
        <f>IF(IF(CE$2="Catégorie",IF(CE$3="Toutes",SUMIFS('Étape 1 - à remplir'!$F$31:$F$400,'Étape 1 - à remplir'!$E$31:$E$400,MASQ2!BV290,'Étape 1 - à remplir'!$G$31:$G$400,"lots"),SUMIFS('Étape 1 - à remplir'!$F$31:$F$400,'Étape 1 - à remplir'!$E$31:$E$400,MASQ2!BV290,'Étape 1 - à remplir'!$C$31:$C$400,CE$3)),IF(CE$2="Âge",IF(CE$3="Tous",SUMIFS('Étape 1 - à remplir'!$F$31:$F$400,'Étape 1 - à remplir'!$E$31:$E$400,MASQ2!BV290,'Étape 1 - à remplir'!$G$31:$G$400,"lots"),SUMIFS('Étape 1 - à remplir'!$F$31:$F$400,'Étape 1 - à remplir'!$E$31:$E$400,MASQ2!BV290,'Étape 1 - à remplir'!$P$31:$P$400,CE$3,'Étape 1 - à remplir'!$G$31:$G$400,"lots")),IF(CE$2="Atelier",IF(CE$3="Tous",SUMIFS('Étape 1 - à remplir'!$F$31:$F$400,'Étape 1 - à remplir'!$E$31:$E$400,MASQ2!BV290,'Étape 1 - à remplir'!$G$31:$G$400,"lots"),SUMIFS('Étape 1 - à remplir'!$F$31:$F$400,'Étape 1 - à remplir'!$E$31:$E$400,MASQ2!BV290,'Étape 1 - à remplir'!$O$31:$O$400,CE$3,'Étape 1 - à remplir'!$G$31:$G$400,"lots")),IF(CE$2="Espèce",IF(CE$3="Toutes",SUMIFS('Étape 1 - à remplir'!$F$31:$F$400,'Étape 1 - à remplir'!$E$31:$E$400,MASQ2!BV290,'Étape 1 - à remplir'!$G$31:$G$400,"lots"),SUMIFS('Étape 1 - à remplir'!$F$31:$F$400,'Étape 1 - à remplir'!$E$31:$E$400,MASQ2!BV290,'Étape 1 - à remplir'!$N$31:$N$400,CE$3,'Étape 1 - à remplir'!$G$31:$G$400,"lots"))))))=0,NA(),IF(CE$2="Catégorie",IF(CE$3="Toutes",SUMIFS('Étape 1 - à remplir'!$F$31:$F$400,'Étape 1 - à remplir'!$E$31:$E$400,MASQ2!BV290,'Étape 1 - à remplir'!$G$31:$G$400,"lots"),SUMIFS('Étape 1 - à remplir'!$F$31:$F$400,'Étape 1 - à remplir'!$E$31:$E$400,MASQ2!BV290,'Étape 1 - à remplir'!$C$31:$C$400,CE$3)),IF(CE$2="Âge",IF(CE$3="Tous",SUMIFS('Étape 1 - à remplir'!$F$31:$F$400,'Étape 1 - à remplir'!$E$31:$E$400,MASQ2!BV290,'Étape 1 - à remplir'!$G$31:$G$400,"lots"),SUMIFS('Étape 1 - à remplir'!$F$31:$F$400,'Étape 1 - à remplir'!$E$31:$E$400,MASQ2!BV290,'Étape 1 - à remplir'!$P$31:$P$400,CE$3,'Étape 1 - à remplir'!$G$31:$G$400,"lots")),IF(CE$2="Atelier",IF(CE$3="Tous",SUMIFS('Étape 1 - à remplir'!$F$31:$F$400,'Étape 1 - à remplir'!$E$31:$E$400,MASQ2!BV290,'Étape 1 - à remplir'!$G$31:$G$400,"lots"),SUMIFS('Étape 1 - à remplir'!$F$31:$F$400,'Étape 1 - à remplir'!$E$31:$E$400,MASQ2!BV290,'Étape 1 - à remplir'!$O$31:$O$400,CE$3,'Étape 1 - à remplir'!$G$31:$G$400,"lots")),IF(CE$2="Espèce",IF(CE$3="Toutes",SUMIFS('Étape 1 - à remplir'!$F$31:$F$400,'Étape 1 - à remplir'!$E$31:$E$400,MASQ2!BV290,'Étape 1 - à remplir'!$G$31:$G$400,"lots"),SUMIFS('Étape 1 - à remplir'!$F$31:$F$400,'Étape 1 - à remplir'!$E$31:$E$400,MASQ2!BV290,'Étape 1 - à remplir'!$N$31:$N$400,CE$3,'Étape 1 - à remplir'!$G$31:$G$400,"lots")))))))</f>
        <v>#N/A</v>
      </c>
      <c r="BX290">
        <f t="shared" si="233"/>
        <v>0</v>
      </c>
      <c r="BY290" t="str">
        <f t="shared" si="217"/>
        <v>Marbofloxacine</v>
      </c>
      <c r="BZ290" t="str">
        <f t="shared" si="218"/>
        <v/>
      </c>
      <c r="CA290" t="str">
        <f t="shared" si="219"/>
        <v/>
      </c>
      <c r="CB290" t="str">
        <f t="shared" si="220"/>
        <v>Fluoroquinolones</v>
      </c>
      <c r="CC290" t="str">
        <f t="shared" si="221"/>
        <v/>
      </c>
      <c r="CD290" s="63" t="str">
        <f t="shared" si="222"/>
        <v/>
      </c>
      <c r="CG290" s="42">
        <v>287</v>
      </c>
      <c r="CH290" s="42" t="e">
        <f t="shared" si="238"/>
        <v>#N/A</v>
      </c>
      <c r="CI290" s="63" t="e">
        <f t="shared" si="239"/>
        <v>#N/A</v>
      </c>
      <c r="DM290" s="63"/>
      <c r="EA290" s="194" t="str">
        <f t="shared" ca="1" si="223"/>
        <v>x</v>
      </c>
      <c r="EB290" s="226" t="str">
        <f>IFERROR(IF(ED290=0,"",COUNTIF(ED$4:ED$600,"&gt;"&amp;ED290)+COUNTIF(ED$4:ED290,ED290)),"")</f>
        <v/>
      </c>
      <c r="EC290" t="str">
        <f t="shared" si="224"/>
        <v>MARBOCARE 100 MG/ML SOLUTION INJECTABLE POUR BOVINS ET PORCINS</v>
      </c>
      <c r="ED290" t="e">
        <f>IF(IF(EL$2="Catégorie",IF(EL$3="Toutes",SUMIFS('Étape 1 - à remplir'!$F$31:$F$400,'Étape 1 - à remplir'!$E$31:$E$400,MASQ2!EC290,'Étape 1 - à remplir'!$G$31:$G$400,"kg"),SUMIFS('Étape 1 - à remplir'!$F$31:$F$400,'Étape 1 - à remplir'!$E$31:$E$400,MASQ2!EC290,'Étape 1 - à remplir'!$C$31:$C$400,EL$3)),IF(EL$2="Âge",IF(EL$3="Tous",SUMIFS('Étape 1 - à remplir'!$F$31:$F$400,'Étape 1 - à remplir'!$E$31:$E$400,MASQ2!EC290,'Étape 1 - à remplir'!$G$31:$G$400,"kg"),SUMIFS('Étape 1 - à remplir'!$F$31:$F$400,'Étape 1 - à remplir'!$E$31:$E$400,MASQ2!EC290,'Étape 1 - à remplir'!$P$31:$P$400,EL$3,'Étape 1 - à remplir'!$G$31:$G$400,"kg")),IF(EL$2="Atelier",IF(EL$3="Tous",SUMIFS('Étape 1 - à remplir'!$F$31:$F$400,'Étape 1 - à remplir'!$E$31:$E$400,MASQ2!EC290,'Étape 1 - à remplir'!$G$31:$G$400,"kg"),SUMIFS('Étape 1 - à remplir'!$F$31:$F$400,'Étape 1 - à remplir'!$E$31:$E$400,MASQ2!EC290,'Étape 1 - à remplir'!$O$31:$O$400,EL$3,'Étape 1 - à remplir'!$G$31:$G$400,"kg")),IF(EL$2="Espèce",IF(EL$3="Toutes",SUMIFS('Étape 1 - à remplir'!$F$31:$F$400,'Étape 1 - à remplir'!$E$31:$E$400,MASQ2!EC290,'Étape 1 - à remplir'!$G$31:$G$400,"kg"),SUMIFS('Étape 1 - à remplir'!$F$31:$F$400,'Étape 1 - à remplir'!$E$31:$E$400,MASQ2!EC290,'Étape 1 - à remplir'!$N$31:$N$400,EL$3,'Étape 1 - à remplir'!$G$31:$G$400,"kg"))))))=0,NA(),IF(EL$2="Catégorie",IF(EL$3="Toutes",SUMIFS('Étape 1 - à remplir'!$F$31:$F$400,'Étape 1 - à remplir'!$E$31:$E$400,MASQ2!EC290,'Étape 1 - à remplir'!$G$31:$G$400,"kg"),SUMIFS('Étape 1 - à remplir'!$F$31:$F$400,'Étape 1 - à remplir'!$E$31:$E$400,MASQ2!EC290,'Étape 1 - à remplir'!$C$31:$C$400,EL$3)),IF(EL$2="Âge",IF(EL$3="Tous",SUMIFS('Étape 1 - à remplir'!$F$31:$F$400,'Étape 1 - à remplir'!$E$31:$E$400,MASQ2!EC290,'Étape 1 - à remplir'!$G$31:$G$400,"kg"),SUMIFS('Étape 1 - à remplir'!$F$31:$F$400,'Étape 1 - à remplir'!$E$31:$E$400,MASQ2!EC290,'Étape 1 - à remplir'!$P$31:$P$400,EL$3,'Étape 1 - à remplir'!$G$31:$G$400,"kg")),IF(EL$2="Atelier",IF(EL$3="Tous",SUMIFS('Étape 1 - à remplir'!$F$31:$F$400,'Étape 1 - à remplir'!$E$31:$E$400,MASQ2!EC290,'Étape 1 - à remplir'!$G$31:$G$400,"kg"),SUMIFS('Étape 1 - à remplir'!$F$31:$F$400,'Étape 1 - à remplir'!$E$31:$E$400,MASQ2!EC290,'Étape 1 - à remplir'!$O$31:$O$400,EL$3,'Étape 1 - à remplir'!$G$31:$G$400,"kg")),IF(EL$2="Espèce",IF(EL$3="Toutes",SUMIFS('Étape 1 - à remplir'!$F$31:$F$400,'Étape 1 - à remplir'!$E$31:$E$400,MASQ2!EC290,'Étape 1 - à remplir'!$G$31:$G$400,"kg"),SUMIFS('Étape 1 - à remplir'!$F$31:$F$400,'Étape 1 - à remplir'!$E$31:$E$400,MASQ2!EC290,'Étape 1 - à remplir'!$N$31:$N$400,EL$3,'Étape 1 - à remplir'!$G$31:$G$400,"kg")))))))</f>
        <v>#N/A</v>
      </c>
      <c r="EE290" s="76">
        <f t="shared" si="234"/>
        <v>0</v>
      </c>
      <c r="EF290" t="str">
        <f t="shared" si="225"/>
        <v>Marbofloxacine</v>
      </c>
      <c r="EG290" t="str">
        <f t="shared" si="226"/>
        <v/>
      </c>
      <c r="EH290" t="str">
        <f t="shared" si="227"/>
        <v/>
      </c>
      <c r="EI290" t="str">
        <f t="shared" si="228"/>
        <v>Fluoroquinolones</v>
      </c>
      <c r="EJ290" t="str">
        <f t="shared" si="229"/>
        <v/>
      </c>
      <c r="EK290" s="63" t="str">
        <f t="shared" si="230"/>
        <v/>
      </c>
      <c r="EN290" s="42">
        <v>287</v>
      </c>
      <c r="EO290" t="e">
        <f t="shared" si="236"/>
        <v>#N/A</v>
      </c>
      <c r="EP290" s="63" t="e">
        <f t="shared" si="237"/>
        <v>#N/A</v>
      </c>
      <c r="FT290" s="63"/>
    </row>
    <row r="291" spans="2:176" x14ac:dyDescent="0.3">
      <c r="B291" s="42"/>
      <c r="M291" s="194" t="str">
        <f ca="1">INDEX(Données_ATB!BD:BU,MATCH(MASQ2!O291,Données_ATB!BD:BD,0),18)</f>
        <v>x</v>
      </c>
      <c r="N291" s="14" t="str">
        <f>IFERROR(IF(Q291=0,"",COUNTIF(Q$4:Q$600,"&gt;"&amp;Q291)+COUNTIF(Q$4:Q291,Q291)),"")</f>
        <v/>
      </c>
      <c r="O291" t="str">
        <f>Données_ATB!BD290</f>
        <v>MARBOCARE 20 MG/ML SOLUTION INJECTABLE POUR BOVINS ET PORCINS</v>
      </c>
      <c r="P291" t="e">
        <f>IF(IF(X$2="Catégorie",IF(X$3="Toutes",SUMIFS('Étape 1 - à remplir'!$F$31:$F$400,'Étape 1 - à remplir'!$E$31:$E$400,MASQ2!O291,'Étape 1 - à remplir'!$G$31:$G$400,"animaux"),SUMIFS('Étape 1 - à remplir'!$F$31:$F$400,'Étape 1 - à remplir'!$E$31:$E$400,MASQ2!O291,'Étape 1 - à remplir'!$C$31:$C$400,X$3)),IF(X$2="Âge",IF(X$3="Tous",SUMIFS('Étape 1 - à remplir'!$F$31:$F$400,'Étape 1 - à remplir'!$E$31:$E$400,MASQ2!O291,'Étape 1 - à remplir'!$G$31:$G$400,"animaux"),SUMIFS('Étape 1 - à remplir'!$F$31:$F$400,'Étape 1 - à remplir'!$E$31:$E$400,MASQ2!O291,'Étape 1 - à remplir'!$P$31:$P$400,X$3)),IF(X$2="Atelier",IF(X$3="Tous",SUMIFS('Étape 1 - à remplir'!$F$31:$F$400,'Étape 1 - à remplir'!$E$31:$E$400,MASQ2!O291,'Étape 1 - à remplir'!$G$31:$G$400,"animaux"),SUMIFS('Étape 1 - à remplir'!$F$31:$F$400,'Étape 1 - à remplir'!$E$31:$E$400,MASQ2!O291,'Étape 1 - à remplir'!$O$31:$O$400,X$3)),IF(X$2="Espèce",IF(X$3="Toutes",SUMIFS('Étape 1 - à remplir'!$F$31:$F$400,'Étape 1 - à remplir'!$E$31:$E$400,MASQ2!O291,'Étape 1 - à remplir'!$G$31:$G$400,"animaux"),SUMIFS('Étape 1 - à remplir'!$F$31:$F$400,'Étape 1 - à remplir'!$E$31:$E$400,MASQ2!O291,'Étape 1 - à remplir'!$N$31:$N$400,X$3))))))=0,NA(),IF(X$2="Catégorie",IF(X$3="Toutes",SUMIFS('Étape 1 - à remplir'!$F$31:$F$400,'Étape 1 - à remplir'!$E$31:$E$400,MASQ2!O291,'Étape 1 - à remplir'!$G$31:$G$400,"animaux"),SUMIFS('Étape 1 - à remplir'!$F$31:$F$400,'Étape 1 - à remplir'!$E$31:$E$400,MASQ2!O291,'Étape 1 - à remplir'!$C$31:$C$400,X$3)),IF(X$2="Âge",IF(X$3="Tous",SUMIFS('Étape 1 - à remplir'!$F$31:$F$400,'Étape 1 - à remplir'!$E$31:$E$400,MASQ2!O291,'Étape 1 - à remplir'!$G$31:$G$400,"animaux"),SUMIFS('Étape 1 - à remplir'!$F$31:$F$400,'Étape 1 - à remplir'!$E$31:$E$400,MASQ2!O291,'Étape 1 - à remplir'!$P$31:$P$400,X$3)),IF(X$2="Atelier",IF(X$3="Tous",SUMIFS('Étape 1 - à remplir'!$F$31:$F$400,'Étape 1 - à remplir'!$E$31:$E$400,MASQ2!O291,'Étape 1 - à remplir'!$G$31:$G$400,"animaux"),SUMIFS('Étape 1 - à remplir'!$F$31:$F$400,'Étape 1 - à remplir'!$E$31:$E$400,MASQ2!O291,'Étape 1 - à remplir'!$O$31:$O$400,X$3)),IF(X$2="Espèce",IF(X$3="Toutes",SUMIFS('Étape 1 - à remplir'!$F$31:$F$400,'Étape 1 - à remplir'!$E$31:$E$400,MASQ2!O291,'Étape 1 - à remplir'!$G$31:$G$400,"animaux"),SUMIFS('Étape 1 - à remplir'!$F$31:$F$400,'Étape 1 - à remplir'!$E$31:$E$400,MASQ2!O291,'Étape 1 - à remplir'!$N$31:$N$400,X$3)))))))</f>
        <v>#N/A</v>
      </c>
      <c r="Q291" s="63">
        <f t="shared" si="235"/>
        <v>0</v>
      </c>
      <c r="R291" t="str">
        <f>Données_ATB!BM290</f>
        <v>Marbofloxacine</v>
      </c>
      <c r="S291" t="str">
        <f>Données_ATB!BN290</f>
        <v/>
      </c>
      <c r="T291" s="63" t="str">
        <f>Données_ATB!BO290</f>
        <v/>
      </c>
      <c r="U291" s="42" t="str">
        <f>Données_ATB!BQ290</f>
        <v>Fluoroquinolones</v>
      </c>
      <c r="V291" t="str">
        <f>Données_ATB!BR290</f>
        <v/>
      </c>
      <c r="W291" s="63" t="str">
        <f>Données_ATB!BS290</f>
        <v/>
      </c>
      <c r="Z291" s="42">
        <v>288</v>
      </c>
      <c r="AA291" t="e">
        <f t="shared" si="231"/>
        <v>#N/A</v>
      </c>
      <c r="AB291" s="63" t="e">
        <f t="shared" si="232"/>
        <v>#N/A</v>
      </c>
      <c r="BF291" s="63"/>
      <c r="BT291" s="194" t="str">
        <f t="shared" ca="1" si="215"/>
        <v>x</v>
      </c>
      <c r="BU291" s="219" t="str">
        <f>IFERROR(IF(BX291=0,"",COUNTIF(BX$4:BX$600,"&gt;"&amp;BX291)+COUNTIF(BX$4:BX291,BX291)),"")</f>
        <v/>
      </c>
      <c r="BV291" s="42" t="str">
        <f t="shared" si="216"/>
        <v>MARBOCARE 20 MG/ML SOLUTION INJECTABLE POUR BOVINS ET PORCINS</v>
      </c>
      <c r="BW291" t="e">
        <f>IF(IF(CE$2="Catégorie",IF(CE$3="Toutes",SUMIFS('Étape 1 - à remplir'!$F$31:$F$400,'Étape 1 - à remplir'!$E$31:$E$400,MASQ2!BV291,'Étape 1 - à remplir'!$G$31:$G$400,"lots"),SUMIFS('Étape 1 - à remplir'!$F$31:$F$400,'Étape 1 - à remplir'!$E$31:$E$400,MASQ2!BV291,'Étape 1 - à remplir'!$C$31:$C$400,CE$3)),IF(CE$2="Âge",IF(CE$3="Tous",SUMIFS('Étape 1 - à remplir'!$F$31:$F$400,'Étape 1 - à remplir'!$E$31:$E$400,MASQ2!BV291,'Étape 1 - à remplir'!$G$31:$G$400,"lots"),SUMIFS('Étape 1 - à remplir'!$F$31:$F$400,'Étape 1 - à remplir'!$E$31:$E$400,MASQ2!BV291,'Étape 1 - à remplir'!$P$31:$P$400,CE$3,'Étape 1 - à remplir'!$G$31:$G$400,"lots")),IF(CE$2="Atelier",IF(CE$3="Tous",SUMIFS('Étape 1 - à remplir'!$F$31:$F$400,'Étape 1 - à remplir'!$E$31:$E$400,MASQ2!BV291,'Étape 1 - à remplir'!$G$31:$G$400,"lots"),SUMIFS('Étape 1 - à remplir'!$F$31:$F$400,'Étape 1 - à remplir'!$E$31:$E$400,MASQ2!BV291,'Étape 1 - à remplir'!$O$31:$O$400,CE$3,'Étape 1 - à remplir'!$G$31:$G$400,"lots")),IF(CE$2="Espèce",IF(CE$3="Toutes",SUMIFS('Étape 1 - à remplir'!$F$31:$F$400,'Étape 1 - à remplir'!$E$31:$E$400,MASQ2!BV291,'Étape 1 - à remplir'!$G$31:$G$400,"lots"),SUMIFS('Étape 1 - à remplir'!$F$31:$F$400,'Étape 1 - à remplir'!$E$31:$E$400,MASQ2!BV291,'Étape 1 - à remplir'!$N$31:$N$400,CE$3,'Étape 1 - à remplir'!$G$31:$G$400,"lots"))))))=0,NA(),IF(CE$2="Catégorie",IF(CE$3="Toutes",SUMIFS('Étape 1 - à remplir'!$F$31:$F$400,'Étape 1 - à remplir'!$E$31:$E$400,MASQ2!BV291,'Étape 1 - à remplir'!$G$31:$G$400,"lots"),SUMIFS('Étape 1 - à remplir'!$F$31:$F$400,'Étape 1 - à remplir'!$E$31:$E$400,MASQ2!BV291,'Étape 1 - à remplir'!$C$31:$C$400,CE$3)),IF(CE$2="Âge",IF(CE$3="Tous",SUMIFS('Étape 1 - à remplir'!$F$31:$F$400,'Étape 1 - à remplir'!$E$31:$E$400,MASQ2!BV291,'Étape 1 - à remplir'!$G$31:$G$400,"lots"),SUMIFS('Étape 1 - à remplir'!$F$31:$F$400,'Étape 1 - à remplir'!$E$31:$E$400,MASQ2!BV291,'Étape 1 - à remplir'!$P$31:$P$400,CE$3,'Étape 1 - à remplir'!$G$31:$G$400,"lots")),IF(CE$2="Atelier",IF(CE$3="Tous",SUMIFS('Étape 1 - à remplir'!$F$31:$F$400,'Étape 1 - à remplir'!$E$31:$E$400,MASQ2!BV291,'Étape 1 - à remplir'!$G$31:$G$400,"lots"),SUMIFS('Étape 1 - à remplir'!$F$31:$F$400,'Étape 1 - à remplir'!$E$31:$E$400,MASQ2!BV291,'Étape 1 - à remplir'!$O$31:$O$400,CE$3,'Étape 1 - à remplir'!$G$31:$G$400,"lots")),IF(CE$2="Espèce",IF(CE$3="Toutes",SUMIFS('Étape 1 - à remplir'!$F$31:$F$400,'Étape 1 - à remplir'!$E$31:$E$400,MASQ2!BV291,'Étape 1 - à remplir'!$G$31:$G$400,"lots"),SUMIFS('Étape 1 - à remplir'!$F$31:$F$400,'Étape 1 - à remplir'!$E$31:$E$400,MASQ2!BV291,'Étape 1 - à remplir'!$N$31:$N$400,CE$3,'Étape 1 - à remplir'!$G$31:$G$400,"lots")))))))</f>
        <v>#N/A</v>
      </c>
      <c r="BX291">
        <f t="shared" si="233"/>
        <v>0</v>
      </c>
      <c r="BY291" t="str">
        <f t="shared" si="217"/>
        <v>Marbofloxacine</v>
      </c>
      <c r="BZ291" t="str">
        <f t="shared" si="218"/>
        <v/>
      </c>
      <c r="CA291" t="str">
        <f t="shared" si="219"/>
        <v/>
      </c>
      <c r="CB291" t="str">
        <f t="shared" si="220"/>
        <v>Fluoroquinolones</v>
      </c>
      <c r="CC291" t="str">
        <f t="shared" si="221"/>
        <v/>
      </c>
      <c r="CD291" s="63" t="str">
        <f t="shared" si="222"/>
        <v/>
      </c>
      <c r="CG291" s="42">
        <v>288</v>
      </c>
      <c r="CH291" s="42" t="e">
        <f t="shared" si="238"/>
        <v>#N/A</v>
      </c>
      <c r="CI291" s="63" t="e">
        <f t="shared" si="239"/>
        <v>#N/A</v>
      </c>
      <c r="DM291" s="63"/>
      <c r="EA291" s="194" t="str">
        <f t="shared" ca="1" si="223"/>
        <v>x</v>
      </c>
      <c r="EB291" s="226" t="str">
        <f>IFERROR(IF(ED291=0,"",COUNTIF(ED$4:ED$600,"&gt;"&amp;ED291)+COUNTIF(ED$4:ED291,ED291)),"")</f>
        <v/>
      </c>
      <c r="EC291" t="str">
        <f t="shared" si="224"/>
        <v>MARBOCARE 20 MG/ML SOLUTION INJECTABLE POUR BOVINS ET PORCINS</v>
      </c>
      <c r="ED291" t="e">
        <f>IF(IF(EL$2="Catégorie",IF(EL$3="Toutes",SUMIFS('Étape 1 - à remplir'!$F$31:$F$400,'Étape 1 - à remplir'!$E$31:$E$400,MASQ2!EC291,'Étape 1 - à remplir'!$G$31:$G$400,"kg"),SUMIFS('Étape 1 - à remplir'!$F$31:$F$400,'Étape 1 - à remplir'!$E$31:$E$400,MASQ2!EC291,'Étape 1 - à remplir'!$C$31:$C$400,EL$3)),IF(EL$2="Âge",IF(EL$3="Tous",SUMIFS('Étape 1 - à remplir'!$F$31:$F$400,'Étape 1 - à remplir'!$E$31:$E$400,MASQ2!EC291,'Étape 1 - à remplir'!$G$31:$G$400,"kg"),SUMIFS('Étape 1 - à remplir'!$F$31:$F$400,'Étape 1 - à remplir'!$E$31:$E$400,MASQ2!EC291,'Étape 1 - à remplir'!$P$31:$P$400,EL$3,'Étape 1 - à remplir'!$G$31:$G$400,"kg")),IF(EL$2="Atelier",IF(EL$3="Tous",SUMIFS('Étape 1 - à remplir'!$F$31:$F$400,'Étape 1 - à remplir'!$E$31:$E$400,MASQ2!EC291,'Étape 1 - à remplir'!$G$31:$G$400,"kg"),SUMIFS('Étape 1 - à remplir'!$F$31:$F$400,'Étape 1 - à remplir'!$E$31:$E$400,MASQ2!EC291,'Étape 1 - à remplir'!$O$31:$O$400,EL$3,'Étape 1 - à remplir'!$G$31:$G$400,"kg")),IF(EL$2="Espèce",IF(EL$3="Toutes",SUMIFS('Étape 1 - à remplir'!$F$31:$F$400,'Étape 1 - à remplir'!$E$31:$E$400,MASQ2!EC291,'Étape 1 - à remplir'!$G$31:$G$400,"kg"),SUMIFS('Étape 1 - à remplir'!$F$31:$F$400,'Étape 1 - à remplir'!$E$31:$E$400,MASQ2!EC291,'Étape 1 - à remplir'!$N$31:$N$400,EL$3,'Étape 1 - à remplir'!$G$31:$G$400,"kg"))))))=0,NA(),IF(EL$2="Catégorie",IF(EL$3="Toutes",SUMIFS('Étape 1 - à remplir'!$F$31:$F$400,'Étape 1 - à remplir'!$E$31:$E$400,MASQ2!EC291,'Étape 1 - à remplir'!$G$31:$G$400,"kg"),SUMIFS('Étape 1 - à remplir'!$F$31:$F$400,'Étape 1 - à remplir'!$E$31:$E$400,MASQ2!EC291,'Étape 1 - à remplir'!$C$31:$C$400,EL$3)),IF(EL$2="Âge",IF(EL$3="Tous",SUMIFS('Étape 1 - à remplir'!$F$31:$F$400,'Étape 1 - à remplir'!$E$31:$E$400,MASQ2!EC291,'Étape 1 - à remplir'!$G$31:$G$400,"kg"),SUMIFS('Étape 1 - à remplir'!$F$31:$F$400,'Étape 1 - à remplir'!$E$31:$E$400,MASQ2!EC291,'Étape 1 - à remplir'!$P$31:$P$400,EL$3,'Étape 1 - à remplir'!$G$31:$G$400,"kg")),IF(EL$2="Atelier",IF(EL$3="Tous",SUMIFS('Étape 1 - à remplir'!$F$31:$F$400,'Étape 1 - à remplir'!$E$31:$E$400,MASQ2!EC291,'Étape 1 - à remplir'!$G$31:$G$400,"kg"),SUMIFS('Étape 1 - à remplir'!$F$31:$F$400,'Étape 1 - à remplir'!$E$31:$E$400,MASQ2!EC291,'Étape 1 - à remplir'!$O$31:$O$400,EL$3,'Étape 1 - à remplir'!$G$31:$G$400,"kg")),IF(EL$2="Espèce",IF(EL$3="Toutes",SUMIFS('Étape 1 - à remplir'!$F$31:$F$400,'Étape 1 - à remplir'!$E$31:$E$400,MASQ2!EC291,'Étape 1 - à remplir'!$G$31:$G$400,"kg"),SUMIFS('Étape 1 - à remplir'!$F$31:$F$400,'Étape 1 - à remplir'!$E$31:$E$400,MASQ2!EC291,'Étape 1 - à remplir'!$N$31:$N$400,EL$3,'Étape 1 - à remplir'!$G$31:$G$400,"kg")))))))</f>
        <v>#N/A</v>
      </c>
      <c r="EE291" s="76">
        <f t="shared" si="234"/>
        <v>0</v>
      </c>
      <c r="EF291" t="str">
        <f t="shared" si="225"/>
        <v>Marbofloxacine</v>
      </c>
      <c r="EG291" t="str">
        <f t="shared" si="226"/>
        <v/>
      </c>
      <c r="EH291" t="str">
        <f t="shared" si="227"/>
        <v/>
      </c>
      <c r="EI291" t="str">
        <f t="shared" si="228"/>
        <v>Fluoroquinolones</v>
      </c>
      <c r="EJ291" t="str">
        <f t="shared" si="229"/>
        <v/>
      </c>
      <c r="EK291" s="63" t="str">
        <f t="shared" si="230"/>
        <v/>
      </c>
      <c r="EN291" s="42">
        <v>288</v>
      </c>
      <c r="EO291" t="e">
        <f t="shared" si="236"/>
        <v>#N/A</v>
      </c>
      <c r="EP291" s="63" t="e">
        <f t="shared" si="237"/>
        <v>#N/A</v>
      </c>
      <c r="FT291" s="63"/>
    </row>
    <row r="292" spans="2:176" x14ac:dyDescent="0.3">
      <c r="B292" s="42"/>
      <c r="M292" s="194" t="str">
        <f ca="1">INDEX(Données_ATB!BD:BU,MATCH(MASQ2!O292,Données_ATB!BD:BD,0),18)</f>
        <v>x</v>
      </c>
      <c r="N292" s="14" t="str">
        <f>IFERROR(IF(Q292=0,"",COUNTIF(Q$4:Q$600,"&gt;"&amp;Q292)+COUNTIF(Q$4:Q292,Q292)),"")</f>
        <v/>
      </c>
      <c r="O292" t="str">
        <f>Données_ATB!BD291</f>
        <v>MARBOCYL 10 %</v>
      </c>
      <c r="P292" t="e">
        <f>IF(IF(X$2="Catégorie",IF(X$3="Toutes",SUMIFS('Étape 1 - à remplir'!$F$31:$F$400,'Étape 1 - à remplir'!$E$31:$E$400,MASQ2!O292,'Étape 1 - à remplir'!$G$31:$G$400,"animaux"),SUMIFS('Étape 1 - à remplir'!$F$31:$F$400,'Étape 1 - à remplir'!$E$31:$E$400,MASQ2!O292,'Étape 1 - à remplir'!$C$31:$C$400,X$3)),IF(X$2="Âge",IF(X$3="Tous",SUMIFS('Étape 1 - à remplir'!$F$31:$F$400,'Étape 1 - à remplir'!$E$31:$E$400,MASQ2!O292,'Étape 1 - à remplir'!$G$31:$G$400,"animaux"),SUMIFS('Étape 1 - à remplir'!$F$31:$F$400,'Étape 1 - à remplir'!$E$31:$E$400,MASQ2!O292,'Étape 1 - à remplir'!$P$31:$P$400,X$3)),IF(X$2="Atelier",IF(X$3="Tous",SUMIFS('Étape 1 - à remplir'!$F$31:$F$400,'Étape 1 - à remplir'!$E$31:$E$400,MASQ2!O292,'Étape 1 - à remplir'!$G$31:$G$400,"animaux"),SUMIFS('Étape 1 - à remplir'!$F$31:$F$400,'Étape 1 - à remplir'!$E$31:$E$400,MASQ2!O292,'Étape 1 - à remplir'!$O$31:$O$400,X$3)),IF(X$2="Espèce",IF(X$3="Toutes",SUMIFS('Étape 1 - à remplir'!$F$31:$F$400,'Étape 1 - à remplir'!$E$31:$E$400,MASQ2!O292,'Étape 1 - à remplir'!$G$31:$G$400,"animaux"),SUMIFS('Étape 1 - à remplir'!$F$31:$F$400,'Étape 1 - à remplir'!$E$31:$E$400,MASQ2!O292,'Étape 1 - à remplir'!$N$31:$N$400,X$3))))))=0,NA(),IF(X$2="Catégorie",IF(X$3="Toutes",SUMIFS('Étape 1 - à remplir'!$F$31:$F$400,'Étape 1 - à remplir'!$E$31:$E$400,MASQ2!O292,'Étape 1 - à remplir'!$G$31:$G$400,"animaux"),SUMIFS('Étape 1 - à remplir'!$F$31:$F$400,'Étape 1 - à remplir'!$E$31:$E$400,MASQ2!O292,'Étape 1 - à remplir'!$C$31:$C$400,X$3)),IF(X$2="Âge",IF(X$3="Tous",SUMIFS('Étape 1 - à remplir'!$F$31:$F$400,'Étape 1 - à remplir'!$E$31:$E$400,MASQ2!O292,'Étape 1 - à remplir'!$G$31:$G$400,"animaux"),SUMIFS('Étape 1 - à remplir'!$F$31:$F$400,'Étape 1 - à remplir'!$E$31:$E$400,MASQ2!O292,'Étape 1 - à remplir'!$P$31:$P$400,X$3)),IF(X$2="Atelier",IF(X$3="Tous",SUMIFS('Étape 1 - à remplir'!$F$31:$F$400,'Étape 1 - à remplir'!$E$31:$E$400,MASQ2!O292,'Étape 1 - à remplir'!$G$31:$G$400,"animaux"),SUMIFS('Étape 1 - à remplir'!$F$31:$F$400,'Étape 1 - à remplir'!$E$31:$E$400,MASQ2!O292,'Étape 1 - à remplir'!$O$31:$O$400,X$3)),IF(X$2="Espèce",IF(X$3="Toutes",SUMIFS('Étape 1 - à remplir'!$F$31:$F$400,'Étape 1 - à remplir'!$E$31:$E$400,MASQ2!O292,'Étape 1 - à remplir'!$G$31:$G$400,"animaux"),SUMIFS('Étape 1 - à remplir'!$F$31:$F$400,'Étape 1 - à remplir'!$E$31:$E$400,MASQ2!O292,'Étape 1 - à remplir'!$N$31:$N$400,X$3)))))))</f>
        <v>#N/A</v>
      </c>
      <c r="Q292" s="63">
        <f t="shared" si="235"/>
        <v>0</v>
      </c>
      <c r="R292" t="str">
        <f>Données_ATB!BM291</f>
        <v>Marbofloxacine</v>
      </c>
      <c r="S292" t="str">
        <f>Données_ATB!BN291</f>
        <v/>
      </c>
      <c r="T292" s="63" t="str">
        <f>Données_ATB!BO291</f>
        <v/>
      </c>
      <c r="U292" s="42" t="str">
        <f>Données_ATB!BQ291</f>
        <v>Fluoroquinolones</v>
      </c>
      <c r="V292" t="str">
        <f>Données_ATB!BR291</f>
        <v/>
      </c>
      <c r="W292" s="63" t="str">
        <f>Données_ATB!BS291</f>
        <v/>
      </c>
      <c r="Z292" s="42">
        <v>289</v>
      </c>
      <c r="AA292" t="e">
        <f t="shared" si="231"/>
        <v>#N/A</v>
      </c>
      <c r="AB292" s="63" t="e">
        <f t="shared" si="232"/>
        <v>#N/A</v>
      </c>
      <c r="BF292" s="63"/>
      <c r="BT292" s="194" t="str">
        <f t="shared" ca="1" si="215"/>
        <v>x</v>
      </c>
      <c r="BU292" s="219" t="str">
        <f>IFERROR(IF(BX292=0,"",COUNTIF(BX$4:BX$600,"&gt;"&amp;BX292)+COUNTIF(BX$4:BX292,BX292)),"")</f>
        <v/>
      </c>
      <c r="BV292" s="42" t="str">
        <f t="shared" si="216"/>
        <v>MARBOCYL 10 %</v>
      </c>
      <c r="BW292" t="e">
        <f>IF(IF(CE$2="Catégorie",IF(CE$3="Toutes",SUMIFS('Étape 1 - à remplir'!$F$31:$F$400,'Étape 1 - à remplir'!$E$31:$E$400,MASQ2!BV292,'Étape 1 - à remplir'!$G$31:$G$400,"lots"),SUMIFS('Étape 1 - à remplir'!$F$31:$F$400,'Étape 1 - à remplir'!$E$31:$E$400,MASQ2!BV292,'Étape 1 - à remplir'!$C$31:$C$400,CE$3)),IF(CE$2="Âge",IF(CE$3="Tous",SUMIFS('Étape 1 - à remplir'!$F$31:$F$400,'Étape 1 - à remplir'!$E$31:$E$400,MASQ2!BV292,'Étape 1 - à remplir'!$G$31:$G$400,"lots"),SUMIFS('Étape 1 - à remplir'!$F$31:$F$400,'Étape 1 - à remplir'!$E$31:$E$400,MASQ2!BV292,'Étape 1 - à remplir'!$P$31:$P$400,CE$3,'Étape 1 - à remplir'!$G$31:$G$400,"lots")),IF(CE$2="Atelier",IF(CE$3="Tous",SUMIFS('Étape 1 - à remplir'!$F$31:$F$400,'Étape 1 - à remplir'!$E$31:$E$400,MASQ2!BV292,'Étape 1 - à remplir'!$G$31:$G$400,"lots"),SUMIFS('Étape 1 - à remplir'!$F$31:$F$400,'Étape 1 - à remplir'!$E$31:$E$400,MASQ2!BV292,'Étape 1 - à remplir'!$O$31:$O$400,CE$3,'Étape 1 - à remplir'!$G$31:$G$400,"lots")),IF(CE$2="Espèce",IF(CE$3="Toutes",SUMIFS('Étape 1 - à remplir'!$F$31:$F$400,'Étape 1 - à remplir'!$E$31:$E$400,MASQ2!BV292,'Étape 1 - à remplir'!$G$31:$G$400,"lots"),SUMIFS('Étape 1 - à remplir'!$F$31:$F$400,'Étape 1 - à remplir'!$E$31:$E$400,MASQ2!BV292,'Étape 1 - à remplir'!$N$31:$N$400,CE$3,'Étape 1 - à remplir'!$G$31:$G$400,"lots"))))))=0,NA(),IF(CE$2="Catégorie",IF(CE$3="Toutes",SUMIFS('Étape 1 - à remplir'!$F$31:$F$400,'Étape 1 - à remplir'!$E$31:$E$400,MASQ2!BV292,'Étape 1 - à remplir'!$G$31:$G$400,"lots"),SUMIFS('Étape 1 - à remplir'!$F$31:$F$400,'Étape 1 - à remplir'!$E$31:$E$400,MASQ2!BV292,'Étape 1 - à remplir'!$C$31:$C$400,CE$3)),IF(CE$2="Âge",IF(CE$3="Tous",SUMIFS('Étape 1 - à remplir'!$F$31:$F$400,'Étape 1 - à remplir'!$E$31:$E$400,MASQ2!BV292,'Étape 1 - à remplir'!$G$31:$G$400,"lots"),SUMIFS('Étape 1 - à remplir'!$F$31:$F$400,'Étape 1 - à remplir'!$E$31:$E$400,MASQ2!BV292,'Étape 1 - à remplir'!$P$31:$P$400,CE$3,'Étape 1 - à remplir'!$G$31:$G$400,"lots")),IF(CE$2="Atelier",IF(CE$3="Tous",SUMIFS('Étape 1 - à remplir'!$F$31:$F$400,'Étape 1 - à remplir'!$E$31:$E$400,MASQ2!BV292,'Étape 1 - à remplir'!$G$31:$G$400,"lots"),SUMIFS('Étape 1 - à remplir'!$F$31:$F$400,'Étape 1 - à remplir'!$E$31:$E$400,MASQ2!BV292,'Étape 1 - à remplir'!$O$31:$O$400,CE$3,'Étape 1 - à remplir'!$G$31:$G$400,"lots")),IF(CE$2="Espèce",IF(CE$3="Toutes",SUMIFS('Étape 1 - à remplir'!$F$31:$F$400,'Étape 1 - à remplir'!$E$31:$E$400,MASQ2!BV292,'Étape 1 - à remplir'!$G$31:$G$400,"lots"),SUMIFS('Étape 1 - à remplir'!$F$31:$F$400,'Étape 1 - à remplir'!$E$31:$E$400,MASQ2!BV292,'Étape 1 - à remplir'!$N$31:$N$400,CE$3,'Étape 1 - à remplir'!$G$31:$G$400,"lots")))))))</f>
        <v>#N/A</v>
      </c>
      <c r="BX292">
        <f t="shared" si="233"/>
        <v>0</v>
      </c>
      <c r="BY292" t="str">
        <f t="shared" si="217"/>
        <v>Marbofloxacine</v>
      </c>
      <c r="BZ292" t="str">
        <f t="shared" si="218"/>
        <v/>
      </c>
      <c r="CA292" t="str">
        <f t="shared" si="219"/>
        <v/>
      </c>
      <c r="CB292" t="str">
        <f t="shared" si="220"/>
        <v>Fluoroquinolones</v>
      </c>
      <c r="CC292" t="str">
        <f t="shared" si="221"/>
        <v/>
      </c>
      <c r="CD292" s="63" t="str">
        <f t="shared" si="222"/>
        <v/>
      </c>
      <c r="CG292" s="42">
        <v>289</v>
      </c>
      <c r="CH292" s="42" t="e">
        <f t="shared" si="238"/>
        <v>#N/A</v>
      </c>
      <c r="CI292" s="63" t="e">
        <f t="shared" si="239"/>
        <v>#N/A</v>
      </c>
      <c r="DM292" s="63"/>
      <c r="EA292" s="194" t="str">
        <f t="shared" ca="1" si="223"/>
        <v>x</v>
      </c>
      <c r="EB292" s="226" t="str">
        <f>IFERROR(IF(ED292=0,"",COUNTIF(ED$4:ED$600,"&gt;"&amp;ED292)+COUNTIF(ED$4:ED292,ED292)),"")</f>
        <v/>
      </c>
      <c r="EC292" t="str">
        <f t="shared" si="224"/>
        <v>MARBOCYL 10 %</v>
      </c>
      <c r="ED292" t="e">
        <f>IF(IF(EL$2="Catégorie",IF(EL$3="Toutes",SUMIFS('Étape 1 - à remplir'!$F$31:$F$400,'Étape 1 - à remplir'!$E$31:$E$400,MASQ2!EC292,'Étape 1 - à remplir'!$G$31:$G$400,"kg"),SUMIFS('Étape 1 - à remplir'!$F$31:$F$400,'Étape 1 - à remplir'!$E$31:$E$400,MASQ2!EC292,'Étape 1 - à remplir'!$C$31:$C$400,EL$3)),IF(EL$2="Âge",IF(EL$3="Tous",SUMIFS('Étape 1 - à remplir'!$F$31:$F$400,'Étape 1 - à remplir'!$E$31:$E$400,MASQ2!EC292,'Étape 1 - à remplir'!$G$31:$G$400,"kg"),SUMIFS('Étape 1 - à remplir'!$F$31:$F$400,'Étape 1 - à remplir'!$E$31:$E$400,MASQ2!EC292,'Étape 1 - à remplir'!$P$31:$P$400,EL$3,'Étape 1 - à remplir'!$G$31:$G$400,"kg")),IF(EL$2="Atelier",IF(EL$3="Tous",SUMIFS('Étape 1 - à remplir'!$F$31:$F$400,'Étape 1 - à remplir'!$E$31:$E$400,MASQ2!EC292,'Étape 1 - à remplir'!$G$31:$G$400,"kg"),SUMIFS('Étape 1 - à remplir'!$F$31:$F$400,'Étape 1 - à remplir'!$E$31:$E$400,MASQ2!EC292,'Étape 1 - à remplir'!$O$31:$O$400,EL$3,'Étape 1 - à remplir'!$G$31:$G$400,"kg")),IF(EL$2="Espèce",IF(EL$3="Toutes",SUMIFS('Étape 1 - à remplir'!$F$31:$F$400,'Étape 1 - à remplir'!$E$31:$E$400,MASQ2!EC292,'Étape 1 - à remplir'!$G$31:$G$400,"kg"),SUMIFS('Étape 1 - à remplir'!$F$31:$F$400,'Étape 1 - à remplir'!$E$31:$E$400,MASQ2!EC292,'Étape 1 - à remplir'!$N$31:$N$400,EL$3,'Étape 1 - à remplir'!$G$31:$G$400,"kg"))))))=0,NA(),IF(EL$2="Catégorie",IF(EL$3="Toutes",SUMIFS('Étape 1 - à remplir'!$F$31:$F$400,'Étape 1 - à remplir'!$E$31:$E$400,MASQ2!EC292,'Étape 1 - à remplir'!$G$31:$G$400,"kg"),SUMIFS('Étape 1 - à remplir'!$F$31:$F$400,'Étape 1 - à remplir'!$E$31:$E$400,MASQ2!EC292,'Étape 1 - à remplir'!$C$31:$C$400,EL$3)),IF(EL$2="Âge",IF(EL$3="Tous",SUMIFS('Étape 1 - à remplir'!$F$31:$F$400,'Étape 1 - à remplir'!$E$31:$E$400,MASQ2!EC292,'Étape 1 - à remplir'!$G$31:$G$400,"kg"),SUMIFS('Étape 1 - à remplir'!$F$31:$F$400,'Étape 1 - à remplir'!$E$31:$E$400,MASQ2!EC292,'Étape 1 - à remplir'!$P$31:$P$400,EL$3,'Étape 1 - à remplir'!$G$31:$G$400,"kg")),IF(EL$2="Atelier",IF(EL$3="Tous",SUMIFS('Étape 1 - à remplir'!$F$31:$F$400,'Étape 1 - à remplir'!$E$31:$E$400,MASQ2!EC292,'Étape 1 - à remplir'!$G$31:$G$400,"kg"),SUMIFS('Étape 1 - à remplir'!$F$31:$F$400,'Étape 1 - à remplir'!$E$31:$E$400,MASQ2!EC292,'Étape 1 - à remplir'!$O$31:$O$400,EL$3,'Étape 1 - à remplir'!$G$31:$G$400,"kg")),IF(EL$2="Espèce",IF(EL$3="Toutes",SUMIFS('Étape 1 - à remplir'!$F$31:$F$400,'Étape 1 - à remplir'!$E$31:$E$400,MASQ2!EC292,'Étape 1 - à remplir'!$G$31:$G$400,"kg"),SUMIFS('Étape 1 - à remplir'!$F$31:$F$400,'Étape 1 - à remplir'!$E$31:$E$400,MASQ2!EC292,'Étape 1 - à remplir'!$N$31:$N$400,EL$3,'Étape 1 - à remplir'!$G$31:$G$400,"kg")))))))</f>
        <v>#N/A</v>
      </c>
      <c r="EE292" s="76">
        <f t="shared" si="234"/>
        <v>0</v>
      </c>
      <c r="EF292" t="str">
        <f t="shared" si="225"/>
        <v>Marbofloxacine</v>
      </c>
      <c r="EG292" t="str">
        <f t="shared" si="226"/>
        <v/>
      </c>
      <c r="EH292" t="str">
        <f t="shared" si="227"/>
        <v/>
      </c>
      <c r="EI292" t="str">
        <f t="shared" si="228"/>
        <v>Fluoroquinolones</v>
      </c>
      <c r="EJ292" t="str">
        <f t="shared" si="229"/>
        <v/>
      </c>
      <c r="EK292" s="63" t="str">
        <f t="shared" si="230"/>
        <v/>
      </c>
      <c r="EN292" s="42">
        <v>289</v>
      </c>
      <c r="EO292" t="e">
        <f t="shared" si="236"/>
        <v>#N/A</v>
      </c>
      <c r="EP292" s="63" t="e">
        <f t="shared" si="237"/>
        <v>#N/A</v>
      </c>
      <c r="FT292" s="63"/>
    </row>
    <row r="293" spans="2:176" x14ac:dyDescent="0.3">
      <c r="B293" s="42"/>
      <c r="M293" s="194" t="str">
        <f ca="1">INDEX(Données_ATB!BD:BU,MATCH(MASQ2!O293,Données_ATB!BD:BD,0),18)</f>
        <v>x</v>
      </c>
      <c r="N293" s="14" t="str">
        <f>IFERROR(IF(Q293=0,"",COUNTIF(Q$4:Q$600,"&gt;"&amp;Q293)+COUNTIF(Q$4:Q293,Q293)),"")</f>
        <v/>
      </c>
      <c r="O293" t="str">
        <f>Données_ATB!BD292</f>
        <v>MARBOCYL 2 %</v>
      </c>
      <c r="P293" t="e">
        <f>IF(IF(X$2="Catégorie",IF(X$3="Toutes",SUMIFS('Étape 1 - à remplir'!$F$31:$F$400,'Étape 1 - à remplir'!$E$31:$E$400,MASQ2!O293,'Étape 1 - à remplir'!$G$31:$G$400,"animaux"),SUMIFS('Étape 1 - à remplir'!$F$31:$F$400,'Étape 1 - à remplir'!$E$31:$E$400,MASQ2!O293,'Étape 1 - à remplir'!$C$31:$C$400,X$3)),IF(X$2="Âge",IF(X$3="Tous",SUMIFS('Étape 1 - à remplir'!$F$31:$F$400,'Étape 1 - à remplir'!$E$31:$E$400,MASQ2!O293,'Étape 1 - à remplir'!$G$31:$G$400,"animaux"),SUMIFS('Étape 1 - à remplir'!$F$31:$F$400,'Étape 1 - à remplir'!$E$31:$E$400,MASQ2!O293,'Étape 1 - à remplir'!$P$31:$P$400,X$3)),IF(X$2="Atelier",IF(X$3="Tous",SUMIFS('Étape 1 - à remplir'!$F$31:$F$400,'Étape 1 - à remplir'!$E$31:$E$400,MASQ2!O293,'Étape 1 - à remplir'!$G$31:$G$400,"animaux"),SUMIFS('Étape 1 - à remplir'!$F$31:$F$400,'Étape 1 - à remplir'!$E$31:$E$400,MASQ2!O293,'Étape 1 - à remplir'!$O$31:$O$400,X$3)),IF(X$2="Espèce",IF(X$3="Toutes",SUMIFS('Étape 1 - à remplir'!$F$31:$F$400,'Étape 1 - à remplir'!$E$31:$E$400,MASQ2!O293,'Étape 1 - à remplir'!$G$31:$G$400,"animaux"),SUMIFS('Étape 1 - à remplir'!$F$31:$F$400,'Étape 1 - à remplir'!$E$31:$E$400,MASQ2!O293,'Étape 1 - à remplir'!$N$31:$N$400,X$3))))))=0,NA(),IF(X$2="Catégorie",IF(X$3="Toutes",SUMIFS('Étape 1 - à remplir'!$F$31:$F$400,'Étape 1 - à remplir'!$E$31:$E$400,MASQ2!O293,'Étape 1 - à remplir'!$G$31:$G$400,"animaux"),SUMIFS('Étape 1 - à remplir'!$F$31:$F$400,'Étape 1 - à remplir'!$E$31:$E$400,MASQ2!O293,'Étape 1 - à remplir'!$C$31:$C$400,X$3)),IF(X$2="Âge",IF(X$3="Tous",SUMIFS('Étape 1 - à remplir'!$F$31:$F$400,'Étape 1 - à remplir'!$E$31:$E$400,MASQ2!O293,'Étape 1 - à remplir'!$G$31:$G$400,"animaux"),SUMIFS('Étape 1 - à remplir'!$F$31:$F$400,'Étape 1 - à remplir'!$E$31:$E$400,MASQ2!O293,'Étape 1 - à remplir'!$P$31:$P$400,X$3)),IF(X$2="Atelier",IF(X$3="Tous",SUMIFS('Étape 1 - à remplir'!$F$31:$F$400,'Étape 1 - à remplir'!$E$31:$E$400,MASQ2!O293,'Étape 1 - à remplir'!$G$31:$G$400,"animaux"),SUMIFS('Étape 1 - à remplir'!$F$31:$F$400,'Étape 1 - à remplir'!$E$31:$E$400,MASQ2!O293,'Étape 1 - à remplir'!$O$31:$O$400,X$3)),IF(X$2="Espèce",IF(X$3="Toutes",SUMIFS('Étape 1 - à remplir'!$F$31:$F$400,'Étape 1 - à remplir'!$E$31:$E$400,MASQ2!O293,'Étape 1 - à remplir'!$G$31:$G$400,"animaux"),SUMIFS('Étape 1 - à remplir'!$F$31:$F$400,'Étape 1 - à remplir'!$E$31:$E$400,MASQ2!O293,'Étape 1 - à remplir'!$N$31:$N$400,X$3)))))))</f>
        <v>#N/A</v>
      </c>
      <c r="Q293" s="63">
        <f t="shared" si="235"/>
        <v>0</v>
      </c>
      <c r="R293" t="str">
        <f>Données_ATB!BM292</f>
        <v>Marbofloxacine</v>
      </c>
      <c r="S293" t="str">
        <f>Données_ATB!BN292</f>
        <v/>
      </c>
      <c r="T293" s="63" t="str">
        <f>Données_ATB!BO292</f>
        <v/>
      </c>
      <c r="U293" s="42" t="str">
        <f>Données_ATB!BQ292</f>
        <v>Fluoroquinolones</v>
      </c>
      <c r="V293" t="str">
        <f>Données_ATB!BR292</f>
        <v/>
      </c>
      <c r="W293" s="63" t="str">
        <f>Données_ATB!BS292</f>
        <v/>
      </c>
      <c r="Z293" s="42">
        <v>290</v>
      </c>
      <c r="AA293" t="e">
        <f t="shared" si="231"/>
        <v>#N/A</v>
      </c>
      <c r="AB293" s="63" t="e">
        <f t="shared" si="232"/>
        <v>#N/A</v>
      </c>
      <c r="BF293" s="63"/>
      <c r="BT293" s="194" t="str">
        <f t="shared" ca="1" si="215"/>
        <v>x</v>
      </c>
      <c r="BU293" s="219" t="str">
        <f>IFERROR(IF(BX293=0,"",COUNTIF(BX$4:BX$600,"&gt;"&amp;BX293)+COUNTIF(BX$4:BX293,BX293)),"")</f>
        <v/>
      </c>
      <c r="BV293" s="42" t="str">
        <f t="shared" si="216"/>
        <v>MARBOCYL 2 %</v>
      </c>
      <c r="BW293" t="e">
        <f>IF(IF(CE$2="Catégorie",IF(CE$3="Toutes",SUMIFS('Étape 1 - à remplir'!$F$31:$F$400,'Étape 1 - à remplir'!$E$31:$E$400,MASQ2!BV293,'Étape 1 - à remplir'!$G$31:$G$400,"lots"),SUMIFS('Étape 1 - à remplir'!$F$31:$F$400,'Étape 1 - à remplir'!$E$31:$E$400,MASQ2!BV293,'Étape 1 - à remplir'!$C$31:$C$400,CE$3)),IF(CE$2="Âge",IF(CE$3="Tous",SUMIFS('Étape 1 - à remplir'!$F$31:$F$400,'Étape 1 - à remplir'!$E$31:$E$400,MASQ2!BV293,'Étape 1 - à remplir'!$G$31:$G$400,"lots"),SUMIFS('Étape 1 - à remplir'!$F$31:$F$400,'Étape 1 - à remplir'!$E$31:$E$400,MASQ2!BV293,'Étape 1 - à remplir'!$P$31:$P$400,CE$3,'Étape 1 - à remplir'!$G$31:$G$400,"lots")),IF(CE$2="Atelier",IF(CE$3="Tous",SUMIFS('Étape 1 - à remplir'!$F$31:$F$400,'Étape 1 - à remplir'!$E$31:$E$400,MASQ2!BV293,'Étape 1 - à remplir'!$G$31:$G$400,"lots"),SUMIFS('Étape 1 - à remplir'!$F$31:$F$400,'Étape 1 - à remplir'!$E$31:$E$400,MASQ2!BV293,'Étape 1 - à remplir'!$O$31:$O$400,CE$3,'Étape 1 - à remplir'!$G$31:$G$400,"lots")),IF(CE$2="Espèce",IF(CE$3="Toutes",SUMIFS('Étape 1 - à remplir'!$F$31:$F$400,'Étape 1 - à remplir'!$E$31:$E$400,MASQ2!BV293,'Étape 1 - à remplir'!$G$31:$G$400,"lots"),SUMIFS('Étape 1 - à remplir'!$F$31:$F$400,'Étape 1 - à remplir'!$E$31:$E$400,MASQ2!BV293,'Étape 1 - à remplir'!$N$31:$N$400,CE$3,'Étape 1 - à remplir'!$G$31:$G$400,"lots"))))))=0,NA(),IF(CE$2="Catégorie",IF(CE$3="Toutes",SUMIFS('Étape 1 - à remplir'!$F$31:$F$400,'Étape 1 - à remplir'!$E$31:$E$400,MASQ2!BV293,'Étape 1 - à remplir'!$G$31:$G$400,"lots"),SUMIFS('Étape 1 - à remplir'!$F$31:$F$400,'Étape 1 - à remplir'!$E$31:$E$400,MASQ2!BV293,'Étape 1 - à remplir'!$C$31:$C$400,CE$3)),IF(CE$2="Âge",IF(CE$3="Tous",SUMIFS('Étape 1 - à remplir'!$F$31:$F$400,'Étape 1 - à remplir'!$E$31:$E$400,MASQ2!BV293,'Étape 1 - à remplir'!$G$31:$G$400,"lots"),SUMIFS('Étape 1 - à remplir'!$F$31:$F$400,'Étape 1 - à remplir'!$E$31:$E$400,MASQ2!BV293,'Étape 1 - à remplir'!$P$31:$P$400,CE$3,'Étape 1 - à remplir'!$G$31:$G$400,"lots")),IF(CE$2="Atelier",IF(CE$3="Tous",SUMIFS('Étape 1 - à remplir'!$F$31:$F$400,'Étape 1 - à remplir'!$E$31:$E$400,MASQ2!BV293,'Étape 1 - à remplir'!$G$31:$G$400,"lots"),SUMIFS('Étape 1 - à remplir'!$F$31:$F$400,'Étape 1 - à remplir'!$E$31:$E$400,MASQ2!BV293,'Étape 1 - à remplir'!$O$31:$O$400,CE$3,'Étape 1 - à remplir'!$G$31:$G$400,"lots")),IF(CE$2="Espèce",IF(CE$3="Toutes",SUMIFS('Étape 1 - à remplir'!$F$31:$F$400,'Étape 1 - à remplir'!$E$31:$E$400,MASQ2!BV293,'Étape 1 - à remplir'!$G$31:$G$400,"lots"),SUMIFS('Étape 1 - à remplir'!$F$31:$F$400,'Étape 1 - à remplir'!$E$31:$E$400,MASQ2!BV293,'Étape 1 - à remplir'!$N$31:$N$400,CE$3,'Étape 1 - à remplir'!$G$31:$G$400,"lots")))))))</f>
        <v>#N/A</v>
      </c>
      <c r="BX293">
        <f t="shared" si="233"/>
        <v>0</v>
      </c>
      <c r="BY293" t="str">
        <f t="shared" si="217"/>
        <v>Marbofloxacine</v>
      </c>
      <c r="BZ293" t="str">
        <f t="shared" si="218"/>
        <v/>
      </c>
      <c r="CA293" t="str">
        <f t="shared" si="219"/>
        <v/>
      </c>
      <c r="CB293" t="str">
        <f t="shared" si="220"/>
        <v>Fluoroquinolones</v>
      </c>
      <c r="CC293" t="str">
        <f t="shared" si="221"/>
        <v/>
      </c>
      <c r="CD293" s="63" t="str">
        <f t="shared" si="222"/>
        <v/>
      </c>
      <c r="CG293" s="42">
        <v>290</v>
      </c>
      <c r="CH293" s="42" t="e">
        <f t="shared" si="238"/>
        <v>#N/A</v>
      </c>
      <c r="CI293" s="63" t="e">
        <f t="shared" si="239"/>
        <v>#N/A</v>
      </c>
      <c r="DM293" s="63"/>
      <c r="EA293" s="194" t="str">
        <f t="shared" ca="1" si="223"/>
        <v>x</v>
      </c>
      <c r="EB293" s="226" t="str">
        <f>IFERROR(IF(ED293=0,"",COUNTIF(ED$4:ED$600,"&gt;"&amp;ED293)+COUNTIF(ED$4:ED293,ED293)),"")</f>
        <v/>
      </c>
      <c r="EC293" t="str">
        <f t="shared" si="224"/>
        <v>MARBOCYL 2 %</v>
      </c>
      <c r="ED293" t="e">
        <f>IF(IF(EL$2="Catégorie",IF(EL$3="Toutes",SUMIFS('Étape 1 - à remplir'!$F$31:$F$400,'Étape 1 - à remplir'!$E$31:$E$400,MASQ2!EC293,'Étape 1 - à remplir'!$G$31:$G$400,"kg"),SUMIFS('Étape 1 - à remplir'!$F$31:$F$400,'Étape 1 - à remplir'!$E$31:$E$400,MASQ2!EC293,'Étape 1 - à remplir'!$C$31:$C$400,EL$3)),IF(EL$2="Âge",IF(EL$3="Tous",SUMIFS('Étape 1 - à remplir'!$F$31:$F$400,'Étape 1 - à remplir'!$E$31:$E$400,MASQ2!EC293,'Étape 1 - à remplir'!$G$31:$G$400,"kg"),SUMIFS('Étape 1 - à remplir'!$F$31:$F$400,'Étape 1 - à remplir'!$E$31:$E$400,MASQ2!EC293,'Étape 1 - à remplir'!$P$31:$P$400,EL$3,'Étape 1 - à remplir'!$G$31:$G$400,"kg")),IF(EL$2="Atelier",IF(EL$3="Tous",SUMIFS('Étape 1 - à remplir'!$F$31:$F$400,'Étape 1 - à remplir'!$E$31:$E$400,MASQ2!EC293,'Étape 1 - à remplir'!$G$31:$G$400,"kg"),SUMIFS('Étape 1 - à remplir'!$F$31:$F$400,'Étape 1 - à remplir'!$E$31:$E$400,MASQ2!EC293,'Étape 1 - à remplir'!$O$31:$O$400,EL$3,'Étape 1 - à remplir'!$G$31:$G$400,"kg")),IF(EL$2="Espèce",IF(EL$3="Toutes",SUMIFS('Étape 1 - à remplir'!$F$31:$F$400,'Étape 1 - à remplir'!$E$31:$E$400,MASQ2!EC293,'Étape 1 - à remplir'!$G$31:$G$400,"kg"),SUMIFS('Étape 1 - à remplir'!$F$31:$F$400,'Étape 1 - à remplir'!$E$31:$E$400,MASQ2!EC293,'Étape 1 - à remplir'!$N$31:$N$400,EL$3,'Étape 1 - à remplir'!$G$31:$G$400,"kg"))))))=0,NA(),IF(EL$2="Catégorie",IF(EL$3="Toutes",SUMIFS('Étape 1 - à remplir'!$F$31:$F$400,'Étape 1 - à remplir'!$E$31:$E$400,MASQ2!EC293,'Étape 1 - à remplir'!$G$31:$G$400,"kg"),SUMIFS('Étape 1 - à remplir'!$F$31:$F$400,'Étape 1 - à remplir'!$E$31:$E$400,MASQ2!EC293,'Étape 1 - à remplir'!$C$31:$C$400,EL$3)),IF(EL$2="Âge",IF(EL$3="Tous",SUMIFS('Étape 1 - à remplir'!$F$31:$F$400,'Étape 1 - à remplir'!$E$31:$E$400,MASQ2!EC293,'Étape 1 - à remplir'!$G$31:$G$400,"kg"),SUMIFS('Étape 1 - à remplir'!$F$31:$F$400,'Étape 1 - à remplir'!$E$31:$E$400,MASQ2!EC293,'Étape 1 - à remplir'!$P$31:$P$400,EL$3,'Étape 1 - à remplir'!$G$31:$G$400,"kg")),IF(EL$2="Atelier",IF(EL$3="Tous",SUMIFS('Étape 1 - à remplir'!$F$31:$F$400,'Étape 1 - à remplir'!$E$31:$E$400,MASQ2!EC293,'Étape 1 - à remplir'!$G$31:$G$400,"kg"),SUMIFS('Étape 1 - à remplir'!$F$31:$F$400,'Étape 1 - à remplir'!$E$31:$E$400,MASQ2!EC293,'Étape 1 - à remplir'!$O$31:$O$400,EL$3,'Étape 1 - à remplir'!$G$31:$G$400,"kg")),IF(EL$2="Espèce",IF(EL$3="Toutes",SUMIFS('Étape 1 - à remplir'!$F$31:$F$400,'Étape 1 - à remplir'!$E$31:$E$400,MASQ2!EC293,'Étape 1 - à remplir'!$G$31:$G$400,"kg"),SUMIFS('Étape 1 - à remplir'!$F$31:$F$400,'Étape 1 - à remplir'!$E$31:$E$400,MASQ2!EC293,'Étape 1 - à remplir'!$N$31:$N$400,EL$3,'Étape 1 - à remplir'!$G$31:$G$400,"kg")))))))</f>
        <v>#N/A</v>
      </c>
      <c r="EE293" s="76">
        <f t="shared" si="234"/>
        <v>0</v>
      </c>
      <c r="EF293" t="str">
        <f t="shared" si="225"/>
        <v>Marbofloxacine</v>
      </c>
      <c r="EG293" t="str">
        <f t="shared" si="226"/>
        <v/>
      </c>
      <c r="EH293" t="str">
        <f t="shared" si="227"/>
        <v/>
      </c>
      <c r="EI293" t="str">
        <f t="shared" si="228"/>
        <v>Fluoroquinolones</v>
      </c>
      <c r="EJ293" t="str">
        <f t="shared" si="229"/>
        <v/>
      </c>
      <c r="EK293" s="63" t="str">
        <f t="shared" si="230"/>
        <v/>
      </c>
      <c r="EN293" s="42">
        <v>290</v>
      </c>
      <c r="EO293" t="e">
        <f t="shared" si="236"/>
        <v>#N/A</v>
      </c>
      <c r="EP293" s="63" t="e">
        <f t="shared" si="237"/>
        <v>#N/A</v>
      </c>
      <c r="FT293" s="63"/>
    </row>
    <row r="294" spans="2:176" x14ac:dyDescent="0.3">
      <c r="B294" s="42"/>
      <c r="M294" s="194" t="str">
        <f ca="1">INDEX(Données_ATB!BD:BU,MATCH(MASQ2!O294,Données_ATB!BD:BD,0),18)</f>
        <v>x</v>
      </c>
      <c r="N294" s="14" t="str">
        <f>IFERROR(IF(Q294=0,"",COUNTIF(Q$4:Q$600,"&gt;"&amp;Q294)+COUNTIF(Q$4:Q294,Q294)),"")</f>
        <v/>
      </c>
      <c r="O294" t="str">
        <f>Données_ATB!BD293</f>
        <v>MARBOCYL BOLUS</v>
      </c>
      <c r="P294" t="e">
        <f>IF(IF(X$2="Catégorie",IF(X$3="Toutes",SUMIFS('Étape 1 - à remplir'!$F$31:$F$400,'Étape 1 - à remplir'!$E$31:$E$400,MASQ2!O294,'Étape 1 - à remplir'!$G$31:$G$400,"animaux"),SUMIFS('Étape 1 - à remplir'!$F$31:$F$400,'Étape 1 - à remplir'!$E$31:$E$400,MASQ2!O294,'Étape 1 - à remplir'!$C$31:$C$400,X$3)),IF(X$2="Âge",IF(X$3="Tous",SUMIFS('Étape 1 - à remplir'!$F$31:$F$400,'Étape 1 - à remplir'!$E$31:$E$400,MASQ2!O294,'Étape 1 - à remplir'!$G$31:$G$400,"animaux"),SUMIFS('Étape 1 - à remplir'!$F$31:$F$400,'Étape 1 - à remplir'!$E$31:$E$400,MASQ2!O294,'Étape 1 - à remplir'!$P$31:$P$400,X$3)),IF(X$2="Atelier",IF(X$3="Tous",SUMIFS('Étape 1 - à remplir'!$F$31:$F$400,'Étape 1 - à remplir'!$E$31:$E$400,MASQ2!O294,'Étape 1 - à remplir'!$G$31:$G$400,"animaux"),SUMIFS('Étape 1 - à remplir'!$F$31:$F$400,'Étape 1 - à remplir'!$E$31:$E$400,MASQ2!O294,'Étape 1 - à remplir'!$O$31:$O$400,X$3)),IF(X$2="Espèce",IF(X$3="Toutes",SUMIFS('Étape 1 - à remplir'!$F$31:$F$400,'Étape 1 - à remplir'!$E$31:$E$400,MASQ2!O294,'Étape 1 - à remplir'!$G$31:$G$400,"animaux"),SUMIFS('Étape 1 - à remplir'!$F$31:$F$400,'Étape 1 - à remplir'!$E$31:$E$400,MASQ2!O294,'Étape 1 - à remplir'!$N$31:$N$400,X$3))))))=0,NA(),IF(X$2="Catégorie",IF(X$3="Toutes",SUMIFS('Étape 1 - à remplir'!$F$31:$F$400,'Étape 1 - à remplir'!$E$31:$E$400,MASQ2!O294,'Étape 1 - à remplir'!$G$31:$G$400,"animaux"),SUMIFS('Étape 1 - à remplir'!$F$31:$F$400,'Étape 1 - à remplir'!$E$31:$E$400,MASQ2!O294,'Étape 1 - à remplir'!$C$31:$C$400,X$3)),IF(X$2="Âge",IF(X$3="Tous",SUMIFS('Étape 1 - à remplir'!$F$31:$F$400,'Étape 1 - à remplir'!$E$31:$E$400,MASQ2!O294,'Étape 1 - à remplir'!$G$31:$G$400,"animaux"),SUMIFS('Étape 1 - à remplir'!$F$31:$F$400,'Étape 1 - à remplir'!$E$31:$E$400,MASQ2!O294,'Étape 1 - à remplir'!$P$31:$P$400,X$3)),IF(X$2="Atelier",IF(X$3="Tous",SUMIFS('Étape 1 - à remplir'!$F$31:$F$400,'Étape 1 - à remplir'!$E$31:$E$400,MASQ2!O294,'Étape 1 - à remplir'!$G$31:$G$400,"animaux"),SUMIFS('Étape 1 - à remplir'!$F$31:$F$400,'Étape 1 - à remplir'!$E$31:$E$400,MASQ2!O294,'Étape 1 - à remplir'!$O$31:$O$400,X$3)),IF(X$2="Espèce",IF(X$3="Toutes",SUMIFS('Étape 1 - à remplir'!$F$31:$F$400,'Étape 1 - à remplir'!$E$31:$E$400,MASQ2!O294,'Étape 1 - à remplir'!$G$31:$G$400,"animaux"),SUMIFS('Étape 1 - à remplir'!$F$31:$F$400,'Étape 1 - à remplir'!$E$31:$E$400,MASQ2!O294,'Étape 1 - à remplir'!$N$31:$N$400,X$3)))))))</f>
        <v>#N/A</v>
      </c>
      <c r="Q294" s="63">
        <f t="shared" si="235"/>
        <v>0</v>
      </c>
      <c r="R294" t="str">
        <f>Données_ATB!BM293</f>
        <v>Marbofloxacine</v>
      </c>
      <c r="S294" t="str">
        <f>Données_ATB!BN293</f>
        <v/>
      </c>
      <c r="T294" s="63" t="str">
        <f>Données_ATB!BO293</f>
        <v/>
      </c>
      <c r="U294" s="42" t="str">
        <f>Données_ATB!BQ293</f>
        <v>Fluoroquinolones</v>
      </c>
      <c r="V294" t="str">
        <f>Données_ATB!BR293</f>
        <v/>
      </c>
      <c r="W294" s="63" t="str">
        <f>Données_ATB!BS293</f>
        <v/>
      </c>
      <c r="Z294" s="42">
        <v>291</v>
      </c>
      <c r="AA294" t="e">
        <f t="shared" si="231"/>
        <v>#N/A</v>
      </c>
      <c r="AB294" s="63" t="e">
        <f t="shared" si="232"/>
        <v>#N/A</v>
      </c>
      <c r="BF294" s="63"/>
      <c r="BT294" s="194" t="str">
        <f t="shared" ca="1" si="215"/>
        <v>x</v>
      </c>
      <c r="BU294" s="219" t="str">
        <f>IFERROR(IF(BX294=0,"",COUNTIF(BX$4:BX$600,"&gt;"&amp;BX294)+COUNTIF(BX$4:BX294,BX294)),"")</f>
        <v/>
      </c>
      <c r="BV294" s="42" t="str">
        <f t="shared" si="216"/>
        <v>MARBOCYL BOLUS</v>
      </c>
      <c r="BW294" t="e">
        <f>IF(IF(CE$2="Catégorie",IF(CE$3="Toutes",SUMIFS('Étape 1 - à remplir'!$F$31:$F$400,'Étape 1 - à remplir'!$E$31:$E$400,MASQ2!BV294,'Étape 1 - à remplir'!$G$31:$G$400,"lots"),SUMIFS('Étape 1 - à remplir'!$F$31:$F$400,'Étape 1 - à remplir'!$E$31:$E$400,MASQ2!BV294,'Étape 1 - à remplir'!$C$31:$C$400,CE$3)),IF(CE$2="Âge",IF(CE$3="Tous",SUMIFS('Étape 1 - à remplir'!$F$31:$F$400,'Étape 1 - à remplir'!$E$31:$E$400,MASQ2!BV294,'Étape 1 - à remplir'!$G$31:$G$400,"lots"),SUMIFS('Étape 1 - à remplir'!$F$31:$F$400,'Étape 1 - à remplir'!$E$31:$E$400,MASQ2!BV294,'Étape 1 - à remplir'!$P$31:$P$400,CE$3,'Étape 1 - à remplir'!$G$31:$G$400,"lots")),IF(CE$2="Atelier",IF(CE$3="Tous",SUMIFS('Étape 1 - à remplir'!$F$31:$F$400,'Étape 1 - à remplir'!$E$31:$E$400,MASQ2!BV294,'Étape 1 - à remplir'!$G$31:$G$400,"lots"),SUMIFS('Étape 1 - à remplir'!$F$31:$F$400,'Étape 1 - à remplir'!$E$31:$E$400,MASQ2!BV294,'Étape 1 - à remplir'!$O$31:$O$400,CE$3,'Étape 1 - à remplir'!$G$31:$G$400,"lots")),IF(CE$2="Espèce",IF(CE$3="Toutes",SUMIFS('Étape 1 - à remplir'!$F$31:$F$400,'Étape 1 - à remplir'!$E$31:$E$400,MASQ2!BV294,'Étape 1 - à remplir'!$G$31:$G$400,"lots"),SUMIFS('Étape 1 - à remplir'!$F$31:$F$400,'Étape 1 - à remplir'!$E$31:$E$400,MASQ2!BV294,'Étape 1 - à remplir'!$N$31:$N$400,CE$3,'Étape 1 - à remplir'!$G$31:$G$400,"lots"))))))=0,NA(),IF(CE$2="Catégorie",IF(CE$3="Toutes",SUMIFS('Étape 1 - à remplir'!$F$31:$F$400,'Étape 1 - à remplir'!$E$31:$E$400,MASQ2!BV294,'Étape 1 - à remplir'!$G$31:$G$400,"lots"),SUMIFS('Étape 1 - à remplir'!$F$31:$F$400,'Étape 1 - à remplir'!$E$31:$E$400,MASQ2!BV294,'Étape 1 - à remplir'!$C$31:$C$400,CE$3)),IF(CE$2="Âge",IF(CE$3="Tous",SUMIFS('Étape 1 - à remplir'!$F$31:$F$400,'Étape 1 - à remplir'!$E$31:$E$400,MASQ2!BV294,'Étape 1 - à remplir'!$G$31:$G$400,"lots"),SUMIFS('Étape 1 - à remplir'!$F$31:$F$400,'Étape 1 - à remplir'!$E$31:$E$400,MASQ2!BV294,'Étape 1 - à remplir'!$P$31:$P$400,CE$3,'Étape 1 - à remplir'!$G$31:$G$400,"lots")),IF(CE$2="Atelier",IF(CE$3="Tous",SUMIFS('Étape 1 - à remplir'!$F$31:$F$400,'Étape 1 - à remplir'!$E$31:$E$400,MASQ2!BV294,'Étape 1 - à remplir'!$G$31:$G$400,"lots"),SUMIFS('Étape 1 - à remplir'!$F$31:$F$400,'Étape 1 - à remplir'!$E$31:$E$400,MASQ2!BV294,'Étape 1 - à remplir'!$O$31:$O$400,CE$3,'Étape 1 - à remplir'!$G$31:$G$400,"lots")),IF(CE$2="Espèce",IF(CE$3="Toutes",SUMIFS('Étape 1 - à remplir'!$F$31:$F$400,'Étape 1 - à remplir'!$E$31:$E$400,MASQ2!BV294,'Étape 1 - à remplir'!$G$31:$G$400,"lots"),SUMIFS('Étape 1 - à remplir'!$F$31:$F$400,'Étape 1 - à remplir'!$E$31:$E$400,MASQ2!BV294,'Étape 1 - à remplir'!$N$31:$N$400,CE$3,'Étape 1 - à remplir'!$G$31:$G$400,"lots")))))))</f>
        <v>#N/A</v>
      </c>
      <c r="BX294">
        <f t="shared" si="233"/>
        <v>0</v>
      </c>
      <c r="BY294" t="str">
        <f t="shared" si="217"/>
        <v>Marbofloxacine</v>
      </c>
      <c r="BZ294" t="str">
        <f t="shared" si="218"/>
        <v/>
      </c>
      <c r="CA294" t="str">
        <f t="shared" si="219"/>
        <v/>
      </c>
      <c r="CB294" t="str">
        <f t="shared" si="220"/>
        <v>Fluoroquinolones</v>
      </c>
      <c r="CC294" t="str">
        <f t="shared" si="221"/>
        <v/>
      </c>
      <c r="CD294" s="63" t="str">
        <f t="shared" si="222"/>
        <v/>
      </c>
      <c r="CG294" s="42">
        <v>291</v>
      </c>
      <c r="CH294" s="42" t="e">
        <f t="shared" si="238"/>
        <v>#N/A</v>
      </c>
      <c r="CI294" s="63" t="e">
        <f t="shared" si="239"/>
        <v>#N/A</v>
      </c>
      <c r="DM294" s="63"/>
      <c r="EA294" s="194" t="str">
        <f t="shared" ca="1" si="223"/>
        <v>x</v>
      </c>
      <c r="EB294" s="226" t="str">
        <f>IFERROR(IF(ED294=0,"",COUNTIF(ED$4:ED$600,"&gt;"&amp;ED294)+COUNTIF(ED$4:ED294,ED294)),"")</f>
        <v/>
      </c>
      <c r="EC294" t="str">
        <f t="shared" si="224"/>
        <v>MARBOCYL BOLUS</v>
      </c>
      <c r="ED294" t="e">
        <f>IF(IF(EL$2="Catégorie",IF(EL$3="Toutes",SUMIFS('Étape 1 - à remplir'!$F$31:$F$400,'Étape 1 - à remplir'!$E$31:$E$400,MASQ2!EC294,'Étape 1 - à remplir'!$G$31:$G$400,"kg"),SUMIFS('Étape 1 - à remplir'!$F$31:$F$400,'Étape 1 - à remplir'!$E$31:$E$400,MASQ2!EC294,'Étape 1 - à remplir'!$C$31:$C$400,EL$3)),IF(EL$2="Âge",IF(EL$3="Tous",SUMIFS('Étape 1 - à remplir'!$F$31:$F$400,'Étape 1 - à remplir'!$E$31:$E$400,MASQ2!EC294,'Étape 1 - à remplir'!$G$31:$G$400,"kg"),SUMIFS('Étape 1 - à remplir'!$F$31:$F$400,'Étape 1 - à remplir'!$E$31:$E$400,MASQ2!EC294,'Étape 1 - à remplir'!$P$31:$P$400,EL$3,'Étape 1 - à remplir'!$G$31:$G$400,"kg")),IF(EL$2="Atelier",IF(EL$3="Tous",SUMIFS('Étape 1 - à remplir'!$F$31:$F$400,'Étape 1 - à remplir'!$E$31:$E$400,MASQ2!EC294,'Étape 1 - à remplir'!$G$31:$G$400,"kg"),SUMIFS('Étape 1 - à remplir'!$F$31:$F$400,'Étape 1 - à remplir'!$E$31:$E$400,MASQ2!EC294,'Étape 1 - à remplir'!$O$31:$O$400,EL$3,'Étape 1 - à remplir'!$G$31:$G$400,"kg")),IF(EL$2="Espèce",IF(EL$3="Toutes",SUMIFS('Étape 1 - à remplir'!$F$31:$F$400,'Étape 1 - à remplir'!$E$31:$E$400,MASQ2!EC294,'Étape 1 - à remplir'!$G$31:$G$400,"kg"),SUMIFS('Étape 1 - à remplir'!$F$31:$F$400,'Étape 1 - à remplir'!$E$31:$E$400,MASQ2!EC294,'Étape 1 - à remplir'!$N$31:$N$400,EL$3,'Étape 1 - à remplir'!$G$31:$G$400,"kg"))))))=0,NA(),IF(EL$2="Catégorie",IF(EL$3="Toutes",SUMIFS('Étape 1 - à remplir'!$F$31:$F$400,'Étape 1 - à remplir'!$E$31:$E$400,MASQ2!EC294,'Étape 1 - à remplir'!$G$31:$G$400,"kg"),SUMIFS('Étape 1 - à remplir'!$F$31:$F$400,'Étape 1 - à remplir'!$E$31:$E$400,MASQ2!EC294,'Étape 1 - à remplir'!$C$31:$C$400,EL$3)),IF(EL$2="Âge",IF(EL$3="Tous",SUMIFS('Étape 1 - à remplir'!$F$31:$F$400,'Étape 1 - à remplir'!$E$31:$E$400,MASQ2!EC294,'Étape 1 - à remplir'!$G$31:$G$400,"kg"),SUMIFS('Étape 1 - à remplir'!$F$31:$F$400,'Étape 1 - à remplir'!$E$31:$E$400,MASQ2!EC294,'Étape 1 - à remplir'!$P$31:$P$400,EL$3,'Étape 1 - à remplir'!$G$31:$G$400,"kg")),IF(EL$2="Atelier",IF(EL$3="Tous",SUMIFS('Étape 1 - à remplir'!$F$31:$F$400,'Étape 1 - à remplir'!$E$31:$E$400,MASQ2!EC294,'Étape 1 - à remplir'!$G$31:$G$400,"kg"),SUMIFS('Étape 1 - à remplir'!$F$31:$F$400,'Étape 1 - à remplir'!$E$31:$E$400,MASQ2!EC294,'Étape 1 - à remplir'!$O$31:$O$400,EL$3,'Étape 1 - à remplir'!$G$31:$G$400,"kg")),IF(EL$2="Espèce",IF(EL$3="Toutes",SUMIFS('Étape 1 - à remplir'!$F$31:$F$400,'Étape 1 - à remplir'!$E$31:$E$400,MASQ2!EC294,'Étape 1 - à remplir'!$G$31:$G$400,"kg"),SUMIFS('Étape 1 - à remplir'!$F$31:$F$400,'Étape 1 - à remplir'!$E$31:$E$400,MASQ2!EC294,'Étape 1 - à remplir'!$N$31:$N$400,EL$3,'Étape 1 - à remplir'!$G$31:$G$400,"kg")))))))</f>
        <v>#N/A</v>
      </c>
      <c r="EE294" s="76">
        <f t="shared" si="234"/>
        <v>0</v>
      </c>
      <c r="EF294" t="str">
        <f t="shared" si="225"/>
        <v>Marbofloxacine</v>
      </c>
      <c r="EG294" t="str">
        <f t="shared" si="226"/>
        <v/>
      </c>
      <c r="EH294" t="str">
        <f t="shared" si="227"/>
        <v/>
      </c>
      <c r="EI294" t="str">
        <f t="shared" si="228"/>
        <v>Fluoroquinolones</v>
      </c>
      <c r="EJ294" t="str">
        <f t="shared" si="229"/>
        <v/>
      </c>
      <c r="EK294" s="63" t="str">
        <f t="shared" si="230"/>
        <v/>
      </c>
      <c r="EN294" s="42">
        <v>291</v>
      </c>
      <c r="EO294" t="e">
        <f t="shared" si="236"/>
        <v>#N/A</v>
      </c>
      <c r="EP294" s="63" t="e">
        <f t="shared" si="237"/>
        <v>#N/A</v>
      </c>
      <c r="FT294" s="63"/>
    </row>
    <row r="295" spans="2:176" x14ac:dyDescent="0.3">
      <c r="B295" s="42"/>
      <c r="M295" s="194" t="str">
        <f ca="1">INDEX(Données_ATB!BD:BU,MATCH(MASQ2!O295,Données_ATB!BD:BD,0),18)</f>
        <v>x</v>
      </c>
      <c r="N295" s="14" t="str">
        <f>IFERROR(IF(Q295=0,"",COUNTIF(Q$4:Q$600,"&gt;"&amp;Q295)+COUNTIF(Q$4:Q295,Q295)),"")</f>
        <v/>
      </c>
      <c r="O295" t="str">
        <f>Données_ATB!BD294</f>
        <v>MARBOCYL S</v>
      </c>
      <c r="P295" t="e">
        <f>IF(IF(X$2="Catégorie",IF(X$3="Toutes",SUMIFS('Étape 1 - à remplir'!$F$31:$F$400,'Étape 1 - à remplir'!$E$31:$E$400,MASQ2!O295,'Étape 1 - à remplir'!$G$31:$G$400,"animaux"),SUMIFS('Étape 1 - à remplir'!$F$31:$F$400,'Étape 1 - à remplir'!$E$31:$E$400,MASQ2!O295,'Étape 1 - à remplir'!$C$31:$C$400,X$3)),IF(X$2="Âge",IF(X$3="Tous",SUMIFS('Étape 1 - à remplir'!$F$31:$F$400,'Étape 1 - à remplir'!$E$31:$E$400,MASQ2!O295,'Étape 1 - à remplir'!$G$31:$G$400,"animaux"),SUMIFS('Étape 1 - à remplir'!$F$31:$F$400,'Étape 1 - à remplir'!$E$31:$E$400,MASQ2!O295,'Étape 1 - à remplir'!$P$31:$P$400,X$3)),IF(X$2="Atelier",IF(X$3="Tous",SUMIFS('Étape 1 - à remplir'!$F$31:$F$400,'Étape 1 - à remplir'!$E$31:$E$400,MASQ2!O295,'Étape 1 - à remplir'!$G$31:$G$400,"animaux"),SUMIFS('Étape 1 - à remplir'!$F$31:$F$400,'Étape 1 - à remplir'!$E$31:$E$400,MASQ2!O295,'Étape 1 - à remplir'!$O$31:$O$400,X$3)),IF(X$2="Espèce",IF(X$3="Toutes",SUMIFS('Étape 1 - à remplir'!$F$31:$F$400,'Étape 1 - à remplir'!$E$31:$E$400,MASQ2!O295,'Étape 1 - à remplir'!$G$31:$G$400,"animaux"),SUMIFS('Étape 1 - à remplir'!$F$31:$F$400,'Étape 1 - à remplir'!$E$31:$E$400,MASQ2!O295,'Étape 1 - à remplir'!$N$31:$N$400,X$3))))))=0,NA(),IF(X$2="Catégorie",IF(X$3="Toutes",SUMIFS('Étape 1 - à remplir'!$F$31:$F$400,'Étape 1 - à remplir'!$E$31:$E$400,MASQ2!O295,'Étape 1 - à remplir'!$G$31:$G$400,"animaux"),SUMIFS('Étape 1 - à remplir'!$F$31:$F$400,'Étape 1 - à remplir'!$E$31:$E$400,MASQ2!O295,'Étape 1 - à remplir'!$C$31:$C$400,X$3)),IF(X$2="Âge",IF(X$3="Tous",SUMIFS('Étape 1 - à remplir'!$F$31:$F$400,'Étape 1 - à remplir'!$E$31:$E$400,MASQ2!O295,'Étape 1 - à remplir'!$G$31:$G$400,"animaux"),SUMIFS('Étape 1 - à remplir'!$F$31:$F$400,'Étape 1 - à remplir'!$E$31:$E$400,MASQ2!O295,'Étape 1 - à remplir'!$P$31:$P$400,X$3)),IF(X$2="Atelier",IF(X$3="Tous",SUMIFS('Étape 1 - à remplir'!$F$31:$F$400,'Étape 1 - à remplir'!$E$31:$E$400,MASQ2!O295,'Étape 1 - à remplir'!$G$31:$G$400,"animaux"),SUMIFS('Étape 1 - à remplir'!$F$31:$F$400,'Étape 1 - à remplir'!$E$31:$E$400,MASQ2!O295,'Étape 1 - à remplir'!$O$31:$O$400,X$3)),IF(X$2="Espèce",IF(X$3="Toutes",SUMIFS('Étape 1 - à remplir'!$F$31:$F$400,'Étape 1 - à remplir'!$E$31:$E$400,MASQ2!O295,'Étape 1 - à remplir'!$G$31:$G$400,"animaux"),SUMIFS('Étape 1 - à remplir'!$F$31:$F$400,'Étape 1 - à remplir'!$E$31:$E$400,MASQ2!O295,'Étape 1 - à remplir'!$N$31:$N$400,X$3)))))))</f>
        <v>#N/A</v>
      </c>
      <c r="Q295" s="63">
        <f t="shared" si="235"/>
        <v>0</v>
      </c>
      <c r="R295" t="str">
        <f>Données_ATB!BM294</f>
        <v>Marbofloxacine</v>
      </c>
      <c r="S295" t="str">
        <f>Données_ATB!BN294</f>
        <v/>
      </c>
      <c r="T295" s="63" t="str">
        <f>Données_ATB!BO294</f>
        <v/>
      </c>
      <c r="U295" s="42" t="str">
        <f>Données_ATB!BQ294</f>
        <v>Fluoroquinolones</v>
      </c>
      <c r="V295" t="str">
        <f>Données_ATB!BR294</f>
        <v/>
      </c>
      <c r="W295" s="63" t="str">
        <f>Données_ATB!BS294</f>
        <v/>
      </c>
      <c r="Z295" s="42">
        <v>292</v>
      </c>
      <c r="AA295" t="e">
        <f t="shared" si="231"/>
        <v>#N/A</v>
      </c>
      <c r="AB295" s="63" t="e">
        <f t="shared" si="232"/>
        <v>#N/A</v>
      </c>
      <c r="BF295" s="63"/>
      <c r="BT295" s="194" t="str">
        <f t="shared" ca="1" si="215"/>
        <v>x</v>
      </c>
      <c r="BU295" s="219" t="str">
        <f>IFERROR(IF(BX295=0,"",COUNTIF(BX$4:BX$600,"&gt;"&amp;BX295)+COUNTIF(BX$4:BX295,BX295)),"")</f>
        <v/>
      </c>
      <c r="BV295" s="42" t="str">
        <f t="shared" si="216"/>
        <v>MARBOCYL S</v>
      </c>
      <c r="BW295" t="e">
        <f>IF(IF(CE$2="Catégorie",IF(CE$3="Toutes",SUMIFS('Étape 1 - à remplir'!$F$31:$F$400,'Étape 1 - à remplir'!$E$31:$E$400,MASQ2!BV295,'Étape 1 - à remplir'!$G$31:$G$400,"lots"),SUMIFS('Étape 1 - à remplir'!$F$31:$F$400,'Étape 1 - à remplir'!$E$31:$E$400,MASQ2!BV295,'Étape 1 - à remplir'!$C$31:$C$400,CE$3)),IF(CE$2="Âge",IF(CE$3="Tous",SUMIFS('Étape 1 - à remplir'!$F$31:$F$400,'Étape 1 - à remplir'!$E$31:$E$400,MASQ2!BV295,'Étape 1 - à remplir'!$G$31:$G$400,"lots"),SUMIFS('Étape 1 - à remplir'!$F$31:$F$400,'Étape 1 - à remplir'!$E$31:$E$400,MASQ2!BV295,'Étape 1 - à remplir'!$P$31:$P$400,CE$3,'Étape 1 - à remplir'!$G$31:$G$400,"lots")),IF(CE$2="Atelier",IF(CE$3="Tous",SUMIFS('Étape 1 - à remplir'!$F$31:$F$400,'Étape 1 - à remplir'!$E$31:$E$400,MASQ2!BV295,'Étape 1 - à remplir'!$G$31:$G$400,"lots"),SUMIFS('Étape 1 - à remplir'!$F$31:$F$400,'Étape 1 - à remplir'!$E$31:$E$400,MASQ2!BV295,'Étape 1 - à remplir'!$O$31:$O$400,CE$3,'Étape 1 - à remplir'!$G$31:$G$400,"lots")),IF(CE$2="Espèce",IF(CE$3="Toutes",SUMIFS('Étape 1 - à remplir'!$F$31:$F$400,'Étape 1 - à remplir'!$E$31:$E$400,MASQ2!BV295,'Étape 1 - à remplir'!$G$31:$G$400,"lots"),SUMIFS('Étape 1 - à remplir'!$F$31:$F$400,'Étape 1 - à remplir'!$E$31:$E$400,MASQ2!BV295,'Étape 1 - à remplir'!$N$31:$N$400,CE$3,'Étape 1 - à remplir'!$G$31:$G$400,"lots"))))))=0,NA(),IF(CE$2="Catégorie",IF(CE$3="Toutes",SUMIFS('Étape 1 - à remplir'!$F$31:$F$400,'Étape 1 - à remplir'!$E$31:$E$400,MASQ2!BV295,'Étape 1 - à remplir'!$G$31:$G$400,"lots"),SUMIFS('Étape 1 - à remplir'!$F$31:$F$400,'Étape 1 - à remplir'!$E$31:$E$400,MASQ2!BV295,'Étape 1 - à remplir'!$C$31:$C$400,CE$3)),IF(CE$2="Âge",IF(CE$3="Tous",SUMIFS('Étape 1 - à remplir'!$F$31:$F$400,'Étape 1 - à remplir'!$E$31:$E$400,MASQ2!BV295,'Étape 1 - à remplir'!$G$31:$G$400,"lots"),SUMIFS('Étape 1 - à remplir'!$F$31:$F$400,'Étape 1 - à remplir'!$E$31:$E$400,MASQ2!BV295,'Étape 1 - à remplir'!$P$31:$P$400,CE$3,'Étape 1 - à remplir'!$G$31:$G$400,"lots")),IF(CE$2="Atelier",IF(CE$3="Tous",SUMIFS('Étape 1 - à remplir'!$F$31:$F$400,'Étape 1 - à remplir'!$E$31:$E$400,MASQ2!BV295,'Étape 1 - à remplir'!$G$31:$G$400,"lots"),SUMIFS('Étape 1 - à remplir'!$F$31:$F$400,'Étape 1 - à remplir'!$E$31:$E$400,MASQ2!BV295,'Étape 1 - à remplir'!$O$31:$O$400,CE$3,'Étape 1 - à remplir'!$G$31:$G$400,"lots")),IF(CE$2="Espèce",IF(CE$3="Toutes",SUMIFS('Étape 1 - à remplir'!$F$31:$F$400,'Étape 1 - à remplir'!$E$31:$E$400,MASQ2!BV295,'Étape 1 - à remplir'!$G$31:$G$400,"lots"),SUMIFS('Étape 1 - à remplir'!$F$31:$F$400,'Étape 1 - à remplir'!$E$31:$E$400,MASQ2!BV295,'Étape 1 - à remplir'!$N$31:$N$400,CE$3,'Étape 1 - à remplir'!$G$31:$G$400,"lots")))))))</f>
        <v>#N/A</v>
      </c>
      <c r="BX295">
        <f t="shared" si="233"/>
        <v>0</v>
      </c>
      <c r="BY295" t="str">
        <f t="shared" si="217"/>
        <v>Marbofloxacine</v>
      </c>
      <c r="BZ295" t="str">
        <f t="shared" si="218"/>
        <v/>
      </c>
      <c r="CA295" t="str">
        <f t="shared" si="219"/>
        <v/>
      </c>
      <c r="CB295" t="str">
        <f t="shared" si="220"/>
        <v>Fluoroquinolones</v>
      </c>
      <c r="CC295" t="str">
        <f t="shared" si="221"/>
        <v/>
      </c>
      <c r="CD295" s="63" t="str">
        <f t="shared" si="222"/>
        <v/>
      </c>
      <c r="CG295" s="42">
        <v>292</v>
      </c>
      <c r="CH295" s="42" t="e">
        <f t="shared" si="238"/>
        <v>#N/A</v>
      </c>
      <c r="CI295" s="63" t="e">
        <f t="shared" si="239"/>
        <v>#N/A</v>
      </c>
      <c r="DM295" s="63"/>
      <c r="EA295" s="194" t="str">
        <f t="shared" ca="1" si="223"/>
        <v>x</v>
      </c>
      <c r="EB295" s="226" t="str">
        <f>IFERROR(IF(ED295=0,"",COUNTIF(ED$4:ED$600,"&gt;"&amp;ED295)+COUNTIF(ED$4:ED295,ED295)),"")</f>
        <v/>
      </c>
      <c r="EC295" t="str">
        <f t="shared" si="224"/>
        <v>MARBOCYL S</v>
      </c>
      <c r="ED295" t="e">
        <f>IF(IF(EL$2="Catégorie",IF(EL$3="Toutes",SUMIFS('Étape 1 - à remplir'!$F$31:$F$400,'Étape 1 - à remplir'!$E$31:$E$400,MASQ2!EC295,'Étape 1 - à remplir'!$G$31:$G$400,"kg"),SUMIFS('Étape 1 - à remplir'!$F$31:$F$400,'Étape 1 - à remplir'!$E$31:$E$400,MASQ2!EC295,'Étape 1 - à remplir'!$C$31:$C$400,EL$3)),IF(EL$2="Âge",IF(EL$3="Tous",SUMIFS('Étape 1 - à remplir'!$F$31:$F$400,'Étape 1 - à remplir'!$E$31:$E$400,MASQ2!EC295,'Étape 1 - à remplir'!$G$31:$G$400,"kg"),SUMIFS('Étape 1 - à remplir'!$F$31:$F$400,'Étape 1 - à remplir'!$E$31:$E$400,MASQ2!EC295,'Étape 1 - à remplir'!$P$31:$P$400,EL$3,'Étape 1 - à remplir'!$G$31:$G$400,"kg")),IF(EL$2="Atelier",IF(EL$3="Tous",SUMIFS('Étape 1 - à remplir'!$F$31:$F$400,'Étape 1 - à remplir'!$E$31:$E$400,MASQ2!EC295,'Étape 1 - à remplir'!$G$31:$G$400,"kg"),SUMIFS('Étape 1 - à remplir'!$F$31:$F$400,'Étape 1 - à remplir'!$E$31:$E$400,MASQ2!EC295,'Étape 1 - à remplir'!$O$31:$O$400,EL$3,'Étape 1 - à remplir'!$G$31:$G$400,"kg")),IF(EL$2="Espèce",IF(EL$3="Toutes",SUMIFS('Étape 1 - à remplir'!$F$31:$F$400,'Étape 1 - à remplir'!$E$31:$E$400,MASQ2!EC295,'Étape 1 - à remplir'!$G$31:$G$400,"kg"),SUMIFS('Étape 1 - à remplir'!$F$31:$F$400,'Étape 1 - à remplir'!$E$31:$E$400,MASQ2!EC295,'Étape 1 - à remplir'!$N$31:$N$400,EL$3,'Étape 1 - à remplir'!$G$31:$G$400,"kg"))))))=0,NA(),IF(EL$2="Catégorie",IF(EL$3="Toutes",SUMIFS('Étape 1 - à remplir'!$F$31:$F$400,'Étape 1 - à remplir'!$E$31:$E$400,MASQ2!EC295,'Étape 1 - à remplir'!$G$31:$G$400,"kg"),SUMIFS('Étape 1 - à remplir'!$F$31:$F$400,'Étape 1 - à remplir'!$E$31:$E$400,MASQ2!EC295,'Étape 1 - à remplir'!$C$31:$C$400,EL$3)),IF(EL$2="Âge",IF(EL$3="Tous",SUMIFS('Étape 1 - à remplir'!$F$31:$F$400,'Étape 1 - à remplir'!$E$31:$E$400,MASQ2!EC295,'Étape 1 - à remplir'!$G$31:$G$400,"kg"),SUMIFS('Étape 1 - à remplir'!$F$31:$F$400,'Étape 1 - à remplir'!$E$31:$E$400,MASQ2!EC295,'Étape 1 - à remplir'!$P$31:$P$400,EL$3,'Étape 1 - à remplir'!$G$31:$G$400,"kg")),IF(EL$2="Atelier",IF(EL$3="Tous",SUMIFS('Étape 1 - à remplir'!$F$31:$F$400,'Étape 1 - à remplir'!$E$31:$E$400,MASQ2!EC295,'Étape 1 - à remplir'!$G$31:$G$400,"kg"),SUMIFS('Étape 1 - à remplir'!$F$31:$F$400,'Étape 1 - à remplir'!$E$31:$E$400,MASQ2!EC295,'Étape 1 - à remplir'!$O$31:$O$400,EL$3,'Étape 1 - à remplir'!$G$31:$G$400,"kg")),IF(EL$2="Espèce",IF(EL$3="Toutes",SUMIFS('Étape 1 - à remplir'!$F$31:$F$400,'Étape 1 - à remplir'!$E$31:$E$400,MASQ2!EC295,'Étape 1 - à remplir'!$G$31:$G$400,"kg"),SUMIFS('Étape 1 - à remplir'!$F$31:$F$400,'Étape 1 - à remplir'!$E$31:$E$400,MASQ2!EC295,'Étape 1 - à remplir'!$N$31:$N$400,EL$3,'Étape 1 - à remplir'!$G$31:$G$400,"kg")))))))</f>
        <v>#N/A</v>
      </c>
      <c r="EE295" s="76">
        <f t="shared" si="234"/>
        <v>0</v>
      </c>
      <c r="EF295" t="str">
        <f t="shared" si="225"/>
        <v>Marbofloxacine</v>
      </c>
      <c r="EG295" t="str">
        <f t="shared" si="226"/>
        <v/>
      </c>
      <c r="EH295" t="str">
        <f t="shared" si="227"/>
        <v/>
      </c>
      <c r="EI295" t="str">
        <f t="shared" si="228"/>
        <v>Fluoroquinolones</v>
      </c>
      <c r="EJ295" t="str">
        <f t="shared" si="229"/>
        <v/>
      </c>
      <c r="EK295" s="63" t="str">
        <f t="shared" si="230"/>
        <v/>
      </c>
      <c r="EN295" s="42">
        <v>292</v>
      </c>
      <c r="EO295" t="e">
        <f t="shared" si="236"/>
        <v>#N/A</v>
      </c>
      <c r="EP295" s="63" t="e">
        <f t="shared" si="237"/>
        <v>#N/A</v>
      </c>
      <c r="FT295" s="63"/>
    </row>
    <row r="296" spans="2:176" x14ac:dyDescent="0.3">
      <c r="B296" s="42"/>
      <c r="M296" s="194" t="str">
        <f ca="1">INDEX(Données_ATB!BD:BU,MATCH(MASQ2!O296,Données_ATB!BD:BD,0),18)</f>
        <v>x</v>
      </c>
      <c r="N296" s="14" t="str">
        <f>IFERROR(IF(Q296=0,"",COUNTIF(Q$4:Q$600,"&gt;"&amp;Q296)+COUNTIF(Q$4:Q296,Q296)),"")</f>
        <v/>
      </c>
      <c r="O296" t="str">
        <f>Données_ATB!BD295</f>
        <v>MARBONOR 100 MG/ML SOLUTION INJECTABLE POUR BOVINS ET PORCINS</v>
      </c>
      <c r="P296" t="e">
        <f>IF(IF(X$2="Catégorie",IF(X$3="Toutes",SUMIFS('Étape 1 - à remplir'!$F$31:$F$400,'Étape 1 - à remplir'!$E$31:$E$400,MASQ2!O296,'Étape 1 - à remplir'!$G$31:$G$400,"animaux"),SUMIFS('Étape 1 - à remplir'!$F$31:$F$400,'Étape 1 - à remplir'!$E$31:$E$400,MASQ2!O296,'Étape 1 - à remplir'!$C$31:$C$400,X$3)),IF(X$2="Âge",IF(X$3="Tous",SUMIFS('Étape 1 - à remplir'!$F$31:$F$400,'Étape 1 - à remplir'!$E$31:$E$400,MASQ2!O296,'Étape 1 - à remplir'!$G$31:$G$400,"animaux"),SUMIFS('Étape 1 - à remplir'!$F$31:$F$400,'Étape 1 - à remplir'!$E$31:$E$400,MASQ2!O296,'Étape 1 - à remplir'!$P$31:$P$400,X$3)),IF(X$2="Atelier",IF(X$3="Tous",SUMIFS('Étape 1 - à remplir'!$F$31:$F$400,'Étape 1 - à remplir'!$E$31:$E$400,MASQ2!O296,'Étape 1 - à remplir'!$G$31:$G$400,"animaux"),SUMIFS('Étape 1 - à remplir'!$F$31:$F$400,'Étape 1 - à remplir'!$E$31:$E$400,MASQ2!O296,'Étape 1 - à remplir'!$O$31:$O$400,X$3)),IF(X$2="Espèce",IF(X$3="Toutes",SUMIFS('Étape 1 - à remplir'!$F$31:$F$400,'Étape 1 - à remplir'!$E$31:$E$400,MASQ2!O296,'Étape 1 - à remplir'!$G$31:$G$400,"animaux"),SUMIFS('Étape 1 - à remplir'!$F$31:$F$400,'Étape 1 - à remplir'!$E$31:$E$400,MASQ2!O296,'Étape 1 - à remplir'!$N$31:$N$400,X$3))))))=0,NA(),IF(X$2="Catégorie",IF(X$3="Toutes",SUMIFS('Étape 1 - à remplir'!$F$31:$F$400,'Étape 1 - à remplir'!$E$31:$E$400,MASQ2!O296,'Étape 1 - à remplir'!$G$31:$G$400,"animaux"),SUMIFS('Étape 1 - à remplir'!$F$31:$F$400,'Étape 1 - à remplir'!$E$31:$E$400,MASQ2!O296,'Étape 1 - à remplir'!$C$31:$C$400,X$3)),IF(X$2="Âge",IF(X$3="Tous",SUMIFS('Étape 1 - à remplir'!$F$31:$F$400,'Étape 1 - à remplir'!$E$31:$E$400,MASQ2!O296,'Étape 1 - à remplir'!$G$31:$G$400,"animaux"),SUMIFS('Étape 1 - à remplir'!$F$31:$F$400,'Étape 1 - à remplir'!$E$31:$E$400,MASQ2!O296,'Étape 1 - à remplir'!$P$31:$P$400,X$3)),IF(X$2="Atelier",IF(X$3="Tous",SUMIFS('Étape 1 - à remplir'!$F$31:$F$400,'Étape 1 - à remplir'!$E$31:$E$400,MASQ2!O296,'Étape 1 - à remplir'!$G$31:$G$400,"animaux"),SUMIFS('Étape 1 - à remplir'!$F$31:$F$400,'Étape 1 - à remplir'!$E$31:$E$400,MASQ2!O296,'Étape 1 - à remplir'!$O$31:$O$400,X$3)),IF(X$2="Espèce",IF(X$3="Toutes",SUMIFS('Étape 1 - à remplir'!$F$31:$F$400,'Étape 1 - à remplir'!$E$31:$E$400,MASQ2!O296,'Étape 1 - à remplir'!$G$31:$G$400,"animaux"),SUMIFS('Étape 1 - à remplir'!$F$31:$F$400,'Étape 1 - à remplir'!$E$31:$E$400,MASQ2!O296,'Étape 1 - à remplir'!$N$31:$N$400,X$3)))))))</f>
        <v>#N/A</v>
      </c>
      <c r="Q296" s="63">
        <f t="shared" si="235"/>
        <v>0</v>
      </c>
      <c r="R296" t="str">
        <f>Données_ATB!BM295</f>
        <v>Marbofloxacine</v>
      </c>
      <c r="S296" t="str">
        <f>Données_ATB!BN295</f>
        <v/>
      </c>
      <c r="T296" s="63" t="str">
        <f>Données_ATB!BO295</f>
        <v/>
      </c>
      <c r="U296" s="42" t="str">
        <f>Données_ATB!BQ295</f>
        <v>Fluoroquinolones</v>
      </c>
      <c r="V296" t="str">
        <f>Données_ATB!BR295</f>
        <v/>
      </c>
      <c r="W296" s="63" t="str">
        <f>Données_ATB!BS295</f>
        <v/>
      </c>
      <c r="Z296" s="42">
        <v>293</v>
      </c>
      <c r="AA296" t="e">
        <f t="shared" si="231"/>
        <v>#N/A</v>
      </c>
      <c r="AB296" s="63" t="e">
        <f t="shared" si="232"/>
        <v>#N/A</v>
      </c>
      <c r="BF296" s="63"/>
      <c r="BT296" s="194" t="str">
        <f t="shared" ca="1" si="215"/>
        <v>x</v>
      </c>
      <c r="BU296" s="219" t="str">
        <f>IFERROR(IF(BX296=0,"",COUNTIF(BX$4:BX$600,"&gt;"&amp;BX296)+COUNTIF(BX$4:BX296,BX296)),"")</f>
        <v/>
      </c>
      <c r="BV296" s="42" t="str">
        <f t="shared" si="216"/>
        <v>MARBONOR 100 MG/ML SOLUTION INJECTABLE POUR BOVINS ET PORCINS</v>
      </c>
      <c r="BW296" t="e">
        <f>IF(IF(CE$2="Catégorie",IF(CE$3="Toutes",SUMIFS('Étape 1 - à remplir'!$F$31:$F$400,'Étape 1 - à remplir'!$E$31:$E$400,MASQ2!BV296,'Étape 1 - à remplir'!$G$31:$G$400,"lots"),SUMIFS('Étape 1 - à remplir'!$F$31:$F$400,'Étape 1 - à remplir'!$E$31:$E$400,MASQ2!BV296,'Étape 1 - à remplir'!$C$31:$C$400,CE$3)),IF(CE$2="Âge",IF(CE$3="Tous",SUMIFS('Étape 1 - à remplir'!$F$31:$F$400,'Étape 1 - à remplir'!$E$31:$E$400,MASQ2!BV296,'Étape 1 - à remplir'!$G$31:$G$400,"lots"),SUMIFS('Étape 1 - à remplir'!$F$31:$F$400,'Étape 1 - à remplir'!$E$31:$E$400,MASQ2!BV296,'Étape 1 - à remplir'!$P$31:$P$400,CE$3,'Étape 1 - à remplir'!$G$31:$G$400,"lots")),IF(CE$2="Atelier",IF(CE$3="Tous",SUMIFS('Étape 1 - à remplir'!$F$31:$F$400,'Étape 1 - à remplir'!$E$31:$E$400,MASQ2!BV296,'Étape 1 - à remplir'!$G$31:$G$400,"lots"),SUMIFS('Étape 1 - à remplir'!$F$31:$F$400,'Étape 1 - à remplir'!$E$31:$E$400,MASQ2!BV296,'Étape 1 - à remplir'!$O$31:$O$400,CE$3,'Étape 1 - à remplir'!$G$31:$G$400,"lots")),IF(CE$2="Espèce",IF(CE$3="Toutes",SUMIFS('Étape 1 - à remplir'!$F$31:$F$400,'Étape 1 - à remplir'!$E$31:$E$400,MASQ2!BV296,'Étape 1 - à remplir'!$G$31:$G$400,"lots"),SUMIFS('Étape 1 - à remplir'!$F$31:$F$400,'Étape 1 - à remplir'!$E$31:$E$400,MASQ2!BV296,'Étape 1 - à remplir'!$N$31:$N$400,CE$3,'Étape 1 - à remplir'!$G$31:$G$400,"lots"))))))=0,NA(),IF(CE$2="Catégorie",IF(CE$3="Toutes",SUMIFS('Étape 1 - à remplir'!$F$31:$F$400,'Étape 1 - à remplir'!$E$31:$E$400,MASQ2!BV296,'Étape 1 - à remplir'!$G$31:$G$400,"lots"),SUMIFS('Étape 1 - à remplir'!$F$31:$F$400,'Étape 1 - à remplir'!$E$31:$E$400,MASQ2!BV296,'Étape 1 - à remplir'!$C$31:$C$400,CE$3)),IF(CE$2="Âge",IF(CE$3="Tous",SUMIFS('Étape 1 - à remplir'!$F$31:$F$400,'Étape 1 - à remplir'!$E$31:$E$400,MASQ2!BV296,'Étape 1 - à remplir'!$G$31:$G$400,"lots"),SUMIFS('Étape 1 - à remplir'!$F$31:$F$400,'Étape 1 - à remplir'!$E$31:$E$400,MASQ2!BV296,'Étape 1 - à remplir'!$P$31:$P$400,CE$3,'Étape 1 - à remplir'!$G$31:$G$400,"lots")),IF(CE$2="Atelier",IF(CE$3="Tous",SUMIFS('Étape 1 - à remplir'!$F$31:$F$400,'Étape 1 - à remplir'!$E$31:$E$400,MASQ2!BV296,'Étape 1 - à remplir'!$G$31:$G$400,"lots"),SUMIFS('Étape 1 - à remplir'!$F$31:$F$400,'Étape 1 - à remplir'!$E$31:$E$400,MASQ2!BV296,'Étape 1 - à remplir'!$O$31:$O$400,CE$3,'Étape 1 - à remplir'!$G$31:$G$400,"lots")),IF(CE$2="Espèce",IF(CE$3="Toutes",SUMIFS('Étape 1 - à remplir'!$F$31:$F$400,'Étape 1 - à remplir'!$E$31:$E$400,MASQ2!BV296,'Étape 1 - à remplir'!$G$31:$G$400,"lots"),SUMIFS('Étape 1 - à remplir'!$F$31:$F$400,'Étape 1 - à remplir'!$E$31:$E$400,MASQ2!BV296,'Étape 1 - à remplir'!$N$31:$N$400,CE$3,'Étape 1 - à remplir'!$G$31:$G$400,"lots")))))))</f>
        <v>#N/A</v>
      </c>
      <c r="BX296">
        <f t="shared" si="233"/>
        <v>0</v>
      </c>
      <c r="BY296" t="str">
        <f t="shared" si="217"/>
        <v>Marbofloxacine</v>
      </c>
      <c r="BZ296" t="str">
        <f t="shared" si="218"/>
        <v/>
      </c>
      <c r="CA296" t="str">
        <f t="shared" si="219"/>
        <v/>
      </c>
      <c r="CB296" t="str">
        <f t="shared" si="220"/>
        <v>Fluoroquinolones</v>
      </c>
      <c r="CC296" t="str">
        <f t="shared" si="221"/>
        <v/>
      </c>
      <c r="CD296" s="63" t="str">
        <f t="shared" si="222"/>
        <v/>
      </c>
      <c r="CG296" s="42">
        <v>293</v>
      </c>
      <c r="CH296" s="42" t="e">
        <f t="shared" si="238"/>
        <v>#N/A</v>
      </c>
      <c r="CI296" s="63" t="e">
        <f t="shared" si="239"/>
        <v>#N/A</v>
      </c>
      <c r="DM296" s="63"/>
      <c r="EA296" s="194" t="str">
        <f t="shared" ca="1" si="223"/>
        <v>x</v>
      </c>
      <c r="EB296" s="226" t="str">
        <f>IFERROR(IF(ED296=0,"",COUNTIF(ED$4:ED$600,"&gt;"&amp;ED296)+COUNTIF(ED$4:ED296,ED296)),"")</f>
        <v/>
      </c>
      <c r="EC296" t="str">
        <f t="shared" si="224"/>
        <v>MARBONOR 100 MG/ML SOLUTION INJECTABLE POUR BOVINS ET PORCINS</v>
      </c>
      <c r="ED296" t="e">
        <f>IF(IF(EL$2="Catégorie",IF(EL$3="Toutes",SUMIFS('Étape 1 - à remplir'!$F$31:$F$400,'Étape 1 - à remplir'!$E$31:$E$400,MASQ2!EC296,'Étape 1 - à remplir'!$G$31:$G$400,"kg"),SUMIFS('Étape 1 - à remplir'!$F$31:$F$400,'Étape 1 - à remplir'!$E$31:$E$400,MASQ2!EC296,'Étape 1 - à remplir'!$C$31:$C$400,EL$3)),IF(EL$2="Âge",IF(EL$3="Tous",SUMIFS('Étape 1 - à remplir'!$F$31:$F$400,'Étape 1 - à remplir'!$E$31:$E$400,MASQ2!EC296,'Étape 1 - à remplir'!$G$31:$G$400,"kg"),SUMIFS('Étape 1 - à remplir'!$F$31:$F$400,'Étape 1 - à remplir'!$E$31:$E$400,MASQ2!EC296,'Étape 1 - à remplir'!$P$31:$P$400,EL$3,'Étape 1 - à remplir'!$G$31:$G$400,"kg")),IF(EL$2="Atelier",IF(EL$3="Tous",SUMIFS('Étape 1 - à remplir'!$F$31:$F$400,'Étape 1 - à remplir'!$E$31:$E$400,MASQ2!EC296,'Étape 1 - à remplir'!$G$31:$G$400,"kg"),SUMIFS('Étape 1 - à remplir'!$F$31:$F$400,'Étape 1 - à remplir'!$E$31:$E$400,MASQ2!EC296,'Étape 1 - à remplir'!$O$31:$O$400,EL$3,'Étape 1 - à remplir'!$G$31:$G$400,"kg")),IF(EL$2="Espèce",IF(EL$3="Toutes",SUMIFS('Étape 1 - à remplir'!$F$31:$F$400,'Étape 1 - à remplir'!$E$31:$E$400,MASQ2!EC296,'Étape 1 - à remplir'!$G$31:$G$400,"kg"),SUMIFS('Étape 1 - à remplir'!$F$31:$F$400,'Étape 1 - à remplir'!$E$31:$E$400,MASQ2!EC296,'Étape 1 - à remplir'!$N$31:$N$400,EL$3,'Étape 1 - à remplir'!$G$31:$G$400,"kg"))))))=0,NA(),IF(EL$2="Catégorie",IF(EL$3="Toutes",SUMIFS('Étape 1 - à remplir'!$F$31:$F$400,'Étape 1 - à remplir'!$E$31:$E$400,MASQ2!EC296,'Étape 1 - à remplir'!$G$31:$G$400,"kg"),SUMIFS('Étape 1 - à remplir'!$F$31:$F$400,'Étape 1 - à remplir'!$E$31:$E$400,MASQ2!EC296,'Étape 1 - à remplir'!$C$31:$C$400,EL$3)),IF(EL$2="Âge",IF(EL$3="Tous",SUMIFS('Étape 1 - à remplir'!$F$31:$F$400,'Étape 1 - à remplir'!$E$31:$E$400,MASQ2!EC296,'Étape 1 - à remplir'!$G$31:$G$400,"kg"),SUMIFS('Étape 1 - à remplir'!$F$31:$F$400,'Étape 1 - à remplir'!$E$31:$E$400,MASQ2!EC296,'Étape 1 - à remplir'!$P$31:$P$400,EL$3,'Étape 1 - à remplir'!$G$31:$G$400,"kg")),IF(EL$2="Atelier",IF(EL$3="Tous",SUMIFS('Étape 1 - à remplir'!$F$31:$F$400,'Étape 1 - à remplir'!$E$31:$E$400,MASQ2!EC296,'Étape 1 - à remplir'!$G$31:$G$400,"kg"),SUMIFS('Étape 1 - à remplir'!$F$31:$F$400,'Étape 1 - à remplir'!$E$31:$E$400,MASQ2!EC296,'Étape 1 - à remplir'!$O$31:$O$400,EL$3,'Étape 1 - à remplir'!$G$31:$G$400,"kg")),IF(EL$2="Espèce",IF(EL$3="Toutes",SUMIFS('Étape 1 - à remplir'!$F$31:$F$400,'Étape 1 - à remplir'!$E$31:$E$400,MASQ2!EC296,'Étape 1 - à remplir'!$G$31:$G$400,"kg"),SUMIFS('Étape 1 - à remplir'!$F$31:$F$400,'Étape 1 - à remplir'!$E$31:$E$400,MASQ2!EC296,'Étape 1 - à remplir'!$N$31:$N$400,EL$3,'Étape 1 - à remplir'!$G$31:$G$400,"kg")))))))</f>
        <v>#N/A</v>
      </c>
      <c r="EE296" s="76">
        <f t="shared" si="234"/>
        <v>0</v>
      </c>
      <c r="EF296" t="str">
        <f t="shared" si="225"/>
        <v>Marbofloxacine</v>
      </c>
      <c r="EG296" t="str">
        <f t="shared" si="226"/>
        <v/>
      </c>
      <c r="EH296" t="str">
        <f t="shared" si="227"/>
        <v/>
      </c>
      <c r="EI296" t="str">
        <f t="shared" si="228"/>
        <v>Fluoroquinolones</v>
      </c>
      <c r="EJ296" t="str">
        <f t="shared" si="229"/>
        <v/>
      </c>
      <c r="EK296" s="63" t="str">
        <f t="shared" si="230"/>
        <v/>
      </c>
      <c r="EN296" s="42">
        <v>293</v>
      </c>
      <c r="EO296" t="e">
        <f t="shared" si="236"/>
        <v>#N/A</v>
      </c>
      <c r="EP296" s="63" t="e">
        <f t="shared" si="237"/>
        <v>#N/A</v>
      </c>
      <c r="FT296" s="63"/>
    </row>
    <row r="297" spans="2:176" x14ac:dyDescent="0.3">
      <c r="B297" s="42"/>
      <c r="M297" s="194" t="str">
        <f ca="1">INDEX(Données_ATB!BD:BU,MATCH(MASQ2!O297,Données_ATB!BD:BD,0),18)</f>
        <v>x</v>
      </c>
      <c r="N297" s="14" t="str">
        <f>IFERROR(IF(Q297=0,"",COUNTIF(Q$4:Q$600,"&gt;"&amp;Q297)+COUNTIF(Q$4:Q297,Q297)),"")</f>
        <v/>
      </c>
      <c r="O297" t="str">
        <f>Données_ATB!BD296</f>
        <v>MARBOX 100 MG/ML SOLUTION INJECTABLE POUR BOVINS ET PORCINS</v>
      </c>
      <c r="P297" t="e">
        <f>IF(IF(X$2="Catégorie",IF(X$3="Toutes",SUMIFS('Étape 1 - à remplir'!$F$31:$F$400,'Étape 1 - à remplir'!$E$31:$E$400,MASQ2!O297,'Étape 1 - à remplir'!$G$31:$G$400,"animaux"),SUMIFS('Étape 1 - à remplir'!$F$31:$F$400,'Étape 1 - à remplir'!$E$31:$E$400,MASQ2!O297,'Étape 1 - à remplir'!$C$31:$C$400,X$3)),IF(X$2="Âge",IF(X$3="Tous",SUMIFS('Étape 1 - à remplir'!$F$31:$F$400,'Étape 1 - à remplir'!$E$31:$E$400,MASQ2!O297,'Étape 1 - à remplir'!$G$31:$G$400,"animaux"),SUMIFS('Étape 1 - à remplir'!$F$31:$F$400,'Étape 1 - à remplir'!$E$31:$E$400,MASQ2!O297,'Étape 1 - à remplir'!$P$31:$P$400,X$3)),IF(X$2="Atelier",IF(X$3="Tous",SUMIFS('Étape 1 - à remplir'!$F$31:$F$400,'Étape 1 - à remplir'!$E$31:$E$400,MASQ2!O297,'Étape 1 - à remplir'!$G$31:$G$400,"animaux"),SUMIFS('Étape 1 - à remplir'!$F$31:$F$400,'Étape 1 - à remplir'!$E$31:$E$400,MASQ2!O297,'Étape 1 - à remplir'!$O$31:$O$400,X$3)),IF(X$2="Espèce",IF(X$3="Toutes",SUMIFS('Étape 1 - à remplir'!$F$31:$F$400,'Étape 1 - à remplir'!$E$31:$E$400,MASQ2!O297,'Étape 1 - à remplir'!$G$31:$G$400,"animaux"),SUMIFS('Étape 1 - à remplir'!$F$31:$F$400,'Étape 1 - à remplir'!$E$31:$E$400,MASQ2!O297,'Étape 1 - à remplir'!$N$31:$N$400,X$3))))))=0,NA(),IF(X$2="Catégorie",IF(X$3="Toutes",SUMIFS('Étape 1 - à remplir'!$F$31:$F$400,'Étape 1 - à remplir'!$E$31:$E$400,MASQ2!O297,'Étape 1 - à remplir'!$G$31:$G$400,"animaux"),SUMIFS('Étape 1 - à remplir'!$F$31:$F$400,'Étape 1 - à remplir'!$E$31:$E$400,MASQ2!O297,'Étape 1 - à remplir'!$C$31:$C$400,X$3)),IF(X$2="Âge",IF(X$3="Tous",SUMIFS('Étape 1 - à remplir'!$F$31:$F$400,'Étape 1 - à remplir'!$E$31:$E$400,MASQ2!O297,'Étape 1 - à remplir'!$G$31:$G$400,"animaux"),SUMIFS('Étape 1 - à remplir'!$F$31:$F$400,'Étape 1 - à remplir'!$E$31:$E$400,MASQ2!O297,'Étape 1 - à remplir'!$P$31:$P$400,X$3)),IF(X$2="Atelier",IF(X$3="Tous",SUMIFS('Étape 1 - à remplir'!$F$31:$F$400,'Étape 1 - à remplir'!$E$31:$E$400,MASQ2!O297,'Étape 1 - à remplir'!$G$31:$G$400,"animaux"),SUMIFS('Étape 1 - à remplir'!$F$31:$F$400,'Étape 1 - à remplir'!$E$31:$E$400,MASQ2!O297,'Étape 1 - à remplir'!$O$31:$O$400,X$3)),IF(X$2="Espèce",IF(X$3="Toutes",SUMIFS('Étape 1 - à remplir'!$F$31:$F$400,'Étape 1 - à remplir'!$E$31:$E$400,MASQ2!O297,'Étape 1 - à remplir'!$G$31:$G$400,"animaux"),SUMIFS('Étape 1 - à remplir'!$F$31:$F$400,'Étape 1 - à remplir'!$E$31:$E$400,MASQ2!O297,'Étape 1 - à remplir'!$N$31:$N$400,X$3)))))))</f>
        <v>#N/A</v>
      </c>
      <c r="Q297" s="63">
        <f t="shared" si="235"/>
        <v>0</v>
      </c>
      <c r="R297" t="str">
        <f>Données_ATB!BM296</f>
        <v>Marbofloxacine</v>
      </c>
      <c r="S297" t="str">
        <f>Données_ATB!BN296</f>
        <v/>
      </c>
      <c r="T297" s="63" t="str">
        <f>Données_ATB!BO296</f>
        <v/>
      </c>
      <c r="U297" s="42" t="str">
        <f>Données_ATB!BQ296</f>
        <v>Fluoroquinolones</v>
      </c>
      <c r="V297" t="str">
        <f>Données_ATB!BR296</f>
        <v/>
      </c>
      <c r="W297" s="63" t="str">
        <f>Données_ATB!BS296</f>
        <v/>
      </c>
      <c r="Z297" s="42">
        <v>294</v>
      </c>
      <c r="AA297" t="e">
        <f t="shared" si="231"/>
        <v>#N/A</v>
      </c>
      <c r="AB297" s="63" t="e">
        <f t="shared" si="232"/>
        <v>#N/A</v>
      </c>
      <c r="BF297" s="63"/>
      <c r="BT297" s="194" t="str">
        <f t="shared" ca="1" si="215"/>
        <v>x</v>
      </c>
      <c r="BU297" s="219" t="str">
        <f>IFERROR(IF(BX297=0,"",COUNTIF(BX$4:BX$600,"&gt;"&amp;BX297)+COUNTIF(BX$4:BX297,BX297)),"")</f>
        <v/>
      </c>
      <c r="BV297" s="42" t="str">
        <f t="shared" si="216"/>
        <v>MARBOX 100 MG/ML SOLUTION INJECTABLE POUR BOVINS ET PORCINS</v>
      </c>
      <c r="BW297" t="e">
        <f>IF(IF(CE$2="Catégorie",IF(CE$3="Toutes",SUMIFS('Étape 1 - à remplir'!$F$31:$F$400,'Étape 1 - à remplir'!$E$31:$E$400,MASQ2!BV297,'Étape 1 - à remplir'!$G$31:$G$400,"lots"),SUMIFS('Étape 1 - à remplir'!$F$31:$F$400,'Étape 1 - à remplir'!$E$31:$E$400,MASQ2!BV297,'Étape 1 - à remplir'!$C$31:$C$400,CE$3)),IF(CE$2="Âge",IF(CE$3="Tous",SUMIFS('Étape 1 - à remplir'!$F$31:$F$400,'Étape 1 - à remplir'!$E$31:$E$400,MASQ2!BV297,'Étape 1 - à remplir'!$G$31:$G$400,"lots"),SUMIFS('Étape 1 - à remplir'!$F$31:$F$400,'Étape 1 - à remplir'!$E$31:$E$400,MASQ2!BV297,'Étape 1 - à remplir'!$P$31:$P$400,CE$3,'Étape 1 - à remplir'!$G$31:$G$400,"lots")),IF(CE$2="Atelier",IF(CE$3="Tous",SUMIFS('Étape 1 - à remplir'!$F$31:$F$400,'Étape 1 - à remplir'!$E$31:$E$400,MASQ2!BV297,'Étape 1 - à remplir'!$G$31:$G$400,"lots"),SUMIFS('Étape 1 - à remplir'!$F$31:$F$400,'Étape 1 - à remplir'!$E$31:$E$400,MASQ2!BV297,'Étape 1 - à remplir'!$O$31:$O$400,CE$3,'Étape 1 - à remplir'!$G$31:$G$400,"lots")),IF(CE$2="Espèce",IF(CE$3="Toutes",SUMIFS('Étape 1 - à remplir'!$F$31:$F$400,'Étape 1 - à remplir'!$E$31:$E$400,MASQ2!BV297,'Étape 1 - à remplir'!$G$31:$G$400,"lots"),SUMIFS('Étape 1 - à remplir'!$F$31:$F$400,'Étape 1 - à remplir'!$E$31:$E$400,MASQ2!BV297,'Étape 1 - à remplir'!$N$31:$N$400,CE$3,'Étape 1 - à remplir'!$G$31:$G$400,"lots"))))))=0,NA(),IF(CE$2="Catégorie",IF(CE$3="Toutes",SUMIFS('Étape 1 - à remplir'!$F$31:$F$400,'Étape 1 - à remplir'!$E$31:$E$400,MASQ2!BV297,'Étape 1 - à remplir'!$G$31:$G$400,"lots"),SUMIFS('Étape 1 - à remplir'!$F$31:$F$400,'Étape 1 - à remplir'!$E$31:$E$400,MASQ2!BV297,'Étape 1 - à remplir'!$C$31:$C$400,CE$3)),IF(CE$2="Âge",IF(CE$3="Tous",SUMIFS('Étape 1 - à remplir'!$F$31:$F$400,'Étape 1 - à remplir'!$E$31:$E$400,MASQ2!BV297,'Étape 1 - à remplir'!$G$31:$G$400,"lots"),SUMIFS('Étape 1 - à remplir'!$F$31:$F$400,'Étape 1 - à remplir'!$E$31:$E$400,MASQ2!BV297,'Étape 1 - à remplir'!$P$31:$P$400,CE$3,'Étape 1 - à remplir'!$G$31:$G$400,"lots")),IF(CE$2="Atelier",IF(CE$3="Tous",SUMIFS('Étape 1 - à remplir'!$F$31:$F$400,'Étape 1 - à remplir'!$E$31:$E$400,MASQ2!BV297,'Étape 1 - à remplir'!$G$31:$G$400,"lots"),SUMIFS('Étape 1 - à remplir'!$F$31:$F$400,'Étape 1 - à remplir'!$E$31:$E$400,MASQ2!BV297,'Étape 1 - à remplir'!$O$31:$O$400,CE$3,'Étape 1 - à remplir'!$G$31:$G$400,"lots")),IF(CE$2="Espèce",IF(CE$3="Toutes",SUMIFS('Étape 1 - à remplir'!$F$31:$F$400,'Étape 1 - à remplir'!$E$31:$E$400,MASQ2!BV297,'Étape 1 - à remplir'!$G$31:$G$400,"lots"),SUMIFS('Étape 1 - à remplir'!$F$31:$F$400,'Étape 1 - à remplir'!$E$31:$E$400,MASQ2!BV297,'Étape 1 - à remplir'!$N$31:$N$400,CE$3,'Étape 1 - à remplir'!$G$31:$G$400,"lots")))))))</f>
        <v>#N/A</v>
      </c>
      <c r="BX297">
        <f t="shared" si="233"/>
        <v>0</v>
      </c>
      <c r="BY297" t="str">
        <f t="shared" si="217"/>
        <v>Marbofloxacine</v>
      </c>
      <c r="BZ297" t="str">
        <f t="shared" si="218"/>
        <v/>
      </c>
      <c r="CA297" t="str">
        <f t="shared" si="219"/>
        <v/>
      </c>
      <c r="CB297" t="str">
        <f t="shared" si="220"/>
        <v>Fluoroquinolones</v>
      </c>
      <c r="CC297" t="str">
        <f t="shared" si="221"/>
        <v/>
      </c>
      <c r="CD297" s="63" t="str">
        <f t="shared" si="222"/>
        <v/>
      </c>
      <c r="CG297" s="42">
        <v>294</v>
      </c>
      <c r="CH297" s="42" t="e">
        <f t="shared" si="238"/>
        <v>#N/A</v>
      </c>
      <c r="CI297" s="63" t="e">
        <f t="shared" si="239"/>
        <v>#N/A</v>
      </c>
      <c r="DM297" s="63"/>
      <c r="EA297" s="194" t="str">
        <f t="shared" ca="1" si="223"/>
        <v>x</v>
      </c>
      <c r="EB297" s="226" t="str">
        <f>IFERROR(IF(ED297=0,"",COUNTIF(ED$4:ED$600,"&gt;"&amp;ED297)+COUNTIF(ED$4:ED297,ED297)),"")</f>
        <v/>
      </c>
      <c r="EC297" t="str">
        <f t="shared" si="224"/>
        <v>MARBOX 100 MG/ML SOLUTION INJECTABLE POUR BOVINS ET PORCINS</v>
      </c>
      <c r="ED297" t="e">
        <f>IF(IF(EL$2="Catégorie",IF(EL$3="Toutes",SUMIFS('Étape 1 - à remplir'!$F$31:$F$400,'Étape 1 - à remplir'!$E$31:$E$400,MASQ2!EC297,'Étape 1 - à remplir'!$G$31:$G$400,"kg"),SUMIFS('Étape 1 - à remplir'!$F$31:$F$400,'Étape 1 - à remplir'!$E$31:$E$400,MASQ2!EC297,'Étape 1 - à remplir'!$C$31:$C$400,EL$3)),IF(EL$2="Âge",IF(EL$3="Tous",SUMIFS('Étape 1 - à remplir'!$F$31:$F$400,'Étape 1 - à remplir'!$E$31:$E$400,MASQ2!EC297,'Étape 1 - à remplir'!$G$31:$G$400,"kg"),SUMIFS('Étape 1 - à remplir'!$F$31:$F$400,'Étape 1 - à remplir'!$E$31:$E$400,MASQ2!EC297,'Étape 1 - à remplir'!$P$31:$P$400,EL$3,'Étape 1 - à remplir'!$G$31:$G$400,"kg")),IF(EL$2="Atelier",IF(EL$3="Tous",SUMIFS('Étape 1 - à remplir'!$F$31:$F$400,'Étape 1 - à remplir'!$E$31:$E$400,MASQ2!EC297,'Étape 1 - à remplir'!$G$31:$G$400,"kg"),SUMIFS('Étape 1 - à remplir'!$F$31:$F$400,'Étape 1 - à remplir'!$E$31:$E$400,MASQ2!EC297,'Étape 1 - à remplir'!$O$31:$O$400,EL$3,'Étape 1 - à remplir'!$G$31:$G$400,"kg")),IF(EL$2="Espèce",IF(EL$3="Toutes",SUMIFS('Étape 1 - à remplir'!$F$31:$F$400,'Étape 1 - à remplir'!$E$31:$E$400,MASQ2!EC297,'Étape 1 - à remplir'!$G$31:$G$400,"kg"),SUMIFS('Étape 1 - à remplir'!$F$31:$F$400,'Étape 1 - à remplir'!$E$31:$E$400,MASQ2!EC297,'Étape 1 - à remplir'!$N$31:$N$400,EL$3,'Étape 1 - à remplir'!$G$31:$G$400,"kg"))))))=0,NA(),IF(EL$2="Catégorie",IF(EL$3="Toutes",SUMIFS('Étape 1 - à remplir'!$F$31:$F$400,'Étape 1 - à remplir'!$E$31:$E$400,MASQ2!EC297,'Étape 1 - à remplir'!$G$31:$G$400,"kg"),SUMIFS('Étape 1 - à remplir'!$F$31:$F$400,'Étape 1 - à remplir'!$E$31:$E$400,MASQ2!EC297,'Étape 1 - à remplir'!$C$31:$C$400,EL$3)),IF(EL$2="Âge",IF(EL$3="Tous",SUMIFS('Étape 1 - à remplir'!$F$31:$F$400,'Étape 1 - à remplir'!$E$31:$E$400,MASQ2!EC297,'Étape 1 - à remplir'!$G$31:$G$400,"kg"),SUMIFS('Étape 1 - à remplir'!$F$31:$F$400,'Étape 1 - à remplir'!$E$31:$E$400,MASQ2!EC297,'Étape 1 - à remplir'!$P$31:$P$400,EL$3,'Étape 1 - à remplir'!$G$31:$G$400,"kg")),IF(EL$2="Atelier",IF(EL$3="Tous",SUMIFS('Étape 1 - à remplir'!$F$31:$F$400,'Étape 1 - à remplir'!$E$31:$E$400,MASQ2!EC297,'Étape 1 - à remplir'!$G$31:$G$400,"kg"),SUMIFS('Étape 1 - à remplir'!$F$31:$F$400,'Étape 1 - à remplir'!$E$31:$E$400,MASQ2!EC297,'Étape 1 - à remplir'!$O$31:$O$400,EL$3,'Étape 1 - à remplir'!$G$31:$G$400,"kg")),IF(EL$2="Espèce",IF(EL$3="Toutes",SUMIFS('Étape 1 - à remplir'!$F$31:$F$400,'Étape 1 - à remplir'!$E$31:$E$400,MASQ2!EC297,'Étape 1 - à remplir'!$G$31:$G$400,"kg"),SUMIFS('Étape 1 - à remplir'!$F$31:$F$400,'Étape 1 - à remplir'!$E$31:$E$400,MASQ2!EC297,'Étape 1 - à remplir'!$N$31:$N$400,EL$3,'Étape 1 - à remplir'!$G$31:$G$400,"kg")))))))</f>
        <v>#N/A</v>
      </c>
      <c r="EE297" s="76">
        <f t="shared" si="234"/>
        <v>0</v>
      </c>
      <c r="EF297" t="str">
        <f t="shared" si="225"/>
        <v>Marbofloxacine</v>
      </c>
      <c r="EG297" t="str">
        <f t="shared" si="226"/>
        <v/>
      </c>
      <c r="EH297" t="str">
        <f t="shared" si="227"/>
        <v/>
      </c>
      <c r="EI297" t="str">
        <f t="shared" si="228"/>
        <v>Fluoroquinolones</v>
      </c>
      <c r="EJ297" t="str">
        <f t="shared" si="229"/>
        <v/>
      </c>
      <c r="EK297" s="63" t="str">
        <f t="shared" si="230"/>
        <v/>
      </c>
      <c r="EN297" s="42">
        <v>294</v>
      </c>
      <c r="EO297" t="e">
        <f t="shared" si="236"/>
        <v>#N/A</v>
      </c>
      <c r="EP297" s="63" t="e">
        <f t="shared" si="237"/>
        <v>#N/A</v>
      </c>
      <c r="FT297" s="63"/>
    </row>
    <row r="298" spans="2:176" x14ac:dyDescent="0.3">
      <c r="B298" s="42"/>
      <c r="M298" s="194" t="str">
        <f ca="1">INDEX(Données_ATB!BD:BU,MATCH(MASQ2!O298,Données_ATB!BD:BD,0),18)</f>
        <v>x</v>
      </c>
      <c r="N298" s="14" t="str">
        <f>IFERROR(IF(Q298=0,"",COUNTIF(Q$4:Q$600,"&gt;"&amp;Q298)+COUNTIF(Q$4:Q298,Q298)),"")</f>
        <v/>
      </c>
      <c r="O298" t="str">
        <f>Données_ATB!BD297</f>
        <v>MARFLOQUIN 100 MG/ML SOLUTION INJECTABLE POUR BOVINS ET PORCINS (TRUIES)</v>
      </c>
      <c r="P298" t="e">
        <f>IF(IF(X$2="Catégorie",IF(X$3="Toutes",SUMIFS('Étape 1 - à remplir'!$F$31:$F$400,'Étape 1 - à remplir'!$E$31:$E$400,MASQ2!O298,'Étape 1 - à remplir'!$G$31:$G$400,"animaux"),SUMIFS('Étape 1 - à remplir'!$F$31:$F$400,'Étape 1 - à remplir'!$E$31:$E$400,MASQ2!O298,'Étape 1 - à remplir'!$C$31:$C$400,X$3)),IF(X$2="Âge",IF(X$3="Tous",SUMIFS('Étape 1 - à remplir'!$F$31:$F$400,'Étape 1 - à remplir'!$E$31:$E$400,MASQ2!O298,'Étape 1 - à remplir'!$G$31:$G$400,"animaux"),SUMIFS('Étape 1 - à remplir'!$F$31:$F$400,'Étape 1 - à remplir'!$E$31:$E$400,MASQ2!O298,'Étape 1 - à remplir'!$P$31:$P$400,X$3)),IF(X$2="Atelier",IF(X$3="Tous",SUMIFS('Étape 1 - à remplir'!$F$31:$F$400,'Étape 1 - à remplir'!$E$31:$E$400,MASQ2!O298,'Étape 1 - à remplir'!$G$31:$G$400,"animaux"),SUMIFS('Étape 1 - à remplir'!$F$31:$F$400,'Étape 1 - à remplir'!$E$31:$E$400,MASQ2!O298,'Étape 1 - à remplir'!$O$31:$O$400,X$3)),IF(X$2="Espèce",IF(X$3="Toutes",SUMIFS('Étape 1 - à remplir'!$F$31:$F$400,'Étape 1 - à remplir'!$E$31:$E$400,MASQ2!O298,'Étape 1 - à remplir'!$G$31:$G$400,"animaux"),SUMIFS('Étape 1 - à remplir'!$F$31:$F$400,'Étape 1 - à remplir'!$E$31:$E$400,MASQ2!O298,'Étape 1 - à remplir'!$N$31:$N$400,X$3))))))=0,NA(),IF(X$2="Catégorie",IF(X$3="Toutes",SUMIFS('Étape 1 - à remplir'!$F$31:$F$400,'Étape 1 - à remplir'!$E$31:$E$400,MASQ2!O298,'Étape 1 - à remplir'!$G$31:$G$400,"animaux"),SUMIFS('Étape 1 - à remplir'!$F$31:$F$400,'Étape 1 - à remplir'!$E$31:$E$400,MASQ2!O298,'Étape 1 - à remplir'!$C$31:$C$400,X$3)),IF(X$2="Âge",IF(X$3="Tous",SUMIFS('Étape 1 - à remplir'!$F$31:$F$400,'Étape 1 - à remplir'!$E$31:$E$400,MASQ2!O298,'Étape 1 - à remplir'!$G$31:$G$400,"animaux"),SUMIFS('Étape 1 - à remplir'!$F$31:$F$400,'Étape 1 - à remplir'!$E$31:$E$400,MASQ2!O298,'Étape 1 - à remplir'!$P$31:$P$400,X$3)),IF(X$2="Atelier",IF(X$3="Tous",SUMIFS('Étape 1 - à remplir'!$F$31:$F$400,'Étape 1 - à remplir'!$E$31:$E$400,MASQ2!O298,'Étape 1 - à remplir'!$G$31:$G$400,"animaux"),SUMIFS('Étape 1 - à remplir'!$F$31:$F$400,'Étape 1 - à remplir'!$E$31:$E$400,MASQ2!O298,'Étape 1 - à remplir'!$O$31:$O$400,X$3)),IF(X$2="Espèce",IF(X$3="Toutes",SUMIFS('Étape 1 - à remplir'!$F$31:$F$400,'Étape 1 - à remplir'!$E$31:$E$400,MASQ2!O298,'Étape 1 - à remplir'!$G$31:$G$400,"animaux"),SUMIFS('Étape 1 - à remplir'!$F$31:$F$400,'Étape 1 - à remplir'!$E$31:$E$400,MASQ2!O298,'Étape 1 - à remplir'!$N$31:$N$400,X$3)))))))</f>
        <v>#N/A</v>
      </c>
      <c r="Q298" s="63">
        <f t="shared" si="235"/>
        <v>0</v>
      </c>
      <c r="R298" t="str">
        <f>Données_ATB!BM297</f>
        <v>Marbofloxacine</v>
      </c>
      <c r="S298" t="str">
        <f>Données_ATB!BN297</f>
        <v/>
      </c>
      <c r="T298" s="63" t="str">
        <f>Données_ATB!BO297</f>
        <v/>
      </c>
      <c r="U298" s="42" t="str">
        <f>Données_ATB!BQ297</f>
        <v>Fluoroquinolones</v>
      </c>
      <c r="V298" t="str">
        <f>Données_ATB!BR297</f>
        <v/>
      </c>
      <c r="W298" s="63" t="str">
        <f>Données_ATB!BS297</f>
        <v/>
      </c>
      <c r="Z298" s="42">
        <v>295</v>
      </c>
      <c r="AA298" t="e">
        <f t="shared" si="231"/>
        <v>#N/A</v>
      </c>
      <c r="AB298" s="63" t="e">
        <f t="shared" si="232"/>
        <v>#N/A</v>
      </c>
      <c r="BF298" s="63"/>
      <c r="BT298" s="194" t="str">
        <f t="shared" ca="1" si="215"/>
        <v>x</v>
      </c>
      <c r="BU298" s="219" t="str">
        <f>IFERROR(IF(BX298=0,"",COUNTIF(BX$4:BX$600,"&gt;"&amp;BX298)+COUNTIF(BX$4:BX298,BX298)),"")</f>
        <v/>
      </c>
      <c r="BV298" s="42" t="str">
        <f t="shared" si="216"/>
        <v>MARFLOQUIN 100 MG/ML SOLUTION INJECTABLE POUR BOVINS ET PORCINS (TRUIES)</v>
      </c>
      <c r="BW298" t="e">
        <f>IF(IF(CE$2="Catégorie",IF(CE$3="Toutes",SUMIFS('Étape 1 - à remplir'!$F$31:$F$400,'Étape 1 - à remplir'!$E$31:$E$400,MASQ2!BV298,'Étape 1 - à remplir'!$G$31:$G$400,"lots"),SUMIFS('Étape 1 - à remplir'!$F$31:$F$400,'Étape 1 - à remplir'!$E$31:$E$400,MASQ2!BV298,'Étape 1 - à remplir'!$C$31:$C$400,CE$3)),IF(CE$2="Âge",IF(CE$3="Tous",SUMIFS('Étape 1 - à remplir'!$F$31:$F$400,'Étape 1 - à remplir'!$E$31:$E$400,MASQ2!BV298,'Étape 1 - à remplir'!$G$31:$G$400,"lots"),SUMIFS('Étape 1 - à remplir'!$F$31:$F$400,'Étape 1 - à remplir'!$E$31:$E$400,MASQ2!BV298,'Étape 1 - à remplir'!$P$31:$P$400,CE$3,'Étape 1 - à remplir'!$G$31:$G$400,"lots")),IF(CE$2="Atelier",IF(CE$3="Tous",SUMIFS('Étape 1 - à remplir'!$F$31:$F$400,'Étape 1 - à remplir'!$E$31:$E$400,MASQ2!BV298,'Étape 1 - à remplir'!$G$31:$G$400,"lots"),SUMIFS('Étape 1 - à remplir'!$F$31:$F$400,'Étape 1 - à remplir'!$E$31:$E$400,MASQ2!BV298,'Étape 1 - à remplir'!$O$31:$O$400,CE$3,'Étape 1 - à remplir'!$G$31:$G$400,"lots")),IF(CE$2="Espèce",IF(CE$3="Toutes",SUMIFS('Étape 1 - à remplir'!$F$31:$F$400,'Étape 1 - à remplir'!$E$31:$E$400,MASQ2!BV298,'Étape 1 - à remplir'!$G$31:$G$400,"lots"),SUMIFS('Étape 1 - à remplir'!$F$31:$F$400,'Étape 1 - à remplir'!$E$31:$E$400,MASQ2!BV298,'Étape 1 - à remplir'!$N$31:$N$400,CE$3,'Étape 1 - à remplir'!$G$31:$G$400,"lots"))))))=0,NA(),IF(CE$2="Catégorie",IF(CE$3="Toutes",SUMIFS('Étape 1 - à remplir'!$F$31:$F$400,'Étape 1 - à remplir'!$E$31:$E$400,MASQ2!BV298,'Étape 1 - à remplir'!$G$31:$G$400,"lots"),SUMIFS('Étape 1 - à remplir'!$F$31:$F$400,'Étape 1 - à remplir'!$E$31:$E$400,MASQ2!BV298,'Étape 1 - à remplir'!$C$31:$C$400,CE$3)),IF(CE$2="Âge",IF(CE$3="Tous",SUMIFS('Étape 1 - à remplir'!$F$31:$F$400,'Étape 1 - à remplir'!$E$31:$E$400,MASQ2!BV298,'Étape 1 - à remplir'!$G$31:$G$400,"lots"),SUMIFS('Étape 1 - à remplir'!$F$31:$F$400,'Étape 1 - à remplir'!$E$31:$E$400,MASQ2!BV298,'Étape 1 - à remplir'!$P$31:$P$400,CE$3,'Étape 1 - à remplir'!$G$31:$G$400,"lots")),IF(CE$2="Atelier",IF(CE$3="Tous",SUMIFS('Étape 1 - à remplir'!$F$31:$F$400,'Étape 1 - à remplir'!$E$31:$E$400,MASQ2!BV298,'Étape 1 - à remplir'!$G$31:$G$400,"lots"),SUMIFS('Étape 1 - à remplir'!$F$31:$F$400,'Étape 1 - à remplir'!$E$31:$E$400,MASQ2!BV298,'Étape 1 - à remplir'!$O$31:$O$400,CE$3,'Étape 1 - à remplir'!$G$31:$G$400,"lots")),IF(CE$2="Espèce",IF(CE$3="Toutes",SUMIFS('Étape 1 - à remplir'!$F$31:$F$400,'Étape 1 - à remplir'!$E$31:$E$400,MASQ2!BV298,'Étape 1 - à remplir'!$G$31:$G$400,"lots"),SUMIFS('Étape 1 - à remplir'!$F$31:$F$400,'Étape 1 - à remplir'!$E$31:$E$400,MASQ2!BV298,'Étape 1 - à remplir'!$N$31:$N$400,CE$3,'Étape 1 - à remplir'!$G$31:$G$400,"lots")))))))</f>
        <v>#N/A</v>
      </c>
      <c r="BX298">
        <f t="shared" si="233"/>
        <v>0</v>
      </c>
      <c r="BY298" t="str">
        <f t="shared" si="217"/>
        <v>Marbofloxacine</v>
      </c>
      <c r="BZ298" t="str">
        <f t="shared" si="218"/>
        <v/>
      </c>
      <c r="CA298" t="str">
        <f t="shared" si="219"/>
        <v/>
      </c>
      <c r="CB298" t="str">
        <f t="shared" si="220"/>
        <v>Fluoroquinolones</v>
      </c>
      <c r="CC298" t="str">
        <f t="shared" si="221"/>
        <v/>
      </c>
      <c r="CD298" s="63" t="str">
        <f t="shared" si="222"/>
        <v/>
      </c>
      <c r="CG298" s="42">
        <v>295</v>
      </c>
      <c r="CH298" s="42" t="e">
        <f t="shared" si="238"/>
        <v>#N/A</v>
      </c>
      <c r="CI298" s="63" t="e">
        <f t="shared" si="239"/>
        <v>#N/A</v>
      </c>
      <c r="DM298" s="63"/>
      <c r="EA298" s="194" t="str">
        <f t="shared" ca="1" si="223"/>
        <v>x</v>
      </c>
      <c r="EB298" s="226" t="str">
        <f>IFERROR(IF(ED298=0,"",COUNTIF(ED$4:ED$600,"&gt;"&amp;ED298)+COUNTIF(ED$4:ED298,ED298)),"")</f>
        <v/>
      </c>
      <c r="EC298" t="str">
        <f t="shared" si="224"/>
        <v>MARFLOQUIN 100 MG/ML SOLUTION INJECTABLE POUR BOVINS ET PORCINS (TRUIES)</v>
      </c>
      <c r="ED298" t="e">
        <f>IF(IF(EL$2="Catégorie",IF(EL$3="Toutes",SUMIFS('Étape 1 - à remplir'!$F$31:$F$400,'Étape 1 - à remplir'!$E$31:$E$400,MASQ2!EC298,'Étape 1 - à remplir'!$G$31:$G$400,"kg"),SUMIFS('Étape 1 - à remplir'!$F$31:$F$400,'Étape 1 - à remplir'!$E$31:$E$400,MASQ2!EC298,'Étape 1 - à remplir'!$C$31:$C$400,EL$3)),IF(EL$2="Âge",IF(EL$3="Tous",SUMIFS('Étape 1 - à remplir'!$F$31:$F$400,'Étape 1 - à remplir'!$E$31:$E$400,MASQ2!EC298,'Étape 1 - à remplir'!$G$31:$G$400,"kg"),SUMIFS('Étape 1 - à remplir'!$F$31:$F$400,'Étape 1 - à remplir'!$E$31:$E$400,MASQ2!EC298,'Étape 1 - à remplir'!$P$31:$P$400,EL$3,'Étape 1 - à remplir'!$G$31:$G$400,"kg")),IF(EL$2="Atelier",IF(EL$3="Tous",SUMIFS('Étape 1 - à remplir'!$F$31:$F$400,'Étape 1 - à remplir'!$E$31:$E$400,MASQ2!EC298,'Étape 1 - à remplir'!$G$31:$G$400,"kg"),SUMIFS('Étape 1 - à remplir'!$F$31:$F$400,'Étape 1 - à remplir'!$E$31:$E$400,MASQ2!EC298,'Étape 1 - à remplir'!$O$31:$O$400,EL$3,'Étape 1 - à remplir'!$G$31:$G$400,"kg")),IF(EL$2="Espèce",IF(EL$3="Toutes",SUMIFS('Étape 1 - à remplir'!$F$31:$F$400,'Étape 1 - à remplir'!$E$31:$E$400,MASQ2!EC298,'Étape 1 - à remplir'!$G$31:$G$400,"kg"),SUMIFS('Étape 1 - à remplir'!$F$31:$F$400,'Étape 1 - à remplir'!$E$31:$E$400,MASQ2!EC298,'Étape 1 - à remplir'!$N$31:$N$400,EL$3,'Étape 1 - à remplir'!$G$31:$G$400,"kg"))))))=0,NA(),IF(EL$2="Catégorie",IF(EL$3="Toutes",SUMIFS('Étape 1 - à remplir'!$F$31:$F$400,'Étape 1 - à remplir'!$E$31:$E$400,MASQ2!EC298,'Étape 1 - à remplir'!$G$31:$G$400,"kg"),SUMIFS('Étape 1 - à remplir'!$F$31:$F$400,'Étape 1 - à remplir'!$E$31:$E$400,MASQ2!EC298,'Étape 1 - à remplir'!$C$31:$C$400,EL$3)),IF(EL$2="Âge",IF(EL$3="Tous",SUMIFS('Étape 1 - à remplir'!$F$31:$F$400,'Étape 1 - à remplir'!$E$31:$E$400,MASQ2!EC298,'Étape 1 - à remplir'!$G$31:$G$400,"kg"),SUMIFS('Étape 1 - à remplir'!$F$31:$F$400,'Étape 1 - à remplir'!$E$31:$E$400,MASQ2!EC298,'Étape 1 - à remplir'!$P$31:$P$400,EL$3,'Étape 1 - à remplir'!$G$31:$G$400,"kg")),IF(EL$2="Atelier",IF(EL$3="Tous",SUMIFS('Étape 1 - à remplir'!$F$31:$F$400,'Étape 1 - à remplir'!$E$31:$E$400,MASQ2!EC298,'Étape 1 - à remplir'!$G$31:$G$400,"kg"),SUMIFS('Étape 1 - à remplir'!$F$31:$F$400,'Étape 1 - à remplir'!$E$31:$E$400,MASQ2!EC298,'Étape 1 - à remplir'!$O$31:$O$400,EL$3,'Étape 1 - à remplir'!$G$31:$G$400,"kg")),IF(EL$2="Espèce",IF(EL$3="Toutes",SUMIFS('Étape 1 - à remplir'!$F$31:$F$400,'Étape 1 - à remplir'!$E$31:$E$400,MASQ2!EC298,'Étape 1 - à remplir'!$G$31:$G$400,"kg"),SUMIFS('Étape 1 - à remplir'!$F$31:$F$400,'Étape 1 - à remplir'!$E$31:$E$400,MASQ2!EC298,'Étape 1 - à remplir'!$N$31:$N$400,EL$3,'Étape 1 - à remplir'!$G$31:$G$400,"kg")))))))</f>
        <v>#N/A</v>
      </c>
      <c r="EE298" s="76">
        <f t="shared" si="234"/>
        <v>0</v>
      </c>
      <c r="EF298" t="str">
        <f t="shared" si="225"/>
        <v>Marbofloxacine</v>
      </c>
      <c r="EG298" t="str">
        <f t="shared" si="226"/>
        <v/>
      </c>
      <c r="EH298" t="str">
        <f t="shared" si="227"/>
        <v/>
      </c>
      <c r="EI298" t="str">
        <f t="shared" si="228"/>
        <v>Fluoroquinolones</v>
      </c>
      <c r="EJ298" t="str">
        <f t="shared" si="229"/>
        <v/>
      </c>
      <c r="EK298" s="63" t="str">
        <f t="shared" si="230"/>
        <v/>
      </c>
      <c r="EN298" s="42">
        <v>295</v>
      </c>
      <c r="EO298" t="e">
        <f t="shared" si="236"/>
        <v>#N/A</v>
      </c>
      <c r="EP298" s="63" t="e">
        <f t="shared" si="237"/>
        <v>#N/A</v>
      </c>
      <c r="FT298" s="63"/>
    </row>
    <row r="299" spans="2:176" x14ac:dyDescent="0.3">
      <c r="B299" s="42"/>
      <c r="M299" s="194" t="str">
        <f ca="1">INDEX(Données_ATB!BD:BU,MATCH(MASQ2!O299,Données_ATB!BD:BD,0),18)</f>
        <v>x</v>
      </c>
      <c r="N299" s="14" t="str">
        <f>IFERROR(IF(Q299=0,"",COUNTIF(Q$4:Q$600,"&gt;"&amp;Q299)+COUNTIF(Q$4:Q299,Q299)),"")</f>
        <v/>
      </c>
      <c r="O299" t="str">
        <f>Données_ATB!BD298</f>
        <v>MARFLOQUIN 20 MG/ML SOLUTION INJECTABLE POUR BOVINS (VEAUX) ET PORCINS</v>
      </c>
      <c r="P299" t="e">
        <f>IF(IF(X$2="Catégorie",IF(X$3="Toutes",SUMIFS('Étape 1 - à remplir'!$F$31:$F$400,'Étape 1 - à remplir'!$E$31:$E$400,MASQ2!O299,'Étape 1 - à remplir'!$G$31:$G$400,"animaux"),SUMIFS('Étape 1 - à remplir'!$F$31:$F$400,'Étape 1 - à remplir'!$E$31:$E$400,MASQ2!O299,'Étape 1 - à remplir'!$C$31:$C$400,X$3)),IF(X$2="Âge",IF(X$3="Tous",SUMIFS('Étape 1 - à remplir'!$F$31:$F$400,'Étape 1 - à remplir'!$E$31:$E$400,MASQ2!O299,'Étape 1 - à remplir'!$G$31:$G$400,"animaux"),SUMIFS('Étape 1 - à remplir'!$F$31:$F$400,'Étape 1 - à remplir'!$E$31:$E$400,MASQ2!O299,'Étape 1 - à remplir'!$P$31:$P$400,X$3)),IF(X$2="Atelier",IF(X$3="Tous",SUMIFS('Étape 1 - à remplir'!$F$31:$F$400,'Étape 1 - à remplir'!$E$31:$E$400,MASQ2!O299,'Étape 1 - à remplir'!$G$31:$G$400,"animaux"),SUMIFS('Étape 1 - à remplir'!$F$31:$F$400,'Étape 1 - à remplir'!$E$31:$E$400,MASQ2!O299,'Étape 1 - à remplir'!$O$31:$O$400,X$3)),IF(X$2="Espèce",IF(X$3="Toutes",SUMIFS('Étape 1 - à remplir'!$F$31:$F$400,'Étape 1 - à remplir'!$E$31:$E$400,MASQ2!O299,'Étape 1 - à remplir'!$G$31:$G$400,"animaux"),SUMIFS('Étape 1 - à remplir'!$F$31:$F$400,'Étape 1 - à remplir'!$E$31:$E$400,MASQ2!O299,'Étape 1 - à remplir'!$N$31:$N$400,X$3))))))=0,NA(),IF(X$2="Catégorie",IF(X$3="Toutes",SUMIFS('Étape 1 - à remplir'!$F$31:$F$400,'Étape 1 - à remplir'!$E$31:$E$400,MASQ2!O299,'Étape 1 - à remplir'!$G$31:$G$400,"animaux"),SUMIFS('Étape 1 - à remplir'!$F$31:$F$400,'Étape 1 - à remplir'!$E$31:$E$400,MASQ2!O299,'Étape 1 - à remplir'!$C$31:$C$400,X$3)),IF(X$2="Âge",IF(X$3="Tous",SUMIFS('Étape 1 - à remplir'!$F$31:$F$400,'Étape 1 - à remplir'!$E$31:$E$400,MASQ2!O299,'Étape 1 - à remplir'!$G$31:$G$400,"animaux"),SUMIFS('Étape 1 - à remplir'!$F$31:$F$400,'Étape 1 - à remplir'!$E$31:$E$400,MASQ2!O299,'Étape 1 - à remplir'!$P$31:$P$400,X$3)),IF(X$2="Atelier",IF(X$3="Tous",SUMIFS('Étape 1 - à remplir'!$F$31:$F$400,'Étape 1 - à remplir'!$E$31:$E$400,MASQ2!O299,'Étape 1 - à remplir'!$G$31:$G$400,"animaux"),SUMIFS('Étape 1 - à remplir'!$F$31:$F$400,'Étape 1 - à remplir'!$E$31:$E$400,MASQ2!O299,'Étape 1 - à remplir'!$O$31:$O$400,X$3)),IF(X$2="Espèce",IF(X$3="Toutes",SUMIFS('Étape 1 - à remplir'!$F$31:$F$400,'Étape 1 - à remplir'!$E$31:$E$400,MASQ2!O299,'Étape 1 - à remplir'!$G$31:$G$400,"animaux"),SUMIFS('Étape 1 - à remplir'!$F$31:$F$400,'Étape 1 - à remplir'!$E$31:$E$400,MASQ2!O299,'Étape 1 - à remplir'!$N$31:$N$400,X$3)))))))</f>
        <v>#N/A</v>
      </c>
      <c r="Q299" s="63">
        <f t="shared" si="235"/>
        <v>0</v>
      </c>
      <c r="R299" t="str">
        <f>Données_ATB!BM298</f>
        <v>Marbofloxacine</v>
      </c>
      <c r="S299" t="str">
        <f>Données_ATB!BN298</f>
        <v/>
      </c>
      <c r="T299" s="63" t="str">
        <f>Données_ATB!BO298</f>
        <v/>
      </c>
      <c r="U299" s="42" t="str">
        <f>Données_ATB!BQ298</f>
        <v>Fluoroquinolones</v>
      </c>
      <c r="V299" t="str">
        <f>Données_ATB!BR298</f>
        <v/>
      </c>
      <c r="W299" s="63" t="str">
        <f>Données_ATB!BS298</f>
        <v/>
      </c>
      <c r="Z299" s="42">
        <v>296</v>
      </c>
      <c r="AA299" t="e">
        <f t="shared" si="231"/>
        <v>#N/A</v>
      </c>
      <c r="AB299" s="63" t="e">
        <f t="shared" si="232"/>
        <v>#N/A</v>
      </c>
      <c r="BF299" s="63"/>
      <c r="BT299" s="194" t="str">
        <f t="shared" ca="1" si="215"/>
        <v>x</v>
      </c>
      <c r="BU299" s="219" t="str">
        <f>IFERROR(IF(BX299=0,"",COUNTIF(BX$4:BX$600,"&gt;"&amp;BX299)+COUNTIF(BX$4:BX299,BX299)),"")</f>
        <v/>
      </c>
      <c r="BV299" s="42" t="str">
        <f t="shared" si="216"/>
        <v>MARFLOQUIN 20 MG/ML SOLUTION INJECTABLE POUR BOVINS (VEAUX) ET PORCINS</v>
      </c>
      <c r="BW299" t="e">
        <f>IF(IF(CE$2="Catégorie",IF(CE$3="Toutes",SUMIFS('Étape 1 - à remplir'!$F$31:$F$400,'Étape 1 - à remplir'!$E$31:$E$400,MASQ2!BV299,'Étape 1 - à remplir'!$G$31:$G$400,"lots"),SUMIFS('Étape 1 - à remplir'!$F$31:$F$400,'Étape 1 - à remplir'!$E$31:$E$400,MASQ2!BV299,'Étape 1 - à remplir'!$C$31:$C$400,CE$3)),IF(CE$2="Âge",IF(CE$3="Tous",SUMIFS('Étape 1 - à remplir'!$F$31:$F$400,'Étape 1 - à remplir'!$E$31:$E$400,MASQ2!BV299,'Étape 1 - à remplir'!$G$31:$G$400,"lots"),SUMIFS('Étape 1 - à remplir'!$F$31:$F$400,'Étape 1 - à remplir'!$E$31:$E$400,MASQ2!BV299,'Étape 1 - à remplir'!$P$31:$P$400,CE$3,'Étape 1 - à remplir'!$G$31:$G$400,"lots")),IF(CE$2="Atelier",IF(CE$3="Tous",SUMIFS('Étape 1 - à remplir'!$F$31:$F$400,'Étape 1 - à remplir'!$E$31:$E$400,MASQ2!BV299,'Étape 1 - à remplir'!$G$31:$G$400,"lots"),SUMIFS('Étape 1 - à remplir'!$F$31:$F$400,'Étape 1 - à remplir'!$E$31:$E$400,MASQ2!BV299,'Étape 1 - à remplir'!$O$31:$O$400,CE$3,'Étape 1 - à remplir'!$G$31:$G$400,"lots")),IF(CE$2="Espèce",IF(CE$3="Toutes",SUMIFS('Étape 1 - à remplir'!$F$31:$F$400,'Étape 1 - à remplir'!$E$31:$E$400,MASQ2!BV299,'Étape 1 - à remplir'!$G$31:$G$400,"lots"),SUMIFS('Étape 1 - à remplir'!$F$31:$F$400,'Étape 1 - à remplir'!$E$31:$E$400,MASQ2!BV299,'Étape 1 - à remplir'!$N$31:$N$400,CE$3,'Étape 1 - à remplir'!$G$31:$G$400,"lots"))))))=0,NA(),IF(CE$2="Catégorie",IF(CE$3="Toutes",SUMIFS('Étape 1 - à remplir'!$F$31:$F$400,'Étape 1 - à remplir'!$E$31:$E$400,MASQ2!BV299,'Étape 1 - à remplir'!$G$31:$G$400,"lots"),SUMIFS('Étape 1 - à remplir'!$F$31:$F$400,'Étape 1 - à remplir'!$E$31:$E$400,MASQ2!BV299,'Étape 1 - à remplir'!$C$31:$C$400,CE$3)),IF(CE$2="Âge",IF(CE$3="Tous",SUMIFS('Étape 1 - à remplir'!$F$31:$F$400,'Étape 1 - à remplir'!$E$31:$E$400,MASQ2!BV299,'Étape 1 - à remplir'!$G$31:$G$400,"lots"),SUMIFS('Étape 1 - à remplir'!$F$31:$F$400,'Étape 1 - à remplir'!$E$31:$E$400,MASQ2!BV299,'Étape 1 - à remplir'!$P$31:$P$400,CE$3,'Étape 1 - à remplir'!$G$31:$G$400,"lots")),IF(CE$2="Atelier",IF(CE$3="Tous",SUMIFS('Étape 1 - à remplir'!$F$31:$F$400,'Étape 1 - à remplir'!$E$31:$E$400,MASQ2!BV299,'Étape 1 - à remplir'!$G$31:$G$400,"lots"),SUMIFS('Étape 1 - à remplir'!$F$31:$F$400,'Étape 1 - à remplir'!$E$31:$E$400,MASQ2!BV299,'Étape 1 - à remplir'!$O$31:$O$400,CE$3,'Étape 1 - à remplir'!$G$31:$G$400,"lots")),IF(CE$2="Espèce",IF(CE$3="Toutes",SUMIFS('Étape 1 - à remplir'!$F$31:$F$400,'Étape 1 - à remplir'!$E$31:$E$400,MASQ2!BV299,'Étape 1 - à remplir'!$G$31:$G$400,"lots"),SUMIFS('Étape 1 - à remplir'!$F$31:$F$400,'Étape 1 - à remplir'!$E$31:$E$400,MASQ2!BV299,'Étape 1 - à remplir'!$N$31:$N$400,CE$3,'Étape 1 - à remplir'!$G$31:$G$400,"lots")))))))</f>
        <v>#N/A</v>
      </c>
      <c r="BX299">
        <f t="shared" si="233"/>
        <v>0</v>
      </c>
      <c r="BY299" t="str">
        <f t="shared" si="217"/>
        <v>Marbofloxacine</v>
      </c>
      <c r="BZ299" t="str">
        <f t="shared" si="218"/>
        <v/>
      </c>
      <c r="CA299" t="str">
        <f t="shared" si="219"/>
        <v/>
      </c>
      <c r="CB299" t="str">
        <f t="shared" si="220"/>
        <v>Fluoroquinolones</v>
      </c>
      <c r="CC299" t="str">
        <f t="shared" si="221"/>
        <v/>
      </c>
      <c r="CD299" s="63" t="str">
        <f t="shared" si="222"/>
        <v/>
      </c>
      <c r="CG299" s="42">
        <v>296</v>
      </c>
      <c r="CH299" s="42" t="e">
        <f t="shared" si="238"/>
        <v>#N/A</v>
      </c>
      <c r="CI299" s="63" t="e">
        <f t="shared" si="239"/>
        <v>#N/A</v>
      </c>
      <c r="DM299" s="63"/>
      <c r="EA299" s="194" t="str">
        <f t="shared" ca="1" si="223"/>
        <v>x</v>
      </c>
      <c r="EB299" s="226" t="str">
        <f>IFERROR(IF(ED299=0,"",COUNTIF(ED$4:ED$600,"&gt;"&amp;ED299)+COUNTIF(ED$4:ED299,ED299)),"")</f>
        <v/>
      </c>
      <c r="EC299" t="str">
        <f t="shared" si="224"/>
        <v>MARFLOQUIN 20 MG/ML SOLUTION INJECTABLE POUR BOVINS (VEAUX) ET PORCINS</v>
      </c>
      <c r="ED299" t="e">
        <f>IF(IF(EL$2="Catégorie",IF(EL$3="Toutes",SUMIFS('Étape 1 - à remplir'!$F$31:$F$400,'Étape 1 - à remplir'!$E$31:$E$400,MASQ2!EC299,'Étape 1 - à remplir'!$G$31:$G$400,"kg"),SUMIFS('Étape 1 - à remplir'!$F$31:$F$400,'Étape 1 - à remplir'!$E$31:$E$400,MASQ2!EC299,'Étape 1 - à remplir'!$C$31:$C$400,EL$3)),IF(EL$2="Âge",IF(EL$3="Tous",SUMIFS('Étape 1 - à remplir'!$F$31:$F$400,'Étape 1 - à remplir'!$E$31:$E$400,MASQ2!EC299,'Étape 1 - à remplir'!$G$31:$G$400,"kg"),SUMIFS('Étape 1 - à remplir'!$F$31:$F$400,'Étape 1 - à remplir'!$E$31:$E$400,MASQ2!EC299,'Étape 1 - à remplir'!$P$31:$P$400,EL$3,'Étape 1 - à remplir'!$G$31:$G$400,"kg")),IF(EL$2="Atelier",IF(EL$3="Tous",SUMIFS('Étape 1 - à remplir'!$F$31:$F$400,'Étape 1 - à remplir'!$E$31:$E$400,MASQ2!EC299,'Étape 1 - à remplir'!$G$31:$G$400,"kg"),SUMIFS('Étape 1 - à remplir'!$F$31:$F$400,'Étape 1 - à remplir'!$E$31:$E$400,MASQ2!EC299,'Étape 1 - à remplir'!$O$31:$O$400,EL$3,'Étape 1 - à remplir'!$G$31:$G$400,"kg")),IF(EL$2="Espèce",IF(EL$3="Toutes",SUMIFS('Étape 1 - à remplir'!$F$31:$F$400,'Étape 1 - à remplir'!$E$31:$E$400,MASQ2!EC299,'Étape 1 - à remplir'!$G$31:$G$400,"kg"),SUMIFS('Étape 1 - à remplir'!$F$31:$F$400,'Étape 1 - à remplir'!$E$31:$E$400,MASQ2!EC299,'Étape 1 - à remplir'!$N$31:$N$400,EL$3,'Étape 1 - à remplir'!$G$31:$G$400,"kg"))))))=0,NA(),IF(EL$2="Catégorie",IF(EL$3="Toutes",SUMIFS('Étape 1 - à remplir'!$F$31:$F$400,'Étape 1 - à remplir'!$E$31:$E$400,MASQ2!EC299,'Étape 1 - à remplir'!$G$31:$G$400,"kg"),SUMIFS('Étape 1 - à remplir'!$F$31:$F$400,'Étape 1 - à remplir'!$E$31:$E$400,MASQ2!EC299,'Étape 1 - à remplir'!$C$31:$C$400,EL$3)),IF(EL$2="Âge",IF(EL$3="Tous",SUMIFS('Étape 1 - à remplir'!$F$31:$F$400,'Étape 1 - à remplir'!$E$31:$E$400,MASQ2!EC299,'Étape 1 - à remplir'!$G$31:$G$400,"kg"),SUMIFS('Étape 1 - à remplir'!$F$31:$F$400,'Étape 1 - à remplir'!$E$31:$E$400,MASQ2!EC299,'Étape 1 - à remplir'!$P$31:$P$400,EL$3,'Étape 1 - à remplir'!$G$31:$G$400,"kg")),IF(EL$2="Atelier",IF(EL$3="Tous",SUMIFS('Étape 1 - à remplir'!$F$31:$F$400,'Étape 1 - à remplir'!$E$31:$E$400,MASQ2!EC299,'Étape 1 - à remplir'!$G$31:$G$400,"kg"),SUMIFS('Étape 1 - à remplir'!$F$31:$F$400,'Étape 1 - à remplir'!$E$31:$E$400,MASQ2!EC299,'Étape 1 - à remplir'!$O$31:$O$400,EL$3,'Étape 1 - à remplir'!$G$31:$G$400,"kg")),IF(EL$2="Espèce",IF(EL$3="Toutes",SUMIFS('Étape 1 - à remplir'!$F$31:$F$400,'Étape 1 - à remplir'!$E$31:$E$400,MASQ2!EC299,'Étape 1 - à remplir'!$G$31:$G$400,"kg"),SUMIFS('Étape 1 - à remplir'!$F$31:$F$400,'Étape 1 - à remplir'!$E$31:$E$400,MASQ2!EC299,'Étape 1 - à remplir'!$N$31:$N$400,EL$3,'Étape 1 - à remplir'!$G$31:$G$400,"kg")))))))</f>
        <v>#N/A</v>
      </c>
      <c r="EE299" s="76">
        <f t="shared" si="234"/>
        <v>0</v>
      </c>
      <c r="EF299" t="str">
        <f t="shared" si="225"/>
        <v>Marbofloxacine</v>
      </c>
      <c r="EG299" t="str">
        <f t="shared" si="226"/>
        <v/>
      </c>
      <c r="EH299" t="str">
        <f t="shared" si="227"/>
        <v/>
      </c>
      <c r="EI299" t="str">
        <f t="shared" si="228"/>
        <v>Fluoroquinolones</v>
      </c>
      <c r="EJ299" t="str">
        <f t="shared" si="229"/>
        <v/>
      </c>
      <c r="EK299" s="63" t="str">
        <f t="shared" si="230"/>
        <v/>
      </c>
      <c r="EN299" s="42">
        <v>296</v>
      </c>
      <c r="EO299" t="e">
        <f t="shared" si="236"/>
        <v>#N/A</v>
      </c>
      <c r="EP299" s="63" t="e">
        <f t="shared" si="237"/>
        <v>#N/A</v>
      </c>
      <c r="FT299" s="63"/>
    </row>
    <row r="300" spans="2:176" x14ac:dyDescent="0.3">
      <c r="B300" s="42"/>
      <c r="M300" s="194" t="str">
        <f ca="1">INDEX(Données_ATB!BD:BU,MATCH(MASQ2!O300,Données_ATB!BD:BD,0),18)</f>
        <v>x</v>
      </c>
      <c r="N300" s="14" t="str">
        <f>IFERROR(IF(Q300=0,"",COUNTIF(Q$4:Q$600,"&gt;"&amp;Q300)+COUNTIF(Q$4:Q300,Q300)),"")</f>
        <v/>
      </c>
      <c r="O300" t="str">
        <f>Données_ATB!BD299</f>
        <v>MASTICOLI</v>
      </c>
      <c r="P300" t="e">
        <f>IF(IF(X$2="Catégorie",IF(X$3="Toutes",SUMIFS('Étape 1 - à remplir'!$F$31:$F$400,'Étape 1 - à remplir'!$E$31:$E$400,MASQ2!O300,'Étape 1 - à remplir'!$G$31:$G$400,"animaux"),SUMIFS('Étape 1 - à remplir'!$F$31:$F$400,'Étape 1 - à remplir'!$E$31:$E$400,MASQ2!O300,'Étape 1 - à remplir'!$C$31:$C$400,X$3)),IF(X$2="Âge",IF(X$3="Tous",SUMIFS('Étape 1 - à remplir'!$F$31:$F$400,'Étape 1 - à remplir'!$E$31:$E$400,MASQ2!O300,'Étape 1 - à remplir'!$G$31:$G$400,"animaux"),SUMIFS('Étape 1 - à remplir'!$F$31:$F$400,'Étape 1 - à remplir'!$E$31:$E$400,MASQ2!O300,'Étape 1 - à remplir'!$P$31:$P$400,X$3)),IF(X$2="Atelier",IF(X$3="Tous",SUMIFS('Étape 1 - à remplir'!$F$31:$F$400,'Étape 1 - à remplir'!$E$31:$E$400,MASQ2!O300,'Étape 1 - à remplir'!$G$31:$G$400,"animaux"),SUMIFS('Étape 1 - à remplir'!$F$31:$F$400,'Étape 1 - à remplir'!$E$31:$E$400,MASQ2!O300,'Étape 1 - à remplir'!$O$31:$O$400,X$3)),IF(X$2="Espèce",IF(X$3="Toutes",SUMIFS('Étape 1 - à remplir'!$F$31:$F$400,'Étape 1 - à remplir'!$E$31:$E$400,MASQ2!O300,'Étape 1 - à remplir'!$G$31:$G$400,"animaux"),SUMIFS('Étape 1 - à remplir'!$F$31:$F$400,'Étape 1 - à remplir'!$E$31:$E$400,MASQ2!O300,'Étape 1 - à remplir'!$N$31:$N$400,X$3))))))=0,NA(),IF(X$2="Catégorie",IF(X$3="Toutes",SUMIFS('Étape 1 - à remplir'!$F$31:$F$400,'Étape 1 - à remplir'!$E$31:$E$400,MASQ2!O300,'Étape 1 - à remplir'!$G$31:$G$400,"animaux"),SUMIFS('Étape 1 - à remplir'!$F$31:$F$400,'Étape 1 - à remplir'!$E$31:$E$400,MASQ2!O300,'Étape 1 - à remplir'!$C$31:$C$400,X$3)),IF(X$2="Âge",IF(X$3="Tous",SUMIFS('Étape 1 - à remplir'!$F$31:$F$400,'Étape 1 - à remplir'!$E$31:$E$400,MASQ2!O300,'Étape 1 - à remplir'!$G$31:$G$400,"animaux"),SUMIFS('Étape 1 - à remplir'!$F$31:$F$400,'Étape 1 - à remplir'!$E$31:$E$400,MASQ2!O300,'Étape 1 - à remplir'!$P$31:$P$400,X$3)),IF(X$2="Atelier",IF(X$3="Tous",SUMIFS('Étape 1 - à remplir'!$F$31:$F$400,'Étape 1 - à remplir'!$E$31:$E$400,MASQ2!O300,'Étape 1 - à remplir'!$G$31:$G$400,"animaux"),SUMIFS('Étape 1 - à remplir'!$F$31:$F$400,'Étape 1 - à remplir'!$E$31:$E$400,MASQ2!O300,'Étape 1 - à remplir'!$O$31:$O$400,X$3)),IF(X$2="Espèce",IF(X$3="Toutes",SUMIFS('Étape 1 - à remplir'!$F$31:$F$400,'Étape 1 - à remplir'!$E$31:$E$400,MASQ2!O300,'Étape 1 - à remplir'!$G$31:$G$400,"animaux"),SUMIFS('Étape 1 - à remplir'!$F$31:$F$400,'Étape 1 - à remplir'!$E$31:$E$400,MASQ2!O300,'Étape 1 - à remplir'!$N$31:$N$400,X$3)))))))</f>
        <v>#N/A</v>
      </c>
      <c r="Q300" s="63">
        <f t="shared" si="235"/>
        <v>0</v>
      </c>
      <c r="R300" t="str">
        <f>Données_ATB!BM299</f>
        <v>Cloxacilline</v>
      </c>
      <c r="S300" t="str">
        <f>Données_ATB!BN299</f>
        <v>Colistine</v>
      </c>
      <c r="T300" s="63" t="str">
        <f>Données_ATB!BO299</f>
        <v/>
      </c>
      <c r="U300" s="42" t="str">
        <f>Données_ATB!BQ299</f>
        <v>Penicillines</v>
      </c>
      <c r="V300" t="str">
        <f>Données_ATB!BR299</f>
        <v>Polypeptides</v>
      </c>
      <c r="W300" s="63" t="str">
        <f>Données_ATB!BS299</f>
        <v/>
      </c>
      <c r="Z300" s="42">
        <v>297</v>
      </c>
      <c r="AA300" t="e">
        <f t="shared" si="231"/>
        <v>#N/A</v>
      </c>
      <c r="AB300" s="63" t="e">
        <f t="shared" si="232"/>
        <v>#N/A</v>
      </c>
      <c r="BF300" s="63"/>
      <c r="BT300" s="194" t="str">
        <f t="shared" ca="1" si="215"/>
        <v>x</v>
      </c>
      <c r="BU300" s="219" t="str">
        <f>IFERROR(IF(BX300=0,"",COUNTIF(BX$4:BX$600,"&gt;"&amp;BX300)+COUNTIF(BX$4:BX300,BX300)),"")</f>
        <v/>
      </c>
      <c r="BV300" s="42" t="str">
        <f t="shared" si="216"/>
        <v>MASTICOLI</v>
      </c>
      <c r="BW300" t="e">
        <f>IF(IF(CE$2="Catégorie",IF(CE$3="Toutes",SUMIFS('Étape 1 - à remplir'!$F$31:$F$400,'Étape 1 - à remplir'!$E$31:$E$400,MASQ2!BV300,'Étape 1 - à remplir'!$G$31:$G$400,"lots"),SUMIFS('Étape 1 - à remplir'!$F$31:$F$400,'Étape 1 - à remplir'!$E$31:$E$400,MASQ2!BV300,'Étape 1 - à remplir'!$C$31:$C$400,CE$3)),IF(CE$2="Âge",IF(CE$3="Tous",SUMIFS('Étape 1 - à remplir'!$F$31:$F$400,'Étape 1 - à remplir'!$E$31:$E$400,MASQ2!BV300,'Étape 1 - à remplir'!$G$31:$G$400,"lots"),SUMIFS('Étape 1 - à remplir'!$F$31:$F$400,'Étape 1 - à remplir'!$E$31:$E$400,MASQ2!BV300,'Étape 1 - à remplir'!$P$31:$P$400,CE$3,'Étape 1 - à remplir'!$G$31:$G$400,"lots")),IF(CE$2="Atelier",IF(CE$3="Tous",SUMIFS('Étape 1 - à remplir'!$F$31:$F$400,'Étape 1 - à remplir'!$E$31:$E$400,MASQ2!BV300,'Étape 1 - à remplir'!$G$31:$G$400,"lots"),SUMIFS('Étape 1 - à remplir'!$F$31:$F$400,'Étape 1 - à remplir'!$E$31:$E$400,MASQ2!BV300,'Étape 1 - à remplir'!$O$31:$O$400,CE$3,'Étape 1 - à remplir'!$G$31:$G$400,"lots")),IF(CE$2="Espèce",IF(CE$3="Toutes",SUMIFS('Étape 1 - à remplir'!$F$31:$F$400,'Étape 1 - à remplir'!$E$31:$E$400,MASQ2!BV300,'Étape 1 - à remplir'!$G$31:$G$400,"lots"),SUMIFS('Étape 1 - à remplir'!$F$31:$F$400,'Étape 1 - à remplir'!$E$31:$E$400,MASQ2!BV300,'Étape 1 - à remplir'!$N$31:$N$400,CE$3,'Étape 1 - à remplir'!$G$31:$G$400,"lots"))))))=0,NA(),IF(CE$2="Catégorie",IF(CE$3="Toutes",SUMIFS('Étape 1 - à remplir'!$F$31:$F$400,'Étape 1 - à remplir'!$E$31:$E$400,MASQ2!BV300,'Étape 1 - à remplir'!$G$31:$G$400,"lots"),SUMIFS('Étape 1 - à remplir'!$F$31:$F$400,'Étape 1 - à remplir'!$E$31:$E$400,MASQ2!BV300,'Étape 1 - à remplir'!$C$31:$C$400,CE$3)),IF(CE$2="Âge",IF(CE$3="Tous",SUMIFS('Étape 1 - à remplir'!$F$31:$F$400,'Étape 1 - à remplir'!$E$31:$E$400,MASQ2!BV300,'Étape 1 - à remplir'!$G$31:$G$400,"lots"),SUMIFS('Étape 1 - à remplir'!$F$31:$F$400,'Étape 1 - à remplir'!$E$31:$E$400,MASQ2!BV300,'Étape 1 - à remplir'!$P$31:$P$400,CE$3,'Étape 1 - à remplir'!$G$31:$G$400,"lots")),IF(CE$2="Atelier",IF(CE$3="Tous",SUMIFS('Étape 1 - à remplir'!$F$31:$F$400,'Étape 1 - à remplir'!$E$31:$E$400,MASQ2!BV300,'Étape 1 - à remplir'!$G$31:$G$400,"lots"),SUMIFS('Étape 1 - à remplir'!$F$31:$F$400,'Étape 1 - à remplir'!$E$31:$E$400,MASQ2!BV300,'Étape 1 - à remplir'!$O$31:$O$400,CE$3,'Étape 1 - à remplir'!$G$31:$G$400,"lots")),IF(CE$2="Espèce",IF(CE$3="Toutes",SUMIFS('Étape 1 - à remplir'!$F$31:$F$400,'Étape 1 - à remplir'!$E$31:$E$400,MASQ2!BV300,'Étape 1 - à remplir'!$G$31:$G$400,"lots"),SUMIFS('Étape 1 - à remplir'!$F$31:$F$400,'Étape 1 - à remplir'!$E$31:$E$400,MASQ2!BV300,'Étape 1 - à remplir'!$N$31:$N$400,CE$3,'Étape 1 - à remplir'!$G$31:$G$400,"lots")))))))</f>
        <v>#N/A</v>
      </c>
      <c r="BX300">
        <f t="shared" si="233"/>
        <v>0</v>
      </c>
      <c r="BY300" t="str">
        <f t="shared" si="217"/>
        <v>Cloxacilline</v>
      </c>
      <c r="BZ300" t="str">
        <f t="shared" si="218"/>
        <v>Colistine</v>
      </c>
      <c r="CA300" t="str">
        <f t="shared" si="219"/>
        <v/>
      </c>
      <c r="CB300" t="str">
        <f t="shared" si="220"/>
        <v>Penicillines</v>
      </c>
      <c r="CC300" t="str">
        <f t="shared" si="221"/>
        <v>Polypeptides</v>
      </c>
      <c r="CD300" s="63" t="str">
        <f t="shared" si="222"/>
        <v/>
      </c>
      <c r="CG300" s="42">
        <v>297</v>
      </c>
      <c r="CH300" s="42" t="e">
        <f t="shared" si="238"/>
        <v>#N/A</v>
      </c>
      <c r="CI300" s="63" t="e">
        <f t="shared" si="239"/>
        <v>#N/A</v>
      </c>
      <c r="DM300" s="63"/>
      <c r="EA300" s="194" t="str">
        <f t="shared" ca="1" si="223"/>
        <v>x</v>
      </c>
      <c r="EB300" s="226" t="str">
        <f>IFERROR(IF(ED300=0,"",COUNTIF(ED$4:ED$600,"&gt;"&amp;ED300)+COUNTIF(ED$4:ED300,ED300)),"")</f>
        <v/>
      </c>
      <c r="EC300" t="str">
        <f t="shared" si="224"/>
        <v>MASTICOLI</v>
      </c>
      <c r="ED300" t="e">
        <f>IF(IF(EL$2="Catégorie",IF(EL$3="Toutes",SUMIFS('Étape 1 - à remplir'!$F$31:$F$400,'Étape 1 - à remplir'!$E$31:$E$400,MASQ2!EC300,'Étape 1 - à remplir'!$G$31:$G$400,"kg"),SUMIFS('Étape 1 - à remplir'!$F$31:$F$400,'Étape 1 - à remplir'!$E$31:$E$400,MASQ2!EC300,'Étape 1 - à remplir'!$C$31:$C$400,EL$3)),IF(EL$2="Âge",IF(EL$3="Tous",SUMIFS('Étape 1 - à remplir'!$F$31:$F$400,'Étape 1 - à remplir'!$E$31:$E$400,MASQ2!EC300,'Étape 1 - à remplir'!$G$31:$G$400,"kg"),SUMIFS('Étape 1 - à remplir'!$F$31:$F$400,'Étape 1 - à remplir'!$E$31:$E$400,MASQ2!EC300,'Étape 1 - à remplir'!$P$31:$P$400,EL$3,'Étape 1 - à remplir'!$G$31:$G$400,"kg")),IF(EL$2="Atelier",IF(EL$3="Tous",SUMIFS('Étape 1 - à remplir'!$F$31:$F$400,'Étape 1 - à remplir'!$E$31:$E$400,MASQ2!EC300,'Étape 1 - à remplir'!$G$31:$G$400,"kg"),SUMIFS('Étape 1 - à remplir'!$F$31:$F$400,'Étape 1 - à remplir'!$E$31:$E$400,MASQ2!EC300,'Étape 1 - à remplir'!$O$31:$O$400,EL$3,'Étape 1 - à remplir'!$G$31:$G$400,"kg")),IF(EL$2="Espèce",IF(EL$3="Toutes",SUMIFS('Étape 1 - à remplir'!$F$31:$F$400,'Étape 1 - à remplir'!$E$31:$E$400,MASQ2!EC300,'Étape 1 - à remplir'!$G$31:$G$400,"kg"),SUMIFS('Étape 1 - à remplir'!$F$31:$F$400,'Étape 1 - à remplir'!$E$31:$E$400,MASQ2!EC300,'Étape 1 - à remplir'!$N$31:$N$400,EL$3,'Étape 1 - à remplir'!$G$31:$G$400,"kg"))))))=0,NA(),IF(EL$2="Catégorie",IF(EL$3="Toutes",SUMIFS('Étape 1 - à remplir'!$F$31:$F$400,'Étape 1 - à remplir'!$E$31:$E$400,MASQ2!EC300,'Étape 1 - à remplir'!$G$31:$G$400,"kg"),SUMIFS('Étape 1 - à remplir'!$F$31:$F$400,'Étape 1 - à remplir'!$E$31:$E$400,MASQ2!EC300,'Étape 1 - à remplir'!$C$31:$C$400,EL$3)),IF(EL$2="Âge",IF(EL$3="Tous",SUMIFS('Étape 1 - à remplir'!$F$31:$F$400,'Étape 1 - à remplir'!$E$31:$E$400,MASQ2!EC300,'Étape 1 - à remplir'!$G$31:$G$400,"kg"),SUMIFS('Étape 1 - à remplir'!$F$31:$F$400,'Étape 1 - à remplir'!$E$31:$E$400,MASQ2!EC300,'Étape 1 - à remplir'!$P$31:$P$400,EL$3,'Étape 1 - à remplir'!$G$31:$G$400,"kg")),IF(EL$2="Atelier",IF(EL$3="Tous",SUMIFS('Étape 1 - à remplir'!$F$31:$F$400,'Étape 1 - à remplir'!$E$31:$E$400,MASQ2!EC300,'Étape 1 - à remplir'!$G$31:$G$400,"kg"),SUMIFS('Étape 1 - à remplir'!$F$31:$F$400,'Étape 1 - à remplir'!$E$31:$E$400,MASQ2!EC300,'Étape 1 - à remplir'!$O$31:$O$400,EL$3,'Étape 1 - à remplir'!$G$31:$G$400,"kg")),IF(EL$2="Espèce",IF(EL$3="Toutes",SUMIFS('Étape 1 - à remplir'!$F$31:$F$400,'Étape 1 - à remplir'!$E$31:$E$400,MASQ2!EC300,'Étape 1 - à remplir'!$G$31:$G$400,"kg"),SUMIFS('Étape 1 - à remplir'!$F$31:$F$400,'Étape 1 - à remplir'!$E$31:$E$400,MASQ2!EC300,'Étape 1 - à remplir'!$N$31:$N$400,EL$3,'Étape 1 - à remplir'!$G$31:$G$400,"kg")))))))</f>
        <v>#N/A</v>
      </c>
      <c r="EE300" s="76">
        <f t="shared" si="234"/>
        <v>0</v>
      </c>
      <c r="EF300" t="str">
        <f t="shared" si="225"/>
        <v>Cloxacilline</v>
      </c>
      <c r="EG300" t="str">
        <f t="shared" si="226"/>
        <v>Colistine</v>
      </c>
      <c r="EH300" t="str">
        <f t="shared" si="227"/>
        <v/>
      </c>
      <c r="EI300" t="str">
        <f t="shared" si="228"/>
        <v>Penicillines</v>
      </c>
      <c r="EJ300" t="str">
        <f t="shared" si="229"/>
        <v>Polypeptides</v>
      </c>
      <c r="EK300" s="63" t="str">
        <f t="shared" si="230"/>
        <v/>
      </c>
      <c r="EN300" s="42">
        <v>297</v>
      </c>
      <c r="EO300" t="e">
        <f t="shared" si="236"/>
        <v>#N/A</v>
      </c>
      <c r="EP300" s="63" t="e">
        <f t="shared" si="237"/>
        <v>#N/A</v>
      </c>
      <c r="FT300" s="63"/>
    </row>
    <row r="301" spans="2:176" x14ac:dyDescent="0.3">
      <c r="B301" s="42"/>
      <c r="M301" s="194" t="str">
        <f ca="1">INDEX(Données_ATB!BD:BU,MATCH(MASQ2!O301,Données_ATB!BD:BD,0),18)</f>
        <v/>
      </c>
      <c r="N301" s="14" t="str">
        <f>IFERROR(IF(Q301=0,"",COUNTIF(Q$4:Q$600,"&gt;"&amp;Q301)+COUNTIF(Q$4:Q301,Q301)),"")</f>
        <v/>
      </c>
      <c r="O301" t="str">
        <f>Données_ATB!BD300</f>
        <v>MASTIJET</v>
      </c>
      <c r="P301" t="e">
        <f>IF(IF(X$2="Catégorie",IF(X$3="Toutes",SUMIFS('Étape 1 - à remplir'!$F$31:$F$400,'Étape 1 - à remplir'!$E$31:$E$400,MASQ2!O301,'Étape 1 - à remplir'!$G$31:$G$400,"animaux"),SUMIFS('Étape 1 - à remplir'!$F$31:$F$400,'Étape 1 - à remplir'!$E$31:$E$400,MASQ2!O301,'Étape 1 - à remplir'!$C$31:$C$400,X$3)),IF(X$2="Âge",IF(X$3="Tous",SUMIFS('Étape 1 - à remplir'!$F$31:$F$400,'Étape 1 - à remplir'!$E$31:$E$400,MASQ2!O301,'Étape 1 - à remplir'!$G$31:$G$400,"animaux"),SUMIFS('Étape 1 - à remplir'!$F$31:$F$400,'Étape 1 - à remplir'!$E$31:$E$400,MASQ2!O301,'Étape 1 - à remplir'!$P$31:$P$400,X$3)),IF(X$2="Atelier",IF(X$3="Tous",SUMIFS('Étape 1 - à remplir'!$F$31:$F$400,'Étape 1 - à remplir'!$E$31:$E$400,MASQ2!O301,'Étape 1 - à remplir'!$G$31:$G$400,"animaux"),SUMIFS('Étape 1 - à remplir'!$F$31:$F$400,'Étape 1 - à remplir'!$E$31:$E$400,MASQ2!O301,'Étape 1 - à remplir'!$O$31:$O$400,X$3)),IF(X$2="Espèce",IF(X$3="Toutes",SUMIFS('Étape 1 - à remplir'!$F$31:$F$400,'Étape 1 - à remplir'!$E$31:$E$400,MASQ2!O301,'Étape 1 - à remplir'!$G$31:$G$400,"animaux"),SUMIFS('Étape 1 - à remplir'!$F$31:$F$400,'Étape 1 - à remplir'!$E$31:$E$400,MASQ2!O301,'Étape 1 - à remplir'!$N$31:$N$400,X$3))))))=0,NA(),IF(X$2="Catégorie",IF(X$3="Toutes",SUMIFS('Étape 1 - à remplir'!$F$31:$F$400,'Étape 1 - à remplir'!$E$31:$E$400,MASQ2!O301,'Étape 1 - à remplir'!$G$31:$G$400,"animaux"),SUMIFS('Étape 1 - à remplir'!$F$31:$F$400,'Étape 1 - à remplir'!$E$31:$E$400,MASQ2!O301,'Étape 1 - à remplir'!$C$31:$C$400,X$3)),IF(X$2="Âge",IF(X$3="Tous",SUMIFS('Étape 1 - à remplir'!$F$31:$F$400,'Étape 1 - à remplir'!$E$31:$E$400,MASQ2!O301,'Étape 1 - à remplir'!$G$31:$G$400,"animaux"),SUMIFS('Étape 1 - à remplir'!$F$31:$F$400,'Étape 1 - à remplir'!$E$31:$E$400,MASQ2!O301,'Étape 1 - à remplir'!$P$31:$P$400,X$3)),IF(X$2="Atelier",IF(X$3="Tous",SUMIFS('Étape 1 - à remplir'!$F$31:$F$400,'Étape 1 - à remplir'!$E$31:$E$400,MASQ2!O301,'Étape 1 - à remplir'!$G$31:$G$400,"animaux"),SUMIFS('Étape 1 - à remplir'!$F$31:$F$400,'Étape 1 - à remplir'!$E$31:$E$400,MASQ2!O301,'Étape 1 - à remplir'!$O$31:$O$400,X$3)),IF(X$2="Espèce",IF(X$3="Toutes",SUMIFS('Étape 1 - à remplir'!$F$31:$F$400,'Étape 1 - à remplir'!$E$31:$E$400,MASQ2!O301,'Étape 1 - à remplir'!$G$31:$G$400,"animaux"),SUMIFS('Étape 1 - à remplir'!$F$31:$F$400,'Étape 1 - à remplir'!$E$31:$E$400,MASQ2!O301,'Étape 1 - à remplir'!$N$31:$N$400,X$3)))))))</f>
        <v>#N/A</v>
      </c>
      <c r="Q301" s="63">
        <f t="shared" si="235"/>
        <v>0</v>
      </c>
      <c r="R301" t="str">
        <f>Données_ATB!BM300</f>
        <v>Néomycine</v>
      </c>
      <c r="S301" t="str">
        <f>Données_ATB!BN300</f>
        <v>Tétracycline</v>
      </c>
      <c r="T301" s="63" t="str">
        <f>Données_ATB!BO300</f>
        <v>Bacitracine</v>
      </c>
      <c r="U301" s="42" t="str">
        <f>Données_ATB!BQ300</f>
        <v>Aminoglycosides</v>
      </c>
      <c r="V301" t="str">
        <f>Données_ATB!BR300</f>
        <v>Tetracyclines</v>
      </c>
      <c r="W301" s="63" t="str">
        <f>Données_ATB!BS300</f>
        <v>Polypeptides</v>
      </c>
      <c r="Z301" s="42">
        <v>298</v>
      </c>
      <c r="AA301" t="e">
        <f t="shared" si="231"/>
        <v>#N/A</v>
      </c>
      <c r="AB301" s="63" t="e">
        <f t="shared" si="232"/>
        <v>#N/A</v>
      </c>
      <c r="BF301" s="63"/>
      <c r="BT301" s="194" t="str">
        <f t="shared" ca="1" si="215"/>
        <v/>
      </c>
      <c r="BU301" s="219" t="str">
        <f>IFERROR(IF(BX301=0,"",COUNTIF(BX$4:BX$600,"&gt;"&amp;BX301)+COUNTIF(BX$4:BX301,BX301)),"")</f>
        <v/>
      </c>
      <c r="BV301" s="42" t="str">
        <f t="shared" si="216"/>
        <v>MASTIJET</v>
      </c>
      <c r="BW301" t="e">
        <f>IF(IF(CE$2="Catégorie",IF(CE$3="Toutes",SUMIFS('Étape 1 - à remplir'!$F$31:$F$400,'Étape 1 - à remplir'!$E$31:$E$400,MASQ2!BV301,'Étape 1 - à remplir'!$G$31:$G$400,"lots"),SUMIFS('Étape 1 - à remplir'!$F$31:$F$400,'Étape 1 - à remplir'!$E$31:$E$400,MASQ2!BV301,'Étape 1 - à remplir'!$C$31:$C$400,CE$3)),IF(CE$2="Âge",IF(CE$3="Tous",SUMIFS('Étape 1 - à remplir'!$F$31:$F$400,'Étape 1 - à remplir'!$E$31:$E$400,MASQ2!BV301,'Étape 1 - à remplir'!$G$31:$G$400,"lots"),SUMIFS('Étape 1 - à remplir'!$F$31:$F$400,'Étape 1 - à remplir'!$E$31:$E$400,MASQ2!BV301,'Étape 1 - à remplir'!$P$31:$P$400,CE$3,'Étape 1 - à remplir'!$G$31:$G$400,"lots")),IF(CE$2="Atelier",IF(CE$3="Tous",SUMIFS('Étape 1 - à remplir'!$F$31:$F$400,'Étape 1 - à remplir'!$E$31:$E$400,MASQ2!BV301,'Étape 1 - à remplir'!$G$31:$G$400,"lots"),SUMIFS('Étape 1 - à remplir'!$F$31:$F$400,'Étape 1 - à remplir'!$E$31:$E$400,MASQ2!BV301,'Étape 1 - à remplir'!$O$31:$O$400,CE$3,'Étape 1 - à remplir'!$G$31:$G$400,"lots")),IF(CE$2="Espèce",IF(CE$3="Toutes",SUMIFS('Étape 1 - à remplir'!$F$31:$F$400,'Étape 1 - à remplir'!$E$31:$E$400,MASQ2!BV301,'Étape 1 - à remplir'!$G$31:$G$400,"lots"),SUMIFS('Étape 1 - à remplir'!$F$31:$F$400,'Étape 1 - à remplir'!$E$31:$E$400,MASQ2!BV301,'Étape 1 - à remplir'!$N$31:$N$400,CE$3,'Étape 1 - à remplir'!$G$31:$G$400,"lots"))))))=0,NA(),IF(CE$2="Catégorie",IF(CE$3="Toutes",SUMIFS('Étape 1 - à remplir'!$F$31:$F$400,'Étape 1 - à remplir'!$E$31:$E$400,MASQ2!BV301,'Étape 1 - à remplir'!$G$31:$G$400,"lots"),SUMIFS('Étape 1 - à remplir'!$F$31:$F$400,'Étape 1 - à remplir'!$E$31:$E$400,MASQ2!BV301,'Étape 1 - à remplir'!$C$31:$C$400,CE$3)),IF(CE$2="Âge",IF(CE$3="Tous",SUMIFS('Étape 1 - à remplir'!$F$31:$F$400,'Étape 1 - à remplir'!$E$31:$E$400,MASQ2!BV301,'Étape 1 - à remplir'!$G$31:$G$400,"lots"),SUMIFS('Étape 1 - à remplir'!$F$31:$F$400,'Étape 1 - à remplir'!$E$31:$E$400,MASQ2!BV301,'Étape 1 - à remplir'!$P$31:$P$400,CE$3,'Étape 1 - à remplir'!$G$31:$G$400,"lots")),IF(CE$2="Atelier",IF(CE$3="Tous",SUMIFS('Étape 1 - à remplir'!$F$31:$F$400,'Étape 1 - à remplir'!$E$31:$E$400,MASQ2!BV301,'Étape 1 - à remplir'!$G$31:$G$400,"lots"),SUMIFS('Étape 1 - à remplir'!$F$31:$F$400,'Étape 1 - à remplir'!$E$31:$E$400,MASQ2!BV301,'Étape 1 - à remplir'!$O$31:$O$400,CE$3,'Étape 1 - à remplir'!$G$31:$G$400,"lots")),IF(CE$2="Espèce",IF(CE$3="Toutes",SUMIFS('Étape 1 - à remplir'!$F$31:$F$400,'Étape 1 - à remplir'!$E$31:$E$400,MASQ2!BV301,'Étape 1 - à remplir'!$G$31:$G$400,"lots"),SUMIFS('Étape 1 - à remplir'!$F$31:$F$400,'Étape 1 - à remplir'!$E$31:$E$400,MASQ2!BV301,'Étape 1 - à remplir'!$N$31:$N$400,CE$3,'Étape 1 - à remplir'!$G$31:$G$400,"lots")))))))</f>
        <v>#N/A</v>
      </c>
      <c r="BX301">
        <f t="shared" si="233"/>
        <v>0</v>
      </c>
      <c r="BY301" t="str">
        <f t="shared" si="217"/>
        <v>Néomycine</v>
      </c>
      <c r="BZ301" t="str">
        <f t="shared" si="218"/>
        <v>Tétracycline</v>
      </c>
      <c r="CA301" t="str">
        <f t="shared" si="219"/>
        <v>Bacitracine</v>
      </c>
      <c r="CB301" t="str">
        <f t="shared" si="220"/>
        <v>Aminoglycosides</v>
      </c>
      <c r="CC301" t="str">
        <f t="shared" si="221"/>
        <v>Tetracyclines</v>
      </c>
      <c r="CD301" s="63" t="str">
        <f t="shared" si="222"/>
        <v>Polypeptides</v>
      </c>
      <c r="CG301" s="42">
        <v>298</v>
      </c>
      <c r="CH301" s="42" t="e">
        <f t="shared" si="238"/>
        <v>#N/A</v>
      </c>
      <c r="CI301" s="63" t="e">
        <f t="shared" si="239"/>
        <v>#N/A</v>
      </c>
      <c r="DM301" s="63"/>
      <c r="EA301" s="194" t="str">
        <f t="shared" ca="1" si="223"/>
        <v/>
      </c>
      <c r="EB301" s="226" t="str">
        <f>IFERROR(IF(ED301=0,"",COUNTIF(ED$4:ED$600,"&gt;"&amp;ED301)+COUNTIF(ED$4:ED301,ED301)),"")</f>
        <v/>
      </c>
      <c r="EC301" t="str">
        <f t="shared" si="224"/>
        <v>MASTIJET</v>
      </c>
      <c r="ED301" t="e">
        <f>IF(IF(EL$2="Catégorie",IF(EL$3="Toutes",SUMIFS('Étape 1 - à remplir'!$F$31:$F$400,'Étape 1 - à remplir'!$E$31:$E$400,MASQ2!EC301,'Étape 1 - à remplir'!$G$31:$G$400,"kg"),SUMIFS('Étape 1 - à remplir'!$F$31:$F$400,'Étape 1 - à remplir'!$E$31:$E$400,MASQ2!EC301,'Étape 1 - à remplir'!$C$31:$C$400,EL$3)),IF(EL$2="Âge",IF(EL$3="Tous",SUMIFS('Étape 1 - à remplir'!$F$31:$F$400,'Étape 1 - à remplir'!$E$31:$E$400,MASQ2!EC301,'Étape 1 - à remplir'!$G$31:$G$400,"kg"),SUMIFS('Étape 1 - à remplir'!$F$31:$F$400,'Étape 1 - à remplir'!$E$31:$E$400,MASQ2!EC301,'Étape 1 - à remplir'!$P$31:$P$400,EL$3,'Étape 1 - à remplir'!$G$31:$G$400,"kg")),IF(EL$2="Atelier",IF(EL$3="Tous",SUMIFS('Étape 1 - à remplir'!$F$31:$F$400,'Étape 1 - à remplir'!$E$31:$E$400,MASQ2!EC301,'Étape 1 - à remplir'!$G$31:$G$400,"kg"),SUMIFS('Étape 1 - à remplir'!$F$31:$F$400,'Étape 1 - à remplir'!$E$31:$E$400,MASQ2!EC301,'Étape 1 - à remplir'!$O$31:$O$400,EL$3,'Étape 1 - à remplir'!$G$31:$G$400,"kg")),IF(EL$2="Espèce",IF(EL$3="Toutes",SUMIFS('Étape 1 - à remplir'!$F$31:$F$400,'Étape 1 - à remplir'!$E$31:$E$400,MASQ2!EC301,'Étape 1 - à remplir'!$G$31:$G$400,"kg"),SUMIFS('Étape 1 - à remplir'!$F$31:$F$400,'Étape 1 - à remplir'!$E$31:$E$400,MASQ2!EC301,'Étape 1 - à remplir'!$N$31:$N$400,EL$3,'Étape 1 - à remplir'!$G$31:$G$400,"kg"))))))=0,NA(),IF(EL$2="Catégorie",IF(EL$3="Toutes",SUMIFS('Étape 1 - à remplir'!$F$31:$F$400,'Étape 1 - à remplir'!$E$31:$E$400,MASQ2!EC301,'Étape 1 - à remplir'!$G$31:$G$400,"kg"),SUMIFS('Étape 1 - à remplir'!$F$31:$F$400,'Étape 1 - à remplir'!$E$31:$E$400,MASQ2!EC301,'Étape 1 - à remplir'!$C$31:$C$400,EL$3)),IF(EL$2="Âge",IF(EL$3="Tous",SUMIFS('Étape 1 - à remplir'!$F$31:$F$400,'Étape 1 - à remplir'!$E$31:$E$400,MASQ2!EC301,'Étape 1 - à remplir'!$G$31:$G$400,"kg"),SUMIFS('Étape 1 - à remplir'!$F$31:$F$400,'Étape 1 - à remplir'!$E$31:$E$400,MASQ2!EC301,'Étape 1 - à remplir'!$P$31:$P$400,EL$3,'Étape 1 - à remplir'!$G$31:$G$400,"kg")),IF(EL$2="Atelier",IF(EL$3="Tous",SUMIFS('Étape 1 - à remplir'!$F$31:$F$400,'Étape 1 - à remplir'!$E$31:$E$400,MASQ2!EC301,'Étape 1 - à remplir'!$G$31:$G$400,"kg"),SUMIFS('Étape 1 - à remplir'!$F$31:$F$400,'Étape 1 - à remplir'!$E$31:$E$400,MASQ2!EC301,'Étape 1 - à remplir'!$O$31:$O$400,EL$3,'Étape 1 - à remplir'!$G$31:$G$400,"kg")),IF(EL$2="Espèce",IF(EL$3="Toutes",SUMIFS('Étape 1 - à remplir'!$F$31:$F$400,'Étape 1 - à remplir'!$E$31:$E$400,MASQ2!EC301,'Étape 1 - à remplir'!$G$31:$G$400,"kg"),SUMIFS('Étape 1 - à remplir'!$F$31:$F$400,'Étape 1 - à remplir'!$E$31:$E$400,MASQ2!EC301,'Étape 1 - à remplir'!$N$31:$N$400,EL$3,'Étape 1 - à remplir'!$G$31:$G$400,"kg")))))))</f>
        <v>#N/A</v>
      </c>
      <c r="EE301" s="76">
        <f t="shared" si="234"/>
        <v>0</v>
      </c>
      <c r="EF301" t="str">
        <f t="shared" si="225"/>
        <v>Néomycine</v>
      </c>
      <c r="EG301" t="str">
        <f t="shared" si="226"/>
        <v>Tétracycline</v>
      </c>
      <c r="EH301" t="str">
        <f t="shared" si="227"/>
        <v>Bacitracine</v>
      </c>
      <c r="EI301" t="str">
        <f t="shared" si="228"/>
        <v>Aminoglycosides</v>
      </c>
      <c r="EJ301" t="str">
        <f t="shared" si="229"/>
        <v>Tetracyclines</v>
      </c>
      <c r="EK301" s="63" t="str">
        <f t="shared" si="230"/>
        <v>Polypeptides</v>
      </c>
      <c r="EN301" s="42">
        <v>298</v>
      </c>
      <c r="EO301" t="e">
        <f t="shared" si="236"/>
        <v>#N/A</v>
      </c>
      <c r="EP301" s="63" t="e">
        <f t="shared" si="237"/>
        <v>#N/A</v>
      </c>
      <c r="FT301" s="63"/>
    </row>
    <row r="302" spans="2:176" x14ac:dyDescent="0.3">
      <c r="B302" s="42"/>
      <c r="M302" s="194" t="str">
        <f ca="1">INDEX(Données_ATB!BD:BU,MATCH(MASQ2!O302,Données_ATB!BD:BD,0),18)</f>
        <v/>
      </c>
      <c r="N302" s="14" t="str">
        <f>IFERROR(IF(Q302=0,"",COUNTIF(Q$4:Q$600,"&gt;"&amp;Q302)+COUNTIF(Q$4:Q302,Q302)),"")</f>
        <v/>
      </c>
      <c r="O302" t="str">
        <f>Données_ATB!BD301</f>
        <v>MASTI-PENI</v>
      </c>
      <c r="P302" t="e">
        <f>IF(IF(X$2="Catégorie",IF(X$3="Toutes",SUMIFS('Étape 1 - à remplir'!$F$31:$F$400,'Étape 1 - à remplir'!$E$31:$E$400,MASQ2!O302,'Étape 1 - à remplir'!$G$31:$G$400,"animaux"),SUMIFS('Étape 1 - à remplir'!$F$31:$F$400,'Étape 1 - à remplir'!$E$31:$E$400,MASQ2!O302,'Étape 1 - à remplir'!$C$31:$C$400,X$3)),IF(X$2="Âge",IF(X$3="Tous",SUMIFS('Étape 1 - à remplir'!$F$31:$F$400,'Étape 1 - à remplir'!$E$31:$E$400,MASQ2!O302,'Étape 1 - à remplir'!$G$31:$G$400,"animaux"),SUMIFS('Étape 1 - à remplir'!$F$31:$F$400,'Étape 1 - à remplir'!$E$31:$E$400,MASQ2!O302,'Étape 1 - à remplir'!$P$31:$P$400,X$3)),IF(X$2="Atelier",IF(X$3="Tous",SUMIFS('Étape 1 - à remplir'!$F$31:$F$400,'Étape 1 - à remplir'!$E$31:$E$400,MASQ2!O302,'Étape 1 - à remplir'!$G$31:$G$400,"animaux"),SUMIFS('Étape 1 - à remplir'!$F$31:$F$400,'Étape 1 - à remplir'!$E$31:$E$400,MASQ2!O302,'Étape 1 - à remplir'!$O$31:$O$400,X$3)),IF(X$2="Espèce",IF(X$3="Toutes",SUMIFS('Étape 1 - à remplir'!$F$31:$F$400,'Étape 1 - à remplir'!$E$31:$E$400,MASQ2!O302,'Étape 1 - à remplir'!$G$31:$G$400,"animaux"),SUMIFS('Étape 1 - à remplir'!$F$31:$F$400,'Étape 1 - à remplir'!$E$31:$E$400,MASQ2!O302,'Étape 1 - à remplir'!$N$31:$N$400,X$3))))))=0,NA(),IF(X$2="Catégorie",IF(X$3="Toutes",SUMIFS('Étape 1 - à remplir'!$F$31:$F$400,'Étape 1 - à remplir'!$E$31:$E$400,MASQ2!O302,'Étape 1 - à remplir'!$G$31:$G$400,"animaux"),SUMIFS('Étape 1 - à remplir'!$F$31:$F$400,'Étape 1 - à remplir'!$E$31:$E$400,MASQ2!O302,'Étape 1 - à remplir'!$C$31:$C$400,X$3)),IF(X$2="Âge",IF(X$3="Tous",SUMIFS('Étape 1 - à remplir'!$F$31:$F$400,'Étape 1 - à remplir'!$E$31:$E$400,MASQ2!O302,'Étape 1 - à remplir'!$G$31:$G$400,"animaux"),SUMIFS('Étape 1 - à remplir'!$F$31:$F$400,'Étape 1 - à remplir'!$E$31:$E$400,MASQ2!O302,'Étape 1 - à remplir'!$P$31:$P$400,X$3)),IF(X$2="Atelier",IF(X$3="Tous",SUMIFS('Étape 1 - à remplir'!$F$31:$F$400,'Étape 1 - à remplir'!$E$31:$E$400,MASQ2!O302,'Étape 1 - à remplir'!$G$31:$G$400,"animaux"),SUMIFS('Étape 1 - à remplir'!$F$31:$F$400,'Étape 1 - à remplir'!$E$31:$E$400,MASQ2!O302,'Étape 1 - à remplir'!$O$31:$O$400,X$3)),IF(X$2="Espèce",IF(X$3="Toutes",SUMIFS('Étape 1 - à remplir'!$F$31:$F$400,'Étape 1 - à remplir'!$E$31:$E$400,MASQ2!O302,'Étape 1 - à remplir'!$G$31:$G$400,"animaux"),SUMIFS('Étape 1 - à remplir'!$F$31:$F$400,'Étape 1 - à remplir'!$E$31:$E$400,MASQ2!O302,'Étape 1 - à remplir'!$N$31:$N$400,X$3)))))))</f>
        <v>#N/A</v>
      </c>
      <c r="Q302" s="63">
        <f t="shared" si="235"/>
        <v>0</v>
      </c>
      <c r="R302" t="str">
        <f>Données_ATB!BM301</f>
        <v>Benzylpénicilline</v>
      </c>
      <c r="S302" t="str">
        <f>Données_ATB!BN301</f>
        <v>Dihydrostreptomycine</v>
      </c>
      <c r="T302" s="63" t="str">
        <f>Données_ATB!BO301</f>
        <v/>
      </c>
      <c r="U302" s="42" t="str">
        <f>Données_ATB!BQ301</f>
        <v>Penicillines</v>
      </c>
      <c r="V302" t="str">
        <f>Données_ATB!BR301</f>
        <v>Aminoglycosides</v>
      </c>
      <c r="W302" s="63" t="str">
        <f>Données_ATB!BS301</f>
        <v/>
      </c>
      <c r="Z302" s="42">
        <v>299</v>
      </c>
      <c r="AA302" t="e">
        <f t="shared" si="231"/>
        <v>#N/A</v>
      </c>
      <c r="AB302" s="63" t="e">
        <f t="shared" si="232"/>
        <v>#N/A</v>
      </c>
      <c r="BF302" s="63"/>
      <c r="BT302" s="194" t="str">
        <f t="shared" ca="1" si="215"/>
        <v/>
      </c>
      <c r="BU302" s="219" t="str">
        <f>IFERROR(IF(BX302=0,"",COUNTIF(BX$4:BX$600,"&gt;"&amp;BX302)+COUNTIF(BX$4:BX302,BX302)),"")</f>
        <v/>
      </c>
      <c r="BV302" s="42" t="str">
        <f t="shared" si="216"/>
        <v>MASTI-PENI</v>
      </c>
      <c r="BW302" t="e">
        <f>IF(IF(CE$2="Catégorie",IF(CE$3="Toutes",SUMIFS('Étape 1 - à remplir'!$F$31:$F$400,'Étape 1 - à remplir'!$E$31:$E$400,MASQ2!BV302,'Étape 1 - à remplir'!$G$31:$G$400,"lots"),SUMIFS('Étape 1 - à remplir'!$F$31:$F$400,'Étape 1 - à remplir'!$E$31:$E$400,MASQ2!BV302,'Étape 1 - à remplir'!$C$31:$C$400,CE$3)),IF(CE$2="Âge",IF(CE$3="Tous",SUMIFS('Étape 1 - à remplir'!$F$31:$F$400,'Étape 1 - à remplir'!$E$31:$E$400,MASQ2!BV302,'Étape 1 - à remplir'!$G$31:$G$400,"lots"),SUMIFS('Étape 1 - à remplir'!$F$31:$F$400,'Étape 1 - à remplir'!$E$31:$E$400,MASQ2!BV302,'Étape 1 - à remplir'!$P$31:$P$400,CE$3,'Étape 1 - à remplir'!$G$31:$G$400,"lots")),IF(CE$2="Atelier",IF(CE$3="Tous",SUMIFS('Étape 1 - à remplir'!$F$31:$F$400,'Étape 1 - à remplir'!$E$31:$E$400,MASQ2!BV302,'Étape 1 - à remplir'!$G$31:$G$400,"lots"),SUMIFS('Étape 1 - à remplir'!$F$31:$F$400,'Étape 1 - à remplir'!$E$31:$E$400,MASQ2!BV302,'Étape 1 - à remplir'!$O$31:$O$400,CE$3,'Étape 1 - à remplir'!$G$31:$G$400,"lots")),IF(CE$2="Espèce",IF(CE$3="Toutes",SUMIFS('Étape 1 - à remplir'!$F$31:$F$400,'Étape 1 - à remplir'!$E$31:$E$400,MASQ2!BV302,'Étape 1 - à remplir'!$G$31:$G$400,"lots"),SUMIFS('Étape 1 - à remplir'!$F$31:$F$400,'Étape 1 - à remplir'!$E$31:$E$400,MASQ2!BV302,'Étape 1 - à remplir'!$N$31:$N$400,CE$3,'Étape 1 - à remplir'!$G$31:$G$400,"lots"))))))=0,NA(),IF(CE$2="Catégorie",IF(CE$3="Toutes",SUMIFS('Étape 1 - à remplir'!$F$31:$F$400,'Étape 1 - à remplir'!$E$31:$E$400,MASQ2!BV302,'Étape 1 - à remplir'!$G$31:$G$400,"lots"),SUMIFS('Étape 1 - à remplir'!$F$31:$F$400,'Étape 1 - à remplir'!$E$31:$E$400,MASQ2!BV302,'Étape 1 - à remplir'!$C$31:$C$400,CE$3)),IF(CE$2="Âge",IF(CE$3="Tous",SUMIFS('Étape 1 - à remplir'!$F$31:$F$400,'Étape 1 - à remplir'!$E$31:$E$400,MASQ2!BV302,'Étape 1 - à remplir'!$G$31:$G$400,"lots"),SUMIFS('Étape 1 - à remplir'!$F$31:$F$400,'Étape 1 - à remplir'!$E$31:$E$400,MASQ2!BV302,'Étape 1 - à remplir'!$P$31:$P$400,CE$3,'Étape 1 - à remplir'!$G$31:$G$400,"lots")),IF(CE$2="Atelier",IF(CE$3="Tous",SUMIFS('Étape 1 - à remplir'!$F$31:$F$400,'Étape 1 - à remplir'!$E$31:$E$400,MASQ2!BV302,'Étape 1 - à remplir'!$G$31:$G$400,"lots"),SUMIFS('Étape 1 - à remplir'!$F$31:$F$400,'Étape 1 - à remplir'!$E$31:$E$400,MASQ2!BV302,'Étape 1 - à remplir'!$O$31:$O$400,CE$3,'Étape 1 - à remplir'!$G$31:$G$400,"lots")),IF(CE$2="Espèce",IF(CE$3="Toutes",SUMIFS('Étape 1 - à remplir'!$F$31:$F$400,'Étape 1 - à remplir'!$E$31:$E$400,MASQ2!BV302,'Étape 1 - à remplir'!$G$31:$G$400,"lots"),SUMIFS('Étape 1 - à remplir'!$F$31:$F$400,'Étape 1 - à remplir'!$E$31:$E$400,MASQ2!BV302,'Étape 1 - à remplir'!$N$31:$N$400,CE$3,'Étape 1 - à remplir'!$G$31:$G$400,"lots")))))))</f>
        <v>#N/A</v>
      </c>
      <c r="BX302">
        <f t="shared" si="233"/>
        <v>0</v>
      </c>
      <c r="BY302" t="str">
        <f t="shared" si="217"/>
        <v>Benzylpénicilline</v>
      </c>
      <c r="BZ302" t="str">
        <f t="shared" si="218"/>
        <v>Dihydrostreptomycine</v>
      </c>
      <c r="CA302" t="str">
        <f t="shared" si="219"/>
        <v/>
      </c>
      <c r="CB302" t="str">
        <f t="shared" si="220"/>
        <v>Penicillines</v>
      </c>
      <c r="CC302" t="str">
        <f t="shared" si="221"/>
        <v>Aminoglycosides</v>
      </c>
      <c r="CD302" s="63" t="str">
        <f t="shared" si="222"/>
        <v/>
      </c>
      <c r="CG302" s="42">
        <v>299</v>
      </c>
      <c r="CH302" s="42" t="e">
        <f t="shared" si="238"/>
        <v>#N/A</v>
      </c>
      <c r="CI302" s="63" t="e">
        <f t="shared" si="239"/>
        <v>#N/A</v>
      </c>
      <c r="DM302" s="63"/>
      <c r="EA302" s="194" t="str">
        <f t="shared" ca="1" si="223"/>
        <v/>
      </c>
      <c r="EB302" s="226" t="str">
        <f>IFERROR(IF(ED302=0,"",COUNTIF(ED$4:ED$600,"&gt;"&amp;ED302)+COUNTIF(ED$4:ED302,ED302)),"")</f>
        <v/>
      </c>
      <c r="EC302" t="str">
        <f t="shared" si="224"/>
        <v>MASTI-PENI</v>
      </c>
      <c r="ED302" t="e">
        <f>IF(IF(EL$2="Catégorie",IF(EL$3="Toutes",SUMIFS('Étape 1 - à remplir'!$F$31:$F$400,'Étape 1 - à remplir'!$E$31:$E$400,MASQ2!EC302,'Étape 1 - à remplir'!$G$31:$G$400,"kg"),SUMIFS('Étape 1 - à remplir'!$F$31:$F$400,'Étape 1 - à remplir'!$E$31:$E$400,MASQ2!EC302,'Étape 1 - à remplir'!$C$31:$C$400,EL$3)),IF(EL$2="Âge",IF(EL$3="Tous",SUMIFS('Étape 1 - à remplir'!$F$31:$F$400,'Étape 1 - à remplir'!$E$31:$E$400,MASQ2!EC302,'Étape 1 - à remplir'!$G$31:$G$400,"kg"),SUMIFS('Étape 1 - à remplir'!$F$31:$F$400,'Étape 1 - à remplir'!$E$31:$E$400,MASQ2!EC302,'Étape 1 - à remplir'!$P$31:$P$400,EL$3,'Étape 1 - à remplir'!$G$31:$G$400,"kg")),IF(EL$2="Atelier",IF(EL$3="Tous",SUMIFS('Étape 1 - à remplir'!$F$31:$F$400,'Étape 1 - à remplir'!$E$31:$E$400,MASQ2!EC302,'Étape 1 - à remplir'!$G$31:$G$400,"kg"),SUMIFS('Étape 1 - à remplir'!$F$31:$F$400,'Étape 1 - à remplir'!$E$31:$E$400,MASQ2!EC302,'Étape 1 - à remplir'!$O$31:$O$400,EL$3,'Étape 1 - à remplir'!$G$31:$G$400,"kg")),IF(EL$2="Espèce",IF(EL$3="Toutes",SUMIFS('Étape 1 - à remplir'!$F$31:$F$400,'Étape 1 - à remplir'!$E$31:$E$400,MASQ2!EC302,'Étape 1 - à remplir'!$G$31:$G$400,"kg"),SUMIFS('Étape 1 - à remplir'!$F$31:$F$400,'Étape 1 - à remplir'!$E$31:$E$400,MASQ2!EC302,'Étape 1 - à remplir'!$N$31:$N$400,EL$3,'Étape 1 - à remplir'!$G$31:$G$400,"kg"))))))=0,NA(),IF(EL$2="Catégorie",IF(EL$3="Toutes",SUMIFS('Étape 1 - à remplir'!$F$31:$F$400,'Étape 1 - à remplir'!$E$31:$E$400,MASQ2!EC302,'Étape 1 - à remplir'!$G$31:$G$400,"kg"),SUMIFS('Étape 1 - à remplir'!$F$31:$F$400,'Étape 1 - à remplir'!$E$31:$E$400,MASQ2!EC302,'Étape 1 - à remplir'!$C$31:$C$400,EL$3)),IF(EL$2="Âge",IF(EL$3="Tous",SUMIFS('Étape 1 - à remplir'!$F$31:$F$400,'Étape 1 - à remplir'!$E$31:$E$400,MASQ2!EC302,'Étape 1 - à remplir'!$G$31:$G$400,"kg"),SUMIFS('Étape 1 - à remplir'!$F$31:$F$400,'Étape 1 - à remplir'!$E$31:$E$400,MASQ2!EC302,'Étape 1 - à remplir'!$P$31:$P$400,EL$3,'Étape 1 - à remplir'!$G$31:$G$400,"kg")),IF(EL$2="Atelier",IF(EL$3="Tous",SUMIFS('Étape 1 - à remplir'!$F$31:$F$400,'Étape 1 - à remplir'!$E$31:$E$400,MASQ2!EC302,'Étape 1 - à remplir'!$G$31:$G$400,"kg"),SUMIFS('Étape 1 - à remplir'!$F$31:$F$400,'Étape 1 - à remplir'!$E$31:$E$400,MASQ2!EC302,'Étape 1 - à remplir'!$O$31:$O$400,EL$3,'Étape 1 - à remplir'!$G$31:$G$400,"kg")),IF(EL$2="Espèce",IF(EL$3="Toutes",SUMIFS('Étape 1 - à remplir'!$F$31:$F$400,'Étape 1 - à remplir'!$E$31:$E$400,MASQ2!EC302,'Étape 1 - à remplir'!$G$31:$G$400,"kg"),SUMIFS('Étape 1 - à remplir'!$F$31:$F$400,'Étape 1 - à remplir'!$E$31:$E$400,MASQ2!EC302,'Étape 1 - à remplir'!$N$31:$N$400,EL$3,'Étape 1 - à remplir'!$G$31:$G$400,"kg")))))))</f>
        <v>#N/A</v>
      </c>
      <c r="EE302" s="76">
        <f t="shared" si="234"/>
        <v>0</v>
      </c>
      <c r="EF302" t="str">
        <f t="shared" si="225"/>
        <v>Benzylpénicilline</v>
      </c>
      <c r="EG302" t="str">
        <f t="shared" si="226"/>
        <v>Dihydrostreptomycine</v>
      </c>
      <c r="EH302" t="str">
        <f t="shared" si="227"/>
        <v/>
      </c>
      <c r="EI302" t="str">
        <f t="shared" si="228"/>
        <v>Penicillines</v>
      </c>
      <c r="EJ302" t="str">
        <f t="shared" si="229"/>
        <v>Aminoglycosides</v>
      </c>
      <c r="EK302" s="63" t="str">
        <f t="shared" si="230"/>
        <v/>
      </c>
      <c r="EN302" s="42">
        <v>299</v>
      </c>
      <c r="EO302" t="e">
        <f t="shared" si="236"/>
        <v>#N/A</v>
      </c>
      <c r="EP302" s="63" t="e">
        <f t="shared" si="237"/>
        <v>#N/A</v>
      </c>
      <c r="FT302" s="63"/>
    </row>
    <row r="303" spans="2:176" x14ac:dyDescent="0.3">
      <c r="B303" s="42"/>
      <c r="M303" s="194" t="str">
        <f ca="1">INDEX(Données_ATB!BD:BU,MATCH(MASQ2!O303,Données_ATB!BD:BD,0),18)</f>
        <v/>
      </c>
      <c r="N303" s="14" t="str">
        <f>IFERROR(IF(Q303=0,"",COUNTIF(Q$4:Q$600,"&gt;"&amp;Q303)+COUNTIF(Q$4:Q303,Q303)),"")</f>
        <v/>
      </c>
      <c r="O303" t="str">
        <f>Données_ATB!BD302</f>
        <v>MASTIPLAN LC</v>
      </c>
      <c r="P303" t="e">
        <f>IF(IF(X$2="Catégorie",IF(X$3="Toutes",SUMIFS('Étape 1 - à remplir'!$F$31:$F$400,'Étape 1 - à remplir'!$E$31:$E$400,MASQ2!O303,'Étape 1 - à remplir'!$G$31:$G$400,"animaux"),SUMIFS('Étape 1 - à remplir'!$F$31:$F$400,'Étape 1 - à remplir'!$E$31:$E$400,MASQ2!O303,'Étape 1 - à remplir'!$C$31:$C$400,X$3)),IF(X$2="Âge",IF(X$3="Tous",SUMIFS('Étape 1 - à remplir'!$F$31:$F$400,'Étape 1 - à remplir'!$E$31:$E$400,MASQ2!O303,'Étape 1 - à remplir'!$G$31:$G$400,"animaux"),SUMIFS('Étape 1 - à remplir'!$F$31:$F$400,'Étape 1 - à remplir'!$E$31:$E$400,MASQ2!O303,'Étape 1 - à remplir'!$P$31:$P$400,X$3)),IF(X$2="Atelier",IF(X$3="Tous",SUMIFS('Étape 1 - à remplir'!$F$31:$F$400,'Étape 1 - à remplir'!$E$31:$E$400,MASQ2!O303,'Étape 1 - à remplir'!$G$31:$G$400,"animaux"),SUMIFS('Étape 1 - à remplir'!$F$31:$F$400,'Étape 1 - à remplir'!$E$31:$E$400,MASQ2!O303,'Étape 1 - à remplir'!$O$31:$O$400,X$3)),IF(X$2="Espèce",IF(X$3="Toutes",SUMIFS('Étape 1 - à remplir'!$F$31:$F$400,'Étape 1 - à remplir'!$E$31:$E$400,MASQ2!O303,'Étape 1 - à remplir'!$G$31:$G$400,"animaux"),SUMIFS('Étape 1 - à remplir'!$F$31:$F$400,'Étape 1 - à remplir'!$E$31:$E$400,MASQ2!O303,'Étape 1 - à remplir'!$N$31:$N$400,X$3))))))=0,NA(),IF(X$2="Catégorie",IF(X$3="Toutes",SUMIFS('Étape 1 - à remplir'!$F$31:$F$400,'Étape 1 - à remplir'!$E$31:$E$400,MASQ2!O303,'Étape 1 - à remplir'!$G$31:$G$400,"animaux"),SUMIFS('Étape 1 - à remplir'!$F$31:$F$400,'Étape 1 - à remplir'!$E$31:$E$400,MASQ2!O303,'Étape 1 - à remplir'!$C$31:$C$400,X$3)),IF(X$2="Âge",IF(X$3="Tous",SUMIFS('Étape 1 - à remplir'!$F$31:$F$400,'Étape 1 - à remplir'!$E$31:$E$400,MASQ2!O303,'Étape 1 - à remplir'!$G$31:$G$400,"animaux"),SUMIFS('Étape 1 - à remplir'!$F$31:$F$400,'Étape 1 - à remplir'!$E$31:$E$400,MASQ2!O303,'Étape 1 - à remplir'!$P$31:$P$400,X$3)),IF(X$2="Atelier",IF(X$3="Tous",SUMIFS('Étape 1 - à remplir'!$F$31:$F$400,'Étape 1 - à remplir'!$E$31:$E$400,MASQ2!O303,'Étape 1 - à remplir'!$G$31:$G$400,"animaux"),SUMIFS('Étape 1 - à remplir'!$F$31:$F$400,'Étape 1 - à remplir'!$E$31:$E$400,MASQ2!O303,'Étape 1 - à remplir'!$O$31:$O$400,X$3)),IF(X$2="Espèce",IF(X$3="Toutes",SUMIFS('Étape 1 - à remplir'!$F$31:$F$400,'Étape 1 - à remplir'!$E$31:$E$400,MASQ2!O303,'Étape 1 - à remplir'!$G$31:$G$400,"animaux"),SUMIFS('Étape 1 - à remplir'!$F$31:$F$400,'Étape 1 - à remplir'!$E$31:$E$400,MASQ2!O303,'Étape 1 - à remplir'!$N$31:$N$400,X$3)))))))</f>
        <v>#N/A</v>
      </c>
      <c r="Q303" s="63">
        <f t="shared" si="235"/>
        <v>0</v>
      </c>
      <c r="R303" t="str">
        <f>Données_ATB!BM302</f>
        <v>Céfapirine</v>
      </c>
      <c r="S303" t="str">
        <f>Données_ATB!BN302</f>
        <v/>
      </c>
      <c r="T303" s="63" t="str">
        <f>Données_ATB!BO302</f>
        <v/>
      </c>
      <c r="U303" s="42" t="str">
        <f>Données_ATB!BQ302</f>
        <v>Cephalosporines 1&amp;2G</v>
      </c>
      <c r="V303" t="str">
        <f>Données_ATB!BR302</f>
        <v/>
      </c>
      <c r="W303" s="63" t="str">
        <f>Données_ATB!BS302</f>
        <v/>
      </c>
      <c r="Z303" s="42">
        <v>300</v>
      </c>
      <c r="AA303" t="e">
        <f t="shared" si="231"/>
        <v>#N/A</v>
      </c>
      <c r="AB303" s="63" t="e">
        <f t="shared" si="232"/>
        <v>#N/A</v>
      </c>
      <c r="BF303" s="63"/>
      <c r="BT303" s="194" t="str">
        <f t="shared" ca="1" si="215"/>
        <v/>
      </c>
      <c r="BU303" s="219" t="str">
        <f>IFERROR(IF(BX303=0,"",COUNTIF(BX$4:BX$600,"&gt;"&amp;BX303)+COUNTIF(BX$4:BX303,BX303)),"")</f>
        <v/>
      </c>
      <c r="BV303" s="42" t="str">
        <f t="shared" si="216"/>
        <v>MASTIPLAN LC</v>
      </c>
      <c r="BW303" t="e">
        <f>IF(IF(CE$2="Catégorie",IF(CE$3="Toutes",SUMIFS('Étape 1 - à remplir'!$F$31:$F$400,'Étape 1 - à remplir'!$E$31:$E$400,MASQ2!BV303,'Étape 1 - à remplir'!$G$31:$G$400,"lots"),SUMIFS('Étape 1 - à remplir'!$F$31:$F$400,'Étape 1 - à remplir'!$E$31:$E$400,MASQ2!BV303,'Étape 1 - à remplir'!$C$31:$C$400,CE$3)),IF(CE$2="Âge",IF(CE$3="Tous",SUMIFS('Étape 1 - à remplir'!$F$31:$F$400,'Étape 1 - à remplir'!$E$31:$E$400,MASQ2!BV303,'Étape 1 - à remplir'!$G$31:$G$400,"lots"),SUMIFS('Étape 1 - à remplir'!$F$31:$F$400,'Étape 1 - à remplir'!$E$31:$E$400,MASQ2!BV303,'Étape 1 - à remplir'!$P$31:$P$400,CE$3,'Étape 1 - à remplir'!$G$31:$G$400,"lots")),IF(CE$2="Atelier",IF(CE$3="Tous",SUMIFS('Étape 1 - à remplir'!$F$31:$F$400,'Étape 1 - à remplir'!$E$31:$E$400,MASQ2!BV303,'Étape 1 - à remplir'!$G$31:$G$400,"lots"),SUMIFS('Étape 1 - à remplir'!$F$31:$F$400,'Étape 1 - à remplir'!$E$31:$E$400,MASQ2!BV303,'Étape 1 - à remplir'!$O$31:$O$400,CE$3,'Étape 1 - à remplir'!$G$31:$G$400,"lots")),IF(CE$2="Espèce",IF(CE$3="Toutes",SUMIFS('Étape 1 - à remplir'!$F$31:$F$400,'Étape 1 - à remplir'!$E$31:$E$400,MASQ2!BV303,'Étape 1 - à remplir'!$G$31:$G$400,"lots"),SUMIFS('Étape 1 - à remplir'!$F$31:$F$400,'Étape 1 - à remplir'!$E$31:$E$400,MASQ2!BV303,'Étape 1 - à remplir'!$N$31:$N$400,CE$3,'Étape 1 - à remplir'!$G$31:$G$400,"lots"))))))=0,NA(),IF(CE$2="Catégorie",IF(CE$3="Toutes",SUMIFS('Étape 1 - à remplir'!$F$31:$F$400,'Étape 1 - à remplir'!$E$31:$E$400,MASQ2!BV303,'Étape 1 - à remplir'!$G$31:$G$400,"lots"),SUMIFS('Étape 1 - à remplir'!$F$31:$F$400,'Étape 1 - à remplir'!$E$31:$E$400,MASQ2!BV303,'Étape 1 - à remplir'!$C$31:$C$400,CE$3)),IF(CE$2="Âge",IF(CE$3="Tous",SUMIFS('Étape 1 - à remplir'!$F$31:$F$400,'Étape 1 - à remplir'!$E$31:$E$400,MASQ2!BV303,'Étape 1 - à remplir'!$G$31:$G$400,"lots"),SUMIFS('Étape 1 - à remplir'!$F$31:$F$400,'Étape 1 - à remplir'!$E$31:$E$400,MASQ2!BV303,'Étape 1 - à remplir'!$P$31:$P$400,CE$3,'Étape 1 - à remplir'!$G$31:$G$400,"lots")),IF(CE$2="Atelier",IF(CE$3="Tous",SUMIFS('Étape 1 - à remplir'!$F$31:$F$400,'Étape 1 - à remplir'!$E$31:$E$400,MASQ2!BV303,'Étape 1 - à remplir'!$G$31:$G$400,"lots"),SUMIFS('Étape 1 - à remplir'!$F$31:$F$400,'Étape 1 - à remplir'!$E$31:$E$400,MASQ2!BV303,'Étape 1 - à remplir'!$O$31:$O$400,CE$3,'Étape 1 - à remplir'!$G$31:$G$400,"lots")),IF(CE$2="Espèce",IF(CE$3="Toutes",SUMIFS('Étape 1 - à remplir'!$F$31:$F$400,'Étape 1 - à remplir'!$E$31:$E$400,MASQ2!BV303,'Étape 1 - à remplir'!$G$31:$G$400,"lots"),SUMIFS('Étape 1 - à remplir'!$F$31:$F$400,'Étape 1 - à remplir'!$E$31:$E$400,MASQ2!BV303,'Étape 1 - à remplir'!$N$31:$N$400,CE$3,'Étape 1 - à remplir'!$G$31:$G$400,"lots")))))))</f>
        <v>#N/A</v>
      </c>
      <c r="BX303">
        <f t="shared" si="233"/>
        <v>0</v>
      </c>
      <c r="BY303" t="str">
        <f t="shared" si="217"/>
        <v>Céfapirine</v>
      </c>
      <c r="BZ303" t="str">
        <f t="shared" si="218"/>
        <v/>
      </c>
      <c r="CA303" t="str">
        <f t="shared" si="219"/>
        <v/>
      </c>
      <c r="CB303" t="str">
        <f t="shared" si="220"/>
        <v>Cephalosporines 1&amp;2G</v>
      </c>
      <c r="CC303" t="str">
        <f t="shared" si="221"/>
        <v/>
      </c>
      <c r="CD303" s="63" t="str">
        <f t="shared" si="222"/>
        <v/>
      </c>
      <c r="CG303" s="42">
        <v>300</v>
      </c>
      <c r="CH303" s="42" t="e">
        <f t="shared" si="238"/>
        <v>#N/A</v>
      </c>
      <c r="CI303" s="63" t="e">
        <f t="shared" si="239"/>
        <v>#N/A</v>
      </c>
      <c r="DM303" s="63"/>
      <c r="EA303" s="194" t="str">
        <f t="shared" ca="1" si="223"/>
        <v/>
      </c>
      <c r="EB303" s="226" t="str">
        <f>IFERROR(IF(ED303=0,"",COUNTIF(ED$4:ED$600,"&gt;"&amp;ED303)+COUNTIF(ED$4:ED303,ED303)),"")</f>
        <v/>
      </c>
      <c r="EC303" t="str">
        <f t="shared" si="224"/>
        <v>MASTIPLAN LC</v>
      </c>
      <c r="ED303" t="e">
        <f>IF(IF(EL$2="Catégorie",IF(EL$3="Toutes",SUMIFS('Étape 1 - à remplir'!$F$31:$F$400,'Étape 1 - à remplir'!$E$31:$E$400,MASQ2!EC303,'Étape 1 - à remplir'!$G$31:$G$400,"kg"),SUMIFS('Étape 1 - à remplir'!$F$31:$F$400,'Étape 1 - à remplir'!$E$31:$E$400,MASQ2!EC303,'Étape 1 - à remplir'!$C$31:$C$400,EL$3)),IF(EL$2="Âge",IF(EL$3="Tous",SUMIFS('Étape 1 - à remplir'!$F$31:$F$400,'Étape 1 - à remplir'!$E$31:$E$400,MASQ2!EC303,'Étape 1 - à remplir'!$G$31:$G$400,"kg"),SUMIFS('Étape 1 - à remplir'!$F$31:$F$400,'Étape 1 - à remplir'!$E$31:$E$400,MASQ2!EC303,'Étape 1 - à remplir'!$P$31:$P$400,EL$3,'Étape 1 - à remplir'!$G$31:$G$400,"kg")),IF(EL$2="Atelier",IF(EL$3="Tous",SUMIFS('Étape 1 - à remplir'!$F$31:$F$400,'Étape 1 - à remplir'!$E$31:$E$400,MASQ2!EC303,'Étape 1 - à remplir'!$G$31:$G$400,"kg"),SUMIFS('Étape 1 - à remplir'!$F$31:$F$400,'Étape 1 - à remplir'!$E$31:$E$400,MASQ2!EC303,'Étape 1 - à remplir'!$O$31:$O$400,EL$3,'Étape 1 - à remplir'!$G$31:$G$400,"kg")),IF(EL$2="Espèce",IF(EL$3="Toutes",SUMIFS('Étape 1 - à remplir'!$F$31:$F$400,'Étape 1 - à remplir'!$E$31:$E$400,MASQ2!EC303,'Étape 1 - à remplir'!$G$31:$G$400,"kg"),SUMIFS('Étape 1 - à remplir'!$F$31:$F$400,'Étape 1 - à remplir'!$E$31:$E$400,MASQ2!EC303,'Étape 1 - à remplir'!$N$31:$N$400,EL$3,'Étape 1 - à remplir'!$G$31:$G$400,"kg"))))))=0,NA(),IF(EL$2="Catégorie",IF(EL$3="Toutes",SUMIFS('Étape 1 - à remplir'!$F$31:$F$400,'Étape 1 - à remplir'!$E$31:$E$400,MASQ2!EC303,'Étape 1 - à remplir'!$G$31:$G$400,"kg"),SUMIFS('Étape 1 - à remplir'!$F$31:$F$400,'Étape 1 - à remplir'!$E$31:$E$400,MASQ2!EC303,'Étape 1 - à remplir'!$C$31:$C$400,EL$3)),IF(EL$2="Âge",IF(EL$3="Tous",SUMIFS('Étape 1 - à remplir'!$F$31:$F$400,'Étape 1 - à remplir'!$E$31:$E$400,MASQ2!EC303,'Étape 1 - à remplir'!$G$31:$G$400,"kg"),SUMIFS('Étape 1 - à remplir'!$F$31:$F$400,'Étape 1 - à remplir'!$E$31:$E$400,MASQ2!EC303,'Étape 1 - à remplir'!$P$31:$P$400,EL$3,'Étape 1 - à remplir'!$G$31:$G$400,"kg")),IF(EL$2="Atelier",IF(EL$3="Tous",SUMIFS('Étape 1 - à remplir'!$F$31:$F$400,'Étape 1 - à remplir'!$E$31:$E$400,MASQ2!EC303,'Étape 1 - à remplir'!$G$31:$G$400,"kg"),SUMIFS('Étape 1 - à remplir'!$F$31:$F$400,'Étape 1 - à remplir'!$E$31:$E$400,MASQ2!EC303,'Étape 1 - à remplir'!$O$31:$O$400,EL$3,'Étape 1 - à remplir'!$G$31:$G$400,"kg")),IF(EL$2="Espèce",IF(EL$3="Toutes",SUMIFS('Étape 1 - à remplir'!$F$31:$F$400,'Étape 1 - à remplir'!$E$31:$E$400,MASQ2!EC303,'Étape 1 - à remplir'!$G$31:$G$400,"kg"),SUMIFS('Étape 1 - à remplir'!$F$31:$F$400,'Étape 1 - à remplir'!$E$31:$E$400,MASQ2!EC303,'Étape 1 - à remplir'!$N$31:$N$400,EL$3,'Étape 1 - à remplir'!$G$31:$G$400,"kg")))))))</f>
        <v>#N/A</v>
      </c>
      <c r="EE303" s="76">
        <f t="shared" si="234"/>
        <v>0</v>
      </c>
      <c r="EF303" t="str">
        <f t="shared" si="225"/>
        <v>Céfapirine</v>
      </c>
      <c r="EG303" t="str">
        <f t="shared" si="226"/>
        <v/>
      </c>
      <c r="EH303" t="str">
        <f t="shared" si="227"/>
        <v/>
      </c>
      <c r="EI303" t="str">
        <f t="shared" si="228"/>
        <v>Cephalosporines 1&amp;2G</v>
      </c>
      <c r="EJ303" t="str">
        <f t="shared" si="229"/>
        <v/>
      </c>
      <c r="EK303" s="63" t="str">
        <f t="shared" si="230"/>
        <v/>
      </c>
      <c r="EN303" s="42">
        <v>300</v>
      </c>
      <c r="EO303" t="e">
        <f t="shared" si="236"/>
        <v>#N/A</v>
      </c>
      <c r="EP303" s="63" t="e">
        <f t="shared" si="237"/>
        <v>#N/A</v>
      </c>
      <c r="FT303" s="63"/>
    </row>
    <row r="304" spans="2:176" x14ac:dyDescent="0.3">
      <c r="B304" s="42"/>
      <c r="M304" s="194" t="str">
        <f ca="1">INDEX(Données_ATB!BD:BU,MATCH(MASQ2!O304,Données_ATB!BD:BD,0),18)</f>
        <v/>
      </c>
      <c r="N304" s="14" t="str">
        <f>IFERROR(IF(Q304=0,"",COUNTIF(Q$4:Q$600,"&gt;"&amp;Q304)+COUNTIF(Q$4:Q304,Q304)),"")</f>
        <v/>
      </c>
      <c r="O304" t="str">
        <f>Données_ATB!BD303</f>
        <v>MASTITAR HL</v>
      </c>
      <c r="P304" t="e">
        <f>IF(IF(X$2="Catégorie",IF(X$3="Toutes",SUMIFS('Étape 1 - à remplir'!$F$31:$F$400,'Étape 1 - à remplir'!$E$31:$E$400,MASQ2!O304,'Étape 1 - à remplir'!$G$31:$G$400,"animaux"),SUMIFS('Étape 1 - à remplir'!$F$31:$F$400,'Étape 1 - à remplir'!$E$31:$E$400,MASQ2!O304,'Étape 1 - à remplir'!$C$31:$C$400,X$3)),IF(X$2="Âge",IF(X$3="Tous",SUMIFS('Étape 1 - à remplir'!$F$31:$F$400,'Étape 1 - à remplir'!$E$31:$E$400,MASQ2!O304,'Étape 1 - à remplir'!$G$31:$G$400,"animaux"),SUMIFS('Étape 1 - à remplir'!$F$31:$F$400,'Étape 1 - à remplir'!$E$31:$E$400,MASQ2!O304,'Étape 1 - à remplir'!$P$31:$P$400,X$3)),IF(X$2="Atelier",IF(X$3="Tous",SUMIFS('Étape 1 - à remplir'!$F$31:$F$400,'Étape 1 - à remplir'!$E$31:$E$400,MASQ2!O304,'Étape 1 - à remplir'!$G$31:$G$400,"animaux"),SUMIFS('Étape 1 - à remplir'!$F$31:$F$400,'Étape 1 - à remplir'!$E$31:$E$400,MASQ2!O304,'Étape 1 - à remplir'!$O$31:$O$400,X$3)),IF(X$2="Espèce",IF(X$3="Toutes",SUMIFS('Étape 1 - à remplir'!$F$31:$F$400,'Étape 1 - à remplir'!$E$31:$E$400,MASQ2!O304,'Étape 1 - à remplir'!$G$31:$G$400,"animaux"),SUMIFS('Étape 1 - à remplir'!$F$31:$F$400,'Étape 1 - à remplir'!$E$31:$E$400,MASQ2!O304,'Étape 1 - à remplir'!$N$31:$N$400,X$3))))))=0,NA(),IF(X$2="Catégorie",IF(X$3="Toutes",SUMIFS('Étape 1 - à remplir'!$F$31:$F$400,'Étape 1 - à remplir'!$E$31:$E$400,MASQ2!O304,'Étape 1 - à remplir'!$G$31:$G$400,"animaux"),SUMIFS('Étape 1 - à remplir'!$F$31:$F$400,'Étape 1 - à remplir'!$E$31:$E$400,MASQ2!O304,'Étape 1 - à remplir'!$C$31:$C$400,X$3)),IF(X$2="Âge",IF(X$3="Tous",SUMIFS('Étape 1 - à remplir'!$F$31:$F$400,'Étape 1 - à remplir'!$E$31:$E$400,MASQ2!O304,'Étape 1 - à remplir'!$G$31:$G$400,"animaux"),SUMIFS('Étape 1 - à remplir'!$F$31:$F$400,'Étape 1 - à remplir'!$E$31:$E$400,MASQ2!O304,'Étape 1 - à remplir'!$P$31:$P$400,X$3)),IF(X$2="Atelier",IF(X$3="Tous",SUMIFS('Étape 1 - à remplir'!$F$31:$F$400,'Étape 1 - à remplir'!$E$31:$E$400,MASQ2!O304,'Étape 1 - à remplir'!$G$31:$G$400,"animaux"),SUMIFS('Étape 1 - à remplir'!$F$31:$F$400,'Étape 1 - à remplir'!$E$31:$E$400,MASQ2!O304,'Étape 1 - à remplir'!$O$31:$O$400,X$3)),IF(X$2="Espèce",IF(X$3="Toutes",SUMIFS('Étape 1 - à remplir'!$F$31:$F$400,'Étape 1 - à remplir'!$E$31:$E$400,MASQ2!O304,'Étape 1 - à remplir'!$G$31:$G$400,"animaux"),SUMIFS('Étape 1 - à remplir'!$F$31:$F$400,'Étape 1 - à remplir'!$E$31:$E$400,MASQ2!O304,'Étape 1 - à remplir'!$N$31:$N$400,X$3)))))))</f>
        <v>#N/A</v>
      </c>
      <c r="Q304" s="63">
        <f t="shared" si="235"/>
        <v>0</v>
      </c>
      <c r="R304" t="str">
        <f>Données_ATB!BM303</f>
        <v>Benzylpénicilline</v>
      </c>
      <c r="S304" t="str">
        <f>Données_ATB!BN303</f>
        <v>Néomycine</v>
      </c>
      <c r="T304" s="63" t="str">
        <f>Données_ATB!BO303</f>
        <v/>
      </c>
      <c r="U304" s="42" t="str">
        <f>Données_ATB!BQ303</f>
        <v>Penicillines</v>
      </c>
      <c r="V304" t="str">
        <f>Données_ATB!BR303</f>
        <v>Aminoglycosides</v>
      </c>
      <c r="W304" s="63" t="str">
        <f>Données_ATB!BS303</f>
        <v/>
      </c>
      <c r="Z304" s="42">
        <v>301</v>
      </c>
      <c r="AA304" t="e">
        <f t="shared" si="231"/>
        <v>#N/A</v>
      </c>
      <c r="AB304" s="63" t="e">
        <f t="shared" si="232"/>
        <v>#N/A</v>
      </c>
      <c r="BF304" s="63"/>
      <c r="BT304" s="194" t="str">
        <f t="shared" ca="1" si="215"/>
        <v/>
      </c>
      <c r="BU304" s="219" t="str">
        <f>IFERROR(IF(BX304=0,"",COUNTIF(BX$4:BX$600,"&gt;"&amp;BX304)+COUNTIF(BX$4:BX304,BX304)),"")</f>
        <v/>
      </c>
      <c r="BV304" s="42" t="str">
        <f t="shared" si="216"/>
        <v>MASTITAR HL</v>
      </c>
      <c r="BW304" t="e">
        <f>IF(IF(CE$2="Catégorie",IF(CE$3="Toutes",SUMIFS('Étape 1 - à remplir'!$F$31:$F$400,'Étape 1 - à remplir'!$E$31:$E$400,MASQ2!BV304,'Étape 1 - à remplir'!$G$31:$G$400,"lots"),SUMIFS('Étape 1 - à remplir'!$F$31:$F$400,'Étape 1 - à remplir'!$E$31:$E$400,MASQ2!BV304,'Étape 1 - à remplir'!$C$31:$C$400,CE$3)),IF(CE$2="Âge",IF(CE$3="Tous",SUMIFS('Étape 1 - à remplir'!$F$31:$F$400,'Étape 1 - à remplir'!$E$31:$E$400,MASQ2!BV304,'Étape 1 - à remplir'!$G$31:$G$400,"lots"),SUMIFS('Étape 1 - à remplir'!$F$31:$F$400,'Étape 1 - à remplir'!$E$31:$E$400,MASQ2!BV304,'Étape 1 - à remplir'!$P$31:$P$400,CE$3,'Étape 1 - à remplir'!$G$31:$G$400,"lots")),IF(CE$2="Atelier",IF(CE$3="Tous",SUMIFS('Étape 1 - à remplir'!$F$31:$F$400,'Étape 1 - à remplir'!$E$31:$E$400,MASQ2!BV304,'Étape 1 - à remplir'!$G$31:$G$400,"lots"),SUMIFS('Étape 1 - à remplir'!$F$31:$F$400,'Étape 1 - à remplir'!$E$31:$E$400,MASQ2!BV304,'Étape 1 - à remplir'!$O$31:$O$400,CE$3,'Étape 1 - à remplir'!$G$31:$G$400,"lots")),IF(CE$2="Espèce",IF(CE$3="Toutes",SUMIFS('Étape 1 - à remplir'!$F$31:$F$400,'Étape 1 - à remplir'!$E$31:$E$400,MASQ2!BV304,'Étape 1 - à remplir'!$G$31:$G$400,"lots"),SUMIFS('Étape 1 - à remplir'!$F$31:$F$400,'Étape 1 - à remplir'!$E$31:$E$400,MASQ2!BV304,'Étape 1 - à remplir'!$N$31:$N$400,CE$3,'Étape 1 - à remplir'!$G$31:$G$400,"lots"))))))=0,NA(),IF(CE$2="Catégorie",IF(CE$3="Toutes",SUMIFS('Étape 1 - à remplir'!$F$31:$F$400,'Étape 1 - à remplir'!$E$31:$E$400,MASQ2!BV304,'Étape 1 - à remplir'!$G$31:$G$400,"lots"),SUMIFS('Étape 1 - à remplir'!$F$31:$F$400,'Étape 1 - à remplir'!$E$31:$E$400,MASQ2!BV304,'Étape 1 - à remplir'!$C$31:$C$400,CE$3)),IF(CE$2="Âge",IF(CE$3="Tous",SUMIFS('Étape 1 - à remplir'!$F$31:$F$400,'Étape 1 - à remplir'!$E$31:$E$400,MASQ2!BV304,'Étape 1 - à remplir'!$G$31:$G$400,"lots"),SUMIFS('Étape 1 - à remplir'!$F$31:$F$400,'Étape 1 - à remplir'!$E$31:$E$400,MASQ2!BV304,'Étape 1 - à remplir'!$P$31:$P$400,CE$3,'Étape 1 - à remplir'!$G$31:$G$400,"lots")),IF(CE$2="Atelier",IF(CE$3="Tous",SUMIFS('Étape 1 - à remplir'!$F$31:$F$400,'Étape 1 - à remplir'!$E$31:$E$400,MASQ2!BV304,'Étape 1 - à remplir'!$G$31:$G$400,"lots"),SUMIFS('Étape 1 - à remplir'!$F$31:$F$400,'Étape 1 - à remplir'!$E$31:$E$400,MASQ2!BV304,'Étape 1 - à remplir'!$O$31:$O$400,CE$3,'Étape 1 - à remplir'!$G$31:$G$400,"lots")),IF(CE$2="Espèce",IF(CE$3="Toutes",SUMIFS('Étape 1 - à remplir'!$F$31:$F$400,'Étape 1 - à remplir'!$E$31:$E$400,MASQ2!BV304,'Étape 1 - à remplir'!$G$31:$G$400,"lots"),SUMIFS('Étape 1 - à remplir'!$F$31:$F$400,'Étape 1 - à remplir'!$E$31:$E$400,MASQ2!BV304,'Étape 1 - à remplir'!$N$31:$N$400,CE$3,'Étape 1 - à remplir'!$G$31:$G$400,"lots")))))))</f>
        <v>#N/A</v>
      </c>
      <c r="BX304">
        <f t="shared" si="233"/>
        <v>0</v>
      </c>
      <c r="BY304" t="str">
        <f t="shared" si="217"/>
        <v>Benzylpénicilline</v>
      </c>
      <c r="BZ304" t="str">
        <f t="shared" si="218"/>
        <v>Néomycine</v>
      </c>
      <c r="CA304" t="str">
        <f t="shared" si="219"/>
        <v/>
      </c>
      <c r="CB304" t="str">
        <f t="shared" si="220"/>
        <v>Penicillines</v>
      </c>
      <c r="CC304" t="str">
        <f t="shared" si="221"/>
        <v>Aminoglycosides</v>
      </c>
      <c r="CD304" s="63" t="str">
        <f t="shared" si="222"/>
        <v/>
      </c>
      <c r="CG304" s="42">
        <v>301</v>
      </c>
      <c r="CH304" s="42" t="e">
        <f t="shared" si="238"/>
        <v>#N/A</v>
      </c>
      <c r="CI304" s="63" t="e">
        <f t="shared" si="239"/>
        <v>#N/A</v>
      </c>
      <c r="DM304" s="63"/>
      <c r="EA304" s="194" t="str">
        <f t="shared" ca="1" si="223"/>
        <v/>
      </c>
      <c r="EB304" s="226" t="str">
        <f>IFERROR(IF(ED304=0,"",COUNTIF(ED$4:ED$600,"&gt;"&amp;ED304)+COUNTIF(ED$4:ED304,ED304)),"")</f>
        <v/>
      </c>
      <c r="EC304" t="str">
        <f t="shared" si="224"/>
        <v>MASTITAR HL</v>
      </c>
      <c r="ED304" t="e">
        <f>IF(IF(EL$2="Catégorie",IF(EL$3="Toutes",SUMIFS('Étape 1 - à remplir'!$F$31:$F$400,'Étape 1 - à remplir'!$E$31:$E$400,MASQ2!EC304,'Étape 1 - à remplir'!$G$31:$G$400,"kg"),SUMIFS('Étape 1 - à remplir'!$F$31:$F$400,'Étape 1 - à remplir'!$E$31:$E$400,MASQ2!EC304,'Étape 1 - à remplir'!$C$31:$C$400,EL$3)),IF(EL$2="Âge",IF(EL$3="Tous",SUMIFS('Étape 1 - à remplir'!$F$31:$F$400,'Étape 1 - à remplir'!$E$31:$E$400,MASQ2!EC304,'Étape 1 - à remplir'!$G$31:$G$400,"kg"),SUMIFS('Étape 1 - à remplir'!$F$31:$F$400,'Étape 1 - à remplir'!$E$31:$E$400,MASQ2!EC304,'Étape 1 - à remplir'!$P$31:$P$400,EL$3,'Étape 1 - à remplir'!$G$31:$G$400,"kg")),IF(EL$2="Atelier",IF(EL$3="Tous",SUMIFS('Étape 1 - à remplir'!$F$31:$F$400,'Étape 1 - à remplir'!$E$31:$E$400,MASQ2!EC304,'Étape 1 - à remplir'!$G$31:$G$400,"kg"),SUMIFS('Étape 1 - à remplir'!$F$31:$F$400,'Étape 1 - à remplir'!$E$31:$E$400,MASQ2!EC304,'Étape 1 - à remplir'!$O$31:$O$400,EL$3,'Étape 1 - à remplir'!$G$31:$G$400,"kg")),IF(EL$2="Espèce",IF(EL$3="Toutes",SUMIFS('Étape 1 - à remplir'!$F$31:$F$400,'Étape 1 - à remplir'!$E$31:$E$400,MASQ2!EC304,'Étape 1 - à remplir'!$G$31:$G$400,"kg"),SUMIFS('Étape 1 - à remplir'!$F$31:$F$400,'Étape 1 - à remplir'!$E$31:$E$400,MASQ2!EC304,'Étape 1 - à remplir'!$N$31:$N$400,EL$3,'Étape 1 - à remplir'!$G$31:$G$400,"kg"))))))=0,NA(),IF(EL$2="Catégorie",IF(EL$3="Toutes",SUMIFS('Étape 1 - à remplir'!$F$31:$F$400,'Étape 1 - à remplir'!$E$31:$E$400,MASQ2!EC304,'Étape 1 - à remplir'!$G$31:$G$400,"kg"),SUMIFS('Étape 1 - à remplir'!$F$31:$F$400,'Étape 1 - à remplir'!$E$31:$E$400,MASQ2!EC304,'Étape 1 - à remplir'!$C$31:$C$400,EL$3)),IF(EL$2="Âge",IF(EL$3="Tous",SUMIFS('Étape 1 - à remplir'!$F$31:$F$400,'Étape 1 - à remplir'!$E$31:$E$400,MASQ2!EC304,'Étape 1 - à remplir'!$G$31:$G$400,"kg"),SUMIFS('Étape 1 - à remplir'!$F$31:$F$400,'Étape 1 - à remplir'!$E$31:$E$400,MASQ2!EC304,'Étape 1 - à remplir'!$P$31:$P$400,EL$3,'Étape 1 - à remplir'!$G$31:$G$400,"kg")),IF(EL$2="Atelier",IF(EL$3="Tous",SUMIFS('Étape 1 - à remplir'!$F$31:$F$400,'Étape 1 - à remplir'!$E$31:$E$400,MASQ2!EC304,'Étape 1 - à remplir'!$G$31:$G$400,"kg"),SUMIFS('Étape 1 - à remplir'!$F$31:$F$400,'Étape 1 - à remplir'!$E$31:$E$400,MASQ2!EC304,'Étape 1 - à remplir'!$O$31:$O$400,EL$3,'Étape 1 - à remplir'!$G$31:$G$400,"kg")),IF(EL$2="Espèce",IF(EL$3="Toutes",SUMIFS('Étape 1 - à remplir'!$F$31:$F$400,'Étape 1 - à remplir'!$E$31:$E$400,MASQ2!EC304,'Étape 1 - à remplir'!$G$31:$G$400,"kg"),SUMIFS('Étape 1 - à remplir'!$F$31:$F$400,'Étape 1 - à remplir'!$E$31:$E$400,MASQ2!EC304,'Étape 1 - à remplir'!$N$31:$N$400,EL$3,'Étape 1 - à remplir'!$G$31:$G$400,"kg")))))))</f>
        <v>#N/A</v>
      </c>
      <c r="EE304" s="76">
        <f t="shared" si="234"/>
        <v>0</v>
      </c>
      <c r="EF304" t="str">
        <f t="shared" si="225"/>
        <v>Benzylpénicilline</v>
      </c>
      <c r="EG304" t="str">
        <f t="shared" si="226"/>
        <v>Néomycine</v>
      </c>
      <c r="EH304" t="str">
        <f t="shared" si="227"/>
        <v/>
      </c>
      <c r="EI304" t="str">
        <f t="shared" si="228"/>
        <v>Penicillines</v>
      </c>
      <c r="EJ304" t="str">
        <f t="shared" si="229"/>
        <v>Aminoglycosides</v>
      </c>
      <c r="EK304" s="63" t="str">
        <f t="shared" si="230"/>
        <v/>
      </c>
      <c r="EN304" s="42">
        <v>301</v>
      </c>
      <c r="EO304" t="e">
        <f t="shared" si="236"/>
        <v>#N/A</v>
      </c>
      <c r="EP304" s="63" t="e">
        <f t="shared" si="237"/>
        <v>#N/A</v>
      </c>
      <c r="FT304" s="63"/>
    </row>
    <row r="305" spans="2:176" x14ac:dyDescent="0.3">
      <c r="B305" s="42"/>
      <c r="M305" s="194" t="str">
        <f ca="1">INDEX(Données_ATB!BD:BU,MATCH(MASQ2!O305,Données_ATB!BD:BD,0),18)</f>
        <v/>
      </c>
      <c r="N305" s="14" t="str">
        <f>IFERROR(IF(Q305=0,"",COUNTIF(Q$4:Q$600,"&gt;"&amp;Q305)+COUNTIF(Q$4:Q305,Q305)),"")</f>
        <v/>
      </c>
      <c r="O305" t="str">
        <f>Données_ATB!BD304</f>
        <v>MAYLOSINE POUDRE POUR SOLUTION BUVABLE POUR VOLAILLES PORCINS ET VEAUX</v>
      </c>
      <c r="P305" t="e">
        <f>IF(IF(X$2="Catégorie",IF(X$3="Toutes",SUMIFS('Étape 1 - à remplir'!$F$31:$F$400,'Étape 1 - à remplir'!$E$31:$E$400,MASQ2!O305,'Étape 1 - à remplir'!$G$31:$G$400,"animaux"),SUMIFS('Étape 1 - à remplir'!$F$31:$F$400,'Étape 1 - à remplir'!$E$31:$E$400,MASQ2!O305,'Étape 1 - à remplir'!$C$31:$C$400,X$3)),IF(X$2="Âge",IF(X$3="Tous",SUMIFS('Étape 1 - à remplir'!$F$31:$F$400,'Étape 1 - à remplir'!$E$31:$E$400,MASQ2!O305,'Étape 1 - à remplir'!$G$31:$G$400,"animaux"),SUMIFS('Étape 1 - à remplir'!$F$31:$F$400,'Étape 1 - à remplir'!$E$31:$E$400,MASQ2!O305,'Étape 1 - à remplir'!$P$31:$P$400,X$3)),IF(X$2="Atelier",IF(X$3="Tous",SUMIFS('Étape 1 - à remplir'!$F$31:$F$400,'Étape 1 - à remplir'!$E$31:$E$400,MASQ2!O305,'Étape 1 - à remplir'!$G$31:$G$400,"animaux"),SUMIFS('Étape 1 - à remplir'!$F$31:$F$400,'Étape 1 - à remplir'!$E$31:$E$400,MASQ2!O305,'Étape 1 - à remplir'!$O$31:$O$400,X$3)),IF(X$2="Espèce",IF(X$3="Toutes",SUMIFS('Étape 1 - à remplir'!$F$31:$F$400,'Étape 1 - à remplir'!$E$31:$E$400,MASQ2!O305,'Étape 1 - à remplir'!$G$31:$G$400,"animaux"),SUMIFS('Étape 1 - à remplir'!$F$31:$F$400,'Étape 1 - à remplir'!$E$31:$E$400,MASQ2!O305,'Étape 1 - à remplir'!$N$31:$N$400,X$3))))))=0,NA(),IF(X$2="Catégorie",IF(X$3="Toutes",SUMIFS('Étape 1 - à remplir'!$F$31:$F$400,'Étape 1 - à remplir'!$E$31:$E$400,MASQ2!O305,'Étape 1 - à remplir'!$G$31:$G$400,"animaux"),SUMIFS('Étape 1 - à remplir'!$F$31:$F$400,'Étape 1 - à remplir'!$E$31:$E$400,MASQ2!O305,'Étape 1 - à remplir'!$C$31:$C$400,X$3)),IF(X$2="Âge",IF(X$3="Tous",SUMIFS('Étape 1 - à remplir'!$F$31:$F$400,'Étape 1 - à remplir'!$E$31:$E$400,MASQ2!O305,'Étape 1 - à remplir'!$G$31:$G$400,"animaux"),SUMIFS('Étape 1 - à remplir'!$F$31:$F$400,'Étape 1 - à remplir'!$E$31:$E$400,MASQ2!O305,'Étape 1 - à remplir'!$P$31:$P$400,X$3)),IF(X$2="Atelier",IF(X$3="Tous",SUMIFS('Étape 1 - à remplir'!$F$31:$F$400,'Étape 1 - à remplir'!$E$31:$E$400,MASQ2!O305,'Étape 1 - à remplir'!$G$31:$G$400,"animaux"),SUMIFS('Étape 1 - à remplir'!$F$31:$F$400,'Étape 1 - à remplir'!$E$31:$E$400,MASQ2!O305,'Étape 1 - à remplir'!$O$31:$O$400,X$3)),IF(X$2="Espèce",IF(X$3="Toutes",SUMIFS('Étape 1 - à remplir'!$F$31:$F$400,'Étape 1 - à remplir'!$E$31:$E$400,MASQ2!O305,'Étape 1 - à remplir'!$G$31:$G$400,"animaux"),SUMIFS('Étape 1 - à remplir'!$F$31:$F$400,'Étape 1 - à remplir'!$E$31:$E$400,MASQ2!O305,'Étape 1 - à remplir'!$N$31:$N$400,X$3)))))))</f>
        <v>#N/A</v>
      </c>
      <c r="Q305" s="63">
        <f t="shared" si="235"/>
        <v>0</v>
      </c>
      <c r="R305" t="str">
        <f>Données_ATB!BM304</f>
        <v>Tylosine</v>
      </c>
      <c r="S305" t="str">
        <f>Données_ATB!BN304</f>
        <v/>
      </c>
      <c r="T305" s="63" t="str">
        <f>Données_ATB!BO304</f>
        <v/>
      </c>
      <c r="U305" s="42" t="str">
        <f>Données_ATB!BQ304</f>
        <v>Macrolides</v>
      </c>
      <c r="V305" t="str">
        <f>Données_ATB!BR304</f>
        <v/>
      </c>
      <c r="W305" s="63" t="str">
        <f>Données_ATB!BS304</f>
        <v/>
      </c>
      <c r="Z305" s="42">
        <v>302</v>
      </c>
      <c r="AA305" t="e">
        <f t="shared" si="231"/>
        <v>#N/A</v>
      </c>
      <c r="AB305" s="63" t="e">
        <f t="shared" si="232"/>
        <v>#N/A</v>
      </c>
      <c r="BF305" s="63"/>
      <c r="BT305" s="194" t="str">
        <f t="shared" ca="1" si="215"/>
        <v/>
      </c>
      <c r="BU305" s="219" t="str">
        <f>IFERROR(IF(BX305=0,"",COUNTIF(BX$4:BX$600,"&gt;"&amp;BX305)+COUNTIF(BX$4:BX305,BX305)),"")</f>
        <v/>
      </c>
      <c r="BV305" s="42" t="str">
        <f t="shared" si="216"/>
        <v>MAYLOSINE POUDRE POUR SOLUTION BUVABLE POUR VOLAILLES PORCINS ET VEAUX</v>
      </c>
      <c r="BW305" t="e">
        <f>IF(IF(CE$2="Catégorie",IF(CE$3="Toutes",SUMIFS('Étape 1 - à remplir'!$F$31:$F$400,'Étape 1 - à remplir'!$E$31:$E$400,MASQ2!BV305,'Étape 1 - à remplir'!$G$31:$G$400,"lots"),SUMIFS('Étape 1 - à remplir'!$F$31:$F$400,'Étape 1 - à remplir'!$E$31:$E$400,MASQ2!BV305,'Étape 1 - à remplir'!$C$31:$C$400,CE$3)),IF(CE$2="Âge",IF(CE$3="Tous",SUMIFS('Étape 1 - à remplir'!$F$31:$F$400,'Étape 1 - à remplir'!$E$31:$E$400,MASQ2!BV305,'Étape 1 - à remplir'!$G$31:$G$400,"lots"),SUMIFS('Étape 1 - à remplir'!$F$31:$F$400,'Étape 1 - à remplir'!$E$31:$E$400,MASQ2!BV305,'Étape 1 - à remplir'!$P$31:$P$400,CE$3,'Étape 1 - à remplir'!$G$31:$G$400,"lots")),IF(CE$2="Atelier",IF(CE$3="Tous",SUMIFS('Étape 1 - à remplir'!$F$31:$F$400,'Étape 1 - à remplir'!$E$31:$E$400,MASQ2!BV305,'Étape 1 - à remplir'!$G$31:$G$400,"lots"),SUMIFS('Étape 1 - à remplir'!$F$31:$F$400,'Étape 1 - à remplir'!$E$31:$E$400,MASQ2!BV305,'Étape 1 - à remplir'!$O$31:$O$400,CE$3,'Étape 1 - à remplir'!$G$31:$G$400,"lots")),IF(CE$2="Espèce",IF(CE$3="Toutes",SUMIFS('Étape 1 - à remplir'!$F$31:$F$400,'Étape 1 - à remplir'!$E$31:$E$400,MASQ2!BV305,'Étape 1 - à remplir'!$G$31:$G$400,"lots"),SUMIFS('Étape 1 - à remplir'!$F$31:$F$400,'Étape 1 - à remplir'!$E$31:$E$400,MASQ2!BV305,'Étape 1 - à remplir'!$N$31:$N$400,CE$3,'Étape 1 - à remplir'!$G$31:$G$400,"lots"))))))=0,NA(),IF(CE$2="Catégorie",IF(CE$3="Toutes",SUMIFS('Étape 1 - à remplir'!$F$31:$F$400,'Étape 1 - à remplir'!$E$31:$E$400,MASQ2!BV305,'Étape 1 - à remplir'!$G$31:$G$400,"lots"),SUMIFS('Étape 1 - à remplir'!$F$31:$F$400,'Étape 1 - à remplir'!$E$31:$E$400,MASQ2!BV305,'Étape 1 - à remplir'!$C$31:$C$400,CE$3)),IF(CE$2="Âge",IF(CE$3="Tous",SUMIFS('Étape 1 - à remplir'!$F$31:$F$400,'Étape 1 - à remplir'!$E$31:$E$400,MASQ2!BV305,'Étape 1 - à remplir'!$G$31:$G$400,"lots"),SUMIFS('Étape 1 - à remplir'!$F$31:$F$400,'Étape 1 - à remplir'!$E$31:$E$400,MASQ2!BV305,'Étape 1 - à remplir'!$P$31:$P$400,CE$3,'Étape 1 - à remplir'!$G$31:$G$400,"lots")),IF(CE$2="Atelier",IF(CE$3="Tous",SUMIFS('Étape 1 - à remplir'!$F$31:$F$400,'Étape 1 - à remplir'!$E$31:$E$400,MASQ2!BV305,'Étape 1 - à remplir'!$G$31:$G$400,"lots"),SUMIFS('Étape 1 - à remplir'!$F$31:$F$400,'Étape 1 - à remplir'!$E$31:$E$400,MASQ2!BV305,'Étape 1 - à remplir'!$O$31:$O$400,CE$3,'Étape 1 - à remplir'!$G$31:$G$400,"lots")),IF(CE$2="Espèce",IF(CE$3="Toutes",SUMIFS('Étape 1 - à remplir'!$F$31:$F$400,'Étape 1 - à remplir'!$E$31:$E$400,MASQ2!BV305,'Étape 1 - à remplir'!$G$31:$G$400,"lots"),SUMIFS('Étape 1 - à remplir'!$F$31:$F$400,'Étape 1 - à remplir'!$E$31:$E$400,MASQ2!BV305,'Étape 1 - à remplir'!$N$31:$N$400,CE$3,'Étape 1 - à remplir'!$G$31:$G$400,"lots")))))))</f>
        <v>#N/A</v>
      </c>
      <c r="BX305">
        <f t="shared" si="233"/>
        <v>0</v>
      </c>
      <c r="BY305" t="str">
        <f t="shared" si="217"/>
        <v>Tylosine</v>
      </c>
      <c r="BZ305" t="str">
        <f t="shared" si="218"/>
        <v/>
      </c>
      <c r="CA305" t="str">
        <f t="shared" si="219"/>
        <v/>
      </c>
      <c r="CB305" t="str">
        <f t="shared" si="220"/>
        <v>Macrolides</v>
      </c>
      <c r="CC305" t="str">
        <f t="shared" si="221"/>
        <v/>
      </c>
      <c r="CD305" s="63" t="str">
        <f t="shared" si="222"/>
        <v/>
      </c>
      <c r="CG305" s="42">
        <v>302</v>
      </c>
      <c r="CH305" s="42" t="e">
        <f t="shared" si="238"/>
        <v>#N/A</v>
      </c>
      <c r="CI305" s="63" t="e">
        <f t="shared" si="239"/>
        <v>#N/A</v>
      </c>
      <c r="DM305" s="63"/>
      <c r="EA305" s="194" t="str">
        <f t="shared" ca="1" si="223"/>
        <v/>
      </c>
      <c r="EB305" s="226" t="str">
        <f>IFERROR(IF(ED305=0,"",COUNTIF(ED$4:ED$600,"&gt;"&amp;ED305)+COUNTIF(ED$4:ED305,ED305)),"")</f>
        <v/>
      </c>
      <c r="EC305" t="str">
        <f t="shared" si="224"/>
        <v>MAYLOSINE POUDRE POUR SOLUTION BUVABLE POUR VOLAILLES PORCINS ET VEAUX</v>
      </c>
      <c r="ED305" t="e">
        <f>IF(IF(EL$2="Catégorie",IF(EL$3="Toutes",SUMIFS('Étape 1 - à remplir'!$F$31:$F$400,'Étape 1 - à remplir'!$E$31:$E$400,MASQ2!EC305,'Étape 1 - à remplir'!$G$31:$G$400,"kg"),SUMIFS('Étape 1 - à remplir'!$F$31:$F$400,'Étape 1 - à remplir'!$E$31:$E$400,MASQ2!EC305,'Étape 1 - à remplir'!$C$31:$C$400,EL$3)),IF(EL$2="Âge",IF(EL$3="Tous",SUMIFS('Étape 1 - à remplir'!$F$31:$F$400,'Étape 1 - à remplir'!$E$31:$E$400,MASQ2!EC305,'Étape 1 - à remplir'!$G$31:$G$400,"kg"),SUMIFS('Étape 1 - à remplir'!$F$31:$F$400,'Étape 1 - à remplir'!$E$31:$E$400,MASQ2!EC305,'Étape 1 - à remplir'!$P$31:$P$400,EL$3,'Étape 1 - à remplir'!$G$31:$G$400,"kg")),IF(EL$2="Atelier",IF(EL$3="Tous",SUMIFS('Étape 1 - à remplir'!$F$31:$F$400,'Étape 1 - à remplir'!$E$31:$E$400,MASQ2!EC305,'Étape 1 - à remplir'!$G$31:$G$400,"kg"),SUMIFS('Étape 1 - à remplir'!$F$31:$F$400,'Étape 1 - à remplir'!$E$31:$E$400,MASQ2!EC305,'Étape 1 - à remplir'!$O$31:$O$400,EL$3,'Étape 1 - à remplir'!$G$31:$G$400,"kg")),IF(EL$2="Espèce",IF(EL$3="Toutes",SUMIFS('Étape 1 - à remplir'!$F$31:$F$400,'Étape 1 - à remplir'!$E$31:$E$400,MASQ2!EC305,'Étape 1 - à remplir'!$G$31:$G$400,"kg"),SUMIFS('Étape 1 - à remplir'!$F$31:$F$400,'Étape 1 - à remplir'!$E$31:$E$400,MASQ2!EC305,'Étape 1 - à remplir'!$N$31:$N$400,EL$3,'Étape 1 - à remplir'!$G$31:$G$400,"kg"))))))=0,NA(),IF(EL$2="Catégorie",IF(EL$3="Toutes",SUMIFS('Étape 1 - à remplir'!$F$31:$F$400,'Étape 1 - à remplir'!$E$31:$E$400,MASQ2!EC305,'Étape 1 - à remplir'!$G$31:$G$400,"kg"),SUMIFS('Étape 1 - à remplir'!$F$31:$F$400,'Étape 1 - à remplir'!$E$31:$E$400,MASQ2!EC305,'Étape 1 - à remplir'!$C$31:$C$400,EL$3)),IF(EL$2="Âge",IF(EL$3="Tous",SUMIFS('Étape 1 - à remplir'!$F$31:$F$400,'Étape 1 - à remplir'!$E$31:$E$400,MASQ2!EC305,'Étape 1 - à remplir'!$G$31:$G$400,"kg"),SUMIFS('Étape 1 - à remplir'!$F$31:$F$400,'Étape 1 - à remplir'!$E$31:$E$400,MASQ2!EC305,'Étape 1 - à remplir'!$P$31:$P$400,EL$3,'Étape 1 - à remplir'!$G$31:$G$400,"kg")),IF(EL$2="Atelier",IF(EL$3="Tous",SUMIFS('Étape 1 - à remplir'!$F$31:$F$400,'Étape 1 - à remplir'!$E$31:$E$400,MASQ2!EC305,'Étape 1 - à remplir'!$G$31:$G$400,"kg"),SUMIFS('Étape 1 - à remplir'!$F$31:$F$400,'Étape 1 - à remplir'!$E$31:$E$400,MASQ2!EC305,'Étape 1 - à remplir'!$O$31:$O$400,EL$3,'Étape 1 - à remplir'!$G$31:$G$400,"kg")),IF(EL$2="Espèce",IF(EL$3="Toutes",SUMIFS('Étape 1 - à remplir'!$F$31:$F$400,'Étape 1 - à remplir'!$E$31:$E$400,MASQ2!EC305,'Étape 1 - à remplir'!$G$31:$G$400,"kg"),SUMIFS('Étape 1 - à remplir'!$F$31:$F$400,'Étape 1 - à remplir'!$E$31:$E$400,MASQ2!EC305,'Étape 1 - à remplir'!$N$31:$N$400,EL$3,'Étape 1 - à remplir'!$G$31:$G$400,"kg")))))))</f>
        <v>#N/A</v>
      </c>
      <c r="EE305" s="76">
        <f t="shared" si="234"/>
        <v>0</v>
      </c>
      <c r="EF305" t="str">
        <f t="shared" si="225"/>
        <v>Tylosine</v>
      </c>
      <c r="EG305" t="str">
        <f t="shared" si="226"/>
        <v/>
      </c>
      <c r="EH305" t="str">
        <f t="shared" si="227"/>
        <v/>
      </c>
      <c r="EI305" t="str">
        <f t="shared" si="228"/>
        <v>Macrolides</v>
      </c>
      <c r="EJ305" t="str">
        <f t="shared" si="229"/>
        <v/>
      </c>
      <c r="EK305" s="63" t="str">
        <f t="shared" si="230"/>
        <v/>
      </c>
      <c r="EN305" s="42">
        <v>302</v>
      </c>
      <c r="EO305" t="e">
        <f t="shared" si="236"/>
        <v>#N/A</v>
      </c>
      <c r="EP305" s="63" t="e">
        <f t="shared" si="237"/>
        <v>#N/A</v>
      </c>
      <c r="FT305" s="63"/>
    </row>
    <row r="306" spans="2:176" x14ac:dyDescent="0.3">
      <c r="B306" s="42"/>
      <c r="M306" s="194" t="str">
        <f ca="1">INDEX(Données_ATB!BD:BU,MATCH(MASQ2!O306,Données_ATB!BD:BD,0),18)</f>
        <v/>
      </c>
      <c r="N306" s="14" t="str">
        <f>IFERROR(IF(Q306=0,"",COUNTIF(Q$4:Q$600,"&gt;"&amp;Q306)+COUNTIF(Q$4:Q306,Q306)),"")</f>
        <v/>
      </c>
      <c r="O306" t="str">
        <f>Données_ATB!BD305</f>
        <v>METHOXASOL 20/100 MG/ML, SOLUTION POUR UTILISATION DANS L'EAU DE BOISSON POUR PORCS ET POULETS</v>
      </c>
      <c r="P306" t="e">
        <f>IF(IF(X$2="Catégorie",IF(X$3="Toutes",SUMIFS('Étape 1 - à remplir'!$F$31:$F$400,'Étape 1 - à remplir'!$E$31:$E$400,MASQ2!O306,'Étape 1 - à remplir'!$G$31:$G$400,"animaux"),SUMIFS('Étape 1 - à remplir'!$F$31:$F$400,'Étape 1 - à remplir'!$E$31:$E$400,MASQ2!O306,'Étape 1 - à remplir'!$C$31:$C$400,X$3)),IF(X$2="Âge",IF(X$3="Tous",SUMIFS('Étape 1 - à remplir'!$F$31:$F$400,'Étape 1 - à remplir'!$E$31:$E$400,MASQ2!O306,'Étape 1 - à remplir'!$G$31:$G$400,"animaux"),SUMIFS('Étape 1 - à remplir'!$F$31:$F$400,'Étape 1 - à remplir'!$E$31:$E$400,MASQ2!O306,'Étape 1 - à remplir'!$P$31:$P$400,X$3)),IF(X$2="Atelier",IF(X$3="Tous",SUMIFS('Étape 1 - à remplir'!$F$31:$F$400,'Étape 1 - à remplir'!$E$31:$E$400,MASQ2!O306,'Étape 1 - à remplir'!$G$31:$G$400,"animaux"),SUMIFS('Étape 1 - à remplir'!$F$31:$F$400,'Étape 1 - à remplir'!$E$31:$E$400,MASQ2!O306,'Étape 1 - à remplir'!$O$31:$O$400,X$3)),IF(X$2="Espèce",IF(X$3="Toutes",SUMIFS('Étape 1 - à remplir'!$F$31:$F$400,'Étape 1 - à remplir'!$E$31:$E$400,MASQ2!O306,'Étape 1 - à remplir'!$G$31:$G$400,"animaux"),SUMIFS('Étape 1 - à remplir'!$F$31:$F$400,'Étape 1 - à remplir'!$E$31:$E$400,MASQ2!O306,'Étape 1 - à remplir'!$N$31:$N$400,X$3))))))=0,NA(),IF(X$2="Catégorie",IF(X$3="Toutes",SUMIFS('Étape 1 - à remplir'!$F$31:$F$400,'Étape 1 - à remplir'!$E$31:$E$400,MASQ2!O306,'Étape 1 - à remplir'!$G$31:$G$400,"animaux"),SUMIFS('Étape 1 - à remplir'!$F$31:$F$400,'Étape 1 - à remplir'!$E$31:$E$400,MASQ2!O306,'Étape 1 - à remplir'!$C$31:$C$400,X$3)),IF(X$2="Âge",IF(X$3="Tous",SUMIFS('Étape 1 - à remplir'!$F$31:$F$400,'Étape 1 - à remplir'!$E$31:$E$400,MASQ2!O306,'Étape 1 - à remplir'!$G$31:$G$400,"animaux"),SUMIFS('Étape 1 - à remplir'!$F$31:$F$400,'Étape 1 - à remplir'!$E$31:$E$400,MASQ2!O306,'Étape 1 - à remplir'!$P$31:$P$400,X$3)),IF(X$2="Atelier",IF(X$3="Tous",SUMIFS('Étape 1 - à remplir'!$F$31:$F$400,'Étape 1 - à remplir'!$E$31:$E$400,MASQ2!O306,'Étape 1 - à remplir'!$G$31:$G$400,"animaux"),SUMIFS('Étape 1 - à remplir'!$F$31:$F$400,'Étape 1 - à remplir'!$E$31:$E$400,MASQ2!O306,'Étape 1 - à remplir'!$O$31:$O$400,X$3)),IF(X$2="Espèce",IF(X$3="Toutes",SUMIFS('Étape 1 - à remplir'!$F$31:$F$400,'Étape 1 - à remplir'!$E$31:$E$400,MASQ2!O306,'Étape 1 - à remplir'!$G$31:$G$400,"animaux"),SUMIFS('Étape 1 - à remplir'!$F$31:$F$400,'Étape 1 - à remplir'!$E$31:$E$400,MASQ2!O306,'Étape 1 - à remplir'!$N$31:$N$400,X$3)))))))</f>
        <v>#N/A</v>
      </c>
      <c r="Q306" s="63">
        <f t="shared" si="235"/>
        <v>0</v>
      </c>
      <c r="R306" t="str">
        <f>Données_ATB!BM305</f>
        <v>Sulfaméthoxazole</v>
      </c>
      <c r="S306" t="str">
        <f>Données_ATB!BN305</f>
        <v>Triméthoprime</v>
      </c>
      <c r="T306" s="63" t="str">
        <f>Données_ATB!BO305</f>
        <v/>
      </c>
      <c r="U306" s="42" t="str">
        <f>Données_ATB!BQ305</f>
        <v>Sulfamides</v>
      </c>
      <c r="V306" t="str">
        <f>Données_ATB!BR305</f>
        <v>Trimethoprime</v>
      </c>
      <c r="W306" s="63" t="str">
        <f>Données_ATB!BS305</f>
        <v/>
      </c>
      <c r="Z306" s="42">
        <v>303</v>
      </c>
      <c r="AA306" t="e">
        <f t="shared" si="231"/>
        <v>#N/A</v>
      </c>
      <c r="AB306" s="63" t="e">
        <f t="shared" si="232"/>
        <v>#N/A</v>
      </c>
      <c r="BF306" s="63"/>
      <c r="BT306" s="194" t="str">
        <f t="shared" ca="1" si="215"/>
        <v/>
      </c>
      <c r="BU306" s="219" t="str">
        <f>IFERROR(IF(BX306=0,"",COUNTIF(BX$4:BX$600,"&gt;"&amp;BX306)+COUNTIF(BX$4:BX306,BX306)),"")</f>
        <v/>
      </c>
      <c r="BV306" s="42" t="str">
        <f t="shared" si="216"/>
        <v>METHOXASOL 20/100 MG/ML, SOLUTION POUR UTILISATION DANS L'EAU DE BOISSON POUR PORCS ET POULETS</v>
      </c>
      <c r="BW306" t="e">
        <f>IF(IF(CE$2="Catégorie",IF(CE$3="Toutes",SUMIFS('Étape 1 - à remplir'!$F$31:$F$400,'Étape 1 - à remplir'!$E$31:$E$400,MASQ2!BV306,'Étape 1 - à remplir'!$G$31:$G$400,"lots"),SUMIFS('Étape 1 - à remplir'!$F$31:$F$400,'Étape 1 - à remplir'!$E$31:$E$400,MASQ2!BV306,'Étape 1 - à remplir'!$C$31:$C$400,CE$3)),IF(CE$2="Âge",IF(CE$3="Tous",SUMIFS('Étape 1 - à remplir'!$F$31:$F$400,'Étape 1 - à remplir'!$E$31:$E$400,MASQ2!BV306,'Étape 1 - à remplir'!$G$31:$G$400,"lots"),SUMIFS('Étape 1 - à remplir'!$F$31:$F$400,'Étape 1 - à remplir'!$E$31:$E$400,MASQ2!BV306,'Étape 1 - à remplir'!$P$31:$P$400,CE$3,'Étape 1 - à remplir'!$G$31:$G$400,"lots")),IF(CE$2="Atelier",IF(CE$3="Tous",SUMIFS('Étape 1 - à remplir'!$F$31:$F$400,'Étape 1 - à remplir'!$E$31:$E$400,MASQ2!BV306,'Étape 1 - à remplir'!$G$31:$G$400,"lots"),SUMIFS('Étape 1 - à remplir'!$F$31:$F$400,'Étape 1 - à remplir'!$E$31:$E$400,MASQ2!BV306,'Étape 1 - à remplir'!$O$31:$O$400,CE$3,'Étape 1 - à remplir'!$G$31:$G$400,"lots")),IF(CE$2="Espèce",IF(CE$3="Toutes",SUMIFS('Étape 1 - à remplir'!$F$31:$F$400,'Étape 1 - à remplir'!$E$31:$E$400,MASQ2!BV306,'Étape 1 - à remplir'!$G$31:$G$400,"lots"),SUMIFS('Étape 1 - à remplir'!$F$31:$F$400,'Étape 1 - à remplir'!$E$31:$E$400,MASQ2!BV306,'Étape 1 - à remplir'!$N$31:$N$400,CE$3,'Étape 1 - à remplir'!$G$31:$G$400,"lots"))))))=0,NA(),IF(CE$2="Catégorie",IF(CE$3="Toutes",SUMIFS('Étape 1 - à remplir'!$F$31:$F$400,'Étape 1 - à remplir'!$E$31:$E$400,MASQ2!BV306,'Étape 1 - à remplir'!$G$31:$G$400,"lots"),SUMIFS('Étape 1 - à remplir'!$F$31:$F$400,'Étape 1 - à remplir'!$E$31:$E$400,MASQ2!BV306,'Étape 1 - à remplir'!$C$31:$C$400,CE$3)),IF(CE$2="Âge",IF(CE$3="Tous",SUMIFS('Étape 1 - à remplir'!$F$31:$F$400,'Étape 1 - à remplir'!$E$31:$E$400,MASQ2!BV306,'Étape 1 - à remplir'!$G$31:$G$400,"lots"),SUMIFS('Étape 1 - à remplir'!$F$31:$F$400,'Étape 1 - à remplir'!$E$31:$E$400,MASQ2!BV306,'Étape 1 - à remplir'!$P$31:$P$400,CE$3,'Étape 1 - à remplir'!$G$31:$G$400,"lots")),IF(CE$2="Atelier",IF(CE$3="Tous",SUMIFS('Étape 1 - à remplir'!$F$31:$F$400,'Étape 1 - à remplir'!$E$31:$E$400,MASQ2!BV306,'Étape 1 - à remplir'!$G$31:$G$400,"lots"),SUMIFS('Étape 1 - à remplir'!$F$31:$F$400,'Étape 1 - à remplir'!$E$31:$E$400,MASQ2!BV306,'Étape 1 - à remplir'!$O$31:$O$400,CE$3,'Étape 1 - à remplir'!$G$31:$G$400,"lots")),IF(CE$2="Espèce",IF(CE$3="Toutes",SUMIFS('Étape 1 - à remplir'!$F$31:$F$400,'Étape 1 - à remplir'!$E$31:$E$400,MASQ2!BV306,'Étape 1 - à remplir'!$G$31:$G$400,"lots"),SUMIFS('Étape 1 - à remplir'!$F$31:$F$400,'Étape 1 - à remplir'!$E$31:$E$400,MASQ2!BV306,'Étape 1 - à remplir'!$N$31:$N$400,CE$3,'Étape 1 - à remplir'!$G$31:$G$400,"lots")))))))</f>
        <v>#N/A</v>
      </c>
      <c r="BX306">
        <f t="shared" si="233"/>
        <v>0</v>
      </c>
      <c r="BY306" t="str">
        <f t="shared" si="217"/>
        <v>Sulfaméthoxazole</v>
      </c>
      <c r="BZ306" t="str">
        <f t="shared" si="218"/>
        <v>Triméthoprime</v>
      </c>
      <c r="CA306" t="str">
        <f t="shared" si="219"/>
        <v/>
      </c>
      <c r="CB306" t="str">
        <f t="shared" si="220"/>
        <v>Sulfamides</v>
      </c>
      <c r="CC306" t="str">
        <f t="shared" si="221"/>
        <v>Trimethoprime</v>
      </c>
      <c r="CD306" s="63" t="str">
        <f t="shared" si="222"/>
        <v/>
      </c>
      <c r="CG306" s="42">
        <v>303</v>
      </c>
      <c r="CH306" s="42" t="e">
        <f t="shared" si="238"/>
        <v>#N/A</v>
      </c>
      <c r="CI306" s="63" t="e">
        <f t="shared" si="239"/>
        <v>#N/A</v>
      </c>
      <c r="DM306" s="63"/>
      <c r="EA306" s="194" t="str">
        <f t="shared" ca="1" si="223"/>
        <v/>
      </c>
      <c r="EB306" s="226" t="str">
        <f>IFERROR(IF(ED306=0,"",COUNTIF(ED$4:ED$600,"&gt;"&amp;ED306)+COUNTIF(ED$4:ED306,ED306)),"")</f>
        <v/>
      </c>
      <c r="EC306" t="str">
        <f t="shared" si="224"/>
        <v>METHOXASOL 20/100 MG/ML, SOLUTION POUR UTILISATION DANS L'EAU DE BOISSON POUR PORCS ET POULETS</v>
      </c>
      <c r="ED306" t="e">
        <f>IF(IF(EL$2="Catégorie",IF(EL$3="Toutes",SUMIFS('Étape 1 - à remplir'!$F$31:$F$400,'Étape 1 - à remplir'!$E$31:$E$400,MASQ2!EC306,'Étape 1 - à remplir'!$G$31:$G$400,"kg"),SUMIFS('Étape 1 - à remplir'!$F$31:$F$400,'Étape 1 - à remplir'!$E$31:$E$400,MASQ2!EC306,'Étape 1 - à remplir'!$C$31:$C$400,EL$3)),IF(EL$2="Âge",IF(EL$3="Tous",SUMIFS('Étape 1 - à remplir'!$F$31:$F$400,'Étape 1 - à remplir'!$E$31:$E$400,MASQ2!EC306,'Étape 1 - à remplir'!$G$31:$G$400,"kg"),SUMIFS('Étape 1 - à remplir'!$F$31:$F$400,'Étape 1 - à remplir'!$E$31:$E$400,MASQ2!EC306,'Étape 1 - à remplir'!$P$31:$P$400,EL$3,'Étape 1 - à remplir'!$G$31:$G$400,"kg")),IF(EL$2="Atelier",IF(EL$3="Tous",SUMIFS('Étape 1 - à remplir'!$F$31:$F$400,'Étape 1 - à remplir'!$E$31:$E$400,MASQ2!EC306,'Étape 1 - à remplir'!$G$31:$G$400,"kg"),SUMIFS('Étape 1 - à remplir'!$F$31:$F$400,'Étape 1 - à remplir'!$E$31:$E$400,MASQ2!EC306,'Étape 1 - à remplir'!$O$31:$O$400,EL$3,'Étape 1 - à remplir'!$G$31:$G$400,"kg")),IF(EL$2="Espèce",IF(EL$3="Toutes",SUMIFS('Étape 1 - à remplir'!$F$31:$F$400,'Étape 1 - à remplir'!$E$31:$E$400,MASQ2!EC306,'Étape 1 - à remplir'!$G$31:$G$400,"kg"),SUMIFS('Étape 1 - à remplir'!$F$31:$F$400,'Étape 1 - à remplir'!$E$31:$E$400,MASQ2!EC306,'Étape 1 - à remplir'!$N$31:$N$400,EL$3,'Étape 1 - à remplir'!$G$31:$G$400,"kg"))))))=0,NA(),IF(EL$2="Catégorie",IF(EL$3="Toutes",SUMIFS('Étape 1 - à remplir'!$F$31:$F$400,'Étape 1 - à remplir'!$E$31:$E$400,MASQ2!EC306,'Étape 1 - à remplir'!$G$31:$G$400,"kg"),SUMIFS('Étape 1 - à remplir'!$F$31:$F$400,'Étape 1 - à remplir'!$E$31:$E$400,MASQ2!EC306,'Étape 1 - à remplir'!$C$31:$C$400,EL$3)),IF(EL$2="Âge",IF(EL$3="Tous",SUMIFS('Étape 1 - à remplir'!$F$31:$F$400,'Étape 1 - à remplir'!$E$31:$E$400,MASQ2!EC306,'Étape 1 - à remplir'!$G$31:$G$400,"kg"),SUMIFS('Étape 1 - à remplir'!$F$31:$F$400,'Étape 1 - à remplir'!$E$31:$E$400,MASQ2!EC306,'Étape 1 - à remplir'!$P$31:$P$400,EL$3,'Étape 1 - à remplir'!$G$31:$G$400,"kg")),IF(EL$2="Atelier",IF(EL$3="Tous",SUMIFS('Étape 1 - à remplir'!$F$31:$F$400,'Étape 1 - à remplir'!$E$31:$E$400,MASQ2!EC306,'Étape 1 - à remplir'!$G$31:$G$400,"kg"),SUMIFS('Étape 1 - à remplir'!$F$31:$F$400,'Étape 1 - à remplir'!$E$31:$E$400,MASQ2!EC306,'Étape 1 - à remplir'!$O$31:$O$400,EL$3,'Étape 1 - à remplir'!$G$31:$G$400,"kg")),IF(EL$2="Espèce",IF(EL$3="Toutes",SUMIFS('Étape 1 - à remplir'!$F$31:$F$400,'Étape 1 - à remplir'!$E$31:$E$400,MASQ2!EC306,'Étape 1 - à remplir'!$G$31:$G$400,"kg"),SUMIFS('Étape 1 - à remplir'!$F$31:$F$400,'Étape 1 - à remplir'!$E$31:$E$400,MASQ2!EC306,'Étape 1 - à remplir'!$N$31:$N$400,EL$3,'Étape 1 - à remplir'!$G$31:$G$400,"kg")))))))</f>
        <v>#N/A</v>
      </c>
      <c r="EE306" s="76">
        <f t="shared" si="234"/>
        <v>0</v>
      </c>
      <c r="EF306" t="str">
        <f t="shared" si="225"/>
        <v>Sulfaméthoxazole</v>
      </c>
      <c r="EG306" t="str">
        <f t="shared" si="226"/>
        <v>Triméthoprime</v>
      </c>
      <c r="EH306" t="str">
        <f t="shared" si="227"/>
        <v/>
      </c>
      <c r="EI306" t="str">
        <f t="shared" si="228"/>
        <v>Sulfamides</v>
      </c>
      <c r="EJ306" t="str">
        <f t="shared" si="229"/>
        <v>Trimethoprime</v>
      </c>
      <c r="EK306" s="63" t="str">
        <f t="shared" si="230"/>
        <v/>
      </c>
      <c r="EN306" s="42">
        <v>303</v>
      </c>
      <c r="EO306" t="e">
        <f t="shared" si="236"/>
        <v>#N/A</v>
      </c>
      <c r="EP306" s="63" t="e">
        <f t="shared" si="237"/>
        <v>#N/A</v>
      </c>
      <c r="FT306" s="63"/>
    </row>
    <row r="307" spans="2:176" x14ac:dyDescent="0.3">
      <c r="B307" s="42"/>
      <c r="M307" s="194" t="str">
        <f ca="1">INDEX(Données_ATB!BD:BU,MATCH(MASQ2!O307,Données_ATB!BD:BD,0),18)</f>
        <v/>
      </c>
      <c r="N307" s="14" t="str">
        <f>IFERROR(IF(Q307=0,"",COUNTIF(Q$4:Q$600,"&gt;"&amp;Q307)+COUNTIF(Q$4:Q307,Q307)),"")</f>
        <v/>
      </c>
      <c r="O307" t="str">
        <f>Données_ATB!BD306</f>
        <v>METOXYL</v>
      </c>
      <c r="P307" t="e">
        <f>IF(IF(X$2="Catégorie",IF(X$3="Toutes",SUMIFS('Étape 1 - à remplir'!$F$31:$F$400,'Étape 1 - à remplir'!$E$31:$E$400,MASQ2!O307,'Étape 1 - à remplir'!$G$31:$G$400,"animaux"),SUMIFS('Étape 1 - à remplir'!$F$31:$F$400,'Étape 1 - à remplir'!$E$31:$E$400,MASQ2!O307,'Étape 1 - à remplir'!$C$31:$C$400,X$3)),IF(X$2="Âge",IF(X$3="Tous",SUMIFS('Étape 1 - à remplir'!$F$31:$F$400,'Étape 1 - à remplir'!$E$31:$E$400,MASQ2!O307,'Étape 1 - à remplir'!$G$31:$G$400,"animaux"),SUMIFS('Étape 1 - à remplir'!$F$31:$F$400,'Étape 1 - à remplir'!$E$31:$E$400,MASQ2!O307,'Étape 1 - à remplir'!$P$31:$P$400,X$3)),IF(X$2="Atelier",IF(X$3="Tous",SUMIFS('Étape 1 - à remplir'!$F$31:$F$400,'Étape 1 - à remplir'!$E$31:$E$400,MASQ2!O307,'Étape 1 - à remplir'!$G$31:$G$400,"animaux"),SUMIFS('Étape 1 - à remplir'!$F$31:$F$400,'Étape 1 - à remplir'!$E$31:$E$400,MASQ2!O307,'Étape 1 - à remplir'!$O$31:$O$400,X$3)),IF(X$2="Espèce",IF(X$3="Toutes",SUMIFS('Étape 1 - à remplir'!$F$31:$F$400,'Étape 1 - à remplir'!$E$31:$E$400,MASQ2!O307,'Étape 1 - à remplir'!$G$31:$G$400,"animaux"),SUMIFS('Étape 1 - à remplir'!$F$31:$F$400,'Étape 1 - à remplir'!$E$31:$E$400,MASQ2!O307,'Étape 1 - à remplir'!$N$31:$N$400,X$3))))))=0,NA(),IF(X$2="Catégorie",IF(X$3="Toutes",SUMIFS('Étape 1 - à remplir'!$F$31:$F$400,'Étape 1 - à remplir'!$E$31:$E$400,MASQ2!O307,'Étape 1 - à remplir'!$G$31:$G$400,"animaux"),SUMIFS('Étape 1 - à remplir'!$F$31:$F$400,'Étape 1 - à remplir'!$E$31:$E$400,MASQ2!O307,'Étape 1 - à remplir'!$C$31:$C$400,X$3)),IF(X$2="Âge",IF(X$3="Tous",SUMIFS('Étape 1 - à remplir'!$F$31:$F$400,'Étape 1 - à remplir'!$E$31:$E$400,MASQ2!O307,'Étape 1 - à remplir'!$G$31:$G$400,"animaux"),SUMIFS('Étape 1 - à remplir'!$F$31:$F$400,'Étape 1 - à remplir'!$E$31:$E$400,MASQ2!O307,'Étape 1 - à remplir'!$P$31:$P$400,X$3)),IF(X$2="Atelier",IF(X$3="Tous",SUMIFS('Étape 1 - à remplir'!$F$31:$F$400,'Étape 1 - à remplir'!$E$31:$E$400,MASQ2!O307,'Étape 1 - à remplir'!$G$31:$G$400,"animaux"),SUMIFS('Étape 1 - à remplir'!$F$31:$F$400,'Étape 1 - à remplir'!$E$31:$E$400,MASQ2!O307,'Étape 1 - à remplir'!$O$31:$O$400,X$3)),IF(X$2="Espèce",IF(X$3="Toutes",SUMIFS('Étape 1 - à remplir'!$F$31:$F$400,'Étape 1 - à remplir'!$E$31:$E$400,MASQ2!O307,'Étape 1 - à remplir'!$G$31:$G$400,"animaux"),SUMIFS('Étape 1 - à remplir'!$F$31:$F$400,'Étape 1 - à remplir'!$E$31:$E$400,MASQ2!O307,'Étape 1 - à remplir'!$N$31:$N$400,X$3)))))))</f>
        <v>#N/A</v>
      </c>
      <c r="Q307" s="63">
        <f t="shared" si="235"/>
        <v>0</v>
      </c>
      <c r="R307" t="str">
        <f>Données_ATB!BM306</f>
        <v>Sulfadiméthoxine</v>
      </c>
      <c r="S307" t="str">
        <f>Données_ATB!BN306</f>
        <v/>
      </c>
      <c r="T307" s="63" t="str">
        <f>Données_ATB!BO306</f>
        <v/>
      </c>
      <c r="U307" s="42" t="str">
        <f>Données_ATB!BQ306</f>
        <v>Sulfamides</v>
      </c>
      <c r="V307" t="str">
        <f>Données_ATB!BR306</f>
        <v/>
      </c>
      <c r="W307" s="63" t="str">
        <f>Données_ATB!BS306</f>
        <v/>
      </c>
      <c r="Z307" s="42">
        <v>304</v>
      </c>
      <c r="AA307" t="e">
        <f t="shared" si="231"/>
        <v>#N/A</v>
      </c>
      <c r="AB307" s="63" t="e">
        <f t="shared" si="232"/>
        <v>#N/A</v>
      </c>
      <c r="BF307" s="63"/>
      <c r="BT307" s="194" t="str">
        <f t="shared" ca="1" si="215"/>
        <v/>
      </c>
      <c r="BU307" s="219" t="str">
        <f>IFERROR(IF(BX307=0,"",COUNTIF(BX$4:BX$600,"&gt;"&amp;BX307)+COUNTIF(BX$4:BX307,BX307)),"")</f>
        <v/>
      </c>
      <c r="BV307" s="42" t="str">
        <f t="shared" si="216"/>
        <v>METOXYL</v>
      </c>
      <c r="BW307" t="e">
        <f>IF(IF(CE$2="Catégorie",IF(CE$3="Toutes",SUMIFS('Étape 1 - à remplir'!$F$31:$F$400,'Étape 1 - à remplir'!$E$31:$E$400,MASQ2!BV307,'Étape 1 - à remplir'!$G$31:$G$400,"lots"),SUMIFS('Étape 1 - à remplir'!$F$31:$F$400,'Étape 1 - à remplir'!$E$31:$E$400,MASQ2!BV307,'Étape 1 - à remplir'!$C$31:$C$400,CE$3)),IF(CE$2="Âge",IF(CE$3="Tous",SUMIFS('Étape 1 - à remplir'!$F$31:$F$400,'Étape 1 - à remplir'!$E$31:$E$400,MASQ2!BV307,'Étape 1 - à remplir'!$G$31:$G$400,"lots"),SUMIFS('Étape 1 - à remplir'!$F$31:$F$400,'Étape 1 - à remplir'!$E$31:$E$400,MASQ2!BV307,'Étape 1 - à remplir'!$P$31:$P$400,CE$3,'Étape 1 - à remplir'!$G$31:$G$400,"lots")),IF(CE$2="Atelier",IF(CE$3="Tous",SUMIFS('Étape 1 - à remplir'!$F$31:$F$400,'Étape 1 - à remplir'!$E$31:$E$400,MASQ2!BV307,'Étape 1 - à remplir'!$G$31:$G$400,"lots"),SUMIFS('Étape 1 - à remplir'!$F$31:$F$400,'Étape 1 - à remplir'!$E$31:$E$400,MASQ2!BV307,'Étape 1 - à remplir'!$O$31:$O$400,CE$3,'Étape 1 - à remplir'!$G$31:$G$400,"lots")),IF(CE$2="Espèce",IF(CE$3="Toutes",SUMIFS('Étape 1 - à remplir'!$F$31:$F$400,'Étape 1 - à remplir'!$E$31:$E$400,MASQ2!BV307,'Étape 1 - à remplir'!$G$31:$G$400,"lots"),SUMIFS('Étape 1 - à remplir'!$F$31:$F$400,'Étape 1 - à remplir'!$E$31:$E$400,MASQ2!BV307,'Étape 1 - à remplir'!$N$31:$N$400,CE$3,'Étape 1 - à remplir'!$G$31:$G$400,"lots"))))))=0,NA(),IF(CE$2="Catégorie",IF(CE$3="Toutes",SUMIFS('Étape 1 - à remplir'!$F$31:$F$400,'Étape 1 - à remplir'!$E$31:$E$400,MASQ2!BV307,'Étape 1 - à remplir'!$G$31:$G$400,"lots"),SUMIFS('Étape 1 - à remplir'!$F$31:$F$400,'Étape 1 - à remplir'!$E$31:$E$400,MASQ2!BV307,'Étape 1 - à remplir'!$C$31:$C$400,CE$3)),IF(CE$2="Âge",IF(CE$3="Tous",SUMIFS('Étape 1 - à remplir'!$F$31:$F$400,'Étape 1 - à remplir'!$E$31:$E$400,MASQ2!BV307,'Étape 1 - à remplir'!$G$31:$G$400,"lots"),SUMIFS('Étape 1 - à remplir'!$F$31:$F$400,'Étape 1 - à remplir'!$E$31:$E$400,MASQ2!BV307,'Étape 1 - à remplir'!$P$31:$P$400,CE$3,'Étape 1 - à remplir'!$G$31:$G$400,"lots")),IF(CE$2="Atelier",IF(CE$3="Tous",SUMIFS('Étape 1 - à remplir'!$F$31:$F$400,'Étape 1 - à remplir'!$E$31:$E$400,MASQ2!BV307,'Étape 1 - à remplir'!$G$31:$G$400,"lots"),SUMIFS('Étape 1 - à remplir'!$F$31:$F$400,'Étape 1 - à remplir'!$E$31:$E$400,MASQ2!BV307,'Étape 1 - à remplir'!$O$31:$O$400,CE$3,'Étape 1 - à remplir'!$G$31:$G$400,"lots")),IF(CE$2="Espèce",IF(CE$3="Toutes",SUMIFS('Étape 1 - à remplir'!$F$31:$F$400,'Étape 1 - à remplir'!$E$31:$E$400,MASQ2!BV307,'Étape 1 - à remplir'!$G$31:$G$400,"lots"),SUMIFS('Étape 1 - à remplir'!$F$31:$F$400,'Étape 1 - à remplir'!$E$31:$E$400,MASQ2!BV307,'Étape 1 - à remplir'!$N$31:$N$400,CE$3,'Étape 1 - à remplir'!$G$31:$G$400,"lots")))))))</f>
        <v>#N/A</v>
      </c>
      <c r="BX307">
        <f t="shared" si="233"/>
        <v>0</v>
      </c>
      <c r="BY307" t="str">
        <f t="shared" si="217"/>
        <v>Sulfadiméthoxine</v>
      </c>
      <c r="BZ307" t="str">
        <f t="shared" si="218"/>
        <v/>
      </c>
      <c r="CA307" t="str">
        <f t="shared" si="219"/>
        <v/>
      </c>
      <c r="CB307" t="str">
        <f t="shared" si="220"/>
        <v>Sulfamides</v>
      </c>
      <c r="CC307" t="str">
        <f t="shared" si="221"/>
        <v/>
      </c>
      <c r="CD307" s="63" t="str">
        <f t="shared" si="222"/>
        <v/>
      </c>
      <c r="CG307" s="42">
        <v>304</v>
      </c>
      <c r="CH307" s="42" t="e">
        <f t="shared" si="238"/>
        <v>#N/A</v>
      </c>
      <c r="CI307" s="63" t="e">
        <f t="shared" si="239"/>
        <v>#N/A</v>
      </c>
      <c r="DM307" s="63"/>
      <c r="EA307" s="194" t="str">
        <f t="shared" ca="1" si="223"/>
        <v/>
      </c>
      <c r="EB307" s="226" t="str">
        <f>IFERROR(IF(ED307=0,"",COUNTIF(ED$4:ED$600,"&gt;"&amp;ED307)+COUNTIF(ED$4:ED307,ED307)),"")</f>
        <v/>
      </c>
      <c r="EC307" t="str">
        <f t="shared" si="224"/>
        <v>METOXYL</v>
      </c>
      <c r="ED307" t="e">
        <f>IF(IF(EL$2="Catégorie",IF(EL$3="Toutes",SUMIFS('Étape 1 - à remplir'!$F$31:$F$400,'Étape 1 - à remplir'!$E$31:$E$400,MASQ2!EC307,'Étape 1 - à remplir'!$G$31:$G$400,"kg"),SUMIFS('Étape 1 - à remplir'!$F$31:$F$400,'Étape 1 - à remplir'!$E$31:$E$400,MASQ2!EC307,'Étape 1 - à remplir'!$C$31:$C$400,EL$3)),IF(EL$2="Âge",IF(EL$3="Tous",SUMIFS('Étape 1 - à remplir'!$F$31:$F$400,'Étape 1 - à remplir'!$E$31:$E$400,MASQ2!EC307,'Étape 1 - à remplir'!$G$31:$G$400,"kg"),SUMIFS('Étape 1 - à remplir'!$F$31:$F$400,'Étape 1 - à remplir'!$E$31:$E$400,MASQ2!EC307,'Étape 1 - à remplir'!$P$31:$P$400,EL$3,'Étape 1 - à remplir'!$G$31:$G$400,"kg")),IF(EL$2="Atelier",IF(EL$3="Tous",SUMIFS('Étape 1 - à remplir'!$F$31:$F$400,'Étape 1 - à remplir'!$E$31:$E$400,MASQ2!EC307,'Étape 1 - à remplir'!$G$31:$G$400,"kg"),SUMIFS('Étape 1 - à remplir'!$F$31:$F$400,'Étape 1 - à remplir'!$E$31:$E$400,MASQ2!EC307,'Étape 1 - à remplir'!$O$31:$O$400,EL$3,'Étape 1 - à remplir'!$G$31:$G$400,"kg")),IF(EL$2="Espèce",IF(EL$3="Toutes",SUMIFS('Étape 1 - à remplir'!$F$31:$F$400,'Étape 1 - à remplir'!$E$31:$E$400,MASQ2!EC307,'Étape 1 - à remplir'!$G$31:$G$400,"kg"),SUMIFS('Étape 1 - à remplir'!$F$31:$F$400,'Étape 1 - à remplir'!$E$31:$E$400,MASQ2!EC307,'Étape 1 - à remplir'!$N$31:$N$400,EL$3,'Étape 1 - à remplir'!$G$31:$G$400,"kg"))))))=0,NA(),IF(EL$2="Catégorie",IF(EL$3="Toutes",SUMIFS('Étape 1 - à remplir'!$F$31:$F$400,'Étape 1 - à remplir'!$E$31:$E$400,MASQ2!EC307,'Étape 1 - à remplir'!$G$31:$G$400,"kg"),SUMIFS('Étape 1 - à remplir'!$F$31:$F$400,'Étape 1 - à remplir'!$E$31:$E$400,MASQ2!EC307,'Étape 1 - à remplir'!$C$31:$C$400,EL$3)),IF(EL$2="Âge",IF(EL$3="Tous",SUMIFS('Étape 1 - à remplir'!$F$31:$F$400,'Étape 1 - à remplir'!$E$31:$E$400,MASQ2!EC307,'Étape 1 - à remplir'!$G$31:$G$400,"kg"),SUMIFS('Étape 1 - à remplir'!$F$31:$F$400,'Étape 1 - à remplir'!$E$31:$E$400,MASQ2!EC307,'Étape 1 - à remplir'!$P$31:$P$400,EL$3,'Étape 1 - à remplir'!$G$31:$G$400,"kg")),IF(EL$2="Atelier",IF(EL$3="Tous",SUMIFS('Étape 1 - à remplir'!$F$31:$F$400,'Étape 1 - à remplir'!$E$31:$E$400,MASQ2!EC307,'Étape 1 - à remplir'!$G$31:$G$400,"kg"),SUMIFS('Étape 1 - à remplir'!$F$31:$F$400,'Étape 1 - à remplir'!$E$31:$E$400,MASQ2!EC307,'Étape 1 - à remplir'!$O$31:$O$400,EL$3,'Étape 1 - à remplir'!$G$31:$G$400,"kg")),IF(EL$2="Espèce",IF(EL$3="Toutes",SUMIFS('Étape 1 - à remplir'!$F$31:$F$400,'Étape 1 - à remplir'!$E$31:$E$400,MASQ2!EC307,'Étape 1 - à remplir'!$G$31:$G$400,"kg"),SUMIFS('Étape 1 - à remplir'!$F$31:$F$400,'Étape 1 - à remplir'!$E$31:$E$400,MASQ2!EC307,'Étape 1 - à remplir'!$N$31:$N$400,EL$3,'Étape 1 - à remplir'!$G$31:$G$400,"kg")))))))</f>
        <v>#N/A</v>
      </c>
      <c r="EE307" s="76">
        <f t="shared" si="234"/>
        <v>0</v>
      </c>
      <c r="EF307" t="str">
        <f t="shared" si="225"/>
        <v>Sulfadiméthoxine</v>
      </c>
      <c r="EG307" t="str">
        <f t="shared" si="226"/>
        <v/>
      </c>
      <c r="EH307" t="str">
        <f t="shared" si="227"/>
        <v/>
      </c>
      <c r="EI307" t="str">
        <f t="shared" si="228"/>
        <v>Sulfamides</v>
      </c>
      <c r="EJ307" t="str">
        <f t="shared" si="229"/>
        <v/>
      </c>
      <c r="EK307" s="63" t="str">
        <f t="shared" si="230"/>
        <v/>
      </c>
      <c r="EN307" s="42">
        <v>304</v>
      </c>
      <c r="EO307" t="e">
        <f t="shared" si="236"/>
        <v>#N/A</v>
      </c>
      <c r="EP307" s="63" t="e">
        <f t="shared" si="237"/>
        <v>#N/A</v>
      </c>
      <c r="FT307" s="63"/>
    </row>
    <row r="308" spans="2:176" x14ac:dyDescent="0.3">
      <c r="B308" s="42"/>
      <c r="M308" s="194" t="str">
        <f ca="1">INDEX(Données_ATB!BD:BU,MATCH(MASQ2!O308,Données_ATB!BD:BD,0),18)</f>
        <v/>
      </c>
      <c r="N308" s="14" t="str">
        <f>IFERROR(IF(Q308=0,"",COUNTIF(Q$4:Q$600,"&gt;"&amp;Q308)+COUNTIF(Q$4:Q308,Q308)),"")</f>
        <v/>
      </c>
      <c r="O308" t="str">
        <f>Données_ATB!BD307</f>
        <v>METRICURE</v>
      </c>
      <c r="P308" t="e">
        <f>IF(IF(X$2="Catégorie",IF(X$3="Toutes",SUMIFS('Étape 1 - à remplir'!$F$31:$F$400,'Étape 1 - à remplir'!$E$31:$E$400,MASQ2!O308,'Étape 1 - à remplir'!$G$31:$G$400,"animaux"),SUMIFS('Étape 1 - à remplir'!$F$31:$F$400,'Étape 1 - à remplir'!$E$31:$E$400,MASQ2!O308,'Étape 1 - à remplir'!$C$31:$C$400,X$3)),IF(X$2="Âge",IF(X$3="Tous",SUMIFS('Étape 1 - à remplir'!$F$31:$F$400,'Étape 1 - à remplir'!$E$31:$E$400,MASQ2!O308,'Étape 1 - à remplir'!$G$31:$G$400,"animaux"),SUMIFS('Étape 1 - à remplir'!$F$31:$F$400,'Étape 1 - à remplir'!$E$31:$E$400,MASQ2!O308,'Étape 1 - à remplir'!$P$31:$P$400,X$3)),IF(X$2="Atelier",IF(X$3="Tous",SUMIFS('Étape 1 - à remplir'!$F$31:$F$400,'Étape 1 - à remplir'!$E$31:$E$400,MASQ2!O308,'Étape 1 - à remplir'!$G$31:$G$400,"animaux"),SUMIFS('Étape 1 - à remplir'!$F$31:$F$400,'Étape 1 - à remplir'!$E$31:$E$400,MASQ2!O308,'Étape 1 - à remplir'!$O$31:$O$400,X$3)),IF(X$2="Espèce",IF(X$3="Toutes",SUMIFS('Étape 1 - à remplir'!$F$31:$F$400,'Étape 1 - à remplir'!$E$31:$E$400,MASQ2!O308,'Étape 1 - à remplir'!$G$31:$G$400,"animaux"),SUMIFS('Étape 1 - à remplir'!$F$31:$F$400,'Étape 1 - à remplir'!$E$31:$E$400,MASQ2!O308,'Étape 1 - à remplir'!$N$31:$N$400,X$3))))))=0,NA(),IF(X$2="Catégorie",IF(X$3="Toutes",SUMIFS('Étape 1 - à remplir'!$F$31:$F$400,'Étape 1 - à remplir'!$E$31:$E$400,MASQ2!O308,'Étape 1 - à remplir'!$G$31:$G$400,"animaux"),SUMIFS('Étape 1 - à remplir'!$F$31:$F$400,'Étape 1 - à remplir'!$E$31:$E$400,MASQ2!O308,'Étape 1 - à remplir'!$C$31:$C$400,X$3)),IF(X$2="Âge",IF(X$3="Tous",SUMIFS('Étape 1 - à remplir'!$F$31:$F$400,'Étape 1 - à remplir'!$E$31:$E$400,MASQ2!O308,'Étape 1 - à remplir'!$G$31:$G$400,"animaux"),SUMIFS('Étape 1 - à remplir'!$F$31:$F$400,'Étape 1 - à remplir'!$E$31:$E$400,MASQ2!O308,'Étape 1 - à remplir'!$P$31:$P$400,X$3)),IF(X$2="Atelier",IF(X$3="Tous",SUMIFS('Étape 1 - à remplir'!$F$31:$F$400,'Étape 1 - à remplir'!$E$31:$E$400,MASQ2!O308,'Étape 1 - à remplir'!$G$31:$G$400,"animaux"),SUMIFS('Étape 1 - à remplir'!$F$31:$F$400,'Étape 1 - à remplir'!$E$31:$E$400,MASQ2!O308,'Étape 1 - à remplir'!$O$31:$O$400,X$3)),IF(X$2="Espèce",IF(X$3="Toutes",SUMIFS('Étape 1 - à remplir'!$F$31:$F$400,'Étape 1 - à remplir'!$E$31:$E$400,MASQ2!O308,'Étape 1 - à remplir'!$G$31:$G$400,"animaux"),SUMIFS('Étape 1 - à remplir'!$F$31:$F$400,'Étape 1 - à remplir'!$E$31:$E$400,MASQ2!O308,'Étape 1 - à remplir'!$N$31:$N$400,X$3)))))))</f>
        <v>#N/A</v>
      </c>
      <c r="Q308" s="63">
        <f t="shared" si="235"/>
        <v>0</v>
      </c>
      <c r="R308" t="str">
        <f>Données_ATB!BM307</f>
        <v>Céfapirine</v>
      </c>
      <c r="S308" t="str">
        <f>Données_ATB!BN307</f>
        <v/>
      </c>
      <c r="T308" s="63" t="str">
        <f>Données_ATB!BO307</f>
        <v/>
      </c>
      <c r="U308" s="42" t="str">
        <f>Données_ATB!BQ307</f>
        <v>Cephalosporines 1&amp;2G</v>
      </c>
      <c r="V308" t="str">
        <f>Données_ATB!BR307</f>
        <v/>
      </c>
      <c r="W308" s="63" t="str">
        <f>Données_ATB!BS307</f>
        <v/>
      </c>
      <c r="Z308" s="42">
        <v>305</v>
      </c>
      <c r="AA308" t="e">
        <f t="shared" si="231"/>
        <v>#N/A</v>
      </c>
      <c r="AB308" s="63" t="e">
        <f t="shared" si="232"/>
        <v>#N/A</v>
      </c>
      <c r="BF308" s="63"/>
      <c r="BT308" s="194" t="str">
        <f t="shared" ca="1" si="215"/>
        <v/>
      </c>
      <c r="BU308" s="219" t="str">
        <f>IFERROR(IF(BX308=0,"",COUNTIF(BX$4:BX$600,"&gt;"&amp;BX308)+COUNTIF(BX$4:BX308,BX308)),"")</f>
        <v/>
      </c>
      <c r="BV308" s="42" t="str">
        <f t="shared" si="216"/>
        <v>METRICURE</v>
      </c>
      <c r="BW308" t="e">
        <f>IF(IF(CE$2="Catégorie",IF(CE$3="Toutes",SUMIFS('Étape 1 - à remplir'!$F$31:$F$400,'Étape 1 - à remplir'!$E$31:$E$400,MASQ2!BV308,'Étape 1 - à remplir'!$G$31:$G$400,"lots"),SUMIFS('Étape 1 - à remplir'!$F$31:$F$400,'Étape 1 - à remplir'!$E$31:$E$400,MASQ2!BV308,'Étape 1 - à remplir'!$C$31:$C$400,CE$3)),IF(CE$2="Âge",IF(CE$3="Tous",SUMIFS('Étape 1 - à remplir'!$F$31:$F$400,'Étape 1 - à remplir'!$E$31:$E$400,MASQ2!BV308,'Étape 1 - à remplir'!$G$31:$G$400,"lots"),SUMIFS('Étape 1 - à remplir'!$F$31:$F$400,'Étape 1 - à remplir'!$E$31:$E$400,MASQ2!BV308,'Étape 1 - à remplir'!$P$31:$P$400,CE$3,'Étape 1 - à remplir'!$G$31:$G$400,"lots")),IF(CE$2="Atelier",IF(CE$3="Tous",SUMIFS('Étape 1 - à remplir'!$F$31:$F$400,'Étape 1 - à remplir'!$E$31:$E$400,MASQ2!BV308,'Étape 1 - à remplir'!$G$31:$G$400,"lots"),SUMIFS('Étape 1 - à remplir'!$F$31:$F$400,'Étape 1 - à remplir'!$E$31:$E$400,MASQ2!BV308,'Étape 1 - à remplir'!$O$31:$O$400,CE$3,'Étape 1 - à remplir'!$G$31:$G$400,"lots")),IF(CE$2="Espèce",IF(CE$3="Toutes",SUMIFS('Étape 1 - à remplir'!$F$31:$F$400,'Étape 1 - à remplir'!$E$31:$E$400,MASQ2!BV308,'Étape 1 - à remplir'!$G$31:$G$400,"lots"),SUMIFS('Étape 1 - à remplir'!$F$31:$F$400,'Étape 1 - à remplir'!$E$31:$E$400,MASQ2!BV308,'Étape 1 - à remplir'!$N$31:$N$400,CE$3,'Étape 1 - à remplir'!$G$31:$G$400,"lots"))))))=0,NA(),IF(CE$2="Catégorie",IF(CE$3="Toutes",SUMIFS('Étape 1 - à remplir'!$F$31:$F$400,'Étape 1 - à remplir'!$E$31:$E$400,MASQ2!BV308,'Étape 1 - à remplir'!$G$31:$G$400,"lots"),SUMIFS('Étape 1 - à remplir'!$F$31:$F$400,'Étape 1 - à remplir'!$E$31:$E$400,MASQ2!BV308,'Étape 1 - à remplir'!$C$31:$C$400,CE$3)),IF(CE$2="Âge",IF(CE$3="Tous",SUMIFS('Étape 1 - à remplir'!$F$31:$F$400,'Étape 1 - à remplir'!$E$31:$E$400,MASQ2!BV308,'Étape 1 - à remplir'!$G$31:$G$400,"lots"),SUMIFS('Étape 1 - à remplir'!$F$31:$F$400,'Étape 1 - à remplir'!$E$31:$E$400,MASQ2!BV308,'Étape 1 - à remplir'!$P$31:$P$400,CE$3,'Étape 1 - à remplir'!$G$31:$G$400,"lots")),IF(CE$2="Atelier",IF(CE$3="Tous",SUMIFS('Étape 1 - à remplir'!$F$31:$F$400,'Étape 1 - à remplir'!$E$31:$E$400,MASQ2!BV308,'Étape 1 - à remplir'!$G$31:$G$400,"lots"),SUMIFS('Étape 1 - à remplir'!$F$31:$F$400,'Étape 1 - à remplir'!$E$31:$E$400,MASQ2!BV308,'Étape 1 - à remplir'!$O$31:$O$400,CE$3,'Étape 1 - à remplir'!$G$31:$G$400,"lots")),IF(CE$2="Espèce",IF(CE$3="Toutes",SUMIFS('Étape 1 - à remplir'!$F$31:$F$400,'Étape 1 - à remplir'!$E$31:$E$400,MASQ2!BV308,'Étape 1 - à remplir'!$G$31:$G$400,"lots"),SUMIFS('Étape 1 - à remplir'!$F$31:$F$400,'Étape 1 - à remplir'!$E$31:$E$400,MASQ2!BV308,'Étape 1 - à remplir'!$N$31:$N$400,CE$3,'Étape 1 - à remplir'!$G$31:$G$400,"lots")))))))</f>
        <v>#N/A</v>
      </c>
      <c r="BX308">
        <f t="shared" si="233"/>
        <v>0</v>
      </c>
      <c r="BY308" t="str">
        <f t="shared" si="217"/>
        <v>Céfapirine</v>
      </c>
      <c r="BZ308" t="str">
        <f t="shared" si="218"/>
        <v/>
      </c>
      <c r="CA308" t="str">
        <f t="shared" si="219"/>
        <v/>
      </c>
      <c r="CB308" t="str">
        <f t="shared" si="220"/>
        <v>Cephalosporines 1&amp;2G</v>
      </c>
      <c r="CC308" t="str">
        <f t="shared" si="221"/>
        <v/>
      </c>
      <c r="CD308" s="63" t="str">
        <f t="shared" si="222"/>
        <v/>
      </c>
      <c r="CG308" s="42">
        <v>305</v>
      </c>
      <c r="CH308" s="42" t="e">
        <f t="shared" si="238"/>
        <v>#N/A</v>
      </c>
      <c r="CI308" s="63" t="e">
        <f t="shared" si="239"/>
        <v>#N/A</v>
      </c>
      <c r="DM308" s="63"/>
      <c r="EA308" s="194" t="str">
        <f t="shared" ca="1" si="223"/>
        <v/>
      </c>
      <c r="EB308" s="226" t="str">
        <f>IFERROR(IF(ED308=0,"",COUNTIF(ED$4:ED$600,"&gt;"&amp;ED308)+COUNTIF(ED$4:ED308,ED308)),"")</f>
        <v/>
      </c>
      <c r="EC308" t="str">
        <f t="shared" si="224"/>
        <v>METRICURE</v>
      </c>
      <c r="ED308" t="e">
        <f>IF(IF(EL$2="Catégorie",IF(EL$3="Toutes",SUMIFS('Étape 1 - à remplir'!$F$31:$F$400,'Étape 1 - à remplir'!$E$31:$E$400,MASQ2!EC308,'Étape 1 - à remplir'!$G$31:$G$400,"kg"),SUMIFS('Étape 1 - à remplir'!$F$31:$F$400,'Étape 1 - à remplir'!$E$31:$E$400,MASQ2!EC308,'Étape 1 - à remplir'!$C$31:$C$400,EL$3)),IF(EL$2="Âge",IF(EL$3="Tous",SUMIFS('Étape 1 - à remplir'!$F$31:$F$400,'Étape 1 - à remplir'!$E$31:$E$400,MASQ2!EC308,'Étape 1 - à remplir'!$G$31:$G$400,"kg"),SUMIFS('Étape 1 - à remplir'!$F$31:$F$400,'Étape 1 - à remplir'!$E$31:$E$400,MASQ2!EC308,'Étape 1 - à remplir'!$P$31:$P$400,EL$3,'Étape 1 - à remplir'!$G$31:$G$400,"kg")),IF(EL$2="Atelier",IF(EL$3="Tous",SUMIFS('Étape 1 - à remplir'!$F$31:$F$400,'Étape 1 - à remplir'!$E$31:$E$400,MASQ2!EC308,'Étape 1 - à remplir'!$G$31:$G$400,"kg"),SUMIFS('Étape 1 - à remplir'!$F$31:$F$400,'Étape 1 - à remplir'!$E$31:$E$400,MASQ2!EC308,'Étape 1 - à remplir'!$O$31:$O$400,EL$3,'Étape 1 - à remplir'!$G$31:$G$400,"kg")),IF(EL$2="Espèce",IF(EL$3="Toutes",SUMIFS('Étape 1 - à remplir'!$F$31:$F$400,'Étape 1 - à remplir'!$E$31:$E$400,MASQ2!EC308,'Étape 1 - à remplir'!$G$31:$G$400,"kg"),SUMIFS('Étape 1 - à remplir'!$F$31:$F$400,'Étape 1 - à remplir'!$E$31:$E$400,MASQ2!EC308,'Étape 1 - à remplir'!$N$31:$N$400,EL$3,'Étape 1 - à remplir'!$G$31:$G$400,"kg"))))))=0,NA(),IF(EL$2="Catégorie",IF(EL$3="Toutes",SUMIFS('Étape 1 - à remplir'!$F$31:$F$400,'Étape 1 - à remplir'!$E$31:$E$400,MASQ2!EC308,'Étape 1 - à remplir'!$G$31:$G$400,"kg"),SUMIFS('Étape 1 - à remplir'!$F$31:$F$400,'Étape 1 - à remplir'!$E$31:$E$400,MASQ2!EC308,'Étape 1 - à remplir'!$C$31:$C$400,EL$3)),IF(EL$2="Âge",IF(EL$3="Tous",SUMIFS('Étape 1 - à remplir'!$F$31:$F$400,'Étape 1 - à remplir'!$E$31:$E$400,MASQ2!EC308,'Étape 1 - à remplir'!$G$31:$G$400,"kg"),SUMIFS('Étape 1 - à remplir'!$F$31:$F$400,'Étape 1 - à remplir'!$E$31:$E$400,MASQ2!EC308,'Étape 1 - à remplir'!$P$31:$P$400,EL$3,'Étape 1 - à remplir'!$G$31:$G$400,"kg")),IF(EL$2="Atelier",IF(EL$3="Tous",SUMIFS('Étape 1 - à remplir'!$F$31:$F$400,'Étape 1 - à remplir'!$E$31:$E$400,MASQ2!EC308,'Étape 1 - à remplir'!$G$31:$G$400,"kg"),SUMIFS('Étape 1 - à remplir'!$F$31:$F$400,'Étape 1 - à remplir'!$E$31:$E$400,MASQ2!EC308,'Étape 1 - à remplir'!$O$31:$O$400,EL$3,'Étape 1 - à remplir'!$G$31:$G$400,"kg")),IF(EL$2="Espèce",IF(EL$3="Toutes",SUMIFS('Étape 1 - à remplir'!$F$31:$F$400,'Étape 1 - à remplir'!$E$31:$E$400,MASQ2!EC308,'Étape 1 - à remplir'!$G$31:$G$400,"kg"),SUMIFS('Étape 1 - à remplir'!$F$31:$F$400,'Étape 1 - à remplir'!$E$31:$E$400,MASQ2!EC308,'Étape 1 - à remplir'!$N$31:$N$400,EL$3,'Étape 1 - à remplir'!$G$31:$G$400,"kg")))))))</f>
        <v>#N/A</v>
      </c>
      <c r="EE308" s="76">
        <f t="shared" si="234"/>
        <v>0</v>
      </c>
      <c r="EF308" t="str">
        <f t="shared" si="225"/>
        <v>Céfapirine</v>
      </c>
      <c r="EG308" t="str">
        <f t="shared" si="226"/>
        <v/>
      </c>
      <c r="EH308" t="str">
        <f t="shared" si="227"/>
        <v/>
      </c>
      <c r="EI308" t="str">
        <f t="shared" si="228"/>
        <v>Cephalosporines 1&amp;2G</v>
      </c>
      <c r="EJ308" t="str">
        <f t="shared" si="229"/>
        <v/>
      </c>
      <c r="EK308" s="63" t="str">
        <f t="shared" si="230"/>
        <v/>
      </c>
      <c r="EN308" s="42">
        <v>305</v>
      </c>
      <c r="EO308" t="e">
        <f t="shared" si="236"/>
        <v>#N/A</v>
      </c>
      <c r="EP308" s="63" t="e">
        <f t="shared" si="237"/>
        <v>#N/A</v>
      </c>
      <c r="FT308" s="63"/>
    </row>
    <row r="309" spans="2:176" x14ac:dyDescent="0.3">
      <c r="B309" s="42"/>
      <c r="M309" s="194" t="str">
        <f ca="1">INDEX(Données_ATB!BD:BU,MATCH(MASQ2!O309,Données_ATB!BD:BD,0),18)</f>
        <v>x</v>
      </c>
      <c r="N309" s="14" t="str">
        <f>IFERROR(IF(Q309=0,"",COUNTIF(Q$4:Q$600,"&gt;"&amp;Q309)+COUNTIF(Q$4:Q309,Q309)),"")</f>
        <v/>
      </c>
      <c r="O309" t="str">
        <f>Données_ATB!BD308</f>
        <v>METRIJECTYL</v>
      </c>
      <c r="P309" t="e">
        <f>IF(IF(X$2="Catégorie",IF(X$3="Toutes",SUMIFS('Étape 1 - à remplir'!$F$31:$F$400,'Étape 1 - à remplir'!$E$31:$E$400,MASQ2!O309,'Étape 1 - à remplir'!$G$31:$G$400,"animaux"),SUMIFS('Étape 1 - à remplir'!$F$31:$F$400,'Étape 1 - à remplir'!$E$31:$E$400,MASQ2!O309,'Étape 1 - à remplir'!$C$31:$C$400,X$3)),IF(X$2="Âge",IF(X$3="Tous",SUMIFS('Étape 1 - à remplir'!$F$31:$F$400,'Étape 1 - à remplir'!$E$31:$E$400,MASQ2!O309,'Étape 1 - à remplir'!$G$31:$G$400,"animaux"),SUMIFS('Étape 1 - à remplir'!$F$31:$F$400,'Étape 1 - à remplir'!$E$31:$E$400,MASQ2!O309,'Étape 1 - à remplir'!$P$31:$P$400,X$3)),IF(X$2="Atelier",IF(X$3="Tous",SUMIFS('Étape 1 - à remplir'!$F$31:$F$400,'Étape 1 - à remplir'!$E$31:$E$400,MASQ2!O309,'Étape 1 - à remplir'!$G$31:$G$400,"animaux"),SUMIFS('Étape 1 - à remplir'!$F$31:$F$400,'Étape 1 - à remplir'!$E$31:$E$400,MASQ2!O309,'Étape 1 - à remplir'!$O$31:$O$400,X$3)),IF(X$2="Espèce",IF(X$3="Toutes",SUMIFS('Étape 1 - à remplir'!$F$31:$F$400,'Étape 1 - à remplir'!$E$31:$E$400,MASQ2!O309,'Étape 1 - à remplir'!$G$31:$G$400,"animaux"),SUMIFS('Étape 1 - à remplir'!$F$31:$F$400,'Étape 1 - à remplir'!$E$31:$E$400,MASQ2!O309,'Étape 1 - à remplir'!$N$31:$N$400,X$3))))))=0,NA(),IF(X$2="Catégorie",IF(X$3="Toutes",SUMIFS('Étape 1 - à remplir'!$F$31:$F$400,'Étape 1 - à remplir'!$E$31:$E$400,MASQ2!O309,'Étape 1 - à remplir'!$G$31:$G$400,"animaux"),SUMIFS('Étape 1 - à remplir'!$F$31:$F$400,'Étape 1 - à remplir'!$E$31:$E$400,MASQ2!O309,'Étape 1 - à remplir'!$C$31:$C$400,X$3)),IF(X$2="Âge",IF(X$3="Tous",SUMIFS('Étape 1 - à remplir'!$F$31:$F$400,'Étape 1 - à remplir'!$E$31:$E$400,MASQ2!O309,'Étape 1 - à remplir'!$G$31:$G$400,"animaux"),SUMIFS('Étape 1 - à remplir'!$F$31:$F$400,'Étape 1 - à remplir'!$E$31:$E$400,MASQ2!O309,'Étape 1 - à remplir'!$P$31:$P$400,X$3)),IF(X$2="Atelier",IF(X$3="Tous",SUMIFS('Étape 1 - à remplir'!$F$31:$F$400,'Étape 1 - à remplir'!$E$31:$E$400,MASQ2!O309,'Étape 1 - à remplir'!$G$31:$G$400,"animaux"),SUMIFS('Étape 1 - à remplir'!$F$31:$F$400,'Étape 1 - à remplir'!$E$31:$E$400,MASQ2!O309,'Étape 1 - à remplir'!$O$31:$O$400,X$3)),IF(X$2="Espèce",IF(X$3="Toutes",SUMIFS('Étape 1 - à remplir'!$F$31:$F$400,'Étape 1 - à remplir'!$E$31:$E$400,MASQ2!O309,'Étape 1 - à remplir'!$G$31:$G$400,"animaux"),SUMIFS('Étape 1 - à remplir'!$F$31:$F$400,'Étape 1 - à remplir'!$E$31:$E$400,MASQ2!O309,'Étape 1 - à remplir'!$N$31:$N$400,X$3)))))))</f>
        <v>#N/A</v>
      </c>
      <c r="Q309" s="63">
        <f t="shared" si="235"/>
        <v>0</v>
      </c>
      <c r="R309" t="str">
        <f>Données_ATB!BM308</f>
        <v>Ampicilline</v>
      </c>
      <c r="S309" t="str">
        <f>Données_ATB!BN308</f>
        <v>Colistine</v>
      </c>
      <c r="T309" s="63" t="str">
        <f>Données_ATB!BO308</f>
        <v/>
      </c>
      <c r="U309" s="42" t="str">
        <f>Données_ATB!BQ308</f>
        <v>Penicillines</v>
      </c>
      <c r="V309" t="str">
        <f>Données_ATB!BR308</f>
        <v>Polypeptides</v>
      </c>
      <c r="W309" s="63" t="str">
        <f>Données_ATB!BS308</f>
        <v/>
      </c>
      <c r="Z309" s="42">
        <v>306</v>
      </c>
      <c r="AA309" t="e">
        <f t="shared" si="231"/>
        <v>#N/A</v>
      </c>
      <c r="AB309" s="63" t="e">
        <f t="shared" si="232"/>
        <v>#N/A</v>
      </c>
      <c r="BF309" s="63"/>
      <c r="BT309" s="194" t="str">
        <f t="shared" ca="1" si="215"/>
        <v>x</v>
      </c>
      <c r="BU309" s="219" t="str">
        <f>IFERROR(IF(BX309=0,"",COUNTIF(BX$4:BX$600,"&gt;"&amp;BX309)+COUNTIF(BX$4:BX309,BX309)),"")</f>
        <v/>
      </c>
      <c r="BV309" s="42" t="str">
        <f t="shared" si="216"/>
        <v>METRIJECTYL</v>
      </c>
      <c r="BW309" t="e">
        <f>IF(IF(CE$2="Catégorie",IF(CE$3="Toutes",SUMIFS('Étape 1 - à remplir'!$F$31:$F$400,'Étape 1 - à remplir'!$E$31:$E$400,MASQ2!BV309,'Étape 1 - à remplir'!$G$31:$G$400,"lots"),SUMIFS('Étape 1 - à remplir'!$F$31:$F$400,'Étape 1 - à remplir'!$E$31:$E$400,MASQ2!BV309,'Étape 1 - à remplir'!$C$31:$C$400,CE$3)),IF(CE$2="Âge",IF(CE$3="Tous",SUMIFS('Étape 1 - à remplir'!$F$31:$F$400,'Étape 1 - à remplir'!$E$31:$E$400,MASQ2!BV309,'Étape 1 - à remplir'!$G$31:$G$400,"lots"),SUMIFS('Étape 1 - à remplir'!$F$31:$F$400,'Étape 1 - à remplir'!$E$31:$E$400,MASQ2!BV309,'Étape 1 - à remplir'!$P$31:$P$400,CE$3,'Étape 1 - à remplir'!$G$31:$G$400,"lots")),IF(CE$2="Atelier",IF(CE$3="Tous",SUMIFS('Étape 1 - à remplir'!$F$31:$F$400,'Étape 1 - à remplir'!$E$31:$E$400,MASQ2!BV309,'Étape 1 - à remplir'!$G$31:$G$400,"lots"),SUMIFS('Étape 1 - à remplir'!$F$31:$F$400,'Étape 1 - à remplir'!$E$31:$E$400,MASQ2!BV309,'Étape 1 - à remplir'!$O$31:$O$400,CE$3,'Étape 1 - à remplir'!$G$31:$G$400,"lots")),IF(CE$2="Espèce",IF(CE$3="Toutes",SUMIFS('Étape 1 - à remplir'!$F$31:$F$400,'Étape 1 - à remplir'!$E$31:$E$400,MASQ2!BV309,'Étape 1 - à remplir'!$G$31:$G$400,"lots"),SUMIFS('Étape 1 - à remplir'!$F$31:$F$400,'Étape 1 - à remplir'!$E$31:$E$400,MASQ2!BV309,'Étape 1 - à remplir'!$N$31:$N$400,CE$3,'Étape 1 - à remplir'!$G$31:$G$400,"lots"))))))=0,NA(),IF(CE$2="Catégorie",IF(CE$3="Toutes",SUMIFS('Étape 1 - à remplir'!$F$31:$F$400,'Étape 1 - à remplir'!$E$31:$E$400,MASQ2!BV309,'Étape 1 - à remplir'!$G$31:$G$400,"lots"),SUMIFS('Étape 1 - à remplir'!$F$31:$F$400,'Étape 1 - à remplir'!$E$31:$E$400,MASQ2!BV309,'Étape 1 - à remplir'!$C$31:$C$400,CE$3)),IF(CE$2="Âge",IF(CE$3="Tous",SUMIFS('Étape 1 - à remplir'!$F$31:$F$400,'Étape 1 - à remplir'!$E$31:$E$400,MASQ2!BV309,'Étape 1 - à remplir'!$G$31:$G$400,"lots"),SUMIFS('Étape 1 - à remplir'!$F$31:$F$400,'Étape 1 - à remplir'!$E$31:$E$400,MASQ2!BV309,'Étape 1 - à remplir'!$P$31:$P$400,CE$3,'Étape 1 - à remplir'!$G$31:$G$400,"lots")),IF(CE$2="Atelier",IF(CE$3="Tous",SUMIFS('Étape 1 - à remplir'!$F$31:$F$400,'Étape 1 - à remplir'!$E$31:$E$400,MASQ2!BV309,'Étape 1 - à remplir'!$G$31:$G$400,"lots"),SUMIFS('Étape 1 - à remplir'!$F$31:$F$400,'Étape 1 - à remplir'!$E$31:$E$400,MASQ2!BV309,'Étape 1 - à remplir'!$O$31:$O$400,CE$3,'Étape 1 - à remplir'!$G$31:$G$400,"lots")),IF(CE$2="Espèce",IF(CE$3="Toutes",SUMIFS('Étape 1 - à remplir'!$F$31:$F$400,'Étape 1 - à remplir'!$E$31:$E$400,MASQ2!BV309,'Étape 1 - à remplir'!$G$31:$G$400,"lots"),SUMIFS('Étape 1 - à remplir'!$F$31:$F$400,'Étape 1 - à remplir'!$E$31:$E$400,MASQ2!BV309,'Étape 1 - à remplir'!$N$31:$N$400,CE$3,'Étape 1 - à remplir'!$G$31:$G$400,"lots")))))))</f>
        <v>#N/A</v>
      </c>
      <c r="BX309">
        <f t="shared" si="233"/>
        <v>0</v>
      </c>
      <c r="BY309" t="str">
        <f t="shared" si="217"/>
        <v>Ampicilline</v>
      </c>
      <c r="BZ309" t="str">
        <f t="shared" si="218"/>
        <v>Colistine</v>
      </c>
      <c r="CA309" t="str">
        <f t="shared" si="219"/>
        <v/>
      </c>
      <c r="CB309" t="str">
        <f t="shared" si="220"/>
        <v>Penicillines</v>
      </c>
      <c r="CC309" t="str">
        <f t="shared" si="221"/>
        <v>Polypeptides</v>
      </c>
      <c r="CD309" s="63" t="str">
        <f t="shared" si="222"/>
        <v/>
      </c>
      <c r="CG309" s="42">
        <v>306</v>
      </c>
      <c r="CH309" s="42" t="e">
        <f t="shared" si="238"/>
        <v>#N/A</v>
      </c>
      <c r="CI309" s="63" t="e">
        <f t="shared" si="239"/>
        <v>#N/A</v>
      </c>
      <c r="DM309" s="63"/>
      <c r="EA309" s="194" t="str">
        <f t="shared" ca="1" si="223"/>
        <v>x</v>
      </c>
      <c r="EB309" s="226" t="str">
        <f>IFERROR(IF(ED309=0,"",COUNTIF(ED$4:ED$600,"&gt;"&amp;ED309)+COUNTIF(ED$4:ED309,ED309)),"")</f>
        <v/>
      </c>
      <c r="EC309" t="str">
        <f t="shared" si="224"/>
        <v>METRIJECTYL</v>
      </c>
      <c r="ED309" t="e">
        <f>IF(IF(EL$2="Catégorie",IF(EL$3="Toutes",SUMIFS('Étape 1 - à remplir'!$F$31:$F$400,'Étape 1 - à remplir'!$E$31:$E$400,MASQ2!EC309,'Étape 1 - à remplir'!$G$31:$G$400,"kg"),SUMIFS('Étape 1 - à remplir'!$F$31:$F$400,'Étape 1 - à remplir'!$E$31:$E$400,MASQ2!EC309,'Étape 1 - à remplir'!$C$31:$C$400,EL$3)),IF(EL$2="Âge",IF(EL$3="Tous",SUMIFS('Étape 1 - à remplir'!$F$31:$F$400,'Étape 1 - à remplir'!$E$31:$E$400,MASQ2!EC309,'Étape 1 - à remplir'!$G$31:$G$400,"kg"),SUMIFS('Étape 1 - à remplir'!$F$31:$F$400,'Étape 1 - à remplir'!$E$31:$E$400,MASQ2!EC309,'Étape 1 - à remplir'!$P$31:$P$400,EL$3,'Étape 1 - à remplir'!$G$31:$G$400,"kg")),IF(EL$2="Atelier",IF(EL$3="Tous",SUMIFS('Étape 1 - à remplir'!$F$31:$F$400,'Étape 1 - à remplir'!$E$31:$E$400,MASQ2!EC309,'Étape 1 - à remplir'!$G$31:$G$400,"kg"),SUMIFS('Étape 1 - à remplir'!$F$31:$F$400,'Étape 1 - à remplir'!$E$31:$E$400,MASQ2!EC309,'Étape 1 - à remplir'!$O$31:$O$400,EL$3,'Étape 1 - à remplir'!$G$31:$G$400,"kg")),IF(EL$2="Espèce",IF(EL$3="Toutes",SUMIFS('Étape 1 - à remplir'!$F$31:$F$400,'Étape 1 - à remplir'!$E$31:$E$400,MASQ2!EC309,'Étape 1 - à remplir'!$G$31:$G$400,"kg"),SUMIFS('Étape 1 - à remplir'!$F$31:$F$400,'Étape 1 - à remplir'!$E$31:$E$400,MASQ2!EC309,'Étape 1 - à remplir'!$N$31:$N$400,EL$3,'Étape 1 - à remplir'!$G$31:$G$400,"kg"))))))=0,NA(),IF(EL$2="Catégorie",IF(EL$3="Toutes",SUMIFS('Étape 1 - à remplir'!$F$31:$F$400,'Étape 1 - à remplir'!$E$31:$E$400,MASQ2!EC309,'Étape 1 - à remplir'!$G$31:$G$400,"kg"),SUMIFS('Étape 1 - à remplir'!$F$31:$F$400,'Étape 1 - à remplir'!$E$31:$E$400,MASQ2!EC309,'Étape 1 - à remplir'!$C$31:$C$400,EL$3)),IF(EL$2="Âge",IF(EL$3="Tous",SUMIFS('Étape 1 - à remplir'!$F$31:$F$400,'Étape 1 - à remplir'!$E$31:$E$400,MASQ2!EC309,'Étape 1 - à remplir'!$G$31:$G$400,"kg"),SUMIFS('Étape 1 - à remplir'!$F$31:$F$400,'Étape 1 - à remplir'!$E$31:$E$400,MASQ2!EC309,'Étape 1 - à remplir'!$P$31:$P$400,EL$3,'Étape 1 - à remplir'!$G$31:$G$400,"kg")),IF(EL$2="Atelier",IF(EL$3="Tous",SUMIFS('Étape 1 - à remplir'!$F$31:$F$400,'Étape 1 - à remplir'!$E$31:$E$400,MASQ2!EC309,'Étape 1 - à remplir'!$G$31:$G$400,"kg"),SUMIFS('Étape 1 - à remplir'!$F$31:$F$400,'Étape 1 - à remplir'!$E$31:$E$400,MASQ2!EC309,'Étape 1 - à remplir'!$O$31:$O$400,EL$3,'Étape 1 - à remplir'!$G$31:$G$400,"kg")),IF(EL$2="Espèce",IF(EL$3="Toutes",SUMIFS('Étape 1 - à remplir'!$F$31:$F$400,'Étape 1 - à remplir'!$E$31:$E$400,MASQ2!EC309,'Étape 1 - à remplir'!$G$31:$G$400,"kg"),SUMIFS('Étape 1 - à remplir'!$F$31:$F$400,'Étape 1 - à remplir'!$E$31:$E$400,MASQ2!EC309,'Étape 1 - à remplir'!$N$31:$N$400,EL$3,'Étape 1 - à remplir'!$G$31:$G$400,"kg")))))))</f>
        <v>#N/A</v>
      </c>
      <c r="EE309" s="76">
        <f t="shared" si="234"/>
        <v>0</v>
      </c>
      <c r="EF309" t="str">
        <f t="shared" si="225"/>
        <v>Ampicilline</v>
      </c>
      <c r="EG309" t="str">
        <f t="shared" si="226"/>
        <v>Colistine</v>
      </c>
      <c r="EH309" t="str">
        <f t="shared" si="227"/>
        <v/>
      </c>
      <c r="EI309" t="str">
        <f t="shared" si="228"/>
        <v>Penicillines</v>
      </c>
      <c r="EJ309" t="str">
        <f t="shared" si="229"/>
        <v>Polypeptides</v>
      </c>
      <c r="EK309" s="63" t="str">
        <f t="shared" si="230"/>
        <v/>
      </c>
      <c r="EN309" s="42">
        <v>306</v>
      </c>
      <c r="EO309" t="e">
        <f t="shared" si="236"/>
        <v>#N/A</v>
      </c>
      <c r="EP309" s="63" t="e">
        <f t="shared" si="237"/>
        <v>#N/A</v>
      </c>
      <c r="FT309" s="63"/>
    </row>
    <row r="310" spans="2:176" x14ac:dyDescent="0.3">
      <c r="B310" s="42"/>
      <c r="M310" s="194" t="str">
        <f ca="1">INDEX(Données_ATB!BD:BU,MATCH(MASQ2!O310,Données_ATB!BD:BD,0),18)</f>
        <v/>
      </c>
      <c r="N310" s="14" t="str">
        <f>IFERROR(IF(Q310=0,"",COUNTIF(Q$4:Q$600,"&gt;"&amp;Q310)+COUNTIF(Q$4:Q310,Q310)),"")</f>
        <v/>
      </c>
      <c r="O310" t="str">
        <f>Données_ATB!BD309</f>
        <v>MICOTIL 300 MG/ML SOLUTION INJECTABLE</v>
      </c>
      <c r="P310" t="e">
        <f>IF(IF(X$2="Catégorie",IF(X$3="Toutes",SUMIFS('Étape 1 - à remplir'!$F$31:$F$400,'Étape 1 - à remplir'!$E$31:$E$400,MASQ2!O310,'Étape 1 - à remplir'!$G$31:$G$400,"animaux"),SUMIFS('Étape 1 - à remplir'!$F$31:$F$400,'Étape 1 - à remplir'!$E$31:$E$400,MASQ2!O310,'Étape 1 - à remplir'!$C$31:$C$400,X$3)),IF(X$2="Âge",IF(X$3="Tous",SUMIFS('Étape 1 - à remplir'!$F$31:$F$400,'Étape 1 - à remplir'!$E$31:$E$400,MASQ2!O310,'Étape 1 - à remplir'!$G$31:$G$400,"animaux"),SUMIFS('Étape 1 - à remplir'!$F$31:$F$400,'Étape 1 - à remplir'!$E$31:$E$400,MASQ2!O310,'Étape 1 - à remplir'!$P$31:$P$400,X$3)),IF(X$2="Atelier",IF(X$3="Tous",SUMIFS('Étape 1 - à remplir'!$F$31:$F$400,'Étape 1 - à remplir'!$E$31:$E$400,MASQ2!O310,'Étape 1 - à remplir'!$G$31:$G$400,"animaux"),SUMIFS('Étape 1 - à remplir'!$F$31:$F$400,'Étape 1 - à remplir'!$E$31:$E$400,MASQ2!O310,'Étape 1 - à remplir'!$O$31:$O$400,X$3)),IF(X$2="Espèce",IF(X$3="Toutes",SUMIFS('Étape 1 - à remplir'!$F$31:$F$400,'Étape 1 - à remplir'!$E$31:$E$400,MASQ2!O310,'Étape 1 - à remplir'!$G$31:$G$400,"animaux"),SUMIFS('Étape 1 - à remplir'!$F$31:$F$400,'Étape 1 - à remplir'!$E$31:$E$400,MASQ2!O310,'Étape 1 - à remplir'!$N$31:$N$400,X$3))))))=0,NA(),IF(X$2="Catégorie",IF(X$3="Toutes",SUMIFS('Étape 1 - à remplir'!$F$31:$F$400,'Étape 1 - à remplir'!$E$31:$E$400,MASQ2!O310,'Étape 1 - à remplir'!$G$31:$G$400,"animaux"),SUMIFS('Étape 1 - à remplir'!$F$31:$F$400,'Étape 1 - à remplir'!$E$31:$E$400,MASQ2!O310,'Étape 1 - à remplir'!$C$31:$C$400,X$3)),IF(X$2="Âge",IF(X$3="Tous",SUMIFS('Étape 1 - à remplir'!$F$31:$F$400,'Étape 1 - à remplir'!$E$31:$E$400,MASQ2!O310,'Étape 1 - à remplir'!$G$31:$G$400,"animaux"),SUMIFS('Étape 1 - à remplir'!$F$31:$F$400,'Étape 1 - à remplir'!$E$31:$E$400,MASQ2!O310,'Étape 1 - à remplir'!$P$31:$P$400,X$3)),IF(X$2="Atelier",IF(X$3="Tous",SUMIFS('Étape 1 - à remplir'!$F$31:$F$400,'Étape 1 - à remplir'!$E$31:$E$400,MASQ2!O310,'Étape 1 - à remplir'!$G$31:$G$400,"animaux"),SUMIFS('Étape 1 - à remplir'!$F$31:$F$400,'Étape 1 - à remplir'!$E$31:$E$400,MASQ2!O310,'Étape 1 - à remplir'!$O$31:$O$400,X$3)),IF(X$2="Espèce",IF(X$3="Toutes",SUMIFS('Étape 1 - à remplir'!$F$31:$F$400,'Étape 1 - à remplir'!$E$31:$E$400,MASQ2!O310,'Étape 1 - à remplir'!$G$31:$G$400,"animaux"),SUMIFS('Étape 1 - à remplir'!$F$31:$F$400,'Étape 1 - à remplir'!$E$31:$E$400,MASQ2!O310,'Étape 1 - à remplir'!$N$31:$N$400,X$3)))))))</f>
        <v>#N/A</v>
      </c>
      <c r="Q310" s="63">
        <f t="shared" si="235"/>
        <v>0</v>
      </c>
      <c r="R310" t="str">
        <f>Données_ATB!BM309</f>
        <v>Tilmicosine</v>
      </c>
      <c r="S310" t="str">
        <f>Données_ATB!BN309</f>
        <v/>
      </c>
      <c r="T310" s="63" t="str">
        <f>Données_ATB!BO309</f>
        <v/>
      </c>
      <c r="U310" s="42" t="str">
        <f>Données_ATB!BQ309</f>
        <v>Macrolides</v>
      </c>
      <c r="V310" t="str">
        <f>Données_ATB!BR309</f>
        <v/>
      </c>
      <c r="W310" s="63" t="str">
        <f>Données_ATB!BS309</f>
        <v/>
      </c>
      <c r="Z310" s="42">
        <v>307</v>
      </c>
      <c r="AA310" t="e">
        <f t="shared" si="231"/>
        <v>#N/A</v>
      </c>
      <c r="AB310" s="63" t="e">
        <f t="shared" si="232"/>
        <v>#N/A</v>
      </c>
      <c r="BF310" s="63"/>
      <c r="BT310" s="194" t="str">
        <f t="shared" ca="1" si="215"/>
        <v/>
      </c>
      <c r="BU310" s="219" t="str">
        <f>IFERROR(IF(BX310=0,"",COUNTIF(BX$4:BX$600,"&gt;"&amp;BX310)+COUNTIF(BX$4:BX310,BX310)),"")</f>
        <v/>
      </c>
      <c r="BV310" s="42" t="str">
        <f t="shared" si="216"/>
        <v>MICOTIL 300 MG/ML SOLUTION INJECTABLE</v>
      </c>
      <c r="BW310" t="e">
        <f>IF(IF(CE$2="Catégorie",IF(CE$3="Toutes",SUMIFS('Étape 1 - à remplir'!$F$31:$F$400,'Étape 1 - à remplir'!$E$31:$E$400,MASQ2!BV310,'Étape 1 - à remplir'!$G$31:$G$400,"lots"),SUMIFS('Étape 1 - à remplir'!$F$31:$F$400,'Étape 1 - à remplir'!$E$31:$E$400,MASQ2!BV310,'Étape 1 - à remplir'!$C$31:$C$400,CE$3)),IF(CE$2="Âge",IF(CE$3="Tous",SUMIFS('Étape 1 - à remplir'!$F$31:$F$400,'Étape 1 - à remplir'!$E$31:$E$400,MASQ2!BV310,'Étape 1 - à remplir'!$G$31:$G$400,"lots"),SUMIFS('Étape 1 - à remplir'!$F$31:$F$400,'Étape 1 - à remplir'!$E$31:$E$400,MASQ2!BV310,'Étape 1 - à remplir'!$P$31:$P$400,CE$3,'Étape 1 - à remplir'!$G$31:$G$400,"lots")),IF(CE$2="Atelier",IF(CE$3="Tous",SUMIFS('Étape 1 - à remplir'!$F$31:$F$400,'Étape 1 - à remplir'!$E$31:$E$400,MASQ2!BV310,'Étape 1 - à remplir'!$G$31:$G$400,"lots"),SUMIFS('Étape 1 - à remplir'!$F$31:$F$400,'Étape 1 - à remplir'!$E$31:$E$400,MASQ2!BV310,'Étape 1 - à remplir'!$O$31:$O$400,CE$3,'Étape 1 - à remplir'!$G$31:$G$400,"lots")),IF(CE$2="Espèce",IF(CE$3="Toutes",SUMIFS('Étape 1 - à remplir'!$F$31:$F$400,'Étape 1 - à remplir'!$E$31:$E$400,MASQ2!BV310,'Étape 1 - à remplir'!$G$31:$G$400,"lots"),SUMIFS('Étape 1 - à remplir'!$F$31:$F$400,'Étape 1 - à remplir'!$E$31:$E$400,MASQ2!BV310,'Étape 1 - à remplir'!$N$31:$N$400,CE$3,'Étape 1 - à remplir'!$G$31:$G$400,"lots"))))))=0,NA(),IF(CE$2="Catégorie",IF(CE$3="Toutes",SUMIFS('Étape 1 - à remplir'!$F$31:$F$400,'Étape 1 - à remplir'!$E$31:$E$400,MASQ2!BV310,'Étape 1 - à remplir'!$G$31:$G$400,"lots"),SUMIFS('Étape 1 - à remplir'!$F$31:$F$400,'Étape 1 - à remplir'!$E$31:$E$400,MASQ2!BV310,'Étape 1 - à remplir'!$C$31:$C$400,CE$3)),IF(CE$2="Âge",IF(CE$3="Tous",SUMIFS('Étape 1 - à remplir'!$F$31:$F$400,'Étape 1 - à remplir'!$E$31:$E$400,MASQ2!BV310,'Étape 1 - à remplir'!$G$31:$G$400,"lots"),SUMIFS('Étape 1 - à remplir'!$F$31:$F$400,'Étape 1 - à remplir'!$E$31:$E$400,MASQ2!BV310,'Étape 1 - à remplir'!$P$31:$P$400,CE$3,'Étape 1 - à remplir'!$G$31:$G$400,"lots")),IF(CE$2="Atelier",IF(CE$3="Tous",SUMIFS('Étape 1 - à remplir'!$F$31:$F$400,'Étape 1 - à remplir'!$E$31:$E$400,MASQ2!BV310,'Étape 1 - à remplir'!$G$31:$G$400,"lots"),SUMIFS('Étape 1 - à remplir'!$F$31:$F$400,'Étape 1 - à remplir'!$E$31:$E$400,MASQ2!BV310,'Étape 1 - à remplir'!$O$31:$O$400,CE$3,'Étape 1 - à remplir'!$G$31:$G$400,"lots")),IF(CE$2="Espèce",IF(CE$3="Toutes",SUMIFS('Étape 1 - à remplir'!$F$31:$F$400,'Étape 1 - à remplir'!$E$31:$E$400,MASQ2!BV310,'Étape 1 - à remplir'!$G$31:$G$400,"lots"),SUMIFS('Étape 1 - à remplir'!$F$31:$F$400,'Étape 1 - à remplir'!$E$31:$E$400,MASQ2!BV310,'Étape 1 - à remplir'!$N$31:$N$400,CE$3,'Étape 1 - à remplir'!$G$31:$G$400,"lots")))))))</f>
        <v>#N/A</v>
      </c>
      <c r="BX310">
        <f t="shared" si="233"/>
        <v>0</v>
      </c>
      <c r="BY310" t="str">
        <f t="shared" si="217"/>
        <v>Tilmicosine</v>
      </c>
      <c r="BZ310" t="str">
        <f t="shared" si="218"/>
        <v/>
      </c>
      <c r="CA310" t="str">
        <f t="shared" si="219"/>
        <v/>
      </c>
      <c r="CB310" t="str">
        <f t="shared" si="220"/>
        <v>Macrolides</v>
      </c>
      <c r="CC310" t="str">
        <f t="shared" si="221"/>
        <v/>
      </c>
      <c r="CD310" s="63" t="str">
        <f t="shared" si="222"/>
        <v/>
      </c>
      <c r="CG310" s="42">
        <v>307</v>
      </c>
      <c r="CH310" s="42" t="e">
        <f t="shared" si="238"/>
        <v>#N/A</v>
      </c>
      <c r="CI310" s="63" t="e">
        <f t="shared" si="239"/>
        <v>#N/A</v>
      </c>
      <c r="DM310" s="63"/>
      <c r="EA310" s="194" t="str">
        <f t="shared" ca="1" si="223"/>
        <v/>
      </c>
      <c r="EB310" s="226" t="str">
        <f>IFERROR(IF(ED310=0,"",COUNTIF(ED$4:ED$600,"&gt;"&amp;ED310)+COUNTIF(ED$4:ED310,ED310)),"")</f>
        <v/>
      </c>
      <c r="EC310" t="str">
        <f t="shared" si="224"/>
        <v>MICOTIL 300 MG/ML SOLUTION INJECTABLE</v>
      </c>
      <c r="ED310" t="e">
        <f>IF(IF(EL$2="Catégorie",IF(EL$3="Toutes",SUMIFS('Étape 1 - à remplir'!$F$31:$F$400,'Étape 1 - à remplir'!$E$31:$E$400,MASQ2!EC310,'Étape 1 - à remplir'!$G$31:$G$400,"kg"),SUMIFS('Étape 1 - à remplir'!$F$31:$F$400,'Étape 1 - à remplir'!$E$31:$E$400,MASQ2!EC310,'Étape 1 - à remplir'!$C$31:$C$400,EL$3)),IF(EL$2="Âge",IF(EL$3="Tous",SUMIFS('Étape 1 - à remplir'!$F$31:$F$400,'Étape 1 - à remplir'!$E$31:$E$400,MASQ2!EC310,'Étape 1 - à remplir'!$G$31:$G$400,"kg"),SUMIFS('Étape 1 - à remplir'!$F$31:$F$400,'Étape 1 - à remplir'!$E$31:$E$400,MASQ2!EC310,'Étape 1 - à remplir'!$P$31:$P$400,EL$3,'Étape 1 - à remplir'!$G$31:$G$400,"kg")),IF(EL$2="Atelier",IF(EL$3="Tous",SUMIFS('Étape 1 - à remplir'!$F$31:$F$400,'Étape 1 - à remplir'!$E$31:$E$400,MASQ2!EC310,'Étape 1 - à remplir'!$G$31:$G$400,"kg"),SUMIFS('Étape 1 - à remplir'!$F$31:$F$400,'Étape 1 - à remplir'!$E$31:$E$400,MASQ2!EC310,'Étape 1 - à remplir'!$O$31:$O$400,EL$3,'Étape 1 - à remplir'!$G$31:$G$400,"kg")),IF(EL$2="Espèce",IF(EL$3="Toutes",SUMIFS('Étape 1 - à remplir'!$F$31:$F$400,'Étape 1 - à remplir'!$E$31:$E$400,MASQ2!EC310,'Étape 1 - à remplir'!$G$31:$G$400,"kg"),SUMIFS('Étape 1 - à remplir'!$F$31:$F$400,'Étape 1 - à remplir'!$E$31:$E$400,MASQ2!EC310,'Étape 1 - à remplir'!$N$31:$N$400,EL$3,'Étape 1 - à remplir'!$G$31:$G$400,"kg"))))))=0,NA(),IF(EL$2="Catégorie",IF(EL$3="Toutes",SUMIFS('Étape 1 - à remplir'!$F$31:$F$400,'Étape 1 - à remplir'!$E$31:$E$400,MASQ2!EC310,'Étape 1 - à remplir'!$G$31:$G$400,"kg"),SUMIFS('Étape 1 - à remplir'!$F$31:$F$400,'Étape 1 - à remplir'!$E$31:$E$400,MASQ2!EC310,'Étape 1 - à remplir'!$C$31:$C$400,EL$3)),IF(EL$2="Âge",IF(EL$3="Tous",SUMIFS('Étape 1 - à remplir'!$F$31:$F$400,'Étape 1 - à remplir'!$E$31:$E$400,MASQ2!EC310,'Étape 1 - à remplir'!$G$31:$G$400,"kg"),SUMIFS('Étape 1 - à remplir'!$F$31:$F$400,'Étape 1 - à remplir'!$E$31:$E$400,MASQ2!EC310,'Étape 1 - à remplir'!$P$31:$P$400,EL$3,'Étape 1 - à remplir'!$G$31:$G$400,"kg")),IF(EL$2="Atelier",IF(EL$3="Tous",SUMIFS('Étape 1 - à remplir'!$F$31:$F$400,'Étape 1 - à remplir'!$E$31:$E$400,MASQ2!EC310,'Étape 1 - à remplir'!$G$31:$G$400,"kg"),SUMIFS('Étape 1 - à remplir'!$F$31:$F$400,'Étape 1 - à remplir'!$E$31:$E$400,MASQ2!EC310,'Étape 1 - à remplir'!$O$31:$O$400,EL$3,'Étape 1 - à remplir'!$G$31:$G$400,"kg")),IF(EL$2="Espèce",IF(EL$3="Toutes",SUMIFS('Étape 1 - à remplir'!$F$31:$F$400,'Étape 1 - à remplir'!$E$31:$E$400,MASQ2!EC310,'Étape 1 - à remplir'!$G$31:$G$400,"kg"),SUMIFS('Étape 1 - à remplir'!$F$31:$F$400,'Étape 1 - à remplir'!$E$31:$E$400,MASQ2!EC310,'Étape 1 - à remplir'!$N$31:$N$400,EL$3,'Étape 1 - à remplir'!$G$31:$G$400,"kg")))))))</f>
        <v>#N/A</v>
      </c>
      <c r="EE310" s="76">
        <f t="shared" si="234"/>
        <v>0</v>
      </c>
      <c r="EF310" t="str">
        <f t="shared" si="225"/>
        <v>Tilmicosine</v>
      </c>
      <c r="EG310" t="str">
        <f t="shared" si="226"/>
        <v/>
      </c>
      <c r="EH310" t="str">
        <f t="shared" si="227"/>
        <v/>
      </c>
      <c r="EI310" t="str">
        <f t="shared" si="228"/>
        <v>Macrolides</v>
      </c>
      <c r="EJ310" t="str">
        <f t="shared" si="229"/>
        <v/>
      </c>
      <c r="EK310" s="63" t="str">
        <f t="shared" si="230"/>
        <v/>
      </c>
      <c r="EN310" s="42">
        <v>307</v>
      </c>
      <c r="EO310" t="e">
        <f t="shared" si="236"/>
        <v>#N/A</v>
      </c>
      <c r="EP310" s="63" t="e">
        <f t="shared" si="237"/>
        <v>#N/A</v>
      </c>
      <c r="FT310" s="63"/>
    </row>
    <row r="311" spans="2:176" x14ac:dyDescent="0.3">
      <c r="B311" s="42"/>
      <c r="M311" s="194" t="str">
        <f ca="1">INDEX(Données_ATB!BD:BU,MATCH(MASQ2!O311,Données_ATB!BD:BD,0),18)</f>
        <v>x</v>
      </c>
      <c r="N311" s="14" t="str">
        <f>IFERROR(IF(Q311=0,"",COUNTIF(Q$4:Q$600,"&gt;"&amp;Q311)+COUNTIF(Q$4:Q311,Q311)),"")</f>
        <v/>
      </c>
      <c r="O311" t="str">
        <f>Données_ATB!BD310</f>
        <v>MILICOLI</v>
      </c>
      <c r="P311" t="e">
        <f>IF(IF(X$2="Catégorie",IF(X$3="Toutes",SUMIFS('Étape 1 - à remplir'!$F$31:$F$400,'Étape 1 - à remplir'!$E$31:$E$400,MASQ2!O311,'Étape 1 - à remplir'!$G$31:$G$400,"animaux"),SUMIFS('Étape 1 - à remplir'!$F$31:$F$400,'Étape 1 - à remplir'!$E$31:$E$400,MASQ2!O311,'Étape 1 - à remplir'!$C$31:$C$400,X$3)),IF(X$2="Âge",IF(X$3="Tous",SUMIFS('Étape 1 - à remplir'!$F$31:$F$400,'Étape 1 - à remplir'!$E$31:$E$400,MASQ2!O311,'Étape 1 - à remplir'!$G$31:$G$400,"animaux"),SUMIFS('Étape 1 - à remplir'!$F$31:$F$400,'Étape 1 - à remplir'!$E$31:$E$400,MASQ2!O311,'Étape 1 - à remplir'!$P$31:$P$400,X$3)),IF(X$2="Atelier",IF(X$3="Tous",SUMIFS('Étape 1 - à remplir'!$F$31:$F$400,'Étape 1 - à remplir'!$E$31:$E$400,MASQ2!O311,'Étape 1 - à remplir'!$G$31:$G$400,"animaux"),SUMIFS('Étape 1 - à remplir'!$F$31:$F$400,'Étape 1 - à remplir'!$E$31:$E$400,MASQ2!O311,'Étape 1 - à remplir'!$O$31:$O$400,X$3)),IF(X$2="Espèce",IF(X$3="Toutes",SUMIFS('Étape 1 - à remplir'!$F$31:$F$400,'Étape 1 - à remplir'!$E$31:$E$400,MASQ2!O311,'Étape 1 - à remplir'!$G$31:$G$400,"animaux"),SUMIFS('Étape 1 - à remplir'!$F$31:$F$400,'Étape 1 - à remplir'!$E$31:$E$400,MASQ2!O311,'Étape 1 - à remplir'!$N$31:$N$400,X$3))))))=0,NA(),IF(X$2="Catégorie",IF(X$3="Toutes",SUMIFS('Étape 1 - à remplir'!$F$31:$F$400,'Étape 1 - à remplir'!$E$31:$E$400,MASQ2!O311,'Étape 1 - à remplir'!$G$31:$G$400,"animaux"),SUMIFS('Étape 1 - à remplir'!$F$31:$F$400,'Étape 1 - à remplir'!$E$31:$E$400,MASQ2!O311,'Étape 1 - à remplir'!$C$31:$C$400,X$3)),IF(X$2="Âge",IF(X$3="Tous",SUMIFS('Étape 1 - à remplir'!$F$31:$F$400,'Étape 1 - à remplir'!$E$31:$E$400,MASQ2!O311,'Étape 1 - à remplir'!$G$31:$G$400,"animaux"),SUMIFS('Étape 1 - à remplir'!$F$31:$F$400,'Étape 1 - à remplir'!$E$31:$E$400,MASQ2!O311,'Étape 1 - à remplir'!$P$31:$P$400,X$3)),IF(X$2="Atelier",IF(X$3="Tous",SUMIFS('Étape 1 - à remplir'!$F$31:$F$400,'Étape 1 - à remplir'!$E$31:$E$400,MASQ2!O311,'Étape 1 - à remplir'!$G$31:$G$400,"animaux"),SUMIFS('Étape 1 - à remplir'!$F$31:$F$400,'Étape 1 - à remplir'!$E$31:$E$400,MASQ2!O311,'Étape 1 - à remplir'!$O$31:$O$400,X$3)),IF(X$2="Espèce",IF(X$3="Toutes",SUMIFS('Étape 1 - à remplir'!$F$31:$F$400,'Étape 1 - à remplir'!$E$31:$E$400,MASQ2!O311,'Étape 1 - à remplir'!$G$31:$G$400,"animaux"),SUMIFS('Étape 1 - à remplir'!$F$31:$F$400,'Étape 1 - à remplir'!$E$31:$E$400,MASQ2!O311,'Étape 1 - à remplir'!$N$31:$N$400,X$3)))))))</f>
        <v>#N/A</v>
      </c>
      <c r="Q311" s="63">
        <f t="shared" si="235"/>
        <v>0</v>
      </c>
      <c r="R311" t="str">
        <f>Données_ATB!BM310</f>
        <v>Colistine</v>
      </c>
      <c r="S311" t="str">
        <f>Données_ATB!BN310</f>
        <v/>
      </c>
      <c r="T311" s="63" t="str">
        <f>Données_ATB!BO310</f>
        <v/>
      </c>
      <c r="U311" s="42" t="str">
        <f>Données_ATB!BQ310</f>
        <v>Polypeptides</v>
      </c>
      <c r="V311" t="str">
        <f>Données_ATB!BR310</f>
        <v/>
      </c>
      <c r="W311" s="63" t="str">
        <f>Données_ATB!BS310</f>
        <v/>
      </c>
      <c r="Z311" s="42">
        <v>308</v>
      </c>
      <c r="AA311" t="e">
        <f t="shared" si="231"/>
        <v>#N/A</v>
      </c>
      <c r="AB311" s="63" t="e">
        <f t="shared" si="232"/>
        <v>#N/A</v>
      </c>
      <c r="BF311" s="63"/>
      <c r="BT311" s="194" t="str">
        <f t="shared" ca="1" si="215"/>
        <v>x</v>
      </c>
      <c r="BU311" s="219" t="str">
        <f>IFERROR(IF(BX311=0,"",COUNTIF(BX$4:BX$600,"&gt;"&amp;BX311)+COUNTIF(BX$4:BX311,BX311)),"")</f>
        <v/>
      </c>
      <c r="BV311" s="42" t="str">
        <f t="shared" si="216"/>
        <v>MILICOLI</v>
      </c>
      <c r="BW311" t="e">
        <f>IF(IF(CE$2="Catégorie",IF(CE$3="Toutes",SUMIFS('Étape 1 - à remplir'!$F$31:$F$400,'Étape 1 - à remplir'!$E$31:$E$400,MASQ2!BV311,'Étape 1 - à remplir'!$G$31:$G$400,"lots"),SUMIFS('Étape 1 - à remplir'!$F$31:$F$400,'Étape 1 - à remplir'!$E$31:$E$400,MASQ2!BV311,'Étape 1 - à remplir'!$C$31:$C$400,CE$3)),IF(CE$2="Âge",IF(CE$3="Tous",SUMIFS('Étape 1 - à remplir'!$F$31:$F$400,'Étape 1 - à remplir'!$E$31:$E$400,MASQ2!BV311,'Étape 1 - à remplir'!$G$31:$G$400,"lots"),SUMIFS('Étape 1 - à remplir'!$F$31:$F$400,'Étape 1 - à remplir'!$E$31:$E$400,MASQ2!BV311,'Étape 1 - à remplir'!$P$31:$P$400,CE$3,'Étape 1 - à remplir'!$G$31:$G$400,"lots")),IF(CE$2="Atelier",IF(CE$3="Tous",SUMIFS('Étape 1 - à remplir'!$F$31:$F$400,'Étape 1 - à remplir'!$E$31:$E$400,MASQ2!BV311,'Étape 1 - à remplir'!$G$31:$G$400,"lots"),SUMIFS('Étape 1 - à remplir'!$F$31:$F$400,'Étape 1 - à remplir'!$E$31:$E$400,MASQ2!BV311,'Étape 1 - à remplir'!$O$31:$O$400,CE$3,'Étape 1 - à remplir'!$G$31:$G$400,"lots")),IF(CE$2="Espèce",IF(CE$3="Toutes",SUMIFS('Étape 1 - à remplir'!$F$31:$F$400,'Étape 1 - à remplir'!$E$31:$E$400,MASQ2!BV311,'Étape 1 - à remplir'!$G$31:$G$400,"lots"),SUMIFS('Étape 1 - à remplir'!$F$31:$F$400,'Étape 1 - à remplir'!$E$31:$E$400,MASQ2!BV311,'Étape 1 - à remplir'!$N$31:$N$400,CE$3,'Étape 1 - à remplir'!$G$31:$G$400,"lots"))))))=0,NA(),IF(CE$2="Catégorie",IF(CE$3="Toutes",SUMIFS('Étape 1 - à remplir'!$F$31:$F$400,'Étape 1 - à remplir'!$E$31:$E$400,MASQ2!BV311,'Étape 1 - à remplir'!$G$31:$G$400,"lots"),SUMIFS('Étape 1 - à remplir'!$F$31:$F$400,'Étape 1 - à remplir'!$E$31:$E$400,MASQ2!BV311,'Étape 1 - à remplir'!$C$31:$C$400,CE$3)),IF(CE$2="Âge",IF(CE$3="Tous",SUMIFS('Étape 1 - à remplir'!$F$31:$F$400,'Étape 1 - à remplir'!$E$31:$E$400,MASQ2!BV311,'Étape 1 - à remplir'!$G$31:$G$400,"lots"),SUMIFS('Étape 1 - à remplir'!$F$31:$F$400,'Étape 1 - à remplir'!$E$31:$E$400,MASQ2!BV311,'Étape 1 - à remplir'!$P$31:$P$400,CE$3,'Étape 1 - à remplir'!$G$31:$G$400,"lots")),IF(CE$2="Atelier",IF(CE$3="Tous",SUMIFS('Étape 1 - à remplir'!$F$31:$F$400,'Étape 1 - à remplir'!$E$31:$E$400,MASQ2!BV311,'Étape 1 - à remplir'!$G$31:$G$400,"lots"),SUMIFS('Étape 1 - à remplir'!$F$31:$F$400,'Étape 1 - à remplir'!$E$31:$E$400,MASQ2!BV311,'Étape 1 - à remplir'!$O$31:$O$400,CE$3,'Étape 1 - à remplir'!$G$31:$G$400,"lots")),IF(CE$2="Espèce",IF(CE$3="Toutes",SUMIFS('Étape 1 - à remplir'!$F$31:$F$400,'Étape 1 - à remplir'!$E$31:$E$400,MASQ2!BV311,'Étape 1 - à remplir'!$G$31:$G$400,"lots"),SUMIFS('Étape 1 - à remplir'!$F$31:$F$400,'Étape 1 - à remplir'!$E$31:$E$400,MASQ2!BV311,'Étape 1 - à remplir'!$N$31:$N$400,CE$3,'Étape 1 - à remplir'!$G$31:$G$400,"lots")))))))</f>
        <v>#N/A</v>
      </c>
      <c r="BX311">
        <f t="shared" si="233"/>
        <v>0</v>
      </c>
      <c r="BY311" t="str">
        <f t="shared" si="217"/>
        <v>Colistine</v>
      </c>
      <c r="BZ311" t="str">
        <f t="shared" si="218"/>
        <v/>
      </c>
      <c r="CA311" t="str">
        <f t="shared" si="219"/>
        <v/>
      </c>
      <c r="CB311" t="str">
        <f t="shared" si="220"/>
        <v>Polypeptides</v>
      </c>
      <c r="CC311" t="str">
        <f t="shared" si="221"/>
        <v/>
      </c>
      <c r="CD311" s="63" t="str">
        <f t="shared" si="222"/>
        <v/>
      </c>
      <c r="CG311" s="42">
        <v>308</v>
      </c>
      <c r="CH311" s="42" t="e">
        <f t="shared" si="238"/>
        <v>#N/A</v>
      </c>
      <c r="CI311" s="63" t="e">
        <f t="shared" si="239"/>
        <v>#N/A</v>
      </c>
      <c r="DM311" s="63"/>
      <c r="EA311" s="194" t="str">
        <f t="shared" ca="1" si="223"/>
        <v>x</v>
      </c>
      <c r="EB311" s="226" t="str">
        <f>IFERROR(IF(ED311=0,"",COUNTIF(ED$4:ED$600,"&gt;"&amp;ED311)+COUNTIF(ED$4:ED311,ED311)),"")</f>
        <v/>
      </c>
      <c r="EC311" t="str">
        <f t="shared" si="224"/>
        <v>MILICOLI</v>
      </c>
      <c r="ED311" t="e">
        <f>IF(IF(EL$2="Catégorie",IF(EL$3="Toutes",SUMIFS('Étape 1 - à remplir'!$F$31:$F$400,'Étape 1 - à remplir'!$E$31:$E$400,MASQ2!EC311,'Étape 1 - à remplir'!$G$31:$G$400,"kg"),SUMIFS('Étape 1 - à remplir'!$F$31:$F$400,'Étape 1 - à remplir'!$E$31:$E$400,MASQ2!EC311,'Étape 1 - à remplir'!$C$31:$C$400,EL$3)),IF(EL$2="Âge",IF(EL$3="Tous",SUMIFS('Étape 1 - à remplir'!$F$31:$F$400,'Étape 1 - à remplir'!$E$31:$E$400,MASQ2!EC311,'Étape 1 - à remplir'!$G$31:$G$400,"kg"),SUMIFS('Étape 1 - à remplir'!$F$31:$F$400,'Étape 1 - à remplir'!$E$31:$E$400,MASQ2!EC311,'Étape 1 - à remplir'!$P$31:$P$400,EL$3,'Étape 1 - à remplir'!$G$31:$G$400,"kg")),IF(EL$2="Atelier",IF(EL$3="Tous",SUMIFS('Étape 1 - à remplir'!$F$31:$F$400,'Étape 1 - à remplir'!$E$31:$E$400,MASQ2!EC311,'Étape 1 - à remplir'!$G$31:$G$400,"kg"),SUMIFS('Étape 1 - à remplir'!$F$31:$F$400,'Étape 1 - à remplir'!$E$31:$E$400,MASQ2!EC311,'Étape 1 - à remplir'!$O$31:$O$400,EL$3,'Étape 1 - à remplir'!$G$31:$G$400,"kg")),IF(EL$2="Espèce",IF(EL$3="Toutes",SUMIFS('Étape 1 - à remplir'!$F$31:$F$400,'Étape 1 - à remplir'!$E$31:$E$400,MASQ2!EC311,'Étape 1 - à remplir'!$G$31:$G$400,"kg"),SUMIFS('Étape 1 - à remplir'!$F$31:$F$400,'Étape 1 - à remplir'!$E$31:$E$400,MASQ2!EC311,'Étape 1 - à remplir'!$N$31:$N$400,EL$3,'Étape 1 - à remplir'!$G$31:$G$400,"kg"))))))=0,NA(),IF(EL$2="Catégorie",IF(EL$3="Toutes",SUMIFS('Étape 1 - à remplir'!$F$31:$F$400,'Étape 1 - à remplir'!$E$31:$E$400,MASQ2!EC311,'Étape 1 - à remplir'!$G$31:$G$400,"kg"),SUMIFS('Étape 1 - à remplir'!$F$31:$F$400,'Étape 1 - à remplir'!$E$31:$E$400,MASQ2!EC311,'Étape 1 - à remplir'!$C$31:$C$400,EL$3)),IF(EL$2="Âge",IF(EL$3="Tous",SUMIFS('Étape 1 - à remplir'!$F$31:$F$400,'Étape 1 - à remplir'!$E$31:$E$400,MASQ2!EC311,'Étape 1 - à remplir'!$G$31:$G$400,"kg"),SUMIFS('Étape 1 - à remplir'!$F$31:$F$400,'Étape 1 - à remplir'!$E$31:$E$400,MASQ2!EC311,'Étape 1 - à remplir'!$P$31:$P$400,EL$3,'Étape 1 - à remplir'!$G$31:$G$400,"kg")),IF(EL$2="Atelier",IF(EL$3="Tous",SUMIFS('Étape 1 - à remplir'!$F$31:$F$400,'Étape 1 - à remplir'!$E$31:$E$400,MASQ2!EC311,'Étape 1 - à remplir'!$G$31:$G$400,"kg"),SUMIFS('Étape 1 - à remplir'!$F$31:$F$400,'Étape 1 - à remplir'!$E$31:$E$400,MASQ2!EC311,'Étape 1 - à remplir'!$O$31:$O$400,EL$3,'Étape 1 - à remplir'!$G$31:$G$400,"kg")),IF(EL$2="Espèce",IF(EL$3="Toutes",SUMIFS('Étape 1 - à remplir'!$F$31:$F$400,'Étape 1 - à remplir'!$E$31:$E$400,MASQ2!EC311,'Étape 1 - à remplir'!$G$31:$G$400,"kg"),SUMIFS('Étape 1 - à remplir'!$F$31:$F$400,'Étape 1 - à remplir'!$E$31:$E$400,MASQ2!EC311,'Étape 1 - à remplir'!$N$31:$N$400,EL$3,'Étape 1 - à remplir'!$G$31:$G$400,"kg")))))))</f>
        <v>#N/A</v>
      </c>
      <c r="EE311" s="76">
        <f t="shared" si="234"/>
        <v>0</v>
      </c>
      <c r="EF311" t="str">
        <f t="shared" si="225"/>
        <v>Colistine</v>
      </c>
      <c r="EG311" t="str">
        <f t="shared" si="226"/>
        <v/>
      </c>
      <c r="EH311" t="str">
        <f t="shared" si="227"/>
        <v/>
      </c>
      <c r="EI311" t="str">
        <f t="shared" si="228"/>
        <v>Polypeptides</v>
      </c>
      <c r="EJ311" t="str">
        <f t="shared" si="229"/>
        <v/>
      </c>
      <c r="EK311" s="63" t="str">
        <f t="shared" si="230"/>
        <v/>
      </c>
      <c r="EN311" s="42">
        <v>308</v>
      </c>
      <c r="EO311" t="e">
        <f t="shared" si="236"/>
        <v>#N/A</v>
      </c>
      <c r="EP311" s="63" t="e">
        <f t="shared" si="237"/>
        <v>#N/A</v>
      </c>
      <c r="FT311" s="63"/>
    </row>
    <row r="312" spans="2:176" x14ac:dyDescent="0.3">
      <c r="B312" s="42"/>
      <c r="M312" s="194" t="str">
        <f ca="1">INDEX(Données_ATB!BD:BU,MATCH(MASQ2!O312,Données_ATB!BD:BD,0),18)</f>
        <v/>
      </c>
      <c r="N312" s="14" t="str">
        <f>IFERROR(IF(Q312=0,"",COUNTIF(Q$4:Q$600,"&gt;"&amp;Q312)+COUNTIF(Q$4:Q312,Q312)),"")</f>
        <v/>
      </c>
      <c r="O312" t="str">
        <f>Données_ATB!BD311</f>
        <v>MOXAPULVIS 500 MG/G POUDRE POUR ADMINISTRATION DANS L'EAU DE BOISSON</v>
      </c>
      <c r="P312" t="e">
        <f>IF(IF(X$2="Catégorie",IF(X$3="Toutes",SUMIFS('Étape 1 - à remplir'!$F$31:$F$400,'Étape 1 - à remplir'!$E$31:$E$400,MASQ2!O312,'Étape 1 - à remplir'!$G$31:$G$400,"animaux"),SUMIFS('Étape 1 - à remplir'!$F$31:$F$400,'Étape 1 - à remplir'!$E$31:$E$400,MASQ2!O312,'Étape 1 - à remplir'!$C$31:$C$400,X$3)),IF(X$2="Âge",IF(X$3="Tous",SUMIFS('Étape 1 - à remplir'!$F$31:$F$400,'Étape 1 - à remplir'!$E$31:$E$400,MASQ2!O312,'Étape 1 - à remplir'!$G$31:$G$400,"animaux"),SUMIFS('Étape 1 - à remplir'!$F$31:$F$400,'Étape 1 - à remplir'!$E$31:$E$400,MASQ2!O312,'Étape 1 - à remplir'!$P$31:$P$400,X$3)),IF(X$2="Atelier",IF(X$3="Tous",SUMIFS('Étape 1 - à remplir'!$F$31:$F$400,'Étape 1 - à remplir'!$E$31:$E$400,MASQ2!O312,'Étape 1 - à remplir'!$G$31:$G$400,"animaux"),SUMIFS('Étape 1 - à remplir'!$F$31:$F$400,'Étape 1 - à remplir'!$E$31:$E$400,MASQ2!O312,'Étape 1 - à remplir'!$O$31:$O$400,X$3)),IF(X$2="Espèce",IF(X$3="Toutes",SUMIFS('Étape 1 - à remplir'!$F$31:$F$400,'Étape 1 - à remplir'!$E$31:$E$400,MASQ2!O312,'Étape 1 - à remplir'!$G$31:$G$400,"animaux"),SUMIFS('Étape 1 - à remplir'!$F$31:$F$400,'Étape 1 - à remplir'!$E$31:$E$400,MASQ2!O312,'Étape 1 - à remplir'!$N$31:$N$400,X$3))))))=0,NA(),IF(X$2="Catégorie",IF(X$3="Toutes",SUMIFS('Étape 1 - à remplir'!$F$31:$F$400,'Étape 1 - à remplir'!$E$31:$E$400,MASQ2!O312,'Étape 1 - à remplir'!$G$31:$G$400,"animaux"),SUMIFS('Étape 1 - à remplir'!$F$31:$F$400,'Étape 1 - à remplir'!$E$31:$E$400,MASQ2!O312,'Étape 1 - à remplir'!$C$31:$C$400,X$3)),IF(X$2="Âge",IF(X$3="Tous",SUMIFS('Étape 1 - à remplir'!$F$31:$F$400,'Étape 1 - à remplir'!$E$31:$E$400,MASQ2!O312,'Étape 1 - à remplir'!$G$31:$G$400,"animaux"),SUMIFS('Étape 1 - à remplir'!$F$31:$F$400,'Étape 1 - à remplir'!$E$31:$E$400,MASQ2!O312,'Étape 1 - à remplir'!$P$31:$P$400,X$3)),IF(X$2="Atelier",IF(X$3="Tous",SUMIFS('Étape 1 - à remplir'!$F$31:$F$400,'Étape 1 - à remplir'!$E$31:$E$400,MASQ2!O312,'Étape 1 - à remplir'!$G$31:$G$400,"animaux"),SUMIFS('Étape 1 - à remplir'!$F$31:$F$400,'Étape 1 - à remplir'!$E$31:$E$400,MASQ2!O312,'Étape 1 - à remplir'!$O$31:$O$400,X$3)),IF(X$2="Espèce",IF(X$3="Toutes",SUMIFS('Étape 1 - à remplir'!$F$31:$F$400,'Étape 1 - à remplir'!$E$31:$E$400,MASQ2!O312,'Étape 1 - à remplir'!$G$31:$G$400,"animaux"),SUMIFS('Étape 1 - à remplir'!$F$31:$F$400,'Étape 1 - à remplir'!$E$31:$E$400,MASQ2!O312,'Étape 1 - à remplir'!$N$31:$N$400,X$3)))))))</f>
        <v>#N/A</v>
      </c>
      <c r="Q312" s="63">
        <f t="shared" si="235"/>
        <v>0</v>
      </c>
      <c r="R312" t="str">
        <f>Données_ATB!BM311</f>
        <v>Amoxicilline</v>
      </c>
      <c r="S312" t="str">
        <f>Données_ATB!BN311</f>
        <v/>
      </c>
      <c r="T312" s="63" t="str">
        <f>Données_ATB!BO311</f>
        <v/>
      </c>
      <c r="U312" s="42" t="str">
        <f>Données_ATB!BQ311</f>
        <v>Penicillines</v>
      </c>
      <c r="V312" t="str">
        <f>Données_ATB!BR311</f>
        <v/>
      </c>
      <c r="W312" s="63" t="str">
        <f>Données_ATB!BS311</f>
        <v/>
      </c>
      <c r="Z312" s="42">
        <v>309</v>
      </c>
      <c r="AA312" t="e">
        <f t="shared" si="231"/>
        <v>#N/A</v>
      </c>
      <c r="AB312" s="63" t="e">
        <f t="shared" si="232"/>
        <v>#N/A</v>
      </c>
      <c r="BF312" s="63"/>
      <c r="BT312" s="194" t="str">
        <f t="shared" ca="1" si="215"/>
        <v/>
      </c>
      <c r="BU312" s="219" t="str">
        <f>IFERROR(IF(BX312=0,"",COUNTIF(BX$4:BX$600,"&gt;"&amp;BX312)+COUNTIF(BX$4:BX312,BX312)),"")</f>
        <v/>
      </c>
      <c r="BV312" s="42" t="str">
        <f t="shared" si="216"/>
        <v>MOXAPULVIS 500 MG/G POUDRE POUR ADMINISTRATION DANS L'EAU DE BOISSON</v>
      </c>
      <c r="BW312" t="e">
        <f>IF(IF(CE$2="Catégorie",IF(CE$3="Toutes",SUMIFS('Étape 1 - à remplir'!$F$31:$F$400,'Étape 1 - à remplir'!$E$31:$E$400,MASQ2!BV312,'Étape 1 - à remplir'!$G$31:$G$400,"lots"),SUMIFS('Étape 1 - à remplir'!$F$31:$F$400,'Étape 1 - à remplir'!$E$31:$E$400,MASQ2!BV312,'Étape 1 - à remplir'!$C$31:$C$400,CE$3)),IF(CE$2="Âge",IF(CE$3="Tous",SUMIFS('Étape 1 - à remplir'!$F$31:$F$400,'Étape 1 - à remplir'!$E$31:$E$400,MASQ2!BV312,'Étape 1 - à remplir'!$G$31:$G$400,"lots"),SUMIFS('Étape 1 - à remplir'!$F$31:$F$400,'Étape 1 - à remplir'!$E$31:$E$400,MASQ2!BV312,'Étape 1 - à remplir'!$P$31:$P$400,CE$3,'Étape 1 - à remplir'!$G$31:$G$400,"lots")),IF(CE$2="Atelier",IF(CE$3="Tous",SUMIFS('Étape 1 - à remplir'!$F$31:$F$400,'Étape 1 - à remplir'!$E$31:$E$400,MASQ2!BV312,'Étape 1 - à remplir'!$G$31:$G$400,"lots"),SUMIFS('Étape 1 - à remplir'!$F$31:$F$400,'Étape 1 - à remplir'!$E$31:$E$400,MASQ2!BV312,'Étape 1 - à remplir'!$O$31:$O$400,CE$3,'Étape 1 - à remplir'!$G$31:$G$400,"lots")),IF(CE$2="Espèce",IF(CE$3="Toutes",SUMIFS('Étape 1 - à remplir'!$F$31:$F$400,'Étape 1 - à remplir'!$E$31:$E$400,MASQ2!BV312,'Étape 1 - à remplir'!$G$31:$G$400,"lots"),SUMIFS('Étape 1 - à remplir'!$F$31:$F$400,'Étape 1 - à remplir'!$E$31:$E$400,MASQ2!BV312,'Étape 1 - à remplir'!$N$31:$N$400,CE$3,'Étape 1 - à remplir'!$G$31:$G$400,"lots"))))))=0,NA(),IF(CE$2="Catégorie",IF(CE$3="Toutes",SUMIFS('Étape 1 - à remplir'!$F$31:$F$400,'Étape 1 - à remplir'!$E$31:$E$400,MASQ2!BV312,'Étape 1 - à remplir'!$G$31:$G$400,"lots"),SUMIFS('Étape 1 - à remplir'!$F$31:$F$400,'Étape 1 - à remplir'!$E$31:$E$400,MASQ2!BV312,'Étape 1 - à remplir'!$C$31:$C$400,CE$3)),IF(CE$2="Âge",IF(CE$3="Tous",SUMIFS('Étape 1 - à remplir'!$F$31:$F$400,'Étape 1 - à remplir'!$E$31:$E$400,MASQ2!BV312,'Étape 1 - à remplir'!$G$31:$G$400,"lots"),SUMIFS('Étape 1 - à remplir'!$F$31:$F$400,'Étape 1 - à remplir'!$E$31:$E$400,MASQ2!BV312,'Étape 1 - à remplir'!$P$31:$P$400,CE$3,'Étape 1 - à remplir'!$G$31:$G$400,"lots")),IF(CE$2="Atelier",IF(CE$3="Tous",SUMIFS('Étape 1 - à remplir'!$F$31:$F$400,'Étape 1 - à remplir'!$E$31:$E$400,MASQ2!BV312,'Étape 1 - à remplir'!$G$31:$G$400,"lots"),SUMIFS('Étape 1 - à remplir'!$F$31:$F$400,'Étape 1 - à remplir'!$E$31:$E$400,MASQ2!BV312,'Étape 1 - à remplir'!$O$31:$O$400,CE$3,'Étape 1 - à remplir'!$G$31:$G$400,"lots")),IF(CE$2="Espèce",IF(CE$3="Toutes",SUMIFS('Étape 1 - à remplir'!$F$31:$F$400,'Étape 1 - à remplir'!$E$31:$E$400,MASQ2!BV312,'Étape 1 - à remplir'!$G$31:$G$400,"lots"),SUMIFS('Étape 1 - à remplir'!$F$31:$F$400,'Étape 1 - à remplir'!$E$31:$E$400,MASQ2!BV312,'Étape 1 - à remplir'!$N$31:$N$400,CE$3,'Étape 1 - à remplir'!$G$31:$G$400,"lots")))))))</f>
        <v>#N/A</v>
      </c>
      <c r="BX312">
        <f t="shared" si="233"/>
        <v>0</v>
      </c>
      <c r="BY312" t="str">
        <f t="shared" si="217"/>
        <v>Amoxicilline</v>
      </c>
      <c r="BZ312" t="str">
        <f t="shared" si="218"/>
        <v/>
      </c>
      <c r="CA312" t="str">
        <f t="shared" si="219"/>
        <v/>
      </c>
      <c r="CB312" t="str">
        <f t="shared" si="220"/>
        <v>Penicillines</v>
      </c>
      <c r="CC312" t="str">
        <f t="shared" si="221"/>
        <v/>
      </c>
      <c r="CD312" s="63" t="str">
        <f t="shared" si="222"/>
        <v/>
      </c>
      <c r="CG312" s="42">
        <v>309</v>
      </c>
      <c r="CH312" s="42" t="e">
        <f t="shared" si="238"/>
        <v>#N/A</v>
      </c>
      <c r="CI312" s="63" t="e">
        <f t="shared" si="239"/>
        <v>#N/A</v>
      </c>
      <c r="DM312" s="63"/>
      <c r="EA312" s="194" t="str">
        <f t="shared" ca="1" si="223"/>
        <v/>
      </c>
      <c r="EB312" s="226" t="str">
        <f>IFERROR(IF(ED312=0,"",COUNTIF(ED$4:ED$600,"&gt;"&amp;ED312)+COUNTIF(ED$4:ED312,ED312)),"")</f>
        <v/>
      </c>
      <c r="EC312" t="str">
        <f t="shared" si="224"/>
        <v>MOXAPULVIS 500 MG/G POUDRE POUR ADMINISTRATION DANS L'EAU DE BOISSON</v>
      </c>
      <c r="ED312" t="e">
        <f>IF(IF(EL$2="Catégorie",IF(EL$3="Toutes",SUMIFS('Étape 1 - à remplir'!$F$31:$F$400,'Étape 1 - à remplir'!$E$31:$E$400,MASQ2!EC312,'Étape 1 - à remplir'!$G$31:$G$400,"kg"),SUMIFS('Étape 1 - à remplir'!$F$31:$F$400,'Étape 1 - à remplir'!$E$31:$E$400,MASQ2!EC312,'Étape 1 - à remplir'!$C$31:$C$400,EL$3)),IF(EL$2="Âge",IF(EL$3="Tous",SUMIFS('Étape 1 - à remplir'!$F$31:$F$400,'Étape 1 - à remplir'!$E$31:$E$400,MASQ2!EC312,'Étape 1 - à remplir'!$G$31:$G$400,"kg"),SUMIFS('Étape 1 - à remplir'!$F$31:$F$400,'Étape 1 - à remplir'!$E$31:$E$400,MASQ2!EC312,'Étape 1 - à remplir'!$P$31:$P$400,EL$3,'Étape 1 - à remplir'!$G$31:$G$400,"kg")),IF(EL$2="Atelier",IF(EL$3="Tous",SUMIFS('Étape 1 - à remplir'!$F$31:$F$400,'Étape 1 - à remplir'!$E$31:$E$400,MASQ2!EC312,'Étape 1 - à remplir'!$G$31:$G$400,"kg"),SUMIFS('Étape 1 - à remplir'!$F$31:$F$400,'Étape 1 - à remplir'!$E$31:$E$400,MASQ2!EC312,'Étape 1 - à remplir'!$O$31:$O$400,EL$3,'Étape 1 - à remplir'!$G$31:$G$400,"kg")),IF(EL$2="Espèce",IF(EL$3="Toutes",SUMIFS('Étape 1 - à remplir'!$F$31:$F$400,'Étape 1 - à remplir'!$E$31:$E$400,MASQ2!EC312,'Étape 1 - à remplir'!$G$31:$G$400,"kg"),SUMIFS('Étape 1 - à remplir'!$F$31:$F$400,'Étape 1 - à remplir'!$E$31:$E$400,MASQ2!EC312,'Étape 1 - à remplir'!$N$31:$N$400,EL$3,'Étape 1 - à remplir'!$G$31:$G$400,"kg"))))))=0,NA(),IF(EL$2="Catégorie",IF(EL$3="Toutes",SUMIFS('Étape 1 - à remplir'!$F$31:$F$400,'Étape 1 - à remplir'!$E$31:$E$400,MASQ2!EC312,'Étape 1 - à remplir'!$G$31:$G$400,"kg"),SUMIFS('Étape 1 - à remplir'!$F$31:$F$400,'Étape 1 - à remplir'!$E$31:$E$400,MASQ2!EC312,'Étape 1 - à remplir'!$C$31:$C$400,EL$3)),IF(EL$2="Âge",IF(EL$3="Tous",SUMIFS('Étape 1 - à remplir'!$F$31:$F$400,'Étape 1 - à remplir'!$E$31:$E$400,MASQ2!EC312,'Étape 1 - à remplir'!$G$31:$G$400,"kg"),SUMIFS('Étape 1 - à remplir'!$F$31:$F$400,'Étape 1 - à remplir'!$E$31:$E$400,MASQ2!EC312,'Étape 1 - à remplir'!$P$31:$P$400,EL$3,'Étape 1 - à remplir'!$G$31:$G$400,"kg")),IF(EL$2="Atelier",IF(EL$3="Tous",SUMIFS('Étape 1 - à remplir'!$F$31:$F$400,'Étape 1 - à remplir'!$E$31:$E$400,MASQ2!EC312,'Étape 1 - à remplir'!$G$31:$G$400,"kg"),SUMIFS('Étape 1 - à remplir'!$F$31:$F$400,'Étape 1 - à remplir'!$E$31:$E$400,MASQ2!EC312,'Étape 1 - à remplir'!$O$31:$O$400,EL$3,'Étape 1 - à remplir'!$G$31:$G$400,"kg")),IF(EL$2="Espèce",IF(EL$3="Toutes",SUMIFS('Étape 1 - à remplir'!$F$31:$F$400,'Étape 1 - à remplir'!$E$31:$E$400,MASQ2!EC312,'Étape 1 - à remplir'!$G$31:$G$400,"kg"),SUMIFS('Étape 1 - à remplir'!$F$31:$F$400,'Étape 1 - à remplir'!$E$31:$E$400,MASQ2!EC312,'Étape 1 - à remplir'!$N$31:$N$400,EL$3,'Étape 1 - à remplir'!$G$31:$G$400,"kg")))))))</f>
        <v>#N/A</v>
      </c>
      <c r="EE312" s="76">
        <f t="shared" si="234"/>
        <v>0</v>
      </c>
      <c r="EF312" t="str">
        <f t="shared" si="225"/>
        <v>Amoxicilline</v>
      </c>
      <c r="EG312" t="str">
        <f t="shared" si="226"/>
        <v/>
      </c>
      <c r="EH312" t="str">
        <f t="shared" si="227"/>
        <v/>
      </c>
      <c r="EI312" t="str">
        <f t="shared" si="228"/>
        <v>Penicillines</v>
      </c>
      <c r="EJ312" t="str">
        <f t="shared" si="229"/>
        <v/>
      </c>
      <c r="EK312" s="63" t="str">
        <f t="shared" si="230"/>
        <v/>
      </c>
      <c r="EN312" s="42">
        <v>309</v>
      </c>
      <c r="EO312" t="e">
        <f t="shared" si="236"/>
        <v>#N/A</v>
      </c>
      <c r="EP312" s="63" t="e">
        <f t="shared" si="237"/>
        <v>#N/A</v>
      </c>
      <c r="FT312" s="63"/>
    </row>
    <row r="313" spans="2:176" x14ac:dyDescent="0.3">
      <c r="B313" s="42"/>
      <c r="M313" s="194" t="str">
        <f ca="1">INDEX(Données_ATB!BD:BU,MATCH(MASQ2!O313,Données_ATB!BD:BD,0),18)</f>
        <v>x</v>
      </c>
      <c r="N313" s="14" t="str">
        <f>IFERROR(IF(Q313=0,"",COUNTIF(Q$4:Q$600,"&gt;"&amp;Q313)+COUNTIF(Q$4:Q313,Q313)),"")</f>
        <v/>
      </c>
      <c r="O313" t="str">
        <f>Données_ATB!BD312</f>
        <v>MULTIBIO</v>
      </c>
      <c r="P313" t="e">
        <f>IF(IF(X$2="Catégorie",IF(X$3="Toutes",SUMIFS('Étape 1 - à remplir'!$F$31:$F$400,'Étape 1 - à remplir'!$E$31:$E$400,MASQ2!O313,'Étape 1 - à remplir'!$G$31:$G$400,"animaux"),SUMIFS('Étape 1 - à remplir'!$F$31:$F$400,'Étape 1 - à remplir'!$E$31:$E$400,MASQ2!O313,'Étape 1 - à remplir'!$C$31:$C$400,X$3)),IF(X$2="Âge",IF(X$3="Tous",SUMIFS('Étape 1 - à remplir'!$F$31:$F$400,'Étape 1 - à remplir'!$E$31:$E$400,MASQ2!O313,'Étape 1 - à remplir'!$G$31:$G$400,"animaux"),SUMIFS('Étape 1 - à remplir'!$F$31:$F$400,'Étape 1 - à remplir'!$E$31:$E$400,MASQ2!O313,'Étape 1 - à remplir'!$P$31:$P$400,X$3)),IF(X$2="Atelier",IF(X$3="Tous",SUMIFS('Étape 1 - à remplir'!$F$31:$F$400,'Étape 1 - à remplir'!$E$31:$E$400,MASQ2!O313,'Étape 1 - à remplir'!$G$31:$G$400,"animaux"),SUMIFS('Étape 1 - à remplir'!$F$31:$F$400,'Étape 1 - à remplir'!$E$31:$E$400,MASQ2!O313,'Étape 1 - à remplir'!$O$31:$O$400,X$3)),IF(X$2="Espèce",IF(X$3="Toutes",SUMIFS('Étape 1 - à remplir'!$F$31:$F$400,'Étape 1 - à remplir'!$E$31:$E$400,MASQ2!O313,'Étape 1 - à remplir'!$G$31:$G$400,"animaux"),SUMIFS('Étape 1 - à remplir'!$F$31:$F$400,'Étape 1 - à remplir'!$E$31:$E$400,MASQ2!O313,'Étape 1 - à remplir'!$N$31:$N$400,X$3))))))=0,NA(),IF(X$2="Catégorie",IF(X$3="Toutes",SUMIFS('Étape 1 - à remplir'!$F$31:$F$400,'Étape 1 - à remplir'!$E$31:$E$400,MASQ2!O313,'Étape 1 - à remplir'!$G$31:$G$400,"animaux"),SUMIFS('Étape 1 - à remplir'!$F$31:$F$400,'Étape 1 - à remplir'!$E$31:$E$400,MASQ2!O313,'Étape 1 - à remplir'!$C$31:$C$400,X$3)),IF(X$2="Âge",IF(X$3="Tous",SUMIFS('Étape 1 - à remplir'!$F$31:$F$400,'Étape 1 - à remplir'!$E$31:$E$400,MASQ2!O313,'Étape 1 - à remplir'!$G$31:$G$400,"animaux"),SUMIFS('Étape 1 - à remplir'!$F$31:$F$400,'Étape 1 - à remplir'!$E$31:$E$400,MASQ2!O313,'Étape 1 - à remplir'!$P$31:$P$400,X$3)),IF(X$2="Atelier",IF(X$3="Tous",SUMIFS('Étape 1 - à remplir'!$F$31:$F$400,'Étape 1 - à remplir'!$E$31:$E$400,MASQ2!O313,'Étape 1 - à remplir'!$G$31:$G$400,"animaux"),SUMIFS('Étape 1 - à remplir'!$F$31:$F$400,'Étape 1 - à remplir'!$E$31:$E$400,MASQ2!O313,'Étape 1 - à remplir'!$O$31:$O$400,X$3)),IF(X$2="Espèce",IF(X$3="Toutes",SUMIFS('Étape 1 - à remplir'!$F$31:$F$400,'Étape 1 - à remplir'!$E$31:$E$400,MASQ2!O313,'Étape 1 - à remplir'!$G$31:$G$400,"animaux"),SUMIFS('Étape 1 - à remplir'!$F$31:$F$400,'Étape 1 - à remplir'!$E$31:$E$400,MASQ2!O313,'Étape 1 - à remplir'!$N$31:$N$400,X$3)))))))</f>
        <v>#N/A</v>
      </c>
      <c r="Q313" s="63">
        <f t="shared" si="235"/>
        <v>0</v>
      </c>
      <c r="R313" t="str">
        <f>Données_ATB!BM312</f>
        <v>Ampicilline</v>
      </c>
      <c r="S313" t="str">
        <f>Données_ATB!BN312</f>
        <v>Colistine</v>
      </c>
      <c r="T313" s="63" t="str">
        <f>Données_ATB!BO312</f>
        <v/>
      </c>
      <c r="U313" s="42" t="str">
        <f>Données_ATB!BQ312</f>
        <v>Penicillines</v>
      </c>
      <c r="V313" t="str">
        <f>Données_ATB!BR312</f>
        <v>Polypeptides</v>
      </c>
      <c r="W313" s="63" t="str">
        <f>Données_ATB!BS312</f>
        <v/>
      </c>
      <c r="Z313" s="42">
        <v>310</v>
      </c>
      <c r="AA313" t="e">
        <f t="shared" si="231"/>
        <v>#N/A</v>
      </c>
      <c r="AB313" s="63" t="e">
        <f t="shared" si="232"/>
        <v>#N/A</v>
      </c>
      <c r="BF313" s="63"/>
      <c r="BT313" s="194" t="str">
        <f t="shared" ca="1" si="215"/>
        <v>x</v>
      </c>
      <c r="BU313" s="219" t="str">
        <f>IFERROR(IF(BX313=0,"",COUNTIF(BX$4:BX$600,"&gt;"&amp;BX313)+COUNTIF(BX$4:BX313,BX313)),"")</f>
        <v/>
      </c>
      <c r="BV313" s="42" t="str">
        <f t="shared" si="216"/>
        <v>MULTIBIO</v>
      </c>
      <c r="BW313" t="e">
        <f>IF(IF(CE$2="Catégorie",IF(CE$3="Toutes",SUMIFS('Étape 1 - à remplir'!$F$31:$F$400,'Étape 1 - à remplir'!$E$31:$E$400,MASQ2!BV313,'Étape 1 - à remplir'!$G$31:$G$400,"lots"),SUMIFS('Étape 1 - à remplir'!$F$31:$F$400,'Étape 1 - à remplir'!$E$31:$E$400,MASQ2!BV313,'Étape 1 - à remplir'!$C$31:$C$400,CE$3)),IF(CE$2="Âge",IF(CE$3="Tous",SUMIFS('Étape 1 - à remplir'!$F$31:$F$400,'Étape 1 - à remplir'!$E$31:$E$400,MASQ2!BV313,'Étape 1 - à remplir'!$G$31:$G$400,"lots"),SUMIFS('Étape 1 - à remplir'!$F$31:$F$400,'Étape 1 - à remplir'!$E$31:$E$400,MASQ2!BV313,'Étape 1 - à remplir'!$P$31:$P$400,CE$3,'Étape 1 - à remplir'!$G$31:$G$400,"lots")),IF(CE$2="Atelier",IF(CE$3="Tous",SUMIFS('Étape 1 - à remplir'!$F$31:$F$400,'Étape 1 - à remplir'!$E$31:$E$400,MASQ2!BV313,'Étape 1 - à remplir'!$G$31:$G$400,"lots"),SUMIFS('Étape 1 - à remplir'!$F$31:$F$400,'Étape 1 - à remplir'!$E$31:$E$400,MASQ2!BV313,'Étape 1 - à remplir'!$O$31:$O$400,CE$3,'Étape 1 - à remplir'!$G$31:$G$400,"lots")),IF(CE$2="Espèce",IF(CE$3="Toutes",SUMIFS('Étape 1 - à remplir'!$F$31:$F$400,'Étape 1 - à remplir'!$E$31:$E$400,MASQ2!BV313,'Étape 1 - à remplir'!$G$31:$G$400,"lots"),SUMIFS('Étape 1 - à remplir'!$F$31:$F$400,'Étape 1 - à remplir'!$E$31:$E$400,MASQ2!BV313,'Étape 1 - à remplir'!$N$31:$N$400,CE$3,'Étape 1 - à remplir'!$G$31:$G$400,"lots"))))))=0,NA(),IF(CE$2="Catégorie",IF(CE$3="Toutes",SUMIFS('Étape 1 - à remplir'!$F$31:$F$400,'Étape 1 - à remplir'!$E$31:$E$400,MASQ2!BV313,'Étape 1 - à remplir'!$G$31:$G$400,"lots"),SUMIFS('Étape 1 - à remplir'!$F$31:$F$400,'Étape 1 - à remplir'!$E$31:$E$400,MASQ2!BV313,'Étape 1 - à remplir'!$C$31:$C$400,CE$3)),IF(CE$2="Âge",IF(CE$3="Tous",SUMIFS('Étape 1 - à remplir'!$F$31:$F$400,'Étape 1 - à remplir'!$E$31:$E$400,MASQ2!BV313,'Étape 1 - à remplir'!$G$31:$G$400,"lots"),SUMIFS('Étape 1 - à remplir'!$F$31:$F$400,'Étape 1 - à remplir'!$E$31:$E$400,MASQ2!BV313,'Étape 1 - à remplir'!$P$31:$P$400,CE$3,'Étape 1 - à remplir'!$G$31:$G$400,"lots")),IF(CE$2="Atelier",IF(CE$3="Tous",SUMIFS('Étape 1 - à remplir'!$F$31:$F$400,'Étape 1 - à remplir'!$E$31:$E$400,MASQ2!BV313,'Étape 1 - à remplir'!$G$31:$G$400,"lots"),SUMIFS('Étape 1 - à remplir'!$F$31:$F$400,'Étape 1 - à remplir'!$E$31:$E$400,MASQ2!BV313,'Étape 1 - à remplir'!$O$31:$O$400,CE$3,'Étape 1 - à remplir'!$G$31:$G$400,"lots")),IF(CE$2="Espèce",IF(CE$3="Toutes",SUMIFS('Étape 1 - à remplir'!$F$31:$F$400,'Étape 1 - à remplir'!$E$31:$E$400,MASQ2!BV313,'Étape 1 - à remplir'!$G$31:$G$400,"lots"),SUMIFS('Étape 1 - à remplir'!$F$31:$F$400,'Étape 1 - à remplir'!$E$31:$E$400,MASQ2!BV313,'Étape 1 - à remplir'!$N$31:$N$400,CE$3,'Étape 1 - à remplir'!$G$31:$G$400,"lots")))))))</f>
        <v>#N/A</v>
      </c>
      <c r="BX313">
        <f t="shared" si="233"/>
        <v>0</v>
      </c>
      <c r="BY313" t="str">
        <f t="shared" si="217"/>
        <v>Ampicilline</v>
      </c>
      <c r="BZ313" t="str">
        <f t="shared" si="218"/>
        <v>Colistine</v>
      </c>
      <c r="CA313" t="str">
        <f t="shared" si="219"/>
        <v/>
      </c>
      <c r="CB313" t="str">
        <f t="shared" si="220"/>
        <v>Penicillines</v>
      </c>
      <c r="CC313" t="str">
        <f t="shared" si="221"/>
        <v>Polypeptides</v>
      </c>
      <c r="CD313" s="63" t="str">
        <f t="shared" si="222"/>
        <v/>
      </c>
      <c r="CG313" s="42">
        <v>310</v>
      </c>
      <c r="CH313" s="42" t="e">
        <f t="shared" si="238"/>
        <v>#N/A</v>
      </c>
      <c r="CI313" s="63" t="e">
        <f t="shared" si="239"/>
        <v>#N/A</v>
      </c>
      <c r="DM313" s="63"/>
      <c r="EA313" s="194" t="str">
        <f t="shared" ca="1" si="223"/>
        <v>x</v>
      </c>
      <c r="EB313" s="226" t="str">
        <f>IFERROR(IF(ED313=0,"",COUNTIF(ED$4:ED$600,"&gt;"&amp;ED313)+COUNTIF(ED$4:ED313,ED313)),"")</f>
        <v/>
      </c>
      <c r="EC313" t="str">
        <f t="shared" si="224"/>
        <v>MULTIBIO</v>
      </c>
      <c r="ED313" t="e">
        <f>IF(IF(EL$2="Catégorie",IF(EL$3="Toutes",SUMIFS('Étape 1 - à remplir'!$F$31:$F$400,'Étape 1 - à remplir'!$E$31:$E$400,MASQ2!EC313,'Étape 1 - à remplir'!$G$31:$G$400,"kg"),SUMIFS('Étape 1 - à remplir'!$F$31:$F$400,'Étape 1 - à remplir'!$E$31:$E$400,MASQ2!EC313,'Étape 1 - à remplir'!$C$31:$C$400,EL$3)),IF(EL$2="Âge",IF(EL$3="Tous",SUMIFS('Étape 1 - à remplir'!$F$31:$F$400,'Étape 1 - à remplir'!$E$31:$E$400,MASQ2!EC313,'Étape 1 - à remplir'!$G$31:$G$400,"kg"),SUMIFS('Étape 1 - à remplir'!$F$31:$F$400,'Étape 1 - à remplir'!$E$31:$E$400,MASQ2!EC313,'Étape 1 - à remplir'!$P$31:$P$400,EL$3,'Étape 1 - à remplir'!$G$31:$G$400,"kg")),IF(EL$2="Atelier",IF(EL$3="Tous",SUMIFS('Étape 1 - à remplir'!$F$31:$F$400,'Étape 1 - à remplir'!$E$31:$E$400,MASQ2!EC313,'Étape 1 - à remplir'!$G$31:$G$400,"kg"),SUMIFS('Étape 1 - à remplir'!$F$31:$F$400,'Étape 1 - à remplir'!$E$31:$E$400,MASQ2!EC313,'Étape 1 - à remplir'!$O$31:$O$400,EL$3,'Étape 1 - à remplir'!$G$31:$G$400,"kg")),IF(EL$2="Espèce",IF(EL$3="Toutes",SUMIFS('Étape 1 - à remplir'!$F$31:$F$400,'Étape 1 - à remplir'!$E$31:$E$400,MASQ2!EC313,'Étape 1 - à remplir'!$G$31:$G$400,"kg"),SUMIFS('Étape 1 - à remplir'!$F$31:$F$400,'Étape 1 - à remplir'!$E$31:$E$400,MASQ2!EC313,'Étape 1 - à remplir'!$N$31:$N$400,EL$3,'Étape 1 - à remplir'!$G$31:$G$400,"kg"))))))=0,NA(),IF(EL$2="Catégorie",IF(EL$3="Toutes",SUMIFS('Étape 1 - à remplir'!$F$31:$F$400,'Étape 1 - à remplir'!$E$31:$E$400,MASQ2!EC313,'Étape 1 - à remplir'!$G$31:$G$400,"kg"),SUMIFS('Étape 1 - à remplir'!$F$31:$F$400,'Étape 1 - à remplir'!$E$31:$E$400,MASQ2!EC313,'Étape 1 - à remplir'!$C$31:$C$400,EL$3)),IF(EL$2="Âge",IF(EL$3="Tous",SUMIFS('Étape 1 - à remplir'!$F$31:$F$400,'Étape 1 - à remplir'!$E$31:$E$400,MASQ2!EC313,'Étape 1 - à remplir'!$G$31:$G$400,"kg"),SUMIFS('Étape 1 - à remplir'!$F$31:$F$400,'Étape 1 - à remplir'!$E$31:$E$400,MASQ2!EC313,'Étape 1 - à remplir'!$P$31:$P$400,EL$3,'Étape 1 - à remplir'!$G$31:$G$400,"kg")),IF(EL$2="Atelier",IF(EL$3="Tous",SUMIFS('Étape 1 - à remplir'!$F$31:$F$400,'Étape 1 - à remplir'!$E$31:$E$400,MASQ2!EC313,'Étape 1 - à remplir'!$G$31:$G$400,"kg"),SUMIFS('Étape 1 - à remplir'!$F$31:$F$400,'Étape 1 - à remplir'!$E$31:$E$400,MASQ2!EC313,'Étape 1 - à remplir'!$O$31:$O$400,EL$3,'Étape 1 - à remplir'!$G$31:$G$400,"kg")),IF(EL$2="Espèce",IF(EL$3="Toutes",SUMIFS('Étape 1 - à remplir'!$F$31:$F$400,'Étape 1 - à remplir'!$E$31:$E$400,MASQ2!EC313,'Étape 1 - à remplir'!$G$31:$G$400,"kg"),SUMIFS('Étape 1 - à remplir'!$F$31:$F$400,'Étape 1 - à remplir'!$E$31:$E$400,MASQ2!EC313,'Étape 1 - à remplir'!$N$31:$N$400,EL$3,'Étape 1 - à remplir'!$G$31:$G$400,"kg")))))))</f>
        <v>#N/A</v>
      </c>
      <c r="EE313" s="76">
        <f t="shared" si="234"/>
        <v>0</v>
      </c>
      <c r="EF313" t="str">
        <f t="shared" si="225"/>
        <v>Ampicilline</v>
      </c>
      <c r="EG313" t="str">
        <f t="shared" si="226"/>
        <v>Colistine</v>
      </c>
      <c r="EH313" t="str">
        <f t="shared" si="227"/>
        <v/>
      </c>
      <c r="EI313" t="str">
        <f t="shared" si="228"/>
        <v>Penicillines</v>
      </c>
      <c r="EJ313" t="str">
        <f t="shared" si="229"/>
        <v>Polypeptides</v>
      </c>
      <c r="EK313" s="63" t="str">
        <f t="shared" si="230"/>
        <v/>
      </c>
      <c r="EN313" s="42">
        <v>310</v>
      </c>
      <c r="EO313" t="e">
        <f t="shared" si="236"/>
        <v>#N/A</v>
      </c>
      <c r="EP313" s="63" t="e">
        <f t="shared" si="237"/>
        <v>#N/A</v>
      </c>
      <c r="FT313" s="63"/>
    </row>
    <row r="314" spans="2:176" x14ac:dyDescent="0.3">
      <c r="B314" s="42"/>
      <c r="M314" s="194" t="str">
        <f ca="1">INDEX(Données_ATB!BD:BU,MATCH(MASQ2!O314,Données_ATB!BD:BD,0),18)</f>
        <v/>
      </c>
      <c r="N314" s="14" t="str">
        <f>IFERROR(IF(Q314=0,"",COUNTIF(Q$4:Q$600,"&gt;"&amp;Q314)+COUNTIF(Q$4:Q314,Q314)),"")</f>
        <v/>
      </c>
      <c r="O314" t="str">
        <f>Données_ATB!BD313</f>
        <v>MULTISHIELD DC SUSPENSION INTRAMAMMAIRE POUR VACHES</v>
      </c>
      <c r="P314" t="e">
        <f>IF(IF(X$2="Catégorie",IF(X$3="Toutes",SUMIFS('Étape 1 - à remplir'!$F$31:$F$400,'Étape 1 - à remplir'!$E$31:$E$400,MASQ2!O314,'Étape 1 - à remplir'!$G$31:$G$400,"animaux"),SUMIFS('Étape 1 - à remplir'!$F$31:$F$400,'Étape 1 - à remplir'!$E$31:$E$400,MASQ2!O314,'Étape 1 - à remplir'!$C$31:$C$400,X$3)),IF(X$2="Âge",IF(X$3="Tous",SUMIFS('Étape 1 - à remplir'!$F$31:$F$400,'Étape 1 - à remplir'!$E$31:$E$400,MASQ2!O314,'Étape 1 - à remplir'!$G$31:$G$400,"animaux"),SUMIFS('Étape 1 - à remplir'!$F$31:$F$400,'Étape 1 - à remplir'!$E$31:$E$400,MASQ2!O314,'Étape 1 - à remplir'!$P$31:$P$400,X$3)),IF(X$2="Atelier",IF(X$3="Tous",SUMIFS('Étape 1 - à remplir'!$F$31:$F$400,'Étape 1 - à remplir'!$E$31:$E$400,MASQ2!O314,'Étape 1 - à remplir'!$G$31:$G$400,"animaux"),SUMIFS('Étape 1 - à remplir'!$F$31:$F$400,'Étape 1 - à remplir'!$E$31:$E$400,MASQ2!O314,'Étape 1 - à remplir'!$O$31:$O$400,X$3)),IF(X$2="Espèce",IF(X$3="Toutes",SUMIFS('Étape 1 - à remplir'!$F$31:$F$400,'Étape 1 - à remplir'!$E$31:$E$400,MASQ2!O314,'Étape 1 - à remplir'!$G$31:$G$400,"animaux"),SUMIFS('Étape 1 - à remplir'!$F$31:$F$400,'Étape 1 - à remplir'!$E$31:$E$400,MASQ2!O314,'Étape 1 - à remplir'!$N$31:$N$400,X$3))))))=0,NA(),IF(X$2="Catégorie",IF(X$3="Toutes",SUMIFS('Étape 1 - à remplir'!$F$31:$F$400,'Étape 1 - à remplir'!$E$31:$E$400,MASQ2!O314,'Étape 1 - à remplir'!$G$31:$G$400,"animaux"),SUMIFS('Étape 1 - à remplir'!$F$31:$F$400,'Étape 1 - à remplir'!$E$31:$E$400,MASQ2!O314,'Étape 1 - à remplir'!$C$31:$C$400,X$3)),IF(X$2="Âge",IF(X$3="Tous",SUMIFS('Étape 1 - à remplir'!$F$31:$F$400,'Étape 1 - à remplir'!$E$31:$E$400,MASQ2!O314,'Étape 1 - à remplir'!$G$31:$G$400,"animaux"),SUMIFS('Étape 1 - à remplir'!$F$31:$F$400,'Étape 1 - à remplir'!$E$31:$E$400,MASQ2!O314,'Étape 1 - à remplir'!$P$31:$P$400,X$3)),IF(X$2="Atelier",IF(X$3="Tous",SUMIFS('Étape 1 - à remplir'!$F$31:$F$400,'Étape 1 - à remplir'!$E$31:$E$400,MASQ2!O314,'Étape 1 - à remplir'!$G$31:$G$400,"animaux"),SUMIFS('Étape 1 - à remplir'!$F$31:$F$400,'Étape 1 - à remplir'!$E$31:$E$400,MASQ2!O314,'Étape 1 - à remplir'!$O$31:$O$400,X$3)),IF(X$2="Espèce",IF(X$3="Toutes",SUMIFS('Étape 1 - à remplir'!$F$31:$F$400,'Étape 1 - à remplir'!$E$31:$E$400,MASQ2!O314,'Étape 1 - à remplir'!$G$31:$G$400,"animaux"),SUMIFS('Étape 1 - à remplir'!$F$31:$F$400,'Étape 1 - à remplir'!$E$31:$E$400,MASQ2!O314,'Étape 1 - à remplir'!$N$31:$N$400,X$3)))))))</f>
        <v>#N/A</v>
      </c>
      <c r="Q314" s="63">
        <f t="shared" si="235"/>
        <v>0</v>
      </c>
      <c r="R314" t="str">
        <f>Données_ATB!BM313</f>
        <v>Benzylpénicilline</v>
      </c>
      <c r="S314" t="str">
        <f>Données_ATB!BN313</f>
        <v>Néomycine</v>
      </c>
      <c r="T314" s="63" t="str">
        <f>Données_ATB!BO313</f>
        <v>Pénéthamate (ou pénéthacilline)</v>
      </c>
      <c r="U314" s="42" t="str">
        <f>Données_ATB!BQ313</f>
        <v>Penicillines</v>
      </c>
      <c r="V314" t="str">
        <f>Données_ATB!BR313</f>
        <v>Aminoglycosides</v>
      </c>
      <c r="W314" s="63" t="str">
        <f>Données_ATB!BS313</f>
        <v>Penicillines</v>
      </c>
      <c r="Z314" s="42">
        <v>311</v>
      </c>
      <c r="AA314" t="e">
        <f t="shared" si="231"/>
        <v>#N/A</v>
      </c>
      <c r="AB314" s="63" t="e">
        <f t="shared" si="232"/>
        <v>#N/A</v>
      </c>
      <c r="BF314" s="63"/>
      <c r="BT314" s="194" t="str">
        <f t="shared" ca="1" si="215"/>
        <v/>
      </c>
      <c r="BU314" s="219" t="str">
        <f>IFERROR(IF(BX314=0,"",COUNTIF(BX$4:BX$600,"&gt;"&amp;BX314)+COUNTIF(BX$4:BX314,BX314)),"")</f>
        <v/>
      </c>
      <c r="BV314" s="42" t="str">
        <f t="shared" si="216"/>
        <v>MULTISHIELD DC SUSPENSION INTRAMAMMAIRE POUR VACHES</v>
      </c>
      <c r="BW314" t="e">
        <f>IF(IF(CE$2="Catégorie",IF(CE$3="Toutes",SUMIFS('Étape 1 - à remplir'!$F$31:$F$400,'Étape 1 - à remplir'!$E$31:$E$400,MASQ2!BV314,'Étape 1 - à remplir'!$G$31:$G$400,"lots"),SUMIFS('Étape 1 - à remplir'!$F$31:$F$400,'Étape 1 - à remplir'!$E$31:$E$400,MASQ2!BV314,'Étape 1 - à remplir'!$C$31:$C$400,CE$3)),IF(CE$2="Âge",IF(CE$3="Tous",SUMIFS('Étape 1 - à remplir'!$F$31:$F$400,'Étape 1 - à remplir'!$E$31:$E$400,MASQ2!BV314,'Étape 1 - à remplir'!$G$31:$G$400,"lots"),SUMIFS('Étape 1 - à remplir'!$F$31:$F$400,'Étape 1 - à remplir'!$E$31:$E$400,MASQ2!BV314,'Étape 1 - à remplir'!$P$31:$P$400,CE$3,'Étape 1 - à remplir'!$G$31:$G$400,"lots")),IF(CE$2="Atelier",IF(CE$3="Tous",SUMIFS('Étape 1 - à remplir'!$F$31:$F$400,'Étape 1 - à remplir'!$E$31:$E$400,MASQ2!BV314,'Étape 1 - à remplir'!$G$31:$G$400,"lots"),SUMIFS('Étape 1 - à remplir'!$F$31:$F$400,'Étape 1 - à remplir'!$E$31:$E$400,MASQ2!BV314,'Étape 1 - à remplir'!$O$31:$O$400,CE$3,'Étape 1 - à remplir'!$G$31:$G$400,"lots")),IF(CE$2="Espèce",IF(CE$3="Toutes",SUMIFS('Étape 1 - à remplir'!$F$31:$F$400,'Étape 1 - à remplir'!$E$31:$E$400,MASQ2!BV314,'Étape 1 - à remplir'!$G$31:$G$400,"lots"),SUMIFS('Étape 1 - à remplir'!$F$31:$F$400,'Étape 1 - à remplir'!$E$31:$E$400,MASQ2!BV314,'Étape 1 - à remplir'!$N$31:$N$400,CE$3,'Étape 1 - à remplir'!$G$31:$G$400,"lots"))))))=0,NA(),IF(CE$2="Catégorie",IF(CE$3="Toutes",SUMIFS('Étape 1 - à remplir'!$F$31:$F$400,'Étape 1 - à remplir'!$E$31:$E$400,MASQ2!BV314,'Étape 1 - à remplir'!$G$31:$G$400,"lots"),SUMIFS('Étape 1 - à remplir'!$F$31:$F$400,'Étape 1 - à remplir'!$E$31:$E$400,MASQ2!BV314,'Étape 1 - à remplir'!$C$31:$C$400,CE$3)),IF(CE$2="Âge",IF(CE$3="Tous",SUMIFS('Étape 1 - à remplir'!$F$31:$F$400,'Étape 1 - à remplir'!$E$31:$E$400,MASQ2!BV314,'Étape 1 - à remplir'!$G$31:$G$400,"lots"),SUMIFS('Étape 1 - à remplir'!$F$31:$F$400,'Étape 1 - à remplir'!$E$31:$E$400,MASQ2!BV314,'Étape 1 - à remplir'!$P$31:$P$400,CE$3,'Étape 1 - à remplir'!$G$31:$G$400,"lots")),IF(CE$2="Atelier",IF(CE$3="Tous",SUMIFS('Étape 1 - à remplir'!$F$31:$F$400,'Étape 1 - à remplir'!$E$31:$E$400,MASQ2!BV314,'Étape 1 - à remplir'!$G$31:$G$400,"lots"),SUMIFS('Étape 1 - à remplir'!$F$31:$F$400,'Étape 1 - à remplir'!$E$31:$E$400,MASQ2!BV314,'Étape 1 - à remplir'!$O$31:$O$400,CE$3,'Étape 1 - à remplir'!$G$31:$G$400,"lots")),IF(CE$2="Espèce",IF(CE$3="Toutes",SUMIFS('Étape 1 - à remplir'!$F$31:$F$400,'Étape 1 - à remplir'!$E$31:$E$400,MASQ2!BV314,'Étape 1 - à remplir'!$G$31:$G$400,"lots"),SUMIFS('Étape 1 - à remplir'!$F$31:$F$400,'Étape 1 - à remplir'!$E$31:$E$400,MASQ2!BV314,'Étape 1 - à remplir'!$N$31:$N$400,CE$3,'Étape 1 - à remplir'!$G$31:$G$400,"lots")))))))</f>
        <v>#N/A</v>
      </c>
      <c r="BX314">
        <f t="shared" si="233"/>
        <v>0</v>
      </c>
      <c r="BY314" t="str">
        <f t="shared" si="217"/>
        <v>Benzylpénicilline</v>
      </c>
      <c r="BZ314" t="str">
        <f t="shared" si="218"/>
        <v>Néomycine</v>
      </c>
      <c r="CA314" t="str">
        <f t="shared" si="219"/>
        <v>Pénéthamate (ou pénéthacilline)</v>
      </c>
      <c r="CB314" t="str">
        <f t="shared" si="220"/>
        <v>Penicillines</v>
      </c>
      <c r="CC314" t="str">
        <f t="shared" si="221"/>
        <v>Aminoglycosides</v>
      </c>
      <c r="CD314" s="63" t="str">
        <f t="shared" si="222"/>
        <v>Penicillines</v>
      </c>
      <c r="CG314" s="42">
        <v>311</v>
      </c>
      <c r="CH314" s="42" t="e">
        <f t="shared" si="238"/>
        <v>#N/A</v>
      </c>
      <c r="CI314" s="63" t="e">
        <f t="shared" si="239"/>
        <v>#N/A</v>
      </c>
      <c r="DM314" s="63"/>
      <c r="EA314" s="194" t="str">
        <f t="shared" ca="1" si="223"/>
        <v/>
      </c>
      <c r="EB314" s="226" t="str">
        <f>IFERROR(IF(ED314=0,"",COUNTIF(ED$4:ED$600,"&gt;"&amp;ED314)+COUNTIF(ED$4:ED314,ED314)),"")</f>
        <v/>
      </c>
      <c r="EC314" t="str">
        <f t="shared" si="224"/>
        <v>MULTISHIELD DC SUSPENSION INTRAMAMMAIRE POUR VACHES</v>
      </c>
      <c r="ED314" t="e">
        <f>IF(IF(EL$2="Catégorie",IF(EL$3="Toutes",SUMIFS('Étape 1 - à remplir'!$F$31:$F$400,'Étape 1 - à remplir'!$E$31:$E$400,MASQ2!EC314,'Étape 1 - à remplir'!$G$31:$G$400,"kg"),SUMIFS('Étape 1 - à remplir'!$F$31:$F$400,'Étape 1 - à remplir'!$E$31:$E$400,MASQ2!EC314,'Étape 1 - à remplir'!$C$31:$C$400,EL$3)),IF(EL$2="Âge",IF(EL$3="Tous",SUMIFS('Étape 1 - à remplir'!$F$31:$F$400,'Étape 1 - à remplir'!$E$31:$E$400,MASQ2!EC314,'Étape 1 - à remplir'!$G$31:$G$400,"kg"),SUMIFS('Étape 1 - à remplir'!$F$31:$F$400,'Étape 1 - à remplir'!$E$31:$E$400,MASQ2!EC314,'Étape 1 - à remplir'!$P$31:$P$400,EL$3,'Étape 1 - à remplir'!$G$31:$G$400,"kg")),IF(EL$2="Atelier",IF(EL$3="Tous",SUMIFS('Étape 1 - à remplir'!$F$31:$F$400,'Étape 1 - à remplir'!$E$31:$E$400,MASQ2!EC314,'Étape 1 - à remplir'!$G$31:$G$400,"kg"),SUMIFS('Étape 1 - à remplir'!$F$31:$F$400,'Étape 1 - à remplir'!$E$31:$E$400,MASQ2!EC314,'Étape 1 - à remplir'!$O$31:$O$400,EL$3,'Étape 1 - à remplir'!$G$31:$G$400,"kg")),IF(EL$2="Espèce",IF(EL$3="Toutes",SUMIFS('Étape 1 - à remplir'!$F$31:$F$400,'Étape 1 - à remplir'!$E$31:$E$400,MASQ2!EC314,'Étape 1 - à remplir'!$G$31:$G$400,"kg"),SUMIFS('Étape 1 - à remplir'!$F$31:$F$400,'Étape 1 - à remplir'!$E$31:$E$400,MASQ2!EC314,'Étape 1 - à remplir'!$N$31:$N$400,EL$3,'Étape 1 - à remplir'!$G$31:$G$400,"kg"))))))=0,NA(),IF(EL$2="Catégorie",IF(EL$3="Toutes",SUMIFS('Étape 1 - à remplir'!$F$31:$F$400,'Étape 1 - à remplir'!$E$31:$E$400,MASQ2!EC314,'Étape 1 - à remplir'!$G$31:$G$400,"kg"),SUMIFS('Étape 1 - à remplir'!$F$31:$F$400,'Étape 1 - à remplir'!$E$31:$E$400,MASQ2!EC314,'Étape 1 - à remplir'!$C$31:$C$400,EL$3)),IF(EL$2="Âge",IF(EL$3="Tous",SUMIFS('Étape 1 - à remplir'!$F$31:$F$400,'Étape 1 - à remplir'!$E$31:$E$400,MASQ2!EC314,'Étape 1 - à remplir'!$G$31:$G$400,"kg"),SUMIFS('Étape 1 - à remplir'!$F$31:$F$400,'Étape 1 - à remplir'!$E$31:$E$400,MASQ2!EC314,'Étape 1 - à remplir'!$P$31:$P$400,EL$3,'Étape 1 - à remplir'!$G$31:$G$400,"kg")),IF(EL$2="Atelier",IF(EL$3="Tous",SUMIFS('Étape 1 - à remplir'!$F$31:$F$400,'Étape 1 - à remplir'!$E$31:$E$400,MASQ2!EC314,'Étape 1 - à remplir'!$G$31:$G$400,"kg"),SUMIFS('Étape 1 - à remplir'!$F$31:$F$400,'Étape 1 - à remplir'!$E$31:$E$400,MASQ2!EC314,'Étape 1 - à remplir'!$O$31:$O$400,EL$3,'Étape 1 - à remplir'!$G$31:$G$400,"kg")),IF(EL$2="Espèce",IF(EL$3="Toutes",SUMIFS('Étape 1 - à remplir'!$F$31:$F$400,'Étape 1 - à remplir'!$E$31:$E$400,MASQ2!EC314,'Étape 1 - à remplir'!$G$31:$G$400,"kg"),SUMIFS('Étape 1 - à remplir'!$F$31:$F$400,'Étape 1 - à remplir'!$E$31:$E$400,MASQ2!EC314,'Étape 1 - à remplir'!$N$31:$N$400,EL$3,'Étape 1 - à remplir'!$G$31:$G$400,"kg")))))))</f>
        <v>#N/A</v>
      </c>
      <c r="EE314" s="76">
        <f t="shared" si="234"/>
        <v>0</v>
      </c>
      <c r="EF314" t="str">
        <f t="shared" si="225"/>
        <v>Benzylpénicilline</v>
      </c>
      <c r="EG314" t="str">
        <f t="shared" si="226"/>
        <v>Néomycine</v>
      </c>
      <c r="EH314" t="str">
        <f t="shared" si="227"/>
        <v>Pénéthamate (ou pénéthacilline)</v>
      </c>
      <c r="EI314" t="str">
        <f t="shared" si="228"/>
        <v>Penicillines</v>
      </c>
      <c r="EJ314" t="str">
        <f t="shared" si="229"/>
        <v>Aminoglycosides</v>
      </c>
      <c r="EK314" s="63" t="str">
        <f t="shared" si="230"/>
        <v>Penicillines</v>
      </c>
      <c r="EN314" s="42">
        <v>311</v>
      </c>
      <c r="EO314" t="e">
        <f t="shared" si="236"/>
        <v>#N/A</v>
      </c>
      <c r="EP314" s="63" t="e">
        <f t="shared" si="237"/>
        <v>#N/A</v>
      </c>
      <c r="FT314" s="63"/>
    </row>
    <row r="315" spans="2:176" x14ac:dyDescent="0.3">
      <c r="B315" s="42"/>
      <c r="M315" s="194" t="str">
        <f ca="1">INDEX(Données_ATB!BD:BU,MATCH(MASQ2!O315,Données_ATB!BD:BD,0),18)</f>
        <v/>
      </c>
      <c r="N315" s="14" t="str">
        <f>IFERROR(IF(Q315=0,"",COUNTIF(Q$4:Q$600,"&gt;"&amp;Q315)+COUNTIF(Q$4:Q315,Q315)),"")</f>
        <v/>
      </c>
      <c r="O315" t="str">
        <f>Données_ATB!BD314</f>
        <v>MYCOFLOR 300 MG/ML SOLUTION INJECTABLE POUR BOVINS ET PORCINS</v>
      </c>
      <c r="P315" t="e">
        <f>IF(IF(X$2="Catégorie",IF(X$3="Toutes",SUMIFS('Étape 1 - à remplir'!$F$31:$F$400,'Étape 1 - à remplir'!$E$31:$E$400,MASQ2!O315,'Étape 1 - à remplir'!$G$31:$G$400,"animaux"),SUMIFS('Étape 1 - à remplir'!$F$31:$F$400,'Étape 1 - à remplir'!$E$31:$E$400,MASQ2!O315,'Étape 1 - à remplir'!$C$31:$C$400,X$3)),IF(X$2="Âge",IF(X$3="Tous",SUMIFS('Étape 1 - à remplir'!$F$31:$F$400,'Étape 1 - à remplir'!$E$31:$E$400,MASQ2!O315,'Étape 1 - à remplir'!$G$31:$G$400,"animaux"),SUMIFS('Étape 1 - à remplir'!$F$31:$F$400,'Étape 1 - à remplir'!$E$31:$E$400,MASQ2!O315,'Étape 1 - à remplir'!$P$31:$P$400,X$3)),IF(X$2="Atelier",IF(X$3="Tous",SUMIFS('Étape 1 - à remplir'!$F$31:$F$400,'Étape 1 - à remplir'!$E$31:$E$400,MASQ2!O315,'Étape 1 - à remplir'!$G$31:$G$400,"animaux"),SUMIFS('Étape 1 - à remplir'!$F$31:$F$400,'Étape 1 - à remplir'!$E$31:$E$400,MASQ2!O315,'Étape 1 - à remplir'!$O$31:$O$400,X$3)),IF(X$2="Espèce",IF(X$3="Toutes",SUMIFS('Étape 1 - à remplir'!$F$31:$F$400,'Étape 1 - à remplir'!$E$31:$E$400,MASQ2!O315,'Étape 1 - à remplir'!$G$31:$G$400,"animaux"),SUMIFS('Étape 1 - à remplir'!$F$31:$F$400,'Étape 1 - à remplir'!$E$31:$E$400,MASQ2!O315,'Étape 1 - à remplir'!$N$31:$N$400,X$3))))))=0,NA(),IF(X$2="Catégorie",IF(X$3="Toutes",SUMIFS('Étape 1 - à remplir'!$F$31:$F$400,'Étape 1 - à remplir'!$E$31:$E$400,MASQ2!O315,'Étape 1 - à remplir'!$G$31:$G$400,"animaux"),SUMIFS('Étape 1 - à remplir'!$F$31:$F$400,'Étape 1 - à remplir'!$E$31:$E$400,MASQ2!O315,'Étape 1 - à remplir'!$C$31:$C$400,X$3)),IF(X$2="Âge",IF(X$3="Tous",SUMIFS('Étape 1 - à remplir'!$F$31:$F$400,'Étape 1 - à remplir'!$E$31:$E$400,MASQ2!O315,'Étape 1 - à remplir'!$G$31:$G$400,"animaux"),SUMIFS('Étape 1 - à remplir'!$F$31:$F$400,'Étape 1 - à remplir'!$E$31:$E$400,MASQ2!O315,'Étape 1 - à remplir'!$P$31:$P$400,X$3)),IF(X$2="Atelier",IF(X$3="Tous",SUMIFS('Étape 1 - à remplir'!$F$31:$F$400,'Étape 1 - à remplir'!$E$31:$E$400,MASQ2!O315,'Étape 1 - à remplir'!$G$31:$G$400,"animaux"),SUMIFS('Étape 1 - à remplir'!$F$31:$F$400,'Étape 1 - à remplir'!$E$31:$E$400,MASQ2!O315,'Étape 1 - à remplir'!$O$31:$O$400,X$3)),IF(X$2="Espèce",IF(X$3="Toutes",SUMIFS('Étape 1 - à remplir'!$F$31:$F$400,'Étape 1 - à remplir'!$E$31:$E$400,MASQ2!O315,'Étape 1 - à remplir'!$G$31:$G$400,"animaux"),SUMIFS('Étape 1 - à remplir'!$F$31:$F$400,'Étape 1 - à remplir'!$E$31:$E$400,MASQ2!O315,'Étape 1 - à remplir'!$N$31:$N$400,X$3)))))))</f>
        <v>#N/A</v>
      </c>
      <c r="Q315" s="63">
        <f t="shared" si="235"/>
        <v>0</v>
      </c>
      <c r="R315" t="str">
        <f>Données_ATB!BM314</f>
        <v>Florfénicol</v>
      </c>
      <c r="S315" t="str">
        <f>Données_ATB!BN314</f>
        <v/>
      </c>
      <c r="T315" s="63" t="str">
        <f>Données_ATB!BO314</f>
        <v/>
      </c>
      <c r="U315" s="42" t="str">
        <f>Données_ATB!BQ314</f>
        <v>Phenicoles</v>
      </c>
      <c r="V315" t="str">
        <f>Données_ATB!BR314</f>
        <v/>
      </c>
      <c r="W315" s="63" t="str">
        <f>Données_ATB!BS314</f>
        <v/>
      </c>
      <c r="Z315" s="42">
        <v>312</v>
      </c>
      <c r="AA315" t="e">
        <f t="shared" si="231"/>
        <v>#N/A</v>
      </c>
      <c r="AB315" s="63" t="e">
        <f t="shared" si="232"/>
        <v>#N/A</v>
      </c>
      <c r="BF315" s="63"/>
      <c r="BT315" s="194" t="str">
        <f t="shared" ca="1" si="215"/>
        <v/>
      </c>
      <c r="BU315" s="219" t="str">
        <f>IFERROR(IF(BX315=0,"",COUNTIF(BX$4:BX$600,"&gt;"&amp;BX315)+COUNTIF(BX$4:BX315,BX315)),"")</f>
        <v/>
      </c>
      <c r="BV315" s="42" t="str">
        <f t="shared" si="216"/>
        <v>MYCOFLOR 300 MG/ML SOLUTION INJECTABLE POUR BOVINS ET PORCINS</v>
      </c>
      <c r="BW315" t="e">
        <f>IF(IF(CE$2="Catégorie",IF(CE$3="Toutes",SUMIFS('Étape 1 - à remplir'!$F$31:$F$400,'Étape 1 - à remplir'!$E$31:$E$400,MASQ2!BV315,'Étape 1 - à remplir'!$G$31:$G$400,"lots"),SUMIFS('Étape 1 - à remplir'!$F$31:$F$400,'Étape 1 - à remplir'!$E$31:$E$400,MASQ2!BV315,'Étape 1 - à remplir'!$C$31:$C$400,CE$3)),IF(CE$2="Âge",IF(CE$3="Tous",SUMIFS('Étape 1 - à remplir'!$F$31:$F$400,'Étape 1 - à remplir'!$E$31:$E$400,MASQ2!BV315,'Étape 1 - à remplir'!$G$31:$G$400,"lots"),SUMIFS('Étape 1 - à remplir'!$F$31:$F$400,'Étape 1 - à remplir'!$E$31:$E$400,MASQ2!BV315,'Étape 1 - à remplir'!$P$31:$P$400,CE$3,'Étape 1 - à remplir'!$G$31:$G$400,"lots")),IF(CE$2="Atelier",IF(CE$3="Tous",SUMIFS('Étape 1 - à remplir'!$F$31:$F$400,'Étape 1 - à remplir'!$E$31:$E$400,MASQ2!BV315,'Étape 1 - à remplir'!$G$31:$G$400,"lots"),SUMIFS('Étape 1 - à remplir'!$F$31:$F$400,'Étape 1 - à remplir'!$E$31:$E$400,MASQ2!BV315,'Étape 1 - à remplir'!$O$31:$O$400,CE$3,'Étape 1 - à remplir'!$G$31:$G$400,"lots")),IF(CE$2="Espèce",IF(CE$3="Toutes",SUMIFS('Étape 1 - à remplir'!$F$31:$F$400,'Étape 1 - à remplir'!$E$31:$E$400,MASQ2!BV315,'Étape 1 - à remplir'!$G$31:$G$400,"lots"),SUMIFS('Étape 1 - à remplir'!$F$31:$F$400,'Étape 1 - à remplir'!$E$31:$E$400,MASQ2!BV315,'Étape 1 - à remplir'!$N$31:$N$400,CE$3,'Étape 1 - à remplir'!$G$31:$G$400,"lots"))))))=0,NA(),IF(CE$2="Catégorie",IF(CE$3="Toutes",SUMIFS('Étape 1 - à remplir'!$F$31:$F$400,'Étape 1 - à remplir'!$E$31:$E$400,MASQ2!BV315,'Étape 1 - à remplir'!$G$31:$G$400,"lots"),SUMIFS('Étape 1 - à remplir'!$F$31:$F$400,'Étape 1 - à remplir'!$E$31:$E$400,MASQ2!BV315,'Étape 1 - à remplir'!$C$31:$C$400,CE$3)),IF(CE$2="Âge",IF(CE$3="Tous",SUMIFS('Étape 1 - à remplir'!$F$31:$F$400,'Étape 1 - à remplir'!$E$31:$E$400,MASQ2!BV315,'Étape 1 - à remplir'!$G$31:$G$400,"lots"),SUMIFS('Étape 1 - à remplir'!$F$31:$F$400,'Étape 1 - à remplir'!$E$31:$E$400,MASQ2!BV315,'Étape 1 - à remplir'!$P$31:$P$400,CE$3,'Étape 1 - à remplir'!$G$31:$G$400,"lots")),IF(CE$2="Atelier",IF(CE$3="Tous",SUMIFS('Étape 1 - à remplir'!$F$31:$F$400,'Étape 1 - à remplir'!$E$31:$E$400,MASQ2!BV315,'Étape 1 - à remplir'!$G$31:$G$400,"lots"),SUMIFS('Étape 1 - à remplir'!$F$31:$F$400,'Étape 1 - à remplir'!$E$31:$E$400,MASQ2!BV315,'Étape 1 - à remplir'!$O$31:$O$400,CE$3,'Étape 1 - à remplir'!$G$31:$G$400,"lots")),IF(CE$2="Espèce",IF(CE$3="Toutes",SUMIFS('Étape 1 - à remplir'!$F$31:$F$400,'Étape 1 - à remplir'!$E$31:$E$400,MASQ2!BV315,'Étape 1 - à remplir'!$G$31:$G$400,"lots"),SUMIFS('Étape 1 - à remplir'!$F$31:$F$400,'Étape 1 - à remplir'!$E$31:$E$400,MASQ2!BV315,'Étape 1 - à remplir'!$N$31:$N$400,CE$3,'Étape 1 - à remplir'!$G$31:$G$400,"lots")))))))</f>
        <v>#N/A</v>
      </c>
      <c r="BX315">
        <f t="shared" si="233"/>
        <v>0</v>
      </c>
      <c r="BY315" t="str">
        <f t="shared" si="217"/>
        <v>Florfénicol</v>
      </c>
      <c r="BZ315" t="str">
        <f t="shared" si="218"/>
        <v/>
      </c>
      <c r="CA315" t="str">
        <f t="shared" si="219"/>
        <v/>
      </c>
      <c r="CB315" t="str">
        <f t="shared" si="220"/>
        <v>Phenicoles</v>
      </c>
      <c r="CC315" t="str">
        <f t="shared" si="221"/>
        <v/>
      </c>
      <c r="CD315" s="63" t="str">
        <f t="shared" si="222"/>
        <v/>
      </c>
      <c r="CG315" s="42">
        <v>312</v>
      </c>
      <c r="CH315" s="42" t="e">
        <f t="shared" si="238"/>
        <v>#N/A</v>
      </c>
      <c r="CI315" s="63" t="e">
        <f t="shared" si="239"/>
        <v>#N/A</v>
      </c>
      <c r="DM315" s="63"/>
      <c r="EA315" s="194" t="str">
        <f t="shared" ca="1" si="223"/>
        <v/>
      </c>
      <c r="EB315" s="226" t="str">
        <f>IFERROR(IF(ED315=0,"",COUNTIF(ED$4:ED$600,"&gt;"&amp;ED315)+COUNTIF(ED$4:ED315,ED315)),"")</f>
        <v/>
      </c>
      <c r="EC315" t="str">
        <f t="shared" si="224"/>
        <v>MYCOFLOR 300 MG/ML SOLUTION INJECTABLE POUR BOVINS ET PORCINS</v>
      </c>
      <c r="ED315" t="e">
        <f>IF(IF(EL$2="Catégorie",IF(EL$3="Toutes",SUMIFS('Étape 1 - à remplir'!$F$31:$F$400,'Étape 1 - à remplir'!$E$31:$E$400,MASQ2!EC315,'Étape 1 - à remplir'!$G$31:$G$400,"kg"),SUMIFS('Étape 1 - à remplir'!$F$31:$F$400,'Étape 1 - à remplir'!$E$31:$E$400,MASQ2!EC315,'Étape 1 - à remplir'!$C$31:$C$400,EL$3)),IF(EL$2="Âge",IF(EL$3="Tous",SUMIFS('Étape 1 - à remplir'!$F$31:$F$400,'Étape 1 - à remplir'!$E$31:$E$400,MASQ2!EC315,'Étape 1 - à remplir'!$G$31:$G$400,"kg"),SUMIFS('Étape 1 - à remplir'!$F$31:$F$400,'Étape 1 - à remplir'!$E$31:$E$400,MASQ2!EC315,'Étape 1 - à remplir'!$P$31:$P$400,EL$3,'Étape 1 - à remplir'!$G$31:$G$400,"kg")),IF(EL$2="Atelier",IF(EL$3="Tous",SUMIFS('Étape 1 - à remplir'!$F$31:$F$400,'Étape 1 - à remplir'!$E$31:$E$400,MASQ2!EC315,'Étape 1 - à remplir'!$G$31:$G$400,"kg"),SUMIFS('Étape 1 - à remplir'!$F$31:$F$400,'Étape 1 - à remplir'!$E$31:$E$400,MASQ2!EC315,'Étape 1 - à remplir'!$O$31:$O$400,EL$3,'Étape 1 - à remplir'!$G$31:$G$400,"kg")),IF(EL$2="Espèce",IF(EL$3="Toutes",SUMIFS('Étape 1 - à remplir'!$F$31:$F$400,'Étape 1 - à remplir'!$E$31:$E$400,MASQ2!EC315,'Étape 1 - à remplir'!$G$31:$G$400,"kg"),SUMIFS('Étape 1 - à remplir'!$F$31:$F$400,'Étape 1 - à remplir'!$E$31:$E$400,MASQ2!EC315,'Étape 1 - à remplir'!$N$31:$N$400,EL$3,'Étape 1 - à remplir'!$G$31:$G$400,"kg"))))))=0,NA(),IF(EL$2="Catégorie",IF(EL$3="Toutes",SUMIFS('Étape 1 - à remplir'!$F$31:$F$400,'Étape 1 - à remplir'!$E$31:$E$400,MASQ2!EC315,'Étape 1 - à remplir'!$G$31:$G$400,"kg"),SUMIFS('Étape 1 - à remplir'!$F$31:$F$400,'Étape 1 - à remplir'!$E$31:$E$400,MASQ2!EC315,'Étape 1 - à remplir'!$C$31:$C$400,EL$3)),IF(EL$2="Âge",IF(EL$3="Tous",SUMIFS('Étape 1 - à remplir'!$F$31:$F$400,'Étape 1 - à remplir'!$E$31:$E$400,MASQ2!EC315,'Étape 1 - à remplir'!$G$31:$G$400,"kg"),SUMIFS('Étape 1 - à remplir'!$F$31:$F$400,'Étape 1 - à remplir'!$E$31:$E$400,MASQ2!EC315,'Étape 1 - à remplir'!$P$31:$P$400,EL$3,'Étape 1 - à remplir'!$G$31:$G$400,"kg")),IF(EL$2="Atelier",IF(EL$3="Tous",SUMIFS('Étape 1 - à remplir'!$F$31:$F$400,'Étape 1 - à remplir'!$E$31:$E$400,MASQ2!EC315,'Étape 1 - à remplir'!$G$31:$G$400,"kg"),SUMIFS('Étape 1 - à remplir'!$F$31:$F$400,'Étape 1 - à remplir'!$E$31:$E$400,MASQ2!EC315,'Étape 1 - à remplir'!$O$31:$O$400,EL$3,'Étape 1 - à remplir'!$G$31:$G$400,"kg")),IF(EL$2="Espèce",IF(EL$3="Toutes",SUMIFS('Étape 1 - à remplir'!$F$31:$F$400,'Étape 1 - à remplir'!$E$31:$E$400,MASQ2!EC315,'Étape 1 - à remplir'!$G$31:$G$400,"kg"),SUMIFS('Étape 1 - à remplir'!$F$31:$F$400,'Étape 1 - à remplir'!$E$31:$E$400,MASQ2!EC315,'Étape 1 - à remplir'!$N$31:$N$400,EL$3,'Étape 1 - à remplir'!$G$31:$G$400,"kg")))))))</f>
        <v>#N/A</v>
      </c>
      <c r="EE315" s="76">
        <f t="shared" si="234"/>
        <v>0</v>
      </c>
      <c r="EF315" t="str">
        <f t="shared" si="225"/>
        <v>Florfénicol</v>
      </c>
      <c r="EG315" t="str">
        <f t="shared" si="226"/>
        <v/>
      </c>
      <c r="EH315" t="str">
        <f t="shared" si="227"/>
        <v/>
      </c>
      <c r="EI315" t="str">
        <f t="shared" si="228"/>
        <v>Phenicoles</v>
      </c>
      <c r="EJ315" t="str">
        <f t="shared" si="229"/>
        <v/>
      </c>
      <c r="EK315" s="63" t="str">
        <f t="shared" si="230"/>
        <v/>
      </c>
      <c r="EN315" s="42">
        <v>312</v>
      </c>
      <c r="EO315" t="e">
        <f t="shared" si="236"/>
        <v>#N/A</v>
      </c>
      <c r="EP315" s="63" t="e">
        <f t="shared" si="237"/>
        <v>#N/A</v>
      </c>
      <c r="FT315" s="63"/>
    </row>
    <row r="316" spans="2:176" x14ac:dyDescent="0.3">
      <c r="B316" s="42"/>
      <c r="M316" s="194" t="str">
        <f ca="1">INDEX(Données_ATB!BD:BU,MATCH(MASQ2!O316,Données_ATB!BD:BD,0),18)</f>
        <v>x</v>
      </c>
      <c r="N316" s="14" t="str">
        <f>IFERROR(IF(Q316=0,"",COUNTIF(Q$4:Q$600,"&gt;"&amp;Q316)+COUNTIF(Q$4:Q316,Q316)),"")</f>
        <v/>
      </c>
      <c r="O316" t="str">
        <f>Données_ATB!BD315</f>
        <v>N.P. 8</v>
      </c>
      <c r="P316" t="e">
        <f>IF(IF(X$2="Catégorie",IF(X$3="Toutes",SUMIFS('Étape 1 - à remplir'!$F$31:$F$400,'Étape 1 - à remplir'!$E$31:$E$400,MASQ2!O316,'Étape 1 - à remplir'!$G$31:$G$400,"animaux"),SUMIFS('Étape 1 - à remplir'!$F$31:$F$400,'Étape 1 - à remplir'!$E$31:$E$400,MASQ2!O316,'Étape 1 - à remplir'!$C$31:$C$400,X$3)),IF(X$2="Âge",IF(X$3="Tous",SUMIFS('Étape 1 - à remplir'!$F$31:$F$400,'Étape 1 - à remplir'!$E$31:$E$400,MASQ2!O316,'Étape 1 - à remplir'!$G$31:$G$400,"animaux"),SUMIFS('Étape 1 - à remplir'!$F$31:$F$400,'Étape 1 - à remplir'!$E$31:$E$400,MASQ2!O316,'Étape 1 - à remplir'!$P$31:$P$400,X$3)),IF(X$2="Atelier",IF(X$3="Tous",SUMIFS('Étape 1 - à remplir'!$F$31:$F$400,'Étape 1 - à remplir'!$E$31:$E$400,MASQ2!O316,'Étape 1 - à remplir'!$G$31:$G$400,"animaux"),SUMIFS('Étape 1 - à remplir'!$F$31:$F$400,'Étape 1 - à remplir'!$E$31:$E$400,MASQ2!O316,'Étape 1 - à remplir'!$O$31:$O$400,X$3)),IF(X$2="Espèce",IF(X$3="Toutes",SUMIFS('Étape 1 - à remplir'!$F$31:$F$400,'Étape 1 - à remplir'!$E$31:$E$400,MASQ2!O316,'Étape 1 - à remplir'!$G$31:$G$400,"animaux"),SUMIFS('Étape 1 - à remplir'!$F$31:$F$400,'Étape 1 - à remplir'!$E$31:$E$400,MASQ2!O316,'Étape 1 - à remplir'!$N$31:$N$400,X$3))))))=0,NA(),IF(X$2="Catégorie",IF(X$3="Toutes",SUMIFS('Étape 1 - à remplir'!$F$31:$F$400,'Étape 1 - à remplir'!$E$31:$E$400,MASQ2!O316,'Étape 1 - à remplir'!$G$31:$G$400,"animaux"),SUMIFS('Étape 1 - à remplir'!$F$31:$F$400,'Étape 1 - à remplir'!$E$31:$E$400,MASQ2!O316,'Étape 1 - à remplir'!$C$31:$C$400,X$3)),IF(X$2="Âge",IF(X$3="Tous",SUMIFS('Étape 1 - à remplir'!$F$31:$F$400,'Étape 1 - à remplir'!$E$31:$E$400,MASQ2!O316,'Étape 1 - à remplir'!$G$31:$G$400,"animaux"),SUMIFS('Étape 1 - à remplir'!$F$31:$F$400,'Étape 1 - à remplir'!$E$31:$E$400,MASQ2!O316,'Étape 1 - à remplir'!$P$31:$P$400,X$3)),IF(X$2="Atelier",IF(X$3="Tous",SUMIFS('Étape 1 - à remplir'!$F$31:$F$400,'Étape 1 - à remplir'!$E$31:$E$400,MASQ2!O316,'Étape 1 - à remplir'!$G$31:$G$400,"animaux"),SUMIFS('Étape 1 - à remplir'!$F$31:$F$400,'Étape 1 - à remplir'!$E$31:$E$400,MASQ2!O316,'Étape 1 - à remplir'!$O$31:$O$400,X$3)),IF(X$2="Espèce",IF(X$3="Toutes",SUMIFS('Étape 1 - à remplir'!$F$31:$F$400,'Étape 1 - à remplir'!$E$31:$E$400,MASQ2!O316,'Étape 1 - à remplir'!$G$31:$G$400,"animaux"),SUMIFS('Étape 1 - à remplir'!$F$31:$F$400,'Étape 1 - à remplir'!$E$31:$E$400,MASQ2!O316,'Étape 1 - à remplir'!$N$31:$N$400,X$3)))))))</f>
        <v>#N/A</v>
      </c>
      <c r="Q316" s="63">
        <f t="shared" si="235"/>
        <v>0</v>
      </c>
      <c r="R316" t="str">
        <f>Données_ATB!BM315</f>
        <v>Néomycine</v>
      </c>
      <c r="S316" t="str">
        <f>Données_ATB!BN315</f>
        <v>Colistine</v>
      </c>
      <c r="T316" s="63" t="str">
        <f>Données_ATB!BO315</f>
        <v/>
      </c>
      <c r="U316" s="42" t="str">
        <f>Données_ATB!BQ315</f>
        <v>Aminoglycosides</v>
      </c>
      <c r="V316" t="str">
        <f>Données_ATB!BR315</f>
        <v>Polypeptides</v>
      </c>
      <c r="W316" s="63" t="str">
        <f>Données_ATB!BS315</f>
        <v/>
      </c>
      <c r="Z316" s="42">
        <v>313</v>
      </c>
      <c r="AA316" t="e">
        <f t="shared" si="231"/>
        <v>#N/A</v>
      </c>
      <c r="AB316" s="63" t="e">
        <f t="shared" si="232"/>
        <v>#N/A</v>
      </c>
      <c r="BF316" s="63"/>
      <c r="BT316" s="194" t="str">
        <f t="shared" ca="1" si="215"/>
        <v>x</v>
      </c>
      <c r="BU316" s="219" t="str">
        <f>IFERROR(IF(BX316=0,"",COUNTIF(BX$4:BX$600,"&gt;"&amp;BX316)+COUNTIF(BX$4:BX316,BX316)),"")</f>
        <v/>
      </c>
      <c r="BV316" s="42" t="str">
        <f t="shared" si="216"/>
        <v>N.P. 8</v>
      </c>
      <c r="BW316" t="e">
        <f>IF(IF(CE$2="Catégorie",IF(CE$3="Toutes",SUMIFS('Étape 1 - à remplir'!$F$31:$F$400,'Étape 1 - à remplir'!$E$31:$E$400,MASQ2!BV316,'Étape 1 - à remplir'!$G$31:$G$400,"lots"),SUMIFS('Étape 1 - à remplir'!$F$31:$F$400,'Étape 1 - à remplir'!$E$31:$E$400,MASQ2!BV316,'Étape 1 - à remplir'!$C$31:$C$400,CE$3)),IF(CE$2="Âge",IF(CE$3="Tous",SUMIFS('Étape 1 - à remplir'!$F$31:$F$400,'Étape 1 - à remplir'!$E$31:$E$400,MASQ2!BV316,'Étape 1 - à remplir'!$G$31:$G$400,"lots"),SUMIFS('Étape 1 - à remplir'!$F$31:$F$400,'Étape 1 - à remplir'!$E$31:$E$400,MASQ2!BV316,'Étape 1 - à remplir'!$P$31:$P$400,CE$3,'Étape 1 - à remplir'!$G$31:$G$400,"lots")),IF(CE$2="Atelier",IF(CE$3="Tous",SUMIFS('Étape 1 - à remplir'!$F$31:$F$400,'Étape 1 - à remplir'!$E$31:$E$400,MASQ2!BV316,'Étape 1 - à remplir'!$G$31:$G$400,"lots"),SUMIFS('Étape 1 - à remplir'!$F$31:$F$400,'Étape 1 - à remplir'!$E$31:$E$400,MASQ2!BV316,'Étape 1 - à remplir'!$O$31:$O$400,CE$3,'Étape 1 - à remplir'!$G$31:$G$400,"lots")),IF(CE$2="Espèce",IF(CE$3="Toutes",SUMIFS('Étape 1 - à remplir'!$F$31:$F$400,'Étape 1 - à remplir'!$E$31:$E$400,MASQ2!BV316,'Étape 1 - à remplir'!$G$31:$G$400,"lots"),SUMIFS('Étape 1 - à remplir'!$F$31:$F$400,'Étape 1 - à remplir'!$E$31:$E$400,MASQ2!BV316,'Étape 1 - à remplir'!$N$31:$N$400,CE$3,'Étape 1 - à remplir'!$G$31:$G$400,"lots"))))))=0,NA(),IF(CE$2="Catégorie",IF(CE$3="Toutes",SUMIFS('Étape 1 - à remplir'!$F$31:$F$400,'Étape 1 - à remplir'!$E$31:$E$400,MASQ2!BV316,'Étape 1 - à remplir'!$G$31:$G$400,"lots"),SUMIFS('Étape 1 - à remplir'!$F$31:$F$400,'Étape 1 - à remplir'!$E$31:$E$400,MASQ2!BV316,'Étape 1 - à remplir'!$C$31:$C$400,CE$3)),IF(CE$2="Âge",IF(CE$3="Tous",SUMIFS('Étape 1 - à remplir'!$F$31:$F$400,'Étape 1 - à remplir'!$E$31:$E$400,MASQ2!BV316,'Étape 1 - à remplir'!$G$31:$G$400,"lots"),SUMIFS('Étape 1 - à remplir'!$F$31:$F$400,'Étape 1 - à remplir'!$E$31:$E$400,MASQ2!BV316,'Étape 1 - à remplir'!$P$31:$P$400,CE$3,'Étape 1 - à remplir'!$G$31:$G$400,"lots")),IF(CE$2="Atelier",IF(CE$3="Tous",SUMIFS('Étape 1 - à remplir'!$F$31:$F$400,'Étape 1 - à remplir'!$E$31:$E$400,MASQ2!BV316,'Étape 1 - à remplir'!$G$31:$G$400,"lots"),SUMIFS('Étape 1 - à remplir'!$F$31:$F$400,'Étape 1 - à remplir'!$E$31:$E$400,MASQ2!BV316,'Étape 1 - à remplir'!$O$31:$O$400,CE$3,'Étape 1 - à remplir'!$G$31:$G$400,"lots")),IF(CE$2="Espèce",IF(CE$3="Toutes",SUMIFS('Étape 1 - à remplir'!$F$31:$F$400,'Étape 1 - à remplir'!$E$31:$E$400,MASQ2!BV316,'Étape 1 - à remplir'!$G$31:$G$400,"lots"),SUMIFS('Étape 1 - à remplir'!$F$31:$F$400,'Étape 1 - à remplir'!$E$31:$E$400,MASQ2!BV316,'Étape 1 - à remplir'!$N$31:$N$400,CE$3,'Étape 1 - à remplir'!$G$31:$G$400,"lots")))))))</f>
        <v>#N/A</v>
      </c>
      <c r="BX316">
        <f t="shared" si="233"/>
        <v>0</v>
      </c>
      <c r="BY316" t="str">
        <f t="shared" si="217"/>
        <v>Néomycine</v>
      </c>
      <c r="BZ316" t="str">
        <f t="shared" si="218"/>
        <v>Colistine</v>
      </c>
      <c r="CA316" t="str">
        <f t="shared" si="219"/>
        <v/>
      </c>
      <c r="CB316" t="str">
        <f t="shared" si="220"/>
        <v>Aminoglycosides</v>
      </c>
      <c r="CC316" t="str">
        <f t="shared" si="221"/>
        <v>Polypeptides</v>
      </c>
      <c r="CD316" s="63" t="str">
        <f t="shared" si="222"/>
        <v/>
      </c>
      <c r="CG316" s="42">
        <v>313</v>
      </c>
      <c r="CH316" s="42" t="e">
        <f t="shared" si="238"/>
        <v>#N/A</v>
      </c>
      <c r="CI316" s="63" t="e">
        <f t="shared" si="239"/>
        <v>#N/A</v>
      </c>
      <c r="DM316" s="63"/>
      <c r="EA316" s="194" t="str">
        <f t="shared" ca="1" si="223"/>
        <v>x</v>
      </c>
      <c r="EB316" s="226" t="str">
        <f>IFERROR(IF(ED316=0,"",COUNTIF(ED$4:ED$600,"&gt;"&amp;ED316)+COUNTIF(ED$4:ED316,ED316)),"")</f>
        <v/>
      </c>
      <c r="EC316" t="str">
        <f t="shared" si="224"/>
        <v>N.P. 8</v>
      </c>
      <c r="ED316" t="e">
        <f>IF(IF(EL$2="Catégorie",IF(EL$3="Toutes",SUMIFS('Étape 1 - à remplir'!$F$31:$F$400,'Étape 1 - à remplir'!$E$31:$E$400,MASQ2!EC316,'Étape 1 - à remplir'!$G$31:$G$400,"kg"),SUMIFS('Étape 1 - à remplir'!$F$31:$F$400,'Étape 1 - à remplir'!$E$31:$E$400,MASQ2!EC316,'Étape 1 - à remplir'!$C$31:$C$400,EL$3)),IF(EL$2="Âge",IF(EL$3="Tous",SUMIFS('Étape 1 - à remplir'!$F$31:$F$400,'Étape 1 - à remplir'!$E$31:$E$400,MASQ2!EC316,'Étape 1 - à remplir'!$G$31:$G$400,"kg"),SUMIFS('Étape 1 - à remplir'!$F$31:$F$400,'Étape 1 - à remplir'!$E$31:$E$400,MASQ2!EC316,'Étape 1 - à remplir'!$P$31:$P$400,EL$3,'Étape 1 - à remplir'!$G$31:$G$400,"kg")),IF(EL$2="Atelier",IF(EL$3="Tous",SUMIFS('Étape 1 - à remplir'!$F$31:$F$400,'Étape 1 - à remplir'!$E$31:$E$400,MASQ2!EC316,'Étape 1 - à remplir'!$G$31:$G$400,"kg"),SUMIFS('Étape 1 - à remplir'!$F$31:$F$400,'Étape 1 - à remplir'!$E$31:$E$400,MASQ2!EC316,'Étape 1 - à remplir'!$O$31:$O$400,EL$3,'Étape 1 - à remplir'!$G$31:$G$400,"kg")),IF(EL$2="Espèce",IF(EL$3="Toutes",SUMIFS('Étape 1 - à remplir'!$F$31:$F$400,'Étape 1 - à remplir'!$E$31:$E$400,MASQ2!EC316,'Étape 1 - à remplir'!$G$31:$G$400,"kg"),SUMIFS('Étape 1 - à remplir'!$F$31:$F$400,'Étape 1 - à remplir'!$E$31:$E$400,MASQ2!EC316,'Étape 1 - à remplir'!$N$31:$N$400,EL$3,'Étape 1 - à remplir'!$G$31:$G$400,"kg"))))))=0,NA(),IF(EL$2="Catégorie",IF(EL$3="Toutes",SUMIFS('Étape 1 - à remplir'!$F$31:$F$400,'Étape 1 - à remplir'!$E$31:$E$400,MASQ2!EC316,'Étape 1 - à remplir'!$G$31:$G$400,"kg"),SUMIFS('Étape 1 - à remplir'!$F$31:$F$400,'Étape 1 - à remplir'!$E$31:$E$400,MASQ2!EC316,'Étape 1 - à remplir'!$C$31:$C$400,EL$3)),IF(EL$2="Âge",IF(EL$3="Tous",SUMIFS('Étape 1 - à remplir'!$F$31:$F$400,'Étape 1 - à remplir'!$E$31:$E$400,MASQ2!EC316,'Étape 1 - à remplir'!$G$31:$G$400,"kg"),SUMIFS('Étape 1 - à remplir'!$F$31:$F$400,'Étape 1 - à remplir'!$E$31:$E$400,MASQ2!EC316,'Étape 1 - à remplir'!$P$31:$P$400,EL$3,'Étape 1 - à remplir'!$G$31:$G$400,"kg")),IF(EL$2="Atelier",IF(EL$3="Tous",SUMIFS('Étape 1 - à remplir'!$F$31:$F$400,'Étape 1 - à remplir'!$E$31:$E$400,MASQ2!EC316,'Étape 1 - à remplir'!$G$31:$G$400,"kg"),SUMIFS('Étape 1 - à remplir'!$F$31:$F$400,'Étape 1 - à remplir'!$E$31:$E$400,MASQ2!EC316,'Étape 1 - à remplir'!$O$31:$O$400,EL$3,'Étape 1 - à remplir'!$G$31:$G$400,"kg")),IF(EL$2="Espèce",IF(EL$3="Toutes",SUMIFS('Étape 1 - à remplir'!$F$31:$F$400,'Étape 1 - à remplir'!$E$31:$E$400,MASQ2!EC316,'Étape 1 - à remplir'!$G$31:$G$400,"kg"),SUMIFS('Étape 1 - à remplir'!$F$31:$F$400,'Étape 1 - à remplir'!$E$31:$E$400,MASQ2!EC316,'Étape 1 - à remplir'!$N$31:$N$400,EL$3,'Étape 1 - à remplir'!$G$31:$G$400,"kg")))))))</f>
        <v>#N/A</v>
      </c>
      <c r="EE316" s="76">
        <f t="shared" si="234"/>
        <v>0</v>
      </c>
      <c r="EF316" t="str">
        <f t="shared" si="225"/>
        <v>Néomycine</v>
      </c>
      <c r="EG316" t="str">
        <f t="shared" si="226"/>
        <v>Colistine</v>
      </c>
      <c r="EH316" t="str">
        <f t="shared" si="227"/>
        <v/>
      </c>
      <c r="EI316" t="str">
        <f t="shared" si="228"/>
        <v>Aminoglycosides</v>
      </c>
      <c r="EJ316" t="str">
        <f t="shared" si="229"/>
        <v>Polypeptides</v>
      </c>
      <c r="EK316" s="63" t="str">
        <f t="shared" si="230"/>
        <v/>
      </c>
      <c r="EN316" s="42">
        <v>313</v>
      </c>
      <c r="EO316" t="e">
        <f t="shared" si="236"/>
        <v>#N/A</v>
      </c>
      <c r="EP316" s="63" t="e">
        <f t="shared" si="237"/>
        <v>#N/A</v>
      </c>
      <c r="FT316" s="63"/>
    </row>
    <row r="317" spans="2:176" x14ac:dyDescent="0.3">
      <c r="B317" s="42"/>
      <c r="M317" s="194" t="str">
        <f ca="1">INDEX(Données_ATB!BD:BU,MATCH(MASQ2!O317,Données_ATB!BD:BD,0),18)</f>
        <v/>
      </c>
      <c r="N317" s="14" t="str">
        <f>IFERROR(IF(Q317=0,"",COUNTIF(Q$4:Q$600,"&gt;"&amp;Q317)+COUNTIF(Q$4:Q317,Q317)),"")</f>
        <v/>
      </c>
      <c r="O317" t="str">
        <f>Données_ATB!BD316</f>
        <v>NAFPENZAL T</v>
      </c>
      <c r="P317" t="e">
        <f>IF(IF(X$2="Catégorie",IF(X$3="Toutes",SUMIFS('Étape 1 - à remplir'!$F$31:$F$400,'Étape 1 - à remplir'!$E$31:$E$400,MASQ2!O317,'Étape 1 - à remplir'!$G$31:$G$400,"animaux"),SUMIFS('Étape 1 - à remplir'!$F$31:$F$400,'Étape 1 - à remplir'!$E$31:$E$400,MASQ2!O317,'Étape 1 - à remplir'!$C$31:$C$400,X$3)),IF(X$2="Âge",IF(X$3="Tous",SUMIFS('Étape 1 - à remplir'!$F$31:$F$400,'Étape 1 - à remplir'!$E$31:$E$400,MASQ2!O317,'Étape 1 - à remplir'!$G$31:$G$400,"animaux"),SUMIFS('Étape 1 - à remplir'!$F$31:$F$400,'Étape 1 - à remplir'!$E$31:$E$400,MASQ2!O317,'Étape 1 - à remplir'!$P$31:$P$400,X$3)),IF(X$2="Atelier",IF(X$3="Tous",SUMIFS('Étape 1 - à remplir'!$F$31:$F$400,'Étape 1 - à remplir'!$E$31:$E$400,MASQ2!O317,'Étape 1 - à remplir'!$G$31:$G$400,"animaux"),SUMIFS('Étape 1 - à remplir'!$F$31:$F$400,'Étape 1 - à remplir'!$E$31:$E$400,MASQ2!O317,'Étape 1 - à remplir'!$O$31:$O$400,X$3)),IF(X$2="Espèce",IF(X$3="Toutes",SUMIFS('Étape 1 - à remplir'!$F$31:$F$400,'Étape 1 - à remplir'!$E$31:$E$400,MASQ2!O317,'Étape 1 - à remplir'!$G$31:$G$400,"animaux"),SUMIFS('Étape 1 - à remplir'!$F$31:$F$400,'Étape 1 - à remplir'!$E$31:$E$400,MASQ2!O317,'Étape 1 - à remplir'!$N$31:$N$400,X$3))))))=0,NA(),IF(X$2="Catégorie",IF(X$3="Toutes",SUMIFS('Étape 1 - à remplir'!$F$31:$F$400,'Étape 1 - à remplir'!$E$31:$E$400,MASQ2!O317,'Étape 1 - à remplir'!$G$31:$G$400,"animaux"),SUMIFS('Étape 1 - à remplir'!$F$31:$F$400,'Étape 1 - à remplir'!$E$31:$E$400,MASQ2!O317,'Étape 1 - à remplir'!$C$31:$C$400,X$3)),IF(X$2="Âge",IF(X$3="Tous",SUMIFS('Étape 1 - à remplir'!$F$31:$F$400,'Étape 1 - à remplir'!$E$31:$E$400,MASQ2!O317,'Étape 1 - à remplir'!$G$31:$G$400,"animaux"),SUMIFS('Étape 1 - à remplir'!$F$31:$F$400,'Étape 1 - à remplir'!$E$31:$E$400,MASQ2!O317,'Étape 1 - à remplir'!$P$31:$P$400,X$3)),IF(X$2="Atelier",IF(X$3="Tous",SUMIFS('Étape 1 - à remplir'!$F$31:$F$400,'Étape 1 - à remplir'!$E$31:$E$400,MASQ2!O317,'Étape 1 - à remplir'!$G$31:$G$400,"animaux"),SUMIFS('Étape 1 - à remplir'!$F$31:$F$400,'Étape 1 - à remplir'!$E$31:$E$400,MASQ2!O317,'Étape 1 - à remplir'!$O$31:$O$400,X$3)),IF(X$2="Espèce",IF(X$3="Toutes",SUMIFS('Étape 1 - à remplir'!$F$31:$F$400,'Étape 1 - à remplir'!$E$31:$E$400,MASQ2!O317,'Étape 1 - à remplir'!$G$31:$G$400,"animaux"),SUMIFS('Étape 1 - à remplir'!$F$31:$F$400,'Étape 1 - à remplir'!$E$31:$E$400,MASQ2!O317,'Étape 1 - à remplir'!$N$31:$N$400,X$3)))))))</f>
        <v>#N/A</v>
      </c>
      <c r="Q317" s="63">
        <f t="shared" si="235"/>
        <v>0</v>
      </c>
      <c r="R317" t="str">
        <f>Données_ATB!BM316</f>
        <v>Benzylpénicilline</v>
      </c>
      <c r="S317" t="str">
        <f>Données_ATB!BN316</f>
        <v>Dihydrostreptomycine</v>
      </c>
      <c r="T317" s="63" t="str">
        <f>Données_ATB!BO316</f>
        <v>Nafcilline</v>
      </c>
      <c r="U317" s="42" t="str">
        <f>Données_ATB!BQ316</f>
        <v>Penicillines</v>
      </c>
      <c r="V317" t="str">
        <f>Données_ATB!BR316</f>
        <v>Aminoglycosides</v>
      </c>
      <c r="W317" s="63" t="str">
        <f>Données_ATB!BS316</f>
        <v>Penicillines</v>
      </c>
      <c r="Z317" s="42">
        <v>314</v>
      </c>
      <c r="AA317" t="e">
        <f t="shared" si="231"/>
        <v>#N/A</v>
      </c>
      <c r="AB317" s="63" t="e">
        <f t="shared" si="232"/>
        <v>#N/A</v>
      </c>
      <c r="BF317" s="63"/>
      <c r="BT317" s="194" t="str">
        <f t="shared" ca="1" si="215"/>
        <v/>
      </c>
      <c r="BU317" s="219" t="str">
        <f>IFERROR(IF(BX317=0,"",COUNTIF(BX$4:BX$600,"&gt;"&amp;BX317)+COUNTIF(BX$4:BX317,BX317)),"")</f>
        <v/>
      </c>
      <c r="BV317" s="42" t="str">
        <f t="shared" si="216"/>
        <v>NAFPENZAL T</v>
      </c>
      <c r="BW317" t="e">
        <f>IF(IF(CE$2="Catégorie",IF(CE$3="Toutes",SUMIFS('Étape 1 - à remplir'!$F$31:$F$400,'Étape 1 - à remplir'!$E$31:$E$400,MASQ2!BV317,'Étape 1 - à remplir'!$G$31:$G$400,"lots"),SUMIFS('Étape 1 - à remplir'!$F$31:$F$400,'Étape 1 - à remplir'!$E$31:$E$400,MASQ2!BV317,'Étape 1 - à remplir'!$C$31:$C$400,CE$3)),IF(CE$2="Âge",IF(CE$3="Tous",SUMIFS('Étape 1 - à remplir'!$F$31:$F$400,'Étape 1 - à remplir'!$E$31:$E$400,MASQ2!BV317,'Étape 1 - à remplir'!$G$31:$G$400,"lots"),SUMIFS('Étape 1 - à remplir'!$F$31:$F$400,'Étape 1 - à remplir'!$E$31:$E$400,MASQ2!BV317,'Étape 1 - à remplir'!$P$31:$P$400,CE$3,'Étape 1 - à remplir'!$G$31:$G$400,"lots")),IF(CE$2="Atelier",IF(CE$3="Tous",SUMIFS('Étape 1 - à remplir'!$F$31:$F$400,'Étape 1 - à remplir'!$E$31:$E$400,MASQ2!BV317,'Étape 1 - à remplir'!$G$31:$G$400,"lots"),SUMIFS('Étape 1 - à remplir'!$F$31:$F$400,'Étape 1 - à remplir'!$E$31:$E$400,MASQ2!BV317,'Étape 1 - à remplir'!$O$31:$O$400,CE$3,'Étape 1 - à remplir'!$G$31:$G$400,"lots")),IF(CE$2="Espèce",IF(CE$3="Toutes",SUMIFS('Étape 1 - à remplir'!$F$31:$F$400,'Étape 1 - à remplir'!$E$31:$E$400,MASQ2!BV317,'Étape 1 - à remplir'!$G$31:$G$400,"lots"),SUMIFS('Étape 1 - à remplir'!$F$31:$F$400,'Étape 1 - à remplir'!$E$31:$E$400,MASQ2!BV317,'Étape 1 - à remplir'!$N$31:$N$400,CE$3,'Étape 1 - à remplir'!$G$31:$G$400,"lots"))))))=0,NA(),IF(CE$2="Catégorie",IF(CE$3="Toutes",SUMIFS('Étape 1 - à remplir'!$F$31:$F$400,'Étape 1 - à remplir'!$E$31:$E$400,MASQ2!BV317,'Étape 1 - à remplir'!$G$31:$G$400,"lots"),SUMIFS('Étape 1 - à remplir'!$F$31:$F$400,'Étape 1 - à remplir'!$E$31:$E$400,MASQ2!BV317,'Étape 1 - à remplir'!$C$31:$C$400,CE$3)),IF(CE$2="Âge",IF(CE$3="Tous",SUMIFS('Étape 1 - à remplir'!$F$31:$F$400,'Étape 1 - à remplir'!$E$31:$E$400,MASQ2!BV317,'Étape 1 - à remplir'!$G$31:$G$400,"lots"),SUMIFS('Étape 1 - à remplir'!$F$31:$F$400,'Étape 1 - à remplir'!$E$31:$E$400,MASQ2!BV317,'Étape 1 - à remplir'!$P$31:$P$400,CE$3,'Étape 1 - à remplir'!$G$31:$G$400,"lots")),IF(CE$2="Atelier",IF(CE$3="Tous",SUMIFS('Étape 1 - à remplir'!$F$31:$F$400,'Étape 1 - à remplir'!$E$31:$E$400,MASQ2!BV317,'Étape 1 - à remplir'!$G$31:$G$400,"lots"),SUMIFS('Étape 1 - à remplir'!$F$31:$F$400,'Étape 1 - à remplir'!$E$31:$E$400,MASQ2!BV317,'Étape 1 - à remplir'!$O$31:$O$400,CE$3,'Étape 1 - à remplir'!$G$31:$G$400,"lots")),IF(CE$2="Espèce",IF(CE$3="Toutes",SUMIFS('Étape 1 - à remplir'!$F$31:$F$400,'Étape 1 - à remplir'!$E$31:$E$400,MASQ2!BV317,'Étape 1 - à remplir'!$G$31:$G$400,"lots"),SUMIFS('Étape 1 - à remplir'!$F$31:$F$400,'Étape 1 - à remplir'!$E$31:$E$400,MASQ2!BV317,'Étape 1 - à remplir'!$N$31:$N$400,CE$3,'Étape 1 - à remplir'!$G$31:$G$400,"lots")))))))</f>
        <v>#N/A</v>
      </c>
      <c r="BX317">
        <f t="shared" si="233"/>
        <v>0</v>
      </c>
      <c r="BY317" t="str">
        <f t="shared" si="217"/>
        <v>Benzylpénicilline</v>
      </c>
      <c r="BZ317" t="str">
        <f t="shared" si="218"/>
        <v>Dihydrostreptomycine</v>
      </c>
      <c r="CA317" t="str">
        <f t="shared" si="219"/>
        <v>Nafcilline</v>
      </c>
      <c r="CB317" t="str">
        <f t="shared" si="220"/>
        <v>Penicillines</v>
      </c>
      <c r="CC317" t="str">
        <f t="shared" si="221"/>
        <v>Aminoglycosides</v>
      </c>
      <c r="CD317" s="63" t="str">
        <f t="shared" si="222"/>
        <v>Penicillines</v>
      </c>
      <c r="CG317" s="42">
        <v>314</v>
      </c>
      <c r="CH317" s="42" t="e">
        <f t="shared" si="238"/>
        <v>#N/A</v>
      </c>
      <c r="CI317" s="63" t="e">
        <f t="shared" si="239"/>
        <v>#N/A</v>
      </c>
      <c r="DM317" s="63"/>
      <c r="EA317" s="194" t="str">
        <f t="shared" ca="1" si="223"/>
        <v/>
      </c>
      <c r="EB317" s="226" t="str">
        <f>IFERROR(IF(ED317=0,"",COUNTIF(ED$4:ED$600,"&gt;"&amp;ED317)+COUNTIF(ED$4:ED317,ED317)),"")</f>
        <v/>
      </c>
      <c r="EC317" t="str">
        <f t="shared" si="224"/>
        <v>NAFPENZAL T</v>
      </c>
      <c r="ED317" t="e">
        <f>IF(IF(EL$2="Catégorie",IF(EL$3="Toutes",SUMIFS('Étape 1 - à remplir'!$F$31:$F$400,'Étape 1 - à remplir'!$E$31:$E$400,MASQ2!EC317,'Étape 1 - à remplir'!$G$31:$G$400,"kg"),SUMIFS('Étape 1 - à remplir'!$F$31:$F$400,'Étape 1 - à remplir'!$E$31:$E$400,MASQ2!EC317,'Étape 1 - à remplir'!$C$31:$C$400,EL$3)),IF(EL$2="Âge",IF(EL$3="Tous",SUMIFS('Étape 1 - à remplir'!$F$31:$F$400,'Étape 1 - à remplir'!$E$31:$E$400,MASQ2!EC317,'Étape 1 - à remplir'!$G$31:$G$400,"kg"),SUMIFS('Étape 1 - à remplir'!$F$31:$F$400,'Étape 1 - à remplir'!$E$31:$E$400,MASQ2!EC317,'Étape 1 - à remplir'!$P$31:$P$400,EL$3,'Étape 1 - à remplir'!$G$31:$G$400,"kg")),IF(EL$2="Atelier",IF(EL$3="Tous",SUMIFS('Étape 1 - à remplir'!$F$31:$F$400,'Étape 1 - à remplir'!$E$31:$E$400,MASQ2!EC317,'Étape 1 - à remplir'!$G$31:$G$400,"kg"),SUMIFS('Étape 1 - à remplir'!$F$31:$F$400,'Étape 1 - à remplir'!$E$31:$E$400,MASQ2!EC317,'Étape 1 - à remplir'!$O$31:$O$400,EL$3,'Étape 1 - à remplir'!$G$31:$G$400,"kg")),IF(EL$2="Espèce",IF(EL$3="Toutes",SUMIFS('Étape 1 - à remplir'!$F$31:$F$400,'Étape 1 - à remplir'!$E$31:$E$400,MASQ2!EC317,'Étape 1 - à remplir'!$G$31:$G$400,"kg"),SUMIFS('Étape 1 - à remplir'!$F$31:$F$400,'Étape 1 - à remplir'!$E$31:$E$400,MASQ2!EC317,'Étape 1 - à remplir'!$N$31:$N$400,EL$3,'Étape 1 - à remplir'!$G$31:$G$400,"kg"))))))=0,NA(),IF(EL$2="Catégorie",IF(EL$3="Toutes",SUMIFS('Étape 1 - à remplir'!$F$31:$F$400,'Étape 1 - à remplir'!$E$31:$E$400,MASQ2!EC317,'Étape 1 - à remplir'!$G$31:$G$400,"kg"),SUMIFS('Étape 1 - à remplir'!$F$31:$F$400,'Étape 1 - à remplir'!$E$31:$E$400,MASQ2!EC317,'Étape 1 - à remplir'!$C$31:$C$400,EL$3)),IF(EL$2="Âge",IF(EL$3="Tous",SUMIFS('Étape 1 - à remplir'!$F$31:$F$400,'Étape 1 - à remplir'!$E$31:$E$400,MASQ2!EC317,'Étape 1 - à remplir'!$G$31:$G$400,"kg"),SUMIFS('Étape 1 - à remplir'!$F$31:$F$400,'Étape 1 - à remplir'!$E$31:$E$400,MASQ2!EC317,'Étape 1 - à remplir'!$P$31:$P$400,EL$3,'Étape 1 - à remplir'!$G$31:$G$400,"kg")),IF(EL$2="Atelier",IF(EL$3="Tous",SUMIFS('Étape 1 - à remplir'!$F$31:$F$400,'Étape 1 - à remplir'!$E$31:$E$400,MASQ2!EC317,'Étape 1 - à remplir'!$G$31:$G$400,"kg"),SUMIFS('Étape 1 - à remplir'!$F$31:$F$400,'Étape 1 - à remplir'!$E$31:$E$400,MASQ2!EC317,'Étape 1 - à remplir'!$O$31:$O$400,EL$3,'Étape 1 - à remplir'!$G$31:$G$400,"kg")),IF(EL$2="Espèce",IF(EL$3="Toutes",SUMIFS('Étape 1 - à remplir'!$F$31:$F$400,'Étape 1 - à remplir'!$E$31:$E$400,MASQ2!EC317,'Étape 1 - à remplir'!$G$31:$G$400,"kg"),SUMIFS('Étape 1 - à remplir'!$F$31:$F$400,'Étape 1 - à remplir'!$E$31:$E$400,MASQ2!EC317,'Étape 1 - à remplir'!$N$31:$N$400,EL$3,'Étape 1 - à remplir'!$G$31:$G$400,"kg")))))))</f>
        <v>#N/A</v>
      </c>
      <c r="EE317" s="76">
        <f t="shared" si="234"/>
        <v>0</v>
      </c>
      <c r="EF317" t="str">
        <f t="shared" si="225"/>
        <v>Benzylpénicilline</v>
      </c>
      <c r="EG317" t="str">
        <f t="shared" si="226"/>
        <v>Dihydrostreptomycine</v>
      </c>
      <c r="EH317" t="str">
        <f t="shared" si="227"/>
        <v>Nafcilline</v>
      </c>
      <c r="EI317" t="str">
        <f t="shared" si="228"/>
        <v>Penicillines</v>
      </c>
      <c r="EJ317" t="str">
        <f t="shared" si="229"/>
        <v>Aminoglycosides</v>
      </c>
      <c r="EK317" s="63" t="str">
        <f t="shared" si="230"/>
        <v>Penicillines</v>
      </c>
      <c r="EN317" s="42">
        <v>314</v>
      </c>
      <c r="EO317" t="e">
        <f t="shared" si="236"/>
        <v>#N/A</v>
      </c>
      <c r="EP317" s="63" t="e">
        <f t="shared" si="237"/>
        <v>#N/A</v>
      </c>
      <c r="FT317" s="63"/>
    </row>
    <row r="318" spans="2:176" x14ac:dyDescent="0.3">
      <c r="B318" s="42"/>
      <c r="M318" s="194" t="str">
        <f ca="1">INDEX(Données_ATB!BD:BU,MATCH(MASQ2!O318,Données_ATB!BD:BD,0),18)</f>
        <v>x</v>
      </c>
      <c r="N318" s="14" t="str">
        <f>IFERROR(IF(Q318=0,"",COUNTIF(Q$4:Q$600,"&gt;"&amp;Q318)+COUNTIF(Q$4:Q318,Q318)),"")</f>
        <v/>
      </c>
      <c r="O318" t="str">
        <f>Données_ATB!BD317</f>
        <v>NAXCEL 100 MG/ML SUSPENSION INJECTABLE POUR PORCINS</v>
      </c>
      <c r="P318" t="e">
        <f>IF(IF(X$2="Catégorie",IF(X$3="Toutes",SUMIFS('Étape 1 - à remplir'!$F$31:$F$400,'Étape 1 - à remplir'!$E$31:$E$400,MASQ2!O318,'Étape 1 - à remplir'!$G$31:$G$400,"animaux"),SUMIFS('Étape 1 - à remplir'!$F$31:$F$400,'Étape 1 - à remplir'!$E$31:$E$400,MASQ2!O318,'Étape 1 - à remplir'!$C$31:$C$400,X$3)),IF(X$2="Âge",IF(X$3="Tous",SUMIFS('Étape 1 - à remplir'!$F$31:$F$400,'Étape 1 - à remplir'!$E$31:$E$400,MASQ2!O318,'Étape 1 - à remplir'!$G$31:$G$400,"animaux"),SUMIFS('Étape 1 - à remplir'!$F$31:$F$400,'Étape 1 - à remplir'!$E$31:$E$400,MASQ2!O318,'Étape 1 - à remplir'!$P$31:$P$400,X$3)),IF(X$2="Atelier",IF(X$3="Tous",SUMIFS('Étape 1 - à remplir'!$F$31:$F$400,'Étape 1 - à remplir'!$E$31:$E$400,MASQ2!O318,'Étape 1 - à remplir'!$G$31:$G$400,"animaux"),SUMIFS('Étape 1 - à remplir'!$F$31:$F$400,'Étape 1 - à remplir'!$E$31:$E$400,MASQ2!O318,'Étape 1 - à remplir'!$O$31:$O$400,X$3)),IF(X$2="Espèce",IF(X$3="Toutes",SUMIFS('Étape 1 - à remplir'!$F$31:$F$400,'Étape 1 - à remplir'!$E$31:$E$400,MASQ2!O318,'Étape 1 - à remplir'!$G$31:$G$400,"animaux"),SUMIFS('Étape 1 - à remplir'!$F$31:$F$400,'Étape 1 - à remplir'!$E$31:$E$400,MASQ2!O318,'Étape 1 - à remplir'!$N$31:$N$400,X$3))))))=0,NA(),IF(X$2="Catégorie",IF(X$3="Toutes",SUMIFS('Étape 1 - à remplir'!$F$31:$F$400,'Étape 1 - à remplir'!$E$31:$E$400,MASQ2!O318,'Étape 1 - à remplir'!$G$31:$G$400,"animaux"),SUMIFS('Étape 1 - à remplir'!$F$31:$F$400,'Étape 1 - à remplir'!$E$31:$E$400,MASQ2!O318,'Étape 1 - à remplir'!$C$31:$C$400,X$3)),IF(X$2="Âge",IF(X$3="Tous",SUMIFS('Étape 1 - à remplir'!$F$31:$F$400,'Étape 1 - à remplir'!$E$31:$E$400,MASQ2!O318,'Étape 1 - à remplir'!$G$31:$G$400,"animaux"),SUMIFS('Étape 1 - à remplir'!$F$31:$F$400,'Étape 1 - à remplir'!$E$31:$E$400,MASQ2!O318,'Étape 1 - à remplir'!$P$31:$P$400,X$3)),IF(X$2="Atelier",IF(X$3="Tous",SUMIFS('Étape 1 - à remplir'!$F$31:$F$400,'Étape 1 - à remplir'!$E$31:$E$400,MASQ2!O318,'Étape 1 - à remplir'!$G$31:$G$400,"animaux"),SUMIFS('Étape 1 - à remplir'!$F$31:$F$400,'Étape 1 - à remplir'!$E$31:$E$400,MASQ2!O318,'Étape 1 - à remplir'!$O$31:$O$400,X$3)),IF(X$2="Espèce",IF(X$3="Toutes",SUMIFS('Étape 1 - à remplir'!$F$31:$F$400,'Étape 1 - à remplir'!$E$31:$E$400,MASQ2!O318,'Étape 1 - à remplir'!$G$31:$G$400,"animaux"),SUMIFS('Étape 1 - à remplir'!$F$31:$F$400,'Étape 1 - à remplir'!$E$31:$E$400,MASQ2!O318,'Étape 1 - à remplir'!$N$31:$N$400,X$3)))))))</f>
        <v>#N/A</v>
      </c>
      <c r="Q318" s="63">
        <f t="shared" si="235"/>
        <v>0</v>
      </c>
      <c r="R318" t="str">
        <f>Données_ATB!BM317</f>
        <v>Ceftiofur</v>
      </c>
      <c r="S318" t="str">
        <f>Données_ATB!BN317</f>
        <v/>
      </c>
      <c r="T318" s="63" t="str">
        <f>Données_ATB!BO317</f>
        <v/>
      </c>
      <c r="U318" s="42" t="str">
        <f>Données_ATB!BQ317</f>
        <v>Cephalosporines 3&amp;4G</v>
      </c>
      <c r="V318" t="str">
        <f>Données_ATB!BR317</f>
        <v/>
      </c>
      <c r="W318" s="63" t="str">
        <f>Données_ATB!BS317</f>
        <v/>
      </c>
      <c r="Z318" s="42">
        <v>315</v>
      </c>
      <c r="AA318" t="e">
        <f t="shared" si="231"/>
        <v>#N/A</v>
      </c>
      <c r="AB318" s="63" t="e">
        <f t="shared" si="232"/>
        <v>#N/A</v>
      </c>
      <c r="BF318" s="63"/>
      <c r="BT318" s="194" t="str">
        <f t="shared" ca="1" si="215"/>
        <v>x</v>
      </c>
      <c r="BU318" s="219" t="str">
        <f>IFERROR(IF(BX318=0,"",COUNTIF(BX$4:BX$600,"&gt;"&amp;BX318)+COUNTIF(BX$4:BX318,BX318)),"")</f>
        <v/>
      </c>
      <c r="BV318" s="42" t="str">
        <f t="shared" si="216"/>
        <v>NAXCEL 100 MG/ML SUSPENSION INJECTABLE POUR PORCINS</v>
      </c>
      <c r="BW318" t="e">
        <f>IF(IF(CE$2="Catégorie",IF(CE$3="Toutes",SUMIFS('Étape 1 - à remplir'!$F$31:$F$400,'Étape 1 - à remplir'!$E$31:$E$400,MASQ2!BV318,'Étape 1 - à remplir'!$G$31:$G$400,"lots"),SUMIFS('Étape 1 - à remplir'!$F$31:$F$400,'Étape 1 - à remplir'!$E$31:$E$400,MASQ2!BV318,'Étape 1 - à remplir'!$C$31:$C$400,CE$3)),IF(CE$2="Âge",IF(CE$3="Tous",SUMIFS('Étape 1 - à remplir'!$F$31:$F$400,'Étape 1 - à remplir'!$E$31:$E$400,MASQ2!BV318,'Étape 1 - à remplir'!$G$31:$G$400,"lots"),SUMIFS('Étape 1 - à remplir'!$F$31:$F$400,'Étape 1 - à remplir'!$E$31:$E$400,MASQ2!BV318,'Étape 1 - à remplir'!$P$31:$P$400,CE$3,'Étape 1 - à remplir'!$G$31:$G$400,"lots")),IF(CE$2="Atelier",IF(CE$3="Tous",SUMIFS('Étape 1 - à remplir'!$F$31:$F$400,'Étape 1 - à remplir'!$E$31:$E$400,MASQ2!BV318,'Étape 1 - à remplir'!$G$31:$G$400,"lots"),SUMIFS('Étape 1 - à remplir'!$F$31:$F$400,'Étape 1 - à remplir'!$E$31:$E$400,MASQ2!BV318,'Étape 1 - à remplir'!$O$31:$O$400,CE$3,'Étape 1 - à remplir'!$G$31:$G$400,"lots")),IF(CE$2="Espèce",IF(CE$3="Toutes",SUMIFS('Étape 1 - à remplir'!$F$31:$F$400,'Étape 1 - à remplir'!$E$31:$E$400,MASQ2!BV318,'Étape 1 - à remplir'!$G$31:$G$400,"lots"),SUMIFS('Étape 1 - à remplir'!$F$31:$F$400,'Étape 1 - à remplir'!$E$31:$E$400,MASQ2!BV318,'Étape 1 - à remplir'!$N$31:$N$400,CE$3,'Étape 1 - à remplir'!$G$31:$G$400,"lots"))))))=0,NA(),IF(CE$2="Catégorie",IF(CE$3="Toutes",SUMIFS('Étape 1 - à remplir'!$F$31:$F$400,'Étape 1 - à remplir'!$E$31:$E$400,MASQ2!BV318,'Étape 1 - à remplir'!$G$31:$G$400,"lots"),SUMIFS('Étape 1 - à remplir'!$F$31:$F$400,'Étape 1 - à remplir'!$E$31:$E$400,MASQ2!BV318,'Étape 1 - à remplir'!$C$31:$C$400,CE$3)),IF(CE$2="Âge",IF(CE$3="Tous",SUMIFS('Étape 1 - à remplir'!$F$31:$F$400,'Étape 1 - à remplir'!$E$31:$E$400,MASQ2!BV318,'Étape 1 - à remplir'!$G$31:$G$400,"lots"),SUMIFS('Étape 1 - à remplir'!$F$31:$F$400,'Étape 1 - à remplir'!$E$31:$E$400,MASQ2!BV318,'Étape 1 - à remplir'!$P$31:$P$400,CE$3,'Étape 1 - à remplir'!$G$31:$G$400,"lots")),IF(CE$2="Atelier",IF(CE$3="Tous",SUMIFS('Étape 1 - à remplir'!$F$31:$F$400,'Étape 1 - à remplir'!$E$31:$E$400,MASQ2!BV318,'Étape 1 - à remplir'!$G$31:$G$400,"lots"),SUMIFS('Étape 1 - à remplir'!$F$31:$F$400,'Étape 1 - à remplir'!$E$31:$E$400,MASQ2!BV318,'Étape 1 - à remplir'!$O$31:$O$400,CE$3,'Étape 1 - à remplir'!$G$31:$G$400,"lots")),IF(CE$2="Espèce",IF(CE$3="Toutes",SUMIFS('Étape 1 - à remplir'!$F$31:$F$400,'Étape 1 - à remplir'!$E$31:$E$400,MASQ2!BV318,'Étape 1 - à remplir'!$G$31:$G$400,"lots"),SUMIFS('Étape 1 - à remplir'!$F$31:$F$400,'Étape 1 - à remplir'!$E$31:$E$400,MASQ2!BV318,'Étape 1 - à remplir'!$N$31:$N$400,CE$3,'Étape 1 - à remplir'!$G$31:$G$400,"lots")))))))</f>
        <v>#N/A</v>
      </c>
      <c r="BX318">
        <f t="shared" si="233"/>
        <v>0</v>
      </c>
      <c r="BY318" t="str">
        <f t="shared" si="217"/>
        <v>Ceftiofur</v>
      </c>
      <c r="BZ318" t="str">
        <f t="shared" si="218"/>
        <v/>
      </c>
      <c r="CA318" t="str">
        <f t="shared" si="219"/>
        <v/>
      </c>
      <c r="CB318" t="str">
        <f t="shared" si="220"/>
        <v>Cephalosporines 3&amp;4G</v>
      </c>
      <c r="CC318" t="str">
        <f t="shared" si="221"/>
        <v/>
      </c>
      <c r="CD318" s="63" t="str">
        <f t="shared" si="222"/>
        <v/>
      </c>
      <c r="CG318" s="42">
        <v>315</v>
      </c>
      <c r="CH318" s="42" t="e">
        <f t="shared" si="238"/>
        <v>#N/A</v>
      </c>
      <c r="CI318" s="63" t="e">
        <f t="shared" si="239"/>
        <v>#N/A</v>
      </c>
      <c r="DM318" s="63"/>
      <c r="EA318" s="194" t="str">
        <f t="shared" ca="1" si="223"/>
        <v>x</v>
      </c>
      <c r="EB318" s="226" t="str">
        <f>IFERROR(IF(ED318=0,"",COUNTIF(ED$4:ED$600,"&gt;"&amp;ED318)+COUNTIF(ED$4:ED318,ED318)),"")</f>
        <v/>
      </c>
      <c r="EC318" t="str">
        <f t="shared" si="224"/>
        <v>NAXCEL 100 MG/ML SUSPENSION INJECTABLE POUR PORCINS</v>
      </c>
      <c r="ED318" t="e">
        <f>IF(IF(EL$2="Catégorie",IF(EL$3="Toutes",SUMIFS('Étape 1 - à remplir'!$F$31:$F$400,'Étape 1 - à remplir'!$E$31:$E$400,MASQ2!EC318,'Étape 1 - à remplir'!$G$31:$G$400,"kg"),SUMIFS('Étape 1 - à remplir'!$F$31:$F$400,'Étape 1 - à remplir'!$E$31:$E$400,MASQ2!EC318,'Étape 1 - à remplir'!$C$31:$C$400,EL$3)),IF(EL$2="Âge",IF(EL$3="Tous",SUMIFS('Étape 1 - à remplir'!$F$31:$F$400,'Étape 1 - à remplir'!$E$31:$E$400,MASQ2!EC318,'Étape 1 - à remplir'!$G$31:$G$400,"kg"),SUMIFS('Étape 1 - à remplir'!$F$31:$F$400,'Étape 1 - à remplir'!$E$31:$E$400,MASQ2!EC318,'Étape 1 - à remplir'!$P$31:$P$400,EL$3,'Étape 1 - à remplir'!$G$31:$G$400,"kg")),IF(EL$2="Atelier",IF(EL$3="Tous",SUMIFS('Étape 1 - à remplir'!$F$31:$F$400,'Étape 1 - à remplir'!$E$31:$E$400,MASQ2!EC318,'Étape 1 - à remplir'!$G$31:$G$400,"kg"),SUMIFS('Étape 1 - à remplir'!$F$31:$F$400,'Étape 1 - à remplir'!$E$31:$E$400,MASQ2!EC318,'Étape 1 - à remplir'!$O$31:$O$400,EL$3,'Étape 1 - à remplir'!$G$31:$G$400,"kg")),IF(EL$2="Espèce",IF(EL$3="Toutes",SUMIFS('Étape 1 - à remplir'!$F$31:$F$400,'Étape 1 - à remplir'!$E$31:$E$400,MASQ2!EC318,'Étape 1 - à remplir'!$G$31:$G$400,"kg"),SUMIFS('Étape 1 - à remplir'!$F$31:$F$400,'Étape 1 - à remplir'!$E$31:$E$400,MASQ2!EC318,'Étape 1 - à remplir'!$N$31:$N$400,EL$3,'Étape 1 - à remplir'!$G$31:$G$400,"kg"))))))=0,NA(),IF(EL$2="Catégorie",IF(EL$3="Toutes",SUMIFS('Étape 1 - à remplir'!$F$31:$F$400,'Étape 1 - à remplir'!$E$31:$E$400,MASQ2!EC318,'Étape 1 - à remplir'!$G$31:$G$400,"kg"),SUMIFS('Étape 1 - à remplir'!$F$31:$F$400,'Étape 1 - à remplir'!$E$31:$E$400,MASQ2!EC318,'Étape 1 - à remplir'!$C$31:$C$400,EL$3)),IF(EL$2="Âge",IF(EL$3="Tous",SUMIFS('Étape 1 - à remplir'!$F$31:$F$400,'Étape 1 - à remplir'!$E$31:$E$400,MASQ2!EC318,'Étape 1 - à remplir'!$G$31:$G$400,"kg"),SUMIFS('Étape 1 - à remplir'!$F$31:$F$400,'Étape 1 - à remplir'!$E$31:$E$400,MASQ2!EC318,'Étape 1 - à remplir'!$P$31:$P$400,EL$3,'Étape 1 - à remplir'!$G$31:$G$400,"kg")),IF(EL$2="Atelier",IF(EL$3="Tous",SUMIFS('Étape 1 - à remplir'!$F$31:$F$400,'Étape 1 - à remplir'!$E$31:$E$400,MASQ2!EC318,'Étape 1 - à remplir'!$G$31:$G$400,"kg"),SUMIFS('Étape 1 - à remplir'!$F$31:$F$400,'Étape 1 - à remplir'!$E$31:$E$400,MASQ2!EC318,'Étape 1 - à remplir'!$O$31:$O$400,EL$3,'Étape 1 - à remplir'!$G$31:$G$400,"kg")),IF(EL$2="Espèce",IF(EL$3="Toutes",SUMIFS('Étape 1 - à remplir'!$F$31:$F$400,'Étape 1 - à remplir'!$E$31:$E$400,MASQ2!EC318,'Étape 1 - à remplir'!$G$31:$G$400,"kg"),SUMIFS('Étape 1 - à remplir'!$F$31:$F$400,'Étape 1 - à remplir'!$E$31:$E$400,MASQ2!EC318,'Étape 1 - à remplir'!$N$31:$N$400,EL$3,'Étape 1 - à remplir'!$G$31:$G$400,"kg")))))))</f>
        <v>#N/A</v>
      </c>
      <c r="EE318" s="76">
        <f t="shared" si="234"/>
        <v>0</v>
      </c>
      <c r="EF318" t="str">
        <f t="shared" si="225"/>
        <v>Ceftiofur</v>
      </c>
      <c r="EG318" t="str">
        <f t="shared" si="226"/>
        <v/>
      </c>
      <c r="EH318" t="str">
        <f t="shared" si="227"/>
        <v/>
      </c>
      <c r="EI318" t="str">
        <f t="shared" si="228"/>
        <v>Cephalosporines 3&amp;4G</v>
      </c>
      <c r="EJ318" t="str">
        <f t="shared" si="229"/>
        <v/>
      </c>
      <c r="EK318" s="63" t="str">
        <f t="shared" si="230"/>
        <v/>
      </c>
      <c r="EN318" s="42">
        <v>315</v>
      </c>
      <c r="EO318" t="e">
        <f t="shared" si="236"/>
        <v>#N/A</v>
      </c>
      <c r="EP318" s="63" t="e">
        <f t="shared" si="237"/>
        <v>#N/A</v>
      </c>
      <c r="FT318" s="63"/>
    </row>
    <row r="319" spans="2:176" x14ac:dyDescent="0.3">
      <c r="B319" s="42"/>
      <c r="M319" s="194" t="str">
        <f ca="1">INDEX(Données_ATB!BD:BU,MATCH(MASQ2!O319,Données_ATB!BD:BD,0),18)</f>
        <v>x</v>
      </c>
      <c r="N319" s="14" t="str">
        <f>IFERROR(IF(Q319=0,"",COUNTIF(Q$4:Q$600,"&gt;"&amp;Q319)+COUNTIF(Q$4:Q319,Q319)),"")</f>
        <v/>
      </c>
      <c r="O319" t="str">
        <f>Données_ATB!BD318</f>
        <v>NAXCEL 200 MG/ML SUSPENSION INJECTABLE POUR BOVINS</v>
      </c>
      <c r="P319" t="e">
        <f>IF(IF(X$2="Catégorie",IF(X$3="Toutes",SUMIFS('Étape 1 - à remplir'!$F$31:$F$400,'Étape 1 - à remplir'!$E$31:$E$400,MASQ2!O319,'Étape 1 - à remplir'!$G$31:$G$400,"animaux"),SUMIFS('Étape 1 - à remplir'!$F$31:$F$400,'Étape 1 - à remplir'!$E$31:$E$400,MASQ2!O319,'Étape 1 - à remplir'!$C$31:$C$400,X$3)),IF(X$2="Âge",IF(X$3="Tous",SUMIFS('Étape 1 - à remplir'!$F$31:$F$400,'Étape 1 - à remplir'!$E$31:$E$400,MASQ2!O319,'Étape 1 - à remplir'!$G$31:$G$400,"animaux"),SUMIFS('Étape 1 - à remplir'!$F$31:$F$400,'Étape 1 - à remplir'!$E$31:$E$400,MASQ2!O319,'Étape 1 - à remplir'!$P$31:$P$400,X$3)),IF(X$2="Atelier",IF(X$3="Tous",SUMIFS('Étape 1 - à remplir'!$F$31:$F$400,'Étape 1 - à remplir'!$E$31:$E$400,MASQ2!O319,'Étape 1 - à remplir'!$G$31:$G$400,"animaux"),SUMIFS('Étape 1 - à remplir'!$F$31:$F$400,'Étape 1 - à remplir'!$E$31:$E$400,MASQ2!O319,'Étape 1 - à remplir'!$O$31:$O$400,X$3)),IF(X$2="Espèce",IF(X$3="Toutes",SUMIFS('Étape 1 - à remplir'!$F$31:$F$400,'Étape 1 - à remplir'!$E$31:$E$400,MASQ2!O319,'Étape 1 - à remplir'!$G$31:$G$400,"animaux"),SUMIFS('Étape 1 - à remplir'!$F$31:$F$400,'Étape 1 - à remplir'!$E$31:$E$400,MASQ2!O319,'Étape 1 - à remplir'!$N$31:$N$400,X$3))))))=0,NA(),IF(X$2="Catégorie",IF(X$3="Toutes",SUMIFS('Étape 1 - à remplir'!$F$31:$F$400,'Étape 1 - à remplir'!$E$31:$E$400,MASQ2!O319,'Étape 1 - à remplir'!$G$31:$G$400,"animaux"),SUMIFS('Étape 1 - à remplir'!$F$31:$F$400,'Étape 1 - à remplir'!$E$31:$E$400,MASQ2!O319,'Étape 1 - à remplir'!$C$31:$C$400,X$3)),IF(X$2="Âge",IF(X$3="Tous",SUMIFS('Étape 1 - à remplir'!$F$31:$F$400,'Étape 1 - à remplir'!$E$31:$E$400,MASQ2!O319,'Étape 1 - à remplir'!$G$31:$G$400,"animaux"),SUMIFS('Étape 1 - à remplir'!$F$31:$F$400,'Étape 1 - à remplir'!$E$31:$E$400,MASQ2!O319,'Étape 1 - à remplir'!$P$31:$P$400,X$3)),IF(X$2="Atelier",IF(X$3="Tous",SUMIFS('Étape 1 - à remplir'!$F$31:$F$400,'Étape 1 - à remplir'!$E$31:$E$400,MASQ2!O319,'Étape 1 - à remplir'!$G$31:$G$400,"animaux"),SUMIFS('Étape 1 - à remplir'!$F$31:$F$400,'Étape 1 - à remplir'!$E$31:$E$400,MASQ2!O319,'Étape 1 - à remplir'!$O$31:$O$400,X$3)),IF(X$2="Espèce",IF(X$3="Toutes",SUMIFS('Étape 1 - à remplir'!$F$31:$F$400,'Étape 1 - à remplir'!$E$31:$E$400,MASQ2!O319,'Étape 1 - à remplir'!$G$31:$G$400,"animaux"),SUMIFS('Étape 1 - à remplir'!$F$31:$F$400,'Étape 1 - à remplir'!$E$31:$E$400,MASQ2!O319,'Étape 1 - à remplir'!$N$31:$N$400,X$3)))))))</f>
        <v>#N/A</v>
      </c>
      <c r="Q319" s="63">
        <f t="shared" si="235"/>
        <v>0</v>
      </c>
      <c r="R319" t="str">
        <f>Données_ATB!BM318</f>
        <v>Ceftiofur</v>
      </c>
      <c r="S319" t="str">
        <f>Données_ATB!BN318</f>
        <v/>
      </c>
      <c r="T319" s="63" t="str">
        <f>Données_ATB!BO318</f>
        <v/>
      </c>
      <c r="U319" s="42" t="str">
        <f>Données_ATB!BQ318</f>
        <v>Cephalosporines 3&amp;4G</v>
      </c>
      <c r="V319" t="str">
        <f>Données_ATB!BR318</f>
        <v/>
      </c>
      <c r="W319" s="63" t="str">
        <f>Données_ATB!BS318</f>
        <v/>
      </c>
      <c r="Z319" s="42">
        <v>316</v>
      </c>
      <c r="AA319" t="e">
        <f t="shared" si="231"/>
        <v>#N/A</v>
      </c>
      <c r="AB319" s="63" t="e">
        <f t="shared" si="232"/>
        <v>#N/A</v>
      </c>
      <c r="BF319" s="63"/>
      <c r="BT319" s="194" t="str">
        <f t="shared" ca="1" si="215"/>
        <v>x</v>
      </c>
      <c r="BU319" s="219" t="str">
        <f>IFERROR(IF(BX319=0,"",COUNTIF(BX$4:BX$600,"&gt;"&amp;BX319)+COUNTIF(BX$4:BX319,BX319)),"")</f>
        <v/>
      </c>
      <c r="BV319" s="42" t="str">
        <f t="shared" si="216"/>
        <v>NAXCEL 200 MG/ML SUSPENSION INJECTABLE POUR BOVINS</v>
      </c>
      <c r="BW319" t="e">
        <f>IF(IF(CE$2="Catégorie",IF(CE$3="Toutes",SUMIFS('Étape 1 - à remplir'!$F$31:$F$400,'Étape 1 - à remplir'!$E$31:$E$400,MASQ2!BV319,'Étape 1 - à remplir'!$G$31:$G$400,"lots"),SUMIFS('Étape 1 - à remplir'!$F$31:$F$400,'Étape 1 - à remplir'!$E$31:$E$400,MASQ2!BV319,'Étape 1 - à remplir'!$C$31:$C$400,CE$3)),IF(CE$2="Âge",IF(CE$3="Tous",SUMIFS('Étape 1 - à remplir'!$F$31:$F$400,'Étape 1 - à remplir'!$E$31:$E$400,MASQ2!BV319,'Étape 1 - à remplir'!$G$31:$G$400,"lots"),SUMIFS('Étape 1 - à remplir'!$F$31:$F$400,'Étape 1 - à remplir'!$E$31:$E$400,MASQ2!BV319,'Étape 1 - à remplir'!$P$31:$P$400,CE$3,'Étape 1 - à remplir'!$G$31:$G$400,"lots")),IF(CE$2="Atelier",IF(CE$3="Tous",SUMIFS('Étape 1 - à remplir'!$F$31:$F$400,'Étape 1 - à remplir'!$E$31:$E$400,MASQ2!BV319,'Étape 1 - à remplir'!$G$31:$G$400,"lots"),SUMIFS('Étape 1 - à remplir'!$F$31:$F$400,'Étape 1 - à remplir'!$E$31:$E$400,MASQ2!BV319,'Étape 1 - à remplir'!$O$31:$O$400,CE$3,'Étape 1 - à remplir'!$G$31:$G$400,"lots")),IF(CE$2="Espèce",IF(CE$3="Toutes",SUMIFS('Étape 1 - à remplir'!$F$31:$F$400,'Étape 1 - à remplir'!$E$31:$E$400,MASQ2!BV319,'Étape 1 - à remplir'!$G$31:$G$400,"lots"),SUMIFS('Étape 1 - à remplir'!$F$31:$F$400,'Étape 1 - à remplir'!$E$31:$E$400,MASQ2!BV319,'Étape 1 - à remplir'!$N$31:$N$400,CE$3,'Étape 1 - à remplir'!$G$31:$G$400,"lots"))))))=0,NA(),IF(CE$2="Catégorie",IF(CE$3="Toutes",SUMIFS('Étape 1 - à remplir'!$F$31:$F$400,'Étape 1 - à remplir'!$E$31:$E$400,MASQ2!BV319,'Étape 1 - à remplir'!$G$31:$G$400,"lots"),SUMIFS('Étape 1 - à remplir'!$F$31:$F$400,'Étape 1 - à remplir'!$E$31:$E$400,MASQ2!BV319,'Étape 1 - à remplir'!$C$31:$C$400,CE$3)),IF(CE$2="Âge",IF(CE$3="Tous",SUMIFS('Étape 1 - à remplir'!$F$31:$F$400,'Étape 1 - à remplir'!$E$31:$E$400,MASQ2!BV319,'Étape 1 - à remplir'!$G$31:$G$400,"lots"),SUMIFS('Étape 1 - à remplir'!$F$31:$F$400,'Étape 1 - à remplir'!$E$31:$E$400,MASQ2!BV319,'Étape 1 - à remplir'!$P$31:$P$400,CE$3,'Étape 1 - à remplir'!$G$31:$G$400,"lots")),IF(CE$2="Atelier",IF(CE$3="Tous",SUMIFS('Étape 1 - à remplir'!$F$31:$F$400,'Étape 1 - à remplir'!$E$31:$E$400,MASQ2!BV319,'Étape 1 - à remplir'!$G$31:$G$400,"lots"),SUMIFS('Étape 1 - à remplir'!$F$31:$F$400,'Étape 1 - à remplir'!$E$31:$E$400,MASQ2!BV319,'Étape 1 - à remplir'!$O$31:$O$400,CE$3,'Étape 1 - à remplir'!$G$31:$G$400,"lots")),IF(CE$2="Espèce",IF(CE$3="Toutes",SUMIFS('Étape 1 - à remplir'!$F$31:$F$400,'Étape 1 - à remplir'!$E$31:$E$400,MASQ2!BV319,'Étape 1 - à remplir'!$G$31:$G$400,"lots"),SUMIFS('Étape 1 - à remplir'!$F$31:$F$400,'Étape 1 - à remplir'!$E$31:$E$400,MASQ2!BV319,'Étape 1 - à remplir'!$N$31:$N$400,CE$3,'Étape 1 - à remplir'!$G$31:$G$400,"lots")))))))</f>
        <v>#N/A</v>
      </c>
      <c r="BX319">
        <f t="shared" si="233"/>
        <v>0</v>
      </c>
      <c r="BY319" t="str">
        <f t="shared" si="217"/>
        <v>Ceftiofur</v>
      </c>
      <c r="BZ319" t="str">
        <f t="shared" si="218"/>
        <v/>
      </c>
      <c r="CA319" t="str">
        <f t="shared" si="219"/>
        <v/>
      </c>
      <c r="CB319" t="str">
        <f t="shared" si="220"/>
        <v>Cephalosporines 3&amp;4G</v>
      </c>
      <c r="CC319" t="str">
        <f t="shared" si="221"/>
        <v/>
      </c>
      <c r="CD319" s="63" t="str">
        <f t="shared" si="222"/>
        <v/>
      </c>
      <c r="CG319" s="42">
        <v>316</v>
      </c>
      <c r="CH319" s="42" t="e">
        <f t="shared" si="238"/>
        <v>#N/A</v>
      </c>
      <c r="CI319" s="63" t="e">
        <f t="shared" si="239"/>
        <v>#N/A</v>
      </c>
      <c r="DM319" s="63"/>
      <c r="EA319" s="194" t="str">
        <f t="shared" ca="1" si="223"/>
        <v>x</v>
      </c>
      <c r="EB319" s="226" t="str">
        <f>IFERROR(IF(ED319=0,"",COUNTIF(ED$4:ED$600,"&gt;"&amp;ED319)+COUNTIF(ED$4:ED319,ED319)),"")</f>
        <v/>
      </c>
      <c r="EC319" t="str">
        <f t="shared" si="224"/>
        <v>NAXCEL 200 MG/ML SUSPENSION INJECTABLE POUR BOVINS</v>
      </c>
      <c r="ED319" t="e">
        <f>IF(IF(EL$2="Catégorie",IF(EL$3="Toutes",SUMIFS('Étape 1 - à remplir'!$F$31:$F$400,'Étape 1 - à remplir'!$E$31:$E$400,MASQ2!EC319,'Étape 1 - à remplir'!$G$31:$G$400,"kg"),SUMIFS('Étape 1 - à remplir'!$F$31:$F$400,'Étape 1 - à remplir'!$E$31:$E$400,MASQ2!EC319,'Étape 1 - à remplir'!$C$31:$C$400,EL$3)),IF(EL$2="Âge",IF(EL$3="Tous",SUMIFS('Étape 1 - à remplir'!$F$31:$F$400,'Étape 1 - à remplir'!$E$31:$E$400,MASQ2!EC319,'Étape 1 - à remplir'!$G$31:$G$400,"kg"),SUMIFS('Étape 1 - à remplir'!$F$31:$F$400,'Étape 1 - à remplir'!$E$31:$E$400,MASQ2!EC319,'Étape 1 - à remplir'!$P$31:$P$400,EL$3,'Étape 1 - à remplir'!$G$31:$G$400,"kg")),IF(EL$2="Atelier",IF(EL$3="Tous",SUMIFS('Étape 1 - à remplir'!$F$31:$F$400,'Étape 1 - à remplir'!$E$31:$E$400,MASQ2!EC319,'Étape 1 - à remplir'!$G$31:$G$400,"kg"),SUMIFS('Étape 1 - à remplir'!$F$31:$F$400,'Étape 1 - à remplir'!$E$31:$E$400,MASQ2!EC319,'Étape 1 - à remplir'!$O$31:$O$400,EL$3,'Étape 1 - à remplir'!$G$31:$G$400,"kg")),IF(EL$2="Espèce",IF(EL$3="Toutes",SUMIFS('Étape 1 - à remplir'!$F$31:$F$400,'Étape 1 - à remplir'!$E$31:$E$400,MASQ2!EC319,'Étape 1 - à remplir'!$G$31:$G$400,"kg"),SUMIFS('Étape 1 - à remplir'!$F$31:$F$400,'Étape 1 - à remplir'!$E$31:$E$400,MASQ2!EC319,'Étape 1 - à remplir'!$N$31:$N$400,EL$3,'Étape 1 - à remplir'!$G$31:$G$400,"kg"))))))=0,NA(),IF(EL$2="Catégorie",IF(EL$3="Toutes",SUMIFS('Étape 1 - à remplir'!$F$31:$F$400,'Étape 1 - à remplir'!$E$31:$E$400,MASQ2!EC319,'Étape 1 - à remplir'!$G$31:$G$400,"kg"),SUMIFS('Étape 1 - à remplir'!$F$31:$F$400,'Étape 1 - à remplir'!$E$31:$E$400,MASQ2!EC319,'Étape 1 - à remplir'!$C$31:$C$400,EL$3)),IF(EL$2="Âge",IF(EL$3="Tous",SUMIFS('Étape 1 - à remplir'!$F$31:$F$400,'Étape 1 - à remplir'!$E$31:$E$400,MASQ2!EC319,'Étape 1 - à remplir'!$G$31:$G$400,"kg"),SUMIFS('Étape 1 - à remplir'!$F$31:$F$400,'Étape 1 - à remplir'!$E$31:$E$400,MASQ2!EC319,'Étape 1 - à remplir'!$P$31:$P$400,EL$3,'Étape 1 - à remplir'!$G$31:$G$400,"kg")),IF(EL$2="Atelier",IF(EL$3="Tous",SUMIFS('Étape 1 - à remplir'!$F$31:$F$400,'Étape 1 - à remplir'!$E$31:$E$400,MASQ2!EC319,'Étape 1 - à remplir'!$G$31:$G$400,"kg"),SUMIFS('Étape 1 - à remplir'!$F$31:$F$400,'Étape 1 - à remplir'!$E$31:$E$400,MASQ2!EC319,'Étape 1 - à remplir'!$O$31:$O$400,EL$3,'Étape 1 - à remplir'!$G$31:$G$400,"kg")),IF(EL$2="Espèce",IF(EL$3="Toutes",SUMIFS('Étape 1 - à remplir'!$F$31:$F$400,'Étape 1 - à remplir'!$E$31:$E$400,MASQ2!EC319,'Étape 1 - à remplir'!$G$31:$G$400,"kg"),SUMIFS('Étape 1 - à remplir'!$F$31:$F$400,'Étape 1 - à remplir'!$E$31:$E$400,MASQ2!EC319,'Étape 1 - à remplir'!$N$31:$N$400,EL$3,'Étape 1 - à remplir'!$G$31:$G$400,"kg")))))))</f>
        <v>#N/A</v>
      </c>
      <c r="EE319" s="76">
        <f t="shared" si="234"/>
        <v>0</v>
      </c>
      <c r="EF319" t="str">
        <f t="shared" si="225"/>
        <v>Ceftiofur</v>
      </c>
      <c r="EG319" t="str">
        <f t="shared" si="226"/>
        <v/>
      </c>
      <c r="EH319" t="str">
        <f t="shared" si="227"/>
        <v/>
      </c>
      <c r="EI319" t="str">
        <f t="shared" si="228"/>
        <v>Cephalosporines 3&amp;4G</v>
      </c>
      <c r="EJ319" t="str">
        <f t="shared" si="229"/>
        <v/>
      </c>
      <c r="EK319" s="63" t="str">
        <f t="shared" si="230"/>
        <v/>
      </c>
      <c r="EN319" s="42">
        <v>316</v>
      </c>
      <c r="EO319" t="e">
        <f t="shared" si="236"/>
        <v>#N/A</v>
      </c>
      <c r="EP319" s="63" t="e">
        <f t="shared" si="237"/>
        <v>#N/A</v>
      </c>
      <c r="FT319" s="63"/>
    </row>
    <row r="320" spans="2:176" x14ac:dyDescent="0.3">
      <c r="B320" s="42"/>
      <c r="M320" s="194" t="str">
        <f ca="1">INDEX(Données_ATB!BD:BU,MATCH(MASQ2!O320,Données_ATB!BD:BD,0),18)</f>
        <v/>
      </c>
      <c r="N320" s="14" t="str">
        <f>IFERROR(IF(Q320=0,"",COUNTIF(Q$4:Q$600,"&gt;"&amp;Q320)+COUNTIF(Q$4:Q320,Q320)),"")</f>
        <v/>
      </c>
      <c r="O320" t="str">
        <f>Données_ATB!BD319</f>
        <v>NEGEROL AEROSOL</v>
      </c>
      <c r="P320" t="e">
        <f>IF(IF(X$2="Catégorie",IF(X$3="Toutes",SUMIFS('Étape 1 - à remplir'!$F$31:$F$400,'Étape 1 - à remplir'!$E$31:$E$400,MASQ2!O320,'Étape 1 - à remplir'!$G$31:$G$400,"animaux"),SUMIFS('Étape 1 - à remplir'!$F$31:$F$400,'Étape 1 - à remplir'!$E$31:$E$400,MASQ2!O320,'Étape 1 - à remplir'!$C$31:$C$400,X$3)),IF(X$2="Âge",IF(X$3="Tous",SUMIFS('Étape 1 - à remplir'!$F$31:$F$400,'Étape 1 - à remplir'!$E$31:$E$400,MASQ2!O320,'Étape 1 - à remplir'!$G$31:$G$400,"animaux"),SUMIFS('Étape 1 - à remplir'!$F$31:$F$400,'Étape 1 - à remplir'!$E$31:$E$400,MASQ2!O320,'Étape 1 - à remplir'!$P$31:$P$400,X$3)),IF(X$2="Atelier",IF(X$3="Tous",SUMIFS('Étape 1 - à remplir'!$F$31:$F$400,'Étape 1 - à remplir'!$E$31:$E$400,MASQ2!O320,'Étape 1 - à remplir'!$G$31:$G$400,"animaux"),SUMIFS('Étape 1 - à remplir'!$F$31:$F$400,'Étape 1 - à remplir'!$E$31:$E$400,MASQ2!O320,'Étape 1 - à remplir'!$O$31:$O$400,X$3)),IF(X$2="Espèce",IF(X$3="Toutes",SUMIFS('Étape 1 - à remplir'!$F$31:$F$400,'Étape 1 - à remplir'!$E$31:$E$400,MASQ2!O320,'Étape 1 - à remplir'!$G$31:$G$400,"animaux"),SUMIFS('Étape 1 - à remplir'!$F$31:$F$400,'Étape 1 - à remplir'!$E$31:$E$400,MASQ2!O320,'Étape 1 - à remplir'!$N$31:$N$400,X$3))))))=0,NA(),IF(X$2="Catégorie",IF(X$3="Toutes",SUMIFS('Étape 1 - à remplir'!$F$31:$F$400,'Étape 1 - à remplir'!$E$31:$E$400,MASQ2!O320,'Étape 1 - à remplir'!$G$31:$G$400,"animaux"),SUMIFS('Étape 1 - à remplir'!$F$31:$F$400,'Étape 1 - à remplir'!$E$31:$E$400,MASQ2!O320,'Étape 1 - à remplir'!$C$31:$C$400,X$3)),IF(X$2="Âge",IF(X$3="Tous",SUMIFS('Étape 1 - à remplir'!$F$31:$F$400,'Étape 1 - à remplir'!$E$31:$E$400,MASQ2!O320,'Étape 1 - à remplir'!$G$31:$G$400,"animaux"),SUMIFS('Étape 1 - à remplir'!$F$31:$F$400,'Étape 1 - à remplir'!$E$31:$E$400,MASQ2!O320,'Étape 1 - à remplir'!$P$31:$P$400,X$3)),IF(X$2="Atelier",IF(X$3="Tous",SUMIFS('Étape 1 - à remplir'!$F$31:$F$400,'Étape 1 - à remplir'!$E$31:$E$400,MASQ2!O320,'Étape 1 - à remplir'!$G$31:$G$400,"animaux"),SUMIFS('Étape 1 - à remplir'!$F$31:$F$400,'Étape 1 - à remplir'!$E$31:$E$400,MASQ2!O320,'Étape 1 - à remplir'!$O$31:$O$400,X$3)),IF(X$2="Espèce",IF(X$3="Toutes",SUMIFS('Étape 1 - à remplir'!$F$31:$F$400,'Étape 1 - à remplir'!$E$31:$E$400,MASQ2!O320,'Étape 1 - à remplir'!$G$31:$G$400,"animaux"),SUMIFS('Étape 1 - à remplir'!$F$31:$F$400,'Étape 1 - à remplir'!$E$31:$E$400,MASQ2!O320,'Étape 1 - à remplir'!$N$31:$N$400,X$3)))))))</f>
        <v>#N/A</v>
      </c>
      <c r="Q320" s="63">
        <f t="shared" si="235"/>
        <v>0</v>
      </c>
      <c r="R320" t="str">
        <f>Données_ATB!BM319</f>
        <v>Thiamphénicol</v>
      </c>
      <c r="S320" t="str">
        <f>Données_ATB!BN319</f>
        <v/>
      </c>
      <c r="T320" s="63" t="str">
        <f>Données_ATB!BO319</f>
        <v/>
      </c>
      <c r="U320" s="42" t="str">
        <f>Données_ATB!BQ319</f>
        <v>Phenicoles</v>
      </c>
      <c r="V320" t="str">
        <f>Données_ATB!BR319</f>
        <v/>
      </c>
      <c r="W320" s="63" t="str">
        <f>Données_ATB!BS319</f>
        <v/>
      </c>
      <c r="Z320" s="42">
        <v>317</v>
      </c>
      <c r="AA320" t="e">
        <f t="shared" si="231"/>
        <v>#N/A</v>
      </c>
      <c r="AB320" s="63" t="e">
        <f t="shared" si="232"/>
        <v>#N/A</v>
      </c>
      <c r="BF320" s="63"/>
      <c r="BT320" s="194" t="str">
        <f t="shared" ca="1" si="215"/>
        <v/>
      </c>
      <c r="BU320" s="219" t="str">
        <f>IFERROR(IF(BX320=0,"",COUNTIF(BX$4:BX$600,"&gt;"&amp;BX320)+COUNTIF(BX$4:BX320,BX320)),"")</f>
        <v/>
      </c>
      <c r="BV320" s="42" t="str">
        <f t="shared" si="216"/>
        <v>NEGEROL AEROSOL</v>
      </c>
      <c r="BW320" t="e">
        <f>IF(IF(CE$2="Catégorie",IF(CE$3="Toutes",SUMIFS('Étape 1 - à remplir'!$F$31:$F$400,'Étape 1 - à remplir'!$E$31:$E$400,MASQ2!BV320,'Étape 1 - à remplir'!$G$31:$G$400,"lots"),SUMIFS('Étape 1 - à remplir'!$F$31:$F$400,'Étape 1 - à remplir'!$E$31:$E$400,MASQ2!BV320,'Étape 1 - à remplir'!$C$31:$C$400,CE$3)),IF(CE$2="Âge",IF(CE$3="Tous",SUMIFS('Étape 1 - à remplir'!$F$31:$F$400,'Étape 1 - à remplir'!$E$31:$E$400,MASQ2!BV320,'Étape 1 - à remplir'!$G$31:$G$400,"lots"),SUMIFS('Étape 1 - à remplir'!$F$31:$F$400,'Étape 1 - à remplir'!$E$31:$E$400,MASQ2!BV320,'Étape 1 - à remplir'!$P$31:$P$400,CE$3,'Étape 1 - à remplir'!$G$31:$G$400,"lots")),IF(CE$2="Atelier",IF(CE$3="Tous",SUMIFS('Étape 1 - à remplir'!$F$31:$F$400,'Étape 1 - à remplir'!$E$31:$E$400,MASQ2!BV320,'Étape 1 - à remplir'!$G$31:$G$400,"lots"),SUMIFS('Étape 1 - à remplir'!$F$31:$F$400,'Étape 1 - à remplir'!$E$31:$E$400,MASQ2!BV320,'Étape 1 - à remplir'!$O$31:$O$400,CE$3,'Étape 1 - à remplir'!$G$31:$G$400,"lots")),IF(CE$2="Espèce",IF(CE$3="Toutes",SUMIFS('Étape 1 - à remplir'!$F$31:$F$400,'Étape 1 - à remplir'!$E$31:$E$400,MASQ2!BV320,'Étape 1 - à remplir'!$G$31:$G$400,"lots"),SUMIFS('Étape 1 - à remplir'!$F$31:$F$400,'Étape 1 - à remplir'!$E$31:$E$400,MASQ2!BV320,'Étape 1 - à remplir'!$N$31:$N$400,CE$3,'Étape 1 - à remplir'!$G$31:$G$400,"lots"))))))=0,NA(),IF(CE$2="Catégorie",IF(CE$3="Toutes",SUMIFS('Étape 1 - à remplir'!$F$31:$F$400,'Étape 1 - à remplir'!$E$31:$E$400,MASQ2!BV320,'Étape 1 - à remplir'!$G$31:$G$400,"lots"),SUMIFS('Étape 1 - à remplir'!$F$31:$F$400,'Étape 1 - à remplir'!$E$31:$E$400,MASQ2!BV320,'Étape 1 - à remplir'!$C$31:$C$400,CE$3)),IF(CE$2="Âge",IF(CE$3="Tous",SUMIFS('Étape 1 - à remplir'!$F$31:$F$400,'Étape 1 - à remplir'!$E$31:$E$400,MASQ2!BV320,'Étape 1 - à remplir'!$G$31:$G$400,"lots"),SUMIFS('Étape 1 - à remplir'!$F$31:$F$400,'Étape 1 - à remplir'!$E$31:$E$400,MASQ2!BV320,'Étape 1 - à remplir'!$P$31:$P$400,CE$3,'Étape 1 - à remplir'!$G$31:$G$400,"lots")),IF(CE$2="Atelier",IF(CE$3="Tous",SUMIFS('Étape 1 - à remplir'!$F$31:$F$400,'Étape 1 - à remplir'!$E$31:$E$400,MASQ2!BV320,'Étape 1 - à remplir'!$G$31:$G$400,"lots"),SUMIFS('Étape 1 - à remplir'!$F$31:$F$400,'Étape 1 - à remplir'!$E$31:$E$400,MASQ2!BV320,'Étape 1 - à remplir'!$O$31:$O$400,CE$3,'Étape 1 - à remplir'!$G$31:$G$400,"lots")),IF(CE$2="Espèce",IF(CE$3="Toutes",SUMIFS('Étape 1 - à remplir'!$F$31:$F$400,'Étape 1 - à remplir'!$E$31:$E$400,MASQ2!BV320,'Étape 1 - à remplir'!$G$31:$G$400,"lots"),SUMIFS('Étape 1 - à remplir'!$F$31:$F$400,'Étape 1 - à remplir'!$E$31:$E$400,MASQ2!BV320,'Étape 1 - à remplir'!$N$31:$N$400,CE$3,'Étape 1 - à remplir'!$G$31:$G$400,"lots")))))))</f>
        <v>#N/A</v>
      </c>
      <c r="BX320">
        <f t="shared" si="233"/>
        <v>0</v>
      </c>
      <c r="BY320" t="str">
        <f t="shared" si="217"/>
        <v>Thiamphénicol</v>
      </c>
      <c r="BZ320" t="str">
        <f t="shared" si="218"/>
        <v/>
      </c>
      <c r="CA320" t="str">
        <f t="shared" si="219"/>
        <v/>
      </c>
      <c r="CB320" t="str">
        <f t="shared" si="220"/>
        <v>Phenicoles</v>
      </c>
      <c r="CC320" t="str">
        <f t="shared" si="221"/>
        <v/>
      </c>
      <c r="CD320" s="63" t="str">
        <f t="shared" si="222"/>
        <v/>
      </c>
      <c r="CG320" s="42">
        <v>317</v>
      </c>
      <c r="CH320" s="42" t="e">
        <f t="shared" si="238"/>
        <v>#N/A</v>
      </c>
      <c r="CI320" s="63" t="e">
        <f t="shared" si="239"/>
        <v>#N/A</v>
      </c>
      <c r="DM320" s="63"/>
      <c r="EA320" s="194" t="str">
        <f t="shared" ca="1" si="223"/>
        <v/>
      </c>
      <c r="EB320" s="226" t="str">
        <f>IFERROR(IF(ED320=0,"",COUNTIF(ED$4:ED$600,"&gt;"&amp;ED320)+COUNTIF(ED$4:ED320,ED320)),"")</f>
        <v/>
      </c>
      <c r="EC320" t="str">
        <f t="shared" si="224"/>
        <v>NEGEROL AEROSOL</v>
      </c>
      <c r="ED320" t="e">
        <f>IF(IF(EL$2="Catégorie",IF(EL$3="Toutes",SUMIFS('Étape 1 - à remplir'!$F$31:$F$400,'Étape 1 - à remplir'!$E$31:$E$400,MASQ2!EC320,'Étape 1 - à remplir'!$G$31:$G$400,"kg"),SUMIFS('Étape 1 - à remplir'!$F$31:$F$400,'Étape 1 - à remplir'!$E$31:$E$400,MASQ2!EC320,'Étape 1 - à remplir'!$C$31:$C$400,EL$3)),IF(EL$2="Âge",IF(EL$3="Tous",SUMIFS('Étape 1 - à remplir'!$F$31:$F$400,'Étape 1 - à remplir'!$E$31:$E$400,MASQ2!EC320,'Étape 1 - à remplir'!$G$31:$G$400,"kg"),SUMIFS('Étape 1 - à remplir'!$F$31:$F$400,'Étape 1 - à remplir'!$E$31:$E$400,MASQ2!EC320,'Étape 1 - à remplir'!$P$31:$P$400,EL$3,'Étape 1 - à remplir'!$G$31:$G$400,"kg")),IF(EL$2="Atelier",IF(EL$3="Tous",SUMIFS('Étape 1 - à remplir'!$F$31:$F$400,'Étape 1 - à remplir'!$E$31:$E$400,MASQ2!EC320,'Étape 1 - à remplir'!$G$31:$G$400,"kg"),SUMIFS('Étape 1 - à remplir'!$F$31:$F$400,'Étape 1 - à remplir'!$E$31:$E$400,MASQ2!EC320,'Étape 1 - à remplir'!$O$31:$O$400,EL$3,'Étape 1 - à remplir'!$G$31:$G$400,"kg")),IF(EL$2="Espèce",IF(EL$3="Toutes",SUMIFS('Étape 1 - à remplir'!$F$31:$F$400,'Étape 1 - à remplir'!$E$31:$E$400,MASQ2!EC320,'Étape 1 - à remplir'!$G$31:$G$400,"kg"),SUMIFS('Étape 1 - à remplir'!$F$31:$F$400,'Étape 1 - à remplir'!$E$31:$E$400,MASQ2!EC320,'Étape 1 - à remplir'!$N$31:$N$400,EL$3,'Étape 1 - à remplir'!$G$31:$G$400,"kg"))))))=0,NA(),IF(EL$2="Catégorie",IF(EL$3="Toutes",SUMIFS('Étape 1 - à remplir'!$F$31:$F$400,'Étape 1 - à remplir'!$E$31:$E$400,MASQ2!EC320,'Étape 1 - à remplir'!$G$31:$G$400,"kg"),SUMIFS('Étape 1 - à remplir'!$F$31:$F$400,'Étape 1 - à remplir'!$E$31:$E$400,MASQ2!EC320,'Étape 1 - à remplir'!$C$31:$C$400,EL$3)),IF(EL$2="Âge",IF(EL$3="Tous",SUMIFS('Étape 1 - à remplir'!$F$31:$F$400,'Étape 1 - à remplir'!$E$31:$E$400,MASQ2!EC320,'Étape 1 - à remplir'!$G$31:$G$400,"kg"),SUMIFS('Étape 1 - à remplir'!$F$31:$F$400,'Étape 1 - à remplir'!$E$31:$E$400,MASQ2!EC320,'Étape 1 - à remplir'!$P$31:$P$400,EL$3,'Étape 1 - à remplir'!$G$31:$G$400,"kg")),IF(EL$2="Atelier",IF(EL$3="Tous",SUMIFS('Étape 1 - à remplir'!$F$31:$F$400,'Étape 1 - à remplir'!$E$31:$E$400,MASQ2!EC320,'Étape 1 - à remplir'!$G$31:$G$400,"kg"),SUMIFS('Étape 1 - à remplir'!$F$31:$F$400,'Étape 1 - à remplir'!$E$31:$E$400,MASQ2!EC320,'Étape 1 - à remplir'!$O$31:$O$400,EL$3,'Étape 1 - à remplir'!$G$31:$G$400,"kg")),IF(EL$2="Espèce",IF(EL$3="Toutes",SUMIFS('Étape 1 - à remplir'!$F$31:$F$400,'Étape 1 - à remplir'!$E$31:$E$400,MASQ2!EC320,'Étape 1 - à remplir'!$G$31:$G$400,"kg"),SUMIFS('Étape 1 - à remplir'!$F$31:$F$400,'Étape 1 - à remplir'!$E$31:$E$400,MASQ2!EC320,'Étape 1 - à remplir'!$N$31:$N$400,EL$3,'Étape 1 - à remplir'!$G$31:$G$400,"kg")))))))</f>
        <v>#N/A</v>
      </c>
      <c r="EE320" s="76">
        <f t="shared" si="234"/>
        <v>0</v>
      </c>
      <c r="EF320" t="str">
        <f t="shared" si="225"/>
        <v>Thiamphénicol</v>
      </c>
      <c r="EG320" t="str">
        <f t="shared" si="226"/>
        <v/>
      </c>
      <c r="EH320" t="str">
        <f t="shared" si="227"/>
        <v/>
      </c>
      <c r="EI320" t="str">
        <f t="shared" si="228"/>
        <v>Phenicoles</v>
      </c>
      <c r="EJ320" t="str">
        <f t="shared" si="229"/>
        <v/>
      </c>
      <c r="EK320" s="63" t="str">
        <f t="shared" si="230"/>
        <v/>
      </c>
      <c r="EN320" s="42">
        <v>317</v>
      </c>
      <c r="EO320" t="e">
        <f t="shared" si="236"/>
        <v>#N/A</v>
      </c>
      <c r="EP320" s="63" t="e">
        <f t="shared" si="237"/>
        <v>#N/A</v>
      </c>
      <c r="FT320" s="63"/>
    </row>
    <row r="321" spans="2:176" x14ac:dyDescent="0.3">
      <c r="B321" s="42"/>
      <c r="M321" s="194" t="str">
        <f ca="1">INDEX(Données_ATB!BD:BU,MATCH(MASQ2!O321,Données_ATB!BD:BD,0),18)</f>
        <v/>
      </c>
      <c r="N321" s="14" t="str">
        <f>IFERROR(IF(Q321=0,"",COUNTIF(Q$4:Q$600,"&gt;"&amp;Q321)+COUNTIF(Q$4:Q321,Q321)),"")</f>
        <v/>
      </c>
      <c r="O321" t="str">
        <f>Données_ATB!BD320</f>
        <v>NEO 50 FRANVET</v>
      </c>
      <c r="P321" t="e">
        <f>IF(IF(X$2="Catégorie",IF(X$3="Toutes",SUMIFS('Étape 1 - à remplir'!$F$31:$F$400,'Étape 1 - à remplir'!$E$31:$E$400,MASQ2!O321,'Étape 1 - à remplir'!$G$31:$G$400,"animaux"),SUMIFS('Étape 1 - à remplir'!$F$31:$F$400,'Étape 1 - à remplir'!$E$31:$E$400,MASQ2!O321,'Étape 1 - à remplir'!$C$31:$C$400,X$3)),IF(X$2="Âge",IF(X$3="Tous",SUMIFS('Étape 1 - à remplir'!$F$31:$F$400,'Étape 1 - à remplir'!$E$31:$E$400,MASQ2!O321,'Étape 1 - à remplir'!$G$31:$G$400,"animaux"),SUMIFS('Étape 1 - à remplir'!$F$31:$F$400,'Étape 1 - à remplir'!$E$31:$E$400,MASQ2!O321,'Étape 1 - à remplir'!$P$31:$P$400,X$3)),IF(X$2="Atelier",IF(X$3="Tous",SUMIFS('Étape 1 - à remplir'!$F$31:$F$400,'Étape 1 - à remplir'!$E$31:$E$400,MASQ2!O321,'Étape 1 - à remplir'!$G$31:$G$400,"animaux"),SUMIFS('Étape 1 - à remplir'!$F$31:$F$400,'Étape 1 - à remplir'!$E$31:$E$400,MASQ2!O321,'Étape 1 - à remplir'!$O$31:$O$400,X$3)),IF(X$2="Espèce",IF(X$3="Toutes",SUMIFS('Étape 1 - à remplir'!$F$31:$F$400,'Étape 1 - à remplir'!$E$31:$E$400,MASQ2!O321,'Étape 1 - à remplir'!$G$31:$G$400,"animaux"),SUMIFS('Étape 1 - à remplir'!$F$31:$F$400,'Étape 1 - à remplir'!$E$31:$E$400,MASQ2!O321,'Étape 1 - à remplir'!$N$31:$N$400,X$3))))))=0,NA(),IF(X$2="Catégorie",IF(X$3="Toutes",SUMIFS('Étape 1 - à remplir'!$F$31:$F$400,'Étape 1 - à remplir'!$E$31:$E$400,MASQ2!O321,'Étape 1 - à remplir'!$G$31:$G$400,"animaux"),SUMIFS('Étape 1 - à remplir'!$F$31:$F$400,'Étape 1 - à remplir'!$E$31:$E$400,MASQ2!O321,'Étape 1 - à remplir'!$C$31:$C$400,X$3)),IF(X$2="Âge",IF(X$3="Tous",SUMIFS('Étape 1 - à remplir'!$F$31:$F$400,'Étape 1 - à remplir'!$E$31:$E$400,MASQ2!O321,'Étape 1 - à remplir'!$G$31:$G$400,"animaux"),SUMIFS('Étape 1 - à remplir'!$F$31:$F$400,'Étape 1 - à remplir'!$E$31:$E$400,MASQ2!O321,'Étape 1 - à remplir'!$P$31:$P$400,X$3)),IF(X$2="Atelier",IF(X$3="Tous",SUMIFS('Étape 1 - à remplir'!$F$31:$F$400,'Étape 1 - à remplir'!$E$31:$E$400,MASQ2!O321,'Étape 1 - à remplir'!$G$31:$G$400,"animaux"),SUMIFS('Étape 1 - à remplir'!$F$31:$F$400,'Étape 1 - à remplir'!$E$31:$E$400,MASQ2!O321,'Étape 1 - à remplir'!$O$31:$O$400,X$3)),IF(X$2="Espèce",IF(X$3="Toutes",SUMIFS('Étape 1 - à remplir'!$F$31:$F$400,'Étape 1 - à remplir'!$E$31:$E$400,MASQ2!O321,'Étape 1 - à remplir'!$G$31:$G$400,"animaux"),SUMIFS('Étape 1 - à remplir'!$F$31:$F$400,'Étape 1 - à remplir'!$E$31:$E$400,MASQ2!O321,'Étape 1 - à remplir'!$N$31:$N$400,X$3)))))))</f>
        <v>#N/A</v>
      </c>
      <c r="Q321" s="63">
        <f t="shared" si="235"/>
        <v>0</v>
      </c>
      <c r="R321" t="str">
        <f>Données_ATB!BM320</f>
        <v>Néomycine</v>
      </c>
      <c r="S321" t="str">
        <f>Données_ATB!BN320</f>
        <v/>
      </c>
      <c r="T321" s="63" t="str">
        <f>Données_ATB!BO320</f>
        <v/>
      </c>
      <c r="U321" s="42" t="str">
        <f>Données_ATB!BQ320</f>
        <v>Aminoglycosides</v>
      </c>
      <c r="V321" t="str">
        <f>Données_ATB!BR320</f>
        <v/>
      </c>
      <c r="W321" s="63" t="str">
        <f>Données_ATB!BS320</f>
        <v/>
      </c>
      <c r="Z321" s="42">
        <v>318</v>
      </c>
      <c r="AA321" t="e">
        <f t="shared" si="231"/>
        <v>#N/A</v>
      </c>
      <c r="AB321" s="63" t="e">
        <f t="shared" si="232"/>
        <v>#N/A</v>
      </c>
      <c r="BF321" s="63"/>
      <c r="BT321" s="194" t="str">
        <f t="shared" ca="1" si="215"/>
        <v/>
      </c>
      <c r="BU321" s="219" t="str">
        <f>IFERROR(IF(BX321=0,"",COUNTIF(BX$4:BX$600,"&gt;"&amp;BX321)+COUNTIF(BX$4:BX321,BX321)),"")</f>
        <v/>
      </c>
      <c r="BV321" s="42" t="str">
        <f t="shared" si="216"/>
        <v>NEO 50 FRANVET</v>
      </c>
      <c r="BW321" t="e">
        <f>IF(IF(CE$2="Catégorie",IF(CE$3="Toutes",SUMIFS('Étape 1 - à remplir'!$F$31:$F$400,'Étape 1 - à remplir'!$E$31:$E$400,MASQ2!BV321,'Étape 1 - à remplir'!$G$31:$G$400,"lots"),SUMIFS('Étape 1 - à remplir'!$F$31:$F$400,'Étape 1 - à remplir'!$E$31:$E$400,MASQ2!BV321,'Étape 1 - à remplir'!$C$31:$C$400,CE$3)),IF(CE$2="Âge",IF(CE$3="Tous",SUMIFS('Étape 1 - à remplir'!$F$31:$F$400,'Étape 1 - à remplir'!$E$31:$E$400,MASQ2!BV321,'Étape 1 - à remplir'!$G$31:$G$400,"lots"),SUMIFS('Étape 1 - à remplir'!$F$31:$F$400,'Étape 1 - à remplir'!$E$31:$E$400,MASQ2!BV321,'Étape 1 - à remplir'!$P$31:$P$400,CE$3,'Étape 1 - à remplir'!$G$31:$G$400,"lots")),IF(CE$2="Atelier",IF(CE$3="Tous",SUMIFS('Étape 1 - à remplir'!$F$31:$F$400,'Étape 1 - à remplir'!$E$31:$E$400,MASQ2!BV321,'Étape 1 - à remplir'!$G$31:$G$400,"lots"),SUMIFS('Étape 1 - à remplir'!$F$31:$F$400,'Étape 1 - à remplir'!$E$31:$E$400,MASQ2!BV321,'Étape 1 - à remplir'!$O$31:$O$400,CE$3,'Étape 1 - à remplir'!$G$31:$G$400,"lots")),IF(CE$2="Espèce",IF(CE$3="Toutes",SUMIFS('Étape 1 - à remplir'!$F$31:$F$400,'Étape 1 - à remplir'!$E$31:$E$400,MASQ2!BV321,'Étape 1 - à remplir'!$G$31:$G$400,"lots"),SUMIFS('Étape 1 - à remplir'!$F$31:$F$400,'Étape 1 - à remplir'!$E$31:$E$400,MASQ2!BV321,'Étape 1 - à remplir'!$N$31:$N$400,CE$3,'Étape 1 - à remplir'!$G$31:$G$400,"lots"))))))=0,NA(),IF(CE$2="Catégorie",IF(CE$3="Toutes",SUMIFS('Étape 1 - à remplir'!$F$31:$F$400,'Étape 1 - à remplir'!$E$31:$E$400,MASQ2!BV321,'Étape 1 - à remplir'!$G$31:$G$400,"lots"),SUMIFS('Étape 1 - à remplir'!$F$31:$F$400,'Étape 1 - à remplir'!$E$31:$E$400,MASQ2!BV321,'Étape 1 - à remplir'!$C$31:$C$400,CE$3)),IF(CE$2="Âge",IF(CE$3="Tous",SUMIFS('Étape 1 - à remplir'!$F$31:$F$400,'Étape 1 - à remplir'!$E$31:$E$400,MASQ2!BV321,'Étape 1 - à remplir'!$G$31:$G$400,"lots"),SUMIFS('Étape 1 - à remplir'!$F$31:$F$400,'Étape 1 - à remplir'!$E$31:$E$400,MASQ2!BV321,'Étape 1 - à remplir'!$P$31:$P$400,CE$3,'Étape 1 - à remplir'!$G$31:$G$400,"lots")),IF(CE$2="Atelier",IF(CE$3="Tous",SUMIFS('Étape 1 - à remplir'!$F$31:$F$400,'Étape 1 - à remplir'!$E$31:$E$400,MASQ2!BV321,'Étape 1 - à remplir'!$G$31:$G$400,"lots"),SUMIFS('Étape 1 - à remplir'!$F$31:$F$400,'Étape 1 - à remplir'!$E$31:$E$400,MASQ2!BV321,'Étape 1 - à remplir'!$O$31:$O$400,CE$3,'Étape 1 - à remplir'!$G$31:$G$400,"lots")),IF(CE$2="Espèce",IF(CE$3="Toutes",SUMIFS('Étape 1 - à remplir'!$F$31:$F$400,'Étape 1 - à remplir'!$E$31:$E$400,MASQ2!BV321,'Étape 1 - à remplir'!$G$31:$G$400,"lots"),SUMIFS('Étape 1 - à remplir'!$F$31:$F$400,'Étape 1 - à remplir'!$E$31:$E$400,MASQ2!BV321,'Étape 1 - à remplir'!$N$31:$N$400,CE$3,'Étape 1 - à remplir'!$G$31:$G$400,"lots")))))))</f>
        <v>#N/A</v>
      </c>
      <c r="BX321">
        <f t="shared" si="233"/>
        <v>0</v>
      </c>
      <c r="BY321" t="str">
        <f t="shared" si="217"/>
        <v>Néomycine</v>
      </c>
      <c r="BZ321" t="str">
        <f t="shared" si="218"/>
        <v/>
      </c>
      <c r="CA321" t="str">
        <f t="shared" si="219"/>
        <v/>
      </c>
      <c r="CB321" t="str">
        <f t="shared" si="220"/>
        <v>Aminoglycosides</v>
      </c>
      <c r="CC321" t="str">
        <f t="shared" si="221"/>
        <v/>
      </c>
      <c r="CD321" s="63" t="str">
        <f t="shared" si="222"/>
        <v/>
      </c>
      <c r="CG321" s="42">
        <v>318</v>
      </c>
      <c r="CH321" s="42" t="e">
        <f t="shared" si="238"/>
        <v>#N/A</v>
      </c>
      <c r="CI321" s="63" t="e">
        <f t="shared" si="239"/>
        <v>#N/A</v>
      </c>
      <c r="DM321" s="63"/>
      <c r="EA321" s="194" t="str">
        <f t="shared" ca="1" si="223"/>
        <v/>
      </c>
      <c r="EB321" s="226" t="str">
        <f>IFERROR(IF(ED321=0,"",COUNTIF(ED$4:ED$600,"&gt;"&amp;ED321)+COUNTIF(ED$4:ED321,ED321)),"")</f>
        <v/>
      </c>
      <c r="EC321" t="str">
        <f t="shared" si="224"/>
        <v>NEO 50 FRANVET</v>
      </c>
      <c r="ED321" t="e">
        <f>IF(IF(EL$2="Catégorie",IF(EL$3="Toutes",SUMIFS('Étape 1 - à remplir'!$F$31:$F$400,'Étape 1 - à remplir'!$E$31:$E$400,MASQ2!EC321,'Étape 1 - à remplir'!$G$31:$G$400,"kg"),SUMIFS('Étape 1 - à remplir'!$F$31:$F$400,'Étape 1 - à remplir'!$E$31:$E$400,MASQ2!EC321,'Étape 1 - à remplir'!$C$31:$C$400,EL$3)),IF(EL$2="Âge",IF(EL$3="Tous",SUMIFS('Étape 1 - à remplir'!$F$31:$F$400,'Étape 1 - à remplir'!$E$31:$E$400,MASQ2!EC321,'Étape 1 - à remplir'!$G$31:$G$400,"kg"),SUMIFS('Étape 1 - à remplir'!$F$31:$F$400,'Étape 1 - à remplir'!$E$31:$E$400,MASQ2!EC321,'Étape 1 - à remplir'!$P$31:$P$400,EL$3,'Étape 1 - à remplir'!$G$31:$G$400,"kg")),IF(EL$2="Atelier",IF(EL$3="Tous",SUMIFS('Étape 1 - à remplir'!$F$31:$F$400,'Étape 1 - à remplir'!$E$31:$E$400,MASQ2!EC321,'Étape 1 - à remplir'!$G$31:$G$400,"kg"),SUMIFS('Étape 1 - à remplir'!$F$31:$F$400,'Étape 1 - à remplir'!$E$31:$E$400,MASQ2!EC321,'Étape 1 - à remplir'!$O$31:$O$400,EL$3,'Étape 1 - à remplir'!$G$31:$G$400,"kg")),IF(EL$2="Espèce",IF(EL$3="Toutes",SUMIFS('Étape 1 - à remplir'!$F$31:$F$400,'Étape 1 - à remplir'!$E$31:$E$400,MASQ2!EC321,'Étape 1 - à remplir'!$G$31:$G$400,"kg"),SUMIFS('Étape 1 - à remplir'!$F$31:$F$400,'Étape 1 - à remplir'!$E$31:$E$400,MASQ2!EC321,'Étape 1 - à remplir'!$N$31:$N$400,EL$3,'Étape 1 - à remplir'!$G$31:$G$400,"kg"))))))=0,NA(),IF(EL$2="Catégorie",IF(EL$3="Toutes",SUMIFS('Étape 1 - à remplir'!$F$31:$F$400,'Étape 1 - à remplir'!$E$31:$E$400,MASQ2!EC321,'Étape 1 - à remplir'!$G$31:$G$400,"kg"),SUMIFS('Étape 1 - à remplir'!$F$31:$F$400,'Étape 1 - à remplir'!$E$31:$E$400,MASQ2!EC321,'Étape 1 - à remplir'!$C$31:$C$400,EL$3)),IF(EL$2="Âge",IF(EL$3="Tous",SUMIFS('Étape 1 - à remplir'!$F$31:$F$400,'Étape 1 - à remplir'!$E$31:$E$400,MASQ2!EC321,'Étape 1 - à remplir'!$G$31:$G$400,"kg"),SUMIFS('Étape 1 - à remplir'!$F$31:$F$400,'Étape 1 - à remplir'!$E$31:$E$400,MASQ2!EC321,'Étape 1 - à remplir'!$P$31:$P$400,EL$3,'Étape 1 - à remplir'!$G$31:$G$400,"kg")),IF(EL$2="Atelier",IF(EL$3="Tous",SUMIFS('Étape 1 - à remplir'!$F$31:$F$400,'Étape 1 - à remplir'!$E$31:$E$400,MASQ2!EC321,'Étape 1 - à remplir'!$G$31:$G$400,"kg"),SUMIFS('Étape 1 - à remplir'!$F$31:$F$400,'Étape 1 - à remplir'!$E$31:$E$400,MASQ2!EC321,'Étape 1 - à remplir'!$O$31:$O$400,EL$3,'Étape 1 - à remplir'!$G$31:$G$400,"kg")),IF(EL$2="Espèce",IF(EL$3="Toutes",SUMIFS('Étape 1 - à remplir'!$F$31:$F$400,'Étape 1 - à remplir'!$E$31:$E$400,MASQ2!EC321,'Étape 1 - à remplir'!$G$31:$G$400,"kg"),SUMIFS('Étape 1 - à remplir'!$F$31:$F$400,'Étape 1 - à remplir'!$E$31:$E$400,MASQ2!EC321,'Étape 1 - à remplir'!$N$31:$N$400,EL$3,'Étape 1 - à remplir'!$G$31:$G$400,"kg")))))))</f>
        <v>#N/A</v>
      </c>
      <c r="EE321" s="76">
        <f t="shared" si="234"/>
        <v>0</v>
      </c>
      <c r="EF321" t="str">
        <f t="shared" si="225"/>
        <v>Néomycine</v>
      </c>
      <c r="EG321" t="str">
        <f t="shared" si="226"/>
        <v/>
      </c>
      <c r="EH321" t="str">
        <f t="shared" si="227"/>
        <v/>
      </c>
      <c r="EI321" t="str">
        <f t="shared" si="228"/>
        <v>Aminoglycosides</v>
      </c>
      <c r="EJ321" t="str">
        <f t="shared" si="229"/>
        <v/>
      </c>
      <c r="EK321" s="63" t="str">
        <f t="shared" si="230"/>
        <v/>
      </c>
      <c r="EN321" s="42">
        <v>318</v>
      </c>
      <c r="EO321" t="e">
        <f t="shared" si="236"/>
        <v>#N/A</v>
      </c>
      <c r="EP321" s="63" t="e">
        <f t="shared" si="237"/>
        <v>#N/A</v>
      </c>
      <c r="FT321" s="63"/>
    </row>
    <row r="322" spans="2:176" x14ac:dyDescent="0.3">
      <c r="B322" s="42"/>
      <c r="M322" s="194" t="str">
        <f ca="1">INDEX(Données_ATB!BD:BU,MATCH(MASQ2!O322,Données_ATB!BD:BD,0),18)</f>
        <v/>
      </c>
      <c r="N322" s="14" t="str">
        <f>IFERROR(IF(Q322=0,"",COUNTIF(Q$4:Q$600,"&gt;"&amp;Q322)+COUNTIF(Q$4:Q322,Q322)),"")</f>
        <v/>
      </c>
      <c r="O322" t="str">
        <f>Données_ATB!BD321</f>
        <v>NEOACTIVE</v>
      </c>
      <c r="P322" t="e">
        <f>IF(IF(X$2="Catégorie",IF(X$3="Toutes",SUMIFS('Étape 1 - à remplir'!$F$31:$F$400,'Étape 1 - à remplir'!$E$31:$E$400,MASQ2!O322,'Étape 1 - à remplir'!$G$31:$G$400,"animaux"),SUMIFS('Étape 1 - à remplir'!$F$31:$F$400,'Étape 1 - à remplir'!$E$31:$E$400,MASQ2!O322,'Étape 1 - à remplir'!$C$31:$C$400,X$3)),IF(X$2="Âge",IF(X$3="Tous",SUMIFS('Étape 1 - à remplir'!$F$31:$F$400,'Étape 1 - à remplir'!$E$31:$E$400,MASQ2!O322,'Étape 1 - à remplir'!$G$31:$G$400,"animaux"),SUMIFS('Étape 1 - à remplir'!$F$31:$F$400,'Étape 1 - à remplir'!$E$31:$E$400,MASQ2!O322,'Étape 1 - à remplir'!$P$31:$P$400,X$3)),IF(X$2="Atelier",IF(X$3="Tous",SUMIFS('Étape 1 - à remplir'!$F$31:$F$400,'Étape 1 - à remplir'!$E$31:$E$400,MASQ2!O322,'Étape 1 - à remplir'!$G$31:$G$400,"animaux"),SUMIFS('Étape 1 - à remplir'!$F$31:$F$400,'Étape 1 - à remplir'!$E$31:$E$400,MASQ2!O322,'Étape 1 - à remplir'!$O$31:$O$400,X$3)),IF(X$2="Espèce",IF(X$3="Toutes",SUMIFS('Étape 1 - à remplir'!$F$31:$F$400,'Étape 1 - à remplir'!$E$31:$E$400,MASQ2!O322,'Étape 1 - à remplir'!$G$31:$G$400,"animaux"),SUMIFS('Étape 1 - à remplir'!$F$31:$F$400,'Étape 1 - à remplir'!$E$31:$E$400,MASQ2!O322,'Étape 1 - à remplir'!$N$31:$N$400,X$3))))))=0,NA(),IF(X$2="Catégorie",IF(X$3="Toutes",SUMIFS('Étape 1 - à remplir'!$F$31:$F$400,'Étape 1 - à remplir'!$E$31:$E$400,MASQ2!O322,'Étape 1 - à remplir'!$G$31:$G$400,"animaux"),SUMIFS('Étape 1 - à remplir'!$F$31:$F$400,'Étape 1 - à remplir'!$E$31:$E$400,MASQ2!O322,'Étape 1 - à remplir'!$C$31:$C$400,X$3)),IF(X$2="Âge",IF(X$3="Tous",SUMIFS('Étape 1 - à remplir'!$F$31:$F$400,'Étape 1 - à remplir'!$E$31:$E$400,MASQ2!O322,'Étape 1 - à remplir'!$G$31:$G$400,"animaux"),SUMIFS('Étape 1 - à remplir'!$F$31:$F$400,'Étape 1 - à remplir'!$E$31:$E$400,MASQ2!O322,'Étape 1 - à remplir'!$P$31:$P$400,X$3)),IF(X$2="Atelier",IF(X$3="Tous",SUMIFS('Étape 1 - à remplir'!$F$31:$F$400,'Étape 1 - à remplir'!$E$31:$E$400,MASQ2!O322,'Étape 1 - à remplir'!$G$31:$G$400,"animaux"),SUMIFS('Étape 1 - à remplir'!$F$31:$F$400,'Étape 1 - à remplir'!$E$31:$E$400,MASQ2!O322,'Étape 1 - à remplir'!$O$31:$O$400,X$3)),IF(X$2="Espèce",IF(X$3="Toutes",SUMIFS('Étape 1 - à remplir'!$F$31:$F$400,'Étape 1 - à remplir'!$E$31:$E$400,MASQ2!O322,'Étape 1 - à remplir'!$G$31:$G$400,"animaux"),SUMIFS('Étape 1 - à remplir'!$F$31:$F$400,'Étape 1 - à remplir'!$E$31:$E$400,MASQ2!O322,'Étape 1 - à remplir'!$N$31:$N$400,X$3)))))))</f>
        <v>#N/A</v>
      </c>
      <c r="Q322" s="63">
        <f t="shared" si="235"/>
        <v>0</v>
      </c>
      <c r="R322" t="str">
        <f>Données_ATB!BM321</f>
        <v>Néomycine</v>
      </c>
      <c r="S322" t="str">
        <f>Données_ATB!BN321</f>
        <v/>
      </c>
      <c r="T322" s="63" t="str">
        <f>Données_ATB!BO321</f>
        <v/>
      </c>
      <c r="U322" s="42" t="str">
        <f>Données_ATB!BQ321</f>
        <v>Aminoglycosides</v>
      </c>
      <c r="V322" t="str">
        <f>Données_ATB!BR321</f>
        <v/>
      </c>
      <c r="W322" s="63" t="str">
        <f>Données_ATB!BS321</f>
        <v/>
      </c>
      <c r="Z322" s="42">
        <v>319</v>
      </c>
      <c r="AA322" t="e">
        <f t="shared" si="231"/>
        <v>#N/A</v>
      </c>
      <c r="AB322" s="63" t="e">
        <f t="shared" si="232"/>
        <v>#N/A</v>
      </c>
      <c r="BF322" s="63"/>
      <c r="BT322" s="194" t="str">
        <f t="shared" ca="1" si="215"/>
        <v/>
      </c>
      <c r="BU322" s="219" t="str">
        <f>IFERROR(IF(BX322=0,"",COUNTIF(BX$4:BX$600,"&gt;"&amp;BX322)+COUNTIF(BX$4:BX322,BX322)),"")</f>
        <v/>
      </c>
      <c r="BV322" s="42" t="str">
        <f t="shared" si="216"/>
        <v>NEOACTIVE</v>
      </c>
      <c r="BW322" t="e">
        <f>IF(IF(CE$2="Catégorie",IF(CE$3="Toutes",SUMIFS('Étape 1 - à remplir'!$F$31:$F$400,'Étape 1 - à remplir'!$E$31:$E$400,MASQ2!BV322,'Étape 1 - à remplir'!$G$31:$G$400,"lots"),SUMIFS('Étape 1 - à remplir'!$F$31:$F$400,'Étape 1 - à remplir'!$E$31:$E$400,MASQ2!BV322,'Étape 1 - à remplir'!$C$31:$C$400,CE$3)),IF(CE$2="Âge",IF(CE$3="Tous",SUMIFS('Étape 1 - à remplir'!$F$31:$F$400,'Étape 1 - à remplir'!$E$31:$E$400,MASQ2!BV322,'Étape 1 - à remplir'!$G$31:$G$400,"lots"),SUMIFS('Étape 1 - à remplir'!$F$31:$F$400,'Étape 1 - à remplir'!$E$31:$E$400,MASQ2!BV322,'Étape 1 - à remplir'!$P$31:$P$400,CE$3,'Étape 1 - à remplir'!$G$31:$G$400,"lots")),IF(CE$2="Atelier",IF(CE$3="Tous",SUMIFS('Étape 1 - à remplir'!$F$31:$F$400,'Étape 1 - à remplir'!$E$31:$E$400,MASQ2!BV322,'Étape 1 - à remplir'!$G$31:$G$400,"lots"),SUMIFS('Étape 1 - à remplir'!$F$31:$F$400,'Étape 1 - à remplir'!$E$31:$E$400,MASQ2!BV322,'Étape 1 - à remplir'!$O$31:$O$400,CE$3,'Étape 1 - à remplir'!$G$31:$G$400,"lots")),IF(CE$2="Espèce",IF(CE$3="Toutes",SUMIFS('Étape 1 - à remplir'!$F$31:$F$400,'Étape 1 - à remplir'!$E$31:$E$400,MASQ2!BV322,'Étape 1 - à remplir'!$G$31:$G$400,"lots"),SUMIFS('Étape 1 - à remplir'!$F$31:$F$400,'Étape 1 - à remplir'!$E$31:$E$400,MASQ2!BV322,'Étape 1 - à remplir'!$N$31:$N$400,CE$3,'Étape 1 - à remplir'!$G$31:$G$400,"lots"))))))=0,NA(),IF(CE$2="Catégorie",IF(CE$3="Toutes",SUMIFS('Étape 1 - à remplir'!$F$31:$F$400,'Étape 1 - à remplir'!$E$31:$E$400,MASQ2!BV322,'Étape 1 - à remplir'!$G$31:$G$400,"lots"),SUMIFS('Étape 1 - à remplir'!$F$31:$F$400,'Étape 1 - à remplir'!$E$31:$E$400,MASQ2!BV322,'Étape 1 - à remplir'!$C$31:$C$400,CE$3)),IF(CE$2="Âge",IF(CE$3="Tous",SUMIFS('Étape 1 - à remplir'!$F$31:$F$400,'Étape 1 - à remplir'!$E$31:$E$400,MASQ2!BV322,'Étape 1 - à remplir'!$G$31:$G$400,"lots"),SUMIFS('Étape 1 - à remplir'!$F$31:$F$400,'Étape 1 - à remplir'!$E$31:$E$400,MASQ2!BV322,'Étape 1 - à remplir'!$P$31:$P$400,CE$3,'Étape 1 - à remplir'!$G$31:$G$400,"lots")),IF(CE$2="Atelier",IF(CE$3="Tous",SUMIFS('Étape 1 - à remplir'!$F$31:$F$400,'Étape 1 - à remplir'!$E$31:$E$400,MASQ2!BV322,'Étape 1 - à remplir'!$G$31:$G$400,"lots"),SUMIFS('Étape 1 - à remplir'!$F$31:$F$400,'Étape 1 - à remplir'!$E$31:$E$400,MASQ2!BV322,'Étape 1 - à remplir'!$O$31:$O$400,CE$3,'Étape 1 - à remplir'!$G$31:$G$400,"lots")),IF(CE$2="Espèce",IF(CE$3="Toutes",SUMIFS('Étape 1 - à remplir'!$F$31:$F$400,'Étape 1 - à remplir'!$E$31:$E$400,MASQ2!BV322,'Étape 1 - à remplir'!$G$31:$G$400,"lots"),SUMIFS('Étape 1 - à remplir'!$F$31:$F$400,'Étape 1 - à remplir'!$E$31:$E$400,MASQ2!BV322,'Étape 1 - à remplir'!$N$31:$N$400,CE$3,'Étape 1 - à remplir'!$G$31:$G$400,"lots")))))))</f>
        <v>#N/A</v>
      </c>
      <c r="BX322">
        <f t="shared" si="233"/>
        <v>0</v>
      </c>
      <c r="BY322" t="str">
        <f t="shared" si="217"/>
        <v>Néomycine</v>
      </c>
      <c r="BZ322" t="str">
        <f t="shared" si="218"/>
        <v/>
      </c>
      <c r="CA322" t="str">
        <f t="shared" si="219"/>
        <v/>
      </c>
      <c r="CB322" t="str">
        <f t="shared" si="220"/>
        <v>Aminoglycosides</v>
      </c>
      <c r="CC322" t="str">
        <f t="shared" si="221"/>
        <v/>
      </c>
      <c r="CD322" s="63" t="str">
        <f t="shared" si="222"/>
        <v/>
      </c>
      <c r="CG322" s="42">
        <v>319</v>
      </c>
      <c r="CH322" s="42" t="e">
        <f t="shared" si="238"/>
        <v>#N/A</v>
      </c>
      <c r="CI322" s="63" t="e">
        <f t="shared" si="239"/>
        <v>#N/A</v>
      </c>
      <c r="DM322" s="63"/>
      <c r="EA322" s="194" t="str">
        <f t="shared" ca="1" si="223"/>
        <v/>
      </c>
      <c r="EB322" s="226" t="str">
        <f>IFERROR(IF(ED322=0,"",COUNTIF(ED$4:ED$600,"&gt;"&amp;ED322)+COUNTIF(ED$4:ED322,ED322)),"")</f>
        <v/>
      </c>
      <c r="EC322" t="str">
        <f t="shared" si="224"/>
        <v>NEOACTIVE</v>
      </c>
      <c r="ED322" t="e">
        <f>IF(IF(EL$2="Catégorie",IF(EL$3="Toutes",SUMIFS('Étape 1 - à remplir'!$F$31:$F$400,'Étape 1 - à remplir'!$E$31:$E$400,MASQ2!EC322,'Étape 1 - à remplir'!$G$31:$G$400,"kg"),SUMIFS('Étape 1 - à remplir'!$F$31:$F$400,'Étape 1 - à remplir'!$E$31:$E$400,MASQ2!EC322,'Étape 1 - à remplir'!$C$31:$C$400,EL$3)),IF(EL$2="Âge",IF(EL$3="Tous",SUMIFS('Étape 1 - à remplir'!$F$31:$F$400,'Étape 1 - à remplir'!$E$31:$E$400,MASQ2!EC322,'Étape 1 - à remplir'!$G$31:$G$400,"kg"),SUMIFS('Étape 1 - à remplir'!$F$31:$F$400,'Étape 1 - à remplir'!$E$31:$E$400,MASQ2!EC322,'Étape 1 - à remplir'!$P$31:$P$400,EL$3,'Étape 1 - à remplir'!$G$31:$G$400,"kg")),IF(EL$2="Atelier",IF(EL$3="Tous",SUMIFS('Étape 1 - à remplir'!$F$31:$F$400,'Étape 1 - à remplir'!$E$31:$E$400,MASQ2!EC322,'Étape 1 - à remplir'!$G$31:$G$400,"kg"),SUMIFS('Étape 1 - à remplir'!$F$31:$F$400,'Étape 1 - à remplir'!$E$31:$E$400,MASQ2!EC322,'Étape 1 - à remplir'!$O$31:$O$400,EL$3,'Étape 1 - à remplir'!$G$31:$G$400,"kg")),IF(EL$2="Espèce",IF(EL$3="Toutes",SUMIFS('Étape 1 - à remplir'!$F$31:$F$400,'Étape 1 - à remplir'!$E$31:$E$400,MASQ2!EC322,'Étape 1 - à remplir'!$G$31:$G$400,"kg"),SUMIFS('Étape 1 - à remplir'!$F$31:$F$400,'Étape 1 - à remplir'!$E$31:$E$400,MASQ2!EC322,'Étape 1 - à remplir'!$N$31:$N$400,EL$3,'Étape 1 - à remplir'!$G$31:$G$400,"kg"))))))=0,NA(),IF(EL$2="Catégorie",IF(EL$3="Toutes",SUMIFS('Étape 1 - à remplir'!$F$31:$F$400,'Étape 1 - à remplir'!$E$31:$E$400,MASQ2!EC322,'Étape 1 - à remplir'!$G$31:$G$400,"kg"),SUMIFS('Étape 1 - à remplir'!$F$31:$F$400,'Étape 1 - à remplir'!$E$31:$E$400,MASQ2!EC322,'Étape 1 - à remplir'!$C$31:$C$400,EL$3)),IF(EL$2="Âge",IF(EL$3="Tous",SUMIFS('Étape 1 - à remplir'!$F$31:$F$400,'Étape 1 - à remplir'!$E$31:$E$400,MASQ2!EC322,'Étape 1 - à remplir'!$G$31:$G$400,"kg"),SUMIFS('Étape 1 - à remplir'!$F$31:$F$400,'Étape 1 - à remplir'!$E$31:$E$400,MASQ2!EC322,'Étape 1 - à remplir'!$P$31:$P$400,EL$3,'Étape 1 - à remplir'!$G$31:$G$400,"kg")),IF(EL$2="Atelier",IF(EL$3="Tous",SUMIFS('Étape 1 - à remplir'!$F$31:$F$400,'Étape 1 - à remplir'!$E$31:$E$400,MASQ2!EC322,'Étape 1 - à remplir'!$G$31:$G$400,"kg"),SUMIFS('Étape 1 - à remplir'!$F$31:$F$400,'Étape 1 - à remplir'!$E$31:$E$400,MASQ2!EC322,'Étape 1 - à remplir'!$O$31:$O$400,EL$3,'Étape 1 - à remplir'!$G$31:$G$400,"kg")),IF(EL$2="Espèce",IF(EL$3="Toutes",SUMIFS('Étape 1 - à remplir'!$F$31:$F$400,'Étape 1 - à remplir'!$E$31:$E$400,MASQ2!EC322,'Étape 1 - à remplir'!$G$31:$G$400,"kg"),SUMIFS('Étape 1 - à remplir'!$F$31:$F$400,'Étape 1 - à remplir'!$E$31:$E$400,MASQ2!EC322,'Étape 1 - à remplir'!$N$31:$N$400,EL$3,'Étape 1 - à remplir'!$G$31:$G$400,"kg")))))))</f>
        <v>#N/A</v>
      </c>
      <c r="EE322" s="76">
        <f t="shared" si="234"/>
        <v>0</v>
      </c>
      <c r="EF322" t="str">
        <f t="shared" si="225"/>
        <v>Néomycine</v>
      </c>
      <c r="EG322" t="str">
        <f t="shared" si="226"/>
        <v/>
      </c>
      <c r="EH322" t="str">
        <f t="shared" si="227"/>
        <v/>
      </c>
      <c r="EI322" t="str">
        <f t="shared" si="228"/>
        <v>Aminoglycosides</v>
      </c>
      <c r="EJ322" t="str">
        <f t="shared" si="229"/>
        <v/>
      </c>
      <c r="EK322" s="63" t="str">
        <f t="shared" si="230"/>
        <v/>
      </c>
      <c r="EN322" s="42">
        <v>319</v>
      </c>
      <c r="EO322" t="e">
        <f t="shared" si="236"/>
        <v>#N/A</v>
      </c>
      <c r="EP322" s="63" t="e">
        <f t="shared" si="237"/>
        <v>#N/A</v>
      </c>
      <c r="FT322" s="63"/>
    </row>
    <row r="323" spans="2:176" x14ac:dyDescent="0.3">
      <c r="B323" s="42"/>
      <c r="M323" s="194" t="str">
        <f ca="1">INDEX(Données_ATB!BD:BU,MATCH(MASQ2!O323,Données_ATB!BD:BD,0),18)</f>
        <v/>
      </c>
      <c r="N323" s="14" t="str">
        <f>IFERROR(IF(Q323=0,"",COUNTIF(Q$4:Q$600,"&gt;"&amp;Q323)+COUNTIF(Q$4:Q323,Q323)),"")</f>
        <v/>
      </c>
      <c r="O323" t="str">
        <f>Données_ATB!BD322</f>
        <v>NEOMAY</v>
      </c>
      <c r="P323" t="e">
        <f>IF(IF(X$2="Catégorie",IF(X$3="Toutes",SUMIFS('Étape 1 - à remplir'!$F$31:$F$400,'Étape 1 - à remplir'!$E$31:$E$400,MASQ2!O323,'Étape 1 - à remplir'!$G$31:$G$400,"animaux"),SUMIFS('Étape 1 - à remplir'!$F$31:$F$400,'Étape 1 - à remplir'!$E$31:$E$400,MASQ2!O323,'Étape 1 - à remplir'!$C$31:$C$400,X$3)),IF(X$2="Âge",IF(X$3="Tous",SUMIFS('Étape 1 - à remplir'!$F$31:$F$400,'Étape 1 - à remplir'!$E$31:$E$400,MASQ2!O323,'Étape 1 - à remplir'!$G$31:$G$400,"animaux"),SUMIFS('Étape 1 - à remplir'!$F$31:$F$400,'Étape 1 - à remplir'!$E$31:$E$400,MASQ2!O323,'Étape 1 - à remplir'!$P$31:$P$400,X$3)),IF(X$2="Atelier",IF(X$3="Tous",SUMIFS('Étape 1 - à remplir'!$F$31:$F$400,'Étape 1 - à remplir'!$E$31:$E$400,MASQ2!O323,'Étape 1 - à remplir'!$G$31:$G$400,"animaux"),SUMIFS('Étape 1 - à remplir'!$F$31:$F$400,'Étape 1 - à remplir'!$E$31:$E$400,MASQ2!O323,'Étape 1 - à remplir'!$O$31:$O$400,X$3)),IF(X$2="Espèce",IF(X$3="Toutes",SUMIFS('Étape 1 - à remplir'!$F$31:$F$400,'Étape 1 - à remplir'!$E$31:$E$400,MASQ2!O323,'Étape 1 - à remplir'!$G$31:$G$400,"animaux"),SUMIFS('Étape 1 - à remplir'!$F$31:$F$400,'Étape 1 - à remplir'!$E$31:$E$400,MASQ2!O323,'Étape 1 - à remplir'!$N$31:$N$400,X$3))))))=0,NA(),IF(X$2="Catégorie",IF(X$3="Toutes",SUMIFS('Étape 1 - à remplir'!$F$31:$F$400,'Étape 1 - à remplir'!$E$31:$E$400,MASQ2!O323,'Étape 1 - à remplir'!$G$31:$G$400,"animaux"),SUMIFS('Étape 1 - à remplir'!$F$31:$F$400,'Étape 1 - à remplir'!$E$31:$E$400,MASQ2!O323,'Étape 1 - à remplir'!$C$31:$C$400,X$3)),IF(X$2="Âge",IF(X$3="Tous",SUMIFS('Étape 1 - à remplir'!$F$31:$F$400,'Étape 1 - à remplir'!$E$31:$E$400,MASQ2!O323,'Étape 1 - à remplir'!$G$31:$G$400,"animaux"),SUMIFS('Étape 1 - à remplir'!$F$31:$F$400,'Étape 1 - à remplir'!$E$31:$E$400,MASQ2!O323,'Étape 1 - à remplir'!$P$31:$P$400,X$3)),IF(X$2="Atelier",IF(X$3="Tous",SUMIFS('Étape 1 - à remplir'!$F$31:$F$400,'Étape 1 - à remplir'!$E$31:$E$400,MASQ2!O323,'Étape 1 - à remplir'!$G$31:$G$400,"animaux"),SUMIFS('Étape 1 - à remplir'!$F$31:$F$400,'Étape 1 - à remplir'!$E$31:$E$400,MASQ2!O323,'Étape 1 - à remplir'!$O$31:$O$400,X$3)),IF(X$2="Espèce",IF(X$3="Toutes",SUMIFS('Étape 1 - à remplir'!$F$31:$F$400,'Étape 1 - à remplir'!$E$31:$E$400,MASQ2!O323,'Étape 1 - à remplir'!$G$31:$G$400,"animaux"),SUMIFS('Étape 1 - à remplir'!$F$31:$F$400,'Étape 1 - à remplir'!$E$31:$E$400,MASQ2!O323,'Étape 1 - à remplir'!$N$31:$N$400,X$3)))))))</f>
        <v>#N/A</v>
      </c>
      <c r="Q323" s="63">
        <f t="shared" si="235"/>
        <v>0</v>
      </c>
      <c r="R323" t="str">
        <f>Données_ATB!BM322</f>
        <v>Néomycine</v>
      </c>
      <c r="S323" t="str">
        <f>Données_ATB!BN322</f>
        <v/>
      </c>
      <c r="T323" s="63" t="str">
        <f>Données_ATB!BO322</f>
        <v/>
      </c>
      <c r="U323" s="42" t="str">
        <f>Données_ATB!BQ322</f>
        <v>Aminoglycosides</v>
      </c>
      <c r="V323" t="str">
        <f>Données_ATB!BR322</f>
        <v/>
      </c>
      <c r="W323" s="63" t="str">
        <f>Données_ATB!BS322</f>
        <v/>
      </c>
      <c r="Z323" s="42">
        <v>320</v>
      </c>
      <c r="AA323" t="e">
        <f t="shared" si="231"/>
        <v>#N/A</v>
      </c>
      <c r="AB323" s="63" t="e">
        <f t="shared" si="232"/>
        <v>#N/A</v>
      </c>
      <c r="BF323" s="63"/>
      <c r="BT323" s="194" t="str">
        <f t="shared" ca="1" si="215"/>
        <v/>
      </c>
      <c r="BU323" s="219" t="str">
        <f>IFERROR(IF(BX323=0,"",COUNTIF(BX$4:BX$600,"&gt;"&amp;BX323)+COUNTIF(BX$4:BX323,BX323)),"")</f>
        <v/>
      </c>
      <c r="BV323" s="42" t="str">
        <f t="shared" si="216"/>
        <v>NEOMAY</v>
      </c>
      <c r="BW323" t="e">
        <f>IF(IF(CE$2="Catégorie",IF(CE$3="Toutes",SUMIFS('Étape 1 - à remplir'!$F$31:$F$400,'Étape 1 - à remplir'!$E$31:$E$400,MASQ2!BV323,'Étape 1 - à remplir'!$G$31:$G$400,"lots"),SUMIFS('Étape 1 - à remplir'!$F$31:$F$400,'Étape 1 - à remplir'!$E$31:$E$400,MASQ2!BV323,'Étape 1 - à remplir'!$C$31:$C$400,CE$3)),IF(CE$2="Âge",IF(CE$3="Tous",SUMIFS('Étape 1 - à remplir'!$F$31:$F$400,'Étape 1 - à remplir'!$E$31:$E$400,MASQ2!BV323,'Étape 1 - à remplir'!$G$31:$G$400,"lots"),SUMIFS('Étape 1 - à remplir'!$F$31:$F$400,'Étape 1 - à remplir'!$E$31:$E$400,MASQ2!BV323,'Étape 1 - à remplir'!$P$31:$P$400,CE$3,'Étape 1 - à remplir'!$G$31:$G$400,"lots")),IF(CE$2="Atelier",IF(CE$3="Tous",SUMIFS('Étape 1 - à remplir'!$F$31:$F$400,'Étape 1 - à remplir'!$E$31:$E$400,MASQ2!BV323,'Étape 1 - à remplir'!$G$31:$G$400,"lots"),SUMIFS('Étape 1 - à remplir'!$F$31:$F$400,'Étape 1 - à remplir'!$E$31:$E$400,MASQ2!BV323,'Étape 1 - à remplir'!$O$31:$O$400,CE$3,'Étape 1 - à remplir'!$G$31:$G$400,"lots")),IF(CE$2="Espèce",IF(CE$3="Toutes",SUMIFS('Étape 1 - à remplir'!$F$31:$F$400,'Étape 1 - à remplir'!$E$31:$E$400,MASQ2!BV323,'Étape 1 - à remplir'!$G$31:$G$400,"lots"),SUMIFS('Étape 1 - à remplir'!$F$31:$F$400,'Étape 1 - à remplir'!$E$31:$E$400,MASQ2!BV323,'Étape 1 - à remplir'!$N$31:$N$400,CE$3,'Étape 1 - à remplir'!$G$31:$G$400,"lots"))))))=0,NA(),IF(CE$2="Catégorie",IF(CE$3="Toutes",SUMIFS('Étape 1 - à remplir'!$F$31:$F$400,'Étape 1 - à remplir'!$E$31:$E$400,MASQ2!BV323,'Étape 1 - à remplir'!$G$31:$G$400,"lots"),SUMIFS('Étape 1 - à remplir'!$F$31:$F$400,'Étape 1 - à remplir'!$E$31:$E$400,MASQ2!BV323,'Étape 1 - à remplir'!$C$31:$C$400,CE$3)),IF(CE$2="Âge",IF(CE$3="Tous",SUMIFS('Étape 1 - à remplir'!$F$31:$F$400,'Étape 1 - à remplir'!$E$31:$E$400,MASQ2!BV323,'Étape 1 - à remplir'!$G$31:$G$400,"lots"),SUMIFS('Étape 1 - à remplir'!$F$31:$F$400,'Étape 1 - à remplir'!$E$31:$E$400,MASQ2!BV323,'Étape 1 - à remplir'!$P$31:$P$400,CE$3,'Étape 1 - à remplir'!$G$31:$G$400,"lots")),IF(CE$2="Atelier",IF(CE$3="Tous",SUMIFS('Étape 1 - à remplir'!$F$31:$F$400,'Étape 1 - à remplir'!$E$31:$E$400,MASQ2!BV323,'Étape 1 - à remplir'!$G$31:$G$400,"lots"),SUMIFS('Étape 1 - à remplir'!$F$31:$F$400,'Étape 1 - à remplir'!$E$31:$E$400,MASQ2!BV323,'Étape 1 - à remplir'!$O$31:$O$400,CE$3,'Étape 1 - à remplir'!$G$31:$G$400,"lots")),IF(CE$2="Espèce",IF(CE$3="Toutes",SUMIFS('Étape 1 - à remplir'!$F$31:$F$400,'Étape 1 - à remplir'!$E$31:$E$400,MASQ2!BV323,'Étape 1 - à remplir'!$G$31:$G$400,"lots"),SUMIFS('Étape 1 - à remplir'!$F$31:$F$400,'Étape 1 - à remplir'!$E$31:$E$400,MASQ2!BV323,'Étape 1 - à remplir'!$N$31:$N$400,CE$3,'Étape 1 - à remplir'!$G$31:$G$400,"lots")))))))</f>
        <v>#N/A</v>
      </c>
      <c r="BX323">
        <f t="shared" si="233"/>
        <v>0</v>
      </c>
      <c r="BY323" t="str">
        <f t="shared" si="217"/>
        <v>Néomycine</v>
      </c>
      <c r="BZ323" t="str">
        <f t="shared" si="218"/>
        <v/>
      </c>
      <c r="CA323" t="str">
        <f t="shared" si="219"/>
        <v/>
      </c>
      <c r="CB323" t="str">
        <f t="shared" si="220"/>
        <v>Aminoglycosides</v>
      </c>
      <c r="CC323" t="str">
        <f t="shared" si="221"/>
        <v/>
      </c>
      <c r="CD323" s="63" t="str">
        <f t="shared" si="222"/>
        <v/>
      </c>
      <c r="CG323" s="42">
        <v>320</v>
      </c>
      <c r="CH323" s="42" t="e">
        <f t="shared" si="238"/>
        <v>#N/A</v>
      </c>
      <c r="CI323" s="63" t="e">
        <f t="shared" si="239"/>
        <v>#N/A</v>
      </c>
      <c r="DM323" s="63"/>
      <c r="EA323" s="194" t="str">
        <f t="shared" ca="1" si="223"/>
        <v/>
      </c>
      <c r="EB323" s="226" t="str">
        <f>IFERROR(IF(ED323=0,"",COUNTIF(ED$4:ED$600,"&gt;"&amp;ED323)+COUNTIF(ED$4:ED323,ED323)),"")</f>
        <v/>
      </c>
      <c r="EC323" t="str">
        <f t="shared" si="224"/>
        <v>NEOMAY</v>
      </c>
      <c r="ED323" t="e">
        <f>IF(IF(EL$2="Catégorie",IF(EL$3="Toutes",SUMIFS('Étape 1 - à remplir'!$F$31:$F$400,'Étape 1 - à remplir'!$E$31:$E$400,MASQ2!EC323,'Étape 1 - à remplir'!$G$31:$G$400,"kg"),SUMIFS('Étape 1 - à remplir'!$F$31:$F$400,'Étape 1 - à remplir'!$E$31:$E$400,MASQ2!EC323,'Étape 1 - à remplir'!$C$31:$C$400,EL$3)),IF(EL$2="Âge",IF(EL$3="Tous",SUMIFS('Étape 1 - à remplir'!$F$31:$F$400,'Étape 1 - à remplir'!$E$31:$E$400,MASQ2!EC323,'Étape 1 - à remplir'!$G$31:$G$400,"kg"),SUMIFS('Étape 1 - à remplir'!$F$31:$F$400,'Étape 1 - à remplir'!$E$31:$E$400,MASQ2!EC323,'Étape 1 - à remplir'!$P$31:$P$400,EL$3,'Étape 1 - à remplir'!$G$31:$G$400,"kg")),IF(EL$2="Atelier",IF(EL$3="Tous",SUMIFS('Étape 1 - à remplir'!$F$31:$F$400,'Étape 1 - à remplir'!$E$31:$E$400,MASQ2!EC323,'Étape 1 - à remplir'!$G$31:$G$400,"kg"),SUMIFS('Étape 1 - à remplir'!$F$31:$F$400,'Étape 1 - à remplir'!$E$31:$E$400,MASQ2!EC323,'Étape 1 - à remplir'!$O$31:$O$400,EL$3,'Étape 1 - à remplir'!$G$31:$G$400,"kg")),IF(EL$2="Espèce",IF(EL$3="Toutes",SUMIFS('Étape 1 - à remplir'!$F$31:$F$400,'Étape 1 - à remplir'!$E$31:$E$400,MASQ2!EC323,'Étape 1 - à remplir'!$G$31:$G$400,"kg"),SUMIFS('Étape 1 - à remplir'!$F$31:$F$400,'Étape 1 - à remplir'!$E$31:$E$400,MASQ2!EC323,'Étape 1 - à remplir'!$N$31:$N$400,EL$3,'Étape 1 - à remplir'!$G$31:$G$400,"kg"))))))=0,NA(),IF(EL$2="Catégorie",IF(EL$3="Toutes",SUMIFS('Étape 1 - à remplir'!$F$31:$F$400,'Étape 1 - à remplir'!$E$31:$E$400,MASQ2!EC323,'Étape 1 - à remplir'!$G$31:$G$400,"kg"),SUMIFS('Étape 1 - à remplir'!$F$31:$F$400,'Étape 1 - à remplir'!$E$31:$E$400,MASQ2!EC323,'Étape 1 - à remplir'!$C$31:$C$400,EL$3)),IF(EL$2="Âge",IF(EL$3="Tous",SUMIFS('Étape 1 - à remplir'!$F$31:$F$400,'Étape 1 - à remplir'!$E$31:$E$400,MASQ2!EC323,'Étape 1 - à remplir'!$G$31:$G$400,"kg"),SUMIFS('Étape 1 - à remplir'!$F$31:$F$400,'Étape 1 - à remplir'!$E$31:$E$400,MASQ2!EC323,'Étape 1 - à remplir'!$P$31:$P$400,EL$3,'Étape 1 - à remplir'!$G$31:$G$400,"kg")),IF(EL$2="Atelier",IF(EL$3="Tous",SUMIFS('Étape 1 - à remplir'!$F$31:$F$400,'Étape 1 - à remplir'!$E$31:$E$400,MASQ2!EC323,'Étape 1 - à remplir'!$G$31:$G$400,"kg"),SUMIFS('Étape 1 - à remplir'!$F$31:$F$400,'Étape 1 - à remplir'!$E$31:$E$400,MASQ2!EC323,'Étape 1 - à remplir'!$O$31:$O$400,EL$3,'Étape 1 - à remplir'!$G$31:$G$400,"kg")),IF(EL$2="Espèce",IF(EL$3="Toutes",SUMIFS('Étape 1 - à remplir'!$F$31:$F$400,'Étape 1 - à remplir'!$E$31:$E$400,MASQ2!EC323,'Étape 1 - à remplir'!$G$31:$G$400,"kg"),SUMIFS('Étape 1 - à remplir'!$F$31:$F$400,'Étape 1 - à remplir'!$E$31:$E$400,MASQ2!EC323,'Étape 1 - à remplir'!$N$31:$N$400,EL$3,'Étape 1 - à remplir'!$G$31:$G$400,"kg")))))))</f>
        <v>#N/A</v>
      </c>
      <c r="EE323" s="76">
        <f t="shared" si="234"/>
        <v>0</v>
      </c>
      <c r="EF323" t="str">
        <f t="shared" si="225"/>
        <v>Néomycine</v>
      </c>
      <c r="EG323" t="str">
        <f t="shared" si="226"/>
        <v/>
      </c>
      <c r="EH323" t="str">
        <f t="shared" si="227"/>
        <v/>
      </c>
      <c r="EI323" t="str">
        <f t="shared" si="228"/>
        <v>Aminoglycosides</v>
      </c>
      <c r="EJ323" t="str">
        <f t="shared" si="229"/>
        <v/>
      </c>
      <c r="EK323" s="63" t="str">
        <f t="shared" si="230"/>
        <v/>
      </c>
      <c r="EN323" s="42">
        <v>320</v>
      </c>
      <c r="EO323" t="e">
        <f t="shared" si="236"/>
        <v>#N/A</v>
      </c>
      <c r="EP323" s="63" t="e">
        <f t="shared" si="237"/>
        <v>#N/A</v>
      </c>
      <c r="FT323" s="63"/>
    </row>
    <row r="324" spans="2:176" x14ac:dyDescent="0.3">
      <c r="B324" s="42"/>
      <c r="M324" s="194" t="str">
        <f ca="1">INDEX(Données_ATB!BD:BU,MATCH(MASQ2!O324,Données_ATB!BD:BD,0),18)</f>
        <v/>
      </c>
      <c r="N324" s="14" t="str">
        <f>IFERROR(IF(Q324=0,"",COUNTIF(Q$4:Q$600,"&gt;"&amp;Q324)+COUNTIF(Q$4:Q324,Q324)),"")</f>
        <v/>
      </c>
      <c r="O324" t="str">
        <f>Données_ATB!BD323</f>
        <v>NEOMYCINE 40 LAPIN-VOLAILLE-PORC ET AGNEAU-CHEVREAU SEVRES</v>
      </c>
      <c r="P324" t="e">
        <f>IF(IF(X$2="Catégorie",IF(X$3="Toutes",SUMIFS('Étape 1 - à remplir'!$F$31:$F$400,'Étape 1 - à remplir'!$E$31:$E$400,MASQ2!O324,'Étape 1 - à remplir'!$G$31:$G$400,"animaux"),SUMIFS('Étape 1 - à remplir'!$F$31:$F$400,'Étape 1 - à remplir'!$E$31:$E$400,MASQ2!O324,'Étape 1 - à remplir'!$C$31:$C$400,X$3)),IF(X$2="Âge",IF(X$3="Tous",SUMIFS('Étape 1 - à remplir'!$F$31:$F$400,'Étape 1 - à remplir'!$E$31:$E$400,MASQ2!O324,'Étape 1 - à remplir'!$G$31:$G$400,"animaux"),SUMIFS('Étape 1 - à remplir'!$F$31:$F$400,'Étape 1 - à remplir'!$E$31:$E$400,MASQ2!O324,'Étape 1 - à remplir'!$P$31:$P$400,X$3)),IF(X$2="Atelier",IF(X$3="Tous",SUMIFS('Étape 1 - à remplir'!$F$31:$F$400,'Étape 1 - à remplir'!$E$31:$E$400,MASQ2!O324,'Étape 1 - à remplir'!$G$31:$G$400,"animaux"),SUMIFS('Étape 1 - à remplir'!$F$31:$F$400,'Étape 1 - à remplir'!$E$31:$E$400,MASQ2!O324,'Étape 1 - à remplir'!$O$31:$O$400,X$3)),IF(X$2="Espèce",IF(X$3="Toutes",SUMIFS('Étape 1 - à remplir'!$F$31:$F$400,'Étape 1 - à remplir'!$E$31:$E$400,MASQ2!O324,'Étape 1 - à remplir'!$G$31:$G$400,"animaux"),SUMIFS('Étape 1 - à remplir'!$F$31:$F$400,'Étape 1 - à remplir'!$E$31:$E$400,MASQ2!O324,'Étape 1 - à remplir'!$N$31:$N$400,X$3))))))=0,NA(),IF(X$2="Catégorie",IF(X$3="Toutes",SUMIFS('Étape 1 - à remplir'!$F$31:$F$400,'Étape 1 - à remplir'!$E$31:$E$400,MASQ2!O324,'Étape 1 - à remplir'!$G$31:$G$400,"animaux"),SUMIFS('Étape 1 - à remplir'!$F$31:$F$400,'Étape 1 - à remplir'!$E$31:$E$400,MASQ2!O324,'Étape 1 - à remplir'!$C$31:$C$400,X$3)),IF(X$2="Âge",IF(X$3="Tous",SUMIFS('Étape 1 - à remplir'!$F$31:$F$400,'Étape 1 - à remplir'!$E$31:$E$400,MASQ2!O324,'Étape 1 - à remplir'!$G$31:$G$400,"animaux"),SUMIFS('Étape 1 - à remplir'!$F$31:$F$400,'Étape 1 - à remplir'!$E$31:$E$400,MASQ2!O324,'Étape 1 - à remplir'!$P$31:$P$400,X$3)),IF(X$2="Atelier",IF(X$3="Tous",SUMIFS('Étape 1 - à remplir'!$F$31:$F$400,'Étape 1 - à remplir'!$E$31:$E$400,MASQ2!O324,'Étape 1 - à remplir'!$G$31:$G$400,"animaux"),SUMIFS('Étape 1 - à remplir'!$F$31:$F$400,'Étape 1 - à remplir'!$E$31:$E$400,MASQ2!O324,'Étape 1 - à remplir'!$O$31:$O$400,X$3)),IF(X$2="Espèce",IF(X$3="Toutes",SUMIFS('Étape 1 - à remplir'!$F$31:$F$400,'Étape 1 - à remplir'!$E$31:$E$400,MASQ2!O324,'Étape 1 - à remplir'!$G$31:$G$400,"animaux"),SUMIFS('Étape 1 - à remplir'!$F$31:$F$400,'Étape 1 - à remplir'!$E$31:$E$400,MASQ2!O324,'Étape 1 - à remplir'!$N$31:$N$400,X$3)))))))</f>
        <v>#N/A</v>
      </c>
      <c r="Q324" s="63">
        <f t="shared" si="235"/>
        <v>0</v>
      </c>
      <c r="R324" t="str">
        <f>Données_ATB!BM323</f>
        <v>Néomycine</v>
      </c>
      <c r="S324" t="str">
        <f>Données_ATB!BN323</f>
        <v/>
      </c>
      <c r="T324" s="63" t="str">
        <f>Données_ATB!BO323</f>
        <v/>
      </c>
      <c r="U324" s="42" t="str">
        <f>Données_ATB!BQ323</f>
        <v>Aminoglycosides</v>
      </c>
      <c r="V324" t="str">
        <f>Données_ATB!BR323</f>
        <v/>
      </c>
      <c r="W324" s="63" t="str">
        <f>Données_ATB!BS323</f>
        <v/>
      </c>
      <c r="Z324" s="42">
        <v>321</v>
      </c>
      <c r="AA324" t="e">
        <f t="shared" si="231"/>
        <v>#N/A</v>
      </c>
      <c r="AB324" s="63" t="e">
        <f t="shared" si="232"/>
        <v>#N/A</v>
      </c>
      <c r="BF324" s="63"/>
      <c r="BT324" s="194" t="str">
        <f t="shared" ref="BT324:BT387" ca="1" si="240">M324</f>
        <v/>
      </c>
      <c r="BU324" s="219" t="str">
        <f>IFERROR(IF(BX324=0,"",COUNTIF(BX$4:BX$600,"&gt;"&amp;BX324)+COUNTIF(BX$4:BX324,BX324)),"")</f>
        <v/>
      </c>
      <c r="BV324" s="42" t="str">
        <f t="shared" ref="BV324:BV387" si="241">O324</f>
        <v>NEOMYCINE 40 LAPIN-VOLAILLE-PORC ET AGNEAU-CHEVREAU SEVRES</v>
      </c>
      <c r="BW324" t="e">
        <f>IF(IF(CE$2="Catégorie",IF(CE$3="Toutes",SUMIFS('Étape 1 - à remplir'!$F$31:$F$400,'Étape 1 - à remplir'!$E$31:$E$400,MASQ2!BV324,'Étape 1 - à remplir'!$G$31:$G$400,"lots"),SUMIFS('Étape 1 - à remplir'!$F$31:$F$400,'Étape 1 - à remplir'!$E$31:$E$400,MASQ2!BV324,'Étape 1 - à remplir'!$C$31:$C$400,CE$3)),IF(CE$2="Âge",IF(CE$3="Tous",SUMIFS('Étape 1 - à remplir'!$F$31:$F$400,'Étape 1 - à remplir'!$E$31:$E$400,MASQ2!BV324,'Étape 1 - à remplir'!$G$31:$G$400,"lots"),SUMIFS('Étape 1 - à remplir'!$F$31:$F$400,'Étape 1 - à remplir'!$E$31:$E$400,MASQ2!BV324,'Étape 1 - à remplir'!$P$31:$P$400,CE$3,'Étape 1 - à remplir'!$G$31:$G$400,"lots")),IF(CE$2="Atelier",IF(CE$3="Tous",SUMIFS('Étape 1 - à remplir'!$F$31:$F$400,'Étape 1 - à remplir'!$E$31:$E$400,MASQ2!BV324,'Étape 1 - à remplir'!$G$31:$G$400,"lots"),SUMIFS('Étape 1 - à remplir'!$F$31:$F$400,'Étape 1 - à remplir'!$E$31:$E$400,MASQ2!BV324,'Étape 1 - à remplir'!$O$31:$O$400,CE$3,'Étape 1 - à remplir'!$G$31:$G$400,"lots")),IF(CE$2="Espèce",IF(CE$3="Toutes",SUMIFS('Étape 1 - à remplir'!$F$31:$F$400,'Étape 1 - à remplir'!$E$31:$E$400,MASQ2!BV324,'Étape 1 - à remplir'!$G$31:$G$400,"lots"),SUMIFS('Étape 1 - à remplir'!$F$31:$F$400,'Étape 1 - à remplir'!$E$31:$E$400,MASQ2!BV324,'Étape 1 - à remplir'!$N$31:$N$400,CE$3,'Étape 1 - à remplir'!$G$31:$G$400,"lots"))))))=0,NA(),IF(CE$2="Catégorie",IF(CE$3="Toutes",SUMIFS('Étape 1 - à remplir'!$F$31:$F$400,'Étape 1 - à remplir'!$E$31:$E$400,MASQ2!BV324,'Étape 1 - à remplir'!$G$31:$G$400,"lots"),SUMIFS('Étape 1 - à remplir'!$F$31:$F$400,'Étape 1 - à remplir'!$E$31:$E$400,MASQ2!BV324,'Étape 1 - à remplir'!$C$31:$C$400,CE$3)),IF(CE$2="Âge",IF(CE$3="Tous",SUMIFS('Étape 1 - à remplir'!$F$31:$F$400,'Étape 1 - à remplir'!$E$31:$E$400,MASQ2!BV324,'Étape 1 - à remplir'!$G$31:$G$400,"lots"),SUMIFS('Étape 1 - à remplir'!$F$31:$F$400,'Étape 1 - à remplir'!$E$31:$E$400,MASQ2!BV324,'Étape 1 - à remplir'!$P$31:$P$400,CE$3,'Étape 1 - à remplir'!$G$31:$G$400,"lots")),IF(CE$2="Atelier",IF(CE$3="Tous",SUMIFS('Étape 1 - à remplir'!$F$31:$F$400,'Étape 1 - à remplir'!$E$31:$E$400,MASQ2!BV324,'Étape 1 - à remplir'!$G$31:$G$400,"lots"),SUMIFS('Étape 1 - à remplir'!$F$31:$F$400,'Étape 1 - à remplir'!$E$31:$E$400,MASQ2!BV324,'Étape 1 - à remplir'!$O$31:$O$400,CE$3,'Étape 1 - à remplir'!$G$31:$G$400,"lots")),IF(CE$2="Espèce",IF(CE$3="Toutes",SUMIFS('Étape 1 - à remplir'!$F$31:$F$400,'Étape 1 - à remplir'!$E$31:$E$400,MASQ2!BV324,'Étape 1 - à remplir'!$G$31:$G$400,"lots"),SUMIFS('Étape 1 - à remplir'!$F$31:$F$400,'Étape 1 - à remplir'!$E$31:$E$400,MASQ2!BV324,'Étape 1 - à remplir'!$N$31:$N$400,CE$3,'Étape 1 - à remplir'!$G$31:$G$400,"lots")))))))</f>
        <v>#N/A</v>
      </c>
      <c r="BX324">
        <f t="shared" si="233"/>
        <v>0</v>
      </c>
      <c r="BY324" t="str">
        <f t="shared" ref="BY324:BY387" si="242">R324</f>
        <v>Néomycine</v>
      </c>
      <c r="BZ324" t="str">
        <f t="shared" ref="BZ324:BZ387" si="243">S324</f>
        <v/>
      </c>
      <c r="CA324" t="str">
        <f t="shared" ref="CA324:CA387" si="244">T324</f>
        <v/>
      </c>
      <c r="CB324" t="str">
        <f t="shared" ref="CB324:CB387" si="245">U324</f>
        <v>Aminoglycosides</v>
      </c>
      <c r="CC324" t="str">
        <f t="shared" ref="CC324:CC387" si="246">V324</f>
        <v/>
      </c>
      <c r="CD324" s="63" t="str">
        <f t="shared" ref="CD324:CD387" si="247">W324</f>
        <v/>
      </c>
      <c r="CG324" s="42">
        <v>321</v>
      </c>
      <c r="CH324" s="42" t="e">
        <f t="shared" si="238"/>
        <v>#N/A</v>
      </c>
      <c r="CI324" s="63" t="e">
        <f t="shared" si="239"/>
        <v>#N/A</v>
      </c>
      <c r="DM324" s="63"/>
      <c r="EA324" s="194" t="str">
        <f t="shared" ref="EA324:EA387" ca="1" si="248">M324</f>
        <v/>
      </c>
      <c r="EB324" s="226" t="str">
        <f>IFERROR(IF(ED324=0,"",COUNTIF(ED$4:ED$600,"&gt;"&amp;ED324)+COUNTIF(ED$4:ED324,ED324)),"")</f>
        <v/>
      </c>
      <c r="EC324" t="str">
        <f t="shared" ref="EC324:EC387" si="249">O324</f>
        <v>NEOMYCINE 40 LAPIN-VOLAILLE-PORC ET AGNEAU-CHEVREAU SEVRES</v>
      </c>
      <c r="ED324" t="e">
        <f>IF(IF(EL$2="Catégorie",IF(EL$3="Toutes",SUMIFS('Étape 1 - à remplir'!$F$31:$F$400,'Étape 1 - à remplir'!$E$31:$E$400,MASQ2!EC324,'Étape 1 - à remplir'!$G$31:$G$400,"kg"),SUMIFS('Étape 1 - à remplir'!$F$31:$F$400,'Étape 1 - à remplir'!$E$31:$E$400,MASQ2!EC324,'Étape 1 - à remplir'!$C$31:$C$400,EL$3)),IF(EL$2="Âge",IF(EL$3="Tous",SUMIFS('Étape 1 - à remplir'!$F$31:$F$400,'Étape 1 - à remplir'!$E$31:$E$400,MASQ2!EC324,'Étape 1 - à remplir'!$G$31:$G$400,"kg"),SUMIFS('Étape 1 - à remplir'!$F$31:$F$400,'Étape 1 - à remplir'!$E$31:$E$400,MASQ2!EC324,'Étape 1 - à remplir'!$P$31:$P$400,EL$3,'Étape 1 - à remplir'!$G$31:$G$400,"kg")),IF(EL$2="Atelier",IF(EL$3="Tous",SUMIFS('Étape 1 - à remplir'!$F$31:$F$400,'Étape 1 - à remplir'!$E$31:$E$400,MASQ2!EC324,'Étape 1 - à remplir'!$G$31:$G$400,"kg"),SUMIFS('Étape 1 - à remplir'!$F$31:$F$400,'Étape 1 - à remplir'!$E$31:$E$400,MASQ2!EC324,'Étape 1 - à remplir'!$O$31:$O$400,EL$3,'Étape 1 - à remplir'!$G$31:$G$400,"kg")),IF(EL$2="Espèce",IF(EL$3="Toutes",SUMIFS('Étape 1 - à remplir'!$F$31:$F$400,'Étape 1 - à remplir'!$E$31:$E$400,MASQ2!EC324,'Étape 1 - à remplir'!$G$31:$G$400,"kg"),SUMIFS('Étape 1 - à remplir'!$F$31:$F$400,'Étape 1 - à remplir'!$E$31:$E$400,MASQ2!EC324,'Étape 1 - à remplir'!$N$31:$N$400,EL$3,'Étape 1 - à remplir'!$G$31:$G$400,"kg"))))))=0,NA(),IF(EL$2="Catégorie",IF(EL$3="Toutes",SUMIFS('Étape 1 - à remplir'!$F$31:$F$400,'Étape 1 - à remplir'!$E$31:$E$400,MASQ2!EC324,'Étape 1 - à remplir'!$G$31:$G$400,"kg"),SUMIFS('Étape 1 - à remplir'!$F$31:$F$400,'Étape 1 - à remplir'!$E$31:$E$400,MASQ2!EC324,'Étape 1 - à remplir'!$C$31:$C$400,EL$3)),IF(EL$2="Âge",IF(EL$3="Tous",SUMIFS('Étape 1 - à remplir'!$F$31:$F$400,'Étape 1 - à remplir'!$E$31:$E$400,MASQ2!EC324,'Étape 1 - à remplir'!$G$31:$G$400,"kg"),SUMIFS('Étape 1 - à remplir'!$F$31:$F$400,'Étape 1 - à remplir'!$E$31:$E$400,MASQ2!EC324,'Étape 1 - à remplir'!$P$31:$P$400,EL$3,'Étape 1 - à remplir'!$G$31:$G$400,"kg")),IF(EL$2="Atelier",IF(EL$3="Tous",SUMIFS('Étape 1 - à remplir'!$F$31:$F$400,'Étape 1 - à remplir'!$E$31:$E$400,MASQ2!EC324,'Étape 1 - à remplir'!$G$31:$G$400,"kg"),SUMIFS('Étape 1 - à remplir'!$F$31:$F$400,'Étape 1 - à remplir'!$E$31:$E$400,MASQ2!EC324,'Étape 1 - à remplir'!$O$31:$O$400,EL$3,'Étape 1 - à remplir'!$G$31:$G$400,"kg")),IF(EL$2="Espèce",IF(EL$3="Toutes",SUMIFS('Étape 1 - à remplir'!$F$31:$F$400,'Étape 1 - à remplir'!$E$31:$E$400,MASQ2!EC324,'Étape 1 - à remplir'!$G$31:$G$400,"kg"),SUMIFS('Étape 1 - à remplir'!$F$31:$F$400,'Étape 1 - à remplir'!$E$31:$E$400,MASQ2!EC324,'Étape 1 - à remplir'!$N$31:$N$400,EL$3,'Étape 1 - à remplir'!$G$31:$G$400,"kg")))))))</f>
        <v>#N/A</v>
      </c>
      <c r="EE324" s="76">
        <f t="shared" si="234"/>
        <v>0</v>
      </c>
      <c r="EF324" t="str">
        <f t="shared" ref="EF324:EF387" si="250">R324</f>
        <v>Néomycine</v>
      </c>
      <c r="EG324" t="str">
        <f t="shared" ref="EG324:EG387" si="251">S324</f>
        <v/>
      </c>
      <c r="EH324" t="str">
        <f t="shared" ref="EH324:EH387" si="252">T324</f>
        <v/>
      </c>
      <c r="EI324" t="str">
        <f t="shared" ref="EI324:EI387" si="253">U324</f>
        <v>Aminoglycosides</v>
      </c>
      <c r="EJ324" t="str">
        <f t="shared" ref="EJ324:EJ387" si="254">V324</f>
        <v/>
      </c>
      <c r="EK324" s="63" t="str">
        <f t="shared" ref="EK324:EK387" si="255">W324</f>
        <v/>
      </c>
      <c r="EN324" s="42">
        <v>321</v>
      </c>
      <c r="EO324" t="e">
        <f t="shared" si="236"/>
        <v>#N/A</v>
      </c>
      <c r="EP324" s="63" t="e">
        <f t="shared" si="237"/>
        <v>#N/A</v>
      </c>
      <c r="FT324" s="63"/>
    </row>
    <row r="325" spans="2:176" x14ac:dyDescent="0.3">
      <c r="B325" s="42"/>
      <c r="M325" s="194" t="str">
        <f ca="1">INDEX(Données_ATB!BD:BU,MATCH(MASQ2!O325,Données_ATB!BD:BD,0),18)</f>
        <v/>
      </c>
      <c r="N325" s="14" t="str">
        <f>IFERROR(IF(Q325=0,"",COUNTIF(Q$4:Q$600,"&gt;"&amp;Q325)+COUNTIF(Q$4:Q325,Q325)),"")</f>
        <v/>
      </c>
      <c r="O325" t="str">
        <f>Données_ATB!BD324</f>
        <v>NEOMYCINE 50 % VIRBAC</v>
      </c>
      <c r="P325" t="e">
        <f>IF(IF(X$2="Catégorie",IF(X$3="Toutes",SUMIFS('Étape 1 - à remplir'!$F$31:$F$400,'Étape 1 - à remplir'!$E$31:$E$400,MASQ2!O325,'Étape 1 - à remplir'!$G$31:$G$400,"animaux"),SUMIFS('Étape 1 - à remplir'!$F$31:$F$400,'Étape 1 - à remplir'!$E$31:$E$400,MASQ2!O325,'Étape 1 - à remplir'!$C$31:$C$400,X$3)),IF(X$2="Âge",IF(X$3="Tous",SUMIFS('Étape 1 - à remplir'!$F$31:$F$400,'Étape 1 - à remplir'!$E$31:$E$400,MASQ2!O325,'Étape 1 - à remplir'!$G$31:$G$400,"animaux"),SUMIFS('Étape 1 - à remplir'!$F$31:$F$400,'Étape 1 - à remplir'!$E$31:$E$400,MASQ2!O325,'Étape 1 - à remplir'!$P$31:$P$400,X$3)),IF(X$2="Atelier",IF(X$3="Tous",SUMIFS('Étape 1 - à remplir'!$F$31:$F$400,'Étape 1 - à remplir'!$E$31:$E$400,MASQ2!O325,'Étape 1 - à remplir'!$G$31:$G$400,"animaux"),SUMIFS('Étape 1 - à remplir'!$F$31:$F$400,'Étape 1 - à remplir'!$E$31:$E$400,MASQ2!O325,'Étape 1 - à remplir'!$O$31:$O$400,X$3)),IF(X$2="Espèce",IF(X$3="Toutes",SUMIFS('Étape 1 - à remplir'!$F$31:$F$400,'Étape 1 - à remplir'!$E$31:$E$400,MASQ2!O325,'Étape 1 - à remplir'!$G$31:$G$400,"animaux"),SUMIFS('Étape 1 - à remplir'!$F$31:$F$400,'Étape 1 - à remplir'!$E$31:$E$400,MASQ2!O325,'Étape 1 - à remplir'!$N$31:$N$400,X$3))))))=0,NA(),IF(X$2="Catégorie",IF(X$3="Toutes",SUMIFS('Étape 1 - à remplir'!$F$31:$F$400,'Étape 1 - à remplir'!$E$31:$E$400,MASQ2!O325,'Étape 1 - à remplir'!$G$31:$G$400,"animaux"),SUMIFS('Étape 1 - à remplir'!$F$31:$F$400,'Étape 1 - à remplir'!$E$31:$E$400,MASQ2!O325,'Étape 1 - à remplir'!$C$31:$C$400,X$3)),IF(X$2="Âge",IF(X$3="Tous",SUMIFS('Étape 1 - à remplir'!$F$31:$F$400,'Étape 1 - à remplir'!$E$31:$E$400,MASQ2!O325,'Étape 1 - à remplir'!$G$31:$G$400,"animaux"),SUMIFS('Étape 1 - à remplir'!$F$31:$F$400,'Étape 1 - à remplir'!$E$31:$E$400,MASQ2!O325,'Étape 1 - à remplir'!$P$31:$P$400,X$3)),IF(X$2="Atelier",IF(X$3="Tous",SUMIFS('Étape 1 - à remplir'!$F$31:$F$400,'Étape 1 - à remplir'!$E$31:$E$400,MASQ2!O325,'Étape 1 - à remplir'!$G$31:$G$400,"animaux"),SUMIFS('Étape 1 - à remplir'!$F$31:$F$400,'Étape 1 - à remplir'!$E$31:$E$400,MASQ2!O325,'Étape 1 - à remplir'!$O$31:$O$400,X$3)),IF(X$2="Espèce",IF(X$3="Toutes",SUMIFS('Étape 1 - à remplir'!$F$31:$F$400,'Étape 1 - à remplir'!$E$31:$E$400,MASQ2!O325,'Étape 1 - à remplir'!$G$31:$G$400,"animaux"),SUMIFS('Étape 1 - à remplir'!$F$31:$F$400,'Étape 1 - à remplir'!$E$31:$E$400,MASQ2!O325,'Étape 1 - à remplir'!$N$31:$N$400,X$3)))))))</f>
        <v>#N/A</v>
      </c>
      <c r="Q325" s="63">
        <f t="shared" si="235"/>
        <v>0</v>
      </c>
      <c r="R325" t="str">
        <f>Données_ATB!BM324</f>
        <v>Néomycine</v>
      </c>
      <c r="S325" t="str">
        <f>Données_ATB!BN324</f>
        <v/>
      </c>
      <c r="T325" s="63" t="str">
        <f>Données_ATB!BO324</f>
        <v/>
      </c>
      <c r="U325" s="42" t="str">
        <f>Données_ATB!BQ324</f>
        <v>Aminoglycosides</v>
      </c>
      <c r="V325" t="str">
        <f>Données_ATB!BR324</f>
        <v/>
      </c>
      <c r="W325" s="63" t="str">
        <f>Données_ATB!BS324</f>
        <v/>
      </c>
      <c r="Z325" s="42">
        <v>322</v>
      </c>
      <c r="AA325" t="e">
        <f t="shared" ref="AA325:AA388" si="256">INDEX(N$3:Q$600,MATCH(Z325,N$3:N$600,0),2)</f>
        <v>#N/A</v>
      </c>
      <c r="AB325" s="63" t="e">
        <f t="shared" ref="AB325:AB388" si="257">INDEX(N$3:Q$600,MATCH(Z325,N$3:N$600,0),4)</f>
        <v>#N/A</v>
      </c>
      <c r="BF325" s="63"/>
      <c r="BT325" s="194" t="str">
        <f t="shared" ca="1" si="240"/>
        <v/>
      </c>
      <c r="BU325" s="219" t="str">
        <f>IFERROR(IF(BX325=0,"",COUNTIF(BX$4:BX$600,"&gt;"&amp;BX325)+COUNTIF(BX$4:BX325,BX325)),"")</f>
        <v/>
      </c>
      <c r="BV325" s="42" t="str">
        <f t="shared" si="241"/>
        <v>NEOMYCINE 50 % VIRBAC</v>
      </c>
      <c r="BW325" t="e">
        <f>IF(IF(CE$2="Catégorie",IF(CE$3="Toutes",SUMIFS('Étape 1 - à remplir'!$F$31:$F$400,'Étape 1 - à remplir'!$E$31:$E$400,MASQ2!BV325,'Étape 1 - à remplir'!$G$31:$G$400,"lots"),SUMIFS('Étape 1 - à remplir'!$F$31:$F$400,'Étape 1 - à remplir'!$E$31:$E$400,MASQ2!BV325,'Étape 1 - à remplir'!$C$31:$C$400,CE$3)),IF(CE$2="Âge",IF(CE$3="Tous",SUMIFS('Étape 1 - à remplir'!$F$31:$F$400,'Étape 1 - à remplir'!$E$31:$E$400,MASQ2!BV325,'Étape 1 - à remplir'!$G$31:$G$400,"lots"),SUMIFS('Étape 1 - à remplir'!$F$31:$F$400,'Étape 1 - à remplir'!$E$31:$E$400,MASQ2!BV325,'Étape 1 - à remplir'!$P$31:$P$400,CE$3,'Étape 1 - à remplir'!$G$31:$G$400,"lots")),IF(CE$2="Atelier",IF(CE$3="Tous",SUMIFS('Étape 1 - à remplir'!$F$31:$F$400,'Étape 1 - à remplir'!$E$31:$E$400,MASQ2!BV325,'Étape 1 - à remplir'!$G$31:$G$400,"lots"),SUMIFS('Étape 1 - à remplir'!$F$31:$F$400,'Étape 1 - à remplir'!$E$31:$E$400,MASQ2!BV325,'Étape 1 - à remplir'!$O$31:$O$400,CE$3,'Étape 1 - à remplir'!$G$31:$G$400,"lots")),IF(CE$2="Espèce",IF(CE$3="Toutes",SUMIFS('Étape 1 - à remplir'!$F$31:$F$400,'Étape 1 - à remplir'!$E$31:$E$400,MASQ2!BV325,'Étape 1 - à remplir'!$G$31:$G$400,"lots"),SUMIFS('Étape 1 - à remplir'!$F$31:$F$400,'Étape 1 - à remplir'!$E$31:$E$400,MASQ2!BV325,'Étape 1 - à remplir'!$N$31:$N$400,CE$3,'Étape 1 - à remplir'!$G$31:$G$400,"lots"))))))=0,NA(),IF(CE$2="Catégorie",IF(CE$3="Toutes",SUMIFS('Étape 1 - à remplir'!$F$31:$F$400,'Étape 1 - à remplir'!$E$31:$E$400,MASQ2!BV325,'Étape 1 - à remplir'!$G$31:$G$400,"lots"),SUMIFS('Étape 1 - à remplir'!$F$31:$F$400,'Étape 1 - à remplir'!$E$31:$E$400,MASQ2!BV325,'Étape 1 - à remplir'!$C$31:$C$400,CE$3)),IF(CE$2="Âge",IF(CE$3="Tous",SUMIFS('Étape 1 - à remplir'!$F$31:$F$400,'Étape 1 - à remplir'!$E$31:$E$400,MASQ2!BV325,'Étape 1 - à remplir'!$G$31:$G$400,"lots"),SUMIFS('Étape 1 - à remplir'!$F$31:$F$400,'Étape 1 - à remplir'!$E$31:$E$400,MASQ2!BV325,'Étape 1 - à remplir'!$P$31:$P$400,CE$3,'Étape 1 - à remplir'!$G$31:$G$400,"lots")),IF(CE$2="Atelier",IF(CE$3="Tous",SUMIFS('Étape 1 - à remplir'!$F$31:$F$400,'Étape 1 - à remplir'!$E$31:$E$400,MASQ2!BV325,'Étape 1 - à remplir'!$G$31:$G$400,"lots"),SUMIFS('Étape 1 - à remplir'!$F$31:$F$400,'Étape 1 - à remplir'!$E$31:$E$400,MASQ2!BV325,'Étape 1 - à remplir'!$O$31:$O$400,CE$3,'Étape 1 - à remplir'!$G$31:$G$400,"lots")),IF(CE$2="Espèce",IF(CE$3="Toutes",SUMIFS('Étape 1 - à remplir'!$F$31:$F$400,'Étape 1 - à remplir'!$E$31:$E$400,MASQ2!BV325,'Étape 1 - à remplir'!$G$31:$G$400,"lots"),SUMIFS('Étape 1 - à remplir'!$F$31:$F$400,'Étape 1 - à remplir'!$E$31:$E$400,MASQ2!BV325,'Étape 1 - à remplir'!$N$31:$N$400,CE$3,'Étape 1 - à remplir'!$G$31:$G$400,"lots")))))))</f>
        <v>#N/A</v>
      </c>
      <c r="BX325">
        <f t="shared" ref="BX325:BX388" si="258">IFERROR(BW325,0)</f>
        <v>0</v>
      </c>
      <c r="BY325" t="str">
        <f t="shared" si="242"/>
        <v>Néomycine</v>
      </c>
      <c r="BZ325" t="str">
        <f t="shared" si="243"/>
        <v/>
      </c>
      <c r="CA325" t="str">
        <f t="shared" si="244"/>
        <v/>
      </c>
      <c r="CB325" t="str">
        <f t="shared" si="245"/>
        <v>Aminoglycosides</v>
      </c>
      <c r="CC325" t="str">
        <f t="shared" si="246"/>
        <v/>
      </c>
      <c r="CD325" s="63" t="str">
        <f t="shared" si="247"/>
        <v/>
      </c>
      <c r="CG325" s="42">
        <v>322</v>
      </c>
      <c r="CH325" s="42" t="e">
        <f t="shared" si="238"/>
        <v>#N/A</v>
      </c>
      <c r="CI325" s="63" t="e">
        <f t="shared" si="239"/>
        <v>#N/A</v>
      </c>
      <c r="DM325" s="63"/>
      <c r="EA325" s="194" t="str">
        <f t="shared" ca="1" si="248"/>
        <v/>
      </c>
      <c r="EB325" s="226" t="str">
        <f>IFERROR(IF(ED325=0,"",COUNTIF(ED$4:ED$600,"&gt;"&amp;ED325)+COUNTIF(ED$4:ED325,ED325)),"")</f>
        <v/>
      </c>
      <c r="EC325" t="str">
        <f t="shared" si="249"/>
        <v>NEOMYCINE 50 % VIRBAC</v>
      </c>
      <c r="ED325" t="e">
        <f>IF(IF(EL$2="Catégorie",IF(EL$3="Toutes",SUMIFS('Étape 1 - à remplir'!$F$31:$F$400,'Étape 1 - à remplir'!$E$31:$E$400,MASQ2!EC325,'Étape 1 - à remplir'!$G$31:$G$400,"kg"),SUMIFS('Étape 1 - à remplir'!$F$31:$F$400,'Étape 1 - à remplir'!$E$31:$E$400,MASQ2!EC325,'Étape 1 - à remplir'!$C$31:$C$400,EL$3)),IF(EL$2="Âge",IF(EL$3="Tous",SUMIFS('Étape 1 - à remplir'!$F$31:$F$400,'Étape 1 - à remplir'!$E$31:$E$400,MASQ2!EC325,'Étape 1 - à remplir'!$G$31:$G$400,"kg"),SUMIFS('Étape 1 - à remplir'!$F$31:$F$400,'Étape 1 - à remplir'!$E$31:$E$400,MASQ2!EC325,'Étape 1 - à remplir'!$P$31:$P$400,EL$3,'Étape 1 - à remplir'!$G$31:$G$400,"kg")),IF(EL$2="Atelier",IF(EL$3="Tous",SUMIFS('Étape 1 - à remplir'!$F$31:$F$400,'Étape 1 - à remplir'!$E$31:$E$400,MASQ2!EC325,'Étape 1 - à remplir'!$G$31:$G$400,"kg"),SUMIFS('Étape 1 - à remplir'!$F$31:$F$400,'Étape 1 - à remplir'!$E$31:$E$400,MASQ2!EC325,'Étape 1 - à remplir'!$O$31:$O$400,EL$3,'Étape 1 - à remplir'!$G$31:$G$400,"kg")),IF(EL$2="Espèce",IF(EL$3="Toutes",SUMIFS('Étape 1 - à remplir'!$F$31:$F$400,'Étape 1 - à remplir'!$E$31:$E$400,MASQ2!EC325,'Étape 1 - à remplir'!$G$31:$G$400,"kg"),SUMIFS('Étape 1 - à remplir'!$F$31:$F$400,'Étape 1 - à remplir'!$E$31:$E$400,MASQ2!EC325,'Étape 1 - à remplir'!$N$31:$N$400,EL$3,'Étape 1 - à remplir'!$G$31:$G$400,"kg"))))))=0,NA(),IF(EL$2="Catégorie",IF(EL$3="Toutes",SUMIFS('Étape 1 - à remplir'!$F$31:$F$400,'Étape 1 - à remplir'!$E$31:$E$400,MASQ2!EC325,'Étape 1 - à remplir'!$G$31:$G$400,"kg"),SUMIFS('Étape 1 - à remplir'!$F$31:$F$400,'Étape 1 - à remplir'!$E$31:$E$400,MASQ2!EC325,'Étape 1 - à remplir'!$C$31:$C$400,EL$3)),IF(EL$2="Âge",IF(EL$3="Tous",SUMIFS('Étape 1 - à remplir'!$F$31:$F$400,'Étape 1 - à remplir'!$E$31:$E$400,MASQ2!EC325,'Étape 1 - à remplir'!$G$31:$G$400,"kg"),SUMIFS('Étape 1 - à remplir'!$F$31:$F$400,'Étape 1 - à remplir'!$E$31:$E$400,MASQ2!EC325,'Étape 1 - à remplir'!$P$31:$P$400,EL$3,'Étape 1 - à remplir'!$G$31:$G$400,"kg")),IF(EL$2="Atelier",IF(EL$3="Tous",SUMIFS('Étape 1 - à remplir'!$F$31:$F$400,'Étape 1 - à remplir'!$E$31:$E$400,MASQ2!EC325,'Étape 1 - à remplir'!$G$31:$G$400,"kg"),SUMIFS('Étape 1 - à remplir'!$F$31:$F$400,'Étape 1 - à remplir'!$E$31:$E$400,MASQ2!EC325,'Étape 1 - à remplir'!$O$31:$O$400,EL$3,'Étape 1 - à remplir'!$G$31:$G$400,"kg")),IF(EL$2="Espèce",IF(EL$3="Toutes",SUMIFS('Étape 1 - à remplir'!$F$31:$F$400,'Étape 1 - à remplir'!$E$31:$E$400,MASQ2!EC325,'Étape 1 - à remplir'!$G$31:$G$400,"kg"),SUMIFS('Étape 1 - à remplir'!$F$31:$F$400,'Étape 1 - à remplir'!$E$31:$E$400,MASQ2!EC325,'Étape 1 - à remplir'!$N$31:$N$400,EL$3,'Étape 1 - à remplir'!$G$31:$G$400,"kg")))))))</f>
        <v>#N/A</v>
      </c>
      <c r="EE325" s="76">
        <f t="shared" ref="EE325:EE388" si="259">IFERROR(ED325,0)</f>
        <v>0</v>
      </c>
      <c r="EF325" t="str">
        <f t="shared" si="250"/>
        <v>Néomycine</v>
      </c>
      <c r="EG325" t="str">
        <f t="shared" si="251"/>
        <v/>
      </c>
      <c r="EH325" t="str">
        <f t="shared" si="252"/>
        <v/>
      </c>
      <c r="EI325" t="str">
        <f t="shared" si="253"/>
        <v>Aminoglycosides</v>
      </c>
      <c r="EJ325" t="str">
        <f t="shared" si="254"/>
        <v/>
      </c>
      <c r="EK325" s="63" t="str">
        <f t="shared" si="255"/>
        <v/>
      </c>
      <c r="EN325" s="42">
        <v>322</v>
      </c>
      <c r="EO325" t="e">
        <f t="shared" si="236"/>
        <v>#N/A</v>
      </c>
      <c r="EP325" s="63" t="e">
        <f t="shared" si="237"/>
        <v>#N/A</v>
      </c>
      <c r="FT325" s="63"/>
    </row>
    <row r="326" spans="2:176" x14ac:dyDescent="0.3">
      <c r="B326" s="42"/>
      <c r="M326" s="194" t="str">
        <f ca="1">INDEX(Données_ATB!BD:BU,MATCH(MASQ2!O326,Données_ATB!BD:BD,0),18)</f>
        <v/>
      </c>
      <c r="N326" s="14" t="str">
        <f>IFERROR(IF(Q326=0,"",COUNTIF(Q$4:Q$600,"&gt;"&amp;Q326)+COUNTIF(Q$4:Q326,Q326)),"")</f>
        <v/>
      </c>
      <c r="O326" t="str">
        <f>Données_ATB!BD325</f>
        <v>NEOMYCINE 50 COOPHAVET</v>
      </c>
      <c r="P326" t="e">
        <f>IF(IF(X$2="Catégorie",IF(X$3="Toutes",SUMIFS('Étape 1 - à remplir'!$F$31:$F$400,'Étape 1 - à remplir'!$E$31:$E$400,MASQ2!O326,'Étape 1 - à remplir'!$G$31:$G$400,"animaux"),SUMIFS('Étape 1 - à remplir'!$F$31:$F$400,'Étape 1 - à remplir'!$E$31:$E$400,MASQ2!O326,'Étape 1 - à remplir'!$C$31:$C$400,X$3)),IF(X$2="Âge",IF(X$3="Tous",SUMIFS('Étape 1 - à remplir'!$F$31:$F$400,'Étape 1 - à remplir'!$E$31:$E$400,MASQ2!O326,'Étape 1 - à remplir'!$G$31:$G$400,"animaux"),SUMIFS('Étape 1 - à remplir'!$F$31:$F$400,'Étape 1 - à remplir'!$E$31:$E$400,MASQ2!O326,'Étape 1 - à remplir'!$P$31:$P$400,X$3)),IF(X$2="Atelier",IF(X$3="Tous",SUMIFS('Étape 1 - à remplir'!$F$31:$F$400,'Étape 1 - à remplir'!$E$31:$E$400,MASQ2!O326,'Étape 1 - à remplir'!$G$31:$G$400,"animaux"),SUMIFS('Étape 1 - à remplir'!$F$31:$F$400,'Étape 1 - à remplir'!$E$31:$E$400,MASQ2!O326,'Étape 1 - à remplir'!$O$31:$O$400,X$3)),IF(X$2="Espèce",IF(X$3="Toutes",SUMIFS('Étape 1 - à remplir'!$F$31:$F$400,'Étape 1 - à remplir'!$E$31:$E$400,MASQ2!O326,'Étape 1 - à remplir'!$G$31:$G$400,"animaux"),SUMIFS('Étape 1 - à remplir'!$F$31:$F$400,'Étape 1 - à remplir'!$E$31:$E$400,MASQ2!O326,'Étape 1 - à remplir'!$N$31:$N$400,X$3))))))=0,NA(),IF(X$2="Catégorie",IF(X$3="Toutes",SUMIFS('Étape 1 - à remplir'!$F$31:$F$400,'Étape 1 - à remplir'!$E$31:$E$400,MASQ2!O326,'Étape 1 - à remplir'!$G$31:$G$400,"animaux"),SUMIFS('Étape 1 - à remplir'!$F$31:$F$400,'Étape 1 - à remplir'!$E$31:$E$400,MASQ2!O326,'Étape 1 - à remplir'!$C$31:$C$400,X$3)),IF(X$2="Âge",IF(X$3="Tous",SUMIFS('Étape 1 - à remplir'!$F$31:$F$400,'Étape 1 - à remplir'!$E$31:$E$400,MASQ2!O326,'Étape 1 - à remplir'!$G$31:$G$400,"animaux"),SUMIFS('Étape 1 - à remplir'!$F$31:$F$400,'Étape 1 - à remplir'!$E$31:$E$400,MASQ2!O326,'Étape 1 - à remplir'!$P$31:$P$400,X$3)),IF(X$2="Atelier",IF(X$3="Tous",SUMIFS('Étape 1 - à remplir'!$F$31:$F$400,'Étape 1 - à remplir'!$E$31:$E$400,MASQ2!O326,'Étape 1 - à remplir'!$G$31:$G$400,"animaux"),SUMIFS('Étape 1 - à remplir'!$F$31:$F$400,'Étape 1 - à remplir'!$E$31:$E$400,MASQ2!O326,'Étape 1 - à remplir'!$O$31:$O$400,X$3)),IF(X$2="Espèce",IF(X$3="Toutes",SUMIFS('Étape 1 - à remplir'!$F$31:$F$400,'Étape 1 - à remplir'!$E$31:$E$400,MASQ2!O326,'Étape 1 - à remplir'!$G$31:$G$400,"animaux"),SUMIFS('Étape 1 - à remplir'!$F$31:$F$400,'Étape 1 - à remplir'!$E$31:$E$400,MASQ2!O326,'Étape 1 - à remplir'!$N$31:$N$400,X$3)))))))</f>
        <v>#N/A</v>
      </c>
      <c r="Q326" s="63">
        <f t="shared" ref="Q326:Q389" si="260">IFERROR(P326,0)</f>
        <v>0</v>
      </c>
      <c r="R326" t="str">
        <f>Données_ATB!BM325</f>
        <v>Néomycine</v>
      </c>
      <c r="S326" t="str">
        <f>Données_ATB!BN325</f>
        <v/>
      </c>
      <c r="T326" s="63" t="str">
        <f>Données_ATB!BO325</f>
        <v/>
      </c>
      <c r="U326" s="42" t="str">
        <f>Données_ATB!BQ325</f>
        <v>Aminoglycosides</v>
      </c>
      <c r="V326" t="str">
        <f>Données_ATB!BR325</f>
        <v/>
      </c>
      <c r="W326" s="63" t="str">
        <f>Données_ATB!BS325</f>
        <v/>
      </c>
      <c r="Z326" s="42">
        <v>323</v>
      </c>
      <c r="AA326" t="e">
        <f t="shared" si="256"/>
        <v>#N/A</v>
      </c>
      <c r="AB326" s="63" t="e">
        <f t="shared" si="257"/>
        <v>#N/A</v>
      </c>
      <c r="BF326" s="63"/>
      <c r="BT326" s="194" t="str">
        <f t="shared" ca="1" si="240"/>
        <v/>
      </c>
      <c r="BU326" s="219" t="str">
        <f>IFERROR(IF(BX326=0,"",COUNTIF(BX$4:BX$600,"&gt;"&amp;BX326)+COUNTIF(BX$4:BX326,BX326)),"")</f>
        <v/>
      </c>
      <c r="BV326" s="42" t="str">
        <f t="shared" si="241"/>
        <v>NEOMYCINE 50 COOPHAVET</v>
      </c>
      <c r="BW326" t="e">
        <f>IF(IF(CE$2="Catégorie",IF(CE$3="Toutes",SUMIFS('Étape 1 - à remplir'!$F$31:$F$400,'Étape 1 - à remplir'!$E$31:$E$400,MASQ2!BV326,'Étape 1 - à remplir'!$G$31:$G$400,"lots"),SUMIFS('Étape 1 - à remplir'!$F$31:$F$400,'Étape 1 - à remplir'!$E$31:$E$400,MASQ2!BV326,'Étape 1 - à remplir'!$C$31:$C$400,CE$3)),IF(CE$2="Âge",IF(CE$3="Tous",SUMIFS('Étape 1 - à remplir'!$F$31:$F$400,'Étape 1 - à remplir'!$E$31:$E$400,MASQ2!BV326,'Étape 1 - à remplir'!$G$31:$G$400,"lots"),SUMIFS('Étape 1 - à remplir'!$F$31:$F$400,'Étape 1 - à remplir'!$E$31:$E$400,MASQ2!BV326,'Étape 1 - à remplir'!$P$31:$P$400,CE$3,'Étape 1 - à remplir'!$G$31:$G$400,"lots")),IF(CE$2="Atelier",IF(CE$3="Tous",SUMIFS('Étape 1 - à remplir'!$F$31:$F$400,'Étape 1 - à remplir'!$E$31:$E$400,MASQ2!BV326,'Étape 1 - à remplir'!$G$31:$G$400,"lots"),SUMIFS('Étape 1 - à remplir'!$F$31:$F$400,'Étape 1 - à remplir'!$E$31:$E$400,MASQ2!BV326,'Étape 1 - à remplir'!$O$31:$O$400,CE$3,'Étape 1 - à remplir'!$G$31:$G$400,"lots")),IF(CE$2="Espèce",IF(CE$3="Toutes",SUMIFS('Étape 1 - à remplir'!$F$31:$F$400,'Étape 1 - à remplir'!$E$31:$E$400,MASQ2!BV326,'Étape 1 - à remplir'!$G$31:$G$400,"lots"),SUMIFS('Étape 1 - à remplir'!$F$31:$F$400,'Étape 1 - à remplir'!$E$31:$E$400,MASQ2!BV326,'Étape 1 - à remplir'!$N$31:$N$400,CE$3,'Étape 1 - à remplir'!$G$31:$G$400,"lots"))))))=0,NA(),IF(CE$2="Catégorie",IF(CE$3="Toutes",SUMIFS('Étape 1 - à remplir'!$F$31:$F$400,'Étape 1 - à remplir'!$E$31:$E$400,MASQ2!BV326,'Étape 1 - à remplir'!$G$31:$G$400,"lots"),SUMIFS('Étape 1 - à remplir'!$F$31:$F$400,'Étape 1 - à remplir'!$E$31:$E$400,MASQ2!BV326,'Étape 1 - à remplir'!$C$31:$C$400,CE$3)),IF(CE$2="Âge",IF(CE$3="Tous",SUMIFS('Étape 1 - à remplir'!$F$31:$F$400,'Étape 1 - à remplir'!$E$31:$E$400,MASQ2!BV326,'Étape 1 - à remplir'!$G$31:$G$400,"lots"),SUMIFS('Étape 1 - à remplir'!$F$31:$F$400,'Étape 1 - à remplir'!$E$31:$E$400,MASQ2!BV326,'Étape 1 - à remplir'!$P$31:$P$400,CE$3,'Étape 1 - à remplir'!$G$31:$G$400,"lots")),IF(CE$2="Atelier",IF(CE$3="Tous",SUMIFS('Étape 1 - à remplir'!$F$31:$F$400,'Étape 1 - à remplir'!$E$31:$E$400,MASQ2!BV326,'Étape 1 - à remplir'!$G$31:$G$400,"lots"),SUMIFS('Étape 1 - à remplir'!$F$31:$F$400,'Étape 1 - à remplir'!$E$31:$E$400,MASQ2!BV326,'Étape 1 - à remplir'!$O$31:$O$400,CE$3,'Étape 1 - à remplir'!$G$31:$G$400,"lots")),IF(CE$2="Espèce",IF(CE$3="Toutes",SUMIFS('Étape 1 - à remplir'!$F$31:$F$400,'Étape 1 - à remplir'!$E$31:$E$400,MASQ2!BV326,'Étape 1 - à remplir'!$G$31:$G$400,"lots"),SUMIFS('Étape 1 - à remplir'!$F$31:$F$400,'Étape 1 - à remplir'!$E$31:$E$400,MASQ2!BV326,'Étape 1 - à remplir'!$N$31:$N$400,CE$3,'Étape 1 - à remplir'!$G$31:$G$400,"lots")))))))</f>
        <v>#N/A</v>
      </c>
      <c r="BX326">
        <f t="shared" si="258"/>
        <v>0</v>
      </c>
      <c r="BY326" t="str">
        <f t="shared" si="242"/>
        <v>Néomycine</v>
      </c>
      <c r="BZ326" t="str">
        <f t="shared" si="243"/>
        <v/>
      </c>
      <c r="CA326" t="str">
        <f t="shared" si="244"/>
        <v/>
      </c>
      <c r="CB326" t="str">
        <f t="shared" si="245"/>
        <v>Aminoglycosides</v>
      </c>
      <c r="CC326" t="str">
        <f t="shared" si="246"/>
        <v/>
      </c>
      <c r="CD326" s="63" t="str">
        <f t="shared" si="247"/>
        <v/>
      </c>
      <c r="CG326" s="42">
        <v>323</v>
      </c>
      <c r="CH326" s="42" t="e">
        <f t="shared" si="238"/>
        <v>#N/A</v>
      </c>
      <c r="CI326" s="63" t="e">
        <f t="shared" si="239"/>
        <v>#N/A</v>
      </c>
      <c r="DM326" s="63"/>
      <c r="EA326" s="194" t="str">
        <f t="shared" ca="1" si="248"/>
        <v/>
      </c>
      <c r="EB326" s="226" t="str">
        <f>IFERROR(IF(ED326=0,"",COUNTIF(ED$4:ED$600,"&gt;"&amp;ED326)+COUNTIF(ED$4:ED326,ED326)),"")</f>
        <v/>
      </c>
      <c r="EC326" t="str">
        <f t="shared" si="249"/>
        <v>NEOMYCINE 50 COOPHAVET</v>
      </c>
      <c r="ED326" t="e">
        <f>IF(IF(EL$2="Catégorie",IF(EL$3="Toutes",SUMIFS('Étape 1 - à remplir'!$F$31:$F$400,'Étape 1 - à remplir'!$E$31:$E$400,MASQ2!EC326,'Étape 1 - à remplir'!$G$31:$G$400,"kg"),SUMIFS('Étape 1 - à remplir'!$F$31:$F$400,'Étape 1 - à remplir'!$E$31:$E$400,MASQ2!EC326,'Étape 1 - à remplir'!$C$31:$C$400,EL$3)),IF(EL$2="Âge",IF(EL$3="Tous",SUMIFS('Étape 1 - à remplir'!$F$31:$F$400,'Étape 1 - à remplir'!$E$31:$E$400,MASQ2!EC326,'Étape 1 - à remplir'!$G$31:$G$400,"kg"),SUMIFS('Étape 1 - à remplir'!$F$31:$F$400,'Étape 1 - à remplir'!$E$31:$E$400,MASQ2!EC326,'Étape 1 - à remplir'!$P$31:$P$400,EL$3,'Étape 1 - à remplir'!$G$31:$G$400,"kg")),IF(EL$2="Atelier",IF(EL$3="Tous",SUMIFS('Étape 1 - à remplir'!$F$31:$F$400,'Étape 1 - à remplir'!$E$31:$E$400,MASQ2!EC326,'Étape 1 - à remplir'!$G$31:$G$400,"kg"),SUMIFS('Étape 1 - à remplir'!$F$31:$F$400,'Étape 1 - à remplir'!$E$31:$E$400,MASQ2!EC326,'Étape 1 - à remplir'!$O$31:$O$400,EL$3,'Étape 1 - à remplir'!$G$31:$G$400,"kg")),IF(EL$2="Espèce",IF(EL$3="Toutes",SUMIFS('Étape 1 - à remplir'!$F$31:$F$400,'Étape 1 - à remplir'!$E$31:$E$400,MASQ2!EC326,'Étape 1 - à remplir'!$G$31:$G$400,"kg"),SUMIFS('Étape 1 - à remplir'!$F$31:$F$400,'Étape 1 - à remplir'!$E$31:$E$400,MASQ2!EC326,'Étape 1 - à remplir'!$N$31:$N$400,EL$3,'Étape 1 - à remplir'!$G$31:$G$400,"kg"))))))=0,NA(),IF(EL$2="Catégorie",IF(EL$3="Toutes",SUMIFS('Étape 1 - à remplir'!$F$31:$F$400,'Étape 1 - à remplir'!$E$31:$E$400,MASQ2!EC326,'Étape 1 - à remplir'!$G$31:$G$400,"kg"),SUMIFS('Étape 1 - à remplir'!$F$31:$F$400,'Étape 1 - à remplir'!$E$31:$E$400,MASQ2!EC326,'Étape 1 - à remplir'!$C$31:$C$400,EL$3)),IF(EL$2="Âge",IF(EL$3="Tous",SUMIFS('Étape 1 - à remplir'!$F$31:$F$400,'Étape 1 - à remplir'!$E$31:$E$400,MASQ2!EC326,'Étape 1 - à remplir'!$G$31:$G$400,"kg"),SUMIFS('Étape 1 - à remplir'!$F$31:$F$400,'Étape 1 - à remplir'!$E$31:$E$400,MASQ2!EC326,'Étape 1 - à remplir'!$P$31:$P$400,EL$3,'Étape 1 - à remplir'!$G$31:$G$400,"kg")),IF(EL$2="Atelier",IF(EL$3="Tous",SUMIFS('Étape 1 - à remplir'!$F$31:$F$400,'Étape 1 - à remplir'!$E$31:$E$400,MASQ2!EC326,'Étape 1 - à remplir'!$G$31:$G$400,"kg"),SUMIFS('Étape 1 - à remplir'!$F$31:$F$400,'Étape 1 - à remplir'!$E$31:$E$400,MASQ2!EC326,'Étape 1 - à remplir'!$O$31:$O$400,EL$3,'Étape 1 - à remplir'!$G$31:$G$400,"kg")),IF(EL$2="Espèce",IF(EL$3="Toutes",SUMIFS('Étape 1 - à remplir'!$F$31:$F$400,'Étape 1 - à remplir'!$E$31:$E$400,MASQ2!EC326,'Étape 1 - à remplir'!$G$31:$G$400,"kg"),SUMIFS('Étape 1 - à remplir'!$F$31:$F$400,'Étape 1 - à remplir'!$E$31:$E$400,MASQ2!EC326,'Étape 1 - à remplir'!$N$31:$N$400,EL$3,'Étape 1 - à remplir'!$G$31:$G$400,"kg")))))))</f>
        <v>#N/A</v>
      </c>
      <c r="EE326" s="76">
        <f t="shared" si="259"/>
        <v>0</v>
      </c>
      <c r="EF326" t="str">
        <f t="shared" si="250"/>
        <v>Néomycine</v>
      </c>
      <c r="EG326" t="str">
        <f t="shared" si="251"/>
        <v/>
      </c>
      <c r="EH326" t="str">
        <f t="shared" si="252"/>
        <v/>
      </c>
      <c r="EI326" t="str">
        <f t="shared" si="253"/>
        <v>Aminoglycosides</v>
      </c>
      <c r="EJ326" t="str">
        <f t="shared" si="254"/>
        <v/>
      </c>
      <c r="EK326" s="63" t="str">
        <f t="shared" si="255"/>
        <v/>
      </c>
      <c r="EN326" s="42">
        <v>323</v>
      </c>
      <c r="EO326" t="e">
        <f t="shared" si="236"/>
        <v>#N/A</v>
      </c>
      <c r="EP326" s="63" t="e">
        <f t="shared" si="237"/>
        <v>#N/A</v>
      </c>
      <c r="FT326" s="63"/>
    </row>
    <row r="327" spans="2:176" x14ac:dyDescent="0.3">
      <c r="B327" s="42"/>
      <c r="M327" s="194" t="str">
        <f ca="1">INDEX(Données_ATB!BD:BU,MATCH(MASQ2!O327,Données_ATB!BD:BD,0),18)</f>
        <v/>
      </c>
      <c r="N327" s="14" t="str">
        <f>IFERROR(IF(Q327=0,"",COUNTIF(Q$4:Q$600,"&gt;"&amp;Q327)+COUNTIF(Q$4:Q327,Q327)),"")</f>
        <v/>
      </c>
      <c r="O327" t="str">
        <f>Données_ATB!BD326</f>
        <v>NEOXYNE</v>
      </c>
      <c r="P327" t="e">
        <f>IF(IF(X$2="Catégorie",IF(X$3="Toutes",SUMIFS('Étape 1 - à remplir'!$F$31:$F$400,'Étape 1 - à remplir'!$E$31:$E$400,MASQ2!O327,'Étape 1 - à remplir'!$G$31:$G$400,"animaux"),SUMIFS('Étape 1 - à remplir'!$F$31:$F$400,'Étape 1 - à remplir'!$E$31:$E$400,MASQ2!O327,'Étape 1 - à remplir'!$C$31:$C$400,X$3)),IF(X$2="Âge",IF(X$3="Tous",SUMIFS('Étape 1 - à remplir'!$F$31:$F$400,'Étape 1 - à remplir'!$E$31:$E$400,MASQ2!O327,'Étape 1 - à remplir'!$G$31:$G$400,"animaux"),SUMIFS('Étape 1 - à remplir'!$F$31:$F$400,'Étape 1 - à remplir'!$E$31:$E$400,MASQ2!O327,'Étape 1 - à remplir'!$P$31:$P$400,X$3)),IF(X$2="Atelier",IF(X$3="Tous",SUMIFS('Étape 1 - à remplir'!$F$31:$F$400,'Étape 1 - à remplir'!$E$31:$E$400,MASQ2!O327,'Étape 1 - à remplir'!$G$31:$G$400,"animaux"),SUMIFS('Étape 1 - à remplir'!$F$31:$F$400,'Étape 1 - à remplir'!$E$31:$E$400,MASQ2!O327,'Étape 1 - à remplir'!$O$31:$O$400,X$3)),IF(X$2="Espèce",IF(X$3="Toutes",SUMIFS('Étape 1 - à remplir'!$F$31:$F$400,'Étape 1 - à remplir'!$E$31:$E$400,MASQ2!O327,'Étape 1 - à remplir'!$G$31:$G$400,"animaux"),SUMIFS('Étape 1 - à remplir'!$F$31:$F$400,'Étape 1 - à remplir'!$E$31:$E$400,MASQ2!O327,'Étape 1 - à remplir'!$N$31:$N$400,X$3))))))=0,NA(),IF(X$2="Catégorie",IF(X$3="Toutes",SUMIFS('Étape 1 - à remplir'!$F$31:$F$400,'Étape 1 - à remplir'!$E$31:$E$400,MASQ2!O327,'Étape 1 - à remplir'!$G$31:$G$400,"animaux"),SUMIFS('Étape 1 - à remplir'!$F$31:$F$400,'Étape 1 - à remplir'!$E$31:$E$400,MASQ2!O327,'Étape 1 - à remplir'!$C$31:$C$400,X$3)),IF(X$2="Âge",IF(X$3="Tous",SUMIFS('Étape 1 - à remplir'!$F$31:$F$400,'Étape 1 - à remplir'!$E$31:$E$400,MASQ2!O327,'Étape 1 - à remplir'!$G$31:$G$400,"animaux"),SUMIFS('Étape 1 - à remplir'!$F$31:$F$400,'Étape 1 - à remplir'!$E$31:$E$400,MASQ2!O327,'Étape 1 - à remplir'!$P$31:$P$400,X$3)),IF(X$2="Atelier",IF(X$3="Tous",SUMIFS('Étape 1 - à remplir'!$F$31:$F$400,'Étape 1 - à remplir'!$E$31:$E$400,MASQ2!O327,'Étape 1 - à remplir'!$G$31:$G$400,"animaux"),SUMIFS('Étape 1 - à remplir'!$F$31:$F$400,'Étape 1 - à remplir'!$E$31:$E$400,MASQ2!O327,'Étape 1 - à remplir'!$O$31:$O$400,X$3)),IF(X$2="Espèce",IF(X$3="Toutes",SUMIFS('Étape 1 - à remplir'!$F$31:$F$400,'Étape 1 - à remplir'!$E$31:$E$400,MASQ2!O327,'Étape 1 - à remplir'!$G$31:$G$400,"animaux"),SUMIFS('Étape 1 - à remplir'!$F$31:$F$400,'Étape 1 - à remplir'!$E$31:$E$400,MASQ2!O327,'Étape 1 - à remplir'!$N$31:$N$400,X$3)))))))</f>
        <v>#N/A</v>
      </c>
      <c r="Q327" s="63">
        <f t="shared" si="260"/>
        <v>0</v>
      </c>
      <c r="R327" t="str">
        <f>Données_ATB!BM326</f>
        <v>Néomycine</v>
      </c>
      <c r="S327" t="str">
        <f>Données_ATB!BN326</f>
        <v>Oxytétracycline</v>
      </c>
      <c r="T327" s="63" t="str">
        <f>Données_ATB!BO326</f>
        <v/>
      </c>
      <c r="U327" s="42" t="str">
        <f>Données_ATB!BQ326</f>
        <v>Aminoglycosides</v>
      </c>
      <c r="V327" t="str">
        <f>Données_ATB!BR326</f>
        <v>Tetracyclines</v>
      </c>
      <c r="W327" s="63" t="str">
        <f>Données_ATB!BS326</f>
        <v/>
      </c>
      <c r="Z327" s="42">
        <v>324</v>
      </c>
      <c r="AA327" t="e">
        <f t="shared" si="256"/>
        <v>#N/A</v>
      </c>
      <c r="AB327" s="63" t="e">
        <f t="shared" si="257"/>
        <v>#N/A</v>
      </c>
      <c r="BF327" s="63"/>
      <c r="BT327" s="194" t="str">
        <f t="shared" ca="1" si="240"/>
        <v/>
      </c>
      <c r="BU327" s="219" t="str">
        <f>IFERROR(IF(BX327=0,"",COUNTIF(BX$4:BX$600,"&gt;"&amp;BX327)+COUNTIF(BX$4:BX327,BX327)),"")</f>
        <v/>
      </c>
      <c r="BV327" s="42" t="str">
        <f t="shared" si="241"/>
        <v>NEOXYNE</v>
      </c>
      <c r="BW327" t="e">
        <f>IF(IF(CE$2="Catégorie",IF(CE$3="Toutes",SUMIFS('Étape 1 - à remplir'!$F$31:$F$400,'Étape 1 - à remplir'!$E$31:$E$400,MASQ2!BV327,'Étape 1 - à remplir'!$G$31:$G$400,"lots"),SUMIFS('Étape 1 - à remplir'!$F$31:$F$400,'Étape 1 - à remplir'!$E$31:$E$400,MASQ2!BV327,'Étape 1 - à remplir'!$C$31:$C$400,CE$3)),IF(CE$2="Âge",IF(CE$3="Tous",SUMIFS('Étape 1 - à remplir'!$F$31:$F$400,'Étape 1 - à remplir'!$E$31:$E$400,MASQ2!BV327,'Étape 1 - à remplir'!$G$31:$G$400,"lots"),SUMIFS('Étape 1 - à remplir'!$F$31:$F$400,'Étape 1 - à remplir'!$E$31:$E$400,MASQ2!BV327,'Étape 1 - à remplir'!$P$31:$P$400,CE$3,'Étape 1 - à remplir'!$G$31:$G$400,"lots")),IF(CE$2="Atelier",IF(CE$3="Tous",SUMIFS('Étape 1 - à remplir'!$F$31:$F$400,'Étape 1 - à remplir'!$E$31:$E$400,MASQ2!BV327,'Étape 1 - à remplir'!$G$31:$G$400,"lots"),SUMIFS('Étape 1 - à remplir'!$F$31:$F$400,'Étape 1 - à remplir'!$E$31:$E$400,MASQ2!BV327,'Étape 1 - à remplir'!$O$31:$O$400,CE$3,'Étape 1 - à remplir'!$G$31:$G$400,"lots")),IF(CE$2="Espèce",IF(CE$3="Toutes",SUMIFS('Étape 1 - à remplir'!$F$31:$F$400,'Étape 1 - à remplir'!$E$31:$E$400,MASQ2!BV327,'Étape 1 - à remplir'!$G$31:$G$400,"lots"),SUMIFS('Étape 1 - à remplir'!$F$31:$F$400,'Étape 1 - à remplir'!$E$31:$E$400,MASQ2!BV327,'Étape 1 - à remplir'!$N$31:$N$400,CE$3,'Étape 1 - à remplir'!$G$31:$G$400,"lots"))))))=0,NA(),IF(CE$2="Catégorie",IF(CE$3="Toutes",SUMIFS('Étape 1 - à remplir'!$F$31:$F$400,'Étape 1 - à remplir'!$E$31:$E$400,MASQ2!BV327,'Étape 1 - à remplir'!$G$31:$G$400,"lots"),SUMIFS('Étape 1 - à remplir'!$F$31:$F$400,'Étape 1 - à remplir'!$E$31:$E$400,MASQ2!BV327,'Étape 1 - à remplir'!$C$31:$C$400,CE$3)),IF(CE$2="Âge",IF(CE$3="Tous",SUMIFS('Étape 1 - à remplir'!$F$31:$F$400,'Étape 1 - à remplir'!$E$31:$E$400,MASQ2!BV327,'Étape 1 - à remplir'!$G$31:$G$400,"lots"),SUMIFS('Étape 1 - à remplir'!$F$31:$F$400,'Étape 1 - à remplir'!$E$31:$E$400,MASQ2!BV327,'Étape 1 - à remplir'!$P$31:$P$400,CE$3,'Étape 1 - à remplir'!$G$31:$G$400,"lots")),IF(CE$2="Atelier",IF(CE$3="Tous",SUMIFS('Étape 1 - à remplir'!$F$31:$F$400,'Étape 1 - à remplir'!$E$31:$E$400,MASQ2!BV327,'Étape 1 - à remplir'!$G$31:$G$400,"lots"),SUMIFS('Étape 1 - à remplir'!$F$31:$F$400,'Étape 1 - à remplir'!$E$31:$E$400,MASQ2!BV327,'Étape 1 - à remplir'!$O$31:$O$400,CE$3,'Étape 1 - à remplir'!$G$31:$G$400,"lots")),IF(CE$2="Espèce",IF(CE$3="Toutes",SUMIFS('Étape 1 - à remplir'!$F$31:$F$400,'Étape 1 - à remplir'!$E$31:$E$400,MASQ2!BV327,'Étape 1 - à remplir'!$G$31:$G$400,"lots"),SUMIFS('Étape 1 - à remplir'!$F$31:$F$400,'Étape 1 - à remplir'!$E$31:$E$400,MASQ2!BV327,'Étape 1 - à remplir'!$N$31:$N$400,CE$3,'Étape 1 - à remplir'!$G$31:$G$400,"lots")))))))</f>
        <v>#N/A</v>
      </c>
      <c r="BX327">
        <f t="shared" si="258"/>
        <v>0</v>
      </c>
      <c r="BY327" t="str">
        <f t="shared" si="242"/>
        <v>Néomycine</v>
      </c>
      <c r="BZ327" t="str">
        <f t="shared" si="243"/>
        <v>Oxytétracycline</v>
      </c>
      <c r="CA327" t="str">
        <f t="shared" si="244"/>
        <v/>
      </c>
      <c r="CB327" t="str">
        <f t="shared" si="245"/>
        <v>Aminoglycosides</v>
      </c>
      <c r="CC327" t="str">
        <f t="shared" si="246"/>
        <v>Tetracyclines</v>
      </c>
      <c r="CD327" s="63" t="str">
        <f t="shared" si="247"/>
        <v/>
      </c>
      <c r="CG327" s="42">
        <v>324</v>
      </c>
      <c r="CH327" s="42" t="e">
        <f t="shared" si="238"/>
        <v>#N/A</v>
      </c>
      <c r="CI327" s="63" t="e">
        <f t="shared" si="239"/>
        <v>#N/A</v>
      </c>
      <c r="DM327" s="63"/>
      <c r="EA327" s="194" t="str">
        <f t="shared" ca="1" si="248"/>
        <v/>
      </c>
      <c r="EB327" s="226" t="str">
        <f>IFERROR(IF(ED327=0,"",COUNTIF(ED$4:ED$600,"&gt;"&amp;ED327)+COUNTIF(ED$4:ED327,ED327)),"")</f>
        <v/>
      </c>
      <c r="EC327" t="str">
        <f t="shared" si="249"/>
        <v>NEOXYNE</v>
      </c>
      <c r="ED327" t="e">
        <f>IF(IF(EL$2="Catégorie",IF(EL$3="Toutes",SUMIFS('Étape 1 - à remplir'!$F$31:$F$400,'Étape 1 - à remplir'!$E$31:$E$400,MASQ2!EC327,'Étape 1 - à remplir'!$G$31:$G$400,"kg"),SUMIFS('Étape 1 - à remplir'!$F$31:$F$400,'Étape 1 - à remplir'!$E$31:$E$400,MASQ2!EC327,'Étape 1 - à remplir'!$C$31:$C$400,EL$3)),IF(EL$2="Âge",IF(EL$3="Tous",SUMIFS('Étape 1 - à remplir'!$F$31:$F$400,'Étape 1 - à remplir'!$E$31:$E$400,MASQ2!EC327,'Étape 1 - à remplir'!$G$31:$G$400,"kg"),SUMIFS('Étape 1 - à remplir'!$F$31:$F$400,'Étape 1 - à remplir'!$E$31:$E$400,MASQ2!EC327,'Étape 1 - à remplir'!$P$31:$P$400,EL$3,'Étape 1 - à remplir'!$G$31:$G$400,"kg")),IF(EL$2="Atelier",IF(EL$3="Tous",SUMIFS('Étape 1 - à remplir'!$F$31:$F$400,'Étape 1 - à remplir'!$E$31:$E$400,MASQ2!EC327,'Étape 1 - à remplir'!$G$31:$G$400,"kg"),SUMIFS('Étape 1 - à remplir'!$F$31:$F$400,'Étape 1 - à remplir'!$E$31:$E$400,MASQ2!EC327,'Étape 1 - à remplir'!$O$31:$O$400,EL$3,'Étape 1 - à remplir'!$G$31:$G$400,"kg")),IF(EL$2="Espèce",IF(EL$3="Toutes",SUMIFS('Étape 1 - à remplir'!$F$31:$F$400,'Étape 1 - à remplir'!$E$31:$E$400,MASQ2!EC327,'Étape 1 - à remplir'!$G$31:$G$400,"kg"),SUMIFS('Étape 1 - à remplir'!$F$31:$F$400,'Étape 1 - à remplir'!$E$31:$E$400,MASQ2!EC327,'Étape 1 - à remplir'!$N$31:$N$400,EL$3,'Étape 1 - à remplir'!$G$31:$G$400,"kg"))))))=0,NA(),IF(EL$2="Catégorie",IF(EL$3="Toutes",SUMIFS('Étape 1 - à remplir'!$F$31:$F$400,'Étape 1 - à remplir'!$E$31:$E$400,MASQ2!EC327,'Étape 1 - à remplir'!$G$31:$G$400,"kg"),SUMIFS('Étape 1 - à remplir'!$F$31:$F$400,'Étape 1 - à remplir'!$E$31:$E$400,MASQ2!EC327,'Étape 1 - à remplir'!$C$31:$C$400,EL$3)),IF(EL$2="Âge",IF(EL$3="Tous",SUMIFS('Étape 1 - à remplir'!$F$31:$F$400,'Étape 1 - à remplir'!$E$31:$E$400,MASQ2!EC327,'Étape 1 - à remplir'!$G$31:$G$400,"kg"),SUMIFS('Étape 1 - à remplir'!$F$31:$F$400,'Étape 1 - à remplir'!$E$31:$E$400,MASQ2!EC327,'Étape 1 - à remplir'!$P$31:$P$400,EL$3,'Étape 1 - à remplir'!$G$31:$G$400,"kg")),IF(EL$2="Atelier",IF(EL$3="Tous",SUMIFS('Étape 1 - à remplir'!$F$31:$F$400,'Étape 1 - à remplir'!$E$31:$E$400,MASQ2!EC327,'Étape 1 - à remplir'!$G$31:$G$400,"kg"),SUMIFS('Étape 1 - à remplir'!$F$31:$F$400,'Étape 1 - à remplir'!$E$31:$E$400,MASQ2!EC327,'Étape 1 - à remplir'!$O$31:$O$400,EL$3,'Étape 1 - à remplir'!$G$31:$G$400,"kg")),IF(EL$2="Espèce",IF(EL$3="Toutes",SUMIFS('Étape 1 - à remplir'!$F$31:$F$400,'Étape 1 - à remplir'!$E$31:$E$400,MASQ2!EC327,'Étape 1 - à remplir'!$G$31:$G$400,"kg"),SUMIFS('Étape 1 - à remplir'!$F$31:$F$400,'Étape 1 - à remplir'!$E$31:$E$400,MASQ2!EC327,'Étape 1 - à remplir'!$N$31:$N$400,EL$3,'Étape 1 - à remplir'!$G$31:$G$400,"kg")))))))</f>
        <v>#N/A</v>
      </c>
      <c r="EE327" s="76">
        <f t="shared" si="259"/>
        <v>0</v>
      </c>
      <c r="EF327" t="str">
        <f t="shared" si="250"/>
        <v>Néomycine</v>
      </c>
      <c r="EG327" t="str">
        <f t="shared" si="251"/>
        <v>Oxytétracycline</v>
      </c>
      <c r="EH327" t="str">
        <f t="shared" si="252"/>
        <v/>
      </c>
      <c r="EI327" t="str">
        <f t="shared" si="253"/>
        <v>Aminoglycosides</v>
      </c>
      <c r="EJ327" t="str">
        <f t="shared" si="254"/>
        <v>Tetracyclines</v>
      </c>
      <c r="EK327" s="63" t="str">
        <f t="shared" si="255"/>
        <v/>
      </c>
      <c r="EN327" s="42">
        <v>324</v>
      </c>
      <c r="EO327" t="e">
        <f t="shared" si="236"/>
        <v>#N/A</v>
      </c>
      <c r="EP327" s="63" t="e">
        <f t="shared" si="237"/>
        <v>#N/A</v>
      </c>
      <c r="FT327" s="63"/>
    </row>
    <row r="328" spans="2:176" x14ac:dyDescent="0.3">
      <c r="B328" s="42"/>
      <c r="M328" s="194" t="str">
        <f ca="1">INDEX(Données_ATB!BD:BU,MATCH(MASQ2!O328,Données_ATB!BD:BD,0),18)</f>
        <v/>
      </c>
      <c r="N328" s="14" t="str">
        <f>IFERROR(IF(Q328=0,"",COUNTIF(Q$4:Q$600,"&gt;"&amp;Q328)+COUNTIF(Q$4:Q328,Q328)),"")</f>
        <v/>
      </c>
      <c r="O328" t="str">
        <f>Données_ATB!BD327</f>
        <v>NIFENCOL 100 MG/ML SOLUTION POUR ADMINISTRATION DANS L'EAU DE BOISSONS POUR PORCINS</v>
      </c>
      <c r="P328" t="e">
        <f>IF(IF(X$2="Catégorie",IF(X$3="Toutes",SUMIFS('Étape 1 - à remplir'!$F$31:$F$400,'Étape 1 - à remplir'!$E$31:$E$400,MASQ2!O328,'Étape 1 - à remplir'!$G$31:$G$400,"animaux"),SUMIFS('Étape 1 - à remplir'!$F$31:$F$400,'Étape 1 - à remplir'!$E$31:$E$400,MASQ2!O328,'Étape 1 - à remplir'!$C$31:$C$400,X$3)),IF(X$2="Âge",IF(X$3="Tous",SUMIFS('Étape 1 - à remplir'!$F$31:$F$400,'Étape 1 - à remplir'!$E$31:$E$400,MASQ2!O328,'Étape 1 - à remplir'!$G$31:$G$400,"animaux"),SUMIFS('Étape 1 - à remplir'!$F$31:$F$400,'Étape 1 - à remplir'!$E$31:$E$400,MASQ2!O328,'Étape 1 - à remplir'!$P$31:$P$400,X$3)),IF(X$2="Atelier",IF(X$3="Tous",SUMIFS('Étape 1 - à remplir'!$F$31:$F$400,'Étape 1 - à remplir'!$E$31:$E$400,MASQ2!O328,'Étape 1 - à remplir'!$G$31:$G$400,"animaux"),SUMIFS('Étape 1 - à remplir'!$F$31:$F$400,'Étape 1 - à remplir'!$E$31:$E$400,MASQ2!O328,'Étape 1 - à remplir'!$O$31:$O$400,X$3)),IF(X$2="Espèce",IF(X$3="Toutes",SUMIFS('Étape 1 - à remplir'!$F$31:$F$400,'Étape 1 - à remplir'!$E$31:$E$400,MASQ2!O328,'Étape 1 - à remplir'!$G$31:$G$400,"animaux"),SUMIFS('Étape 1 - à remplir'!$F$31:$F$400,'Étape 1 - à remplir'!$E$31:$E$400,MASQ2!O328,'Étape 1 - à remplir'!$N$31:$N$400,X$3))))))=0,NA(),IF(X$2="Catégorie",IF(X$3="Toutes",SUMIFS('Étape 1 - à remplir'!$F$31:$F$400,'Étape 1 - à remplir'!$E$31:$E$400,MASQ2!O328,'Étape 1 - à remplir'!$G$31:$G$400,"animaux"),SUMIFS('Étape 1 - à remplir'!$F$31:$F$400,'Étape 1 - à remplir'!$E$31:$E$400,MASQ2!O328,'Étape 1 - à remplir'!$C$31:$C$400,X$3)),IF(X$2="Âge",IF(X$3="Tous",SUMIFS('Étape 1 - à remplir'!$F$31:$F$400,'Étape 1 - à remplir'!$E$31:$E$400,MASQ2!O328,'Étape 1 - à remplir'!$G$31:$G$400,"animaux"),SUMIFS('Étape 1 - à remplir'!$F$31:$F$400,'Étape 1 - à remplir'!$E$31:$E$400,MASQ2!O328,'Étape 1 - à remplir'!$P$31:$P$400,X$3)),IF(X$2="Atelier",IF(X$3="Tous",SUMIFS('Étape 1 - à remplir'!$F$31:$F$400,'Étape 1 - à remplir'!$E$31:$E$400,MASQ2!O328,'Étape 1 - à remplir'!$G$31:$G$400,"animaux"),SUMIFS('Étape 1 - à remplir'!$F$31:$F$400,'Étape 1 - à remplir'!$E$31:$E$400,MASQ2!O328,'Étape 1 - à remplir'!$O$31:$O$400,X$3)),IF(X$2="Espèce",IF(X$3="Toutes",SUMIFS('Étape 1 - à remplir'!$F$31:$F$400,'Étape 1 - à remplir'!$E$31:$E$400,MASQ2!O328,'Étape 1 - à remplir'!$G$31:$G$400,"animaux"),SUMIFS('Étape 1 - à remplir'!$F$31:$F$400,'Étape 1 - à remplir'!$E$31:$E$400,MASQ2!O328,'Étape 1 - à remplir'!$N$31:$N$400,X$3)))))))</f>
        <v>#N/A</v>
      </c>
      <c r="Q328" s="63">
        <f t="shared" si="260"/>
        <v>0</v>
      </c>
      <c r="R328" t="str">
        <f>Données_ATB!BM327</f>
        <v>Florfénicol</v>
      </c>
      <c r="S328" t="str">
        <f>Données_ATB!BN327</f>
        <v/>
      </c>
      <c r="T328" s="63" t="str">
        <f>Données_ATB!BO327</f>
        <v/>
      </c>
      <c r="U328" s="42" t="str">
        <f>Données_ATB!BQ327</f>
        <v>Phenicoles</v>
      </c>
      <c r="V328" t="str">
        <f>Données_ATB!BR327</f>
        <v/>
      </c>
      <c r="W328" s="63" t="str">
        <f>Données_ATB!BS327</f>
        <v/>
      </c>
      <c r="Z328" s="42">
        <v>325</v>
      </c>
      <c r="AA328" t="e">
        <f t="shared" si="256"/>
        <v>#N/A</v>
      </c>
      <c r="AB328" s="63" t="e">
        <f t="shared" si="257"/>
        <v>#N/A</v>
      </c>
      <c r="BF328" s="63"/>
      <c r="BT328" s="194" t="str">
        <f t="shared" ca="1" si="240"/>
        <v/>
      </c>
      <c r="BU328" s="219" t="str">
        <f>IFERROR(IF(BX328=0,"",COUNTIF(BX$4:BX$600,"&gt;"&amp;BX328)+COUNTIF(BX$4:BX328,BX328)),"")</f>
        <v/>
      </c>
      <c r="BV328" s="42" t="str">
        <f t="shared" si="241"/>
        <v>NIFENCOL 100 MG/ML SOLUTION POUR ADMINISTRATION DANS L'EAU DE BOISSONS POUR PORCINS</v>
      </c>
      <c r="BW328" t="e">
        <f>IF(IF(CE$2="Catégorie",IF(CE$3="Toutes",SUMIFS('Étape 1 - à remplir'!$F$31:$F$400,'Étape 1 - à remplir'!$E$31:$E$400,MASQ2!BV328,'Étape 1 - à remplir'!$G$31:$G$400,"lots"),SUMIFS('Étape 1 - à remplir'!$F$31:$F$400,'Étape 1 - à remplir'!$E$31:$E$400,MASQ2!BV328,'Étape 1 - à remplir'!$C$31:$C$400,CE$3)),IF(CE$2="Âge",IF(CE$3="Tous",SUMIFS('Étape 1 - à remplir'!$F$31:$F$400,'Étape 1 - à remplir'!$E$31:$E$400,MASQ2!BV328,'Étape 1 - à remplir'!$G$31:$G$400,"lots"),SUMIFS('Étape 1 - à remplir'!$F$31:$F$400,'Étape 1 - à remplir'!$E$31:$E$400,MASQ2!BV328,'Étape 1 - à remplir'!$P$31:$P$400,CE$3,'Étape 1 - à remplir'!$G$31:$G$400,"lots")),IF(CE$2="Atelier",IF(CE$3="Tous",SUMIFS('Étape 1 - à remplir'!$F$31:$F$400,'Étape 1 - à remplir'!$E$31:$E$400,MASQ2!BV328,'Étape 1 - à remplir'!$G$31:$G$400,"lots"),SUMIFS('Étape 1 - à remplir'!$F$31:$F$400,'Étape 1 - à remplir'!$E$31:$E$400,MASQ2!BV328,'Étape 1 - à remplir'!$O$31:$O$400,CE$3,'Étape 1 - à remplir'!$G$31:$G$400,"lots")),IF(CE$2="Espèce",IF(CE$3="Toutes",SUMIFS('Étape 1 - à remplir'!$F$31:$F$400,'Étape 1 - à remplir'!$E$31:$E$400,MASQ2!BV328,'Étape 1 - à remplir'!$G$31:$G$400,"lots"),SUMIFS('Étape 1 - à remplir'!$F$31:$F$400,'Étape 1 - à remplir'!$E$31:$E$400,MASQ2!BV328,'Étape 1 - à remplir'!$N$31:$N$400,CE$3,'Étape 1 - à remplir'!$G$31:$G$400,"lots"))))))=0,NA(),IF(CE$2="Catégorie",IF(CE$3="Toutes",SUMIFS('Étape 1 - à remplir'!$F$31:$F$400,'Étape 1 - à remplir'!$E$31:$E$400,MASQ2!BV328,'Étape 1 - à remplir'!$G$31:$G$400,"lots"),SUMIFS('Étape 1 - à remplir'!$F$31:$F$400,'Étape 1 - à remplir'!$E$31:$E$400,MASQ2!BV328,'Étape 1 - à remplir'!$C$31:$C$400,CE$3)),IF(CE$2="Âge",IF(CE$3="Tous",SUMIFS('Étape 1 - à remplir'!$F$31:$F$400,'Étape 1 - à remplir'!$E$31:$E$400,MASQ2!BV328,'Étape 1 - à remplir'!$G$31:$G$400,"lots"),SUMIFS('Étape 1 - à remplir'!$F$31:$F$400,'Étape 1 - à remplir'!$E$31:$E$400,MASQ2!BV328,'Étape 1 - à remplir'!$P$31:$P$400,CE$3,'Étape 1 - à remplir'!$G$31:$G$400,"lots")),IF(CE$2="Atelier",IF(CE$3="Tous",SUMIFS('Étape 1 - à remplir'!$F$31:$F$400,'Étape 1 - à remplir'!$E$31:$E$400,MASQ2!BV328,'Étape 1 - à remplir'!$G$31:$G$400,"lots"),SUMIFS('Étape 1 - à remplir'!$F$31:$F$400,'Étape 1 - à remplir'!$E$31:$E$400,MASQ2!BV328,'Étape 1 - à remplir'!$O$31:$O$400,CE$3,'Étape 1 - à remplir'!$G$31:$G$400,"lots")),IF(CE$2="Espèce",IF(CE$3="Toutes",SUMIFS('Étape 1 - à remplir'!$F$31:$F$400,'Étape 1 - à remplir'!$E$31:$E$400,MASQ2!BV328,'Étape 1 - à remplir'!$G$31:$G$400,"lots"),SUMIFS('Étape 1 - à remplir'!$F$31:$F$400,'Étape 1 - à remplir'!$E$31:$E$400,MASQ2!BV328,'Étape 1 - à remplir'!$N$31:$N$400,CE$3,'Étape 1 - à remplir'!$G$31:$G$400,"lots")))))))</f>
        <v>#N/A</v>
      </c>
      <c r="BX328">
        <f t="shared" si="258"/>
        <v>0</v>
      </c>
      <c r="BY328" t="str">
        <f t="shared" si="242"/>
        <v>Florfénicol</v>
      </c>
      <c r="BZ328" t="str">
        <f t="shared" si="243"/>
        <v/>
      </c>
      <c r="CA328" t="str">
        <f t="shared" si="244"/>
        <v/>
      </c>
      <c r="CB328" t="str">
        <f t="shared" si="245"/>
        <v>Phenicoles</v>
      </c>
      <c r="CC328" t="str">
        <f t="shared" si="246"/>
        <v/>
      </c>
      <c r="CD328" s="63" t="str">
        <f t="shared" si="247"/>
        <v/>
      </c>
      <c r="CG328" s="42">
        <v>325</v>
      </c>
      <c r="CH328" s="42" t="e">
        <f t="shared" si="238"/>
        <v>#N/A</v>
      </c>
      <c r="CI328" s="63" t="e">
        <f t="shared" si="239"/>
        <v>#N/A</v>
      </c>
      <c r="DM328" s="63"/>
      <c r="EA328" s="194" t="str">
        <f t="shared" ca="1" si="248"/>
        <v/>
      </c>
      <c r="EB328" s="226" t="str">
        <f>IFERROR(IF(ED328=0,"",COUNTIF(ED$4:ED$600,"&gt;"&amp;ED328)+COUNTIF(ED$4:ED328,ED328)),"")</f>
        <v/>
      </c>
      <c r="EC328" t="str">
        <f t="shared" si="249"/>
        <v>NIFENCOL 100 MG/ML SOLUTION POUR ADMINISTRATION DANS L'EAU DE BOISSONS POUR PORCINS</v>
      </c>
      <c r="ED328" t="e">
        <f>IF(IF(EL$2="Catégorie",IF(EL$3="Toutes",SUMIFS('Étape 1 - à remplir'!$F$31:$F$400,'Étape 1 - à remplir'!$E$31:$E$400,MASQ2!EC328,'Étape 1 - à remplir'!$G$31:$G$400,"kg"),SUMIFS('Étape 1 - à remplir'!$F$31:$F$400,'Étape 1 - à remplir'!$E$31:$E$400,MASQ2!EC328,'Étape 1 - à remplir'!$C$31:$C$400,EL$3)),IF(EL$2="Âge",IF(EL$3="Tous",SUMIFS('Étape 1 - à remplir'!$F$31:$F$400,'Étape 1 - à remplir'!$E$31:$E$400,MASQ2!EC328,'Étape 1 - à remplir'!$G$31:$G$400,"kg"),SUMIFS('Étape 1 - à remplir'!$F$31:$F$400,'Étape 1 - à remplir'!$E$31:$E$400,MASQ2!EC328,'Étape 1 - à remplir'!$P$31:$P$400,EL$3,'Étape 1 - à remplir'!$G$31:$G$400,"kg")),IF(EL$2="Atelier",IF(EL$3="Tous",SUMIFS('Étape 1 - à remplir'!$F$31:$F$400,'Étape 1 - à remplir'!$E$31:$E$400,MASQ2!EC328,'Étape 1 - à remplir'!$G$31:$G$400,"kg"),SUMIFS('Étape 1 - à remplir'!$F$31:$F$400,'Étape 1 - à remplir'!$E$31:$E$400,MASQ2!EC328,'Étape 1 - à remplir'!$O$31:$O$400,EL$3,'Étape 1 - à remplir'!$G$31:$G$400,"kg")),IF(EL$2="Espèce",IF(EL$3="Toutes",SUMIFS('Étape 1 - à remplir'!$F$31:$F$400,'Étape 1 - à remplir'!$E$31:$E$400,MASQ2!EC328,'Étape 1 - à remplir'!$G$31:$G$400,"kg"),SUMIFS('Étape 1 - à remplir'!$F$31:$F$400,'Étape 1 - à remplir'!$E$31:$E$400,MASQ2!EC328,'Étape 1 - à remplir'!$N$31:$N$400,EL$3,'Étape 1 - à remplir'!$G$31:$G$400,"kg"))))))=0,NA(),IF(EL$2="Catégorie",IF(EL$3="Toutes",SUMIFS('Étape 1 - à remplir'!$F$31:$F$400,'Étape 1 - à remplir'!$E$31:$E$400,MASQ2!EC328,'Étape 1 - à remplir'!$G$31:$G$400,"kg"),SUMIFS('Étape 1 - à remplir'!$F$31:$F$400,'Étape 1 - à remplir'!$E$31:$E$400,MASQ2!EC328,'Étape 1 - à remplir'!$C$31:$C$400,EL$3)),IF(EL$2="Âge",IF(EL$3="Tous",SUMIFS('Étape 1 - à remplir'!$F$31:$F$400,'Étape 1 - à remplir'!$E$31:$E$400,MASQ2!EC328,'Étape 1 - à remplir'!$G$31:$G$400,"kg"),SUMIFS('Étape 1 - à remplir'!$F$31:$F$400,'Étape 1 - à remplir'!$E$31:$E$400,MASQ2!EC328,'Étape 1 - à remplir'!$P$31:$P$400,EL$3,'Étape 1 - à remplir'!$G$31:$G$400,"kg")),IF(EL$2="Atelier",IF(EL$3="Tous",SUMIFS('Étape 1 - à remplir'!$F$31:$F$400,'Étape 1 - à remplir'!$E$31:$E$400,MASQ2!EC328,'Étape 1 - à remplir'!$G$31:$G$400,"kg"),SUMIFS('Étape 1 - à remplir'!$F$31:$F$400,'Étape 1 - à remplir'!$E$31:$E$400,MASQ2!EC328,'Étape 1 - à remplir'!$O$31:$O$400,EL$3,'Étape 1 - à remplir'!$G$31:$G$400,"kg")),IF(EL$2="Espèce",IF(EL$3="Toutes",SUMIFS('Étape 1 - à remplir'!$F$31:$F$400,'Étape 1 - à remplir'!$E$31:$E$400,MASQ2!EC328,'Étape 1 - à remplir'!$G$31:$G$400,"kg"),SUMIFS('Étape 1 - à remplir'!$F$31:$F$400,'Étape 1 - à remplir'!$E$31:$E$400,MASQ2!EC328,'Étape 1 - à remplir'!$N$31:$N$400,EL$3,'Étape 1 - à remplir'!$G$31:$G$400,"kg")))))))</f>
        <v>#N/A</v>
      </c>
      <c r="EE328" s="76">
        <f t="shared" si="259"/>
        <v>0</v>
      </c>
      <c r="EF328" t="str">
        <f t="shared" si="250"/>
        <v>Florfénicol</v>
      </c>
      <c r="EG328" t="str">
        <f t="shared" si="251"/>
        <v/>
      </c>
      <c r="EH328" t="str">
        <f t="shared" si="252"/>
        <v/>
      </c>
      <c r="EI328" t="str">
        <f t="shared" si="253"/>
        <v>Phenicoles</v>
      </c>
      <c r="EJ328" t="str">
        <f t="shared" si="254"/>
        <v/>
      </c>
      <c r="EK328" s="63" t="str">
        <f t="shared" si="255"/>
        <v/>
      </c>
      <c r="EN328" s="42">
        <v>325</v>
      </c>
      <c r="EO328" t="e">
        <f t="shared" si="236"/>
        <v>#N/A</v>
      </c>
      <c r="EP328" s="63" t="e">
        <f t="shared" si="237"/>
        <v>#N/A</v>
      </c>
      <c r="FT328" s="63"/>
    </row>
    <row r="329" spans="2:176" x14ac:dyDescent="0.3">
      <c r="B329" s="42"/>
      <c r="M329" s="194" t="str">
        <f ca="1">INDEX(Données_ATB!BD:BU,MATCH(MASQ2!O329,Données_ATB!BD:BD,0),18)</f>
        <v/>
      </c>
      <c r="N329" s="14" t="str">
        <f>IFERROR(IF(Q329=0,"",COUNTIF(Q$4:Q$600,"&gt;"&amp;Q329)+COUNTIF(Q$4:Q329,Q329)),"")</f>
        <v/>
      </c>
      <c r="O329" t="str">
        <f>Données_ATB!BD328</f>
        <v>NIFENCOL 300 MG/ML SOLUTION INJECTABLE POUR BOVINS ET PORCINS</v>
      </c>
      <c r="P329" t="e">
        <f>IF(IF(X$2="Catégorie",IF(X$3="Toutes",SUMIFS('Étape 1 - à remplir'!$F$31:$F$400,'Étape 1 - à remplir'!$E$31:$E$400,MASQ2!O329,'Étape 1 - à remplir'!$G$31:$G$400,"animaux"),SUMIFS('Étape 1 - à remplir'!$F$31:$F$400,'Étape 1 - à remplir'!$E$31:$E$400,MASQ2!O329,'Étape 1 - à remplir'!$C$31:$C$400,X$3)),IF(X$2="Âge",IF(X$3="Tous",SUMIFS('Étape 1 - à remplir'!$F$31:$F$400,'Étape 1 - à remplir'!$E$31:$E$400,MASQ2!O329,'Étape 1 - à remplir'!$G$31:$G$400,"animaux"),SUMIFS('Étape 1 - à remplir'!$F$31:$F$400,'Étape 1 - à remplir'!$E$31:$E$400,MASQ2!O329,'Étape 1 - à remplir'!$P$31:$P$400,X$3)),IF(X$2="Atelier",IF(X$3="Tous",SUMIFS('Étape 1 - à remplir'!$F$31:$F$400,'Étape 1 - à remplir'!$E$31:$E$400,MASQ2!O329,'Étape 1 - à remplir'!$G$31:$G$400,"animaux"),SUMIFS('Étape 1 - à remplir'!$F$31:$F$400,'Étape 1 - à remplir'!$E$31:$E$400,MASQ2!O329,'Étape 1 - à remplir'!$O$31:$O$400,X$3)),IF(X$2="Espèce",IF(X$3="Toutes",SUMIFS('Étape 1 - à remplir'!$F$31:$F$400,'Étape 1 - à remplir'!$E$31:$E$400,MASQ2!O329,'Étape 1 - à remplir'!$G$31:$G$400,"animaux"),SUMIFS('Étape 1 - à remplir'!$F$31:$F$400,'Étape 1 - à remplir'!$E$31:$E$400,MASQ2!O329,'Étape 1 - à remplir'!$N$31:$N$400,X$3))))))=0,NA(),IF(X$2="Catégorie",IF(X$3="Toutes",SUMIFS('Étape 1 - à remplir'!$F$31:$F$400,'Étape 1 - à remplir'!$E$31:$E$400,MASQ2!O329,'Étape 1 - à remplir'!$G$31:$G$400,"animaux"),SUMIFS('Étape 1 - à remplir'!$F$31:$F$400,'Étape 1 - à remplir'!$E$31:$E$400,MASQ2!O329,'Étape 1 - à remplir'!$C$31:$C$400,X$3)),IF(X$2="Âge",IF(X$3="Tous",SUMIFS('Étape 1 - à remplir'!$F$31:$F$400,'Étape 1 - à remplir'!$E$31:$E$400,MASQ2!O329,'Étape 1 - à remplir'!$G$31:$G$400,"animaux"),SUMIFS('Étape 1 - à remplir'!$F$31:$F$400,'Étape 1 - à remplir'!$E$31:$E$400,MASQ2!O329,'Étape 1 - à remplir'!$P$31:$P$400,X$3)),IF(X$2="Atelier",IF(X$3="Tous",SUMIFS('Étape 1 - à remplir'!$F$31:$F$400,'Étape 1 - à remplir'!$E$31:$E$400,MASQ2!O329,'Étape 1 - à remplir'!$G$31:$G$400,"animaux"),SUMIFS('Étape 1 - à remplir'!$F$31:$F$400,'Étape 1 - à remplir'!$E$31:$E$400,MASQ2!O329,'Étape 1 - à remplir'!$O$31:$O$400,X$3)),IF(X$2="Espèce",IF(X$3="Toutes",SUMIFS('Étape 1 - à remplir'!$F$31:$F$400,'Étape 1 - à remplir'!$E$31:$E$400,MASQ2!O329,'Étape 1 - à remplir'!$G$31:$G$400,"animaux"),SUMIFS('Étape 1 - à remplir'!$F$31:$F$400,'Étape 1 - à remplir'!$E$31:$E$400,MASQ2!O329,'Étape 1 - à remplir'!$N$31:$N$400,X$3)))))))</f>
        <v>#N/A</v>
      </c>
      <c r="Q329" s="63">
        <f t="shared" si="260"/>
        <v>0</v>
      </c>
      <c r="R329" t="str">
        <f>Données_ATB!BM328</f>
        <v>Florfénicol</v>
      </c>
      <c r="S329" t="str">
        <f>Données_ATB!BN328</f>
        <v/>
      </c>
      <c r="T329" s="63" t="str">
        <f>Données_ATB!BO328</f>
        <v/>
      </c>
      <c r="U329" s="42" t="str">
        <f>Données_ATB!BQ328</f>
        <v>Phenicoles</v>
      </c>
      <c r="V329" t="str">
        <f>Données_ATB!BR328</f>
        <v/>
      </c>
      <c r="W329" s="63" t="str">
        <f>Données_ATB!BS328</f>
        <v/>
      </c>
      <c r="Z329" s="42">
        <v>326</v>
      </c>
      <c r="AA329" t="e">
        <f t="shared" si="256"/>
        <v>#N/A</v>
      </c>
      <c r="AB329" s="63" t="e">
        <f t="shared" si="257"/>
        <v>#N/A</v>
      </c>
      <c r="BF329" s="63"/>
      <c r="BT329" s="194" t="str">
        <f t="shared" ca="1" si="240"/>
        <v/>
      </c>
      <c r="BU329" s="219" t="str">
        <f>IFERROR(IF(BX329=0,"",COUNTIF(BX$4:BX$600,"&gt;"&amp;BX329)+COUNTIF(BX$4:BX329,BX329)),"")</f>
        <v/>
      </c>
      <c r="BV329" s="42" t="str">
        <f t="shared" si="241"/>
        <v>NIFENCOL 300 MG/ML SOLUTION INJECTABLE POUR BOVINS ET PORCINS</v>
      </c>
      <c r="BW329" t="e">
        <f>IF(IF(CE$2="Catégorie",IF(CE$3="Toutes",SUMIFS('Étape 1 - à remplir'!$F$31:$F$400,'Étape 1 - à remplir'!$E$31:$E$400,MASQ2!BV329,'Étape 1 - à remplir'!$G$31:$G$400,"lots"),SUMIFS('Étape 1 - à remplir'!$F$31:$F$400,'Étape 1 - à remplir'!$E$31:$E$400,MASQ2!BV329,'Étape 1 - à remplir'!$C$31:$C$400,CE$3)),IF(CE$2="Âge",IF(CE$3="Tous",SUMIFS('Étape 1 - à remplir'!$F$31:$F$400,'Étape 1 - à remplir'!$E$31:$E$400,MASQ2!BV329,'Étape 1 - à remplir'!$G$31:$G$400,"lots"),SUMIFS('Étape 1 - à remplir'!$F$31:$F$400,'Étape 1 - à remplir'!$E$31:$E$400,MASQ2!BV329,'Étape 1 - à remplir'!$P$31:$P$400,CE$3,'Étape 1 - à remplir'!$G$31:$G$400,"lots")),IF(CE$2="Atelier",IF(CE$3="Tous",SUMIFS('Étape 1 - à remplir'!$F$31:$F$400,'Étape 1 - à remplir'!$E$31:$E$400,MASQ2!BV329,'Étape 1 - à remplir'!$G$31:$G$400,"lots"),SUMIFS('Étape 1 - à remplir'!$F$31:$F$400,'Étape 1 - à remplir'!$E$31:$E$400,MASQ2!BV329,'Étape 1 - à remplir'!$O$31:$O$400,CE$3,'Étape 1 - à remplir'!$G$31:$G$400,"lots")),IF(CE$2="Espèce",IF(CE$3="Toutes",SUMIFS('Étape 1 - à remplir'!$F$31:$F$400,'Étape 1 - à remplir'!$E$31:$E$400,MASQ2!BV329,'Étape 1 - à remplir'!$G$31:$G$400,"lots"),SUMIFS('Étape 1 - à remplir'!$F$31:$F$400,'Étape 1 - à remplir'!$E$31:$E$400,MASQ2!BV329,'Étape 1 - à remplir'!$N$31:$N$400,CE$3,'Étape 1 - à remplir'!$G$31:$G$400,"lots"))))))=0,NA(),IF(CE$2="Catégorie",IF(CE$3="Toutes",SUMIFS('Étape 1 - à remplir'!$F$31:$F$400,'Étape 1 - à remplir'!$E$31:$E$400,MASQ2!BV329,'Étape 1 - à remplir'!$G$31:$G$400,"lots"),SUMIFS('Étape 1 - à remplir'!$F$31:$F$400,'Étape 1 - à remplir'!$E$31:$E$400,MASQ2!BV329,'Étape 1 - à remplir'!$C$31:$C$400,CE$3)),IF(CE$2="Âge",IF(CE$3="Tous",SUMIFS('Étape 1 - à remplir'!$F$31:$F$400,'Étape 1 - à remplir'!$E$31:$E$400,MASQ2!BV329,'Étape 1 - à remplir'!$G$31:$G$400,"lots"),SUMIFS('Étape 1 - à remplir'!$F$31:$F$400,'Étape 1 - à remplir'!$E$31:$E$400,MASQ2!BV329,'Étape 1 - à remplir'!$P$31:$P$400,CE$3,'Étape 1 - à remplir'!$G$31:$G$400,"lots")),IF(CE$2="Atelier",IF(CE$3="Tous",SUMIFS('Étape 1 - à remplir'!$F$31:$F$400,'Étape 1 - à remplir'!$E$31:$E$400,MASQ2!BV329,'Étape 1 - à remplir'!$G$31:$G$400,"lots"),SUMIFS('Étape 1 - à remplir'!$F$31:$F$400,'Étape 1 - à remplir'!$E$31:$E$400,MASQ2!BV329,'Étape 1 - à remplir'!$O$31:$O$400,CE$3,'Étape 1 - à remplir'!$G$31:$G$400,"lots")),IF(CE$2="Espèce",IF(CE$3="Toutes",SUMIFS('Étape 1 - à remplir'!$F$31:$F$400,'Étape 1 - à remplir'!$E$31:$E$400,MASQ2!BV329,'Étape 1 - à remplir'!$G$31:$G$400,"lots"),SUMIFS('Étape 1 - à remplir'!$F$31:$F$400,'Étape 1 - à remplir'!$E$31:$E$400,MASQ2!BV329,'Étape 1 - à remplir'!$N$31:$N$400,CE$3,'Étape 1 - à remplir'!$G$31:$G$400,"lots")))))))</f>
        <v>#N/A</v>
      </c>
      <c r="BX329">
        <f t="shared" si="258"/>
        <v>0</v>
      </c>
      <c r="BY329" t="str">
        <f t="shared" si="242"/>
        <v>Florfénicol</v>
      </c>
      <c r="BZ329" t="str">
        <f t="shared" si="243"/>
        <v/>
      </c>
      <c r="CA329" t="str">
        <f t="shared" si="244"/>
        <v/>
      </c>
      <c r="CB329" t="str">
        <f t="shared" si="245"/>
        <v>Phenicoles</v>
      </c>
      <c r="CC329" t="str">
        <f t="shared" si="246"/>
        <v/>
      </c>
      <c r="CD329" s="63" t="str">
        <f t="shared" si="247"/>
        <v/>
      </c>
      <c r="CG329" s="42">
        <v>326</v>
      </c>
      <c r="CH329" s="42" t="e">
        <f t="shared" si="238"/>
        <v>#N/A</v>
      </c>
      <c r="CI329" s="63" t="e">
        <f t="shared" si="239"/>
        <v>#N/A</v>
      </c>
      <c r="DM329" s="63"/>
      <c r="EA329" s="194" t="str">
        <f t="shared" ca="1" si="248"/>
        <v/>
      </c>
      <c r="EB329" s="226" t="str">
        <f>IFERROR(IF(ED329=0,"",COUNTIF(ED$4:ED$600,"&gt;"&amp;ED329)+COUNTIF(ED$4:ED329,ED329)),"")</f>
        <v/>
      </c>
      <c r="EC329" t="str">
        <f t="shared" si="249"/>
        <v>NIFENCOL 300 MG/ML SOLUTION INJECTABLE POUR BOVINS ET PORCINS</v>
      </c>
      <c r="ED329" t="e">
        <f>IF(IF(EL$2="Catégorie",IF(EL$3="Toutes",SUMIFS('Étape 1 - à remplir'!$F$31:$F$400,'Étape 1 - à remplir'!$E$31:$E$400,MASQ2!EC329,'Étape 1 - à remplir'!$G$31:$G$400,"kg"),SUMIFS('Étape 1 - à remplir'!$F$31:$F$400,'Étape 1 - à remplir'!$E$31:$E$400,MASQ2!EC329,'Étape 1 - à remplir'!$C$31:$C$400,EL$3)),IF(EL$2="Âge",IF(EL$3="Tous",SUMIFS('Étape 1 - à remplir'!$F$31:$F$400,'Étape 1 - à remplir'!$E$31:$E$400,MASQ2!EC329,'Étape 1 - à remplir'!$G$31:$G$400,"kg"),SUMIFS('Étape 1 - à remplir'!$F$31:$F$400,'Étape 1 - à remplir'!$E$31:$E$400,MASQ2!EC329,'Étape 1 - à remplir'!$P$31:$P$400,EL$3,'Étape 1 - à remplir'!$G$31:$G$400,"kg")),IF(EL$2="Atelier",IF(EL$3="Tous",SUMIFS('Étape 1 - à remplir'!$F$31:$F$400,'Étape 1 - à remplir'!$E$31:$E$400,MASQ2!EC329,'Étape 1 - à remplir'!$G$31:$G$400,"kg"),SUMIFS('Étape 1 - à remplir'!$F$31:$F$400,'Étape 1 - à remplir'!$E$31:$E$400,MASQ2!EC329,'Étape 1 - à remplir'!$O$31:$O$400,EL$3,'Étape 1 - à remplir'!$G$31:$G$400,"kg")),IF(EL$2="Espèce",IF(EL$3="Toutes",SUMIFS('Étape 1 - à remplir'!$F$31:$F$400,'Étape 1 - à remplir'!$E$31:$E$400,MASQ2!EC329,'Étape 1 - à remplir'!$G$31:$G$400,"kg"),SUMIFS('Étape 1 - à remplir'!$F$31:$F$400,'Étape 1 - à remplir'!$E$31:$E$400,MASQ2!EC329,'Étape 1 - à remplir'!$N$31:$N$400,EL$3,'Étape 1 - à remplir'!$G$31:$G$400,"kg"))))))=0,NA(),IF(EL$2="Catégorie",IF(EL$3="Toutes",SUMIFS('Étape 1 - à remplir'!$F$31:$F$400,'Étape 1 - à remplir'!$E$31:$E$400,MASQ2!EC329,'Étape 1 - à remplir'!$G$31:$G$400,"kg"),SUMIFS('Étape 1 - à remplir'!$F$31:$F$400,'Étape 1 - à remplir'!$E$31:$E$400,MASQ2!EC329,'Étape 1 - à remplir'!$C$31:$C$400,EL$3)),IF(EL$2="Âge",IF(EL$3="Tous",SUMIFS('Étape 1 - à remplir'!$F$31:$F$400,'Étape 1 - à remplir'!$E$31:$E$400,MASQ2!EC329,'Étape 1 - à remplir'!$G$31:$G$400,"kg"),SUMIFS('Étape 1 - à remplir'!$F$31:$F$400,'Étape 1 - à remplir'!$E$31:$E$400,MASQ2!EC329,'Étape 1 - à remplir'!$P$31:$P$400,EL$3,'Étape 1 - à remplir'!$G$31:$G$400,"kg")),IF(EL$2="Atelier",IF(EL$3="Tous",SUMIFS('Étape 1 - à remplir'!$F$31:$F$400,'Étape 1 - à remplir'!$E$31:$E$400,MASQ2!EC329,'Étape 1 - à remplir'!$G$31:$G$400,"kg"),SUMIFS('Étape 1 - à remplir'!$F$31:$F$400,'Étape 1 - à remplir'!$E$31:$E$400,MASQ2!EC329,'Étape 1 - à remplir'!$O$31:$O$400,EL$3,'Étape 1 - à remplir'!$G$31:$G$400,"kg")),IF(EL$2="Espèce",IF(EL$3="Toutes",SUMIFS('Étape 1 - à remplir'!$F$31:$F$400,'Étape 1 - à remplir'!$E$31:$E$400,MASQ2!EC329,'Étape 1 - à remplir'!$G$31:$G$400,"kg"),SUMIFS('Étape 1 - à remplir'!$F$31:$F$400,'Étape 1 - à remplir'!$E$31:$E$400,MASQ2!EC329,'Étape 1 - à remplir'!$N$31:$N$400,EL$3,'Étape 1 - à remplir'!$G$31:$G$400,"kg")))))))</f>
        <v>#N/A</v>
      </c>
      <c r="EE329" s="76">
        <f t="shared" si="259"/>
        <v>0</v>
      </c>
      <c r="EF329" t="str">
        <f t="shared" si="250"/>
        <v>Florfénicol</v>
      </c>
      <c r="EG329" t="str">
        <f t="shared" si="251"/>
        <v/>
      </c>
      <c r="EH329" t="str">
        <f t="shared" si="252"/>
        <v/>
      </c>
      <c r="EI329" t="str">
        <f t="shared" si="253"/>
        <v>Phenicoles</v>
      </c>
      <c r="EJ329" t="str">
        <f t="shared" si="254"/>
        <v/>
      </c>
      <c r="EK329" s="63" t="str">
        <f t="shared" si="255"/>
        <v/>
      </c>
      <c r="EN329" s="42">
        <v>326</v>
      </c>
      <c r="EO329" t="e">
        <f t="shared" si="236"/>
        <v>#N/A</v>
      </c>
      <c r="EP329" s="63" t="e">
        <f t="shared" si="237"/>
        <v>#N/A</v>
      </c>
      <c r="FT329" s="63"/>
    </row>
    <row r="330" spans="2:176" x14ac:dyDescent="0.3">
      <c r="B330" s="42"/>
      <c r="M330" s="194" t="str">
        <f ca="1">INDEX(Données_ATB!BD:BU,MATCH(MASQ2!O330,Données_ATB!BD:BD,0),18)</f>
        <v/>
      </c>
      <c r="N330" s="14" t="str">
        <f>IFERROR(IF(Q330=0,"",COUNTIF(Q$4:Q$600,"&gt;"&amp;Q330)+COUNTIF(Q$4:Q330,Q330)),"")</f>
        <v/>
      </c>
      <c r="O330" t="str">
        <f>Données_ATB!BD329</f>
        <v>NORFENICOL 300 MG/ML SOLUTION INJECTABLE POUR BOVINS ET PORCINS</v>
      </c>
      <c r="P330" t="e">
        <f>IF(IF(X$2="Catégorie",IF(X$3="Toutes",SUMIFS('Étape 1 - à remplir'!$F$31:$F$400,'Étape 1 - à remplir'!$E$31:$E$400,MASQ2!O330,'Étape 1 - à remplir'!$G$31:$G$400,"animaux"),SUMIFS('Étape 1 - à remplir'!$F$31:$F$400,'Étape 1 - à remplir'!$E$31:$E$400,MASQ2!O330,'Étape 1 - à remplir'!$C$31:$C$400,X$3)),IF(X$2="Âge",IF(X$3="Tous",SUMIFS('Étape 1 - à remplir'!$F$31:$F$400,'Étape 1 - à remplir'!$E$31:$E$400,MASQ2!O330,'Étape 1 - à remplir'!$G$31:$G$400,"animaux"),SUMIFS('Étape 1 - à remplir'!$F$31:$F$400,'Étape 1 - à remplir'!$E$31:$E$400,MASQ2!O330,'Étape 1 - à remplir'!$P$31:$P$400,X$3)),IF(X$2="Atelier",IF(X$3="Tous",SUMIFS('Étape 1 - à remplir'!$F$31:$F$400,'Étape 1 - à remplir'!$E$31:$E$400,MASQ2!O330,'Étape 1 - à remplir'!$G$31:$G$400,"animaux"),SUMIFS('Étape 1 - à remplir'!$F$31:$F$400,'Étape 1 - à remplir'!$E$31:$E$400,MASQ2!O330,'Étape 1 - à remplir'!$O$31:$O$400,X$3)),IF(X$2="Espèce",IF(X$3="Toutes",SUMIFS('Étape 1 - à remplir'!$F$31:$F$400,'Étape 1 - à remplir'!$E$31:$E$400,MASQ2!O330,'Étape 1 - à remplir'!$G$31:$G$400,"animaux"),SUMIFS('Étape 1 - à remplir'!$F$31:$F$400,'Étape 1 - à remplir'!$E$31:$E$400,MASQ2!O330,'Étape 1 - à remplir'!$N$31:$N$400,X$3))))))=0,NA(),IF(X$2="Catégorie",IF(X$3="Toutes",SUMIFS('Étape 1 - à remplir'!$F$31:$F$400,'Étape 1 - à remplir'!$E$31:$E$400,MASQ2!O330,'Étape 1 - à remplir'!$G$31:$G$400,"animaux"),SUMIFS('Étape 1 - à remplir'!$F$31:$F$400,'Étape 1 - à remplir'!$E$31:$E$400,MASQ2!O330,'Étape 1 - à remplir'!$C$31:$C$400,X$3)),IF(X$2="Âge",IF(X$3="Tous",SUMIFS('Étape 1 - à remplir'!$F$31:$F$400,'Étape 1 - à remplir'!$E$31:$E$400,MASQ2!O330,'Étape 1 - à remplir'!$G$31:$G$400,"animaux"),SUMIFS('Étape 1 - à remplir'!$F$31:$F$400,'Étape 1 - à remplir'!$E$31:$E$400,MASQ2!O330,'Étape 1 - à remplir'!$P$31:$P$400,X$3)),IF(X$2="Atelier",IF(X$3="Tous",SUMIFS('Étape 1 - à remplir'!$F$31:$F$400,'Étape 1 - à remplir'!$E$31:$E$400,MASQ2!O330,'Étape 1 - à remplir'!$G$31:$G$400,"animaux"),SUMIFS('Étape 1 - à remplir'!$F$31:$F$400,'Étape 1 - à remplir'!$E$31:$E$400,MASQ2!O330,'Étape 1 - à remplir'!$O$31:$O$400,X$3)),IF(X$2="Espèce",IF(X$3="Toutes",SUMIFS('Étape 1 - à remplir'!$F$31:$F$400,'Étape 1 - à remplir'!$E$31:$E$400,MASQ2!O330,'Étape 1 - à remplir'!$G$31:$G$400,"animaux"),SUMIFS('Étape 1 - à remplir'!$F$31:$F$400,'Étape 1 - à remplir'!$E$31:$E$400,MASQ2!O330,'Étape 1 - à remplir'!$N$31:$N$400,X$3)))))))</f>
        <v>#N/A</v>
      </c>
      <c r="Q330" s="63">
        <f t="shared" si="260"/>
        <v>0</v>
      </c>
      <c r="R330" t="str">
        <f>Données_ATB!BM329</f>
        <v>Florfénicol</v>
      </c>
      <c r="S330" t="str">
        <f>Données_ATB!BN329</f>
        <v/>
      </c>
      <c r="T330" s="63" t="str">
        <f>Données_ATB!BO329</f>
        <v/>
      </c>
      <c r="U330" s="42" t="str">
        <f>Données_ATB!BQ329</f>
        <v>Phenicoles</v>
      </c>
      <c r="V330" t="str">
        <f>Données_ATB!BR329</f>
        <v/>
      </c>
      <c r="W330" s="63" t="str">
        <f>Données_ATB!BS329</f>
        <v/>
      </c>
      <c r="Z330" s="42">
        <v>327</v>
      </c>
      <c r="AA330" t="e">
        <f t="shared" si="256"/>
        <v>#N/A</v>
      </c>
      <c r="AB330" s="63" t="e">
        <f t="shared" si="257"/>
        <v>#N/A</v>
      </c>
      <c r="BF330" s="63"/>
      <c r="BT330" s="194" t="str">
        <f t="shared" ca="1" si="240"/>
        <v/>
      </c>
      <c r="BU330" s="219" t="str">
        <f>IFERROR(IF(BX330=0,"",COUNTIF(BX$4:BX$600,"&gt;"&amp;BX330)+COUNTIF(BX$4:BX330,BX330)),"")</f>
        <v/>
      </c>
      <c r="BV330" s="42" t="str">
        <f t="shared" si="241"/>
        <v>NORFENICOL 300 MG/ML SOLUTION INJECTABLE POUR BOVINS ET PORCINS</v>
      </c>
      <c r="BW330" t="e">
        <f>IF(IF(CE$2="Catégorie",IF(CE$3="Toutes",SUMIFS('Étape 1 - à remplir'!$F$31:$F$400,'Étape 1 - à remplir'!$E$31:$E$400,MASQ2!BV330,'Étape 1 - à remplir'!$G$31:$G$400,"lots"),SUMIFS('Étape 1 - à remplir'!$F$31:$F$400,'Étape 1 - à remplir'!$E$31:$E$400,MASQ2!BV330,'Étape 1 - à remplir'!$C$31:$C$400,CE$3)),IF(CE$2="Âge",IF(CE$3="Tous",SUMIFS('Étape 1 - à remplir'!$F$31:$F$400,'Étape 1 - à remplir'!$E$31:$E$400,MASQ2!BV330,'Étape 1 - à remplir'!$G$31:$G$400,"lots"),SUMIFS('Étape 1 - à remplir'!$F$31:$F$400,'Étape 1 - à remplir'!$E$31:$E$400,MASQ2!BV330,'Étape 1 - à remplir'!$P$31:$P$400,CE$3,'Étape 1 - à remplir'!$G$31:$G$400,"lots")),IF(CE$2="Atelier",IF(CE$3="Tous",SUMIFS('Étape 1 - à remplir'!$F$31:$F$400,'Étape 1 - à remplir'!$E$31:$E$400,MASQ2!BV330,'Étape 1 - à remplir'!$G$31:$G$400,"lots"),SUMIFS('Étape 1 - à remplir'!$F$31:$F$400,'Étape 1 - à remplir'!$E$31:$E$400,MASQ2!BV330,'Étape 1 - à remplir'!$O$31:$O$400,CE$3,'Étape 1 - à remplir'!$G$31:$G$400,"lots")),IF(CE$2="Espèce",IF(CE$3="Toutes",SUMIFS('Étape 1 - à remplir'!$F$31:$F$400,'Étape 1 - à remplir'!$E$31:$E$400,MASQ2!BV330,'Étape 1 - à remplir'!$G$31:$G$400,"lots"),SUMIFS('Étape 1 - à remplir'!$F$31:$F$400,'Étape 1 - à remplir'!$E$31:$E$400,MASQ2!BV330,'Étape 1 - à remplir'!$N$31:$N$400,CE$3,'Étape 1 - à remplir'!$G$31:$G$400,"lots"))))))=0,NA(),IF(CE$2="Catégorie",IF(CE$3="Toutes",SUMIFS('Étape 1 - à remplir'!$F$31:$F$400,'Étape 1 - à remplir'!$E$31:$E$400,MASQ2!BV330,'Étape 1 - à remplir'!$G$31:$G$400,"lots"),SUMIFS('Étape 1 - à remplir'!$F$31:$F$400,'Étape 1 - à remplir'!$E$31:$E$400,MASQ2!BV330,'Étape 1 - à remplir'!$C$31:$C$400,CE$3)),IF(CE$2="Âge",IF(CE$3="Tous",SUMIFS('Étape 1 - à remplir'!$F$31:$F$400,'Étape 1 - à remplir'!$E$31:$E$400,MASQ2!BV330,'Étape 1 - à remplir'!$G$31:$G$400,"lots"),SUMIFS('Étape 1 - à remplir'!$F$31:$F$400,'Étape 1 - à remplir'!$E$31:$E$400,MASQ2!BV330,'Étape 1 - à remplir'!$P$31:$P$400,CE$3,'Étape 1 - à remplir'!$G$31:$G$400,"lots")),IF(CE$2="Atelier",IF(CE$3="Tous",SUMIFS('Étape 1 - à remplir'!$F$31:$F$400,'Étape 1 - à remplir'!$E$31:$E$400,MASQ2!BV330,'Étape 1 - à remplir'!$G$31:$G$400,"lots"),SUMIFS('Étape 1 - à remplir'!$F$31:$F$400,'Étape 1 - à remplir'!$E$31:$E$400,MASQ2!BV330,'Étape 1 - à remplir'!$O$31:$O$400,CE$3,'Étape 1 - à remplir'!$G$31:$G$400,"lots")),IF(CE$2="Espèce",IF(CE$3="Toutes",SUMIFS('Étape 1 - à remplir'!$F$31:$F$400,'Étape 1 - à remplir'!$E$31:$E$400,MASQ2!BV330,'Étape 1 - à remplir'!$G$31:$G$400,"lots"),SUMIFS('Étape 1 - à remplir'!$F$31:$F$400,'Étape 1 - à remplir'!$E$31:$E$400,MASQ2!BV330,'Étape 1 - à remplir'!$N$31:$N$400,CE$3,'Étape 1 - à remplir'!$G$31:$G$400,"lots")))))))</f>
        <v>#N/A</v>
      </c>
      <c r="BX330">
        <f t="shared" si="258"/>
        <v>0</v>
      </c>
      <c r="BY330" t="str">
        <f t="shared" si="242"/>
        <v>Florfénicol</v>
      </c>
      <c r="BZ330" t="str">
        <f t="shared" si="243"/>
        <v/>
      </c>
      <c r="CA330" t="str">
        <f t="shared" si="244"/>
        <v/>
      </c>
      <c r="CB330" t="str">
        <f t="shared" si="245"/>
        <v>Phenicoles</v>
      </c>
      <c r="CC330" t="str">
        <f t="shared" si="246"/>
        <v/>
      </c>
      <c r="CD330" s="63" t="str">
        <f t="shared" si="247"/>
        <v/>
      </c>
      <c r="CG330" s="42">
        <v>327</v>
      </c>
      <c r="CH330" s="42" t="e">
        <f t="shared" si="238"/>
        <v>#N/A</v>
      </c>
      <c r="CI330" s="63" t="e">
        <f t="shared" si="239"/>
        <v>#N/A</v>
      </c>
      <c r="DM330" s="63"/>
      <c r="EA330" s="194" t="str">
        <f t="shared" ca="1" si="248"/>
        <v/>
      </c>
      <c r="EB330" s="226" t="str">
        <f>IFERROR(IF(ED330=0,"",COUNTIF(ED$4:ED$600,"&gt;"&amp;ED330)+COUNTIF(ED$4:ED330,ED330)),"")</f>
        <v/>
      </c>
      <c r="EC330" t="str">
        <f t="shared" si="249"/>
        <v>NORFENICOL 300 MG/ML SOLUTION INJECTABLE POUR BOVINS ET PORCINS</v>
      </c>
      <c r="ED330" t="e">
        <f>IF(IF(EL$2="Catégorie",IF(EL$3="Toutes",SUMIFS('Étape 1 - à remplir'!$F$31:$F$400,'Étape 1 - à remplir'!$E$31:$E$400,MASQ2!EC330,'Étape 1 - à remplir'!$G$31:$G$400,"kg"),SUMIFS('Étape 1 - à remplir'!$F$31:$F$400,'Étape 1 - à remplir'!$E$31:$E$400,MASQ2!EC330,'Étape 1 - à remplir'!$C$31:$C$400,EL$3)),IF(EL$2="Âge",IF(EL$3="Tous",SUMIFS('Étape 1 - à remplir'!$F$31:$F$400,'Étape 1 - à remplir'!$E$31:$E$400,MASQ2!EC330,'Étape 1 - à remplir'!$G$31:$G$400,"kg"),SUMIFS('Étape 1 - à remplir'!$F$31:$F$400,'Étape 1 - à remplir'!$E$31:$E$400,MASQ2!EC330,'Étape 1 - à remplir'!$P$31:$P$400,EL$3,'Étape 1 - à remplir'!$G$31:$G$400,"kg")),IF(EL$2="Atelier",IF(EL$3="Tous",SUMIFS('Étape 1 - à remplir'!$F$31:$F$400,'Étape 1 - à remplir'!$E$31:$E$400,MASQ2!EC330,'Étape 1 - à remplir'!$G$31:$G$400,"kg"),SUMIFS('Étape 1 - à remplir'!$F$31:$F$400,'Étape 1 - à remplir'!$E$31:$E$400,MASQ2!EC330,'Étape 1 - à remplir'!$O$31:$O$400,EL$3,'Étape 1 - à remplir'!$G$31:$G$400,"kg")),IF(EL$2="Espèce",IF(EL$3="Toutes",SUMIFS('Étape 1 - à remplir'!$F$31:$F$400,'Étape 1 - à remplir'!$E$31:$E$400,MASQ2!EC330,'Étape 1 - à remplir'!$G$31:$G$400,"kg"),SUMIFS('Étape 1 - à remplir'!$F$31:$F$400,'Étape 1 - à remplir'!$E$31:$E$400,MASQ2!EC330,'Étape 1 - à remplir'!$N$31:$N$400,EL$3,'Étape 1 - à remplir'!$G$31:$G$400,"kg"))))))=0,NA(),IF(EL$2="Catégorie",IF(EL$3="Toutes",SUMIFS('Étape 1 - à remplir'!$F$31:$F$400,'Étape 1 - à remplir'!$E$31:$E$400,MASQ2!EC330,'Étape 1 - à remplir'!$G$31:$G$400,"kg"),SUMIFS('Étape 1 - à remplir'!$F$31:$F$400,'Étape 1 - à remplir'!$E$31:$E$400,MASQ2!EC330,'Étape 1 - à remplir'!$C$31:$C$400,EL$3)),IF(EL$2="Âge",IF(EL$3="Tous",SUMIFS('Étape 1 - à remplir'!$F$31:$F$400,'Étape 1 - à remplir'!$E$31:$E$400,MASQ2!EC330,'Étape 1 - à remplir'!$G$31:$G$400,"kg"),SUMIFS('Étape 1 - à remplir'!$F$31:$F$400,'Étape 1 - à remplir'!$E$31:$E$400,MASQ2!EC330,'Étape 1 - à remplir'!$P$31:$P$400,EL$3,'Étape 1 - à remplir'!$G$31:$G$400,"kg")),IF(EL$2="Atelier",IF(EL$3="Tous",SUMIFS('Étape 1 - à remplir'!$F$31:$F$400,'Étape 1 - à remplir'!$E$31:$E$400,MASQ2!EC330,'Étape 1 - à remplir'!$G$31:$G$400,"kg"),SUMIFS('Étape 1 - à remplir'!$F$31:$F$400,'Étape 1 - à remplir'!$E$31:$E$400,MASQ2!EC330,'Étape 1 - à remplir'!$O$31:$O$400,EL$3,'Étape 1 - à remplir'!$G$31:$G$400,"kg")),IF(EL$2="Espèce",IF(EL$3="Toutes",SUMIFS('Étape 1 - à remplir'!$F$31:$F$400,'Étape 1 - à remplir'!$E$31:$E$400,MASQ2!EC330,'Étape 1 - à remplir'!$G$31:$G$400,"kg"),SUMIFS('Étape 1 - à remplir'!$F$31:$F$400,'Étape 1 - à remplir'!$E$31:$E$400,MASQ2!EC330,'Étape 1 - à remplir'!$N$31:$N$400,EL$3,'Étape 1 - à remplir'!$G$31:$G$400,"kg")))))))</f>
        <v>#N/A</v>
      </c>
      <c r="EE330" s="76">
        <f t="shared" si="259"/>
        <v>0</v>
      </c>
      <c r="EF330" t="str">
        <f t="shared" si="250"/>
        <v>Florfénicol</v>
      </c>
      <c r="EG330" t="str">
        <f t="shared" si="251"/>
        <v/>
      </c>
      <c r="EH330" t="str">
        <f t="shared" si="252"/>
        <v/>
      </c>
      <c r="EI330" t="str">
        <f t="shared" si="253"/>
        <v>Phenicoles</v>
      </c>
      <c r="EJ330" t="str">
        <f t="shared" si="254"/>
        <v/>
      </c>
      <c r="EK330" s="63" t="str">
        <f t="shared" si="255"/>
        <v/>
      </c>
      <c r="EN330" s="42">
        <v>327</v>
      </c>
      <c r="EO330" t="e">
        <f t="shared" ref="EO330:EO393" si="261">INDEX(EB$3:EE$600,MATCH(EN330,EB$3:EB$600,0),2)</f>
        <v>#N/A</v>
      </c>
      <c r="EP330" s="63" t="e">
        <f t="shared" ref="EP330:EP393" si="262">INDEX(EB$3:EE$600,MATCH(EN330,EB$3:EB$600,0),3)</f>
        <v>#N/A</v>
      </c>
      <c r="FT330" s="63"/>
    </row>
    <row r="331" spans="2:176" x14ac:dyDescent="0.3">
      <c r="B331" s="42"/>
      <c r="M331" s="194" t="str">
        <f ca="1">INDEX(Données_ATB!BD:BU,MATCH(MASQ2!O331,Données_ATB!BD:BD,0),18)</f>
        <v/>
      </c>
      <c r="N331" s="14" t="str">
        <f>IFERROR(IF(Q331=0,"",COUNTIF(Q$4:Q$600,"&gt;"&amp;Q331)+COUNTIF(Q$4:Q331,Q331)),"")</f>
        <v/>
      </c>
      <c r="O331" t="str">
        <f>Données_ATB!BD330</f>
        <v>NOROCLAV SUSPENSION INTRAMAMMAIRE POUR VACHES EN LACTATION</v>
      </c>
      <c r="P331" t="e">
        <f>IF(IF(X$2="Catégorie",IF(X$3="Toutes",SUMIFS('Étape 1 - à remplir'!$F$31:$F$400,'Étape 1 - à remplir'!$E$31:$E$400,MASQ2!O331,'Étape 1 - à remplir'!$G$31:$G$400,"animaux"),SUMIFS('Étape 1 - à remplir'!$F$31:$F$400,'Étape 1 - à remplir'!$E$31:$E$400,MASQ2!O331,'Étape 1 - à remplir'!$C$31:$C$400,X$3)),IF(X$2="Âge",IF(X$3="Tous",SUMIFS('Étape 1 - à remplir'!$F$31:$F$400,'Étape 1 - à remplir'!$E$31:$E$400,MASQ2!O331,'Étape 1 - à remplir'!$G$31:$G$400,"animaux"),SUMIFS('Étape 1 - à remplir'!$F$31:$F$400,'Étape 1 - à remplir'!$E$31:$E$400,MASQ2!O331,'Étape 1 - à remplir'!$P$31:$P$400,X$3)),IF(X$2="Atelier",IF(X$3="Tous",SUMIFS('Étape 1 - à remplir'!$F$31:$F$400,'Étape 1 - à remplir'!$E$31:$E$400,MASQ2!O331,'Étape 1 - à remplir'!$G$31:$G$400,"animaux"),SUMIFS('Étape 1 - à remplir'!$F$31:$F$400,'Étape 1 - à remplir'!$E$31:$E$400,MASQ2!O331,'Étape 1 - à remplir'!$O$31:$O$400,X$3)),IF(X$2="Espèce",IF(X$3="Toutes",SUMIFS('Étape 1 - à remplir'!$F$31:$F$400,'Étape 1 - à remplir'!$E$31:$E$400,MASQ2!O331,'Étape 1 - à remplir'!$G$31:$G$400,"animaux"),SUMIFS('Étape 1 - à remplir'!$F$31:$F$400,'Étape 1 - à remplir'!$E$31:$E$400,MASQ2!O331,'Étape 1 - à remplir'!$N$31:$N$400,X$3))))))=0,NA(),IF(X$2="Catégorie",IF(X$3="Toutes",SUMIFS('Étape 1 - à remplir'!$F$31:$F$400,'Étape 1 - à remplir'!$E$31:$E$400,MASQ2!O331,'Étape 1 - à remplir'!$G$31:$G$400,"animaux"),SUMIFS('Étape 1 - à remplir'!$F$31:$F$400,'Étape 1 - à remplir'!$E$31:$E$400,MASQ2!O331,'Étape 1 - à remplir'!$C$31:$C$400,X$3)),IF(X$2="Âge",IF(X$3="Tous",SUMIFS('Étape 1 - à remplir'!$F$31:$F$400,'Étape 1 - à remplir'!$E$31:$E$400,MASQ2!O331,'Étape 1 - à remplir'!$G$31:$G$400,"animaux"),SUMIFS('Étape 1 - à remplir'!$F$31:$F$400,'Étape 1 - à remplir'!$E$31:$E$400,MASQ2!O331,'Étape 1 - à remplir'!$P$31:$P$400,X$3)),IF(X$2="Atelier",IF(X$3="Tous",SUMIFS('Étape 1 - à remplir'!$F$31:$F$400,'Étape 1 - à remplir'!$E$31:$E$400,MASQ2!O331,'Étape 1 - à remplir'!$G$31:$G$400,"animaux"),SUMIFS('Étape 1 - à remplir'!$F$31:$F$400,'Étape 1 - à remplir'!$E$31:$E$400,MASQ2!O331,'Étape 1 - à remplir'!$O$31:$O$400,X$3)),IF(X$2="Espèce",IF(X$3="Toutes",SUMIFS('Étape 1 - à remplir'!$F$31:$F$400,'Étape 1 - à remplir'!$E$31:$E$400,MASQ2!O331,'Étape 1 - à remplir'!$G$31:$G$400,"animaux"),SUMIFS('Étape 1 - à remplir'!$F$31:$F$400,'Étape 1 - à remplir'!$E$31:$E$400,MASQ2!O331,'Étape 1 - à remplir'!$N$31:$N$400,X$3)))))))</f>
        <v>#N/A</v>
      </c>
      <c r="Q331" s="63">
        <f t="shared" si="260"/>
        <v>0</v>
      </c>
      <c r="R331" t="str">
        <f>Données_ATB!BM330</f>
        <v>Amoxicilline</v>
      </c>
      <c r="S331" t="str">
        <f>Données_ATB!BN330</f>
        <v>Acide clavulanique</v>
      </c>
      <c r="T331" s="63" t="str">
        <f>Données_ATB!BO330</f>
        <v/>
      </c>
      <c r="U331" s="42" t="str">
        <f>Données_ATB!BQ330</f>
        <v>Penicillines</v>
      </c>
      <c r="V331" t="str">
        <f>Données_ATB!BR330</f>
        <v>Acide clavulanique</v>
      </c>
      <c r="W331" s="63" t="str">
        <f>Données_ATB!BS330</f>
        <v/>
      </c>
      <c r="Z331" s="42">
        <v>328</v>
      </c>
      <c r="AA331" t="e">
        <f t="shared" si="256"/>
        <v>#N/A</v>
      </c>
      <c r="AB331" s="63" t="e">
        <f t="shared" si="257"/>
        <v>#N/A</v>
      </c>
      <c r="BF331" s="63"/>
      <c r="BT331" s="194" t="str">
        <f t="shared" ca="1" si="240"/>
        <v/>
      </c>
      <c r="BU331" s="219" t="str">
        <f>IFERROR(IF(BX331=0,"",COUNTIF(BX$4:BX$600,"&gt;"&amp;BX331)+COUNTIF(BX$4:BX331,BX331)),"")</f>
        <v/>
      </c>
      <c r="BV331" s="42" t="str">
        <f t="shared" si="241"/>
        <v>NOROCLAV SUSPENSION INTRAMAMMAIRE POUR VACHES EN LACTATION</v>
      </c>
      <c r="BW331" t="e">
        <f>IF(IF(CE$2="Catégorie",IF(CE$3="Toutes",SUMIFS('Étape 1 - à remplir'!$F$31:$F$400,'Étape 1 - à remplir'!$E$31:$E$400,MASQ2!BV331,'Étape 1 - à remplir'!$G$31:$G$400,"lots"),SUMIFS('Étape 1 - à remplir'!$F$31:$F$400,'Étape 1 - à remplir'!$E$31:$E$400,MASQ2!BV331,'Étape 1 - à remplir'!$C$31:$C$400,CE$3)),IF(CE$2="Âge",IF(CE$3="Tous",SUMIFS('Étape 1 - à remplir'!$F$31:$F$400,'Étape 1 - à remplir'!$E$31:$E$400,MASQ2!BV331,'Étape 1 - à remplir'!$G$31:$G$400,"lots"),SUMIFS('Étape 1 - à remplir'!$F$31:$F$400,'Étape 1 - à remplir'!$E$31:$E$400,MASQ2!BV331,'Étape 1 - à remplir'!$P$31:$P$400,CE$3,'Étape 1 - à remplir'!$G$31:$G$400,"lots")),IF(CE$2="Atelier",IF(CE$3="Tous",SUMIFS('Étape 1 - à remplir'!$F$31:$F$400,'Étape 1 - à remplir'!$E$31:$E$400,MASQ2!BV331,'Étape 1 - à remplir'!$G$31:$G$400,"lots"),SUMIFS('Étape 1 - à remplir'!$F$31:$F$400,'Étape 1 - à remplir'!$E$31:$E$400,MASQ2!BV331,'Étape 1 - à remplir'!$O$31:$O$400,CE$3,'Étape 1 - à remplir'!$G$31:$G$400,"lots")),IF(CE$2="Espèce",IF(CE$3="Toutes",SUMIFS('Étape 1 - à remplir'!$F$31:$F$400,'Étape 1 - à remplir'!$E$31:$E$400,MASQ2!BV331,'Étape 1 - à remplir'!$G$31:$G$400,"lots"),SUMIFS('Étape 1 - à remplir'!$F$31:$F$400,'Étape 1 - à remplir'!$E$31:$E$400,MASQ2!BV331,'Étape 1 - à remplir'!$N$31:$N$400,CE$3,'Étape 1 - à remplir'!$G$31:$G$400,"lots"))))))=0,NA(),IF(CE$2="Catégorie",IF(CE$3="Toutes",SUMIFS('Étape 1 - à remplir'!$F$31:$F$400,'Étape 1 - à remplir'!$E$31:$E$400,MASQ2!BV331,'Étape 1 - à remplir'!$G$31:$G$400,"lots"),SUMIFS('Étape 1 - à remplir'!$F$31:$F$400,'Étape 1 - à remplir'!$E$31:$E$400,MASQ2!BV331,'Étape 1 - à remplir'!$C$31:$C$400,CE$3)),IF(CE$2="Âge",IF(CE$3="Tous",SUMIFS('Étape 1 - à remplir'!$F$31:$F$400,'Étape 1 - à remplir'!$E$31:$E$400,MASQ2!BV331,'Étape 1 - à remplir'!$G$31:$G$400,"lots"),SUMIFS('Étape 1 - à remplir'!$F$31:$F$400,'Étape 1 - à remplir'!$E$31:$E$400,MASQ2!BV331,'Étape 1 - à remplir'!$P$31:$P$400,CE$3,'Étape 1 - à remplir'!$G$31:$G$400,"lots")),IF(CE$2="Atelier",IF(CE$3="Tous",SUMIFS('Étape 1 - à remplir'!$F$31:$F$400,'Étape 1 - à remplir'!$E$31:$E$400,MASQ2!BV331,'Étape 1 - à remplir'!$G$31:$G$400,"lots"),SUMIFS('Étape 1 - à remplir'!$F$31:$F$400,'Étape 1 - à remplir'!$E$31:$E$400,MASQ2!BV331,'Étape 1 - à remplir'!$O$31:$O$400,CE$3,'Étape 1 - à remplir'!$G$31:$G$400,"lots")),IF(CE$2="Espèce",IF(CE$3="Toutes",SUMIFS('Étape 1 - à remplir'!$F$31:$F$400,'Étape 1 - à remplir'!$E$31:$E$400,MASQ2!BV331,'Étape 1 - à remplir'!$G$31:$G$400,"lots"),SUMIFS('Étape 1 - à remplir'!$F$31:$F$400,'Étape 1 - à remplir'!$E$31:$E$400,MASQ2!BV331,'Étape 1 - à remplir'!$N$31:$N$400,CE$3,'Étape 1 - à remplir'!$G$31:$G$400,"lots")))))))</f>
        <v>#N/A</v>
      </c>
      <c r="BX331">
        <f t="shared" si="258"/>
        <v>0</v>
      </c>
      <c r="BY331" t="str">
        <f t="shared" si="242"/>
        <v>Amoxicilline</v>
      </c>
      <c r="BZ331" t="str">
        <f t="shared" si="243"/>
        <v>Acide clavulanique</v>
      </c>
      <c r="CA331" t="str">
        <f t="shared" si="244"/>
        <v/>
      </c>
      <c r="CB331" t="str">
        <f t="shared" si="245"/>
        <v>Penicillines</v>
      </c>
      <c r="CC331" t="str">
        <f t="shared" si="246"/>
        <v>Acide clavulanique</v>
      </c>
      <c r="CD331" s="63" t="str">
        <f t="shared" si="247"/>
        <v/>
      </c>
      <c r="CG331" s="42">
        <v>328</v>
      </c>
      <c r="CH331" s="42" t="e">
        <f t="shared" si="238"/>
        <v>#N/A</v>
      </c>
      <c r="CI331" s="63" t="e">
        <f t="shared" si="239"/>
        <v>#N/A</v>
      </c>
      <c r="DM331" s="63"/>
      <c r="EA331" s="194" t="str">
        <f t="shared" ca="1" si="248"/>
        <v/>
      </c>
      <c r="EB331" s="226" t="str">
        <f>IFERROR(IF(ED331=0,"",COUNTIF(ED$4:ED$600,"&gt;"&amp;ED331)+COUNTIF(ED$4:ED331,ED331)),"")</f>
        <v/>
      </c>
      <c r="EC331" t="str">
        <f t="shared" si="249"/>
        <v>NOROCLAV SUSPENSION INTRAMAMMAIRE POUR VACHES EN LACTATION</v>
      </c>
      <c r="ED331" t="e">
        <f>IF(IF(EL$2="Catégorie",IF(EL$3="Toutes",SUMIFS('Étape 1 - à remplir'!$F$31:$F$400,'Étape 1 - à remplir'!$E$31:$E$400,MASQ2!EC331,'Étape 1 - à remplir'!$G$31:$G$400,"kg"),SUMIFS('Étape 1 - à remplir'!$F$31:$F$400,'Étape 1 - à remplir'!$E$31:$E$400,MASQ2!EC331,'Étape 1 - à remplir'!$C$31:$C$400,EL$3)),IF(EL$2="Âge",IF(EL$3="Tous",SUMIFS('Étape 1 - à remplir'!$F$31:$F$400,'Étape 1 - à remplir'!$E$31:$E$400,MASQ2!EC331,'Étape 1 - à remplir'!$G$31:$G$400,"kg"),SUMIFS('Étape 1 - à remplir'!$F$31:$F$400,'Étape 1 - à remplir'!$E$31:$E$400,MASQ2!EC331,'Étape 1 - à remplir'!$P$31:$P$400,EL$3,'Étape 1 - à remplir'!$G$31:$G$400,"kg")),IF(EL$2="Atelier",IF(EL$3="Tous",SUMIFS('Étape 1 - à remplir'!$F$31:$F$400,'Étape 1 - à remplir'!$E$31:$E$400,MASQ2!EC331,'Étape 1 - à remplir'!$G$31:$G$400,"kg"),SUMIFS('Étape 1 - à remplir'!$F$31:$F$400,'Étape 1 - à remplir'!$E$31:$E$400,MASQ2!EC331,'Étape 1 - à remplir'!$O$31:$O$400,EL$3,'Étape 1 - à remplir'!$G$31:$G$400,"kg")),IF(EL$2="Espèce",IF(EL$3="Toutes",SUMIFS('Étape 1 - à remplir'!$F$31:$F$400,'Étape 1 - à remplir'!$E$31:$E$400,MASQ2!EC331,'Étape 1 - à remplir'!$G$31:$G$400,"kg"),SUMIFS('Étape 1 - à remplir'!$F$31:$F$400,'Étape 1 - à remplir'!$E$31:$E$400,MASQ2!EC331,'Étape 1 - à remplir'!$N$31:$N$400,EL$3,'Étape 1 - à remplir'!$G$31:$G$400,"kg"))))))=0,NA(),IF(EL$2="Catégorie",IF(EL$3="Toutes",SUMIFS('Étape 1 - à remplir'!$F$31:$F$400,'Étape 1 - à remplir'!$E$31:$E$400,MASQ2!EC331,'Étape 1 - à remplir'!$G$31:$G$400,"kg"),SUMIFS('Étape 1 - à remplir'!$F$31:$F$400,'Étape 1 - à remplir'!$E$31:$E$400,MASQ2!EC331,'Étape 1 - à remplir'!$C$31:$C$400,EL$3)),IF(EL$2="Âge",IF(EL$3="Tous",SUMIFS('Étape 1 - à remplir'!$F$31:$F$400,'Étape 1 - à remplir'!$E$31:$E$400,MASQ2!EC331,'Étape 1 - à remplir'!$G$31:$G$400,"kg"),SUMIFS('Étape 1 - à remplir'!$F$31:$F$400,'Étape 1 - à remplir'!$E$31:$E$400,MASQ2!EC331,'Étape 1 - à remplir'!$P$31:$P$400,EL$3,'Étape 1 - à remplir'!$G$31:$G$400,"kg")),IF(EL$2="Atelier",IF(EL$3="Tous",SUMIFS('Étape 1 - à remplir'!$F$31:$F$400,'Étape 1 - à remplir'!$E$31:$E$400,MASQ2!EC331,'Étape 1 - à remplir'!$G$31:$G$400,"kg"),SUMIFS('Étape 1 - à remplir'!$F$31:$F$400,'Étape 1 - à remplir'!$E$31:$E$400,MASQ2!EC331,'Étape 1 - à remplir'!$O$31:$O$400,EL$3,'Étape 1 - à remplir'!$G$31:$G$400,"kg")),IF(EL$2="Espèce",IF(EL$3="Toutes",SUMIFS('Étape 1 - à remplir'!$F$31:$F$400,'Étape 1 - à remplir'!$E$31:$E$400,MASQ2!EC331,'Étape 1 - à remplir'!$G$31:$G$400,"kg"),SUMIFS('Étape 1 - à remplir'!$F$31:$F$400,'Étape 1 - à remplir'!$E$31:$E$400,MASQ2!EC331,'Étape 1 - à remplir'!$N$31:$N$400,EL$3,'Étape 1 - à remplir'!$G$31:$G$400,"kg")))))))</f>
        <v>#N/A</v>
      </c>
      <c r="EE331" s="76">
        <f t="shared" si="259"/>
        <v>0</v>
      </c>
      <c r="EF331" t="str">
        <f t="shared" si="250"/>
        <v>Amoxicilline</v>
      </c>
      <c r="EG331" t="str">
        <f t="shared" si="251"/>
        <v>Acide clavulanique</v>
      </c>
      <c r="EH331" t="str">
        <f t="shared" si="252"/>
        <v/>
      </c>
      <c r="EI331" t="str">
        <f t="shared" si="253"/>
        <v>Penicillines</v>
      </c>
      <c r="EJ331" t="str">
        <f t="shared" si="254"/>
        <v>Acide clavulanique</v>
      </c>
      <c r="EK331" s="63" t="str">
        <f t="shared" si="255"/>
        <v/>
      </c>
      <c r="EN331" s="42">
        <v>328</v>
      </c>
      <c r="EO331" t="e">
        <f t="shared" si="261"/>
        <v>#N/A</v>
      </c>
      <c r="EP331" s="63" t="e">
        <f t="shared" si="262"/>
        <v>#N/A</v>
      </c>
      <c r="FT331" s="63"/>
    </row>
    <row r="332" spans="2:176" x14ac:dyDescent="0.3">
      <c r="B332" s="42"/>
      <c r="M332" s="194" t="str">
        <f ca="1">INDEX(Données_ATB!BD:BU,MATCH(MASQ2!O332,Données_ATB!BD:BD,0),18)</f>
        <v/>
      </c>
      <c r="N332" s="14" t="str">
        <f>IFERROR(IF(Q332=0,"",COUNTIF(Q$4:Q$600,"&gt;"&amp;Q332)+COUNTIF(Q$4:Q332,Q332)),"")</f>
        <v/>
      </c>
      <c r="O332" t="str">
        <f>Données_ATB!BD331</f>
        <v>NOROTYL LA 150 MG/ML SUSPENSION INJECTABLE</v>
      </c>
      <c r="P332" t="e">
        <f>IF(IF(X$2="Catégorie",IF(X$3="Toutes",SUMIFS('Étape 1 - à remplir'!$F$31:$F$400,'Étape 1 - à remplir'!$E$31:$E$400,MASQ2!O332,'Étape 1 - à remplir'!$G$31:$G$400,"animaux"),SUMIFS('Étape 1 - à remplir'!$F$31:$F$400,'Étape 1 - à remplir'!$E$31:$E$400,MASQ2!O332,'Étape 1 - à remplir'!$C$31:$C$400,X$3)),IF(X$2="Âge",IF(X$3="Tous",SUMIFS('Étape 1 - à remplir'!$F$31:$F$400,'Étape 1 - à remplir'!$E$31:$E$400,MASQ2!O332,'Étape 1 - à remplir'!$G$31:$G$400,"animaux"),SUMIFS('Étape 1 - à remplir'!$F$31:$F$400,'Étape 1 - à remplir'!$E$31:$E$400,MASQ2!O332,'Étape 1 - à remplir'!$P$31:$P$400,X$3)),IF(X$2="Atelier",IF(X$3="Tous",SUMIFS('Étape 1 - à remplir'!$F$31:$F$400,'Étape 1 - à remplir'!$E$31:$E$400,MASQ2!O332,'Étape 1 - à remplir'!$G$31:$G$400,"animaux"),SUMIFS('Étape 1 - à remplir'!$F$31:$F$400,'Étape 1 - à remplir'!$E$31:$E$400,MASQ2!O332,'Étape 1 - à remplir'!$O$31:$O$400,X$3)),IF(X$2="Espèce",IF(X$3="Toutes",SUMIFS('Étape 1 - à remplir'!$F$31:$F$400,'Étape 1 - à remplir'!$E$31:$E$400,MASQ2!O332,'Étape 1 - à remplir'!$G$31:$G$400,"animaux"),SUMIFS('Étape 1 - à remplir'!$F$31:$F$400,'Étape 1 - à remplir'!$E$31:$E$400,MASQ2!O332,'Étape 1 - à remplir'!$N$31:$N$400,X$3))))))=0,NA(),IF(X$2="Catégorie",IF(X$3="Toutes",SUMIFS('Étape 1 - à remplir'!$F$31:$F$400,'Étape 1 - à remplir'!$E$31:$E$400,MASQ2!O332,'Étape 1 - à remplir'!$G$31:$G$400,"animaux"),SUMIFS('Étape 1 - à remplir'!$F$31:$F$400,'Étape 1 - à remplir'!$E$31:$E$400,MASQ2!O332,'Étape 1 - à remplir'!$C$31:$C$400,X$3)),IF(X$2="Âge",IF(X$3="Tous",SUMIFS('Étape 1 - à remplir'!$F$31:$F$400,'Étape 1 - à remplir'!$E$31:$E$400,MASQ2!O332,'Étape 1 - à remplir'!$G$31:$G$400,"animaux"),SUMIFS('Étape 1 - à remplir'!$F$31:$F$400,'Étape 1 - à remplir'!$E$31:$E$400,MASQ2!O332,'Étape 1 - à remplir'!$P$31:$P$400,X$3)),IF(X$2="Atelier",IF(X$3="Tous",SUMIFS('Étape 1 - à remplir'!$F$31:$F$400,'Étape 1 - à remplir'!$E$31:$E$400,MASQ2!O332,'Étape 1 - à remplir'!$G$31:$G$400,"animaux"),SUMIFS('Étape 1 - à remplir'!$F$31:$F$400,'Étape 1 - à remplir'!$E$31:$E$400,MASQ2!O332,'Étape 1 - à remplir'!$O$31:$O$400,X$3)),IF(X$2="Espèce",IF(X$3="Toutes",SUMIFS('Étape 1 - à remplir'!$F$31:$F$400,'Étape 1 - à remplir'!$E$31:$E$400,MASQ2!O332,'Étape 1 - à remplir'!$G$31:$G$400,"animaux"),SUMIFS('Étape 1 - à remplir'!$F$31:$F$400,'Étape 1 - à remplir'!$E$31:$E$400,MASQ2!O332,'Étape 1 - à remplir'!$N$31:$N$400,X$3)))))))</f>
        <v>#N/A</v>
      </c>
      <c r="Q332" s="63">
        <f t="shared" si="260"/>
        <v>0</v>
      </c>
      <c r="R332" t="str">
        <f>Données_ATB!BM331</f>
        <v>Tylosine</v>
      </c>
      <c r="S332" t="str">
        <f>Données_ATB!BN331</f>
        <v/>
      </c>
      <c r="T332" s="63" t="str">
        <f>Données_ATB!BO331</f>
        <v/>
      </c>
      <c r="U332" s="42" t="str">
        <f>Données_ATB!BQ331</f>
        <v>Macrolides</v>
      </c>
      <c r="V332" t="str">
        <f>Données_ATB!BR331</f>
        <v/>
      </c>
      <c r="W332" s="63" t="str">
        <f>Données_ATB!BS331</f>
        <v/>
      </c>
      <c r="Z332" s="42">
        <v>329</v>
      </c>
      <c r="AA332" t="e">
        <f t="shared" si="256"/>
        <v>#N/A</v>
      </c>
      <c r="AB332" s="63" t="e">
        <f t="shared" si="257"/>
        <v>#N/A</v>
      </c>
      <c r="BF332" s="63"/>
      <c r="BT332" s="194" t="str">
        <f t="shared" ca="1" si="240"/>
        <v/>
      </c>
      <c r="BU332" s="219" t="str">
        <f>IFERROR(IF(BX332=0,"",COUNTIF(BX$4:BX$600,"&gt;"&amp;BX332)+COUNTIF(BX$4:BX332,BX332)),"")</f>
        <v/>
      </c>
      <c r="BV332" s="42" t="str">
        <f t="shared" si="241"/>
        <v>NOROTYL LA 150 MG/ML SUSPENSION INJECTABLE</v>
      </c>
      <c r="BW332" t="e">
        <f>IF(IF(CE$2="Catégorie",IF(CE$3="Toutes",SUMIFS('Étape 1 - à remplir'!$F$31:$F$400,'Étape 1 - à remplir'!$E$31:$E$400,MASQ2!BV332,'Étape 1 - à remplir'!$G$31:$G$400,"lots"),SUMIFS('Étape 1 - à remplir'!$F$31:$F$400,'Étape 1 - à remplir'!$E$31:$E$400,MASQ2!BV332,'Étape 1 - à remplir'!$C$31:$C$400,CE$3)),IF(CE$2="Âge",IF(CE$3="Tous",SUMIFS('Étape 1 - à remplir'!$F$31:$F$400,'Étape 1 - à remplir'!$E$31:$E$400,MASQ2!BV332,'Étape 1 - à remplir'!$G$31:$G$400,"lots"),SUMIFS('Étape 1 - à remplir'!$F$31:$F$400,'Étape 1 - à remplir'!$E$31:$E$400,MASQ2!BV332,'Étape 1 - à remplir'!$P$31:$P$400,CE$3,'Étape 1 - à remplir'!$G$31:$G$400,"lots")),IF(CE$2="Atelier",IF(CE$3="Tous",SUMIFS('Étape 1 - à remplir'!$F$31:$F$400,'Étape 1 - à remplir'!$E$31:$E$400,MASQ2!BV332,'Étape 1 - à remplir'!$G$31:$G$400,"lots"),SUMIFS('Étape 1 - à remplir'!$F$31:$F$400,'Étape 1 - à remplir'!$E$31:$E$400,MASQ2!BV332,'Étape 1 - à remplir'!$O$31:$O$400,CE$3,'Étape 1 - à remplir'!$G$31:$G$400,"lots")),IF(CE$2="Espèce",IF(CE$3="Toutes",SUMIFS('Étape 1 - à remplir'!$F$31:$F$400,'Étape 1 - à remplir'!$E$31:$E$400,MASQ2!BV332,'Étape 1 - à remplir'!$G$31:$G$400,"lots"),SUMIFS('Étape 1 - à remplir'!$F$31:$F$400,'Étape 1 - à remplir'!$E$31:$E$400,MASQ2!BV332,'Étape 1 - à remplir'!$N$31:$N$400,CE$3,'Étape 1 - à remplir'!$G$31:$G$400,"lots"))))))=0,NA(),IF(CE$2="Catégorie",IF(CE$3="Toutes",SUMIFS('Étape 1 - à remplir'!$F$31:$F$400,'Étape 1 - à remplir'!$E$31:$E$400,MASQ2!BV332,'Étape 1 - à remplir'!$G$31:$G$400,"lots"),SUMIFS('Étape 1 - à remplir'!$F$31:$F$400,'Étape 1 - à remplir'!$E$31:$E$400,MASQ2!BV332,'Étape 1 - à remplir'!$C$31:$C$400,CE$3)),IF(CE$2="Âge",IF(CE$3="Tous",SUMIFS('Étape 1 - à remplir'!$F$31:$F$400,'Étape 1 - à remplir'!$E$31:$E$400,MASQ2!BV332,'Étape 1 - à remplir'!$G$31:$G$400,"lots"),SUMIFS('Étape 1 - à remplir'!$F$31:$F$400,'Étape 1 - à remplir'!$E$31:$E$400,MASQ2!BV332,'Étape 1 - à remplir'!$P$31:$P$400,CE$3,'Étape 1 - à remplir'!$G$31:$G$400,"lots")),IF(CE$2="Atelier",IF(CE$3="Tous",SUMIFS('Étape 1 - à remplir'!$F$31:$F$400,'Étape 1 - à remplir'!$E$31:$E$400,MASQ2!BV332,'Étape 1 - à remplir'!$G$31:$G$400,"lots"),SUMIFS('Étape 1 - à remplir'!$F$31:$F$400,'Étape 1 - à remplir'!$E$31:$E$400,MASQ2!BV332,'Étape 1 - à remplir'!$O$31:$O$400,CE$3,'Étape 1 - à remplir'!$G$31:$G$400,"lots")),IF(CE$2="Espèce",IF(CE$3="Toutes",SUMIFS('Étape 1 - à remplir'!$F$31:$F$400,'Étape 1 - à remplir'!$E$31:$E$400,MASQ2!BV332,'Étape 1 - à remplir'!$G$31:$G$400,"lots"),SUMIFS('Étape 1 - à remplir'!$F$31:$F$400,'Étape 1 - à remplir'!$E$31:$E$400,MASQ2!BV332,'Étape 1 - à remplir'!$N$31:$N$400,CE$3,'Étape 1 - à remplir'!$G$31:$G$400,"lots")))))))</f>
        <v>#N/A</v>
      </c>
      <c r="BX332">
        <f t="shared" si="258"/>
        <v>0</v>
      </c>
      <c r="BY332" t="str">
        <f t="shared" si="242"/>
        <v>Tylosine</v>
      </c>
      <c r="BZ332" t="str">
        <f t="shared" si="243"/>
        <v/>
      </c>
      <c r="CA332" t="str">
        <f t="shared" si="244"/>
        <v/>
      </c>
      <c r="CB332" t="str">
        <f t="shared" si="245"/>
        <v>Macrolides</v>
      </c>
      <c r="CC332" t="str">
        <f t="shared" si="246"/>
        <v/>
      </c>
      <c r="CD332" s="63" t="str">
        <f t="shared" si="247"/>
        <v/>
      </c>
      <c r="CG332" s="42">
        <v>329</v>
      </c>
      <c r="CH332" s="42" t="e">
        <f t="shared" si="238"/>
        <v>#N/A</v>
      </c>
      <c r="CI332" s="63" t="e">
        <f t="shared" si="239"/>
        <v>#N/A</v>
      </c>
      <c r="DM332" s="63"/>
      <c r="EA332" s="194" t="str">
        <f t="shared" ca="1" si="248"/>
        <v/>
      </c>
      <c r="EB332" s="226" t="str">
        <f>IFERROR(IF(ED332=0,"",COUNTIF(ED$4:ED$600,"&gt;"&amp;ED332)+COUNTIF(ED$4:ED332,ED332)),"")</f>
        <v/>
      </c>
      <c r="EC332" t="str">
        <f t="shared" si="249"/>
        <v>NOROTYL LA 150 MG/ML SUSPENSION INJECTABLE</v>
      </c>
      <c r="ED332" t="e">
        <f>IF(IF(EL$2="Catégorie",IF(EL$3="Toutes",SUMIFS('Étape 1 - à remplir'!$F$31:$F$400,'Étape 1 - à remplir'!$E$31:$E$400,MASQ2!EC332,'Étape 1 - à remplir'!$G$31:$G$400,"kg"),SUMIFS('Étape 1 - à remplir'!$F$31:$F$400,'Étape 1 - à remplir'!$E$31:$E$400,MASQ2!EC332,'Étape 1 - à remplir'!$C$31:$C$400,EL$3)),IF(EL$2="Âge",IF(EL$3="Tous",SUMIFS('Étape 1 - à remplir'!$F$31:$F$400,'Étape 1 - à remplir'!$E$31:$E$400,MASQ2!EC332,'Étape 1 - à remplir'!$G$31:$G$400,"kg"),SUMIFS('Étape 1 - à remplir'!$F$31:$F$400,'Étape 1 - à remplir'!$E$31:$E$400,MASQ2!EC332,'Étape 1 - à remplir'!$P$31:$P$400,EL$3,'Étape 1 - à remplir'!$G$31:$G$400,"kg")),IF(EL$2="Atelier",IF(EL$3="Tous",SUMIFS('Étape 1 - à remplir'!$F$31:$F$400,'Étape 1 - à remplir'!$E$31:$E$400,MASQ2!EC332,'Étape 1 - à remplir'!$G$31:$G$400,"kg"),SUMIFS('Étape 1 - à remplir'!$F$31:$F$400,'Étape 1 - à remplir'!$E$31:$E$400,MASQ2!EC332,'Étape 1 - à remplir'!$O$31:$O$400,EL$3,'Étape 1 - à remplir'!$G$31:$G$400,"kg")),IF(EL$2="Espèce",IF(EL$3="Toutes",SUMIFS('Étape 1 - à remplir'!$F$31:$F$400,'Étape 1 - à remplir'!$E$31:$E$400,MASQ2!EC332,'Étape 1 - à remplir'!$G$31:$G$400,"kg"),SUMIFS('Étape 1 - à remplir'!$F$31:$F$400,'Étape 1 - à remplir'!$E$31:$E$400,MASQ2!EC332,'Étape 1 - à remplir'!$N$31:$N$400,EL$3,'Étape 1 - à remplir'!$G$31:$G$400,"kg"))))))=0,NA(),IF(EL$2="Catégorie",IF(EL$3="Toutes",SUMIFS('Étape 1 - à remplir'!$F$31:$F$400,'Étape 1 - à remplir'!$E$31:$E$400,MASQ2!EC332,'Étape 1 - à remplir'!$G$31:$G$400,"kg"),SUMIFS('Étape 1 - à remplir'!$F$31:$F$400,'Étape 1 - à remplir'!$E$31:$E$400,MASQ2!EC332,'Étape 1 - à remplir'!$C$31:$C$400,EL$3)),IF(EL$2="Âge",IF(EL$3="Tous",SUMIFS('Étape 1 - à remplir'!$F$31:$F$400,'Étape 1 - à remplir'!$E$31:$E$400,MASQ2!EC332,'Étape 1 - à remplir'!$G$31:$G$400,"kg"),SUMIFS('Étape 1 - à remplir'!$F$31:$F$400,'Étape 1 - à remplir'!$E$31:$E$400,MASQ2!EC332,'Étape 1 - à remplir'!$P$31:$P$400,EL$3,'Étape 1 - à remplir'!$G$31:$G$400,"kg")),IF(EL$2="Atelier",IF(EL$3="Tous",SUMIFS('Étape 1 - à remplir'!$F$31:$F$400,'Étape 1 - à remplir'!$E$31:$E$400,MASQ2!EC332,'Étape 1 - à remplir'!$G$31:$G$400,"kg"),SUMIFS('Étape 1 - à remplir'!$F$31:$F$400,'Étape 1 - à remplir'!$E$31:$E$400,MASQ2!EC332,'Étape 1 - à remplir'!$O$31:$O$400,EL$3,'Étape 1 - à remplir'!$G$31:$G$400,"kg")),IF(EL$2="Espèce",IF(EL$3="Toutes",SUMIFS('Étape 1 - à remplir'!$F$31:$F$400,'Étape 1 - à remplir'!$E$31:$E$400,MASQ2!EC332,'Étape 1 - à remplir'!$G$31:$G$400,"kg"),SUMIFS('Étape 1 - à remplir'!$F$31:$F$400,'Étape 1 - à remplir'!$E$31:$E$400,MASQ2!EC332,'Étape 1 - à remplir'!$N$31:$N$400,EL$3,'Étape 1 - à remplir'!$G$31:$G$400,"kg")))))))</f>
        <v>#N/A</v>
      </c>
      <c r="EE332" s="76">
        <f t="shared" si="259"/>
        <v>0</v>
      </c>
      <c r="EF332" t="str">
        <f t="shared" si="250"/>
        <v>Tylosine</v>
      </c>
      <c r="EG332" t="str">
        <f t="shared" si="251"/>
        <v/>
      </c>
      <c r="EH332" t="str">
        <f t="shared" si="252"/>
        <v/>
      </c>
      <c r="EI332" t="str">
        <f t="shared" si="253"/>
        <v>Macrolides</v>
      </c>
      <c r="EJ332" t="str">
        <f t="shared" si="254"/>
        <v/>
      </c>
      <c r="EK332" s="63" t="str">
        <f t="shared" si="255"/>
        <v/>
      </c>
      <c r="EN332" s="42">
        <v>329</v>
      </c>
      <c r="EO332" t="e">
        <f t="shared" si="261"/>
        <v>#N/A</v>
      </c>
      <c r="EP332" s="63" t="e">
        <f t="shared" si="262"/>
        <v>#N/A</v>
      </c>
      <c r="FT332" s="63"/>
    </row>
    <row r="333" spans="2:176" x14ac:dyDescent="0.3">
      <c r="B333" s="42"/>
      <c r="M333" s="194" t="str">
        <f ca="1">INDEX(Données_ATB!BD:BU,MATCH(MASQ2!O333,Données_ATB!BD:BD,0),18)</f>
        <v/>
      </c>
      <c r="N333" s="14" t="str">
        <f>IFERROR(IF(Q333=0,"",COUNTIF(Q$4:Q$600,"&gt;"&amp;Q333)+COUNTIF(Q$4:Q333,Q333)),"")</f>
        <v/>
      </c>
      <c r="O333" t="str">
        <f>Données_ATB!BD332</f>
        <v>NUFLOR</v>
      </c>
      <c r="P333" t="e">
        <f>IF(IF(X$2="Catégorie",IF(X$3="Toutes",SUMIFS('Étape 1 - à remplir'!$F$31:$F$400,'Étape 1 - à remplir'!$E$31:$E$400,MASQ2!O333,'Étape 1 - à remplir'!$G$31:$G$400,"animaux"),SUMIFS('Étape 1 - à remplir'!$F$31:$F$400,'Étape 1 - à remplir'!$E$31:$E$400,MASQ2!O333,'Étape 1 - à remplir'!$C$31:$C$400,X$3)),IF(X$2="Âge",IF(X$3="Tous",SUMIFS('Étape 1 - à remplir'!$F$31:$F$400,'Étape 1 - à remplir'!$E$31:$E$400,MASQ2!O333,'Étape 1 - à remplir'!$G$31:$G$400,"animaux"),SUMIFS('Étape 1 - à remplir'!$F$31:$F$400,'Étape 1 - à remplir'!$E$31:$E$400,MASQ2!O333,'Étape 1 - à remplir'!$P$31:$P$400,X$3)),IF(X$2="Atelier",IF(X$3="Tous",SUMIFS('Étape 1 - à remplir'!$F$31:$F$400,'Étape 1 - à remplir'!$E$31:$E$400,MASQ2!O333,'Étape 1 - à remplir'!$G$31:$G$400,"animaux"),SUMIFS('Étape 1 - à remplir'!$F$31:$F$400,'Étape 1 - à remplir'!$E$31:$E$400,MASQ2!O333,'Étape 1 - à remplir'!$O$31:$O$400,X$3)),IF(X$2="Espèce",IF(X$3="Toutes",SUMIFS('Étape 1 - à remplir'!$F$31:$F$400,'Étape 1 - à remplir'!$E$31:$E$400,MASQ2!O333,'Étape 1 - à remplir'!$G$31:$G$400,"animaux"),SUMIFS('Étape 1 - à remplir'!$F$31:$F$400,'Étape 1 - à remplir'!$E$31:$E$400,MASQ2!O333,'Étape 1 - à remplir'!$N$31:$N$400,X$3))))))=0,NA(),IF(X$2="Catégorie",IF(X$3="Toutes",SUMIFS('Étape 1 - à remplir'!$F$31:$F$400,'Étape 1 - à remplir'!$E$31:$E$400,MASQ2!O333,'Étape 1 - à remplir'!$G$31:$G$400,"animaux"),SUMIFS('Étape 1 - à remplir'!$F$31:$F$400,'Étape 1 - à remplir'!$E$31:$E$400,MASQ2!O333,'Étape 1 - à remplir'!$C$31:$C$400,X$3)),IF(X$2="Âge",IF(X$3="Tous",SUMIFS('Étape 1 - à remplir'!$F$31:$F$400,'Étape 1 - à remplir'!$E$31:$E$400,MASQ2!O333,'Étape 1 - à remplir'!$G$31:$G$400,"animaux"),SUMIFS('Étape 1 - à remplir'!$F$31:$F$400,'Étape 1 - à remplir'!$E$31:$E$400,MASQ2!O333,'Étape 1 - à remplir'!$P$31:$P$400,X$3)),IF(X$2="Atelier",IF(X$3="Tous",SUMIFS('Étape 1 - à remplir'!$F$31:$F$400,'Étape 1 - à remplir'!$E$31:$E$400,MASQ2!O333,'Étape 1 - à remplir'!$G$31:$G$400,"animaux"),SUMIFS('Étape 1 - à remplir'!$F$31:$F$400,'Étape 1 - à remplir'!$E$31:$E$400,MASQ2!O333,'Étape 1 - à remplir'!$O$31:$O$400,X$3)),IF(X$2="Espèce",IF(X$3="Toutes",SUMIFS('Étape 1 - à remplir'!$F$31:$F$400,'Étape 1 - à remplir'!$E$31:$E$400,MASQ2!O333,'Étape 1 - à remplir'!$G$31:$G$400,"animaux"),SUMIFS('Étape 1 - à remplir'!$F$31:$F$400,'Étape 1 - à remplir'!$E$31:$E$400,MASQ2!O333,'Étape 1 - à remplir'!$N$31:$N$400,X$3)))))))</f>
        <v>#N/A</v>
      </c>
      <c r="Q333" s="63">
        <f t="shared" si="260"/>
        <v>0</v>
      </c>
      <c r="R333" t="str">
        <f>Données_ATB!BM332</f>
        <v>Florfénicol</v>
      </c>
      <c r="S333" t="str">
        <f>Données_ATB!BN332</f>
        <v/>
      </c>
      <c r="T333" s="63" t="str">
        <f>Données_ATB!BO332</f>
        <v/>
      </c>
      <c r="U333" s="42" t="str">
        <f>Données_ATB!BQ332</f>
        <v>Phenicoles</v>
      </c>
      <c r="V333" t="str">
        <f>Données_ATB!BR332</f>
        <v/>
      </c>
      <c r="W333" s="63" t="str">
        <f>Données_ATB!BS332</f>
        <v/>
      </c>
      <c r="Z333" s="42">
        <v>330</v>
      </c>
      <c r="AA333" t="e">
        <f t="shared" si="256"/>
        <v>#N/A</v>
      </c>
      <c r="AB333" s="63" t="e">
        <f t="shared" si="257"/>
        <v>#N/A</v>
      </c>
      <c r="BF333" s="63"/>
      <c r="BT333" s="194" t="str">
        <f t="shared" ca="1" si="240"/>
        <v/>
      </c>
      <c r="BU333" s="219" t="str">
        <f>IFERROR(IF(BX333=0,"",COUNTIF(BX$4:BX$600,"&gt;"&amp;BX333)+COUNTIF(BX$4:BX333,BX333)),"")</f>
        <v/>
      </c>
      <c r="BV333" s="42" t="str">
        <f t="shared" si="241"/>
        <v>NUFLOR</v>
      </c>
      <c r="BW333" t="e">
        <f>IF(IF(CE$2="Catégorie",IF(CE$3="Toutes",SUMIFS('Étape 1 - à remplir'!$F$31:$F$400,'Étape 1 - à remplir'!$E$31:$E$400,MASQ2!BV333,'Étape 1 - à remplir'!$G$31:$G$400,"lots"),SUMIFS('Étape 1 - à remplir'!$F$31:$F$400,'Étape 1 - à remplir'!$E$31:$E$400,MASQ2!BV333,'Étape 1 - à remplir'!$C$31:$C$400,CE$3)),IF(CE$2="Âge",IF(CE$3="Tous",SUMIFS('Étape 1 - à remplir'!$F$31:$F$400,'Étape 1 - à remplir'!$E$31:$E$400,MASQ2!BV333,'Étape 1 - à remplir'!$G$31:$G$400,"lots"),SUMIFS('Étape 1 - à remplir'!$F$31:$F$400,'Étape 1 - à remplir'!$E$31:$E$400,MASQ2!BV333,'Étape 1 - à remplir'!$P$31:$P$400,CE$3,'Étape 1 - à remplir'!$G$31:$G$400,"lots")),IF(CE$2="Atelier",IF(CE$3="Tous",SUMIFS('Étape 1 - à remplir'!$F$31:$F$400,'Étape 1 - à remplir'!$E$31:$E$400,MASQ2!BV333,'Étape 1 - à remplir'!$G$31:$G$400,"lots"),SUMIFS('Étape 1 - à remplir'!$F$31:$F$400,'Étape 1 - à remplir'!$E$31:$E$400,MASQ2!BV333,'Étape 1 - à remplir'!$O$31:$O$400,CE$3,'Étape 1 - à remplir'!$G$31:$G$400,"lots")),IF(CE$2="Espèce",IF(CE$3="Toutes",SUMIFS('Étape 1 - à remplir'!$F$31:$F$400,'Étape 1 - à remplir'!$E$31:$E$400,MASQ2!BV333,'Étape 1 - à remplir'!$G$31:$G$400,"lots"),SUMIFS('Étape 1 - à remplir'!$F$31:$F$400,'Étape 1 - à remplir'!$E$31:$E$400,MASQ2!BV333,'Étape 1 - à remplir'!$N$31:$N$400,CE$3,'Étape 1 - à remplir'!$G$31:$G$400,"lots"))))))=0,NA(),IF(CE$2="Catégorie",IF(CE$3="Toutes",SUMIFS('Étape 1 - à remplir'!$F$31:$F$400,'Étape 1 - à remplir'!$E$31:$E$400,MASQ2!BV333,'Étape 1 - à remplir'!$G$31:$G$400,"lots"),SUMIFS('Étape 1 - à remplir'!$F$31:$F$400,'Étape 1 - à remplir'!$E$31:$E$400,MASQ2!BV333,'Étape 1 - à remplir'!$C$31:$C$400,CE$3)),IF(CE$2="Âge",IF(CE$3="Tous",SUMIFS('Étape 1 - à remplir'!$F$31:$F$400,'Étape 1 - à remplir'!$E$31:$E$400,MASQ2!BV333,'Étape 1 - à remplir'!$G$31:$G$400,"lots"),SUMIFS('Étape 1 - à remplir'!$F$31:$F$400,'Étape 1 - à remplir'!$E$31:$E$400,MASQ2!BV333,'Étape 1 - à remplir'!$P$31:$P$400,CE$3,'Étape 1 - à remplir'!$G$31:$G$400,"lots")),IF(CE$2="Atelier",IF(CE$3="Tous",SUMIFS('Étape 1 - à remplir'!$F$31:$F$400,'Étape 1 - à remplir'!$E$31:$E$400,MASQ2!BV333,'Étape 1 - à remplir'!$G$31:$G$400,"lots"),SUMIFS('Étape 1 - à remplir'!$F$31:$F$400,'Étape 1 - à remplir'!$E$31:$E$400,MASQ2!BV333,'Étape 1 - à remplir'!$O$31:$O$400,CE$3,'Étape 1 - à remplir'!$G$31:$G$400,"lots")),IF(CE$2="Espèce",IF(CE$3="Toutes",SUMIFS('Étape 1 - à remplir'!$F$31:$F$400,'Étape 1 - à remplir'!$E$31:$E$400,MASQ2!BV333,'Étape 1 - à remplir'!$G$31:$G$400,"lots"),SUMIFS('Étape 1 - à remplir'!$F$31:$F$400,'Étape 1 - à remplir'!$E$31:$E$400,MASQ2!BV333,'Étape 1 - à remplir'!$N$31:$N$400,CE$3,'Étape 1 - à remplir'!$G$31:$G$400,"lots")))))))</f>
        <v>#N/A</v>
      </c>
      <c r="BX333">
        <f t="shared" si="258"/>
        <v>0</v>
      </c>
      <c r="BY333" t="str">
        <f t="shared" si="242"/>
        <v>Florfénicol</v>
      </c>
      <c r="BZ333" t="str">
        <f t="shared" si="243"/>
        <v/>
      </c>
      <c r="CA333" t="str">
        <f t="shared" si="244"/>
        <v/>
      </c>
      <c r="CB333" t="str">
        <f t="shared" si="245"/>
        <v>Phenicoles</v>
      </c>
      <c r="CC333" t="str">
        <f t="shared" si="246"/>
        <v/>
      </c>
      <c r="CD333" s="63" t="str">
        <f t="shared" si="247"/>
        <v/>
      </c>
      <c r="CG333" s="42">
        <v>330</v>
      </c>
      <c r="CH333" s="42" t="e">
        <f t="shared" si="238"/>
        <v>#N/A</v>
      </c>
      <c r="CI333" s="63" t="e">
        <f t="shared" si="239"/>
        <v>#N/A</v>
      </c>
      <c r="DM333" s="63"/>
      <c r="EA333" s="194" t="str">
        <f t="shared" ca="1" si="248"/>
        <v/>
      </c>
      <c r="EB333" s="226" t="str">
        <f>IFERROR(IF(ED333=0,"",COUNTIF(ED$4:ED$600,"&gt;"&amp;ED333)+COUNTIF(ED$4:ED333,ED333)),"")</f>
        <v/>
      </c>
      <c r="EC333" t="str">
        <f t="shared" si="249"/>
        <v>NUFLOR</v>
      </c>
      <c r="ED333" t="e">
        <f>IF(IF(EL$2="Catégorie",IF(EL$3="Toutes",SUMIFS('Étape 1 - à remplir'!$F$31:$F$400,'Étape 1 - à remplir'!$E$31:$E$400,MASQ2!EC333,'Étape 1 - à remplir'!$G$31:$G$400,"kg"),SUMIFS('Étape 1 - à remplir'!$F$31:$F$400,'Étape 1 - à remplir'!$E$31:$E$400,MASQ2!EC333,'Étape 1 - à remplir'!$C$31:$C$400,EL$3)),IF(EL$2="Âge",IF(EL$3="Tous",SUMIFS('Étape 1 - à remplir'!$F$31:$F$400,'Étape 1 - à remplir'!$E$31:$E$400,MASQ2!EC333,'Étape 1 - à remplir'!$G$31:$G$400,"kg"),SUMIFS('Étape 1 - à remplir'!$F$31:$F$400,'Étape 1 - à remplir'!$E$31:$E$400,MASQ2!EC333,'Étape 1 - à remplir'!$P$31:$P$400,EL$3,'Étape 1 - à remplir'!$G$31:$G$400,"kg")),IF(EL$2="Atelier",IF(EL$3="Tous",SUMIFS('Étape 1 - à remplir'!$F$31:$F$400,'Étape 1 - à remplir'!$E$31:$E$400,MASQ2!EC333,'Étape 1 - à remplir'!$G$31:$G$400,"kg"),SUMIFS('Étape 1 - à remplir'!$F$31:$F$400,'Étape 1 - à remplir'!$E$31:$E$400,MASQ2!EC333,'Étape 1 - à remplir'!$O$31:$O$400,EL$3,'Étape 1 - à remplir'!$G$31:$G$400,"kg")),IF(EL$2="Espèce",IF(EL$3="Toutes",SUMIFS('Étape 1 - à remplir'!$F$31:$F$400,'Étape 1 - à remplir'!$E$31:$E$400,MASQ2!EC333,'Étape 1 - à remplir'!$G$31:$G$400,"kg"),SUMIFS('Étape 1 - à remplir'!$F$31:$F$400,'Étape 1 - à remplir'!$E$31:$E$400,MASQ2!EC333,'Étape 1 - à remplir'!$N$31:$N$400,EL$3,'Étape 1 - à remplir'!$G$31:$G$400,"kg"))))))=0,NA(),IF(EL$2="Catégorie",IF(EL$3="Toutes",SUMIFS('Étape 1 - à remplir'!$F$31:$F$400,'Étape 1 - à remplir'!$E$31:$E$400,MASQ2!EC333,'Étape 1 - à remplir'!$G$31:$G$400,"kg"),SUMIFS('Étape 1 - à remplir'!$F$31:$F$400,'Étape 1 - à remplir'!$E$31:$E$400,MASQ2!EC333,'Étape 1 - à remplir'!$C$31:$C$400,EL$3)),IF(EL$2="Âge",IF(EL$3="Tous",SUMIFS('Étape 1 - à remplir'!$F$31:$F$400,'Étape 1 - à remplir'!$E$31:$E$400,MASQ2!EC333,'Étape 1 - à remplir'!$G$31:$G$400,"kg"),SUMIFS('Étape 1 - à remplir'!$F$31:$F$400,'Étape 1 - à remplir'!$E$31:$E$400,MASQ2!EC333,'Étape 1 - à remplir'!$P$31:$P$400,EL$3,'Étape 1 - à remplir'!$G$31:$G$400,"kg")),IF(EL$2="Atelier",IF(EL$3="Tous",SUMIFS('Étape 1 - à remplir'!$F$31:$F$400,'Étape 1 - à remplir'!$E$31:$E$400,MASQ2!EC333,'Étape 1 - à remplir'!$G$31:$G$400,"kg"),SUMIFS('Étape 1 - à remplir'!$F$31:$F$400,'Étape 1 - à remplir'!$E$31:$E$400,MASQ2!EC333,'Étape 1 - à remplir'!$O$31:$O$400,EL$3,'Étape 1 - à remplir'!$G$31:$G$400,"kg")),IF(EL$2="Espèce",IF(EL$3="Toutes",SUMIFS('Étape 1 - à remplir'!$F$31:$F$400,'Étape 1 - à remplir'!$E$31:$E$400,MASQ2!EC333,'Étape 1 - à remplir'!$G$31:$G$400,"kg"),SUMIFS('Étape 1 - à remplir'!$F$31:$F$400,'Étape 1 - à remplir'!$E$31:$E$400,MASQ2!EC333,'Étape 1 - à remplir'!$N$31:$N$400,EL$3,'Étape 1 - à remplir'!$G$31:$G$400,"kg")))))))</f>
        <v>#N/A</v>
      </c>
      <c r="EE333" s="76">
        <f t="shared" si="259"/>
        <v>0</v>
      </c>
      <c r="EF333" t="str">
        <f t="shared" si="250"/>
        <v>Florfénicol</v>
      </c>
      <c r="EG333" t="str">
        <f t="shared" si="251"/>
        <v/>
      </c>
      <c r="EH333" t="str">
        <f t="shared" si="252"/>
        <v/>
      </c>
      <c r="EI333" t="str">
        <f t="shared" si="253"/>
        <v>Phenicoles</v>
      </c>
      <c r="EJ333" t="str">
        <f t="shared" si="254"/>
        <v/>
      </c>
      <c r="EK333" s="63" t="str">
        <f t="shared" si="255"/>
        <v/>
      </c>
      <c r="EN333" s="42">
        <v>330</v>
      </c>
      <c r="EO333" t="e">
        <f t="shared" si="261"/>
        <v>#N/A</v>
      </c>
      <c r="EP333" s="63" t="e">
        <f t="shared" si="262"/>
        <v>#N/A</v>
      </c>
      <c r="FT333" s="63"/>
    </row>
    <row r="334" spans="2:176" x14ac:dyDescent="0.3">
      <c r="B334" s="42"/>
      <c r="M334" s="194" t="str">
        <f ca="1">INDEX(Données_ATB!BD:BU,MATCH(MASQ2!O334,Données_ATB!BD:BD,0),18)</f>
        <v/>
      </c>
      <c r="N334" s="14" t="str">
        <f>IFERROR(IF(Q334=0,"",COUNTIF(Q$4:Q$600,"&gt;"&amp;Q334)+COUNTIF(Q$4:Q334,Q334)),"")</f>
        <v/>
      </c>
      <c r="O334" t="str">
        <f>Données_ATB!BD333</f>
        <v>NUFLOR 300 MG/ML SOLUTION INJECTABLE POUR BOVINS ET OVINS</v>
      </c>
      <c r="P334" t="e">
        <f>IF(IF(X$2="Catégorie",IF(X$3="Toutes",SUMIFS('Étape 1 - à remplir'!$F$31:$F$400,'Étape 1 - à remplir'!$E$31:$E$400,MASQ2!O334,'Étape 1 - à remplir'!$G$31:$G$400,"animaux"),SUMIFS('Étape 1 - à remplir'!$F$31:$F$400,'Étape 1 - à remplir'!$E$31:$E$400,MASQ2!O334,'Étape 1 - à remplir'!$C$31:$C$400,X$3)),IF(X$2="Âge",IF(X$3="Tous",SUMIFS('Étape 1 - à remplir'!$F$31:$F$400,'Étape 1 - à remplir'!$E$31:$E$400,MASQ2!O334,'Étape 1 - à remplir'!$G$31:$G$400,"animaux"),SUMIFS('Étape 1 - à remplir'!$F$31:$F$400,'Étape 1 - à remplir'!$E$31:$E$400,MASQ2!O334,'Étape 1 - à remplir'!$P$31:$P$400,X$3)),IF(X$2="Atelier",IF(X$3="Tous",SUMIFS('Étape 1 - à remplir'!$F$31:$F$400,'Étape 1 - à remplir'!$E$31:$E$400,MASQ2!O334,'Étape 1 - à remplir'!$G$31:$G$400,"animaux"),SUMIFS('Étape 1 - à remplir'!$F$31:$F$400,'Étape 1 - à remplir'!$E$31:$E$400,MASQ2!O334,'Étape 1 - à remplir'!$O$31:$O$400,X$3)),IF(X$2="Espèce",IF(X$3="Toutes",SUMIFS('Étape 1 - à remplir'!$F$31:$F$400,'Étape 1 - à remplir'!$E$31:$E$400,MASQ2!O334,'Étape 1 - à remplir'!$G$31:$G$400,"animaux"),SUMIFS('Étape 1 - à remplir'!$F$31:$F$400,'Étape 1 - à remplir'!$E$31:$E$400,MASQ2!O334,'Étape 1 - à remplir'!$N$31:$N$400,X$3))))))=0,NA(),IF(X$2="Catégorie",IF(X$3="Toutes",SUMIFS('Étape 1 - à remplir'!$F$31:$F$400,'Étape 1 - à remplir'!$E$31:$E$400,MASQ2!O334,'Étape 1 - à remplir'!$G$31:$G$400,"animaux"),SUMIFS('Étape 1 - à remplir'!$F$31:$F$400,'Étape 1 - à remplir'!$E$31:$E$400,MASQ2!O334,'Étape 1 - à remplir'!$C$31:$C$400,X$3)),IF(X$2="Âge",IF(X$3="Tous",SUMIFS('Étape 1 - à remplir'!$F$31:$F$400,'Étape 1 - à remplir'!$E$31:$E$400,MASQ2!O334,'Étape 1 - à remplir'!$G$31:$G$400,"animaux"),SUMIFS('Étape 1 - à remplir'!$F$31:$F$400,'Étape 1 - à remplir'!$E$31:$E$400,MASQ2!O334,'Étape 1 - à remplir'!$P$31:$P$400,X$3)),IF(X$2="Atelier",IF(X$3="Tous",SUMIFS('Étape 1 - à remplir'!$F$31:$F$400,'Étape 1 - à remplir'!$E$31:$E$400,MASQ2!O334,'Étape 1 - à remplir'!$G$31:$G$400,"animaux"),SUMIFS('Étape 1 - à remplir'!$F$31:$F$400,'Étape 1 - à remplir'!$E$31:$E$400,MASQ2!O334,'Étape 1 - à remplir'!$O$31:$O$400,X$3)),IF(X$2="Espèce",IF(X$3="Toutes",SUMIFS('Étape 1 - à remplir'!$F$31:$F$400,'Étape 1 - à remplir'!$E$31:$E$400,MASQ2!O334,'Étape 1 - à remplir'!$G$31:$G$400,"animaux"),SUMIFS('Étape 1 - à remplir'!$F$31:$F$400,'Étape 1 - à remplir'!$E$31:$E$400,MASQ2!O334,'Étape 1 - à remplir'!$N$31:$N$400,X$3)))))))</f>
        <v>#N/A</v>
      </c>
      <c r="Q334" s="63">
        <f t="shared" si="260"/>
        <v>0</v>
      </c>
      <c r="R334" t="str">
        <f>Données_ATB!BM333</f>
        <v>Florfénicol</v>
      </c>
      <c r="S334" t="str">
        <f>Données_ATB!BN333</f>
        <v/>
      </c>
      <c r="T334" s="63" t="str">
        <f>Données_ATB!BO333</f>
        <v/>
      </c>
      <c r="U334" s="42" t="str">
        <f>Données_ATB!BQ333</f>
        <v>Phenicoles</v>
      </c>
      <c r="V334" t="str">
        <f>Données_ATB!BR333</f>
        <v/>
      </c>
      <c r="W334" s="63" t="str">
        <f>Données_ATB!BS333</f>
        <v/>
      </c>
      <c r="Z334" s="42">
        <v>331</v>
      </c>
      <c r="AA334" t="e">
        <f t="shared" si="256"/>
        <v>#N/A</v>
      </c>
      <c r="AB334" s="63" t="e">
        <f t="shared" si="257"/>
        <v>#N/A</v>
      </c>
      <c r="BF334" s="63"/>
      <c r="BT334" s="194" t="str">
        <f t="shared" ca="1" si="240"/>
        <v/>
      </c>
      <c r="BU334" s="219" t="str">
        <f>IFERROR(IF(BX334=0,"",COUNTIF(BX$4:BX$600,"&gt;"&amp;BX334)+COUNTIF(BX$4:BX334,BX334)),"")</f>
        <v/>
      </c>
      <c r="BV334" s="42" t="str">
        <f t="shared" si="241"/>
        <v>NUFLOR 300 MG/ML SOLUTION INJECTABLE POUR BOVINS ET OVINS</v>
      </c>
      <c r="BW334" t="e">
        <f>IF(IF(CE$2="Catégorie",IF(CE$3="Toutes",SUMIFS('Étape 1 - à remplir'!$F$31:$F$400,'Étape 1 - à remplir'!$E$31:$E$400,MASQ2!BV334,'Étape 1 - à remplir'!$G$31:$G$400,"lots"),SUMIFS('Étape 1 - à remplir'!$F$31:$F$400,'Étape 1 - à remplir'!$E$31:$E$400,MASQ2!BV334,'Étape 1 - à remplir'!$C$31:$C$400,CE$3)),IF(CE$2="Âge",IF(CE$3="Tous",SUMIFS('Étape 1 - à remplir'!$F$31:$F$400,'Étape 1 - à remplir'!$E$31:$E$400,MASQ2!BV334,'Étape 1 - à remplir'!$G$31:$G$400,"lots"),SUMIFS('Étape 1 - à remplir'!$F$31:$F$400,'Étape 1 - à remplir'!$E$31:$E$400,MASQ2!BV334,'Étape 1 - à remplir'!$P$31:$P$400,CE$3,'Étape 1 - à remplir'!$G$31:$G$400,"lots")),IF(CE$2="Atelier",IF(CE$3="Tous",SUMIFS('Étape 1 - à remplir'!$F$31:$F$400,'Étape 1 - à remplir'!$E$31:$E$400,MASQ2!BV334,'Étape 1 - à remplir'!$G$31:$G$400,"lots"),SUMIFS('Étape 1 - à remplir'!$F$31:$F$400,'Étape 1 - à remplir'!$E$31:$E$400,MASQ2!BV334,'Étape 1 - à remplir'!$O$31:$O$400,CE$3,'Étape 1 - à remplir'!$G$31:$G$400,"lots")),IF(CE$2="Espèce",IF(CE$3="Toutes",SUMIFS('Étape 1 - à remplir'!$F$31:$F$400,'Étape 1 - à remplir'!$E$31:$E$400,MASQ2!BV334,'Étape 1 - à remplir'!$G$31:$G$400,"lots"),SUMIFS('Étape 1 - à remplir'!$F$31:$F$400,'Étape 1 - à remplir'!$E$31:$E$400,MASQ2!BV334,'Étape 1 - à remplir'!$N$31:$N$400,CE$3,'Étape 1 - à remplir'!$G$31:$G$400,"lots"))))))=0,NA(),IF(CE$2="Catégorie",IF(CE$3="Toutes",SUMIFS('Étape 1 - à remplir'!$F$31:$F$400,'Étape 1 - à remplir'!$E$31:$E$400,MASQ2!BV334,'Étape 1 - à remplir'!$G$31:$G$400,"lots"),SUMIFS('Étape 1 - à remplir'!$F$31:$F$400,'Étape 1 - à remplir'!$E$31:$E$400,MASQ2!BV334,'Étape 1 - à remplir'!$C$31:$C$400,CE$3)),IF(CE$2="Âge",IF(CE$3="Tous",SUMIFS('Étape 1 - à remplir'!$F$31:$F$400,'Étape 1 - à remplir'!$E$31:$E$400,MASQ2!BV334,'Étape 1 - à remplir'!$G$31:$G$400,"lots"),SUMIFS('Étape 1 - à remplir'!$F$31:$F$400,'Étape 1 - à remplir'!$E$31:$E$400,MASQ2!BV334,'Étape 1 - à remplir'!$P$31:$P$400,CE$3,'Étape 1 - à remplir'!$G$31:$G$400,"lots")),IF(CE$2="Atelier",IF(CE$3="Tous",SUMIFS('Étape 1 - à remplir'!$F$31:$F$400,'Étape 1 - à remplir'!$E$31:$E$400,MASQ2!BV334,'Étape 1 - à remplir'!$G$31:$G$400,"lots"),SUMIFS('Étape 1 - à remplir'!$F$31:$F$400,'Étape 1 - à remplir'!$E$31:$E$400,MASQ2!BV334,'Étape 1 - à remplir'!$O$31:$O$400,CE$3,'Étape 1 - à remplir'!$G$31:$G$400,"lots")),IF(CE$2="Espèce",IF(CE$3="Toutes",SUMIFS('Étape 1 - à remplir'!$F$31:$F$400,'Étape 1 - à remplir'!$E$31:$E$400,MASQ2!BV334,'Étape 1 - à remplir'!$G$31:$G$400,"lots"),SUMIFS('Étape 1 - à remplir'!$F$31:$F$400,'Étape 1 - à remplir'!$E$31:$E$400,MASQ2!BV334,'Étape 1 - à remplir'!$N$31:$N$400,CE$3,'Étape 1 - à remplir'!$G$31:$G$400,"lots")))))))</f>
        <v>#N/A</v>
      </c>
      <c r="BX334">
        <f t="shared" si="258"/>
        <v>0</v>
      </c>
      <c r="BY334" t="str">
        <f t="shared" si="242"/>
        <v>Florfénicol</v>
      </c>
      <c r="BZ334" t="str">
        <f t="shared" si="243"/>
        <v/>
      </c>
      <c r="CA334" t="str">
        <f t="shared" si="244"/>
        <v/>
      </c>
      <c r="CB334" t="str">
        <f t="shared" si="245"/>
        <v>Phenicoles</v>
      </c>
      <c r="CC334" t="str">
        <f t="shared" si="246"/>
        <v/>
      </c>
      <c r="CD334" s="63" t="str">
        <f t="shared" si="247"/>
        <v/>
      </c>
      <c r="CG334" s="42">
        <v>331</v>
      </c>
      <c r="CH334" s="42" t="e">
        <f t="shared" si="238"/>
        <v>#N/A</v>
      </c>
      <c r="CI334" s="63" t="e">
        <f t="shared" si="239"/>
        <v>#N/A</v>
      </c>
      <c r="DM334" s="63"/>
      <c r="EA334" s="194" t="str">
        <f t="shared" ca="1" si="248"/>
        <v/>
      </c>
      <c r="EB334" s="226" t="str">
        <f>IFERROR(IF(ED334=0,"",COUNTIF(ED$4:ED$600,"&gt;"&amp;ED334)+COUNTIF(ED$4:ED334,ED334)),"")</f>
        <v/>
      </c>
      <c r="EC334" t="str">
        <f t="shared" si="249"/>
        <v>NUFLOR 300 MG/ML SOLUTION INJECTABLE POUR BOVINS ET OVINS</v>
      </c>
      <c r="ED334" t="e">
        <f>IF(IF(EL$2="Catégorie",IF(EL$3="Toutes",SUMIFS('Étape 1 - à remplir'!$F$31:$F$400,'Étape 1 - à remplir'!$E$31:$E$400,MASQ2!EC334,'Étape 1 - à remplir'!$G$31:$G$400,"kg"),SUMIFS('Étape 1 - à remplir'!$F$31:$F$400,'Étape 1 - à remplir'!$E$31:$E$400,MASQ2!EC334,'Étape 1 - à remplir'!$C$31:$C$400,EL$3)),IF(EL$2="Âge",IF(EL$3="Tous",SUMIFS('Étape 1 - à remplir'!$F$31:$F$400,'Étape 1 - à remplir'!$E$31:$E$400,MASQ2!EC334,'Étape 1 - à remplir'!$G$31:$G$400,"kg"),SUMIFS('Étape 1 - à remplir'!$F$31:$F$400,'Étape 1 - à remplir'!$E$31:$E$400,MASQ2!EC334,'Étape 1 - à remplir'!$P$31:$P$400,EL$3,'Étape 1 - à remplir'!$G$31:$G$400,"kg")),IF(EL$2="Atelier",IF(EL$3="Tous",SUMIFS('Étape 1 - à remplir'!$F$31:$F$400,'Étape 1 - à remplir'!$E$31:$E$400,MASQ2!EC334,'Étape 1 - à remplir'!$G$31:$G$400,"kg"),SUMIFS('Étape 1 - à remplir'!$F$31:$F$400,'Étape 1 - à remplir'!$E$31:$E$400,MASQ2!EC334,'Étape 1 - à remplir'!$O$31:$O$400,EL$3,'Étape 1 - à remplir'!$G$31:$G$400,"kg")),IF(EL$2="Espèce",IF(EL$3="Toutes",SUMIFS('Étape 1 - à remplir'!$F$31:$F$400,'Étape 1 - à remplir'!$E$31:$E$400,MASQ2!EC334,'Étape 1 - à remplir'!$G$31:$G$400,"kg"),SUMIFS('Étape 1 - à remplir'!$F$31:$F$400,'Étape 1 - à remplir'!$E$31:$E$400,MASQ2!EC334,'Étape 1 - à remplir'!$N$31:$N$400,EL$3,'Étape 1 - à remplir'!$G$31:$G$400,"kg"))))))=0,NA(),IF(EL$2="Catégorie",IF(EL$3="Toutes",SUMIFS('Étape 1 - à remplir'!$F$31:$F$400,'Étape 1 - à remplir'!$E$31:$E$400,MASQ2!EC334,'Étape 1 - à remplir'!$G$31:$G$400,"kg"),SUMIFS('Étape 1 - à remplir'!$F$31:$F$400,'Étape 1 - à remplir'!$E$31:$E$400,MASQ2!EC334,'Étape 1 - à remplir'!$C$31:$C$400,EL$3)),IF(EL$2="Âge",IF(EL$3="Tous",SUMIFS('Étape 1 - à remplir'!$F$31:$F$400,'Étape 1 - à remplir'!$E$31:$E$400,MASQ2!EC334,'Étape 1 - à remplir'!$G$31:$G$400,"kg"),SUMIFS('Étape 1 - à remplir'!$F$31:$F$400,'Étape 1 - à remplir'!$E$31:$E$400,MASQ2!EC334,'Étape 1 - à remplir'!$P$31:$P$400,EL$3,'Étape 1 - à remplir'!$G$31:$G$400,"kg")),IF(EL$2="Atelier",IF(EL$3="Tous",SUMIFS('Étape 1 - à remplir'!$F$31:$F$400,'Étape 1 - à remplir'!$E$31:$E$400,MASQ2!EC334,'Étape 1 - à remplir'!$G$31:$G$400,"kg"),SUMIFS('Étape 1 - à remplir'!$F$31:$F$400,'Étape 1 - à remplir'!$E$31:$E$400,MASQ2!EC334,'Étape 1 - à remplir'!$O$31:$O$400,EL$3,'Étape 1 - à remplir'!$G$31:$G$400,"kg")),IF(EL$2="Espèce",IF(EL$3="Toutes",SUMIFS('Étape 1 - à remplir'!$F$31:$F$400,'Étape 1 - à remplir'!$E$31:$E$400,MASQ2!EC334,'Étape 1 - à remplir'!$G$31:$G$400,"kg"),SUMIFS('Étape 1 - à remplir'!$F$31:$F$400,'Étape 1 - à remplir'!$E$31:$E$400,MASQ2!EC334,'Étape 1 - à remplir'!$N$31:$N$400,EL$3,'Étape 1 - à remplir'!$G$31:$G$400,"kg")))))))</f>
        <v>#N/A</v>
      </c>
      <c r="EE334" s="76">
        <f t="shared" si="259"/>
        <v>0</v>
      </c>
      <c r="EF334" t="str">
        <f t="shared" si="250"/>
        <v>Florfénicol</v>
      </c>
      <c r="EG334" t="str">
        <f t="shared" si="251"/>
        <v/>
      </c>
      <c r="EH334" t="str">
        <f t="shared" si="252"/>
        <v/>
      </c>
      <c r="EI334" t="str">
        <f t="shared" si="253"/>
        <v>Phenicoles</v>
      </c>
      <c r="EJ334" t="str">
        <f t="shared" si="254"/>
        <v/>
      </c>
      <c r="EK334" s="63" t="str">
        <f t="shared" si="255"/>
        <v/>
      </c>
      <c r="EN334" s="42">
        <v>331</v>
      </c>
      <c r="EO334" t="e">
        <f t="shared" si="261"/>
        <v>#N/A</v>
      </c>
      <c r="EP334" s="63" t="e">
        <f t="shared" si="262"/>
        <v>#N/A</v>
      </c>
      <c r="FT334" s="63"/>
    </row>
    <row r="335" spans="2:176" x14ac:dyDescent="0.3">
      <c r="B335" s="42"/>
      <c r="M335" s="194" t="str">
        <f ca="1">INDEX(Données_ATB!BD:BU,MATCH(MASQ2!O335,Données_ATB!BD:BD,0),18)</f>
        <v/>
      </c>
      <c r="N335" s="14" t="str">
        <f>IFERROR(IF(Q335=0,"",COUNTIF(Q$4:Q$600,"&gt;"&amp;Q335)+COUNTIF(Q$4:Q335,Q335)),"")</f>
        <v/>
      </c>
      <c r="O335" t="str">
        <f>Données_ATB!BD334</f>
        <v>NUFLOR 450 SOLUTION INJECTABLE POUR BOVINS</v>
      </c>
      <c r="P335" t="e">
        <f>IF(IF(X$2="Catégorie",IF(X$3="Toutes",SUMIFS('Étape 1 - à remplir'!$F$31:$F$400,'Étape 1 - à remplir'!$E$31:$E$400,MASQ2!O335,'Étape 1 - à remplir'!$G$31:$G$400,"animaux"),SUMIFS('Étape 1 - à remplir'!$F$31:$F$400,'Étape 1 - à remplir'!$E$31:$E$400,MASQ2!O335,'Étape 1 - à remplir'!$C$31:$C$400,X$3)),IF(X$2="Âge",IF(X$3="Tous",SUMIFS('Étape 1 - à remplir'!$F$31:$F$400,'Étape 1 - à remplir'!$E$31:$E$400,MASQ2!O335,'Étape 1 - à remplir'!$G$31:$G$400,"animaux"),SUMIFS('Étape 1 - à remplir'!$F$31:$F$400,'Étape 1 - à remplir'!$E$31:$E$400,MASQ2!O335,'Étape 1 - à remplir'!$P$31:$P$400,X$3)),IF(X$2="Atelier",IF(X$3="Tous",SUMIFS('Étape 1 - à remplir'!$F$31:$F$400,'Étape 1 - à remplir'!$E$31:$E$400,MASQ2!O335,'Étape 1 - à remplir'!$G$31:$G$400,"animaux"),SUMIFS('Étape 1 - à remplir'!$F$31:$F$400,'Étape 1 - à remplir'!$E$31:$E$400,MASQ2!O335,'Étape 1 - à remplir'!$O$31:$O$400,X$3)),IF(X$2="Espèce",IF(X$3="Toutes",SUMIFS('Étape 1 - à remplir'!$F$31:$F$400,'Étape 1 - à remplir'!$E$31:$E$400,MASQ2!O335,'Étape 1 - à remplir'!$G$31:$G$400,"animaux"),SUMIFS('Étape 1 - à remplir'!$F$31:$F$400,'Étape 1 - à remplir'!$E$31:$E$400,MASQ2!O335,'Étape 1 - à remplir'!$N$31:$N$400,X$3))))))=0,NA(),IF(X$2="Catégorie",IF(X$3="Toutes",SUMIFS('Étape 1 - à remplir'!$F$31:$F$400,'Étape 1 - à remplir'!$E$31:$E$400,MASQ2!O335,'Étape 1 - à remplir'!$G$31:$G$400,"animaux"),SUMIFS('Étape 1 - à remplir'!$F$31:$F$400,'Étape 1 - à remplir'!$E$31:$E$400,MASQ2!O335,'Étape 1 - à remplir'!$C$31:$C$400,X$3)),IF(X$2="Âge",IF(X$3="Tous",SUMIFS('Étape 1 - à remplir'!$F$31:$F$400,'Étape 1 - à remplir'!$E$31:$E$400,MASQ2!O335,'Étape 1 - à remplir'!$G$31:$G$400,"animaux"),SUMIFS('Étape 1 - à remplir'!$F$31:$F$400,'Étape 1 - à remplir'!$E$31:$E$400,MASQ2!O335,'Étape 1 - à remplir'!$P$31:$P$400,X$3)),IF(X$2="Atelier",IF(X$3="Tous",SUMIFS('Étape 1 - à remplir'!$F$31:$F$400,'Étape 1 - à remplir'!$E$31:$E$400,MASQ2!O335,'Étape 1 - à remplir'!$G$31:$G$400,"animaux"),SUMIFS('Étape 1 - à remplir'!$F$31:$F$400,'Étape 1 - à remplir'!$E$31:$E$400,MASQ2!O335,'Étape 1 - à remplir'!$O$31:$O$400,X$3)),IF(X$2="Espèce",IF(X$3="Toutes",SUMIFS('Étape 1 - à remplir'!$F$31:$F$400,'Étape 1 - à remplir'!$E$31:$E$400,MASQ2!O335,'Étape 1 - à remplir'!$G$31:$G$400,"animaux"),SUMIFS('Étape 1 - à remplir'!$F$31:$F$400,'Étape 1 - à remplir'!$E$31:$E$400,MASQ2!O335,'Étape 1 - à remplir'!$N$31:$N$400,X$3)))))))</f>
        <v>#N/A</v>
      </c>
      <c r="Q335" s="63">
        <f t="shared" si="260"/>
        <v>0</v>
      </c>
      <c r="R335" t="str">
        <f>Données_ATB!BM334</f>
        <v>Florfénicol</v>
      </c>
      <c r="S335" t="str">
        <f>Données_ATB!BN334</f>
        <v/>
      </c>
      <c r="T335" s="63" t="str">
        <f>Données_ATB!BO334</f>
        <v/>
      </c>
      <c r="U335" s="42" t="str">
        <f>Données_ATB!BQ334</f>
        <v>Phenicoles</v>
      </c>
      <c r="V335" t="str">
        <f>Données_ATB!BR334</f>
        <v/>
      </c>
      <c r="W335" s="63" t="str">
        <f>Données_ATB!BS334</f>
        <v/>
      </c>
      <c r="Z335" s="42">
        <v>332</v>
      </c>
      <c r="AA335" t="e">
        <f t="shared" si="256"/>
        <v>#N/A</v>
      </c>
      <c r="AB335" s="63" t="e">
        <f t="shared" si="257"/>
        <v>#N/A</v>
      </c>
      <c r="BF335" s="63"/>
      <c r="BT335" s="194" t="str">
        <f t="shared" ca="1" si="240"/>
        <v/>
      </c>
      <c r="BU335" s="219" t="str">
        <f>IFERROR(IF(BX335=0,"",COUNTIF(BX$4:BX$600,"&gt;"&amp;BX335)+COUNTIF(BX$4:BX335,BX335)),"")</f>
        <v/>
      </c>
      <c r="BV335" s="42" t="str">
        <f t="shared" si="241"/>
        <v>NUFLOR 450 SOLUTION INJECTABLE POUR BOVINS</v>
      </c>
      <c r="BW335" t="e">
        <f>IF(IF(CE$2="Catégorie",IF(CE$3="Toutes",SUMIFS('Étape 1 - à remplir'!$F$31:$F$400,'Étape 1 - à remplir'!$E$31:$E$400,MASQ2!BV335,'Étape 1 - à remplir'!$G$31:$G$400,"lots"),SUMIFS('Étape 1 - à remplir'!$F$31:$F$400,'Étape 1 - à remplir'!$E$31:$E$400,MASQ2!BV335,'Étape 1 - à remplir'!$C$31:$C$400,CE$3)),IF(CE$2="Âge",IF(CE$3="Tous",SUMIFS('Étape 1 - à remplir'!$F$31:$F$400,'Étape 1 - à remplir'!$E$31:$E$400,MASQ2!BV335,'Étape 1 - à remplir'!$G$31:$G$400,"lots"),SUMIFS('Étape 1 - à remplir'!$F$31:$F$400,'Étape 1 - à remplir'!$E$31:$E$400,MASQ2!BV335,'Étape 1 - à remplir'!$P$31:$P$400,CE$3,'Étape 1 - à remplir'!$G$31:$G$400,"lots")),IF(CE$2="Atelier",IF(CE$3="Tous",SUMIFS('Étape 1 - à remplir'!$F$31:$F$400,'Étape 1 - à remplir'!$E$31:$E$400,MASQ2!BV335,'Étape 1 - à remplir'!$G$31:$G$400,"lots"),SUMIFS('Étape 1 - à remplir'!$F$31:$F$400,'Étape 1 - à remplir'!$E$31:$E$400,MASQ2!BV335,'Étape 1 - à remplir'!$O$31:$O$400,CE$3,'Étape 1 - à remplir'!$G$31:$G$400,"lots")),IF(CE$2="Espèce",IF(CE$3="Toutes",SUMIFS('Étape 1 - à remplir'!$F$31:$F$400,'Étape 1 - à remplir'!$E$31:$E$400,MASQ2!BV335,'Étape 1 - à remplir'!$G$31:$G$400,"lots"),SUMIFS('Étape 1 - à remplir'!$F$31:$F$400,'Étape 1 - à remplir'!$E$31:$E$400,MASQ2!BV335,'Étape 1 - à remplir'!$N$31:$N$400,CE$3,'Étape 1 - à remplir'!$G$31:$G$400,"lots"))))))=0,NA(),IF(CE$2="Catégorie",IF(CE$3="Toutes",SUMIFS('Étape 1 - à remplir'!$F$31:$F$400,'Étape 1 - à remplir'!$E$31:$E$400,MASQ2!BV335,'Étape 1 - à remplir'!$G$31:$G$400,"lots"),SUMIFS('Étape 1 - à remplir'!$F$31:$F$400,'Étape 1 - à remplir'!$E$31:$E$400,MASQ2!BV335,'Étape 1 - à remplir'!$C$31:$C$400,CE$3)),IF(CE$2="Âge",IF(CE$3="Tous",SUMIFS('Étape 1 - à remplir'!$F$31:$F$400,'Étape 1 - à remplir'!$E$31:$E$400,MASQ2!BV335,'Étape 1 - à remplir'!$G$31:$G$400,"lots"),SUMIFS('Étape 1 - à remplir'!$F$31:$F$400,'Étape 1 - à remplir'!$E$31:$E$400,MASQ2!BV335,'Étape 1 - à remplir'!$P$31:$P$400,CE$3,'Étape 1 - à remplir'!$G$31:$G$400,"lots")),IF(CE$2="Atelier",IF(CE$3="Tous",SUMIFS('Étape 1 - à remplir'!$F$31:$F$400,'Étape 1 - à remplir'!$E$31:$E$400,MASQ2!BV335,'Étape 1 - à remplir'!$G$31:$G$400,"lots"),SUMIFS('Étape 1 - à remplir'!$F$31:$F$400,'Étape 1 - à remplir'!$E$31:$E$400,MASQ2!BV335,'Étape 1 - à remplir'!$O$31:$O$400,CE$3,'Étape 1 - à remplir'!$G$31:$G$400,"lots")),IF(CE$2="Espèce",IF(CE$3="Toutes",SUMIFS('Étape 1 - à remplir'!$F$31:$F$400,'Étape 1 - à remplir'!$E$31:$E$400,MASQ2!BV335,'Étape 1 - à remplir'!$G$31:$G$400,"lots"),SUMIFS('Étape 1 - à remplir'!$F$31:$F$400,'Étape 1 - à remplir'!$E$31:$E$400,MASQ2!BV335,'Étape 1 - à remplir'!$N$31:$N$400,CE$3,'Étape 1 - à remplir'!$G$31:$G$400,"lots")))))))</f>
        <v>#N/A</v>
      </c>
      <c r="BX335">
        <f t="shared" si="258"/>
        <v>0</v>
      </c>
      <c r="BY335" t="str">
        <f t="shared" si="242"/>
        <v>Florfénicol</v>
      </c>
      <c r="BZ335" t="str">
        <f t="shared" si="243"/>
        <v/>
      </c>
      <c r="CA335" t="str">
        <f t="shared" si="244"/>
        <v/>
      </c>
      <c r="CB335" t="str">
        <f t="shared" si="245"/>
        <v>Phenicoles</v>
      </c>
      <c r="CC335" t="str">
        <f t="shared" si="246"/>
        <v/>
      </c>
      <c r="CD335" s="63" t="str">
        <f t="shared" si="247"/>
        <v/>
      </c>
      <c r="CG335" s="42">
        <v>332</v>
      </c>
      <c r="CH335" s="42" t="e">
        <f t="shared" si="238"/>
        <v>#N/A</v>
      </c>
      <c r="CI335" s="63" t="e">
        <f t="shared" si="239"/>
        <v>#N/A</v>
      </c>
      <c r="DM335" s="63"/>
      <c r="EA335" s="194" t="str">
        <f t="shared" ca="1" si="248"/>
        <v/>
      </c>
      <c r="EB335" s="226" t="str">
        <f>IFERROR(IF(ED335=0,"",COUNTIF(ED$4:ED$600,"&gt;"&amp;ED335)+COUNTIF(ED$4:ED335,ED335)),"")</f>
        <v/>
      </c>
      <c r="EC335" t="str">
        <f t="shared" si="249"/>
        <v>NUFLOR 450 SOLUTION INJECTABLE POUR BOVINS</v>
      </c>
      <c r="ED335" t="e">
        <f>IF(IF(EL$2="Catégorie",IF(EL$3="Toutes",SUMIFS('Étape 1 - à remplir'!$F$31:$F$400,'Étape 1 - à remplir'!$E$31:$E$400,MASQ2!EC335,'Étape 1 - à remplir'!$G$31:$G$400,"kg"),SUMIFS('Étape 1 - à remplir'!$F$31:$F$400,'Étape 1 - à remplir'!$E$31:$E$400,MASQ2!EC335,'Étape 1 - à remplir'!$C$31:$C$400,EL$3)),IF(EL$2="Âge",IF(EL$3="Tous",SUMIFS('Étape 1 - à remplir'!$F$31:$F$400,'Étape 1 - à remplir'!$E$31:$E$400,MASQ2!EC335,'Étape 1 - à remplir'!$G$31:$G$400,"kg"),SUMIFS('Étape 1 - à remplir'!$F$31:$F$400,'Étape 1 - à remplir'!$E$31:$E$400,MASQ2!EC335,'Étape 1 - à remplir'!$P$31:$P$400,EL$3,'Étape 1 - à remplir'!$G$31:$G$400,"kg")),IF(EL$2="Atelier",IF(EL$3="Tous",SUMIFS('Étape 1 - à remplir'!$F$31:$F$400,'Étape 1 - à remplir'!$E$31:$E$400,MASQ2!EC335,'Étape 1 - à remplir'!$G$31:$G$400,"kg"),SUMIFS('Étape 1 - à remplir'!$F$31:$F$400,'Étape 1 - à remplir'!$E$31:$E$400,MASQ2!EC335,'Étape 1 - à remplir'!$O$31:$O$400,EL$3,'Étape 1 - à remplir'!$G$31:$G$400,"kg")),IF(EL$2="Espèce",IF(EL$3="Toutes",SUMIFS('Étape 1 - à remplir'!$F$31:$F$400,'Étape 1 - à remplir'!$E$31:$E$400,MASQ2!EC335,'Étape 1 - à remplir'!$G$31:$G$400,"kg"),SUMIFS('Étape 1 - à remplir'!$F$31:$F$400,'Étape 1 - à remplir'!$E$31:$E$400,MASQ2!EC335,'Étape 1 - à remplir'!$N$31:$N$400,EL$3,'Étape 1 - à remplir'!$G$31:$G$400,"kg"))))))=0,NA(),IF(EL$2="Catégorie",IF(EL$3="Toutes",SUMIFS('Étape 1 - à remplir'!$F$31:$F$400,'Étape 1 - à remplir'!$E$31:$E$400,MASQ2!EC335,'Étape 1 - à remplir'!$G$31:$G$400,"kg"),SUMIFS('Étape 1 - à remplir'!$F$31:$F$400,'Étape 1 - à remplir'!$E$31:$E$400,MASQ2!EC335,'Étape 1 - à remplir'!$C$31:$C$400,EL$3)),IF(EL$2="Âge",IF(EL$3="Tous",SUMIFS('Étape 1 - à remplir'!$F$31:$F$400,'Étape 1 - à remplir'!$E$31:$E$400,MASQ2!EC335,'Étape 1 - à remplir'!$G$31:$G$400,"kg"),SUMIFS('Étape 1 - à remplir'!$F$31:$F$400,'Étape 1 - à remplir'!$E$31:$E$400,MASQ2!EC335,'Étape 1 - à remplir'!$P$31:$P$400,EL$3,'Étape 1 - à remplir'!$G$31:$G$400,"kg")),IF(EL$2="Atelier",IF(EL$3="Tous",SUMIFS('Étape 1 - à remplir'!$F$31:$F$400,'Étape 1 - à remplir'!$E$31:$E$400,MASQ2!EC335,'Étape 1 - à remplir'!$G$31:$G$400,"kg"),SUMIFS('Étape 1 - à remplir'!$F$31:$F$400,'Étape 1 - à remplir'!$E$31:$E$400,MASQ2!EC335,'Étape 1 - à remplir'!$O$31:$O$400,EL$3,'Étape 1 - à remplir'!$G$31:$G$400,"kg")),IF(EL$2="Espèce",IF(EL$3="Toutes",SUMIFS('Étape 1 - à remplir'!$F$31:$F$400,'Étape 1 - à remplir'!$E$31:$E$400,MASQ2!EC335,'Étape 1 - à remplir'!$G$31:$G$400,"kg"),SUMIFS('Étape 1 - à remplir'!$F$31:$F$400,'Étape 1 - à remplir'!$E$31:$E$400,MASQ2!EC335,'Étape 1 - à remplir'!$N$31:$N$400,EL$3,'Étape 1 - à remplir'!$G$31:$G$400,"kg")))))))</f>
        <v>#N/A</v>
      </c>
      <c r="EE335" s="76">
        <f t="shared" si="259"/>
        <v>0</v>
      </c>
      <c r="EF335" t="str">
        <f t="shared" si="250"/>
        <v>Florfénicol</v>
      </c>
      <c r="EG335" t="str">
        <f t="shared" si="251"/>
        <v/>
      </c>
      <c r="EH335" t="str">
        <f t="shared" si="252"/>
        <v/>
      </c>
      <c r="EI335" t="str">
        <f t="shared" si="253"/>
        <v>Phenicoles</v>
      </c>
      <c r="EJ335" t="str">
        <f t="shared" si="254"/>
        <v/>
      </c>
      <c r="EK335" s="63" t="str">
        <f t="shared" si="255"/>
        <v/>
      </c>
      <c r="EN335" s="42">
        <v>332</v>
      </c>
      <c r="EO335" t="e">
        <f t="shared" si="261"/>
        <v>#N/A</v>
      </c>
      <c r="EP335" s="63" t="e">
        <f t="shared" si="262"/>
        <v>#N/A</v>
      </c>
      <c r="FT335" s="63"/>
    </row>
    <row r="336" spans="2:176" x14ac:dyDescent="0.3">
      <c r="B336" s="42"/>
      <c r="M336" s="194" t="str">
        <f ca="1">INDEX(Données_ATB!BD:BU,MATCH(MASQ2!O336,Données_ATB!BD:BD,0),18)</f>
        <v/>
      </c>
      <c r="N336" s="14" t="str">
        <f>IFERROR(IF(Q336=0,"",COUNTIF(Q$4:Q$600,"&gt;"&amp;Q336)+COUNTIF(Q$4:Q336,Q336)),"")</f>
        <v/>
      </c>
      <c r="O336" t="str">
        <f>Données_ATB!BD335</f>
        <v>NUFLOR MONO SOLUTION INJECTABLE 450 MG/ML POUR PORCINS</v>
      </c>
      <c r="P336" t="e">
        <f>IF(IF(X$2="Catégorie",IF(X$3="Toutes",SUMIFS('Étape 1 - à remplir'!$F$31:$F$400,'Étape 1 - à remplir'!$E$31:$E$400,MASQ2!O336,'Étape 1 - à remplir'!$G$31:$G$400,"animaux"),SUMIFS('Étape 1 - à remplir'!$F$31:$F$400,'Étape 1 - à remplir'!$E$31:$E$400,MASQ2!O336,'Étape 1 - à remplir'!$C$31:$C$400,X$3)),IF(X$2="Âge",IF(X$3="Tous",SUMIFS('Étape 1 - à remplir'!$F$31:$F$400,'Étape 1 - à remplir'!$E$31:$E$400,MASQ2!O336,'Étape 1 - à remplir'!$G$31:$G$400,"animaux"),SUMIFS('Étape 1 - à remplir'!$F$31:$F$400,'Étape 1 - à remplir'!$E$31:$E$400,MASQ2!O336,'Étape 1 - à remplir'!$P$31:$P$400,X$3)),IF(X$2="Atelier",IF(X$3="Tous",SUMIFS('Étape 1 - à remplir'!$F$31:$F$400,'Étape 1 - à remplir'!$E$31:$E$400,MASQ2!O336,'Étape 1 - à remplir'!$G$31:$G$400,"animaux"),SUMIFS('Étape 1 - à remplir'!$F$31:$F$400,'Étape 1 - à remplir'!$E$31:$E$400,MASQ2!O336,'Étape 1 - à remplir'!$O$31:$O$400,X$3)),IF(X$2="Espèce",IF(X$3="Toutes",SUMIFS('Étape 1 - à remplir'!$F$31:$F$400,'Étape 1 - à remplir'!$E$31:$E$400,MASQ2!O336,'Étape 1 - à remplir'!$G$31:$G$400,"animaux"),SUMIFS('Étape 1 - à remplir'!$F$31:$F$400,'Étape 1 - à remplir'!$E$31:$E$400,MASQ2!O336,'Étape 1 - à remplir'!$N$31:$N$400,X$3))))))=0,NA(),IF(X$2="Catégorie",IF(X$3="Toutes",SUMIFS('Étape 1 - à remplir'!$F$31:$F$400,'Étape 1 - à remplir'!$E$31:$E$400,MASQ2!O336,'Étape 1 - à remplir'!$G$31:$G$400,"animaux"),SUMIFS('Étape 1 - à remplir'!$F$31:$F$400,'Étape 1 - à remplir'!$E$31:$E$400,MASQ2!O336,'Étape 1 - à remplir'!$C$31:$C$400,X$3)),IF(X$2="Âge",IF(X$3="Tous",SUMIFS('Étape 1 - à remplir'!$F$31:$F$400,'Étape 1 - à remplir'!$E$31:$E$400,MASQ2!O336,'Étape 1 - à remplir'!$G$31:$G$400,"animaux"),SUMIFS('Étape 1 - à remplir'!$F$31:$F$400,'Étape 1 - à remplir'!$E$31:$E$400,MASQ2!O336,'Étape 1 - à remplir'!$P$31:$P$400,X$3)),IF(X$2="Atelier",IF(X$3="Tous",SUMIFS('Étape 1 - à remplir'!$F$31:$F$400,'Étape 1 - à remplir'!$E$31:$E$400,MASQ2!O336,'Étape 1 - à remplir'!$G$31:$G$400,"animaux"),SUMIFS('Étape 1 - à remplir'!$F$31:$F$400,'Étape 1 - à remplir'!$E$31:$E$400,MASQ2!O336,'Étape 1 - à remplir'!$O$31:$O$400,X$3)),IF(X$2="Espèce",IF(X$3="Toutes",SUMIFS('Étape 1 - à remplir'!$F$31:$F$400,'Étape 1 - à remplir'!$E$31:$E$400,MASQ2!O336,'Étape 1 - à remplir'!$G$31:$G$400,"animaux"),SUMIFS('Étape 1 - à remplir'!$F$31:$F$400,'Étape 1 - à remplir'!$E$31:$E$400,MASQ2!O336,'Étape 1 - à remplir'!$N$31:$N$400,X$3)))))))</f>
        <v>#N/A</v>
      </c>
      <c r="Q336" s="63">
        <f t="shared" si="260"/>
        <v>0</v>
      </c>
      <c r="R336" t="str">
        <f>Données_ATB!BM335</f>
        <v>Florfénicol</v>
      </c>
      <c r="S336" t="str">
        <f>Données_ATB!BN335</f>
        <v/>
      </c>
      <c r="T336" s="63" t="str">
        <f>Données_ATB!BO335</f>
        <v/>
      </c>
      <c r="U336" s="42" t="str">
        <f>Données_ATB!BQ335</f>
        <v>Phenicoles</v>
      </c>
      <c r="V336" t="str">
        <f>Données_ATB!BR335</f>
        <v/>
      </c>
      <c r="W336" s="63" t="str">
        <f>Données_ATB!BS335</f>
        <v/>
      </c>
      <c r="Z336" s="42">
        <v>333</v>
      </c>
      <c r="AA336" t="e">
        <f t="shared" si="256"/>
        <v>#N/A</v>
      </c>
      <c r="AB336" s="63" t="e">
        <f t="shared" si="257"/>
        <v>#N/A</v>
      </c>
      <c r="BF336" s="63"/>
      <c r="BT336" s="194" t="str">
        <f t="shared" ca="1" si="240"/>
        <v/>
      </c>
      <c r="BU336" s="219" t="str">
        <f>IFERROR(IF(BX336=0,"",COUNTIF(BX$4:BX$600,"&gt;"&amp;BX336)+COUNTIF(BX$4:BX336,BX336)),"")</f>
        <v/>
      </c>
      <c r="BV336" s="42" t="str">
        <f t="shared" si="241"/>
        <v>NUFLOR MONO SOLUTION INJECTABLE 450 MG/ML POUR PORCINS</v>
      </c>
      <c r="BW336" t="e">
        <f>IF(IF(CE$2="Catégorie",IF(CE$3="Toutes",SUMIFS('Étape 1 - à remplir'!$F$31:$F$400,'Étape 1 - à remplir'!$E$31:$E$400,MASQ2!BV336,'Étape 1 - à remplir'!$G$31:$G$400,"lots"),SUMIFS('Étape 1 - à remplir'!$F$31:$F$400,'Étape 1 - à remplir'!$E$31:$E$400,MASQ2!BV336,'Étape 1 - à remplir'!$C$31:$C$400,CE$3)),IF(CE$2="Âge",IF(CE$3="Tous",SUMIFS('Étape 1 - à remplir'!$F$31:$F$400,'Étape 1 - à remplir'!$E$31:$E$400,MASQ2!BV336,'Étape 1 - à remplir'!$G$31:$G$400,"lots"),SUMIFS('Étape 1 - à remplir'!$F$31:$F$400,'Étape 1 - à remplir'!$E$31:$E$400,MASQ2!BV336,'Étape 1 - à remplir'!$P$31:$P$400,CE$3,'Étape 1 - à remplir'!$G$31:$G$400,"lots")),IF(CE$2="Atelier",IF(CE$3="Tous",SUMIFS('Étape 1 - à remplir'!$F$31:$F$400,'Étape 1 - à remplir'!$E$31:$E$400,MASQ2!BV336,'Étape 1 - à remplir'!$G$31:$G$400,"lots"),SUMIFS('Étape 1 - à remplir'!$F$31:$F$400,'Étape 1 - à remplir'!$E$31:$E$400,MASQ2!BV336,'Étape 1 - à remplir'!$O$31:$O$400,CE$3,'Étape 1 - à remplir'!$G$31:$G$400,"lots")),IF(CE$2="Espèce",IF(CE$3="Toutes",SUMIFS('Étape 1 - à remplir'!$F$31:$F$400,'Étape 1 - à remplir'!$E$31:$E$400,MASQ2!BV336,'Étape 1 - à remplir'!$G$31:$G$400,"lots"),SUMIFS('Étape 1 - à remplir'!$F$31:$F$400,'Étape 1 - à remplir'!$E$31:$E$400,MASQ2!BV336,'Étape 1 - à remplir'!$N$31:$N$400,CE$3,'Étape 1 - à remplir'!$G$31:$G$400,"lots"))))))=0,NA(),IF(CE$2="Catégorie",IF(CE$3="Toutes",SUMIFS('Étape 1 - à remplir'!$F$31:$F$400,'Étape 1 - à remplir'!$E$31:$E$400,MASQ2!BV336,'Étape 1 - à remplir'!$G$31:$G$400,"lots"),SUMIFS('Étape 1 - à remplir'!$F$31:$F$400,'Étape 1 - à remplir'!$E$31:$E$400,MASQ2!BV336,'Étape 1 - à remplir'!$C$31:$C$400,CE$3)),IF(CE$2="Âge",IF(CE$3="Tous",SUMIFS('Étape 1 - à remplir'!$F$31:$F$400,'Étape 1 - à remplir'!$E$31:$E$400,MASQ2!BV336,'Étape 1 - à remplir'!$G$31:$G$400,"lots"),SUMIFS('Étape 1 - à remplir'!$F$31:$F$400,'Étape 1 - à remplir'!$E$31:$E$400,MASQ2!BV336,'Étape 1 - à remplir'!$P$31:$P$400,CE$3,'Étape 1 - à remplir'!$G$31:$G$400,"lots")),IF(CE$2="Atelier",IF(CE$3="Tous",SUMIFS('Étape 1 - à remplir'!$F$31:$F$400,'Étape 1 - à remplir'!$E$31:$E$400,MASQ2!BV336,'Étape 1 - à remplir'!$G$31:$G$400,"lots"),SUMIFS('Étape 1 - à remplir'!$F$31:$F$400,'Étape 1 - à remplir'!$E$31:$E$400,MASQ2!BV336,'Étape 1 - à remplir'!$O$31:$O$400,CE$3,'Étape 1 - à remplir'!$G$31:$G$400,"lots")),IF(CE$2="Espèce",IF(CE$3="Toutes",SUMIFS('Étape 1 - à remplir'!$F$31:$F$400,'Étape 1 - à remplir'!$E$31:$E$400,MASQ2!BV336,'Étape 1 - à remplir'!$G$31:$G$400,"lots"),SUMIFS('Étape 1 - à remplir'!$F$31:$F$400,'Étape 1 - à remplir'!$E$31:$E$400,MASQ2!BV336,'Étape 1 - à remplir'!$N$31:$N$400,CE$3,'Étape 1 - à remplir'!$G$31:$G$400,"lots")))))))</f>
        <v>#N/A</v>
      </c>
      <c r="BX336">
        <f t="shared" si="258"/>
        <v>0</v>
      </c>
      <c r="BY336" t="str">
        <f t="shared" si="242"/>
        <v>Florfénicol</v>
      </c>
      <c r="BZ336" t="str">
        <f t="shared" si="243"/>
        <v/>
      </c>
      <c r="CA336" t="str">
        <f t="shared" si="244"/>
        <v/>
      </c>
      <c r="CB336" t="str">
        <f t="shared" si="245"/>
        <v>Phenicoles</v>
      </c>
      <c r="CC336" t="str">
        <f t="shared" si="246"/>
        <v/>
      </c>
      <c r="CD336" s="63" t="str">
        <f t="shared" si="247"/>
        <v/>
      </c>
      <c r="CG336" s="42">
        <v>333</v>
      </c>
      <c r="CH336" s="42" t="e">
        <f t="shared" si="238"/>
        <v>#N/A</v>
      </c>
      <c r="CI336" s="63" t="e">
        <f t="shared" si="239"/>
        <v>#N/A</v>
      </c>
      <c r="DM336" s="63"/>
      <c r="EA336" s="194" t="str">
        <f t="shared" ca="1" si="248"/>
        <v/>
      </c>
      <c r="EB336" s="226" t="str">
        <f>IFERROR(IF(ED336=0,"",COUNTIF(ED$4:ED$600,"&gt;"&amp;ED336)+COUNTIF(ED$4:ED336,ED336)),"")</f>
        <v/>
      </c>
      <c r="EC336" t="str">
        <f t="shared" si="249"/>
        <v>NUFLOR MONO SOLUTION INJECTABLE 450 MG/ML POUR PORCINS</v>
      </c>
      <c r="ED336" t="e">
        <f>IF(IF(EL$2="Catégorie",IF(EL$3="Toutes",SUMIFS('Étape 1 - à remplir'!$F$31:$F$400,'Étape 1 - à remplir'!$E$31:$E$400,MASQ2!EC336,'Étape 1 - à remplir'!$G$31:$G$400,"kg"),SUMIFS('Étape 1 - à remplir'!$F$31:$F$400,'Étape 1 - à remplir'!$E$31:$E$400,MASQ2!EC336,'Étape 1 - à remplir'!$C$31:$C$400,EL$3)),IF(EL$2="Âge",IF(EL$3="Tous",SUMIFS('Étape 1 - à remplir'!$F$31:$F$400,'Étape 1 - à remplir'!$E$31:$E$400,MASQ2!EC336,'Étape 1 - à remplir'!$G$31:$G$400,"kg"),SUMIFS('Étape 1 - à remplir'!$F$31:$F$400,'Étape 1 - à remplir'!$E$31:$E$400,MASQ2!EC336,'Étape 1 - à remplir'!$P$31:$P$400,EL$3,'Étape 1 - à remplir'!$G$31:$G$400,"kg")),IF(EL$2="Atelier",IF(EL$3="Tous",SUMIFS('Étape 1 - à remplir'!$F$31:$F$400,'Étape 1 - à remplir'!$E$31:$E$400,MASQ2!EC336,'Étape 1 - à remplir'!$G$31:$G$400,"kg"),SUMIFS('Étape 1 - à remplir'!$F$31:$F$400,'Étape 1 - à remplir'!$E$31:$E$400,MASQ2!EC336,'Étape 1 - à remplir'!$O$31:$O$400,EL$3,'Étape 1 - à remplir'!$G$31:$G$400,"kg")),IF(EL$2="Espèce",IF(EL$3="Toutes",SUMIFS('Étape 1 - à remplir'!$F$31:$F$400,'Étape 1 - à remplir'!$E$31:$E$400,MASQ2!EC336,'Étape 1 - à remplir'!$G$31:$G$400,"kg"),SUMIFS('Étape 1 - à remplir'!$F$31:$F$400,'Étape 1 - à remplir'!$E$31:$E$400,MASQ2!EC336,'Étape 1 - à remplir'!$N$31:$N$400,EL$3,'Étape 1 - à remplir'!$G$31:$G$400,"kg"))))))=0,NA(),IF(EL$2="Catégorie",IF(EL$3="Toutes",SUMIFS('Étape 1 - à remplir'!$F$31:$F$400,'Étape 1 - à remplir'!$E$31:$E$400,MASQ2!EC336,'Étape 1 - à remplir'!$G$31:$G$400,"kg"),SUMIFS('Étape 1 - à remplir'!$F$31:$F$400,'Étape 1 - à remplir'!$E$31:$E$400,MASQ2!EC336,'Étape 1 - à remplir'!$C$31:$C$400,EL$3)),IF(EL$2="Âge",IF(EL$3="Tous",SUMIFS('Étape 1 - à remplir'!$F$31:$F$400,'Étape 1 - à remplir'!$E$31:$E$400,MASQ2!EC336,'Étape 1 - à remplir'!$G$31:$G$400,"kg"),SUMIFS('Étape 1 - à remplir'!$F$31:$F$400,'Étape 1 - à remplir'!$E$31:$E$400,MASQ2!EC336,'Étape 1 - à remplir'!$P$31:$P$400,EL$3,'Étape 1 - à remplir'!$G$31:$G$400,"kg")),IF(EL$2="Atelier",IF(EL$3="Tous",SUMIFS('Étape 1 - à remplir'!$F$31:$F$400,'Étape 1 - à remplir'!$E$31:$E$400,MASQ2!EC336,'Étape 1 - à remplir'!$G$31:$G$400,"kg"),SUMIFS('Étape 1 - à remplir'!$F$31:$F$400,'Étape 1 - à remplir'!$E$31:$E$400,MASQ2!EC336,'Étape 1 - à remplir'!$O$31:$O$400,EL$3,'Étape 1 - à remplir'!$G$31:$G$400,"kg")),IF(EL$2="Espèce",IF(EL$3="Toutes",SUMIFS('Étape 1 - à remplir'!$F$31:$F$400,'Étape 1 - à remplir'!$E$31:$E$400,MASQ2!EC336,'Étape 1 - à remplir'!$G$31:$G$400,"kg"),SUMIFS('Étape 1 - à remplir'!$F$31:$F$400,'Étape 1 - à remplir'!$E$31:$E$400,MASQ2!EC336,'Étape 1 - à remplir'!$N$31:$N$400,EL$3,'Étape 1 - à remplir'!$G$31:$G$400,"kg")))))))</f>
        <v>#N/A</v>
      </c>
      <c r="EE336" s="76">
        <f t="shared" si="259"/>
        <v>0</v>
      </c>
      <c r="EF336" t="str">
        <f t="shared" si="250"/>
        <v>Florfénicol</v>
      </c>
      <c r="EG336" t="str">
        <f t="shared" si="251"/>
        <v/>
      </c>
      <c r="EH336" t="str">
        <f t="shared" si="252"/>
        <v/>
      </c>
      <c r="EI336" t="str">
        <f t="shared" si="253"/>
        <v>Phenicoles</v>
      </c>
      <c r="EJ336" t="str">
        <f t="shared" si="254"/>
        <v/>
      </c>
      <c r="EK336" s="63" t="str">
        <f t="shared" si="255"/>
        <v/>
      </c>
      <c r="EN336" s="42">
        <v>333</v>
      </c>
      <c r="EO336" t="e">
        <f t="shared" si="261"/>
        <v>#N/A</v>
      </c>
      <c r="EP336" s="63" t="e">
        <f t="shared" si="262"/>
        <v>#N/A</v>
      </c>
      <c r="FT336" s="63"/>
    </row>
    <row r="337" spans="2:176" x14ac:dyDescent="0.3">
      <c r="B337" s="42"/>
      <c r="M337" s="194" t="str">
        <f ca="1">INDEX(Données_ATB!BD:BU,MATCH(MASQ2!O337,Données_ATB!BD:BD,0),18)</f>
        <v/>
      </c>
      <c r="N337" s="14" t="str">
        <f>IFERROR(IF(Q337=0,"",COUNTIF(Q$4:Q$600,"&gt;"&amp;Q337)+COUNTIF(Q$4:Q337,Q337)),"")</f>
        <v/>
      </c>
      <c r="O337" t="str">
        <f>Données_ATB!BD336</f>
        <v>NUFLOR PORCINS SOLUTION INJECTABLE 300 MG/ML</v>
      </c>
      <c r="P337" t="e">
        <f>IF(IF(X$2="Catégorie",IF(X$3="Toutes",SUMIFS('Étape 1 - à remplir'!$F$31:$F$400,'Étape 1 - à remplir'!$E$31:$E$400,MASQ2!O337,'Étape 1 - à remplir'!$G$31:$G$400,"animaux"),SUMIFS('Étape 1 - à remplir'!$F$31:$F$400,'Étape 1 - à remplir'!$E$31:$E$400,MASQ2!O337,'Étape 1 - à remplir'!$C$31:$C$400,X$3)),IF(X$2="Âge",IF(X$3="Tous",SUMIFS('Étape 1 - à remplir'!$F$31:$F$400,'Étape 1 - à remplir'!$E$31:$E$400,MASQ2!O337,'Étape 1 - à remplir'!$G$31:$G$400,"animaux"),SUMIFS('Étape 1 - à remplir'!$F$31:$F$400,'Étape 1 - à remplir'!$E$31:$E$400,MASQ2!O337,'Étape 1 - à remplir'!$P$31:$P$400,X$3)),IF(X$2="Atelier",IF(X$3="Tous",SUMIFS('Étape 1 - à remplir'!$F$31:$F$400,'Étape 1 - à remplir'!$E$31:$E$400,MASQ2!O337,'Étape 1 - à remplir'!$G$31:$G$400,"animaux"),SUMIFS('Étape 1 - à remplir'!$F$31:$F$400,'Étape 1 - à remplir'!$E$31:$E$400,MASQ2!O337,'Étape 1 - à remplir'!$O$31:$O$400,X$3)),IF(X$2="Espèce",IF(X$3="Toutes",SUMIFS('Étape 1 - à remplir'!$F$31:$F$400,'Étape 1 - à remplir'!$E$31:$E$400,MASQ2!O337,'Étape 1 - à remplir'!$G$31:$G$400,"animaux"),SUMIFS('Étape 1 - à remplir'!$F$31:$F$400,'Étape 1 - à remplir'!$E$31:$E$400,MASQ2!O337,'Étape 1 - à remplir'!$N$31:$N$400,X$3))))))=0,NA(),IF(X$2="Catégorie",IF(X$3="Toutes",SUMIFS('Étape 1 - à remplir'!$F$31:$F$400,'Étape 1 - à remplir'!$E$31:$E$400,MASQ2!O337,'Étape 1 - à remplir'!$G$31:$G$400,"animaux"),SUMIFS('Étape 1 - à remplir'!$F$31:$F$400,'Étape 1 - à remplir'!$E$31:$E$400,MASQ2!O337,'Étape 1 - à remplir'!$C$31:$C$400,X$3)),IF(X$2="Âge",IF(X$3="Tous",SUMIFS('Étape 1 - à remplir'!$F$31:$F$400,'Étape 1 - à remplir'!$E$31:$E$400,MASQ2!O337,'Étape 1 - à remplir'!$G$31:$G$400,"animaux"),SUMIFS('Étape 1 - à remplir'!$F$31:$F$400,'Étape 1 - à remplir'!$E$31:$E$400,MASQ2!O337,'Étape 1 - à remplir'!$P$31:$P$400,X$3)),IF(X$2="Atelier",IF(X$3="Tous",SUMIFS('Étape 1 - à remplir'!$F$31:$F$400,'Étape 1 - à remplir'!$E$31:$E$400,MASQ2!O337,'Étape 1 - à remplir'!$G$31:$G$400,"animaux"),SUMIFS('Étape 1 - à remplir'!$F$31:$F$400,'Étape 1 - à remplir'!$E$31:$E$400,MASQ2!O337,'Étape 1 - à remplir'!$O$31:$O$400,X$3)),IF(X$2="Espèce",IF(X$3="Toutes",SUMIFS('Étape 1 - à remplir'!$F$31:$F$400,'Étape 1 - à remplir'!$E$31:$E$400,MASQ2!O337,'Étape 1 - à remplir'!$G$31:$G$400,"animaux"),SUMIFS('Étape 1 - à remplir'!$F$31:$F$400,'Étape 1 - à remplir'!$E$31:$E$400,MASQ2!O337,'Étape 1 - à remplir'!$N$31:$N$400,X$3)))))))</f>
        <v>#N/A</v>
      </c>
      <c r="Q337" s="63">
        <f t="shared" si="260"/>
        <v>0</v>
      </c>
      <c r="R337" t="str">
        <f>Données_ATB!BM336</f>
        <v>Florfénicol</v>
      </c>
      <c r="S337" t="str">
        <f>Données_ATB!BN336</f>
        <v/>
      </c>
      <c r="T337" s="63" t="str">
        <f>Données_ATB!BO336</f>
        <v/>
      </c>
      <c r="U337" s="42" t="str">
        <f>Données_ATB!BQ336</f>
        <v>Phenicoles</v>
      </c>
      <c r="V337" t="str">
        <f>Données_ATB!BR336</f>
        <v/>
      </c>
      <c r="W337" s="63" t="str">
        <f>Données_ATB!BS336</f>
        <v/>
      </c>
      <c r="Z337" s="42">
        <v>334</v>
      </c>
      <c r="AA337" t="e">
        <f t="shared" si="256"/>
        <v>#N/A</v>
      </c>
      <c r="AB337" s="63" t="e">
        <f t="shared" si="257"/>
        <v>#N/A</v>
      </c>
      <c r="BF337" s="63"/>
      <c r="BT337" s="194" t="str">
        <f t="shared" ca="1" si="240"/>
        <v/>
      </c>
      <c r="BU337" s="219" t="str">
        <f>IFERROR(IF(BX337=0,"",COUNTIF(BX$4:BX$600,"&gt;"&amp;BX337)+COUNTIF(BX$4:BX337,BX337)),"")</f>
        <v/>
      </c>
      <c r="BV337" s="42" t="str">
        <f t="shared" si="241"/>
        <v>NUFLOR PORCINS SOLUTION INJECTABLE 300 MG/ML</v>
      </c>
      <c r="BW337" t="e">
        <f>IF(IF(CE$2="Catégorie",IF(CE$3="Toutes",SUMIFS('Étape 1 - à remplir'!$F$31:$F$400,'Étape 1 - à remplir'!$E$31:$E$400,MASQ2!BV337,'Étape 1 - à remplir'!$G$31:$G$400,"lots"),SUMIFS('Étape 1 - à remplir'!$F$31:$F$400,'Étape 1 - à remplir'!$E$31:$E$400,MASQ2!BV337,'Étape 1 - à remplir'!$C$31:$C$400,CE$3)),IF(CE$2="Âge",IF(CE$3="Tous",SUMIFS('Étape 1 - à remplir'!$F$31:$F$400,'Étape 1 - à remplir'!$E$31:$E$400,MASQ2!BV337,'Étape 1 - à remplir'!$G$31:$G$400,"lots"),SUMIFS('Étape 1 - à remplir'!$F$31:$F$400,'Étape 1 - à remplir'!$E$31:$E$400,MASQ2!BV337,'Étape 1 - à remplir'!$P$31:$P$400,CE$3,'Étape 1 - à remplir'!$G$31:$G$400,"lots")),IF(CE$2="Atelier",IF(CE$3="Tous",SUMIFS('Étape 1 - à remplir'!$F$31:$F$400,'Étape 1 - à remplir'!$E$31:$E$400,MASQ2!BV337,'Étape 1 - à remplir'!$G$31:$G$400,"lots"),SUMIFS('Étape 1 - à remplir'!$F$31:$F$400,'Étape 1 - à remplir'!$E$31:$E$400,MASQ2!BV337,'Étape 1 - à remplir'!$O$31:$O$400,CE$3,'Étape 1 - à remplir'!$G$31:$G$400,"lots")),IF(CE$2="Espèce",IF(CE$3="Toutes",SUMIFS('Étape 1 - à remplir'!$F$31:$F$400,'Étape 1 - à remplir'!$E$31:$E$400,MASQ2!BV337,'Étape 1 - à remplir'!$G$31:$G$400,"lots"),SUMIFS('Étape 1 - à remplir'!$F$31:$F$400,'Étape 1 - à remplir'!$E$31:$E$400,MASQ2!BV337,'Étape 1 - à remplir'!$N$31:$N$400,CE$3,'Étape 1 - à remplir'!$G$31:$G$400,"lots"))))))=0,NA(),IF(CE$2="Catégorie",IF(CE$3="Toutes",SUMIFS('Étape 1 - à remplir'!$F$31:$F$400,'Étape 1 - à remplir'!$E$31:$E$400,MASQ2!BV337,'Étape 1 - à remplir'!$G$31:$G$400,"lots"),SUMIFS('Étape 1 - à remplir'!$F$31:$F$400,'Étape 1 - à remplir'!$E$31:$E$400,MASQ2!BV337,'Étape 1 - à remplir'!$C$31:$C$400,CE$3)),IF(CE$2="Âge",IF(CE$3="Tous",SUMIFS('Étape 1 - à remplir'!$F$31:$F$400,'Étape 1 - à remplir'!$E$31:$E$400,MASQ2!BV337,'Étape 1 - à remplir'!$G$31:$G$400,"lots"),SUMIFS('Étape 1 - à remplir'!$F$31:$F$400,'Étape 1 - à remplir'!$E$31:$E$400,MASQ2!BV337,'Étape 1 - à remplir'!$P$31:$P$400,CE$3,'Étape 1 - à remplir'!$G$31:$G$400,"lots")),IF(CE$2="Atelier",IF(CE$3="Tous",SUMIFS('Étape 1 - à remplir'!$F$31:$F$400,'Étape 1 - à remplir'!$E$31:$E$400,MASQ2!BV337,'Étape 1 - à remplir'!$G$31:$G$400,"lots"),SUMIFS('Étape 1 - à remplir'!$F$31:$F$400,'Étape 1 - à remplir'!$E$31:$E$400,MASQ2!BV337,'Étape 1 - à remplir'!$O$31:$O$400,CE$3,'Étape 1 - à remplir'!$G$31:$G$400,"lots")),IF(CE$2="Espèce",IF(CE$3="Toutes",SUMIFS('Étape 1 - à remplir'!$F$31:$F$400,'Étape 1 - à remplir'!$E$31:$E$400,MASQ2!BV337,'Étape 1 - à remplir'!$G$31:$G$400,"lots"),SUMIFS('Étape 1 - à remplir'!$F$31:$F$400,'Étape 1 - à remplir'!$E$31:$E$400,MASQ2!BV337,'Étape 1 - à remplir'!$N$31:$N$400,CE$3,'Étape 1 - à remplir'!$G$31:$G$400,"lots")))))))</f>
        <v>#N/A</v>
      </c>
      <c r="BX337">
        <f t="shared" si="258"/>
        <v>0</v>
      </c>
      <c r="BY337" t="str">
        <f t="shared" si="242"/>
        <v>Florfénicol</v>
      </c>
      <c r="BZ337" t="str">
        <f t="shared" si="243"/>
        <v/>
      </c>
      <c r="CA337" t="str">
        <f t="shared" si="244"/>
        <v/>
      </c>
      <c r="CB337" t="str">
        <f t="shared" si="245"/>
        <v>Phenicoles</v>
      </c>
      <c r="CC337" t="str">
        <f t="shared" si="246"/>
        <v/>
      </c>
      <c r="CD337" s="63" t="str">
        <f t="shared" si="247"/>
        <v/>
      </c>
      <c r="CG337" s="42">
        <v>334</v>
      </c>
      <c r="CH337" s="42" t="e">
        <f t="shared" si="238"/>
        <v>#N/A</v>
      </c>
      <c r="CI337" s="63" t="e">
        <f t="shared" si="239"/>
        <v>#N/A</v>
      </c>
      <c r="DM337" s="63"/>
      <c r="EA337" s="194" t="str">
        <f t="shared" ca="1" si="248"/>
        <v/>
      </c>
      <c r="EB337" s="226" t="str">
        <f>IFERROR(IF(ED337=0,"",COUNTIF(ED$4:ED$600,"&gt;"&amp;ED337)+COUNTIF(ED$4:ED337,ED337)),"")</f>
        <v/>
      </c>
      <c r="EC337" t="str">
        <f t="shared" si="249"/>
        <v>NUFLOR PORCINS SOLUTION INJECTABLE 300 MG/ML</v>
      </c>
      <c r="ED337" t="e">
        <f>IF(IF(EL$2="Catégorie",IF(EL$3="Toutes",SUMIFS('Étape 1 - à remplir'!$F$31:$F$400,'Étape 1 - à remplir'!$E$31:$E$400,MASQ2!EC337,'Étape 1 - à remplir'!$G$31:$G$400,"kg"),SUMIFS('Étape 1 - à remplir'!$F$31:$F$400,'Étape 1 - à remplir'!$E$31:$E$400,MASQ2!EC337,'Étape 1 - à remplir'!$C$31:$C$400,EL$3)),IF(EL$2="Âge",IF(EL$3="Tous",SUMIFS('Étape 1 - à remplir'!$F$31:$F$400,'Étape 1 - à remplir'!$E$31:$E$400,MASQ2!EC337,'Étape 1 - à remplir'!$G$31:$G$400,"kg"),SUMIFS('Étape 1 - à remplir'!$F$31:$F$400,'Étape 1 - à remplir'!$E$31:$E$400,MASQ2!EC337,'Étape 1 - à remplir'!$P$31:$P$400,EL$3,'Étape 1 - à remplir'!$G$31:$G$400,"kg")),IF(EL$2="Atelier",IF(EL$3="Tous",SUMIFS('Étape 1 - à remplir'!$F$31:$F$400,'Étape 1 - à remplir'!$E$31:$E$400,MASQ2!EC337,'Étape 1 - à remplir'!$G$31:$G$400,"kg"),SUMIFS('Étape 1 - à remplir'!$F$31:$F$400,'Étape 1 - à remplir'!$E$31:$E$400,MASQ2!EC337,'Étape 1 - à remplir'!$O$31:$O$400,EL$3,'Étape 1 - à remplir'!$G$31:$G$400,"kg")),IF(EL$2="Espèce",IF(EL$3="Toutes",SUMIFS('Étape 1 - à remplir'!$F$31:$F$400,'Étape 1 - à remplir'!$E$31:$E$400,MASQ2!EC337,'Étape 1 - à remplir'!$G$31:$G$400,"kg"),SUMIFS('Étape 1 - à remplir'!$F$31:$F$400,'Étape 1 - à remplir'!$E$31:$E$400,MASQ2!EC337,'Étape 1 - à remplir'!$N$31:$N$400,EL$3,'Étape 1 - à remplir'!$G$31:$G$400,"kg"))))))=0,NA(),IF(EL$2="Catégorie",IF(EL$3="Toutes",SUMIFS('Étape 1 - à remplir'!$F$31:$F$400,'Étape 1 - à remplir'!$E$31:$E$400,MASQ2!EC337,'Étape 1 - à remplir'!$G$31:$G$400,"kg"),SUMIFS('Étape 1 - à remplir'!$F$31:$F$400,'Étape 1 - à remplir'!$E$31:$E$400,MASQ2!EC337,'Étape 1 - à remplir'!$C$31:$C$400,EL$3)),IF(EL$2="Âge",IF(EL$3="Tous",SUMIFS('Étape 1 - à remplir'!$F$31:$F$400,'Étape 1 - à remplir'!$E$31:$E$400,MASQ2!EC337,'Étape 1 - à remplir'!$G$31:$G$400,"kg"),SUMIFS('Étape 1 - à remplir'!$F$31:$F$400,'Étape 1 - à remplir'!$E$31:$E$400,MASQ2!EC337,'Étape 1 - à remplir'!$P$31:$P$400,EL$3,'Étape 1 - à remplir'!$G$31:$G$400,"kg")),IF(EL$2="Atelier",IF(EL$3="Tous",SUMIFS('Étape 1 - à remplir'!$F$31:$F$400,'Étape 1 - à remplir'!$E$31:$E$400,MASQ2!EC337,'Étape 1 - à remplir'!$G$31:$G$400,"kg"),SUMIFS('Étape 1 - à remplir'!$F$31:$F$400,'Étape 1 - à remplir'!$E$31:$E$400,MASQ2!EC337,'Étape 1 - à remplir'!$O$31:$O$400,EL$3,'Étape 1 - à remplir'!$G$31:$G$400,"kg")),IF(EL$2="Espèce",IF(EL$3="Toutes",SUMIFS('Étape 1 - à remplir'!$F$31:$F$400,'Étape 1 - à remplir'!$E$31:$E$400,MASQ2!EC337,'Étape 1 - à remplir'!$G$31:$G$400,"kg"),SUMIFS('Étape 1 - à remplir'!$F$31:$F$400,'Étape 1 - à remplir'!$E$31:$E$400,MASQ2!EC337,'Étape 1 - à remplir'!$N$31:$N$400,EL$3,'Étape 1 - à remplir'!$G$31:$G$400,"kg")))))))</f>
        <v>#N/A</v>
      </c>
      <c r="EE337" s="76">
        <f t="shared" si="259"/>
        <v>0</v>
      </c>
      <c r="EF337" t="str">
        <f t="shared" si="250"/>
        <v>Florfénicol</v>
      </c>
      <c r="EG337" t="str">
        <f t="shared" si="251"/>
        <v/>
      </c>
      <c r="EH337" t="str">
        <f t="shared" si="252"/>
        <v/>
      </c>
      <c r="EI337" t="str">
        <f t="shared" si="253"/>
        <v>Phenicoles</v>
      </c>
      <c r="EJ337" t="str">
        <f t="shared" si="254"/>
        <v/>
      </c>
      <c r="EK337" s="63" t="str">
        <f t="shared" si="255"/>
        <v/>
      </c>
      <c r="EN337" s="42">
        <v>334</v>
      </c>
      <c r="EO337" t="e">
        <f t="shared" si="261"/>
        <v>#N/A</v>
      </c>
      <c r="EP337" s="63" t="e">
        <f t="shared" si="262"/>
        <v>#N/A</v>
      </c>
      <c r="FT337" s="63"/>
    </row>
    <row r="338" spans="2:176" x14ac:dyDescent="0.3">
      <c r="B338" s="42"/>
      <c r="M338" s="194" t="str">
        <f ca="1">INDEX(Données_ATB!BD:BU,MATCH(MASQ2!O338,Données_ATB!BD:BD,0),18)</f>
        <v/>
      </c>
      <c r="N338" s="14" t="str">
        <f>IFERROR(IF(Q338=0,"",COUNTIF(Q$4:Q$600,"&gt;"&amp;Q338)+COUNTIF(Q$4:Q338,Q338)),"")</f>
        <v/>
      </c>
      <c r="O338" t="str">
        <f>Données_ATB!BD337</f>
        <v>OCTACILLIN 697 MG/G POUDRE POUR ADMINISTRATION DANS L'EAU DE BOISSON DES PORCS</v>
      </c>
      <c r="P338" t="e">
        <f>IF(IF(X$2="Catégorie",IF(X$3="Toutes",SUMIFS('Étape 1 - à remplir'!$F$31:$F$400,'Étape 1 - à remplir'!$E$31:$E$400,MASQ2!O338,'Étape 1 - à remplir'!$G$31:$G$400,"animaux"),SUMIFS('Étape 1 - à remplir'!$F$31:$F$400,'Étape 1 - à remplir'!$E$31:$E$400,MASQ2!O338,'Étape 1 - à remplir'!$C$31:$C$400,X$3)),IF(X$2="Âge",IF(X$3="Tous",SUMIFS('Étape 1 - à remplir'!$F$31:$F$400,'Étape 1 - à remplir'!$E$31:$E$400,MASQ2!O338,'Étape 1 - à remplir'!$G$31:$G$400,"animaux"),SUMIFS('Étape 1 - à remplir'!$F$31:$F$400,'Étape 1 - à remplir'!$E$31:$E$400,MASQ2!O338,'Étape 1 - à remplir'!$P$31:$P$400,X$3)),IF(X$2="Atelier",IF(X$3="Tous",SUMIFS('Étape 1 - à remplir'!$F$31:$F$400,'Étape 1 - à remplir'!$E$31:$E$400,MASQ2!O338,'Étape 1 - à remplir'!$G$31:$G$400,"animaux"),SUMIFS('Étape 1 - à remplir'!$F$31:$F$400,'Étape 1 - à remplir'!$E$31:$E$400,MASQ2!O338,'Étape 1 - à remplir'!$O$31:$O$400,X$3)),IF(X$2="Espèce",IF(X$3="Toutes",SUMIFS('Étape 1 - à remplir'!$F$31:$F$400,'Étape 1 - à remplir'!$E$31:$E$400,MASQ2!O338,'Étape 1 - à remplir'!$G$31:$G$400,"animaux"),SUMIFS('Étape 1 - à remplir'!$F$31:$F$400,'Étape 1 - à remplir'!$E$31:$E$400,MASQ2!O338,'Étape 1 - à remplir'!$N$31:$N$400,X$3))))))=0,NA(),IF(X$2="Catégorie",IF(X$3="Toutes",SUMIFS('Étape 1 - à remplir'!$F$31:$F$400,'Étape 1 - à remplir'!$E$31:$E$400,MASQ2!O338,'Étape 1 - à remplir'!$G$31:$G$400,"animaux"),SUMIFS('Étape 1 - à remplir'!$F$31:$F$400,'Étape 1 - à remplir'!$E$31:$E$400,MASQ2!O338,'Étape 1 - à remplir'!$C$31:$C$400,X$3)),IF(X$2="Âge",IF(X$3="Tous",SUMIFS('Étape 1 - à remplir'!$F$31:$F$400,'Étape 1 - à remplir'!$E$31:$E$400,MASQ2!O338,'Étape 1 - à remplir'!$G$31:$G$400,"animaux"),SUMIFS('Étape 1 - à remplir'!$F$31:$F$400,'Étape 1 - à remplir'!$E$31:$E$400,MASQ2!O338,'Étape 1 - à remplir'!$P$31:$P$400,X$3)),IF(X$2="Atelier",IF(X$3="Tous",SUMIFS('Étape 1 - à remplir'!$F$31:$F$400,'Étape 1 - à remplir'!$E$31:$E$400,MASQ2!O338,'Étape 1 - à remplir'!$G$31:$G$400,"animaux"),SUMIFS('Étape 1 - à remplir'!$F$31:$F$400,'Étape 1 - à remplir'!$E$31:$E$400,MASQ2!O338,'Étape 1 - à remplir'!$O$31:$O$400,X$3)),IF(X$2="Espèce",IF(X$3="Toutes",SUMIFS('Étape 1 - à remplir'!$F$31:$F$400,'Étape 1 - à remplir'!$E$31:$E$400,MASQ2!O338,'Étape 1 - à remplir'!$G$31:$G$400,"animaux"),SUMIFS('Étape 1 - à remplir'!$F$31:$F$400,'Étape 1 - à remplir'!$E$31:$E$400,MASQ2!O338,'Étape 1 - à remplir'!$N$31:$N$400,X$3)))))))</f>
        <v>#N/A</v>
      </c>
      <c r="Q338" s="63">
        <f t="shared" si="260"/>
        <v>0</v>
      </c>
      <c r="R338" t="str">
        <f>Données_ATB!BM337</f>
        <v>Amoxicilline</v>
      </c>
      <c r="S338" t="str">
        <f>Données_ATB!BN337</f>
        <v/>
      </c>
      <c r="T338" s="63" t="str">
        <f>Données_ATB!BO337</f>
        <v/>
      </c>
      <c r="U338" s="42" t="str">
        <f>Données_ATB!BQ337</f>
        <v>Penicillines</v>
      </c>
      <c r="V338" t="str">
        <f>Données_ATB!BR337</f>
        <v/>
      </c>
      <c r="W338" s="63" t="str">
        <f>Données_ATB!BS337</f>
        <v/>
      </c>
      <c r="Z338" s="42">
        <v>335</v>
      </c>
      <c r="AA338" t="e">
        <f t="shared" si="256"/>
        <v>#N/A</v>
      </c>
      <c r="AB338" s="63" t="e">
        <f t="shared" si="257"/>
        <v>#N/A</v>
      </c>
      <c r="BF338" s="63"/>
      <c r="BT338" s="194" t="str">
        <f t="shared" ca="1" si="240"/>
        <v/>
      </c>
      <c r="BU338" s="219" t="str">
        <f>IFERROR(IF(BX338=0,"",COUNTIF(BX$4:BX$600,"&gt;"&amp;BX338)+COUNTIF(BX$4:BX338,BX338)),"")</f>
        <v/>
      </c>
      <c r="BV338" s="42" t="str">
        <f t="shared" si="241"/>
        <v>OCTACILLIN 697 MG/G POUDRE POUR ADMINISTRATION DANS L'EAU DE BOISSON DES PORCS</v>
      </c>
      <c r="BW338" t="e">
        <f>IF(IF(CE$2="Catégorie",IF(CE$3="Toutes",SUMIFS('Étape 1 - à remplir'!$F$31:$F$400,'Étape 1 - à remplir'!$E$31:$E$400,MASQ2!BV338,'Étape 1 - à remplir'!$G$31:$G$400,"lots"),SUMIFS('Étape 1 - à remplir'!$F$31:$F$400,'Étape 1 - à remplir'!$E$31:$E$400,MASQ2!BV338,'Étape 1 - à remplir'!$C$31:$C$400,CE$3)),IF(CE$2="Âge",IF(CE$3="Tous",SUMIFS('Étape 1 - à remplir'!$F$31:$F$400,'Étape 1 - à remplir'!$E$31:$E$400,MASQ2!BV338,'Étape 1 - à remplir'!$G$31:$G$400,"lots"),SUMIFS('Étape 1 - à remplir'!$F$31:$F$400,'Étape 1 - à remplir'!$E$31:$E$400,MASQ2!BV338,'Étape 1 - à remplir'!$P$31:$P$400,CE$3,'Étape 1 - à remplir'!$G$31:$G$400,"lots")),IF(CE$2="Atelier",IF(CE$3="Tous",SUMIFS('Étape 1 - à remplir'!$F$31:$F$400,'Étape 1 - à remplir'!$E$31:$E$400,MASQ2!BV338,'Étape 1 - à remplir'!$G$31:$G$400,"lots"),SUMIFS('Étape 1 - à remplir'!$F$31:$F$400,'Étape 1 - à remplir'!$E$31:$E$400,MASQ2!BV338,'Étape 1 - à remplir'!$O$31:$O$400,CE$3,'Étape 1 - à remplir'!$G$31:$G$400,"lots")),IF(CE$2="Espèce",IF(CE$3="Toutes",SUMIFS('Étape 1 - à remplir'!$F$31:$F$400,'Étape 1 - à remplir'!$E$31:$E$400,MASQ2!BV338,'Étape 1 - à remplir'!$G$31:$G$400,"lots"),SUMIFS('Étape 1 - à remplir'!$F$31:$F$400,'Étape 1 - à remplir'!$E$31:$E$400,MASQ2!BV338,'Étape 1 - à remplir'!$N$31:$N$400,CE$3,'Étape 1 - à remplir'!$G$31:$G$400,"lots"))))))=0,NA(),IF(CE$2="Catégorie",IF(CE$3="Toutes",SUMIFS('Étape 1 - à remplir'!$F$31:$F$400,'Étape 1 - à remplir'!$E$31:$E$400,MASQ2!BV338,'Étape 1 - à remplir'!$G$31:$G$400,"lots"),SUMIFS('Étape 1 - à remplir'!$F$31:$F$400,'Étape 1 - à remplir'!$E$31:$E$400,MASQ2!BV338,'Étape 1 - à remplir'!$C$31:$C$400,CE$3)),IF(CE$2="Âge",IF(CE$3="Tous",SUMIFS('Étape 1 - à remplir'!$F$31:$F$400,'Étape 1 - à remplir'!$E$31:$E$400,MASQ2!BV338,'Étape 1 - à remplir'!$G$31:$G$400,"lots"),SUMIFS('Étape 1 - à remplir'!$F$31:$F$400,'Étape 1 - à remplir'!$E$31:$E$400,MASQ2!BV338,'Étape 1 - à remplir'!$P$31:$P$400,CE$3,'Étape 1 - à remplir'!$G$31:$G$400,"lots")),IF(CE$2="Atelier",IF(CE$3="Tous",SUMIFS('Étape 1 - à remplir'!$F$31:$F$400,'Étape 1 - à remplir'!$E$31:$E$400,MASQ2!BV338,'Étape 1 - à remplir'!$G$31:$G$400,"lots"),SUMIFS('Étape 1 - à remplir'!$F$31:$F$400,'Étape 1 - à remplir'!$E$31:$E$400,MASQ2!BV338,'Étape 1 - à remplir'!$O$31:$O$400,CE$3,'Étape 1 - à remplir'!$G$31:$G$400,"lots")),IF(CE$2="Espèce",IF(CE$3="Toutes",SUMIFS('Étape 1 - à remplir'!$F$31:$F$400,'Étape 1 - à remplir'!$E$31:$E$400,MASQ2!BV338,'Étape 1 - à remplir'!$G$31:$G$400,"lots"),SUMIFS('Étape 1 - à remplir'!$F$31:$F$400,'Étape 1 - à remplir'!$E$31:$E$400,MASQ2!BV338,'Étape 1 - à remplir'!$N$31:$N$400,CE$3,'Étape 1 - à remplir'!$G$31:$G$400,"lots")))))))</f>
        <v>#N/A</v>
      </c>
      <c r="BX338">
        <f t="shared" si="258"/>
        <v>0</v>
      </c>
      <c r="BY338" t="str">
        <f t="shared" si="242"/>
        <v>Amoxicilline</v>
      </c>
      <c r="BZ338" t="str">
        <f t="shared" si="243"/>
        <v/>
      </c>
      <c r="CA338" t="str">
        <f t="shared" si="244"/>
        <v/>
      </c>
      <c r="CB338" t="str">
        <f t="shared" si="245"/>
        <v>Penicillines</v>
      </c>
      <c r="CC338" t="str">
        <f t="shared" si="246"/>
        <v/>
      </c>
      <c r="CD338" s="63" t="str">
        <f t="shared" si="247"/>
        <v/>
      </c>
      <c r="CG338" s="42">
        <v>335</v>
      </c>
      <c r="CH338" s="42" t="e">
        <f t="shared" ref="CH338:CH401" si="263">INDEX(BU$3:BX$600,MATCH(CG338,BU$3:BU$600,0),2)</f>
        <v>#N/A</v>
      </c>
      <c r="CI338" s="63" t="e">
        <f t="shared" ref="CI338:CI401" si="264">INDEX(BU$3:BX$600,MATCH(CG338,BU$3:BU$600,0),3)</f>
        <v>#N/A</v>
      </c>
      <c r="DM338" s="63"/>
      <c r="EA338" s="194" t="str">
        <f t="shared" ca="1" si="248"/>
        <v/>
      </c>
      <c r="EB338" s="226" t="str">
        <f>IFERROR(IF(ED338=0,"",COUNTIF(ED$4:ED$600,"&gt;"&amp;ED338)+COUNTIF(ED$4:ED338,ED338)),"")</f>
        <v/>
      </c>
      <c r="EC338" t="str">
        <f t="shared" si="249"/>
        <v>OCTACILLIN 697 MG/G POUDRE POUR ADMINISTRATION DANS L'EAU DE BOISSON DES PORCS</v>
      </c>
      <c r="ED338" t="e">
        <f>IF(IF(EL$2="Catégorie",IF(EL$3="Toutes",SUMIFS('Étape 1 - à remplir'!$F$31:$F$400,'Étape 1 - à remplir'!$E$31:$E$400,MASQ2!EC338,'Étape 1 - à remplir'!$G$31:$G$400,"kg"),SUMIFS('Étape 1 - à remplir'!$F$31:$F$400,'Étape 1 - à remplir'!$E$31:$E$400,MASQ2!EC338,'Étape 1 - à remplir'!$C$31:$C$400,EL$3)),IF(EL$2="Âge",IF(EL$3="Tous",SUMIFS('Étape 1 - à remplir'!$F$31:$F$400,'Étape 1 - à remplir'!$E$31:$E$400,MASQ2!EC338,'Étape 1 - à remplir'!$G$31:$G$400,"kg"),SUMIFS('Étape 1 - à remplir'!$F$31:$F$400,'Étape 1 - à remplir'!$E$31:$E$400,MASQ2!EC338,'Étape 1 - à remplir'!$P$31:$P$400,EL$3,'Étape 1 - à remplir'!$G$31:$G$400,"kg")),IF(EL$2="Atelier",IF(EL$3="Tous",SUMIFS('Étape 1 - à remplir'!$F$31:$F$400,'Étape 1 - à remplir'!$E$31:$E$400,MASQ2!EC338,'Étape 1 - à remplir'!$G$31:$G$400,"kg"),SUMIFS('Étape 1 - à remplir'!$F$31:$F$400,'Étape 1 - à remplir'!$E$31:$E$400,MASQ2!EC338,'Étape 1 - à remplir'!$O$31:$O$400,EL$3,'Étape 1 - à remplir'!$G$31:$G$400,"kg")),IF(EL$2="Espèce",IF(EL$3="Toutes",SUMIFS('Étape 1 - à remplir'!$F$31:$F$400,'Étape 1 - à remplir'!$E$31:$E$400,MASQ2!EC338,'Étape 1 - à remplir'!$G$31:$G$400,"kg"),SUMIFS('Étape 1 - à remplir'!$F$31:$F$400,'Étape 1 - à remplir'!$E$31:$E$400,MASQ2!EC338,'Étape 1 - à remplir'!$N$31:$N$400,EL$3,'Étape 1 - à remplir'!$G$31:$G$400,"kg"))))))=0,NA(),IF(EL$2="Catégorie",IF(EL$3="Toutes",SUMIFS('Étape 1 - à remplir'!$F$31:$F$400,'Étape 1 - à remplir'!$E$31:$E$400,MASQ2!EC338,'Étape 1 - à remplir'!$G$31:$G$400,"kg"),SUMIFS('Étape 1 - à remplir'!$F$31:$F$400,'Étape 1 - à remplir'!$E$31:$E$400,MASQ2!EC338,'Étape 1 - à remplir'!$C$31:$C$400,EL$3)),IF(EL$2="Âge",IF(EL$3="Tous",SUMIFS('Étape 1 - à remplir'!$F$31:$F$400,'Étape 1 - à remplir'!$E$31:$E$400,MASQ2!EC338,'Étape 1 - à remplir'!$G$31:$G$400,"kg"),SUMIFS('Étape 1 - à remplir'!$F$31:$F$400,'Étape 1 - à remplir'!$E$31:$E$400,MASQ2!EC338,'Étape 1 - à remplir'!$P$31:$P$400,EL$3,'Étape 1 - à remplir'!$G$31:$G$400,"kg")),IF(EL$2="Atelier",IF(EL$3="Tous",SUMIFS('Étape 1 - à remplir'!$F$31:$F$400,'Étape 1 - à remplir'!$E$31:$E$400,MASQ2!EC338,'Étape 1 - à remplir'!$G$31:$G$400,"kg"),SUMIFS('Étape 1 - à remplir'!$F$31:$F$400,'Étape 1 - à remplir'!$E$31:$E$400,MASQ2!EC338,'Étape 1 - à remplir'!$O$31:$O$400,EL$3,'Étape 1 - à remplir'!$G$31:$G$400,"kg")),IF(EL$2="Espèce",IF(EL$3="Toutes",SUMIFS('Étape 1 - à remplir'!$F$31:$F$400,'Étape 1 - à remplir'!$E$31:$E$400,MASQ2!EC338,'Étape 1 - à remplir'!$G$31:$G$400,"kg"),SUMIFS('Étape 1 - à remplir'!$F$31:$F$400,'Étape 1 - à remplir'!$E$31:$E$400,MASQ2!EC338,'Étape 1 - à remplir'!$N$31:$N$400,EL$3,'Étape 1 - à remplir'!$G$31:$G$400,"kg")))))))</f>
        <v>#N/A</v>
      </c>
      <c r="EE338" s="76">
        <f t="shared" si="259"/>
        <v>0</v>
      </c>
      <c r="EF338" t="str">
        <f t="shared" si="250"/>
        <v>Amoxicilline</v>
      </c>
      <c r="EG338" t="str">
        <f t="shared" si="251"/>
        <v/>
      </c>
      <c r="EH338" t="str">
        <f t="shared" si="252"/>
        <v/>
      </c>
      <c r="EI338" t="str">
        <f t="shared" si="253"/>
        <v>Penicillines</v>
      </c>
      <c r="EJ338" t="str">
        <f t="shared" si="254"/>
        <v/>
      </c>
      <c r="EK338" s="63" t="str">
        <f t="shared" si="255"/>
        <v/>
      </c>
      <c r="EN338" s="42">
        <v>335</v>
      </c>
      <c r="EO338" t="e">
        <f t="shared" si="261"/>
        <v>#N/A</v>
      </c>
      <c r="EP338" s="63" t="e">
        <f t="shared" si="262"/>
        <v>#N/A</v>
      </c>
      <c r="FT338" s="63"/>
    </row>
    <row r="339" spans="2:176" x14ac:dyDescent="0.3">
      <c r="B339" s="42"/>
      <c r="M339" s="194" t="str">
        <f ca="1">INDEX(Données_ATB!BD:BU,MATCH(MASQ2!O339,Données_ATB!BD:BD,0),18)</f>
        <v/>
      </c>
      <c r="N339" s="14" t="str">
        <f>IFERROR(IF(Q339=0,"",COUNTIF(Q$4:Q$600,"&gt;"&amp;Q339)+COUNTIF(Q$4:Q339,Q339)),"")</f>
        <v/>
      </c>
      <c r="O339" t="str">
        <f>Données_ATB!BD338</f>
        <v>OCTACILLIN 697 MG/G POUDRE POUR ADMINISTRATION DANS L'EAU DE BOISSONS DES POULETS</v>
      </c>
      <c r="P339" t="e">
        <f>IF(IF(X$2="Catégorie",IF(X$3="Toutes",SUMIFS('Étape 1 - à remplir'!$F$31:$F$400,'Étape 1 - à remplir'!$E$31:$E$400,MASQ2!O339,'Étape 1 - à remplir'!$G$31:$G$400,"animaux"),SUMIFS('Étape 1 - à remplir'!$F$31:$F$400,'Étape 1 - à remplir'!$E$31:$E$400,MASQ2!O339,'Étape 1 - à remplir'!$C$31:$C$400,X$3)),IF(X$2="Âge",IF(X$3="Tous",SUMIFS('Étape 1 - à remplir'!$F$31:$F$400,'Étape 1 - à remplir'!$E$31:$E$400,MASQ2!O339,'Étape 1 - à remplir'!$G$31:$G$400,"animaux"),SUMIFS('Étape 1 - à remplir'!$F$31:$F$400,'Étape 1 - à remplir'!$E$31:$E$400,MASQ2!O339,'Étape 1 - à remplir'!$P$31:$P$400,X$3)),IF(X$2="Atelier",IF(X$3="Tous",SUMIFS('Étape 1 - à remplir'!$F$31:$F$400,'Étape 1 - à remplir'!$E$31:$E$400,MASQ2!O339,'Étape 1 - à remplir'!$G$31:$G$400,"animaux"),SUMIFS('Étape 1 - à remplir'!$F$31:$F$400,'Étape 1 - à remplir'!$E$31:$E$400,MASQ2!O339,'Étape 1 - à remplir'!$O$31:$O$400,X$3)),IF(X$2="Espèce",IF(X$3="Toutes",SUMIFS('Étape 1 - à remplir'!$F$31:$F$400,'Étape 1 - à remplir'!$E$31:$E$400,MASQ2!O339,'Étape 1 - à remplir'!$G$31:$G$400,"animaux"),SUMIFS('Étape 1 - à remplir'!$F$31:$F$400,'Étape 1 - à remplir'!$E$31:$E$400,MASQ2!O339,'Étape 1 - à remplir'!$N$31:$N$400,X$3))))))=0,NA(),IF(X$2="Catégorie",IF(X$3="Toutes",SUMIFS('Étape 1 - à remplir'!$F$31:$F$400,'Étape 1 - à remplir'!$E$31:$E$400,MASQ2!O339,'Étape 1 - à remplir'!$G$31:$G$400,"animaux"),SUMIFS('Étape 1 - à remplir'!$F$31:$F$400,'Étape 1 - à remplir'!$E$31:$E$400,MASQ2!O339,'Étape 1 - à remplir'!$C$31:$C$400,X$3)),IF(X$2="Âge",IF(X$3="Tous",SUMIFS('Étape 1 - à remplir'!$F$31:$F$400,'Étape 1 - à remplir'!$E$31:$E$400,MASQ2!O339,'Étape 1 - à remplir'!$G$31:$G$400,"animaux"),SUMIFS('Étape 1 - à remplir'!$F$31:$F$400,'Étape 1 - à remplir'!$E$31:$E$400,MASQ2!O339,'Étape 1 - à remplir'!$P$31:$P$400,X$3)),IF(X$2="Atelier",IF(X$3="Tous",SUMIFS('Étape 1 - à remplir'!$F$31:$F$400,'Étape 1 - à remplir'!$E$31:$E$400,MASQ2!O339,'Étape 1 - à remplir'!$G$31:$G$400,"animaux"),SUMIFS('Étape 1 - à remplir'!$F$31:$F$400,'Étape 1 - à remplir'!$E$31:$E$400,MASQ2!O339,'Étape 1 - à remplir'!$O$31:$O$400,X$3)),IF(X$2="Espèce",IF(X$3="Toutes",SUMIFS('Étape 1 - à remplir'!$F$31:$F$400,'Étape 1 - à remplir'!$E$31:$E$400,MASQ2!O339,'Étape 1 - à remplir'!$G$31:$G$400,"animaux"),SUMIFS('Étape 1 - à remplir'!$F$31:$F$400,'Étape 1 - à remplir'!$E$31:$E$400,MASQ2!O339,'Étape 1 - à remplir'!$N$31:$N$400,X$3)))))))</f>
        <v>#N/A</v>
      </c>
      <c r="Q339" s="63">
        <f t="shared" si="260"/>
        <v>0</v>
      </c>
      <c r="R339" t="str">
        <f>Données_ATB!BM338</f>
        <v>Amoxicilline</v>
      </c>
      <c r="S339" t="str">
        <f>Données_ATB!BN338</f>
        <v/>
      </c>
      <c r="T339" s="63" t="str">
        <f>Données_ATB!BO338</f>
        <v/>
      </c>
      <c r="U339" s="42" t="str">
        <f>Données_ATB!BQ338</f>
        <v>Penicillines</v>
      </c>
      <c r="V339" t="str">
        <f>Données_ATB!BR338</f>
        <v/>
      </c>
      <c r="W339" s="63" t="str">
        <f>Données_ATB!BS338</f>
        <v/>
      </c>
      <c r="Z339" s="42">
        <v>336</v>
      </c>
      <c r="AA339" t="e">
        <f t="shared" si="256"/>
        <v>#N/A</v>
      </c>
      <c r="AB339" s="63" t="e">
        <f t="shared" si="257"/>
        <v>#N/A</v>
      </c>
      <c r="BF339" s="63"/>
      <c r="BT339" s="194" t="str">
        <f t="shared" ca="1" si="240"/>
        <v/>
      </c>
      <c r="BU339" s="219" t="str">
        <f>IFERROR(IF(BX339=0,"",COUNTIF(BX$4:BX$600,"&gt;"&amp;BX339)+COUNTIF(BX$4:BX339,BX339)),"")</f>
        <v/>
      </c>
      <c r="BV339" s="42" t="str">
        <f t="shared" si="241"/>
        <v>OCTACILLIN 697 MG/G POUDRE POUR ADMINISTRATION DANS L'EAU DE BOISSONS DES POULETS</v>
      </c>
      <c r="BW339" t="e">
        <f>IF(IF(CE$2="Catégorie",IF(CE$3="Toutes",SUMIFS('Étape 1 - à remplir'!$F$31:$F$400,'Étape 1 - à remplir'!$E$31:$E$400,MASQ2!BV339,'Étape 1 - à remplir'!$G$31:$G$400,"lots"),SUMIFS('Étape 1 - à remplir'!$F$31:$F$400,'Étape 1 - à remplir'!$E$31:$E$400,MASQ2!BV339,'Étape 1 - à remplir'!$C$31:$C$400,CE$3)),IF(CE$2="Âge",IF(CE$3="Tous",SUMIFS('Étape 1 - à remplir'!$F$31:$F$400,'Étape 1 - à remplir'!$E$31:$E$400,MASQ2!BV339,'Étape 1 - à remplir'!$G$31:$G$400,"lots"),SUMIFS('Étape 1 - à remplir'!$F$31:$F$400,'Étape 1 - à remplir'!$E$31:$E$400,MASQ2!BV339,'Étape 1 - à remplir'!$P$31:$P$400,CE$3,'Étape 1 - à remplir'!$G$31:$G$400,"lots")),IF(CE$2="Atelier",IF(CE$3="Tous",SUMIFS('Étape 1 - à remplir'!$F$31:$F$400,'Étape 1 - à remplir'!$E$31:$E$400,MASQ2!BV339,'Étape 1 - à remplir'!$G$31:$G$400,"lots"),SUMIFS('Étape 1 - à remplir'!$F$31:$F$400,'Étape 1 - à remplir'!$E$31:$E$400,MASQ2!BV339,'Étape 1 - à remplir'!$O$31:$O$400,CE$3,'Étape 1 - à remplir'!$G$31:$G$400,"lots")),IF(CE$2="Espèce",IF(CE$3="Toutes",SUMIFS('Étape 1 - à remplir'!$F$31:$F$400,'Étape 1 - à remplir'!$E$31:$E$400,MASQ2!BV339,'Étape 1 - à remplir'!$G$31:$G$400,"lots"),SUMIFS('Étape 1 - à remplir'!$F$31:$F$400,'Étape 1 - à remplir'!$E$31:$E$400,MASQ2!BV339,'Étape 1 - à remplir'!$N$31:$N$400,CE$3,'Étape 1 - à remplir'!$G$31:$G$400,"lots"))))))=0,NA(),IF(CE$2="Catégorie",IF(CE$3="Toutes",SUMIFS('Étape 1 - à remplir'!$F$31:$F$400,'Étape 1 - à remplir'!$E$31:$E$400,MASQ2!BV339,'Étape 1 - à remplir'!$G$31:$G$400,"lots"),SUMIFS('Étape 1 - à remplir'!$F$31:$F$400,'Étape 1 - à remplir'!$E$31:$E$400,MASQ2!BV339,'Étape 1 - à remplir'!$C$31:$C$400,CE$3)),IF(CE$2="Âge",IF(CE$3="Tous",SUMIFS('Étape 1 - à remplir'!$F$31:$F$400,'Étape 1 - à remplir'!$E$31:$E$400,MASQ2!BV339,'Étape 1 - à remplir'!$G$31:$G$400,"lots"),SUMIFS('Étape 1 - à remplir'!$F$31:$F$400,'Étape 1 - à remplir'!$E$31:$E$400,MASQ2!BV339,'Étape 1 - à remplir'!$P$31:$P$400,CE$3,'Étape 1 - à remplir'!$G$31:$G$400,"lots")),IF(CE$2="Atelier",IF(CE$3="Tous",SUMIFS('Étape 1 - à remplir'!$F$31:$F$400,'Étape 1 - à remplir'!$E$31:$E$400,MASQ2!BV339,'Étape 1 - à remplir'!$G$31:$G$400,"lots"),SUMIFS('Étape 1 - à remplir'!$F$31:$F$400,'Étape 1 - à remplir'!$E$31:$E$400,MASQ2!BV339,'Étape 1 - à remplir'!$O$31:$O$400,CE$3,'Étape 1 - à remplir'!$G$31:$G$400,"lots")),IF(CE$2="Espèce",IF(CE$3="Toutes",SUMIFS('Étape 1 - à remplir'!$F$31:$F$400,'Étape 1 - à remplir'!$E$31:$E$400,MASQ2!BV339,'Étape 1 - à remplir'!$G$31:$G$400,"lots"),SUMIFS('Étape 1 - à remplir'!$F$31:$F$400,'Étape 1 - à remplir'!$E$31:$E$400,MASQ2!BV339,'Étape 1 - à remplir'!$N$31:$N$400,CE$3,'Étape 1 - à remplir'!$G$31:$G$400,"lots")))))))</f>
        <v>#N/A</v>
      </c>
      <c r="BX339">
        <f t="shared" si="258"/>
        <v>0</v>
      </c>
      <c r="BY339" t="str">
        <f t="shared" si="242"/>
        <v>Amoxicilline</v>
      </c>
      <c r="BZ339" t="str">
        <f t="shared" si="243"/>
        <v/>
      </c>
      <c r="CA339" t="str">
        <f t="shared" si="244"/>
        <v/>
      </c>
      <c r="CB339" t="str">
        <f t="shared" si="245"/>
        <v>Penicillines</v>
      </c>
      <c r="CC339" t="str">
        <f t="shared" si="246"/>
        <v/>
      </c>
      <c r="CD339" s="63" t="str">
        <f t="shared" si="247"/>
        <v/>
      </c>
      <c r="CG339" s="42">
        <v>336</v>
      </c>
      <c r="CH339" s="42" t="e">
        <f t="shared" si="263"/>
        <v>#N/A</v>
      </c>
      <c r="CI339" s="63" t="e">
        <f t="shared" si="264"/>
        <v>#N/A</v>
      </c>
      <c r="DM339" s="63"/>
      <c r="EA339" s="194" t="str">
        <f t="shared" ca="1" si="248"/>
        <v/>
      </c>
      <c r="EB339" s="226" t="str">
        <f>IFERROR(IF(ED339=0,"",COUNTIF(ED$4:ED$600,"&gt;"&amp;ED339)+COUNTIF(ED$4:ED339,ED339)),"")</f>
        <v/>
      </c>
      <c r="EC339" t="str">
        <f t="shared" si="249"/>
        <v>OCTACILLIN 697 MG/G POUDRE POUR ADMINISTRATION DANS L'EAU DE BOISSONS DES POULETS</v>
      </c>
      <c r="ED339" t="e">
        <f>IF(IF(EL$2="Catégorie",IF(EL$3="Toutes",SUMIFS('Étape 1 - à remplir'!$F$31:$F$400,'Étape 1 - à remplir'!$E$31:$E$400,MASQ2!EC339,'Étape 1 - à remplir'!$G$31:$G$400,"kg"),SUMIFS('Étape 1 - à remplir'!$F$31:$F$400,'Étape 1 - à remplir'!$E$31:$E$400,MASQ2!EC339,'Étape 1 - à remplir'!$C$31:$C$400,EL$3)),IF(EL$2="Âge",IF(EL$3="Tous",SUMIFS('Étape 1 - à remplir'!$F$31:$F$400,'Étape 1 - à remplir'!$E$31:$E$400,MASQ2!EC339,'Étape 1 - à remplir'!$G$31:$G$400,"kg"),SUMIFS('Étape 1 - à remplir'!$F$31:$F$400,'Étape 1 - à remplir'!$E$31:$E$400,MASQ2!EC339,'Étape 1 - à remplir'!$P$31:$P$400,EL$3,'Étape 1 - à remplir'!$G$31:$G$400,"kg")),IF(EL$2="Atelier",IF(EL$3="Tous",SUMIFS('Étape 1 - à remplir'!$F$31:$F$400,'Étape 1 - à remplir'!$E$31:$E$400,MASQ2!EC339,'Étape 1 - à remplir'!$G$31:$G$400,"kg"),SUMIFS('Étape 1 - à remplir'!$F$31:$F$400,'Étape 1 - à remplir'!$E$31:$E$400,MASQ2!EC339,'Étape 1 - à remplir'!$O$31:$O$400,EL$3,'Étape 1 - à remplir'!$G$31:$G$400,"kg")),IF(EL$2="Espèce",IF(EL$3="Toutes",SUMIFS('Étape 1 - à remplir'!$F$31:$F$400,'Étape 1 - à remplir'!$E$31:$E$400,MASQ2!EC339,'Étape 1 - à remplir'!$G$31:$G$400,"kg"),SUMIFS('Étape 1 - à remplir'!$F$31:$F$400,'Étape 1 - à remplir'!$E$31:$E$400,MASQ2!EC339,'Étape 1 - à remplir'!$N$31:$N$400,EL$3,'Étape 1 - à remplir'!$G$31:$G$400,"kg"))))))=0,NA(),IF(EL$2="Catégorie",IF(EL$3="Toutes",SUMIFS('Étape 1 - à remplir'!$F$31:$F$400,'Étape 1 - à remplir'!$E$31:$E$400,MASQ2!EC339,'Étape 1 - à remplir'!$G$31:$G$400,"kg"),SUMIFS('Étape 1 - à remplir'!$F$31:$F$400,'Étape 1 - à remplir'!$E$31:$E$400,MASQ2!EC339,'Étape 1 - à remplir'!$C$31:$C$400,EL$3)),IF(EL$2="Âge",IF(EL$3="Tous",SUMIFS('Étape 1 - à remplir'!$F$31:$F$400,'Étape 1 - à remplir'!$E$31:$E$400,MASQ2!EC339,'Étape 1 - à remplir'!$G$31:$G$400,"kg"),SUMIFS('Étape 1 - à remplir'!$F$31:$F$400,'Étape 1 - à remplir'!$E$31:$E$400,MASQ2!EC339,'Étape 1 - à remplir'!$P$31:$P$400,EL$3,'Étape 1 - à remplir'!$G$31:$G$400,"kg")),IF(EL$2="Atelier",IF(EL$3="Tous",SUMIFS('Étape 1 - à remplir'!$F$31:$F$400,'Étape 1 - à remplir'!$E$31:$E$400,MASQ2!EC339,'Étape 1 - à remplir'!$G$31:$G$400,"kg"),SUMIFS('Étape 1 - à remplir'!$F$31:$F$400,'Étape 1 - à remplir'!$E$31:$E$400,MASQ2!EC339,'Étape 1 - à remplir'!$O$31:$O$400,EL$3,'Étape 1 - à remplir'!$G$31:$G$400,"kg")),IF(EL$2="Espèce",IF(EL$3="Toutes",SUMIFS('Étape 1 - à remplir'!$F$31:$F$400,'Étape 1 - à remplir'!$E$31:$E$400,MASQ2!EC339,'Étape 1 - à remplir'!$G$31:$G$400,"kg"),SUMIFS('Étape 1 - à remplir'!$F$31:$F$400,'Étape 1 - à remplir'!$E$31:$E$400,MASQ2!EC339,'Étape 1 - à remplir'!$N$31:$N$400,EL$3,'Étape 1 - à remplir'!$G$31:$G$400,"kg")))))))</f>
        <v>#N/A</v>
      </c>
      <c r="EE339" s="76">
        <f t="shared" si="259"/>
        <v>0</v>
      </c>
      <c r="EF339" t="str">
        <f t="shared" si="250"/>
        <v>Amoxicilline</v>
      </c>
      <c r="EG339" t="str">
        <f t="shared" si="251"/>
        <v/>
      </c>
      <c r="EH339" t="str">
        <f t="shared" si="252"/>
        <v/>
      </c>
      <c r="EI339" t="str">
        <f t="shared" si="253"/>
        <v>Penicillines</v>
      </c>
      <c r="EJ339" t="str">
        <f t="shared" si="254"/>
        <v/>
      </c>
      <c r="EK339" s="63" t="str">
        <f t="shared" si="255"/>
        <v/>
      </c>
      <c r="EN339" s="42">
        <v>336</v>
      </c>
      <c r="EO339" t="e">
        <f t="shared" si="261"/>
        <v>#N/A</v>
      </c>
      <c r="EP339" s="63" t="e">
        <f t="shared" si="262"/>
        <v>#N/A</v>
      </c>
      <c r="FT339" s="63"/>
    </row>
    <row r="340" spans="2:176" x14ac:dyDescent="0.3">
      <c r="B340" s="42"/>
      <c r="M340" s="194" t="str">
        <f ca="1">INDEX(Données_ATB!BD:BU,MATCH(MASQ2!O340,Données_ATB!BD:BD,0),18)</f>
        <v/>
      </c>
      <c r="N340" s="14" t="str">
        <f>IFERROR(IF(Q340=0,"",COUNTIF(Q$4:Q$600,"&gt;"&amp;Q340)+COUNTIF(Q$4:Q340,Q340)),"")</f>
        <v/>
      </c>
      <c r="O340" t="str">
        <f>Données_ATB!BD339</f>
        <v>OPHTOCYCLINE POMMADE OPHTALMIQUE POUR CHIENS CHATS ET CHEVAUX</v>
      </c>
      <c r="P340" t="e">
        <f>IF(IF(X$2="Catégorie",IF(X$3="Toutes",SUMIFS('Étape 1 - à remplir'!$F$31:$F$400,'Étape 1 - à remplir'!$E$31:$E$400,MASQ2!O340,'Étape 1 - à remplir'!$G$31:$G$400,"animaux"),SUMIFS('Étape 1 - à remplir'!$F$31:$F$400,'Étape 1 - à remplir'!$E$31:$E$400,MASQ2!O340,'Étape 1 - à remplir'!$C$31:$C$400,X$3)),IF(X$2="Âge",IF(X$3="Tous",SUMIFS('Étape 1 - à remplir'!$F$31:$F$400,'Étape 1 - à remplir'!$E$31:$E$400,MASQ2!O340,'Étape 1 - à remplir'!$G$31:$G$400,"animaux"),SUMIFS('Étape 1 - à remplir'!$F$31:$F$400,'Étape 1 - à remplir'!$E$31:$E$400,MASQ2!O340,'Étape 1 - à remplir'!$P$31:$P$400,X$3)),IF(X$2="Atelier",IF(X$3="Tous",SUMIFS('Étape 1 - à remplir'!$F$31:$F$400,'Étape 1 - à remplir'!$E$31:$E$400,MASQ2!O340,'Étape 1 - à remplir'!$G$31:$G$400,"animaux"),SUMIFS('Étape 1 - à remplir'!$F$31:$F$400,'Étape 1 - à remplir'!$E$31:$E$400,MASQ2!O340,'Étape 1 - à remplir'!$O$31:$O$400,X$3)),IF(X$2="Espèce",IF(X$3="Toutes",SUMIFS('Étape 1 - à remplir'!$F$31:$F$400,'Étape 1 - à remplir'!$E$31:$E$400,MASQ2!O340,'Étape 1 - à remplir'!$G$31:$G$400,"animaux"),SUMIFS('Étape 1 - à remplir'!$F$31:$F$400,'Étape 1 - à remplir'!$E$31:$E$400,MASQ2!O340,'Étape 1 - à remplir'!$N$31:$N$400,X$3))))))=0,NA(),IF(X$2="Catégorie",IF(X$3="Toutes",SUMIFS('Étape 1 - à remplir'!$F$31:$F$400,'Étape 1 - à remplir'!$E$31:$E$400,MASQ2!O340,'Étape 1 - à remplir'!$G$31:$G$400,"animaux"),SUMIFS('Étape 1 - à remplir'!$F$31:$F$400,'Étape 1 - à remplir'!$E$31:$E$400,MASQ2!O340,'Étape 1 - à remplir'!$C$31:$C$400,X$3)),IF(X$2="Âge",IF(X$3="Tous",SUMIFS('Étape 1 - à remplir'!$F$31:$F$400,'Étape 1 - à remplir'!$E$31:$E$400,MASQ2!O340,'Étape 1 - à remplir'!$G$31:$G$400,"animaux"),SUMIFS('Étape 1 - à remplir'!$F$31:$F$400,'Étape 1 - à remplir'!$E$31:$E$400,MASQ2!O340,'Étape 1 - à remplir'!$P$31:$P$400,X$3)),IF(X$2="Atelier",IF(X$3="Tous",SUMIFS('Étape 1 - à remplir'!$F$31:$F$400,'Étape 1 - à remplir'!$E$31:$E$400,MASQ2!O340,'Étape 1 - à remplir'!$G$31:$G$400,"animaux"),SUMIFS('Étape 1 - à remplir'!$F$31:$F$400,'Étape 1 - à remplir'!$E$31:$E$400,MASQ2!O340,'Étape 1 - à remplir'!$O$31:$O$400,X$3)),IF(X$2="Espèce",IF(X$3="Toutes",SUMIFS('Étape 1 - à remplir'!$F$31:$F$400,'Étape 1 - à remplir'!$E$31:$E$400,MASQ2!O340,'Étape 1 - à remplir'!$G$31:$G$400,"animaux"),SUMIFS('Étape 1 - à remplir'!$F$31:$F$400,'Étape 1 - à remplir'!$E$31:$E$400,MASQ2!O340,'Étape 1 - à remplir'!$N$31:$N$400,X$3)))))))</f>
        <v>#N/A</v>
      </c>
      <c r="Q340" s="63">
        <f t="shared" si="260"/>
        <v>0</v>
      </c>
      <c r="R340" t="str">
        <f>Données_ATB!BM339</f>
        <v>Chlortétracycline</v>
      </c>
      <c r="S340" t="str">
        <f>Données_ATB!BN339</f>
        <v/>
      </c>
      <c r="T340" s="63" t="str">
        <f>Données_ATB!BO339</f>
        <v/>
      </c>
      <c r="U340" s="42" t="str">
        <f>Données_ATB!BQ339</f>
        <v>Tetracyclines</v>
      </c>
      <c r="V340" t="str">
        <f>Données_ATB!BR339</f>
        <v/>
      </c>
      <c r="W340" s="63" t="str">
        <f>Données_ATB!BS339</f>
        <v/>
      </c>
      <c r="Z340" s="42">
        <v>337</v>
      </c>
      <c r="AA340" t="e">
        <f t="shared" si="256"/>
        <v>#N/A</v>
      </c>
      <c r="AB340" s="63" t="e">
        <f t="shared" si="257"/>
        <v>#N/A</v>
      </c>
      <c r="BF340" s="63"/>
      <c r="BT340" s="194" t="str">
        <f t="shared" ca="1" si="240"/>
        <v/>
      </c>
      <c r="BU340" s="219" t="str">
        <f>IFERROR(IF(BX340=0,"",COUNTIF(BX$4:BX$600,"&gt;"&amp;BX340)+COUNTIF(BX$4:BX340,BX340)),"")</f>
        <v/>
      </c>
      <c r="BV340" s="42" t="str">
        <f t="shared" si="241"/>
        <v>OPHTOCYCLINE POMMADE OPHTALMIQUE POUR CHIENS CHATS ET CHEVAUX</v>
      </c>
      <c r="BW340" t="e">
        <f>IF(IF(CE$2="Catégorie",IF(CE$3="Toutes",SUMIFS('Étape 1 - à remplir'!$F$31:$F$400,'Étape 1 - à remplir'!$E$31:$E$400,MASQ2!BV340,'Étape 1 - à remplir'!$G$31:$G$400,"lots"),SUMIFS('Étape 1 - à remplir'!$F$31:$F$400,'Étape 1 - à remplir'!$E$31:$E$400,MASQ2!BV340,'Étape 1 - à remplir'!$C$31:$C$400,CE$3)),IF(CE$2="Âge",IF(CE$3="Tous",SUMIFS('Étape 1 - à remplir'!$F$31:$F$400,'Étape 1 - à remplir'!$E$31:$E$400,MASQ2!BV340,'Étape 1 - à remplir'!$G$31:$G$400,"lots"),SUMIFS('Étape 1 - à remplir'!$F$31:$F$400,'Étape 1 - à remplir'!$E$31:$E$400,MASQ2!BV340,'Étape 1 - à remplir'!$P$31:$P$400,CE$3,'Étape 1 - à remplir'!$G$31:$G$400,"lots")),IF(CE$2="Atelier",IF(CE$3="Tous",SUMIFS('Étape 1 - à remplir'!$F$31:$F$400,'Étape 1 - à remplir'!$E$31:$E$400,MASQ2!BV340,'Étape 1 - à remplir'!$G$31:$G$400,"lots"),SUMIFS('Étape 1 - à remplir'!$F$31:$F$400,'Étape 1 - à remplir'!$E$31:$E$400,MASQ2!BV340,'Étape 1 - à remplir'!$O$31:$O$400,CE$3,'Étape 1 - à remplir'!$G$31:$G$400,"lots")),IF(CE$2="Espèce",IF(CE$3="Toutes",SUMIFS('Étape 1 - à remplir'!$F$31:$F$400,'Étape 1 - à remplir'!$E$31:$E$400,MASQ2!BV340,'Étape 1 - à remplir'!$G$31:$G$400,"lots"),SUMIFS('Étape 1 - à remplir'!$F$31:$F$400,'Étape 1 - à remplir'!$E$31:$E$400,MASQ2!BV340,'Étape 1 - à remplir'!$N$31:$N$400,CE$3,'Étape 1 - à remplir'!$G$31:$G$400,"lots"))))))=0,NA(),IF(CE$2="Catégorie",IF(CE$3="Toutes",SUMIFS('Étape 1 - à remplir'!$F$31:$F$400,'Étape 1 - à remplir'!$E$31:$E$400,MASQ2!BV340,'Étape 1 - à remplir'!$G$31:$G$400,"lots"),SUMIFS('Étape 1 - à remplir'!$F$31:$F$400,'Étape 1 - à remplir'!$E$31:$E$400,MASQ2!BV340,'Étape 1 - à remplir'!$C$31:$C$400,CE$3)),IF(CE$2="Âge",IF(CE$3="Tous",SUMIFS('Étape 1 - à remplir'!$F$31:$F$400,'Étape 1 - à remplir'!$E$31:$E$400,MASQ2!BV340,'Étape 1 - à remplir'!$G$31:$G$400,"lots"),SUMIFS('Étape 1 - à remplir'!$F$31:$F$400,'Étape 1 - à remplir'!$E$31:$E$400,MASQ2!BV340,'Étape 1 - à remplir'!$P$31:$P$400,CE$3,'Étape 1 - à remplir'!$G$31:$G$400,"lots")),IF(CE$2="Atelier",IF(CE$3="Tous",SUMIFS('Étape 1 - à remplir'!$F$31:$F$400,'Étape 1 - à remplir'!$E$31:$E$400,MASQ2!BV340,'Étape 1 - à remplir'!$G$31:$G$400,"lots"),SUMIFS('Étape 1 - à remplir'!$F$31:$F$400,'Étape 1 - à remplir'!$E$31:$E$400,MASQ2!BV340,'Étape 1 - à remplir'!$O$31:$O$400,CE$3,'Étape 1 - à remplir'!$G$31:$G$400,"lots")),IF(CE$2="Espèce",IF(CE$3="Toutes",SUMIFS('Étape 1 - à remplir'!$F$31:$F$400,'Étape 1 - à remplir'!$E$31:$E$400,MASQ2!BV340,'Étape 1 - à remplir'!$G$31:$G$400,"lots"),SUMIFS('Étape 1 - à remplir'!$F$31:$F$400,'Étape 1 - à remplir'!$E$31:$E$400,MASQ2!BV340,'Étape 1 - à remplir'!$N$31:$N$400,CE$3,'Étape 1 - à remplir'!$G$31:$G$400,"lots")))))))</f>
        <v>#N/A</v>
      </c>
      <c r="BX340">
        <f t="shared" si="258"/>
        <v>0</v>
      </c>
      <c r="BY340" t="str">
        <f t="shared" si="242"/>
        <v>Chlortétracycline</v>
      </c>
      <c r="BZ340" t="str">
        <f t="shared" si="243"/>
        <v/>
      </c>
      <c r="CA340" t="str">
        <f t="shared" si="244"/>
        <v/>
      </c>
      <c r="CB340" t="str">
        <f t="shared" si="245"/>
        <v>Tetracyclines</v>
      </c>
      <c r="CC340" t="str">
        <f t="shared" si="246"/>
        <v/>
      </c>
      <c r="CD340" s="63" t="str">
        <f t="shared" si="247"/>
        <v/>
      </c>
      <c r="CG340" s="42">
        <v>337</v>
      </c>
      <c r="CH340" s="42" t="e">
        <f t="shared" si="263"/>
        <v>#N/A</v>
      </c>
      <c r="CI340" s="63" t="e">
        <f t="shared" si="264"/>
        <v>#N/A</v>
      </c>
      <c r="DM340" s="63"/>
      <c r="EA340" s="194" t="str">
        <f t="shared" ca="1" si="248"/>
        <v/>
      </c>
      <c r="EB340" s="226" t="str">
        <f>IFERROR(IF(ED340=0,"",COUNTIF(ED$4:ED$600,"&gt;"&amp;ED340)+COUNTIF(ED$4:ED340,ED340)),"")</f>
        <v/>
      </c>
      <c r="EC340" t="str">
        <f t="shared" si="249"/>
        <v>OPHTOCYCLINE POMMADE OPHTALMIQUE POUR CHIENS CHATS ET CHEVAUX</v>
      </c>
      <c r="ED340" t="e">
        <f>IF(IF(EL$2="Catégorie",IF(EL$3="Toutes",SUMIFS('Étape 1 - à remplir'!$F$31:$F$400,'Étape 1 - à remplir'!$E$31:$E$400,MASQ2!EC340,'Étape 1 - à remplir'!$G$31:$G$400,"kg"),SUMIFS('Étape 1 - à remplir'!$F$31:$F$400,'Étape 1 - à remplir'!$E$31:$E$400,MASQ2!EC340,'Étape 1 - à remplir'!$C$31:$C$400,EL$3)),IF(EL$2="Âge",IF(EL$3="Tous",SUMIFS('Étape 1 - à remplir'!$F$31:$F$400,'Étape 1 - à remplir'!$E$31:$E$400,MASQ2!EC340,'Étape 1 - à remplir'!$G$31:$G$400,"kg"),SUMIFS('Étape 1 - à remplir'!$F$31:$F$400,'Étape 1 - à remplir'!$E$31:$E$400,MASQ2!EC340,'Étape 1 - à remplir'!$P$31:$P$400,EL$3,'Étape 1 - à remplir'!$G$31:$G$400,"kg")),IF(EL$2="Atelier",IF(EL$3="Tous",SUMIFS('Étape 1 - à remplir'!$F$31:$F$400,'Étape 1 - à remplir'!$E$31:$E$400,MASQ2!EC340,'Étape 1 - à remplir'!$G$31:$G$400,"kg"),SUMIFS('Étape 1 - à remplir'!$F$31:$F$400,'Étape 1 - à remplir'!$E$31:$E$400,MASQ2!EC340,'Étape 1 - à remplir'!$O$31:$O$400,EL$3,'Étape 1 - à remplir'!$G$31:$G$400,"kg")),IF(EL$2="Espèce",IF(EL$3="Toutes",SUMIFS('Étape 1 - à remplir'!$F$31:$F$400,'Étape 1 - à remplir'!$E$31:$E$400,MASQ2!EC340,'Étape 1 - à remplir'!$G$31:$G$400,"kg"),SUMIFS('Étape 1 - à remplir'!$F$31:$F$400,'Étape 1 - à remplir'!$E$31:$E$400,MASQ2!EC340,'Étape 1 - à remplir'!$N$31:$N$400,EL$3,'Étape 1 - à remplir'!$G$31:$G$400,"kg"))))))=0,NA(),IF(EL$2="Catégorie",IF(EL$3="Toutes",SUMIFS('Étape 1 - à remplir'!$F$31:$F$400,'Étape 1 - à remplir'!$E$31:$E$400,MASQ2!EC340,'Étape 1 - à remplir'!$G$31:$G$400,"kg"),SUMIFS('Étape 1 - à remplir'!$F$31:$F$400,'Étape 1 - à remplir'!$E$31:$E$400,MASQ2!EC340,'Étape 1 - à remplir'!$C$31:$C$400,EL$3)),IF(EL$2="Âge",IF(EL$3="Tous",SUMIFS('Étape 1 - à remplir'!$F$31:$F$400,'Étape 1 - à remplir'!$E$31:$E$400,MASQ2!EC340,'Étape 1 - à remplir'!$G$31:$G$400,"kg"),SUMIFS('Étape 1 - à remplir'!$F$31:$F$400,'Étape 1 - à remplir'!$E$31:$E$400,MASQ2!EC340,'Étape 1 - à remplir'!$P$31:$P$400,EL$3,'Étape 1 - à remplir'!$G$31:$G$400,"kg")),IF(EL$2="Atelier",IF(EL$3="Tous",SUMIFS('Étape 1 - à remplir'!$F$31:$F$400,'Étape 1 - à remplir'!$E$31:$E$400,MASQ2!EC340,'Étape 1 - à remplir'!$G$31:$G$400,"kg"),SUMIFS('Étape 1 - à remplir'!$F$31:$F$400,'Étape 1 - à remplir'!$E$31:$E$400,MASQ2!EC340,'Étape 1 - à remplir'!$O$31:$O$400,EL$3,'Étape 1 - à remplir'!$G$31:$G$400,"kg")),IF(EL$2="Espèce",IF(EL$3="Toutes",SUMIFS('Étape 1 - à remplir'!$F$31:$F$400,'Étape 1 - à remplir'!$E$31:$E$400,MASQ2!EC340,'Étape 1 - à remplir'!$G$31:$G$400,"kg"),SUMIFS('Étape 1 - à remplir'!$F$31:$F$400,'Étape 1 - à remplir'!$E$31:$E$400,MASQ2!EC340,'Étape 1 - à remplir'!$N$31:$N$400,EL$3,'Étape 1 - à remplir'!$G$31:$G$400,"kg")))))))</f>
        <v>#N/A</v>
      </c>
      <c r="EE340" s="76">
        <f t="shared" si="259"/>
        <v>0</v>
      </c>
      <c r="EF340" t="str">
        <f t="shared" si="250"/>
        <v>Chlortétracycline</v>
      </c>
      <c r="EG340" t="str">
        <f t="shared" si="251"/>
        <v/>
      </c>
      <c r="EH340" t="str">
        <f t="shared" si="252"/>
        <v/>
      </c>
      <c r="EI340" t="str">
        <f t="shared" si="253"/>
        <v>Tetracyclines</v>
      </c>
      <c r="EJ340" t="str">
        <f t="shared" si="254"/>
        <v/>
      </c>
      <c r="EK340" s="63" t="str">
        <f t="shared" si="255"/>
        <v/>
      </c>
      <c r="EN340" s="42">
        <v>337</v>
      </c>
      <c r="EO340" t="e">
        <f t="shared" si="261"/>
        <v>#N/A</v>
      </c>
      <c r="EP340" s="63" t="e">
        <f t="shared" si="262"/>
        <v>#N/A</v>
      </c>
      <c r="FT340" s="63"/>
    </row>
    <row r="341" spans="2:176" x14ac:dyDescent="0.3">
      <c r="B341" s="42"/>
      <c r="M341" s="194" t="str">
        <f ca="1">INDEX(Données_ATB!BD:BU,MATCH(MASQ2!O341,Données_ATB!BD:BD,0),18)</f>
        <v/>
      </c>
      <c r="N341" s="14" t="str">
        <f>IFERROR(IF(Q341=0,"",COUNTIF(Q$4:Q$600,"&gt;"&amp;Q341)+COUNTIF(Q$4:Q341,Q341)),"")</f>
        <v/>
      </c>
      <c r="O341" t="str">
        <f>Données_ATB!BD340</f>
        <v>ORBENIN HORS LACTATION</v>
      </c>
      <c r="P341" t="e">
        <f>IF(IF(X$2="Catégorie",IF(X$3="Toutes",SUMIFS('Étape 1 - à remplir'!$F$31:$F$400,'Étape 1 - à remplir'!$E$31:$E$400,MASQ2!O341,'Étape 1 - à remplir'!$G$31:$G$400,"animaux"),SUMIFS('Étape 1 - à remplir'!$F$31:$F$400,'Étape 1 - à remplir'!$E$31:$E$400,MASQ2!O341,'Étape 1 - à remplir'!$C$31:$C$400,X$3)),IF(X$2="Âge",IF(X$3="Tous",SUMIFS('Étape 1 - à remplir'!$F$31:$F$400,'Étape 1 - à remplir'!$E$31:$E$400,MASQ2!O341,'Étape 1 - à remplir'!$G$31:$G$400,"animaux"),SUMIFS('Étape 1 - à remplir'!$F$31:$F$400,'Étape 1 - à remplir'!$E$31:$E$400,MASQ2!O341,'Étape 1 - à remplir'!$P$31:$P$400,X$3)),IF(X$2="Atelier",IF(X$3="Tous",SUMIFS('Étape 1 - à remplir'!$F$31:$F$400,'Étape 1 - à remplir'!$E$31:$E$400,MASQ2!O341,'Étape 1 - à remplir'!$G$31:$G$400,"animaux"),SUMIFS('Étape 1 - à remplir'!$F$31:$F$400,'Étape 1 - à remplir'!$E$31:$E$400,MASQ2!O341,'Étape 1 - à remplir'!$O$31:$O$400,X$3)),IF(X$2="Espèce",IF(X$3="Toutes",SUMIFS('Étape 1 - à remplir'!$F$31:$F$400,'Étape 1 - à remplir'!$E$31:$E$400,MASQ2!O341,'Étape 1 - à remplir'!$G$31:$G$400,"animaux"),SUMIFS('Étape 1 - à remplir'!$F$31:$F$400,'Étape 1 - à remplir'!$E$31:$E$400,MASQ2!O341,'Étape 1 - à remplir'!$N$31:$N$400,X$3))))))=0,NA(),IF(X$2="Catégorie",IF(X$3="Toutes",SUMIFS('Étape 1 - à remplir'!$F$31:$F$400,'Étape 1 - à remplir'!$E$31:$E$400,MASQ2!O341,'Étape 1 - à remplir'!$G$31:$G$400,"animaux"),SUMIFS('Étape 1 - à remplir'!$F$31:$F$400,'Étape 1 - à remplir'!$E$31:$E$400,MASQ2!O341,'Étape 1 - à remplir'!$C$31:$C$400,X$3)),IF(X$2="Âge",IF(X$3="Tous",SUMIFS('Étape 1 - à remplir'!$F$31:$F$400,'Étape 1 - à remplir'!$E$31:$E$400,MASQ2!O341,'Étape 1 - à remplir'!$G$31:$G$400,"animaux"),SUMIFS('Étape 1 - à remplir'!$F$31:$F$400,'Étape 1 - à remplir'!$E$31:$E$400,MASQ2!O341,'Étape 1 - à remplir'!$P$31:$P$400,X$3)),IF(X$2="Atelier",IF(X$3="Tous",SUMIFS('Étape 1 - à remplir'!$F$31:$F$400,'Étape 1 - à remplir'!$E$31:$E$400,MASQ2!O341,'Étape 1 - à remplir'!$G$31:$G$400,"animaux"),SUMIFS('Étape 1 - à remplir'!$F$31:$F$400,'Étape 1 - à remplir'!$E$31:$E$400,MASQ2!O341,'Étape 1 - à remplir'!$O$31:$O$400,X$3)),IF(X$2="Espèce",IF(X$3="Toutes",SUMIFS('Étape 1 - à remplir'!$F$31:$F$400,'Étape 1 - à remplir'!$E$31:$E$400,MASQ2!O341,'Étape 1 - à remplir'!$G$31:$G$400,"animaux"),SUMIFS('Étape 1 - à remplir'!$F$31:$F$400,'Étape 1 - à remplir'!$E$31:$E$400,MASQ2!O341,'Étape 1 - à remplir'!$N$31:$N$400,X$3)))))))</f>
        <v>#N/A</v>
      </c>
      <c r="Q341" s="63">
        <f t="shared" si="260"/>
        <v>0</v>
      </c>
      <c r="R341" t="str">
        <f>Données_ATB!BM340</f>
        <v>Cloxacilline</v>
      </c>
      <c r="S341" t="str">
        <f>Données_ATB!BN340</f>
        <v/>
      </c>
      <c r="T341" s="63" t="str">
        <f>Données_ATB!BO340</f>
        <v/>
      </c>
      <c r="U341" s="42" t="str">
        <f>Données_ATB!BQ340</f>
        <v>Penicillines</v>
      </c>
      <c r="V341" t="str">
        <f>Données_ATB!BR340</f>
        <v/>
      </c>
      <c r="W341" s="63" t="str">
        <f>Données_ATB!BS340</f>
        <v/>
      </c>
      <c r="Z341" s="42">
        <v>338</v>
      </c>
      <c r="AA341" t="e">
        <f t="shared" si="256"/>
        <v>#N/A</v>
      </c>
      <c r="AB341" s="63" t="e">
        <f t="shared" si="257"/>
        <v>#N/A</v>
      </c>
      <c r="BF341" s="63"/>
      <c r="BT341" s="194" t="str">
        <f t="shared" ca="1" si="240"/>
        <v/>
      </c>
      <c r="BU341" s="219" t="str">
        <f>IFERROR(IF(BX341=0,"",COUNTIF(BX$4:BX$600,"&gt;"&amp;BX341)+COUNTIF(BX$4:BX341,BX341)),"")</f>
        <v/>
      </c>
      <c r="BV341" s="42" t="str">
        <f t="shared" si="241"/>
        <v>ORBENIN HORS LACTATION</v>
      </c>
      <c r="BW341" t="e">
        <f>IF(IF(CE$2="Catégorie",IF(CE$3="Toutes",SUMIFS('Étape 1 - à remplir'!$F$31:$F$400,'Étape 1 - à remplir'!$E$31:$E$400,MASQ2!BV341,'Étape 1 - à remplir'!$G$31:$G$400,"lots"),SUMIFS('Étape 1 - à remplir'!$F$31:$F$400,'Étape 1 - à remplir'!$E$31:$E$400,MASQ2!BV341,'Étape 1 - à remplir'!$C$31:$C$400,CE$3)),IF(CE$2="Âge",IF(CE$3="Tous",SUMIFS('Étape 1 - à remplir'!$F$31:$F$400,'Étape 1 - à remplir'!$E$31:$E$400,MASQ2!BV341,'Étape 1 - à remplir'!$G$31:$G$400,"lots"),SUMIFS('Étape 1 - à remplir'!$F$31:$F$400,'Étape 1 - à remplir'!$E$31:$E$400,MASQ2!BV341,'Étape 1 - à remplir'!$P$31:$P$400,CE$3,'Étape 1 - à remplir'!$G$31:$G$400,"lots")),IF(CE$2="Atelier",IF(CE$3="Tous",SUMIFS('Étape 1 - à remplir'!$F$31:$F$400,'Étape 1 - à remplir'!$E$31:$E$400,MASQ2!BV341,'Étape 1 - à remplir'!$G$31:$G$400,"lots"),SUMIFS('Étape 1 - à remplir'!$F$31:$F$400,'Étape 1 - à remplir'!$E$31:$E$400,MASQ2!BV341,'Étape 1 - à remplir'!$O$31:$O$400,CE$3,'Étape 1 - à remplir'!$G$31:$G$400,"lots")),IF(CE$2="Espèce",IF(CE$3="Toutes",SUMIFS('Étape 1 - à remplir'!$F$31:$F$400,'Étape 1 - à remplir'!$E$31:$E$400,MASQ2!BV341,'Étape 1 - à remplir'!$G$31:$G$400,"lots"),SUMIFS('Étape 1 - à remplir'!$F$31:$F$400,'Étape 1 - à remplir'!$E$31:$E$400,MASQ2!BV341,'Étape 1 - à remplir'!$N$31:$N$400,CE$3,'Étape 1 - à remplir'!$G$31:$G$400,"lots"))))))=0,NA(),IF(CE$2="Catégorie",IF(CE$3="Toutes",SUMIFS('Étape 1 - à remplir'!$F$31:$F$400,'Étape 1 - à remplir'!$E$31:$E$400,MASQ2!BV341,'Étape 1 - à remplir'!$G$31:$G$400,"lots"),SUMIFS('Étape 1 - à remplir'!$F$31:$F$400,'Étape 1 - à remplir'!$E$31:$E$400,MASQ2!BV341,'Étape 1 - à remplir'!$C$31:$C$400,CE$3)),IF(CE$2="Âge",IF(CE$3="Tous",SUMIFS('Étape 1 - à remplir'!$F$31:$F$400,'Étape 1 - à remplir'!$E$31:$E$400,MASQ2!BV341,'Étape 1 - à remplir'!$G$31:$G$400,"lots"),SUMIFS('Étape 1 - à remplir'!$F$31:$F$400,'Étape 1 - à remplir'!$E$31:$E$400,MASQ2!BV341,'Étape 1 - à remplir'!$P$31:$P$400,CE$3,'Étape 1 - à remplir'!$G$31:$G$400,"lots")),IF(CE$2="Atelier",IF(CE$3="Tous",SUMIFS('Étape 1 - à remplir'!$F$31:$F$400,'Étape 1 - à remplir'!$E$31:$E$400,MASQ2!BV341,'Étape 1 - à remplir'!$G$31:$G$400,"lots"),SUMIFS('Étape 1 - à remplir'!$F$31:$F$400,'Étape 1 - à remplir'!$E$31:$E$400,MASQ2!BV341,'Étape 1 - à remplir'!$O$31:$O$400,CE$3,'Étape 1 - à remplir'!$G$31:$G$400,"lots")),IF(CE$2="Espèce",IF(CE$3="Toutes",SUMIFS('Étape 1 - à remplir'!$F$31:$F$400,'Étape 1 - à remplir'!$E$31:$E$400,MASQ2!BV341,'Étape 1 - à remplir'!$G$31:$G$400,"lots"),SUMIFS('Étape 1 - à remplir'!$F$31:$F$400,'Étape 1 - à remplir'!$E$31:$E$400,MASQ2!BV341,'Étape 1 - à remplir'!$N$31:$N$400,CE$3,'Étape 1 - à remplir'!$G$31:$G$400,"lots")))))))</f>
        <v>#N/A</v>
      </c>
      <c r="BX341">
        <f t="shared" si="258"/>
        <v>0</v>
      </c>
      <c r="BY341" t="str">
        <f t="shared" si="242"/>
        <v>Cloxacilline</v>
      </c>
      <c r="BZ341" t="str">
        <f t="shared" si="243"/>
        <v/>
      </c>
      <c r="CA341" t="str">
        <f t="shared" si="244"/>
        <v/>
      </c>
      <c r="CB341" t="str">
        <f t="shared" si="245"/>
        <v>Penicillines</v>
      </c>
      <c r="CC341" t="str">
        <f t="shared" si="246"/>
        <v/>
      </c>
      <c r="CD341" s="63" t="str">
        <f t="shared" si="247"/>
        <v/>
      </c>
      <c r="CG341" s="42">
        <v>338</v>
      </c>
      <c r="CH341" s="42" t="e">
        <f t="shared" si="263"/>
        <v>#N/A</v>
      </c>
      <c r="CI341" s="63" t="e">
        <f t="shared" si="264"/>
        <v>#N/A</v>
      </c>
      <c r="DM341" s="63"/>
      <c r="EA341" s="194" t="str">
        <f t="shared" ca="1" si="248"/>
        <v/>
      </c>
      <c r="EB341" s="226" t="str">
        <f>IFERROR(IF(ED341=0,"",COUNTIF(ED$4:ED$600,"&gt;"&amp;ED341)+COUNTIF(ED$4:ED341,ED341)),"")</f>
        <v/>
      </c>
      <c r="EC341" t="str">
        <f t="shared" si="249"/>
        <v>ORBENIN HORS LACTATION</v>
      </c>
      <c r="ED341" t="e">
        <f>IF(IF(EL$2="Catégorie",IF(EL$3="Toutes",SUMIFS('Étape 1 - à remplir'!$F$31:$F$400,'Étape 1 - à remplir'!$E$31:$E$400,MASQ2!EC341,'Étape 1 - à remplir'!$G$31:$G$400,"kg"),SUMIFS('Étape 1 - à remplir'!$F$31:$F$400,'Étape 1 - à remplir'!$E$31:$E$400,MASQ2!EC341,'Étape 1 - à remplir'!$C$31:$C$400,EL$3)),IF(EL$2="Âge",IF(EL$3="Tous",SUMIFS('Étape 1 - à remplir'!$F$31:$F$400,'Étape 1 - à remplir'!$E$31:$E$400,MASQ2!EC341,'Étape 1 - à remplir'!$G$31:$G$400,"kg"),SUMIFS('Étape 1 - à remplir'!$F$31:$F$400,'Étape 1 - à remplir'!$E$31:$E$400,MASQ2!EC341,'Étape 1 - à remplir'!$P$31:$P$400,EL$3,'Étape 1 - à remplir'!$G$31:$G$400,"kg")),IF(EL$2="Atelier",IF(EL$3="Tous",SUMIFS('Étape 1 - à remplir'!$F$31:$F$400,'Étape 1 - à remplir'!$E$31:$E$400,MASQ2!EC341,'Étape 1 - à remplir'!$G$31:$G$400,"kg"),SUMIFS('Étape 1 - à remplir'!$F$31:$F$400,'Étape 1 - à remplir'!$E$31:$E$400,MASQ2!EC341,'Étape 1 - à remplir'!$O$31:$O$400,EL$3,'Étape 1 - à remplir'!$G$31:$G$400,"kg")),IF(EL$2="Espèce",IF(EL$3="Toutes",SUMIFS('Étape 1 - à remplir'!$F$31:$F$400,'Étape 1 - à remplir'!$E$31:$E$400,MASQ2!EC341,'Étape 1 - à remplir'!$G$31:$G$400,"kg"),SUMIFS('Étape 1 - à remplir'!$F$31:$F$400,'Étape 1 - à remplir'!$E$31:$E$400,MASQ2!EC341,'Étape 1 - à remplir'!$N$31:$N$400,EL$3,'Étape 1 - à remplir'!$G$31:$G$400,"kg"))))))=0,NA(),IF(EL$2="Catégorie",IF(EL$3="Toutes",SUMIFS('Étape 1 - à remplir'!$F$31:$F$400,'Étape 1 - à remplir'!$E$31:$E$400,MASQ2!EC341,'Étape 1 - à remplir'!$G$31:$G$400,"kg"),SUMIFS('Étape 1 - à remplir'!$F$31:$F$400,'Étape 1 - à remplir'!$E$31:$E$400,MASQ2!EC341,'Étape 1 - à remplir'!$C$31:$C$400,EL$3)),IF(EL$2="Âge",IF(EL$3="Tous",SUMIFS('Étape 1 - à remplir'!$F$31:$F$400,'Étape 1 - à remplir'!$E$31:$E$400,MASQ2!EC341,'Étape 1 - à remplir'!$G$31:$G$400,"kg"),SUMIFS('Étape 1 - à remplir'!$F$31:$F$400,'Étape 1 - à remplir'!$E$31:$E$400,MASQ2!EC341,'Étape 1 - à remplir'!$P$31:$P$400,EL$3,'Étape 1 - à remplir'!$G$31:$G$400,"kg")),IF(EL$2="Atelier",IF(EL$3="Tous",SUMIFS('Étape 1 - à remplir'!$F$31:$F$400,'Étape 1 - à remplir'!$E$31:$E$400,MASQ2!EC341,'Étape 1 - à remplir'!$G$31:$G$400,"kg"),SUMIFS('Étape 1 - à remplir'!$F$31:$F$400,'Étape 1 - à remplir'!$E$31:$E$400,MASQ2!EC341,'Étape 1 - à remplir'!$O$31:$O$400,EL$3,'Étape 1 - à remplir'!$G$31:$G$400,"kg")),IF(EL$2="Espèce",IF(EL$3="Toutes",SUMIFS('Étape 1 - à remplir'!$F$31:$F$400,'Étape 1 - à remplir'!$E$31:$E$400,MASQ2!EC341,'Étape 1 - à remplir'!$G$31:$G$400,"kg"),SUMIFS('Étape 1 - à remplir'!$F$31:$F$400,'Étape 1 - à remplir'!$E$31:$E$400,MASQ2!EC341,'Étape 1 - à remplir'!$N$31:$N$400,EL$3,'Étape 1 - à remplir'!$G$31:$G$400,"kg")))))))</f>
        <v>#N/A</v>
      </c>
      <c r="EE341" s="76">
        <f t="shared" si="259"/>
        <v>0</v>
      </c>
      <c r="EF341" t="str">
        <f t="shared" si="250"/>
        <v>Cloxacilline</v>
      </c>
      <c r="EG341" t="str">
        <f t="shared" si="251"/>
        <v/>
      </c>
      <c r="EH341" t="str">
        <f t="shared" si="252"/>
        <v/>
      </c>
      <c r="EI341" t="str">
        <f t="shared" si="253"/>
        <v>Penicillines</v>
      </c>
      <c r="EJ341" t="str">
        <f t="shared" si="254"/>
        <v/>
      </c>
      <c r="EK341" s="63" t="str">
        <f t="shared" si="255"/>
        <v/>
      </c>
      <c r="EN341" s="42">
        <v>338</v>
      </c>
      <c r="EO341" t="e">
        <f t="shared" si="261"/>
        <v>#N/A</v>
      </c>
      <c r="EP341" s="63" t="e">
        <f t="shared" si="262"/>
        <v>#N/A</v>
      </c>
      <c r="FT341" s="63"/>
    </row>
    <row r="342" spans="2:176" x14ac:dyDescent="0.3">
      <c r="B342" s="42"/>
      <c r="M342" s="194" t="str">
        <f ca="1">INDEX(Données_ATB!BD:BU,MATCH(MASQ2!O342,Données_ATB!BD:BD,0),18)</f>
        <v/>
      </c>
      <c r="N342" s="14" t="str">
        <f>IFERROR(IF(Q342=0,"",COUNTIF(Q$4:Q$600,"&gt;"&amp;Q342)+COUNTIF(Q$4:Q342,Q342)),"")</f>
        <v/>
      </c>
      <c r="O342" t="str">
        <f>Données_ATB!BD341</f>
        <v>ORBENIN LONGUE ACTION</v>
      </c>
      <c r="P342" t="e">
        <f>IF(IF(X$2="Catégorie",IF(X$3="Toutes",SUMIFS('Étape 1 - à remplir'!$F$31:$F$400,'Étape 1 - à remplir'!$E$31:$E$400,MASQ2!O342,'Étape 1 - à remplir'!$G$31:$G$400,"animaux"),SUMIFS('Étape 1 - à remplir'!$F$31:$F$400,'Étape 1 - à remplir'!$E$31:$E$400,MASQ2!O342,'Étape 1 - à remplir'!$C$31:$C$400,X$3)),IF(X$2="Âge",IF(X$3="Tous",SUMIFS('Étape 1 - à remplir'!$F$31:$F$400,'Étape 1 - à remplir'!$E$31:$E$400,MASQ2!O342,'Étape 1 - à remplir'!$G$31:$G$400,"animaux"),SUMIFS('Étape 1 - à remplir'!$F$31:$F$400,'Étape 1 - à remplir'!$E$31:$E$400,MASQ2!O342,'Étape 1 - à remplir'!$P$31:$P$400,X$3)),IF(X$2="Atelier",IF(X$3="Tous",SUMIFS('Étape 1 - à remplir'!$F$31:$F$400,'Étape 1 - à remplir'!$E$31:$E$400,MASQ2!O342,'Étape 1 - à remplir'!$G$31:$G$400,"animaux"),SUMIFS('Étape 1 - à remplir'!$F$31:$F$400,'Étape 1 - à remplir'!$E$31:$E$400,MASQ2!O342,'Étape 1 - à remplir'!$O$31:$O$400,X$3)),IF(X$2="Espèce",IF(X$3="Toutes",SUMIFS('Étape 1 - à remplir'!$F$31:$F$400,'Étape 1 - à remplir'!$E$31:$E$400,MASQ2!O342,'Étape 1 - à remplir'!$G$31:$G$400,"animaux"),SUMIFS('Étape 1 - à remplir'!$F$31:$F$400,'Étape 1 - à remplir'!$E$31:$E$400,MASQ2!O342,'Étape 1 - à remplir'!$N$31:$N$400,X$3))))))=0,NA(),IF(X$2="Catégorie",IF(X$3="Toutes",SUMIFS('Étape 1 - à remplir'!$F$31:$F$400,'Étape 1 - à remplir'!$E$31:$E$400,MASQ2!O342,'Étape 1 - à remplir'!$G$31:$G$400,"animaux"),SUMIFS('Étape 1 - à remplir'!$F$31:$F$400,'Étape 1 - à remplir'!$E$31:$E$400,MASQ2!O342,'Étape 1 - à remplir'!$C$31:$C$400,X$3)),IF(X$2="Âge",IF(X$3="Tous",SUMIFS('Étape 1 - à remplir'!$F$31:$F$400,'Étape 1 - à remplir'!$E$31:$E$400,MASQ2!O342,'Étape 1 - à remplir'!$G$31:$G$400,"animaux"),SUMIFS('Étape 1 - à remplir'!$F$31:$F$400,'Étape 1 - à remplir'!$E$31:$E$400,MASQ2!O342,'Étape 1 - à remplir'!$P$31:$P$400,X$3)),IF(X$2="Atelier",IF(X$3="Tous",SUMIFS('Étape 1 - à remplir'!$F$31:$F$400,'Étape 1 - à remplir'!$E$31:$E$400,MASQ2!O342,'Étape 1 - à remplir'!$G$31:$G$400,"animaux"),SUMIFS('Étape 1 - à remplir'!$F$31:$F$400,'Étape 1 - à remplir'!$E$31:$E$400,MASQ2!O342,'Étape 1 - à remplir'!$O$31:$O$400,X$3)),IF(X$2="Espèce",IF(X$3="Toutes",SUMIFS('Étape 1 - à remplir'!$F$31:$F$400,'Étape 1 - à remplir'!$E$31:$E$400,MASQ2!O342,'Étape 1 - à remplir'!$G$31:$G$400,"animaux"),SUMIFS('Étape 1 - à remplir'!$F$31:$F$400,'Étape 1 - à remplir'!$E$31:$E$400,MASQ2!O342,'Étape 1 - à remplir'!$N$31:$N$400,X$3)))))))</f>
        <v>#N/A</v>
      </c>
      <c r="Q342" s="63">
        <f t="shared" si="260"/>
        <v>0</v>
      </c>
      <c r="R342" t="str">
        <f>Données_ATB!BM341</f>
        <v>Cloxacilline</v>
      </c>
      <c r="S342" t="str">
        <f>Données_ATB!BN341</f>
        <v/>
      </c>
      <c r="T342" s="63" t="str">
        <f>Données_ATB!BO341</f>
        <v/>
      </c>
      <c r="U342" s="42" t="str">
        <f>Données_ATB!BQ341</f>
        <v>Penicillines</v>
      </c>
      <c r="V342" t="str">
        <f>Données_ATB!BR341</f>
        <v/>
      </c>
      <c r="W342" s="63" t="str">
        <f>Données_ATB!BS341</f>
        <v/>
      </c>
      <c r="Z342" s="42">
        <v>339</v>
      </c>
      <c r="AA342" t="e">
        <f t="shared" si="256"/>
        <v>#N/A</v>
      </c>
      <c r="AB342" s="63" t="e">
        <f t="shared" si="257"/>
        <v>#N/A</v>
      </c>
      <c r="BF342" s="63"/>
      <c r="BT342" s="194" t="str">
        <f t="shared" ca="1" si="240"/>
        <v/>
      </c>
      <c r="BU342" s="219" t="str">
        <f>IFERROR(IF(BX342=0,"",COUNTIF(BX$4:BX$600,"&gt;"&amp;BX342)+COUNTIF(BX$4:BX342,BX342)),"")</f>
        <v/>
      </c>
      <c r="BV342" s="42" t="str">
        <f t="shared" si="241"/>
        <v>ORBENIN LONGUE ACTION</v>
      </c>
      <c r="BW342" t="e">
        <f>IF(IF(CE$2="Catégorie",IF(CE$3="Toutes",SUMIFS('Étape 1 - à remplir'!$F$31:$F$400,'Étape 1 - à remplir'!$E$31:$E$400,MASQ2!BV342,'Étape 1 - à remplir'!$G$31:$G$400,"lots"),SUMIFS('Étape 1 - à remplir'!$F$31:$F$400,'Étape 1 - à remplir'!$E$31:$E$400,MASQ2!BV342,'Étape 1 - à remplir'!$C$31:$C$400,CE$3)),IF(CE$2="Âge",IF(CE$3="Tous",SUMIFS('Étape 1 - à remplir'!$F$31:$F$400,'Étape 1 - à remplir'!$E$31:$E$400,MASQ2!BV342,'Étape 1 - à remplir'!$G$31:$G$400,"lots"),SUMIFS('Étape 1 - à remplir'!$F$31:$F$400,'Étape 1 - à remplir'!$E$31:$E$400,MASQ2!BV342,'Étape 1 - à remplir'!$P$31:$P$400,CE$3,'Étape 1 - à remplir'!$G$31:$G$400,"lots")),IF(CE$2="Atelier",IF(CE$3="Tous",SUMIFS('Étape 1 - à remplir'!$F$31:$F$400,'Étape 1 - à remplir'!$E$31:$E$400,MASQ2!BV342,'Étape 1 - à remplir'!$G$31:$G$400,"lots"),SUMIFS('Étape 1 - à remplir'!$F$31:$F$400,'Étape 1 - à remplir'!$E$31:$E$400,MASQ2!BV342,'Étape 1 - à remplir'!$O$31:$O$400,CE$3,'Étape 1 - à remplir'!$G$31:$G$400,"lots")),IF(CE$2="Espèce",IF(CE$3="Toutes",SUMIFS('Étape 1 - à remplir'!$F$31:$F$400,'Étape 1 - à remplir'!$E$31:$E$400,MASQ2!BV342,'Étape 1 - à remplir'!$G$31:$G$400,"lots"),SUMIFS('Étape 1 - à remplir'!$F$31:$F$400,'Étape 1 - à remplir'!$E$31:$E$400,MASQ2!BV342,'Étape 1 - à remplir'!$N$31:$N$400,CE$3,'Étape 1 - à remplir'!$G$31:$G$400,"lots"))))))=0,NA(),IF(CE$2="Catégorie",IF(CE$3="Toutes",SUMIFS('Étape 1 - à remplir'!$F$31:$F$400,'Étape 1 - à remplir'!$E$31:$E$400,MASQ2!BV342,'Étape 1 - à remplir'!$G$31:$G$400,"lots"),SUMIFS('Étape 1 - à remplir'!$F$31:$F$400,'Étape 1 - à remplir'!$E$31:$E$400,MASQ2!BV342,'Étape 1 - à remplir'!$C$31:$C$400,CE$3)),IF(CE$2="Âge",IF(CE$3="Tous",SUMIFS('Étape 1 - à remplir'!$F$31:$F$400,'Étape 1 - à remplir'!$E$31:$E$400,MASQ2!BV342,'Étape 1 - à remplir'!$G$31:$G$400,"lots"),SUMIFS('Étape 1 - à remplir'!$F$31:$F$400,'Étape 1 - à remplir'!$E$31:$E$400,MASQ2!BV342,'Étape 1 - à remplir'!$P$31:$P$400,CE$3,'Étape 1 - à remplir'!$G$31:$G$400,"lots")),IF(CE$2="Atelier",IF(CE$3="Tous",SUMIFS('Étape 1 - à remplir'!$F$31:$F$400,'Étape 1 - à remplir'!$E$31:$E$400,MASQ2!BV342,'Étape 1 - à remplir'!$G$31:$G$400,"lots"),SUMIFS('Étape 1 - à remplir'!$F$31:$F$400,'Étape 1 - à remplir'!$E$31:$E$400,MASQ2!BV342,'Étape 1 - à remplir'!$O$31:$O$400,CE$3,'Étape 1 - à remplir'!$G$31:$G$400,"lots")),IF(CE$2="Espèce",IF(CE$3="Toutes",SUMIFS('Étape 1 - à remplir'!$F$31:$F$400,'Étape 1 - à remplir'!$E$31:$E$400,MASQ2!BV342,'Étape 1 - à remplir'!$G$31:$G$400,"lots"),SUMIFS('Étape 1 - à remplir'!$F$31:$F$400,'Étape 1 - à remplir'!$E$31:$E$400,MASQ2!BV342,'Étape 1 - à remplir'!$N$31:$N$400,CE$3,'Étape 1 - à remplir'!$G$31:$G$400,"lots")))))))</f>
        <v>#N/A</v>
      </c>
      <c r="BX342">
        <f t="shared" si="258"/>
        <v>0</v>
      </c>
      <c r="BY342" t="str">
        <f t="shared" si="242"/>
        <v>Cloxacilline</v>
      </c>
      <c r="BZ342" t="str">
        <f t="shared" si="243"/>
        <v/>
      </c>
      <c r="CA342" t="str">
        <f t="shared" si="244"/>
        <v/>
      </c>
      <c r="CB342" t="str">
        <f t="shared" si="245"/>
        <v>Penicillines</v>
      </c>
      <c r="CC342" t="str">
        <f t="shared" si="246"/>
        <v/>
      </c>
      <c r="CD342" s="63" t="str">
        <f t="shared" si="247"/>
        <v/>
      </c>
      <c r="CG342" s="42">
        <v>339</v>
      </c>
      <c r="CH342" s="42" t="e">
        <f t="shared" si="263"/>
        <v>#N/A</v>
      </c>
      <c r="CI342" s="63" t="e">
        <f t="shared" si="264"/>
        <v>#N/A</v>
      </c>
      <c r="DM342" s="63"/>
      <c r="EA342" s="194" t="str">
        <f t="shared" ca="1" si="248"/>
        <v/>
      </c>
      <c r="EB342" s="226" t="str">
        <f>IFERROR(IF(ED342=0,"",COUNTIF(ED$4:ED$600,"&gt;"&amp;ED342)+COUNTIF(ED$4:ED342,ED342)),"")</f>
        <v/>
      </c>
      <c r="EC342" t="str">
        <f t="shared" si="249"/>
        <v>ORBENIN LONGUE ACTION</v>
      </c>
      <c r="ED342" t="e">
        <f>IF(IF(EL$2="Catégorie",IF(EL$3="Toutes",SUMIFS('Étape 1 - à remplir'!$F$31:$F$400,'Étape 1 - à remplir'!$E$31:$E$400,MASQ2!EC342,'Étape 1 - à remplir'!$G$31:$G$400,"kg"),SUMIFS('Étape 1 - à remplir'!$F$31:$F$400,'Étape 1 - à remplir'!$E$31:$E$400,MASQ2!EC342,'Étape 1 - à remplir'!$C$31:$C$400,EL$3)),IF(EL$2="Âge",IF(EL$3="Tous",SUMIFS('Étape 1 - à remplir'!$F$31:$F$400,'Étape 1 - à remplir'!$E$31:$E$400,MASQ2!EC342,'Étape 1 - à remplir'!$G$31:$G$400,"kg"),SUMIFS('Étape 1 - à remplir'!$F$31:$F$400,'Étape 1 - à remplir'!$E$31:$E$400,MASQ2!EC342,'Étape 1 - à remplir'!$P$31:$P$400,EL$3,'Étape 1 - à remplir'!$G$31:$G$400,"kg")),IF(EL$2="Atelier",IF(EL$3="Tous",SUMIFS('Étape 1 - à remplir'!$F$31:$F$400,'Étape 1 - à remplir'!$E$31:$E$400,MASQ2!EC342,'Étape 1 - à remplir'!$G$31:$G$400,"kg"),SUMIFS('Étape 1 - à remplir'!$F$31:$F$400,'Étape 1 - à remplir'!$E$31:$E$400,MASQ2!EC342,'Étape 1 - à remplir'!$O$31:$O$400,EL$3,'Étape 1 - à remplir'!$G$31:$G$400,"kg")),IF(EL$2="Espèce",IF(EL$3="Toutes",SUMIFS('Étape 1 - à remplir'!$F$31:$F$400,'Étape 1 - à remplir'!$E$31:$E$400,MASQ2!EC342,'Étape 1 - à remplir'!$G$31:$G$400,"kg"),SUMIFS('Étape 1 - à remplir'!$F$31:$F$400,'Étape 1 - à remplir'!$E$31:$E$400,MASQ2!EC342,'Étape 1 - à remplir'!$N$31:$N$400,EL$3,'Étape 1 - à remplir'!$G$31:$G$400,"kg"))))))=0,NA(),IF(EL$2="Catégorie",IF(EL$3="Toutes",SUMIFS('Étape 1 - à remplir'!$F$31:$F$400,'Étape 1 - à remplir'!$E$31:$E$400,MASQ2!EC342,'Étape 1 - à remplir'!$G$31:$G$400,"kg"),SUMIFS('Étape 1 - à remplir'!$F$31:$F$400,'Étape 1 - à remplir'!$E$31:$E$400,MASQ2!EC342,'Étape 1 - à remplir'!$C$31:$C$400,EL$3)),IF(EL$2="Âge",IF(EL$3="Tous",SUMIFS('Étape 1 - à remplir'!$F$31:$F$400,'Étape 1 - à remplir'!$E$31:$E$400,MASQ2!EC342,'Étape 1 - à remplir'!$G$31:$G$400,"kg"),SUMIFS('Étape 1 - à remplir'!$F$31:$F$400,'Étape 1 - à remplir'!$E$31:$E$400,MASQ2!EC342,'Étape 1 - à remplir'!$P$31:$P$400,EL$3,'Étape 1 - à remplir'!$G$31:$G$400,"kg")),IF(EL$2="Atelier",IF(EL$3="Tous",SUMIFS('Étape 1 - à remplir'!$F$31:$F$400,'Étape 1 - à remplir'!$E$31:$E$400,MASQ2!EC342,'Étape 1 - à remplir'!$G$31:$G$400,"kg"),SUMIFS('Étape 1 - à remplir'!$F$31:$F$400,'Étape 1 - à remplir'!$E$31:$E$400,MASQ2!EC342,'Étape 1 - à remplir'!$O$31:$O$400,EL$3,'Étape 1 - à remplir'!$G$31:$G$400,"kg")),IF(EL$2="Espèce",IF(EL$3="Toutes",SUMIFS('Étape 1 - à remplir'!$F$31:$F$400,'Étape 1 - à remplir'!$E$31:$E$400,MASQ2!EC342,'Étape 1 - à remplir'!$G$31:$G$400,"kg"),SUMIFS('Étape 1 - à remplir'!$F$31:$F$400,'Étape 1 - à remplir'!$E$31:$E$400,MASQ2!EC342,'Étape 1 - à remplir'!$N$31:$N$400,EL$3,'Étape 1 - à remplir'!$G$31:$G$400,"kg")))))))</f>
        <v>#N/A</v>
      </c>
      <c r="EE342" s="76">
        <f t="shared" si="259"/>
        <v>0</v>
      </c>
      <c r="EF342" t="str">
        <f t="shared" si="250"/>
        <v>Cloxacilline</v>
      </c>
      <c r="EG342" t="str">
        <f t="shared" si="251"/>
        <v/>
      </c>
      <c r="EH342" t="str">
        <f t="shared" si="252"/>
        <v/>
      </c>
      <c r="EI342" t="str">
        <f t="shared" si="253"/>
        <v>Penicillines</v>
      </c>
      <c r="EJ342" t="str">
        <f t="shared" si="254"/>
        <v/>
      </c>
      <c r="EK342" s="63" t="str">
        <f t="shared" si="255"/>
        <v/>
      </c>
      <c r="EN342" s="42">
        <v>339</v>
      </c>
      <c r="EO342" t="e">
        <f t="shared" si="261"/>
        <v>#N/A</v>
      </c>
      <c r="EP342" s="63" t="e">
        <f t="shared" si="262"/>
        <v>#N/A</v>
      </c>
      <c r="FT342" s="63"/>
    </row>
    <row r="343" spans="2:176" x14ac:dyDescent="0.3">
      <c r="B343" s="42"/>
      <c r="M343" s="194" t="str">
        <f ca="1">INDEX(Données_ATB!BD:BU,MATCH(MASQ2!O343,Données_ATB!BD:BD,0),18)</f>
        <v/>
      </c>
      <c r="N343" s="14" t="str">
        <f>IFERROR(IF(Q343=0,"",COUNTIF(Q$4:Q$600,"&gt;"&amp;Q343)+COUNTIF(Q$4:Q343,Q343)),"")</f>
        <v/>
      </c>
      <c r="O343" t="str">
        <f>Données_ATB!BD342</f>
        <v>ORBENOR HORS LACTATION</v>
      </c>
      <c r="P343" t="e">
        <f>IF(IF(X$2="Catégorie",IF(X$3="Toutes",SUMIFS('Étape 1 - à remplir'!$F$31:$F$400,'Étape 1 - à remplir'!$E$31:$E$400,MASQ2!O343,'Étape 1 - à remplir'!$G$31:$G$400,"animaux"),SUMIFS('Étape 1 - à remplir'!$F$31:$F$400,'Étape 1 - à remplir'!$E$31:$E$400,MASQ2!O343,'Étape 1 - à remplir'!$C$31:$C$400,X$3)),IF(X$2="Âge",IF(X$3="Tous",SUMIFS('Étape 1 - à remplir'!$F$31:$F$400,'Étape 1 - à remplir'!$E$31:$E$400,MASQ2!O343,'Étape 1 - à remplir'!$G$31:$G$400,"animaux"),SUMIFS('Étape 1 - à remplir'!$F$31:$F$400,'Étape 1 - à remplir'!$E$31:$E$400,MASQ2!O343,'Étape 1 - à remplir'!$P$31:$P$400,X$3)),IF(X$2="Atelier",IF(X$3="Tous",SUMIFS('Étape 1 - à remplir'!$F$31:$F$400,'Étape 1 - à remplir'!$E$31:$E$400,MASQ2!O343,'Étape 1 - à remplir'!$G$31:$G$400,"animaux"),SUMIFS('Étape 1 - à remplir'!$F$31:$F$400,'Étape 1 - à remplir'!$E$31:$E$400,MASQ2!O343,'Étape 1 - à remplir'!$O$31:$O$400,X$3)),IF(X$2="Espèce",IF(X$3="Toutes",SUMIFS('Étape 1 - à remplir'!$F$31:$F$400,'Étape 1 - à remplir'!$E$31:$E$400,MASQ2!O343,'Étape 1 - à remplir'!$G$31:$G$400,"animaux"),SUMIFS('Étape 1 - à remplir'!$F$31:$F$400,'Étape 1 - à remplir'!$E$31:$E$400,MASQ2!O343,'Étape 1 - à remplir'!$N$31:$N$400,X$3))))))=0,NA(),IF(X$2="Catégorie",IF(X$3="Toutes",SUMIFS('Étape 1 - à remplir'!$F$31:$F$400,'Étape 1 - à remplir'!$E$31:$E$400,MASQ2!O343,'Étape 1 - à remplir'!$G$31:$G$400,"animaux"),SUMIFS('Étape 1 - à remplir'!$F$31:$F$400,'Étape 1 - à remplir'!$E$31:$E$400,MASQ2!O343,'Étape 1 - à remplir'!$C$31:$C$400,X$3)),IF(X$2="Âge",IF(X$3="Tous",SUMIFS('Étape 1 - à remplir'!$F$31:$F$400,'Étape 1 - à remplir'!$E$31:$E$400,MASQ2!O343,'Étape 1 - à remplir'!$G$31:$G$400,"animaux"),SUMIFS('Étape 1 - à remplir'!$F$31:$F$400,'Étape 1 - à remplir'!$E$31:$E$400,MASQ2!O343,'Étape 1 - à remplir'!$P$31:$P$400,X$3)),IF(X$2="Atelier",IF(X$3="Tous",SUMIFS('Étape 1 - à remplir'!$F$31:$F$400,'Étape 1 - à remplir'!$E$31:$E$400,MASQ2!O343,'Étape 1 - à remplir'!$G$31:$G$400,"animaux"),SUMIFS('Étape 1 - à remplir'!$F$31:$F$400,'Étape 1 - à remplir'!$E$31:$E$400,MASQ2!O343,'Étape 1 - à remplir'!$O$31:$O$400,X$3)),IF(X$2="Espèce",IF(X$3="Toutes",SUMIFS('Étape 1 - à remplir'!$F$31:$F$400,'Étape 1 - à remplir'!$E$31:$E$400,MASQ2!O343,'Étape 1 - à remplir'!$G$31:$G$400,"animaux"),SUMIFS('Étape 1 - à remplir'!$F$31:$F$400,'Étape 1 - à remplir'!$E$31:$E$400,MASQ2!O343,'Étape 1 - à remplir'!$N$31:$N$400,X$3)))))))</f>
        <v>#N/A</v>
      </c>
      <c r="Q343" s="63">
        <f t="shared" si="260"/>
        <v>0</v>
      </c>
      <c r="R343" t="str">
        <f>Données_ATB!BM342</f>
        <v>Cloxacilline</v>
      </c>
      <c r="S343" t="str">
        <f>Données_ATB!BN342</f>
        <v/>
      </c>
      <c r="T343" s="63" t="str">
        <f>Données_ATB!BO342</f>
        <v/>
      </c>
      <c r="U343" s="42" t="str">
        <f>Données_ATB!BQ342</f>
        <v>Penicillines</v>
      </c>
      <c r="V343" t="str">
        <f>Données_ATB!BR342</f>
        <v/>
      </c>
      <c r="W343" s="63" t="str">
        <f>Données_ATB!BS342</f>
        <v/>
      </c>
      <c r="Z343" s="42">
        <v>340</v>
      </c>
      <c r="AA343" t="e">
        <f t="shared" si="256"/>
        <v>#N/A</v>
      </c>
      <c r="AB343" s="63" t="e">
        <f t="shared" si="257"/>
        <v>#N/A</v>
      </c>
      <c r="BF343" s="63"/>
      <c r="BT343" s="194" t="str">
        <f t="shared" ca="1" si="240"/>
        <v/>
      </c>
      <c r="BU343" s="219" t="str">
        <f>IFERROR(IF(BX343=0,"",COUNTIF(BX$4:BX$600,"&gt;"&amp;BX343)+COUNTIF(BX$4:BX343,BX343)),"")</f>
        <v/>
      </c>
      <c r="BV343" s="42" t="str">
        <f t="shared" si="241"/>
        <v>ORBENOR HORS LACTATION</v>
      </c>
      <c r="BW343" t="e">
        <f>IF(IF(CE$2="Catégorie",IF(CE$3="Toutes",SUMIFS('Étape 1 - à remplir'!$F$31:$F$400,'Étape 1 - à remplir'!$E$31:$E$400,MASQ2!BV343,'Étape 1 - à remplir'!$G$31:$G$400,"lots"),SUMIFS('Étape 1 - à remplir'!$F$31:$F$400,'Étape 1 - à remplir'!$E$31:$E$400,MASQ2!BV343,'Étape 1 - à remplir'!$C$31:$C$400,CE$3)),IF(CE$2="Âge",IF(CE$3="Tous",SUMIFS('Étape 1 - à remplir'!$F$31:$F$400,'Étape 1 - à remplir'!$E$31:$E$400,MASQ2!BV343,'Étape 1 - à remplir'!$G$31:$G$400,"lots"),SUMIFS('Étape 1 - à remplir'!$F$31:$F$400,'Étape 1 - à remplir'!$E$31:$E$400,MASQ2!BV343,'Étape 1 - à remplir'!$P$31:$P$400,CE$3,'Étape 1 - à remplir'!$G$31:$G$400,"lots")),IF(CE$2="Atelier",IF(CE$3="Tous",SUMIFS('Étape 1 - à remplir'!$F$31:$F$400,'Étape 1 - à remplir'!$E$31:$E$400,MASQ2!BV343,'Étape 1 - à remplir'!$G$31:$G$400,"lots"),SUMIFS('Étape 1 - à remplir'!$F$31:$F$400,'Étape 1 - à remplir'!$E$31:$E$400,MASQ2!BV343,'Étape 1 - à remplir'!$O$31:$O$400,CE$3,'Étape 1 - à remplir'!$G$31:$G$400,"lots")),IF(CE$2="Espèce",IF(CE$3="Toutes",SUMIFS('Étape 1 - à remplir'!$F$31:$F$400,'Étape 1 - à remplir'!$E$31:$E$400,MASQ2!BV343,'Étape 1 - à remplir'!$G$31:$G$400,"lots"),SUMIFS('Étape 1 - à remplir'!$F$31:$F$400,'Étape 1 - à remplir'!$E$31:$E$400,MASQ2!BV343,'Étape 1 - à remplir'!$N$31:$N$400,CE$3,'Étape 1 - à remplir'!$G$31:$G$400,"lots"))))))=0,NA(),IF(CE$2="Catégorie",IF(CE$3="Toutes",SUMIFS('Étape 1 - à remplir'!$F$31:$F$400,'Étape 1 - à remplir'!$E$31:$E$400,MASQ2!BV343,'Étape 1 - à remplir'!$G$31:$G$400,"lots"),SUMIFS('Étape 1 - à remplir'!$F$31:$F$400,'Étape 1 - à remplir'!$E$31:$E$400,MASQ2!BV343,'Étape 1 - à remplir'!$C$31:$C$400,CE$3)),IF(CE$2="Âge",IF(CE$3="Tous",SUMIFS('Étape 1 - à remplir'!$F$31:$F$400,'Étape 1 - à remplir'!$E$31:$E$400,MASQ2!BV343,'Étape 1 - à remplir'!$G$31:$G$400,"lots"),SUMIFS('Étape 1 - à remplir'!$F$31:$F$400,'Étape 1 - à remplir'!$E$31:$E$400,MASQ2!BV343,'Étape 1 - à remplir'!$P$31:$P$400,CE$3,'Étape 1 - à remplir'!$G$31:$G$400,"lots")),IF(CE$2="Atelier",IF(CE$3="Tous",SUMIFS('Étape 1 - à remplir'!$F$31:$F$400,'Étape 1 - à remplir'!$E$31:$E$400,MASQ2!BV343,'Étape 1 - à remplir'!$G$31:$G$400,"lots"),SUMIFS('Étape 1 - à remplir'!$F$31:$F$400,'Étape 1 - à remplir'!$E$31:$E$400,MASQ2!BV343,'Étape 1 - à remplir'!$O$31:$O$400,CE$3,'Étape 1 - à remplir'!$G$31:$G$400,"lots")),IF(CE$2="Espèce",IF(CE$3="Toutes",SUMIFS('Étape 1 - à remplir'!$F$31:$F$400,'Étape 1 - à remplir'!$E$31:$E$400,MASQ2!BV343,'Étape 1 - à remplir'!$G$31:$G$400,"lots"),SUMIFS('Étape 1 - à remplir'!$F$31:$F$400,'Étape 1 - à remplir'!$E$31:$E$400,MASQ2!BV343,'Étape 1 - à remplir'!$N$31:$N$400,CE$3,'Étape 1 - à remplir'!$G$31:$G$400,"lots")))))))</f>
        <v>#N/A</v>
      </c>
      <c r="BX343">
        <f t="shared" si="258"/>
        <v>0</v>
      </c>
      <c r="BY343" t="str">
        <f t="shared" si="242"/>
        <v>Cloxacilline</v>
      </c>
      <c r="BZ343" t="str">
        <f t="shared" si="243"/>
        <v/>
      </c>
      <c r="CA343" t="str">
        <f t="shared" si="244"/>
        <v/>
      </c>
      <c r="CB343" t="str">
        <f t="shared" si="245"/>
        <v>Penicillines</v>
      </c>
      <c r="CC343" t="str">
        <f t="shared" si="246"/>
        <v/>
      </c>
      <c r="CD343" s="63" t="str">
        <f t="shared" si="247"/>
        <v/>
      </c>
      <c r="CG343" s="42">
        <v>340</v>
      </c>
      <c r="CH343" s="42" t="e">
        <f t="shared" si="263"/>
        <v>#N/A</v>
      </c>
      <c r="CI343" s="63" t="e">
        <f t="shared" si="264"/>
        <v>#N/A</v>
      </c>
      <c r="DM343" s="63"/>
      <c r="EA343" s="194" t="str">
        <f t="shared" ca="1" si="248"/>
        <v/>
      </c>
      <c r="EB343" s="226" t="str">
        <f>IFERROR(IF(ED343=0,"",COUNTIF(ED$4:ED$600,"&gt;"&amp;ED343)+COUNTIF(ED$4:ED343,ED343)),"")</f>
        <v/>
      </c>
      <c r="EC343" t="str">
        <f t="shared" si="249"/>
        <v>ORBENOR HORS LACTATION</v>
      </c>
      <c r="ED343" t="e">
        <f>IF(IF(EL$2="Catégorie",IF(EL$3="Toutes",SUMIFS('Étape 1 - à remplir'!$F$31:$F$400,'Étape 1 - à remplir'!$E$31:$E$400,MASQ2!EC343,'Étape 1 - à remplir'!$G$31:$G$400,"kg"),SUMIFS('Étape 1 - à remplir'!$F$31:$F$400,'Étape 1 - à remplir'!$E$31:$E$400,MASQ2!EC343,'Étape 1 - à remplir'!$C$31:$C$400,EL$3)),IF(EL$2="Âge",IF(EL$3="Tous",SUMIFS('Étape 1 - à remplir'!$F$31:$F$400,'Étape 1 - à remplir'!$E$31:$E$400,MASQ2!EC343,'Étape 1 - à remplir'!$G$31:$G$400,"kg"),SUMIFS('Étape 1 - à remplir'!$F$31:$F$400,'Étape 1 - à remplir'!$E$31:$E$400,MASQ2!EC343,'Étape 1 - à remplir'!$P$31:$P$400,EL$3,'Étape 1 - à remplir'!$G$31:$G$400,"kg")),IF(EL$2="Atelier",IF(EL$3="Tous",SUMIFS('Étape 1 - à remplir'!$F$31:$F$400,'Étape 1 - à remplir'!$E$31:$E$400,MASQ2!EC343,'Étape 1 - à remplir'!$G$31:$G$400,"kg"),SUMIFS('Étape 1 - à remplir'!$F$31:$F$400,'Étape 1 - à remplir'!$E$31:$E$400,MASQ2!EC343,'Étape 1 - à remplir'!$O$31:$O$400,EL$3,'Étape 1 - à remplir'!$G$31:$G$400,"kg")),IF(EL$2="Espèce",IF(EL$3="Toutes",SUMIFS('Étape 1 - à remplir'!$F$31:$F$400,'Étape 1 - à remplir'!$E$31:$E$400,MASQ2!EC343,'Étape 1 - à remplir'!$G$31:$G$400,"kg"),SUMIFS('Étape 1 - à remplir'!$F$31:$F$400,'Étape 1 - à remplir'!$E$31:$E$400,MASQ2!EC343,'Étape 1 - à remplir'!$N$31:$N$400,EL$3,'Étape 1 - à remplir'!$G$31:$G$400,"kg"))))))=0,NA(),IF(EL$2="Catégorie",IF(EL$3="Toutes",SUMIFS('Étape 1 - à remplir'!$F$31:$F$400,'Étape 1 - à remplir'!$E$31:$E$400,MASQ2!EC343,'Étape 1 - à remplir'!$G$31:$G$400,"kg"),SUMIFS('Étape 1 - à remplir'!$F$31:$F$400,'Étape 1 - à remplir'!$E$31:$E$400,MASQ2!EC343,'Étape 1 - à remplir'!$C$31:$C$400,EL$3)),IF(EL$2="Âge",IF(EL$3="Tous",SUMIFS('Étape 1 - à remplir'!$F$31:$F$400,'Étape 1 - à remplir'!$E$31:$E$400,MASQ2!EC343,'Étape 1 - à remplir'!$G$31:$G$400,"kg"),SUMIFS('Étape 1 - à remplir'!$F$31:$F$400,'Étape 1 - à remplir'!$E$31:$E$400,MASQ2!EC343,'Étape 1 - à remplir'!$P$31:$P$400,EL$3,'Étape 1 - à remplir'!$G$31:$G$400,"kg")),IF(EL$2="Atelier",IF(EL$3="Tous",SUMIFS('Étape 1 - à remplir'!$F$31:$F$400,'Étape 1 - à remplir'!$E$31:$E$400,MASQ2!EC343,'Étape 1 - à remplir'!$G$31:$G$400,"kg"),SUMIFS('Étape 1 - à remplir'!$F$31:$F$400,'Étape 1 - à remplir'!$E$31:$E$400,MASQ2!EC343,'Étape 1 - à remplir'!$O$31:$O$400,EL$3,'Étape 1 - à remplir'!$G$31:$G$400,"kg")),IF(EL$2="Espèce",IF(EL$3="Toutes",SUMIFS('Étape 1 - à remplir'!$F$31:$F$400,'Étape 1 - à remplir'!$E$31:$E$400,MASQ2!EC343,'Étape 1 - à remplir'!$G$31:$G$400,"kg"),SUMIFS('Étape 1 - à remplir'!$F$31:$F$400,'Étape 1 - à remplir'!$E$31:$E$400,MASQ2!EC343,'Étape 1 - à remplir'!$N$31:$N$400,EL$3,'Étape 1 - à remplir'!$G$31:$G$400,"kg")))))))</f>
        <v>#N/A</v>
      </c>
      <c r="EE343" s="76">
        <f t="shared" si="259"/>
        <v>0</v>
      </c>
      <c r="EF343" t="str">
        <f t="shared" si="250"/>
        <v>Cloxacilline</v>
      </c>
      <c r="EG343" t="str">
        <f t="shared" si="251"/>
        <v/>
      </c>
      <c r="EH343" t="str">
        <f t="shared" si="252"/>
        <v/>
      </c>
      <c r="EI343" t="str">
        <f t="shared" si="253"/>
        <v>Penicillines</v>
      </c>
      <c r="EJ343" t="str">
        <f t="shared" si="254"/>
        <v/>
      </c>
      <c r="EK343" s="63" t="str">
        <f t="shared" si="255"/>
        <v/>
      </c>
      <c r="EN343" s="42">
        <v>340</v>
      </c>
      <c r="EO343" t="e">
        <f t="shared" si="261"/>
        <v>#N/A</v>
      </c>
      <c r="EP343" s="63" t="e">
        <f t="shared" si="262"/>
        <v>#N/A</v>
      </c>
      <c r="FT343" s="63"/>
    </row>
    <row r="344" spans="2:176" x14ac:dyDescent="0.3">
      <c r="B344" s="42"/>
      <c r="M344" s="194" t="str">
        <f ca="1">INDEX(Données_ATB!BD:BU,MATCH(MASQ2!O344,Données_ATB!BD:BD,0),18)</f>
        <v>x</v>
      </c>
      <c r="N344" s="14" t="str">
        <f>IFERROR(IF(Q344=0,"",COUNTIF(Q$4:Q$600,"&gt;"&amp;Q344)+COUNTIF(Q$4:Q344,Q344)),"")</f>
        <v/>
      </c>
      <c r="O344" t="str">
        <f>Données_ATB!BD343</f>
        <v>ORNIFLOX 25 MG/ML SOLUTION A DILUER POUR SOLUTION BUVABLE POUR LAPINS DE COMPAGNIE, RONGEURS, OISEAUX D'ORNEMENT ET REPTILES</v>
      </c>
      <c r="P344" t="e">
        <f>IF(IF(X$2="Catégorie",IF(X$3="Toutes",SUMIFS('Étape 1 - à remplir'!$F$31:$F$400,'Étape 1 - à remplir'!$E$31:$E$400,MASQ2!O344,'Étape 1 - à remplir'!$G$31:$G$400,"animaux"),SUMIFS('Étape 1 - à remplir'!$F$31:$F$400,'Étape 1 - à remplir'!$E$31:$E$400,MASQ2!O344,'Étape 1 - à remplir'!$C$31:$C$400,X$3)),IF(X$2="Âge",IF(X$3="Tous",SUMIFS('Étape 1 - à remplir'!$F$31:$F$400,'Étape 1 - à remplir'!$E$31:$E$400,MASQ2!O344,'Étape 1 - à remplir'!$G$31:$G$400,"animaux"),SUMIFS('Étape 1 - à remplir'!$F$31:$F$400,'Étape 1 - à remplir'!$E$31:$E$400,MASQ2!O344,'Étape 1 - à remplir'!$P$31:$P$400,X$3)),IF(X$2="Atelier",IF(X$3="Tous",SUMIFS('Étape 1 - à remplir'!$F$31:$F$400,'Étape 1 - à remplir'!$E$31:$E$400,MASQ2!O344,'Étape 1 - à remplir'!$G$31:$G$400,"animaux"),SUMIFS('Étape 1 - à remplir'!$F$31:$F$400,'Étape 1 - à remplir'!$E$31:$E$400,MASQ2!O344,'Étape 1 - à remplir'!$O$31:$O$400,X$3)),IF(X$2="Espèce",IF(X$3="Toutes",SUMIFS('Étape 1 - à remplir'!$F$31:$F$400,'Étape 1 - à remplir'!$E$31:$E$400,MASQ2!O344,'Étape 1 - à remplir'!$G$31:$G$400,"animaux"),SUMIFS('Étape 1 - à remplir'!$F$31:$F$400,'Étape 1 - à remplir'!$E$31:$E$400,MASQ2!O344,'Étape 1 - à remplir'!$N$31:$N$400,X$3))))))=0,NA(),IF(X$2="Catégorie",IF(X$3="Toutes",SUMIFS('Étape 1 - à remplir'!$F$31:$F$400,'Étape 1 - à remplir'!$E$31:$E$400,MASQ2!O344,'Étape 1 - à remplir'!$G$31:$G$400,"animaux"),SUMIFS('Étape 1 - à remplir'!$F$31:$F$400,'Étape 1 - à remplir'!$E$31:$E$400,MASQ2!O344,'Étape 1 - à remplir'!$C$31:$C$400,X$3)),IF(X$2="Âge",IF(X$3="Tous",SUMIFS('Étape 1 - à remplir'!$F$31:$F$400,'Étape 1 - à remplir'!$E$31:$E$400,MASQ2!O344,'Étape 1 - à remplir'!$G$31:$G$400,"animaux"),SUMIFS('Étape 1 - à remplir'!$F$31:$F$400,'Étape 1 - à remplir'!$E$31:$E$400,MASQ2!O344,'Étape 1 - à remplir'!$P$31:$P$400,X$3)),IF(X$2="Atelier",IF(X$3="Tous",SUMIFS('Étape 1 - à remplir'!$F$31:$F$400,'Étape 1 - à remplir'!$E$31:$E$400,MASQ2!O344,'Étape 1 - à remplir'!$G$31:$G$400,"animaux"),SUMIFS('Étape 1 - à remplir'!$F$31:$F$400,'Étape 1 - à remplir'!$E$31:$E$400,MASQ2!O344,'Étape 1 - à remplir'!$O$31:$O$400,X$3)),IF(X$2="Espèce",IF(X$3="Toutes",SUMIFS('Étape 1 - à remplir'!$F$31:$F$400,'Étape 1 - à remplir'!$E$31:$E$400,MASQ2!O344,'Étape 1 - à remplir'!$G$31:$G$400,"animaux"),SUMIFS('Étape 1 - à remplir'!$F$31:$F$400,'Étape 1 - à remplir'!$E$31:$E$400,MASQ2!O344,'Étape 1 - à remplir'!$N$31:$N$400,X$3)))))))</f>
        <v>#N/A</v>
      </c>
      <c r="Q344" s="63">
        <f t="shared" si="260"/>
        <v>0</v>
      </c>
      <c r="R344" t="str">
        <f>Données_ATB!BM343</f>
        <v>Enrofloxacine</v>
      </c>
      <c r="S344" t="str">
        <f>Données_ATB!BN343</f>
        <v/>
      </c>
      <c r="T344" s="63" t="str">
        <f>Données_ATB!BO343</f>
        <v/>
      </c>
      <c r="U344" s="42" t="str">
        <f>Données_ATB!BQ343</f>
        <v>Fluoroquinolones</v>
      </c>
      <c r="V344" t="str">
        <f>Données_ATB!BR343</f>
        <v/>
      </c>
      <c r="W344" s="63" t="str">
        <f>Données_ATB!BS343</f>
        <v/>
      </c>
      <c r="Z344" s="42">
        <v>341</v>
      </c>
      <c r="AA344" t="e">
        <f t="shared" si="256"/>
        <v>#N/A</v>
      </c>
      <c r="AB344" s="63" t="e">
        <f t="shared" si="257"/>
        <v>#N/A</v>
      </c>
      <c r="BF344" s="63"/>
      <c r="BT344" s="194" t="str">
        <f t="shared" ca="1" si="240"/>
        <v>x</v>
      </c>
      <c r="BU344" s="219" t="str">
        <f>IFERROR(IF(BX344=0,"",COUNTIF(BX$4:BX$600,"&gt;"&amp;BX344)+COUNTIF(BX$4:BX344,BX344)),"")</f>
        <v/>
      </c>
      <c r="BV344" s="42" t="str">
        <f t="shared" si="241"/>
        <v>ORNIFLOX 25 MG/ML SOLUTION A DILUER POUR SOLUTION BUVABLE POUR LAPINS DE COMPAGNIE, RONGEURS, OISEAUX D'ORNEMENT ET REPTILES</v>
      </c>
      <c r="BW344" t="e">
        <f>IF(IF(CE$2="Catégorie",IF(CE$3="Toutes",SUMIFS('Étape 1 - à remplir'!$F$31:$F$400,'Étape 1 - à remplir'!$E$31:$E$400,MASQ2!BV344,'Étape 1 - à remplir'!$G$31:$G$400,"lots"),SUMIFS('Étape 1 - à remplir'!$F$31:$F$400,'Étape 1 - à remplir'!$E$31:$E$400,MASQ2!BV344,'Étape 1 - à remplir'!$C$31:$C$400,CE$3)),IF(CE$2="Âge",IF(CE$3="Tous",SUMIFS('Étape 1 - à remplir'!$F$31:$F$400,'Étape 1 - à remplir'!$E$31:$E$400,MASQ2!BV344,'Étape 1 - à remplir'!$G$31:$G$400,"lots"),SUMIFS('Étape 1 - à remplir'!$F$31:$F$400,'Étape 1 - à remplir'!$E$31:$E$400,MASQ2!BV344,'Étape 1 - à remplir'!$P$31:$P$400,CE$3,'Étape 1 - à remplir'!$G$31:$G$400,"lots")),IF(CE$2="Atelier",IF(CE$3="Tous",SUMIFS('Étape 1 - à remplir'!$F$31:$F$400,'Étape 1 - à remplir'!$E$31:$E$400,MASQ2!BV344,'Étape 1 - à remplir'!$G$31:$G$400,"lots"),SUMIFS('Étape 1 - à remplir'!$F$31:$F$400,'Étape 1 - à remplir'!$E$31:$E$400,MASQ2!BV344,'Étape 1 - à remplir'!$O$31:$O$400,CE$3,'Étape 1 - à remplir'!$G$31:$G$400,"lots")),IF(CE$2="Espèce",IF(CE$3="Toutes",SUMIFS('Étape 1 - à remplir'!$F$31:$F$400,'Étape 1 - à remplir'!$E$31:$E$400,MASQ2!BV344,'Étape 1 - à remplir'!$G$31:$G$400,"lots"),SUMIFS('Étape 1 - à remplir'!$F$31:$F$400,'Étape 1 - à remplir'!$E$31:$E$400,MASQ2!BV344,'Étape 1 - à remplir'!$N$31:$N$400,CE$3,'Étape 1 - à remplir'!$G$31:$G$400,"lots"))))))=0,NA(),IF(CE$2="Catégorie",IF(CE$3="Toutes",SUMIFS('Étape 1 - à remplir'!$F$31:$F$400,'Étape 1 - à remplir'!$E$31:$E$400,MASQ2!BV344,'Étape 1 - à remplir'!$G$31:$G$400,"lots"),SUMIFS('Étape 1 - à remplir'!$F$31:$F$400,'Étape 1 - à remplir'!$E$31:$E$400,MASQ2!BV344,'Étape 1 - à remplir'!$C$31:$C$400,CE$3)),IF(CE$2="Âge",IF(CE$3="Tous",SUMIFS('Étape 1 - à remplir'!$F$31:$F$400,'Étape 1 - à remplir'!$E$31:$E$400,MASQ2!BV344,'Étape 1 - à remplir'!$G$31:$G$400,"lots"),SUMIFS('Étape 1 - à remplir'!$F$31:$F$400,'Étape 1 - à remplir'!$E$31:$E$400,MASQ2!BV344,'Étape 1 - à remplir'!$P$31:$P$400,CE$3,'Étape 1 - à remplir'!$G$31:$G$400,"lots")),IF(CE$2="Atelier",IF(CE$3="Tous",SUMIFS('Étape 1 - à remplir'!$F$31:$F$400,'Étape 1 - à remplir'!$E$31:$E$400,MASQ2!BV344,'Étape 1 - à remplir'!$G$31:$G$400,"lots"),SUMIFS('Étape 1 - à remplir'!$F$31:$F$400,'Étape 1 - à remplir'!$E$31:$E$400,MASQ2!BV344,'Étape 1 - à remplir'!$O$31:$O$400,CE$3,'Étape 1 - à remplir'!$G$31:$G$400,"lots")),IF(CE$2="Espèce",IF(CE$3="Toutes",SUMIFS('Étape 1 - à remplir'!$F$31:$F$400,'Étape 1 - à remplir'!$E$31:$E$400,MASQ2!BV344,'Étape 1 - à remplir'!$G$31:$G$400,"lots"),SUMIFS('Étape 1 - à remplir'!$F$31:$F$400,'Étape 1 - à remplir'!$E$31:$E$400,MASQ2!BV344,'Étape 1 - à remplir'!$N$31:$N$400,CE$3,'Étape 1 - à remplir'!$G$31:$G$400,"lots")))))))</f>
        <v>#N/A</v>
      </c>
      <c r="BX344">
        <f t="shared" si="258"/>
        <v>0</v>
      </c>
      <c r="BY344" t="str">
        <f t="shared" si="242"/>
        <v>Enrofloxacine</v>
      </c>
      <c r="BZ344" t="str">
        <f t="shared" si="243"/>
        <v/>
      </c>
      <c r="CA344" t="str">
        <f t="shared" si="244"/>
        <v/>
      </c>
      <c r="CB344" t="str">
        <f t="shared" si="245"/>
        <v>Fluoroquinolones</v>
      </c>
      <c r="CC344" t="str">
        <f t="shared" si="246"/>
        <v/>
      </c>
      <c r="CD344" s="63" t="str">
        <f t="shared" si="247"/>
        <v/>
      </c>
      <c r="CG344" s="42">
        <v>341</v>
      </c>
      <c r="CH344" s="42" t="e">
        <f t="shared" si="263"/>
        <v>#N/A</v>
      </c>
      <c r="CI344" s="63" t="e">
        <f t="shared" si="264"/>
        <v>#N/A</v>
      </c>
      <c r="DM344" s="63"/>
      <c r="EA344" s="194" t="str">
        <f t="shared" ca="1" si="248"/>
        <v>x</v>
      </c>
      <c r="EB344" s="226" t="str">
        <f>IFERROR(IF(ED344=0,"",COUNTIF(ED$4:ED$600,"&gt;"&amp;ED344)+COUNTIF(ED$4:ED344,ED344)),"")</f>
        <v/>
      </c>
      <c r="EC344" t="str">
        <f t="shared" si="249"/>
        <v>ORNIFLOX 25 MG/ML SOLUTION A DILUER POUR SOLUTION BUVABLE POUR LAPINS DE COMPAGNIE, RONGEURS, OISEAUX D'ORNEMENT ET REPTILES</v>
      </c>
      <c r="ED344" t="e">
        <f>IF(IF(EL$2="Catégorie",IF(EL$3="Toutes",SUMIFS('Étape 1 - à remplir'!$F$31:$F$400,'Étape 1 - à remplir'!$E$31:$E$400,MASQ2!EC344,'Étape 1 - à remplir'!$G$31:$G$400,"kg"),SUMIFS('Étape 1 - à remplir'!$F$31:$F$400,'Étape 1 - à remplir'!$E$31:$E$400,MASQ2!EC344,'Étape 1 - à remplir'!$C$31:$C$400,EL$3)),IF(EL$2="Âge",IF(EL$3="Tous",SUMIFS('Étape 1 - à remplir'!$F$31:$F$400,'Étape 1 - à remplir'!$E$31:$E$400,MASQ2!EC344,'Étape 1 - à remplir'!$G$31:$G$400,"kg"),SUMIFS('Étape 1 - à remplir'!$F$31:$F$400,'Étape 1 - à remplir'!$E$31:$E$400,MASQ2!EC344,'Étape 1 - à remplir'!$P$31:$P$400,EL$3,'Étape 1 - à remplir'!$G$31:$G$400,"kg")),IF(EL$2="Atelier",IF(EL$3="Tous",SUMIFS('Étape 1 - à remplir'!$F$31:$F$400,'Étape 1 - à remplir'!$E$31:$E$400,MASQ2!EC344,'Étape 1 - à remplir'!$G$31:$G$400,"kg"),SUMIFS('Étape 1 - à remplir'!$F$31:$F$400,'Étape 1 - à remplir'!$E$31:$E$400,MASQ2!EC344,'Étape 1 - à remplir'!$O$31:$O$400,EL$3,'Étape 1 - à remplir'!$G$31:$G$400,"kg")),IF(EL$2="Espèce",IF(EL$3="Toutes",SUMIFS('Étape 1 - à remplir'!$F$31:$F$400,'Étape 1 - à remplir'!$E$31:$E$400,MASQ2!EC344,'Étape 1 - à remplir'!$G$31:$G$400,"kg"),SUMIFS('Étape 1 - à remplir'!$F$31:$F$400,'Étape 1 - à remplir'!$E$31:$E$400,MASQ2!EC344,'Étape 1 - à remplir'!$N$31:$N$400,EL$3,'Étape 1 - à remplir'!$G$31:$G$400,"kg"))))))=0,NA(),IF(EL$2="Catégorie",IF(EL$3="Toutes",SUMIFS('Étape 1 - à remplir'!$F$31:$F$400,'Étape 1 - à remplir'!$E$31:$E$400,MASQ2!EC344,'Étape 1 - à remplir'!$G$31:$G$400,"kg"),SUMIFS('Étape 1 - à remplir'!$F$31:$F$400,'Étape 1 - à remplir'!$E$31:$E$400,MASQ2!EC344,'Étape 1 - à remplir'!$C$31:$C$400,EL$3)),IF(EL$2="Âge",IF(EL$3="Tous",SUMIFS('Étape 1 - à remplir'!$F$31:$F$400,'Étape 1 - à remplir'!$E$31:$E$400,MASQ2!EC344,'Étape 1 - à remplir'!$G$31:$G$400,"kg"),SUMIFS('Étape 1 - à remplir'!$F$31:$F$400,'Étape 1 - à remplir'!$E$31:$E$400,MASQ2!EC344,'Étape 1 - à remplir'!$P$31:$P$400,EL$3,'Étape 1 - à remplir'!$G$31:$G$400,"kg")),IF(EL$2="Atelier",IF(EL$3="Tous",SUMIFS('Étape 1 - à remplir'!$F$31:$F$400,'Étape 1 - à remplir'!$E$31:$E$400,MASQ2!EC344,'Étape 1 - à remplir'!$G$31:$G$400,"kg"),SUMIFS('Étape 1 - à remplir'!$F$31:$F$400,'Étape 1 - à remplir'!$E$31:$E$400,MASQ2!EC344,'Étape 1 - à remplir'!$O$31:$O$400,EL$3,'Étape 1 - à remplir'!$G$31:$G$400,"kg")),IF(EL$2="Espèce",IF(EL$3="Toutes",SUMIFS('Étape 1 - à remplir'!$F$31:$F$400,'Étape 1 - à remplir'!$E$31:$E$400,MASQ2!EC344,'Étape 1 - à remplir'!$G$31:$G$400,"kg"),SUMIFS('Étape 1 - à remplir'!$F$31:$F$400,'Étape 1 - à remplir'!$E$31:$E$400,MASQ2!EC344,'Étape 1 - à remplir'!$N$31:$N$400,EL$3,'Étape 1 - à remplir'!$G$31:$G$400,"kg")))))))</f>
        <v>#N/A</v>
      </c>
      <c r="EE344" s="76">
        <f t="shared" si="259"/>
        <v>0</v>
      </c>
      <c r="EF344" t="str">
        <f t="shared" si="250"/>
        <v>Enrofloxacine</v>
      </c>
      <c r="EG344" t="str">
        <f t="shared" si="251"/>
        <v/>
      </c>
      <c r="EH344" t="str">
        <f t="shared" si="252"/>
        <v/>
      </c>
      <c r="EI344" t="str">
        <f t="shared" si="253"/>
        <v>Fluoroquinolones</v>
      </c>
      <c r="EJ344" t="str">
        <f t="shared" si="254"/>
        <v/>
      </c>
      <c r="EK344" s="63" t="str">
        <f t="shared" si="255"/>
        <v/>
      </c>
      <c r="EN344" s="42">
        <v>341</v>
      </c>
      <c r="EO344" t="e">
        <f t="shared" si="261"/>
        <v>#N/A</v>
      </c>
      <c r="EP344" s="63" t="e">
        <f t="shared" si="262"/>
        <v>#N/A</v>
      </c>
      <c r="FT344" s="63"/>
    </row>
    <row r="345" spans="2:176" x14ac:dyDescent="0.3">
      <c r="B345" s="42"/>
      <c r="M345" s="194" t="str">
        <f ca="1">INDEX(Données_ATB!BD:BU,MATCH(MASQ2!O345,Données_ATB!BD:BD,0),18)</f>
        <v/>
      </c>
      <c r="N345" s="14" t="str">
        <f>IFERROR(IF(Q345=0,"",COUNTIF(Q$4:Q$600,"&gt;"&amp;Q345)+COUNTIF(Q$4:Q345,Q345)),"")</f>
        <v/>
      </c>
      <c r="O345" t="str">
        <f>Données_ATB!BD344</f>
        <v>OROSPRAY</v>
      </c>
      <c r="P345" t="e">
        <f>IF(IF(X$2="Catégorie",IF(X$3="Toutes",SUMIFS('Étape 1 - à remplir'!$F$31:$F$400,'Étape 1 - à remplir'!$E$31:$E$400,MASQ2!O345,'Étape 1 - à remplir'!$G$31:$G$400,"animaux"),SUMIFS('Étape 1 - à remplir'!$F$31:$F$400,'Étape 1 - à remplir'!$E$31:$E$400,MASQ2!O345,'Étape 1 - à remplir'!$C$31:$C$400,X$3)),IF(X$2="Âge",IF(X$3="Tous",SUMIFS('Étape 1 - à remplir'!$F$31:$F$400,'Étape 1 - à remplir'!$E$31:$E$400,MASQ2!O345,'Étape 1 - à remplir'!$G$31:$G$400,"animaux"),SUMIFS('Étape 1 - à remplir'!$F$31:$F$400,'Étape 1 - à remplir'!$E$31:$E$400,MASQ2!O345,'Étape 1 - à remplir'!$P$31:$P$400,X$3)),IF(X$2="Atelier",IF(X$3="Tous",SUMIFS('Étape 1 - à remplir'!$F$31:$F$400,'Étape 1 - à remplir'!$E$31:$E$400,MASQ2!O345,'Étape 1 - à remplir'!$G$31:$G$400,"animaux"),SUMIFS('Étape 1 - à remplir'!$F$31:$F$400,'Étape 1 - à remplir'!$E$31:$E$400,MASQ2!O345,'Étape 1 - à remplir'!$O$31:$O$400,X$3)),IF(X$2="Espèce",IF(X$3="Toutes",SUMIFS('Étape 1 - à remplir'!$F$31:$F$400,'Étape 1 - à remplir'!$E$31:$E$400,MASQ2!O345,'Étape 1 - à remplir'!$G$31:$G$400,"animaux"),SUMIFS('Étape 1 - à remplir'!$F$31:$F$400,'Étape 1 - à remplir'!$E$31:$E$400,MASQ2!O345,'Étape 1 - à remplir'!$N$31:$N$400,X$3))))))=0,NA(),IF(X$2="Catégorie",IF(X$3="Toutes",SUMIFS('Étape 1 - à remplir'!$F$31:$F$400,'Étape 1 - à remplir'!$E$31:$E$400,MASQ2!O345,'Étape 1 - à remplir'!$G$31:$G$400,"animaux"),SUMIFS('Étape 1 - à remplir'!$F$31:$F$400,'Étape 1 - à remplir'!$E$31:$E$400,MASQ2!O345,'Étape 1 - à remplir'!$C$31:$C$400,X$3)),IF(X$2="Âge",IF(X$3="Tous",SUMIFS('Étape 1 - à remplir'!$F$31:$F$400,'Étape 1 - à remplir'!$E$31:$E$400,MASQ2!O345,'Étape 1 - à remplir'!$G$31:$G$400,"animaux"),SUMIFS('Étape 1 - à remplir'!$F$31:$F$400,'Étape 1 - à remplir'!$E$31:$E$400,MASQ2!O345,'Étape 1 - à remplir'!$P$31:$P$400,X$3)),IF(X$2="Atelier",IF(X$3="Tous",SUMIFS('Étape 1 - à remplir'!$F$31:$F$400,'Étape 1 - à remplir'!$E$31:$E$400,MASQ2!O345,'Étape 1 - à remplir'!$G$31:$G$400,"animaux"),SUMIFS('Étape 1 - à remplir'!$F$31:$F$400,'Étape 1 - à remplir'!$E$31:$E$400,MASQ2!O345,'Étape 1 - à remplir'!$O$31:$O$400,X$3)),IF(X$2="Espèce",IF(X$3="Toutes",SUMIFS('Étape 1 - à remplir'!$F$31:$F$400,'Étape 1 - à remplir'!$E$31:$E$400,MASQ2!O345,'Étape 1 - à remplir'!$G$31:$G$400,"animaux"),SUMIFS('Étape 1 - à remplir'!$F$31:$F$400,'Étape 1 - à remplir'!$E$31:$E$400,MASQ2!O345,'Étape 1 - à remplir'!$N$31:$N$400,X$3)))))))</f>
        <v>#N/A</v>
      </c>
      <c r="Q345" s="63">
        <f t="shared" si="260"/>
        <v>0</v>
      </c>
      <c r="R345" t="str">
        <f>Données_ATB!BM344</f>
        <v>Sulfanilamide</v>
      </c>
      <c r="S345" t="str">
        <f>Données_ATB!BN344</f>
        <v>Chlortétracycline</v>
      </c>
      <c r="T345" s="63" t="str">
        <f>Données_ATB!BO344</f>
        <v/>
      </c>
      <c r="U345" s="42" t="str">
        <f>Données_ATB!BQ344</f>
        <v>Sulfamides</v>
      </c>
      <c r="V345" t="str">
        <f>Données_ATB!BR344</f>
        <v>Tetracyclines</v>
      </c>
      <c r="W345" s="63" t="str">
        <f>Données_ATB!BS344</f>
        <v/>
      </c>
      <c r="Z345" s="42">
        <v>342</v>
      </c>
      <c r="AA345" t="e">
        <f t="shared" si="256"/>
        <v>#N/A</v>
      </c>
      <c r="AB345" s="63" t="e">
        <f t="shared" si="257"/>
        <v>#N/A</v>
      </c>
      <c r="BF345" s="63"/>
      <c r="BT345" s="194" t="str">
        <f t="shared" ca="1" si="240"/>
        <v/>
      </c>
      <c r="BU345" s="219" t="str">
        <f>IFERROR(IF(BX345=0,"",COUNTIF(BX$4:BX$600,"&gt;"&amp;BX345)+COUNTIF(BX$4:BX345,BX345)),"")</f>
        <v/>
      </c>
      <c r="BV345" s="42" t="str">
        <f t="shared" si="241"/>
        <v>OROSPRAY</v>
      </c>
      <c r="BW345" t="e">
        <f>IF(IF(CE$2="Catégorie",IF(CE$3="Toutes",SUMIFS('Étape 1 - à remplir'!$F$31:$F$400,'Étape 1 - à remplir'!$E$31:$E$400,MASQ2!BV345,'Étape 1 - à remplir'!$G$31:$G$400,"lots"),SUMIFS('Étape 1 - à remplir'!$F$31:$F$400,'Étape 1 - à remplir'!$E$31:$E$400,MASQ2!BV345,'Étape 1 - à remplir'!$C$31:$C$400,CE$3)),IF(CE$2="Âge",IF(CE$3="Tous",SUMIFS('Étape 1 - à remplir'!$F$31:$F$400,'Étape 1 - à remplir'!$E$31:$E$400,MASQ2!BV345,'Étape 1 - à remplir'!$G$31:$G$400,"lots"),SUMIFS('Étape 1 - à remplir'!$F$31:$F$400,'Étape 1 - à remplir'!$E$31:$E$400,MASQ2!BV345,'Étape 1 - à remplir'!$P$31:$P$400,CE$3,'Étape 1 - à remplir'!$G$31:$G$400,"lots")),IF(CE$2="Atelier",IF(CE$3="Tous",SUMIFS('Étape 1 - à remplir'!$F$31:$F$400,'Étape 1 - à remplir'!$E$31:$E$400,MASQ2!BV345,'Étape 1 - à remplir'!$G$31:$G$400,"lots"),SUMIFS('Étape 1 - à remplir'!$F$31:$F$400,'Étape 1 - à remplir'!$E$31:$E$400,MASQ2!BV345,'Étape 1 - à remplir'!$O$31:$O$400,CE$3,'Étape 1 - à remplir'!$G$31:$G$400,"lots")),IF(CE$2="Espèce",IF(CE$3="Toutes",SUMIFS('Étape 1 - à remplir'!$F$31:$F$400,'Étape 1 - à remplir'!$E$31:$E$400,MASQ2!BV345,'Étape 1 - à remplir'!$G$31:$G$400,"lots"),SUMIFS('Étape 1 - à remplir'!$F$31:$F$400,'Étape 1 - à remplir'!$E$31:$E$400,MASQ2!BV345,'Étape 1 - à remplir'!$N$31:$N$400,CE$3,'Étape 1 - à remplir'!$G$31:$G$400,"lots"))))))=0,NA(),IF(CE$2="Catégorie",IF(CE$3="Toutes",SUMIFS('Étape 1 - à remplir'!$F$31:$F$400,'Étape 1 - à remplir'!$E$31:$E$400,MASQ2!BV345,'Étape 1 - à remplir'!$G$31:$G$400,"lots"),SUMIFS('Étape 1 - à remplir'!$F$31:$F$400,'Étape 1 - à remplir'!$E$31:$E$400,MASQ2!BV345,'Étape 1 - à remplir'!$C$31:$C$400,CE$3)),IF(CE$2="Âge",IF(CE$3="Tous",SUMIFS('Étape 1 - à remplir'!$F$31:$F$400,'Étape 1 - à remplir'!$E$31:$E$400,MASQ2!BV345,'Étape 1 - à remplir'!$G$31:$G$400,"lots"),SUMIFS('Étape 1 - à remplir'!$F$31:$F$400,'Étape 1 - à remplir'!$E$31:$E$400,MASQ2!BV345,'Étape 1 - à remplir'!$P$31:$P$400,CE$3,'Étape 1 - à remplir'!$G$31:$G$400,"lots")),IF(CE$2="Atelier",IF(CE$3="Tous",SUMIFS('Étape 1 - à remplir'!$F$31:$F$400,'Étape 1 - à remplir'!$E$31:$E$400,MASQ2!BV345,'Étape 1 - à remplir'!$G$31:$G$400,"lots"),SUMIFS('Étape 1 - à remplir'!$F$31:$F$400,'Étape 1 - à remplir'!$E$31:$E$400,MASQ2!BV345,'Étape 1 - à remplir'!$O$31:$O$400,CE$3,'Étape 1 - à remplir'!$G$31:$G$400,"lots")),IF(CE$2="Espèce",IF(CE$3="Toutes",SUMIFS('Étape 1 - à remplir'!$F$31:$F$400,'Étape 1 - à remplir'!$E$31:$E$400,MASQ2!BV345,'Étape 1 - à remplir'!$G$31:$G$400,"lots"),SUMIFS('Étape 1 - à remplir'!$F$31:$F$400,'Étape 1 - à remplir'!$E$31:$E$400,MASQ2!BV345,'Étape 1 - à remplir'!$N$31:$N$400,CE$3,'Étape 1 - à remplir'!$G$31:$G$400,"lots")))))))</f>
        <v>#N/A</v>
      </c>
      <c r="BX345">
        <f t="shared" si="258"/>
        <v>0</v>
      </c>
      <c r="BY345" t="str">
        <f t="shared" si="242"/>
        <v>Sulfanilamide</v>
      </c>
      <c r="BZ345" t="str">
        <f t="shared" si="243"/>
        <v>Chlortétracycline</v>
      </c>
      <c r="CA345" t="str">
        <f t="shared" si="244"/>
        <v/>
      </c>
      <c r="CB345" t="str">
        <f t="shared" si="245"/>
        <v>Sulfamides</v>
      </c>
      <c r="CC345" t="str">
        <f t="shared" si="246"/>
        <v>Tetracyclines</v>
      </c>
      <c r="CD345" s="63" t="str">
        <f t="shared" si="247"/>
        <v/>
      </c>
      <c r="CG345" s="42">
        <v>342</v>
      </c>
      <c r="CH345" s="42" t="e">
        <f t="shared" si="263"/>
        <v>#N/A</v>
      </c>
      <c r="CI345" s="63" t="e">
        <f t="shared" si="264"/>
        <v>#N/A</v>
      </c>
      <c r="DM345" s="63"/>
      <c r="EA345" s="194" t="str">
        <f t="shared" ca="1" si="248"/>
        <v/>
      </c>
      <c r="EB345" s="226" t="str">
        <f>IFERROR(IF(ED345=0,"",COUNTIF(ED$4:ED$600,"&gt;"&amp;ED345)+COUNTIF(ED$4:ED345,ED345)),"")</f>
        <v/>
      </c>
      <c r="EC345" t="str">
        <f t="shared" si="249"/>
        <v>OROSPRAY</v>
      </c>
      <c r="ED345" t="e">
        <f>IF(IF(EL$2="Catégorie",IF(EL$3="Toutes",SUMIFS('Étape 1 - à remplir'!$F$31:$F$400,'Étape 1 - à remplir'!$E$31:$E$400,MASQ2!EC345,'Étape 1 - à remplir'!$G$31:$G$400,"kg"),SUMIFS('Étape 1 - à remplir'!$F$31:$F$400,'Étape 1 - à remplir'!$E$31:$E$400,MASQ2!EC345,'Étape 1 - à remplir'!$C$31:$C$400,EL$3)),IF(EL$2="Âge",IF(EL$3="Tous",SUMIFS('Étape 1 - à remplir'!$F$31:$F$400,'Étape 1 - à remplir'!$E$31:$E$400,MASQ2!EC345,'Étape 1 - à remplir'!$G$31:$G$400,"kg"),SUMIFS('Étape 1 - à remplir'!$F$31:$F$400,'Étape 1 - à remplir'!$E$31:$E$400,MASQ2!EC345,'Étape 1 - à remplir'!$P$31:$P$400,EL$3,'Étape 1 - à remplir'!$G$31:$G$400,"kg")),IF(EL$2="Atelier",IF(EL$3="Tous",SUMIFS('Étape 1 - à remplir'!$F$31:$F$400,'Étape 1 - à remplir'!$E$31:$E$400,MASQ2!EC345,'Étape 1 - à remplir'!$G$31:$G$400,"kg"),SUMIFS('Étape 1 - à remplir'!$F$31:$F$400,'Étape 1 - à remplir'!$E$31:$E$400,MASQ2!EC345,'Étape 1 - à remplir'!$O$31:$O$400,EL$3,'Étape 1 - à remplir'!$G$31:$G$400,"kg")),IF(EL$2="Espèce",IF(EL$3="Toutes",SUMIFS('Étape 1 - à remplir'!$F$31:$F$400,'Étape 1 - à remplir'!$E$31:$E$400,MASQ2!EC345,'Étape 1 - à remplir'!$G$31:$G$400,"kg"),SUMIFS('Étape 1 - à remplir'!$F$31:$F$400,'Étape 1 - à remplir'!$E$31:$E$400,MASQ2!EC345,'Étape 1 - à remplir'!$N$31:$N$400,EL$3,'Étape 1 - à remplir'!$G$31:$G$400,"kg"))))))=0,NA(),IF(EL$2="Catégorie",IF(EL$3="Toutes",SUMIFS('Étape 1 - à remplir'!$F$31:$F$400,'Étape 1 - à remplir'!$E$31:$E$400,MASQ2!EC345,'Étape 1 - à remplir'!$G$31:$G$400,"kg"),SUMIFS('Étape 1 - à remplir'!$F$31:$F$400,'Étape 1 - à remplir'!$E$31:$E$400,MASQ2!EC345,'Étape 1 - à remplir'!$C$31:$C$400,EL$3)),IF(EL$2="Âge",IF(EL$3="Tous",SUMIFS('Étape 1 - à remplir'!$F$31:$F$400,'Étape 1 - à remplir'!$E$31:$E$400,MASQ2!EC345,'Étape 1 - à remplir'!$G$31:$G$400,"kg"),SUMIFS('Étape 1 - à remplir'!$F$31:$F$400,'Étape 1 - à remplir'!$E$31:$E$400,MASQ2!EC345,'Étape 1 - à remplir'!$P$31:$P$400,EL$3,'Étape 1 - à remplir'!$G$31:$G$400,"kg")),IF(EL$2="Atelier",IF(EL$3="Tous",SUMIFS('Étape 1 - à remplir'!$F$31:$F$400,'Étape 1 - à remplir'!$E$31:$E$400,MASQ2!EC345,'Étape 1 - à remplir'!$G$31:$G$400,"kg"),SUMIFS('Étape 1 - à remplir'!$F$31:$F$400,'Étape 1 - à remplir'!$E$31:$E$400,MASQ2!EC345,'Étape 1 - à remplir'!$O$31:$O$400,EL$3,'Étape 1 - à remplir'!$G$31:$G$400,"kg")),IF(EL$2="Espèce",IF(EL$3="Toutes",SUMIFS('Étape 1 - à remplir'!$F$31:$F$400,'Étape 1 - à remplir'!$E$31:$E$400,MASQ2!EC345,'Étape 1 - à remplir'!$G$31:$G$400,"kg"),SUMIFS('Étape 1 - à remplir'!$F$31:$F$400,'Étape 1 - à remplir'!$E$31:$E$400,MASQ2!EC345,'Étape 1 - à remplir'!$N$31:$N$400,EL$3,'Étape 1 - à remplir'!$G$31:$G$400,"kg")))))))</f>
        <v>#N/A</v>
      </c>
      <c r="EE345" s="76">
        <f t="shared" si="259"/>
        <v>0</v>
      </c>
      <c r="EF345" t="str">
        <f t="shared" si="250"/>
        <v>Sulfanilamide</v>
      </c>
      <c r="EG345" t="str">
        <f t="shared" si="251"/>
        <v>Chlortétracycline</v>
      </c>
      <c r="EH345" t="str">
        <f t="shared" si="252"/>
        <v/>
      </c>
      <c r="EI345" t="str">
        <f t="shared" si="253"/>
        <v>Sulfamides</v>
      </c>
      <c r="EJ345" t="str">
        <f t="shared" si="254"/>
        <v>Tetracyclines</v>
      </c>
      <c r="EK345" s="63" t="str">
        <f t="shared" si="255"/>
        <v/>
      </c>
      <c r="EN345" s="42">
        <v>342</v>
      </c>
      <c r="EO345" t="e">
        <f t="shared" si="261"/>
        <v>#N/A</v>
      </c>
      <c r="EP345" s="63" t="e">
        <f t="shared" si="262"/>
        <v>#N/A</v>
      </c>
      <c r="FT345" s="63"/>
    </row>
    <row r="346" spans="2:176" x14ac:dyDescent="0.3">
      <c r="B346" s="42"/>
      <c r="M346" s="194" t="str">
        <f ca="1">INDEX(Données_ATB!BD:BU,MATCH(MASQ2!O346,Données_ATB!BD:BD,0),18)</f>
        <v/>
      </c>
      <c r="N346" s="14" t="str">
        <f>IFERROR(IF(Q346=0,"",COUNTIF(Q$4:Q$600,"&gt;"&amp;Q346)+COUNTIF(Q$4:Q346,Q346)),"")</f>
        <v/>
      </c>
      <c r="O346" t="str">
        <f>Données_ATB!BD345</f>
        <v>OTC 50 FRANVET</v>
      </c>
      <c r="P346" t="e">
        <f>IF(IF(X$2="Catégorie",IF(X$3="Toutes",SUMIFS('Étape 1 - à remplir'!$F$31:$F$400,'Étape 1 - à remplir'!$E$31:$E$400,MASQ2!O346,'Étape 1 - à remplir'!$G$31:$G$400,"animaux"),SUMIFS('Étape 1 - à remplir'!$F$31:$F$400,'Étape 1 - à remplir'!$E$31:$E$400,MASQ2!O346,'Étape 1 - à remplir'!$C$31:$C$400,X$3)),IF(X$2="Âge",IF(X$3="Tous",SUMIFS('Étape 1 - à remplir'!$F$31:$F$400,'Étape 1 - à remplir'!$E$31:$E$400,MASQ2!O346,'Étape 1 - à remplir'!$G$31:$G$400,"animaux"),SUMIFS('Étape 1 - à remplir'!$F$31:$F$400,'Étape 1 - à remplir'!$E$31:$E$400,MASQ2!O346,'Étape 1 - à remplir'!$P$31:$P$400,X$3)),IF(X$2="Atelier",IF(X$3="Tous",SUMIFS('Étape 1 - à remplir'!$F$31:$F$400,'Étape 1 - à remplir'!$E$31:$E$400,MASQ2!O346,'Étape 1 - à remplir'!$G$31:$G$400,"animaux"),SUMIFS('Étape 1 - à remplir'!$F$31:$F$400,'Étape 1 - à remplir'!$E$31:$E$400,MASQ2!O346,'Étape 1 - à remplir'!$O$31:$O$400,X$3)),IF(X$2="Espèce",IF(X$3="Toutes",SUMIFS('Étape 1 - à remplir'!$F$31:$F$400,'Étape 1 - à remplir'!$E$31:$E$400,MASQ2!O346,'Étape 1 - à remplir'!$G$31:$G$400,"animaux"),SUMIFS('Étape 1 - à remplir'!$F$31:$F$400,'Étape 1 - à remplir'!$E$31:$E$400,MASQ2!O346,'Étape 1 - à remplir'!$N$31:$N$400,X$3))))))=0,NA(),IF(X$2="Catégorie",IF(X$3="Toutes",SUMIFS('Étape 1 - à remplir'!$F$31:$F$400,'Étape 1 - à remplir'!$E$31:$E$400,MASQ2!O346,'Étape 1 - à remplir'!$G$31:$G$400,"animaux"),SUMIFS('Étape 1 - à remplir'!$F$31:$F$400,'Étape 1 - à remplir'!$E$31:$E$400,MASQ2!O346,'Étape 1 - à remplir'!$C$31:$C$400,X$3)),IF(X$2="Âge",IF(X$3="Tous",SUMIFS('Étape 1 - à remplir'!$F$31:$F$400,'Étape 1 - à remplir'!$E$31:$E$400,MASQ2!O346,'Étape 1 - à remplir'!$G$31:$G$400,"animaux"),SUMIFS('Étape 1 - à remplir'!$F$31:$F$400,'Étape 1 - à remplir'!$E$31:$E$400,MASQ2!O346,'Étape 1 - à remplir'!$P$31:$P$400,X$3)),IF(X$2="Atelier",IF(X$3="Tous",SUMIFS('Étape 1 - à remplir'!$F$31:$F$400,'Étape 1 - à remplir'!$E$31:$E$400,MASQ2!O346,'Étape 1 - à remplir'!$G$31:$G$400,"animaux"),SUMIFS('Étape 1 - à remplir'!$F$31:$F$400,'Étape 1 - à remplir'!$E$31:$E$400,MASQ2!O346,'Étape 1 - à remplir'!$O$31:$O$400,X$3)),IF(X$2="Espèce",IF(X$3="Toutes",SUMIFS('Étape 1 - à remplir'!$F$31:$F$400,'Étape 1 - à remplir'!$E$31:$E$400,MASQ2!O346,'Étape 1 - à remplir'!$G$31:$G$400,"animaux"),SUMIFS('Étape 1 - à remplir'!$F$31:$F$400,'Étape 1 - à remplir'!$E$31:$E$400,MASQ2!O346,'Étape 1 - à remplir'!$N$31:$N$400,X$3)))))))</f>
        <v>#N/A</v>
      </c>
      <c r="Q346" s="63">
        <f t="shared" si="260"/>
        <v>0</v>
      </c>
      <c r="R346" t="str">
        <f>Données_ATB!BM345</f>
        <v>Oxytétracycline</v>
      </c>
      <c r="S346" t="str">
        <f>Données_ATB!BN345</f>
        <v/>
      </c>
      <c r="T346" s="63" t="str">
        <f>Données_ATB!BO345</f>
        <v/>
      </c>
      <c r="U346" s="42" t="str">
        <f>Données_ATB!BQ345</f>
        <v>Tetracyclines</v>
      </c>
      <c r="V346" t="str">
        <f>Données_ATB!BR345</f>
        <v/>
      </c>
      <c r="W346" s="63" t="str">
        <f>Données_ATB!BS345</f>
        <v/>
      </c>
      <c r="Z346" s="42">
        <v>343</v>
      </c>
      <c r="AA346" t="e">
        <f t="shared" si="256"/>
        <v>#N/A</v>
      </c>
      <c r="AB346" s="63" t="e">
        <f t="shared" si="257"/>
        <v>#N/A</v>
      </c>
      <c r="BF346" s="63"/>
      <c r="BT346" s="194" t="str">
        <f t="shared" ca="1" si="240"/>
        <v/>
      </c>
      <c r="BU346" s="219" t="str">
        <f>IFERROR(IF(BX346=0,"",COUNTIF(BX$4:BX$600,"&gt;"&amp;BX346)+COUNTIF(BX$4:BX346,BX346)),"")</f>
        <v/>
      </c>
      <c r="BV346" s="42" t="str">
        <f t="shared" si="241"/>
        <v>OTC 50 FRANVET</v>
      </c>
      <c r="BW346" t="e">
        <f>IF(IF(CE$2="Catégorie",IF(CE$3="Toutes",SUMIFS('Étape 1 - à remplir'!$F$31:$F$400,'Étape 1 - à remplir'!$E$31:$E$400,MASQ2!BV346,'Étape 1 - à remplir'!$G$31:$G$400,"lots"),SUMIFS('Étape 1 - à remplir'!$F$31:$F$400,'Étape 1 - à remplir'!$E$31:$E$400,MASQ2!BV346,'Étape 1 - à remplir'!$C$31:$C$400,CE$3)),IF(CE$2="Âge",IF(CE$3="Tous",SUMIFS('Étape 1 - à remplir'!$F$31:$F$400,'Étape 1 - à remplir'!$E$31:$E$400,MASQ2!BV346,'Étape 1 - à remplir'!$G$31:$G$400,"lots"),SUMIFS('Étape 1 - à remplir'!$F$31:$F$400,'Étape 1 - à remplir'!$E$31:$E$400,MASQ2!BV346,'Étape 1 - à remplir'!$P$31:$P$400,CE$3,'Étape 1 - à remplir'!$G$31:$G$400,"lots")),IF(CE$2="Atelier",IF(CE$3="Tous",SUMIFS('Étape 1 - à remplir'!$F$31:$F$400,'Étape 1 - à remplir'!$E$31:$E$400,MASQ2!BV346,'Étape 1 - à remplir'!$G$31:$G$400,"lots"),SUMIFS('Étape 1 - à remplir'!$F$31:$F$400,'Étape 1 - à remplir'!$E$31:$E$400,MASQ2!BV346,'Étape 1 - à remplir'!$O$31:$O$400,CE$3,'Étape 1 - à remplir'!$G$31:$G$400,"lots")),IF(CE$2="Espèce",IF(CE$3="Toutes",SUMIFS('Étape 1 - à remplir'!$F$31:$F$400,'Étape 1 - à remplir'!$E$31:$E$400,MASQ2!BV346,'Étape 1 - à remplir'!$G$31:$G$400,"lots"),SUMIFS('Étape 1 - à remplir'!$F$31:$F$400,'Étape 1 - à remplir'!$E$31:$E$400,MASQ2!BV346,'Étape 1 - à remplir'!$N$31:$N$400,CE$3,'Étape 1 - à remplir'!$G$31:$G$400,"lots"))))))=0,NA(),IF(CE$2="Catégorie",IF(CE$3="Toutes",SUMIFS('Étape 1 - à remplir'!$F$31:$F$400,'Étape 1 - à remplir'!$E$31:$E$400,MASQ2!BV346,'Étape 1 - à remplir'!$G$31:$G$400,"lots"),SUMIFS('Étape 1 - à remplir'!$F$31:$F$400,'Étape 1 - à remplir'!$E$31:$E$400,MASQ2!BV346,'Étape 1 - à remplir'!$C$31:$C$400,CE$3)),IF(CE$2="Âge",IF(CE$3="Tous",SUMIFS('Étape 1 - à remplir'!$F$31:$F$400,'Étape 1 - à remplir'!$E$31:$E$400,MASQ2!BV346,'Étape 1 - à remplir'!$G$31:$G$400,"lots"),SUMIFS('Étape 1 - à remplir'!$F$31:$F$400,'Étape 1 - à remplir'!$E$31:$E$400,MASQ2!BV346,'Étape 1 - à remplir'!$P$31:$P$400,CE$3,'Étape 1 - à remplir'!$G$31:$G$400,"lots")),IF(CE$2="Atelier",IF(CE$3="Tous",SUMIFS('Étape 1 - à remplir'!$F$31:$F$400,'Étape 1 - à remplir'!$E$31:$E$400,MASQ2!BV346,'Étape 1 - à remplir'!$G$31:$G$400,"lots"),SUMIFS('Étape 1 - à remplir'!$F$31:$F$400,'Étape 1 - à remplir'!$E$31:$E$400,MASQ2!BV346,'Étape 1 - à remplir'!$O$31:$O$400,CE$3,'Étape 1 - à remplir'!$G$31:$G$400,"lots")),IF(CE$2="Espèce",IF(CE$3="Toutes",SUMIFS('Étape 1 - à remplir'!$F$31:$F$400,'Étape 1 - à remplir'!$E$31:$E$400,MASQ2!BV346,'Étape 1 - à remplir'!$G$31:$G$400,"lots"),SUMIFS('Étape 1 - à remplir'!$F$31:$F$400,'Étape 1 - à remplir'!$E$31:$E$400,MASQ2!BV346,'Étape 1 - à remplir'!$N$31:$N$400,CE$3,'Étape 1 - à remplir'!$G$31:$G$400,"lots")))))))</f>
        <v>#N/A</v>
      </c>
      <c r="BX346">
        <f t="shared" si="258"/>
        <v>0</v>
      </c>
      <c r="BY346" t="str">
        <f t="shared" si="242"/>
        <v>Oxytétracycline</v>
      </c>
      <c r="BZ346" t="str">
        <f t="shared" si="243"/>
        <v/>
      </c>
      <c r="CA346" t="str">
        <f t="shared" si="244"/>
        <v/>
      </c>
      <c r="CB346" t="str">
        <f t="shared" si="245"/>
        <v>Tetracyclines</v>
      </c>
      <c r="CC346" t="str">
        <f t="shared" si="246"/>
        <v/>
      </c>
      <c r="CD346" s="63" t="str">
        <f t="shared" si="247"/>
        <v/>
      </c>
      <c r="CG346" s="42">
        <v>343</v>
      </c>
      <c r="CH346" s="42" t="e">
        <f t="shared" si="263"/>
        <v>#N/A</v>
      </c>
      <c r="CI346" s="63" t="e">
        <f t="shared" si="264"/>
        <v>#N/A</v>
      </c>
      <c r="DM346" s="63"/>
      <c r="EA346" s="194" t="str">
        <f t="shared" ca="1" si="248"/>
        <v/>
      </c>
      <c r="EB346" s="226" t="str">
        <f>IFERROR(IF(ED346=0,"",COUNTIF(ED$4:ED$600,"&gt;"&amp;ED346)+COUNTIF(ED$4:ED346,ED346)),"")</f>
        <v/>
      </c>
      <c r="EC346" t="str">
        <f t="shared" si="249"/>
        <v>OTC 50 FRANVET</v>
      </c>
      <c r="ED346" t="e">
        <f>IF(IF(EL$2="Catégorie",IF(EL$3="Toutes",SUMIFS('Étape 1 - à remplir'!$F$31:$F$400,'Étape 1 - à remplir'!$E$31:$E$400,MASQ2!EC346,'Étape 1 - à remplir'!$G$31:$G$400,"kg"),SUMIFS('Étape 1 - à remplir'!$F$31:$F$400,'Étape 1 - à remplir'!$E$31:$E$400,MASQ2!EC346,'Étape 1 - à remplir'!$C$31:$C$400,EL$3)),IF(EL$2="Âge",IF(EL$3="Tous",SUMIFS('Étape 1 - à remplir'!$F$31:$F$400,'Étape 1 - à remplir'!$E$31:$E$400,MASQ2!EC346,'Étape 1 - à remplir'!$G$31:$G$400,"kg"),SUMIFS('Étape 1 - à remplir'!$F$31:$F$400,'Étape 1 - à remplir'!$E$31:$E$400,MASQ2!EC346,'Étape 1 - à remplir'!$P$31:$P$400,EL$3,'Étape 1 - à remplir'!$G$31:$G$400,"kg")),IF(EL$2="Atelier",IF(EL$3="Tous",SUMIFS('Étape 1 - à remplir'!$F$31:$F$400,'Étape 1 - à remplir'!$E$31:$E$400,MASQ2!EC346,'Étape 1 - à remplir'!$G$31:$G$400,"kg"),SUMIFS('Étape 1 - à remplir'!$F$31:$F$400,'Étape 1 - à remplir'!$E$31:$E$400,MASQ2!EC346,'Étape 1 - à remplir'!$O$31:$O$400,EL$3,'Étape 1 - à remplir'!$G$31:$G$400,"kg")),IF(EL$2="Espèce",IF(EL$3="Toutes",SUMIFS('Étape 1 - à remplir'!$F$31:$F$400,'Étape 1 - à remplir'!$E$31:$E$400,MASQ2!EC346,'Étape 1 - à remplir'!$G$31:$G$400,"kg"),SUMIFS('Étape 1 - à remplir'!$F$31:$F$400,'Étape 1 - à remplir'!$E$31:$E$400,MASQ2!EC346,'Étape 1 - à remplir'!$N$31:$N$400,EL$3,'Étape 1 - à remplir'!$G$31:$G$400,"kg"))))))=0,NA(),IF(EL$2="Catégorie",IF(EL$3="Toutes",SUMIFS('Étape 1 - à remplir'!$F$31:$F$400,'Étape 1 - à remplir'!$E$31:$E$400,MASQ2!EC346,'Étape 1 - à remplir'!$G$31:$G$400,"kg"),SUMIFS('Étape 1 - à remplir'!$F$31:$F$400,'Étape 1 - à remplir'!$E$31:$E$400,MASQ2!EC346,'Étape 1 - à remplir'!$C$31:$C$400,EL$3)),IF(EL$2="Âge",IF(EL$3="Tous",SUMIFS('Étape 1 - à remplir'!$F$31:$F$400,'Étape 1 - à remplir'!$E$31:$E$400,MASQ2!EC346,'Étape 1 - à remplir'!$G$31:$G$400,"kg"),SUMIFS('Étape 1 - à remplir'!$F$31:$F$400,'Étape 1 - à remplir'!$E$31:$E$400,MASQ2!EC346,'Étape 1 - à remplir'!$P$31:$P$400,EL$3,'Étape 1 - à remplir'!$G$31:$G$400,"kg")),IF(EL$2="Atelier",IF(EL$3="Tous",SUMIFS('Étape 1 - à remplir'!$F$31:$F$400,'Étape 1 - à remplir'!$E$31:$E$400,MASQ2!EC346,'Étape 1 - à remplir'!$G$31:$G$400,"kg"),SUMIFS('Étape 1 - à remplir'!$F$31:$F$400,'Étape 1 - à remplir'!$E$31:$E$400,MASQ2!EC346,'Étape 1 - à remplir'!$O$31:$O$400,EL$3,'Étape 1 - à remplir'!$G$31:$G$400,"kg")),IF(EL$2="Espèce",IF(EL$3="Toutes",SUMIFS('Étape 1 - à remplir'!$F$31:$F$400,'Étape 1 - à remplir'!$E$31:$E$400,MASQ2!EC346,'Étape 1 - à remplir'!$G$31:$G$400,"kg"),SUMIFS('Étape 1 - à remplir'!$F$31:$F$400,'Étape 1 - à remplir'!$E$31:$E$400,MASQ2!EC346,'Étape 1 - à remplir'!$N$31:$N$400,EL$3,'Étape 1 - à remplir'!$G$31:$G$400,"kg")))))))</f>
        <v>#N/A</v>
      </c>
      <c r="EE346" s="76">
        <f t="shared" si="259"/>
        <v>0</v>
      </c>
      <c r="EF346" t="str">
        <f t="shared" si="250"/>
        <v>Oxytétracycline</v>
      </c>
      <c r="EG346" t="str">
        <f t="shared" si="251"/>
        <v/>
      </c>
      <c r="EH346" t="str">
        <f t="shared" si="252"/>
        <v/>
      </c>
      <c r="EI346" t="str">
        <f t="shared" si="253"/>
        <v>Tetracyclines</v>
      </c>
      <c r="EJ346" t="str">
        <f t="shared" si="254"/>
        <v/>
      </c>
      <c r="EK346" s="63" t="str">
        <f t="shared" si="255"/>
        <v/>
      </c>
      <c r="EN346" s="42">
        <v>343</v>
      </c>
      <c r="EO346" t="e">
        <f t="shared" si="261"/>
        <v>#N/A</v>
      </c>
      <c r="EP346" s="63" t="e">
        <f t="shared" si="262"/>
        <v>#N/A</v>
      </c>
      <c r="FT346" s="63"/>
    </row>
    <row r="347" spans="2:176" x14ac:dyDescent="0.3">
      <c r="B347" s="42"/>
      <c r="M347" s="194" t="str">
        <f ca="1">INDEX(Données_ATB!BD:BU,MATCH(MASQ2!O347,Données_ATB!BD:BD,0),18)</f>
        <v/>
      </c>
      <c r="N347" s="14" t="str">
        <f>IFERROR(IF(Q347=0,"",COUNTIF(Q$4:Q$600,"&gt;"&amp;Q347)+COUNTIF(Q$4:Q347,Q347)),"")</f>
        <v/>
      </c>
      <c r="O347" t="str">
        <f>Données_ATB!BD346</f>
        <v>OXOMID</v>
      </c>
      <c r="P347" t="e">
        <f>IF(IF(X$2="Catégorie",IF(X$3="Toutes",SUMIFS('Étape 1 - à remplir'!$F$31:$F$400,'Étape 1 - à remplir'!$E$31:$E$400,MASQ2!O347,'Étape 1 - à remplir'!$G$31:$G$400,"animaux"),SUMIFS('Étape 1 - à remplir'!$F$31:$F$400,'Étape 1 - à remplir'!$E$31:$E$400,MASQ2!O347,'Étape 1 - à remplir'!$C$31:$C$400,X$3)),IF(X$2="Âge",IF(X$3="Tous",SUMIFS('Étape 1 - à remplir'!$F$31:$F$400,'Étape 1 - à remplir'!$E$31:$E$400,MASQ2!O347,'Étape 1 - à remplir'!$G$31:$G$400,"animaux"),SUMIFS('Étape 1 - à remplir'!$F$31:$F$400,'Étape 1 - à remplir'!$E$31:$E$400,MASQ2!O347,'Étape 1 - à remplir'!$P$31:$P$400,X$3)),IF(X$2="Atelier",IF(X$3="Tous",SUMIFS('Étape 1 - à remplir'!$F$31:$F$400,'Étape 1 - à remplir'!$E$31:$E$400,MASQ2!O347,'Étape 1 - à remplir'!$G$31:$G$400,"animaux"),SUMIFS('Étape 1 - à remplir'!$F$31:$F$400,'Étape 1 - à remplir'!$E$31:$E$400,MASQ2!O347,'Étape 1 - à remplir'!$O$31:$O$400,X$3)),IF(X$2="Espèce",IF(X$3="Toutes",SUMIFS('Étape 1 - à remplir'!$F$31:$F$400,'Étape 1 - à remplir'!$E$31:$E$400,MASQ2!O347,'Étape 1 - à remplir'!$G$31:$G$400,"animaux"),SUMIFS('Étape 1 - à remplir'!$F$31:$F$400,'Étape 1 - à remplir'!$E$31:$E$400,MASQ2!O347,'Étape 1 - à remplir'!$N$31:$N$400,X$3))))))=0,NA(),IF(X$2="Catégorie",IF(X$3="Toutes",SUMIFS('Étape 1 - à remplir'!$F$31:$F$400,'Étape 1 - à remplir'!$E$31:$E$400,MASQ2!O347,'Étape 1 - à remplir'!$G$31:$G$400,"animaux"),SUMIFS('Étape 1 - à remplir'!$F$31:$F$400,'Étape 1 - à remplir'!$E$31:$E$400,MASQ2!O347,'Étape 1 - à remplir'!$C$31:$C$400,X$3)),IF(X$2="Âge",IF(X$3="Tous",SUMIFS('Étape 1 - à remplir'!$F$31:$F$400,'Étape 1 - à remplir'!$E$31:$E$400,MASQ2!O347,'Étape 1 - à remplir'!$G$31:$G$400,"animaux"),SUMIFS('Étape 1 - à remplir'!$F$31:$F$400,'Étape 1 - à remplir'!$E$31:$E$400,MASQ2!O347,'Étape 1 - à remplir'!$P$31:$P$400,X$3)),IF(X$2="Atelier",IF(X$3="Tous",SUMIFS('Étape 1 - à remplir'!$F$31:$F$400,'Étape 1 - à remplir'!$E$31:$E$400,MASQ2!O347,'Étape 1 - à remplir'!$G$31:$G$400,"animaux"),SUMIFS('Étape 1 - à remplir'!$F$31:$F$400,'Étape 1 - à remplir'!$E$31:$E$400,MASQ2!O347,'Étape 1 - à remplir'!$O$31:$O$400,X$3)),IF(X$2="Espèce",IF(X$3="Toutes",SUMIFS('Étape 1 - à remplir'!$F$31:$F$400,'Étape 1 - à remplir'!$E$31:$E$400,MASQ2!O347,'Étape 1 - à remplir'!$G$31:$G$400,"animaux"),SUMIFS('Étape 1 - à remplir'!$F$31:$F$400,'Étape 1 - à remplir'!$E$31:$E$400,MASQ2!O347,'Étape 1 - à remplir'!$N$31:$N$400,X$3)))))))</f>
        <v>#N/A</v>
      </c>
      <c r="Q347" s="63">
        <f t="shared" si="260"/>
        <v>0</v>
      </c>
      <c r="R347" t="str">
        <f>Données_ATB!BM346</f>
        <v>Acide oxolinique</v>
      </c>
      <c r="S347" t="str">
        <f>Données_ATB!BN346</f>
        <v/>
      </c>
      <c r="T347" s="63" t="str">
        <f>Données_ATB!BO346</f>
        <v/>
      </c>
      <c r="U347" s="42" t="str">
        <f>Données_ATB!BQ346</f>
        <v>Quinolones</v>
      </c>
      <c r="V347" t="str">
        <f>Données_ATB!BR346</f>
        <v/>
      </c>
      <c r="W347" s="63" t="str">
        <f>Données_ATB!BS346</f>
        <v/>
      </c>
      <c r="Z347" s="42">
        <v>344</v>
      </c>
      <c r="AA347" t="e">
        <f t="shared" si="256"/>
        <v>#N/A</v>
      </c>
      <c r="AB347" s="63" t="e">
        <f t="shared" si="257"/>
        <v>#N/A</v>
      </c>
      <c r="BF347" s="63"/>
      <c r="BT347" s="194" t="str">
        <f t="shared" ca="1" si="240"/>
        <v/>
      </c>
      <c r="BU347" s="219" t="str">
        <f>IFERROR(IF(BX347=0,"",COUNTIF(BX$4:BX$600,"&gt;"&amp;BX347)+COUNTIF(BX$4:BX347,BX347)),"")</f>
        <v/>
      </c>
      <c r="BV347" s="42" t="str">
        <f t="shared" si="241"/>
        <v>OXOMID</v>
      </c>
      <c r="BW347" t="e">
        <f>IF(IF(CE$2="Catégorie",IF(CE$3="Toutes",SUMIFS('Étape 1 - à remplir'!$F$31:$F$400,'Étape 1 - à remplir'!$E$31:$E$400,MASQ2!BV347,'Étape 1 - à remplir'!$G$31:$G$400,"lots"),SUMIFS('Étape 1 - à remplir'!$F$31:$F$400,'Étape 1 - à remplir'!$E$31:$E$400,MASQ2!BV347,'Étape 1 - à remplir'!$C$31:$C$400,CE$3)),IF(CE$2="Âge",IF(CE$3="Tous",SUMIFS('Étape 1 - à remplir'!$F$31:$F$400,'Étape 1 - à remplir'!$E$31:$E$400,MASQ2!BV347,'Étape 1 - à remplir'!$G$31:$G$400,"lots"),SUMIFS('Étape 1 - à remplir'!$F$31:$F$400,'Étape 1 - à remplir'!$E$31:$E$400,MASQ2!BV347,'Étape 1 - à remplir'!$P$31:$P$400,CE$3,'Étape 1 - à remplir'!$G$31:$G$400,"lots")),IF(CE$2="Atelier",IF(CE$3="Tous",SUMIFS('Étape 1 - à remplir'!$F$31:$F$400,'Étape 1 - à remplir'!$E$31:$E$400,MASQ2!BV347,'Étape 1 - à remplir'!$G$31:$G$400,"lots"),SUMIFS('Étape 1 - à remplir'!$F$31:$F$400,'Étape 1 - à remplir'!$E$31:$E$400,MASQ2!BV347,'Étape 1 - à remplir'!$O$31:$O$400,CE$3,'Étape 1 - à remplir'!$G$31:$G$400,"lots")),IF(CE$2="Espèce",IF(CE$3="Toutes",SUMIFS('Étape 1 - à remplir'!$F$31:$F$400,'Étape 1 - à remplir'!$E$31:$E$400,MASQ2!BV347,'Étape 1 - à remplir'!$G$31:$G$400,"lots"),SUMIFS('Étape 1 - à remplir'!$F$31:$F$400,'Étape 1 - à remplir'!$E$31:$E$400,MASQ2!BV347,'Étape 1 - à remplir'!$N$31:$N$400,CE$3,'Étape 1 - à remplir'!$G$31:$G$400,"lots"))))))=0,NA(),IF(CE$2="Catégorie",IF(CE$3="Toutes",SUMIFS('Étape 1 - à remplir'!$F$31:$F$400,'Étape 1 - à remplir'!$E$31:$E$400,MASQ2!BV347,'Étape 1 - à remplir'!$G$31:$G$400,"lots"),SUMIFS('Étape 1 - à remplir'!$F$31:$F$400,'Étape 1 - à remplir'!$E$31:$E$400,MASQ2!BV347,'Étape 1 - à remplir'!$C$31:$C$400,CE$3)),IF(CE$2="Âge",IF(CE$3="Tous",SUMIFS('Étape 1 - à remplir'!$F$31:$F$400,'Étape 1 - à remplir'!$E$31:$E$400,MASQ2!BV347,'Étape 1 - à remplir'!$G$31:$G$400,"lots"),SUMIFS('Étape 1 - à remplir'!$F$31:$F$400,'Étape 1 - à remplir'!$E$31:$E$400,MASQ2!BV347,'Étape 1 - à remplir'!$P$31:$P$400,CE$3,'Étape 1 - à remplir'!$G$31:$G$400,"lots")),IF(CE$2="Atelier",IF(CE$3="Tous",SUMIFS('Étape 1 - à remplir'!$F$31:$F$400,'Étape 1 - à remplir'!$E$31:$E$400,MASQ2!BV347,'Étape 1 - à remplir'!$G$31:$G$400,"lots"),SUMIFS('Étape 1 - à remplir'!$F$31:$F$400,'Étape 1 - à remplir'!$E$31:$E$400,MASQ2!BV347,'Étape 1 - à remplir'!$O$31:$O$400,CE$3,'Étape 1 - à remplir'!$G$31:$G$400,"lots")),IF(CE$2="Espèce",IF(CE$3="Toutes",SUMIFS('Étape 1 - à remplir'!$F$31:$F$400,'Étape 1 - à remplir'!$E$31:$E$400,MASQ2!BV347,'Étape 1 - à remplir'!$G$31:$G$400,"lots"),SUMIFS('Étape 1 - à remplir'!$F$31:$F$400,'Étape 1 - à remplir'!$E$31:$E$400,MASQ2!BV347,'Étape 1 - à remplir'!$N$31:$N$400,CE$3,'Étape 1 - à remplir'!$G$31:$G$400,"lots")))))))</f>
        <v>#N/A</v>
      </c>
      <c r="BX347">
        <f t="shared" si="258"/>
        <v>0</v>
      </c>
      <c r="BY347" t="str">
        <f t="shared" si="242"/>
        <v>Acide oxolinique</v>
      </c>
      <c r="BZ347" t="str">
        <f t="shared" si="243"/>
        <v/>
      </c>
      <c r="CA347" t="str">
        <f t="shared" si="244"/>
        <v/>
      </c>
      <c r="CB347" t="str">
        <f t="shared" si="245"/>
        <v>Quinolones</v>
      </c>
      <c r="CC347" t="str">
        <f t="shared" si="246"/>
        <v/>
      </c>
      <c r="CD347" s="63" t="str">
        <f t="shared" si="247"/>
        <v/>
      </c>
      <c r="CG347" s="42">
        <v>344</v>
      </c>
      <c r="CH347" s="42" t="e">
        <f t="shared" si="263"/>
        <v>#N/A</v>
      </c>
      <c r="CI347" s="63" t="e">
        <f t="shared" si="264"/>
        <v>#N/A</v>
      </c>
      <c r="DM347" s="63"/>
      <c r="EA347" s="194" t="str">
        <f t="shared" ca="1" si="248"/>
        <v/>
      </c>
      <c r="EB347" s="226" t="str">
        <f>IFERROR(IF(ED347=0,"",COUNTIF(ED$4:ED$600,"&gt;"&amp;ED347)+COUNTIF(ED$4:ED347,ED347)),"")</f>
        <v/>
      </c>
      <c r="EC347" t="str">
        <f t="shared" si="249"/>
        <v>OXOMID</v>
      </c>
      <c r="ED347" t="e">
        <f>IF(IF(EL$2="Catégorie",IF(EL$3="Toutes",SUMIFS('Étape 1 - à remplir'!$F$31:$F$400,'Étape 1 - à remplir'!$E$31:$E$400,MASQ2!EC347,'Étape 1 - à remplir'!$G$31:$G$400,"kg"),SUMIFS('Étape 1 - à remplir'!$F$31:$F$400,'Étape 1 - à remplir'!$E$31:$E$400,MASQ2!EC347,'Étape 1 - à remplir'!$C$31:$C$400,EL$3)),IF(EL$2="Âge",IF(EL$3="Tous",SUMIFS('Étape 1 - à remplir'!$F$31:$F$400,'Étape 1 - à remplir'!$E$31:$E$400,MASQ2!EC347,'Étape 1 - à remplir'!$G$31:$G$400,"kg"),SUMIFS('Étape 1 - à remplir'!$F$31:$F$400,'Étape 1 - à remplir'!$E$31:$E$400,MASQ2!EC347,'Étape 1 - à remplir'!$P$31:$P$400,EL$3,'Étape 1 - à remplir'!$G$31:$G$400,"kg")),IF(EL$2="Atelier",IF(EL$3="Tous",SUMIFS('Étape 1 - à remplir'!$F$31:$F$400,'Étape 1 - à remplir'!$E$31:$E$400,MASQ2!EC347,'Étape 1 - à remplir'!$G$31:$G$400,"kg"),SUMIFS('Étape 1 - à remplir'!$F$31:$F$400,'Étape 1 - à remplir'!$E$31:$E$400,MASQ2!EC347,'Étape 1 - à remplir'!$O$31:$O$400,EL$3,'Étape 1 - à remplir'!$G$31:$G$400,"kg")),IF(EL$2="Espèce",IF(EL$3="Toutes",SUMIFS('Étape 1 - à remplir'!$F$31:$F$400,'Étape 1 - à remplir'!$E$31:$E$400,MASQ2!EC347,'Étape 1 - à remplir'!$G$31:$G$400,"kg"),SUMIFS('Étape 1 - à remplir'!$F$31:$F$400,'Étape 1 - à remplir'!$E$31:$E$400,MASQ2!EC347,'Étape 1 - à remplir'!$N$31:$N$400,EL$3,'Étape 1 - à remplir'!$G$31:$G$400,"kg"))))))=0,NA(),IF(EL$2="Catégorie",IF(EL$3="Toutes",SUMIFS('Étape 1 - à remplir'!$F$31:$F$400,'Étape 1 - à remplir'!$E$31:$E$400,MASQ2!EC347,'Étape 1 - à remplir'!$G$31:$G$400,"kg"),SUMIFS('Étape 1 - à remplir'!$F$31:$F$400,'Étape 1 - à remplir'!$E$31:$E$400,MASQ2!EC347,'Étape 1 - à remplir'!$C$31:$C$400,EL$3)),IF(EL$2="Âge",IF(EL$3="Tous",SUMIFS('Étape 1 - à remplir'!$F$31:$F$400,'Étape 1 - à remplir'!$E$31:$E$400,MASQ2!EC347,'Étape 1 - à remplir'!$G$31:$G$400,"kg"),SUMIFS('Étape 1 - à remplir'!$F$31:$F$400,'Étape 1 - à remplir'!$E$31:$E$400,MASQ2!EC347,'Étape 1 - à remplir'!$P$31:$P$400,EL$3,'Étape 1 - à remplir'!$G$31:$G$400,"kg")),IF(EL$2="Atelier",IF(EL$3="Tous",SUMIFS('Étape 1 - à remplir'!$F$31:$F$400,'Étape 1 - à remplir'!$E$31:$E$400,MASQ2!EC347,'Étape 1 - à remplir'!$G$31:$G$400,"kg"),SUMIFS('Étape 1 - à remplir'!$F$31:$F$400,'Étape 1 - à remplir'!$E$31:$E$400,MASQ2!EC347,'Étape 1 - à remplir'!$O$31:$O$400,EL$3,'Étape 1 - à remplir'!$G$31:$G$400,"kg")),IF(EL$2="Espèce",IF(EL$3="Toutes",SUMIFS('Étape 1 - à remplir'!$F$31:$F$400,'Étape 1 - à remplir'!$E$31:$E$400,MASQ2!EC347,'Étape 1 - à remplir'!$G$31:$G$400,"kg"),SUMIFS('Étape 1 - à remplir'!$F$31:$F$400,'Étape 1 - à remplir'!$E$31:$E$400,MASQ2!EC347,'Étape 1 - à remplir'!$N$31:$N$400,EL$3,'Étape 1 - à remplir'!$G$31:$G$400,"kg")))))))</f>
        <v>#N/A</v>
      </c>
      <c r="EE347" s="76">
        <f t="shared" si="259"/>
        <v>0</v>
      </c>
      <c r="EF347" t="str">
        <f t="shared" si="250"/>
        <v>Acide oxolinique</v>
      </c>
      <c r="EG347" t="str">
        <f t="shared" si="251"/>
        <v/>
      </c>
      <c r="EH347" t="str">
        <f t="shared" si="252"/>
        <v/>
      </c>
      <c r="EI347" t="str">
        <f t="shared" si="253"/>
        <v>Quinolones</v>
      </c>
      <c r="EJ347" t="str">
        <f t="shared" si="254"/>
        <v/>
      </c>
      <c r="EK347" s="63" t="str">
        <f t="shared" si="255"/>
        <v/>
      </c>
      <c r="EN347" s="42">
        <v>344</v>
      </c>
      <c r="EO347" t="e">
        <f t="shared" si="261"/>
        <v>#N/A</v>
      </c>
      <c r="EP347" s="63" t="e">
        <f t="shared" si="262"/>
        <v>#N/A</v>
      </c>
      <c r="FT347" s="63"/>
    </row>
    <row r="348" spans="2:176" x14ac:dyDescent="0.3">
      <c r="B348" s="42"/>
      <c r="M348" s="194" t="str">
        <f ca="1">INDEX(Données_ATB!BD:BU,MATCH(MASQ2!O348,Données_ATB!BD:BD,0),18)</f>
        <v/>
      </c>
      <c r="N348" s="14" t="str">
        <f>IFERROR(IF(Q348=0,"",COUNTIF(Q$4:Q$600,"&gt;"&amp;Q348)+COUNTIF(Q$4:Q348,Q348)),"")</f>
        <v/>
      </c>
      <c r="O348" t="str">
        <f>Données_ATB!BD347</f>
        <v>OXOMID 20</v>
      </c>
      <c r="P348" t="e">
        <f>IF(IF(X$2="Catégorie",IF(X$3="Toutes",SUMIFS('Étape 1 - à remplir'!$F$31:$F$400,'Étape 1 - à remplir'!$E$31:$E$400,MASQ2!O348,'Étape 1 - à remplir'!$G$31:$G$400,"animaux"),SUMIFS('Étape 1 - à remplir'!$F$31:$F$400,'Étape 1 - à remplir'!$E$31:$E$400,MASQ2!O348,'Étape 1 - à remplir'!$C$31:$C$400,X$3)),IF(X$2="Âge",IF(X$3="Tous",SUMIFS('Étape 1 - à remplir'!$F$31:$F$400,'Étape 1 - à remplir'!$E$31:$E$400,MASQ2!O348,'Étape 1 - à remplir'!$G$31:$G$400,"animaux"),SUMIFS('Étape 1 - à remplir'!$F$31:$F$400,'Étape 1 - à remplir'!$E$31:$E$400,MASQ2!O348,'Étape 1 - à remplir'!$P$31:$P$400,X$3)),IF(X$2="Atelier",IF(X$3="Tous",SUMIFS('Étape 1 - à remplir'!$F$31:$F$400,'Étape 1 - à remplir'!$E$31:$E$400,MASQ2!O348,'Étape 1 - à remplir'!$G$31:$G$400,"animaux"),SUMIFS('Étape 1 - à remplir'!$F$31:$F$400,'Étape 1 - à remplir'!$E$31:$E$400,MASQ2!O348,'Étape 1 - à remplir'!$O$31:$O$400,X$3)),IF(X$2="Espèce",IF(X$3="Toutes",SUMIFS('Étape 1 - à remplir'!$F$31:$F$400,'Étape 1 - à remplir'!$E$31:$E$400,MASQ2!O348,'Étape 1 - à remplir'!$G$31:$G$400,"animaux"),SUMIFS('Étape 1 - à remplir'!$F$31:$F$400,'Étape 1 - à remplir'!$E$31:$E$400,MASQ2!O348,'Étape 1 - à remplir'!$N$31:$N$400,X$3))))))=0,NA(),IF(X$2="Catégorie",IF(X$3="Toutes",SUMIFS('Étape 1 - à remplir'!$F$31:$F$400,'Étape 1 - à remplir'!$E$31:$E$400,MASQ2!O348,'Étape 1 - à remplir'!$G$31:$G$400,"animaux"),SUMIFS('Étape 1 - à remplir'!$F$31:$F$400,'Étape 1 - à remplir'!$E$31:$E$400,MASQ2!O348,'Étape 1 - à remplir'!$C$31:$C$400,X$3)),IF(X$2="Âge",IF(X$3="Tous",SUMIFS('Étape 1 - à remplir'!$F$31:$F$400,'Étape 1 - à remplir'!$E$31:$E$400,MASQ2!O348,'Étape 1 - à remplir'!$G$31:$G$400,"animaux"),SUMIFS('Étape 1 - à remplir'!$F$31:$F$400,'Étape 1 - à remplir'!$E$31:$E$400,MASQ2!O348,'Étape 1 - à remplir'!$P$31:$P$400,X$3)),IF(X$2="Atelier",IF(X$3="Tous",SUMIFS('Étape 1 - à remplir'!$F$31:$F$400,'Étape 1 - à remplir'!$E$31:$E$400,MASQ2!O348,'Étape 1 - à remplir'!$G$31:$G$400,"animaux"),SUMIFS('Étape 1 - à remplir'!$F$31:$F$400,'Étape 1 - à remplir'!$E$31:$E$400,MASQ2!O348,'Étape 1 - à remplir'!$O$31:$O$400,X$3)),IF(X$2="Espèce",IF(X$3="Toutes",SUMIFS('Étape 1 - à remplir'!$F$31:$F$400,'Étape 1 - à remplir'!$E$31:$E$400,MASQ2!O348,'Étape 1 - à remplir'!$G$31:$G$400,"animaux"),SUMIFS('Étape 1 - à remplir'!$F$31:$F$400,'Étape 1 - à remplir'!$E$31:$E$400,MASQ2!O348,'Étape 1 - à remplir'!$N$31:$N$400,X$3)))))))</f>
        <v>#N/A</v>
      </c>
      <c r="Q348" s="63">
        <f t="shared" si="260"/>
        <v>0</v>
      </c>
      <c r="R348" t="str">
        <f>Données_ATB!BM347</f>
        <v>Acide oxolinique</v>
      </c>
      <c r="S348" t="str">
        <f>Données_ATB!BN347</f>
        <v/>
      </c>
      <c r="T348" s="63" t="str">
        <f>Données_ATB!BO347</f>
        <v/>
      </c>
      <c r="U348" s="42" t="str">
        <f>Données_ATB!BQ347</f>
        <v>Quinolones</v>
      </c>
      <c r="V348" t="str">
        <f>Données_ATB!BR347</f>
        <v/>
      </c>
      <c r="W348" s="63" t="str">
        <f>Données_ATB!BS347</f>
        <v/>
      </c>
      <c r="Z348" s="42">
        <v>345</v>
      </c>
      <c r="AA348" t="e">
        <f t="shared" si="256"/>
        <v>#N/A</v>
      </c>
      <c r="AB348" s="63" t="e">
        <f t="shared" si="257"/>
        <v>#N/A</v>
      </c>
      <c r="BF348" s="63"/>
      <c r="BT348" s="194" t="str">
        <f t="shared" ca="1" si="240"/>
        <v/>
      </c>
      <c r="BU348" s="219" t="str">
        <f>IFERROR(IF(BX348=0,"",COUNTIF(BX$4:BX$600,"&gt;"&amp;BX348)+COUNTIF(BX$4:BX348,BX348)),"")</f>
        <v/>
      </c>
      <c r="BV348" s="42" t="str">
        <f t="shared" si="241"/>
        <v>OXOMID 20</v>
      </c>
      <c r="BW348" t="e">
        <f>IF(IF(CE$2="Catégorie",IF(CE$3="Toutes",SUMIFS('Étape 1 - à remplir'!$F$31:$F$400,'Étape 1 - à remplir'!$E$31:$E$400,MASQ2!BV348,'Étape 1 - à remplir'!$G$31:$G$400,"lots"),SUMIFS('Étape 1 - à remplir'!$F$31:$F$400,'Étape 1 - à remplir'!$E$31:$E$400,MASQ2!BV348,'Étape 1 - à remplir'!$C$31:$C$400,CE$3)),IF(CE$2="Âge",IF(CE$3="Tous",SUMIFS('Étape 1 - à remplir'!$F$31:$F$400,'Étape 1 - à remplir'!$E$31:$E$400,MASQ2!BV348,'Étape 1 - à remplir'!$G$31:$G$400,"lots"),SUMIFS('Étape 1 - à remplir'!$F$31:$F$400,'Étape 1 - à remplir'!$E$31:$E$400,MASQ2!BV348,'Étape 1 - à remplir'!$P$31:$P$400,CE$3,'Étape 1 - à remplir'!$G$31:$G$400,"lots")),IF(CE$2="Atelier",IF(CE$3="Tous",SUMIFS('Étape 1 - à remplir'!$F$31:$F$400,'Étape 1 - à remplir'!$E$31:$E$400,MASQ2!BV348,'Étape 1 - à remplir'!$G$31:$G$400,"lots"),SUMIFS('Étape 1 - à remplir'!$F$31:$F$400,'Étape 1 - à remplir'!$E$31:$E$400,MASQ2!BV348,'Étape 1 - à remplir'!$O$31:$O$400,CE$3,'Étape 1 - à remplir'!$G$31:$G$400,"lots")),IF(CE$2="Espèce",IF(CE$3="Toutes",SUMIFS('Étape 1 - à remplir'!$F$31:$F$400,'Étape 1 - à remplir'!$E$31:$E$400,MASQ2!BV348,'Étape 1 - à remplir'!$G$31:$G$400,"lots"),SUMIFS('Étape 1 - à remplir'!$F$31:$F$400,'Étape 1 - à remplir'!$E$31:$E$400,MASQ2!BV348,'Étape 1 - à remplir'!$N$31:$N$400,CE$3,'Étape 1 - à remplir'!$G$31:$G$400,"lots"))))))=0,NA(),IF(CE$2="Catégorie",IF(CE$3="Toutes",SUMIFS('Étape 1 - à remplir'!$F$31:$F$400,'Étape 1 - à remplir'!$E$31:$E$400,MASQ2!BV348,'Étape 1 - à remplir'!$G$31:$G$400,"lots"),SUMIFS('Étape 1 - à remplir'!$F$31:$F$400,'Étape 1 - à remplir'!$E$31:$E$400,MASQ2!BV348,'Étape 1 - à remplir'!$C$31:$C$400,CE$3)),IF(CE$2="Âge",IF(CE$3="Tous",SUMIFS('Étape 1 - à remplir'!$F$31:$F$400,'Étape 1 - à remplir'!$E$31:$E$400,MASQ2!BV348,'Étape 1 - à remplir'!$G$31:$G$400,"lots"),SUMIFS('Étape 1 - à remplir'!$F$31:$F$400,'Étape 1 - à remplir'!$E$31:$E$400,MASQ2!BV348,'Étape 1 - à remplir'!$P$31:$P$400,CE$3,'Étape 1 - à remplir'!$G$31:$G$400,"lots")),IF(CE$2="Atelier",IF(CE$3="Tous",SUMIFS('Étape 1 - à remplir'!$F$31:$F$400,'Étape 1 - à remplir'!$E$31:$E$400,MASQ2!BV348,'Étape 1 - à remplir'!$G$31:$G$400,"lots"),SUMIFS('Étape 1 - à remplir'!$F$31:$F$400,'Étape 1 - à remplir'!$E$31:$E$400,MASQ2!BV348,'Étape 1 - à remplir'!$O$31:$O$400,CE$3,'Étape 1 - à remplir'!$G$31:$G$400,"lots")),IF(CE$2="Espèce",IF(CE$3="Toutes",SUMIFS('Étape 1 - à remplir'!$F$31:$F$400,'Étape 1 - à remplir'!$E$31:$E$400,MASQ2!BV348,'Étape 1 - à remplir'!$G$31:$G$400,"lots"),SUMIFS('Étape 1 - à remplir'!$F$31:$F$400,'Étape 1 - à remplir'!$E$31:$E$400,MASQ2!BV348,'Étape 1 - à remplir'!$N$31:$N$400,CE$3,'Étape 1 - à remplir'!$G$31:$G$400,"lots")))))))</f>
        <v>#N/A</v>
      </c>
      <c r="BX348">
        <f t="shared" si="258"/>
        <v>0</v>
      </c>
      <c r="BY348" t="str">
        <f t="shared" si="242"/>
        <v>Acide oxolinique</v>
      </c>
      <c r="BZ348" t="str">
        <f t="shared" si="243"/>
        <v/>
      </c>
      <c r="CA348" t="str">
        <f t="shared" si="244"/>
        <v/>
      </c>
      <c r="CB348" t="str">
        <f t="shared" si="245"/>
        <v>Quinolones</v>
      </c>
      <c r="CC348" t="str">
        <f t="shared" si="246"/>
        <v/>
      </c>
      <c r="CD348" s="63" t="str">
        <f t="shared" si="247"/>
        <v/>
      </c>
      <c r="CG348" s="42">
        <v>345</v>
      </c>
      <c r="CH348" s="42" t="e">
        <f t="shared" si="263"/>
        <v>#N/A</v>
      </c>
      <c r="CI348" s="63" t="e">
        <f t="shared" si="264"/>
        <v>#N/A</v>
      </c>
      <c r="DM348" s="63"/>
      <c r="EA348" s="194" t="str">
        <f t="shared" ca="1" si="248"/>
        <v/>
      </c>
      <c r="EB348" s="226" t="str">
        <f>IFERROR(IF(ED348=0,"",COUNTIF(ED$4:ED$600,"&gt;"&amp;ED348)+COUNTIF(ED$4:ED348,ED348)),"")</f>
        <v/>
      </c>
      <c r="EC348" t="str">
        <f t="shared" si="249"/>
        <v>OXOMID 20</v>
      </c>
      <c r="ED348" t="e">
        <f>IF(IF(EL$2="Catégorie",IF(EL$3="Toutes",SUMIFS('Étape 1 - à remplir'!$F$31:$F$400,'Étape 1 - à remplir'!$E$31:$E$400,MASQ2!EC348,'Étape 1 - à remplir'!$G$31:$G$400,"kg"),SUMIFS('Étape 1 - à remplir'!$F$31:$F$400,'Étape 1 - à remplir'!$E$31:$E$400,MASQ2!EC348,'Étape 1 - à remplir'!$C$31:$C$400,EL$3)),IF(EL$2="Âge",IF(EL$3="Tous",SUMIFS('Étape 1 - à remplir'!$F$31:$F$400,'Étape 1 - à remplir'!$E$31:$E$400,MASQ2!EC348,'Étape 1 - à remplir'!$G$31:$G$400,"kg"),SUMIFS('Étape 1 - à remplir'!$F$31:$F$400,'Étape 1 - à remplir'!$E$31:$E$400,MASQ2!EC348,'Étape 1 - à remplir'!$P$31:$P$400,EL$3,'Étape 1 - à remplir'!$G$31:$G$400,"kg")),IF(EL$2="Atelier",IF(EL$3="Tous",SUMIFS('Étape 1 - à remplir'!$F$31:$F$400,'Étape 1 - à remplir'!$E$31:$E$400,MASQ2!EC348,'Étape 1 - à remplir'!$G$31:$G$400,"kg"),SUMIFS('Étape 1 - à remplir'!$F$31:$F$400,'Étape 1 - à remplir'!$E$31:$E$400,MASQ2!EC348,'Étape 1 - à remplir'!$O$31:$O$400,EL$3,'Étape 1 - à remplir'!$G$31:$G$400,"kg")),IF(EL$2="Espèce",IF(EL$3="Toutes",SUMIFS('Étape 1 - à remplir'!$F$31:$F$400,'Étape 1 - à remplir'!$E$31:$E$400,MASQ2!EC348,'Étape 1 - à remplir'!$G$31:$G$400,"kg"),SUMIFS('Étape 1 - à remplir'!$F$31:$F$400,'Étape 1 - à remplir'!$E$31:$E$400,MASQ2!EC348,'Étape 1 - à remplir'!$N$31:$N$400,EL$3,'Étape 1 - à remplir'!$G$31:$G$400,"kg"))))))=0,NA(),IF(EL$2="Catégorie",IF(EL$3="Toutes",SUMIFS('Étape 1 - à remplir'!$F$31:$F$400,'Étape 1 - à remplir'!$E$31:$E$400,MASQ2!EC348,'Étape 1 - à remplir'!$G$31:$G$400,"kg"),SUMIFS('Étape 1 - à remplir'!$F$31:$F$400,'Étape 1 - à remplir'!$E$31:$E$400,MASQ2!EC348,'Étape 1 - à remplir'!$C$31:$C$400,EL$3)),IF(EL$2="Âge",IF(EL$3="Tous",SUMIFS('Étape 1 - à remplir'!$F$31:$F$400,'Étape 1 - à remplir'!$E$31:$E$400,MASQ2!EC348,'Étape 1 - à remplir'!$G$31:$G$400,"kg"),SUMIFS('Étape 1 - à remplir'!$F$31:$F$400,'Étape 1 - à remplir'!$E$31:$E$400,MASQ2!EC348,'Étape 1 - à remplir'!$P$31:$P$400,EL$3,'Étape 1 - à remplir'!$G$31:$G$400,"kg")),IF(EL$2="Atelier",IF(EL$3="Tous",SUMIFS('Étape 1 - à remplir'!$F$31:$F$400,'Étape 1 - à remplir'!$E$31:$E$400,MASQ2!EC348,'Étape 1 - à remplir'!$G$31:$G$400,"kg"),SUMIFS('Étape 1 - à remplir'!$F$31:$F$400,'Étape 1 - à remplir'!$E$31:$E$400,MASQ2!EC348,'Étape 1 - à remplir'!$O$31:$O$400,EL$3,'Étape 1 - à remplir'!$G$31:$G$400,"kg")),IF(EL$2="Espèce",IF(EL$3="Toutes",SUMIFS('Étape 1 - à remplir'!$F$31:$F$400,'Étape 1 - à remplir'!$E$31:$E$400,MASQ2!EC348,'Étape 1 - à remplir'!$G$31:$G$400,"kg"),SUMIFS('Étape 1 - à remplir'!$F$31:$F$400,'Étape 1 - à remplir'!$E$31:$E$400,MASQ2!EC348,'Étape 1 - à remplir'!$N$31:$N$400,EL$3,'Étape 1 - à remplir'!$G$31:$G$400,"kg")))))))</f>
        <v>#N/A</v>
      </c>
      <c r="EE348" s="76">
        <f t="shared" si="259"/>
        <v>0</v>
      </c>
      <c r="EF348" t="str">
        <f t="shared" si="250"/>
        <v>Acide oxolinique</v>
      </c>
      <c r="EG348" t="str">
        <f t="shared" si="251"/>
        <v/>
      </c>
      <c r="EH348" t="str">
        <f t="shared" si="252"/>
        <v/>
      </c>
      <c r="EI348" t="str">
        <f t="shared" si="253"/>
        <v>Quinolones</v>
      </c>
      <c r="EJ348" t="str">
        <f t="shared" si="254"/>
        <v/>
      </c>
      <c r="EK348" s="63" t="str">
        <f t="shared" si="255"/>
        <v/>
      </c>
      <c r="EN348" s="42">
        <v>345</v>
      </c>
      <c r="EO348" t="e">
        <f t="shared" si="261"/>
        <v>#N/A</v>
      </c>
      <c r="EP348" s="63" t="e">
        <f t="shared" si="262"/>
        <v>#N/A</v>
      </c>
      <c r="FT348" s="63"/>
    </row>
    <row r="349" spans="2:176" x14ac:dyDescent="0.3">
      <c r="B349" s="42"/>
      <c r="M349" s="194" t="str">
        <f ca="1">INDEX(Données_ATB!BD:BU,MATCH(MASQ2!O349,Données_ATB!BD:BD,0),18)</f>
        <v/>
      </c>
      <c r="N349" s="14" t="str">
        <f>IFERROR(IF(Q349=0,"",COUNTIF(Q$4:Q$600,"&gt;"&amp;Q349)+COUNTIF(Q$4:Q349,Q349)),"")</f>
        <v/>
      </c>
      <c r="O349" t="str">
        <f>Données_ATB!BD348</f>
        <v>OXOMID ACIDE OXOLINIQUE 240 SALMONIDES</v>
      </c>
      <c r="P349" t="e">
        <f>IF(IF(X$2="Catégorie",IF(X$3="Toutes",SUMIFS('Étape 1 - à remplir'!$F$31:$F$400,'Étape 1 - à remplir'!$E$31:$E$400,MASQ2!O349,'Étape 1 - à remplir'!$G$31:$G$400,"animaux"),SUMIFS('Étape 1 - à remplir'!$F$31:$F$400,'Étape 1 - à remplir'!$E$31:$E$400,MASQ2!O349,'Étape 1 - à remplir'!$C$31:$C$400,X$3)),IF(X$2="Âge",IF(X$3="Tous",SUMIFS('Étape 1 - à remplir'!$F$31:$F$400,'Étape 1 - à remplir'!$E$31:$E$400,MASQ2!O349,'Étape 1 - à remplir'!$G$31:$G$400,"animaux"),SUMIFS('Étape 1 - à remplir'!$F$31:$F$400,'Étape 1 - à remplir'!$E$31:$E$400,MASQ2!O349,'Étape 1 - à remplir'!$P$31:$P$400,X$3)),IF(X$2="Atelier",IF(X$3="Tous",SUMIFS('Étape 1 - à remplir'!$F$31:$F$400,'Étape 1 - à remplir'!$E$31:$E$400,MASQ2!O349,'Étape 1 - à remplir'!$G$31:$G$400,"animaux"),SUMIFS('Étape 1 - à remplir'!$F$31:$F$400,'Étape 1 - à remplir'!$E$31:$E$400,MASQ2!O349,'Étape 1 - à remplir'!$O$31:$O$400,X$3)),IF(X$2="Espèce",IF(X$3="Toutes",SUMIFS('Étape 1 - à remplir'!$F$31:$F$400,'Étape 1 - à remplir'!$E$31:$E$400,MASQ2!O349,'Étape 1 - à remplir'!$G$31:$G$400,"animaux"),SUMIFS('Étape 1 - à remplir'!$F$31:$F$400,'Étape 1 - à remplir'!$E$31:$E$400,MASQ2!O349,'Étape 1 - à remplir'!$N$31:$N$400,X$3))))))=0,NA(),IF(X$2="Catégorie",IF(X$3="Toutes",SUMIFS('Étape 1 - à remplir'!$F$31:$F$400,'Étape 1 - à remplir'!$E$31:$E$400,MASQ2!O349,'Étape 1 - à remplir'!$G$31:$G$400,"animaux"),SUMIFS('Étape 1 - à remplir'!$F$31:$F$400,'Étape 1 - à remplir'!$E$31:$E$400,MASQ2!O349,'Étape 1 - à remplir'!$C$31:$C$400,X$3)),IF(X$2="Âge",IF(X$3="Tous",SUMIFS('Étape 1 - à remplir'!$F$31:$F$400,'Étape 1 - à remplir'!$E$31:$E$400,MASQ2!O349,'Étape 1 - à remplir'!$G$31:$G$400,"animaux"),SUMIFS('Étape 1 - à remplir'!$F$31:$F$400,'Étape 1 - à remplir'!$E$31:$E$400,MASQ2!O349,'Étape 1 - à remplir'!$P$31:$P$400,X$3)),IF(X$2="Atelier",IF(X$3="Tous",SUMIFS('Étape 1 - à remplir'!$F$31:$F$400,'Étape 1 - à remplir'!$E$31:$E$400,MASQ2!O349,'Étape 1 - à remplir'!$G$31:$G$400,"animaux"),SUMIFS('Étape 1 - à remplir'!$F$31:$F$400,'Étape 1 - à remplir'!$E$31:$E$400,MASQ2!O349,'Étape 1 - à remplir'!$O$31:$O$400,X$3)),IF(X$2="Espèce",IF(X$3="Toutes",SUMIFS('Étape 1 - à remplir'!$F$31:$F$400,'Étape 1 - à remplir'!$E$31:$E$400,MASQ2!O349,'Étape 1 - à remplir'!$G$31:$G$400,"animaux"),SUMIFS('Étape 1 - à remplir'!$F$31:$F$400,'Étape 1 - à remplir'!$E$31:$E$400,MASQ2!O349,'Étape 1 - à remplir'!$N$31:$N$400,X$3)))))))</f>
        <v>#N/A</v>
      </c>
      <c r="Q349" s="63">
        <f t="shared" si="260"/>
        <v>0</v>
      </c>
      <c r="R349" t="str">
        <f>Données_ATB!BM348</f>
        <v>Acide oxolinique</v>
      </c>
      <c r="S349" t="str">
        <f>Données_ATB!BN348</f>
        <v/>
      </c>
      <c r="T349" s="63" t="str">
        <f>Données_ATB!BO348</f>
        <v/>
      </c>
      <c r="U349" s="42" t="str">
        <f>Données_ATB!BQ348</f>
        <v>Quinolones</v>
      </c>
      <c r="V349" t="str">
        <f>Données_ATB!BR348</f>
        <v/>
      </c>
      <c r="W349" s="63" t="str">
        <f>Données_ATB!BS348</f>
        <v/>
      </c>
      <c r="Z349" s="42">
        <v>346</v>
      </c>
      <c r="AA349" t="e">
        <f t="shared" si="256"/>
        <v>#N/A</v>
      </c>
      <c r="AB349" s="63" t="e">
        <f t="shared" si="257"/>
        <v>#N/A</v>
      </c>
      <c r="BF349" s="63"/>
      <c r="BT349" s="194" t="str">
        <f t="shared" ca="1" si="240"/>
        <v/>
      </c>
      <c r="BU349" s="219" t="str">
        <f>IFERROR(IF(BX349=0,"",COUNTIF(BX$4:BX$600,"&gt;"&amp;BX349)+COUNTIF(BX$4:BX349,BX349)),"")</f>
        <v/>
      </c>
      <c r="BV349" s="42" t="str">
        <f t="shared" si="241"/>
        <v>OXOMID ACIDE OXOLINIQUE 240 SALMONIDES</v>
      </c>
      <c r="BW349" t="e">
        <f>IF(IF(CE$2="Catégorie",IF(CE$3="Toutes",SUMIFS('Étape 1 - à remplir'!$F$31:$F$400,'Étape 1 - à remplir'!$E$31:$E$400,MASQ2!BV349,'Étape 1 - à remplir'!$G$31:$G$400,"lots"),SUMIFS('Étape 1 - à remplir'!$F$31:$F$400,'Étape 1 - à remplir'!$E$31:$E$400,MASQ2!BV349,'Étape 1 - à remplir'!$C$31:$C$400,CE$3)),IF(CE$2="Âge",IF(CE$3="Tous",SUMIFS('Étape 1 - à remplir'!$F$31:$F$400,'Étape 1 - à remplir'!$E$31:$E$400,MASQ2!BV349,'Étape 1 - à remplir'!$G$31:$G$400,"lots"),SUMIFS('Étape 1 - à remplir'!$F$31:$F$400,'Étape 1 - à remplir'!$E$31:$E$400,MASQ2!BV349,'Étape 1 - à remplir'!$P$31:$P$400,CE$3,'Étape 1 - à remplir'!$G$31:$G$400,"lots")),IF(CE$2="Atelier",IF(CE$3="Tous",SUMIFS('Étape 1 - à remplir'!$F$31:$F$400,'Étape 1 - à remplir'!$E$31:$E$400,MASQ2!BV349,'Étape 1 - à remplir'!$G$31:$G$400,"lots"),SUMIFS('Étape 1 - à remplir'!$F$31:$F$400,'Étape 1 - à remplir'!$E$31:$E$400,MASQ2!BV349,'Étape 1 - à remplir'!$O$31:$O$400,CE$3,'Étape 1 - à remplir'!$G$31:$G$400,"lots")),IF(CE$2="Espèce",IF(CE$3="Toutes",SUMIFS('Étape 1 - à remplir'!$F$31:$F$400,'Étape 1 - à remplir'!$E$31:$E$400,MASQ2!BV349,'Étape 1 - à remplir'!$G$31:$G$400,"lots"),SUMIFS('Étape 1 - à remplir'!$F$31:$F$400,'Étape 1 - à remplir'!$E$31:$E$400,MASQ2!BV349,'Étape 1 - à remplir'!$N$31:$N$400,CE$3,'Étape 1 - à remplir'!$G$31:$G$400,"lots"))))))=0,NA(),IF(CE$2="Catégorie",IF(CE$3="Toutes",SUMIFS('Étape 1 - à remplir'!$F$31:$F$400,'Étape 1 - à remplir'!$E$31:$E$400,MASQ2!BV349,'Étape 1 - à remplir'!$G$31:$G$400,"lots"),SUMIFS('Étape 1 - à remplir'!$F$31:$F$400,'Étape 1 - à remplir'!$E$31:$E$400,MASQ2!BV349,'Étape 1 - à remplir'!$C$31:$C$400,CE$3)),IF(CE$2="Âge",IF(CE$3="Tous",SUMIFS('Étape 1 - à remplir'!$F$31:$F$400,'Étape 1 - à remplir'!$E$31:$E$400,MASQ2!BV349,'Étape 1 - à remplir'!$G$31:$G$400,"lots"),SUMIFS('Étape 1 - à remplir'!$F$31:$F$400,'Étape 1 - à remplir'!$E$31:$E$400,MASQ2!BV349,'Étape 1 - à remplir'!$P$31:$P$400,CE$3,'Étape 1 - à remplir'!$G$31:$G$400,"lots")),IF(CE$2="Atelier",IF(CE$3="Tous",SUMIFS('Étape 1 - à remplir'!$F$31:$F$400,'Étape 1 - à remplir'!$E$31:$E$400,MASQ2!BV349,'Étape 1 - à remplir'!$G$31:$G$400,"lots"),SUMIFS('Étape 1 - à remplir'!$F$31:$F$400,'Étape 1 - à remplir'!$E$31:$E$400,MASQ2!BV349,'Étape 1 - à remplir'!$O$31:$O$400,CE$3,'Étape 1 - à remplir'!$G$31:$G$400,"lots")),IF(CE$2="Espèce",IF(CE$3="Toutes",SUMIFS('Étape 1 - à remplir'!$F$31:$F$400,'Étape 1 - à remplir'!$E$31:$E$400,MASQ2!BV349,'Étape 1 - à remplir'!$G$31:$G$400,"lots"),SUMIFS('Étape 1 - à remplir'!$F$31:$F$400,'Étape 1 - à remplir'!$E$31:$E$400,MASQ2!BV349,'Étape 1 - à remplir'!$N$31:$N$400,CE$3,'Étape 1 - à remplir'!$G$31:$G$400,"lots")))))))</f>
        <v>#N/A</v>
      </c>
      <c r="BX349">
        <f t="shared" si="258"/>
        <v>0</v>
      </c>
      <c r="BY349" t="str">
        <f t="shared" si="242"/>
        <v>Acide oxolinique</v>
      </c>
      <c r="BZ349" t="str">
        <f t="shared" si="243"/>
        <v/>
      </c>
      <c r="CA349" t="str">
        <f t="shared" si="244"/>
        <v/>
      </c>
      <c r="CB349" t="str">
        <f t="shared" si="245"/>
        <v>Quinolones</v>
      </c>
      <c r="CC349" t="str">
        <f t="shared" si="246"/>
        <v/>
      </c>
      <c r="CD349" s="63" t="str">
        <f t="shared" si="247"/>
        <v/>
      </c>
      <c r="CG349" s="42">
        <v>346</v>
      </c>
      <c r="CH349" s="42" t="e">
        <f t="shared" si="263"/>
        <v>#N/A</v>
      </c>
      <c r="CI349" s="63" t="e">
        <f t="shared" si="264"/>
        <v>#N/A</v>
      </c>
      <c r="DM349" s="63"/>
      <c r="EA349" s="194" t="str">
        <f t="shared" ca="1" si="248"/>
        <v/>
      </c>
      <c r="EB349" s="226" t="str">
        <f>IFERROR(IF(ED349=0,"",COUNTIF(ED$4:ED$600,"&gt;"&amp;ED349)+COUNTIF(ED$4:ED349,ED349)),"")</f>
        <v/>
      </c>
      <c r="EC349" t="str">
        <f t="shared" si="249"/>
        <v>OXOMID ACIDE OXOLINIQUE 240 SALMONIDES</v>
      </c>
      <c r="ED349" t="e">
        <f>IF(IF(EL$2="Catégorie",IF(EL$3="Toutes",SUMIFS('Étape 1 - à remplir'!$F$31:$F$400,'Étape 1 - à remplir'!$E$31:$E$400,MASQ2!EC349,'Étape 1 - à remplir'!$G$31:$G$400,"kg"),SUMIFS('Étape 1 - à remplir'!$F$31:$F$400,'Étape 1 - à remplir'!$E$31:$E$400,MASQ2!EC349,'Étape 1 - à remplir'!$C$31:$C$400,EL$3)),IF(EL$2="Âge",IF(EL$3="Tous",SUMIFS('Étape 1 - à remplir'!$F$31:$F$400,'Étape 1 - à remplir'!$E$31:$E$400,MASQ2!EC349,'Étape 1 - à remplir'!$G$31:$G$400,"kg"),SUMIFS('Étape 1 - à remplir'!$F$31:$F$400,'Étape 1 - à remplir'!$E$31:$E$400,MASQ2!EC349,'Étape 1 - à remplir'!$P$31:$P$400,EL$3,'Étape 1 - à remplir'!$G$31:$G$400,"kg")),IF(EL$2="Atelier",IF(EL$3="Tous",SUMIFS('Étape 1 - à remplir'!$F$31:$F$400,'Étape 1 - à remplir'!$E$31:$E$400,MASQ2!EC349,'Étape 1 - à remplir'!$G$31:$G$400,"kg"),SUMIFS('Étape 1 - à remplir'!$F$31:$F$400,'Étape 1 - à remplir'!$E$31:$E$400,MASQ2!EC349,'Étape 1 - à remplir'!$O$31:$O$400,EL$3,'Étape 1 - à remplir'!$G$31:$G$400,"kg")),IF(EL$2="Espèce",IF(EL$3="Toutes",SUMIFS('Étape 1 - à remplir'!$F$31:$F$400,'Étape 1 - à remplir'!$E$31:$E$400,MASQ2!EC349,'Étape 1 - à remplir'!$G$31:$G$400,"kg"),SUMIFS('Étape 1 - à remplir'!$F$31:$F$400,'Étape 1 - à remplir'!$E$31:$E$400,MASQ2!EC349,'Étape 1 - à remplir'!$N$31:$N$400,EL$3,'Étape 1 - à remplir'!$G$31:$G$400,"kg"))))))=0,NA(),IF(EL$2="Catégorie",IF(EL$3="Toutes",SUMIFS('Étape 1 - à remplir'!$F$31:$F$400,'Étape 1 - à remplir'!$E$31:$E$400,MASQ2!EC349,'Étape 1 - à remplir'!$G$31:$G$400,"kg"),SUMIFS('Étape 1 - à remplir'!$F$31:$F$400,'Étape 1 - à remplir'!$E$31:$E$400,MASQ2!EC349,'Étape 1 - à remplir'!$C$31:$C$400,EL$3)),IF(EL$2="Âge",IF(EL$3="Tous",SUMIFS('Étape 1 - à remplir'!$F$31:$F$400,'Étape 1 - à remplir'!$E$31:$E$400,MASQ2!EC349,'Étape 1 - à remplir'!$G$31:$G$400,"kg"),SUMIFS('Étape 1 - à remplir'!$F$31:$F$400,'Étape 1 - à remplir'!$E$31:$E$400,MASQ2!EC349,'Étape 1 - à remplir'!$P$31:$P$400,EL$3,'Étape 1 - à remplir'!$G$31:$G$400,"kg")),IF(EL$2="Atelier",IF(EL$3="Tous",SUMIFS('Étape 1 - à remplir'!$F$31:$F$400,'Étape 1 - à remplir'!$E$31:$E$400,MASQ2!EC349,'Étape 1 - à remplir'!$G$31:$G$400,"kg"),SUMIFS('Étape 1 - à remplir'!$F$31:$F$400,'Étape 1 - à remplir'!$E$31:$E$400,MASQ2!EC349,'Étape 1 - à remplir'!$O$31:$O$400,EL$3,'Étape 1 - à remplir'!$G$31:$G$400,"kg")),IF(EL$2="Espèce",IF(EL$3="Toutes",SUMIFS('Étape 1 - à remplir'!$F$31:$F$400,'Étape 1 - à remplir'!$E$31:$E$400,MASQ2!EC349,'Étape 1 - à remplir'!$G$31:$G$400,"kg"),SUMIFS('Étape 1 - à remplir'!$F$31:$F$400,'Étape 1 - à remplir'!$E$31:$E$400,MASQ2!EC349,'Étape 1 - à remplir'!$N$31:$N$400,EL$3,'Étape 1 - à remplir'!$G$31:$G$400,"kg")))))))</f>
        <v>#N/A</v>
      </c>
      <c r="EE349" s="76">
        <f t="shared" si="259"/>
        <v>0</v>
      </c>
      <c r="EF349" t="str">
        <f t="shared" si="250"/>
        <v>Acide oxolinique</v>
      </c>
      <c r="EG349" t="str">
        <f t="shared" si="251"/>
        <v/>
      </c>
      <c r="EH349" t="str">
        <f t="shared" si="252"/>
        <v/>
      </c>
      <c r="EI349" t="str">
        <f t="shared" si="253"/>
        <v>Quinolones</v>
      </c>
      <c r="EJ349" t="str">
        <f t="shared" si="254"/>
        <v/>
      </c>
      <c r="EK349" s="63" t="str">
        <f t="shared" si="255"/>
        <v/>
      </c>
      <c r="EN349" s="42">
        <v>346</v>
      </c>
      <c r="EO349" t="e">
        <f t="shared" si="261"/>
        <v>#N/A</v>
      </c>
      <c r="EP349" s="63" t="e">
        <f t="shared" si="262"/>
        <v>#N/A</v>
      </c>
      <c r="FT349" s="63"/>
    </row>
    <row r="350" spans="2:176" x14ac:dyDescent="0.3">
      <c r="B350" s="42"/>
      <c r="M350" s="194" t="str">
        <f ca="1">INDEX(Données_ATB!BD:BU,MATCH(MASQ2!O350,Données_ATB!BD:BD,0),18)</f>
        <v>x</v>
      </c>
      <c r="N350" s="14" t="str">
        <f>IFERROR(IF(Q350=0,"",COUNTIF(Q$4:Q$600,"&gt;"&amp;Q350)+COUNTIF(Q$4:Q350,Q350)),"")</f>
        <v/>
      </c>
      <c r="O350" t="str">
        <f>Données_ATB!BD349</f>
        <v>OXYCOLI</v>
      </c>
      <c r="P350" t="e">
        <f>IF(IF(X$2="Catégorie",IF(X$3="Toutes",SUMIFS('Étape 1 - à remplir'!$F$31:$F$400,'Étape 1 - à remplir'!$E$31:$E$400,MASQ2!O350,'Étape 1 - à remplir'!$G$31:$G$400,"animaux"),SUMIFS('Étape 1 - à remplir'!$F$31:$F$400,'Étape 1 - à remplir'!$E$31:$E$400,MASQ2!O350,'Étape 1 - à remplir'!$C$31:$C$400,X$3)),IF(X$2="Âge",IF(X$3="Tous",SUMIFS('Étape 1 - à remplir'!$F$31:$F$400,'Étape 1 - à remplir'!$E$31:$E$400,MASQ2!O350,'Étape 1 - à remplir'!$G$31:$G$400,"animaux"),SUMIFS('Étape 1 - à remplir'!$F$31:$F$400,'Étape 1 - à remplir'!$E$31:$E$400,MASQ2!O350,'Étape 1 - à remplir'!$P$31:$P$400,X$3)),IF(X$2="Atelier",IF(X$3="Tous",SUMIFS('Étape 1 - à remplir'!$F$31:$F$400,'Étape 1 - à remplir'!$E$31:$E$400,MASQ2!O350,'Étape 1 - à remplir'!$G$31:$G$400,"animaux"),SUMIFS('Étape 1 - à remplir'!$F$31:$F$400,'Étape 1 - à remplir'!$E$31:$E$400,MASQ2!O350,'Étape 1 - à remplir'!$O$31:$O$400,X$3)),IF(X$2="Espèce",IF(X$3="Toutes",SUMIFS('Étape 1 - à remplir'!$F$31:$F$400,'Étape 1 - à remplir'!$E$31:$E$400,MASQ2!O350,'Étape 1 - à remplir'!$G$31:$G$400,"animaux"),SUMIFS('Étape 1 - à remplir'!$F$31:$F$400,'Étape 1 - à remplir'!$E$31:$E$400,MASQ2!O350,'Étape 1 - à remplir'!$N$31:$N$400,X$3))))))=0,NA(),IF(X$2="Catégorie",IF(X$3="Toutes",SUMIFS('Étape 1 - à remplir'!$F$31:$F$400,'Étape 1 - à remplir'!$E$31:$E$400,MASQ2!O350,'Étape 1 - à remplir'!$G$31:$G$400,"animaux"),SUMIFS('Étape 1 - à remplir'!$F$31:$F$400,'Étape 1 - à remplir'!$E$31:$E$400,MASQ2!O350,'Étape 1 - à remplir'!$C$31:$C$400,X$3)),IF(X$2="Âge",IF(X$3="Tous",SUMIFS('Étape 1 - à remplir'!$F$31:$F$400,'Étape 1 - à remplir'!$E$31:$E$400,MASQ2!O350,'Étape 1 - à remplir'!$G$31:$G$400,"animaux"),SUMIFS('Étape 1 - à remplir'!$F$31:$F$400,'Étape 1 - à remplir'!$E$31:$E$400,MASQ2!O350,'Étape 1 - à remplir'!$P$31:$P$400,X$3)),IF(X$2="Atelier",IF(X$3="Tous",SUMIFS('Étape 1 - à remplir'!$F$31:$F$400,'Étape 1 - à remplir'!$E$31:$E$400,MASQ2!O350,'Étape 1 - à remplir'!$G$31:$G$400,"animaux"),SUMIFS('Étape 1 - à remplir'!$F$31:$F$400,'Étape 1 - à remplir'!$E$31:$E$400,MASQ2!O350,'Étape 1 - à remplir'!$O$31:$O$400,X$3)),IF(X$2="Espèce",IF(X$3="Toutes",SUMIFS('Étape 1 - à remplir'!$F$31:$F$400,'Étape 1 - à remplir'!$E$31:$E$400,MASQ2!O350,'Étape 1 - à remplir'!$G$31:$G$400,"animaux"),SUMIFS('Étape 1 - à remplir'!$F$31:$F$400,'Étape 1 - à remplir'!$E$31:$E$400,MASQ2!O350,'Étape 1 - à remplir'!$N$31:$N$400,X$3)))))))</f>
        <v>#N/A</v>
      </c>
      <c r="Q350" s="63">
        <f t="shared" si="260"/>
        <v>0</v>
      </c>
      <c r="R350" t="str">
        <f>Données_ATB!BM349</f>
        <v>Oxytétracycline</v>
      </c>
      <c r="S350" t="str">
        <f>Données_ATB!BN349</f>
        <v>Colistine</v>
      </c>
      <c r="T350" s="63" t="str">
        <f>Données_ATB!BO349</f>
        <v/>
      </c>
      <c r="U350" s="42" t="str">
        <f>Données_ATB!BQ349</f>
        <v>Tetracyclines</v>
      </c>
      <c r="V350" t="str">
        <f>Données_ATB!BR349</f>
        <v>Polypeptides</v>
      </c>
      <c r="W350" s="63" t="str">
        <f>Données_ATB!BS349</f>
        <v/>
      </c>
      <c r="Z350" s="42">
        <v>347</v>
      </c>
      <c r="AA350" t="e">
        <f t="shared" si="256"/>
        <v>#N/A</v>
      </c>
      <c r="AB350" s="63" t="e">
        <f t="shared" si="257"/>
        <v>#N/A</v>
      </c>
      <c r="BF350" s="63"/>
      <c r="BT350" s="194" t="str">
        <f t="shared" ca="1" si="240"/>
        <v>x</v>
      </c>
      <c r="BU350" s="219" t="str">
        <f>IFERROR(IF(BX350=0,"",COUNTIF(BX$4:BX$600,"&gt;"&amp;BX350)+COUNTIF(BX$4:BX350,BX350)),"")</f>
        <v/>
      </c>
      <c r="BV350" s="42" t="str">
        <f t="shared" si="241"/>
        <v>OXYCOLI</v>
      </c>
      <c r="BW350" t="e">
        <f>IF(IF(CE$2="Catégorie",IF(CE$3="Toutes",SUMIFS('Étape 1 - à remplir'!$F$31:$F$400,'Étape 1 - à remplir'!$E$31:$E$400,MASQ2!BV350,'Étape 1 - à remplir'!$G$31:$G$400,"lots"),SUMIFS('Étape 1 - à remplir'!$F$31:$F$400,'Étape 1 - à remplir'!$E$31:$E$400,MASQ2!BV350,'Étape 1 - à remplir'!$C$31:$C$400,CE$3)),IF(CE$2="Âge",IF(CE$3="Tous",SUMIFS('Étape 1 - à remplir'!$F$31:$F$400,'Étape 1 - à remplir'!$E$31:$E$400,MASQ2!BV350,'Étape 1 - à remplir'!$G$31:$G$400,"lots"),SUMIFS('Étape 1 - à remplir'!$F$31:$F$400,'Étape 1 - à remplir'!$E$31:$E$400,MASQ2!BV350,'Étape 1 - à remplir'!$P$31:$P$400,CE$3,'Étape 1 - à remplir'!$G$31:$G$400,"lots")),IF(CE$2="Atelier",IF(CE$3="Tous",SUMIFS('Étape 1 - à remplir'!$F$31:$F$400,'Étape 1 - à remplir'!$E$31:$E$400,MASQ2!BV350,'Étape 1 - à remplir'!$G$31:$G$400,"lots"),SUMIFS('Étape 1 - à remplir'!$F$31:$F$400,'Étape 1 - à remplir'!$E$31:$E$400,MASQ2!BV350,'Étape 1 - à remplir'!$O$31:$O$400,CE$3,'Étape 1 - à remplir'!$G$31:$G$400,"lots")),IF(CE$2="Espèce",IF(CE$3="Toutes",SUMIFS('Étape 1 - à remplir'!$F$31:$F$400,'Étape 1 - à remplir'!$E$31:$E$400,MASQ2!BV350,'Étape 1 - à remplir'!$G$31:$G$400,"lots"),SUMIFS('Étape 1 - à remplir'!$F$31:$F$400,'Étape 1 - à remplir'!$E$31:$E$400,MASQ2!BV350,'Étape 1 - à remplir'!$N$31:$N$400,CE$3,'Étape 1 - à remplir'!$G$31:$G$400,"lots"))))))=0,NA(),IF(CE$2="Catégorie",IF(CE$3="Toutes",SUMIFS('Étape 1 - à remplir'!$F$31:$F$400,'Étape 1 - à remplir'!$E$31:$E$400,MASQ2!BV350,'Étape 1 - à remplir'!$G$31:$G$400,"lots"),SUMIFS('Étape 1 - à remplir'!$F$31:$F$400,'Étape 1 - à remplir'!$E$31:$E$400,MASQ2!BV350,'Étape 1 - à remplir'!$C$31:$C$400,CE$3)),IF(CE$2="Âge",IF(CE$3="Tous",SUMIFS('Étape 1 - à remplir'!$F$31:$F$400,'Étape 1 - à remplir'!$E$31:$E$400,MASQ2!BV350,'Étape 1 - à remplir'!$G$31:$G$400,"lots"),SUMIFS('Étape 1 - à remplir'!$F$31:$F$400,'Étape 1 - à remplir'!$E$31:$E$400,MASQ2!BV350,'Étape 1 - à remplir'!$P$31:$P$400,CE$3,'Étape 1 - à remplir'!$G$31:$G$400,"lots")),IF(CE$2="Atelier",IF(CE$3="Tous",SUMIFS('Étape 1 - à remplir'!$F$31:$F$400,'Étape 1 - à remplir'!$E$31:$E$400,MASQ2!BV350,'Étape 1 - à remplir'!$G$31:$G$400,"lots"),SUMIFS('Étape 1 - à remplir'!$F$31:$F$400,'Étape 1 - à remplir'!$E$31:$E$400,MASQ2!BV350,'Étape 1 - à remplir'!$O$31:$O$400,CE$3,'Étape 1 - à remplir'!$G$31:$G$400,"lots")),IF(CE$2="Espèce",IF(CE$3="Toutes",SUMIFS('Étape 1 - à remplir'!$F$31:$F$400,'Étape 1 - à remplir'!$E$31:$E$400,MASQ2!BV350,'Étape 1 - à remplir'!$G$31:$G$400,"lots"),SUMIFS('Étape 1 - à remplir'!$F$31:$F$400,'Étape 1 - à remplir'!$E$31:$E$400,MASQ2!BV350,'Étape 1 - à remplir'!$N$31:$N$400,CE$3,'Étape 1 - à remplir'!$G$31:$G$400,"lots")))))))</f>
        <v>#N/A</v>
      </c>
      <c r="BX350">
        <f t="shared" si="258"/>
        <v>0</v>
      </c>
      <c r="BY350" t="str">
        <f t="shared" si="242"/>
        <v>Oxytétracycline</v>
      </c>
      <c r="BZ350" t="str">
        <f t="shared" si="243"/>
        <v>Colistine</v>
      </c>
      <c r="CA350" t="str">
        <f t="shared" si="244"/>
        <v/>
      </c>
      <c r="CB350" t="str">
        <f t="shared" si="245"/>
        <v>Tetracyclines</v>
      </c>
      <c r="CC350" t="str">
        <f t="shared" si="246"/>
        <v>Polypeptides</v>
      </c>
      <c r="CD350" s="63" t="str">
        <f t="shared" si="247"/>
        <v/>
      </c>
      <c r="CG350" s="42">
        <v>347</v>
      </c>
      <c r="CH350" s="42" t="e">
        <f t="shared" si="263"/>
        <v>#N/A</v>
      </c>
      <c r="CI350" s="63" t="e">
        <f t="shared" si="264"/>
        <v>#N/A</v>
      </c>
      <c r="DM350" s="63"/>
      <c r="EA350" s="194" t="str">
        <f t="shared" ca="1" si="248"/>
        <v>x</v>
      </c>
      <c r="EB350" s="226" t="str">
        <f>IFERROR(IF(ED350=0,"",COUNTIF(ED$4:ED$600,"&gt;"&amp;ED350)+COUNTIF(ED$4:ED350,ED350)),"")</f>
        <v/>
      </c>
      <c r="EC350" t="str">
        <f t="shared" si="249"/>
        <v>OXYCOLI</v>
      </c>
      <c r="ED350" t="e">
        <f>IF(IF(EL$2="Catégorie",IF(EL$3="Toutes",SUMIFS('Étape 1 - à remplir'!$F$31:$F$400,'Étape 1 - à remplir'!$E$31:$E$400,MASQ2!EC350,'Étape 1 - à remplir'!$G$31:$G$400,"kg"),SUMIFS('Étape 1 - à remplir'!$F$31:$F$400,'Étape 1 - à remplir'!$E$31:$E$400,MASQ2!EC350,'Étape 1 - à remplir'!$C$31:$C$400,EL$3)),IF(EL$2="Âge",IF(EL$3="Tous",SUMIFS('Étape 1 - à remplir'!$F$31:$F$400,'Étape 1 - à remplir'!$E$31:$E$400,MASQ2!EC350,'Étape 1 - à remplir'!$G$31:$G$400,"kg"),SUMIFS('Étape 1 - à remplir'!$F$31:$F$400,'Étape 1 - à remplir'!$E$31:$E$400,MASQ2!EC350,'Étape 1 - à remplir'!$P$31:$P$400,EL$3,'Étape 1 - à remplir'!$G$31:$G$400,"kg")),IF(EL$2="Atelier",IF(EL$3="Tous",SUMIFS('Étape 1 - à remplir'!$F$31:$F$400,'Étape 1 - à remplir'!$E$31:$E$400,MASQ2!EC350,'Étape 1 - à remplir'!$G$31:$G$400,"kg"),SUMIFS('Étape 1 - à remplir'!$F$31:$F$400,'Étape 1 - à remplir'!$E$31:$E$400,MASQ2!EC350,'Étape 1 - à remplir'!$O$31:$O$400,EL$3,'Étape 1 - à remplir'!$G$31:$G$400,"kg")),IF(EL$2="Espèce",IF(EL$3="Toutes",SUMIFS('Étape 1 - à remplir'!$F$31:$F$400,'Étape 1 - à remplir'!$E$31:$E$400,MASQ2!EC350,'Étape 1 - à remplir'!$G$31:$G$400,"kg"),SUMIFS('Étape 1 - à remplir'!$F$31:$F$400,'Étape 1 - à remplir'!$E$31:$E$400,MASQ2!EC350,'Étape 1 - à remplir'!$N$31:$N$400,EL$3,'Étape 1 - à remplir'!$G$31:$G$400,"kg"))))))=0,NA(),IF(EL$2="Catégorie",IF(EL$3="Toutes",SUMIFS('Étape 1 - à remplir'!$F$31:$F$400,'Étape 1 - à remplir'!$E$31:$E$400,MASQ2!EC350,'Étape 1 - à remplir'!$G$31:$G$400,"kg"),SUMIFS('Étape 1 - à remplir'!$F$31:$F$400,'Étape 1 - à remplir'!$E$31:$E$400,MASQ2!EC350,'Étape 1 - à remplir'!$C$31:$C$400,EL$3)),IF(EL$2="Âge",IF(EL$3="Tous",SUMIFS('Étape 1 - à remplir'!$F$31:$F$400,'Étape 1 - à remplir'!$E$31:$E$400,MASQ2!EC350,'Étape 1 - à remplir'!$G$31:$G$400,"kg"),SUMIFS('Étape 1 - à remplir'!$F$31:$F$400,'Étape 1 - à remplir'!$E$31:$E$400,MASQ2!EC350,'Étape 1 - à remplir'!$P$31:$P$400,EL$3,'Étape 1 - à remplir'!$G$31:$G$400,"kg")),IF(EL$2="Atelier",IF(EL$3="Tous",SUMIFS('Étape 1 - à remplir'!$F$31:$F$400,'Étape 1 - à remplir'!$E$31:$E$400,MASQ2!EC350,'Étape 1 - à remplir'!$G$31:$G$400,"kg"),SUMIFS('Étape 1 - à remplir'!$F$31:$F$400,'Étape 1 - à remplir'!$E$31:$E$400,MASQ2!EC350,'Étape 1 - à remplir'!$O$31:$O$400,EL$3,'Étape 1 - à remplir'!$G$31:$G$400,"kg")),IF(EL$2="Espèce",IF(EL$3="Toutes",SUMIFS('Étape 1 - à remplir'!$F$31:$F$400,'Étape 1 - à remplir'!$E$31:$E$400,MASQ2!EC350,'Étape 1 - à remplir'!$G$31:$G$400,"kg"),SUMIFS('Étape 1 - à remplir'!$F$31:$F$400,'Étape 1 - à remplir'!$E$31:$E$400,MASQ2!EC350,'Étape 1 - à remplir'!$N$31:$N$400,EL$3,'Étape 1 - à remplir'!$G$31:$G$400,"kg")))))))</f>
        <v>#N/A</v>
      </c>
      <c r="EE350" s="76">
        <f t="shared" si="259"/>
        <v>0</v>
      </c>
      <c r="EF350" t="str">
        <f t="shared" si="250"/>
        <v>Oxytétracycline</v>
      </c>
      <c r="EG350" t="str">
        <f t="shared" si="251"/>
        <v>Colistine</v>
      </c>
      <c r="EH350" t="str">
        <f t="shared" si="252"/>
        <v/>
      </c>
      <c r="EI350" t="str">
        <f t="shared" si="253"/>
        <v>Tetracyclines</v>
      </c>
      <c r="EJ350" t="str">
        <f t="shared" si="254"/>
        <v>Polypeptides</v>
      </c>
      <c r="EK350" s="63" t="str">
        <f t="shared" si="255"/>
        <v/>
      </c>
      <c r="EN350" s="42">
        <v>347</v>
      </c>
      <c r="EO350" t="e">
        <f t="shared" si="261"/>
        <v>#N/A</v>
      </c>
      <c r="EP350" s="63" t="e">
        <f t="shared" si="262"/>
        <v>#N/A</v>
      </c>
      <c r="FT350" s="63"/>
    </row>
    <row r="351" spans="2:176" x14ac:dyDescent="0.3">
      <c r="B351" s="42"/>
      <c r="M351" s="194" t="str">
        <f ca="1">INDEX(Données_ATB!BD:BU,MATCH(MASQ2!O351,Données_ATB!BD:BD,0),18)</f>
        <v/>
      </c>
      <c r="N351" s="14" t="str">
        <f>IFERROR(IF(Q351=0,"",COUNTIF(Q$4:Q$600,"&gt;"&amp;Q351)+COUNTIF(Q$4:Q351,Q351)),"")</f>
        <v/>
      </c>
      <c r="O351" t="str">
        <f>Données_ATB!BD350</f>
        <v>OXYTETRACYCLINE 10 % COOPHAVET</v>
      </c>
      <c r="P351" t="e">
        <f>IF(IF(X$2="Catégorie",IF(X$3="Toutes",SUMIFS('Étape 1 - à remplir'!$F$31:$F$400,'Étape 1 - à remplir'!$E$31:$E$400,MASQ2!O351,'Étape 1 - à remplir'!$G$31:$G$400,"animaux"),SUMIFS('Étape 1 - à remplir'!$F$31:$F$400,'Étape 1 - à remplir'!$E$31:$E$400,MASQ2!O351,'Étape 1 - à remplir'!$C$31:$C$400,X$3)),IF(X$2="Âge",IF(X$3="Tous",SUMIFS('Étape 1 - à remplir'!$F$31:$F$400,'Étape 1 - à remplir'!$E$31:$E$400,MASQ2!O351,'Étape 1 - à remplir'!$G$31:$G$400,"animaux"),SUMIFS('Étape 1 - à remplir'!$F$31:$F$400,'Étape 1 - à remplir'!$E$31:$E$400,MASQ2!O351,'Étape 1 - à remplir'!$P$31:$P$400,X$3)),IF(X$2="Atelier",IF(X$3="Tous",SUMIFS('Étape 1 - à remplir'!$F$31:$F$400,'Étape 1 - à remplir'!$E$31:$E$400,MASQ2!O351,'Étape 1 - à remplir'!$G$31:$G$400,"animaux"),SUMIFS('Étape 1 - à remplir'!$F$31:$F$400,'Étape 1 - à remplir'!$E$31:$E$400,MASQ2!O351,'Étape 1 - à remplir'!$O$31:$O$400,X$3)),IF(X$2="Espèce",IF(X$3="Toutes",SUMIFS('Étape 1 - à remplir'!$F$31:$F$400,'Étape 1 - à remplir'!$E$31:$E$400,MASQ2!O351,'Étape 1 - à remplir'!$G$31:$G$400,"animaux"),SUMIFS('Étape 1 - à remplir'!$F$31:$F$400,'Étape 1 - à remplir'!$E$31:$E$400,MASQ2!O351,'Étape 1 - à remplir'!$N$31:$N$400,X$3))))))=0,NA(),IF(X$2="Catégorie",IF(X$3="Toutes",SUMIFS('Étape 1 - à remplir'!$F$31:$F$400,'Étape 1 - à remplir'!$E$31:$E$400,MASQ2!O351,'Étape 1 - à remplir'!$G$31:$G$400,"animaux"),SUMIFS('Étape 1 - à remplir'!$F$31:$F$400,'Étape 1 - à remplir'!$E$31:$E$400,MASQ2!O351,'Étape 1 - à remplir'!$C$31:$C$400,X$3)),IF(X$2="Âge",IF(X$3="Tous",SUMIFS('Étape 1 - à remplir'!$F$31:$F$400,'Étape 1 - à remplir'!$E$31:$E$400,MASQ2!O351,'Étape 1 - à remplir'!$G$31:$G$400,"animaux"),SUMIFS('Étape 1 - à remplir'!$F$31:$F$400,'Étape 1 - à remplir'!$E$31:$E$400,MASQ2!O351,'Étape 1 - à remplir'!$P$31:$P$400,X$3)),IF(X$2="Atelier",IF(X$3="Tous",SUMIFS('Étape 1 - à remplir'!$F$31:$F$400,'Étape 1 - à remplir'!$E$31:$E$400,MASQ2!O351,'Étape 1 - à remplir'!$G$31:$G$400,"animaux"),SUMIFS('Étape 1 - à remplir'!$F$31:$F$400,'Étape 1 - à remplir'!$E$31:$E$400,MASQ2!O351,'Étape 1 - à remplir'!$O$31:$O$400,X$3)),IF(X$2="Espèce",IF(X$3="Toutes",SUMIFS('Étape 1 - à remplir'!$F$31:$F$400,'Étape 1 - à remplir'!$E$31:$E$400,MASQ2!O351,'Étape 1 - à remplir'!$G$31:$G$400,"animaux"),SUMIFS('Étape 1 - à remplir'!$F$31:$F$400,'Étape 1 - à remplir'!$E$31:$E$400,MASQ2!O351,'Étape 1 - à remplir'!$N$31:$N$400,X$3)))))))</f>
        <v>#N/A</v>
      </c>
      <c r="Q351" s="63">
        <f t="shared" si="260"/>
        <v>0</v>
      </c>
      <c r="R351" t="str">
        <f>Données_ATB!BM350</f>
        <v>Oxytétracycline</v>
      </c>
      <c r="S351" t="str">
        <f>Données_ATB!BN350</f>
        <v/>
      </c>
      <c r="T351" s="63" t="str">
        <f>Données_ATB!BO350</f>
        <v/>
      </c>
      <c r="U351" s="42" t="str">
        <f>Données_ATB!BQ350</f>
        <v>Tetracyclines</v>
      </c>
      <c r="V351" t="str">
        <f>Données_ATB!BR350</f>
        <v/>
      </c>
      <c r="W351" s="63" t="str">
        <f>Données_ATB!BS350</f>
        <v/>
      </c>
      <c r="Z351" s="42">
        <v>348</v>
      </c>
      <c r="AA351" t="e">
        <f t="shared" si="256"/>
        <v>#N/A</v>
      </c>
      <c r="AB351" s="63" t="e">
        <f t="shared" si="257"/>
        <v>#N/A</v>
      </c>
      <c r="BF351" s="63"/>
      <c r="BT351" s="194" t="str">
        <f t="shared" ca="1" si="240"/>
        <v/>
      </c>
      <c r="BU351" s="219" t="str">
        <f>IFERROR(IF(BX351=0,"",COUNTIF(BX$4:BX$600,"&gt;"&amp;BX351)+COUNTIF(BX$4:BX351,BX351)),"")</f>
        <v/>
      </c>
      <c r="BV351" s="42" t="str">
        <f t="shared" si="241"/>
        <v>OXYTETRACYCLINE 10 % COOPHAVET</v>
      </c>
      <c r="BW351" t="e">
        <f>IF(IF(CE$2="Catégorie",IF(CE$3="Toutes",SUMIFS('Étape 1 - à remplir'!$F$31:$F$400,'Étape 1 - à remplir'!$E$31:$E$400,MASQ2!BV351,'Étape 1 - à remplir'!$G$31:$G$400,"lots"),SUMIFS('Étape 1 - à remplir'!$F$31:$F$400,'Étape 1 - à remplir'!$E$31:$E$400,MASQ2!BV351,'Étape 1 - à remplir'!$C$31:$C$400,CE$3)),IF(CE$2="Âge",IF(CE$3="Tous",SUMIFS('Étape 1 - à remplir'!$F$31:$F$400,'Étape 1 - à remplir'!$E$31:$E$400,MASQ2!BV351,'Étape 1 - à remplir'!$G$31:$G$400,"lots"),SUMIFS('Étape 1 - à remplir'!$F$31:$F$400,'Étape 1 - à remplir'!$E$31:$E$400,MASQ2!BV351,'Étape 1 - à remplir'!$P$31:$P$400,CE$3,'Étape 1 - à remplir'!$G$31:$G$400,"lots")),IF(CE$2="Atelier",IF(CE$3="Tous",SUMIFS('Étape 1 - à remplir'!$F$31:$F$400,'Étape 1 - à remplir'!$E$31:$E$400,MASQ2!BV351,'Étape 1 - à remplir'!$G$31:$G$400,"lots"),SUMIFS('Étape 1 - à remplir'!$F$31:$F$400,'Étape 1 - à remplir'!$E$31:$E$400,MASQ2!BV351,'Étape 1 - à remplir'!$O$31:$O$400,CE$3,'Étape 1 - à remplir'!$G$31:$G$400,"lots")),IF(CE$2="Espèce",IF(CE$3="Toutes",SUMIFS('Étape 1 - à remplir'!$F$31:$F$400,'Étape 1 - à remplir'!$E$31:$E$400,MASQ2!BV351,'Étape 1 - à remplir'!$G$31:$G$400,"lots"),SUMIFS('Étape 1 - à remplir'!$F$31:$F$400,'Étape 1 - à remplir'!$E$31:$E$400,MASQ2!BV351,'Étape 1 - à remplir'!$N$31:$N$400,CE$3,'Étape 1 - à remplir'!$G$31:$G$400,"lots"))))))=0,NA(),IF(CE$2="Catégorie",IF(CE$3="Toutes",SUMIFS('Étape 1 - à remplir'!$F$31:$F$400,'Étape 1 - à remplir'!$E$31:$E$400,MASQ2!BV351,'Étape 1 - à remplir'!$G$31:$G$400,"lots"),SUMIFS('Étape 1 - à remplir'!$F$31:$F$400,'Étape 1 - à remplir'!$E$31:$E$400,MASQ2!BV351,'Étape 1 - à remplir'!$C$31:$C$400,CE$3)),IF(CE$2="Âge",IF(CE$3="Tous",SUMIFS('Étape 1 - à remplir'!$F$31:$F$400,'Étape 1 - à remplir'!$E$31:$E$400,MASQ2!BV351,'Étape 1 - à remplir'!$G$31:$G$400,"lots"),SUMIFS('Étape 1 - à remplir'!$F$31:$F$400,'Étape 1 - à remplir'!$E$31:$E$400,MASQ2!BV351,'Étape 1 - à remplir'!$P$31:$P$400,CE$3,'Étape 1 - à remplir'!$G$31:$G$400,"lots")),IF(CE$2="Atelier",IF(CE$3="Tous",SUMIFS('Étape 1 - à remplir'!$F$31:$F$400,'Étape 1 - à remplir'!$E$31:$E$400,MASQ2!BV351,'Étape 1 - à remplir'!$G$31:$G$400,"lots"),SUMIFS('Étape 1 - à remplir'!$F$31:$F$400,'Étape 1 - à remplir'!$E$31:$E$400,MASQ2!BV351,'Étape 1 - à remplir'!$O$31:$O$400,CE$3,'Étape 1 - à remplir'!$G$31:$G$400,"lots")),IF(CE$2="Espèce",IF(CE$3="Toutes",SUMIFS('Étape 1 - à remplir'!$F$31:$F$400,'Étape 1 - à remplir'!$E$31:$E$400,MASQ2!BV351,'Étape 1 - à remplir'!$G$31:$G$400,"lots"),SUMIFS('Étape 1 - à remplir'!$F$31:$F$400,'Étape 1 - à remplir'!$E$31:$E$400,MASQ2!BV351,'Étape 1 - à remplir'!$N$31:$N$400,CE$3,'Étape 1 - à remplir'!$G$31:$G$400,"lots")))))))</f>
        <v>#N/A</v>
      </c>
      <c r="BX351">
        <f t="shared" si="258"/>
        <v>0</v>
      </c>
      <c r="BY351" t="str">
        <f t="shared" si="242"/>
        <v>Oxytétracycline</v>
      </c>
      <c r="BZ351" t="str">
        <f t="shared" si="243"/>
        <v/>
      </c>
      <c r="CA351" t="str">
        <f t="shared" si="244"/>
        <v/>
      </c>
      <c r="CB351" t="str">
        <f t="shared" si="245"/>
        <v>Tetracyclines</v>
      </c>
      <c r="CC351" t="str">
        <f t="shared" si="246"/>
        <v/>
      </c>
      <c r="CD351" s="63" t="str">
        <f t="shared" si="247"/>
        <v/>
      </c>
      <c r="CG351" s="42">
        <v>348</v>
      </c>
      <c r="CH351" s="42" t="e">
        <f t="shared" si="263"/>
        <v>#N/A</v>
      </c>
      <c r="CI351" s="63" t="e">
        <f t="shared" si="264"/>
        <v>#N/A</v>
      </c>
      <c r="DM351" s="63"/>
      <c r="EA351" s="194" t="str">
        <f t="shared" ca="1" si="248"/>
        <v/>
      </c>
      <c r="EB351" s="226" t="str">
        <f>IFERROR(IF(ED351=0,"",COUNTIF(ED$4:ED$600,"&gt;"&amp;ED351)+COUNTIF(ED$4:ED351,ED351)),"")</f>
        <v/>
      </c>
      <c r="EC351" t="str">
        <f t="shared" si="249"/>
        <v>OXYTETRACYCLINE 10 % COOPHAVET</v>
      </c>
      <c r="ED351" t="e">
        <f>IF(IF(EL$2="Catégorie",IF(EL$3="Toutes",SUMIFS('Étape 1 - à remplir'!$F$31:$F$400,'Étape 1 - à remplir'!$E$31:$E$400,MASQ2!EC351,'Étape 1 - à remplir'!$G$31:$G$400,"kg"),SUMIFS('Étape 1 - à remplir'!$F$31:$F$400,'Étape 1 - à remplir'!$E$31:$E$400,MASQ2!EC351,'Étape 1 - à remplir'!$C$31:$C$400,EL$3)),IF(EL$2="Âge",IF(EL$3="Tous",SUMIFS('Étape 1 - à remplir'!$F$31:$F$400,'Étape 1 - à remplir'!$E$31:$E$400,MASQ2!EC351,'Étape 1 - à remplir'!$G$31:$G$400,"kg"),SUMIFS('Étape 1 - à remplir'!$F$31:$F$400,'Étape 1 - à remplir'!$E$31:$E$400,MASQ2!EC351,'Étape 1 - à remplir'!$P$31:$P$400,EL$3,'Étape 1 - à remplir'!$G$31:$G$400,"kg")),IF(EL$2="Atelier",IF(EL$3="Tous",SUMIFS('Étape 1 - à remplir'!$F$31:$F$400,'Étape 1 - à remplir'!$E$31:$E$400,MASQ2!EC351,'Étape 1 - à remplir'!$G$31:$G$400,"kg"),SUMIFS('Étape 1 - à remplir'!$F$31:$F$400,'Étape 1 - à remplir'!$E$31:$E$400,MASQ2!EC351,'Étape 1 - à remplir'!$O$31:$O$400,EL$3,'Étape 1 - à remplir'!$G$31:$G$400,"kg")),IF(EL$2="Espèce",IF(EL$3="Toutes",SUMIFS('Étape 1 - à remplir'!$F$31:$F$400,'Étape 1 - à remplir'!$E$31:$E$400,MASQ2!EC351,'Étape 1 - à remplir'!$G$31:$G$400,"kg"),SUMIFS('Étape 1 - à remplir'!$F$31:$F$400,'Étape 1 - à remplir'!$E$31:$E$400,MASQ2!EC351,'Étape 1 - à remplir'!$N$31:$N$400,EL$3,'Étape 1 - à remplir'!$G$31:$G$400,"kg"))))))=0,NA(),IF(EL$2="Catégorie",IF(EL$3="Toutes",SUMIFS('Étape 1 - à remplir'!$F$31:$F$400,'Étape 1 - à remplir'!$E$31:$E$400,MASQ2!EC351,'Étape 1 - à remplir'!$G$31:$G$400,"kg"),SUMIFS('Étape 1 - à remplir'!$F$31:$F$400,'Étape 1 - à remplir'!$E$31:$E$400,MASQ2!EC351,'Étape 1 - à remplir'!$C$31:$C$400,EL$3)),IF(EL$2="Âge",IF(EL$3="Tous",SUMIFS('Étape 1 - à remplir'!$F$31:$F$400,'Étape 1 - à remplir'!$E$31:$E$400,MASQ2!EC351,'Étape 1 - à remplir'!$G$31:$G$400,"kg"),SUMIFS('Étape 1 - à remplir'!$F$31:$F$400,'Étape 1 - à remplir'!$E$31:$E$400,MASQ2!EC351,'Étape 1 - à remplir'!$P$31:$P$400,EL$3,'Étape 1 - à remplir'!$G$31:$G$400,"kg")),IF(EL$2="Atelier",IF(EL$3="Tous",SUMIFS('Étape 1 - à remplir'!$F$31:$F$400,'Étape 1 - à remplir'!$E$31:$E$400,MASQ2!EC351,'Étape 1 - à remplir'!$G$31:$G$400,"kg"),SUMIFS('Étape 1 - à remplir'!$F$31:$F$400,'Étape 1 - à remplir'!$E$31:$E$400,MASQ2!EC351,'Étape 1 - à remplir'!$O$31:$O$400,EL$3,'Étape 1 - à remplir'!$G$31:$G$400,"kg")),IF(EL$2="Espèce",IF(EL$3="Toutes",SUMIFS('Étape 1 - à remplir'!$F$31:$F$400,'Étape 1 - à remplir'!$E$31:$E$400,MASQ2!EC351,'Étape 1 - à remplir'!$G$31:$G$400,"kg"),SUMIFS('Étape 1 - à remplir'!$F$31:$F$400,'Étape 1 - à remplir'!$E$31:$E$400,MASQ2!EC351,'Étape 1 - à remplir'!$N$31:$N$400,EL$3,'Étape 1 - à remplir'!$G$31:$G$400,"kg")))))))</f>
        <v>#N/A</v>
      </c>
      <c r="EE351" s="76">
        <f t="shared" si="259"/>
        <v>0</v>
      </c>
      <c r="EF351" t="str">
        <f t="shared" si="250"/>
        <v>Oxytétracycline</v>
      </c>
      <c r="EG351" t="str">
        <f t="shared" si="251"/>
        <v/>
      </c>
      <c r="EH351" t="str">
        <f t="shared" si="252"/>
        <v/>
      </c>
      <c r="EI351" t="str">
        <f t="shared" si="253"/>
        <v>Tetracyclines</v>
      </c>
      <c r="EJ351" t="str">
        <f t="shared" si="254"/>
        <v/>
      </c>
      <c r="EK351" s="63" t="str">
        <f t="shared" si="255"/>
        <v/>
      </c>
      <c r="EN351" s="42">
        <v>348</v>
      </c>
      <c r="EO351" t="e">
        <f t="shared" si="261"/>
        <v>#N/A</v>
      </c>
      <c r="EP351" s="63" t="e">
        <f t="shared" si="262"/>
        <v>#N/A</v>
      </c>
      <c r="FT351" s="63"/>
    </row>
    <row r="352" spans="2:176" x14ac:dyDescent="0.3">
      <c r="B352" s="42"/>
      <c r="M352" s="194" t="str">
        <f ca="1">INDEX(Données_ATB!BD:BU,MATCH(MASQ2!O352,Données_ATB!BD:BD,0),18)</f>
        <v/>
      </c>
      <c r="N352" s="14" t="str">
        <f>IFERROR(IF(Q352=0,"",COUNTIF(Q$4:Q$600,"&gt;"&amp;Q352)+COUNTIF(Q$4:Q352,Q352)),"")</f>
        <v/>
      </c>
      <c r="O352" t="str">
        <f>Données_ATB!BD351</f>
        <v>OXYTETRACYCLINE 10 % VETOQUINOL</v>
      </c>
      <c r="P352" t="e">
        <f>IF(IF(X$2="Catégorie",IF(X$3="Toutes",SUMIFS('Étape 1 - à remplir'!$F$31:$F$400,'Étape 1 - à remplir'!$E$31:$E$400,MASQ2!O352,'Étape 1 - à remplir'!$G$31:$G$400,"animaux"),SUMIFS('Étape 1 - à remplir'!$F$31:$F$400,'Étape 1 - à remplir'!$E$31:$E$400,MASQ2!O352,'Étape 1 - à remplir'!$C$31:$C$400,X$3)),IF(X$2="Âge",IF(X$3="Tous",SUMIFS('Étape 1 - à remplir'!$F$31:$F$400,'Étape 1 - à remplir'!$E$31:$E$400,MASQ2!O352,'Étape 1 - à remplir'!$G$31:$G$400,"animaux"),SUMIFS('Étape 1 - à remplir'!$F$31:$F$400,'Étape 1 - à remplir'!$E$31:$E$400,MASQ2!O352,'Étape 1 - à remplir'!$P$31:$P$400,X$3)),IF(X$2="Atelier",IF(X$3="Tous",SUMIFS('Étape 1 - à remplir'!$F$31:$F$400,'Étape 1 - à remplir'!$E$31:$E$400,MASQ2!O352,'Étape 1 - à remplir'!$G$31:$G$400,"animaux"),SUMIFS('Étape 1 - à remplir'!$F$31:$F$400,'Étape 1 - à remplir'!$E$31:$E$400,MASQ2!O352,'Étape 1 - à remplir'!$O$31:$O$400,X$3)),IF(X$2="Espèce",IF(X$3="Toutes",SUMIFS('Étape 1 - à remplir'!$F$31:$F$400,'Étape 1 - à remplir'!$E$31:$E$400,MASQ2!O352,'Étape 1 - à remplir'!$G$31:$G$400,"animaux"),SUMIFS('Étape 1 - à remplir'!$F$31:$F$400,'Étape 1 - à remplir'!$E$31:$E$400,MASQ2!O352,'Étape 1 - à remplir'!$N$31:$N$400,X$3))))))=0,NA(),IF(X$2="Catégorie",IF(X$3="Toutes",SUMIFS('Étape 1 - à remplir'!$F$31:$F$400,'Étape 1 - à remplir'!$E$31:$E$400,MASQ2!O352,'Étape 1 - à remplir'!$G$31:$G$400,"animaux"),SUMIFS('Étape 1 - à remplir'!$F$31:$F$400,'Étape 1 - à remplir'!$E$31:$E$400,MASQ2!O352,'Étape 1 - à remplir'!$C$31:$C$400,X$3)),IF(X$2="Âge",IF(X$3="Tous",SUMIFS('Étape 1 - à remplir'!$F$31:$F$400,'Étape 1 - à remplir'!$E$31:$E$400,MASQ2!O352,'Étape 1 - à remplir'!$G$31:$G$400,"animaux"),SUMIFS('Étape 1 - à remplir'!$F$31:$F$400,'Étape 1 - à remplir'!$E$31:$E$400,MASQ2!O352,'Étape 1 - à remplir'!$P$31:$P$400,X$3)),IF(X$2="Atelier",IF(X$3="Tous",SUMIFS('Étape 1 - à remplir'!$F$31:$F$400,'Étape 1 - à remplir'!$E$31:$E$400,MASQ2!O352,'Étape 1 - à remplir'!$G$31:$G$400,"animaux"),SUMIFS('Étape 1 - à remplir'!$F$31:$F$400,'Étape 1 - à remplir'!$E$31:$E$400,MASQ2!O352,'Étape 1 - à remplir'!$O$31:$O$400,X$3)),IF(X$2="Espèce",IF(X$3="Toutes",SUMIFS('Étape 1 - à remplir'!$F$31:$F$400,'Étape 1 - à remplir'!$E$31:$E$400,MASQ2!O352,'Étape 1 - à remplir'!$G$31:$G$400,"animaux"),SUMIFS('Étape 1 - à remplir'!$F$31:$F$400,'Étape 1 - à remplir'!$E$31:$E$400,MASQ2!O352,'Étape 1 - à remplir'!$N$31:$N$400,X$3)))))))</f>
        <v>#N/A</v>
      </c>
      <c r="Q352" s="63">
        <f t="shared" si="260"/>
        <v>0</v>
      </c>
      <c r="R352" t="str">
        <f>Données_ATB!BM351</f>
        <v>Oxytétracycline</v>
      </c>
      <c r="S352" t="str">
        <f>Données_ATB!BN351</f>
        <v/>
      </c>
      <c r="T352" s="63" t="str">
        <f>Données_ATB!BO351</f>
        <v/>
      </c>
      <c r="U352" s="42" t="str">
        <f>Données_ATB!BQ351</f>
        <v>Tetracyclines</v>
      </c>
      <c r="V352" t="str">
        <f>Données_ATB!BR351</f>
        <v/>
      </c>
      <c r="W352" s="63" t="str">
        <f>Données_ATB!BS351</f>
        <v/>
      </c>
      <c r="Z352" s="42">
        <v>349</v>
      </c>
      <c r="AA352" t="e">
        <f t="shared" si="256"/>
        <v>#N/A</v>
      </c>
      <c r="AB352" s="63" t="e">
        <f t="shared" si="257"/>
        <v>#N/A</v>
      </c>
      <c r="BF352" s="63"/>
      <c r="BT352" s="194" t="str">
        <f t="shared" ca="1" si="240"/>
        <v/>
      </c>
      <c r="BU352" s="219" t="str">
        <f>IFERROR(IF(BX352=0,"",COUNTIF(BX$4:BX$600,"&gt;"&amp;BX352)+COUNTIF(BX$4:BX352,BX352)),"")</f>
        <v/>
      </c>
      <c r="BV352" s="42" t="str">
        <f t="shared" si="241"/>
        <v>OXYTETRACYCLINE 10 % VETOQUINOL</v>
      </c>
      <c r="BW352" t="e">
        <f>IF(IF(CE$2="Catégorie",IF(CE$3="Toutes",SUMIFS('Étape 1 - à remplir'!$F$31:$F$400,'Étape 1 - à remplir'!$E$31:$E$400,MASQ2!BV352,'Étape 1 - à remplir'!$G$31:$G$400,"lots"),SUMIFS('Étape 1 - à remplir'!$F$31:$F$400,'Étape 1 - à remplir'!$E$31:$E$400,MASQ2!BV352,'Étape 1 - à remplir'!$C$31:$C$400,CE$3)),IF(CE$2="Âge",IF(CE$3="Tous",SUMIFS('Étape 1 - à remplir'!$F$31:$F$400,'Étape 1 - à remplir'!$E$31:$E$400,MASQ2!BV352,'Étape 1 - à remplir'!$G$31:$G$400,"lots"),SUMIFS('Étape 1 - à remplir'!$F$31:$F$400,'Étape 1 - à remplir'!$E$31:$E$400,MASQ2!BV352,'Étape 1 - à remplir'!$P$31:$P$400,CE$3,'Étape 1 - à remplir'!$G$31:$G$400,"lots")),IF(CE$2="Atelier",IF(CE$3="Tous",SUMIFS('Étape 1 - à remplir'!$F$31:$F$400,'Étape 1 - à remplir'!$E$31:$E$400,MASQ2!BV352,'Étape 1 - à remplir'!$G$31:$G$400,"lots"),SUMIFS('Étape 1 - à remplir'!$F$31:$F$400,'Étape 1 - à remplir'!$E$31:$E$400,MASQ2!BV352,'Étape 1 - à remplir'!$O$31:$O$400,CE$3,'Étape 1 - à remplir'!$G$31:$G$400,"lots")),IF(CE$2="Espèce",IF(CE$3="Toutes",SUMIFS('Étape 1 - à remplir'!$F$31:$F$400,'Étape 1 - à remplir'!$E$31:$E$400,MASQ2!BV352,'Étape 1 - à remplir'!$G$31:$G$400,"lots"),SUMIFS('Étape 1 - à remplir'!$F$31:$F$400,'Étape 1 - à remplir'!$E$31:$E$400,MASQ2!BV352,'Étape 1 - à remplir'!$N$31:$N$400,CE$3,'Étape 1 - à remplir'!$G$31:$G$400,"lots"))))))=0,NA(),IF(CE$2="Catégorie",IF(CE$3="Toutes",SUMIFS('Étape 1 - à remplir'!$F$31:$F$400,'Étape 1 - à remplir'!$E$31:$E$400,MASQ2!BV352,'Étape 1 - à remplir'!$G$31:$G$400,"lots"),SUMIFS('Étape 1 - à remplir'!$F$31:$F$400,'Étape 1 - à remplir'!$E$31:$E$400,MASQ2!BV352,'Étape 1 - à remplir'!$C$31:$C$400,CE$3)),IF(CE$2="Âge",IF(CE$3="Tous",SUMIFS('Étape 1 - à remplir'!$F$31:$F$400,'Étape 1 - à remplir'!$E$31:$E$400,MASQ2!BV352,'Étape 1 - à remplir'!$G$31:$G$400,"lots"),SUMIFS('Étape 1 - à remplir'!$F$31:$F$400,'Étape 1 - à remplir'!$E$31:$E$400,MASQ2!BV352,'Étape 1 - à remplir'!$P$31:$P$400,CE$3,'Étape 1 - à remplir'!$G$31:$G$400,"lots")),IF(CE$2="Atelier",IF(CE$3="Tous",SUMIFS('Étape 1 - à remplir'!$F$31:$F$400,'Étape 1 - à remplir'!$E$31:$E$400,MASQ2!BV352,'Étape 1 - à remplir'!$G$31:$G$400,"lots"),SUMIFS('Étape 1 - à remplir'!$F$31:$F$400,'Étape 1 - à remplir'!$E$31:$E$400,MASQ2!BV352,'Étape 1 - à remplir'!$O$31:$O$400,CE$3,'Étape 1 - à remplir'!$G$31:$G$400,"lots")),IF(CE$2="Espèce",IF(CE$3="Toutes",SUMIFS('Étape 1 - à remplir'!$F$31:$F$400,'Étape 1 - à remplir'!$E$31:$E$400,MASQ2!BV352,'Étape 1 - à remplir'!$G$31:$G$400,"lots"),SUMIFS('Étape 1 - à remplir'!$F$31:$F$400,'Étape 1 - à remplir'!$E$31:$E$400,MASQ2!BV352,'Étape 1 - à remplir'!$N$31:$N$400,CE$3,'Étape 1 - à remplir'!$G$31:$G$400,"lots")))))))</f>
        <v>#N/A</v>
      </c>
      <c r="BX352">
        <f t="shared" si="258"/>
        <v>0</v>
      </c>
      <c r="BY352" t="str">
        <f t="shared" si="242"/>
        <v>Oxytétracycline</v>
      </c>
      <c r="BZ352" t="str">
        <f t="shared" si="243"/>
        <v/>
      </c>
      <c r="CA352" t="str">
        <f t="shared" si="244"/>
        <v/>
      </c>
      <c r="CB352" t="str">
        <f t="shared" si="245"/>
        <v>Tetracyclines</v>
      </c>
      <c r="CC352" t="str">
        <f t="shared" si="246"/>
        <v/>
      </c>
      <c r="CD352" s="63" t="str">
        <f t="shared" si="247"/>
        <v/>
      </c>
      <c r="CG352" s="42">
        <v>349</v>
      </c>
      <c r="CH352" s="42" t="e">
        <f t="shared" si="263"/>
        <v>#N/A</v>
      </c>
      <c r="CI352" s="63" t="e">
        <f t="shared" si="264"/>
        <v>#N/A</v>
      </c>
      <c r="DM352" s="63"/>
      <c r="EA352" s="194" t="str">
        <f t="shared" ca="1" si="248"/>
        <v/>
      </c>
      <c r="EB352" s="226" t="str">
        <f>IFERROR(IF(ED352=0,"",COUNTIF(ED$4:ED$600,"&gt;"&amp;ED352)+COUNTIF(ED$4:ED352,ED352)),"")</f>
        <v/>
      </c>
      <c r="EC352" t="str">
        <f t="shared" si="249"/>
        <v>OXYTETRACYCLINE 10 % VETOQUINOL</v>
      </c>
      <c r="ED352" t="e">
        <f>IF(IF(EL$2="Catégorie",IF(EL$3="Toutes",SUMIFS('Étape 1 - à remplir'!$F$31:$F$400,'Étape 1 - à remplir'!$E$31:$E$400,MASQ2!EC352,'Étape 1 - à remplir'!$G$31:$G$400,"kg"),SUMIFS('Étape 1 - à remplir'!$F$31:$F$400,'Étape 1 - à remplir'!$E$31:$E$400,MASQ2!EC352,'Étape 1 - à remplir'!$C$31:$C$400,EL$3)),IF(EL$2="Âge",IF(EL$3="Tous",SUMIFS('Étape 1 - à remplir'!$F$31:$F$400,'Étape 1 - à remplir'!$E$31:$E$400,MASQ2!EC352,'Étape 1 - à remplir'!$G$31:$G$400,"kg"),SUMIFS('Étape 1 - à remplir'!$F$31:$F$400,'Étape 1 - à remplir'!$E$31:$E$400,MASQ2!EC352,'Étape 1 - à remplir'!$P$31:$P$400,EL$3,'Étape 1 - à remplir'!$G$31:$G$400,"kg")),IF(EL$2="Atelier",IF(EL$3="Tous",SUMIFS('Étape 1 - à remplir'!$F$31:$F$400,'Étape 1 - à remplir'!$E$31:$E$400,MASQ2!EC352,'Étape 1 - à remplir'!$G$31:$G$400,"kg"),SUMIFS('Étape 1 - à remplir'!$F$31:$F$400,'Étape 1 - à remplir'!$E$31:$E$400,MASQ2!EC352,'Étape 1 - à remplir'!$O$31:$O$400,EL$3,'Étape 1 - à remplir'!$G$31:$G$400,"kg")),IF(EL$2="Espèce",IF(EL$3="Toutes",SUMIFS('Étape 1 - à remplir'!$F$31:$F$400,'Étape 1 - à remplir'!$E$31:$E$400,MASQ2!EC352,'Étape 1 - à remplir'!$G$31:$G$400,"kg"),SUMIFS('Étape 1 - à remplir'!$F$31:$F$400,'Étape 1 - à remplir'!$E$31:$E$400,MASQ2!EC352,'Étape 1 - à remplir'!$N$31:$N$400,EL$3,'Étape 1 - à remplir'!$G$31:$G$400,"kg"))))))=0,NA(),IF(EL$2="Catégorie",IF(EL$3="Toutes",SUMIFS('Étape 1 - à remplir'!$F$31:$F$400,'Étape 1 - à remplir'!$E$31:$E$400,MASQ2!EC352,'Étape 1 - à remplir'!$G$31:$G$400,"kg"),SUMIFS('Étape 1 - à remplir'!$F$31:$F$400,'Étape 1 - à remplir'!$E$31:$E$400,MASQ2!EC352,'Étape 1 - à remplir'!$C$31:$C$400,EL$3)),IF(EL$2="Âge",IF(EL$3="Tous",SUMIFS('Étape 1 - à remplir'!$F$31:$F$400,'Étape 1 - à remplir'!$E$31:$E$400,MASQ2!EC352,'Étape 1 - à remplir'!$G$31:$G$400,"kg"),SUMIFS('Étape 1 - à remplir'!$F$31:$F$400,'Étape 1 - à remplir'!$E$31:$E$400,MASQ2!EC352,'Étape 1 - à remplir'!$P$31:$P$400,EL$3,'Étape 1 - à remplir'!$G$31:$G$400,"kg")),IF(EL$2="Atelier",IF(EL$3="Tous",SUMIFS('Étape 1 - à remplir'!$F$31:$F$400,'Étape 1 - à remplir'!$E$31:$E$400,MASQ2!EC352,'Étape 1 - à remplir'!$G$31:$G$400,"kg"),SUMIFS('Étape 1 - à remplir'!$F$31:$F$400,'Étape 1 - à remplir'!$E$31:$E$400,MASQ2!EC352,'Étape 1 - à remplir'!$O$31:$O$400,EL$3,'Étape 1 - à remplir'!$G$31:$G$400,"kg")),IF(EL$2="Espèce",IF(EL$3="Toutes",SUMIFS('Étape 1 - à remplir'!$F$31:$F$400,'Étape 1 - à remplir'!$E$31:$E$400,MASQ2!EC352,'Étape 1 - à remplir'!$G$31:$G$400,"kg"),SUMIFS('Étape 1 - à remplir'!$F$31:$F$400,'Étape 1 - à remplir'!$E$31:$E$400,MASQ2!EC352,'Étape 1 - à remplir'!$N$31:$N$400,EL$3,'Étape 1 - à remplir'!$G$31:$G$400,"kg")))))))</f>
        <v>#N/A</v>
      </c>
      <c r="EE352" s="76">
        <f t="shared" si="259"/>
        <v>0</v>
      </c>
      <c r="EF352" t="str">
        <f t="shared" si="250"/>
        <v>Oxytétracycline</v>
      </c>
      <c r="EG352" t="str">
        <f t="shared" si="251"/>
        <v/>
      </c>
      <c r="EH352" t="str">
        <f t="shared" si="252"/>
        <v/>
      </c>
      <c r="EI352" t="str">
        <f t="shared" si="253"/>
        <v>Tetracyclines</v>
      </c>
      <c r="EJ352" t="str">
        <f t="shared" si="254"/>
        <v/>
      </c>
      <c r="EK352" s="63" t="str">
        <f t="shared" si="255"/>
        <v/>
      </c>
      <c r="EN352" s="42">
        <v>349</v>
      </c>
      <c r="EO352" t="e">
        <f t="shared" si="261"/>
        <v>#N/A</v>
      </c>
      <c r="EP352" s="63" t="e">
        <f t="shared" si="262"/>
        <v>#N/A</v>
      </c>
      <c r="FT352" s="63"/>
    </row>
    <row r="353" spans="2:176" x14ac:dyDescent="0.3">
      <c r="B353" s="42"/>
      <c r="M353" s="194" t="str">
        <f ca="1">INDEX(Données_ATB!BD:BU,MATCH(MASQ2!O353,Données_ATB!BD:BD,0),18)</f>
        <v/>
      </c>
      <c r="N353" s="14" t="str">
        <f>IFERROR(IF(Q353=0,"",COUNTIF(Q$4:Q$600,"&gt;"&amp;Q353)+COUNTIF(Q$4:Q353,Q353)),"")</f>
        <v/>
      </c>
      <c r="O353" t="str">
        <f>Données_ATB!BD352</f>
        <v>OXYTETRACYCLINE 100-B PORC ET AGNEAU-CHEVREAU SEVRES FRANVET</v>
      </c>
      <c r="P353" t="e">
        <f>IF(IF(X$2="Catégorie",IF(X$3="Toutes",SUMIFS('Étape 1 - à remplir'!$F$31:$F$400,'Étape 1 - à remplir'!$E$31:$E$400,MASQ2!O353,'Étape 1 - à remplir'!$G$31:$G$400,"animaux"),SUMIFS('Étape 1 - à remplir'!$F$31:$F$400,'Étape 1 - à remplir'!$E$31:$E$400,MASQ2!O353,'Étape 1 - à remplir'!$C$31:$C$400,X$3)),IF(X$2="Âge",IF(X$3="Tous",SUMIFS('Étape 1 - à remplir'!$F$31:$F$400,'Étape 1 - à remplir'!$E$31:$E$400,MASQ2!O353,'Étape 1 - à remplir'!$G$31:$G$400,"animaux"),SUMIFS('Étape 1 - à remplir'!$F$31:$F$400,'Étape 1 - à remplir'!$E$31:$E$400,MASQ2!O353,'Étape 1 - à remplir'!$P$31:$P$400,X$3)),IF(X$2="Atelier",IF(X$3="Tous",SUMIFS('Étape 1 - à remplir'!$F$31:$F$400,'Étape 1 - à remplir'!$E$31:$E$400,MASQ2!O353,'Étape 1 - à remplir'!$G$31:$G$400,"animaux"),SUMIFS('Étape 1 - à remplir'!$F$31:$F$400,'Étape 1 - à remplir'!$E$31:$E$400,MASQ2!O353,'Étape 1 - à remplir'!$O$31:$O$400,X$3)),IF(X$2="Espèce",IF(X$3="Toutes",SUMIFS('Étape 1 - à remplir'!$F$31:$F$400,'Étape 1 - à remplir'!$E$31:$E$400,MASQ2!O353,'Étape 1 - à remplir'!$G$31:$G$400,"animaux"),SUMIFS('Étape 1 - à remplir'!$F$31:$F$400,'Étape 1 - à remplir'!$E$31:$E$400,MASQ2!O353,'Étape 1 - à remplir'!$N$31:$N$400,X$3))))))=0,NA(),IF(X$2="Catégorie",IF(X$3="Toutes",SUMIFS('Étape 1 - à remplir'!$F$31:$F$400,'Étape 1 - à remplir'!$E$31:$E$400,MASQ2!O353,'Étape 1 - à remplir'!$G$31:$G$400,"animaux"),SUMIFS('Étape 1 - à remplir'!$F$31:$F$400,'Étape 1 - à remplir'!$E$31:$E$400,MASQ2!O353,'Étape 1 - à remplir'!$C$31:$C$400,X$3)),IF(X$2="Âge",IF(X$3="Tous",SUMIFS('Étape 1 - à remplir'!$F$31:$F$400,'Étape 1 - à remplir'!$E$31:$E$400,MASQ2!O353,'Étape 1 - à remplir'!$G$31:$G$400,"animaux"),SUMIFS('Étape 1 - à remplir'!$F$31:$F$400,'Étape 1 - à remplir'!$E$31:$E$400,MASQ2!O353,'Étape 1 - à remplir'!$P$31:$P$400,X$3)),IF(X$2="Atelier",IF(X$3="Tous",SUMIFS('Étape 1 - à remplir'!$F$31:$F$400,'Étape 1 - à remplir'!$E$31:$E$400,MASQ2!O353,'Étape 1 - à remplir'!$G$31:$G$400,"animaux"),SUMIFS('Étape 1 - à remplir'!$F$31:$F$400,'Étape 1 - à remplir'!$E$31:$E$400,MASQ2!O353,'Étape 1 - à remplir'!$O$31:$O$400,X$3)),IF(X$2="Espèce",IF(X$3="Toutes",SUMIFS('Étape 1 - à remplir'!$F$31:$F$400,'Étape 1 - à remplir'!$E$31:$E$400,MASQ2!O353,'Étape 1 - à remplir'!$G$31:$G$400,"animaux"),SUMIFS('Étape 1 - à remplir'!$F$31:$F$400,'Étape 1 - à remplir'!$E$31:$E$400,MASQ2!O353,'Étape 1 - à remplir'!$N$31:$N$400,X$3)))))))</f>
        <v>#N/A</v>
      </c>
      <c r="Q353" s="63">
        <f t="shared" si="260"/>
        <v>0</v>
      </c>
      <c r="R353" t="str">
        <f>Données_ATB!BM352</f>
        <v>Oxytétracycline</v>
      </c>
      <c r="S353" t="str">
        <f>Données_ATB!BN352</f>
        <v/>
      </c>
      <c r="T353" s="63" t="str">
        <f>Données_ATB!BO352</f>
        <v/>
      </c>
      <c r="U353" s="42" t="str">
        <f>Données_ATB!BQ352</f>
        <v>Tetracyclines</v>
      </c>
      <c r="V353" t="str">
        <f>Données_ATB!BR352</f>
        <v/>
      </c>
      <c r="W353" s="63" t="str">
        <f>Données_ATB!BS352</f>
        <v/>
      </c>
      <c r="Z353" s="42">
        <v>350</v>
      </c>
      <c r="AA353" t="e">
        <f t="shared" si="256"/>
        <v>#N/A</v>
      </c>
      <c r="AB353" s="63" t="e">
        <f t="shared" si="257"/>
        <v>#N/A</v>
      </c>
      <c r="BF353" s="63"/>
      <c r="BT353" s="194" t="str">
        <f t="shared" ca="1" si="240"/>
        <v/>
      </c>
      <c r="BU353" s="219" t="str">
        <f>IFERROR(IF(BX353=0,"",COUNTIF(BX$4:BX$600,"&gt;"&amp;BX353)+COUNTIF(BX$4:BX353,BX353)),"")</f>
        <v/>
      </c>
      <c r="BV353" s="42" t="str">
        <f t="shared" si="241"/>
        <v>OXYTETRACYCLINE 100-B PORC ET AGNEAU-CHEVREAU SEVRES FRANVET</v>
      </c>
      <c r="BW353" t="e">
        <f>IF(IF(CE$2="Catégorie",IF(CE$3="Toutes",SUMIFS('Étape 1 - à remplir'!$F$31:$F$400,'Étape 1 - à remplir'!$E$31:$E$400,MASQ2!BV353,'Étape 1 - à remplir'!$G$31:$G$400,"lots"),SUMIFS('Étape 1 - à remplir'!$F$31:$F$400,'Étape 1 - à remplir'!$E$31:$E$400,MASQ2!BV353,'Étape 1 - à remplir'!$C$31:$C$400,CE$3)),IF(CE$2="Âge",IF(CE$3="Tous",SUMIFS('Étape 1 - à remplir'!$F$31:$F$400,'Étape 1 - à remplir'!$E$31:$E$400,MASQ2!BV353,'Étape 1 - à remplir'!$G$31:$G$400,"lots"),SUMIFS('Étape 1 - à remplir'!$F$31:$F$400,'Étape 1 - à remplir'!$E$31:$E$400,MASQ2!BV353,'Étape 1 - à remplir'!$P$31:$P$400,CE$3,'Étape 1 - à remplir'!$G$31:$G$400,"lots")),IF(CE$2="Atelier",IF(CE$3="Tous",SUMIFS('Étape 1 - à remplir'!$F$31:$F$400,'Étape 1 - à remplir'!$E$31:$E$400,MASQ2!BV353,'Étape 1 - à remplir'!$G$31:$G$400,"lots"),SUMIFS('Étape 1 - à remplir'!$F$31:$F$400,'Étape 1 - à remplir'!$E$31:$E$400,MASQ2!BV353,'Étape 1 - à remplir'!$O$31:$O$400,CE$3,'Étape 1 - à remplir'!$G$31:$G$400,"lots")),IF(CE$2="Espèce",IF(CE$3="Toutes",SUMIFS('Étape 1 - à remplir'!$F$31:$F$400,'Étape 1 - à remplir'!$E$31:$E$400,MASQ2!BV353,'Étape 1 - à remplir'!$G$31:$G$400,"lots"),SUMIFS('Étape 1 - à remplir'!$F$31:$F$400,'Étape 1 - à remplir'!$E$31:$E$400,MASQ2!BV353,'Étape 1 - à remplir'!$N$31:$N$400,CE$3,'Étape 1 - à remplir'!$G$31:$G$400,"lots"))))))=0,NA(),IF(CE$2="Catégorie",IF(CE$3="Toutes",SUMIFS('Étape 1 - à remplir'!$F$31:$F$400,'Étape 1 - à remplir'!$E$31:$E$400,MASQ2!BV353,'Étape 1 - à remplir'!$G$31:$G$400,"lots"),SUMIFS('Étape 1 - à remplir'!$F$31:$F$400,'Étape 1 - à remplir'!$E$31:$E$400,MASQ2!BV353,'Étape 1 - à remplir'!$C$31:$C$400,CE$3)),IF(CE$2="Âge",IF(CE$3="Tous",SUMIFS('Étape 1 - à remplir'!$F$31:$F$400,'Étape 1 - à remplir'!$E$31:$E$400,MASQ2!BV353,'Étape 1 - à remplir'!$G$31:$G$400,"lots"),SUMIFS('Étape 1 - à remplir'!$F$31:$F$400,'Étape 1 - à remplir'!$E$31:$E$400,MASQ2!BV353,'Étape 1 - à remplir'!$P$31:$P$400,CE$3,'Étape 1 - à remplir'!$G$31:$G$400,"lots")),IF(CE$2="Atelier",IF(CE$3="Tous",SUMIFS('Étape 1 - à remplir'!$F$31:$F$400,'Étape 1 - à remplir'!$E$31:$E$400,MASQ2!BV353,'Étape 1 - à remplir'!$G$31:$G$400,"lots"),SUMIFS('Étape 1 - à remplir'!$F$31:$F$400,'Étape 1 - à remplir'!$E$31:$E$400,MASQ2!BV353,'Étape 1 - à remplir'!$O$31:$O$400,CE$3,'Étape 1 - à remplir'!$G$31:$G$400,"lots")),IF(CE$2="Espèce",IF(CE$3="Toutes",SUMIFS('Étape 1 - à remplir'!$F$31:$F$400,'Étape 1 - à remplir'!$E$31:$E$400,MASQ2!BV353,'Étape 1 - à remplir'!$G$31:$G$400,"lots"),SUMIFS('Étape 1 - à remplir'!$F$31:$F$400,'Étape 1 - à remplir'!$E$31:$E$400,MASQ2!BV353,'Étape 1 - à remplir'!$N$31:$N$400,CE$3,'Étape 1 - à remplir'!$G$31:$G$400,"lots")))))))</f>
        <v>#N/A</v>
      </c>
      <c r="BX353">
        <f t="shared" si="258"/>
        <v>0</v>
      </c>
      <c r="BY353" t="str">
        <f t="shared" si="242"/>
        <v>Oxytétracycline</v>
      </c>
      <c r="BZ353" t="str">
        <f t="shared" si="243"/>
        <v/>
      </c>
      <c r="CA353" t="str">
        <f t="shared" si="244"/>
        <v/>
      </c>
      <c r="CB353" t="str">
        <f t="shared" si="245"/>
        <v>Tetracyclines</v>
      </c>
      <c r="CC353" t="str">
        <f t="shared" si="246"/>
        <v/>
      </c>
      <c r="CD353" s="63" t="str">
        <f t="shared" si="247"/>
        <v/>
      </c>
      <c r="CG353" s="42">
        <v>350</v>
      </c>
      <c r="CH353" s="42" t="e">
        <f t="shared" si="263"/>
        <v>#N/A</v>
      </c>
      <c r="CI353" s="63" t="e">
        <f t="shared" si="264"/>
        <v>#N/A</v>
      </c>
      <c r="DM353" s="63"/>
      <c r="EA353" s="194" t="str">
        <f t="shared" ca="1" si="248"/>
        <v/>
      </c>
      <c r="EB353" s="226" t="str">
        <f>IFERROR(IF(ED353=0,"",COUNTIF(ED$4:ED$600,"&gt;"&amp;ED353)+COUNTIF(ED$4:ED353,ED353)),"")</f>
        <v/>
      </c>
      <c r="EC353" t="str">
        <f t="shared" si="249"/>
        <v>OXYTETRACYCLINE 100-B PORC ET AGNEAU-CHEVREAU SEVRES FRANVET</v>
      </c>
      <c r="ED353" t="e">
        <f>IF(IF(EL$2="Catégorie",IF(EL$3="Toutes",SUMIFS('Étape 1 - à remplir'!$F$31:$F$400,'Étape 1 - à remplir'!$E$31:$E$400,MASQ2!EC353,'Étape 1 - à remplir'!$G$31:$G$400,"kg"),SUMIFS('Étape 1 - à remplir'!$F$31:$F$400,'Étape 1 - à remplir'!$E$31:$E$400,MASQ2!EC353,'Étape 1 - à remplir'!$C$31:$C$400,EL$3)),IF(EL$2="Âge",IF(EL$3="Tous",SUMIFS('Étape 1 - à remplir'!$F$31:$F$400,'Étape 1 - à remplir'!$E$31:$E$400,MASQ2!EC353,'Étape 1 - à remplir'!$G$31:$G$400,"kg"),SUMIFS('Étape 1 - à remplir'!$F$31:$F$400,'Étape 1 - à remplir'!$E$31:$E$400,MASQ2!EC353,'Étape 1 - à remplir'!$P$31:$P$400,EL$3,'Étape 1 - à remplir'!$G$31:$G$400,"kg")),IF(EL$2="Atelier",IF(EL$3="Tous",SUMIFS('Étape 1 - à remplir'!$F$31:$F$400,'Étape 1 - à remplir'!$E$31:$E$400,MASQ2!EC353,'Étape 1 - à remplir'!$G$31:$G$400,"kg"),SUMIFS('Étape 1 - à remplir'!$F$31:$F$400,'Étape 1 - à remplir'!$E$31:$E$400,MASQ2!EC353,'Étape 1 - à remplir'!$O$31:$O$400,EL$3,'Étape 1 - à remplir'!$G$31:$G$400,"kg")),IF(EL$2="Espèce",IF(EL$3="Toutes",SUMIFS('Étape 1 - à remplir'!$F$31:$F$400,'Étape 1 - à remplir'!$E$31:$E$400,MASQ2!EC353,'Étape 1 - à remplir'!$G$31:$G$400,"kg"),SUMIFS('Étape 1 - à remplir'!$F$31:$F$400,'Étape 1 - à remplir'!$E$31:$E$400,MASQ2!EC353,'Étape 1 - à remplir'!$N$31:$N$400,EL$3,'Étape 1 - à remplir'!$G$31:$G$400,"kg"))))))=0,NA(),IF(EL$2="Catégorie",IF(EL$3="Toutes",SUMIFS('Étape 1 - à remplir'!$F$31:$F$400,'Étape 1 - à remplir'!$E$31:$E$400,MASQ2!EC353,'Étape 1 - à remplir'!$G$31:$G$400,"kg"),SUMIFS('Étape 1 - à remplir'!$F$31:$F$400,'Étape 1 - à remplir'!$E$31:$E$400,MASQ2!EC353,'Étape 1 - à remplir'!$C$31:$C$400,EL$3)),IF(EL$2="Âge",IF(EL$3="Tous",SUMIFS('Étape 1 - à remplir'!$F$31:$F$400,'Étape 1 - à remplir'!$E$31:$E$400,MASQ2!EC353,'Étape 1 - à remplir'!$G$31:$G$400,"kg"),SUMIFS('Étape 1 - à remplir'!$F$31:$F$400,'Étape 1 - à remplir'!$E$31:$E$400,MASQ2!EC353,'Étape 1 - à remplir'!$P$31:$P$400,EL$3,'Étape 1 - à remplir'!$G$31:$G$400,"kg")),IF(EL$2="Atelier",IF(EL$3="Tous",SUMIFS('Étape 1 - à remplir'!$F$31:$F$400,'Étape 1 - à remplir'!$E$31:$E$400,MASQ2!EC353,'Étape 1 - à remplir'!$G$31:$G$400,"kg"),SUMIFS('Étape 1 - à remplir'!$F$31:$F$400,'Étape 1 - à remplir'!$E$31:$E$400,MASQ2!EC353,'Étape 1 - à remplir'!$O$31:$O$400,EL$3,'Étape 1 - à remplir'!$G$31:$G$400,"kg")),IF(EL$2="Espèce",IF(EL$3="Toutes",SUMIFS('Étape 1 - à remplir'!$F$31:$F$400,'Étape 1 - à remplir'!$E$31:$E$400,MASQ2!EC353,'Étape 1 - à remplir'!$G$31:$G$400,"kg"),SUMIFS('Étape 1 - à remplir'!$F$31:$F$400,'Étape 1 - à remplir'!$E$31:$E$400,MASQ2!EC353,'Étape 1 - à remplir'!$N$31:$N$400,EL$3,'Étape 1 - à remplir'!$G$31:$G$400,"kg")))))))</f>
        <v>#N/A</v>
      </c>
      <c r="EE353" s="76">
        <f t="shared" si="259"/>
        <v>0</v>
      </c>
      <c r="EF353" t="str">
        <f t="shared" si="250"/>
        <v>Oxytétracycline</v>
      </c>
      <c r="EG353" t="str">
        <f t="shared" si="251"/>
        <v/>
      </c>
      <c r="EH353" t="str">
        <f t="shared" si="252"/>
        <v/>
      </c>
      <c r="EI353" t="str">
        <f t="shared" si="253"/>
        <v>Tetracyclines</v>
      </c>
      <c r="EJ353" t="str">
        <f t="shared" si="254"/>
        <v/>
      </c>
      <c r="EK353" s="63" t="str">
        <f t="shared" si="255"/>
        <v/>
      </c>
      <c r="EN353" s="42">
        <v>350</v>
      </c>
      <c r="EO353" t="e">
        <f t="shared" si="261"/>
        <v>#N/A</v>
      </c>
      <c r="EP353" s="63" t="e">
        <f t="shared" si="262"/>
        <v>#N/A</v>
      </c>
      <c r="FT353" s="63"/>
    </row>
    <row r="354" spans="2:176" x14ac:dyDescent="0.3">
      <c r="B354" s="42"/>
      <c r="M354" s="194" t="str">
        <f ca="1">INDEX(Données_ATB!BD:BU,MATCH(MASQ2!O354,Données_ATB!BD:BD,0),18)</f>
        <v/>
      </c>
      <c r="N354" s="14" t="str">
        <f>IFERROR(IF(Q354=0,"",COUNTIF(Q$4:Q$600,"&gt;"&amp;Q354)+COUNTIF(Q$4:Q354,Q354)),"")</f>
        <v/>
      </c>
      <c r="O354" t="str">
        <f>Données_ATB!BD353</f>
        <v>OXYTETRACYCLINE 100-CR PORC ET AGNEAU-CHEVREAU SEVRES FRANVET</v>
      </c>
      <c r="P354" t="e">
        <f>IF(IF(X$2="Catégorie",IF(X$3="Toutes",SUMIFS('Étape 1 - à remplir'!$F$31:$F$400,'Étape 1 - à remplir'!$E$31:$E$400,MASQ2!O354,'Étape 1 - à remplir'!$G$31:$G$400,"animaux"),SUMIFS('Étape 1 - à remplir'!$F$31:$F$400,'Étape 1 - à remplir'!$E$31:$E$400,MASQ2!O354,'Étape 1 - à remplir'!$C$31:$C$400,X$3)),IF(X$2="Âge",IF(X$3="Tous",SUMIFS('Étape 1 - à remplir'!$F$31:$F$400,'Étape 1 - à remplir'!$E$31:$E$400,MASQ2!O354,'Étape 1 - à remplir'!$G$31:$G$400,"animaux"),SUMIFS('Étape 1 - à remplir'!$F$31:$F$400,'Étape 1 - à remplir'!$E$31:$E$400,MASQ2!O354,'Étape 1 - à remplir'!$P$31:$P$400,X$3)),IF(X$2="Atelier",IF(X$3="Tous",SUMIFS('Étape 1 - à remplir'!$F$31:$F$400,'Étape 1 - à remplir'!$E$31:$E$400,MASQ2!O354,'Étape 1 - à remplir'!$G$31:$G$400,"animaux"),SUMIFS('Étape 1 - à remplir'!$F$31:$F$400,'Étape 1 - à remplir'!$E$31:$E$400,MASQ2!O354,'Étape 1 - à remplir'!$O$31:$O$400,X$3)),IF(X$2="Espèce",IF(X$3="Toutes",SUMIFS('Étape 1 - à remplir'!$F$31:$F$400,'Étape 1 - à remplir'!$E$31:$E$400,MASQ2!O354,'Étape 1 - à remplir'!$G$31:$G$400,"animaux"),SUMIFS('Étape 1 - à remplir'!$F$31:$F$400,'Étape 1 - à remplir'!$E$31:$E$400,MASQ2!O354,'Étape 1 - à remplir'!$N$31:$N$400,X$3))))))=0,NA(),IF(X$2="Catégorie",IF(X$3="Toutes",SUMIFS('Étape 1 - à remplir'!$F$31:$F$400,'Étape 1 - à remplir'!$E$31:$E$400,MASQ2!O354,'Étape 1 - à remplir'!$G$31:$G$400,"animaux"),SUMIFS('Étape 1 - à remplir'!$F$31:$F$400,'Étape 1 - à remplir'!$E$31:$E$400,MASQ2!O354,'Étape 1 - à remplir'!$C$31:$C$400,X$3)),IF(X$2="Âge",IF(X$3="Tous",SUMIFS('Étape 1 - à remplir'!$F$31:$F$400,'Étape 1 - à remplir'!$E$31:$E$400,MASQ2!O354,'Étape 1 - à remplir'!$G$31:$G$400,"animaux"),SUMIFS('Étape 1 - à remplir'!$F$31:$F$400,'Étape 1 - à remplir'!$E$31:$E$400,MASQ2!O354,'Étape 1 - à remplir'!$P$31:$P$400,X$3)),IF(X$2="Atelier",IF(X$3="Tous",SUMIFS('Étape 1 - à remplir'!$F$31:$F$400,'Étape 1 - à remplir'!$E$31:$E$400,MASQ2!O354,'Étape 1 - à remplir'!$G$31:$G$400,"animaux"),SUMIFS('Étape 1 - à remplir'!$F$31:$F$400,'Étape 1 - à remplir'!$E$31:$E$400,MASQ2!O354,'Étape 1 - à remplir'!$O$31:$O$400,X$3)),IF(X$2="Espèce",IF(X$3="Toutes",SUMIFS('Étape 1 - à remplir'!$F$31:$F$400,'Étape 1 - à remplir'!$E$31:$E$400,MASQ2!O354,'Étape 1 - à remplir'!$G$31:$G$400,"animaux"),SUMIFS('Étape 1 - à remplir'!$F$31:$F$400,'Étape 1 - à remplir'!$E$31:$E$400,MASQ2!O354,'Étape 1 - à remplir'!$N$31:$N$400,X$3)))))))</f>
        <v>#N/A</v>
      </c>
      <c r="Q354" s="63">
        <f t="shared" si="260"/>
        <v>0</v>
      </c>
      <c r="R354" t="str">
        <f>Données_ATB!BM353</f>
        <v>Oxytétracycline</v>
      </c>
      <c r="S354" t="str">
        <f>Données_ATB!BN353</f>
        <v/>
      </c>
      <c r="T354" s="63" t="str">
        <f>Données_ATB!BO353</f>
        <v/>
      </c>
      <c r="U354" s="42" t="str">
        <f>Données_ATB!BQ353</f>
        <v>Tetracyclines</v>
      </c>
      <c r="V354" t="str">
        <f>Données_ATB!BR353</f>
        <v/>
      </c>
      <c r="W354" s="63" t="str">
        <f>Données_ATB!BS353</f>
        <v/>
      </c>
      <c r="Z354" s="42">
        <v>351</v>
      </c>
      <c r="AA354" t="e">
        <f t="shared" si="256"/>
        <v>#N/A</v>
      </c>
      <c r="AB354" s="63" t="e">
        <f t="shared" si="257"/>
        <v>#N/A</v>
      </c>
      <c r="BF354" s="63"/>
      <c r="BT354" s="194" t="str">
        <f t="shared" ca="1" si="240"/>
        <v/>
      </c>
      <c r="BU354" s="219" t="str">
        <f>IFERROR(IF(BX354=0,"",COUNTIF(BX$4:BX$600,"&gt;"&amp;BX354)+COUNTIF(BX$4:BX354,BX354)),"")</f>
        <v/>
      </c>
      <c r="BV354" s="42" t="str">
        <f t="shared" si="241"/>
        <v>OXYTETRACYCLINE 100-CR PORC ET AGNEAU-CHEVREAU SEVRES FRANVET</v>
      </c>
      <c r="BW354" t="e">
        <f>IF(IF(CE$2="Catégorie",IF(CE$3="Toutes",SUMIFS('Étape 1 - à remplir'!$F$31:$F$400,'Étape 1 - à remplir'!$E$31:$E$400,MASQ2!BV354,'Étape 1 - à remplir'!$G$31:$G$400,"lots"),SUMIFS('Étape 1 - à remplir'!$F$31:$F$400,'Étape 1 - à remplir'!$E$31:$E$400,MASQ2!BV354,'Étape 1 - à remplir'!$C$31:$C$400,CE$3)),IF(CE$2="Âge",IF(CE$3="Tous",SUMIFS('Étape 1 - à remplir'!$F$31:$F$400,'Étape 1 - à remplir'!$E$31:$E$400,MASQ2!BV354,'Étape 1 - à remplir'!$G$31:$G$400,"lots"),SUMIFS('Étape 1 - à remplir'!$F$31:$F$400,'Étape 1 - à remplir'!$E$31:$E$400,MASQ2!BV354,'Étape 1 - à remplir'!$P$31:$P$400,CE$3,'Étape 1 - à remplir'!$G$31:$G$400,"lots")),IF(CE$2="Atelier",IF(CE$3="Tous",SUMIFS('Étape 1 - à remplir'!$F$31:$F$400,'Étape 1 - à remplir'!$E$31:$E$400,MASQ2!BV354,'Étape 1 - à remplir'!$G$31:$G$400,"lots"),SUMIFS('Étape 1 - à remplir'!$F$31:$F$400,'Étape 1 - à remplir'!$E$31:$E$400,MASQ2!BV354,'Étape 1 - à remplir'!$O$31:$O$400,CE$3,'Étape 1 - à remplir'!$G$31:$G$400,"lots")),IF(CE$2="Espèce",IF(CE$3="Toutes",SUMIFS('Étape 1 - à remplir'!$F$31:$F$400,'Étape 1 - à remplir'!$E$31:$E$400,MASQ2!BV354,'Étape 1 - à remplir'!$G$31:$G$400,"lots"),SUMIFS('Étape 1 - à remplir'!$F$31:$F$400,'Étape 1 - à remplir'!$E$31:$E$400,MASQ2!BV354,'Étape 1 - à remplir'!$N$31:$N$400,CE$3,'Étape 1 - à remplir'!$G$31:$G$400,"lots"))))))=0,NA(),IF(CE$2="Catégorie",IF(CE$3="Toutes",SUMIFS('Étape 1 - à remplir'!$F$31:$F$400,'Étape 1 - à remplir'!$E$31:$E$400,MASQ2!BV354,'Étape 1 - à remplir'!$G$31:$G$400,"lots"),SUMIFS('Étape 1 - à remplir'!$F$31:$F$400,'Étape 1 - à remplir'!$E$31:$E$400,MASQ2!BV354,'Étape 1 - à remplir'!$C$31:$C$400,CE$3)),IF(CE$2="Âge",IF(CE$3="Tous",SUMIFS('Étape 1 - à remplir'!$F$31:$F$400,'Étape 1 - à remplir'!$E$31:$E$400,MASQ2!BV354,'Étape 1 - à remplir'!$G$31:$G$400,"lots"),SUMIFS('Étape 1 - à remplir'!$F$31:$F$400,'Étape 1 - à remplir'!$E$31:$E$400,MASQ2!BV354,'Étape 1 - à remplir'!$P$31:$P$400,CE$3,'Étape 1 - à remplir'!$G$31:$G$400,"lots")),IF(CE$2="Atelier",IF(CE$3="Tous",SUMIFS('Étape 1 - à remplir'!$F$31:$F$400,'Étape 1 - à remplir'!$E$31:$E$400,MASQ2!BV354,'Étape 1 - à remplir'!$G$31:$G$400,"lots"),SUMIFS('Étape 1 - à remplir'!$F$31:$F$400,'Étape 1 - à remplir'!$E$31:$E$400,MASQ2!BV354,'Étape 1 - à remplir'!$O$31:$O$400,CE$3,'Étape 1 - à remplir'!$G$31:$G$400,"lots")),IF(CE$2="Espèce",IF(CE$3="Toutes",SUMIFS('Étape 1 - à remplir'!$F$31:$F$400,'Étape 1 - à remplir'!$E$31:$E$400,MASQ2!BV354,'Étape 1 - à remplir'!$G$31:$G$400,"lots"),SUMIFS('Étape 1 - à remplir'!$F$31:$F$400,'Étape 1 - à remplir'!$E$31:$E$400,MASQ2!BV354,'Étape 1 - à remplir'!$N$31:$N$400,CE$3,'Étape 1 - à remplir'!$G$31:$G$400,"lots")))))))</f>
        <v>#N/A</v>
      </c>
      <c r="BX354">
        <f t="shared" si="258"/>
        <v>0</v>
      </c>
      <c r="BY354" t="str">
        <f t="shared" si="242"/>
        <v>Oxytétracycline</v>
      </c>
      <c r="BZ354" t="str">
        <f t="shared" si="243"/>
        <v/>
      </c>
      <c r="CA354" t="str">
        <f t="shared" si="244"/>
        <v/>
      </c>
      <c r="CB354" t="str">
        <f t="shared" si="245"/>
        <v>Tetracyclines</v>
      </c>
      <c r="CC354" t="str">
        <f t="shared" si="246"/>
        <v/>
      </c>
      <c r="CD354" s="63" t="str">
        <f t="shared" si="247"/>
        <v/>
      </c>
      <c r="CG354" s="42">
        <v>351</v>
      </c>
      <c r="CH354" s="42" t="e">
        <f t="shared" si="263"/>
        <v>#N/A</v>
      </c>
      <c r="CI354" s="63" t="e">
        <f t="shared" si="264"/>
        <v>#N/A</v>
      </c>
      <c r="DM354" s="63"/>
      <c r="EA354" s="194" t="str">
        <f t="shared" ca="1" si="248"/>
        <v/>
      </c>
      <c r="EB354" s="226" t="str">
        <f>IFERROR(IF(ED354=0,"",COUNTIF(ED$4:ED$600,"&gt;"&amp;ED354)+COUNTIF(ED$4:ED354,ED354)),"")</f>
        <v/>
      </c>
      <c r="EC354" t="str">
        <f t="shared" si="249"/>
        <v>OXYTETRACYCLINE 100-CR PORC ET AGNEAU-CHEVREAU SEVRES FRANVET</v>
      </c>
      <c r="ED354" t="e">
        <f>IF(IF(EL$2="Catégorie",IF(EL$3="Toutes",SUMIFS('Étape 1 - à remplir'!$F$31:$F$400,'Étape 1 - à remplir'!$E$31:$E$400,MASQ2!EC354,'Étape 1 - à remplir'!$G$31:$G$400,"kg"),SUMIFS('Étape 1 - à remplir'!$F$31:$F$400,'Étape 1 - à remplir'!$E$31:$E$400,MASQ2!EC354,'Étape 1 - à remplir'!$C$31:$C$400,EL$3)),IF(EL$2="Âge",IF(EL$3="Tous",SUMIFS('Étape 1 - à remplir'!$F$31:$F$400,'Étape 1 - à remplir'!$E$31:$E$400,MASQ2!EC354,'Étape 1 - à remplir'!$G$31:$G$400,"kg"),SUMIFS('Étape 1 - à remplir'!$F$31:$F$400,'Étape 1 - à remplir'!$E$31:$E$400,MASQ2!EC354,'Étape 1 - à remplir'!$P$31:$P$400,EL$3,'Étape 1 - à remplir'!$G$31:$G$400,"kg")),IF(EL$2="Atelier",IF(EL$3="Tous",SUMIFS('Étape 1 - à remplir'!$F$31:$F$400,'Étape 1 - à remplir'!$E$31:$E$400,MASQ2!EC354,'Étape 1 - à remplir'!$G$31:$G$400,"kg"),SUMIFS('Étape 1 - à remplir'!$F$31:$F$400,'Étape 1 - à remplir'!$E$31:$E$400,MASQ2!EC354,'Étape 1 - à remplir'!$O$31:$O$400,EL$3,'Étape 1 - à remplir'!$G$31:$G$400,"kg")),IF(EL$2="Espèce",IF(EL$3="Toutes",SUMIFS('Étape 1 - à remplir'!$F$31:$F$400,'Étape 1 - à remplir'!$E$31:$E$400,MASQ2!EC354,'Étape 1 - à remplir'!$G$31:$G$400,"kg"),SUMIFS('Étape 1 - à remplir'!$F$31:$F$400,'Étape 1 - à remplir'!$E$31:$E$400,MASQ2!EC354,'Étape 1 - à remplir'!$N$31:$N$400,EL$3,'Étape 1 - à remplir'!$G$31:$G$400,"kg"))))))=0,NA(),IF(EL$2="Catégorie",IF(EL$3="Toutes",SUMIFS('Étape 1 - à remplir'!$F$31:$F$400,'Étape 1 - à remplir'!$E$31:$E$400,MASQ2!EC354,'Étape 1 - à remplir'!$G$31:$G$400,"kg"),SUMIFS('Étape 1 - à remplir'!$F$31:$F$400,'Étape 1 - à remplir'!$E$31:$E$400,MASQ2!EC354,'Étape 1 - à remplir'!$C$31:$C$400,EL$3)),IF(EL$2="Âge",IF(EL$3="Tous",SUMIFS('Étape 1 - à remplir'!$F$31:$F$400,'Étape 1 - à remplir'!$E$31:$E$400,MASQ2!EC354,'Étape 1 - à remplir'!$G$31:$G$400,"kg"),SUMIFS('Étape 1 - à remplir'!$F$31:$F$400,'Étape 1 - à remplir'!$E$31:$E$400,MASQ2!EC354,'Étape 1 - à remplir'!$P$31:$P$400,EL$3,'Étape 1 - à remplir'!$G$31:$G$400,"kg")),IF(EL$2="Atelier",IF(EL$3="Tous",SUMIFS('Étape 1 - à remplir'!$F$31:$F$400,'Étape 1 - à remplir'!$E$31:$E$400,MASQ2!EC354,'Étape 1 - à remplir'!$G$31:$G$400,"kg"),SUMIFS('Étape 1 - à remplir'!$F$31:$F$400,'Étape 1 - à remplir'!$E$31:$E$400,MASQ2!EC354,'Étape 1 - à remplir'!$O$31:$O$400,EL$3,'Étape 1 - à remplir'!$G$31:$G$400,"kg")),IF(EL$2="Espèce",IF(EL$3="Toutes",SUMIFS('Étape 1 - à remplir'!$F$31:$F$400,'Étape 1 - à remplir'!$E$31:$E$400,MASQ2!EC354,'Étape 1 - à remplir'!$G$31:$G$400,"kg"),SUMIFS('Étape 1 - à remplir'!$F$31:$F$400,'Étape 1 - à remplir'!$E$31:$E$400,MASQ2!EC354,'Étape 1 - à remplir'!$N$31:$N$400,EL$3,'Étape 1 - à remplir'!$G$31:$G$400,"kg")))))))</f>
        <v>#N/A</v>
      </c>
      <c r="EE354" s="76">
        <f t="shared" si="259"/>
        <v>0</v>
      </c>
      <c r="EF354" t="str">
        <f t="shared" si="250"/>
        <v>Oxytétracycline</v>
      </c>
      <c r="EG354" t="str">
        <f t="shared" si="251"/>
        <v/>
      </c>
      <c r="EH354" t="str">
        <f t="shared" si="252"/>
        <v/>
      </c>
      <c r="EI354" t="str">
        <f t="shared" si="253"/>
        <v>Tetracyclines</v>
      </c>
      <c r="EJ354" t="str">
        <f t="shared" si="254"/>
        <v/>
      </c>
      <c r="EK354" s="63" t="str">
        <f t="shared" si="255"/>
        <v/>
      </c>
      <c r="EN354" s="42">
        <v>351</v>
      </c>
      <c r="EO354" t="e">
        <f t="shared" si="261"/>
        <v>#N/A</v>
      </c>
      <c r="EP354" s="63" t="e">
        <f t="shared" si="262"/>
        <v>#N/A</v>
      </c>
      <c r="FT354" s="63"/>
    </row>
    <row r="355" spans="2:176" x14ac:dyDescent="0.3">
      <c r="B355" s="42"/>
      <c r="M355" s="194" t="str">
        <f ca="1">INDEX(Données_ATB!BD:BU,MATCH(MASQ2!O355,Données_ATB!BD:BD,0),18)</f>
        <v/>
      </c>
      <c r="N355" s="14" t="str">
        <f>IFERROR(IF(Q355=0,"",COUNTIF(Q$4:Q$600,"&gt;"&amp;Q355)+COUNTIF(Q$4:Q355,Q355)),"")</f>
        <v/>
      </c>
      <c r="O355" t="str">
        <f>Données_ATB!BD354</f>
        <v>OXYTETRACYCLINE 200-D VEAU-AGNEAU-CHEVREAU FRANVET</v>
      </c>
      <c r="P355" t="e">
        <f>IF(IF(X$2="Catégorie",IF(X$3="Toutes",SUMIFS('Étape 1 - à remplir'!$F$31:$F$400,'Étape 1 - à remplir'!$E$31:$E$400,MASQ2!O355,'Étape 1 - à remplir'!$G$31:$G$400,"animaux"),SUMIFS('Étape 1 - à remplir'!$F$31:$F$400,'Étape 1 - à remplir'!$E$31:$E$400,MASQ2!O355,'Étape 1 - à remplir'!$C$31:$C$400,X$3)),IF(X$2="Âge",IF(X$3="Tous",SUMIFS('Étape 1 - à remplir'!$F$31:$F$400,'Étape 1 - à remplir'!$E$31:$E$400,MASQ2!O355,'Étape 1 - à remplir'!$G$31:$G$400,"animaux"),SUMIFS('Étape 1 - à remplir'!$F$31:$F$400,'Étape 1 - à remplir'!$E$31:$E$400,MASQ2!O355,'Étape 1 - à remplir'!$P$31:$P$400,X$3)),IF(X$2="Atelier",IF(X$3="Tous",SUMIFS('Étape 1 - à remplir'!$F$31:$F$400,'Étape 1 - à remplir'!$E$31:$E$400,MASQ2!O355,'Étape 1 - à remplir'!$G$31:$G$400,"animaux"),SUMIFS('Étape 1 - à remplir'!$F$31:$F$400,'Étape 1 - à remplir'!$E$31:$E$400,MASQ2!O355,'Étape 1 - à remplir'!$O$31:$O$400,X$3)),IF(X$2="Espèce",IF(X$3="Toutes",SUMIFS('Étape 1 - à remplir'!$F$31:$F$400,'Étape 1 - à remplir'!$E$31:$E$400,MASQ2!O355,'Étape 1 - à remplir'!$G$31:$G$400,"animaux"),SUMIFS('Étape 1 - à remplir'!$F$31:$F$400,'Étape 1 - à remplir'!$E$31:$E$400,MASQ2!O355,'Étape 1 - à remplir'!$N$31:$N$400,X$3))))))=0,NA(),IF(X$2="Catégorie",IF(X$3="Toutes",SUMIFS('Étape 1 - à remplir'!$F$31:$F$400,'Étape 1 - à remplir'!$E$31:$E$400,MASQ2!O355,'Étape 1 - à remplir'!$G$31:$G$400,"animaux"),SUMIFS('Étape 1 - à remplir'!$F$31:$F$400,'Étape 1 - à remplir'!$E$31:$E$400,MASQ2!O355,'Étape 1 - à remplir'!$C$31:$C$400,X$3)),IF(X$2="Âge",IF(X$3="Tous",SUMIFS('Étape 1 - à remplir'!$F$31:$F$400,'Étape 1 - à remplir'!$E$31:$E$400,MASQ2!O355,'Étape 1 - à remplir'!$G$31:$G$400,"animaux"),SUMIFS('Étape 1 - à remplir'!$F$31:$F$400,'Étape 1 - à remplir'!$E$31:$E$400,MASQ2!O355,'Étape 1 - à remplir'!$P$31:$P$400,X$3)),IF(X$2="Atelier",IF(X$3="Tous",SUMIFS('Étape 1 - à remplir'!$F$31:$F$400,'Étape 1 - à remplir'!$E$31:$E$400,MASQ2!O355,'Étape 1 - à remplir'!$G$31:$G$400,"animaux"),SUMIFS('Étape 1 - à remplir'!$F$31:$F$400,'Étape 1 - à remplir'!$E$31:$E$400,MASQ2!O355,'Étape 1 - à remplir'!$O$31:$O$400,X$3)),IF(X$2="Espèce",IF(X$3="Toutes",SUMIFS('Étape 1 - à remplir'!$F$31:$F$400,'Étape 1 - à remplir'!$E$31:$E$400,MASQ2!O355,'Étape 1 - à remplir'!$G$31:$G$400,"animaux"),SUMIFS('Étape 1 - à remplir'!$F$31:$F$400,'Étape 1 - à remplir'!$E$31:$E$400,MASQ2!O355,'Étape 1 - à remplir'!$N$31:$N$400,X$3)))))))</f>
        <v>#N/A</v>
      </c>
      <c r="Q355" s="63">
        <f t="shared" si="260"/>
        <v>0</v>
      </c>
      <c r="R355" t="str">
        <f>Données_ATB!BM354</f>
        <v>Oxytétracycline</v>
      </c>
      <c r="S355" t="str">
        <f>Données_ATB!BN354</f>
        <v/>
      </c>
      <c r="T355" s="63" t="str">
        <f>Données_ATB!BO354</f>
        <v/>
      </c>
      <c r="U355" s="42" t="str">
        <f>Données_ATB!BQ354</f>
        <v>Tetracyclines</v>
      </c>
      <c r="V355" t="str">
        <f>Données_ATB!BR354</f>
        <v/>
      </c>
      <c r="W355" s="63" t="str">
        <f>Données_ATB!BS354</f>
        <v/>
      </c>
      <c r="Z355" s="42">
        <v>352</v>
      </c>
      <c r="AA355" t="e">
        <f t="shared" si="256"/>
        <v>#N/A</v>
      </c>
      <c r="AB355" s="63" t="e">
        <f t="shared" si="257"/>
        <v>#N/A</v>
      </c>
      <c r="BF355" s="63"/>
      <c r="BT355" s="194" t="str">
        <f t="shared" ca="1" si="240"/>
        <v/>
      </c>
      <c r="BU355" s="219" t="str">
        <f>IFERROR(IF(BX355=0,"",COUNTIF(BX$4:BX$600,"&gt;"&amp;BX355)+COUNTIF(BX$4:BX355,BX355)),"")</f>
        <v/>
      </c>
      <c r="BV355" s="42" t="str">
        <f t="shared" si="241"/>
        <v>OXYTETRACYCLINE 200-D VEAU-AGNEAU-CHEVREAU FRANVET</v>
      </c>
      <c r="BW355" t="e">
        <f>IF(IF(CE$2="Catégorie",IF(CE$3="Toutes",SUMIFS('Étape 1 - à remplir'!$F$31:$F$400,'Étape 1 - à remplir'!$E$31:$E$400,MASQ2!BV355,'Étape 1 - à remplir'!$G$31:$G$400,"lots"),SUMIFS('Étape 1 - à remplir'!$F$31:$F$400,'Étape 1 - à remplir'!$E$31:$E$400,MASQ2!BV355,'Étape 1 - à remplir'!$C$31:$C$400,CE$3)),IF(CE$2="Âge",IF(CE$3="Tous",SUMIFS('Étape 1 - à remplir'!$F$31:$F$400,'Étape 1 - à remplir'!$E$31:$E$400,MASQ2!BV355,'Étape 1 - à remplir'!$G$31:$G$400,"lots"),SUMIFS('Étape 1 - à remplir'!$F$31:$F$400,'Étape 1 - à remplir'!$E$31:$E$400,MASQ2!BV355,'Étape 1 - à remplir'!$P$31:$P$400,CE$3,'Étape 1 - à remplir'!$G$31:$G$400,"lots")),IF(CE$2="Atelier",IF(CE$3="Tous",SUMIFS('Étape 1 - à remplir'!$F$31:$F$400,'Étape 1 - à remplir'!$E$31:$E$400,MASQ2!BV355,'Étape 1 - à remplir'!$G$31:$G$400,"lots"),SUMIFS('Étape 1 - à remplir'!$F$31:$F$400,'Étape 1 - à remplir'!$E$31:$E$400,MASQ2!BV355,'Étape 1 - à remplir'!$O$31:$O$400,CE$3,'Étape 1 - à remplir'!$G$31:$G$400,"lots")),IF(CE$2="Espèce",IF(CE$3="Toutes",SUMIFS('Étape 1 - à remplir'!$F$31:$F$400,'Étape 1 - à remplir'!$E$31:$E$400,MASQ2!BV355,'Étape 1 - à remplir'!$G$31:$G$400,"lots"),SUMIFS('Étape 1 - à remplir'!$F$31:$F$400,'Étape 1 - à remplir'!$E$31:$E$400,MASQ2!BV355,'Étape 1 - à remplir'!$N$31:$N$400,CE$3,'Étape 1 - à remplir'!$G$31:$G$400,"lots"))))))=0,NA(),IF(CE$2="Catégorie",IF(CE$3="Toutes",SUMIFS('Étape 1 - à remplir'!$F$31:$F$400,'Étape 1 - à remplir'!$E$31:$E$400,MASQ2!BV355,'Étape 1 - à remplir'!$G$31:$G$400,"lots"),SUMIFS('Étape 1 - à remplir'!$F$31:$F$400,'Étape 1 - à remplir'!$E$31:$E$400,MASQ2!BV355,'Étape 1 - à remplir'!$C$31:$C$400,CE$3)),IF(CE$2="Âge",IF(CE$3="Tous",SUMIFS('Étape 1 - à remplir'!$F$31:$F$400,'Étape 1 - à remplir'!$E$31:$E$400,MASQ2!BV355,'Étape 1 - à remplir'!$G$31:$G$400,"lots"),SUMIFS('Étape 1 - à remplir'!$F$31:$F$400,'Étape 1 - à remplir'!$E$31:$E$400,MASQ2!BV355,'Étape 1 - à remplir'!$P$31:$P$400,CE$3,'Étape 1 - à remplir'!$G$31:$G$400,"lots")),IF(CE$2="Atelier",IF(CE$3="Tous",SUMIFS('Étape 1 - à remplir'!$F$31:$F$400,'Étape 1 - à remplir'!$E$31:$E$400,MASQ2!BV355,'Étape 1 - à remplir'!$G$31:$G$400,"lots"),SUMIFS('Étape 1 - à remplir'!$F$31:$F$400,'Étape 1 - à remplir'!$E$31:$E$400,MASQ2!BV355,'Étape 1 - à remplir'!$O$31:$O$400,CE$3,'Étape 1 - à remplir'!$G$31:$G$400,"lots")),IF(CE$2="Espèce",IF(CE$3="Toutes",SUMIFS('Étape 1 - à remplir'!$F$31:$F$400,'Étape 1 - à remplir'!$E$31:$E$400,MASQ2!BV355,'Étape 1 - à remplir'!$G$31:$G$400,"lots"),SUMIFS('Étape 1 - à remplir'!$F$31:$F$400,'Étape 1 - à remplir'!$E$31:$E$400,MASQ2!BV355,'Étape 1 - à remplir'!$N$31:$N$400,CE$3,'Étape 1 - à remplir'!$G$31:$G$400,"lots")))))))</f>
        <v>#N/A</v>
      </c>
      <c r="BX355">
        <f t="shared" si="258"/>
        <v>0</v>
      </c>
      <c r="BY355" t="str">
        <f t="shared" si="242"/>
        <v>Oxytétracycline</v>
      </c>
      <c r="BZ355" t="str">
        <f t="shared" si="243"/>
        <v/>
      </c>
      <c r="CA355" t="str">
        <f t="shared" si="244"/>
        <v/>
      </c>
      <c r="CB355" t="str">
        <f t="shared" si="245"/>
        <v>Tetracyclines</v>
      </c>
      <c r="CC355" t="str">
        <f t="shared" si="246"/>
        <v/>
      </c>
      <c r="CD355" s="63" t="str">
        <f t="shared" si="247"/>
        <v/>
      </c>
      <c r="CG355" s="42">
        <v>352</v>
      </c>
      <c r="CH355" s="42" t="e">
        <f t="shared" si="263"/>
        <v>#N/A</v>
      </c>
      <c r="CI355" s="63" t="e">
        <f t="shared" si="264"/>
        <v>#N/A</v>
      </c>
      <c r="DM355" s="63"/>
      <c r="EA355" s="194" t="str">
        <f t="shared" ca="1" si="248"/>
        <v/>
      </c>
      <c r="EB355" s="226" t="str">
        <f>IFERROR(IF(ED355=0,"",COUNTIF(ED$4:ED$600,"&gt;"&amp;ED355)+COUNTIF(ED$4:ED355,ED355)),"")</f>
        <v/>
      </c>
      <c r="EC355" t="str">
        <f t="shared" si="249"/>
        <v>OXYTETRACYCLINE 200-D VEAU-AGNEAU-CHEVREAU FRANVET</v>
      </c>
      <c r="ED355" t="e">
        <f>IF(IF(EL$2="Catégorie",IF(EL$3="Toutes",SUMIFS('Étape 1 - à remplir'!$F$31:$F$400,'Étape 1 - à remplir'!$E$31:$E$400,MASQ2!EC355,'Étape 1 - à remplir'!$G$31:$G$400,"kg"),SUMIFS('Étape 1 - à remplir'!$F$31:$F$400,'Étape 1 - à remplir'!$E$31:$E$400,MASQ2!EC355,'Étape 1 - à remplir'!$C$31:$C$400,EL$3)),IF(EL$2="Âge",IF(EL$3="Tous",SUMIFS('Étape 1 - à remplir'!$F$31:$F$400,'Étape 1 - à remplir'!$E$31:$E$400,MASQ2!EC355,'Étape 1 - à remplir'!$G$31:$G$400,"kg"),SUMIFS('Étape 1 - à remplir'!$F$31:$F$400,'Étape 1 - à remplir'!$E$31:$E$400,MASQ2!EC355,'Étape 1 - à remplir'!$P$31:$P$400,EL$3,'Étape 1 - à remplir'!$G$31:$G$400,"kg")),IF(EL$2="Atelier",IF(EL$3="Tous",SUMIFS('Étape 1 - à remplir'!$F$31:$F$400,'Étape 1 - à remplir'!$E$31:$E$400,MASQ2!EC355,'Étape 1 - à remplir'!$G$31:$G$400,"kg"),SUMIFS('Étape 1 - à remplir'!$F$31:$F$400,'Étape 1 - à remplir'!$E$31:$E$400,MASQ2!EC355,'Étape 1 - à remplir'!$O$31:$O$400,EL$3,'Étape 1 - à remplir'!$G$31:$G$400,"kg")),IF(EL$2="Espèce",IF(EL$3="Toutes",SUMIFS('Étape 1 - à remplir'!$F$31:$F$400,'Étape 1 - à remplir'!$E$31:$E$400,MASQ2!EC355,'Étape 1 - à remplir'!$G$31:$G$400,"kg"),SUMIFS('Étape 1 - à remplir'!$F$31:$F$400,'Étape 1 - à remplir'!$E$31:$E$400,MASQ2!EC355,'Étape 1 - à remplir'!$N$31:$N$400,EL$3,'Étape 1 - à remplir'!$G$31:$G$400,"kg"))))))=0,NA(),IF(EL$2="Catégorie",IF(EL$3="Toutes",SUMIFS('Étape 1 - à remplir'!$F$31:$F$400,'Étape 1 - à remplir'!$E$31:$E$400,MASQ2!EC355,'Étape 1 - à remplir'!$G$31:$G$400,"kg"),SUMIFS('Étape 1 - à remplir'!$F$31:$F$400,'Étape 1 - à remplir'!$E$31:$E$400,MASQ2!EC355,'Étape 1 - à remplir'!$C$31:$C$400,EL$3)),IF(EL$2="Âge",IF(EL$3="Tous",SUMIFS('Étape 1 - à remplir'!$F$31:$F$400,'Étape 1 - à remplir'!$E$31:$E$400,MASQ2!EC355,'Étape 1 - à remplir'!$G$31:$G$400,"kg"),SUMIFS('Étape 1 - à remplir'!$F$31:$F$400,'Étape 1 - à remplir'!$E$31:$E$400,MASQ2!EC355,'Étape 1 - à remplir'!$P$31:$P$400,EL$3,'Étape 1 - à remplir'!$G$31:$G$400,"kg")),IF(EL$2="Atelier",IF(EL$3="Tous",SUMIFS('Étape 1 - à remplir'!$F$31:$F$400,'Étape 1 - à remplir'!$E$31:$E$400,MASQ2!EC355,'Étape 1 - à remplir'!$G$31:$G$400,"kg"),SUMIFS('Étape 1 - à remplir'!$F$31:$F$400,'Étape 1 - à remplir'!$E$31:$E$400,MASQ2!EC355,'Étape 1 - à remplir'!$O$31:$O$400,EL$3,'Étape 1 - à remplir'!$G$31:$G$400,"kg")),IF(EL$2="Espèce",IF(EL$3="Toutes",SUMIFS('Étape 1 - à remplir'!$F$31:$F$400,'Étape 1 - à remplir'!$E$31:$E$400,MASQ2!EC355,'Étape 1 - à remplir'!$G$31:$G$400,"kg"),SUMIFS('Étape 1 - à remplir'!$F$31:$F$400,'Étape 1 - à remplir'!$E$31:$E$400,MASQ2!EC355,'Étape 1 - à remplir'!$N$31:$N$400,EL$3,'Étape 1 - à remplir'!$G$31:$G$400,"kg")))))))</f>
        <v>#N/A</v>
      </c>
      <c r="EE355" s="76">
        <f t="shared" si="259"/>
        <v>0</v>
      </c>
      <c r="EF355" t="str">
        <f t="shared" si="250"/>
        <v>Oxytétracycline</v>
      </c>
      <c r="EG355" t="str">
        <f t="shared" si="251"/>
        <v/>
      </c>
      <c r="EH355" t="str">
        <f t="shared" si="252"/>
        <v/>
      </c>
      <c r="EI355" t="str">
        <f t="shared" si="253"/>
        <v>Tetracyclines</v>
      </c>
      <c r="EJ355" t="str">
        <f t="shared" si="254"/>
        <v/>
      </c>
      <c r="EK355" s="63" t="str">
        <f t="shared" si="255"/>
        <v/>
      </c>
      <c r="EN355" s="42">
        <v>352</v>
      </c>
      <c r="EO355" t="e">
        <f t="shared" si="261"/>
        <v>#N/A</v>
      </c>
      <c r="EP355" s="63" t="e">
        <f t="shared" si="262"/>
        <v>#N/A</v>
      </c>
      <c r="FT355" s="63"/>
    </row>
    <row r="356" spans="2:176" x14ac:dyDescent="0.3">
      <c r="B356" s="42"/>
      <c r="M356" s="194" t="str">
        <f ca="1">INDEX(Données_ATB!BD:BU,MATCH(MASQ2!O356,Données_ATB!BD:BD,0),18)</f>
        <v/>
      </c>
      <c r="N356" s="14" t="str">
        <f>IFERROR(IF(Q356=0,"",COUNTIF(Q$4:Q$600,"&gt;"&amp;Q356)+COUNTIF(Q$4:Q356,Q356)),"")</f>
        <v/>
      </c>
      <c r="O356" t="str">
        <f>Données_ATB!BD355</f>
        <v>OXYTETRACYCLINE 40-CR LAPIN-VOLAILLE-PORC ET AGNEAU-CHEVREAU SEVRES FRANVET</v>
      </c>
      <c r="P356" t="e">
        <f>IF(IF(X$2="Catégorie",IF(X$3="Toutes",SUMIFS('Étape 1 - à remplir'!$F$31:$F$400,'Étape 1 - à remplir'!$E$31:$E$400,MASQ2!O356,'Étape 1 - à remplir'!$G$31:$G$400,"animaux"),SUMIFS('Étape 1 - à remplir'!$F$31:$F$400,'Étape 1 - à remplir'!$E$31:$E$400,MASQ2!O356,'Étape 1 - à remplir'!$C$31:$C$400,X$3)),IF(X$2="Âge",IF(X$3="Tous",SUMIFS('Étape 1 - à remplir'!$F$31:$F$400,'Étape 1 - à remplir'!$E$31:$E$400,MASQ2!O356,'Étape 1 - à remplir'!$G$31:$G$400,"animaux"),SUMIFS('Étape 1 - à remplir'!$F$31:$F$400,'Étape 1 - à remplir'!$E$31:$E$400,MASQ2!O356,'Étape 1 - à remplir'!$P$31:$P$400,X$3)),IF(X$2="Atelier",IF(X$3="Tous",SUMIFS('Étape 1 - à remplir'!$F$31:$F$400,'Étape 1 - à remplir'!$E$31:$E$400,MASQ2!O356,'Étape 1 - à remplir'!$G$31:$G$400,"animaux"),SUMIFS('Étape 1 - à remplir'!$F$31:$F$400,'Étape 1 - à remplir'!$E$31:$E$400,MASQ2!O356,'Étape 1 - à remplir'!$O$31:$O$400,X$3)),IF(X$2="Espèce",IF(X$3="Toutes",SUMIFS('Étape 1 - à remplir'!$F$31:$F$400,'Étape 1 - à remplir'!$E$31:$E$400,MASQ2!O356,'Étape 1 - à remplir'!$G$31:$G$400,"animaux"),SUMIFS('Étape 1 - à remplir'!$F$31:$F$400,'Étape 1 - à remplir'!$E$31:$E$400,MASQ2!O356,'Étape 1 - à remplir'!$N$31:$N$400,X$3))))))=0,NA(),IF(X$2="Catégorie",IF(X$3="Toutes",SUMIFS('Étape 1 - à remplir'!$F$31:$F$400,'Étape 1 - à remplir'!$E$31:$E$400,MASQ2!O356,'Étape 1 - à remplir'!$G$31:$G$400,"animaux"),SUMIFS('Étape 1 - à remplir'!$F$31:$F$400,'Étape 1 - à remplir'!$E$31:$E$400,MASQ2!O356,'Étape 1 - à remplir'!$C$31:$C$400,X$3)),IF(X$2="Âge",IF(X$3="Tous",SUMIFS('Étape 1 - à remplir'!$F$31:$F$400,'Étape 1 - à remplir'!$E$31:$E$400,MASQ2!O356,'Étape 1 - à remplir'!$G$31:$G$400,"animaux"),SUMIFS('Étape 1 - à remplir'!$F$31:$F$400,'Étape 1 - à remplir'!$E$31:$E$400,MASQ2!O356,'Étape 1 - à remplir'!$P$31:$P$400,X$3)),IF(X$2="Atelier",IF(X$3="Tous",SUMIFS('Étape 1 - à remplir'!$F$31:$F$400,'Étape 1 - à remplir'!$E$31:$E$400,MASQ2!O356,'Étape 1 - à remplir'!$G$31:$G$400,"animaux"),SUMIFS('Étape 1 - à remplir'!$F$31:$F$400,'Étape 1 - à remplir'!$E$31:$E$400,MASQ2!O356,'Étape 1 - à remplir'!$O$31:$O$400,X$3)),IF(X$2="Espèce",IF(X$3="Toutes",SUMIFS('Étape 1 - à remplir'!$F$31:$F$400,'Étape 1 - à remplir'!$E$31:$E$400,MASQ2!O356,'Étape 1 - à remplir'!$G$31:$G$400,"animaux"),SUMIFS('Étape 1 - à remplir'!$F$31:$F$400,'Étape 1 - à remplir'!$E$31:$E$400,MASQ2!O356,'Étape 1 - à remplir'!$N$31:$N$400,X$3)))))))</f>
        <v>#N/A</v>
      </c>
      <c r="Q356" s="63">
        <f t="shared" si="260"/>
        <v>0</v>
      </c>
      <c r="R356" t="str">
        <f>Données_ATB!BM355</f>
        <v>Oxytétracycline</v>
      </c>
      <c r="S356" t="str">
        <f>Données_ATB!BN355</f>
        <v/>
      </c>
      <c r="T356" s="63" t="str">
        <f>Données_ATB!BO355</f>
        <v/>
      </c>
      <c r="U356" s="42" t="str">
        <f>Données_ATB!BQ355</f>
        <v>Tetracyclines</v>
      </c>
      <c r="V356" t="str">
        <f>Données_ATB!BR355</f>
        <v/>
      </c>
      <c r="W356" s="63" t="str">
        <f>Données_ATB!BS355</f>
        <v/>
      </c>
      <c r="Z356" s="42">
        <v>353</v>
      </c>
      <c r="AA356" t="e">
        <f t="shared" si="256"/>
        <v>#N/A</v>
      </c>
      <c r="AB356" s="63" t="e">
        <f t="shared" si="257"/>
        <v>#N/A</v>
      </c>
      <c r="BF356" s="63"/>
      <c r="BT356" s="194" t="str">
        <f t="shared" ca="1" si="240"/>
        <v/>
      </c>
      <c r="BU356" s="219" t="str">
        <f>IFERROR(IF(BX356=0,"",COUNTIF(BX$4:BX$600,"&gt;"&amp;BX356)+COUNTIF(BX$4:BX356,BX356)),"")</f>
        <v/>
      </c>
      <c r="BV356" s="42" t="str">
        <f t="shared" si="241"/>
        <v>OXYTETRACYCLINE 40-CR LAPIN-VOLAILLE-PORC ET AGNEAU-CHEVREAU SEVRES FRANVET</v>
      </c>
      <c r="BW356" t="e">
        <f>IF(IF(CE$2="Catégorie",IF(CE$3="Toutes",SUMIFS('Étape 1 - à remplir'!$F$31:$F$400,'Étape 1 - à remplir'!$E$31:$E$400,MASQ2!BV356,'Étape 1 - à remplir'!$G$31:$G$400,"lots"),SUMIFS('Étape 1 - à remplir'!$F$31:$F$400,'Étape 1 - à remplir'!$E$31:$E$400,MASQ2!BV356,'Étape 1 - à remplir'!$C$31:$C$400,CE$3)),IF(CE$2="Âge",IF(CE$3="Tous",SUMIFS('Étape 1 - à remplir'!$F$31:$F$400,'Étape 1 - à remplir'!$E$31:$E$400,MASQ2!BV356,'Étape 1 - à remplir'!$G$31:$G$400,"lots"),SUMIFS('Étape 1 - à remplir'!$F$31:$F$400,'Étape 1 - à remplir'!$E$31:$E$400,MASQ2!BV356,'Étape 1 - à remplir'!$P$31:$P$400,CE$3,'Étape 1 - à remplir'!$G$31:$G$400,"lots")),IF(CE$2="Atelier",IF(CE$3="Tous",SUMIFS('Étape 1 - à remplir'!$F$31:$F$400,'Étape 1 - à remplir'!$E$31:$E$400,MASQ2!BV356,'Étape 1 - à remplir'!$G$31:$G$400,"lots"),SUMIFS('Étape 1 - à remplir'!$F$31:$F$400,'Étape 1 - à remplir'!$E$31:$E$400,MASQ2!BV356,'Étape 1 - à remplir'!$O$31:$O$400,CE$3,'Étape 1 - à remplir'!$G$31:$G$400,"lots")),IF(CE$2="Espèce",IF(CE$3="Toutes",SUMIFS('Étape 1 - à remplir'!$F$31:$F$400,'Étape 1 - à remplir'!$E$31:$E$400,MASQ2!BV356,'Étape 1 - à remplir'!$G$31:$G$400,"lots"),SUMIFS('Étape 1 - à remplir'!$F$31:$F$400,'Étape 1 - à remplir'!$E$31:$E$400,MASQ2!BV356,'Étape 1 - à remplir'!$N$31:$N$400,CE$3,'Étape 1 - à remplir'!$G$31:$G$400,"lots"))))))=0,NA(),IF(CE$2="Catégorie",IF(CE$3="Toutes",SUMIFS('Étape 1 - à remplir'!$F$31:$F$400,'Étape 1 - à remplir'!$E$31:$E$400,MASQ2!BV356,'Étape 1 - à remplir'!$G$31:$G$400,"lots"),SUMIFS('Étape 1 - à remplir'!$F$31:$F$400,'Étape 1 - à remplir'!$E$31:$E$400,MASQ2!BV356,'Étape 1 - à remplir'!$C$31:$C$400,CE$3)),IF(CE$2="Âge",IF(CE$3="Tous",SUMIFS('Étape 1 - à remplir'!$F$31:$F$400,'Étape 1 - à remplir'!$E$31:$E$400,MASQ2!BV356,'Étape 1 - à remplir'!$G$31:$G$400,"lots"),SUMIFS('Étape 1 - à remplir'!$F$31:$F$400,'Étape 1 - à remplir'!$E$31:$E$400,MASQ2!BV356,'Étape 1 - à remplir'!$P$31:$P$400,CE$3,'Étape 1 - à remplir'!$G$31:$G$400,"lots")),IF(CE$2="Atelier",IF(CE$3="Tous",SUMIFS('Étape 1 - à remplir'!$F$31:$F$400,'Étape 1 - à remplir'!$E$31:$E$400,MASQ2!BV356,'Étape 1 - à remplir'!$G$31:$G$400,"lots"),SUMIFS('Étape 1 - à remplir'!$F$31:$F$400,'Étape 1 - à remplir'!$E$31:$E$400,MASQ2!BV356,'Étape 1 - à remplir'!$O$31:$O$400,CE$3,'Étape 1 - à remplir'!$G$31:$G$400,"lots")),IF(CE$2="Espèce",IF(CE$3="Toutes",SUMIFS('Étape 1 - à remplir'!$F$31:$F$400,'Étape 1 - à remplir'!$E$31:$E$400,MASQ2!BV356,'Étape 1 - à remplir'!$G$31:$G$400,"lots"),SUMIFS('Étape 1 - à remplir'!$F$31:$F$400,'Étape 1 - à remplir'!$E$31:$E$400,MASQ2!BV356,'Étape 1 - à remplir'!$N$31:$N$400,CE$3,'Étape 1 - à remplir'!$G$31:$G$400,"lots")))))))</f>
        <v>#N/A</v>
      </c>
      <c r="BX356">
        <f t="shared" si="258"/>
        <v>0</v>
      </c>
      <c r="BY356" t="str">
        <f t="shared" si="242"/>
        <v>Oxytétracycline</v>
      </c>
      <c r="BZ356" t="str">
        <f t="shared" si="243"/>
        <v/>
      </c>
      <c r="CA356" t="str">
        <f t="shared" si="244"/>
        <v/>
      </c>
      <c r="CB356" t="str">
        <f t="shared" si="245"/>
        <v>Tetracyclines</v>
      </c>
      <c r="CC356" t="str">
        <f t="shared" si="246"/>
        <v/>
      </c>
      <c r="CD356" s="63" t="str">
        <f t="shared" si="247"/>
        <v/>
      </c>
      <c r="CG356" s="42">
        <v>353</v>
      </c>
      <c r="CH356" s="42" t="e">
        <f t="shared" si="263"/>
        <v>#N/A</v>
      </c>
      <c r="CI356" s="63" t="e">
        <f t="shared" si="264"/>
        <v>#N/A</v>
      </c>
      <c r="DM356" s="63"/>
      <c r="EA356" s="194" t="str">
        <f t="shared" ca="1" si="248"/>
        <v/>
      </c>
      <c r="EB356" s="226" t="str">
        <f>IFERROR(IF(ED356=0,"",COUNTIF(ED$4:ED$600,"&gt;"&amp;ED356)+COUNTIF(ED$4:ED356,ED356)),"")</f>
        <v/>
      </c>
      <c r="EC356" t="str">
        <f t="shared" si="249"/>
        <v>OXYTETRACYCLINE 40-CR LAPIN-VOLAILLE-PORC ET AGNEAU-CHEVREAU SEVRES FRANVET</v>
      </c>
      <c r="ED356" t="e">
        <f>IF(IF(EL$2="Catégorie",IF(EL$3="Toutes",SUMIFS('Étape 1 - à remplir'!$F$31:$F$400,'Étape 1 - à remplir'!$E$31:$E$400,MASQ2!EC356,'Étape 1 - à remplir'!$G$31:$G$400,"kg"),SUMIFS('Étape 1 - à remplir'!$F$31:$F$400,'Étape 1 - à remplir'!$E$31:$E$400,MASQ2!EC356,'Étape 1 - à remplir'!$C$31:$C$400,EL$3)),IF(EL$2="Âge",IF(EL$3="Tous",SUMIFS('Étape 1 - à remplir'!$F$31:$F$400,'Étape 1 - à remplir'!$E$31:$E$400,MASQ2!EC356,'Étape 1 - à remplir'!$G$31:$G$400,"kg"),SUMIFS('Étape 1 - à remplir'!$F$31:$F$400,'Étape 1 - à remplir'!$E$31:$E$400,MASQ2!EC356,'Étape 1 - à remplir'!$P$31:$P$400,EL$3,'Étape 1 - à remplir'!$G$31:$G$400,"kg")),IF(EL$2="Atelier",IF(EL$3="Tous",SUMIFS('Étape 1 - à remplir'!$F$31:$F$400,'Étape 1 - à remplir'!$E$31:$E$400,MASQ2!EC356,'Étape 1 - à remplir'!$G$31:$G$400,"kg"),SUMIFS('Étape 1 - à remplir'!$F$31:$F$400,'Étape 1 - à remplir'!$E$31:$E$400,MASQ2!EC356,'Étape 1 - à remplir'!$O$31:$O$400,EL$3,'Étape 1 - à remplir'!$G$31:$G$400,"kg")),IF(EL$2="Espèce",IF(EL$3="Toutes",SUMIFS('Étape 1 - à remplir'!$F$31:$F$400,'Étape 1 - à remplir'!$E$31:$E$400,MASQ2!EC356,'Étape 1 - à remplir'!$G$31:$G$400,"kg"),SUMIFS('Étape 1 - à remplir'!$F$31:$F$400,'Étape 1 - à remplir'!$E$31:$E$400,MASQ2!EC356,'Étape 1 - à remplir'!$N$31:$N$400,EL$3,'Étape 1 - à remplir'!$G$31:$G$400,"kg"))))))=0,NA(),IF(EL$2="Catégorie",IF(EL$3="Toutes",SUMIFS('Étape 1 - à remplir'!$F$31:$F$400,'Étape 1 - à remplir'!$E$31:$E$400,MASQ2!EC356,'Étape 1 - à remplir'!$G$31:$G$400,"kg"),SUMIFS('Étape 1 - à remplir'!$F$31:$F$400,'Étape 1 - à remplir'!$E$31:$E$400,MASQ2!EC356,'Étape 1 - à remplir'!$C$31:$C$400,EL$3)),IF(EL$2="Âge",IF(EL$3="Tous",SUMIFS('Étape 1 - à remplir'!$F$31:$F$400,'Étape 1 - à remplir'!$E$31:$E$400,MASQ2!EC356,'Étape 1 - à remplir'!$G$31:$G$400,"kg"),SUMIFS('Étape 1 - à remplir'!$F$31:$F$400,'Étape 1 - à remplir'!$E$31:$E$400,MASQ2!EC356,'Étape 1 - à remplir'!$P$31:$P$400,EL$3,'Étape 1 - à remplir'!$G$31:$G$400,"kg")),IF(EL$2="Atelier",IF(EL$3="Tous",SUMIFS('Étape 1 - à remplir'!$F$31:$F$400,'Étape 1 - à remplir'!$E$31:$E$400,MASQ2!EC356,'Étape 1 - à remplir'!$G$31:$G$400,"kg"),SUMIFS('Étape 1 - à remplir'!$F$31:$F$400,'Étape 1 - à remplir'!$E$31:$E$400,MASQ2!EC356,'Étape 1 - à remplir'!$O$31:$O$400,EL$3,'Étape 1 - à remplir'!$G$31:$G$400,"kg")),IF(EL$2="Espèce",IF(EL$3="Toutes",SUMIFS('Étape 1 - à remplir'!$F$31:$F$400,'Étape 1 - à remplir'!$E$31:$E$400,MASQ2!EC356,'Étape 1 - à remplir'!$G$31:$G$400,"kg"),SUMIFS('Étape 1 - à remplir'!$F$31:$F$400,'Étape 1 - à remplir'!$E$31:$E$400,MASQ2!EC356,'Étape 1 - à remplir'!$N$31:$N$400,EL$3,'Étape 1 - à remplir'!$G$31:$G$400,"kg")))))))</f>
        <v>#N/A</v>
      </c>
      <c r="EE356" s="76">
        <f t="shared" si="259"/>
        <v>0</v>
      </c>
      <c r="EF356" t="str">
        <f t="shared" si="250"/>
        <v>Oxytétracycline</v>
      </c>
      <c r="EG356" t="str">
        <f t="shared" si="251"/>
        <v/>
      </c>
      <c r="EH356" t="str">
        <f t="shared" si="252"/>
        <v/>
      </c>
      <c r="EI356" t="str">
        <f t="shared" si="253"/>
        <v>Tetracyclines</v>
      </c>
      <c r="EJ356" t="str">
        <f t="shared" si="254"/>
        <v/>
      </c>
      <c r="EK356" s="63" t="str">
        <f t="shared" si="255"/>
        <v/>
      </c>
      <c r="EN356" s="42">
        <v>353</v>
      </c>
      <c r="EO356" t="e">
        <f t="shared" si="261"/>
        <v>#N/A</v>
      </c>
      <c r="EP356" s="63" t="e">
        <f t="shared" si="262"/>
        <v>#N/A</v>
      </c>
      <c r="FT356" s="63"/>
    </row>
    <row r="357" spans="2:176" x14ac:dyDescent="0.3">
      <c r="B357" s="42"/>
      <c r="M357" s="194" t="str">
        <f ca="1">INDEX(Données_ATB!BD:BU,MATCH(MASQ2!O357,Données_ATB!BD:BD,0),18)</f>
        <v/>
      </c>
      <c r="N357" s="14" t="str">
        <f>IFERROR(IF(Q357=0,"",COUNTIF(Q$4:Q$600,"&gt;"&amp;Q357)+COUNTIF(Q$4:Q357,Q357)),"")</f>
        <v/>
      </c>
      <c r="O357" t="str">
        <f>Données_ATB!BD356</f>
        <v>OXYTETRACYCLINE 5 % VETOQUINOL</v>
      </c>
      <c r="P357" t="e">
        <f>IF(IF(X$2="Catégorie",IF(X$3="Toutes",SUMIFS('Étape 1 - à remplir'!$F$31:$F$400,'Étape 1 - à remplir'!$E$31:$E$400,MASQ2!O357,'Étape 1 - à remplir'!$G$31:$G$400,"animaux"),SUMIFS('Étape 1 - à remplir'!$F$31:$F$400,'Étape 1 - à remplir'!$E$31:$E$400,MASQ2!O357,'Étape 1 - à remplir'!$C$31:$C$400,X$3)),IF(X$2="Âge",IF(X$3="Tous",SUMIFS('Étape 1 - à remplir'!$F$31:$F$400,'Étape 1 - à remplir'!$E$31:$E$400,MASQ2!O357,'Étape 1 - à remplir'!$G$31:$G$400,"animaux"),SUMIFS('Étape 1 - à remplir'!$F$31:$F$400,'Étape 1 - à remplir'!$E$31:$E$400,MASQ2!O357,'Étape 1 - à remplir'!$P$31:$P$400,X$3)),IF(X$2="Atelier",IF(X$3="Tous",SUMIFS('Étape 1 - à remplir'!$F$31:$F$400,'Étape 1 - à remplir'!$E$31:$E$400,MASQ2!O357,'Étape 1 - à remplir'!$G$31:$G$400,"animaux"),SUMIFS('Étape 1 - à remplir'!$F$31:$F$400,'Étape 1 - à remplir'!$E$31:$E$400,MASQ2!O357,'Étape 1 - à remplir'!$O$31:$O$400,X$3)),IF(X$2="Espèce",IF(X$3="Toutes",SUMIFS('Étape 1 - à remplir'!$F$31:$F$400,'Étape 1 - à remplir'!$E$31:$E$400,MASQ2!O357,'Étape 1 - à remplir'!$G$31:$G$400,"animaux"),SUMIFS('Étape 1 - à remplir'!$F$31:$F$400,'Étape 1 - à remplir'!$E$31:$E$400,MASQ2!O357,'Étape 1 - à remplir'!$N$31:$N$400,X$3))))))=0,NA(),IF(X$2="Catégorie",IF(X$3="Toutes",SUMIFS('Étape 1 - à remplir'!$F$31:$F$400,'Étape 1 - à remplir'!$E$31:$E$400,MASQ2!O357,'Étape 1 - à remplir'!$G$31:$G$400,"animaux"),SUMIFS('Étape 1 - à remplir'!$F$31:$F$400,'Étape 1 - à remplir'!$E$31:$E$400,MASQ2!O357,'Étape 1 - à remplir'!$C$31:$C$400,X$3)),IF(X$2="Âge",IF(X$3="Tous",SUMIFS('Étape 1 - à remplir'!$F$31:$F$400,'Étape 1 - à remplir'!$E$31:$E$400,MASQ2!O357,'Étape 1 - à remplir'!$G$31:$G$400,"animaux"),SUMIFS('Étape 1 - à remplir'!$F$31:$F$400,'Étape 1 - à remplir'!$E$31:$E$400,MASQ2!O357,'Étape 1 - à remplir'!$P$31:$P$400,X$3)),IF(X$2="Atelier",IF(X$3="Tous",SUMIFS('Étape 1 - à remplir'!$F$31:$F$400,'Étape 1 - à remplir'!$E$31:$E$400,MASQ2!O357,'Étape 1 - à remplir'!$G$31:$G$400,"animaux"),SUMIFS('Étape 1 - à remplir'!$F$31:$F$400,'Étape 1 - à remplir'!$E$31:$E$400,MASQ2!O357,'Étape 1 - à remplir'!$O$31:$O$400,X$3)),IF(X$2="Espèce",IF(X$3="Toutes",SUMIFS('Étape 1 - à remplir'!$F$31:$F$400,'Étape 1 - à remplir'!$E$31:$E$400,MASQ2!O357,'Étape 1 - à remplir'!$G$31:$G$400,"animaux"),SUMIFS('Étape 1 - à remplir'!$F$31:$F$400,'Étape 1 - à remplir'!$E$31:$E$400,MASQ2!O357,'Étape 1 - à remplir'!$N$31:$N$400,X$3)))))))</f>
        <v>#N/A</v>
      </c>
      <c r="Q357" s="63">
        <f t="shared" si="260"/>
        <v>0</v>
      </c>
      <c r="R357" t="str">
        <f>Données_ATB!BM356</f>
        <v>Oxytétracycline</v>
      </c>
      <c r="S357" t="str">
        <f>Données_ATB!BN356</f>
        <v/>
      </c>
      <c r="T357" s="63" t="str">
        <f>Données_ATB!BO356</f>
        <v/>
      </c>
      <c r="U357" s="42" t="str">
        <f>Données_ATB!BQ356</f>
        <v>Tetracyclines</v>
      </c>
      <c r="V357" t="str">
        <f>Données_ATB!BR356</f>
        <v/>
      </c>
      <c r="W357" s="63" t="str">
        <f>Données_ATB!BS356</f>
        <v/>
      </c>
      <c r="Z357" s="42">
        <v>354</v>
      </c>
      <c r="AA357" t="e">
        <f t="shared" si="256"/>
        <v>#N/A</v>
      </c>
      <c r="AB357" s="63" t="e">
        <f t="shared" si="257"/>
        <v>#N/A</v>
      </c>
      <c r="BF357" s="63"/>
      <c r="BT357" s="194" t="str">
        <f t="shared" ca="1" si="240"/>
        <v/>
      </c>
      <c r="BU357" s="219" t="str">
        <f>IFERROR(IF(BX357=0,"",COUNTIF(BX$4:BX$600,"&gt;"&amp;BX357)+COUNTIF(BX$4:BX357,BX357)),"")</f>
        <v/>
      </c>
      <c r="BV357" s="42" t="str">
        <f t="shared" si="241"/>
        <v>OXYTETRACYCLINE 5 % VETOQUINOL</v>
      </c>
      <c r="BW357" t="e">
        <f>IF(IF(CE$2="Catégorie",IF(CE$3="Toutes",SUMIFS('Étape 1 - à remplir'!$F$31:$F$400,'Étape 1 - à remplir'!$E$31:$E$400,MASQ2!BV357,'Étape 1 - à remplir'!$G$31:$G$400,"lots"),SUMIFS('Étape 1 - à remplir'!$F$31:$F$400,'Étape 1 - à remplir'!$E$31:$E$400,MASQ2!BV357,'Étape 1 - à remplir'!$C$31:$C$400,CE$3)),IF(CE$2="Âge",IF(CE$3="Tous",SUMIFS('Étape 1 - à remplir'!$F$31:$F$400,'Étape 1 - à remplir'!$E$31:$E$400,MASQ2!BV357,'Étape 1 - à remplir'!$G$31:$G$400,"lots"),SUMIFS('Étape 1 - à remplir'!$F$31:$F$400,'Étape 1 - à remplir'!$E$31:$E$400,MASQ2!BV357,'Étape 1 - à remplir'!$P$31:$P$400,CE$3,'Étape 1 - à remplir'!$G$31:$G$400,"lots")),IF(CE$2="Atelier",IF(CE$3="Tous",SUMIFS('Étape 1 - à remplir'!$F$31:$F$400,'Étape 1 - à remplir'!$E$31:$E$400,MASQ2!BV357,'Étape 1 - à remplir'!$G$31:$G$400,"lots"),SUMIFS('Étape 1 - à remplir'!$F$31:$F$400,'Étape 1 - à remplir'!$E$31:$E$400,MASQ2!BV357,'Étape 1 - à remplir'!$O$31:$O$400,CE$3,'Étape 1 - à remplir'!$G$31:$G$400,"lots")),IF(CE$2="Espèce",IF(CE$3="Toutes",SUMIFS('Étape 1 - à remplir'!$F$31:$F$400,'Étape 1 - à remplir'!$E$31:$E$400,MASQ2!BV357,'Étape 1 - à remplir'!$G$31:$G$400,"lots"),SUMIFS('Étape 1 - à remplir'!$F$31:$F$400,'Étape 1 - à remplir'!$E$31:$E$400,MASQ2!BV357,'Étape 1 - à remplir'!$N$31:$N$400,CE$3,'Étape 1 - à remplir'!$G$31:$G$400,"lots"))))))=0,NA(),IF(CE$2="Catégorie",IF(CE$3="Toutes",SUMIFS('Étape 1 - à remplir'!$F$31:$F$400,'Étape 1 - à remplir'!$E$31:$E$400,MASQ2!BV357,'Étape 1 - à remplir'!$G$31:$G$400,"lots"),SUMIFS('Étape 1 - à remplir'!$F$31:$F$400,'Étape 1 - à remplir'!$E$31:$E$400,MASQ2!BV357,'Étape 1 - à remplir'!$C$31:$C$400,CE$3)),IF(CE$2="Âge",IF(CE$3="Tous",SUMIFS('Étape 1 - à remplir'!$F$31:$F$400,'Étape 1 - à remplir'!$E$31:$E$400,MASQ2!BV357,'Étape 1 - à remplir'!$G$31:$G$400,"lots"),SUMIFS('Étape 1 - à remplir'!$F$31:$F$400,'Étape 1 - à remplir'!$E$31:$E$400,MASQ2!BV357,'Étape 1 - à remplir'!$P$31:$P$400,CE$3,'Étape 1 - à remplir'!$G$31:$G$400,"lots")),IF(CE$2="Atelier",IF(CE$3="Tous",SUMIFS('Étape 1 - à remplir'!$F$31:$F$400,'Étape 1 - à remplir'!$E$31:$E$400,MASQ2!BV357,'Étape 1 - à remplir'!$G$31:$G$400,"lots"),SUMIFS('Étape 1 - à remplir'!$F$31:$F$400,'Étape 1 - à remplir'!$E$31:$E$400,MASQ2!BV357,'Étape 1 - à remplir'!$O$31:$O$400,CE$3,'Étape 1 - à remplir'!$G$31:$G$400,"lots")),IF(CE$2="Espèce",IF(CE$3="Toutes",SUMIFS('Étape 1 - à remplir'!$F$31:$F$400,'Étape 1 - à remplir'!$E$31:$E$400,MASQ2!BV357,'Étape 1 - à remplir'!$G$31:$G$400,"lots"),SUMIFS('Étape 1 - à remplir'!$F$31:$F$400,'Étape 1 - à remplir'!$E$31:$E$400,MASQ2!BV357,'Étape 1 - à remplir'!$N$31:$N$400,CE$3,'Étape 1 - à remplir'!$G$31:$G$400,"lots")))))))</f>
        <v>#N/A</v>
      </c>
      <c r="BX357">
        <f t="shared" si="258"/>
        <v>0</v>
      </c>
      <c r="BY357" t="str">
        <f t="shared" si="242"/>
        <v>Oxytétracycline</v>
      </c>
      <c r="BZ357" t="str">
        <f t="shared" si="243"/>
        <v/>
      </c>
      <c r="CA357" t="str">
        <f t="shared" si="244"/>
        <v/>
      </c>
      <c r="CB357" t="str">
        <f t="shared" si="245"/>
        <v>Tetracyclines</v>
      </c>
      <c r="CC357" t="str">
        <f t="shared" si="246"/>
        <v/>
      </c>
      <c r="CD357" s="63" t="str">
        <f t="shared" si="247"/>
        <v/>
      </c>
      <c r="CG357" s="42">
        <v>354</v>
      </c>
      <c r="CH357" s="42" t="e">
        <f t="shared" si="263"/>
        <v>#N/A</v>
      </c>
      <c r="CI357" s="63" t="e">
        <f t="shared" si="264"/>
        <v>#N/A</v>
      </c>
      <c r="DM357" s="63"/>
      <c r="EA357" s="194" t="str">
        <f t="shared" ca="1" si="248"/>
        <v/>
      </c>
      <c r="EB357" s="226" t="str">
        <f>IFERROR(IF(ED357=0,"",COUNTIF(ED$4:ED$600,"&gt;"&amp;ED357)+COUNTIF(ED$4:ED357,ED357)),"")</f>
        <v/>
      </c>
      <c r="EC357" t="str">
        <f t="shared" si="249"/>
        <v>OXYTETRACYCLINE 5 % VETOQUINOL</v>
      </c>
      <c r="ED357" t="e">
        <f>IF(IF(EL$2="Catégorie",IF(EL$3="Toutes",SUMIFS('Étape 1 - à remplir'!$F$31:$F$400,'Étape 1 - à remplir'!$E$31:$E$400,MASQ2!EC357,'Étape 1 - à remplir'!$G$31:$G$400,"kg"),SUMIFS('Étape 1 - à remplir'!$F$31:$F$400,'Étape 1 - à remplir'!$E$31:$E$400,MASQ2!EC357,'Étape 1 - à remplir'!$C$31:$C$400,EL$3)),IF(EL$2="Âge",IF(EL$3="Tous",SUMIFS('Étape 1 - à remplir'!$F$31:$F$400,'Étape 1 - à remplir'!$E$31:$E$400,MASQ2!EC357,'Étape 1 - à remplir'!$G$31:$G$400,"kg"),SUMIFS('Étape 1 - à remplir'!$F$31:$F$400,'Étape 1 - à remplir'!$E$31:$E$400,MASQ2!EC357,'Étape 1 - à remplir'!$P$31:$P$400,EL$3,'Étape 1 - à remplir'!$G$31:$G$400,"kg")),IF(EL$2="Atelier",IF(EL$3="Tous",SUMIFS('Étape 1 - à remplir'!$F$31:$F$400,'Étape 1 - à remplir'!$E$31:$E$400,MASQ2!EC357,'Étape 1 - à remplir'!$G$31:$G$400,"kg"),SUMIFS('Étape 1 - à remplir'!$F$31:$F$400,'Étape 1 - à remplir'!$E$31:$E$400,MASQ2!EC357,'Étape 1 - à remplir'!$O$31:$O$400,EL$3,'Étape 1 - à remplir'!$G$31:$G$400,"kg")),IF(EL$2="Espèce",IF(EL$3="Toutes",SUMIFS('Étape 1 - à remplir'!$F$31:$F$400,'Étape 1 - à remplir'!$E$31:$E$400,MASQ2!EC357,'Étape 1 - à remplir'!$G$31:$G$400,"kg"),SUMIFS('Étape 1 - à remplir'!$F$31:$F$400,'Étape 1 - à remplir'!$E$31:$E$400,MASQ2!EC357,'Étape 1 - à remplir'!$N$31:$N$400,EL$3,'Étape 1 - à remplir'!$G$31:$G$400,"kg"))))))=0,NA(),IF(EL$2="Catégorie",IF(EL$3="Toutes",SUMIFS('Étape 1 - à remplir'!$F$31:$F$400,'Étape 1 - à remplir'!$E$31:$E$400,MASQ2!EC357,'Étape 1 - à remplir'!$G$31:$G$400,"kg"),SUMIFS('Étape 1 - à remplir'!$F$31:$F$400,'Étape 1 - à remplir'!$E$31:$E$400,MASQ2!EC357,'Étape 1 - à remplir'!$C$31:$C$400,EL$3)),IF(EL$2="Âge",IF(EL$3="Tous",SUMIFS('Étape 1 - à remplir'!$F$31:$F$400,'Étape 1 - à remplir'!$E$31:$E$400,MASQ2!EC357,'Étape 1 - à remplir'!$G$31:$G$400,"kg"),SUMIFS('Étape 1 - à remplir'!$F$31:$F$400,'Étape 1 - à remplir'!$E$31:$E$400,MASQ2!EC357,'Étape 1 - à remplir'!$P$31:$P$400,EL$3,'Étape 1 - à remplir'!$G$31:$G$400,"kg")),IF(EL$2="Atelier",IF(EL$3="Tous",SUMIFS('Étape 1 - à remplir'!$F$31:$F$400,'Étape 1 - à remplir'!$E$31:$E$400,MASQ2!EC357,'Étape 1 - à remplir'!$G$31:$G$400,"kg"),SUMIFS('Étape 1 - à remplir'!$F$31:$F$400,'Étape 1 - à remplir'!$E$31:$E$400,MASQ2!EC357,'Étape 1 - à remplir'!$O$31:$O$400,EL$3,'Étape 1 - à remplir'!$G$31:$G$400,"kg")),IF(EL$2="Espèce",IF(EL$3="Toutes",SUMIFS('Étape 1 - à remplir'!$F$31:$F$400,'Étape 1 - à remplir'!$E$31:$E$400,MASQ2!EC357,'Étape 1 - à remplir'!$G$31:$G$400,"kg"),SUMIFS('Étape 1 - à remplir'!$F$31:$F$400,'Étape 1 - à remplir'!$E$31:$E$400,MASQ2!EC357,'Étape 1 - à remplir'!$N$31:$N$400,EL$3,'Étape 1 - à remplir'!$G$31:$G$400,"kg")))))))</f>
        <v>#N/A</v>
      </c>
      <c r="EE357" s="76">
        <f t="shared" si="259"/>
        <v>0</v>
      </c>
      <c r="EF357" t="str">
        <f t="shared" si="250"/>
        <v>Oxytétracycline</v>
      </c>
      <c r="EG357" t="str">
        <f t="shared" si="251"/>
        <v/>
      </c>
      <c r="EH357" t="str">
        <f t="shared" si="252"/>
        <v/>
      </c>
      <c r="EI357" t="str">
        <f t="shared" si="253"/>
        <v>Tetracyclines</v>
      </c>
      <c r="EJ357" t="str">
        <f t="shared" si="254"/>
        <v/>
      </c>
      <c r="EK357" s="63" t="str">
        <f t="shared" si="255"/>
        <v/>
      </c>
      <c r="EN357" s="42">
        <v>354</v>
      </c>
      <c r="EO357" t="e">
        <f t="shared" si="261"/>
        <v>#N/A</v>
      </c>
      <c r="EP357" s="63" t="e">
        <f t="shared" si="262"/>
        <v>#N/A</v>
      </c>
      <c r="FT357" s="63"/>
    </row>
    <row r="358" spans="2:176" x14ac:dyDescent="0.3">
      <c r="B358" s="42"/>
      <c r="M358" s="194" t="str">
        <f ca="1">INDEX(Données_ATB!BD:BU,MATCH(MASQ2!O358,Données_ATB!BD:BD,0),18)</f>
        <v/>
      </c>
      <c r="N358" s="14" t="str">
        <f>IFERROR(IF(Q358=0,"",COUNTIF(Q$4:Q$600,"&gt;"&amp;Q358)+COUNTIF(Q$4:Q358,Q358)),"")</f>
        <v/>
      </c>
      <c r="O358" t="str">
        <f>Données_ATB!BD357</f>
        <v>OXYTETRACYCLINE 50 % VIRBAC</v>
      </c>
      <c r="P358" t="e">
        <f>IF(IF(X$2="Catégorie",IF(X$3="Toutes",SUMIFS('Étape 1 - à remplir'!$F$31:$F$400,'Étape 1 - à remplir'!$E$31:$E$400,MASQ2!O358,'Étape 1 - à remplir'!$G$31:$G$400,"animaux"),SUMIFS('Étape 1 - à remplir'!$F$31:$F$400,'Étape 1 - à remplir'!$E$31:$E$400,MASQ2!O358,'Étape 1 - à remplir'!$C$31:$C$400,X$3)),IF(X$2="Âge",IF(X$3="Tous",SUMIFS('Étape 1 - à remplir'!$F$31:$F$400,'Étape 1 - à remplir'!$E$31:$E$400,MASQ2!O358,'Étape 1 - à remplir'!$G$31:$G$400,"animaux"),SUMIFS('Étape 1 - à remplir'!$F$31:$F$400,'Étape 1 - à remplir'!$E$31:$E$400,MASQ2!O358,'Étape 1 - à remplir'!$P$31:$P$400,X$3)),IF(X$2="Atelier",IF(X$3="Tous",SUMIFS('Étape 1 - à remplir'!$F$31:$F$400,'Étape 1 - à remplir'!$E$31:$E$400,MASQ2!O358,'Étape 1 - à remplir'!$G$31:$G$400,"animaux"),SUMIFS('Étape 1 - à remplir'!$F$31:$F$400,'Étape 1 - à remplir'!$E$31:$E$400,MASQ2!O358,'Étape 1 - à remplir'!$O$31:$O$400,X$3)),IF(X$2="Espèce",IF(X$3="Toutes",SUMIFS('Étape 1 - à remplir'!$F$31:$F$400,'Étape 1 - à remplir'!$E$31:$E$400,MASQ2!O358,'Étape 1 - à remplir'!$G$31:$G$400,"animaux"),SUMIFS('Étape 1 - à remplir'!$F$31:$F$400,'Étape 1 - à remplir'!$E$31:$E$400,MASQ2!O358,'Étape 1 - à remplir'!$N$31:$N$400,X$3))))))=0,NA(),IF(X$2="Catégorie",IF(X$3="Toutes",SUMIFS('Étape 1 - à remplir'!$F$31:$F$400,'Étape 1 - à remplir'!$E$31:$E$400,MASQ2!O358,'Étape 1 - à remplir'!$G$31:$G$400,"animaux"),SUMIFS('Étape 1 - à remplir'!$F$31:$F$400,'Étape 1 - à remplir'!$E$31:$E$400,MASQ2!O358,'Étape 1 - à remplir'!$C$31:$C$400,X$3)),IF(X$2="Âge",IF(X$3="Tous",SUMIFS('Étape 1 - à remplir'!$F$31:$F$400,'Étape 1 - à remplir'!$E$31:$E$400,MASQ2!O358,'Étape 1 - à remplir'!$G$31:$G$400,"animaux"),SUMIFS('Étape 1 - à remplir'!$F$31:$F$400,'Étape 1 - à remplir'!$E$31:$E$400,MASQ2!O358,'Étape 1 - à remplir'!$P$31:$P$400,X$3)),IF(X$2="Atelier",IF(X$3="Tous",SUMIFS('Étape 1 - à remplir'!$F$31:$F$400,'Étape 1 - à remplir'!$E$31:$E$400,MASQ2!O358,'Étape 1 - à remplir'!$G$31:$G$400,"animaux"),SUMIFS('Étape 1 - à remplir'!$F$31:$F$400,'Étape 1 - à remplir'!$E$31:$E$400,MASQ2!O358,'Étape 1 - à remplir'!$O$31:$O$400,X$3)),IF(X$2="Espèce",IF(X$3="Toutes",SUMIFS('Étape 1 - à remplir'!$F$31:$F$400,'Étape 1 - à remplir'!$E$31:$E$400,MASQ2!O358,'Étape 1 - à remplir'!$G$31:$G$400,"animaux"),SUMIFS('Étape 1 - à remplir'!$F$31:$F$400,'Étape 1 - à remplir'!$E$31:$E$400,MASQ2!O358,'Étape 1 - à remplir'!$N$31:$N$400,X$3)))))))</f>
        <v>#N/A</v>
      </c>
      <c r="Q358" s="63">
        <f t="shared" si="260"/>
        <v>0</v>
      </c>
      <c r="R358" t="str">
        <f>Données_ATB!BM357</f>
        <v>Oxytétracycline</v>
      </c>
      <c r="S358" t="str">
        <f>Données_ATB!BN357</f>
        <v/>
      </c>
      <c r="T358" s="63" t="str">
        <f>Données_ATB!BO357</f>
        <v/>
      </c>
      <c r="U358" s="42" t="str">
        <f>Données_ATB!BQ357</f>
        <v>Tetracyclines</v>
      </c>
      <c r="V358" t="str">
        <f>Données_ATB!BR357</f>
        <v/>
      </c>
      <c r="W358" s="63" t="str">
        <f>Données_ATB!BS357</f>
        <v/>
      </c>
      <c r="Z358" s="42">
        <v>355</v>
      </c>
      <c r="AA358" t="e">
        <f t="shared" si="256"/>
        <v>#N/A</v>
      </c>
      <c r="AB358" s="63" t="e">
        <f t="shared" si="257"/>
        <v>#N/A</v>
      </c>
      <c r="BF358" s="63"/>
      <c r="BT358" s="194" t="str">
        <f t="shared" ca="1" si="240"/>
        <v/>
      </c>
      <c r="BU358" s="219" t="str">
        <f>IFERROR(IF(BX358=0,"",COUNTIF(BX$4:BX$600,"&gt;"&amp;BX358)+COUNTIF(BX$4:BX358,BX358)),"")</f>
        <v/>
      </c>
      <c r="BV358" s="42" t="str">
        <f t="shared" si="241"/>
        <v>OXYTETRACYCLINE 50 % VIRBAC</v>
      </c>
      <c r="BW358" t="e">
        <f>IF(IF(CE$2="Catégorie",IF(CE$3="Toutes",SUMIFS('Étape 1 - à remplir'!$F$31:$F$400,'Étape 1 - à remplir'!$E$31:$E$400,MASQ2!BV358,'Étape 1 - à remplir'!$G$31:$G$400,"lots"),SUMIFS('Étape 1 - à remplir'!$F$31:$F$400,'Étape 1 - à remplir'!$E$31:$E$400,MASQ2!BV358,'Étape 1 - à remplir'!$C$31:$C$400,CE$3)),IF(CE$2="Âge",IF(CE$3="Tous",SUMIFS('Étape 1 - à remplir'!$F$31:$F$400,'Étape 1 - à remplir'!$E$31:$E$400,MASQ2!BV358,'Étape 1 - à remplir'!$G$31:$G$400,"lots"),SUMIFS('Étape 1 - à remplir'!$F$31:$F$400,'Étape 1 - à remplir'!$E$31:$E$400,MASQ2!BV358,'Étape 1 - à remplir'!$P$31:$P$400,CE$3,'Étape 1 - à remplir'!$G$31:$G$400,"lots")),IF(CE$2="Atelier",IF(CE$3="Tous",SUMIFS('Étape 1 - à remplir'!$F$31:$F$400,'Étape 1 - à remplir'!$E$31:$E$400,MASQ2!BV358,'Étape 1 - à remplir'!$G$31:$G$400,"lots"),SUMIFS('Étape 1 - à remplir'!$F$31:$F$400,'Étape 1 - à remplir'!$E$31:$E$400,MASQ2!BV358,'Étape 1 - à remplir'!$O$31:$O$400,CE$3,'Étape 1 - à remplir'!$G$31:$G$400,"lots")),IF(CE$2="Espèce",IF(CE$3="Toutes",SUMIFS('Étape 1 - à remplir'!$F$31:$F$400,'Étape 1 - à remplir'!$E$31:$E$400,MASQ2!BV358,'Étape 1 - à remplir'!$G$31:$G$400,"lots"),SUMIFS('Étape 1 - à remplir'!$F$31:$F$400,'Étape 1 - à remplir'!$E$31:$E$400,MASQ2!BV358,'Étape 1 - à remplir'!$N$31:$N$400,CE$3,'Étape 1 - à remplir'!$G$31:$G$400,"lots"))))))=0,NA(),IF(CE$2="Catégorie",IF(CE$3="Toutes",SUMIFS('Étape 1 - à remplir'!$F$31:$F$400,'Étape 1 - à remplir'!$E$31:$E$400,MASQ2!BV358,'Étape 1 - à remplir'!$G$31:$G$400,"lots"),SUMIFS('Étape 1 - à remplir'!$F$31:$F$400,'Étape 1 - à remplir'!$E$31:$E$400,MASQ2!BV358,'Étape 1 - à remplir'!$C$31:$C$400,CE$3)),IF(CE$2="Âge",IF(CE$3="Tous",SUMIFS('Étape 1 - à remplir'!$F$31:$F$400,'Étape 1 - à remplir'!$E$31:$E$400,MASQ2!BV358,'Étape 1 - à remplir'!$G$31:$G$400,"lots"),SUMIFS('Étape 1 - à remplir'!$F$31:$F$400,'Étape 1 - à remplir'!$E$31:$E$400,MASQ2!BV358,'Étape 1 - à remplir'!$P$31:$P$400,CE$3,'Étape 1 - à remplir'!$G$31:$G$400,"lots")),IF(CE$2="Atelier",IF(CE$3="Tous",SUMIFS('Étape 1 - à remplir'!$F$31:$F$400,'Étape 1 - à remplir'!$E$31:$E$400,MASQ2!BV358,'Étape 1 - à remplir'!$G$31:$G$400,"lots"),SUMIFS('Étape 1 - à remplir'!$F$31:$F$400,'Étape 1 - à remplir'!$E$31:$E$400,MASQ2!BV358,'Étape 1 - à remplir'!$O$31:$O$400,CE$3,'Étape 1 - à remplir'!$G$31:$G$400,"lots")),IF(CE$2="Espèce",IF(CE$3="Toutes",SUMIFS('Étape 1 - à remplir'!$F$31:$F$400,'Étape 1 - à remplir'!$E$31:$E$400,MASQ2!BV358,'Étape 1 - à remplir'!$G$31:$G$400,"lots"),SUMIFS('Étape 1 - à remplir'!$F$31:$F$400,'Étape 1 - à remplir'!$E$31:$E$400,MASQ2!BV358,'Étape 1 - à remplir'!$N$31:$N$400,CE$3,'Étape 1 - à remplir'!$G$31:$G$400,"lots")))))))</f>
        <v>#N/A</v>
      </c>
      <c r="BX358">
        <f t="shared" si="258"/>
        <v>0</v>
      </c>
      <c r="BY358" t="str">
        <f t="shared" si="242"/>
        <v>Oxytétracycline</v>
      </c>
      <c r="BZ358" t="str">
        <f t="shared" si="243"/>
        <v/>
      </c>
      <c r="CA358" t="str">
        <f t="shared" si="244"/>
        <v/>
      </c>
      <c r="CB358" t="str">
        <f t="shared" si="245"/>
        <v>Tetracyclines</v>
      </c>
      <c r="CC358" t="str">
        <f t="shared" si="246"/>
        <v/>
      </c>
      <c r="CD358" s="63" t="str">
        <f t="shared" si="247"/>
        <v/>
      </c>
      <c r="CG358" s="42">
        <v>355</v>
      </c>
      <c r="CH358" s="42" t="e">
        <f t="shared" si="263"/>
        <v>#N/A</v>
      </c>
      <c r="CI358" s="63" t="e">
        <f t="shared" si="264"/>
        <v>#N/A</v>
      </c>
      <c r="DM358" s="63"/>
      <c r="EA358" s="194" t="str">
        <f t="shared" ca="1" si="248"/>
        <v/>
      </c>
      <c r="EB358" s="226" t="str">
        <f>IFERROR(IF(ED358=0,"",COUNTIF(ED$4:ED$600,"&gt;"&amp;ED358)+COUNTIF(ED$4:ED358,ED358)),"")</f>
        <v/>
      </c>
      <c r="EC358" t="str">
        <f t="shared" si="249"/>
        <v>OXYTETRACYCLINE 50 % VIRBAC</v>
      </c>
      <c r="ED358" t="e">
        <f>IF(IF(EL$2="Catégorie",IF(EL$3="Toutes",SUMIFS('Étape 1 - à remplir'!$F$31:$F$400,'Étape 1 - à remplir'!$E$31:$E$400,MASQ2!EC358,'Étape 1 - à remplir'!$G$31:$G$400,"kg"),SUMIFS('Étape 1 - à remplir'!$F$31:$F$400,'Étape 1 - à remplir'!$E$31:$E$400,MASQ2!EC358,'Étape 1 - à remplir'!$C$31:$C$400,EL$3)),IF(EL$2="Âge",IF(EL$3="Tous",SUMIFS('Étape 1 - à remplir'!$F$31:$F$400,'Étape 1 - à remplir'!$E$31:$E$400,MASQ2!EC358,'Étape 1 - à remplir'!$G$31:$G$400,"kg"),SUMIFS('Étape 1 - à remplir'!$F$31:$F$400,'Étape 1 - à remplir'!$E$31:$E$400,MASQ2!EC358,'Étape 1 - à remplir'!$P$31:$P$400,EL$3,'Étape 1 - à remplir'!$G$31:$G$400,"kg")),IF(EL$2="Atelier",IF(EL$3="Tous",SUMIFS('Étape 1 - à remplir'!$F$31:$F$400,'Étape 1 - à remplir'!$E$31:$E$400,MASQ2!EC358,'Étape 1 - à remplir'!$G$31:$G$400,"kg"),SUMIFS('Étape 1 - à remplir'!$F$31:$F$400,'Étape 1 - à remplir'!$E$31:$E$400,MASQ2!EC358,'Étape 1 - à remplir'!$O$31:$O$400,EL$3,'Étape 1 - à remplir'!$G$31:$G$400,"kg")),IF(EL$2="Espèce",IF(EL$3="Toutes",SUMIFS('Étape 1 - à remplir'!$F$31:$F$400,'Étape 1 - à remplir'!$E$31:$E$400,MASQ2!EC358,'Étape 1 - à remplir'!$G$31:$G$400,"kg"),SUMIFS('Étape 1 - à remplir'!$F$31:$F$400,'Étape 1 - à remplir'!$E$31:$E$400,MASQ2!EC358,'Étape 1 - à remplir'!$N$31:$N$400,EL$3,'Étape 1 - à remplir'!$G$31:$G$400,"kg"))))))=0,NA(),IF(EL$2="Catégorie",IF(EL$3="Toutes",SUMIFS('Étape 1 - à remplir'!$F$31:$F$400,'Étape 1 - à remplir'!$E$31:$E$400,MASQ2!EC358,'Étape 1 - à remplir'!$G$31:$G$400,"kg"),SUMIFS('Étape 1 - à remplir'!$F$31:$F$400,'Étape 1 - à remplir'!$E$31:$E$400,MASQ2!EC358,'Étape 1 - à remplir'!$C$31:$C$400,EL$3)),IF(EL$2="Âge",IF(EL$3="Tous",SUMIFS('Étape 1 - à remplir'!$F$31:$F$400,'Étape 1 - à remplir'!$E$31:$E$400,MASQ2!EC358,'Étape 1 - à remplir'!$G$31:$G$400,"kg"),SUMIFS('Étape 1 - à remplir'!$F$31:$F$400,'Étape 1 - à remplir'!$E$31:$E$400,MASQ2!EC358,'Étape 1 - à remplir'!$P$31:$P$400,EL$3,'Étape 1 - à remplir'!$G$31:$G$400,"kg")),IF(EL$2="Atelier",IF(EL$3="Tous",SUMIFS('Étape 1 - à remplir'!$F$31:$F$400,'Étape 1 - à remplir'!$E$31:$E$400,MASQ2!EC358,'Étape 1 - à remplir'!$G$31:$G$400,"kg"),SUMIFS('Étape 1 - à remplir'!$F$31:$F$400,'Étape 1 - à remplir'!$E$31:$E$400,MASQ2!EC358,'Étape 1 - à remplir'!$O$31:$O$400,EL$3,'Étape 1 - à remplir'!$G$31:$G$400,"kg")),IF(EL$2="Espèce",IF(EL$3="Toutes",SUMIFS('Étape 1 - à remplir'!$F$31:$F$400,'Étape 1 - à remplir'!$E$31:$E$400,MASQ2!EC358,'Étape 1 - à remplir'!$G$31:$G$400,"kg"),SUMIFS('Étape 1 - à remplir'!$F$31:$F$400,'Étape 1 - à remplir'!$E$31:$E$400,MASQ2!EC358,'Étape 1 - à remplir'!$N$31:$N$400,EL$3,'Étape 1 - à remplir'!$G$31:$G$400,"kg")))))))</f>
        <v>#N/A</v>
      </c>
      <c r="EE358" s="76">
        <f t="shared" si="259"/>
        <v>0</v>
      </c>
      <c r="EF358" t="str">
        <f t="shared" si="250"/>
        <v>Oxytétracycline</v>
      </c>
      <c r="EG358" t="str">
        <f t="shared" si="251"/>
        <v/>
      </c>
      <c r="EH358" t="str">
        <f t="shared" si="252"/>
        <v/>
      </c>
      <c r="EI358" t="str">
        <f t="shared" si="253"/>
        <v>Tetracyclines</v>
      </c>
      <c r="EJ358" t="str">
        <f t="shared" si="254"/>
        <v/>
      </c>
      <c r="EK358" s="63" t="str">
        <f t="shared" si="255"/>
        <v/>
      </c>
      <c r="EN358" s="42">
        <v>355</v>
      </c>
      <c r="EO358" t="e">
        <f t="shared" si="261"/>
        <v>#N/A</v>
      </c>
      <c r="EP358" s="63" t="e">
        <f t="shared" si="262"/>
        <v>#N/A</v>
      </c>
      <c r="FT358" s="63"/>
    </row>
    <row r="359" spans="2:176" x14ac:dyDescent="0.3">
      <c r="B359" s="42"/>
      <c r="M359" s="194" t="str">
        <f ca="1">INDEX(Données_ATB!BD:BU,MATCH(MASQ2!O359,Données_ATB!BD:BD,0),18)</f>
        <v/>
      </c>
      <c r="N359" s="14" t="str">
        <f>IFERROR(IF(Q359=0,"",COUNTIF(Q$4:Q$600,"&gt;"&amp;Q359)+COUNTIF(Q$4:Q359,Q359)),"")</f>
        <v/>
      </c>
      <c r="O359" t="str">
        <f>Données_ATB!BD358</f>
        <v>OXYTETRIN P</v>
      </c>
      <c r="P359" t="e">
        <f>IF(IF(X$2="Catégorie",IF(X$3="Toutes",SUMIFS('Étape 1 - à remplir'!$F$31:$F$400,'Étape 1 - à remplir'!$E$31:$E$400,MASQ2!O359,'Étape 1 - à remplir'!$G$31:$G$400,"animaux"),SUMIFS('Étape 1 - à remplir'!$F$31:$F$400,'Étape 1 - à remplir'!$E$31:$E$400,MASQ2!O359,'Étape 1 - à remplir'!$C$31:$C$400,X$3)),IF(X$2="Âge",IF(X$3="Tous",SUMIFS('Étape 1 - à remplir'!$F$31:$F$400,'Étape 1 - à remplir'!$E$31:$E$400,MASQ2!O359,'Étape 1 - à remplir'!$G$31:$G$400,"animaux"),SUMIFS('Étape 1 - à remplir'!$F$31:$F$400,'Étape 1 - à remplir'!$E$31:$E$400,MASQ2!O359,'Étape 1 - à remplir'!$P$31:$P$400,X$3)),IF(X$2="Atelier",IF(X$3="Tous",SUMIFS('Étape 1 - à remplir'!$F$31:$F$400,'Étape 1 - à remplir'!$E$31:$E$400,MASQ2!O359,'Étape 1 - à remplir'!$G$31:$G$400,"animaux"),SUMIFS('Étape 1 - à remplir'!$F$31:$F$400,'Étape 1 - à remplir'!$E$31:$E$400,MASQ2!O359,'Étape 1 - à remplir'!$O$31:$O$400,X$3)),IF(X$2="Espèce",IF(X$3="Toutes",SUMIFS('Étape 1 - à remplir'!$F$31:$F$400,'Étape 1 - à remplir'!$E$31:$E$400,MASQ2!O359,'Étape 1 - à remplir'!$G$31:$G$400,"animaux"),SUMIFS('Étape 1 - à remplir'!$F$31:$F$400,'Étape 1 - à remplir'!$E$31:$E$400,MASQ2!O359,'Étape 1 - à remplir'!$N$31:$N$400,X$3))))))=0,NA(),IF(X$2="Catégorie",IF(X$3="Toutes",SUMIFS('Étape 1 - à remplir'!$F$31:$F$400,'Étape 1 - à remplir'!$E$31:$E$400,MASQ2!O359,'Étape 1 - à remplir'!$G$31:$G$400,"animaux"),SUMIFS('Étape 1 - à remplir'!$F$31:$F$400,'Étape 1 - à remplir'!$E$31:$E$400,MASQ2!O359,'Étape 1 - à remplir'!$C$31:$C$400,X$3)),IF(X$2="Âge",IF(X$3="Tous",SUMIFS('Étape 1 - à remplir'!$F$31:$F$400,'Étape 1 - à remplir'!$E$31:$E$400,MASQ2!O359,'Étape 1 - à remplir'!$G$31:$G$400,"animaux"),SUMIFS('Étape 1 - à remplir'!$F$31:$F$400,'Étape 1 - à remplir'!$E$31:$E$400,MASQ2!O359,'Étape 1 - à remplir'!$P$31:$P$400,X$3)),IF(X$2="Atelier",IF(X$3="Tous",SUMIFS('Étape 1 - à remplir'!$F$31:$F$400,'Étape 1 - à remplir'!$E$31:$E$400,MASQ2!O359,'Étape 1 - à remplir'!$G$31:$G$400,"animaux"),SUMIFS('Étape 1 - à remplir'!$F$31:$F$400,'Étape 1 - à remplir'!$E$31:$E$400,MASQ2!O359,'Étape 1 - à remplir'!$O$31:$O$400,X$3)),IF(X$2="Espèce",IF(X$3="Toutes",SUMIFS('Étape 1 - à remplir'!$F$31:$F$400,'Étape 1 - à remplir'!$E$31:$E$400,MASQ2!O359,'Étape 1 - à remplir'!$G$31:$G$400,"animaux"),SUMIFS('Étape 1 - à remplir'!$F$31:$F$400,'Étape 1 - à remplir'!$E$31:$E$400,MASQ2!O359,'Étape 1 - à remplir'!$N$31:$N$400,X$3)))))))</f>
        <v>#N/A</v>
      </c>
      <c r="Q359" s="63">
        <f t="shared" si="260"/>
        <v>0</v>
      </c>
      <c r="R359" t="str">
        <f>Données_ATB!BM358</f>
        <v>Oxytétracycline</v>
      </c>
      <c r="S359" t="str">
        <f>Données_ATB!BN358</f>
        <v/>
      </c>
      <c r="T359" s="63" t="str">
        <f>Données_ATB!BO358</f>
        <v/>
      </c>
      <c r="U359" s="42" t="str">
        <f>Données_ATB!BQ358</f>
        <v>Tetracyclines</v>
      </c>
      <c r="V359" t="str">
        <f>Données_ATB!BR358</f>
        <v/>
      </c>
      <c r="W359" s="63" t="str">
        <f>Données_ATB!BS358</f>
        <v/>
      </c>
      <c r="Z359" s="42">
        <v>356</v>
      </c>
      <c r="AA359" t="e">
        <f t="shared" si="256"/>
        <v>#N/A</v>
      </c>
      <c r="AB359" s="63" t="e">
        <f t="shared" si="257"/>
        <v>#N/A</v>
      </c>
      <c r="BF359" s="63"/>
      <c r="BT359" s="194" t="str">
        <f t="shared" ca="1" si="240"/>
        <v/>
      </c>
      <c r="BU359" s="219" t="str">
        <f>IFERROR(IF(BX359=0,"",COUNTIF(BX$4:BX$600,"&gt;"&amp;BX359)+COUNTIF(BX$4:BX359,BX359)),"")</f>
        <v/>
      </c>
      <c r="BV359" s="42" t="str">
        <f t="shared" si="241"/>
        <v>OXYTETRIN P</v>
      </c>
      <c r="BW359" t="e">
        <f>IF(IF(CE$2="Catégorie",IF(CE$3="Toutes",SUMIFS('Étape 1 - à remplir'!$F$31:$F$400,'Étape 1 - à remplir'!$E$31:$E$400,MASQ2!BV359,'Étape 1 - à remplir'!$G$31:$G$400,"lots"),SUMIFS('Étape 1 - à remplir'!$F$31:$F$400,'Étape 1 - à remplir'!$E$31:$E$400,MASQ2!BV359,'Étape 1 - à remplir'!$C$31:$C$400,CE$3)),IF(CE$2="Âge",IF(CE$3="Tous",SUMIFS('Étape 1 - à remplir'!$F$31:$F$400,'Étape 1 - à remplir'!$E$31:$E$400,MASQ2!BV359,'Étape 1 - à remplir'!$G$31:$G$400,"lots"),SUMIFS('Étape 1 - à remplir'!$F$31:$F$400,'Étape 1 - à remplir'!$E$31:$E$400,MASQ2!BV359,'Étape 1 - à remplir'!$P$31:$P$400,CE$3,'Étape 1 - à remplir'!$G$31:$G$400,"lots")),IF(CE$2="Atelier",IF(CE$3="Tous",SUMIFS('Étape 1 - à remplir'!$F$31:$F$400,'Étape 1 - à remplir'!$E$31:$E$400,MASQ2!BV359,'Étape 1 - à remplir'!$G$31:$G$400,"lots"),SUMIFS('Étape 1 - à remplir'!$F$31:$F$400,'Étape 1 - à remplir'!$E$31:$E$400,MASQ2!BV359,'Étape 1 - à remplir'!$O$31:$O$400,CE$3,'Étape 1 - à remplir'!$G$31:$G$400,"lots")),IF(CE$2="Espèce",IF(CE$3="Toutes",SUMIFS('Étape 1 - à remplir'!$F$31:$F$400,'Étape 1 - à remplir'!$E$31:$E$400,MASQ2!BV359,'Étape 1 - à remplir'!$G$31:$G$400,"lots"),SUMIFS('Étape 1 - à remplir'!$F$31:$F$400,'Étape 1 - à remplir'!$E$31:$E$400,MASQ2!BV359,'Étape 1 - à remplir'!$N$31:$N$400,CE$3,'Étape 1 - à remplir'!$G$31:$G$400,"lots"))))))=0,NA(),IF(CE$2="Catégorie",IF(CE$3="Toutes",SUMIFS('Étape 1 - à remplir'!$F$31:$F$400,'Étape 1 - à remplir'!$E$31:$E$400,MASQ2!BV359,'Étape 1 - à remplir'!$G$31:$G$400,"lots"),SUMIFS('Étape 1 - à remplir'!$F$31:$F$400,'Étape 1 - à remplir'!$E$31:$E$400,MASQ2!BV359,'Étape 1 - à remplir'!$C$31:$C$400,CE$3)),IF(CE$2="Âge",IF(CE$3="Tous",SUMIFS('Étape 1 - à remplir'!$F$31:$F$400,'Étape 1 - à remplir'!$E$31:$E$400,MASQ2!BV359,'Étape 1 - à remplir'!$G$31:$G$400,"lots"),SUMIFS('Étape 1 - à remplir'!$F$31:$F$400,'Étape 1 - à remplir'!$E$31:$E$400,MASQ2!BV359,'Étape 1 - à remplir'!$P$31:$P$400,CE$3,'Étape 1 - à remplir'!$G$31:$G$400,"lots")),IF(CE$2="Atelier",IF(CE$3="Tous",SUMIFS('Étape 1 - à remplir'!$F$31:$F$400,'Étape 1 - à remplir'!$E$31:$E$400,MASQ2!BV359,'Étape 1 - à remplir'!$G$31:$G$400,"lots"),SUMIFS('Étape 1 - à remplir'!$F$31:$F$400,'Étape 1 - à remplir'!$E$31:$E$400,MASQ2!BV359,'Étape 1 - à remplir'!$O$31:$O$400,CE$3,'Étape 1 - à remplir'!$G$31:$G$400,"lots")),IF(CE$2="Espèce",IF(CE$3="Toutes",SUMIFS('Étape 1 - à remplir'!$F$31:$F$400,'Étape 1 - à remplir'!$E$31:$E$400,MASQ2!BV359,'Étape 1 - à remplir'!$G$31:$G$400,"lots"),SUMIFS('Étape 1 - à remplir'!$F$31:$F$400,'Étape 1 - à remplir'!$E$31:$E$400,MASQ2!BV359,'Étape 1 - à remplir'!$N$31:$N$400,CE$3,'Étape 1 - à remplir'!$G$31:$G$400,"lots")))))))</f>
        <v>#N/A</v>
      </c>
      <c r="BX359">
        <f t="shared" si="258"/>
        <v>0</v>
      </c>
      <c r="BY359" t="str">
        <f t="shared" si="242"/>
        <v>Oxytétracycline</v>
      </c>
      <c r="BZ359" t="str">
        <f t="shared" si="243"/>
        <v/>
      </c>
      <c r="CA359" t="str">
        <f t="shared" si="244"/>
        <v/>
      </c>
      <c r="CB359" t="str">
        <f t="shared" si="245"/>
        <v>Tetracyclines</v>
      </c>
      <c r="CC359" t="str">
        <f t="shared" si="246"/>
        <v/>
      </c>
      <c r="CD359" s="63" t="str">
        <f t="shared" si="247"/>
        <v/>
      </c>
      <c r="CG359" s="42">
        <v>356</v>
      </c>
      <c r="CH359" s="42" t="e">
        <f t="shared" si="263"/>
        <v>#N/A</v>
      </c>
      <c r="CI359" s="63" t="e">
        <f t="shared" si="264"/>
        <v>#N/A</v>
      </c>
      <c r="DM359" s="63"/>
      <c r="EA359" s="194" t="str">
        <f t="shared" ca="1" si="248"/>
        <v/>
      </c>
      <c r="EB359" s="226" t="str">
        <f>IFERROR(IF(ED359=0,"",COUNTIF(ED$4:ED$600,"&gt;"&amp;ED359)+COUNTIF(ED$4:ED359,ED359)),"")</f>
        <v/>
      </c>
      <c r="EC359" t="str">
        <f t="shared" si="249"/>
        <v>OXYTETRIN P</v>
      </c>
      <c r="ED359" t="e">
        <f>IF(IF(EL$2="Catégorie",IF(EL$3="Toutes",SUMIFS('Étape 1 - à remplir'!$F$31:$F$400,'Étape 1 - à remplir'!$E$31:$E$400,MASQ2!EC359,'Étape 1 - à remplir'!$G$31:$G$400,"kg"),SUMIFS('Étape 1 - à remplir'!$F$31:$F$400,'Étape 1 - à remplir'!$E$31:$E$400,MASQ2!EC359,'Étape 1 - à remplir'!$C$31:$C$400,EL$3)),IF(EL$2="Âge",IF(EL$3="Tous",SUMIFS('Étape 1 - à remplir'!$F$31:$F$400,'Étape 1 - à remplir'!$E$31:$E$400,MASQ2!EC359,'Étape 1 - à remplir'!$G$31:$G$400,"kg"),SUMIFS('Étape 1 - à remplir'!$F$31:$F$400,'Étape 1 - à remplir'!$E$31:$E$400,MASQ2!EC359,'Étape 1 - à remplir'!$P$31:$P$400,EL$3,'Étape 1 - à remplir'!$G$31:$G$400,"kg")),IF(EL$2="Atelier",IF(EL$3="Tous",SUMIFS('Étape 1 - à remplir'!$F$31:$F$400,'Étape 1 - à remplir'!$E$31:$E$400,MASQ2!EC359,'Étape 1 - à remplir'!$G$31:$G$400,"kg"),SUMIFS('Étape 1 - à remplir'!$F$31:$F$400,'Étape 1 - à remplir'!$E$31:$E$400,MASQ2!EC359,'Étape 1 - à remplir'!$O$31:$O$400,EL$3,'Étape 1 - à remplir'!$G$31:$G$400,"kg")),IF(EL$2="Espèce",IF(EL$3="Toutes",SUMIFS('Étape 1 - à remplir'!$F$31:$F$400,'Étape 1 - à remplir'!$E$31:$E$400,MASQ2!EC359,'Étape 1 - à remplir'!$G$31:$G$400,"kg"),SUMIFS('Étape 1 - à remplir'!$F$31:$F$400,'Étape 1 - à remplir'!$E$31:$E$400,MASQ2!EC359,'Étape 1 - à remplir'!$N$31:$N$400,EL$3,'Étape 1 - à remplir'!$G$31:$G$400,"kg"))))))=0,NA(),IF(EL$2="Catégorie",IF(EL$3="Toutes",SUMIFS('Étape 1 - à remplir'!$F$31:$F$400,'Étape 1 - à remplir'!$E$31:$E$400,MASQ2!EC359,'Étape 1 - à remplir'!$G$31:$G$400,"kg"),SUMIFS('Étape 1 - à remplir'!$F$31:$F$400,'Étape 1 - à remplir'!$E$31:$E$400,MASQ2!EC359,'Étape 1 - à remplir'!$C$31:$C$400,EL$3)),IF(EL$2="Âge",IF(EL$3="Tous",SUMIFS('Étape 1 - à remplir'!$F$31:$F$400,'Étape 1 - à remplir'!$E$31:$E$400,MASQ2!EC359,'Étape 1 - à remplir'!$G$31:$G$400,"kg"),SUMIFS('Étape 1 - à remplir'!$F$31:$F$400,'Étape 1 - à remplir'!$E$31:$E$400,MASQ2!EC359,'Étape 1 - à remplir'!$P$31:$P$400,EL$3,'Étape 1 - à remplir'!$G$31:$G$400,"kg")),IF(EL$2="Atelier",IF(EL$3="Tous",SUMIFS('Étape 1 - à remplir'!$F$31:$F$400,'Étape 1 - à remplir'!$E$31:$E$400,MASQ2!EC359,'Étape 1 - à remplir'!$G$31:$G$400,"kg"),SUMIFS('Étape 1 - à remplir'!$F$31:$F$400,'Étape 1 - à remplir'!$E$31:$E$400,MASQ2!EC359,'Étape 1 - à remplir'!$O$31:$O$400,EL$3,'Étape 1 - à remplir'!$G$31:$G$400,"kg")),IF(EL$2="Espèce",IF(EL$3="Toutes",SUMIFS('Étape 1 - à remplir'!$F$31:$F$400,'Étape 1 - à remplir'!$E$31:$E$400,MASQ2!EC359,'Étape 1 - à remplir'!$G$31:$G$400,"kg"),SUMIFS('Étape 1 - à remplir'!$F$31:$F$400,'Étape 1 - à remplir'!$E$31:$E$400,MASQ2!EC359,'Étape 1 - à remplir'!$N$31:$N$400,EL$3,'Étape 1 - à remplir'!$G$31:$G$400,"kg")))))))</f>
        <v>#N/A</v>
      </c>
      <c r="EE359" s="76">
        <f t="shared" si="259"/>
        <v>0</v>
      </c>
      <c r="EF359" t="str">
        <f t="shared" si="250"/>
        <v>Oxytétracycline</v>
      </c>
      <c r="EG359" t="str">
        <f t="shared" si="251"/>
        <v/>
      </c>
      <c r="EH359" t="str">
        <f t="shared" si="252"/>
        <v/>
      </c>
      <c r="EI359" t="str">
        <f t="shared" si="253"/>
        <v>Tetracyclines</v>
      </c>
      <c r="EJ359" t="str">
        <f t="shared" si="254"/>
        <v/>
      </c>
      <c r="EK359" s="63" t="str">
        <f t="shared" si="255"/>
        <v/>
      </c>
      <c r="EN359" s="42">
        <v>356</v>
      </c>
      <c r="EO359" t="e">
        <f t="shared" si="261"/>
        <v>#N/A</v>
      </c>
      <c r="EP359" s="63" t="e">
        <f t="shared" si="262"/>
        <v>#N/A</v>
      </c>
      <c r="FT359" s="63"/>
    </row>
    <row r="360" spans="2:176" x14ac:dyDescent="0.3">
      <c r="B360" s="42"/>
      <c r="M360" s="194" t="str">
        <f ca="1">INDEX(Données_ATB!BD:BU,MATCH(MASQ2!O360,Données_ATB!BD:BD,0),18)</f>
        <v/>
      </c>
      <c r="N360" s="14" t="str">
        <f>IFERROR(IF(Q360=0,"",COUNTIF(Q$4:Q$600,"&gt;"&amp;Q360)+COUNTIF(Q$4:Q360,Q360)),"")</f>
        <v/>
      </c>
      <c r="O360" t="str">
        <f>Données_ATB!BD359</f>
        <v>PANADIA</v>
      </c>
      <c r="P360" t="e">
        <f>IF(IF(X$2="Catégorie",IF(X$3="Toutes",SUMIFS('Étape 1 - à remplir'!$F$31:$F$400,'Étape 1 - à remplir'!$E$31:$E$400,MASQ2!O360,'Étape 1 - à remplir'!$G$31:$G$400,"animaux"),SUMIFS('Étape 1 - à remplir'!$F$31:$F$400,'Étape 1 - à remplir'!$E$31:$E$400,MASQ2!O360,'Étape 1 - à remplir'!$C$31:$C$400,X$3)),IF(X$2="Âge",IF(X$3="Tous",SUMIFS('Étape 1 - à remplir'!$F$31:$F$400,'Étape 1 - à remplir'!$E$31:$E$400,MASQ2!O360,'Étape 1 - à remplir'!$G$31:$G$400,"animaux"),SUMIFS('Étape 1 - à remplir'!$F$31:$F$400,'Étape 1 - à remplir'!$E$31:$E$400,MASQ2!O360,'Étape 1 - à remplir'!$P$31:$P$400,X$3)),IF(X$2="Atelier",IF(X$3="Tous",SUMIFS('Étape 1 - à remplir'!$F$31:$F$400,'Étape 1 - à remplir'!$E$31:$E$400,MASQ2!O360,'Étape 1 - à remplir'!$G$31:$G$400,"animaux"),SUMIFS('Étape 1 - à remplir'!$F$31:$F$400,'Étape 1 - à remplir'!$E$31:$E$400,MASQ2!O360,'Étape 1 - à remplir'!$O$31:$O$400,X$3)),IF(X$2="Espèce",IF(X$3="Toutes",SUMIFS('Étape 1 - à remplir'!$F$31:$F$400,'Étape 1 - à remplir'!$E$31:$E$400,MASQ2!O360,'Étape 1 - à remplir'!$G$31:$G$400,"animaux"),SUMIFS('Étape 1 - à remplir'!$F$31:$F$400,'Étape 1 - à remplir'!$E$31:$E$400,MASQ2!O360,'Étape 1 - à remplir'!$N$31:$N$400,X$3))))))=0,NA(),IF(X$2="Catégorie",IF(X$3="Toutes",SUMIFS('Étape 1 - à remplir'!$F$31:$F$400,'Étape 1 - à remplir'!$E$31:$E$400,MASQ2!O360,'Étape 1 - à remplir'!$G$31:$G$400,"animaux"),SUMIFS('Étape 1 - à remplir'!$F$31:$F$400,'Étape 1 - à remplir'!$E$31:$E$400,MASQ2!O360,'Étape 1 - à remplir'!$C$31:$C$400,X$3)),IF(X$2="Âge",IF(X$3="Tous",SUMIFS('Étape 1 - à remplir'!$F$31:$F$400,'Étape 1 - à remplir'!$E$31:$E$400,MASQ2!O360,'Étape 1 - à remplir'!$G$31:$G$400,"animaux"),SUMIFS('Étape 1 - à remplir'!$F$31:$F$400,'Étape 1 - à remplir'!$E$31:$E$400,MASQ2!O360,'Étape 1 - à remplir'!$P$31:$P$400,X$3)),IF(X$2="Atelier",IF(X$3="Tous",SUMIFS('Étape 1 - à remplir'!$F$31:$F$400,'Étape 1 - à remplir'!$E$31:$E$400,MASQ2!O360,'Étape 1 - à remplir'!$G$31:$G$400,"animaux"),SUMIFS('Étape 1 - à remplir'!$F$31:$F$400,'Étape 1 - à remplir'!$E$31:$E$400,MASQ2!O360,'Étape 1 - à remplir'!$O$31:$O$400,X$3)),IF(X$2="Espèce",IF(X$3="Toutes",SUMIFS('Étape 1 - à remplir'!$F$31:$F$400,'Étape 1 - à remplir'!$E$31:$E$400,MASQ2!O360,'Étape 1 - à remplir'!$G$31:$G$400,"animaux"),SUMIFS('Étape 1 - à remplir'!$F$31:$F$400,'Étape 1 - à remplir'!$E$31:$E$400,MASQ2!O360,'Étape 1 - à remplir'!$N$31:$N$400,X$3)))))))</f>
        <v>#N/A</v>
      </c>
      <c r="Q360" s="63">
        <f t="shared" si="260"/>
        <v>0</v>
      </c>
      <c r="R360" t="str">
        <f>Données_ATB!BM359</f>
        <v>Tétracycline</v>
      </c>
      <c r="S360" t="str">
        <f>Données_ATB!BN359</f>
        <v/>
      </c>
      <c r="T360" s="63" t="str">
        <f>Données_ATB!BO359</f>
        <v/>
      </c>
      <c r="U360" s="42" t="str">
        <f>Données_ATB!BQ359</f>
        <v>Tetracyclines</v>
      </c>
      <c r="V360" t="str">
        <f>Données_ATB!BR359</f>
        <v/>
      </c>
      <c r="W360" s="63" t="str">
        <f>Données_ATB!BS359</f>
        <v/>
      </c>
      <c r="Z360" s="42">
        <v>357</v>
      </c>
      <c r="AA360" t="e">
        <f t="shared" si="256"/>
        <v>#N/A</v>
      </c>
      <c r="AB360" s="63" t="e">
        <f t="shared" si="257"/>
        <v>#N/A</v>
      </c>
      <c r="BF360" s="63"/>
      <c r="BT360" s="194" t="str">
        <f t="shared" ca="1" si="240"/>
        <v/>
      </c>
      <c r="BU360" s="219" t="str">
        <f>IFERROR(IF(BX360=0,"",COUNTIF(BX$4:BX$600,"&gt;"&amp;BX360)+COUNTIF(BX$4:BX360,BX360)),"")</f>
        <v/>
      </c>
      <c r="BV360" s="42" t="str">
        <f t="shared" si="241"/>
        <v>PANADIA</v>
      </c>
      <c r="BW360" t="e">
        <f>IF(IF(CE$2="Catégorie",IF(CE$3="Toutes",SUMIFS('Étape 1 - à remplir'!$F$31:$F$400,'Étape 1 - à remplir'!$E$31:$E$400,MASQ2!BV360,'Étape 1 - à remplir'!$G$31:$G$400,"lots"),SUMIFS('Étape 1 - à remplir'!$F$31:$F$400,'Étape 1 - à remplir'!$E$31:$E$400,MASQ2!BV360,'Étape 1 - à remplir'!$C$31:$C$400,CE$3)),IF(CE$2="Âge",IF(CE$3="Tous",SUMIFS('Étape 1 - à remplir'!$F$31:$F$400,'Étape 1 - à remplir'!$E$31:$E$400,MASQ2!BV360,'Étape 1 - à remplir'!$G$31:$G$400,"lots"),SUMIFS('Étape 1 - à remplir'!$F$31:$F$400,'Étape 1 - à remplir'!$E$31:$E$400,MASQ2!BV360,'Étape 1 - à remplir'!$P$31:$P$400,CE$3,'Étape 1 - à remplir'!$G$31:$G$400,"lots")),IF(CE$2="Atelier",IF(CE$3="Tous",SUMIFS('Étape 1 - à remplir'!$F$31:$F$400,'Étape 1 - à remplir'!$E$31:$E$400,MASQ2!BV360,'Étape 1 - à remplir'!$G$31:$G$400,"lots"),SUMIFS('Étape 1 - à remplir'!$F$31:$F$400,'Étape 1 - à remplir'!$E$31:$E$400,MASQ2!BV360,'Étape 1 - à remplir'!$O$31:$O$400,CE$3,'Étape 1 - à remplir'!$G$31:$G$400,"lots")),IF(CE$2="Espèce",IF(CE$3="Toutes",SUMIFS('Étape 1 - à remplir'!$F$31:$F$400,'Étape 1 - à remplir'!$E$31:$E$400,MASQ2!BV360,'Étape 1 - à remplir'!$G$31:$G$400,"lots"),SUMIFS('Étape 1 - à remplir'!$F$31:$F$400,'Étape 1 - à remplir'!$E$31:$E$400,MASQ2!BV360,'Étape 1 - à remplir'!$N$31:$N$400,CE$3,'Étape 1 - à remplir'!$G$31:$G$400,"lots"))))))=0,NA(),IF(CE$2="Catégorie",IF(CE$3="Toutes",SUMIFS('Étape 1 - à remplir'!$F$31:$F$400,'Étape 1 - à remplir'!$E$31:$E$400,MASQ2!BV360,'Étape 1 - à remplir'!$G$31:$G$400,"lots"),SUMIFS('Étape 1 - à remplir'!$F$31:$F$400,'Étape 1 - à remplir'!$E$31:$E$400,MASQ2!BV360,'Étape 1 - à remplir'!$C$31:$C$400,CE$3)),IF(CE$2="Âge",IF(CE$3="Tous",SUMIFS('Étape 1 - à remplir'!$F$31:$F$400,'Étape 1 - à remplir'!$E$31:$E$400,MASQ2!BV360,'Étape 1 - à remplir'!$G$31:$G$400,"lots"),SUMIFS('Étape 1 - à remplir'!$F$31:$F$400,'Étape 1 - à remplir'!$E$31:$E$400,MASQ2!BV360,'Étape 1 - à remplir'!$P$31:$P$400,CE$3,'Étape 1 - à remplir'!$G$31:$G$400,"lots")),IF(CE$2="Atelier",IF(CE$3="Tous",SUMIFS('Étape 1 - à remplir'!$F$31:$F$400,'Étape 1 - à remplir'!$E$31:$E$400,MASQ2!BV360,'Étape 1 - à remplir'!$G$31:$G$400,"lots"),SUMIFS('Étape 1 - à remplir'!$F$31:$F$400,'Étape 1 - à remplir'!$E$31:$E$400,MASQ2!BV360,'Étape 1 - à remplir'!$O$31:$O$400,CE$3,'Étape 1 - à remplir'!$G$31:$G$400,"lots")),IF(CE$2="Espèce",IF(CE$3="Toutes",SUMIFS('Étape 1 - à remplir'!$F$31:$F$400,'Étape 1 - à remplir'!$E$31:$E$400,MASQ2!BV360,'Étape 1 - à remplir'!$G$31:$G$400,"lots"),SUMIFS('Étape 1 - à remplir'!$F$31:$F$400,'Étape 1 - à remplir'!$E$31:$E$400,MASQ2!BV360,'Étape 1 - à remplir'!$N$31:$N$400,CE$3,'Étape 1 - à remplir'!$G$31:$G$400,"lots")))))))</f>
        <v>#N/A</v>
      </c>
      <c r="BX360">
        <f t="shared" si="258"/>
        <v>0</v>
      </c>
      <c r="BY360" t="str">
        <f t="shared" si="242"/>
        <v>Tétracycline</v>
      </c>
      <c r="BZ360" t="str">
        <f t="shared" si="243"/>
        <v/>
      </c>
      <c r="CA360" t="str">
        <f t="shared" si="244"/>
        <v/>
      </c>
      <c r="CB360" t="str">
        <f t="shared" si="245"/>
        <v>Tetracyclines</v>
      </c>
      <c r="CC360" t="str">
        <f t="shared" si="246"/>
        <v/>
      </c>
      <c r="CD360" s="63" t="str">
        <f t="shared" si="247"/>
        <v/>
      </c>
      <c r="CG360" s="42">
        <v>357</v>
      </c>
      <c r="CH360" s="42" t="e">
        <f t="shared" si="263"/>
        <v>#N/A</v>
      </c>
      <c r="CI360" s="63" t="e">
        <f t="shared" si="264"/>
        <v>#N/A</v>
      </c>
      <c r="DM360" s="63"/>
      <c r="EA360" s="194" t="str">
        <f t="shared" ca="1" si="248"/>
        <v/>
      </c>
      <c r="EB360" s="226" t="str">
        <f>IFERROR(IF(ED360=0,"",COUNTIF(ED$4:ED$600,"&gt;"&amp;ED360)+COUNTIF(ED$4:ED360,ED360)),"")</f>
        <v/>
      </c>
      <c r="EC360" t="str">
        <f t="shared" si="249"/>
        <v>PANADIA</v>
      </c>
      <c r="ED360" t="e">
        <f>IF(IF(EL$2="Catégorie",IF(EL$3="Toutes",SUMIFS('Étape 1 - à remplir'!$F$31:$F$400,'Étape 1 - à remplir'!$E$31:$E$400,MASQ2!EC360,'Étape 1 - à remplir'!$G$31:$G$400,"kg"),SUMIFS('Étape 1 - à remplir'!$F$31:$F$400,'Étape 1 - à remplir'!$E$31:$E$400,MASQ2!EC360,'Étape 1 - à remplir'!$C$31:$C$400,EL$3)),IF(EL$2="Âge",IF(EL$3="Tous",SUMIFS('Étape 1 - à remplir'!$F$31:$F$400,'Étape 1 - à remplir'!$E$31:$E$400,MASQ2!EC360,'Étape 1 - à remplir'!$G$31:$G$400,"kg"),SUMIFS('Étape 1 - à remplir'!$F$31:$F$400,'Étape 1 - à remplir'!$E$31:$E$400,MASQ2!EC360,'Étape 1 - à remplir'!$P$31:$P$400,EL$3,'Étape 1 - à remplir'!$G$31:$G$400,"kg")),IF(EL$2="Atelier",IF(EL$3="Tous",SUMIFS('Étape 1 - à remplir'!$F$31:$F$400,'Étape 1 - à remplir'!$E$31:$E$400,MASQ2!EC360,'Étape 1 - à remplir'!$G$31:$G$400,"kg"),SUMIFS('Étape 1 - à remplir'!$F$31:$F$400,'Étape 1 - à remplir'!$E$31:$E$400,MASQ2!EC360,'Étape 1 - à remplir'!$O$31:$O$400,EL$3,'Étape 1 - à remplir'!$G$31:$G$400,"kg")),IF(EL$2="Espèce",IF(EL$3="Toutes",SUMIFS('Étape 1 - à remplir'!$F$31:$F$400,'Étape 1 - à remplir'!$E$31:$E$400,MASQ2!EC360,'Étape 1 - à remplir'!$G$31:$G$400,"kg"),SUMIFS('Étape 1 - à remplir'!$F$31:$F$400,'Étape 1 - à remplir'!$E$31:$E$400,MASQ2!EC360,'Étape 1 - à remplir'!$N$31:$N$400,EL$3,'Étape 1 - à remplir'!$G$31:$G$400,"kg"))))))=0,NA(),IF(EL$2="Catégorie",IF(EL$3="Toutes",SUMIFS('Étape 1 - à remplir'!$F$31:$F$400,'Étape 1 - à remplir'!$E$31:$E$400,MASQ2!EC360,'Étape 1 - à remplir'!$G$31:$G$400,"kg"),SUMIFS('Étape 1 - à remplir'!$F$31:$F$400,'Étape 1 - à remplir'!$E$31:$E$400,MASQ2!EC360,'Étape 1 - à remplir'!$C$31:$C$400,EL$3)),IF(EL$2="Âge",IF(EL$3="Tous",SUMIFS('Étape 1 - à remplir'!$F$31:$F$400,'Étape 1 - à remplir'!$E$31:$E$400,MASQ2!EC360,'Étape 1 - à remplir'!$G$31:$G$400,"kg"),SUMIFS('Étape 1 - à remplir'!$F$31:$F$400,'Étape 1 - à remplir'!$E$31:$E$400,MASQ2!EC360,'Étape 1 - à remplir'!$P$31:$P$400,EL$3,'Étape 1 - à remplir'!$G$31:$G$400,"kg")),IF(EL$2="Atelier",IF(EL$3="Tous",SUMIFS('Étape 1 - à remplir'!$F$31:$F$400,'Étape 1 - à remplir'!$E$31:$E$400,MASQ2!EC360,'Étape 1 - à remplir'!$G$31:$G$400,"kg"),SUMIFS('Étape 1 - à remplir'!$F$31:$F$400,'Étape 1 - à remplir'!$E$31:$E$400,MASQ2!EC360,'Étape 1 - à remplir'!$O$31:$O$400,EL$3,'Étape 1 - à remplir'!$G$31:$G$400,"kg")),IF(EL$2="Espèce",IF(EL$3="Toutes",SUMIFS('Étape 1 - à remplir'!$F$31:$F$400,'Étape 1 - à remplir'!$E$31:$E$400,MASQ2!EC360,'Étape 1 - à remplir'!$G$31:$G$400,"kg"),SUMIFS('Étape 1 - à remplir'!$F$31:$F$400,'Étape 1 - à remplir'!$E$31:$E$400,MASQ2!EC360,'Étape 1 - à remplir'!$N$31:$N$400,EL$3,'Étape 1 - à remplir'!$G$31:$G$400,"kg")))))))</f>
        <v>#N/A</v>
      </c>
      <c r="EE360" s="76">
        <f t="shared" si="259"/>
        <v>0</v>
      </c>
      <c r="EF360" t="str">
        <f t="shared" si="250"/>
        <v>Tétracycline</v>
      </c>
      <c r="EG360" t="str">
        <f t="shared" si="251"/>
        <v/>
      </c>
      <c r="EH360" t="str">
        <f t="shared" si="252"/>
        <v/>
      </c>
      <c r="EI360" t="str">
        <f t="shared" si="253"/>
        <v>Tetracyclines</v>
      </c>
      <c r="EJ360" t="str">
        <f t="shared" si="254"/>
        <v/>
      </c>
      <c r="EK360" s="63" t="str">
        <f t="shared" si="255"/>
        <v/>
      </c>
      <c r="EN360" s="42">
        <v>357</v>
      </c>
      <c r="EO360" t="e">
        <f t="shared" si="261"/>
        <v>#N/A</v>
      </c>
      <c r="EP360" s="63" t="e">
        <f t="shared" si="262"/>
        <v>#N/A</v>
      </c>
      <c r="FT360" s="63"/>
    </row>
    <row r="361" spans="2:176" x14ac:dyDescent="0.3">
      <c r="B361" s="42"/>
      <c r="M361" s="194" t="str">
        <f ca="1">INDEX(Données_ATB!BD:BU,MATCH(MASQ2!O361,Données_ATB!BD:BD,0),18)</f>
        <v/>
      </c>
      <c r="N361" s="14" t="str">
        <f>IFERROR(IF(Q361=0,"",COUNTIF(Q$4:Q$600,"&gt;"&amp;Q361)+COUNTIF(Q$4:Q361,Q361)),"")</f>
        <v/>
      </c>
      <c r="O361" t="str">
        <f>Données_ATB!BD360</f>
        <v>PANAFUGE</v>
      </c>
      <c r="P361" t="e">
        <f>IF(IF(X$2="Catégorie",IF(X$3="Toutes",SUMIFS('Étape 1 - à remplir'!$F$31:$F$400,'Étape 1 - à remplir'!$E$31:$E$400,MASQ2!O361,'Étape 1 - à remplir'!$G$31:$G$400,"animaux"),SUMIFS('Étape 1 - à remplir'!$F$31:$F$400,'Étape 1 - à remplir'!$E$31:$E$400,MASQ2!O361,'Étape 1 - à remplir'!$C$31:$C$400,X$3)),IF(X$2="Âge",IF(X$3="Tous",SUMIFS('Étape 1 - à remplir'!$F$31:$F$400,'Étape 1 - à remplir'!$E$31:$E$400,MASQ2!O361,'Étape 1 - à remplir'!$G$31:$G$400,"animaux"),SUMIFS('Étape 1 - à remplir'!$F$31:$F$400,'Étape 1 - à remplir'!$E$31:$E$400,MASQ2!O361,'Étape 1 - à remplir'!$P$31:$P$400,X$3)),IF(X$2="Atelier",IF(X$3="Tous",SUMIFS('Étape 1 - à remplir'!$F$31:$F$400,'Étape 1 - à remplir'!$E$31:$E$400,MASQ2!O361,'Étape 1 - à remplir'!$G$31:$G$400,"animaux"),SUMIFS('Étape 1 - à remplir'!$F$31:$F$400,'Étape 1 - à remplir'!$E$31:$E$400,MASQ2!O361,'Étape 1 - à remplir'!$O$31:$O$400,X$3)),IF(X$2="Espèce",IF(X$3="Toutes",SUMIFS('Étape 1 - à remplir'!$F$31:$F$400,'Étape 1 - à remplir'!$E$31:$E$400,MASQ2!O361,'Étape 1 - à remplir'!$G$31:$G$400,"animaux"),SUMIFS('Étape 1 - à remplir'!$F$31:$F$400,'Étape 1 - à remplir'!$E$31:$E$400,MASQ2!O361,'Étape 1 - à remplir'!$N$31:$N$400,X$3))))))=0,NA(),IF(X$2="Catégorie",IF(X$3="Toutes",SUMIFS('Étape 1 - à remplir'!$F$31:$F$400,'Étape 1 - à remplir'!$E$31:$E$400,MASQ2!O361,'Étape 1 - à remplir'!$G$31:$G$400,"animaux"),SUMIFS('Étape 1 - à remplir'!$F$31:$F$400,'Étape 1 - à remplir'!$E$31:$E$400,MASQ2!O361,'Étape 1 - à remplir'!$C$31:$C$400,X$3)),IF(X$2="Âge",IF(X$3="Tous",SUMIFS('Étape 1 - à remplir'!$F$31:$F$400,'Étape 1 - à remplir'!$E$31:$E$400,MASQ2!O361,'Étape 1 - à remplir'!$G$31:$G$400,"animaux"),SUMIFS('Étape 1 - à remplir'!$F$31:$F$400,'Étape 1 - à remplir'!$E$31:$E$400,MASQ2!O361,'Étape 1 - à remplir'!$P$31:$P$400,X$3)),IF(X$2="Atelier",IF(X$3="Tous",SUMIFS('Étape 1 - à remplir'!$F$31:$F$400,'Étape 1 - à remplir'!$E$31:$E$400,MASQ2!O361,'Étape 1 - à remplir'!$G$31:$G$400,"animaux"),SUMIFS('Étape 1 - à remplir'!$F$31:$F$400,'Étape 1 - à remplir'!$E$31:$E$400,MASQ2!O361,'Étape 1 - à remplir'!$O$31:$O$400,X$3)),IF(X$2="Espèce",IF(X$3="Toutes",SUMIFS('Étape 1 - à remplir'!$F$31:$F$400,'Étape 1 - à remplir'!$E$31:$E$400,MASQ2!O361,'Étape 1 - à remplir'!$G$31:$G$400,"animaux"),SUMIFS('Étape 1 - à remplir'!$F$31:$F$400,'Étape 1 - à remplir'!$E$31:$E$400,MASQ2!O361,'Étape 1 - à remplir'!$N$31:$N$400,X$3)))))))</f>
        <v>#N/A</v>
      </c>
      <c r="Q361" s="63">
        <f t="shared" si="260"/>
        <v>0</v>
      </c>
      <c r="R361" t="str">
        <f>Données_ATB!BM360</f>
        <v>Dihydrostreptomycine</v>
      </c>
      <c r="S361" t="str">
        <f>Données_ATB!BN360</f>
        <v>Tétracycline</v>
      </c>
      <c r="T361" s="63" t="str">
        <f>Données_ATB!BO360</f>
        <v/>
      </c>
      <c r="U361" s="42" t="str">
        <f>Données_ATB!BQ360</f>
        <v>Aminoglycosides</v>
      </c>
      <c r="V361" t="str">
        <f>Données_ATB!BR360</f>
        <v>Tetracyclines</v>
      </c>
      <c r="W361" s="63" t="str">
        <f>Données_ATB!BS360</f>
        <v/>
      </c>
      <c r="Z361" s="42">
        <v>358</v>
      </c>
      <c r="AA361" t="e">
        <f t="shared" si="256"/>
        <v>#N/A</v>
      </c>
      <c r="AB361" s="63" t="e">
        <f t="shared" si="257"/>
        <v>#N/A</v>
      </c>
      <c r="BF361" s="63"/>
      <c r="BT361" s="194" t="str">
        <f t="shared" ca="1" si="240"/>
        <v/>
      </c>
      <c r="BU361" s="219" t="str">
        <f>IFERROR(IF(BX361=0,"",COUNTIF(BX$4:BX$600,"&gt;"&amp;BX361)+COUNTIF(BX$4:BX361,BX361)),"")</f>
        <v/>
      </c>
      <c r="BV361" s="42" t="str">
        <f t="shared" si="241"/>
        <v>PANAFUGE</v>
      </c>
      <c r="BW361" t="e">
        <f>IF(IF(CE$2="Catégorie",IF(CE$3="Toutes",SUMIFS('Étape 1 - à remplir'!$F$31:$F$400,'Étape 1 - à remplir'!$E$31:$E$400,MASQ2!BV361,'Étape 1 - à remplir'!$G$31:$G$400,"lots"),SUMIFS('Étape 1 - à remplir'!$F$31:$F$400,'Étape 1 - à remplir'!$E$31:$E$400,MASQ2!BV361,'Étape 1 - à remplir'!$C$31:$C$400,CE$3)),IF(CE$2="Âge",IF(CE$3="Tous",SUMIFS('Étape 1 - à remplir'!$F$31:$F$400,'Étape 1 - à remplir'!$E$31:$E$400,MASQ2!BV361,'Étape 1 - à remplir'!$G$31:$G$400,"lots"),SUMIFS('Étape 1 - à remplir'!$F$31:$F$400,'Étape 1 - à remplir'!$E$31:$E$400,MASQ2!BV361,'Étape 1 - à remplir'!$P$31:$P$400,CE$3,'Étape 1 - à remplir'!$G$31:$G$400,"lots")),IF(CE$2="Atelier",IF(CE$3="Tous",SUMIFS('Étape 1 - à remplir'!$F$31:$F$400,'Étape 1 - à remplir'!$E$31:$E$400,MASQ2!BV361,'Étape 1 - à remplir'!$G$31:$G$400,"lots"),SUMIFS('Étape 1 - à remplir'!$F$31:$F$400,'Étape 1 - à remplir'!$E$31:$E$400,MASQ2!BV361,'Étape 1 - à remplir'!$O$31:$O$400,CE$3,'Étape 1 - à remplir'!$G$31:$G$400,"lots")),IF(CE$2="Espèce",IF(CE$3="Toutes",SUMIFS('Étape 1 - à remplir'!$F$31:$F$400,'Étape 1 - à remplir'!$E$31:$E$400,MASQ2!BV361,'Étape 1 - à remplir'!$G$31:$G$400,"lots"),SUMIFS('Étape 1 - à remplir'!$F$31:$F$400,'Étape 1 - à remplir'!$E$31:$E$400,MASQ2!BV361,'Étape 1 - à remplir'!$N$31:$N$400,CE$3,'Étape 1 - à remplir'!$G$31:$G$400,"lots"))))))=0,NA(),IF(CE$2="Catégorie",IF(CE$3="Toutes",SUMIFS('Étape 1 - à remplir'!$F$31:$F$400,'Étape 1 - à remplir'!$E$31:$E$400,MASQ2!BV361,'Étape 1 - à remplir'!$G$31:$G$400,"lots"),SUMIFS('Étape 1 - à remplir'!$F$31:$F$400,'Étape 1 - à remplir'!$E$31:$E$400,MASQ2!BV361,'Étape 1 - à remplir'!$C$31:$C$400,CE$3)),IF(CE$2="Âge",IF(CE$3="Tous",SUMIFS('Étape 1 - à remplir'!$F$31:$F$400,'Étape 1 - à remplir'!$E$31:$E$400,MASQ2!BV361,'Étape 1 - à remplir'!$G$31:$G$400,"lots"),SUMIFS('Étape 1 - à remplir'!$F$31:$F$400,'Étape 1 - à remplir'!$E$31:$E$400,MASQ2!BV361,'Étape 1 - à remplir'!$P$31:$P$400,CE$3,'Étape 1 - à remplir'!$G$31:$G$400,"lots")),IF(CE$2="Atelier",IF(CE$3="Tous",SUMIFS('Étape 1 - à remplir'!$F$31:$F$400,'Étape 1 - à remplir'!$E$31:$E$400,MASQ2!BV361,'Étape 1 - à remplir'!$G$31:$G$400,"lots"),SUMIFS('Étape 1 - à remplir'!$F$31:$F$400,'Étape 1 - à remplir'!$E$31:$E$400,MASQ2!BV361,'Étape 1 - à remplir'!$O$31:$O$400,CE$3,'Étape 1 - à remplir'!$G$31:$G$400,"lots")),IF(CE$2="Espèce",IF(CE$3="Toutes",SUMIFS('Étape 1 - à remplir'!$F$31:$F$400,'Étape 1 - à remplir'!$E$31:$E$400,MASQ2!BV361,'Étape 1 - à remplir'!$G$31:$G$400,"lots"),SUMIFS('Étape 1 - à remplir'!$F$31:$F$400,'Étape 1 - à remplir'!$E$31:$E$400,MASQ2!BV361,'Étape 1 - à remplir'!$N$31:$N$400,CE$3,'Étape 1 - à remplir'!$G$31:$G$400,"lots")))))))</f>
        <v>#N/A</v>
      </c>
      <c r="BX361">
        <f t="shared" si="258"/>
        <v>0</v>
      </c>
      <c r="BY361" t="str">
        <f t="shared" si="242"/>
        <v>Dihydrostreptomycine</v>
      </c>
      <c r="BZ361" t="str">
        <f t="shared" si="243"/>
        <v>Tétracycline</v>
      </c>
      <c r="CA361" t="str">
        <f t="shared" si="244"/>
        <v/>
      </c>
      <c r="CB361" t="str">
        <f t="shared" si="245"/>
        <v>Aminoglycosides</v>
      </c>
      <c r="CC361" t="str">
        <f t="shared" si="246"/>
        <v>Tetracyclines</v>
      </c>
      <c r="CD361" s="63" t="str">
        <f t="shared" si="247"/>
        <v/>
      </c>
      <c r="CG361" s="42">
        <v>358</v>
      </c>
      <c r="CH361" s="42" t="e">
        <f t="shared" si="263"/>
        <v>#N/A</v>
      </c>
      <c r="CI361" s="63" t="e">
        <f t="shared" si="264"/>
        <v>#N/A</v>
      </c>
      <c r="DM361" s="63"/>
      <c r="EA361" s="194" t="str">
        <f t="shared" ca="1" si="248"/>
        <v/>
      </c>
      <c r="EB361" s="226" t="str">
        <f>IFERROR(IF(ED361=0,"",COUNTIF(ED$4:ED$600,"&gt;"&amp;ED361)+COUNTIF(ED$4:ED361,ED361)),"")</f>
        <v/>
      </c>
      <c r="EC361" t="str">
        <f t="shared" si="249"/>
        <v>PANAFUGE</v>
      </c>
      <c r="ED361" t="e">
        <f>IF(IF(EL$2="Catégorie",IF(EL$3="Toutes",SUMIFS('Étape 1 - à remplir'!$F$31:$F$400,'Étape 1 - à remplir'!$E$31:$E$400,MASQ2!EC361,'Étape 1 - à remplir'!$G$31:$G$400,"kg"),SUMIFS('Étape 1 - à remplir'!$F$31:$F$400,'Étape 1 - à remplir'!$E$31:$E$400,MASQ2!EC361,'Étape 1 - à remplir'!$C$31:$C$400,EL$3)),IF(EL$2="Âge",IF(EL$3="Tous",SUMIFS('Étape 1 - à remplir'!$F$31:$F$400,'Étape 1 - à remplir'!$E$31:$E$400,MASQ2!EC361,'Étape 1 - à remplir'!$G$31:$G$400,"kg"),SUMIFS('Étape 1 - à remplir'!$F$31:$F$400,'Étape 1 - à remplir'!$E$31:$E$400,MASQ2!EC361,'Étape 1 - à remplir'!$P$31:$P$400,EL$3,'Étape 1 - à remplir'!$G$31:$G$400,"kg")),IF(EL$2="Atelier",IF(EL$3="Tous",SUMIFS('Étape 1 - à remplir'!$F$31:$F$400,'Étape 1 - à remplir'!$E$31:$E$400,MASQ2!EC361,'Étape 1 - à remplir'!$G$31:$G$400,"kg"),SUMIFS('Étape 1 - à remplir'!$F$31:$F$400,'Étape 1 - à remplir'!$E$31:$E$400,MASQ2!EC361,'Étape 1 - à remplir'!$O$31:$O$400,EL$3,'Étape 1 - à remplir'!$G$31:$G$400,"kg")),IF(EL$2="Espèce",IF(EL$3="Toutes",SUMIFS('Étape 1 - à remplir'!$F$31:$F$400,'Étape 1 - à remplir'!$E$31:$E$400,MASQ2!EC361,'Étape 1 - à remplir'!$G$31:$G$400,"kg"),SUMIFS('Étape 1 - à remplir'!$F$31:$F$400,'Étape 1 - à remplir'!$E$31:$E$400,MASQ2!EC361,'Étape 1 - à remplir'!$N$31:$N$400,EL$3,'Étape 1 - à remplir'!$G$31:$G$400,"kg"))))))=0,NA(),IF(EL$2="Catégorie",IF(EL$3="Toutes",SUMIFS('Étape 1 - à remplir'!$F$31:$F$400,'Étape 1 - à remplir'!$E$31:$E$400,MASQ2!EC361,'Étape 1 - à remplir'!$G$31:$G$400,"kg"),SUMIFS('Étape 1 - à remplir'!$F$31:$F$400,'Étape 1 - à remplir'!$E$31:$E$400,MASQ2!EC361,'Étape 1 - à remplir'!$C$31:$C$400,EL$3)),IF(EL$2="Âge",IF(EL$3="Tous",SUMIFS('Étape 1 - à remplir'!$F$31:$F$400,'Étape 1 - à remplir'!$E$31:$E$400,MASQ2!EC361,'Étape 1 - à remplir'!$G$31:$G$400,"kg"),SUMIFS('Étape 1 - à remplir'!$F$31:$F$400,'Étape 1 - à remplir'!$E$31:$E$400,MASQ2!EC361,'Étape 1 - à remplir'!$P$31:$P$400,EL$3,'Étape 1 - à remplir'!$G$31:$G$400,"kg")),IF(EL$2="Atelier",IF(EL$3="Tous",SUMIFS('Étape 1 - à remplir'!$F$31:$F$400,'Étape 1 - à remplir'!$E$31:$E$400,MASQ2!EC361,'Étape 1 - à remplir'!$G$31:$G$400,"kg"),SUMIFS('Étape 1 - à remplir'!$F$31:$F$400,'Étape 1 - à remplir'!$E$31:$E$400,MASQ2!EC361,'Étape 1 - à remplir'!$O$31:$O$400,EL$3,'Étape 1 - à remplir'!$G$31:$G$400,"kg")),IF(EL$2="Espèce",IF(EL$3="Toutes",SUMIFS('Étape 1 - à remplir'!$F$31:$F$400,'Étape 1 - à remplir'!$E$31:$E$400,MASQ2!EC361,'Étape 1 - à remplir'!$G$31:$G$400,"kg"),SUMIFS('Étape 1 - à remplir'!$F$31:$F$400,'Étape 1 - à remplir'!$E$31:$E$400,MASQ2!EC361,'Étape 1 - à remplir'!$N$31:$N$400,EL$3,'Étape 1 - à remplir'!$G$31:$G$400,"kg")))))))</f>
        <v>#N/A</v>
      </c>
      <c r="EE361" s="76">
        <f t="shared" si="259"/>
        <v>0</v>
      </c>
      <c r="EF361" t="str">
        <f t="shared" si="250"/>
        <v>Dihydrostreptomycine</v>
      </c>
      <c r="EG361" t="str">
        <f t="shared" si="251"/>
        <v>Tétracycline</v>
      </c>
      <c r="EH361" t="str">
        <f t="shared" si="252"/>
        <v/>
      </c>
      <c r="EI361" t="str">
        <f t="shared" si="253"/>
        <v>Aminoglycosides</v>
      </c>
      <c r="EJ361" t="str">
        <f t="shared" si="254"/>
        <v>Tetracyclines</v>
      </c>
      <c r="EK361" s="63" t="str">
        <f t="shared" si="255"/>
        <v/>
      </c>
      <c r="EN361" s="42">
        <v>358</v>
      </c>
      <c r="EO361" t="e">
        <f t="shared" si="261"/>
        <v>#N/A</v>
      </c>
      <c r="EP361" s="63" t="e">
        <f t="shared" si="262"/>
        <v>#N/A</v>
      </c>
      <c r="FT361" s="63"/>
    </row>
    <row r="362" spans="2:176" x14ac:dyDescent="0.3">
      <c r="B362" s="42"/>
      <c r="M362" s="194" t="str">
        <f ca="1">INDEX(Données_ATB!BD:BU,MATCH(MASQ2!O362,Données_ATB!BD:BD,0),18)</f>
        <v/>
      </c>
      <c r="N362" s="14" t="str">
        <f>IFERROR(IF(Q362=0,"",COUNTIF(Q$4:Q$600,"&gt;"&amp;Q362)+COUNTIF(Q$4:Q362,Q362)),"")</f>
        <v/>
      </c>
      <c r="O362" t="str">
        <f>Données_ATB!BD361</f>
        <v>PANGRAM 4 %</v>
      </c>
      <c r="P362" t="e">
        <f>IF(IF(X$2="Catégorie",IF(X$3="Toutes",SUMIFS('Étape 1 - à remplir'!$F$31:$F$400,'Étape 1 - à remplir'!$E$31:$E$400,MASQ2!O362,'Étape 1 - à remplir'!$G$31:$G$400,"animaux"),SUMIFS('Étape 1 - à remplir'!$F$31:$F$400,'Étape 1 - à remplir'!$E$31:$E$400,MASQ2!O362,'Étape 1 - à remplir'!$C$31:$C$400,X$3)),IF(X$2="Âge",IF(X$3="Tous",SUMIFS('Étape 1 - à remplir'!$F$31:$F$400,'Étape 1 - à remplir'!$E$31:$E$400,MASQ2!O362,'Étape 1 - à remplir'!$G$31:$G$400,"animaux"),SUMIFS('Étape 1 - à remplir'!$F$31:$F$400,'Étape 1 - à remplir'!$E$31:$E$400,MASQ2!O362,'Étape 1 - à remplir'!$P$31:$P$400,X$3)),IF(X$2="Atelier",IF(X$3="Tous",SUMIFS('Étape 1 - à remplir'!$F$31:$F$400,'Étape 1 - à remplir'!$E$31:$E$400,MASQ2!O362,'Étape 1 - à remplir'!$G$31:$G$400,"animaux"),SUMIFS('Étape 1 - à remplir'!$F$31:$F$400,'Étape 1 - à remplir'!$E$31:$E$400,MASQ2!O362,'Étape 1 - à remplir'!$O$31:$O$400,X$3)),IF(X$2="Espèce",IF(X$3="Toutes",SUMIFS('Étape 1 - à remplir'!$F$31:$F$400,'Étape 1 - à remplir'!$E$31:$E$400,MASQ2!O362,'Étape 1 - à remplir'!$G$31:$G$400,"animaux"),SUMIFS('Étape 1 - à remplir'!$F$31:$F$400,'Étape 1 - à remplir'!$E$31:$E$400,MASQ2!O362,'Étape 1 - à remplir'!$N$31:$N$400,X$3))))))=0,NA(),IF(X$2="Catégorie",IF(X$3="Toutes",SUMIFS('Étape 1 - à remplir'!$F$31:$F$400,'Étape 1 - à remplir'!$E$31:$E$400,MASQ2!O362,'Étape 1 - à remplir'!$G$31:$G$400,"animaux"),SUMIFS('Étape 1 - à remplir'!$F$31:$F$400,'Étape 1 - à remplir'!$E$31:$E$400,MASQ2!O362,'Étape 1 - à remplir'!$C$31:$C$400,X$3)),IF(X$2="Âge",IF(X$3="Tous",SUMIFS('Étape 1 - à remplir'!$F$31:$F$400,'Étape 1 - à remplir'!$E$31:$E$400,MASQ2!O362,'Étape 1 - à remplir'!$G$31:$G$400,"animaux"),SUMIFS('Étape 1 - à remplir'!$F$31:$F$400,'Étape 1 - à remplir'!$E$31:$E$400,MASQ2!O362,'Étape 1 - à remplir'!$P$31:$P$400,X$3)),IF(X$2="Atelier",IF(X$3="Tous",SUMIFS('Étape 1 - à remplir'!$F$31:$F$400,'Étape 1 - à remplir'!$E$31:$E$400,MASQ2!O362,'Étape 1 - à remplir'!$G$31:$G$400,"animaux"),SUMIFS('Étape 1 - à remplir'!$F$31:$F$400,'Étape 1 - à remplir'!$E$31:$E$400,MASQ2!O362,'Étape 1 - à remplir'!$O$31:$O$400,X$3)),IF(X$2="Espèce",IF(X$3="Toutes",SUMIFS('Étape 1 - à remplir'!$F$31:$F$400,'Étape 1 - à remplir'!$E$31:$E$400,MASQ2!O362,'Étape 1 - à remplir'!$G$31:$G$400,"animaux"),SUMIFS('Étape 1 - à remplir'!$F$31:$F$400,'Étape 1 - à remplir'!$E$31:$E$400,MASQ2!O362,'Étape 1 - à remplir'!$N$31:$N$400,X$3)))))))</f>
        <v>#N/A</v>
      </c>
      <c r="Q362" s="63">
        <f t="shared" si="260"/>
        <v>0</v>
      </c>
      <c r="R362" t="str">
        <f>Données_ATB!BM361</f>
        <v>Gentamicine</v>
      </c>
      <c r="S362" t="str">
        <f>Données_ATB!BN361</f>
        <v/>
      </c>
      <c r="T362" s="63" t="str">
        <f>Données_ATB!BO361</f>
        <v/>
      </c>
      <c r="U362" s="42" t="str">
        <f>Données_ATB!BQ361</f>
        <v>Aminoglycosides</v>
      </c>
      <c r="V362" t="str">
        <f>Données_ATB!BR361</f>
        <v/>
      </c>
      <c r="W362" s="63" t="str">
        <f>Données_ATB!BS361</f>
        <v/>
      </c>
      <c r="Z362" s="42">
        <v>359</v>
      </c>
      <c r="AA362" t="e">
        <f t="shared" si="256"/>
        <v>#N/A</v>
      </c>
      <c r="AB362" s="63" t="e">
        <f t="shared" si="257"/>
        <v>#N/A</v>
      </c>
      <c r="BF362" s="63"/>
      <c r="BT362" s="194" t="str">
        <f t="shared" ca="1" si="240"/>
        <v/>
      </c>
      <c r="BU362" s="219" t="str">
        <f>IFERROR(IF(BX362=0,"",COUNTIF(BX$4:BX$600,"&gt;"&amp;BX362)+COUNTIF(BX$4:BX362,BX362)),"")</f>
        <v/>
      </c>
      <c r="BV362" s="42" t="str">
        <f t="shared" si="241"/>
        <v>PANGRAM 4 %</v>
      </c>
      <c r="BW362" t="e">
        <f>IF(IF(CE$2="Catégorie",IF(CE$3="Toutes",SUMIFS('Étape 1 - à remplir'!$F$31:$F$400,'Étape 1 - à remplir'!$E$31:$E$400,MASQ2!BV362,'Étape 1 - à remplir'!$G$31:$G$400,"lots"),SUMIFS('Étape 1 - à remplir'!$F$31:$F$400,'Étape 1 - à remplir'!$E$31:$E$400,MASQ2!BV362,'Étape 1 - à remplir'!$C$31:$C$400,CE$3)),IF(CE$2="Âge",IF(CE$3="Tous",SUMIFS('Étape 1 - à remplir'!$F$31:$F$400,'Étape 1 - à remplir'!$E$31:$E$400,MASQ2!BV362,'Étape 1 - à remplir'!$G$31:$G$400,"lots"),SUMIFS('Étape 1 - à remplir'!$F$31:$F$400,'Étape 1 - à remplir'!$E$31:$E$400,MASQ2!BV362,'Étape 1 - à remplir'!$P$31:$P$400,CE$3,'Étape 1 - à remplir'!$G$31:$G$400,"lots")),IF(CE$2="Atelier",IF(CE$3="Tous",SUMIFS('Étape 1 - à remplir'!$F$31:$F$400,'Étape 1 - à remplir'!$E$31:$E$400,MASQ2!BV362,'Étape 1 - à remplir'!$G$31:$G$400,"lots"),SUMIFS('Étape 1 - à remplir'!$F$31:$F$400,'Étape 1 - à remplir'!$E$31:$E$400,MASQ2!BV362,'Étape 1 - à remplir'!$O$31:$O$400,CE$3,'Étape 1 - à remplir'!$G$31:$G$400,"lots")),IF(CE$2="Espèce",IF(CE$3="Toutes",SUMIFS('Étape 1 - à remplir'!$F$31:$F$400,'Étape 1 - à remplir'!$E$31:$E$400,MASQ2!BV362,'Étape 1 - à remplir'!$G$31:$G$400,"lots"),SUMIFS('Étape 1 - à remplir'!$F$31:$F$400,'Étape 1 - à remplir'!$E$31:$E$400,MASQ2!BV362,'Étape 1 - à remplir'!$N$31:$N$400,CE$3,'Étape 1 - à remplir'!$G$31:$G$400,"lots"))))))=0,NA(),IF(CE$2="Catégorie",IF(CE$3="Toutes",SUMIFS('Étape 1 - à remplir'!$F$31:$F$400,'Étape 1 - à remplir'!$E$31:$E$400,MASQ2!BV362,'Étape 1 - à remplir'!$G$31:$G$400,"lots"),SUMIFS('Étape 1 - à remplir'!$F$31:$F$400,'Étape 1 - à remplir'!$E$31:$E$400,MASQ2!BV362,'Étape 1 - à remplir'!$C$31:$C$400,CE$3)),IF(CE$2="Âge",IF(CE$3="Tous",SUMIFS('Étape 1 - à remplir'!$F$31:$F$400,'Étape 1 - à remplir'!$E$31:$E$400,MASQ2!BV362,'Étape 1 - à remplir'!$G$31:$G$400,"lots"),SUMIFS('Étape 1 - à remplir'!$F$31:$F$400,'Étape 1 - à remplir'!$E$31:$E$400,MASQ2!BV362,'Étape 1 - à remplir'!$P$31:$P$400,CE$3,'Étape 1 - à remplir'!$G$31:$G$400,"lots")),IF(CE$2="Atelier",IF(CE$3="Tous",SUMIFS('Étape 1 - à remplir'!$F$31:$F$400,'Étape 1 - à remplir'!$E$31:$E$400,MASQ2!BV362,'Étape 1 - à remplir'!$G$31:$G$400,"lots"),SUMIFS('Étape 1 - à remplir'!$F$31:$F$400,'Étape 1 - à remplir'!$E$31:$E$400,MASQ2!BV362,'Étape 1 - à remplir'!$O$31:$O$400,CE$3,'Étape 1 - à remplir'!$G$31:$G$400,"lots")),IF(CE$2="Espèce",IF(CE$3="Toutes",SUMIFS('Étape 1 - à remplir'!$F$31:$F$400,'Étape 1 - à remplir'!$E$31:$E$400,MASQ2!BV362,'Étape 1 - à remplir'!$G$31:$G$400,"lots"),SUMIFS('Étape 1 - à remplir'!$F$31:$F$400,'Étape 1 - à remplir'!$E$31:$E$400,MASQ2!BV362,'Étape 1 - à remplir'!$N$31:$N$400,CE$3,'Étape 1 - à remplir'!$G$31:$G$400,"lots")))))))</f>
        <v>#N/A</v>
      </c>
      <c r="BX362">
        <f t="shared" si="258"/>
        <v>0</v>
      </c>
      <c r="BY362" t="str">
        <f t="shared" si="242"/>
        <v>Gentamicine</v>
      </c>
      <c r="BZ362" t="str">
        <f t="shared" si="243"/>
        <v/>
      </c>
      <c r="CA362" t="str">
        <f t="shared" si="244"/>
        <v/>
      </c>
      <c r="CB362" t="str">
        <f t="shared" si="245"/>
        <v>Aminoglycosides</v>
      </c>
      <c r="CC362" t="str">
        <f t="shared" si="246"/>
        <v/>
      </c>
      <c r="CD362" s="63" t="str">
        <f t="shared" si="247"/>
        <v/>
      </c>
      <c r="CG362" s="42">
        <v>359</v>
      </c>
      <c r="CH362" s="42" t="e">
        <f t="shared" si="263"/>
        <v>#N/A</v>
      </c>
      <c r="CI362" s="63" t="e">
        <f t="shared" si="264"/>
        <v>#N/A</v>
      </c>
      <c r="DM362" s="63"/>
      <c r="EA362" s="194" t="str">
        <f t="shared" ca="1" si="248"/>
        <v/>
      </c>
      <c r="EB362" s="226" t="str">
        <f>IFERROR(IF(ED362=0,"",COUNTIF(ED$4:ED$600,"&gt;"&amp;ED362)+COUNTIF(ED$4:ED362,ED362)),"")</f>
        <v/>
      </c>
      <c r="EC362" t="str">
        <f t="shared" si="249"/>
        <v>PANGRAM 4 %</v>
      </c>
      <c r="ED362" t="e">
        <f>IF(IF(EL$2="Catégorie",IF(EL$3="Toutes",SUMIFS('Étape 1 - à remplir'!$F$31:$F$400,'Étape 1 - à remplir'!$E$31:$E$400,MASQ2!EC362,'Étape 1 - à remplir'!$G$31:$G$400,"kg"),SUMIFS('Étape 1 - à remplir'!$F$31:$F$400,'Étape 1 - à remplir'!$E$31:$E$400,MASQ2!EC362,'Étape 1 - à remplir'!$C$31:$C$400,EL$3)),IF(EL$2="Âge",IF(EL$3="Tous",SUMIFS('Étape 1 - à remplir'!$F$31:$F$400,'Étape 1 - à remplir'!$E$31:$E$400,MASQ2!EC362,'Étape 1 - à remplir'!$G$31:$G$400,"kg"),SUMIFS('Étape 1 - à remplir'!$F$31:$F$400,'Étape 1 - à remplir'!$E$31:$E$400,MASQ2!EC362,'Étape 1 - à remplir'!$P$31:$P$400,EL$3,'Étape 1 - à remplir'!$G$31:$G$400,"kg")),IF(EL$2="Atelier",IF(EL$3="Tous",SUMIFS('Étape 1 - à remplir'!$F$31:$F$400,'Étape 1 - à remplir'!$E$31:$E$400,MASQ2!EC362,'Étape 1 - à remplir'!$G$31:$G$400,"kg"),SUMIFS('Étape 1 - à remplir'!$F$31:$F$400,'Étape 1 - à remplir'!$E$31:$E$400,MASQ2!EC362,'Étape 1 - à remplir'!$O$31:$O$400,EL$3,'Étape 1 - à remplir'!$G$31:$G$400,"kg")),IF(EL$2="Espèce",IF(EL$3="Toutes",SUMIFS('Étape 1 - à remplir'!$F$31:$F$400,'Étape 1 - à remplir'!$E$31:$E$400,MASQ2!EC362,'Étape 1 - à remplir'!$G$31:$G$400,"kg"),SUMIFS('Étape 1 - à remplir'!$F$31:$F$400,'Étape 1 - à remplir'!$E$31:$E$400,MASQ2!EC362,'Étape 1 - à remplir'!$N$31:$N$400,EL$3,'Étape 1 - à remplir'!$G$31:$G$400,"kg"))))))=0,NA(),IF(EL$2="Catégorie",IF(EL$3="Toutes",SUMIFS('Étape 1 - à remplir'!$F$31:$F$400,'Étape 1 - à remplir'!$E$31:$E$400,MASQ2!EC362,'Étape 1 - à remplir'!$G$31:$G$400,"kg"),SUMIFS('Étape 1 - à remplir'!$F$31:$F$400,'Étape 1 - à remplir'!$E$31:$E$400,MASQ2!EC362,'Étape 1 - à remplir'!$C$31:$C$400,EL$3)),IF(EL$2="Âge",IF(EL$3="Tous",SUMIFS('Étape 1 - à remplir'!$F$31:$F$400,'Étape 1 - à remplir'!$E$31:$E$400,MASQ2!EC362,'Étape 1 - à remplir'!$G$31:$G$400,"kg"),SUMIFS('Étape 1 - à remplir'!$F$31:$F$400,'Étape 1 - à remplir'!$E$31:$E$400,MASQ2!EC362,'Étape 1 - à remplir'!$P$31:$P$400,EL$3,'Étape 1 - à remplir'!$G$31:$G$400,"kg")),IF(EL$2="Atelier",IF(EL$3="Tous",SUMIFS('Étape 1 - à remplir'!$F$31:$F$400,'Étape 1 - à remplir'!$E$31:$E$400,MASQ2!EC362,'Étape 1 - à remplir'!$G$31:$G$400,"kg"),SUMIFS('Étape 1 - à remplir'!$F$31:$F$400,'Étape 1 - à remplir'!$E$31:$E$400,MASQ2!EC362,'Étape 1 - à remplir'!$O$31:$O$400,EL$3,'Étape 1 - à remplir'!$G$31:$G$400,"kg")),IF(EL$2="Espèce",IF(EL$3="Toutes",SUMIFS('Étape 1 - à remplir'!$F$31:$F$400,'Étape 1 - à remplir'!$E$31:$E$400,MASQ2!EC362,'Étape 1 - à remplir'!$G$31:$G$400,"kg"),SUMIFS('Étape 1 - à remplir'!$F$31:$F$400,'Étape 1 - à remplir'!$E$31:$E$400,MASQ2!EC362,'Étape 1 - à remplir'!$N$31:$N$400,EL$3,'Étape 1 - à remplir'!$G$31:$G$400,"kg")))))))</f>
        <v>#N/A</v>
      </c>
      <c r="EE362" s="76">
        <f t="shared" si="259"/>
        <v>0</v>
      </c>
      <c r="EF362" t="str">
        <f t="shared" si="250"/>
        <v>Gentamicine</v>
      </c>
      <c r="EG362" t="str">
        <f t="shared" si="251"/>
        <v/>
      </c>
      <c r="EH362" t="str">
        <f t="shared" si="252"/>
        <v/>
      </c>
      <c r="EI362" t="str">
        <f t="shared" si="253"/>
        <v>Aminoglycosides</v>
      </c>
      <c r="EJ362" t="str">
        <f t="shared" si="254"/>
        <v/>
      </c>
      <c r="EK362" s="63" t="str">
        <f t="shared" si="255"/>
        <v/>
      </c>
      <c r="EN362" s="42">
        <v>359</v>
      </c>
      <c r="EO362" t="e">
        <f t="shared" si="261"/>
        <v>#N/A</v>
      </c>
      <c r="EP362" s="63" t="e">
        <f t="shared" si="262"/>
        <v>#N/A</v>
      </c>
      <c r="FT362" s="63"/>
    </row>
    <row r="363" spans="2:176" x14ac:dyDescent="0.3">
      <c r="B363" s="42"/>
      <c r="M363" s="194" t="str">
        <f ca="1">INDEX(Données_ATB!BD:BU,MATCH(MASQ2!O363,Données_ATB!BD:BD,0),18)</f>
        <v/>
      </c>
      <c r="N363" s="14" t="str">
        <f>IFERROR(IF(Q363=0,"",COUNTIF(Q$4:Q$600,"&gt;"&amp;Q363)+COUNTIF(Q$4:Q363,Q363)),"")</f>
        <v/>
      </c>
      <c r="O363" t="str">
        <f>Données_ATB!BD362</f>
        <v>PAROFOR 140 MG/ML SOLUTION POUR ADMINISTRATION DANS L'EAU DE BOISSON LE LAIT OU L'ALIMENT D'ALLAITEMENT POUR BOVINS PRERUMINANTS ET PORCS</v>
      </c>
      <c r="P363" t="e">
        <f>IF(IF(X$2="Catégorie",IF(X$3="Toutes",SUMIFS('Étape 1 - à remplir'!$F$31:$F$400,'Étape 1 - à remplir'!$E$31:$E$400,MASQ2!O363,'Étape 1 - à remplir'!$G$31:$G$400,"animaux"),SUMIFS('Étape 1 - à remplir'!$F$31:$F$400,'Étape 1 - à remplir'!$E$31:$E$400,MASQ2!O363,'Étape 1 - à remplir'!$C$31:$C$400,X$3)),IF(X$2="Âge",IF(X$3="Tous",SUMIFS('Étape 1 - à remplir'!$F$31:$F$400,'Étape 1 - à remplir'!$E$31:$E$400,MASQ2!O363,'Étape 1 - à remplir'!$G$31:$G$400,"animaux"),SUMIFS('Étape 1 - à remplir'!$F$31:$F$400,'Étape 1 - à remplir'!$E$31:$E$400,MASQ2!O363,'Étape 1 - à remplir'!$P$31:$P$400,X$3)),IF(X$2="Atelier",IF(X$3="Tous",SUMIFS('Étape 1 - à remplir'!$F$31:$F$400,'Étape 1 - à remplir'!$E$31:$E$400,MASQ2!O363,'Étape 1 - à remplir'!$G$31:$G$400,"animaux"),SUMIFS('Étape 1 - à remplir'!$F$31:$F$400,'Étape 1 - à remplir'!$E$31:$E$400,MASQ2!O363,'Étape 1 - à remplir'!$O$31:$O$400,X$3)),IF(X$2="Espèce",IF(X$3="Toutes",SUMIFS('Étape 1 - à remplir'!$F$31:$F$400,'Étape 1 - à remplir'!$E$31:$E$400,MASQ2!O363,'Étape 1 - à remplir'!$G$31:$G$400,"animaux"),SUMIFS('Étape 1 - à remplir'!$F$31:$F$400,'Étape 1 - à remplir'!$E$31:$E$400,MASQ2!O363,'Étape 1 - à remplir'!$N$31:$N$400,X$3))))))=0,NA(),IF(X$2="Catégorie",IF(X$3="Toutes",SUMIFS('Étape 1 - à remplir'!$F$31:$F$400,'Étape 1 - à remplir'!$E$31:$E$400,MASQ2!O363,'Étape 1 - à remplir'!$G$31:$G$400,"animaux"),SUMIFS('Étape 1 - à remplir'!$F$31:$F$400,'Étape 1 - à remplir'!$E$31:$E$400,MASQ2!O363,'Étape 1 - à remplir'!$C$31:$C$400,X$3)),IF(X$2="Âge",IF(X$3="Tous",SUMIFS('Étape 1 - à remplir'!$F$31:$F$400,'Étape 1 - à remplir'!$E$31:$E$400,MASQ2!O363,'Étape 1 - à remplir'!$G$31:$G$400,"animaux"),SUMIFS('Étape 1 - à remplir'!$F$31:$F$400,'Étape 1 - à remplir'!$E$31:$E$400,MASQ2!O363,'Étape 1 - à remplir'!$P$31:$P$400,X$3)),IF(X$2="Atelier",IF(X$3="Tous",SUMIFS('Étape 1 - à remplir'!$F$31:$F$400,'Étape 1 - à remplir'!$E$31:$E$400,MASQ2!O363,'Étape 1 - à remplir'!$G$31:$G$400,"animaux"),SUMIFS('Étape 1 - à remplir'!$F$31:$F$400,'Étape 1 - à remplir'!$E$31:$E$400,MASQ2!O363,'Étape 1 - à remplir'!$O$31:$O$400,X$3)),IF(X$2="Espèce",IF(X$3="Toutes",SUMIFS('Étape 1 - à remplir'!$F$31:$F$400,'Étape 1 - à remplir'!$E$31:$E$400,MASQ2!O363,'Étape 1 - à remplir'!$G$31:$G$400,"animaux"),SUMIFS('Étape 1 - à remplir'!$F$31:$F$400,'Étape 1 - à remplir'!$E$31:$E$400,MASQ2!O363,'Étape 1 - à remplir'!$N$31:$N$400,X$3)))))))</f>
        <v>#N/A</v>
      </c>
      <c r="Q363" s="63">
        <f t="shared" si="260"/>
        <v>0</v>
      </c>
      <c r="R363" t="str">
        <f>Données_ATB!BM362</f>
        <v/>
      </c>
      <c r="S363" t="str">
        <f>Données_ATB!BN362</f>
        <v/>
      </c>
      <c r="T363" s="63" t="str">
        <f>Données_ATB!BO362</f>
        <v/>
      </c>
      <c r="U363" s="42" t="str">
        <f>Données_ATB!BQ362</f>
        <v>Aminoglycosides</v>
      </c>
      <c r="V363" t="str">
        <f>Données_ATB!BR362</f>
        <v/>
      </c>
      <c r="W363" s="63" t="str">
        <f>Données_ATB!BS362</f>
        <v/>
      </c>
      <c r="Z363" s="42">
        <v>360</v>
      </c>
      <c r="AA363" t="e">
        <f t="shared" si="256"/>
        <v>#N/A</v>
      </c>
      <c r="AB363" s="63" t="e">
        <f t="shared" si="257"/>
        <v>#N/A</v>
      </c>
      <c r="BF363" s="63"/>
      <c r="BT363" s="194" t="str">
        <f t="shared" ca="1" si="240"/>
        <v/>
      </c>
      <c r="BU363" s="219" t="str">
        <f>IFERROR(IF(BX363=0,"",COUNTIF(BX$4:BX$600,"&gt;"&amp;BX363)+COUNTIF(BX$4:BX363,BX363)),"")</f>
        <v/>
      </c>
      <c r="BV363" s="42" t="str">
        <f t="shared" si="241"/>
        <v>PAROFOR 140 MG/ML SOLUTION POUR ADMINISTRATION DANS L'EAU DE BOISSON LE LAIT OU L'ALIMENT D'ALLAITEMENT POUR BOVINS PRERUMINANTS ET PORCS</v>
      </c>
      <c r="BW363" t="e">
        <f>IF(IF(CE$2="Catégorie",IF(CE$3="Toutes",SUMIFS('Étape 1 - à remplir'!$F$31:$F$400,'Étape 1 - à remplir'!$E$31:$E$400,MASQ2!BV363,'Étape 1 - à remplir'!$G$31:$G$400,"lots"),SUMIFS('Étape 1 - à remplir'!$F$31:$F$400,'Étape 1 - à remplir'!$E$31:$E$400,MASQ2!BV363,'Étape 1 - à remplir'!$C$31:$C$400,CE$3)),IF(CE$2="Âge",IF(CE$3="Tous",SUMIFS('Étape 1 - à remplir'!$F$31:$F$400,'Étape 1 - à remplir'!$E$31:$E$400,MASQ2!BV363,'Étape 1 - à remplir'!$G$31:$G$400,"lots"),SUMIFS('Étape 1 - à remplir'!$F$31:$F$400,'Étape 1 - à remplir'!$E$31:$E$400,MASQ2!BV363,'Étape 1 - à remplir'!$P$31:$P$400,CE$3,'Étape 1 - à remplir'!$G$31:$G$400,"lots")),IF(CE$2="Atelier",IF(CE$3="Tous",SUMIFS('Étape 1 - à remplir'!$F$31:$F$400,'Étape 1 - à remplir'!$E$31:$E$400,MASQ2!BV363,'Étape 1 - à remplir'!$G$31:$G$400,"lots"),SUMIFS('Étape 1 - à remplir'!$F$31:$F$400,'Étape 1 - à remplir'!$E$31:$E$400,MASQ2!BV363,'Étape 1 - à remplir'!$O$31:$O$400,CE$3,'Étape 1 - à remplir'!$G$31:$G$400,"lots")),IF(CE$2="Espèce",IF(CE$3="Toutes",SUMIFS('Étape 1 - à remplir'!$F$31:$F$400,'Étape 1 - à remplir'!$E$31:$E$400,MASQ2!BV363,'Étape 1 - à remplir'!$G$31:$G$400,"lots"),SUMIFS('Étape 1 - à remplir'!$F$31:$F$400,'Étape 1 - à remplir'!$E$31:$E$400,MASQ2!BV363,'Étape 1 - à remplir'!$N$31:$N$400,CE$3,'Étape 1 - à remplir'!$G$31:$G$400,"lots"))))))=0,NA(),IF(CE$2="Catégorie",IF(CE$3="Toutes",SUMIFS('Étape 1 - à remplir'!$F$31:$F$400,'Étape 1 - à remplir'!$E$31:$E$400,MASQ2!BV363,'Étape 1 - à remplir'!$G$31:$G$400,"lots"),SUMIFS('Étape 1 - à remplir'!$F$31:$F$400,'Étape 1 - à remplir'!$E$31:$E$400,MASQ2!BV363,'Étape 1 - à remplir'!$C$31:$C$400,CE$3)),IF(CE$2="Âge",IF(CE$3="Tous",SUMIFS('Étape 1 - à remplir'!$F$31:$F$400,'Étape 1 - à remplir'!$E$31:$E$400,MASQ2!BV363,'Étape 1 - à remplir'!$G$31:$G$400,"lots"),SUMIFS('Étape 1 - à remplir'!$F$31:$F$400,'Étape 1 - à remplir'!$E$31:$E$400,MASQ2!BV363,'Étape 1 - à remplir'!$P$31:$P$400,CE$3,'Étape 1 - à remplir'!$G$31:$G$400,"lots")),IF(CE$2="Atelier",IF(CE$3="Tous",SUMIFS('Étape 1 - à remplir'!$F$31:$F$400,'Étape 1 - à remplir'!$E$31:$E$400,MASQ2!BV363,'Étape 1 - à remplir'!$G$31:$G$400,"lots"),SUMIFS('Étape 1 - à remplir'!$F$31:$F$400,'Étape 1 - à remplir'!$E$31:$E$400,MASQ2!BV363,'Étape 1 - à remplir'!$O$31:$O$400,CE$3,'Étape 1 - à remplir'!$G$31:$G$400,"lots")),IF(CE$2="Espèce",IF(CE$3="Toutes",SUMIFS('Étape 1 - à remplir'!$F$31:$F$400,'Étape 1 - à remplir'!$E$31:$E$400,MASQ2!BV363,'Étape 1 - à remplir'!$G$31:$G$400,"lots"),SUMIFS('Étape 1 - à remplir'!$F$31:$F$400,'Étape 1 - à remplir'!$E$31:$E$400,MASQ2!BV363,'Étape 1 - à remplir'!$N$31:$N$400,CE$3,'Étape 1 - à remplir'!$G$31:$G$400,"lots")))))))</f>
        <v>#N/A</v>
      </c>
      <c r="BX363">
        <f t="shared" si="258"/>
        <v>0</v>
      </c>
      <c r="BY363" t="str">
        <f t="shared" si="242"/>
        <v/>
      </c>
      <c r="BZ363" t="str">
        <f t="shared" si="243"/>
        <v/>
      </c>
      <c r="CA363" t="str">
        <f t="shared" si="244"/>
        <v/>
      </c>
      <c r="CB363" t="str">
        <f t="shared" si="245"/>
        <v>Aminoglycosides</v>
      </c>
      <c r="CC363" t="str">
        <f t="shared" si="246"/>
        <v/>
      </c>
      <c r="CD363" s="63" t="str">
        <f t="shared" si="247"/>
        <v/>
      </c>
      <c r="CG363" s="42">
        <v>360</v>
      </c>
      <c r="CH363" s="42" t="e">
        <f t="shared" si="263"/>
        <v>#N/A</v>
      </c>
      <c r="CI363" s="63" t="e">
        <f t="shared" si="264"/>
        <v>#N/A</v>
      </c>
      <c r="DM363" s="63"/>
      <c r="EA363" s="194" t="str">
        <f t="shared" ca="1" si="248"/>
        <v/>
      </c>
      <c r="EB363" s="226" t="str">
        <f>IFERROR(IF(ED363=0,"",COUNTIF(ED$4:ED$600,"&gt;"&amp;ED363)+COUNTIF(ED$4:ED363,ED363)),"")</f>
        <v/>
      </c>
      <c r="EC363" t="str">
        <f t="shared" si="249"/>
        <v>PAROFOR 140 MG/ML SOLUTION POUR ADMINISTRATION DANS L'EAU DE BOISSON LE LAIT OU L'ALIMENT D'ALLAITEMENT POUR BOVINS PRERUMINANTS ET PORCS</v>
      </c>
      <c r="ED363" t="e">
        <f>IF(IF(EL$2="Catégorie",IF(EL$3="Toutes",SUMIFS('Étape 1 - à remplir'!$F$31:$F$400,'Étape 1 - à remplir'!$E$31:$E$400,MASQ2!EC363,'Étape 1 - à remplir'!$G$31:$G$400,"kg"),SUMIFS('Étape 1 - à remplir'!$F$31:$F$400,'Étape 1 - à remplir'!$E$31:$E$400,MASQ2!EC363,'Étape 1 - à remplir'!$C$31:$C$400,EL$3)),IF(EL$2="Âge",IF(EL$3="Tous",SUMIFS('Étape 1 - à remplir'!$F$31:$F$400,'Étape 1 - à remplir'!$E$31:$E$400,MASQ2!EC363,'Étape 1 - à remplir'!$G$31:$G$400,"kg"),SUMIFS('Étape 1 - à remplir'!$F$31:$F$400,'Étape 1 - à remplir'!$E$31:$E$400,MASQ2!EC363,'Étape 1 - à remplir'!$P$31:$P$400,EL$3,'Étape 1 - à remplir'!$G$31:$G$400,"kg")),IF(EL$2="Atelier",IF(EL$3="Tous",SUMIFS('Étape 1 - à remplir'!$F$31:$F$400,'Étape 1 - à remplir'!$E$31:$E$400,MASQ2!EC363,'Étape 1 - à remplir'!$G$31:$G$400,"kg"),SUMIFS('Étape 1 - à remplir'!$F$31:$F$400,'Étape 1 - à remplir'!$E$31:$E$400,MASQ2!EC363,'Étape 1 - à remplir'!$O$31:$O$400,EL$3,'Étape 1 - à remplir'!$G$31:$G$400,"kg")),IF(EL$2="Espèce",IF(EL$3="Toutes",SUMIFS('Étape 1 - à remplir'!$F$31:$F$400,'Étape 1 - à remplir'!$E$31:$E$400,MASQ2!EC363,'Étape 1 - à remplir'!$G$31:$G$400,"kg"),SUMIFS('Étape 1 - à remplir'!$F$31:$F$400,'Étape 1 - à remplir'!$E$31:$E$400,MASQ2!EC363,'Étape 1 - à remplir'!$N$31:$N$400,EL$3,'Étape 1 - à remplir'!$G$31:$G$400,"kg"))))))=0,NA(),IF(EL$2="Catégorie",IF(EL$3="Toutes",SUMIFS('Étape 1 - à remplir'!$F$31:$F$400,'Étape 1 - à remplir'!$E$31:$E$400,MASQ2!EC363,'Étape 1 - à remplir'!$G$31:$G$400,"kg"),SUMIFS('Étape 1 - à remplir'!$F$31:$F$400,'Étape 1 - à remplir'!$E$31:$E$400,MASQ2!EC363,'Étape 1 - à remplir'!$C$31:$C$400,EL$3)),IF(EL$2="Âge",IF(EL$3="Tous",SUMIFS('Étape 1 - à remplir'!$F$31:$F$400,'Étape 1 - à remplir'!$E$31:$E$400,MASQ2!EC363,'Étape 1 - à remplir'!$G$31:$G$400,"kg"),SUMIFS('Étape 1 - à remplir'!$F$31:$F$400,'Étape 1 - à remplir'!$E$31:$E$400,MASQ2!EC363,'Étape 1 - à remplir'!$P$31:$P$400,EL$3,'Étape 1 - à remplir'!$G$31:$G$400,"kg")),IF(EL$2="Atelier",IF(EL$3="Tous",SUMIFS('Étape 1 - à remplir'!$F$31:$F$400,'Étape 1 - à remplir'!$E$31:$E$400,MASQ2!EC363,'Étape 1 - à remplir'!$G$31:$G$400,"kg"),SUMIFS('Étape 1 - à remplir'!$F$31:$F$400,'Étape 1 - à remplir'!$E$31:$E$400,MASQ2!EC363,'Étape 1 - à remplir'!$O$31:$O$400,EL$3,'Étape 1 - à remplir'!$G$31:$G$400,"kg")),IF(EL$2="Espèce",IF(EL$3="Toutes",SUMIFS('Étape 1 - à remplir'!$F$31:$F$400,'Étape 1 - à remplir'!$E$31:$E$400,MASQ2!EC363,'Étape 1 - à remplir'!$G$31:$G$400,"kg"),SUMIFS('Étape 1 - à remplir'!$F$31:$F$400,'Étape 1 - à remplir'!$E$31:$E$400,MASQ2!EC363,'Étape 1 - à remplir'!$N$31:$N$400,EL$3,'Étape 1 - à remplir'!$G$31:$G$400,"kg")))))))</f>
        <v>#N/A</v>
      </c>
      <c r="EE363" s="76">
        <f t="shared" si="259"/>
        <v>0</v>
      </c>
      <c r="EF363" t="str">
        <f t="shared" si="250"/>
        <v/>
      </c>
      <c r="EG363" t="str">
        <f t="shared" si="251"/>
        <v/>
      </c>
      <c r="EH363" t="str">
        <f t="shared" si="252"/>
        <v/>
      </c>
      <c r="EI363" t="str">
        <f t="shared" si="253"/>
        <v>Aminoglycosides</v>
      </c>
      <c r="EJ363" t="str">
        <f t="shared" si="254"/>
        <v/>
      </c>
      <c r="EK363" s="63" t="str">
        <f t="shared" si="255"/>
        <v/>
      </c>
      <c r="EN363" s="42">
        <v>360</v>
      </c>
      <c r="EO363" t="e">
        <f t="shared" si="261"/>
        <v>#N/A</v>
      </c>
      <c r="EP363" s="63" t="e">
        <f t="shared" si="262"/>
        <v>#N/A</v>
      </c>
      <c r="FT363" s="63"/>
    </row>
    <row r="364" spans="2:176" x14ac:dyDescent="0.3">
      <c r="B364" s="42"/>
      <c r="M364" s="194" t="str">
        <f ca="1">INDEX(Données_ATB!BD:BU,MATCH(MASQ2!O364,Données_ATB!BD:BD,0),18)</f>
        <v/>
      </c>
      <c r="N364" s="14" t="str">
        <f>IFERROR(IF(Q364=0,"",COUNTIF(Q$4:Q$600,"&gt;"&amp;Q364)+COUNTIF(Q$4:Q364,Q364)),"")</f>
        <v/>
      </c>
      <c r="O364" t="str">
        <f>Données_ATB!BD363</f>
        <v>PAROFOR 70000 UI/G POUDRE POUR ADMINISTRATION DANS L'EAU DE BOISSON LE LAIT OU L'ALIMENT D'ALLAITEMENT POUR BOVINS PRERUMINANTS ET PORCS</v>
      </c>
      <c r="P364" t="e">
        <f>IF(IF(X$2="Catégorie",IF(X$3="Toutes",SUMIFS('Étape 1 - à remplir'!$F$31:$F$400,'Étape 1 - à remplir'!$E$31:$E$400,MASQ2!O364,'Étape 1 - à remplir'!$G$31:$G$400,"animaux"),SUMIFS('Étape 1 - à remplir'!$F$31:$F$400,'Étape 1 - à remplir'!$E$31:$E$400,MASQ2!O364,'Étape 1 - à remplir'!$C$31:$C$400,X$3)),IF(X$2="Âge",IF(X$3="Tous",SUMIFS('Étape 1 - à remplir'!$F$31:$F$400,'Étape 1 - à remplir'!$E$31:$E$400,MASQ2!O364,'Étape 1 - à remplir'!$G$31:$G$400,"animaux"),SUMIFS('Étape 1 - à remplir'!$F$31:$F$400,'Étape 1 - à remplir'!$E$31:$E$400,MASQ2!O364,'Étape 1 - à remplir'!$P$31:$P$400,X$3)),IF(X$2="Atelier",IF(X$3="Tous",SUMIFS('Étape 1 - à remplir'!$F$31:$F$400,'Étape 1 - à remplir'!$E$31:$E$400,MASQ2!O364,'Étape 1 - à remplir'!$G$31:$G$400,"animaux"),SUMIFS('Étape 1 - à remplir'!$F$31:$F$400,'Étape 1 - à remplir'!$E$31:$E$400,MASQ2!O364,'Étape 1 - à remplir'!$O$31:$O$400,X$3)),IF(X$2="Espèce",IF(X$3="Toutes",SUMIFS('Étape 1 - à remplir'!$F$31:$F$400,'Étape 1 - à remplir'!$E$31:$E$400,MASQ2!O364,'Étape 1 - à remplir'!$G$31:$G$400,"animaux"),SUMIFS('Étape 1 - à remplir'!$F$31:$F$400,'Étape 1 - à remplir'!$E$31:$E$400,MASQ2!O364,'Étape 1 - à remplir'!$N$31:$N$400,X$3))))))=0,NA(),IF(X$2="Catégorie",IF(X$3="Toutes",SUMIFS('Étape 1 - à remplir'!$F$31:$F$400,'Étape 1 - à remplir'!$E$31:$E$400,MASQ2!O364,'Étape 1 - à remplir'!$G$31:$G$400,"animaux"),SUMIFS('Étape 1 - à remplir'!$F$31:$F$400,'Étape 1 - à remplir'!$E$31:$E$400,MASQ2!O364,'Étape 1 - à remplir'!$C$31:$C$400,X$3)),IF(X$2="Âge",IF(X$3="Tous",SUMIFS('Étape 1 - à remplir'!$F$31:$F$400,'Étape 1 - à remplir'!$E$31:$E$400,MASQ2!O364,'Étape 1 - à remplir'!$G$31:$G$400,"animaux"),SUMIFS('Étape 1 - à remplir'!$F$31:$F$400,'Étape 1 - à remplir'!$E$31:$E$400,MASQ2!O364,'Étape 1 - à remplir'!$P$31:$P$400,X$3)),IF(X$2="Atelier",IF(X$3="Tous",SUMIFS('Étape 1 - à remplir'!$F$31:$F$400,'Étape 1 - à remplir'!$E$31:$E$400,MASQ2!O364,'Étape 1 - à remplir'!$G$31:$G$400,"animaux"),SUMIFS('Étape 1 - à remplir'!$F$31:$F$400,'Étape 1 - à remplir'!$E$31:$E$400,MASQ2!O364,'Étape 1 - à remplir'!$O$31:$O$400,X$3)),IF(X$2="Espèce",IF(X$3="Toutes",SUMIFS('Étape 1 - à remplir'!$F$31:$F$400,'Étape 1 - à remplir'!$E$31:$E$400,MASQ2!O364,'Étape 1 - à remplir'!$G$31:$G$400,"animaux"),SUMIFS('Étape 1 - à remplir'!$F$31:$F$400,'Étape 1 - à remplir'!$E$31:$E$400,MASQ2!O364,'Étape 1 - à remplir'!$N$31:$N$400,X$3)))))))</f>
        <v>#N/A</v>
      </c>
      <c r="Q364" s="63">
        <f t="shared" si="260"/>
        <v>0</v>
      </c>
      <c r="R364" t="str">
        <f>Données_ATB!BM363</f>
        <v/>
      </c>
      <c r="S364" t="str">
        <f>Données_ATB!BN363</f>
        <v/>
      </c>
      <c r="T364" s="63" t="str">
        <f>Données_ATB!BO363</f>
        <v/>
      </c>
      <c r="U364" s="42" t="str">
        <f>Données_ATB!BQ363</f>
        <v>Aminoglycosides</v>
      </c>
      <c r="V364" t="str">
        <f>Données_ATB!BR363</f>
        <v/>
      </c>
      <c r="W364" s="63" t="str">
        <f>Données_ATB!BS363</f>
        <v/>
      </c>
      <c r="Z364" s="42">
        <v>361</v>
      </c>
      <c r="AA364" t="e">
        <f t="shared" si="256"/>
        <v>#N/A</v>
      </c>
      <c r="AB364" s="63" t="e">
        <f t="shared" si="257"/>
        <v>#N/A</v>
      </c>
      <c r="BF364" s="63"/>
      <c r="BT364" s="194" t="str">
        <f t="shared" ca="1" si="240"/>
        <v/>
      </c>
      <c r="BU364" s="219" t="str">
        <f>IFERROR(IF(BX364=0,"",COUNTIF(BX$4:BX$600,"&gt;"&amp;BX364)+COUNTIF(BX$4:BX364,BX364)),"")</f>
        <v/>
      </c>
      <c r="BV364" s="42" t="str">
        <f t="shared" si="241"/>
        <v>PAROFOR 70000 UI/G POUDRE POUR ADMINISTRATION DANS L'EAU DE BOISSON LE LAIT OU L'ALIMENT D'ALLAITEMENT POUR BOVINS PRERUMINANTS ET PORCS</v>
      </c>
      <c r="BW364" t="e">
        <f>IF(IF(CE$2="Catégorie",IF(CE$3="Toutes",SUMIFS('Étape 1 - à remplir'!$F$31:$F$400,'Étape 1 - à remplir'!$E$31:$E$400,MASQ2!BV364,'Étape 1 - à remplir'!$G$31:$G$400,"lots"),SUMIFS('Étape 1 - à remplir'!$F$31:$F$400,'Étape 1 - à remplir'!$E$31:$E$400,MASQ2!BV364,'Étape 1 - à remplir'!$C$31:$C$400,CE$3)),IF(CE$2="Âge",IF(CE$3="Tous",SUMIFS('Étape 1 - à remplir'!$F$31:$F$400,'Étape 1 - à remplir'!$E$31:$E$400,MASQ2!BV364,'Étape 1 - à remplir'!$G$31:$G$400,"lots"),SUMIFS('Étape 1 - à remplir'!$F$31:$F$400,'Étape 1 - à remplir'!$E$31:$E$400,MASQ2!BV364,'Étape 1 - à remplir'!$P$31:$P$400,CE$3,'Étape 1 - à remplir'!$G$31:$G$400,"lots")),IF(CE$2="Atelier",IF(CE$3="Tous",SUMIFS('Étape 1 - à remplir'!$F$31:$F$400,'Étape 1 - à remplir'!$E$31:$E$400,MASQ2!BV364,'Étape 1 - à remplir'!$G$31:$G$400,"lots"),SUMIFS('Étape 1 - à remplir'!$F$31:$F$400,'Étape 1 - à remplir'!$E$31:$E$400,MASQ2!BV364,'Étape 1 - à remplir'!$O$31:$O$400,CE$3,'Étape 1 - à remplir'!$G$31:$G$400,"lots")),IF(CE$2="Espèce",IF(CE$3="Toutes",SUMIFS('Étape 1 - à remplir'!$F$31:$F$400,'Étape 1 - à remplir'!$E$31:$E$400,MASQ2!BV364,'Étape 1 - à remplir'!$G$31:$G$400,"lots"),SUMIFS('Étape 1 - à remplir'!$F$31:$F$400,'Étape 1 - à remplir'!$E$31:$E$400,MASQ2!BV364,'Étape 1 - à remplir'!$N$31:$N$400,CE$3,'Étape 1 - à remplir'!$G$31:$G$400,"lots"))))))=0,NA(),IF(CE$2="Catégorie",IF(CE$3="Toutes",SUMIFS('Étape 1 - à remplir'!$F$31:$F$400,'Étape 1 - à remplir'!$E$31:$E$400,MASQ2!BV364,'Étape 1 - à remplir'!$G$31:$G$400,"lots"),SUMIFS('Étape 1 - à remplir'!$F$31:$F$400,'Étape 1 - à remplir'!$E$31:$E$400,MASQ2!BV364,'Étape 1 - à remplir'!$C$31:$C$400,CE$3)),IF(CE$2="Âge",IF(CE$3="Tous",SUMIFS('Étape 1 - à remplir'!$F$31:$F$400,'Étape 1 - à remplir'!$E$31:$E$400,MASQ2!BV364,'Étape 1 - à remplir'!$G$31:$G$400,"lots"),SUMIFS('Étape 1 - à remplir'!$F$31:$F$400,'Étape 1 - à remplir'!$E$31:$E$400,MASQ2!BV364,'Étape 1 - à remplir'!$P$31:$P$400,CE$3,'Étape 1 - à remplir'!$G$31:$G$400,"lots")),IF(CE$2="Atelier",IF(CE$3="Tous",SUMIFS('Étape 1 - à remplir'!$F$31:$F$400,'Étape 1 - à remplir'!$E$31:$E$400,MASQ2!BV364,'Étape 1 - à remplir'!$G$31:$G$400,"lots"),SUMIFS('Étape 1 - à remplir'!$F$31:$F$400,'Étape 1 - à remplir'!$E$31:$E$400,MASQ2!BV364,'Étape 1 - à remplir'!$O$31:$O$400,CE$3,'Étape 1 - à remplir'!$G$31:$G$400,"lots")),IF(CE$2="Espèce",IF(CE$3="Toutes",SUMIFS('Étape 1 - à remplir'!$F$31:$F$400,'Étape 1 - à remplir'!$E$31:$E$400,MASQ2!BV364,'Étape 1 - à remplir'!$G$31:$G$400,"lots"),SUMIFS('Étape 1 - à remplir'!$F$31:$F$400,'Étape 1 - à remplir'!$E$31:$E$400,MASQ2!BV364,'Étape 1 - à remplir'!$N$31:$N$400,CE$3,'Étape 1 - à remplir'!$G$31:$G$400,"lots")))))))</f>
        <v>#N/A</v>
      </c>
      <c r="BX364">
        <f t="shared" si="258"/>
        <v>0</v>
      </c>
      <c r="BY364" t="str">
        <f t="shared" si="242"/>
        <v/>
      </c>
      <c r="BZ364" t="str">
        <f t="shared" si="243"/>
        <v/>
      </c>
      <c r="CA364" t="str">
        <f t="shared" si="244"/>
        <v/>
      </c>
      <c r="CB364" t="str">
        <f t="shared" si="245"/>
        <v>Aminoglycosides</v>
      </c>
      <c r="CC364" t="str">
        <f t="shared" si="246"/>
        <v/>
      </c>
      <c r="CD364" s="63" t="str">
        <f t="shared" si="247"/>
        <v/>
      </c>
      <c r="CG364" s="42">
        <v>361</v>
      </c>
      <c r="CH364" s="42" t="e">
        <f t="shared" si="263"/>
        <v>#N/A</v>
      </c>
      <c r="CI364" s="63" t="e">
        <f t="shared" si="264"/>
        <v>#N/A</v>
      </c>
      <c r="DM364" s="63"/>
      <c r="EA364" s="194" t="str">
        <f t="shared" ca="1" si="248"/>
        <v/>
      </c>
      <c r="EB364" s="226" t="str">
        <f>IFERROR(IF(ED364=0,"",COUNTIF(ED$4:ED$600,"&gt;"&amp;ED364)+COUNTIF(ED$4:ED364,ED364)),"")</f>
        <v/>
      </c>
      <c r="EC364" t="str">
        <f t="shared" si="249"/>
        <v>PAROFOR 70000 UI/G POUDRE POUR ADMINISTRATION DANS L'EAU DE BOISSON LE LAIT OU L'ALIMENT D'ALLAITEMENT POUR BOVINS PRERUMINANTS ET PORCS</v>
      </c>
      <c r="ED364" t="e">
        <f>IF(IF(EL$2="Catégorie",IF(EL$3="Toutes",SUMIFS('Étape 1 - à remplir'!$F$31:$F$400,'Étape 1 - à remplir'!$E$31:$E$400,MASQ2!EC364,'Étape 1 - à remplir'!$G$31:$G$400,"kg"),SUMIFS('Étape 1 - à remplir'!$F$31:$F$400,'Étape 1 - à remplir'!$E$31:$E$400,MASQ2!EC364,'Étape 1 - à remplir'!$C$31:$C$400,EL$3)),IF(EL$2="Âge",IF(EL$3="Tous",SUMIFS('Étape 1 - à remplir'!$F$31:$F$400,'Étape 1 - à remplir'!$E$31:$E$400,MASQ2!EC364,'Étape 1 - à remplir'!$G$31:$G$400,"kg"),SUMIFS('Étape 1 - à remplir'!$F$31:$F$400,'Étape 1 - à remplir'!$E$31:$E$400,MASQ2!EC364,'Étape 1 - à remplir'!$P$31:$P$400,EL$3,'Étape 1 - à remplir'!$G$31:$G$400,"kg")),IF(EL$2="Atelier",IF(EL$3="Tous",SUMIFS('Étape 1 - à remplir'!$F$31:$F$400,'Étape 1 - à remplir'!$E$31:$E$400,MASQ2!EC364,'Étape 1 - à remplir'!$G$31:$G$400,"kg"),SUMIFS('Étape 1 - à remplir'!$F$31:$F$400,'Étape 1 - à remplir'!$E$31:$E$400,MASQ2!EC364,'Étape 1 - à remplir'!$O$31:$O$400,EL$3,'Étape 1 - à remplir'!$G$31:$G$400,"kg")),IF(EL$2="Espèce",IF(EL$3="Toutes",SUMIFS('Étape 1 - à remplir'!$F$31:$F$400,'Étape 1 - à remplir'!$E$31:$E$400,MASQ2!EC364,'Étape 1 - à remplir'!$G$31:$G$400,"kg"),SUMIFS('Étape 1 - à remplir'!$F$31:$F$400,'Étape 1 - à remplir'!$E$31:$E$400,MASQ2!EC364,'Étape 1 - à remplir'!$N$31:$N$400,EL$3,'Étape 1 - à remplir'!$G$31:$G$400,"kg"))))))=0,NA(),IF(EL$2="Catégorie",IF(EL$3="Toutes",SUMIFS('Étape 1 - à remplir'!$F$31:$F$400,'Étape 1 - à remplir'!$E$31:$E$400,MASQ2!EC364,'Étape 1 - à remplir'!$G$31:$G$400,"kg"),SUMIFS('Étape 1 - à remplir'!$F$31:$F$400,'Étape 1 - à remplir'!$E$31:$E$400,MASQ2!EC364,'Étape 1 - à remplir'!$C$31:$C$400,EL$3)),IF(EL$2="Âge",IF(EL$3="Tous",SUMIFS('Étape 1 - à remplir'!$F$31:$F$400,'Étape 1 - à remplir'!$E$31:$E$400,MASQ2!EC364,'Étape 1 - à remplir'!$G$31:$G$400,"kg"),SUMIFS('Étape 1 - à remplir'!$F$31:$F$400,'Étape 1 - à remplir'!$E$31:$E$400,MASQ2!EC364,'Étape 1 - à remplir'!$P$31:$P$400,EL$3,'Étape 1 - à remplir'!$G$31:$G$400,"kg")),IF(EL$2="Atelier",IF(EL$3="Tous",SUMIFS('Étape 1 - à remplir'!$F$31:$F$400,'Étape 1 - à remplir'!$E$31:$E$400,MASQ2!EC364,'Étape 1 - à remplir'!$G$31:$G$400,"kg"),SUMIFS('Étape 1 - à remplir'!$F$31:$F$400,'Étape 1 - à remplir'!$E$31:$E$400,MASQ2!EC364,'Étape 1 - à remplir'!$O$31:$O$400,EL$3,'Étape 1 - à remplir'!$G$31:$G$400,"kg")),IF(EL$2="Espèce",IF(EL$3="Toutes",SUMIFS('Étape 1 - à remplir'!$F$31:$F$400,'Étape 1 - à remplir'!$E$31:$E$400,MASQ2!EC364,'Étape 1 - à remplir'!$G$31:$G$400,"kg"),SUMIFS('Étape 1 - à remplir'!$F$31:$F$400,'Étape 1 - à remplir'!$E$31:$E$400,MASQ2!EC364,'Étape 1 - à remplir'!$N$31:$N$400,EL$3,'Étape 1 - à remplir'!$G$31:$G$400,"kg")))))))</f>
        <v>#N/A</v>
      </c>
      <c r="EE364" s="76">
        <f t="shared" si="259"/>
        <v>0</v>
      </c>
      <c r="EF364" t="str">
        <f t="shared" si="250"/>
        <v/>
      </c>
      <c r="EG364" t="str">
        <f t="shared" si="251"/>
        <v/>
      </c>
      <c r="EH364" t="str">
        <f t="shared" si="252"/>
        <v/>
      </c>
      <c r="EI364" t="str">
        <f t="shared" si="253"/>
        <v>Aminoglycosides</v>
      </c>
      <c r="EJ364" t="str">
        <f t="shared" si="254"/>
        <v/>
      </c>
      <c r="EK364" s="63" t="str">
        <f t="shared" si="255"/>
        <v/>
      </c>
      <c r="EN364" s="42">
        <v>361</v>
      </c>
      <c r="EO364" t="e">
        <f t="shared" si="261"/>
        <v>#N/A</v>
      </c>
      <c r="EP364" s="63" t="e">
        <f t="shared" si="262"/>
        <v>#N/A</v>
      </c>
      <c r="FT364" s="63"/>
    </row>
    <row r="365" spans="2:176" x14ac:dyDescent="0.3">
      <c r="B365" s="42"/>
      <c r="M365" s="194" t="str">
        <f ca="1">INDEX(Données_ATB!BD:BU,MATCH(MASQ2!O365,Données_ATB!BD:BD,0),18)</f>
        <v>x</v>
      </c>
      <c r="N365" s="14" t="str">
        <f>IFERROR(IF(Q365=0,"",COUNTIF(Q$4:Q$600,"&gt;"&amp;Q365)+COUNTIF(Q$4:Q365,Q365)),"")</f>
        <v/>
      </c>
      <c r="O365" t="str">
        <f>Données_ATB!BD364</f>
        <v>PATHOZONE</v>
      </c>
      <c r="P365" t="e">
        <f>IF(IF(X$2="Catégorie",IF(X$3="Toutes",SUMIFS('Étape 1 - à remplir'!$F$31:$F$400,'Étape 1 - à remplir'!$E$31:$E$400,MASQ2!O365,'Étape 1 - à remplir'!$G$31:$G$400,"animaux"),SUMIFS('Étape 1 - à remplir'!$F$31:$F$400,'Étape 1 - à remplir'!$E$31:$E$400,MASQ2!O365,'Étape 1 - à remplir'!$C$31:$C$400,X$3)),IF(X$2="Âge",IF(X$3="Tous",SUMIFS('Étape 1 - à remplir'!$F$31:$F$400,'Étape 1 - à remplir'!$E$31:$E$400,MASQ2!O365,'Étape 1 - à remplir'!$G$31:$G$400,"animaux"),SUMIFS('Étape 1 - à remplir'!$F$31:$F$400,'Étape 1 - à remplir'!$E$31:$E$400,MASQ2!O365,'Étape 1 - à remplir'!$P$31:$P$400,X$3)),IF(X$2="Atelier",IF(X$3="Tous",SUMIFS('Étape 1 - à remplir'!$F$31:$F$400,'Étape 1 - à remplir'!$E$31:$E$400,MASQ2!O365,'Étape 1 - à remplir'!$G$31:$G$400,"animaux"),SUMIFS('Étape 1 - à remplir'!$F$31:$F$400,'Étape 1 - à remplir'!$E$31:$E$400,MASQ2!O365,'Étape 1 - à remplir'!$O$31:$O$400,X$3)),IF(X$2="Espèce",IF(X$3="Toutes",SUMIFS('Étape 1 - à remplir'!$F$31:$F$400,'Étape 1 - à remplir'!$E$31:$E$400,MASQ2!O365,'Étape 1 - à remplir'!$G$31:$G$400,"animaux"),SUMIFS('Étape 1 - à remplir'!$F$31:$F$400,'Étape 1 - à remplir'!$E$31:$E$400,MASQ2!O365,'Étape 1 - à remplir'!$N$31:$N$400,X$3))))))=0,NA(),IF(X$2="Catégorie",IF(X$3="Toutes",SUMIFS('Étape 1 - à remplir'!$F$31:$F$400,'Étape 1 - à remplir'!$E$31:$E$400,MASQ2!O365,'Étape 1 - à remplir'!$G$31:$G$400,"animaux"),SUMIFS('Étape 1 - à remplir'!$F$31:$F$400,'Étape 1 - à remplir'!$E$31:$E$400,MASQ2!O365,'Étape 1 - à remplir'!$C$31:$C$400,X$3)),IF(X$2="Âge",IF(X$3="Tous",SUMIFS('Étape 1 - à remplir'!$F$31:$F$400,'Étape 1 - à remplir'!$E$31:$E$400,MASQ2!O365,'Étape 1 - à remplir'!$G$31:$G$400,"animaux"),SUMIFS('Étape 1 - à remplir'!$F$31:$F$400,'Étape 1 - à remplir'!$E$31:$E$400,MASQ2!O365,'Étape 1 - à remplir'!$P$31:$P$400,X$3)),IF(X$2="Atelier",IF(X$3="Tous",SUMIFS('Étape 1 - à remplir'!$F$31:$F$400,'Étape 1 - à remplir'!$E$31:$E$400,MASQ2!O365,'Étape 1 - à remplir'!$G$31:$G$400,"animaux"),SUMIFS('Étape 1 - à remplir'!$F$31:$F$400,'Étape 1 - à remplir'!$E$31:$E$400,MASQ2!O365,'Étape 1 - à remplir'!$O$31:$O$400,X$3)),IF(X$2="Espèce",IF(X$3="Toutes",SUMIFS('Étape 1 - à remplir'!$F$31:$F$400,'Étape 1 - à remplir'!$E$31:$E$400,MASQ2!O365,'Étape 1 - à remplir'!$G$31:$G$400,"animaux"),SUMIFS('Étape 1 - à remplir'!$F$31:$F$400,'Étape 1 - à remplir'!$E$31:$E$400,MASQ2!O365,'Étape 1 - à remplir'!$N$31:$N$400,X$3)))))))</f>
        <v>#N/A</v>
      </c>
      <c r="Q365" s="63">
        <f t="shared" si="260"/>
        <v>0</v>
      </c>
      <c r="R365" t="str">
        <f>Données_ATB!BM364</f>
        <v>Céfopérazone</v>
      </c>
      <c r="S365" t="str">
        <f>Données_ATB!BN364</f>
        <v/>
      </c>
      <c r="T365" s="63" t="str">
        <f>Données_ATB!BO364</f>
        <v/>
      </c>
      <c r="U365" s="42" t="str">
        <f>Données_ATB!BQ364</f>
        <v>Cephalosporines 3&amp;4G</v>
      </c>
      <c r="V365" t="str">
        <f>Données_ATB!BR364</f>
        <v/>
      </c>
      <c r="W365" s="63" t="str">
        <f>Données_ATB!BS364</f>
        <v/>
      </c>
      <c r="Z365" s="42">
        <v>362</v>
      </c>
      <c r="AA365" t="e">
        <f t="shared" si="256"/>
        <v>#N/A</v>
      </c>
      <c r="AB365" s="63" t="e">
        <f t="shared" si="257"/>
        <v>#N/A</v>
      </c>
      <c r="BF365" s="63"/>
      <c r="BT365" s="194" t="str">
        <f t="shared" ca="1" si="240"/>
        <v>x</v>
      </c>
      <c r="BU365" s="219" t="str">
        <f>IFERROR(IF(BX365=0,"",COUNTIF(BX$4:BX$600,"&gt;"&amp;BX365)+COUNTIF(BX$4:BX365,BX365)),"")</f>
        <v/>
      </c>
      <c r="BV365" s="42" t="str">
        <f t="shared" si="241"/>
        <v>PATHOZONE</v>
      </c>
      <c r="BW365" t="e">
        <f>IF(IF(CE$2="Catégorie",IF(CE$3="Toutes",SUMIFS('Étape 1 - à remplir'!$F$31:$F$400,'Étape 1 - à remplir'!$E$31:$E$400,MASQ2!BV365,'Étape 1 - à remplir'!$G$31:$G$400,"lots"),SUMIFS('Étape 1 - à remplir'!$F$31:$F$400,'Étape 1 - à remplir'!$E$31:$E$400,MASQ2!BV365,'Étape 1 - à remplir'!$C$31:$C$400,CE$3)),IF(CE$2="Âge",IF(CE$3="Tous",SUMIFS('Étape 1 - à remplir'!$F$31:$F$400,'Étape 1 - à remplir'!$E$31:$E$400,MASQ2!BV365,'Étape 1 - à remplir'!$G$31:$G$400,"lots"),SUMIFS('Étape 1 - à remplir'!$F$31:$F$400,'Étape 1 - à remplir'!$E$31:$E$400,MASQ2!BV365,'Étape 1 - à remplir'!$P$31:$P$400,CE$3,'Étape 1 - à remplir'!$G$31:$G$400,"lots")),IF(CE$2="Atelier",IF(CE$3="Tous",SUMIFS('Étape 1 - à remplir'!$F$31:$F$400,'Étape 1 - à remplir'!$E$31:$E$400,MASQ2!BV365,'Étape 1 - à remplir'!$G$31:$G$400,"lots"),SUMIFS('Étape 1 - à remplir'!$F$31:$F$400,'Étape 1 - à remplir'!$E$31:$E$400,MASQ2!BV365,'Étape 1 - à remplir'!$O$31:$O$400,CE$3,'Étape 1 - à remplir'!$G$31:$G$400,"lots")),IF(CE$2="Espèce",IF(CE$3="Toutes",SUMIFS('Étape 1 - à remplir'!$F$31:$F$400,'Étape 1 - à remplir'!$E$31:$E$400,MASQ2!BV365,'Étape 1 - à remplir'!$G$31:$G$400,"lots"),SUMIFS('Étape 1 - à remplir'!$F$31:$F$400,'Étape 1 - à remplir'!$E$31:$E$400,MASQ2!BV365,'Étape 1 - à remplir'!$N$31:$N$400,CE$3,'Étape 1 - à remplir'!$G$31:$G$400,"lots"))))))=0,NA(),IF(CE$2="Catégorie",IF(CE$3="Toutes",SUMIFS('Étape 1 - à remplir'!$F$31:$F$400,'Étape 1 - à remplir'!$E$31:$E$400,MASQ2!BV365,'Étape 1 - à remplir'!$G$31:$G$400,"lots"),SUMIFS('Étape 1 - à remplir'!$F$31:$F$400,'Étape 1 - à remplir'!$E$31:$E$400,MASQ2!BV365,'Étape 1 - à remplir'!$C$31:$C$400,CE$3)),IF(CE$2="Âge",IF(CE$3="Tous",SUMIFS('Étape 1 - à remplir'!$F$31:$F$400,'Étape 1 - à remplir'!$E$31:$E$400,MASQ2!BV365,'Étape 1 - à remplir'!$G$31:$G$400,"lots"),SUMIFS('Étape 1 - à remplir'!$F$31:$F$400,'Étape 1 - à remplir'!$E$31:$E$400,MASQ2!BV365,'Étape 1 - à remplir'!$P$31:$P$400,CE$3,'Étape 1 - à remplir'!$G$31:$G$400,"lots")),IF(CE$2="Atelier",IF(CE$3="Tous",SUMIFS('Étape 1 - à remplir'!$F$31:$F$400,'Étape 1 - à remplir'!$E$31:$E$400,MASQ2!BV365,'Étape 1 - à remplir'!$G$31:$G$400,"lots"),SUMIFS('Étape 1 - à remplir'!$F$31:$F$400,'Étape 1 - à remplir'!$E$31:$E$400,MASQ2!BV365,'Étape 1 - à remplir'!$O$31:$O$400,CE$3,'Étape 1 - à remplir'!$G$31:$G$400,"lots")),IF(CE$2="Espèce",IF(CE$3="Toutes",SUMIFS('Étape 1 - à remplir'!$F$31:$F$400,'Étape 1 - à remplir'!$E$31:$E$400,MASQ2!BV365,'Étape 1 - à remplir'!$G$31:$G$400,"lots"),SUMIFS('Étape 1 - à remplir'!$F$31:$F$400,'Étape 1 - à remplir'!$E$31:$E$400,MASQ2!BV365,'Étape 1 - à remplir'!$N$31:$N$400,CE$3,'Étape 1 - à remplir'!$G$31:$G$400,"lots")))))))</f>
        <v>#N/A</v>
      </c>
      <c r="BX365">
        <f t="shared" si="258"/>
        <v>0</v>
      </c>
      <c r="BY365" t="str">
        <f t="shared" si="242"/>
        <v>Céfopérazone</v>
      </c>
      <c r="BZ365" t="str">
        <f t="shared" si="243"/>
        <v/>
      </c>
      <c r="CA365" t="str">
        <f t="shared" si="244"/>
        <v/>
      </c>
      <c r="CB365" t="str">
        <f t="shared" si="245"/>
        <v>Cephalosporines 3&amp;4G</v>
      </c>
      <c r="CC365" t="str">
        <f t="shared" si="246"/>
        <v/>
      </c>
      <c r="CD365" s="63" t="str">
        <f t="shared" si="247"/>
        <v/>
      </c>
      <c r="CG365" s="42">
        <v>362</v>
      </c>
      <c r="CH365" s="42" t="e">
        <f t="shared" si="263"/>
        <v>#N/A</v>
      </c>
      <c r="CI365" s="63" t="e">
        <f t="shared" si="264"/>
        <v>#N/A</v>
      </c>
      <c r="DM365" s="63"/>
      <c r="EA365" s="194" t="str">
        <f t="shared" ca="1" si="248"/>
        <v>x</v>
      </c>
      <c r="EB365" s="226" t="str">
        <f>IFERROR(IF(ED365=0,"",COUNTIF(ED$4:ED$600,"&gt;"&amp;ED365)+COUNTIF(ED$4:ED365,ED365)),"")</f>
        <v/>
      </c>
      <c r="EC365" t="str">
        <f t="shared" si="249"/>
        <v>PATHOZONE</v>
      </c>
      <c r="ED365" t="e">
        <f>IF(IF(EL$2="Catégorie",IF(EL$3="Toutes",SUMIFS('Étape 1 - à remplir'!$F$31:$F$400,'Étape 1 - à remplir'!$E$31:$E$400,MASQ2!EC365,'Étape 1 - à remplir'!$G$31:$G$400,"kg"),SUMIFS('Étape 1 - à remplir'!$F$31:$F$400,'Étape 1 - à remplir'!$E$31:$E$400,MASQ2!EC365,'Étape 1 - à remplir'!$C$31:$C$400,EL$3)),IF(EL$2="Âge",IF(EL$3="Tous",SUMIFS('Étape 1 - à remplir'!$F$31:$F$400,'Étape 1 - à remplir'!$E$31:$E$400,MASQ2!EC365,'Étape 1 - à remplir'!$G$31:$G$400,"kg"),SUMIFS('Étape 1 - à remplir'!$F$31:$F$400,'Étape 1 - à remplir'!$E$31:$E$400,MASQ2!EC365,'Étape 1 - à remplir'!$P$31:$P$400,EL$3,'Étape 1 - à remplir'!$G$31:$G$400,"kg")),IF(EL$2="Atelier",IF(EL$3="Tous",SUMIFS('Étape 1 - à remplir'!$F$31:$F$400,'Étape 1 - à remplir'!$E$31:$E$400,MASQ2!EC365,'Étape 1 - à remplir'!$G$31:$G$400,"kg"),SUMIFS('Étape 1 - à remplir'!$F$31:$F$400,'Étape 1 - à remplir'!$E$31:$E$400,MASQ2!EC365,'Étape 1 - à remplir'!$O$31:$O$400,EL$3,'Étape 1 - à remplir'!$G$31:$G$400,"kg")),IF(EL$2="Espèce",IF(EL$3="Toutes",SUMIFS('Étape 1 - à remplir'!$F$31:$F$400,'Étape 1 - à remplir'!$E$31:$E$400,MASQ2!EC365,'Étape 1 - à remplir'!$G$31:$G$400,"kg"),SUMIFS('Étape 1 - à remplir'!$F$31:$F$400,'Étape 1 - à remplir'!$E$31:$E$400,MASQ2!EC365,'Étape 1 - à remplir'!$N$31:$N$400,EL$3,'Étape 1 - à remplir'!$G$31:$G$400,"kg"))))))=0,NA(),IF(EL$2="Catégorie",IF(EL$3="Toutes",SUMIFS('Étape 1 - à remplir'!$F$31:$F$400,'Étape 1 - à remplir'!$E$31:$E$400,MASQ2!EC365,'Étape 1 - à remplir'!$G$31:$G$400,"kg"),SUMIFS('Étape 1 - à remplir'!$F$31:$F$400,'Étape 1 - à remplir'!$E$31:$E$400,MASQ2!EC365,'Étape 1 - à remplir'!$C$31:$C$400,EL$3)),IF(EL$2="Âge",IF(EL$3="Tous",SUMIFS('Étape 1 - à remplir'!$F$31:$F$400,'Étape 1 - à remplir'!$E$31:$E$400,MASQ2!EC365,'Étape 1 - à remplir'!$G$31:$G$400,"kg"),SUMIFS('Étape 1 - à remplir'!$F$31:$F$400,'Étape 1 - à remplir'!$E$31:$E$400,MASQ2!EC365,'Étape 1 - à remplir'!$P$31:$P$400,EL$3,'Étape 1 - à remplir'!$G$31:$G$400,"kg")),IF(EL$2="Atelier",IF(EL$3="Tous",SUMIFS('Étape 1 - à remplir'!$F$31:$F$400,'Étape 1 - à remplir'!$E$31:$E$400,MASQ2!EC365,'Étape 1 - à remplir'!$G$31:$G$400,"kg"),SUMIFS('Étape 1 - à remplir'!$F$31:$F$400,'Étape 1 - à remplir'!$E$31:$E$400,MASQ2!EC365,'Étape 1 - à remplir'!$O$31:$O$400,EL$3,'Étape 1 - à remplir'!$G$31:$G$400,"kg")),IF(EL$2="Espèce",IF(EL$3="Toutes",SUMIFS('Étape 1 - à remplir'!$F$31:$F$400,'Étape 1 - à remplir'!$E$31:$E$400,MASQ2!EC365,'Étape 1 - à remplir'!$G$31:$G$400,"kg"),SUMIFS('Étape 1 - à remplir'!$F$31:$F$400,'Étape 1 - à remplir'!$E$31:$E$400,MASQ2!EC365,'Étape 1 - à remplir'!$N$31:$N$400,EL$3,'Étape 1 - à remplir'!$G$31:$G$400,"kg")))))))</f>
        <v>#N/A</v>
      </c>
      <c r="EE365" s="76">
        <f t="shared" si="259"/>
        <v>0</v>
      </c>
      <c r="EF365" t="str">
        <f t="shared" si="250"/>
        <v>Céfopérazone</v>
      </c>
      <c r="EG365" t="str">
        <f t="shared" si="251"/>
        <v/>
      </c>
      <c r="EH365" t="str">
        <f t="shared" si="252"/>
        <v/>
      </c>
      <c r="EI365" t="str">
        <f t="shared" si="253"/>
        <v>Cephalosporines 3&amp;4G</v>
      </c>
      <c r="EJ365" t="str">
        <f t="shared" si="254"/>
        <v/>
      </c>
      <c r="EK365" s="63" t="str">
        <f t="shared" si="255"/>
        <v/>
      </c>
      <c r="EN365" s="42">
        <v>362</v>
      </c>
      <c r="EO365" t="e">
        <f t="shared" si="261"/>
        <v>#N/A</v>
      </c>
      <c r="EP365" s="63" t="e">
        <f t="shared" si="262"/>
        <v>#N/A</v>
      </c>
      <c r="FT365" s="63"/>
    </row>
    <row r="366" spans="2:176" x14ac:dyDescent="0.3">
      <c r="B366" s="42"/>
      <c r="M366" s="194" t="str">
        <f ca="1">INDEX(Données_ATB!BD:BU,MATCH(MASQ2!O366,Données_ATB!BD:BD,0),18)</f>
        <v/>
      </c>
      <c r="N366" s="14" t="str">
        <f>IFERROR(IF(Q366=0,"",COUNTIF(Q$4:Q$600,"&gt;"&amp;Q366)+COUNTIF(Q$4:Q366,Q366)),"")</f>
        <v/>
      </c>
      <c r="O366" t="str">
        <f>Données_ATB!BD365</f>
        <v>PENETAVET</v>
      </c>
      <c r="P366" t="e">
        <f>IF(IF(X$2="Catégorie",IF(X$3="Toutes",SUMIFS('Étape 1 - à remplir'!$F$31:$F$400,'Étape 1 - à remplir'!$E$31:$E$400,MASQ2!O366,'Étape 1 - à remplir'!$G$31:$G$400,"animaux"),SUMIFS('Étape 1 - à remplir'!$F$31:$F$400,'Étape 1 - à remplir'!$E$31:$E$400,MASQ2!O366,'Étape 1 - à remplir'!$C$31:$C$400,X$3)),IF(X$2="Âge",IF(X$3="Tous",SUMIFS('Étape 1 - à remplir'!$F$31:$F$400,'Étape 1 - à remplir'!$E$31:$E$400,MASQ2!O366,'Étape 1 - à remplir'!$G$31:$G$400,"animaux"),SUMIFS('Étape 1 - à remplir'!$F$31:$F$400,'Étape 1 - à remplir'!$E$31:$E$400,MASQ2!O366,'Étape 1 - à remplir'!$P$31:$P$400,X$3)),IF(X$2="Atelier",IF(X$3="Tous",SUMIFS('Étape 1 - à remplir'!$F$31:$F$400,'Étape 1 - à remplir'!$E$31:$E$400,MASQ2!O366,'Étape 1 - à remplir'!$G$31:$G$400,"animaux"),SUMIFS('Étape 1 - à remplir'!$F$31:$F$400,'Étape 1 - à remplir'!$E$31:$E$400,MASQ2!O366,'Étape 1 - à remplir'!$O$31:$O$400,X$3)),IF(X$2="Espèce",IF(X$3="Toutes",SUMIFS('Étape 1 - à remplir'!$F$31:$F$400,'Étape 1 - à remplir'!$E$31:$E$400,MASQ2!O366,'Étape 1 - à remplir'!$G$31:$G$400,"animaux"),SUMIFS('Étape 1 - à remplir'!$F$31:$F$400,'Étape 1 - à remplir'!$E$31:$E$400,MASQ2!O366,'Étape 1 - à remplir'!$N$31:$N$400,X$3))))))=0,NA(),IF(X$2="Catégorie",IF(X$3="Toutes",SUMIFS('Étape 1 - à remplir'!$F$31:$F$400,'Étape 1 - à remplir'!$E$31:$E$400,MASQ2!O366,'Étape 1 - à remplir'!$G$31:$G$400,"animaux"),SUMIFS('Étape 1 - à remplir'!$F$31:$F$400,'Étape 1 - à remplir'!$E$31:$E$400,MASQ2!O366,'Étape 1 - à remplir'!$C$31:$C$400,X$3)),IF(X$2="Âge",IF(X$3="Tous",SUMIFS('Étape 1 - à remplir'!$F$31:$F$400,'Étape 1 - à remplir'!$E$31:$E$400,MASQ2!O366,'Étape 1 - à remplir'!$G$31:$G$400,"animaux"),SUMIFS('Étape 1 - à remplir'!$F$31:$F$400,'Étape 1 - à remplir'!$E$31:$E$400,MASQ2!O366,'Étape 1 - à remplir'!$P$31:$P$400,X$3)),IF(X$2="Atelier",IF(X$3="Tous",SUMIFS('Étape 1 - à remplir'!$F$31:$F$400,'Étape 1 - à remplir'!$E$31:$E$400,MASQ2!O366,'Étape 1 - à remplir'!$G$31:$G$400,"animaux"),SUMIFS('Étape 1 - à remplir'!$F$31:$F$400,'Étape 1 - à remplir'!$E$31:$E$400,MASQ2!O366,'Étape 1 - à remplir'!$O$31:$O$400,X$3)),IF(X$2="Espèce",IF(X$3="Toutes",SUMIFS('Étape 1 - à remplir'!$F$31:$F$400,'Étape 1 - à remplir'!$E$31:$E$400,MASQ2!O366,'Étape 1 - à remplir'!$G$31:$G$400,"animaux"),SUMIFS('Étape 1 - à remplir'!$F$31:$F$400,'Étape 1 - à remplir'!$E$31:$E$400,MASQ2!O366,'Étape 1 - à remplir'!$N$31:$N$400,X$3)))))))</f>
        <v>#N/A</v>
      </c>
      <c r="Q366" s="63">
        <f t="shared" si="260"/>
        <v>0</v>
      </c>
      <c r="R366" t="str">
        <f>Données_ATB!BM365</f>
        <v>Pénéthamate (ou pénéthacilline)</v>
      </c>
      <c r="S366" t="str">
        <f>Données_ATB!BN365</f>
        <v/>
      </c>
      <c r="T366" s="63" t="str">
        <f>Données_ATB!BO365</f>
        <v/>
      </c>
      <c r="U366" s="42" t="str">
        <f>Données_ATB!BQ365</f>
        <v>Penicillines</v>
      </c>
      <c r="V366" t="str">
        <f>Données_ATB!BR365</f>
        <v/>
      </c>
      <c r="W366" s="63" t="str">
        <f>Données_ATB!BS365</f>
        <v/>
      </c>
      <c r="Z366" s="42">
        <v>363</v>
      </c>
      <c r="AA366" t="e">
        <f t="shared" si="256"/>
        <v>#N/A</v>
      </c>
      <c r="AB366" s="63" t="e">
        <f t="shared" si="257"/>
        <v>#N/A</v>
      </c>
      <c r="BF366" s="63"/>
      <c r="BT366" s="194" t="str">
        <f t="shared" ca="1" si="240"/>
        <v/>
      </c>
      <c r="BU366" s="219" t="str">
        <f>IFERROR(IF(BX366=0,"",COUNTIF(BX$4:BX$600,"&gt;"&amp;BX366)+COUNTIF(BX$4:BX366,BX366)),"")</f>
        <v/>
      </c>
      <c r="BV366" s="42" t="str">
        <f t="shared" si="241"/>
        <v>PENETAVET</v>
      </c>
      <c r="BW366" t="e">
        <f>IF(IF(CE$2="Catégorie",IF(CE$3="Toutes",SUMIFS('Étape 1 - à remplir'!$F$31:$F$400,'Étape 1 - à remplir'!$E$31:$E$400,MASQ2!BV366,'Étape 1 - à remplir'!$G$31:$G$400,"lots"),SUMIFS('Étape 1 - à remplir'!$F$31:$F$400,'Étape 1 - à remplir'!$E$31:$E$400,MASQ2!BV366,'Étape 1 - à remplir'!$C$31:$C$400,CE$3)),IF(CE$2="Âge",IF(CE$3="Tous",SUMIFS('Étape 1 - à remplir'!$F$31:$F$400,'Étape 1 - à remplir'!$E$31:$E$400,MASQ2!BV366,'Étape 1 - à remplir'!$G$31:$G$400,"lots"),SUMIFS('Étape 1 - à remplir'!$F$31:$F$400,'Étape 1 - à remplir'!$E$31:$E$400,MASQ2!BV366,'Étape 1 - à remplir'!$P$31:$P$400,CE$3,'Étape 1 - à remplir'!$G$31:$G$400,"lots")),IF(CE$2="Atelier",IF(CE$3="Tous",SUMIFS('Étape 1 - à remplir'!$F$31:$F$400,'Étape 1 - à remplir'!$E$31:$E$400,MASQ2!BV366,'Étape 1 - à remplir'!$G$31:$G$400,"lots"),SUMIFS('Étape 1 - à remplir'!$F$31:$F$400,'Étape 1 - à remplir'!$E$31:$E$400,MASQ2!BV366,'Étape 1 - à remplir'!$O$31:$O$400,CE$3,'Étape 1 - à remplir'!$G$31:$G$400,"lots")),IF(CE$2="Espèce",IF(CE$3="Toutes",SUMIFS('Étape 1 - à remplir'!$F$31:$F$400,'Étape 1 - à remplir'!$E$31:$E$400,MASQ2!BV366,'Étape 1 - à remplir'!$G$31:$G$400,"lots"),SUMIFS('Étape 1 - à remplir'!$F$31:$F$400,'Étape 1 - à remplir'!$E$31:$E$400,MASQ2!BV366,'Étape 1 - à remplir'!$N$31:$N$400,CE$3,'Étape 1 - à remplir'!$G$31:$G$400,"lots"))))))=0,NA(),IF(CE$2="Catégorie",IF(CE$3="Toutes",SUMIFS('Étape 1 - à remplir'!$F$31:$F$400,'Étape 1 - à remplir'!$E$31:$E$400,MASQ2!BV366,'Étape 1 - à remplir'!$G$31:$G$400,"lots"),SUMIFS('Étape 1 - à remplir'!$F$31:$F$400,'Étape 1 - à remplir'!$E$31:$E$400,MASQ2!BV366,'Étape 1 - à remplir'!$C$31:$C$400,CE$3)),IF(CE$2="Âge",IF(CE$3="Tous",SUMIFS('Étape 1 - à remplir'!$F$31:$F$400,'Étape 1 - à remplir'!$E$31:$E$400,MASQ2!BV366,'Étape 1 - à remplir'!$G$31:$G$400,"lots"),SUMIFS('Étape 1 - à remplir'!$F$31:$F$400,'Étape 1 - à remplir'!$E$31:$E$400,MASQ2!BV366,'Étape 1 - à remplir'!$P$31:$P$400,CE$3,'Étape 1 - à remplir'!$G$31:$G$400,"lots")),IF(CE$2="Atelier",IF(CE$3="Tous",SUMIFS('Étape 1 - à remplir'!$F$31:$F$400,'Étape 1 - à remplir'!$E$31:$E$400,MASQ2!BV366,'Étape 1 - à remplir'!$G$31:$G$400,"lots"),SUMIFS('Étape 1 - à remplir'!$F$31:$F$400,'Étape 1 - à remplir'!$E$31:$E$400,MASQ2!BV366,'Étape 1 - à remplir'!$O$31:$O$400,CE$3,'Étape 1 - à remplir'!$G$31:$G$400,"lots")),IF(CE$2="Espèce",IF(CE$3="Toutes",SUMIFS('Étape 1 - à remplir'!$F$31:$F$400,'Étape 1 - à remplir'!$E$31:$E$400,MASQ2!BV366,'Étape 1 - à remplir'!$G$31:$G$400,"lots"),SUMIFS('Étape 1 - à remplir'!$F$31:$F$400,'Étape 1 - à remplir'!$E$31:$E$400,MASQ2!BV366,'Étape 1 - à remplir'!$N$31:$N$400,CE$3,'Étape 1 - à remplir'!$G$31:$G$400,"lots")))))))</f>
        <v>#N/A</v>
      </c>
      <c r="BX366">
        <f t="shared" si="258"/>
        <v>0</v>
      </c>
      <c r="BY366" t="str">
        <f t="shared" si="242"/>
        <v>Pénéthamate (ou pénéthacilline)</v>
      </c>
      <c r="BZ366" t="str">
        <f t="shared" si="243"/>
        <v/>
      </c>
      <c r="CA366" t="str">
        <f t="shared" si="244"/>
        <v/>
      </c>
      <c r="CB366" t="str">
        <f t="shared" si="245"/>
        <v>Penicillines</v>
      </c>
      <c r="CC366" t="str">
        <f t="shared" si="246"/>
        <v/>
      </c>
      <c r="CD366" s="63" t="str">
        <f t="shared" si="247"/>
        <v/>
      </c>
      <c r="CG366" s="42">
        <v>363</v>
      </c>
      <c r="CH366" s="42" t="e">
        <f t="shared" si="263"/>
        <v>#N/A</v>
      </c>
      <c r="CI366" s="63" t="e">
        <f t="shared" si="264"/>
        <v>#N/A</v>
      </c>
      <c r="DM366" s="63"/>
      <c r="EA366" s="194" t="str">
        <f t="shared" ca="1" si="248"/>
        <v/>
      </c>
      <c r="EB366" s="226" t="str">
        <f>IFERROR(IF(ED366=0,"",COUNTIF(ED$4:ED$600,"&gt;"&amp;ED366)+COUNTIF(ED$4:ED366,ED366)),"")</f>
        <v/>
      </c>
      <c r="EC366" t="str">
        <f t="shared" si="249"/>
        <v>PENETAVET</v>
      </c>
      <c r="ED366" t="e">
        <f>IF(IF(EL$2="Catégorie",IF(EL$3="Toutes",SUMIFS('Étape 1 - à remplir'!$F$31:$F$400,'Étape 1 - à remplir'!$E$31:$E$400,MASQ2!EC366,'Étape 1 - à remplir'!$G$31:$G$400,"kg"),SUMIFS('Étape 1 - à remplir'!$F$31:$F$400,'Étape 1 - à remplir'!$E$31:$E$400,MASQ2!EC366,'Étape 1 - à remplir'!$C$31:$C$400,EL$3)),IF(EL$2="Âge",IF(EL$3="Tous",SUMIFS('Étape 1 - à remplir'!$F$31:$F$400,'Étape 1 - à remplir'!$E$31:$E$400,MASQ2!EC366,'Étape 1 - à remplir'!$G$31:$G$400,"kg"),SUMIFS('Étape 1 - à remplir'!$F$31:$F$400,'Étape 1 - à remplir'!$E$31:$E$400,MASQ2!EC366,'Étape 1 - à remplir'!$P$31:$P$400,EL$3,'Étape 1 - à remplir'!$G$31:$G$400,"kg")),IF(EL$2="Atelier",IF(EL$3="Tous",SUMIFS('Étape 1 - à remplir'!$F$31:$F$400,'Étape 1 - à remplir'!$E$31:$E$400,MASQ2!EC366,'Étape 1 - à remplir'!$G$31:$G$400,"kg"),SUMIFS('Étape 1 - à remplir'!$F$31:$F$400,'Étape 1 - à remplir'!$E$31:$E$400,MASQ2!EC366,'Étape 1 - à remplir'!$O$31:$O$400,EL$3,'Étape 1 - à remplir'!$G$31:$G$400,"kg")),IF(EL$2="Espèce",IF(EL$3="Toutes",SUMIFS('Étape 1 - à remplir'!$F$31:$F$400,'Étape 1 - à remplir'!$E$31:$E$400,MASQ2!EC366,'Étape 1 - à remplir'!$G$31:$G$400,"kg"),SUMIFS('Étape 1 - à remplir'!$F$31:$F$400,'Étape 1 - à remplir'!$E$31:$E$400,MASQ2!EC366,'Étape 1 - à remplir'!$N$31:$N$400,EL$3,'Étape 1 - à remplir'!$G$31:$G$400,"kg"))))))=0,NA(),IF(EL$2="Catégorie",IF(EL$3="Toutes",SUMIFS('Étape 1 - à remplir'!$F$31:$F$400,'Étape 1 - à remplir'!$E$31:$E$400,MASQ2!EC366,'Étape 1 - à remplir'!$G$31:$G$400,"kg"),SUMIFS('Étape 1 - à remplir'!$F$31:$F$400,'Étape 1 - à remplir'!$E$31:$E$400,MASQ2!EC366,'Étape 1 - à remplir'!$C$31:$C$400,EL$3)),IF(EL$2="Âge",IF(EL$3="Tous",SUMIFS('Étape 1 - à remplir'!$F$31:$F$400,'Étape 1 - à remplir'!$E$31:$E$400,MASQ2!EC366,'Étape 1 - à remplir'!$G$31:$G$400,"kg"),SUMIFS('Étape 1 - à remplir'!$F$31:$F$400,'Étape 1 - à remplir'!$E$31:$E$400,MASQ2!EC366,'Étape 1 - à remplir'!$P$31:$P$400,EL$3,'Étape 1 - à remplir'!$G$31:$G$400,"kg")),IF(EL$2="Atelier",IF(EL$3="Tous",SUMIFS('Étape 1 - à remplir'!$F$31:$F$400,'Étape 1 - à remplir'!$E$31:$E$400,MASQ2!EC366,'Étape 1 - à remplir'!$G$31:$G$400,"kg"),SUMIFS('Étape 1 - à remplir'!$F$31:$F$400,'Étape 1 - à remplir'!$E$31:$E$400,MASQ2!EC366,'Étape 1 - à remplir'!$O$31:$O$400,EL$3,'Étape 1 - à remplir'!$G$31:$G$400,"kg")),IF(EL$2="Espèce",IF(EL$3="Toutes",SUMIFS('Étape 1 - à remplir'!$F$31:$F$400,'Étape 1 - à remplir'!$E$31:$E$400,MASQ2!EC366,'Étape 1 - à remplir'!$G$31:$G$400,"kg"),SUMIFS('Étape 1 - à remplir'!$F$31:$F$400,'Étape 1 - à remplir'!$E$31:$E$400,MASQ2!EC366,'Étape 1 - à remplir'!$N$31:$N$400,EL$3,'Étape 1 - à remplir'!$G$31:$G$400,"kg")))))))</f>
        <v>#N/A</v>
      </c>
      <c r="EE366" s="76">
        <f t="shared" si="259"/>
        <v>0</v>
      </c>
      <c r="EF366" t="str">
        <f t="shared" si="250"/>
        <v>Pénéthamate (ou pénéthacilline)</v>
      </c>
      <c r="EG366" t="str">
        <f t="shared" si="251"/>
        <v/>
      </c>
      <c r="EH366" t="str">
        <f t="shared" si="252"/>
        <v/>
      </c>
      <c r="EI366" t="str">
        <f t="shared" si="253"/>
        <v>Penicillines</v>
      </c>
      <c r="EJ366" t="str">
        <f t="shared" si="254"/>
        <v/>
      </c>
      <c r="EK366" s="63" t="str">
        <f t="shared" si="255"/>
        <v/>
      </c>
      <c r="EN366" s="42">
        <v>363</v>
      </c>
      <c r="EO366" t="e">
        <f t="shared" si="261"/>
        <v>#N/A</v>
      </c>
      <c r="EP366" s="63" t="e">
        <f t="shared" si="262"/>
        <v>#N/A</v>
      </c>
      <c r="FT366" s="63"/>
    </row>
    <row r="367" spans="2:176" x14ac:dyDescent="0.3">
      <c r="B367" s="42"/>
      <c r="M367" s="194" t="str">
        <f ca="1">INDEX(Données_ATB!BD:BU,MATCH(MASQ2!O367,Données_ATB!BD:BD,0),18)</f>
        <v/>
      </c>
      <c r="N367" s="14" t="str">
        <f>IFERROR(IF(Q367=0,"",COUNTIF(Q$4:Q$600,"&gt;"&amp;Q367)+COUNTIF(Q$4:Q367,Q367)),"")</f>
        <v/>
      </c>
      <c r="O367" t="str">
        <f>Données_ATB!BD366</f>
        <v>PENETHAONE 182,5 MG/ML POUDRE ET SOLVANT POUR SUSPENSION INJECTABLE POUR BOVINS</v>
      </c>
      <c r="P367" t="e">
        <f>IF(IF(X$2="Catégorie",IF(X$3="Toutes",SUMIFS('Étape 1 - à remplir'!$F$31:$F$400,'Étape 1 - à remplir'!$E$31:$E$400,MASQ2!O367,'Étape 1 - à remplir'!$G$31:$G$400,"animaux"),SUMIFS('Étape 1 - à remplir'!$F$31:$F$400,'Étape 1 - à remplir'!$E$31:$E$400,MASQ2!O367,'Étape 1 - à remplir'!$C$31:$C$400,X$3)),IF(X$2="Âge",IF(X$3="Tous",SUMIFS('Étape 1 - à remplir'!$F$31:$F$400,'Étape 1 - à remplir'!$E$31:$E$400,MASQ2!O367,'Étape 1 - à remplir'!$G$31:$G$400,"animaux"),SUMIFS('Étape 1 - à remplir'!$F$31:$F$400,'Étape 1 - à remplir'!$E$31:$E$400,MASQ2!O367,'Étape 1 - à remplir'!$P$31:$P$400,X$3)),IF(X$2="Atelier",IF(X$3="Tous",SUMIFS('Étape 1 - à remplir'!$F$31:$F$400,'Étape 1 - à remplir'!$E$31:$E$400,MASQ2!O367,'Étape 1 - à remplir'!$G$31:$G$400,"animaux"),SUMIFS('Étape 1 - à remplir'!$F$31:$F$400,'Étape 1 - à remplir'!$E$31:$E$400,MASQ2!O367,'Étape 1 - à remplir'!$O$31:$O$400,X$3)),IF(X$2="Espèce",IF(X$3="Toutes",SUMIFS('Étape 1 - à remplir'!$F$31:$F$400,'Étape 1 - à remplir'!$E$31:$E$400,MASQ2!O367,'Étape 1 - à remplir'!$G$31:$G$400,"animaux"),SUMIFS('Étape 1 - à remplir'!$F$31:$F$400,'Étape 1 - à remplir'!$E$31:$E$400,MASQ2!O367,'Étape 1 - à remplir'!$N$31:$N$400,X$3))))))=0,NA(),IF(X$2="Catégorie",IF(X$3="Toutes",SUMIFS('Étape 1 - à remplir'!$F$31:$F$400,'Étape 1 - à remplir'!$E$31:$E$400,MASQ2!O367,'Étape 1 - à remplir'!$G$31:$G$400,"animaux"),SUMIFS('Étape 1 - à remplir'!$F$31:$F$400,'Étape 1 - à remplir'!$E$31:$E$400,MASQ2!O367,'Étape 1 - à remplir'!$C$31:$C$400,X$3)),IF(X$2="Âge",IF(X$3="Tous",SUMIFS('Étape 1 - à remplir'!$F$31:$F$400,'Étape 1 - à remplir'!$E$31:$E$400,MASQ2!O367,'Étape 1 - à remplir'!$G$31:$G$400,"animaux"),SUMIFS('Étape 1 - à remplir'!$F$31:$F$400,'Étape 1 - à remplir'!$E$31:$E$400,MASQ2!O367,'Étape 1 - à remplir'!$P$31:$P$400,X$3)),IF(X$2="Atelier",IF(X$3="Tous",SUMIFS('Étape 1 - à remplir'!$F$31:$F$400,'Étape 1 - à remplir'!$E$31:$E$400,MASQ2!O367,'Étape 1 - à remplir'!$G$31:$G$400,"animaux"),SUMIFS('Étape 1 - à remplir'!$F$31:$F$400,'Étape 1 - à remplir'!$E$31:$E$400,MASQ2!O367,'Étape 1 - à remplir'!$O$31:$O$400,X$3)),IF(X$2="Espèce",IF(X$3="Toutes",SUMIFS('Étape 1 - à remplir'!$F$31:$F$400,'Étape 1 - à remplir'!$E$31:$E$400,MASQ2!O367,'Étape 1 - à remplir'!$G$31:$G$400,"animaux"),SUMIFS('Étape 1 - à remplir'!$F$31:$F$400,'Étape 1 - à remplir'!$E$31:$E$400,MASQ2!O367,'Étape 1 - à remplir'!$N$31:$N$400,X$3)))))))</f>
        <v>#N/A</v>
      </c>
      <c r="Q367" s="63">
        <f t="shared" si="260"/>
        <v>0</v>
      </c>
      <c r="R367" t="str">
        <f>Données_ATB!BM366</f>
        <v>Pénéthamate (ou pénéthacilline)</v>
      </c>
      <c r="S367" t="str">
        <f>Données_ATB!BN366</f>
        <v/>
      </c>
      <c r="T367" s="63" t="str">
        <f>Données_ATB!BO366</f>
        <v/>
      </c>
      <c r="U367" s="42" t="str">
        <f>Données_ATB!BQ366</f>
        <v>Penicillines</v>
      </c>
      <c r="V367" t="str">
        <f>Données_ATB!BR366</f>
        <v/>
      </c>
      <c r="W367" s="63" t="str">
        <f>Données_ATB!BS366</f>
        <v/>
      </c>
      <c r="Z367" s="42">
        <v>364</v>
      </c>
      <c r="AA367" t="e">
        <f t="shared" si="256"/>
        <v>#N/A</v>
      </c>
      <c r="AB367" s="63" t="e">
        <f t="shared" si="257"/>
        <v>#N/A</v>
      </c>
      <c r="BF367" s="63"/>
      <c r="BT367" s="194" t="str">
        <f t="shared" ca="1" si="240"/>
        <v/>
      </c>
      <c r="BU367" s="219" t="str">
        <f>IFERROR(IF(BX367=0,"",COUNTIF(BX$4:BX$600,"&gt;"&amp;BX367)+COUNTIF(BX$4:BX367,BX367)),"")</f>
        <v/>
      </c>
      <c r="BV367" s="42" t="str">
        <f t="shared" si="241"/>
        <v>PENETHAONE 182,5 MG/ML POUDRE ET SOLVANT POUR SUSPENSION INJECTABLE POUR BOVINS</v>
      </c>
      <c r="BW367" t="e">
        <f>IF(IF(CE$2="Catégorie",IF(CE$3="Toutes",SUMIFS('Étape 1 - à remplir'!$F$31:$F$400,'Étape 1 - à remplir'!$E$31:$E$400,MASQ2!BV367,'Étape 1 - à remplir'!$G$31:$G$400,"lots"),SUMIFS('Étape 1 - à remplir'!$F$31:$F$400,'Étape 1 - à remplir'!$E$31:$E$400,MASQ2!BV367,'Étape 1 - à remplir'!$C$31:$C$400,CE$3)),IF(CE$2="Âge",IF(CE$3="Tous",SUMIFS('Étape 1 - à remplir'!$F$31:$F$400,'Étape 1 - à remplir'!$E$31:$E$400,MASQ2!BV367,'Étape 1 - à remplir'!$G$31:$G$400,"lots"),SUMIFS('Étape 1 - à remplir'!$F$31:$F$400,'Étape 1 - à remplir'!$E$31:$E$400,MASQ2!BV367,'Étape 1 - à remplir'!$P$31:$P$400,CE$3,'Étape 1 - à remplir'!$G$31:$G$400,"lots")),IF(CE$2="Atelier",IF(CE$3="Tous",SUMIFS('Étape 1 - à remplir'!$F$31:$F$400,'Étape 1 - à remplir'!$E$31:$E$400,MASQ2!BV367,'Étape 1 - à remplir'!$G$31:$G$400,"lots"),SUMIFS('Étape 1 - à remplir'!$F$31:$F$400,'Étape 1 - à remplir'!$E$31:$E$400,MASQ2!BV367,'Étape 1 - à remplir'!$O$31:$O$400,CE$3,'Étape 1 - à remplir'!$G$31:$G$400,"lots")),IF(CE$2="Espèce",IF(CE$3="Toutes",SUMIFS('Étape 1 - à remplir'!$F$31:$F$400,'Étape 1 - à remplir'!$E$31:$E$400,MASQ2!BV367,'Étape 1 - à remplir'!$G$31:$G$400,"lots"),SUMIFS('Étape 1 - à remplir'!$F$31:$F$400,'Étape 1 - à remplir'!$E$31:$E$400,MASQ2!BV367,'Étape 1 - à remplir'!$N$31:$N$400,CE$3,'Étape 1 - à remplir'!$G$31:$G$400,"lots"))))))=0,NA(),IF(CE$2="Catégorie",IF(CE$3="Toutes",SUMIFS('Étape 1 - à remplir'!$F$31:$F$400,'Étape 1 - à remplir'!$E$31:$E$400,MASQ2!BV367,'Étape 1 - à remplir'!$G$31:$G$400,"lots"),SUMIFS('Étape 1 - à remplir'!$F$31:$F$400,'Étape 1 - à remplir'!$E$31:$E$400,MASQ2!BV367,'Étape 1 - à remplir'!$C$31:$C$400,CE$3)),IF(CE$2="Âge",IF(CE$3="Tous",SUMIFS('Étape 1 - à remplir'!$F$31:$F$400,'Étape 1 - à remplir'!$E$31:$E$400,MASQ2!BV367,'Étape 1 - à remplir'!$G$31:$G$400,"lots"),SUMIFS('Étape 1 - à remplir'!$F$31:$F$400,'Étape 1 - à remplir'!$E$31:$E$400,MASQ2!BV367,'Étape 1 - à remplir'!$P$31:$P$400,CE$3,'Étape 1 - à remplir'!$G$31:$G$400,"lots")),IF(CE$2="Atelier",IF(CE$3="Tous",SUMIFS('Étape 1 - à remplir'!$F$31:$F$400,'Étape 1 - à remplir'!$E$31:$E$400,MASQ2!BV367,'Étape 1 - à remplir'!$G$31:$G$400,"lots"),SUMIFS('Étape 1 - à remplir'!$F$31:$F$400,'Étape 1 - à remplir'!$E$31:$E$400,MASQ2!BV367,'Étape 1 - à remplir'!$O$31:$O$400,CE$3,'Étape 1 - à remplir'!$G$31:$G$400,"lots")),IF(CE$2="Espèce",IF(CE$3="Toutes",SUMIFS('Étape 1 - à remplir'!$F$31:$F$400,'Étape 1 - à remplir'!$E$31:$E$400,MASQ2!BV367,'Étape 1 - à remplir'!$G$31:$G$400,"lots"),SUMIFS('Étape 1 - à remplir'!$F$31:$F$400,'Étape 1 - à remplir'!$E$31:$E$400,MASQ2!BV367,'Étape 1 - à remplir'!$N$31:$N$400,CE$3,'Étape 1 - à remplir'!$G$31:$G$400,"lots")))))))</f>
        <v>#N/A</v>
      </c>
      <c r="BX367">
        <f t="shared" si="258"/>
        <v>0</v>
      </c>
      <c r="BY367" t="str">
        <f t="shared" si="242"/>
        <v>Pénéthamate (ou pénéthacilline)</v>
      </c>
      <c r="BZ367" t="str">
        <f t="shared" si="243"/>
        <v/>
      </c>
      <c r="CA367" t="str">
        <f t="shared" si="244"/>
        <v/>
      </c>
      <c r="CB367" t="str">
        <f t="shared" si="245"/>
        <v>Penicillines</v>
      </c>
      <c r="CC367" t="str">
        <f t="shared" si="246"/>
        <v/>
      </c>
      <c r="CD367" s="63" t="str">
        <f t="shared" si="247"/>
        <v/>
      </c>
      <c r="CG367" s="42">
        <v>364</v>
      </c>
      <c r="CH367" s="42" t="e">
        <f t="shared" si="263"/>
        <v>#N/A</v>
      </c>
      <c r="CI367" s="63" t="e">
        <f t="shared" si="264"/>
        <v>#N/A</v>
      </c>
      <c r="DM367" s="63"/>
      <c r="EA367" s="194" t="str">
        <f t="shared" ca="1" si="248"/>
        <v/>
      </c>
      <c r="EB367" s="226" t="str">
        <f>IFERROR(IF(ED367=0,"",COUNTIF(ED$4:ED$600,"&gt;"&amp;ED367)+COUNTIF(ED$4:ED367,ED367)),"")</f>
        <v/>
      </c>
      <c r="EC367" t="str">
        <f t="shared" si="249"/>
        <v>PENETHAONE 182,5 MG/ML POUDRE ET SOLVANT POUR SUSPENSION INJECTABLE POUR BOVINS</v>
      </c>
      <c r="ED367" t="e">
        <f>IF(IF(EL$2="Catégorie",IF(EL$3="Toutes",SUMIFS('Étape 1 - à remplir'!$F$31:$F$400,'Étape 1 - à remplir'!$E$31:$E$400,MASQ2!EC367,'Étape 1 - à remplir'!$G$31:$G$400,"kg"),SUMIFS('Étape 1 - à remplir'!$F$31:$F$400,'Étape 1 - à remplir'!$E$31:$E$400,MASQ2!EC367,'Étape 1 - à remplir'!$C$31:$C$400,EL$3)),IF(EL$2="Âge",IF(EL$3="Tous",SUMIFS('Étape 1 - à remplir'!$F$31:$F$400,'Étape 1 - à remplir'!$E$31:$E$400,MASQ2!EC367,'Étape 1 - à remplir'!$G$31:$G$400,"kg"),SUMIFS('Étape 1 - à remplir'!$F$31:$F$400,'Étape 1 - à remplir'!$E$31:$E$400,MASQ2!EC367,'Étape 1 - à remplir'!$P$31:$P$400,EL$3,'Étape 1 - à remplir'!$G$31:$G$400,"kg")),IF(EL$2="Atelier",IF(EL$3="Tous",SUMIFS('Étape 1 - à remplir'!$F$31:$F$400,'Étape 1 - à remplir'!$E$31:$E$400,MASQ2!EC367,'Étape 1 - à remplir'!$G$31:$G$400,"kg"),SUMIFS('Étape 1 - à remplir'!$F$31:$F$400,'Étape 1 - à remplir'!$E$31:$E$400,MASQ2!EC367,'Étape 1 - à remplir'!$O$31:$O$400,EL$3,'Étape 1 - à remplir'!$G$31:$G$400,"kg")),IF(EL$2="Espèce",IF(EL$3="Toutes",SUMIFS('Étape 1 - à remplir'!$F$31:$F$400,'Étape 1 - à remplir'!$E$31:$E$400,MASQ2!EC367,'Étape 1 - à remplir'!$G$31:$G$400,"kg"),SUMIFS('Étape 1 - à remplir'!$F$31:$F$400,'Étape 1 - à remplir'!$E$31:$E$400,MASQ2!EC367,'Étape 1 - à remplir'!$N$31:$N$400,EL$3,'Étape 1 - à remplir'!$G$31:$G$400,"kg"))))))=0,NA(),IF(EL$2="Catégorie",IF(EL$3="Toutes",SUMIFS('Étape 1 - à remplir'!$F$31:$F$400,'Étape 1 - à remplir'!$E$31:$E$400,MASQ2!EC367,'Étape 1 - à remplir'!$G$31:$G$400,"kg"),SUMIFS('Étape 1 - à remplir'!$F$31:$F$400,'Étape 1 - à remplir'!$E$31:$E$400,MASQ2!EC367,'Étape 1 - à remplir'!$C$31:$C$400,EL$3)),IF(EL$2="Âge",IF(EL$3="Tous",SUMIFS('Étape 1 - à remplir'!$F$31:$F$400,'Étape 1 - à remplir'!$E$31:$E$400,MASQ2!EC367,'Étape 1 - à remplir'!$G$31:$G$400,"kg"),SUMIFS('Étape 1 - à remplir'!$F$31:$F$400,'Étape 1 - à remplir'!$E$31:$E$400,MASQ2!EC367,'Étape 1 - à remplir'!$P$31:$P$400,EL$3,'Étape 1 - à remplir'!$G$31:$G$400,"kg")),IF(EL$2="Atelier",IF(EL$3="Tous",SUMIFS('Étape 1 - à remplir'!$F$31:$F$400,'Étape 1 - à remplir'!$E$31:$E$400,MASQ2!EC367,'Étape 1 - à remplir'!$G$31:$G$400,"kg"),SUMIFS('Étape 1 - à remplir'!$F$31:$F$400,'Étape 1 - à remplir'!$E$31:$E$400,MASQ2!EC367,'Étape 1 - à remplir'!$O$31:$O$400,EL$3,'Étape 1 - à remplir'!$G$31:$G$400,"kg")),IF(EL$2="Espèce",IF(EL$3="Toutes",SUMIFS('Étape 1 - à remplir'!$F$31:$F$400,'Étape 1 - à remplir'!$E$31:$E$400,MASQ2!EC367,'Étape 1 - à remplir'!$G$31:$G$400,"kg"),SUMIFS('Étape 1 - à remplir'!$F$31:$F$400,'Étape 1 - à remplir'!$E$31:$E$400,MASQ2!EC367,'Étape 1 - à remplir'!$N$31:$N$400,EL$3,'Étape 1 - à remplir'!$G$31:$G$400,"kg")))))))</f>
        <v>#N/A</v>
      </c>
      <c r="EE367" s="76">
        <f t="shared" si="259"/>
        <v>0</v>
      </c>
      <c r="EF367" t="str">
        <f t="shared" si="250"/>
        <v>Pénéthamate (ou pénéthacilline)</v>
      </c>
      <c r="EG367" t="str">
        <f t="shared" si="251"/>
        <v/>
      </c>
      <c r="EH367" t="str">
        <f t="shared" si="252"/>
        <v/>
      </c>
      <c r="EI367" t="str">
        <f t="shared" si="253"/>
        <v>Penicillines</v>
      </c>
      <c r="EJ367" t="str">
        <f t="shared" si="254"/>
        <v/>
      </c>
      <c r="EK367" s="63" t="str">
        <f t="shared" si="255"/>
        <v/>
      </c>
      <c r="EN367" s="42">
        <v>364</v>
      </c>
      <c r="EO367" t="e">
        <f t="shared" si="261"/>
        <v>#N/A</v>
      </c>
      <c r="EP367" s="63" t="e">
        <f t="shared" si="262"/>
        <v>#N/A</v>
      </c>
      <c r="FT367" s="63"/>
    </row>
    <row r="368" spans="2:176" x14ac:dyDescent="0.3">
      <c r="B368" s="42"/>
      <c r="M368" s="194" t="str">
        <f ca="1">INDEX(Données_ATB!BD:BU,MATCH(MASQ2!O368,Données_ATB!BD:BD,0),18)</f>
        <v/>
      </c>
      <c r="N368" s="14" t="str">
        <f>IFERROR(IF(Q368=0,"",COUNTIF(Q$4:Q$600,"&gt;"&amp;Q368)+COUNTIF(Q$4:Q368,Q368)),"")</f>
        <v/>
      </c>
      <c r="O368" t="str">
        <f>Données_ATB!BD367</f>
        <v>PEN-HISTA-STREP</v>
      </c>
      <c r="P368" t="e">
        <f>IF(IF(X$2="Catégorie",IF(X$3="Toutes",SUMIFS('Étape 1 - à remplir'!$F$31:$F$400,'Étape 1 - à remplir'!$E$31:$E$400,MASQ2!O368,'Étape 1 - à remplir'!$G$31:$G$400,"animaux"),SUMIFS('Étape 1 - à remplir'!$F$31:$F$400,'Étape 1 - à remplir'!$E$31:$E$400,MASQ2!O368,'Étape 1 - à remplir'!$C$31:$C$400,X$3)),IF(X$2="Âge",IF(X$3="Tous",SUMIFS('Étape 1 - à remplir'!$F$31:$F$400,'Étape 1 - à remplir'!$E$31:$E$400,MASQ2!O368,'Étape 1 - à remplir'!$G$31:$G$400,"animaux"),SUMIFS('Étape 1 - à remplir'!$F$31:$F$400,'Étape 1 - à remplir'!$E$31:$E$400,MASQ2!O368,'Étape 1 - à remplir'!$P$31:$P$400,X$3)),IF(X$2="Atelier",IF(X$3="Tous",SUMIFS('Étape 1 - à remplir'!$F$31:$F$400,'Étape 1 - à remplir'!$E$31:$E$400,MASQ2!O368,'Étape 1 - à remplir'!$G$31:$G$400,"animaux"),SUMIFS('Étape 1 - à remplir'!$F$31:$F$400,'Étape 1 - à remplir'!$E$31:$E$400,MASQ2!O368,'Étape 1 - à remplir'!$O$31:$O$400,X$3)),IF(X$2="Espèce",IF(X$3="Toutes",SUMIFS('Étape 1 - à remplir'!$F$31:$F$400,'Étape 1 - à remplir'!$E$31:$E$400,MASQ2!O368,'Étape 1 - à remplir'!$G$31:$G$400,"animaux"),SUMIFS('Étape 1 - à remplir'!$F$31:$F$400,'Étape 1 - à remplir'!$E$31:$E$400,MASQ2!O368,'Étape 1 - à remplir'!$N$31:$N$400,X$3))))))=0,NA(),IF(X$2="Catégorie",IF(X$3="Toutes",SUMIFS('Étape 1 - à remplir'!$F$31:$F$400,'Étape 1 - à remplir'!$E$31:$E$400,MASQ2!O368,'Étape 1 - à remplir'!$G$31:$G$400,"animaux"),SUMIFS('Étape 1 - à remplir'!$F$31:$F$400,'Étape 1 - à remplir'!$E$31:$E$400,MASQ2!O368,'Étape 1 - à remplir'!$C$31:$C$400,X$3)),IF(X$2="Âge",IF(X$3="Tous",SUMIFS('Étape 1 - à remplir'!$F$31:$F$400,'Étape 1 - à remplir'!$E$31:$E$400,MASQ2!O368,'Étape 1 - à remplir'!$G$31:$G$400,"animaux"),SUMIFS('Étape 1 - à remplir'!$F$31:$F$400,'Étape 1 - à remplir'!$E$31:$E$400,MASQ2!O368,'Étape 1 - à remplir'!$P$31:$P$400,X$3)),IF(X$2="Atelier",IF(X$3="Tous",SUMIFS('Étape 1 - à remplir'!$F$31:$F$400,'Étape 1 - à remplir'!$E$31:$E$400,MASQ2!O368,'Étape 1 - à remplir'!$G$31:$G$400,"animaux"),SUMIFS('Étape 1 - à remplir'!$F$31:$F$400,'Étape 1 - à remplir'!$E$31:$E$400,MASQ2!O368,'Étape 1 - à remplir'!$O$31:$O$400,X$3)),IF(X$2="Espèce",IF(X$3="Toutes",SUMIFS('Étape 1 - à remplir'!$F$31:$F$400,'Étape 1 - à remplir'!$E$31:$E$400,MASQ2!O368,'Étape 1 - à remplir'!$G$31:$G$400,"animaux"),SUMIFS('Étape 1 - à remplir'!$F$31:$F$400,'Étape 1 - à remplir'!$E$31:$E$400,MASQ2!O368,'Étape 1 - à remplir'!$N$31:$N$400,X$3)))))))</f>
        <v>#N/A</v>
      </c>
      <c r="Q368" s="63">
        <f t="shared" si="260"/>
        <v>0</v>
      </c>
      <c r="R368" t="str">
        <f>Données_ATB!BM367</f>
        <v>Dihydrostreptomycine</v>
      </c>
      <c r="S368" t="str">
        <f>Données_ATB!BN367</f>
        <v>Benzylpénicilline</v>
      </c>
      <c r="T368" s="63" t="str">
        <f>Données_ATB!BO367</f>
        <v/>
      </c>
      <c r="U368" s="42" t="str">
        <f>Données_ATB!BQ367</f>
        <v>Aminoglycosides</v>
      </c>
      <c r="V368" t="str">
        <f>Données_ATB!BR367</f>
        <v>Penicillines</v>
      </c>
      <c r="W368" s="63" t="str">
        <f>Données_ATB!BS367</f>
        <v/>
      </c>
      <c r="Z368" s="42">
        <v>365</v>
      </c>
      <c r="AA368" t="e">
        <f t="shared" si="256"/>
        <v>#N/A</v>
      </c>
      <c r="AB368" s="63" t="e">
        <f t="shared" si="257"/>
        <v>#N/A</v>
      </c>
      <c r="BF368" s="63"/>
      <c r="BT368" s="194" t="str">
        <f t="shared" ca="1" si="240"/>
        <v/>
      </c>
      <c r="BU368" s="219" t="str">
        <f>IFERROR(IF(BX368=0,"",COUNTIF(BX$4:BX$600,"&gt;"&amp;BX368)+COUNTIF(BX$4:BX368,BX368)),"")</f>
        <v/>
      </c>
      <c r="BV368" s="42" t="str">
        <f t="shared" si="241"/>
        <v>PEN-HISTA-STREP</v>
      </c>
      <c r="BW368" t="e">
        <f>IF(IF(CE$2="Catégorie",IF(CE$3="Toutes",SUMIFS('Étape 1 - à remplir'!$F$31:$F$400,'Étape 1 - à remplir'!$E$31:$E$400,MASQ2!BV368,'Étape 1 - à remplir'!$G$31:$G$400,"lots"),SUMIFS('Étape 1 - à remplir'!$F$31:$F$400,'Étape 1 - à remplir'!$E$31:$E$400,MASQ2!BV368,'Étape 1 - à remplir'!$C$31:$C$400,CE$3)),IF(CE$2="Âge",IF(CE$3="Tous",SUMIFS('Étape 1 - à remplir'!$F$31:$F$400,'Étape 1 - à remplir'!$E$31:$E$400,MASQ2!BV368,'Étape 1 - à remplir'!$G$31:$G$400,"lots"),SUMIFS('Étape 1 - à remplir'!$F$31:$F$400,'Étape 1 - à remplir'!$E$31:$E$400,MASQ2!BV368,'Étape 1 - à remplir'!$P$31:$P$400,CE$3,'Étape 1 - à remplir'!$G$31:$G$400,"lots")),IF(CE$2="Atelier",IF(CE$3="Tous",SUMIFS('Étape 1 - à remplir'!$F$31:$F$400,'Étape 1 - à remplir'!$E$31:$E$400,MASQ2!BV368,'Étape 1 - à remplir'!$G$31:$G$400,"lots"),SUMIFS('Étape 1 - à remplir'!$F$31:$F$400,'Étape 1 - à remplir'!$E$31:$E$400,MASQ2!BV368,'Étape 1 - à remplir'!$O$31:$O$400,CE$3,'Étape 1 - à remplir'!$G$31:$G$400,"lots")),IF(CE$2="Espèce",IF(CE$3="Toutes",SUMIFS('Étape 1 - à remplir'!$F$31:$F$400,'Étape 1 - à remplir'!$E$31:$E$400,MASQ2!BV368,'Étape 1 - à remplir'!$G$31:$G$400,"lots"),SUMIFS('Étape 1 - à remplir'!$F$31:$F$400,'Étape 1 - à remplir'!$E$31:$E$400,MASQ2!BV368,'Étape 1 - à remplir'!$N$31:$N$400,CE$3,'Étape 1 - à remplir'!$G$31:$G$400,"lots"))))))=0,NA(),IF(CE$2="Catégorie",IF(CE$3="Toutes",SUMIFS('Étape 1 - à remplir'!$F$31:$F$400,'Étape 1 - à remplir'!$E$31:$E$400,MASQ2!BV368,'Étape 1 - à remplir'!$G$31:$G$400,"lots"),SUMIFS('Étape 1 - à remplir'!$F$31:$F$400,'Étape 1 - à remplir'!$E$31:$E$400,MASQ2!BV368,'Étape 1 - à remplir'!$C$31:$C$400,CE$3)),IF(CE$2="Âge",IF(CE$3="Tous",SUMIFS('Étape 1 - à remplir'!$F$31:$F$400,'Étape 1 - à remplir'!$E$31:$E$400,MASQ2!BV368,'Étape 1 - à remplir'!$G$31:$G$400,"lots"),SUMIFS('Étape 1 - à remplir'!$F$31:$F$400,'Étape 1 - à remplir'!$E$31:$E$400,MASQ2!BV368,'Étape 1 - à remplir'!$P$31:$P$400,CE$3,'Étape 1 - à remplir'!$G$31:$G$400,"lots")),IF(CE$2="Atelier",IF(CE$3="Tous",SUMIFS('Étape 1 - à remplir'!$F$31:$F$400,'Étape 1 - à remplir'!$E$31:$E$400,MASQ2!BV368,'Étape 1 - à remplir'!$G$31:$G$400,"lots"),SUMIFS('Étape 1 - à remplir'!$F$31:$F$400,'Étape 1 - à remplir'!$E$31:$E$400,MASQ2!BV368,'Étape 1 - à remplir'!$O$31:$O$400,CE$3,'Étape 1 - à remplir'!$G$31:$G$400,"lots")),IF(CE$2="Espèce",IF(CE$3="Toutes",SUMIFS('Étape 1 - à remplir'!$F$31:$F$400,'Étape 1 - à remplir'!$E$31:$E$400,MASQ2!BV368,'Étape 1 - à remplir'!$G$31:$G$400,"lots"),SUMIFS('Étape 1 - à remplir'!$F$31:$F$400,'Étape 1 - à remplir'!$E$31:$E$400,MASQ2!BV368,'Étape 1 - à remplir'!$N$31:$N$400,CE$3,'Étape 1 - à remplir'!$G$31:$G$400,"lots")))))))</f>
        <v>#N/A</v>
      </c>
      <c r="BX368">
        <f t="shared" si="258"/>
        <v>0</v>
      </c>
      <c r="BY368" t="str">
        <f t="shared" si="242"/>
        <v>Dihydrostreptomycine</v>
      </c>
      <c r="BZ368" t="str">
        <f t="shared" si="243"/>
        <v>Benzylpénicilline</v>
      </c>
      <c r="CA368" t="str">
        <f t="shared" si="244"/>
        <v/>
      </c>
      <c r="CB368" t="str">
        <f t="shared" si="245"/>
        <v>Aminoglycosides</v>
      </c>
      <c r="CC368" t="str">
        <f t="shared" si="246"/>
        <v>Penicillines</v>
      </c>
      <c r="CD368" s="63" t="str">
        <f t="shared" si="247"/>
        <v/>
      </c>
      <c r="CG368" s="42">
        <v>365</v>
      </c>
      <c r="CH368" s="42" t="e">
        <f t="shared" si="263"/>
        <v>#N/A</v>
      </c>
      <c r="CI368" s="63" t="e">
        <f t="shared" si="264"/>
        <v>#N/A</v>
      </c>
      <c r="DM368" s="63"/>
      <c r="EA368" s="194" t="str">
        <f t="shared" ca="1" si="248"/>
        <v/>
      </c>
      <c r="EB368" s="226" t="str">
        <f>IFERROR(IF(ED368=0,"",COUNTIF(ED$4:ED$600,"&gt;"&amp;ED368)+COUNTIF(ED$4:ED368,ED368)),"")</f>
        <v/>
      </c>
      <c r="EC368" t="str">
        <f t="shared" si="249"/>
        <v>PEN-HISTA-STREP</v>
      </c>
      <c r="ED368" t="e">
        <f>IF(IF(EL$2="Catégorie",IF(EL$3="Toutes",SUMIFS('Étape 1 - à remplir'!$F$31:$F$400,'Étape 1 - à remplir'!$E$31:$E$400,MASQ2!EC368,'Étape 1 - à remplir'!$G$31:$G$400,"kg"),SUMIFS('Étape 1 - à remplir'!$F$31:$F$400,'Étape 1 - à remplir'!$E$31:$E$400,MASQ2!EC368,'Étape 1 - à remplir'!$C$31:$C$400,EL$3)),IF(EL$2="Âge",IF(EL$3="Tous",SUMIFS('Étape 1 - à remplir'!$F$31:$F$400,'Étape 1 - à remplir'!$E$31:$E$400,MASQ2!EC368,'Étape 1 - à remplir'!$G$31:$G$400,"kg"),SUMIFS('Étape 1 - à remplir'!$F$31:$F$400,'Étape 1 - à remplir'!$E$31:$E$400,MASQ2!EC368,'Étape 1 - à remplir'!$P$31:$P$400,EL$3,'Étape 1 - à remplir'!$G$31:$G$400,"kg")),IF(EL$2="Atelier",IF(EL$3="Tous",SUMIFS('Étape 1 - à remplir'!$F$31:$F$400,'Étape 1 - à remplir'!$E$31:$E$400,MASQ2!EC368,'Étape 1 - à remplir'!$G$31:$G$400,"kg"),SUMIFS('Étape 1 - à remplir'!$F$31:$F$400,'Étape 1 - à remplir'!$E$31:$E$400,MASQ2!EC368,'Étape 1 - à remplir'!$O$31:$O$400,EL$3,'Étape 1 - à remplir'!$G$31:$G$400,"kg")),IF(EL$2="Espèce",IF(EL$3="Toutes",SUMIFS('Étape 1 - à remplir'!$F$31:$F$400,'Étape 1 - à remplir'!$E$31:$E$400,MASQ2!EC368,'Étape 1 - à remplir'!$G$31:$G$400,"kg"),SUMIFS('Étape 1 - à remplir'!$F$31:$F$400,'Étape 1 - à remplir'!$E$31:$E$400,MASQ2!EC368,'Étape 1 - à remplir'!$N$31:$N$400,EL$3,'Étape 1 - à remplir'!$G$31:$G$400,"kg"))))))=0,NA(),IF(EL$2="Catégorie",IF(EL$3="Toutes",SUMIFS('Étape 1 - à remplir'!$F$31:$F$400,'Étape 1 - à remplir'!$E$31:$E$400,MASQ2!EC368,'Étape 1 - à remplir'!$G$31:$G$400,"kg"),SUMIFS('Étape 1 - à remplir'!$F$31:$F$400,'Étape 1 - à remplir'!$E$31:$E$400,MASQ2!EC368,'Étape 1 - à remplir'!$C$31:$C$400,EL$3)),IF(EL$2="Âge",IF(EL$3="Tous",SUMIFS('Étape 1 - à remplir'!$F$31:$F$400,'Étape 1 - à remplir'!$E$31:$E$400,MASQ2!EC368,'Étape 1 - à remplir'!$G$31:$G$400,"kg"),SUMIFS('Étape 1 - à remplir'!$F$31:$F$400,'Étape 1 - à remplir'!$E$31:$E$400,MASQ2!EC368,'Étape 1 - à remplir'!$P$31:$P$400,EL$3,'Étape 1 - à remplir'!$G$31:$G$400,"kg")),IF(EL$2="Atelier",IF(EL$3="Tous",SUMIFS('Étape 1 - à remplir'!$F$31:$F$400,'Étape 1 - à remplir'!$E$31:$E$400,MASQ2!EC368,'Étape 1 - à remplir'!$G$31:$G$400,"kg"),SUMIFS('Étape 1 - à remplir'!$F$31:$F$400,'Étape 1 - à remplir'!$E$31:$E$400,MASQ2!EC368,'Étape 1 - à remplir'!$O$31:$O$400,EL$3,'Étape 1 - à remplir'!$G$31:$G$400,"kg")),IF(EL$2="Espèce",IF(EL$3="Toutes",SUMIFS('Étape 1 - à remplir'!$F$31:$F$400,'Étape 1 - à remplir'!$E$31:$E$400,MASQ2!EC368,'Étape 1 - à remplir'!$G$31:$G$400,"kg"),SUMIFS('Étape 1 - à remplir'!$F$31:$F$400,'Étape 1 - à remplir'!$E$31:$E$400,MASQ2!EC368,'Étape 1 - à remplir'!$N$31:$N$400,EL$3,'Étape 1 - à remplir'!$G$31:$G$400,"kg")))))))</f>
        <v>#N/A</v>
      </c>
      <c r="EE368" s="76">
        <f t="shared" si="259"/>
        <v>0</v>
      </c>
      <c r="EF368" t="str">
        <f t="shared" si="250"/>
        <v>Dihydrostreptomycine</v>
      </c>
      <c r="EG368" t="str">
        <f t="shared" si="251"/>
        <v>Benzylpénicilline</v>
      </c>
      <c r="EH368" t="str">
        <f t="shared" si="252"/>
        <v/>
      </c>
      <c r="EI368" t="str">
        <f t="shared" si="253"/>
        <v>Aminoglycosides</v>
      </c>
      <c r="EJ368" t="str">
        <f t="shared" si="254"/>
        <v>Penicillines</v>
      </c>
      <c r="EK368" s="63" t="str">
        <f t="shared" si="255"/>
        <v/>
      </c>
      <c r="EN368" s="42">
        <v>365</v>
      </c>
      <c r="EO368" t="e">
        <f t="shared" si="261"/>
        <v>#N/A</v>
      </c>
      <c r="EP368" s="63" t="e">
        <f t="shared" si="262"/>
        <v>#N/A</v>
      </c>
      <c r="FT368" s="63"/>
    </row>
    <row r="369" spans="2:176" x14ac:dyDescent="0.3">
      <c r="B369" s="42"/>
      <c r="M369" s="194" t="str">
        <f ca="1">INDEX(Données_ATB!BD:BU,MATCH(MASQ2!O369,Données_ATB!BD:BD,0),18)</f>
        <v/>
      </c>
      <c r="N369" s="14" t="str">
        <f>IFERROR(IF(Q369=0,"",COUNTIF(Q$4:Q$600,"&gt;"&amp;Q369)+COUNTIF(Q$4:Q369,Q369)),"")</f>
        <v/>
      </c>
      <c r="O369" t="str">
        <f>Données_ATB!BD368</f>
        <v>PENI DHS COOPHAVET</v>
      </c>
      <c r="P369" t="e">
        <f>IF(IF(X$2="Catégorie",IF(X$3="Toutes",SUMIFS('Étape 1 - à remplir'!$F$31:$F$400,'Étape 1 - à remplir'!$E$31:$E$400,MASQ2!O369,'Étape 1 - à remplir'!$G$31:$G$400,"animaux"),SUMIFS('Étape 1 - à remplir'!$F$31:$F$400,'Étape 1 - à remplir'!$E$31:$E$400,MASQ2!O369,'Étape 1 - à remplir'!$C$31:$C$400,X$3)),IF(X$2="Âge",IF(X$3="Tous",SUMIFS('Étape 1 - à remplir'!$F$31:$F$400,'Étape 1 - à remplir'!$E$31:$E$400,MASQ2!O369,'Étape 1 - à remplir'!$G$31:$G$400,"animaux"),SUMIFS('Étape 1 - à remplir'!$F$31:$F$400,'Étape 1 - à remplir'!$E$31:$E$400,MASQ2!O369,'Étape 1 - à remplir'!$P$31:$P$400,X$3)),IF(X$2="Atelier",IF(X$3="Tous",SUMIFS('Étape 1 - à remplir'!$F$31:$F$400,'Étape 1 - à remplir'!$E$31:$E$400,MASQ2!O369,'Étape 1 - à remplir'!$G$31:$G$400,"animaux"),SUMIFS('Étape 1 - à remplir'!$F$31:$F$400,'Étape 1 - à remplir'!$E$31:$E$400,MASQ2!O369,'Étape 1 - à remplir'!$O$31:$O$400,X$3)),IF(X$2="Espèce",IF(X$3="Toutes",SUMIFS('Étape 1 - à remplir'!$F$31:$F$400,'Étape 1 - à remplir'!$E$31:$E$400,MASQ2!O369,'Étape 1 - à remplir'!$G$31:$G$400,"animaux"),SUMIFS('Étape 1 - à remplir'!$F$31:$F$400,'Étape 1 - à remplir'!$E$31:$E$400,MASQ2!O369,'Étape 1 - à remplir'!$N$31:$N$400,X$3))))))=0,NA(),IF(X$2="Catégorie",IF(X$3="Toutes",SUMIFS('Étape 1 - à remplir'!$F$31:$F$400,'Étape 1 - à remplir'!$E$31:$E$400,MASQ2!O369,'Étape 1 - à remplir'!$G$31:$G$400,"animaux"),SUMIFS('Étape 1 - à remplir'!$F$31:$F$400,'Étape 1 - à remplir'!$E$31:$E$400,MASQ2!O369,'Étape 1 - à remplir'!$C$31:$C$400,X$3)),IF(X$2="Âge",IF(X$3="Tous",SUMIFS('Étape 1 - à remplir'!$F$31:$F$400,'Étape 1 - à remplir'!$E$31:$E$400,MASQ2!O369,'Étape 1 - à remplir'!$G$31:$G$400,"animaux"),SUMIFS('Étape 1 - à remplir'!$F$31:$F$400,'Étape 1 - à remplir'!$E$31:$E$400,MASQ2!O369,'Étape 1 - à remplir'!$P$31:$P$400,X$3)),IF(X$2="Atelier",IF(X$3="Tous",SUMIFS('Étape 1 - à remplir'!$F$31:$F$400,'Étape 1 - à remplir'!$E$31:$E$400,MASQ2!O369,'Étape 1 - à remplir'!$G$31:$G$400,"animaux"),SUMIFS('Étape 1 - à remplir'!$F$31:$F$400,'Étape 1 - à remplir'!$E$31:$E$400,MASQ2!O369,'Étape 1 - à remplir'!$O$31:$O$400,X$3)),IF(X$2="Espèce",IF(X$3="Toutes",SUMIFS('Étape 1 - à remplir'!$F$31:$F$400,'Étape 1 - à remplir'!$E$31:$E$400,MASQ2!O369,'Étape 1 - à remplir'!$G$31:$G$400,"animaux"),SUMIFS('Étape 1 - à remplir'!$F$31:$F$400,'Étape 1 - à remplir'!$E$31:$E$400,MASQ2!O369,'Étape 1 - à remplir'!$N$31:$N$400,X$3)))))))</f>
        <v>#N/A</v>
      </c>
      <c r="Q369" s="63">
        <f t="shared" si="260"/>
        <v>0</v>
      </c>
      <c r="R369" t="str">
        <f>Données_ATB!BM368</f>
        <v>Dihydrostreptomycine</v>
      </c>
      <c r="S369" t="str">
        <f>Données_ATB!BN368</f>
        <v>Benzylpénicilline</v>
      </c>
      <c r="T369" s="63" t="str">
        <f>Données_ATB!BO368</f>
        <v/>
      </c>
      <c r="U369" s="42" t="str">
        <f>Données_ATB!BQ368</f>
        <v>Aminoglycosides</v>
      </c>
      <c r="V369" t="str">
        <f>Données_ATB!BR368</f>
        <v>Penicillines</v>
      </c>
      <c r="W369" s="63" t="str">
        <f>Données_ATB!BS368</f>
        <v/>
      </c>
      <c r="Z369" s="42">
        <v>366</v>
      </c>
      <c r="AA369" t="e">
        <f t="shared" si="256"/>
        <v>#N/A</v>
      </c>
      <c r="AB369" s="63" t="e">
        <f t="shared" si="257"/>
        <v>#N/A</v>
      </c>
      <c r="BF369" s="63"/>
      <c r="BT369" s="194" t="str">
        <f t="shared" ca="1" si="240"/>
        <v/>
      </c>
      <c r="BU369" s="219" t="str">
        <f>IFERROR(IF(BX369=0,"",COUNTIF(BX$4:BX$600,"&gt;"&amp;BX369)+COUNTIF(BX$4:BX369,BX369)),"")</f>
        <v/>
      </c>
      <c r="BV369" s="42" t="str">
        <f t="shared" si="241"/>
        <v>PENI DHS COOPHAVET</v>
      </c>
      <c r="BW369" t="e">
        <f>IF(IF(CE$2="Catégorie",IF(CE$3="Toutes",SUMIFS('Étape 1 - à remplir'!$F$31:$F$400,'Étape 1 - à remplir'!$E$31:$E$400,MASQ2!BV369,'Étape 1 - à remplir'!$G$31:$G$400,"lots"),SUMIFS('Étape 1 - à remplir'!$F$31:$F$400,'Étape 1 - à remplir'!$E$31:$E$400,MASQ2!BV369,'Étape 1 - à remplir'!$C$31:$C$400,CE$3)),IF(CE$2="Âge",IF(CE$3="Tous",SUMIFS('Étape 1 - à remplir'!$F$31:$F$400,'Étape 1 - à remplir'!$E$31:$E$400,MASQ2!BV369,'Étape 1 - à remplir'!$G$31:$G$400,"lots"),SUMIFS('Étape 1 - à remplir'!$F$31:$F$400,'Étape 1 - à remplir'!$E$31:$E$400,MASQ2!BV369,'Étape 1 - à remplir'!$P$31:$P$400,CE$3,'Étape 1 - à remplir'!$G$31:$G$400,"lots")),IF(CE$2="Atelier",IF(CE$3="Tous",SUMIFS('Étape 1 - à remplir'!$F$31:$F$400,'Étape 1 - à remplir'!$E$31:$E$400,MASQ2!BV369,'Étape 1 - à remplir'!$G$31:$G$400,"lots"),SUMIFS('Étape 1 - à remplir'!$F$31:$F$400,'Étape 1 - à remplir'!$E$31:$E$400,MASQ2!BV369,'Étape 1 - à remplir'!$O$31:$O$400,CE$3,'Étape 1 - à remplir'!$G$31:$G$400,"lots")),IF(CE$2="Espèce",IF(CE$3="Toutes",SUMIFS('Étape 1 - à remplir'!$F$31:$F$400,'Étape 1 - à remplir'!$E$31:$E$400,MASQ2!BV369,'Étape 1 - à remplir'!$G$31:$G$400,"lots"),SUMIFS('Étape 1 - à remplir'!$F$31:$F$400,'Étape 1 - à remplir'!$E$31:$E$400,MASQ2!BV369,'Étape 1 - à remplir'!$N$31:$N$400,CE$3,'Étape 1 - à remplir'!$G$31:$G$400,"lots"))))))=0,NA(),IF(CE$2="Catégorie",IF(CE$3="Toutes",SUMIFS('Étape 1 - à remplir'!$F$31:$F$400,'Étape 1 - à remplir'!$E$31:$E$400,MASQ2!BV369,'Étape 1 - à remplir'!$G$31:$G$400,"lots"),SUMIFS('Étape 1 - à remplir'!$F$31:$F$400,'Étape 1 - à remplir'!$E$31:$E$400,MASQ2!BV369,'Étape 1 - à remplir'!$C$31:$C$400,CE$3)),IF(CE$2="Âge",IF(CE$3="Tous",SUMIFS('Étape 1 - à remplir'!$F$31:$F$400,'Étape 1 - à remplir'!$E$31:$E$400,MASQ2!BV369,'Étape 1 - à remplir'!$G$31:$G$400,"lots"),SUMIFS('Étape 1 - à remplir'!$F$31:$F$400,'Étape 1 - à remplir'!$E$31:$E$400,MASQ2!BV369,'Étape 1 - à remplir'!$P$31:$P$400,CE$3,'Étape 1 - à remplir'!$G$31:$G$400,"lots")),IF(CE$2="Atelier",IF(CE$3="Tous",SUMIFS('Étape 1 - à remplir'!$F$31:$F$400,'Étape 1 - à remplir'!$E$31:$E$400,MASQ2!BV369,'Étape 1 - à remplir'!$G$31:$G$400,"lots"),SUMIFS('Étape 1 - à remplir'!$F$31:$F$400,'Étape 1 - à remplir'!$E$31:$E$400,MASQ2!BV369,'Étape 1 - à remplir'!$O$31:$O$400,CE$3,'Étape 1 - à remplir'!$G$31:$G$400,"lots")),IF(CE$2="Espèce",IF(CE$3="Toutes",SUMIFS('Étape 1 - à remplir'!$F$31:$F$400,'Étape 1 - à remplir'!$E$31:$E$400,MASQ2!BV369,'Étape 1 - à remplir'!$G$31:$G$400,"lots"),SUMIFS('Étape 1 - à remplir'!$F$31:$F$400,'Étape 1 - à remplir'!$E$31:$E$400,MASQ2!BV369,'Étape 1 - à remplir'!$N$31:$N$400,CE$3,'Étape 1 - à remplir'!$G$31:$G$400,"lots")))))))</f>
        <v>#N/A</v>
      </c>
      <c r="BX369">
        <f t="shared" si="258"/>
        <v>0</v>
      </c>
      <c r="BY369" t="str">
        <f t="shared" si="242"/>
        <v>Dihydrostreptomycine</v>
      </c>
      <c r="BZ369" t="str">
        <f t="shared" si="243"/>
        <v>Benzylpénicilline</v>
      </c>
      <c r="CA369" t="str">
        <f t="shared" si="244"/>
        <v/>
      </c>
      <c r="CB369" t="str">
        <f t="shared" si="245"/>
        <v>Aminoglycosides</v>
      </c>
      <c r="CC369" t="str">
        <f t="shared" si="246"/>
        <v>Penicillines</v>
      </c>
      <c r="CD369" s="63" t="str">
        <f t="shared" si="247"/>
        <v/>
      </c>
      <c r="CG369" s="42">
        <v>366</v>
      </c>
      <c r="CH369" s="42" t="e">
        <f t="shared" si="263"/>
        <v>#N/A</v>
      </c>
      <c r="CI369" s="63" t="e">
        <f t="shared" si="264"/>
        <v>#N/A</v>
      </c>
      <c r="DM369" s="63"/>
      <c r="EA369" s="194" t="str">
        <f t="shared" ca="1" si="248"/>
        <v/>
      </c>
      <c r="EB369" s="226" t="str">
        <f>IFERROR(IF(ED369=0,"",COUNTIF(ED$4:ED$600,"&gt;"&amp;ED369)+COUNTIF(ED$4:ED369,ED369)),"")</f>
        <v/>
      </c>
      <c r="EC369" t="str">
        <f t="shared" si="249"/>
        <v>PENI DHS COOPHAVET</v>
      </c>
      <c r="ED369" t="e">
        <f>IF(IF(EL$2="Catégorie",IF(EL$3="Toutes",SUMIFS('Étape 1 - à remplir'!$F$31:$F$400,'Étape 1 - à remplir'!$E$31:$E$400,MASQ2!EC369,'Étape 1 - à remplir'!$G$31:$G$400,"kg"),SUMIFS('Étape 1 - à remplir'!$F$31:$F$400,'Étape 1 - à remplir'!$E$31:$E$400,MASQ2!EC369,'Étape 1 - à remplir'!$C$31:$C$400,EL$3)),IF(EL$2="Âge",IF(EL$3="Tous",SUMIFS('Étape 1 - à remplir'!$F$31:$F$400,'Étape 1 - à remplir'!$E$31:$E$400,MASQ2!EC369,'Étape 1 - à remplir'!$G$31:$G$400,"kg"),SUMIFS('Étape 1 - à remplir'!$F$31:$F$400,'Étape 1 - à remplir'!$E$31:$E$400,MASQ2!EC369,'Étape 1 - à remplir'!$P$31:$P$400,EL$3,'Étape 1 - à remplir'!$G$31:$G$400,"kg")),IF(EL$2="Atelier",IF(EL$3="Tous",SUMIFS('Étape 1 - à remplir'!$F$31:$F$400,'Étape 1 - à remplir'!$E$31:$E$400,MASQ2!EC369,'Étape 1 - à remplir'!$G$31:$G$400,"kg"),SUMIFS('Étape 1 - à remplir'!$F$31:$F$400,'Étape 1 - à remplir'!$E$31:$E$400,MASQ2!EC369,'Étape 1 - à remplir'!$O$31:$O$400,EL$3,'Étape 1 - à remplir'!$G$31:$G$400,"kg")),IF(EL$2="Espèce",IF(EL$3="Toutes",SUMIFS('Étape 1 - à remplir'!$F$31:$F$400,'Étape 1 - à remplir'!$E$31:$E$400,MASQ2!EC369,'Étape 1 - à remplir'!$G$31:$G$400,"kg"),SUMIFS('Étape 1 - à remplir'!$F$31:$F$400,'Étape 1 - à remplir'!$E$31:$E$400,MASQ2!EC369,'Étape 1 - à remplir'!$N$31:$N$400,EL$3,'Étape 1 - à remplir'!$G$31:$G$400,"kg"))))))=0,NA(),IF(EL$2="Catégorie",IF(EL$3="Toutes",SUMIFS('Étape 1 - à remplir'!$F$31:$F$400,'Étape 1 - à remplir'!$E$31:$E$400,MASQ2!EC369,'Étape 1 - à remplir'!$G$31:$G$400,"kg"),SUMIFS('Étape 1 - à remplir'!$F$31:$F$400,'Étape 1 - à remplir'!$E$31:$E$400,MASQ2!EC369,'Étape 1 - à remplir'!$C$31:$C$400,EL$3)),IF(EL$2="Âge",IF(EL$3="Tous",SUMIFS('Étape 1 - à remplir'!$F$31:$F$400,'Étape 1 - à remplir'!$E$31:$E$400,MASQ2!EC369,'Étape 1 - à remplir'!$G$31:$G$400,"kg"),SUMIFS('Étape 1 - à remplir'!$F$31:$F$400,'Étape 1 - à remplir'!$E$31:$E$400,MASQ2!EC369,'Étape 1 - à remplir'!$P$31:$P$400,EL$3,'Étape 1 - à remplir'!$G$31:$G$400,"kg")),IF(EL$2="Atelier",IF(EL$3="Tous",SUMIFS('Étape 1 - à remplir'!$F$31:$F$400,'Étape 1 - à remplir'!$E$31:$E$400,MASQ2!EC369,'Étape 1 - à remplir'!$G$31:$G$400,"kg"),SUMIFS('Étape 1 - à remplir'!$F$31:$F$400,'Étape 1 - à remplir'!$E$31:$E$400,MASQ2!EC369,'Étape 1 - à remplir'!$O$31:$O$400,EL$3,'Étape 1 - à remplir'!$G$31:$G$400,"kg")),IF(EL$2="Espèce",IF(EL$3="Toutes",SUMIFS('Étape 1 - à remplir'!$F$31:$F$400,'Étape 1 - à remplir'!$E$31:$E$400,MASQ2!EC369,'Étape 1 - à remplir'!$G$31:$G$400,"kg"),SUMIFS('Étape 1 - à remplir'!$F$31:$F$400,'Étape 1 - à remplir'!$E$31:$E$400,MASQ2!EC369,'Étape 1 - à remplir'!$N$31:$N$400,EL$3,'Étape 1 - à remplir'!$G$31:$G$400,"kg")))))))</f>
        <v>#N/A</v>
      </c>
      <c r="EE369" s="76">
        <f t="shared" si="259"/>
        <v>0</v>
      </c>
      <c r="EF369" t="str">
        <f t="shared" si="250"/>
        <v>Dihydrostreptomycine</v>
      </c>
      <c r="EG369" t="str">
        <f t="shared" si="251"/>
        <v>Benzylpénicilline</v>
      </c>
      <c r="EH369" t="str">
        <f t="shared" si="252"/>
        <v/>
      </c>
      <c r="EI369" t="str">
        <f t="shared" si="253"/>
        <v>Aminoglycosides</v>
      </c>
      <c r="EJ369" t="str">
        <f t="shared" si="254"/>
        <v>Penicillines</v>
      </c>
      <c r="EK369" s="63" t="str">
        <f t="shared" si="255"/>
        <v/>
      </c>
      <c r="EN369" s="42">
        <v>366</v>
      </c>
      <c r="EO369" t="e">
        <f t="shared" si="261"/>
        <v>#N/A</v>
      </c>
      <c r="EP369" s="63" t="e">
        <f t="shared" si="262"/>
        <v>#N/A</v>
      </c>
      <c r="FT369" s="63"/>
    </row>
    <row r="370" spans="2:176" x14ac:dyDescent="0.3">
      <c r="B370" s="42"/>
      <c r="M370" s="194" t="str">
        <f ca="1">INDEX(Données_ATB!BD:BU,MATCH(MASQ2!O370,Données_ATB!BD:BD,0),18)</f>
        <v/>
      </c>
      <c r="N370" s="14" t="str">
        <f>IFERROR(IF(Q370=0,"",COUNTIF(Q$4:Q$600,"&gt;"&amp;Q370)+COUNTIF(Q$4:Q370,Q370)),"")</f>
        <v/>
      </c>
      <c r="O370" t="str">
        <f>Données_ATB!BD369</f>
        <v>PENIJECTYL</v>
      </c>
      <c r="P370" t="e">
        <f>IF(IF(X$2="Catégorie",IF(X$3="Toutes",SUMIFS('Étape 1 - à remplir'!$F$31:$F$400,'Étape 1 - à remplir'!$E$31:$E$400,MASQ2!O370,'Étape 1 - à remplir'!$G$31:$G$400,"animaux"),SUMIFS('Étape 1 - à remplir'!$F$31:$F$400,'Étape 1 - à remplir'!$E$31:$E$400,MASQ2!O370,'Étape 1 - à remplir'!$C$31:$C$400,X$3)),IF(X$2="Âge",IF(X$3="Tous",SUMIFS('Étape 1 - à remplir'!$F$31:$F$400,'Étape 1 - à remplir'!$E$31:$E$400,MASQ2!O370,'Étape 1 - à remplir'!$G$31:$G$400,"animaux"),SUMIFS('Étape 1 - à remplir'!$F$31:$F$400,'Étape 1 - à remplir'!$E$31:$E$400,MASQ2!O370,'Étape 1 - à remplir'!$P$31:$P$400,X$3)),IF(X$2="Atelier",IF(X$3="Tous",SUMIFS('Étape 1 - à remplir'!$F$31:$F$400,'Étape 1 - à remplir'!$E$31:$E$400,MASQ2!O370,'Étape 1 - à remplir'!$G$31:$G$400,"animaux"),SUMIFS('Étape 1 - à remplir'!$F$31:$F$400,'Étape 1 - à remplir'!$E$31:$E$400,MASQ2!O370,'Étape 1 - à remplir'!$O$31:$O$400,X$3)),IF(X$2="Espèce",IF(X$3="Toutes",SUMIFS('Étape 1 - à remplir'!$F$31:$F$400,'Étape 1 - à remplir'!$E$31:$E$400,MASQ2!O370,'Étape 1 - à remplir'!$G$31:$G$400,"animaux"),SUMIFS('Étape 1 - à remplir'!$F$31:$F$400,'Étape 1 - à remplir'!$E$31:$E$400,MASQ2!O370,'Étape 1 - à remplir'!$N$31:$N$400,X$3))))))=0,NA(),IF(X$2="Catégorie",IF(X$3="Toutes",SUMIFS('Étape 1 - à remplir'!$F$31:$F$400,'Étape 1 - à remplir'!$E$31:$E$400,MASQ2!O370,'Étape 1 - à remplir'!$G$31:$G$400,"animaux"),SUMIFS('Étape 1 - à remplir'!$F$31:$F$400,'Étape 1 - à remplir'!$E$31:$E$400,MASQ2!O370,'Étape 1 - à remplir'!$C$31:$C$400,X$3)),IF(X$2="Âge",IF(X$3="Tous",SUMIFS('Étape 1 - à remplir'!$F$31:$F$400,'Étape 1 - à remplir'!$E$31:$E$400,MASQ2!O370,'Étape 1 - à remplir'!$G$31:$G$400,"animaux"),SUMIFS('Étape 1 - à remplir'!$F$31:$F$400,'Étape 1 - à remplir'!$E$31:$E$400,MASQ2!O370,'Étape 1 - à remplir'!$P$31:$P$400,X$3)),IF(X$2="Atelier",IF(X$3="Tous",SUMIFS('Étape 1 - à remplir'!$F$31:$F$400,'Étape 1 - à remplir'!$E$31:$E$400,MASQ2!O370,'Étape 1 - à remplir'!$G$31:$G$400,"animaux"),SUMIFS('Étape 1 - à remplir'!$F$31:$F$400,'Étape 1 - à remplir'!$E$31:$E$400,MASQ2!O370,'Étape 1 - à remplir'!$O$31:$O$400,X$3)),IF(X$2="Espèce",IF(X$3="Toutes",SUMIFS('Étape 1 - à remplir'!$F$31:$F$400,'Étape 1 - à remplir'!$E$31:$E$400,MASQ2!O370,'Étape 1 - à remplir'!$G$31:$G$400,"animaux"),SUMIFS('Étape 1 - à remplir'!$F$31:$F$400,'Étape 1 - à remplir'!$E$31:$E$400,MASQ2!O370,'Étape 1 - à remplir'!$N$31:$N$400,X$3)))))))</f>
        <v>#N/A</v>
      </c>
      <c r="Q370" s="63">
        <f t="shared" si="260"/>
        <v>0</v>
      </c>
      <c r="R370" t="str">
        <f>Données_ATB!BM369</f>
        <v>Dihydrostreptomycine</v>
      </c>
      <c r="S370" t="str">
        <f>Données_ATB!BN369</f>
        <v>Benzylpénicilline</v>
      </c>
      <c r="T370" s="63" t="str">
        <f>Données_ATB!BO369</f>
        <v/>
      </c>
      <c r="U370" s="42" t="str">
        <f>Données_ATB!BQ369</f>
        <v>Aminoglycosides</v>
      </c>
      <c r="V370" t="str">
        <f>Données_ATB!BR369</f>
        <v>Penicillines</v>
      </c>
      <c r="W370" s="63" t="str">
        <f>Données_ATB!BS369</f>
        <v/>
      </c>
      <c r="Z370" s="42">
        <v>367</v>
      </c>
      <c r="AA370" t="e">
        <f t="shared" si="256"/>
        <v>#N/A</v>
      </c>
      <c r="AB370" s="63" t="e">
        <f t="shared" si="257"/>
        <v>#N/A</v>
      </c>
      <c r="BF370" s="63"/>
      <c r="BT370" s="194" t="str">
        <f t="shared" ca="1" si="240"/>
        <v/>
      </c>
      <c r="BU370" s="219" t="str">
        <f>IFERROR(IF(BX370=0,"",COUNTIF(BX$4:BX$600,"&gt;"&amp;BX370)+COUNTIF(BX$4:BX370,BX370)),"")</f>
        <v/>
      </c>
      <c r="BV370" s="42" t="str">
        <f t="shared" si="241"/>
        <v>PENIJECTYL</v>
      </c>
      <c r="BW370" t="e">
        <f>IF(IF(CE$2="Catégorie",IF(CE$3="Toutes",SUMIFS('Étape 1 - à remplir'!$F$31:$F$400,'Étape 1 - à remplir'!$E$31:$E$400,MASQ2!BV370,'Étape 1 - à remplir'!$G$31:$G$400,"lots"),SUMIFS('Étape 1 - à remplir'!$F$31:$F$400,'Étape 1 - à remplir'!$E$31:$E$400,MASQ2!BV370,'Étape 1 - à remplir'!$C$31:$C$400,CE$3)),IF(CE$2="Âge",IF(CE$3="Tous",SUMIFS('Étape 1 - à remplir'!$F$31:$F$400,'Étape 1 - à remplir'!$E$31:$E$400,MASQ2!BV370,'Étape 1 - à remplir'!$G$31:$G$400,"lots"),SUMIFS('Étape 1 - à remplir'!$F$31:$F$400,'Étape 1 - à remplir'!$E$31:$E$400,MASQ2!BV370,'Étape 1 - à remplir'!$P$31:$P$400,CE$3,'Étape 1 - à remplir'!$G$31:$G$400,"lots")),IF(CE$2="Atelier",IF(CE$3="Tous",SUMIFS('Étape 1 - à remplir'!$F$31:$F$400,'Étape 1 - à remplir'!$E$31:$E$400,MASQ2!BV370,'Étape 1 - à remplir'!$G$31:$G$400,"lots"),SUMIFS('Étape 1 - à remplir'!$F$31:$F$400,'Étape 1 - à remplir'!$E$31:$E$400,MASQ2!BV370,'Étape 1 - à remplir'!$O$31:$O$400,CE$3,'Étape 1 - à remplir'!$G$31:$G$400,"lots")),IF(CE$2="Espèce",IF(CE$3="Toutes",SUMIFS('Étape 1 - à remplir'!$F$31:$F$400,'Étape 1 - à remplir'!$E$31:$E$400,MASQ2!BV370,'Étape 1 - à remplir'!$G$31:$G$400,"lots"),SUMIFS('Étape 1 - à remplir'!$F$31:$F$400,'Étape 1 - à remplir'!$E$31:$E$400,MASQ2!BV370,'Étape 1 - à remplir'!$N$31:$N$400,CE$3,'Étape 1 - à remplir'!$G$31:$G$400,"lots"))))))=0,NA(),IF(CE$2="Catégorie",IF(CE$3="Toutes",SUMIFS('Étape 1 - à remplir'!$F$31:$F$400,'Étape 1 - à remplir'!$E$31:$E$400,MASQ2!BV370,'Étape 1 - à remplir'!$G$31:$G$400,"lots"),SUMIFS('Étape 1 - à remplir'!$F$31:$F$400,'Étape 1 - à remplir'!$E$31:$E$400,MASQ2!BV370,'Étape 1 - à remplir'!$C$31:$C$400,CE$3)),IF(CE$2="Âge",IF(CE$3="Tous",SUMIFS('Étape 1 - à remplir'!$F$31:$F$400,'Étape 1 - à remplir'!$E$31:$E$400,MASQ2!BV370,'Étape 1 - à remplir'!$G$31:$G$400,"lots"),SUMIFS('Étape 1 - à remplir'!$F$31:$F$400,'Étape 1 - à remplir'!$E$31:$E$400,MASQ2!BV370,'Étape 1 - à remplir'!$P$31:$P$400,CE$3,'Étape 1 - à remplir'!$G$31:$G$400,"lots")),IF(CE$2="Atelier",IF(CE$3="Tous",SUMIFS('Étape 1 - à remplir'!$F$31:$F$400,'Étape 1 - à remplir'!$E$31:$E$400,MASQ2!BV370,'Étape 1 - à remplir'!$G$31:$G$400,"lots"),SUMIFS('Étape 1 - à remplir'!$F$31:$F$400,'Étape 1 - à remplir'!$E$31:$E$400,MASQ2!BV370,'Étape 1 - à remplir'!$O$31:$O$400,CE$3,'Étape 1 - à remplir'!$G$31:$G$400,"lots")),IF(CE$2="Espèce",IF(CE$3="Toutes",SUMIFS('Étape 1 - à remplir'!$F$31:$F$400,'Étape 1 - à remplir'!$E$31:$E$400,MASQ2!BV370,'Étape 1 - à remplir'!$G$31:$G$400,"lots"),SUMIFS('Étape 1 - à remplir'!$F$31:$F$400,'Étape 1 - à remplir'!$E$31:$E$400,MASQ2!BV370,'Étape 1 - à remplir'!$N$31:$N$400,CE$3,'Étape 1 - à remplir'!$G$31:$G$400,"lots")))))))</f>
        <v>#N/A</v>
      </c>
      <c r="BX370">
        <f t="shared" si="258"/>
        <v>0</v>
      </c>
      <c r="BY370" t="str">
        <f t="shared" si="242"/>
        <v>Dihydrostreptomycine</v>
      </c>
      <c r="BZ370" t="str">
        <f t="shared" si="243"/>
        <v>Benzylpénicilline</v>
      </c>
      <c r="CA370" t="str">
        <f t="shared" si="244"/>
        <v/>
      </c>
      <c r="CB370" t="str">
        <f t="shared" si="245"/>
        <v>Aminoglycosides</v>
      </c>
      <c r="CC370" t="str">
        <f t="shared" si="246"/>
        <v>Penicillines</v>
      </c>
      <c r="CD370" s="63" t="str">
        <f t="shared" si="247"/>
        <v/>
      </c>
      <c r="CG370" s="42">
        <v>367</v>
      </c>
      <c r="CH370" s="42" t="e">
        <f t="shared" si="263"/>
        <v>#N/A</v>
      </c>
      <c r="CI370" s="63" t="e">
        <f t="shared" si="264"/>
        <v>#N/A</v>
      </c>
      <c r="DM370" s="63"/>
      <c r="EA370" s="194" t="str">
        <f t="shared" ca="1" si="248"/>
        <v/>
      </c>
      <c r="EB370" s="226" t="str">
        <f>IFERROR(IF(ED370=0,"",COUNTIF(ED$4:ED$600,"&gt;"&amp;ED370)+COUNTIF(ED$4:ED370,ED370)),"")</f>
        <v/>
      </c>
      <c r="EC370" t="str">
        <f t="shared" si="249"/>
        <v>PENIJECTYL</v>
      </c>
      <c r="ED370" t="e">
        <f>IF(IF(EL$2="Catégorie",IF(EL$3="Toutes",SUMIFS('Étape 1 - à remplir'!$F$31:$F$400,'Étape 1 - à remplir'!$E$31:$E$400,MASQ2!EC370,'Étape 1 - à remplir'!$G$31:$G$400,"kg"),SUMIFS('Étape 1 - à remplir'!$F$31:$F$400,'Étape 1 - à remplir'!$E$31:$E$400,MASQ2!EC370,'Étape 1 - à remplir'!$C$31:$C$400,EL$3)),IF(EL$2="Âge",IF(EL$3="Tous",SUMIFS('Étape 1 - à remplir'!$F$31:$F$400,'Étape 1 - à remplir'!$E$31:$E$400,MASQ2!EC370,'Étape 1 - à remplir'!$G$31:$G$400,"kg"),SUMIFS('Étape 1 - à remplir'!$F$31:$F$400,'Étape 1 - à remplir'!$E$31:$E$400,MASQ2!EC370,'Étape 1 - à remplir'!$P$31:$P$400,EL$3,'Étape 1 - à remplir'!$G$31:$G$400,"kg")),IF(EL$2="Atelier",IF(EL$3="Tous",SUMIFS('Étape 1 - à remplir'!$F$31:$F$400,'Étape 1 - à remplir'!$E$31:$E$400,MASQ2!EC370,'Étape 1 - à remplir'!$G$31:$G$400,"kg"),SUMIFS('Étape 1 - à remplir'!$F$31:$F$400,'Étape 1 - à remplir'!$E$31:$E$400,MASQ2!EC370,'Étape 1 - à remplir'!$O$31:$O$400,EL$3,'Étape 1 - à remplir'!$G$31:$G$400,"kg")),IF(EL$2="Espèce",IF(EL$3="Toutes",SUMIFS('Étape 1 - à remplir'!$F$31:$F$400,'Étape 1 - à remplir'!$E$31:$E$400,MASQ2!EC370,'Étape 1 - à remplir'!$G$31:$G$400,"kg"),SUMIFS('Étape 1 - à remplir'!$F$31:$F$400,'Étape 1 - à remplir'!$E$31:$E$400,MASQ2!EC370,'Étape 1 - à remplir'!$N$31:$N$400,EL$3,'Étape 1 - à remplir'!$G$31:$G$400,"kg"))))))=0,NA(),IF(EL$2="Catégorie",IF(EL$3="Toutes",SUMIFS('Étape 1 - à remplir'!$F$31:$F$400,'Étape 1 - à remplir'!$E$31:$E$400,MASQ2!EC370,'Étape 1 - à remplir'!$G$31:$G$400,"kg"),SUMIFS('Étape 1 - à remplir'!$F$31:$F$400,'Étape 1 - à remplir'!$E$31:$E$400,MASQ2!EC370,'Étape 1 - à remplir'!$C$31:$C$400,EL$3)),IF(EL$2="Âge",IF(EL$3="Tous",SUMIFS('Étape 1 - à remplir'!$F$31:$F$400,'Étape 1 - à remplir'!$E$31:$E$400,MASQ2!EC370,'Étape 1 - à remplir'!$G$31:$G$400,"kg"),SUMIFS('Étape 1 - à remplir'!$F$31:$F$400,'Étape 1 - à remplir'!$E$31:$E$400,MASQ2!EC370,'Étape 1 - à remplir'!$P$31:$P$400,EL$3,'Étape 1 - à remplir'!$G$31:$G$400,"kg")),IF(EL$2="Atelier",IF(EL$3="Tous",SUMIFS('Étape 1 - à remplir'!$F$31:$F$400,'Étape 1 - à remplir'!$E$31:$E$400,MASQ2!EC370,'Étape 1 - à remplir'!$G$31:$G$400,"kg"),SUMIFS('Étape 1 - à remplir'!$F$31:$F$400,'Étape 1 - à remplir'!$E$31:$E$400,MASQ2!EC370,'Étape 1 - à remplir'!$O$31:$O$400,EL$3,'Étape 1 - à remplir'!$G$31:$G$400,"kg")),IF(EL$2="Espèce",IF(EL$3="Toutes",SUMIFS('Étape 1 - à remplir'!$F$31:$F$400,'Étape 1 - à remplir'!$E$31:$E$400,MASQ2!EC370,'Étape 1 - à remplir'!$G$31:$G$400,"kg"),SUMIFS('Étape 1 - à remplir'!$F$31:$F$400,'Étape 1 - à remplir'!$E$31:$E$400,MASQ2!EC370,'Étape 1 - à remplir'!$N$31:$N$400,EL$3,'Étape 1 - à remplir'!$G$31:$G$400,"kg")))))))</f>
        <v>#N/A</v>
      </c>
      <c r="EE370" s="76">
        <f t="shared" si="259"/>
        <v>0</v>
      </c>
      <c r="EF370" t="str">
        <f t="shared" si="250"/>
        <v>Dihydrostreptomycine</v>
      </c>
      <c r="EG370" t="str">
        <f t="shared" si="251"/>
        <v>Benzylpénicilline</v>
      </c>
      <c r="EH370" t="str">
        <f t="shared" si="252"/>
        <v/>
      </c>
      <c r="EI370" t="str">
        <f t="shared" si="253"/>
        <v>Aminoglycosides</v>
      </c>
      <c r="EJ370" t="str">
        <f t="shared" si="254"/>
        <v>Penicillines</v>
      </c>
      <c r="EK370" s="63" t="str">
        <f t="shared" si="255"/>
        <v/>
      </c>
      <c r="EN370" s="42">
        <v>367</v>
      </c>
      <c r="EO370" t="e">
        <f t="shared" si="261"/>
        <v>#N/A</v>
      </c>
      <c r="EP370" s="63" t="e">
        <f t="shared" si="262"/>
        <v>#N/A</v>
      </c>
      <c r="FT370" s="63"/>
    </row>
    <row r="371" spans="2:176" x14ac:dyDescent="0.3">
      <c r="B371" s="42"/>
      <c r="M371" s="194" t="str">
        <f ca="1">INDEX(Données_ATB!BD:BU,MATCH(MASQ2!O371,Données_ATB!BD:BD,0),18)</f>
        <v/>
      </c>
      <c r="N371" s="14" t="str">
        <f>IFERROR(IF(Q371=0,"",COUNTIF(Q$4:Q$600,"&gt;"&amp;Q371)+COUNTIF(Q$4:Q371,Q371)),"")</f>
        <v/>
      </c>
      <c r="O371" t="str">
        <f>Données_ATB!BD370</f>
        <v>PERLIUM AMOXIVAL AMOXICILLINE 100 PREMELANGE MEDICAMENTEUX PORC</v>
      </c>
      <c r="P371" t="e">
        <f>IF(IF(X$2="Catégorie",IF(X$3="Toutes",SUMIFS('Étape 1 - à remplir'!$F$31:$F$400,'Étape 1 - à remplir'!$E$31:$E$400,MASQ2!O371,'Étape 1 - à remplir'!$G$31:$G$400,"animaux"),SUMIFS('Étape 1 - à remplir'!$F$31:$F$400,'Étape 1 - à remplir'!$E$31:$E$400,MASQ2!O371,'Étape 1 - à remplir'!$C$31:$C$400,X$3)),IF(X$2="Âge",IF(X$3="Tous",SUMIFS('Étape 1 - à remplir'!$F$31:$F$400,'Étape 1 - à remplir'!$E$31:$E$400,MASQ2!O371,'Étape 1 - à remplir'!$G$31:$G$400,"animaux"),SUMIFS('Étape 1 - à remplir'!$F$31:$F$400,'Étape 1 - à remplir'!$E$31:$E$400,MASQ2!O371,'Étape 1 - à remplir'!$P$31:$P$400,X$3)),IF(X$2="Atelier",IF(X$3="Tous",SUMIFS('Étape 1 - à remplir'!$F$31:$F$400,'Étape 1 - à remplir'!$E$31:$E$400,MASQ2!O371,'Étape 1 - à remplir'!$G$31:$G$400,"animaux"),SUMIFS('Étape 1 - à remplir'!$F$31:$F$400,'Étape 1 - à remplir'!$E$31:$E$400,MASQ2!O371,'Étape 1 - à remplir'!$O$31:$O$400,X$3)),IF(X$2="Espèce",IF(X$3="Toutes",SUMIFS('Étape 1 - à remplir'!$F$31:$F$400,'Étape 1 - à remplir'!$E$31:$E$400,MASQ2!O371,'Étape 1 - à remplir'!$G$31:$G$400,"animaux"),SUMIFS('Étape 1 - à remplir'!$F$31:$F$400,'Étape 1 - à remplir'!$E$31:$E$400,MASQ2!O371,'Étape 1 - à remplir'!$N$31:$N$400,X$3))))))=0,NA(),IF(X$2="Catégorie",IF(X$3="Toutes",SUMIFS('Étape 1 - à remplir'!$F$31:$F$400,'Étape 1 - à remplir'!$E$31:$E$400,MASQ2!O371,'Étape 1 - à remplir'!$G$31:$G$400,"animaux"),SUMIFS('Étape 1 - à remplir'!$F$31:$F$400,'Étape 1 - à remplir'!$E$31:$E$400,MASQ2!O371,'Étape 1 - à remplir'!$C$31:$C$400,X$3)),IF(X$2="Âge",IF(X$3="Tous",SUMIFS('Étape 1 - à remplir'!$F$31:$F$400,'Étape 1 - à remplir'!$E$31:$E$400,MASQ2!O371,'Étape 1 - à remplir'!$G$31:$G$400,"animaux"),SUMIFS('Étape 1 - à remplir'!$F$31:$F$400,'Étape 1 - à remplir'!$E$31:$E$400,MASQ2!O371,'Étape 1 - à remplir'!$P$31:$P$400,X$3)),IF(X$2="Atelier",IF(X$3="Tous",SUMIFS('Étape 1 - à remplir'!$F$31:$F$400,'Étape 1 - à remplir'!$E$31:$E$400,MASQ2!O371,'Étape 1 - à remplir'!$G$31:$G$400,"animaux"),SUMIFS('Étape 1 - à remplir'!$F$31:$F$400,'Étape 1 - à remplir'!$E$31:$E$400,MASQ2!O371,'Étape 1 - à remplir'!$O$31:$O$400,X$3)),IF(X$2="Espèce",IF(X$3="Toutes",SUMIFS('Étape 1 - à remplir'!$F$31:$F$400,'Étape 1 - à remplir'!$E$31:$E$400,MASQ2!O371,'Étape 1 - à remplir'!$G$31:$G$400,"animaux"),SUMIFS('Étape 1 - à remplir'!$F$31:$F$400,'Étape 1 - à remplir'!$E$31:$E$400,MASQ2!O371,'Étape 1 - à remplir'!$N$31:$N$400,X$3)))))))</f>
        <v>#N/A</v>
      </c>
      <c r="Q371" s="63">
        <f t="shared" si="260"/>
        <v>0</v>
      </c>
      <c r="R371" t="str">
        <f>Données_ATB!BM370</f>
        <v>Amoxicilline</v>
      </c>
      <c r="S371" t="str">
        <f>Données_ATB!BN370</f>
        <v/>
      </c>
      <c r="T371" s="63" t="str">
        <f>Données_ATB!BO370</f>
        <v/>
      </c>
      <c r="U371" s="42" t="str">
        <f>Données_ATB!BQ370</f>
        <v>Penicillines</v>
      </c>
      <c r="V371" t="str">
        <f>Données_ATB!BR370</f>
        <v/>
      </c>
      <c r="W371" s="63" t="str">
        <f>Données_ATB!BS370</f>
        <v/>
      </c>
      <c r="Z371" s="42">
        <v>368</v>
      </c>
      <c r="AA371" t="e">
        <f t="shared" si="256"/>
        <v>#N/A</v>
      </c>
      <c r="AB371" s="63" t="e">
        <f t="shared" si="257"/>
        <v>#N/A</v>
      </c>
      <c r="BF371" s="63"/>
      <c r="BT371" s="194" t="str">
        <f t="shared" ca="1" si="240"/>
        <v/>
      </c>
      <c r="BU371" s="219" t="str">
        <f>IFERROR(IF(BX371=0,"",COUNTIF(BX$4:BX$600,"&gt;"&amp;BX371)+COUNTIF(BX$4:BX371,BX371)),"")</f>
        <v/>
      </c>
      <c r="BV371" s="42" t="str">
        <f t="shared" si="241"/>
        <v>PERLIUM AMOXIVAL AMOXICILLINE 100 PREMELANGE MEDICAMENTEUX PORC</v>
      </c>
      <c r="BW371" t="e">
        <f>IF(IF(CE$2="Catégorie",IF(CE$3="Toutes",SUMIFS('Étape 1 - à remplir'!$F$31:$F$400,'Étape 1 - à remplir'!$E$31:$E$400,MASQ2!BV371,'Étape 1 - à remplir'!$G$31:$G$400,"lots"),SUMIFS('Étape 1 - à remplir'!$F$31:$F$400,'Étape 1 - à remplir'!$E$31:$E$400,MASQ2!BV371,'Étape 1 - à remplir'!$C$31:$C$400,CE$3)),IF(CE$2="Âge",IF(CE$3="Tous",SUMIFS('Étape 1 - à remplir'!$F$31:$F$400,'Étape 1 - à remplir'!$E$31:$E$400,MASQ2!BV371,'Étape 1 - à remplir'!$G$31:$G$400,"lots"),SUMIFS('Étape 1 - à remplir'!$F$31:$F$400,'Étape 1 - à remplir'!$E$31:$E$400,MASQ2!BV371,'Étape 1 - à remplir'!$P$31:$P$400,CE$3,'Étape 1 - à remplir'!$G$31:$G$400,"lots")),IF(CE$2="Atelier",IF(CE$3="Tous",SUMIFS('Étape 1 - à remplir'!$F$31:$F$400,'Étape 1 - à remplir'!$E$31:$E$400,MASQ2!BV371,'Étape 1 - à remplir'!$G$31:$G$400,"lots"),SUMIFS('Étape 1 - à remplir'!$F$31:$F$400,'Étape 1 - à remplir'!$E$31:$E$400,MASQ2!BV371,'Étape 1 - à remplir'!$O$31:$O$400,CE$3,'Étape 1 - à remplir'!$G$31:$G$400,"lots")),IF(CE$2="Espèce",IF(CE$3="Toutes",SUMIFS('Étape 1 - à remplir'!$F$31:$F$400,'Étape 1 - à remplir'!$E$31:$E$400,MASQ2!BV371,'Étape 1 - à remplir'!$G$31:$G$400,"lots"),SUMIFS('Étape 1 - à remplir'!$F$31:$F$400,'Étape 1 - à remplir'!$E$31:$E$400,MASQ2!BV371,'Étape 1 - à remplir'!$N$31:$N$400,CE$3,'Étape 1 - à remplir'!$G$31:$G$400,"lots"))))))=0,NA(),IF(CE$2="Catégorie",IF(CE$3="Toutes",SUMIFS('Étape 1 - à remplir'!$F$31:$F$400,'Étape 1 - à remplir'!$E$31:$E$400,MASQ2!BV371,'Étape 1 - à remplir'!$G$31:$G$400,"lots"),SUMIFS('Étape 1 - à remplir'!$F$31:$F$400,'Étape 1 - à remplir'!$E$31:$E$400,MASQ2!BV371,'Étape 1 - à remplir'!$C$31:$C$400,CE$3)),IF(CE$2="Âge",IF(CE$3="Tous",SUMIFS('Étape 1 - à remplir'!$F$31:$F$400,'Étape 1 - à remplir'!$E$31:$E$400,MASQ2!BV371,'Étape 1 - à remplir'!$G$31:$G$400,"lots"),SUMIFS('Étape 1 - à remplir'!$F$31:$F$400,'Étape 1 - à remplir'!$E$31:$E$400,MASQ2!BV371,'Étape 1 - à remplir'!$P$31:$P$400,CE$3,'Étape 1 - à remplir'!$G$31:$G$400,"lots")),IF(CE$2="Atelier",IF(CE$3="Tous",SUMIFS('Étape 1 - à remplir'!$F$31:$F$400,'Étape 1 - à remplir'!$E$31:$E$400,MASQ2!BV371,'Étape 1 - à remplir'!$G$31:$G$400,"lots"),SUMIFS('Étape 1 - à remplir'!$F$31:$F$400,'Étape 1 - à remplir'!$E$31:$E$400,MASQ2!BV371,'Étape 1 - à remplir'!$O$31:$O$400,CE$3,'Étape 1 - à remplir'!$G$31:$G$400,"lots")),IF(CE$2="Espèce",IF(CE$3="Toutes",SUMIFS('Étape 1 - à remplir'!$F$31:$F$400,'Étape 1 - à remplir'!$E$31:$E$400,MASQ2!BV371,'Étape 1 - à remplir'!$G$31:$G$400,"lots"),SUMIFS('Étape 1 - à remplir'!$F$31:$F$400,'Étape 1 - à remplir'!$E$31:$E$400,MASQ2!BV371,'Étape 1 - à remplir'!$N$31:$N$400,CE$3,'Étape 1 - à remplir'!$G$31:$G$400,"lots")))))))</f>
        <v>#N/A</v>
      </c>
      <c r="BX371">
        <f t="shared" si="258"/>
        <v>0</v>
      </c>
      <c r="BY371" t="str">
        <f t="shared" si="242"/>
        <v>Amoxicilline</v>
      </c>
      <c r="BZ371" t="str">
        <f t="shared" si="243"/>
        <v/>
      </c>
      <c r="CA371" t="str">
        <f t="shared" si="244"/>
        <v/>
      </c>
      <c r="CB371" t="str">
        <f t="shared" si="245"/>
        <v>Penicillines</v>
      </c>
      <c r="CC371" t="str">
        <f t="shared" si="246"/>
        <v/>
      </c>
      <c r="CD371" s="63" t="str">
        <f t="shared" si="247"/>
        <v/>
      </c>
      <c r="CG371" s="42">
        <v>368</v>
      </c>
      <c r="CH371" s="42" t="e">
        <f t="shared" si="263"/>
        <v>#N/A</v>
      </c>
      <c r="CI371" s="63" t="e">
        <f t="shared" si="264"/>
        <v>#N/A</v>
      </c>
      <c r="DM371" s="63"/>
      <c r="EA371" s="194" t="str">
        <f t="shared" ca="1" si="248"/>
        <v/>
      </c>
      <c r="EB371" s="226" t="str">
        <f>IFERROR(IF(ED371=0,"",COUNTIF(ED$4:ED$600,"&gt;"&amp;ED371)+COUNTIF(ED$4:ED371,ED371)),"")</f>
        <v/>
      </c>
      <c r="EC371" t="str">
        <f t="shared" si="249"/>
        <v>PERLIUM AMOXIVAL AMOXICILLINE 100 PREMELANGE MEDICAMENTEUX PORC</v>
      </c>
      <c r="ED371" t="e">
        <f>IF(IF(EL$2="Catégorie",IF(EL$3="Toutes",SUMIFS('Étape 1 - à remplir'!$F$31:$F$400,'Étape 1 - à remplir'!$E$31:$E$400,MASQ2!EC371,'Étape 1 - à remplir'!$G$31:$G$400,"kg"),SUMIFS('Étape 1 - à remplir'!$F$31:$F$400,'Étape 1 - à remplir'!$E$31:$E$400,MASQ2!EC371,'Étape 1 - à remplir'!$C$31:$C$400,EL$3)),IF(EL$2="Âge",IF(EL$3="Tous",SUMIFS('Étape 1 - à remplir'!$F$31:$F$400,'Étape 1 - à remplir'!$E$31:$E$400,MASQ2!EC371,'Étape 1 - à remplir'!$G$31:$G$400,"kg"),SUMIFS('Étape 1 - à remplir'!$F$31:$F$400,'Étape 1 - à remplir'!$E$31:$E$400,MASQ2!EC371,'Étape 1 - à remplir'!$P$31:$P$400,EL$3,'Étape 1 - à remplir'!$G$31:$G$400,"kg")),IF(EL$2="Atelier",IF(EL$3="Tous",SUMIFS('Étape 1 - à remplir'!$F$31:$F$400,'Étape 1 - à remplir'!$E$31:$E$400,MASQ2!EC371,'Étape 1 - à remplir'!$G$31:$G$400,"kg"),SUMIFS('Étape 1 - à remplir'!$F$31:$F$400,'Étape 1 - à remplir'!$E$31:$E$400,MASQ2!EC371,'Étape 1 - à remplir'!$O$31:$O$400,EL$3,'Étape 1 - à remplir'!$G$31:$G$400,"kg")),IF(EL$2="Espèce",IF(EL$3="Toutes",SUMIFS('Étape 1 - à remplir'!$F$31:$F$400,'Étape 1 - à remplir'!$E$31:$E$400,MASQ2!EC371,'Étape 1 - à remplir'!$G$31:$G$400,"kg"),SUMIFS('Étape 1 - à remplir'!$F$31:$F$400,'Étape 1 - à remplir'!$E$31:$E$400,MASQ2!EC371,'Étape 1 - à remplir'!$N$31:$N$400,EL$3,'Étape 1 - à remplir'!$G$31:$G$400,"kg"))))))=0,NA(),IF(EL$2="Catégorie",IF(EL$3="Toutes",SUMIFS('Étape 1 - à remplir'!$F$31:$F$400,'Étape 1 - à remplir'!$E$31:$E$400,MASQ2!EC371,'Étape 1 - à remplir'!$G$31:$G$400,"kg"),SUMIFS('Étape 1 - à remplir'!$F$31:$F$400,'Étape 1 - à remplir'!$E$31:$E$400,MASQ2!EC371,'Étape 1 - à remplir'!$C$31:$C$400,EL$3)),IF(EL$2="Âge",IF(EL$3="Tous",SUMIFS('Étape 1 - à remplir'!$F$31:$F$400,'Étape 1 - à remplir'!$E$31:$E$400,MASQ2!EC371,'Étape 1 - à remplir'!$G$31:$G$400,"kg"),SUMIFS('Étape 1 - à remplir'!$F$31:$F$400,'Étape 1 - à remplir'!$E$31:$E$400,MASQ2!EC371,'Étape 1 - à remplir'!$P$31:$P$400,EL$3,'Étape 1 - à remplir'!$G$31:$G$400,"kg")),IF(EL$2="Atelier",IF(EL$3="Tous",SUMIFS('Étape 1 - à remplir'!$F$31:$F$400,'Étape 1 - à remplir'!$E$31:$E$400,MASQ2!EC371,'Étape 1 - à remplir'!$G$31:$G$400,"kg"),SUMIFS('Étape 1 - à remplir'!$F$31:$F$400,'Étape 1 - à remplir'!$E$31:$E$400,MASQ2!EC371,'Étape 1 - à remplir'!$O$31:$O$400,EL$3,'Étape 1 - à remplir'!$G$31:$G$400,"kg")),IF(EL$2="Espèce",IF(EL$3="Toutes",SUMIFS('Étape 1 - à remplir'!$F$31:$F$400,'Étape 1 - à remplir'!$E$31:$E$400,MASQ2!EC371,'Étape 1 - à remplir'!$G$31:$G$400,"kg"),SUMIFS('Étape 1 - à remplir'!$F$31:$F$400,'Étape 1 - à remplir'!$E$31:$E$400,MASQ2!EC371,'Étape 1 - à remplir'!$N$31:$N$400,EL$3,'Étape 1 - à remplir'!$G$31:$G$400,"kg")))))))</f>
        <v>#N/A</v>
      </c>
      <c r="EE371" s="76">
        <f t="shared" si="259"/>
        <v>0</v>
      </c>
      <c r="EF371" t="str">
        <f t="shared" si="250"/>
        <v>Amoxicilline</v>
      </c>
      <c r="EG371" t="str">
        <f t="shared" si="251"/>
        <v/>
      </c>
      <c r="EH371" t="str">
        <f t="shared" si="252"/>
        <v/>
      </c>
      <c r="EI371" t="str">
        <f t="shared" si="253"/>
        <v>Penicillines</v>
      </c>
      <c r="EJ371" t="str">
        <f t="shared" si="254"/>
        <v/>
      </c>
      <c r="EK371" s="63" t="str">
        <f t="shared" si="255"/>
        <v/>
      </c>
      <c r="EN371" s="42">
        <v>368</v>
      </c>
      <c r="EO371" t="e">
        <f t="shared" si="261"/>
        <v>#N/A</v>
      </c>
      <c r="EP371" s="63" t="e">
        <f t="shared" si="262"/>
        <v>#N/A</v>
      </c>
      <c r="FT371" s="63"/>
    </row>
    <row r="372" spans="2:176" x14ac:dyDescent="0.3">
      <c r="B372" s="42"/>
      <c r="M372" s="194" t="str">
        <f ca="1">INDEX(Données_ATB!BD:BU,MATCH(MASQ2!O372,Données_ATB!BD:BD,0),18)</f>
        <v/>
      </c>
      <c r="N372" s="14" t="str">
        <f>IFERROR(IF(Q372=0,"",COUNTIF(Q$4:Q$600,"&gt;"&amp;Q372)+COUNTIF(Q$4:Q372,Q372)),"")</f>
        <v/>
      </c>
      <c r="O372" t="str">
        <f>Données_ATB!BD371</f>
        <v>PERLIUM DOXYVAL DOXYCYCLINE 40 PREMELANGE MEDICAMENTEUX PORCS</v>
      </c>
      <c r="P372" t="e">
        <f>IF(IF(X$2="Catégorie",IF(X$3="Toutes",SUMIFS('Étape 1 - à remplir'!$F$31:$F$400,'Étape 1 - à remplir'!$E$31:$E$400,MASQ2!O372,'Étape 1 - à remplir'!$G$31:$G$400,"animaux"),SUMIFS('Étape 1 - à remplir'!$F$31:$F$400,'Étape 1 - à remplir'!$E$31:$E$400,MASQ2!O372,'Étape 1 - à remplir'!$C$31:$C$400,X$3)),IF(X$2="Âge",IF(X$3="Tous",SUMIFS('Étape 1 - à remplir'!$F$31:$F$400,'Étape 1 - à remplir'!$E$31:$E$400,MASQ2!O372,'Étape 1 - à remplir'!$G$31:$G$400,"animaux"),SUMIFS('Étape 1 - à remplir'!$F$31:$F$400,'Étape 1 - à remplir'!$E$31:$E$400,MASQ2!O372,'Étape 1 - à remplir'!$P$31:$P$400,X$3)),IF(X$2="Atelier",IF(X$3="Tous",SUMIFS('Étape 1 - à remplir'!$F$31:$F$400,'Étape 1 - à remplir'!$E$31:$E$400,MASQ2!O372,'Étape 1 - à remplir'!$G$31:$G$400,"animaux"),SUMIFS('Étape 1 - à remplir'!$F$31:$F$400,'Étape 1 - à remplir'!$E$31:$E$400,MASQ2!O372,'Étape 1 - à remplir'!$O$31:$O$400,X$3)),IF(X$2="Espèce",IF(X$3="Toutes",SUMIFS('Étape 1 - à remplir'!$F$31:$F$400,'Étape 1 - à remplir'!$E$31:$E$400,MASQ2!O372,'Étape 1 - à remplir'!$G$31:$G$400,"animaux"),SUMIFS('Étape 1 - à remplir'!$F$31:$F$400,'Étape 1 - à remplir'!$E$31:$E$400,MASQ2!O372,'Étape 1 - à remplir'!$N$31:$N$400,X$3))))))=0,NA(),IF(X$2="Catégorie",IF(X$3="Toutes",SUMIFS('Étape 1 - à remplir'!$F$31:$F$400,'Étape 1 - à remplir'!$E$31:$E$400,MASQ2!O372,'Étape 1 - à remplir'!$G$31:$G$400,"animaux"),SUMIFS('Étape 1 - à remplir'!$F$31:$F$400,'Étape 1 - à remplir'!$E$31:$E$400,MASQ2!O372,'Étape 1 - à remplir'!$C$31:$C$400,X$3)),IF(X$2="Âge",IF(X$3="Tous",SUMIFS('Étape 1 - à remplir'!$F$31:$F$400,'Étape 1 - à remplir'!$E$31:$E$400,MASQ2!O372,'Étape 1 - à remplir'!$G$31:$G$400,"animaux"),SUMIFS('Étape 1 - à remplir'!$F$31:$F$400,'Étape 1 - à remplir'!$E$31:$E$400,MASQ2!O372,'Étape 1 - à remplir'!$P$31:$P$400,X$3)),IF(X$2="Atelier",IF(X$3="Tous",SUMIFS('Étape 1 - à remplir'!$F$31:$F$400,'Étape 1 - à remplir'!$E$31:$E$400,MASQ2!O372,'Étape 1 - à remplir'!$G$31:$G$400,"animaux"),SUMIFS('Étape 1 - à remplir'!$F$31:$F$400,'Étape 1 - à remplir'!$E$31:$E$400,MASQ2!O372,'Étape 1 - à remplir'!$O$31:$O$400,X$3)),IF(X$2="Espèce",IF(X$3="Toutes",SUMIFS('Étape 1 - à remplir'!$F$31:$F$400,'Étape 1 - à remplir'!$E$31:$E$400,MASQ2!O372,'Étape 1 - à remplir'!$G$31:$G$400,"animaux"),SUMIFS('Étape 1 - à remplir'!$F$31:$F$400,'Étape 1 - à remplir'!$E$31:$E$400,MASQ2!O372,'Étape 1 - à remplir'!$N$31:$N$400,X$3)))))))</f>
        <v>#N/A</v>
      </c>
      <c r="Q372" s="63">
        <f t="shared" si="260"/>
        <v>0</v>
      </c>
      <c r="R372" t="str">
        <f>Données_ATB!BM371</f>
        <v>Doxycycline</v>
      </c>
      <c r="S372" t="str">
        <f>Données_ATB!BN371</f>
        <v/>
      </c>
      <c r="T372" s="63" t="str">
        <f>Données_ATB!BO371</f>
        <v/>
      </c>
      <c r="U372" s="42" t="str">
        <f>Données_ATB!BQ371</f>
        <v>Tetracyclines</v>
      </c>
      <c r="V372" t="str">
        <f>Données_ATB!BR371</f>
        <v/>
      </c>
      <c r="W372" s="63" t="str">
        <f>Données_ATB!BS371</f>
        <v/>
      </c>
      <c r="Z372" s="42">
        <v>369</v>
      </c>
      <c r="AA372" t="e">
        <f t="shared" si="256"/>
        <v>#N/A</v>
      </c>
      <c r="AB372" s="63" t="e">
        <f t="shared" si="257"/>
        <v>#N/A</v>
      </c>
      <c r="BF372" s="63"/>
      <c r="BT372" s="194" t="str">
        <f t="shared" ca="1" si="240"/>
        <v/>
      </c>
      <c r="BU372" s="219" t="str">
        <f>IFERROR(IF(BX372=0,"",COUNTIF(BX$4:BX$600,"&gt;"&amp;BX372)+COUNTIF(BX$4:BX372,BX372)),"")</f>
        <v/>
      </c>
      <c r="BV372" s="42" t="str">
        <f t="shared" si="241"/>
        <v>PERLIUM DOXYVAL DOXYCYCLINE 40 PREMELANGE MEDICAMENTEUX PORCS</v>
      </c>
      <c r="BW372" t="e">
        <f>IF(IF(CE$2="Catégorie",IF(CE$3="Toutes",SUMIFS('Étape 1 - à remplir'!$F$31:$F$400,'Étape 1 - à remplir'!$E$31:$E$400,MASQ2!BV372,'Étape 1 - à remplir'!$G$31:$G$400,"lots"),SUMIFS('Étape 1 - à remplir'!$F$31:$F$400,'Étape 1 - à remplir'!$E$31:$E$400,MASQ2!BV372,'Étape 1 - à remplir'!$C$31:$C$400,CE$3)),IF(CE$2="Âge",IF(CE$3="Tous",SUMIFS('Étape 1 - à remplir'!$F$31:$F$400,'Étape 1 - à remplir'!$E$31:$E$400,MASQ2!BV372,'Étape 1 - à remplir'!$G$31:$G$400,"lots"),SUMIFS('Étape 1 - à remplir'!$F$31:$F$400,'Étape 1 - à remplir'!$E$31:$E$400,MASQ2!BV372,'Étape 1 - à remplir'!$P$31:$P$400,CE$3,'Étape 1 - à remplir'!$G$31:$G$400,"lots")),IF(CE$2="Atelier",IF(CE$3="Tous",SUMIFS('Étape 1 - à remplir'!$F$31:$F$400,'Étape 1 - à remplir'!$E$31:$E$400,MASQ2!BV372,'Étape 1 - à remplir'!$G$31:$G$400,"lots"),SUMIFS('Étape 1 - à remplir'!$F$31:$F$400,'Étape 1 - à remplir'!$E$31:$E$400,MASQ2!BV372,'Étape 1 - à remplir'!$O$31:$O$400,CE$3,'Étape 1 - à remplir'!$G$31:$G$400,"lots")),IF(CE$2="Espèce",IF(CE$3="Toutes",SUMIFS('Étape 1 - à remplir'!$F$31:$F$400,'Étape 1 - à remplir'!$E$31:$E$400,MASQ2!BV372,'Étape 1 - à remplir'!$G$31:$G$400,"lots"),SUMIFS('Étape 1 - à remplir'!$F$31:$F$400,'Étape 1 - à remplir'!$E$31:$E$400,MASQ2!BV372,'Étape 1 - à remplir'!$N$31:$N$400,CE$3,'Étape 1 - à remplir'!$G$31:$G$400,"lots"))))))=0,NA(),IF(CE$2="Catégorie",IF(CE$3="Toutes",SUMIFS('Étape 1 - à remplir'!$F$31:$F$400,'Étape 1 - à remplir'!$E$31:$E$400,MASQ2!BV372,'Étape 1 - à remplir'!$G$31:$G$400,"lots"),SUMIFS('Étape 1 - à remplir'!$F$31:$F$400,'Étape 1 - à remplir'!$E$31:$E$400,MASQ2!BV372,'Étape 1 - à remplir'!$C$31:$C$400,CE$3)),IF(CE$2="Âge",IF(CE$3="Tous",SUMIFS('Étape 1 - à remplir'!$F$31:$F$400,'Étape 1 - à remplir'!$E$31:$E$400,MASQ2!BV372,'Étape 1 - à remplir'!$G$31:$G$400,"lots"),SUMIFS('Étape 1 - à remplir'!$F$31:$F$400,'Étape 1 - à remplir'!$E$31:$E$400,MASQ2!BV372,'Étape 1 - à remplir'!$P$31:$P$400,CE$3,'Étape 1 - à remplir'!$G$31:$G$400,"lots")),IF(CE$2="Atelier",IF(CE$3="Tous",SUMIFS('Étape 1 - à remplir'!$F$31:$F$400,'Étape 1 - à remplir'!$E$31:$E$400,MASQ2!BV372,'Étape 1 - à remplir'!$G$31:$G$400,"lots"),SUMIFS('Étape 1 - à remplir'!$F$31:$F$400,'Étape 1 - à remplir'!$E$31:$E$400,MASQ2!BV372,'Étape 1 - à remplir'!$O$31:$O$400,CE$3,'Étape 1 - à remplir'!$G$31:$G$400,"lots")),IF(CE$2="Espèce",IF(CE$3="Toutes",SUMIFS('Étape 1 - à remplir'!$F$31:$F$400,'Étape 1 - à remplir'!$E$31:$E$400,MASQ2!BV372,'Étape 1 - à remplir'!$G$31:$G$400,"lots"),SUMIFS('Étape 1 - à remplir'!$F$31:$F$400,'Étape 1 - à remplir'!$E$31:$E$400,MASQ2!BV372,'Étape 1 - à remplir'!$N$31:$N$400,CE$3,'Étape 1 - à remplir'!$G$31:$G$400,"lots")))))))</f>
        <v>#N/A</v>
      </c>
      <c r="BX372">
        <f t="shared" si="258"/>
        <v>0</v>
      </c>
      <c r="BY372" t="str">
        <f t="shared" si="242"/>
        <v>Doxycycline</v>
      </c>
      <c r="BZ372" t="str">
        <f t="shared" si="243"/>
        <v/>
      </c>
      <c r="CA372" t="str">
        <f t="shared" si="244"/>
        <v/>
      </c>
      <c r="CB372" t="str">
        <f t="shared" si="245"/>
        <v>Tetracyclines</v>
      </c>
      <c r="CC372" t="str">
        <f t="shared" si="246"/>
        <v/>
      </c>
      <c r="CD372" s="63" t="str">
        <f t="shared" si="247"/>
        <v/>
      </c>
      <c r="CG372" s="42">
        <v>369</v>
      </c>
      <c r="CH372" s="42" t="e">
        <f t="shared" si="263"/>
        <v>#N/A</v>
      </c>
      <c r="CI372" s="63" t="e">
        <f t="shared" si="264"/>
        <v>#N/A</v>
      </c>
      <c r="DM372" s="63"/>
      <c r="EA372" s="194" t="str">
        <f t="shared" ca="1" si="248"/>
        <v/>
      </c>
      <c r="EB372" s="226" t="str">
        <f>IFERROR(IF(ED372=0,"",COUNTIF(ED$4:ED$600,"&gt;"&amp;ED372)+COUNTIF(ED$4:ED372,ED372)),"")</f>
        <v/>
      </c>
      <c r="EC372" t="str">
        <f t="shared" si="249"/>
        <v>PERLIUM DOXYVAL DOXYCYCLINE 40 PREMELANGE MEDICAMENTEUX PORCS</v>
      </c>
      <c r="ED372" t="e">
        <f>IF(IF(EL$2="Catégorie",IF(EL$3="Toutes",SUMIFS('Étape 1 - à remplir'!$F$31:$F$400,'Étape 1 - à remplir'!$E$31:$E$400,MASQ2!EC372,'Étape 1 - à remplir'!$G$31:$G$400,"kg"),SUMIFS('Étape 1 - à remplir'!$F$31:$F$400,'Étape 1 - à remplir'!$E$31:$E$400,MASQ2!EC372,'Étape 1 - à remplir'!$C$31:$C$400,EL$3)),IF(EL$2="Âge",IF(EL$3="Tous",SUMIFS('Étape 1 - à remplir'!$F$31:$F$400,'Étape 1 - à remplir'!$E$31:$E$400,MASQ2!EC372,'Étape 1 - à remplir'!$G$31:$G$400,"kg"),SUMIFS('Étape 1 - à remplir'!$F$31:$F$400,'Étape 1 - à remplir'!$E$31:$E$400,MASQ2!EC372,'Étape 1 - à remplir'!$P$31:$P$400,EL$3,'Étape 1 - à remplir'!$G$31:$G$400,"kg")),IF(EL$2="Atelier",IF(EL$3="Tous",SUMIFS('Étape 1 - à remplir'!$F$31:$F$400,'Étape 1 - à remplir'!$E$31:$E$400,MASQ2!EC372,'Étape 1 - à remplir'!$G$31:$G$400,"kg"),SUMIFS('Étape 1 - à remplir'!$F$31:$F$400,'Étape 1 - à remplir'!$E$31:$E$400,MASQ2!EC372,'Étape 1 - à remplir'!$O$31:$O$400,EL$3,'Étape 1 - à remplir'!$G$31:$G$400,"kg")),IF(EL$2="Espèce",IF(EL$3="Toutes",SUMIFS('Étape 1 - à remplir'!$F$31:$F$400,'Étape 1 - à remplir'!$E$31:$E$400,MASQ2!EC372,'Étape 1 - à remplir'!$G$31:$G$400,"kg"),SUMIFS('Étape 1 - à remplir'!$F$31:$F$400,'Étape 1 - à remplir'!$E$31:$E$400,MASQ2!EC372,'Étape 1 - à remplir'!$N$31:$N$400,EL$3,'Étape 1 - à remplir'!$G$31:$G$400,"kg"))))))=0,NA(),IF(EL$2="Catégorie",IF(EL$3="Toutes",SUMIFS('Étape 1 - à remplir'!$F$31:$F$400,'Étape 1 - à remplir'!$E$31:$E$400,MASQ2!EC372,'Étape 1 - à remplir'!$G$31:$G$400,"kg"),SUMIFS('Étape 1 - à remplir'!$F$31:$F$400,'Étape 1 - à remplir'!$E$31:$E$400,MASQ2!EC372,'Étape 1 - à remplir'!$C$31:$C$400,EL$3)),IF(EL$2="Âge",IF(EL$3="Tous",SUMIFS('Étape 1 - à remplir'!$F$31:$F$400,'Étape 1 - à remplir'!$E$31:$E$400,MASQ2!EC372,'Étape 1 - à remplir'!$G$31:$G$400,"kg"),SUMIFS('Étape 1 - à remplir'!$F$31:$F$400,'Étape 1 - à remplir'!$E$31:$E$400,MASQ2!EC372,'Étape 1 - à remplir'!$P$31:$P$400,EL$3,'Étape 1 - à remplir'!$G$31:$G$400,"kg")),IF(EL$2="Atelier",IF(EL$3="Tous",SUMIFS('Étape 1 - à remplir'!$F$31:$F$400,'Étape 1 - à remplir'!$E$31:$E$400,MASQ2!EC372,'Étape 1 - à remplir'!$G$31:$G$400,"kg"),SUMIFS('Étape 1 - à remplir'!$F$31:$F$400,'Étape 1 - à remplir'!$E$31:$E$400,MASQ2!EC372,'Étape 1 - à remplir'!$O$31:$O$400,EL$3,'Étape 1 - à remplir'!$G$31:$G$400,"kg")),IF(EL$2="Espèce",IF(EL$3="Toutes",SUMIFS('Étape 1 - à remplir'!$F$31:$F$400,'Étape 1 - à remplir'!$E$31:$E$400,MASQ2!EC372,'Étape 1 - à remplir'!$G$31:$G$400,"kg"),SUMIFS('Étape 1 - à remplir'!$F$31:$F$400,'Étape 1 - à remplir'!$E$31:$E$400,MASQ2!EC372,'Étape 1 - à remplir'!$N$31:$N$400,EL$3,'Étape 1 - à remplir'!$G$31:$G$400,"kg")))))))</f>
        <v>#N/A</v>
      </c>
      <c r="EE372" s="76">
        <f t="shared" si="259"/>
        <v>0</v>
      </c>
      <c r="EF372" t="str">
        <f t="shared" si="250"/>
        <v>Doxycycline</v>
      </c>
      <c r="EG372" t="str">
        <f t="shared" si="251"/>
        <v/>
      </c>
      <c r="EH372" t="str">
        <f t="shared" si="252"/>
        <v/>
      </c>
      <c r="EI372" t="str">
        <f t="shared" si="253"/>
        <v>Tetracyclines</v>
      </c>
      <c r="EJ372" t="str">
        <f t="shared" si="254"/>
        <v/>
      </c>
      <c r="EK372" s="63" t="str">
        <f t="shared" si="255"/>
        <v/>
      </c>
      <c r="EN372" s="42">
        <v>369</v>
      </c>
      <c r="EO372" t="e">
        <f t="shared" si="261"/>
        <v>#N/A</v>
      </c>
      <c r="EP372" s="63" t="e">
        <f t="shared" si="262"/>
        <v>#N/A</v>
      </c>
      <c r="FT372" s="63"/>
    </row>
    <row r="373" spans="2:176" x14ac:dyDescent="0.3">
      <c r="B373" s="42"/>
      <c r="M373" s="194" t="str">
        <f ca="1">INDEX(Données_ATB!BD:BU,MATCH(MASQ2!O373,Données_ATB!BD:BD,0),18)</f>
        <v/>
      </c>
      <c r="N373" s="14" t="str">
        <f>IFERROR(IF(Q373=0,"",COUNTIF(Q$4:Q$600,"&gt;"&amp;Q373)+COUNTIF(Q$4:Q373,Q373)),"")</f>
        <v/>
      </c>
      <c r="O373" t="str">
        <f>Données_ATB!BD372</f>
        <v>PERMACYL 182,5 MG/ML POUDRE ET SOLVANT POUR SUSPENSION INJECTABLE POUR BOVINS</v>
      </c>
      <c r="P373" t="e">
        <f>IF(IF(X$2="Catégorie",IF(X$3="Toutes",SUMIFS('Étape 1 - à remplir'!$F$31:$F$400,'Étape 1 - à remplir'!$E$31:$E$400,MASQ2!O373,'Étape 1 - à remplir'!$G$31:$G$400,"animaux"),SUMIFS('Étape 1 - à remplir'!$F$31:$F$400,'Étape 1 - à remplir'!$E$31:$E$400,MASQ2!O373,'Étape 1 - à remplir'!$C$31:$C$400,X$3)),IF(X$2="Âge",IF(X$3="Tous",SUMIFS('Étape 1 - à remplir'!$F$31:$F$400,'Étape 1 - à remplir'!$E$31:$E$400,MASQ2!O373,'Étape 1 - à remplir'!$G$31:$G$400,"animaux"),SUMIFS('Étape 1 - à remplir'!$F$31:$F$400,'Étape 1 - à remplir'!$E$31:$E$400,MASQ2!O373,'Étape 1 - à remplir'!$P$31:$P$400,X$3)),IF(X$2="Atelier",IF(X$3="Tous",SUMIFS('Étape 1 - à remplir'!$F$31:$F$400,'Étape 1 - à remplir'!$E$31:$E$400,MASQ2!O373,'Étape 1 - à remplir'!$G$31:$G$400,"animaux"),SUMIFS('Étape 1 - à remplir'!$F$31:$F$400,'Étape 1 - à remplir'!$E$31:$E$400,MASQ2!O373,'Étape 1 - à remplir'!$O$31:$O$400,X$3)),IF(X$2="Espèce",IF(X$3="Toutes",SUMIFS('Étape 1 - à remplir'!$F$31:$F$400,'Étape 1 - à remplir'!$E$31:$E$400,MASQ2!O373,'Étape 1 - à remplir'!$G$31:$G$400,"animaux"),SUMIFS('Étape 1 - à remplir'!$F$31:$F$400,'Étape 1 - à remplir'!$E$31:$E$400,MASQ2!O373,'Étape 1 - à remplir'!$N$31:$N$400,X$3))))))=0,NA(),IF(X$2="Catégorie",IF(X$3="Toutes",SUMIFS('Étape 1 - à remplir'!$F$31:$F$400,'Étape 1 - à remplir'!$E$31:$E$400,MASQ2!O373,'Étape 1 - à remplir'!$G$31:$G$400,"animaux"),SUMIFS('Étape 1 - à remplir'!$F$31:$F$400,'Étape 1 - à remplir'!$E$31:$E$400,MASQ2!O373,'Étape 1 - à remplir'!$C$31:$C$400,X$3)),IF(X$2="Âge",IF(X$3="Tous",SUMIFS('Étape 1 - à remplir'!$F$31:$F$400,'Étape 1 - à remplir'!$E$31:$E$400,MASQ2!O373,'Étape 1 - à remplir'!$G$31:$G$400,"animaux"),SUMIFS('Étape 1 - à remplir'!$F$31:$F$400,'Étape 1 - à remplir'!$E$31:$E$400,MASQ2!O373,'Étape 1 - à remplir'!$P$31:$P$400,X$3)),IF(X$2="Atelier",IF(X$3="Tous",SUMIFS('Étape 1 - à remplir'!$F$31:$F$400,'Étape 1 - à remplir'!$E$31:$E$400,MASQ2!O373,'Étape 1 - à remplir'!$G$31:$G$400,"animaux"),SUMIFS('Étape 1 - à remplir'!$F$31:$F$400,'Étape 1 - à remplir'!$E$31:$E$400,MASQ2!O373,'Étape 1 - à remplir'!$O$31:$O$400,X$3)),IF(X$2="Espèce",IF(X$3="Toutes",SUMIFS('Étape 1 - à remplir'!$F$31:$F$400,'Étape 1 - à remplir'!$E$31:$E$400,MASQ2!O373,'Étape 1 - à remplir'!$G$31:$G$400,"animaux"),SUMIFS('Étape 1 - à remplir'!$F$31:$F$400,'Étape 1 - à remplir'!$E$31:$E$400,MASQ2!O373,'Étape 1 - à remplir'!$N$31:$N$400,X$3)))))))</f>
        <v>#N/A</v>
      </c>
      <c r="Q373" s="63">
        <f t="shared" si="260"/>
        <v>0</v>
      </c>
      <c r="R373" t="str">
        <f>Données_ATB!BM372</f>
        <v>Pénéthamate (ou pénéthacilline)</v>
      </c>
      <c r="S373" t="str">
        <f>Données_ATB!BN372</f>
        <v/>
      </c>
      <c r="T373" s="63" t="str">
        <f>Données_ATB!BO372</f>
        <v/>
      </c>
      <c r="U373" s="42" t="str">
        <f>Données_ATB!BQ372</f>
        <v>Penicillines</v>
      </c>
      <c r="V373" t="str">
        <f>Données_ATB!BR372</f>
        <v/>
      </c>
      <c r="W373" s="63" t="str">
        <f>Données_ATB!BS372</f>
        <v/>
      </c>
      <c r="Z373" s="42">
        <v>370</v>
      </c>
      <c r="AA373" t="e">
        <f t="shared" si="256"/>
        <v>#N/A</v>
      </c>
      <c r="AB373" s="63" t="e">
        <f t="shared" si="257"/>
        <v>#N/A</v>
      </c>
      <c r="BF373" s="63"/>
      <c r="BT373" s="194" t="str">
        <f t="shared" ca="1" si="240"/>
        <v/>
      </c>
      <c r="BU373" s="219" t="str">
        <f>IFERROR(IF(BX373=0,"",COUNTIF(BX$4:BX$600,"&gt;"&amp;BX373)+COUNTIF(BX$4:BX373,BX373)),"")</f>
        <v/>
      </c>
      <c r="BV373" s="42" t="str">
        <f t="shared" si="241"/>
        <v>PERMACYL 182,5 MG/ML POUDRE ET SOLVANT POUR SUSPENSION INJECTABLE POUR BOVINS</v>
      </c>
      <c r="BW373" t="e">
        <f>IF(IF(CE$2="Catégorie",IF(CE$3="Toutes",SUMIFS('Étape 1 - à remplir'!$F$31:$F$400,'Étape 1 - à remplir'!$E$31:$E$400,MASQ2!BV373,'Étape 1 - à remplir'!$G$31:$G$400,"lots"),SUMIFS('Étape 1 - à remplir'!$F$31:$F$400,'Étape 1 - à remplir'!$E$31:$E$400,MASQ2!BV373,'Étape 1 - à remplir'!$C$31:$C$400,CE$3)),IF(CE$2="Âge",IF(CE$3="Tous",SUMIFS('Étape 1 - à remplir'!$F$31:$F$400,'Étape 1 - à remplir'!$E$31:$E$400,MASQ2!BV373,'Étape 1 - à remplir'!$G$31:$G$400,"lots"),SUMIFS('Étape 1 - à remplir'!$F$31:$F$400,'Étape 1 - à remplir'!$E$31:$E$400,MASQ2!BV373,'Étape 1 - à remplir'!$P$31:$P$400,CE$3,'Étape 1 - à remplir'!$G$31:$G$400,"lots")),IF(CE$2="Atelier",IF(CE$3="Tous",SUMIFS('Étape 1 - à remplir'!$F$31:$F$400,'Étape 1 - à remplir'!$E$31:$E$400,MASQ2!BV373,'Étape 1 - à remplir'!$G$31:$G$400,"lots"),SUMIFS('Étape 1 - à remplir'!$F$31:$F$400,'Étape 1 - à remplir'!$E$31:$E$400,MASQ2!BV373,'Étape 1 - à remplir'!$O$31:$O$400,CE$3,'Étape 1 - à remplir'!$G$31:$G$400,"lots")),IF(CE$2="Espèce",IF(CE$3="Toutes",SUMIFS('Étape 1 - à remplir'!$F$31:$F$400,'Étape 1 - à remplir'!$E$31:$E$400,MASQ2!BV373,'Étape 1 - à remplir'!$G$31:$G$400,"lots"),SUMIFS('Étape 1 - à remplir'!$F$31:$F$400,'Étape 1 - à remplir'!$E$31:$E$400,MASQ2!BV373,'Étape 1 - à remplir'!$N$31:$N$400,CE$3,'Étape 1 - à remplir'!$G$31:$G$400,"lots"))))))=0,NA(),IF(CE$2="Catégorie",IF(CE$3="Toutes",SUMIFS('Étape 1 - à remplir'!$F$31:$F$400,'Étape 1 - à remplir'!$E$31:$E$400,MASQ2!BV373,'Étape 1 - à remplir'!$G$31:$G$400,"lots"),SUMIFS('Étape 1 - à remplir'!$F$31:$F$400,'Étape 1 - à remplir'!$E$31:$E$400,MASQ2!BV373,'Étape 1 - à remplir'!$C$31:$C$400,CE$3)),IF(CE$2="Âge",IF(CE$3="Tous",SUMIFS('Étape 1 - à remplir'!$F$31:$F$400,'Étape 1 - à remplir'!$E$31:$E$400,MASQ2!BV373,'Étape 1 - à remplir'!$G$31:$G$400,"lots"),SUMIFS('Étape 1 - à remplir'!$F$31:$F$400,'Étape 1 - à remplir'!$E$31:$E$400,MASQ2!BV373,'Étape 1 - à remplir'!$P$31:$P$400,CE$3,'Étape 1 - à remplir'!$G$31:$G$400,"lots")),IF(CE$2="Atelier",IF(CE$3="Tous",SUMIFS('Étape 1 - à remplir'!$F$31:$F$400,'Étape 1 - à remplir'!$E$31:$E$400,MASQ2!BV373,'Étape 1 - à remplir'!$G$31:$G$400,"lots"),SUMIFS('Étape 1 - à remplir'!$F$31:$F$400,'Étape 1 - à remplir'!$E$31:$E$400,MASQ2!BV373,'Étape 1 - à remplir'!$O$31:$O$400,CE$3,'Étape 1 - à remplir'!$G$31:$G$400,"lots")),IF(CE$2="Espèce",IF(CE$3="Toutes",SUMIFS('Étape 1 - à remplir'!$F$31:$F$400,'Étape 1 - à remplir'!$E$31:$E$400,MASQ2!BV373,'Étape 1 - à remplir'!$G$31:$G$400,"lots"),SUMIFS('Étape 1 - à remplir'!$F$31:$F$400,'Étape 1 - à remplir'!$E$31:$E$400,MASQ2!BV373,'Étape 1 - à remplir'!$N$31:$N$400,CE$3,'Étape 1 - à remplir'!$G$31:$G$400,"lots")))))))</f>
        <v>#N/A</v>
      </c>
      <c r="BX373">
        <f t="shared" si="258"/>
        <v>0</v>
      </c>
      <c r="BY373" t="str">
        <f t="shared" si="242"/>
        <v>Pénéthamate (ou pénéthacilline)</v>
      </c>
      <c r="BZ373" t="str">
        <f t="shared" si="243"/>
        <v/>
      </c>
      <c r="CA373" t="str">
        <f t="shared" si="244"/>
        <v/>
      </c>
      <c r="CB373" t="str">
        <f t="shared" si="245"/>
        <v>Penicillines</v>
      </c>
      <c r="CC373" t="str">
        <f t="shared" si="246"/>
        <v/>
      </c>
      <c r="CD373" s="63" t="str">
        <f t="shared" si="247"/>
        <v/>
      </c>
      <c r="CG373" s="42">
        <v>370</v>
      </c>
      <c r="CH373" s="42" t="e">
        <f t="shared" si="263"/>
        <v>#N/A</v>
      </c>
      <c r="CI373" s="63" t="e">
        <f t="shared" si="264"/>
        <v>#N/A</v>
      </c>
      <c r="DM373" s="63"/>
      <c r="EA373" s="194" t="str">
        <f t="shared" ca="1" si="248"/>
        <v/>
      </c>
      <c r="EB373" s="226" t="str">
        <f>IFERROR(IF(ED373=0,"",COUNTIF(ED$4:ED$600,"&gt;"&amp;ED373)+COUNTIF(ED$4:ED373,ED373)),"")</f>
        <v/>
      </c>
      <c r="EC373" t="str">
        <f t="shared" si="249"/>
        <v>PERMACYL 182,5 MG/ML POUDRE ET SOLVANT POUR SUSPENSION INJECTABLE POUR BOVINS</v>
      </c>
      <c r="ED373" t="e">
        <f>IF(IF(EL$2="Catégorie",IF(EL$3="Toutes",SUMIFS('Étape 1 - à remplir'!$F$31:$F$400,'Étape 1 - à remplir'!$E$31:$E$400,MASQ2!EC373,'Étape 1 - à remplir'!$G$31:$G$400,"kg"),SUMIFS('Étape 1 - à remplir'!$F$31:$F$400,'Étape 1 - à remplir'!$E$31:$E$400,MASQ2!EC373,'Étape 1 - à remplir'!$C$31:$C$400,EL$3)),IF(EL$2="Âge",IF(EL$3="Tous",SUMIFS('Étape 1 - à remplir'!$F$31:$F$400,'Étape 1 - à remplir'!$E$31:$E$400,MASQ2!EC373,'Étape 1 - à remplir'!$G$31:$G$400,"kg"),SUMIFS('Étape 1 - à remplir'!$F$31:$F$400,'Étape 1 - à remplir'!$E$31:$E$400,MASQ2!EC373,'Étape 1 - à remplir'!$P$31:$P$400,EL$3,'Étape 1 - à remplir'!$G$31:$G$400,"kg")),IF(EL$2="Atelier",IF(EL$3="Tous",SUMIFS('Étape 1 - à remplir'!$F$31:$F$400,'Étape 1 - à remplir'!$E$31:$E$400,MASQ2!EC373,'Étape 1 - à remplir'!$G$31:$G$400,"kg"),SUMIFS('Étape 1 - à remplir'!$F$31:$F$400,'Étape 1 - à remplir'!$E$31:$E$400,MASQ2!EC373,'Étape 1 - à remplir'!$O$31:$O$400,EL$3,'Étape 1 - à remplir'!$G$31:$G$400,"kg")),IF(EL$2="Espèce",IF(EL$3="Toutes",SUMIFS('Étape 1 - à remplir'!$F$31:$F$400,'Étape 1 - à remplir'!$E$31:$E$400,MASQ2!EC373,'Étape 1 - à remplir'!$G$31:$G$400,"kg"),SUMIFS('Étape 1 - à remplir'!$F$31:$F$400,'Étape 1 - à remplir'!$E$31:$E$400,MASQ2!EC373,'Étape 1 - à remplir'!$N$31:$N$400,EL$3,'Étape 1 - à remplir'!$G$31:$G$400,"kg"))))))=0,NA(),IF(EL$2="Catégorie",IF(EL$3="Toutes",SUMIFS('Étape 1 - à remplir'!$F$31:$F$400,'Étape 1 - à remplir'!$E$31:$E$400,MASQ2!EC373,'Étape 1 - à remplir'!$G$31:$G$400,"kg"),SUMIFS('Étape 1 - à remplir'!$F$31:$F$400,'Étape 1 - à remplir'!$E$31:$E$400,MASQ2!EC373,'Étape 1 - à remplir'!$C$31:$C$400,EL$3)),IF(EL$2="Âge",IF(EL$3="Tous",SUMIFS('Étape 1 - à remplir'!$F$31:$F$400,'Étape 1 - à remplir'!$E$31:$E$400,MASQ2!EC373,'Étape 1 - à remplir'!$G$31:$G$400,"kg"),SUMIFS('Étape 1 - à remplir'!$F$31:$F$400,'Étape 1 - à remplir'!$E$31:$E$400,MASQ2!EC373,'Étape 1 - à remplir'!$P$31:$P$400,EL$3,'Étape 1 - à remplir'!$G$31:$G$400,"kg")),IF(EL$2="Atelier",IF(EL$3="Tous",SUMIFS('Étape 1 - à remplir'!$F$31:$F$400,'Étape 1 - à remplir'!$E$31:$E$400,MASQ2!EC373,'Étape 1 - à remplir'!$G$31:$G$400,"kg"),SUMIFS('Étape 1 - à remplir'!$F$31:$F$400,'Étape 1 - à remplir'!$E$31:$E$400,MASQ2!EC373,'Étape 1 - à remplir'!$O$31:$O$400,EL$3,'Étape 1 - à remplir'!$G$31:$G$400,"kg")),IF(EL$2="Espèce",IF(EL$3="Toutes",SUMIFS('Étape 1 - à remplir'!$F$31:$F$400,'Étape 1 - à remplir'!$E$31:$E$400,MASQ2!EC373,'Étape 1 - à remplir'!$G$31:$G$400,"kg"),SUMIFS('Étape 1 - à remplir'!$F$31:$F$400,'Étape 1 - à remplir'!$E$31:$E$400,MASQ2!EC373,'Étape 1 - à remplir'!$N$31:$N$400,EL$3,'Étape 1 - à remplir'!$G$31:$G$400,"kg")))))))</f>
        <v>#N/A</v>
      </c>
      <c r="EE373" s="76">
        <f t="shared" si="259"/>
        <v>0</v>
      </c>
      <c r="EF373" t="str">
        <f t="shared" si="250"/>
        <v>Pénéthamate (ou pénéthacilline)</v>
      </c>
      <c r="EG373" t="str">
        <f t="shared" si="251"/>
        <v/>
      </c>
      <c r="EH373" t="str">
        <f t="shared" si="252"/>
        <v/>
      </c>
      <c r="EI373" t="str">
        <f t="shared" si="253"/>
        <v>Penicillines</v>
      </c>
      <c r="EJ373" t="str">
        <f t="shared" si="254"/>
        <v/>
      </c>
      <c r="EK373" s="63" t="str">
        <f t="shared" si="255"/>
        <v/>
      </c>
      <c r="EN373" s="42">
        <v>370</v>
      </c>
      <c r="EO373" t="e">
        <f t="shared" si="261"/>
        <v>#N/A</v>
      </c>
      <c r="EP373" s="63" t="e">
        <f t="shared" si="262"/>
        <v>#N/A</v>
      </c>
      <c r="FT373" s="63"/>
    </row>
    <row r="374" spans="2:176" x14ac:dyDescent="0.3">
      <c r="B374" s="42"/>
      <c r="M374" s="194" t="str">
        <f ca="1">INDEX(Données_ATB!BD:BU,MATCH(MASQ2!O374,Données_ATB!BD:BD,0),18)</f>
        <v>x</v>
      </c>
      <c r="N374" s="14" t="str">
        <f>IFERROR(IF(Q374=0,"",COUNTIF(Q$4:Q$600,"&gt;"&amp;Q374)+COUNTIF(Q$4:Q374,Q374)),"")</f>
        <v/>
      </c>
      <c r="O374" t="str">
        <f>Données_ATB!BD373</f>
        <v>PHADILACT</v>
      </c>
      <c r="P374" t="e">
        <f>IF(IF(X$2="Catégorie",IF(X$3="Toutes",SUMIFS('Étape 1 - à remplir'!$F$31:$F$400,'Étape 1 - à remplir'!$E$31:$E$400,MASQ2!O374,'Étape 1 - à remplir'!$G$31:$G$400,"animaux"),SUMIFS('Étape 1 - à remplir'!$F$31:$F$400,'Étape 1 - à remplir'!$E$31:$E$400,MASQ2!O374,'Étape 1 - à remplir'!$C$31:$C$400,X$3)),IF(X$2="Âge",IF(X$3="Tous",SUMIFS('Étape 1 - à remplir'!$F$31:$F$400,'Étape 1 - à remplir'!$E$31:$E$400,MASQ2!O374,'Étape 1 - à remplir'!$G$31:$G$400,"animaux"),SUMIFS('Étape 1 - à remplir'!$F$31:$F$400,'Étape 1 - à remplir'!$E$31:$E$400,MASQ2!O374,'Étape 1 - à remplir'!$P$31:$P$400,X$3)),IF(X$2="Atelier",IF(X$3="Tous",SUMIFS('Étape 1 - à remplir'!$F$31:$F$400,'Étape 1 - à remplir'!$E$31:$E$400,MASQ2!O374,'Étape 1 - à remplir'!$G$31:$G$400,"animaux"),SUMIFS('Étape 1 - à remplir'!$F$31:$F$400,'Étape 1 - à remplir'!$E$31:$E$400,MASQ2!O374,'Étape 1 - à remplir'!$O$31:$O$400,X$3)),IF(X$2="Espèce",IF(X$3="Toutes",SUMIFS('Étape 1 - à remplir'!$F$31:$F$400,'Étape 1 - à remplir'!$E$31:$E$400,MASQ2!O374,'Étape 1 - à remplir'!$G$31:$G$400,"animaux"),SUMIFS('Étape 1 - à remplir'!$F$31:$F$400,'Étape 1 - à remplir'!$E$31:$E$400,MASQ2!O374,'Étape 1 - à remplir'!$N$31:$N$400,X$3))))))=0,NA(),IF(X$2="Catégorie",IF(X$3="Toutes",SUMIFS('Étape 1 - à remplir'!$F$31:$F$400,'Étape 1 - à remplir'!$E$31:$E$400,MASQ2!O374,'Étape 1 - à remplir'!$G$31:$G$400,"animaux"),SUMIFS('Étape 1 - à remplir'!$F$31:$F$400,'Étape 1 - à remplir'!$E$31:$E$400,MASQ2!O374,'Étape 1 - à remplir'!$C$31:$C$400,X$3)),IF(X$2="Âge",IF(X$3="Tous",SUMIFS('Étape 1 - à remplir'!$F$31:$F$400,'Étape 1 - à remplir'!$E$31:$E$400,MASQ2!O374,'Étape 1 - à remplir'!$G$31:$G$400,"animaux"),SUMIFS('Étape 1 - à remplir'!$F$31:$F$400,'Étape 1 - à remplir'!$E$31:$E$400,MASQ2!O374,'Étape 1 - à remplir'!$P$31:$P$400,X$3)),IF(X$2="Atelier",IF(X$3="Tous",SUMIFS('Étape 1 - à remplir'!$F$31:$F$400,'Étape 1 - à remplir'!$E$31:$E$400,MASQ2!O374,'Étape 1 - à remplir'!$G$31:$G$400,"animaux"),SUMIFS('Étape 1 - à remplir'!$F$31:$F$400,'Étape 1 - à remplir'!$E$31:$E$400,MASQ2!O374,'Étape 1 - à remplir'!$O$31:$O$400,X$3)),IF(X$2="Espèce",IF(X$3="Toutes",SUMIFS('Étape 1 - à remplir'!$F$31:$F$400,'Étape 1 - à remplir'!$E$31:$E$400,MASQ2!O374,'Étape 1 - à remplir'!$G$31:$G$400,"animaux"),SUMIFS('Étape 1 - à remplir'!$F$31:$F$400,'Étape 1 - à remplir'!$E$31:$E$400,MASQ2!O374,'Étape 1 - à remplir'!$N$31:$N$400,X$3)))))))</f>
        <v>#N/A</v>
      </c>
      <c r="Q374" s="63">
        <f t="shared" si="260"/>
        <v>0</v>
      </c>
      <c r="R374" t="str">
        <f>Données_ATB!BM373</f>
        <v>Ampicilline</v>
      </c>
      <c r="S374" t="str">
        <f>Données_ATB!BN373</f>
        <v>Colistine</v>
      </c>
      <c r="T374" s="63" t="str">
        <f>Données_ATB!BO373</f>
        <v/>
      </c>
      <c r="U374" s="42" t="str">
        <f>Données_ATB!BQ373</f>
        <v>Penicillines</v>
      </c>
      <c r="V374" t="str">
        <f>Données_ATB!BR373</f>
        <v>Polypeptides</v>
      </c>
      <c r="W374" s="63" t="str">
        <f>Données_ATB!BS373</f>
        <v/>
      </c>
      <c r="Z374" s="42">
        <v>371</v>
      </c>
      <c r="AA374" t="e">
        <f t="shared" si="256"/>
        <v>#N/A</v>
      </c>
      <c r="AB374" s="63" t="e">
        <f t="shared" si="257"/>
        <v>#N/A</v>
      </c>
      <c r="BF374" s="63"/>
      <c r="BT374" s="194" t="str">
        <f t="shared" ca="1" si="240"/>
        <v>x</v>
      </c>
      <c r="BU374" s="219" t="str">
        <f>IFERROR(IF(BX374=0,"",COUNTIF(BX$4:BX$600,"&gt;"&amp;BX374)+COUNTIF(BX$4:BX374,BX374)),"")</f>
        <v/>
      </c>
      <c r="BV374" s="42" t="str">
        <f t="shared" si="241"/>
        <v>PHADILACT</v>
      </c>
      <c r="BW374" t="e">
        <f>IF(IF(CE$2="Catégorie",IF(CE$3="Toutes",SUMIFS('Étape 1 - à remplir'!$F$31:$F$400,'Étape 1 - à remplir'!$E$31:$E$400,MASQ2!BV374,'Étape 1 - à remplir'!$G$31:$G$400,"lots"),SUMIFS('Étape 1 - à remplir'!$F$31:$F$400,'Étape 1 - à remplir'!$E$31:$E$400,MASQ2!BV374,'Étape 1 - à remplir'!$C$31:$C$400,CE$3)),IF(CE$2="Âge",IF(CE$3="Tous",SUMIFS('Étape 1 - à remplir'!$F$31:$F$400,'Étape 1 - à remplir'!$E$31:$E$400,MASQ2!BV374,'Étape 1 - à remplir'!$G$31:$G$400,"lots"),SUMIFS('Étape 1 - à remplir'!$F$31:$F$400,'Étape 1 - à remplir'!$E$31:$E$400,MASQ2!BV374,'Étape 1 - à remplir'!$P$31:$P$400,CE$3,'Étape 1 - à remplir'!$G$31:$G$400,"lots")),IF(CE$2="Atelier",IF(CE$3="Tous",SUMIFS('Étape 1 - à remplir'!$F$31:$F$400,'Étape 1 - à remplir'!$E$31:$E$400,MASQ2!BV374,'Étape 1 - à remplir'!$G$31:$G$400,"lots"),SUMIFS('Étape 1 - à remplir'!$F$31:$F$400,'Étape 1 - à remplir'!$E$31:$E$400,MASQ2!BV374,'Étape 1 - à remplir'!$O$31:$O$400,CE$3,'Étape 1 - à remplir'!$G$31:$G$400,"lots")),IF(CE$2="Espèce",IF(CE$3="Toutes",SUMIFS('Étape 1 - à remplir'!$F$31:$F$400,'Étape 1 - à remplir'!$E$31:$E$400,MASQ2!BV374,'Étape 1 - à remplir'!$G$31:$G$400,"lots"),SUMIFS('Étape 1 - à remplir'!$F$31:$F$400,'Étape 1 - à remplir'!$E$31:$E$400,MASQ2!BV374,'Étape 1 - à remplir'!$N$31:$N$400,CE$3,'Étape 1 - à remplir'!$G$31:$G$400,"lots"))))))=0,NA(),IF(CE$2="Catégorie",IF(CE$3="Toutes",SUMIFS('Étape 1 - à remplir'!$F$31:$F$400,'Étape 1 - à remplir'!$E$31:$E$400,MASQ2!BV374,'Étape 1 - à remplir'!$G$31:$G$400,"lots"),SUMIFS('Étape 1 - à remplir'!$F$31:$F$400,'Étape 1 - à remplir'!$E$31:$E$400,MASQ2!BV374,'Étape 1 - à remplir'!$C$31:$C$400,CE$3)),IF(CE$2="Âge",IF(CE$3="Tous",SUMIFS('Étape 1 - à remplir'!$F$31:$F$400,'Étape 1 - à remplir'!$E$31:$E$400,MASQ2!BV374,'Étape 1 - à remplir'!$G$31:$G$400,"lots"),SUMIFS('Étape 1 - à remplir'!$F$31:$F$400,'Étape 1 - à remplir'!$E$31:$E$400,MASQ2!BV374,'Étape 1 - à remplir'!$P$31:$P$400,CE$3,'Étape 1 - à remplir'!$G$31:$G$400,"lots")),IF(CE$2="Atelier",IF(CE$3="Tous",SUMIFS('Étape 1 - à remplir'!$F$31:$F$400,'Étape 1 - à remplir'!$E$31:$E$400,MASQ2!BV374,'Étape 1 - à remplir'!$G$31:$G$400,"lots"),SUMIFS('Étape 1 - à remplir'!$F$31:$F$400,'Étape 1 - à remplir'!$E$31:$E$400,MASQ2!BV374,'Étape 1 - à remplir'!$O$31:$O$400,CE$3,'Étape 1 - à remplir'!$G$31:$G$400,"lots")),IF(CE$2="Espèce",IF(CE$3="Toutes",SUMIFS('Étape 1 - à remplir'!$F$31:$F$400,'Étape 1 - à remplir'!$E$31:$E$400,MASQ2!BV374,'Étape 1 - à remplir'!$G$31:$G$400,"lots"),SUMIFS('Étape 1 - à remplir'!$F$31:$F$400,'Étape 1 - à remplir'!$E$31:$E$400,MASQ2!BV374,'Étape 1 - à remplir'!$N$31:$N$400,CE$3,'Étape 1 - à remplir'!$G$31:$G$400,"lots")))))))</f>
        <v>#N/A</v>
      </c>
      <c r="BX374">
        <f t="shared" si="258"/>
        <v>0</v>
      </c>
      <c r="BY374" t="str">
        <f t="shared" si="242"/>
        <v>Ampicilline</v>
      </c>
      <c r="BZ374" t="str">
        <f t="shared" si="243"/>
        <v>Colistine</v>
      </c>
      <c r="CA374" t="str">
        <f t="shared" si="244"/>
        <v/>
      </c>
      <c r="CB374" t="str">
        <f t="shared" si="245"/>
        <v>Penicillines</v>
      </c>
      <c r="CC374" t="str">
        <f t="shared" si="246"/>
        <v>Polypeptides</v>
      </c>
      <c r="CD374" s="63" t="str">
        <f t="shared" si="247"/>
        <v/>
      </c>
      <c r="CG374" s="42">
        <v>371</v>
      </c>
      <c r="CH374" s="42" t="e">
        <f t="shared" si="263"/>
        <v>#N/A</v>
      </c>
      <c r="CI374" s="63" t="e">
        <f t="shared" si="264"/>
        <v>#N/A</v>
      </c>
      <c r="DM374" s="63"/>
      <c r="EA374" s="194" t="str">
        <f t="shared" ca="1" si="248"/>
        <v>x</v>
      </c>
      <c r="EB374" s="226" t="str">
        <f>IFERROR(IF(ED374=0,"",COUNTIF(ED$4:ED$600,"&gt;"&amp;ED374)+COUNTIF(ED$4:ED374,ED374)),"")</f>
        <v/>
      </c>
      <c r="EC374" t="str">
        <f t="shared" si="249"/>
        <v>PHADILACT</v>
      </c>
      <c r="ED374" t="e">
        <f>IF(IF(EL$2="Catégorie",IF(EL$3="Toutes",SUMIFS('Étape 1 - à remplir'!$F$31:$F$400,'Étape 1 - à remplir'!$E$31:$E$400,MASQ2!EC374,'Étape 1 - à remplir'!$G$31:$G$400,"kg"),SUMIFS('Étape 1 - à remplir'!$F$31:$F$400,'Étape 1 - à remplir'!$E$31:$E$400,MASQ2!EC374,'Étape 1 - à remplir'!$C$31:$C$400,EL$3)),IF(EL$2="Âge",IF(EL$3="Tous",SUMIFS('Étape 1 - à remplir'!$F$31:$F$400,'Étape 1 - à remplir'!$E$31:$E$400,MASQ2!EC374,'Étape 1 - à remplir'!$G$31:$G$400,"kg"),SUMIFS('Étape 1 - à remplir'!$F$31:$F$400,'Étape 1 - à remplir'!$E$31:$E$400,MASQ2!EC374,'Étape 1 - à remplir'!$P$31:$P$400,EL$3,'Étape 1 - à remplir'!$G$31:$G$400,"kg")),IF(EL$2="Atelier",IF(EL$3="Tous",SUMIFS('Étape 1 - à remplir'!$F$31:$F$400,'Étape 1 - à remplir'!$E$31:$E$400,MASQ2!EC374,'Étape 1 - à remplir'!$G$31:$G$400,"kg"),SUMIFS('Étape 1 - à remplir'!$F$31:$F$400,'Étape 1 - à remplir'!$E$31:$E$400,MASQ2!EC374,'Étape 1 - à remplir'!$O$31:$O$400,EL$3,'Étape 1 - à remplir'!$G$31:$G$400,"kg")),IF(EL$2="Espèce",IF(EL$3="Toutes",SUMIFS('Étape 1 - à remplir'!$F$31:$F$400,'Étape 1 - à remplir'!$E$31:$E$400,MASQ2!EC374,'Étape 1 - à remplir'!$G$31:$G$400,"kg"),SUMIFS('Étape 1 - à remplir'!$F$31:$F$400,'Étape 1 - à remplir'!$E$31:$E$400,MASQ2!EC374,'Étape 1 - à remplir'!$N$31:$N$400,EL$3,'Étape 1 - à remplir'!$G$31:$G$400,"kg"))))))=0,NA(),IF(EL$2="Catégorie",IF(EL$3="Toutes",SUMIFS('Étape 1 - à remplir'!$F$31:$F$400,'Étape 1 - à remplir'!$E$31:$E$400,MASQ2!EC374,'Étape 1 - à remplir'!$G$31:$G$400,"kg"),SUMIFS('Étape 1 - à remplir'!$F$31:$F$400,'Étape 1 - à remplir'!$E$31:$E$400,MASQ2!EC374,'Étape 1 - à remplir'!$C$31:$C$400,EL$3)),IF(EL$2="Âge",IF(EL$3="Tous",SUMIFS('Étape 1 - à remplir'!$F$31:$F$400,'Étape 1 - à remplir'!$E$31:$E$400,MASQ2!EC374,'Étape 1 - à remplir'!$G$31:$G$400,"kg"),SUMIFS('Étape 1 - à remplir'!$F$31:$F$400,'Étape 1 - à remplir'!$E$31:$E$400,MASQ2!EC374,'Étape 1 - à remplir'!$P$31:$P$400,EL$3,'Étape 1 - à remplir'!$G$31:$G$400,"kg")),IF(EL$2="Atelier",IF(EL$3="Tous",SUMIFS('Étape 1 - à remplir'!$F$31:$F$400,'Étape 1 - à remplir'!$E$31:$E$400,MASQ2!EC374,'Étape 1 - à remplir'!$G$31:$G$400,"kg"),SUMIFS('Étape 1 - à remplir'!$F$31:$F$400,'Étape 1 - à remplir'!$E$31:$E$400,MASQ2!EC374,'Étape 1 - à remplir'!$O$31:$O$400,EL$3,'Étape 1 - à remplir'!$G$31:$G$400,"kg")),IF(EL$2="Espèce",IF(EL$3="Toutes",SUMIFS('Étape 1 - à remplir'!$F$31:$F$400,'Étape 1 - à remplir'!$E$31:$E$400,MASQ2!EC374,'Étape 1 - à remplir'!$G$31:$G$400,"kg"),SUMIFS('Étape 1 - à remplir'!$F$31:$F$400,'Étape 1 - à remplir'!$E$31:$E$400,MASQ2!EC374,'Étape 1 - à remplir'!$N$31:$N$400,EL$3,'Étape 1 - à remplir'!$G$31:$G$400,"kg")))))))</f>
        <v>#N/A</v>
      </c>
      <c r="EE374" s="76">
        <f t="shared" si="259"/>
        <v>0</v>
      </c>
      <c r="EF374" t="str">
        <f t="shared" si="250"/>
        <v>Ampicilline</v>
      </c>
      <c r="EG374" t="str">
        <f t="shared" si="251"/>
        <v>Colistine</v>
      </c>
      <c r="EH374" t="str">
        <f t="shared" si="252"/>
        <v/>
      </c>
      <c r="EI374" t="str">
        <f t="shared" si="253"/>
        <v>Penicillines</v>
      </c>
      <c r="EJ374" t="str">
        <f t="shared" si="254"/>
        <v>Polypeptides</v>
      </c>
      <c r="EK374" s="63" t="str">
        <f t="shared" si="255"/>
        <v/>
      </c>
      <c r="EN374" s="42">
        <v>371</v>
      </c>
      <c r="EO374" t="e">
        <f t="shared" si="261"/>
        <v>#N/A</v>
      </c>
      <c r="EP374" s="63" t="e">
        <f t="shared" si="262"/>
        <v>#N/A</v>
      </c>
      <c r="FT374" s="63"/>
    </row>
    <row r="375" spans="2:176" x14ac:dyDescent="0.3">
      <c r="B375" s="42"/>
      <c r="M375" s="194" t="str">
        <f ca="1">INDEX(Données_ATB!BD:BU,MATCH(MASQ2!O375,Données_ATB!BD:BD,0),18)</f>
        <v/>
      </c>
      <c r="N375" s="14" t="str">
        <f>IFERROR(IF(Q375=0,"",COUNTIF(Q$4:Q$600,"&gt;"&amp;Q375)+COUNTIF(Q$4:Q375,Q375)),"")</f>
        <v/>
      </c>
      <c r="O375" t="str">
        <f>Données_ATB!BD374</f>
        <v>PHARMASIN 100 PREMELANGE MEDICAMENTEUX VOLAILLES PORCS</v>
      </c>
      <c r="P375" t="e">
        <f>IF(IF(X$2="Catégorie",IF(X$3="Toutes",SUMIFS('Étape 1 - à remplir'!$F$31:$F$400,'Étape 1 - à remplir'!$E$31:$E$400,MASQ2!O375,'Étape 1 - à remplir'!$G$31:$G$400,"animaux"),SUMIFS('Étape 1 - à remplir'!$F$31:$F$400,'Étape 1 - à remplir'!$E$31:$E$400,MASQ2!O375,'Étape 1 - à remplir'!$C$31:$C$400,X$3)),IF(X$2="Âge",IF(X$3="Tous",SUMIFS('Étape 1 - à remplir'!$F$31:$F$400,'Étape 1 - à remplir'!$E$31:$E$400,MASQ2!O375,'Étape 1 - à remplir'!$G$31:$G$400,"animaux"),SUMIFS('Étape 1 - à remplir'!$F$31:$F$400,'Étape 1 - à remplir'!$E$31:$E$400,MASQ2!O375,'Étape 1 - à remplir'!$P$31:$P$400,X$3)),IF(X$2="Atelier",IF(X$3="Tous",SUMIFS('Étape 1 - à remplir'!$F$31:$F$400,'Étape 1 - à remplir'!$E$31:$E$400,MASQ2!O375,'Étape 1 - à remplir'!$G$31:$G$400,"animaux"),SUMIFS('Étape 1 - à remplir'!$F$31:$F$400,'Étape 1 - à remplir'!$E$31:$E$400,MASQ2!O375,'Étape 1 - à remplir'!$O$31:$O$400,X$3)),IF(X$2="Espèce",IF(X$3="Toutes",SUMIFS('Étape 1 - à remplir'!$F$31:$F$400,'Étape 1 - à remplir'!$E$31:$E$400,MASQ2!O375,'Étape 1 - à remplir'!$G$31:$G$400,"animaux"),SUMIFS('Étape 1 - à remplir'!$F$31:$F$400,'Étape 1 - à remplir'!$E$31:$E$400,MASQ2!O375,'Étape 1 - à remplir'!$N$31:$N$400,X$3))))))=0,NA(),IF(X$2="Catégorie",IF(X$3="Toutes",SUMIFS('Étape 1 - à remplir'!$F$31:$F$400,'Étape 1 - à remplir'!$E$31:$E$400,MASQ2!O375,'Étape 1 - à remplir'!$G$31:$G$400,"animaux"),SUMIFS('Étape 1 - à remplir'!$F$31:$F$400,'Étape 1 - à remplir'!$E$31:$E$400,MASQ2!O375,'Étape 1 - à remplir'!$C$31:$C$400,X$3)),IF(X$2="Âge",IF(X$3="Tous",SUMIFS('Étape 1 - à remplir'!$F$31:$F$400,'Étape 1 - à remplir'!$E$31:$E$400,MASQ2!O375,'Étape 1 - à remplir'!$G$31:$G$400,"animaux"),SUMIFS('Étape 1 - à remplir'!$F$31:$F$400,'Étape 1 - à remplir'!$E$31:$E$400,MASQ2!O375,'Étape 1 - à remplir'!$P$31:$P$400,X$3)),IF(X$2="Atelier",IF(X$3="Tous",SUMIFS('Étape 1 - à remplir'!$F$31:$F$400,'Étape 1 - à remplir'!$E$31:$E$400,MASQ2!O375,'Étape 1 - à remplir'!$G$31:$G$400,"animaux"),SUMIFS('Étape 1 - à remplir'!$F$31:$F$400,'Étape 1 - à remplir'!$E$31:$E$400,MASQ2!O375,'Étape 1 - à remplir'!$O$31:$O$400,X$3)),IF(X$2="Espèce",IF(X$3="Toutes",SUMIFS('Étape 1 - à remplir'!$F$31:$F$400,'Étape 1 - à remplir'!$E$31:$E$400,MASQ2!O375,'Étape 1 - à remplir'!$G$31:$G$400,"animaux"),SUMIFS('Étape 1 - à remplir'!$F$31:$F$400,'Étape 1 - à remplir'!$E$31:$E$400,MASQ2!O375,'Étape 1 - à remplir'!$N$31:$N$400,X$3)))))))</f>
        <v>#N/A</v>
      </c>
      <c r="Q375" s="63">
        <f t="shared" si="260"/>
        <v>0</v>
      </c>
      <c r="R375" t="str">
        <f>Données_ATB!BM374</f>
        <v>Tylosine</v>
      </c>
      <c r="S375" t="str">
        <f>Données_ATB!BN374</f>
        <v/>
      </c>
      <c r="T375" s="63" t="str">
        <f>Données_ATB!BO374</f>
        <v/>
      </c>
      <c r="U375" s="42" t="str">
        <f>Données_ATB!BQ374</f>
        <v>Macrolides</v>
      </c>
      <c r="V375" t="str">
        <f>Données_ATB!BR374</f>
        <v/>
      </c>
      <c r="W375" s="63" t="str">
        <f>Données_ATB!BS374</f>
        <v/>
      </c>
      <c r="Z375" s="42">
        <v>372</v>
      </c>
      <c r="AA375" t="e">
        <f t="shared" si="256"/>
        <v>#N/A</v>
      </c>
      <c r="AB375" s="63" t="e">
        <f t="shared" si="257"/>
        <v>#N/A</v>
      </c>
      <c r="BF375" s="63"/>
      <c r="BT375" s="194" t="str">
        <f t="shared" ca="1" si="240"/>
        <v/>
      </c>
      <c r="BU375" s="219" t="str">
        <f>IFERROR(IF(BX375=0,"",COUNTIF(BX$4:BX$600,"&gt;"&amp;BX375)+COUNTIF(BX$4:BX375,BX375)),"")</f>
        <v/>
      </c>
      <c r="BV375" s="42" t="str">
        <f t="shared" si="241"/>
        <v>PHARMASIN 100 PREMELANGE MEDICAMENTEUX VOLAILLES PORCS</v>
      </c>
      <c r="BW375" t="e">
        <f>IF(IF(CE$2="Catégorie",IF(CE$3="Toutes",SUMIFS('Étape 1 - à remplir'!$F$31:$F$400,'Étape 1 - à remplir'!$E$31:$E$400,MASQ2!BV375,'Étape 1 - à remplir'!$G$31:$G$400,"lots"),SUMIFS('Étape 1 - à remplir'!$F$31:$F$400,'Étape 1 - à remplir'!$E$31:$E$400,MASQ2!BV375,'Étape 1 - à remplir'!$C$31:$C$400,CE$3)),IF(CE$2="Âge",IF(CE$3="Tous",SUMIFS('Étape 1 - à remplir'!$F$31:$F$400,'Étape 1 - à remplir'!$E$31:$E$400,MASQ2!BV375,'Étape 1 - à remplir'!$G$31:$G$400,"lots"),SUMIFS('Étape 1 - à remplir'!$F$31:$F$400,'Étape 1 - à remplir'!$E$31:$E$400,MASQ2!BV375,'Étape 1 - à remplir'!$P$31:$P$400,CE$3,'Étape 1 - à remplir'!$G$31:$G$400,"lots")),IF(CE$2="Atelier",IF(CE$3="Tous",SUMIFS('Étape 1 - à remplir'!$F$31:$F$400,'Étape 1 - à remplir'!$E$31:$E$400,MASQ2!BV375,'Étape 1 - à remplir'!$G$31:$G$400,"lots"),SUMIFS('Étape 1 - à remplir'!$F$31:$F$400,'Étape 1 - à remplir'!$E$31:$E$400,MASQ2!BV375,'Étape 1 - à remplir'!$O$31:$O$400,CE$3,'Étape 1 - à remplir'!$G$31:$G$400,"lots")),IF(CE$2="Espèce",IF(CE$3="Toutes",SUMIFS('Étape 1 - à remplir'!$F$31:$F$400,'Étape 1 - à remplir'!$E$31:$E$400,MASQ2!BV375,'Étape 1 - à remplir'!$G$31:$G$400,"lots"),SUMIFS('Étape 1 - à remplir'!$F$31:$F$400,'Étape 1 - à remplir'!$E$31:$E$400,MASQ2!BV375,'Étape 1 - à remplir'!$N$31:$N$400,CE$3,'Étape 1 - à remplir'!$G$31:$G$400,"lots"))))))=0,NA(),IF(CE$2="Catégorie",IF(CE$3="Toutes",SUMIFS('Étape 1 - à remplir'!$F$31:$F$400,'Étape 1 - à remplir'!$E$31:$E$400,MASQ2!BV375,'Étape 1 - à remplir'!$G$31:$G$400,"lots"),SUMIFS('Étape 1 - à remplir'!$F$31:$F$400,'Étape 1 - à remplir'!$E$31:$E$400,MASQ2!BV375,'Étape 1 - à remplir'!$C$31:$C$400,CE$3)),IF(CE$2="Âge",IF(CE$3="Tous",SUMIFS('Étape 1 - à remplir'!$F$31:$F$400,'Étape 1 - à remplir'!$E$31:$E$400,MASQ2!BV375,'Étape 1 - à remplir'!$G$31:$G$400,"lots"),SUMIFS('Étape 1 - à remplir'!$F$31:$F$400,'Étape 1 - à remplir'!$E$31:$E$400,MASQ2!BV375,'Étape 1 - à remplir'!$P$31:$P$400,CE$3,'Étape 1 - à remplir'!$G$31:$G$400,"lots")),IF(CE$2="Atelier",IF(CE$3="Tous",SUMIFS('Étape 1 - à remplir'!$F$31:$F$400,'Étape 1 - à remplir'!$E$31:$E$400,MASQ2!BV375,'Étape 1 - à remplir'!$G$31:$G$400,"lots"),SUMIFS('Étape 1 - à remplir'!$F$31:$F$400,'Étape 1 - à remplir'!$E$31:$E$400,MASQ2!BV375,'Étape 1 - à remplir'!$O$31:$O$400,CE$3,'Étape 1 - à remplir'!$G$31:$G$400,"lots")),IF(CE$2="Espèce",IF(CE$3="Toutes",SUMIFS('Étape 1 - à remplir'!$F$31:$F$400,'Étape 1 - à remplir'!$E$31:$E$400,MASQ2!BV375,'Étape 1 - à remplir'!$G$31:$G$400,"lots"),SUMIFS('Étape 1 - à remplir'!$F$31:$F$400,'Étape 1 - à remplir'!$E$31:$E$400,MASQ2!BV375,'Étape 1 - à remplir'!$N$31:$N$400,CE$3,'Étape 1 - à remplir'!$G$31:$G$400,"lots")))))))</f>
        <v>#N/A</v>
      </c>
      <c r="BX375">
        <f t="shared" si="258"/>
        <v>0</v>
      </c>
      <c r="BY375" t="str">
        <f t="shared" si="242"/>
        <v>Tylosine</v>
      </c>
      <c r="BZ375" t="str">
        <f t="shared" si="243"/>
        <v/>
      </c>
      <c r="CA375" t="str">
        <f t="shared" si="244"/>
        <v/>
      </c>
      <c r="CB375" t="str">
        <f t="shared" si="245"/>
        <v>Macrolides</v>
      </c>
      <c r="CC375" t="str">
        <f t="shared" si="246"/>
        <v/>
      </c>
      <c r="CD375" s="63" t="str">
        <f t="shared" si="247"/>
        <v/>
      </c>
      <c r="CG375" s="42">
        <v>372</v>
      </c>
      <c r="CH375" s="42" t="e">
        <f t="shared" si="263"/>
        <v>#N/A</v>
      </c>
      <c r="CI375" s="63" t="e">
        <f t="shared" si="264"/>
        <v>#N/A</v>
      </c>
      <c r="DM375" s="63"/>
      <c r="EA375" s="194" t="str">
        <f t="shared" ca="1" si="248"/>
        <v/>
      </c>
      <c r="EB375" s="226" t="str">
        <f>IFERROR(IF(ED375=0,"",COUNTIF(ED$4:ED$600,"&gt;"&amp;ED375)+COUNTIF(ED$4:ED375,ED375)),"")</f>
        <v/>
      </c>
      <c r="EC375" t="str">
        <f t="shared" si="249"/>
        <v>PHARMASIN 100 PREMELANGE MEDICAMENTEUX VOLAILLES PORCS</v>
      </c>
      <c r="ED375" t="e">
        <f>IF(IF(EL$2="Catégorie",IF(EL$3="Toutes",SUMIFS('Étape 1 - à remplir'!$F$31:$F$400,'Étape 1 - à remplir'!$E$31:$E$400,MASQ2!EC375,'Étape 1 - à remplir'!$G$31:$G$400,"kg"),SUMIFS('Étape 1 - à remplir'!$F$31:$F$400,'Étape 1 - à remplir'!$E$31:$E$400,MASQ2!EC375,'Étape 1 - à remplir'!$C$31:$C$400,EL$3)),IF(EL$2="Âge",IF(EL$3="Tous",SUMIFS('Étape 1 - à remplir'!$F$31:$F$400,'Étape 1 - à remplir'!$E$31:$E$400,MASQ2!EC375,'Étape 1 - à remplir'!$G$31:$G$400,"kg"),SUMIFS('Étape 1 - à remplir'!$F$31:$F$400,'Étape 1 - à remplir'!$E$31:$E$400,MASQ2!EC375,'Étape 1 - à remplir'!$P$31:$P$400,EL$3,'Étape 1 - à remplir'!$G$31:$G$400,"kg")),IF(EL$2="Atelier",IF(EL$3="Tous",SUMIFS('Étape 1 - à remplir'!$F$31:$F$400,'Étape 1 - à remplir'!$E$31:$E$400,MASQ2!EC375,'Étape 1 - à remplir'!$G$31:$G$400,"kg"),SUMIFS('Étape 1 - à remplir'!$F$31:$F$400,'Étape 1 - à remplir'!$E$31:$E$400,MASQ2!EC375,'Étape 1 - à remplir'!$O$31:$O$400,EL$3,'Étape 1 - à remplir'!$G$31:$G$400,"kg")),IF(EL$2="Espèce",IF(EL$3="Toutes",SUMIFS('Étape 1 - à remplir'!$F$31:$F$400,'Étape 1 - à remplir'!$E$31:$E$400,MASQ2!EC375,'Étape 1 - à remplir'!$G$31:$G$400,"kg"),SUMIFS('Étape 1 - à remplir'!$F$31:$F$400,'Étape 1 - à remplir'!$E$31:$E$400,MASQ2!EC375,'Étape 1 - à remplir'!$N$31:$N$400,EL$3,'Étape 1 - à remplir'!$G$31:$G$400,"kg"))))))=0,NA(),IF(EL$2="Catégorie",IF(EL$3="Toutes",SUMIFS('Étape 1 - à remplir'!$F$31:$F$400,'Étape 1 - à remplir'!$E$31:$E$400,MASQ2!EC375,'Étape 1 - à remplir'!$G$31:$G$400,"kg"),SUMIFS('Étape 1 - à remplir'!$F$31:$F$400,'Étape 1 - à remplir'!$E$31:$E$400,MASQ2!EC375,'Étape 1 - à remplir'!$C$31:$C$400,EL$3)),IF(EL$2="Âge",IF(EL$3="Tous",SUMIFS('Étape 1 - à remplir'!$F$31:$F$400,'Étape 1 - à remplir'!$E$31:$E$400,MASQ2!EC375,'Étape 1 - à remplir'!$G$31:$G$400,"kg"),SUMIFS('Étape 1 - à remplir'!$F$31:$F$400,'Étape 1 - à remplir'!$E$31:$E$400,MASQ2!EC375,'Étape 1 - à remplir'!$P$31:$P$400,EL$3,'Étape 1 - à remplir'!$G$31:$G$400,"kg")),IF(EL$2="Atelier",IF(EL$3="Tous",SUMIFS('Étape 1 - à remplir'!$F$31:$F$400,'Étape 1 - à remplir'!$E$31:$E$400,MASQ2!EC375,'Étape 1 - à remplir'!$G$31:$G$400,"kg"),SUMIFS('Étape 1 - à remplir'!$F$31:$F$400,'Étape 1 - à remplir'!$E$31:$E$400,MASQ2!EC375,'Étape 1 - à remplir'!$O$31:$O$400,EL$3,'Étape 1 - à remplir'!$G$31:$G$400,"kg")),IF(EL$2="Espèce",IF(EL$3="Toutes",SUMIFS('Étape 1 - à remplir'!$F$31:$F$400,'Étape 1 - à remplir'!$E$31:$E$400,MASQ2!EC375,'Étape 1 - à remplir'!$G$31:$G$400,"kg"),SUMIFS('Étape 1 - à remplir'!$F$31:$F$400,'Étape 1 - à remplir'!$E$31:$E$400,MASQ2!EC375,'Étape 1 - à remplir'!$N$31:$N$400,EL$3,'Étape 1 - à remplir'!$G$31:$G$400,"kg")))))))</f>
        <v>#N/A</v>
      </c>
      <c r="EE375" s="76">
        <f t="shared" si="259"/>
        <v>0</v>
      </c>
      <c r="EF375" t="str">
        <f t="shared" si="250"/>
        <v>Tylosine</v>
      </c>
      <c r="EG375" t="str">
        <f t="shared" si="251"/>
        <v/>
      </c>
      <c r="EH375" t="str">
        <f t="shared" si="252"/>
        <v/>
      </c>
      <c r="EI375" t="str">
        <f t="shared" si="253"/>
        <v>Macrolides</v>
      </c>
      <c r="EJ375" t="str">
        <f t="shared" si="254"/>
        <v/>
      </c>
      <c r="EK375" s="63" t="str">
        <f t="shared" si="255"/>
        <v/>
      </c>
      <c r="EN375" s="42">
        <v>372</v>
      </c>
      <c r="EO375" t="e">
        <f t="shared" si="261"/>
        <v>#N/A</v>
      </c>
      <c r="EP375" s="63" t="e">
        <f t="shared" si="262"/>
        <v>#N/A</v>
      </c>
      <c r="FT375" s="63"/>
    </row>
    <row r="376" spans="2:176" x14ac:dyDescent="0.3">
      <c r="B376" s="42"/>
      <c r="M376" s="194" t="str">
        <f ca="1">INDEX(Données_ATB!BD:BU,MATCH(MASQ2!O376,Données_ATB!BD:BD,0),18)</f>
        <v/>
      </c>
      <c r="N376" s="14" t="str">
        <f>IFERROR(IF(Q376=0,"",COUNTIF(Q$4:Q$600,"&gt;"&amp;Q376)+COUNTIF(Q$4:Q376,Q376)),"")</f>
        <v/>
      </c>
      <c r="O376" t="str">
        <f>Données_ATB!BD375</f>
        <v>PHARMASIN 20 G/KG PREMELANGE MEDICAMENTEUX VOLAILLES PORCS</v>
      </c>
      <c r="P376" t="e">
        <f>IF(IF(X$2="Catégorie",IF(X$3="Toutes",SUMIFS('Étape 1 - à remplir'!$F$31:$F$400,'Étape 1 - à remplir'!$E$31:$E$400,MASQ2!O376,'Étape 1 - à remplir'!$G$31:$G$400,"animaux"),SUMIFS('Étape 1 - à remplir'!$F$31:$F$400,'Étape 1 - à remplir'!$E$31:$E$400,MASQ2!O376,'Étape 1 - à remplir'!$C$31:$C$400,X$3)),IF(X$2="Âge",IF(X$3="Tous",SUMIFS('Étape 1 - à remplir'!$F$31:$F$400,'Étape 1 - à remplir'!$E$31:$E$400,MASQ2!O376,'Étape 1 - à remplir'!$G$31:$G$400,"animaux"),SUMIFS('Étape 1 - à remplir'!$F$31:$F$400,'Étape 1 - à remplir'!$E$31:$E$400,MASQ2!O376,'Étape 1 - à remplir'!$P$31:$P$400,X$3)),IF(X$2="Atelier",IF(X$3="Tous",SUMIFS('Étape 1 - à remplir'!$F$31:$F$400,'Étape 1 - à remplir'!$E$31:$E$400,MASQ2!O376,'Étape 1 - à remplir'!$G$31:$G$400,"animaux"),SUMIFS('Étape 1 - à remplir'!$F$31:$F$400,'Étape 1 - à remplir'!$E$31:$E$400,MASQ2!O376,'Étape 1 - à remplir'!$O$31:$O$400,X$3)),IF(X$2="Espèce",IF(X$3="Toutes",SUMIFS('Étape 1 - à remplir'!$F$31:$F$400,'Étape 1 - à remplir'!$E$31:$E$400,MASQ2!O376,'Étape 1 - à remplir'!$G$31:$G$400,"animaux"),SUMIFS('Étape 1 - à remplir'!$F$31:$F$400,'Étape 1 - à remplir'!$E$31:$E$400,MASQ2!O376,'Étape 1 - à remplir'!$N$31:$N$400,X$3))))))=0,NA(),IF(X$2="Catégorie",IF(X$3="Toutes",SUMIFS('Étape 1 - à remplir'!$F$31:$F$400,'Étape 1 - à remplir'!$E$31:$E$400,MASQ2!O376,'Étape 1 - à remplir'!$G$31:$G$400,"animaux"),SUMIFS('Étape 1 - à remplir'!$F$31:$F$400,'Étape 1 - à remplir'!$E$31:$E$400,MASQ2!O376,'Étape 1 - à remplir'!$C$31:$C$400,X$3)),IF(X$2="Âge",IF(X$3="Tous",SUMIFS('Étape 1 - à remplir'!$F$31:$F$400,'Étape 1 - à remplir'!$E$31:$E$400,MASQ2!O376,'Étape 1 - à remplir'!$G$31:$G$400,"animaux"),SUMIFS('Étape 1 - à remplir'!$F$31:$F$400,'Étape 1 - à remplir'!$E$31:$E$400,MASQ2!O376,'Étape 1 - à remplir'!$P$31:$P$400,X$3)),IF(X$2="Atelier",IF(X$3="Tous",SUMIFS('Étape 1 - à remplir'!$F$31:$F$400,'Étape 1 - à remplir'!$E$31:$E$400,MASQ2!O376,'Étape 1 - à remplir'!$G$31:$G$400,"animaux"),SUMIFS('Étape 1 - à remplir'!$F$31:$F$400,'Étape 1 - à remplir'!$E$31:$E$400,MASQ2!O376,'Étape 1 - à remplir'!$O$31:$O$400,X$3)),IF(X$2="Espèce",IF(X$3="Toutes",SUMIFS('Étape 1 - à remplir'!$F$31:$F$400,'Étape 1 - à remplir'!$E$31:$E$400,MASQ2!O376,'Étape 1 - à remplir'!$G$31:$G$400,"animaux"),SUMIFS('Étape 1 - à remplir'!$F$31:$F$400,'Étape 1 - à remplir'!$E$31:$E$400,MASQ2!O376,'Étape 1 - à remplir'!$N$31:$N$400,X$3)))))))</f>
        <v>#N/A</v>
      </c>
      <c r="Q376" s="63">
        <f t="shared" si="260"/>
        <v>0</v>
      </c>
      <c r="R376" t="str">
        <f>Données_ATB!BM375</f>
        <v>Tylosine</v>
      </c>
      <c r="S376" t="str">
        <f>Données_ATB!BN375</f>
        <v/>
      </c>
      <c r="T376" s="63" t="str">
        <f>Données_ATB!BO375</f>
        <v/>
      </c>
      <c r="U376" s="42" t="str">
        <f>Données_ATB!BQ375</f>
        <v>Macrolides</v>
      </c>
      <c r="V376" t="str">
        <f>Données_ATB!BR375</f>
        <v/>
      </c>
      <c r="W376" s="63" t="str">
        <f>Données_ATB!BS375</f>
        <v/>
      </c>
      <c r="Z376" s="42">
        <v>373</v>
      </c>
      <c r="AA376" t="e">
        <f t="shared" si="256"/>
        <v>#N/A</v>
      </c>
      <c r="AB376" s="63" t="e">
        <f t="shared" si="257"/>
        <v>#N/A</v>
      </c>
      <c r="BF376" s="63"/>
      <c r="BT376" s="194" t="str">
        <f t="shared" ca="1" si="240"/>
        <v/>
      </c>
      <c r="BU376" s="219" t="str">
        <f>IFERROR(IF(BX376=0,"",COUNTIF(BX$4:BX$600,"&gt;"&amp;BX376)+COUNTIF(BX$4:BX376,BX376)),"")</f>
        <v/>
      </c>
      <c r="BV376" s="42" t="str">
        <f t="shared" si="241"/>
        <v>PHARMASIN 20 G/KG PREMELANGE MEDICAMENTEUX VOLAILLES PORCS</v>
      </c>
      <c r="BW376" t="e">
        <f>IF(IF(CE$2="Catégorie",IF(CE$3="Toutes",SUMIFS('Étape 1 - à remplir'!$F$31:$F$400,'Étape 1 - à remplir'!$E$31:$E$400,MASQ2!BV376,'Étape 1 - à remplir'!$G$31:$G$400,"lots"),SUMIFS('Étape 1 - à remplir'!$F$31:$F$400,'Étape 1 - à remplir'!$E$31:$E$400,MASQ2!BV376,'Étape 1 - à remplir'!$C$31:$C$400,CE$3)),IF(CE$2="Âge",IF(CE$3="Tous",SUMIFS('Étape 1 - à remplir'!$F$31:$F$400,'Étape 1 - à remplir'!$E$31:$E$400,MASQ2!BV376,'Étape 1 - à remplir'!$G$31:$G$400,"lots"),SUMIFS('Étape 1 - à remplir'!$F$31:$F$400,'Étape 1 - à remplir'!$E$31:$E$400,MASQ2!BV376,'Étape 1 - à remplir'!$P$31:$P$400,CE$3,'Étape 1 - à remplir'!$G$31:$G$400,"lots")),IF(CE$2="Atelier",IF(CE$3="Tous",SUMIFS('Étape 1 - à remplir'!$F$31:$F$400,'Étape 1 - à remplir'!$E$31:$E$400,MASQ2!BV376,'Étape 1 - à remplir'!$G$31:$G$400,"lots"),SUMIFS('Étape 1 - à remplir'!$F$31:$F$400,'Étape 1 - à remplir'!$E$31:$E$400,MASQ2!BV376,'Étape 1 - à remplir'!$O$31:$O$400,CE$3,'Étape 1 - à remplir'!$G$31:$G$400,"lots")),IF(CE$2="Espèce",IF(CE$3="Toutes",SUMIFS('Étape 1 - à remplir'!$F$31:$F$400,'Étape 1 - à remplir'!$E$31:$E$400,MASQ2!BV376,'Étape 1 - à remplir'!$G$31:$G$400,"lots"),SUMIFS('Étape 1 - à remplir'!$F$31:$F$400,'Étape 1 - à remplir'!$E$31:$E$400,MASQ2!BV376,'Étape 1 - à remplir'!$N$31:$N$400,CE$3,'Étape 1 - à remplir'!$G$31:$G$400,"lots"))))))=0,NA(),IF(CE$2="Catégorie",IF(CE$3="Toutes",SUMIFS('Étape 1 - à remplir'!$F$31:$F$400,'Étape 1 - à remplir'!$E$31:$E$400,MASQ2!BV376,'Étape 1 - à remplir'!$G$31:$G$400,"lots"),SUMIFS('Étape 1 - à remplir'!$F$31:$F$400,'Étape 1 - à remplir'!$E$31:$E$400,MASQ2!BV376,'Étape 1 - à remplir'!$C$31:$C$400,CE$3)),IF(CE$2="Âge",IF(CE$3="Tous",SUMIFS('Étape 1 - à remplir'!$F$31:$F$400,'Étape 1 - à remplir'!$E$31:$E$400,MASQ2!BV376,'Étape 1 - à remplir'!$G$31:$G$400,"lots"),SUMIFS('Étape 1 - à remplir'!$F$31:$F$400,'Étape 1 - à remplir'!$E$31:$E$400,MASQ2!BV376,'Étape 1 - à remplir'!$P$31:$P$400,CE$3,'Étape 1 - à remplir'!$G$31:$G$400,"lots")),IF(CE$2="Atelier",IF(CE$3="Tous",SUMIFS('Étape 1 - à remplir'!$F$31:$F$400,'Étape 1 - à remplir'!$E$31:$E$400,MASQ2!BV376,'Étape 1 - à remplir'!$G$31:$G$400,"lots"),SUMIFS('Étape 1 - à remplir'!$F$31:$F$400,'Étape 1 - à remplir'!$E$31:$E$400,MASQ2!BV376,'Étape 1 - à remplir'!$O$31:$O$400,CE$3,'Étape 1 - à remplir'!$G$31:$G$400,"lots")),IF(CE$2="Espèce",IF(CE$3="Toutes",SUMIFS('Étape 1 - à remplir'!$F$31:$F$400,'Étape 1 - à remplir'!$E$31:$E$400,MASQ2!BV376,'Étape 1 - à remplir'!$G$31:$G$400,"lots"),SUMIFS('Étape 1 - à remplir'!$F$31:$F$400,'Étape 1 - à remplir'!$E$31:$E$400,MASQ2!BV376,'Étape 1 - à remplir'!$N$31:$N$400,CE$3,'Étape 1 - à remplir'!$G$31:$G$400,"lots")))))))</f>
        <v>#N/A</v>
      </c>
      <c r="BX376">
        <f t="shared" si="258"/>
        <v>0</v>
      </c>
      <c r="BY376" t="str">
        <f t="shared" si="242"/>
        <v>Tylosine</v>
      </c>
      <c r="BZ376" t="str">
        <f t="shared" si="243"/>
        <v/>
      </c>
      <c r="CA376" t="str">
        <f t="shared" si="244"/>
        <v/>
      </c>
      <c r="CB376" t="str">
        <f t="shared" si="245"/>
        <v>Macrolides</v>
      </c>
      <c r="CC376" t="str">
        <f t="shared" si="246"/>
        <v/>
      </c>
      <c r="CD376" s="63" t="str">
        <f t="shared" si="247"/>
        <v/>
      </c>
      <c r="CG376" s="42">
        <v>373</v>
      </c>
      <c r="CH376" s="42" t="e">
        <f t="shared" si="263"/>
        <v>#N/A</v>
      </c>
      <c r="CI376" s="63" t="e">
        <f t="shared" si="264"/>
        <v>#N/A</v>
      </c>
      <c r="DM376" s="63"/>
      <c r="EA376" s="194" t="str">
        <f t="shared" ca="1" si="248"/>
        <v/>
      </c>
      <c r="EB376" s="226" t="str">
        <f>IFERROR(IF(ED376=0,"",COUNTIF(ED$4:ED$600,"&gt;"&amp;ED376)+COUNTIF(ED$4:ED376,ED376)),"")</f>
        <v/>
      </c>
      <c r="EC376" t="str">
        <f t="shared" si="249"/>
        <v>PHARMASIN 20 G/KG PREMELANGE MEDICAMENTEUX VOLAILLES PORCS</v>
      </c>
      <c r="ED376" t="e">
        <f>IF(IF(EL$2="Catégorie",IF(EL$3="Toutes",SUMIFS('Étape 1 - à remplir'!$F$31:$F$400,'Étape 1 - à remplir'!$E$31:$E$400,MASQ2!EC376,'Étape 1 - à remplir'!$G$31:$G$400,"kg"),SUMIFS('Étape 1 - à remplir'!$F$31:$F$400,'Étape 1 - à remplir'!$E$31:$E$400,MASQ2!EC376,'Étape 1 - à remplir'!$C$31:$C$400,EL$3)),IF(EL$2="Âge",IF(EL$3="Tous",SUMIFS('Étape 1 - à remplir'!$F$31:$F$400,'Étape 1 - à remplir'!$E$31:$E$400,MASQ2!EC376,'Étape 1 - à remplir'!$G$31:$G$400,"kg"),SUMIFS('Étape 1 - à remplir'!$F$31:$F$400,'Étape 1 - à remplir'!$E$31:$E$400,MASQ2!EC376,'Étape 1 - à remplir'!$P$31:$P$400,EL$3,'Étape 1 - à remplir'!$G$31:$G$400,"kg")),IF(EL$2="Atelier",IF(EL$3="Tous",SUMIFS('Étape 1 - à remplir'!$F$31:$F$400,'Étape 1 - à remplir'!$E$31:$E$400,MASQ2!EC376,'Étape 1 - à remplir'!$G$31:$G$400,"kg"),SUMIFS('Étape 1 - à remplir'!$F$31:$F$400,'Étape 1 - à remplir'!$E$31:$E$400,MASQ2!EC376,'Étape 1 - à remplir'!$O$31:$O$400,EL$3,'Étape 1 - à remplir'!$G$31:$G$400,"kg")),IF(EL$2="Espèce",IF(EL$3="Toutes",SUMIFS('Étape 1 - à remplir'!$F$31:$F$400,'Étape 1 - à remplir'!$E$31:$E$400,MASQ2!EC376,'Étape 1 - à remplir'!$G$31:$G$400,"kg"),SUMIFS('Étape 1 - à remplir'!$F$31:$F$400,'Étape 1 - à remplir'!$E$31:$E$400,MASQ2!EC376,'Étape 1 - à remplir'!$N$31:$N$400,EL$3,'Étape 1 - à remplir'!$G$31:$G$400,"kg"))))))=0,NA(),IF(EL$2="Catégorie",IF(EL$3="Toutes",SUMIFS('Étape 1 - à remplir'!$F$31:$F$400,'Étape 1 - à remplir'!$E$31:$E$400,MASQ2!EC376,'Étape 1 - à remplir'!$G$31:$G$400,"kg"),SUMIFS('Étape 1 - à remplir'!$F$31:$F$400,'Étape 1 - à remplir'!$E$31:$E$400,MASQ2!EC376,'Étape 1 - à remplir'!$C$31:$C$400,EL$3)),IF(EL$2="Âge",IF(EL$3="Tous",SUMIFS('Étape 1 - à remplir'!$F$31:$F$400,'Étape 1 - à remplir'!$E$31:$E$400,MASQ2!EC376,'Étape 1 - à remplir'!$G$31:$G$400,"kg"),SUMIFS('Étape 1 - à remplir'!$F$31:$F$400,'Étape 1 - à remplir'!$E$31:$E$400,MASQ2!EC376,'Étape 1 - à remplir'!$P$31:$P$400,EL$3,'Étape 1 - à remplir'!$G$31:$G$400,"kg")),IF(EL$2="Atelier",IF(EL$3="Tous",SUMIFS('Étape 1 - à remplir'!$F$31:$F$400,'Étape 1 - à remplir'!$E$31:$E$400,MASQ2!EC376,'Étape 1 - à remplir'!$G$31:$G$400,"kg"),SUMIFS('Étape 1 - à remplir'!$F$31:$F$400,'Étape 1 - à remplir'!$E$31:$E$400,MASQ2!EC376,'Étape 1 - à remplir'!$O$31:$O$400,EL$3,'Étape 1 - à remplir'!$G$31:$G$400,"kg")),IF(EL$2="Espèce",IF(EL$3="Toutes",SUMIFS('Étape 1 - à remplir'!$F$31:$F$400,'Étape 1 - à remplir'!$E$31:$E$400,MASQ2!EC376,'Étape 1 - à remplir'!$G$31:$G$400,"kg"),SUMIFS('Étape 1 - à remplir'!$F$31:$F$400,'Étape 1 - à remplir'!$E$31:$E$400,MASQ2!EC376,'Étape 1 - à remplir'!$N$31:$N$400,EL$3,'Étape 1 - à remplir'!$G$31:$G$400,"kg")))))))</f>
        <v>#N/A</v>
      </c>
      <c r="EE376" s="76">
        <f t="shared" si="259"/>
        <v>0</v>
      </c>
      <c r="EF376" t="str">
        <f t="shared" si="250"/>
        <v>Tylosine</v>
      </c>
      <c r="EG376" t="str">
        <f t="shared" si="251"/>
        <v/>
      </c>
      <c r="EH376" t="str">
        <f t="shared" si="252"/>
        <v/>
      </c>
      <c r="EI376" t="str">
        <f t="shared" si="253"/>
        <v>Macrolides</v>
      </c>
      <c r="EJ376" t="str">
        <f t="shared" si="254"/>
        <v/>
      </c>
      <c r="EK376" s="63" t="str">
        <f t="shared" si="255"/>
        <v/>
      </c>
      <c r="EN376" s="42">
        <v>373</v>
      </c>
      <c r="EO376" t="e">
        <f t="shared" si="261"/>
        <v>#N/A</v>
      </c>
      <c r="EP376" s="63" t="e">
        <f t="shared" si="262"/>
        <v>#N/A</v>
      </c>
      <c r="FT376" s="63"/>
    </row>
    <row r="377" spans="2:176" x14ac:dyDescent="0.3">
      <c r="B377" s="42"/>
      <c r="M377" s="194" t="str">
        <f ca="1">INDEX(Données_ATB!BD:BU,MATCH(MASQ2!O377,Données_ATB!BD:BD,0),18)</f>
        <v/>
      </c>
      <c r="N377" s="14" t="str">
        <f>IFERROR(IF(Q377=0,"",COUNTIF(Q$4:Q$600,"&gt;"&amp;Q377)+COUNTIF(Q$4:Q377,Q377)),"")</f>
        <v/>
      </c>
      <c r="O377" t="str">
        <f>Données_ATB!BD376</f>
        <v>PHARMASIN 200 MG/ML SOLUTION INJECTABLE POUR BOVINS OVINS CAPRINS ET PORCINS</v>
      </c>
      <c r="P377" t="e">
        <f>IF(IF(X$2="Catégorie",IF(X$3="Toutes",SUMIFS('Étape 1 - à remplir'!$F$31:$F$400,'Étape 1 - à remplir'!$E$31:$E$400,MASQ2!O377,'Étape 1 - à remplir'!$G$31:$G$400,"animaux"),SUMIFS('Étape 1 - à remplir'!$F$31:$F$400,'Étape 1 - à remplir'!$E$31:$E$400,MASQ2!O377,'Étape 1 - à remplir'!$C$31:$C$400,X$3)),IF(X$2="Âge",IF(X$3="Tous",SUMIFS('Étape 1 - à remplir'!$F$31:$F$400,'Étape 1 - à remplir'!$E$31:$E$400,MASQ2!O377,'Étape 1 - à remplir'!$G$31:$G$400,"animaux"),SUMIFS('Étape 1 - à remplir'!$F$31:$F$400,'Étape 1 - à remplir'!$E$31:$E$400,MASQ2!O377,'Étape 1 - à remplir'!$P$31:$P$400,X$3)),IF(X$2="Atelier",IF(X$3="Tous",SUMIFS('Étape 1 - à remplir'!$F$31:$F$400,'Étape 1 - à remplir'!$E$31:$E$400,MASQ2!O377,'Étape 1 - à remplir'!$G$31:$G$400,"animaux"),SUMIFS('Étape 1 - à remplir'!$F$31:$F$400,'Étape 1 - à remplir'!$E$31:$E$400,MASQ2!O377,'Étape 1 - à remplir'!$O$31:$O$400,X$3)),IF(X$2="Espèce",IF(X$3="Toutes",SUMIFS('Étape 1 - à remplir'!$F$31:$F$400,'Étape 1 - à remplir'!$E$31:$E$400,MASQ2!O377,'Étape 1 - à remplir'!$G$31:$G$400,"animaux"),SUMIFS('Étape 1 - à remplir'!$F$31:$F$400,'Étape 1 - à remplir'!$E$31:$E$400,MASQ2!O377,'Étape 1 - à remplir'!$N$31:$N$400,X$3))))))=0,NA(),IF(X$2="Catégorie",IF(X$3="Toutes",SUMIFS('Étape 1 - à remplir'!$F$31:$F$400,'Étape 1 - à remplir'!$E$31:$E$400,MASQ2!O377,'Étape 1 - à remplir'!$G$31:$G$400,"animaux"),SUMIFS('Étape 1 - à remplir'!$F$31:$F$400,'Étape 1 - à remplir'!$E$31:$E$400,MASQ2!O377,'Étape 1 - à remplir'!$C$31:$C$400,X$3)),IF(X$2="Âge",IF(X$3="Tous",SUMIFS('Étape 1 - à remplir'!$F$31:$F$400,'Étape 1 - à remplir'!$E$31:$E$400,MASQ2!O377,'Étape 1 - à remplir'!$G$31:$G$400,"animaux"),SUMIFS('Étape 1 - à remplir'!$F$31:$F$400,'Étape 1 - à remplir'!$E$31:$E$400,MASQ2!O377,'Étape 1 - à remplir'!$P$31:$P$400,X$3)),IF(X$2="Atelier",IF(X$3="Tous",SUMIFS('Étape 1 - à remplir'!$F$31:$F$400,'Étape 1 - à remplir'!$E$31:$E$400,MASQ2!O377,'Étape 1 - à remplir'!$G$31:$G$400,"animaux"),SUMIFS('Étape 1 - à remplir'!$F$31:$F$400,'Étape 1 - à remplir'!$E$31:$E$400,MASQ2!O377,'Étape 1 - à remplir'!$O$31:$O$400,X$3)),IF(X$2="Espèce",IF(X$3="Toutes",SUMIFS('Étape 1 - à remplir'!$F$31:$F$400,'Étape 1 - à remplir'!$E$31:$E$400,MASQ2!O377,'Étape 1 - à remplir'!$G$31:$G$400,"animaux"),SUMIFS('Étape 1 - à remplir'!$F$31:$F$400,'Étape 1 - à remplir'!$E$31:$E$400,MASQ2!O377,'Étape 1 - à remplir'!$N$31:$N$400,X$3)))))))</f>
        <v>#N/A</v>
      </c>
      <c r="Q377" s="63">
        <f t="shared" si="260"/>
        <v>0</v>
      </c>
      <c r="R377" t="str">
        <f>Données_ATB!BM376</f>
        <v>Tylosine</v>
      </c>
      <c r="S377" t="str">
        <f>Données_ATB!BN376</f>
        <v/>
      </c>
      <c r="T377" s="63" t="str">
        <f>Données_ATB!BO376</f>
        <v/>
      </c>
      <c r="U377" s="42" t="str">
        <f>Données_ATB!BQ376</f>
        <v>Macrolides</v>
      </c>
      <c r="V377" t="str">
        <f>Données_ATB!BR376</f>
        <v/>
      </c>
      <c r="W377" s="63" t="str">
        <f>Données_ATB!BS376</f>
        <v/>
      </c>
      <c r="Z377" s="42">
        <v>374</v>
      </c>
      <c r="AA377" t="e">
        <f t="shared" si="256"/>
        <v>#N/A</v>
      </c>
      <c r="AB377" s="63" t="e">
        <f t="shared" si="257"/>
        <v>#N/A</v>
      </c>
      <c r="BF377" s="63"/>
      <c r="BT377" s="194" t="str">
        <f t="shared" ca="1" si="240"/>
        <v/>
      </c>
      <c r="BU377" s="219" t="str">
        <f>IFERROR(IF(BX377=0,"",COUNTIF(BX$4:BX$600,"&gt;"&amp;BX377)+COUNTIF(BX$4:BX377,BX377)),"")</f>
        <v/>
      </c>
      <c r="BV377" s="42" t="str">
        <f t="shared" si="241"/>
        <v>PHARMASIN 200 MG/ML SOLUTION INJECTABLE POUR BOVINS OVINS CAPRINS ET PORCINS</v>
      </c>
      <c r="BW377" t="e">
        <f>IF(IF(CE$2="Catégorie",IF(CE$3="Toutes",SUMIFS('Étape 1 - à remplir'!$F$31:$F$400,'Étape 1 - à remplir'!$E$31:$E$400,MASQ2!BV377,'Étape 1 - à remplir'!$G$31:$G$400,"lots"),SUMIFS('Étape 1 - à remplir'!$F$31:$F$400,'Étape 1 - à remplir'!$E$31:$E$400,MASQ2!BV377,'Étape 1 - à remplir'!$C$31:$C$400,CE$3)),IF(CE$2="Âge",IF(CE$3="Tous",SUMIFS('Étape 1 - à remplir'!$F$31:$F$400,'Étape 1 - à remplir'!$E$31:$E$400,MASQ2!BV377,'Étape 1 - à remplir'!$G$31:$G$400,"lots"),SUMIFS('Étape 1 - à remplir'!$F$31:$F$400,'Étape 1 - à remplir'!$E$31:$E$400,MASQ2!BV377,'Étape 1 - à remplir'!$P$31:$P$400,CE$3,'Étape 1 - à remplir'!$G$31:$G$400,"lots")),IF(CE$2="Atelier",IF(CE$3="Tous",SUMIFS('Étape 1 - à remplir'!$F$31:$F$400,'Étape 1 - à remplir'!$E$31:$E$400,MASQ2!BV377,'Étape 1 - à remplir'!$G$31:$G$400,"lots"),SUMIFS('Étape 1 - à remplir'!$F$31:$F$400,'Étape 1 - à remplir'!$E$31:$E$400,MASQ2!BV377,'Étape 1 - à remplir'!$O$31:$O$400,CE$3,'Étape 1 - à remplir'!$G$31:$G$400,"lots")),IF(CE$2="Espèce",IF(CE$3="Toutes",SUMIFS('Étape 1 - à remplir'!$F$31:$F$400,'Étape 1 - à remplir'!$E$31:$E$400,MASQ2!BV377,'Étape 1 - à remplir'!$G$31:$G$400,"lots"),SUMIFS('Étape 1 - à remplir'!$F$31:$F$400,'Étape 1 - à remplir'!$E$31:$E$400,MASQ2!BV377,'Étape 1 - à remplir'!$N$31:$N$400,CE$3,'Étape 1 - à remplir'!$G$31:$G$400,"lots"))))))=0,NA(),IF(CE$2="Catégorie",IF(CE$3="Toutes",SUMIFS('Étape 1 - à remplir'!$F$31:$F$400,'Étape 1 - à remplir'!$E$31:$E$400,MASQ2!BV377,'Étape 1 - à remplir'!$G$31:$G$400,"lots"),SUMIFS('Étape 1 - à remplir'!$F$31:$F$400,'Étape 1 - à remplir'!$E$31:$E$400,MASQ2!BV377,'Étape 1 - à remplir'!$C$31:$C$400,CE$3)),IF(CE$2="Âge",IF(CE$3="Tous",SUMIFS('Étape 1 - à remplir'!$F$31:$F$400,'Étape 1 - à remplir'!$E$31:$E$400,MASQ2!BV377,'Étape 1 - à remplir'!$G$31:$G$400,"lots"),SUMIFS('Étape 1 - à remplir'!$F$31:$F$400,'Étape 1 - à remplir'!$E$31:$E$400,MASQ2!BV377,'Étape 1 - à remplir'!$P$31:$P$400,CE$3,'Étape 1 - à remplir'!$G$31:$G$400,"lots")),IF(CE$2="Atelier",IF(CE$3="Tous",SUMIFS('Étape 1 - à remplir'!$F$31:$F$400,'Étape 1 - à remplir'!$E$31:$E$400,MASQ2!BV377,'Étape 1 - à remplir'!$G$31:$G$400,"lots"),SUMIFS('Étape 1 - à remplir'!$F$31:$F$400,'Étape 1 - à remplir'!$E$31:$E$400,MASQ2!BV377,'Étape 1 - à remplir'!$O$31:$O$400,CE$3,'Étape 1 - à remplir'!$G$31:$G$400,"lots")),IF(CE$2="Espèce",IF(CE$3="Toutes",SUMIFS('Étape 1 - à remplir'!$F$31:$F$400,'Étape 1 - à remplir'!$E$31:$E$400,MASQ2!BV377,'Étape 1 - à remplir'!$G$31:$G$400,"lots"),SUMIFS('Étape 1 - à remplir'!$F$31:$F$400,'Étape 1 - à remplir'!$E$31:$E$400,MASQ2!BV377,'Étape 1 - à remplir'!$N$31:$N$400,CE$3,'Étape 1 - à remplir'!$G$31:$G$400,"lots")))))))</f>
        <v>#N/A</v>
      </c>
      <c r="BX377">
        <f t="shared" si="258"/>
        <v>0</v>
      </c>
      <c r="BY377" t="str">
        <f t="shared" si="242"/>
        <v>Tylosine</v>
      </c>
      <c r="BZ377" t="str">
        <f t="shared" si="243"/>
        <v/>
      </c>
      <c r="CA377" t="str">
        <f t="shared" si="244"/>
        <v/>
      </c>
      <c r="CB377" t="str">
        <f t="shared" si="245"/>
        <v>Macrolides</v>
      </c>
      <c r="CC377" t="str">
        <f t="shared" si="246"/>
        <v/>
      </c>
      <c r="CD377" s="63" t="str">
        <f t="shared" si="247"/>
        <v/>
      </c>
      <c r="CG377" s="42">
        <v>374</v>
      </c>
      <c r="CH377" s="42" t="e">
        <f t="shared" si="263"/>
        <v>#N/A</v>
      </c>
      <c r="CI377" s="63" t="e">
        <f t="shared" si="264"/>
        <v>#N/A</v>
      </c>
      <c r="DM377" s="63"/>
      <c r="EA377" s="194" t="str">
        <f t="shared" ca="1" si="248"/>
        <v/>
      </c>
      <c r="EB377" s="226" t="str">
        <f>IFERROR(IF(ED377=0,"",COUNTIF(ED$4:ED$600,"&gt;"&amp;ED377)+COUNTIF(ED$4:ED377,ED377)),"")</f>
        <v/>
      </c>
      <c r="EC377" t="str">
        <f t="shared" si="249"/>
        <v>PHARMASIN 200 MG/ML SOLUTION INJECTABLE POUR BOVINS OVINS CAPRINS ET PORCINS</v>
      </c>
      <c r="ED377" t="e">
        <f>IF(IF(EL$2="Catégorie",IF(EL$3="Toutes",SUMIFS('Étape 1 - à remplir'!$F$31:$F$400,'Étape 1 - à remplir'!$E$31:$E$400,MASQ2!EC377,'Étape 1 - à remplir'!$G$31:$G$400,"kg"),SUMIFS('Étape 1 - à remplir'!$F$31:$F$400,'Étape 1 - à remplir'!$E$31:$E$400,MASQ2!EC377,'Étape 1 - à remplir'!$C$31:$C$400,EL$3)),IF(EL$2="Âge",IF(EL$3="Tous",SUMIFS('Étape 1 - à remplir'!$F$31:$F$400,'Étape 1 - à remplir'!$E$31:$E$400,MASQ2!EC377,'Étape 1 - à remplir'!$G$31:$G$400,"kg"),SUMIFS('Étape 1 - à remplir'!$F$31:$F$400,'Étape 1 - à remplir'!$E$31:$E$400,MASQ2!EC377,'Étape 1 - à remplir'!$P$31:$P$400,EL$3,'Étape 1 - à remplir'!$G$31:$G$400,"kg")),IF(EL$2="Atelier",IF(EL$3="Tous",SUMIFS('Étape 1 - à remplir'!$F$31:$F$400,'Étape 1 - à remplir'!$E$31:$E$400,MASQ2!EC377,'Étape 1 - à remplir'!$G$31:$G$400,"kg"),SUMIFS('Étape 1 - à remplir'!$F$31:$F$400,'Étape 1 - à remplir'!$E$31:$E$400,MASQ2!EC377,'Étape 1 - à remplir'!$O$31:$O$400,EL$3,'Étape 1 - à remplir'!$G$31:$G$400,"kg")),IF(EL$2="Espèce",IF(EL$3="Toutes",SUMIFS('Étape 1 - à remplir'!$F$31:$F$400,'Étape 1 - à remplir'!$E$31:$E$400,MASQ2!EC377,'Étape 1 - à remplir'!$G$31:$G$400,"kg"),SUMIFS('Étape 1 - à remplir'!$F$31:$F$400,'Étape 1 - à remplir'!$E$31:$E$400,MASQ2!EC377,'Étape 1 - à remplir'!$N$31:$N$400,EL$3,'Étape 1 - à remplir'!$G$31:$G$400,"kg"))))))=0,NA(),IF(EL$2="Catégorie",IF(EL$3="Toutes",SUMIFS('Étape 1 - à remplir'!$F$31:$F$400,'Étape 1 - à remplir'!$E$31:$E$400,MASQ2!EC377,'Étape 1 - à remplir'!$G$31:$G$400,"kg"),SUMIFS('Étape 1 - à remplir'!$F$31:$F$400,'Étape 1 - à remplir'!$E$31:$E$400,MASQ2!EC377,'Étape 1 - à remplir'!$C$31:$C$400,EL$3)),IF(EL$2="Âge",IF(EL$3="Tous",SUMIFS('Étape 1 - à remplir'!$F$31:$F$400,'Étape 1 - à remplir'!$E$31:$E$400,MASQ2!EC377,'Étape 1 - à remplir'!$G$31:$G$400,"kg"),SUMIFS('Étape 1 - à remplir'!$F$31:$F$400,'Étape 1 - à remplir'!$E$31:$E$400,MASQ2!EC377,'Étape 1 - à remplir'!$P$31:$P$400,EL$3,'Étape 1 - à remplir'!$G$31:$G$400,"kg")),IF(EL$2="Atelier",IF(EL$3="Tous",SUMIFS('Étape 1 - à remplir'!$F$31:$F$400,'Étape 1 - à remplir'!$E$31:$E$400,MASQ2!EC377,'Étape 1 - à remplir'!$G$31:$G$400,"kg"),SUMIFS('Étape 1 - à remplir'!$F$31:$F$400,'Étape 1 - à remplir'!$E$31:$E$400,MASQ2!EC377,'Étape 1 - à remplir'!$O$31:$O$400,EL$3,'Étape 1 - à remplir'!$G$31:$G$400,"kg")),IF(EL$2="Espèce",IF(EL$3="Toutes",SUMIFS('Étape 1 - à remplir'!$F$31:$F$400,'Étape 1 - à remplir'!$E$31:$E$400,MASQ2!EC377,'Étape 1 - à remplir'!$G$31:$G$400,"kg"),SUMIFS('Étape 1 - à remplir'!$F$31:$F$400,'Étape 1 - à remplir'!$E$31:$E$400,MASQ2!EC377,'Étape 1 - à remplir'!$N$31:$N$400,EL$3,'Étape 1 - à remplir'!$G$31:$G$400,"kg")))))))</f>
        <v>#N/A</v>
      </c>
      <c r="EE377" s="76">
        <f t="shared" si="259"/>
        <v>0</v>
      </c>
      <c r="EF377" t="str">
        <f t="shared" si="250"/>
        <v>Tylosine</v>
      </c>
      <c r="EG377" t="str">
        <f t="shared" si="251"/>
        <v/>
      </c>
      <c r="EH377" t="str">
        <f t="shared" si="252"/>
        <v/>
      </c>
      <c r="EI377" t="str">
        <f t="shared" si="253"/>
        <v>Macrolides</v>
      </c>
      <c r="EJ377" t="str">
        <f t="shared" si="254"/>
        <v/>
      </c>
      <c r="EK377" s="63" t="str">
        <f t="shared" si="255"/>
        <v/>
      </c>
      <c r="EN377" s="42">
        <v>374</v>
      </c>
      <c r="EO377" t="e">
        <f t="shared" si="261"/>
        <v>#N/A</v>
      </c>
      <c r="EP377" s="63" t="e">
        <f t="shared" si="262"/>
        <v>#N/A</v>
      </c>
      <c r="FT377" s="63"/>
    </row>
    <row r="378" spans="2:176" x14ac:dyDescent="0.3">
      <c r="B378" s="42"/>
      <c r="M378" s="194" t="str">
        <f ca="1">INDEX(Données_ATB!BD:BU,MATCH(MASQ2!O378,Données_ATB!BD:BD,0),18)</f>
        <v/>
      </c>
      <c r="N378" s="14" t="str">
        <f>IFERROR(IF(Q378=0,"",COUNTIF(Q$4:Q$600,"&gt;"&amp;Q378)+COUNTIF(Q$4:Q378,Q378)),"")</f>
        <v/>
      </c>
      <c r="O378" t="str">
        <f>Données_ATB!BD377</f>
        <v>PHENOCILLIN 800 MG/G POUDRE POUR ADMINISTRATION DANS L'EAU DE BOISSON POUR POULETS</v>
      </c>
      <c r="P378" t="e">
        <f>IF(IF(X$2="Catégorie",IF(X$3="Toutes",SUMIFS('Étape 1 - à remplir'!$F$31:$F$400,'Étape 1 - à remplir'!$E$31:$E$400,MASQ2!O378,'Étape 1 - à remplir'!$G$31:$G$400,"animaux"),SUMIFS('Étape 1 - à remplir'!$F$31:$F$400,'Étape 1 - à remplir'!$E$31:$E$400,MASQ2!O378,'Étape 1 - à remplir'!$C$31:$C$400,X$3)),IF(X$2="Âge",IF(X$3="Tous",SUMIFS('Étape 1 - à remplir'!$F$31:$F$400,'Étape 1 - à remplir'!$E$31:$E$400,MASQ2!O378,'Étape 1 - à remplir'!$G$31:$G$400,"animaux"),SUMIFS('Étape 1 - à remplir'!$F$31:$F$400,'Étape 1 - à remplir'!$E$31:$E$400,MASQ2!O378,'Étape 1 - à remplir'!$P$31:$P$400,X$3)),IF(X$2="Atelier",IF(X$3="Tous",SUMIFS('Étape 1 - à remplir'!$F$31:$F$400,'Étape 1 - à remplir'!$E$31:$E$400,MASQ2!O378,'Étape 1 - à remplir'!$G$31:$G$400,"animaux"),SUMIFS('Étape 1 - à remplir'!$F$31:$F$400,'Étape 1 - à remplir'!$E$31:$E$400,MASQ2!O378,'Étape 1 - à remplir'!$O$31:$O$400,X$3)),IF(X$2="Espèce",IF(X$3="Toutes",SUMIFS('Étape 1 - à remplir'!$F$31:$F$400,'Étape 1 - à remplir'!$E$31:$E$400,MASQ2!O378,'Étape 1 - à remplir'!$G$31:$G$400,"animaux"),SUMIFS('Étape 1 - à remplir'!$F$31:$F$400,'Étape 1 - à remplir'!$E$31:$E$400,MASQ2!O378,'Étape 1 - à remplir'!$N$31:$N$400,X$3))))))=0,NA(),IF(X$2="Catégorie",IF(X$3="Toutes",SUMIFS('Étape 1 - à remplir'!$F$31:$F$400,'Étape 1 - à remplir'!$E$31:$E$400,MASQ2!O378,'Étape 1 - à remplir'!$G$31:$G$400,"animaux"),SUMIFS('Étape 1 - à remplir'!$F$31:$F$400,'Étape 1 - à remplir'!$E$31:$E$400,MASQ2!O378,'Étape 1 - à remplir'!$C$31:$C$400,X$3)),IF(X$2="Âge",IF(X$3="Tous",SUMIFS('Étape 1 - à remplir'!$F$31:$F$400,'Étape 1 - à remplir'!$E$31:$E$400,MASQ2!O378,'Étape 1 - à remplir'!$G$31:$G$400,"animaux"),SUMIFS('Étape 1 - à remplir'!$F$31:$F$400,'Étape 1 - à remplir'!$E$31:$E$400,MASQ2!O378,'Étape 1 - à remplir'!$P$31:$P$400,X$3)),IF(X$2="Atelier",IF(X$3="Tous",SUMIFS('Étape 1 - à remplir'!$F$31:$F$400,'Étape 1 - à remplir'!$E$31:$E$400,MASQ2!O378,'Étape 1 - à remplir'!$G$31:$G$400,"animaux"),SUMIFS('Étape 1 - à remplir'!$F$31:$F$400,'Étape 1 - à remplir'!$E$31:$E$400,MASQ2!O378,'Étape 1 - à remplir'!$O$31:$O$400,X$3)),IF(X$2="Espèce",IF(X$3="Toutes",SUMIFS('Étape 1 - à remplir'!$F$31:$F$400,'Étape 1 - à remplir'!$E$31:$E$400,MASQ2!O378,'Étape 1 - à remplir'!$G$31:$G$400,"animaux"),SUMIFS('Étape 1 - à remplir'!$F$31:$F$400,'Étape 1 - à remplir'!$E$31:$E$400,MASQ2!O378,'Étape 1 - à remplir'!$N$31:$N$400,X$3)))))))</f>
        <v>#N/A</v>
      </c>
      <c r="Q378" s="63">
        <f t="shared" si="260"/>
        <v>0</v>
      </c>
      <c r="R378" t="str">
        <f>Données_ATB!BM377</f>
        <v>Phénoxyméthylpénicilline</v>
      </c>
      <c r="S378" t="str">
        <f>Données_ATB!BN377</f>
        <v/>
      </c>
      <c r="T378" s="63" t="str">
        <f>Données_ATB!BO377</f>
        <v/>
      </c>
      <c r="U378" s="42" t="str">
        <f>Données_ATB!BQ377</f>
        <v>Penicillines</v>
      </c>
      <c r="V378" t="str">
        <f>Données_ATB!BR377</f>
        <v/>
      </c>
      <c r="W378" s="63" t="str">
        <f>Données_ATB!BS377</f>
        <v/>
      </c>
      <c r="Z378" s="42">
        <v>375</v>
      </c>
      <c r="AA378" t="e">
        <f t="shared" si="256"/>
        <v>#N/A</v>
      </c>
      <c r="AB378" s="63" t="e">
        <f t="shared" si="257"/>
        <v>#N/A</v>
      </c>
      <c r="BF378" s="63"/>
      <c r="BT378" s="194" t="str">
        <f t="shared" ca="1" si="240"/>
        <v/>
      </c>
      <c r="BU378" s="219" t="str">
        <f>IFERROR(IF(BX378=0,"",COUNTIF(BX$4:BX$600,"&gt;"&amp;BX378)+COUNTIF(BX$4:BX378,BX378)),"")</f>
        <v/>
      </c>
      <c r="BV378" s="42" t="str">
        <f t="shared" si="241"/>
        <v>PHENOCILLIN 800 MG/G POUDRE POUR ADMINISTRATION DANS L'EAU DE BOISSON POUR POULETS</v>
      </c>
      <c r="BW378" t="e">
        <f>IF(IF(CE$2="Catégorie",IF(CE$3="Toutes",SUMIFS('Étape 1 - à remplir'!$F$31:$F$400,'Étape 1 - à remplir'!$E$31:$E$400,MASQ2!BV378,'Étape 1 - à remplir'!$G$31:$G$400,"lots"),SUMIFS('Étape 1 - à remplir'!$F$31:$F$400,'Étape 1 - à remplir'!$E$31:$E$400,MASQ2!BV378,'Étape 1 - à remplir'!$C$31:$C$400,CE$3)),IF(CE$2="Âge",IF(CE$3="Tous",SUMIFS('Étape 1 - à remplir'!$F$31:$F$400,'Étape 1 - à remplir'!$E$31:$E$400,MASQ2!BV378,'Étape 1 - à remplir'!$G$31:$G$400,"lots"),SUMIFS('Étape 1 - à remplir'!$F$31:$F$400,'Étape 1 - à remplir'!$E$31:$E$400,MASQ2!BV378,'Étape 1 - à remplir'!$P$31:$P$400,CE$3,'Étape 1 - à remplir'!$G$31:$G$400,"lots")),IF(CE$2="Atelier",IF(CE$3="Tous",SUMIFS('Étape 1 - à remplir'!$F$31:$F$400,'Étape 1 - à remplir'!$E$31:$E$400,MASQ2!BV378,'Étape 1 - à remplir'!$G$31:$G$400,"lots"),SUMIFS('Étape 1 - à remplir'!$F$31:$F$400,'Étape 1 - à remplir'!$E$31:$E$400,MASQ2!BV378,'Étape 1 - à remplir'!$O$31:$O$400,CE$3,'Étape 1 - à remplir'!$G$31:$G$400,"lots")),IF(CE$2="Espèce",IF(CE$3="Toutes",SUMIFS('Étape 1 - à remplir'!$F$31:$F$400,'Étape 1 - à remplir'!$E$31:$E$400,MASQ2!BV378,'Étape 1 - à remplir'!$G$31:$G$400,"lots"),SUMIFS('Étape 1 - à remplir'!$F$31:$F$400,'Étape 1 - à remplir'!$E$31:$E$400,MASQ2!BV378,'Étape 1 - à remplir'!$N$31:$N$400,CE$3,'Étape 1 - à remplir'!$G$31:$G$400,"lots"))))))=0,NA(),IF(CE$2="Catégorie",IF(CE$3="Toutes",SUMIFS('Étape 1 - à remplir'!$F$31:$F$400,'Étape 1 - à remplir'!$E$31:$E$400,MASQ2!BV378,'Étape 1 - à remplir'!$G$31:$G$400,"lots"),SUMIFS('Étape 1 - à remplir'!$F$31:$F$400,'Étape 1 - à remplir'!$E$31:$E$400,MASQ2!BV378,'Étape 1 - à remplir'!$C$31:$C$400,CE$3)),IF(CE$2="Âge",IF(CE$3="Tous",SUMIFS('Étape 1 - à remplir'!$F$31:$F$400,'Étape 1 - à remplir'!$E$31:$E$400,MASQ2!BV378,'Étape 1 - à remplir'!$G$31:$G$400,"lots"),SUMIFS('Étape 1 - à remplir'!$F$31:$F$400,'Étape 1 - à remplir'!$E$31:$E$400,MASQ2!BV378,'Étape 1 - à remplir'!$P$31:$P$400,CE$3,'Étape 1 - à remplir'!$G$31:$G$400,"lots")),IF(CE$2="Atelier",IF(CE$3="Tous",SUMIFS('Étape 1 - à remplir'!$F$31:$F$400,'Étape 1 - à remplir'!$E$31:$E$400,MASQ2!BV378,'Étape 1 - à remplir'!$G$31:$G$400,"lots"),SUMIFS('Étape 1 - à remplir'!$F$31:$F$400,'Étape 1 - à remplir'!$E$31:$E$400,MASQ2!BV378,'Étape 1 - à remplir'!$O$31:$O$400,CE$3,'Étape 1 - à remplir'!$G$31:$G$400,"lots")),IF(CE$2="Espèce",IF(CE$3="Toutes",SUMIFS('Étape 1 - à remplir'!$F$31:$F$400,'Étape 1 - à remplir'!$E$31:$E$400,MASQ2!BV378,'Étape 1 - à remplir'!$G$31:$G$400,"lots"),SUMIFS('Étape 1 - à remplir'!$F$31:$F$400,'Étape 1 - à remplir'!$E$31:$E$400,MASQ2!BV378,'Étape 1 - à remplir'!$N$31:$N$400,CE$3,'Étape 1 - à remplir'!$G$31:$G$400,"lots")))))))</f>
        <v>#N/A</v>
      </c>
      <c r="BX378">
        <f t="shared" si="258"/>
        <v>0</v>
      </c>
      <c r="BY378" t="str">
        <f t="shared" si="242"/>
        <v>Phénoxyméthylpénicilline</v>
      </c>
      <c r="BZ378" t="str">
        <f t="shared" si="243"/>
        <v/>
      </c>
      <c r="CA378" t="str">
        <f t="shared" si="244"/>
        <v/>
      </c>
      <c r="CB378" t="str">
        <f t="shared" si="245"/>
        <v>Penicillines</v>
      </c>
      <c r="CC378" t="str">
        <f t="shared" si="246"/>
        <v/>
      </c>
      <c r="CD378" s="63" t="str">
        <f t="shared" si="247"/>
        <v/>
      </c>
      <c r="CG378" s="42">
        <v>375</v>
      </c>
      <c r="CH378" s="42" t="e">
        <f t="shared" si="263"/>
        <v>#N/A</v>
      </c>
      <c r="CI378" s="63" t="e">
        <f t="shared" si="264"/>
        <v>#N/A</v>
      </c>
      <c r="DM378" s="63"/>
      <c r="EA378" s="194" t="str">
        <f t="shared" ca="1" si="248"/>
        <v/>
      </c>
      <c r="EB378" s="226" t="str">
        <f>IFERROR(IF(ED378=0,"",COUNTIF(ED$4:ED$600,"&gt;"&amp;ED378)+COUNTIF(ED$4:ED378,ED378)),"")</f>
        <v/>
      </c>
      <c r="EC378" t="str">
        <f t="shared" si="249"/>
        <v>PHENOCILLIN 800 MG/G POUDRE POUR ADMINISTRATION DANS L'EAU DE BOISSON POUR POULETS</v>
      </c>
      <c r="ED378" t="e">
        <f>IF(IF(EL$2="Catégorie",IF(EL$3="Toutes",SUMIFS('Étape 1 - à remplir'!$F$31:$F$400,'Étape 1 - à remplir'!$E$31:$E$400,MASQ2!EC378,'Étape 1 - à remplir'!$G$31:$G$400,"kg"),SUMIFS('Étape 1 - à remplir'!$F$31:$F$400,'Étape 1 - à remplir'!$E$31:$E$400,MASQ2!EC378,'Étape 1 - à remplir'!$C$31:$C$400,EL$3)),IF(EL$2="Âge",IF(EL$3="Tous",SUMIFS('Étape 1 - à remplir'!$F$31:$F$400,'Étape 1 - à remplir'!$E$31:$E$400,MASQ2!EC378,'Étape 1 - à remplir'!$G$31:$G$400,"kg"),SUMIFS('Étape 1 - à remplir'!$F$31:$F$400,'Étape 1 - à remplir'!$E$31:$E$400,MASQ2!EC378,'Étape 1 - à remplir'!$P$31:$P$400,EL$3,'Étape 1 - à remplir'!$G$31:$G$400,"kg")),IF(EL$2="Atelier",IF(EL$3="Tous",SUMIFS('Étape 1 - à remplir'!$F$31:$F$400,'Étape 1 - à remplir'!$E$31:$E$400,MASQ2!EC378,'Étape 1 - à remplir'!$G$31:$G$400,"kg"),SUMIFS('Étape 1 - à remplir'!$F$31:$F$400,'Étape 1 - à remplir'!$E$31:$E$400,MASQ2!EC378,'Étape 1 - à remplir'!$O$31:$O$400,EL$3,'Étape 1 - à remplir'!$G$31:$G$400,"kg")),IF(EL$2="Espèce",IF(EL$3="Toutes",SUMIFS('Étape 1 - à remplir'!$F$31:$F$400,'Étape 1 - à remplir'!$E$31:$E$400,MASQ2!EC378,'Étape 1 - à remplir'!$G$31:$G$400,"kg"),SUMIFS('Étape 1 - à remplir'!$F$31:$F$400,'Étape 1 - à remplir'!$E$31:$E$400,MASQ2!EC378,'Étape 1 - à remplir'!$N$31:$N$400,EL$3,'Étape 1 - à remplir'!$G$31:$G$400,"kg"))))))=0,NA(),IF(EL$2="Catégorie",IF(EL$3="Toutes",SUMIFS('Étape 1 - à remplir'!$F$31:$F$400,'Étape 1 - à remplir'!$E$31:$E$400,MASQ2!EC378,'Étape 1 - à remplir'!$G$31:$G$400,"kg"),SUMIFS('Étape 1 - à remplir'!$F$31:$F$400,'Étape 1 - à remplir'!$E$31:$E$400,MASQ2!EC378,'Étape 1 - à remplir'!$C$31:$C$400,EL$3)),IF(EL$2="Âge",IF(EL$3="Tous",SUMIFS('Étape 1 - à remplir'!$F$31:$F$400,'Étape 1 - à remplir'!$E$31:$E$400,MASQ2!EC378,'Étape 1 - à remplir'!$G$31:$G$400,"kg"),SUMIFS('Étape 1 - à remplir'!$F$31:$F$400,'Étape 1 - à remplir'!$E$31:$E$400,MASQ2!EC378,'Étape 1 - à remplir'!$P$31:$P$400,EL$3,'Étape 1 - à remplir'!$G$31:$G$400,"kg")),IF(EL$2="Atelier",IF(EL$3="Tous",SUMIFS('Étape 1 - à remplir'!$F$31:$F$400,'Étape 1 - à remplir'!$E$31:$E$400,MASQ2!EC378,'Étape 1 - à remplir'!$G$31:$G$400,"kg"),SUMIFS('Étape 1 - à remplir'!$F$31:$F$400,'Étape 1 - à remplir'!$E$31:$E$400,MASQ2!EC378,'Étape 1 - à remplir'!$O$31:$O$400,EL$3,'Étape 1 - à remplir'!$G$31:$G$400,"kg")),IF(EL$2="Espèce",IF(EL$3="Toutes",SUMIFS('Étape 1 - à remplir'!$F$31:$F$400,'Étape 1 - à remplir'!$E$31:$E$400,MASQ2!EC378,'Étape 1 - à remplir'!$G$31:$G$400,"kg"),SUMIFS('Étape 1 - à remplir'!$F$31:$F$400,'Étape 1 - à remplir'!$E$31:$E$400,MASQ2!EC378,'Étape 1 - à remplir'!$N$31:$N$400,EL$3,'Étape 1 - à remplir'!$G$31:$G$400,"kg")))))))</f>
        <v>#N/A</v>
      </c>
      <c r="EE378" s="76">
        <f t="shared" si="259"/>
        <v>0</v>
      </c>
      <c r="EF378" t="str">
        <f t="shared" si="250"/>
        <v>Phénoxyméthylpénicilline</v>
      </c>
      <c r="EG378" t="str">
        <f t="shared" si="251"/>
        <v/>
      </c>
      <c r="EH378" t="str">
        <f t="shared" si="252"/>
        <v/>
      </c>
      <c r="EI378" t="str">
        <f t="shared" si="253"/>
        <v>Penicillines</v>
      </c>
      <c r="EJ378" t="str">
        <f t="shared" si="254"/>
        <v/>
      </c>
      <c r="EK378" s="63" t="str">
        <f t="shared" si="255"/>
        <v/>
      </c>
      <c r="EN378" s="42">
        <v>375</v>
      </c>
      <c r="EO378" t="e">
        <f t="shared" si="261"/>
        <v>#N/A</v>
      </c>
      <c r="EP378" s="63" t="e">
        <f t="shared" si="262"/>
        <v>#N/A</v>
      </c>
      <c r="FT378" s="63"/>
    </row>
    <row r="379" spans="2:176" x14ac:dyDescent="0.3">
      <c r="B379" s="42"/>
      <c r="M379" s="194" t="str">
        <f ca="1">INDEX(Données_ATB!BD:BU,MATCH(MASQ2!O379,Données_ATB!BD:BD,0),18)</f>
        <v/>
      </c>
      <c r="N379" s="14" t="str">
        <f>IFERROR(IF(Q379=0,"",COUNTIF(Q$4:Q$600,"&gt;"&amp;Q379)+COUNTIF(Q$4:Q379,Q379)),"")</f>
        <v/>
      </c>
      <c r="O379" t="str">
        <f>Données_ATB!BD378</f>
        <v>PHENOXYPEN WSP</v>
      </c>
      <c r="P379" t="e">
        <f>IF(IF(X$2="Catégorie",IF(X$3="Toutes",SUMIFS('Étape 1 - à remplir'!$F$31:$F$400,'Étape 1 - à remplir'!$E$31:$E$400,MASQ2!O379,'Étape 1 - à remplir'!$G$31:$G$400,"animaux"),SUMIFS('Étape 1 - à remplir'!$F$31:$F$400,'Étape 1 - à remplir'!$E$31:$E$400,MASQ2!O379,'Étape 1 - à remplir'!$C$31:$C$400,X$3)),IF(X$2="Âge",IF(X$3="Tous",SUMIFS('Étape 1 - à remplir'!$F$31:$F$400,'Étape 1 - à remplir'!$E$31:$E$400,MASQ2!O379,'Étape 1 - à remplir'!$G$31:$G$400,"animaux"),SUMIFS('Étape 1 - à remplir'!$F$31:$F$400,'Étape 1 - à remplir'!$E$31:$E$400,MASQ2!O379,'Étape 1 - à remplir'!$P$31:$P$400,X$3)),IF(X$2="Atelier",IF(X$3="Tous",SUMIFS('Étape 1 - à remplir'!$F$31:$F$400,'Étape 1 - à remplir'!$E$31:$E$400,MASQ2!O379,'Étape 1 - à remplir'!$G$31:$G$400,"animaux"),SUMIFS('Étape 1 - à remplir'!$F$31:$F$400,'Étape 1 - à remplir'!$E$31:$E$400,MASQ2!O379,'Étape 1 - à remplir'!$O$31:$O$400,X$3)),IF(X$2="Espèce",IF(X$3="Toutes",SUMIFS('Étape 1 - à remplir'!$F$31:$F$400,'Étape 1 - à remplir'!$E$31:$E$400,MASQ2!O379,'Étape 1 - à remplir'!$G$31:$G$400,"animaux"),SUMIFS('Étape 1 - à remplir'!$F$31:$F$400,'Étape 1 - à remplir'!$E$31:$E$400,MASQ2!O379,'Étape 1 - à remplir'!$N$31:$N$400,X$3))))))=0,NA(),IF(X$2="Catégorie",IF(X$3="Toutes",SUMIFS('Étape 1 - à remplir'!$F$31:$F$400,'Étape 1 - à remplir'!$E$31:$E$400,MASQ2!O379,'Étape 1 - à remplir'!$G$31:$G$400,"animaux"),SUMIFS('Étape 1 - à remplir'!$F$31:$F$400,'Étape 1 - à remplir'!$E$31:$E$400,MASQ2!O379,'Étape 1 - à remplir'!$C$31:$C$400,X$3)),IF(X$2="Âge",IF(X$3="Tous",SUMIFS('Étape 1 - à remplir'!$F$31:$F$400,'Étape 1 - à remplir'!$E$31:$E$400,MASQ2!O379,'Étape 1 - à remplir'!$G$31:$G$400,"animaux"),SUMIFS('Étape 1 - à remplir'!$F$31:$F$400,'Étape 1 - à remplir'!$E$31:$E$400,MASQ2!O379,'Étape 1 - à remplir'!$P$31:$P$400,X$3)),IF(X$2="Atelier",IF(X$3="Tous",SUMIFS('Étape 1 - à remplir'!$F$31:$F$400,'Étape 1 - à remplir'!$E$31:$E$400,MASQ2!O379,'Étape 1 - à remplir'!$G$31:$G$400,"animaux"),SUMIFS('Étape 1 - à remplir'!$F$31:$F$400,'Étape 1 - à remplir'!$E$31:$E$400,MASQ2!O379,'Étape 1 - à remplir'!$O$31:$O$400,X$3)),IF(X$2="Espèce",IF(X$3="Toutes",SUMIFS('Étape 1 - à remplir'!$F$31:$F$400,'Étape 1 - à remplir'!$E$31:$E$400,MASQ2!O379,'Étape 1 - à remplir'!$G$31:$G$400,"animaux"),SUMIFS('Étape 1 - à remplir'!$F$31:$F$400,'Étape 1 - à remplir'!$E$31:$E$400,MASQ2!O379,'Étape 1 - à remplir'!$N$31:$N$400,X$3)))))))</f>
        <v>#N/A</v>
      </c>
      <c r="Q379" s="63">
        <f t="shared" si="260"/>
        <v>0</v>
      </c>
      <c r="R379" t="str">
        <f>Données_ATB!BM378</f>
        <v>Phénoxyméthylpénicilline</v>
      </c>
      <c r="S379" t="str">
        <f>Données_ATB!BN378</f>
        <v/>
      </c>
      <c r="T379" s="63" t="str">
        <f>Données_ATB!BO378</f>
        <v/>
      </c>
      <c r="U379" s="42" t="str">
        <f>Données_ATB!BQ378</f>
        <v>Penicillines</v>
      </c>
      <c r="V379" t="str">
        <f>Données_ATB!BR378</f>
        <v/>
      </c>
      <c r="W379" s="63" t="str">
        <f>Données_ATB!BS378</f>
        <v/>
      </c>
      <c r="Z379" s="42">
        <v>376</v>
      </c>
      <c r="AA379" t="e">
        <f t="shared" si="256"/>
        <v>#N/A</v>
      </c>
      <c r="AB379" s="63" t="e">
        <f t="shared" si="257"/>
        <v>#N/A</v>
      </c>
      <c r="BF379" s="63"/>
      <c r="BT379" s="194" t="str">
        <f t="shared" ca="1" si="240"/>
        <v/>
      </c>
      <c r="BU379" s="219" t="str">
        <f>IFERROR(IF(BX379=0,"",COUNTIF(BX$4:BX$600,"&gt;"&amp;BX379)+COUNTIF(BX$4:BX379,BX379)),"")</f>
        <v/>
      </c>
      <c r="BV379" s="42" t="str">
        <f t="shared" si="241"/>
        <v>PHENOXYPEN WSP</v>
      </c>
      <c r="BW379" t="e">
        <f>IF(IF(CE$2="Catégorie",IF(CE$3="Toutes",SUMIFS('Étape 1 - à remplir'!$F$31:$F$400,'Étape 1 - à remplir'!$E$31:$E$400,MASQ2!BV379,'Étape 1 - à remplir'!$G$31:$G$400,"lots"),SUMIFS('Étape 1 - à remplir'!$F$31:$F$400,'Étape 1 - à remplir'!$E$31:$E$400,MASQ2!BV379,'Étape 1 - à remplir'!$C$31:$C$400,CE$3)),IF(CE$2="Âge",IF(CE$3="Tous",SUMIFS('Étape 1 - à remplir'!$F$31:$F$400,'Étape 1 - à remplir'!$E$31:$E$400,MASQ2!BV379,'Étape 1 - à remplir'!$G$31:$G$400,"lots"),SUMIFS('Étape 1 - à remplir'!$F$31:$F$400,'Étape 1 - à remplir'!$E$31:$E$400,MASQ2!BV379,'Étape 1 - à remplir'!$P$31:$P$400,CE$3,'Étape 1 - à remplir'!$G$31:$G$400,"lots")),IF(CE$2="Atelier",IF(CE$3="Tous",SUMIFS('Étape 1 - à remplir'!$F$31:$F$400,'Étape 1 - à remplir'!$E$31:$E$400,MASQ2!BV379,'Étape 1 - à remplir'!$G$31:$G$400,"lots"),SUMIFS('Étape 1 - à remplir'!$F$31:$F$400,'Étape 1 - à remplir'!$E$31:$E$400,MASQ2!BV379,'Étape 1 - à remplir'!$O$31:$O$400,CE$3,'Étape 1 - à remplir'!$G$31:$G$400,"lots")),IF(CE$2="Espèce",IF(CE$3="Toutes",SUMIFS('Étape 1 - à remplir'!$F$31:$F$400,'Étape 1 - à remplir'!$E$31:$E$400,MASQ2!BV379,'Étape 1 - à remplir'!$G$31:$G$400,"lots"),SUMIFS('Étape 1 - à remplir'!$F$31:$F$400,'Étape 1 - à remplir'!$E$31:$E$400,MASQ2!BV379,'Étape 1 - à remplir'!$N$31:$N$400,CE$3,'Étape 1 - à remplir'!$G$31:$G$400,"lots"))))))=0,NA(),IF(CE$2="Catégorie",IF(CE$3="Toutes",SUMIFS('Étape 1 - à remplir'!$F$31:$F$400,'Étape 1 - à remplir'!$E$31:$E$400,MASQ2!BV379,'Étape 1 - à remplir'!$G$31:$G$400,"lots"),SUMIFS('Étape 1 - à remplir'!$F$31:$F$400,'Étape 1 - à remplir'!$E$31:$E$400,MASQ2!BV379,'Étape 1 - à remplir'!$C$31:$C$400,CE$3)),IF(CE$2="Âge",IF(CE$3="Tous",SUMIFS('Étape 1 - à remplir'!$F$31:$F$400,'Étape 1 - à remplir'!$E$31:$E$400,MASQ2!BV379,'Étape 1 - à remplir'!$G$31:$G$400,"lots"),SUMIFS('Étape 1 - à remplir'!$F$31:$F$400,'Étape 1 - à remplir'!$E$31:$E$400,MASQ2!BV379,'Étape 1 - à remplir'!$P$31:$P$400,CE$3,'Étape 1 - à remplir'!$G$31:$G$400,"lots")),IF(CE$2="Atelier",IF(CE$3="Tous",SUMIFS('Étape 1 - à remplir'!$F$31:$F$400,'Étape 1 - à remplir'!$E$31:$E$400,MASQ2!BV379,'Étape 1 - à remplir'!$G$31:$G$400,"lots"),SUMIFS('Étape 1 - à remplir'!$F$31:$F$400,'Étape 1 - à remplir'!$E$31:$E$400,MASQ2!BV379,'Étape 1 - à remplir'!$O$31:$O$400,CE$3,'Étape 1 - à remplir'!$G$31:$G$400,"lots")),IF(CE$2="Espèce",IF(CE$3="Toutes",SUMIFS('Étape 1 - à remplir'!$F$31:$F$400,'Étape 1 - à remplir'!$E$31:$E$400,MASQ2!BV379,'Étape 1 - à remplir'!$G$31:$G$400,"lots"),SUMIFS('Étape 1 - à remplir'!$F$31:$F$400,'Étape 1 - à remplir'!$E$31:$E$400,MASQ2!BV379,'Étape 1 - à remplir'!$N$31:$N$400,CE$3,'Étape 1 - à remplir'!$G$31:$G$400,"lots")))))))</f>
        <v>#N/A</v>
      </c>
      <c r="BX379">
        <f t="shared" si="258"/>
        <v>0</v>
      </c>
      <c r="BY379" t="str">
        <f t="shared" si="242"/>
        <v>Phénoxyméthylpénicilline</v>
      </c>
      <c r="BZ379" t="str">
        <f t="shared" si="243"/>
        <v/>
      </c>
      <c r="CA379" t="str">
        <f t="shared" si="244"/>
        <v/>
      </c>
      <c r="CB379" t="str">
        <f t="shared" si="245"/>
        <v>Penicillines</v>
      </c>
      <c r="CC379" t="str">
        <f t="shared" si="246"/>
        <v/>
      </c>
      <c r="CD379" s="63" t="str">
        <f t="shared" si="247"/>
        <v/>
      </c>
      <c r="CG379" s="42">
        <v>376</v>
      </c>
      <c r="CH379" s="42" t="e">
        <f t="shared" si="263"/>
        <v>#N/A</v>
      </c>
      <c r="CI379" s="63" t="e">
        <f t="shared" si="264"/>
        <v>#N/A</v>
      </c>
      <c r="DM379" s="63"/>
      <c r="EA379" s="194" t="str">
        <f t="shared" ca="1" si="248"/>
        <v/>
      </c>
      <c r="EB379" s="226" t="str">
        <f>IFERROR(IF(ED379=0,"",COUNTIF(ED$4:ED$600,"&gt;"&amp;ED379)+COUNTIF(ED$4:ED379,ED379)),"")</f>
        <v/>
      </c>
      <c r="EC379" t="str">
        <f t="shared" si="249"/>
        <v>PHENOXYPEN WSP</v>
      </c>
      <c r="ED379" t="e">
        <f>IF(IF(EL$2="Catégorie",IF(EL$3="Toutes",SUMIFS('Étape 1 - à remplir'!$F$31:$F$400,'Étape 1 - à remplir'!$E$31:$E$400,MASQ2!EC379,'Étape 1 - à remplir'!$G$31:$G$400,"kg"),SUMIFS('Étape 1 - à remplir'!$F$31:$F$400,'Étape 1 - à remplir'!$E$31:$E$400,MASQ2!EC379,'Étape 1 - à remplir'!$C$31:$C$400,EL$3)),IF(EL$2="Âge",IF(EL$3="Tous",SUMIFS('Étape 1 - à remplir'!$F$31:$F$400,'Étape 1 - à remplir'!$E$31:$E$400,MASQ2!EC379,'Étape 1 - à remplir'!$G$31:$G$400,"kg"),SUMIFS('Étape 1 - à remplir'!$F$31:$F$400,'Étape 1 - à remplir'!$E$31:$E$400,MASQ2!EC379,'Étape 1 - à remplir'!$P$31:$P$400,EL$3,'Étape 1 - à remplir'!$G$31:$G$400,"kg")),IF(EL$2="Atelier",IF(EL$3="Tous",SUMIFS('Étape 1 - à remplir'!$F$31:$F$400,'Étape 1 - à remplir'!$E$31:$E$400,MASQ2!EC379,'Étape 1 - à remplir'!$G$31:$G$400,"kg"),SUMIFS('Étape 1 - à remplir'!$F$31:$F$400,'Étape 1 - à remplir'!$E$31:$E$400,MASQ2!EC379,'Étape 1 - à remplir'!$O$31:$O$400,EL$3,'Étape 1 - à remplir'!$G$31:$G$400,"kg")),IF(EL$2="Espèce",IF(EL$3="Toutes",SUMIFS('Étape 1 - à remplir'!$F$31:$F$400,'Étape 1 - à remplir'!$E$31:$E$400,MASQ2!EC379,'Étape 1 - à remplir'!$G$31:$G$400,"kg"),SUMIFS('Étape 1 - à remplir'!$F$31:$F$400,'Étape 1 - à remplir'!$E$31:$E$400,MASQ2!EC379,'Étape 1 - à remplir'!$N$31:$N$400,EL$3,'Étape 1 - à remplir'!$G$31:$G$400,"kg"))))))=0,NA(),IF(EL$2="Catégorie",IF(EL$3="Toutes",SUMIFS('Étape 1 - à remplir'!$F$31:$F$400,'Étape 1 - à remplir'!$E$31:$E$400,MASQ2!EC379,'Étape 1 - à remplir'!$G$31:$G$400,"kg"),SUMIFS('Étape 1 - à remplir'!$F$31:$F$400,'Étape 1 - à remplir'!$E$31:$E$400,MASQ2!EC379,'Étape 1 - à remplir'!$C$31:$C$400,EL$3)),IF(EL$2="Âge",IF(EL$3="Tous",SUMIFS('Étape 1 - à remplir'!$F$31:$F$400,'Étape 1 - à remplir'!$E$31:$E$400,MASQ2!EC379,'Étape 1 - à remplir'!$G$31:$G$400,"kg"),SUMIFS('Étape 1 - à remplir'!$F$31:$F$400,'Étape 1 - à remplir'!$E$31:$E$400,MASQ2!EC379,'Étape 1 - à remplir'!$P$31:$P$400,EL$3,'Étape 1 - à remplir'!$G$31:$G$400,"kg")),IF(EL$2="Atelier",IF(EL$3="Tous",SUMIFS('Étape 1 - à remplir'!$F$31:$F$400,'Étape 1 - à remplir'!$E$31:$E$400,MASQ2!EC379,'Étape 1 - à remplir'!$G$31:$G$400,"kg"),SUMIFS('Étape 1 - à remplir'!$F$31:$F$400,'Étape 1 - à remplir'!$E$31:$E$400,MASQ2!EC379,'Étape 1 - à remplir'!$O$31:$O$400,EL$3,'Étape 1 - à remplir'!$G$31:$G$400,"kg")),IF(EL$2="Espèce",IF(EL$3="Toutes",SUMIFS('Étape 1 - à remplir'!$F$31:$F$400,'Étape 1 - à remplir'!$E$31:$E$400,MASQ2!EC379,'Étape 1 - à remplir'!$G$31:$G$400,"kg"),SUMIFS('Étape 1 - à remplir'!$F$31:$F$400,'Étape 1 - à remplir'!$E$31:$E$400,MASQ2!EC379,'Étape 1 - à remplir'!$N$31:$N$400,EL$3,'Étape 1 - à remplir'!$G$31:$G$400,"kg")))))))</f>
        <v>#N/A</v>
      </c>
      <c r="EE379" s="76">
        <f t="shared" si="259"/>
        <v>0</v>
      </c>
      <c r="EF379" t="str">
        <f t="shared" si="250"/>
        <v>Phénoxyméthylpénicilline</v>
      </c>
      <c r="EG379" t="str">
        <f t="shared" si="251"/>
        <v/>
      </c>
      <c r="EH379" t="str">
        <f t="shared" si="252"/>
        <v/>
      </c>
      <c r="EI379" t="str">
        <f t="shared" si="253"/>
        <v>Penicillines</v>
      </c>
      <c r="EJ379" t="str">
        <f t="shared" si="254"/>
        <v/>
      </c>
      <c r="EK379" s="63" t="str">
        <f t="shared" si="255"/>
        <v/>
      </c>
      <c r="EN379" s="42">
        <v>376</v>
      </c>
      <c r="EO379" t="e">
        <f t="shared" si="261"/>
        <v>#N/A</v>
      </c>
      <c r="EP379" s="63" t="e">
        <f t="shared" si="262"/>
        <v>#N/A</v>
      </c>
      <c r="FT379" s="63"/>
    </row>
    <row r="380" spans="2:176" x14ac:dyDescent="0.3">
      <c r="B380" s="42"/>
      <c r="M380" s="194" t="str">
        <f ca="1">INDEX(Données_ATB!BD:BU,MATCH(MASQ2!O380,Données_ATB!BD:BD,0),18)</f>
        <v/>
      </c>
      <c r="N380" s="14" t="str">
        <f>IFERROR(IF(Q380=0,"",COUNTIF(Q$4:Q$600,"&gt;"&amp;Q380)+COUNTIF(Q$4:Q380,Q380)),"")</f>
        <v/>
      </c>
      <c r="O380" t="str">
        <f>Données_ATB!BD379</f>
        <v>PIRSUE 5 MG/ML SOLUTION INTRAMAMMAIRE POUR BOVINS</v>
      </c>
      <c r="P380" t="e">
        <f>IF(IF(X$2="Catégorie",IF(X$3="Toutes",SUMIFS('Étape 1 - à remplir'!$F$31:$F$400,'Étape 1 - à remplir'!$E$31:$E$400,MASQ2!O380,'Étape 1 - à remplir'!$G$31:$G$400,"animaux"),SUMIFS('Étape 1 - à remplir'!$F$31:$F$400,'Étape 1 - à remplir'!$E$31:$E$400,MASQ2!O380,'Étape 1 - à remplir'!$C$31:$C$400,X$3)),IF(X$2="Âge",IF(X$3="Tous",SUMIFS('Étape 1 - à remplir'!$F$31:$F$400,'Étape 1 - à remplir'!$E$31:$E$400,MASQ2!O380,'Étape 1 - à remplir'!$G$31:$G$400,"animaux"),SUMIFS('Étape 1 - à remplir'!$F$31:$F$400,'Étape 1 - à remplir'!$E$31:$E$400,MASQ2!O380,'Étape 1 - à remplir'!$P$31:$P$400,X$3)),IF(X$2="Atelier",IF(X$3="Tous",SUMIFS('Étape 1 - à remplir'!$F$31:$F$400,'Étape 1 - à remplir'!$E$31:$E$400,MASQ2!O380,'Étape 1 - à remplir'!$G$31:$G$400,"animaux"),SUMIFS('Étape 1 - à remplir'!$F$31:$F$400,'Étape 1 - à remplir'!$E$31:$E$400,MASQ2!O380,'Étape 1 - à remplir'!$O$31:$O$400,X$3)),IF(X$2="Espèce",IF(X$3="Toutes",SUMIFS('Étape 1 - à remplir'!$F$31:$F$400,'Étape 1 - à remplir'!$E$31:$E$400,MASQ2!O380,'Étape 1 - à remplir'!$G$31:$G$400,"animaux"),SUMIFS('Étape 1 - à remplir'!$F$31:$F$400,'Étape 1 - à remplir'!$E$31:$E$400,MASQ2!O380,'Étape 1 - à remplir'!$N$31:$N$400,X$3))))))=0,NA(),IF(X$2="Catégorie",IF(X$3="Toutes",SUMIFS('Étape 1 - à remplir'!$F$31:$F$400,'Étape 1 - à remplir'!$E$31:$E$400,MASQ2!O380,'Étape 1 - à remplir'!$G$31:$G$400,"animaux"),SUMIFS('Étape 1 - à remplir'!$F$31:$F$400,'Étape 1 - à remplir'!$E$31:$E$400,MASQ2!O380,'Étape 1 - à remplir'!$C$31:$C$400,X$3)),IF(X$2="Âge",IF(X$3="Tous",SUMIFS('Étape 1 - à remplir'!$F$31:$F$400,'Étape 1 - à remplir'!$E$31:$E$400,MASQ2!O380,'Étape 1 - à remplir'!$G$31:$G$400,"animaux"),SUMIFS('Étape 1 - à remplir'!$F$31:$F$400,'Étape 1 - à remplir'!$E$31:$E$400,MASQ2!O380,'Étape 1 - à remplir'!$P$31:$P$400,X$3)),IF(X$2="Atelier",IF(X$3="Tous",SUMIFS('Étape 1 - à remplir'!$F$31:$F$400,'Étape 1 - à remplir'!$E$31:$E$400,MASQ2!O380,'Étape 1 - à remplir'!$G$31:$G$400,"animaux"),SUMIFS('Étape 1 - à remplir'!$F$31:$F$400,'Étape 1 - à remplir'!$E$31:$E$400,MASQ2!O380,'Étape 1 - à remplir'!$O$31:$O$400,X$3)),IF(X$2="Espèce",IF(X$3="Toutes",SUMIFS('Étape 1 - à remplir'!$F$31:$F$400,'Étape 1 - à remplir'!$E$31:$E$400,MASQ2!O380,'Étape 1 - à remplir'!$G$31:$G$400,"animaux"),SUMIFS('Étape 1 - à remplir'!$F$31:$F$400,'Étape 1 - à remplir'!$E$31:$E$400,MASQ2!O380,'Étape 1 - à remplir'!$N$31:$N$400,X$3)))))))</f>
        <v>#N/A</v>
      </c>
      <c r="Q380" s="63">
        <f t="shared" si="260"/>
        <v>0</v>
      </c>
      <c r="R380" t="str">
        <f>Données_ATB!BM379</f>
        <v>Pirlimycine</v>
      </c>
      <c r="S380" t="str">
        <f>Données_ATB!BN379</f>
        <v/>
      </c>
      <c r="T380" s="63" t="str">
        <f>Données_ATB!BO379</f>
        <v/>
      </c>
      <c r="U380" s="42" t="str">
        <f>Données_ATB!BQ379</f>
        <v>Lincosamides</v>
      </c>
      <c r="V380" t="str">
        <f>Données_ATB!BR379</f>
        <v/>
      </c>
      <c r="W380" s="63" t="str">
        <f>Données_ATB!BS379</f>
        <v/>
      </c>
      <c r="Z380" s="42">
        <v>377</v>
      </c>
      <c r="AA380" t="e">
        <f t="shared" si="256"/>
        <v>#N/A</v>
      </c>
      <c r="AB380" s="63" t="e">
        <f t="shared" si="257"/>
        <v>#N/A</v>
      </c>
      <c r="BF380" s="63"/>
      <c r="BT380" s="194" t="str">
        <f t="shared" ca="1" si="240"/>
        <v/>
      </c>
      <c r="BU380" s="219" t="str">
        <f>IFERROR(IF(BX380=0,"",COUNTIF(BX$4:BX$600,"&gt;"&amp;BX380)+COUNTIF(BX$4:BX380,BX380)),"")</f>
        <v/>
      </c>
      <c r="BV380" s="42" t="str">
        <f t="shared" si="241"/>
        <v>PIRSUE 5 MG/ML SOLUTION INTRAMAMMAIRE POUR BOVINS</v>
      </c>
      <c r="BW380" t="e">
        <f>IF(IF(CE$2="Catégorie",IF(CE$3="Toutes",SUMIFS('Étape 1 - à remplir'!$F$31:$F$400,'Étape 1 - à remplir'!$E$31:$E$400,MASQ2!BV380,'Étape 1 - à remplir'!$G$31:$G$400,"lots"),SUMIFS('Étape 1 - à remplir'!$F$31:$F$400,'Étape 1 - à remplir'!$E$31:$E$400,MASQ2!BV380,'Étape 1 - à remplir'!$C$31:$C$400,CE$3)),IF(CE$2="Âge",IF(CE$3="Tous",SUMIFS('Étape 1 - à remplir'!$F$31:$F$400,'Étape 1 - à remplir'!$E$31:$E$400,MASQ2!BV380,'Étape 1 - à remplir'!$G$31:$G$400,"lots"),SUMIFS('Étape 1 - à remplir'!$F$31:$F$400,'Étape 1 - à remplir'!$E$31:$E$400,MASQ2!BV380,'Étape 1 - à remplir'!$P$31:$P$400,CE$3,'Étape 1 - à remplir'!$G$31:$G$400,"lots")),IF(CE$2="Atelier",IF(CE$3="Tous",SUMIFS('Étape 1 - à remplir'!$F$31:$F$400,'Étape 1 - à remplir'!$E$31:$E$400,MASQ2!BV380,'Étape 1 - à remplir'!$G$31:$G$400,"lots"),SUMIFS('Étape 1 - à remplir'!$F$31:$F$400,'Étape 1 - à remplir'!$E$31:$E$400,MASQ2!BV380,'Étape 1 - à remplir'!$O$31:$O$400,CE$3,'Étape 1 - à remplir'!$G$31:$G$400,"lots")),IF(CE$2="Espèce",IF(CE$3="Toutes",SUMIFS('Étape 1 - à remplir'!$F$31:$F$400,'Étape 1 - à remplir'!$E$31:$E$400,MASQ2!BV380,'Étape 1 - à remplir'!$G$31:$G$400,"lots"),SUMIFS('Étape 1 - à remplir'!$F$31:$F$400,'Étape 1 - à remplir'!$E$31:$E$400,MASQ2!BV380,'Étape 1 - à remplir'!$N$31:$N$400,CE$3,'Étape 1 - à remplir'!$G$31:$G$400,"lots"))))))=0,NA(),IF(CE$2="Catégorie",IF(CE$3="Toutes",SUMIFS('Étape 1 - à remplir'!$F$31:$F$400,'Étape 1 - à remplir'!$E$31:$E$400,MASQ2!BV380,'Étape 1 - à remplir'!$G$31:$G$400,"lots"),SUMIFS('Étape 1 - à remplir'!$F$31:$F$400,'Étape 1 - à remplir'!$E$31:$E$400,MASQ2!BV380,'Étape 1 - à remplir'!$C$31:$C$400,CE$3)),IF(CE$2="Âge",IF(CE$3="Tous",SUMIFS('Étape 1 - à remplir'!$F$31:$F$400,'Étape 1 - à remplir'!$E$31:$E$400,MASQ2!BV380,'Étape 1 - à remplir'!$G$31:$G$400,"lots"),SUMIFS('Étape 1 - à remplir'!$F$31:$F$400,'Étape 1 - à remplir'!$E$31:$E$400,MASQ2!BV380,'Étape 1 - à remplir'!$P$31:$P$400,CE$3,'Étape 1 - à remplir'!$G$31:$G$400,"lots")),IF(CE$2="Atelier",IF(CE$3="Tous",SUMIFS('Étape 1 - à remplir'!$F$31:$F$400,'Étape 1 - à remplir'!$E$31:$E$400,MASQ2!BV380,'Étape 1 - à remplir'!$G$31:$G$400,"lots"),SUMIFS('Étape 1 - à remplir'!$F$31:$F$400,'Étape 1 - à remplir'!$E$31:$E$400,MASQ2!BV380,'Étape 1 - à remplir'!$O$31:$O$400,CE$3,'Étape 1 - à remplir'!$G$31:$G$400,"lots")),IF(CE$2="Espèce",IF(CE$3="Toutes",SUMIFS('Étape 1 - à remplir'!$F$31:$F$400,'Étape 1 - à remplir'!$E$31:$E$400,MASQ2!BV380,'Étape 1 - à remplir'!$G$31:$G$400,"lots"),SUMIFS('Étape 1 - à remplir'!$F$31:$F$400,'Étape 1 - à remplir'!$E$31:$E$400,MASQ2!BV380,'Étape 1 - à remplir'!$N$31:$N$400,CE$3,'Étape 1 - à remplir'!$G$31:$G$400,"lots")))))))</f>
        <v>#N/A</v>
      </c>
      <c r="BX380">
        <f t="shared" si="258"/>
        <v>0</v>
      </c>
      <c r="BY380" t="str">
        <f t="shared" si="242"/>
        <v>Pirlimycine</v>
      </c>
      <c r="BZ380" t="str">
        <f t="shared" si="243"/>
        <v/>
      </c>
      <c r="CA380" t="str">
        <f t="shared" si="244"/>
        <v/>
      </c>
      <c r="CB380" t="str">
        <f t="shared" si="245"/>
        <v>Lincosamides</v>
      </c>
      <c r="CC380" t="str">
        <f t="shared" si="246"/>
        <v/>
      </c>
      <c r="CD380" s="63" t="str">
        <f t="shared" si="247"/>
        <v/>
      </c>
      <c r="CG380" s="42">
        <v>377</v>
      </c>
      <c r="CH380" s="42" t="e">
        <f t="shared" si="263"/>
        <v>#N/A</v>
      </c>
      <c r="CI380" s="63" t="e">
        <f t="shared" si="264"/>
        <v>#N/A</v>
      </c>
      <c r="DM380" s="63"/>
      <c r="EA380" s="194" t="str">
        <f t="shared" ca="1" si="248"/>
        <v/>
      </c>
      <c r="EB380" s="226" t="str">
        <f>IFERROR(IF(ED380=0,"",COUNTIF(ED$4:ED$600,"&gt;"&amp;ED380)+COUNTIF(ED$4:ED380,ED380)),"")</f>
        <v/>
      </c>
      <c r="EC380" t="str">
        <f t="shared" si="249"/>
        <v>PIRSUE 5 MG/ML SOLUTION INTRAMAMMAIRE POUR BOVINS</v>
      </c>
      <c r="ED380" t="e">
        <f>IF(IF(EL$2="Catégorie",IF(EL$3="Toutes",SUMIFS('Étape 1 - à remplir'!$F$31:$F$400,'Étape 1 - à remplir'!$E$31:$E$400,MASQ2!EC380,'Étape 1 - à remplir'!$G$31:$G$400,"kg"),SUMIFS('Étape 1 - à remplir'!$F$31:$F$400,'Étape 1 - à remplir'!$E$31:$E$400,MASQ2!EC380,'Étape 1 - à remplir'!$C$31:$C$400,EL$3)),IF(EL$2="Âge",IF(EL$3="Tous",SUMIFS('Étape 1 - à remplir'!$F$31:$F$400,'Étape 1 - à remplir'!$E$31:$E$400,MASQ2!EC380,'Étape 1 - à remplir'!$G$31:$G$400,"kg"),SUMIFS('Étape 1 - à remplir'!$F$31:$F$400,'Étape 1 - à remplir'!$E$31:$E$400,MASQ2!EC380,'Étape 1 - à remplir'!$P$31:$P$400,EL$3,'Étape 1 - à remplir'!$G$31:$G$400,"kg")),IF(EL$2="Atelier",IF(EL$3="Tous",SUMIFS('Étape 1 - à remplir'!$F$31:$F$400,'Étape 1 - à remplir'!$E$31:$E$400,MASQ2!EC380,'Étape 1 - à remplir'!$G$31:$G$400,"kg"),SUMIFS('Étape 1 - à remplir'!$F$31:$F$400,'Étape 1 - à remplir'!$E$31:$E$400,MASQ2!EC380,'Étape 1 - à remplir'!$O$31:$O$400,EL$3,'Étape 1 - à remplir'!$G$31:$G$400,"kg")),IF(EL$2="Espèce",IF(EL$3="Toutes",SUMIFS('Étape 1 - à remplir'!$F$31:$F$400,'Étape 1 - à remplir'!$E$31:$E$400,MASQ2!EC380,'Étape 1 - à remplir'!$G$31:$G$400,"kg"),SUMIFS('Étape 1 - à remplir'!$F$31:$F$400,'Étape 1 - à remplir'!$E$31:$E$400,MASQ2!EC380,'Étape 1 - à remplir'!$N$31:$N$400,EL$3,'Étape 1 - à remplir'!$G$31:$G$400,"kg"))))))=0,NA(),IF(EL$2="Catégorie",IF(EL$3="Toutes",SUMIFS('Étape 1 - à remplir'!$F$31:$F$400,'Étape 1 - à remplir'!$E$31:$E$400,MASQ2!EC380,'Étape 1 - à remplir'!$G$31:$G$400,"kg"),SUMIFS('Étape 1 - à remplir'!$F$31:$F$400,'Étape 1 - à remplir'!$E$31:$E$400,MASQ2!EC380,'Étape 1 - à remplir'!$C$31:$C$400,EL$3)),IF(EL$2="Âge",IF(EL$3="Tous",SUMIFS('Étape 1 - à remplir'!$F$31:$F$400,'Étape 1 - à remplir'!$E$31:$E$400,MASQ2!EC380,'Étape 1 - à remplir'!$G$31:$G$400,"kg"),SUMIFS('Étape 1 - à remplir'!$F$31:$F$400,'Étape 1 - à remplir'!$E$31:$E$400,MASQ2!EC380,'Étape 1 - à remplir'!$P$31:$P$400,EL$3,'Étape 1 - à remplir'!$G$31:$G$400,"kg")),IF(EL$2="Atelier",IF(EL$3="Tous",SUMIFS('Étape 1 - à remplir'!$F$31:$F$400,'Étape 1 - à remplir'!$E$31:$E$400,MASQ2!EC380,'Étape 1 - à remplir'!$G$31:$G$400,"kg"),SUMIFS('Étape 1 - à remplir'!$F$31:$F$400,'Étape 1 - à remplir'!$E$31:$E$400,MASQ2!EC380,'Étape 1 - à remplir'!$O$31:$O$400,EL$3,'Étape 1 - à remplir'!$G$31:$G$400,"kg")),IF(EL$2="Espèce",IF(EL$3="Toutes",SUMIFS('Étape 1 - à remplir'!$F$31:$F$400,'Étape 1 - à remplir'!$E$31:$E$400,MASQ2!EC380,'Étape 1 - à remplir'!$G$31:$G$400,"kg"),SUMIFS('Étape 1 - à remplir'!$F$31:$F$400,'Étape 1 - à remplir'!$E$31:$E$400,MASQ2!EC380,'Étape 1 - à remplir'!$N$31:$N$400,EL$3,'Étape 1 - à remplir'!$G$31:$G$400,"kg")))))))</f>
        <v>#N/A</v>
      </c>
      <c r="EE380" s="76">
        <f t="shared" si="259"/>
        <v>0</v>
      </c>
      <c r="EF380" t="str">
        <f t="shared" si="250"/>
        <v>Pirlimycine</v>
      </c>
      <c r="EG380" t="str">
        <f t="shared" si="251"/>
        <v/>
      </c>
      <c r="EH380" t="str">
        <f t="shared" si="252"/>
        <v/>
      </c>
      <c r="EI380" t="str">
        <f t="shared" si="253"/>
        <v>Lincosamides</v>
      </c>
      <c r="EJ380" t="str">
        <f t="shared" si="254"/>
        <v/>
      </c>
      <c r="EK380" s="63" t="str">
        <f t="shared" si="255"/>
        <v/>
      </c>
      <c r="EN380" s="42">
        <v>377</v>
      </c>
      <c r="EO380" t="e">
        <f t="shared" si="261"/>
        <v>#N/A</v>
      </c>
      <c r="EP380" s="63" t="e">
        <f t="shared" si="262"/>
        <v>#N/A</v>
      </c>
      <c r="FT380" s="63"/>
    </row>
    <row r="381" spans="2:176" x14ac:dyDescent="0.3">
      <c r="B381" s="42"/>
      <c r="M381" s="194" t="str">
        <f ca="1">INDEX(Données_ATB!BD:BU,MATCH(MASQ2!O381,Données_ATB!BD:BD,0),18)</f>
        <v>x</v>
      </c>
      <c r="N381" s="14" t="str">
        <f>IFERROR(IF(Q381=0,"",COUNTIF(Q$4:Q$600,"&gt;"&amp;Q381)+COUNTIF(Q$4:Q381,Q381)),"")</f>
        <v/>
      </c>
      <c r="O381" t="str">
        <f>Données_ATB!BD380</f>
        <v>PM 11-2 COLISTINE 400 PORC ET AGNEAU SEVRE</v>
      </c>
      <c r="P381" t="e">
        <f>IF(IF(X$2="Catégorie",IF(X$3="Toutes",SUMIFS('Étape 1 - à remplir'!$F$31:$F$400,'Étape 1 - à remplir'!$E$31:$E$400,MASQ2!O381,'Étape 1 - à remplir'!$G$31:$G$400,"animaux"),SUMIFS('Étape 1 - à remplir'!$F$31:$F$400,'Étape 1 - à remplir'!$E$31:$E$400,MASQ2!O381,'Étape 1 - à remplir'!$C$31:$C$400,X$3)),IF(X$2="Âge",IF(X$3="Tous",SUMIFS('Étape 1 - à remplir'!$F$31:$F$400,'Étape 1 - à remplir'!$E$31:$E$400,MASQ2!O381,'Étape 1 - à remplir'!$G$31:$G$400,"animaux"),SUMIFS('Étape 1 - à remplir'!$F$31:$F$400,'Étape 1 - à remplir'!$E$31:$E$400,MASQ2!O381,'Étape 1 - à remplir'!$P$31:$P$400,X$3)),IF(X$2="Atelier",IF(X$3="Tous",SUMIFS('Étape 1 - à remplir'!$F$31:$F$400,'Étape 1 - à remplir'!$E$31:$E$400,MASQ2!O381,'Étape 1 - à remplir'!$G$31:$G$400,"animaux"),SUMIFS('Étape 1 - à remplir'!$F$31:$F$400,'Étape 1 - à remplir'!$E$31:$E$400,MASQ2!O381,'Étape 1 - à remplir'!$O$31:$O$400,X$3)),IF(X$2="Espèce",IF(X$3="Toutes",SUMIFS('Étape 1 - à remplir'!$F$31:$F$400,'Étape 1 - à remplir'!$E$31:$E$400,MASQ2!O381,'Étape 1 - à remplir'!$G$31:$G$400,"animaux"),SUMIFS('Étape 1 - à remplir'!$F$31:$F$400,'Étape 1 - à remplir'!$E$31:$E$400,MASQ2!O381,'Étape 1 - à remplir'!$N$31:$N$400,X$3))))))=0,NA(),IF(X$2="Catégorie",IF(X$3="Toutes",SUMIFS('Étape 1 - à remplir'!$F$31:$F$400,'Étape 1 - à remplir'!$E$31:$E$400,MASQ2!O381,'Étape 1 - à remplir'!$G$31:$G$400,"animaux"),SUMIFS('Étape 1 - à remplir'!$F$31:$F$400,'Étape 1 - à remplir'!$E$31:$E$400,MASQ2!O381,'Étape 1 - à remplir'!$C$31:$C$400,X$3)),IF(X$2="Âge",IF(X$3="Tous",SUMIFS('Étape 1 - à remplir'!$F$31:$F$400,'Étape 1 - à remplir'!$E$31:$E$400,MASQ2!O381,'Étape 1 - à remplir'!$G$31:$G$400,"animaux"),SUMIFS('Étape 1 - à remplir'!$F$31:$F$400,'Étape 1 - à remplir'!$E$31:$E$400,MASQ2!O381,'Étape 1 - à remplir'!$P$31:$P$400,X$3)),IF(X$2="Atelier",IF(X$3="Tous",SUMIFS('Étape 1 - à remplir'!$F$31:$F$400,'Étape 1 - à remplir'!$E$31:$E$400,MASQ2!O381,'Étape 1 - à remplir'!$G$31:$G$400,"animaux"),SUMIFS('Étape 1 - à remplir'!$F$31:$F$400,'Étape 1 - à remplir'!$E$31:$E$400,MASQ2!O381,'Étape 1 - à remplir'!$O$31:$O$400,X$3)),IF(X$2="Espèce",IF(X$3="Toutes",SUMIFS('Étape 1 - à remplir'!$F$31:$F$400,'Étape 1 - à remplir'!$E$31:$E$400,MASQ2!O381,'Étape 1 - à remplir'!$G$31:$G$400,"animaux"),SUMIFS('Étape 1 - à remplir'!$F$31:$F$400,'Étape 1 - à remplir'!$E$31:$E$400,MASQ2!O381,'Étape 1 - à remplir'!$N$31:$N$400,X$3)))))))</f>
        <v>#N/A</v>
      </c>
      <c r="Q381" s="63">
        <f t="shared" si="260"/>
        <v>0</v>
      </c>
      <c r="R381" t="str">
        <f>Données_ATB!BM380</f>
        <v>Colistine</v>
      </c>
      <c r="S381" t="str">
        <f>Données_ATB!BN380</f>
        <v/>
      </c>
      <c r="T381" s="63" t="str">
        <f>Données_ATB!BO380</f>
        <v/>
      </c>
      <c r="U381" s="42" t="str">
        <f>Données_ATB!BQ380</f>
        <v>Polypeptides</v>
      </c>
      <c r="V381" t="str">
        <f>Données_ATB!BR380</f>
        <v/>
      </c>
      <c r="W381" s="63" t="str">
        <f>Données_ATB!BS380</f>
        <v/>
      </c>
      <c r="Z381" s="42">
        <v>378</v>
      </c>
      <c r="AA381" t="e">
        <f t="shared" si="256"/>
        <v>#N/A</v>
      </c>
      <c r="AB381" s="63" t="e">
        <f t="shared" si="257"/>
        <v>#N/A</v>
      </c>
      <c r="BF381" s="63"/>
      <c r="BT381" s="194" t="str">
        <f t="shared" ca="1" si="240"/>
        <v>x</v>
      </c>
      <c r="BU381" s="219" t="str">
        <f>IFERROR(IF(BX381=0,"",COUNTIF(BX$4:BX$600,"&gt;"&amp;BX381)+COUNTIF(BX$4:BX381,BX381)),"")</f>
        <v/>
      </c>
      <c r="BV381" s="42" t="str">
        <f t="shared" si="241"/>
        <v>PM 11-2 COLISTINE 400 PORC ET AGNEAU SEVRE</v>
      </c>
      <c r="BW381" t="e">
        <f>IF(IF(CE$2="Catégorie",IF(CE$3="Toutes",SUMIFS('Étape 1 - à remplir'!$F$31:$F$400,'Étape 1 - à remplir'!$E$31:$E$400,MASQ2!BV381,'Étape 1 - à remplir'!$G$31:$G$400,"lots"),SUMIFS('Étape 1 - à remplir'!$F$31:$F$400,'Étape 1 - à remplir'!$E$31:$E$400,MASQ2!BV381,'Étape 1 - à remplir'!$C$31:$C$400,CE$3)),IF(CE$2="Âge",IF(CE$3="Tous",SUMIFS('Étape 1 - à remplir'!$F$31:$F$400,'Étape 1 - à remplir'!$E$31:$E$400,MASQ2!BV381,'Étape 1 - à remplir'!$G$31:$G$400,"lots"),SUMIFS('Étape 1 - à remplir'!$F$31:$F$400,'Étape 1 - à remplir'!$E$31:$E$400,MASQ2!BV381,'Étape 1 - à remplir'!$P$31:$P$400,CE$3,'Étape 1 - à remplir'!$G$31:$G$400,"lots")),IF(CE$2="Atelier",IF(CE$3="Tous",SUMIFS('Étape 1 - à remplir'!$F$31:$F$400,'Étape 1 - à remplir'!$E$31:$E$400,MASQ2!BV381,'Étape 1 - à remplir'!$G$31:$G$400,"lots"),SUMIFS('Étape 1 - à remplir'!$F$31:$F$400,'Étape 1 - à remplir'!$E$31:$E$400,MASQ2!BV381,'Étape 1 - à remplir'!$O$31:$O$400,CE$3,'Étape 1 - à remplir'!$G$31:$G$400,"lots")),IF(CE$2="Espèce",IF(CE$3="Toutes",SUMIFS('Étape 1 - à remplir'!$F$31:$F$400,'Étape 1 - à remplir'!$E$31:$E$400,MASQ2!BV381,'Étape 1 - à remplir'!$G$31:$G$400,"lots"),SUMIFS('Étape 1 - à remplir'!$F$31:$F$400,'Étape 1 - à remplir'!$E$31:$E$400,MASQ2!BV381,'Étape 1 - à remplir'!$N$31:$N$400,CE$3,'Étape 1 - à remplir'!$G$31:$G$400,"lots"))))))=0,NA(),IF(CE$2="Catégorie",IF(CE$3="Toutes",SUMIFS('Étape 1 - à remplir'!$F$31:$F$400,'Étape 1 - à remplir'!$E$31:$E$400,MASQ2!BV381,'Étape 1 - à remplir'!$G$31:$G$400,"lots"),SUMIFS('Étape 1 - à remplir'!$F$31:$F$400,'Étape 1 - à remplir'!$E$31:$E$400,MASQ2!BV381,'Étape 1 - à remplir'!$C$31:$C$400,CE$3)),IF(CE$2="Âge",IF(CE$3="Tous",SUMIFS('Étape 1 - à remplir'!$F$31:$F$400,'Étape 1 - à remplir'!$E$31:$E$400,MASQ2!BV381,'Étape 1 - à remplir'!$G$31:$G$400,"lots"),SUMIFS('Étape 1 - à remplir'!$F$31:$F$400,'Étape 1 - à remplir'!$E$31:$E$400,MASQ2!BV381,'Étape 1 - à remplir'!$P$31:$P$400,CE$3,'Étape 1 - à remplir'!$G$31:$G$400,"lots")),IF(CE$2="Atelier",IF(CE$3="Tous",SUMIFS('Étape 1 - à remplir'!$F$31:$F$400,'Étape 1 - à remplir'!$E$31:$E$400,MASQ2!BV381,'Étape 1 - à remplir'!$G$31:$G$400,"lots"),SUMIFS('Étape 1 - à remplir'!$F$31:$F$400,'Étape 1 - à remplir'!$E$31:$E$400,MASQ2!BV381,'Étape 1 - à remplir'!$O$31:$O$400,CE$3,'Étape 1 - à remplir'!$G$31:$G$400,"lots")),IF(CE$2="Espèce",IF(CE$3="Toutes",SUMIFS('Étape 1 - à remplir'!$F$31:$F$400,'Étape 1 - à remplir'!$E$31:$E$400,MASQ2!BV381,'Étape 1 - à remplir'!$G$31:$G$400,"lots"),SUMIFS('Étape 1 - à remplir'!$F$31:$F$400,'Étape 1 - à remplir'!$E$31:$E$400,MASQ2!BV381,'Étape 1 - à remplir'!$N$31:$N$400,CE$3,'Étape 1 - à remplir'!$G$31:$G$400,"lots")))))))</f>
        <v>#N/A</v>
      </c>
      <c r="BX381">
        <f t="shared" si="258"/>
        <v>0</v>
      </c>
      <c r="BY381" t="str">
        <f t="shared" si="242"/>
        <v>Colistine</v>
      </c>
      <c r="BZ381" t="str">
        <f t="shared" si="243"/>
        <v/>
      </c>
      <c r="CA381" t="str">
        <f t="shared" si="244"/>
        <v/>
      </c>
      <c r="CB381" t="str">
        <f t="shared" si="245"/>
        <v>Polypeptides</v>
      </c>
      <c r="CC381" t="str">
        <f t="shared" si="246"/>
        <v/>
      </c>
      <c r="CD381" s="63" t="str">
        <f t="shared" si="247"/>
        <v/>
      </c>
      <c r="CG381" s="42">
        <v>378</v>
      </c>
      <c r="CH381" s="42" t="e">
        <f t="shared" si="263"/>
        <v>#N/A</v>
      </c>
      <c r="CI381" s="63" t="e">
        <f t="shared" si="264"/>
        <v>#N/A</v>
      </c>
      <c r="DM381" s="63"/>
      <c r="EA381" s="194" t="str">
        <f t="shared" ca="1" si="248"/>
        <v>x</v>
      </c>
      <c r="EB381" s="226" t="str">
        <f>IFERROR(IF(ED381=0,"",COUNTIF(ED$4:ED$600,"&gt;"&amp;ED381)+COUNTIF(ED$4:ED381,ED381)),"")</f>
        <v/>
      </c>
      <c r="EC381" t="str">
        <f t="shared" si="249"/>
        <v>PM 11-2 COLISTINE 400 PORC ET AGNEAU SEVRE</v>
      </c>
      <c r="ED381" t="e">
        <f>IF(IF(EL$2="Catégorie",IF(EL$3="Toutes",SUMIFS('Étape 1 - à remplir'!$F$31:$F$400,'Étape 1 - à remplir'!$E$31:$E$400,MASQ2!EC381,'Étape 1 - à remplir'!$G$31:$G$400,"kg"),SUMIFS('Étape 1 - à remplir'!$F$31:$F$400,'Étape 1 - à remplir'!$E$31:$E$400,MASQ2!EC381,'Étape 1 - à remplir'!$C$31:$C$400,EL$3)),IF(EL$2="Âge",IF(EL$3="Tous",SUMIFS('Étape 1 - à remplir'!$F$31:$F$400,'Étape 1 - à remplir'!$E$31:$E$400,MASQ2!EC381,'Étape 1 - à remplir'!$G$31:$G$400,"kg"),SUMIFS('Étape 1 - à remplir'!$F$31:$F$400,'Étape 1 - à remplir'!$E$31:$E$400,MASQ2!EC381,'Étape 1 - à remplir'!$P$31:$P$400,EL$3,'Étape 1 - à remplir'!$G$31:$G$400,"kg")),IF(EL$2="Atelier",IF(EL$3="Tous",SUMIFS('Étape 1 - à remplir'!$F$31:$F$400,'Étape 1 - à remplir'!$E$31:$E$400,MASQ2!EC381,'Étape 1 - à remplir'!$G$31:$G$400,"kg"),SUMIFS('Étape 1 - à remplir'!$F$31:$F$400,'Étape 1 - à remplir'!$E$31:$E$400,MASQ2!EC381,'Étape 1 - à remplir'!$O$31:$O$400,EL$3,'Étape 1 - à remplir'!$G$31:$G$400,"kg")),IF(EL$2="Espèce",IF(EL$3="Toutes",SUMIFS('Étape 1 - à remplir'!$F$31:$F$400,'Étape 1 - à remplir'!$E$31:$E$400,MASQ2!EC381,'Étape 1 - à remplir'!$G$31:$G$400,"kg"),SUMIFS('Étape 1 - à remplir'!$F$31:$F$400,'Étape 1 - à remplir'!$E$31:$E$400,MASQ2!EC381,'Étape 1 - à remplir'!$N$31:$N$400,EL$3,'Étape 1 - à remplir'!$G$31:$G$400,"kg"))))))=0,NA(),IF(EL$2="Catégorie",IF(EL$3="Toutes",SUMIFS('Étape 1 - à remplir'!$F$31:$F$400,'Étape 1 - à remplir'!$E$31:$E$400,MASQ2!EC381,'Étape 1 - à remplir'!$G$31:$G$400,"kg"),SUMIFS('Étape 1 - à remplir'!$F$31:$F$400,'Étape 1 - à remplir'!$E$31:$E$400,MASQ2!EC381,'Étape 1 - à remplir'!$C$31:$C$400,EL$3)),IF(EL$2="Âge",IF(EL$3="Tous",SUMIFS('Étape 1 - à remplir'!$F$31:$F$400,'Étape 1 - à remplir'!$E$31:$E$400,MASQ2!EC381,'Étape 1 - à remplir'!$G$31:$G$400,"kg"),SUMIFS('Étape 1 - à remplir'!$F$31:$F$400,'Étape 1 - à remplir'!$E$31:$E$400,MASQ2!EC381,'Étape 1 - à remplir'!$P$31:$P$400,EL$3,'Étape 1 - à remplir'!$G$31:$G$400,"kg")),IF(EL$2="Atelier",IF(EL$3="Tous",SUMIFS('Étape 1 - à remplir'!$F$31:$F$400,'Étape 1 - à remplir'!$E$31:$E$400,MASQ2!EC381,'Étape 1 - à remplir'!$G$31:$G$400,"kg"),SUMIFS('Étape 1 - à remplir'!$F$31:$F$400,'Étape 1 - à remplir'!$E$31:$E$400,MASQ2!EC381,'Étape 1 - à remplir'!$O$31:$O$400,EL$3,'Étape 1 - à remplir'!$G$31:$G$400,"kg")),IF(EL$2="Espèce",IF(EL$3="Toutes",SUMIFS('Étape 1 - à remplir'!$F$31:$F$400,'Étape 1 - à remplir'!$E$31:$E$400,MASQ2!EC381,'Étape 1 - à remplir'!$G$31:$G$400,"kg"),SUMIFS('Étape 1 - à remplir'!$F$31:$F$400,'Étape 1 - à remplir'!$E$31:$E$400,MASQ2!EC381,'Étape 1 - à remplir'!$N$31:$N$400,EL$3,'Étape 1 - à remplir'!$G$31:$G$400,"kg")))))))</f>
        <v>#N/A</v>
      </c>
      <c r="EE381" s="76">
        <f t="shared" si="259"/>
        <v>0</v>
      </c>
      <c r="EF381" t="str">
        <f t="shared" si="250"/>
        <v>Colistine</v>
      </c>
      <c r="EG381" t="str">
        <f t="shared" si="251"/>
        <v/>
      </c>
      <c r="EH381" t="str">
        <f t="shared" si="252"/>
        <v/>
      </c>
      <c r="EI381" t="str">
        <f t="shared" si="253"/>
        <v>Polypeptides</v>
      </c>
      <c r="EJ381" t="str">
        <f t="shared" si="254"/>
        <v/>
      </c>
      <c r="EK381" s="63" t="str">
        <f t="shared" si="255"/>
        <v/>
      </c>
      <c r="EN381" s="42">
        <v>378</v>
      </c>
      <c r="EO381" t="e">
        <f t="shared" si="261"/>
        <v>#N/A</v>
      </c>
      <c r="EP381" s="63" t="e">
        <f t="shared" si="262"/>
        <v>#N/A</v>
      </c>
      <c r="FT381" s="63"/>
    </row>
    <row r="382" spans="2:176" x14ac:dyDescent="0.3">
      <c r="B382" s="42"/>
      <c r="M382" s="194" t="str">
        <f ca="1">INDEX(Données_ATB!BD:BU,MATCH(MASQ2!O382,Données_ATB!BD:BD,0),18)</f>
        <v/>
      </c>
      <c r="N382" s="14" t="str">
        <f>IFERROR(IF(Q382=0,"",COUNTIF(Q$4:Q$600,"&gt;"&amp;Q382)+COUNTIF(Q$4:Q382,Q382)),"")</f>
        <v/>
      </c>
      <c r="O382" t="str">
        <f>Données_ATB!BD381</f>
        <v>PM 113 C60/M30</v>
      </c>
      <c r="P382" t="e">
        <f>IF(IF(X$2="Catégorie",IF(X$3="Toutes",SUMIFS('Étape 1 - à remplir'!$F$31:$F$400,'Étape 1 - à remplir'!$E$31:$E$400,MASQ2!O382,'Étape 1 - à remplir'!$G$31:$G$400,"animaux"),SUMIFS('Étape 1 - à remplir'!$F$31:$F$400,'Étape 1 - à remplir'!$E$31:$E$400,MASQ2!O382,'Étape 1 - à remplir'!$C$31:$C$400,X$3)),IF(X$2="Âge",IF(X$3="Tous",SUMIFS('Étape 1 - à remplir'!$F$31:$F$400,'Étape 1 - à remplir'!$E$31:$E$400,MASQ2!O382,'Étape 1 - à remplir'!$G$31:$G$400,"animaux"),SUMIFS('Étape 1 - à remplir'!$F$31:$F$400,'Étape 1 - à remplir'!$E$31:$E$400,MASQ2!O382,'Étape 1 - à remplir'!$P$31:$P$400,X$3)),IF(X$2="Atelier",IF(X$3="Tous",SUMIFS('Étape 1 - à remplir'!$F$31:$F$400,'Étape 1 - à remplir'!$E$31:$E$400,MASQ2!O382,'Étape 1 - à remplir'!$G$31:$G$400,"animaux"),SUMIFS('Étape 1 - à remplir'!$F$31:$F$400,'Étape 1 - à remplir'!$E$31:$E$400,MASQ2!O382,'Étape 1 - à remplir'!$O$31:$O$400,X$3)),IF(X$2="Espèce",IF(X$3="Toutes",SUMIFS('Étape 1 - à remplir'!$F$31:$F$400,'Étape 1 - à remplir'!$E$31:$E$400,MASQ2!O382,'Étape 1 - à remplir'!$G$31:$G$400,"animaux"),SUMIFS('Étape 1 - à remplir'!$F$31:$F$400,'Étape 1 - à remplir'!$E$31:$E$400,MASQ2!O382,'Étape 1 - à remplir'!$N$31:$N$400,X$3))))))=0,NA(),IF(X$2="Catégorie",IF(X$3="Toutes",SUMIFS('Étape 1 - à remplir'!$F$31:$F$400,'Étape 1 - à remplir'!$E$31:$E$400,MASQ2!O382,'Étape 1 - à remplir'!$G$31:$G$400,"animaux"),SUMIFS('Étape 1 - à remplir'!$F$31:$F$400,'Étape 1 - à remplir'!$E$31:$E$400,MASQ2!O382,'Étape 1 - à remplir'!$C$31:$C$400,X$3)),IF(X$2="Âge",IF(X$3="Tous",SUMIFS('Étape 1 - à remplir'!$F$31:$F$400,'Étape 1 - à remplir'!$E$31:$E$400,MASQ2!O382,'Étape 1 - à remplir'!$G$31:$G$400,"animaux"),SUMIFS('Étape 1 - à remplir'!$F$31:$F$400,'Étape 1 - à remplir'!$E$31:$E$400,MASQ2!O382,'Étape 1 - à remplir'!$P$31:$P$400,X$3)),IF(X$2="Atelier",IF(X$3="Tous",SUMIFS('Étape 1 - à remplir'!$F$31:$F$400,'Étape 1 - à remplir'!$E$31:$E$400,MASQ2!O382,'Étape 1 - à remplir'!$G$31:$G$400,"animaux"),SUMIFS('Étape 1 - à remplir'!$F$31:$F$400,'Étape 1 - à remplir'!$E$31:$E$400,MASQ2!O382,'Étape 1 - à remplir'!$O$31:$O$400,X$3)),IF(X$2="Espèce",IF(X$3="Toutes",SUMIFS('Étape 1 - à remplir'!$F$31:$F$400,'Étape 1 - à remplir'!$E$31:$E$400,MASQ2!O382,'Étape 1 - à remplir'!$G$31:$G$400,"animaux"),SUMIFS('Étape 1 - à remplir'!$F$31:$F$400,'Étape 1 - à remplir'!$E$31:$E$400,MASQ2!O382,'Étape 1 - à remplir'!$N$31:$N$400,X$3)))))))</f>
        <v>#N/A</v>
      </c>
      <c r="Q382" s="63">
        <f t="shared" si="260"/>
        <v>0</v>
      </c>
      <c r="R382" t="str">
        <f>Données_ATB!BM381</f>
        <v>Sulfadiazine</v>
      </c>
      <c r="S382" t="str">
        <f>Données_ATB!BN381</f>
        <v>Triméthoprime</v>
      </c>
      <c r="T382" s="63" t="str">
        <f>Données_ATB!BO381</f>
        <v/>
      </c>
      <c r="U382" s="42" t="str">
        <f>Données_ATB!BQ381</f>
        <v>Sulfamides</v>
      </c>
      <c r="V382" t="str">
        <f>Données_ATB!BR381</f>
        <v>Trimethoprime</v>
      </c>
      <c r="W382" s="63" t="str">
        <f>Données_ATB!BS381</f>
        <v/>
      </c>
      <c r="Z382" s="42">
        <v>379</v>
      </c>
      <c r="AA382" t="e">
        <f t="shared" si="256"/>
        <v>#N/A</v>
      </c>
      <c r="AB382" s="63" t="e">
        <f t="shared" si="257"/>
        <v>#N/A</v>
      </c>
      <c r="BF382" s="63"/>
      <c r="BT382" s="194" t="str">
        <f t="shared" ca="1" si="240"/>
        <v/>
      </c>
      <c r="BU382" s="219" t="str">
        <f>IFERROR(IF(BX382=0,"",COUNTIF(BX$4:BX$600,"&gt;"&amp;BX382)+COUNTIF(BX$4:BX382,BX382)),"")</f>
        <v/>
      </c>
      <c r="BV382" s="42" t="str">
        <f t="shared" si="241"/>
        <v>PM 113 C60/M30</v>
      </c>
      <c r="BW382" t="e">
        <f>IF(IF(CE$2="Catégorie",IF(CE$3="Toutes",SUMIFS('Étape 1 - à remplir'!$F$31:$F$400,'Étape 1 - à remplir'!$E$31:$E$400,MASQ2!BV382,'Étape 1 - à remplir'!$G$31:$G$400,"lots"),SUMIFS('Étape 1 - à remplir'!$F$31:$F$400,'Étape 1 - à remplir'!$E$31:$E$400,MASQ2!BV382,'Étape 1 - à remplir'!$C$31:$C$400,CE$3)),IF(CE$2="Âge",IF(CE$3="Tous",SUMIFS('Étape 1 - à remplir'!$F$31:$F$400,'Étape 1 - à remplir'!$E$31:$E$400,MASQ2!BV382,'Étape 1 - à remplir'!$G$31:$G$400,"lots"),SUMIFS('Étape 1 - à remplir'!$F$31:$F$400,'Étape 1 - à remplir'!$E$31:$E$400,MASQ2!BV382,'Étape 1 - à remplir'!$P$31:$P$400,CE$3,'Étape 1 - à remplir'!$G$31:$G$400,"lots")),IF(CE$2="Atelier",IF(CE$3="Tous",SUMIFS('Étape 1 - à remplir'!$F$31:$F$400,'Étape 1 - à remplir'!$E$31:$E$400,MASQ2!BV382,'Étape 1 - à remplir'!$G$31:$G$400,"lots"),SUMIFS('Étape 1 - à remplir'!$F$31:$F$400,'Étape 1 - à remplir'!$E$31:$E$400,MASQ2!BV382,'Étape 1 - à remplir'!$O$31:$O$400,CE$3,'Étape 1 - à remplir'!$G$31:$G$400,"lots")),IF(CE$2="Espèce",IF(CE$3="Toutes",SUMIFS('Étape 1 - à remplir'!$F$31:$F$400,'Étape 1 - à remplir'!$E$31:$E$400,MASQ2!BV382,'Étape 1 - à remplir'!$G$31:$G$400,"lots"),SUMIFS('Étape 1 - à remplir'!$F$31:$F$400,'Étape 1 - à remplir'!$E$31:$E$400,MASQ2!BV382,'Étape 1 - à remplir'!$N$31:$N$400,CE$3,'Étape 1 - à remplir'!$G$31:$G$400,"lots"))))))=0,NA(),IF(CE$2="Catégorie",IF(CE$3="Toutes",SUMIFS('Étape 1 - à remplir'!$F$31:$F$400,'Étape 1 - à remplir'!$E$31:$E$400,MASQ2!BV382,'Étape 1 - à remplir'!$G$31:$G$400,"lots"),SUMIFS('Étape 1 - à remplir'!$F$31:$F$400,'Étape 1 - à remplir'!$E$31:$E$400,MASQ2!BV382,'Étape 1 - à remplir'!$C$31:$C$400,CE$3)),IF(CE$2="Âge",IF(CE$3="Tous",SUMIFS('Étape 1 - à remplir'!$F$31:$F$400,'Étape 1 - à remplir'!$E$31:$E$400,MASQ2!BV382,'Étape 1 - à remplir'!$G$31:$G$400,"lots"),SUMIFS('Étape 1 - à remplir'!$F$31:$F$400,'Étape 1 - à remplir'!$E$31:$E$400,MASQ2!BV382,'Étape 1 - à remplir'!$P$31:$P$400,CE$3,'Étape 1 - à remplir'!$G$31:$G$400,"lots")),IF(CE$2="Atelier",IF(CE$3="Tous",SUMIFS('Étape 1 - à remplir'!$F$31:$F$400,'Étape 1 - à remplir'!$E$31:$E$400,MASQ2!BV382,'Étape 1 - à remplir'!$G$31:$G$400,"lots"),SUMIFS('Étape 1 - à remplir'!$F$31:$F$400,'Étape 1 - à remplir'!$E$31:$E$400,MASQ2!BV382,'Étape 1 - à remplir'!$O$31:$O$400,CE$3,'Étape 1 - à remplir'!$G$31:$G$400,"lots")),IF(CE$2="Espèce",IF(CE$3="Toutes",SUMIFS('Étape 1 - à remplir'!$F$31:$F$400,'Étape 1 - à remplir'!$E$31:$E$400,MASQ2!BV382,'Étape 1 - à remplir'!$G$31:$G$400,"lots"),SUMIFS('Étape 1 - à remplir'!$F$31:$F$400,'Étape 1 - à remplir'!$E$31:$E$400,MASQ2!BV382,'Étape 1 - à remplir'!$N$31:$N$400,CE$3,'Étape 1 - à remplir'!$G$31:$G$400,"lots")))))))</f>
        <v>#N/A</v>
      </c>
      <c r="BX382">
        <f t="shared" si="258"/>
        <v>0</v>
      </c>
      <c r="BY382" t="str">
        <f t="shared" si="242"/>
        <v>Sulfadiazine</v>
      </c>
      <c r="BZ382" t="str">
        <f t="shared" si="243"/>
        <v>Triméthoprime</v>
      </c>
      <c r="CA382" t="str">
        <f t="shared" si="244"/>
        <v/>
      </c>
      <c r="CB382" t="str">
        <f t="shared" si="245"/>
        <v>Sulfamides</v>
      </c>
      <c r="CC382" t="str">
        <f t="shared" si="246"/>
        <v>Trimethoprime</v>
      </c>
      <c r="CD382" s="63" t="str">
        <f t="shared" si="247"/>
        <v/>
      </c>
      <c r="CG382" s="42">
        <v>379</v>
      </c>
      <c r="CH382" s="42" t="e">
        <f t="shared" si="263"/>
        <v>#N/A</v>
      </c>
      <c r="CI382" s="63" t="e">
        <f t="shared" si="264"/>
        <v>#N/A</v>
      </c>
      <c r="DM382" s="63"/>
      <c r="EA382" s="194" t="str">
        <f t="shared" ca="1" si="248"/>
        <v/>
      </c>
      <c r="EB382" s="226" t="str">
        <f>IFERROR(IF(ED382=0,"",COUNTIF(ED$4:ED$600,"&gt;"&amp;ED382)+COUNTIF(ED$4:ED382,ED382)),"")</f>
        <v/>
      </c>
      <c r="EC382" t="str">
        <f t="shared" si="249"/>
        <v>PM 113 C60/M30</v>
      </c>
      <c r="ED382" t="e">
        <f>IF(IF(EL$2="Catégorie",IF(EL$3="Toutes",SUMIFS('Étape 1 - à remplir'!$F$31:$F$400,'Étape 1 - à remplir'!$E$31:$E$400,MASQ2!EC382,'Étape 1 - à remplir'!$G$31:$G$400,"kg"),SUMIFS('Étape 1 - à remplir'!$F$31:$F$400,'Étape 1 - à remplir'!$E$31:$E$400,MASQ2!EC382,'Étape 1 - à remplir'!$C$31:$C$400,EL$3)),IF(EL$2="Âge",IF(EL$3="Tous",SUMIFS('Étape 1 - à remplir'!$F$31:$F$400,'Étape 1 - à remplir'!$E$31:$E$400,MASQ2!EC382,'Étape 1 - à remplir'!$G$31:$G$400,"kg"),SUMIFS('Étape 1 - à remplir'!$F$31:$F$400,'Étape 1 - à remplir'!$E$31:$E$400,MASQ2!EC382,'Étape 1 - à remplir'!$P$31:$P$400,EL$3,'Étape 1 - à remplir'!$G$31:$G$400,"kg")),IF(EL$2="Atelier",IF(EL$3="Tous",SUMIFS('Étape 1 - à remplir'!$F$31:$F$400,'Étape 1 - à remplir'!$E$31:$E$400,MASQ2!EC382,'Étape 1 - à remplir'!$G$31:$G$400,"kg"),SUMIFS('Étape 1 - à remplir'!$F$31:$F$400,'Étape 1 - à remplir'!$E$31:$E$400,MASQ2!EC382,'Étape 1 - à remplir'!$O$31:$O$400,EL$3,'Étape 1 - à remplir'!$G$31:$G$400,"kg")),IF(EL$2="Espèce",IF(EL$3="Toutes",SUMIFS('Étape 1 - à remplir'!$F$31:$F$400,'Étape 1 - à remplir'!$E$31:$E$400,MASQ2!EC382,'Étape 1 - à remplir'!$G$31:$G$400,"kg"),SUMIFS('Étape 1 - à remplir'!$F$31:$F$400,'Étape 1 - à remplir'!$E$31:$E$400,MASQ2!EC382,'Étape 1 - à remplir'!$N$31:$N$400,EL$3,'Étape 1 - à remplir'!$G$31:$G$400,"kg"))))))=0,NA(),IF(EL$2="Catégorie",IF(EL$3="Toutes",SUMIFS('Étape 1 - à remplir'!$F$31:$F$400,'Étape 1 - à remplir'!$E$31:$E$400,MASQ2!EC382,'Étape 1 - à remplir'!$G$31:$G$400,"kg"),SUMIFS('Étape 1 - à remplir'!$F$31:$F$400,'Étape 1 - à remplir'!$E$31:$E$400,MASQ2!EC382,'Étape 1 - à remplir'!$C$31:$C$400,EL$3)),IF(EL$2="Âge",IF(EL$3="Tous",SUMIFS('Étape 1 - à remplir'!$F$31:$F$400,'Étape 1 - à remplir'!$E$31:$E$400,MASQ2!EC382,'Étape 1 - à remplir'!$G$31:$G$400,"kg"),SUMIFS('Étape 1 - à remplir'!$F$31:$F$400,'Étape 1 - à remplir'!$E$31:$E$400,MASQ2!EC382,'Étape 1 - à remplir'!$P$31:$P$400,EL$3,'Étape 1 - à remplir'!$G$31:$G$400,"kg")),IF(EL$2="Atelier",IF(EL$3="Tous",SUMIFS('Étape 1 - à remplir'!$F$31:$F$400,'Étape 1 - à remplir'!$E$31:$E$400,MASQ2!EC382,'Étape 1 - à remplir'!$G$31:$G$400,"kg"),SUMIFS('Étape 1 - à remplir'!$F$31:$F$400,'Étape 1 - à remplir'!$E$31:$E$400,MASQ2!EC382,'Étape 1 - à remplir'!$O$31:$O$400,EL$3,'Étape 1 - à remplir'!$G$31:$G$400,"kg")),IF(EL$2="Espèce",IF(EL$3="Toutes",SUMIFS('Étape 1 - à remplir'!$F$31:$F$400,'Étape 1 - à remplir'!$E$31:$E$400,MASQ2!EC382,'Étape 1 - à remplir'!$G$31:$G$400,"kg"),SUMIFS('Étape 1 - à remplir'!$F$31:$F$400,'Étape 1 - à remplir'!$E$31:$E$400,MASQ2!EC382,'Étape 1 - à remplir'!$N$31:$N$400,EL$3,'Étape 1 - à remplir'!$G$31:$G$400,"kg")))))))</f>
        <v>#N/A</v>
      </c>
      <c r="EE382" s="76">
        <f t="shared" si="259"/>
        <v>0</v>
      </c>
      <c r="EF382" t="str">
        <f t="shared" si="250"/>
        <v>Sulfadiazine</v>
      </c>
      <c r="EG382" t="str">
        <f t="shared" si="251"/>
        <v>Triméthoprime</v>
      </c>
      <c r="EH382" t="str">
        <f t="shared" si="252"/>
        <v/>
      </c>
      <c r="EI382" t="str">
        <f t="shared" si="253"/>
        <v>Sulfamides</v>
      </c>
      <c r="EJ382" t="str">
        <f t="shared" si="254"/>
        <v>Trimethoprime</v>
      </c>
      <c r="EK382" s="63" t="str">
        <f t="shared" si="255"/>
        <v/>
      </c>
      <c r="EN382" s="42">
        <v>379</v>
      </c>
      <c r="EO382" t="e">
        <f t="shared" si="261"/>
        <v>#N/A</v>
      </c>
      <c r="EP382" s="63" t="e">
        <f t="shared" si="262"/>
        <v>#N/A</v>
      </c>
      <c r="FT382" s="63"/>
    </row>
    <row r="383" spans="2:176" x14ac:dyDescent="0.3">
      <c r="B383" s="42"/>
      <c r="M383" s="194" t="str">
        <f ca="1">INDEX(Données_ATB!BD:BU,MATCH(MASQ2!O383,Données_ATB!BD:BD,0),18)</f>
        <v/>
      </c>
      <c r="N383" s="14" t="str">
        <f>IFERROR(IF(Q383=0,"",COUNTIF(Q$4:Q$600,"&gt;"&amp;Q383)+COUNTIF(Q$4:Q383,Q383)),"")</f>
        <v/>
      </c>
      <c r="O383" t="str">
        <f>Données_ATB!BD382</f>
        <v>PM 113 LACT</v>
      </c>
      <c r="P383" t="e">
        <f>IF(IF(X$2="Catégorie",IF(X$3="Toutes",SUMIFS('Étape 1 - à remplir'!$F$31:$F$400,'Étape 1 - à remplir'!$E$31:$E$400,MASQ2!O383,'Étape 1 - à remplir'!$G$31:$G$400,"animaux"),SUMIFS('Étape 1 - à remplir'!$F$31:$F$400,'Étape 1 - à remplir'!$E$31:$E$400,MASQ2!O383,'Étape 1 - à remplir'!$C$31:$C$400,X$3)),IF(X$2="Âge",IF(X$3="Tous",SUMIFS('Étape 1 - à remplir'!$F$31:$F$400,'Étape 1 - à remplir'!$E$31:$E$400,MASQ2!O383,'Étape 1 - à remplir'!$G$31:$G$400,"animaux"),SUMIFS('Étape 1 - à remplir'!$F$31:$F$400,'Étape 1 - à remplir'!$E$31:$E$400,MASQ2!O383,'Étape 1 - à remplir'!$P$31:$P$400,X$3)),IF(X$2="Atelier",IF(X$3="Tous",SUMIFS('Étape 1 - à remplir'!$F$31:$F$400,'Étape 1 - à remplir'!$E$31:$E$400,MASQ2!O383,'Étape 1 - à remplir'!$G$31:$G$400,"animaux"),SUMIFS('Étape 1 - à remplir'!$F$31:$F$400,'Étape 1 - à remplir'!$E$31:$E$400,MASQ2!O383,'Étape 1 - à remplir'!$O$31:$O$400,X$3)),IF(X$2="Espèce",IF(X$3="Toutes",SUMIFS('Étape 1 - à remplir'!$F$31:$F$400,'Étape 1 - à remplir'!$E$31:$E$400,MASQ2!O383,'Étape 1 - à remplir'!$G$31:$G$400,"animaux"),SUMIFS('Étape 1 - à remplir'!$F$31:$F$400,'Étape 1 - à remplir'!$E$31:$E$400,MASQ2!O383,'Étape 1 - à remplir'!$N$31:$N$400,X$3))))))=0,NA(),IF(X$2="Catégorie",IF(X$3="Toutes",SUMIFS('Étape 1 - à remplir'!$F$31:$F$400,'Étape 1 - à remplir'!$E$31:$E$400,MASQ2!O383,'Étape 1 - à remplir'!$G$31:$G$400,"animaux"),SUMIFS('Étape 1 - à remplir'!$F$31:$F$400,'Étape 1 - à remplir'!$E$31:$E$400,MASQ2!O383,'Étape 1 - à remplir'!$C$31:$C$400,X$3)),IF(X$2="Âge",IF(X$3="Tous",SUMIFS('Étape 1 - à remplir'!$F$31:$F$400,'Étape 1 - à remplir'!$E$31:$E$400,MASQ2!O383,'Étape 1 - à remplir'!$G$31:$G$400,"animaux"),SUMIFS('Étape 1 - à remplir'!$F$31:$F$400,'Étape 1 - à remplir'!$E$31:$E$400,MASQ2!O383,'Étape 1 - à remplir'!$P$31:$P$400,X$3)),IF(X$2="Atelier",IF(X$3="Tous",SUMIFS('Étape 1 - à remplir'!$F$31:$F$400,'Étape 1 - à remplir'!$E$31:$E$400,MASQ2!O383,'Étape 1 - à remplir'!$G$31:$G$400,"animaux"),SUMIFS('Étape 1 - à remplir'!$F$31:$F$400,'Étape 1 - à remplir'!$E$31:$E$400,MASQ2!O383,'Étape 1 - à remplir'!$O$31:$O$400,X$3)),IF(X$2="Espèce",IF(X$3="Toutes",SUMIFS('Étape 1 - à remplir'!$F$31:$F$400,'Étape 1 - à remplir'!$E$31:$E$400,MASQ2!O383,'Étape 1 - à remplir'!$G$31:$G$400,"animaux"),SUMIFS('Étape 1 - à remplir'!$F$31:$F$400,'Étape 1 - à remplir'!$E$31:$E$400,MASQ2!O383,'Étape 1 - à remplir'!$N$31:$N$400,X$3)))))))</f>
        <v>#N/A</v>
      </c>
      <c r="Q383" s="63">
        <f t="shared" si="260"/>
        <v>0</v>
      </c>
      <c r="R383" t="str">
        <f>Données_ATB!BM382</f>
        <v>Sulfadiazine</v>
      </c>
      <c r="S383" t="str">
        <f>Données_ATB!BN382</f>
        <v>Triméthoprime</v>
      </c>
      <c r="T383" s="63" t="str">
        <f>Données_ATB!BO382</f>
        <v/>
      </c>
      <c r="U383" s="42" t="str">
        <f>Données_ATB!BQ382</f>
        <v>Sulfamides</v>
      </c>
      <c r="V383" t="str">
        <f>Données_ATB!BR382</f>
        <v>Trimethoprime</v>
      </c>
      <c r="W383" s="63" t="str">
        <f>Données_ATB!BS382</f>
        <v/>
      </c>
      <c r="Z383" s="42">
        <v>380</v>
      </c>
      <c r="AA383" t="e">
        <f t="shared" si="256"/>
        <v>#N/A</v>
      </c>
      <c r="AB383" s="63" t="e">
        <f t="shared" si="257"/>
        <v>#N/A</v>
      </c>
      <c r="BF383" s="63"/>
      <c r="BT383" s="194" t="str">
        <f t="shared" ca="1" si="240"/>
        <v/>
      </c>
      <c r="BU383" s="219" t="str">
        <f>IFERROR(IF(BX383=0,"",COUNTIF(BX$4:BX$600,"&gt;"&amp;BX383)+COUNTIF(BX$4:BX383,BX383)),"")</f>
        <v/>
      </c>
      <c r="BV383" s="42" t="str">
        <f t="shared" si="241"/>
        <v>PM 113 LACT</v>
      </c>
      <c r="BW383" t="e">
        <f>IF(IF(CE$2="Catégorie",IF(CE$3="Toutes",SUMIFS('Étape 1 - à remplir'!$F$31:$F$400,'Étape 1 - à remplir'!$E$31:$E$400,MASQ2!BV383,'Étape 1 - à remplir'!$G$31:$G$400,"lots"),SUMIFS('Étape 1 - à remplir'!$F$31:$F$400,'Étape 1 - à remplir'!$E$31:$E$400,MASQ2!BV383,'Étape 1 - à remplir'!$C$31:$C$400,CE$3)),IF(CE$2="Âge",IF(CE$3="Tous",SUMIFS('Étape 1 - à remplir'!$F$31:$F$400,'Étape 1 - à remplir'!$E$31:$E$400,MASQ2!BV383,'Étape 1 - à remplir'!$G$31:$G$400,"lots"),SUMIFS('Étape 1 - à remplir'!$F$31:$F$400,'Étape 1 - à remplir'!$E$31:$E$400,MASQ2!BV383,'Étape 1 - à remplir'!$P$31:$P$400,CE$3,'Étape 1 - à remplir'!$G$31:$G$400,"lots")),IF(CE$2="Atelier",IF(CE$3="Tous",SUMIFS('Étape 1 - à remplir'!$F$31:$F$400,'Étape 1 - à remplir'!$E$31:$E$400,MASQ2!BV383,'Étape 1 - à remplir'!$G$31:$G$400,"lots"),SUMIFS('Étape 1 - à remplir'!$F$31:$F$400,'Étape 1 - à remplir'!$E$31:$E$400,MASQ2!BV383,'Étape 1 - à remplir'!$O$31:$O$400,CE$3,'Étape 1 - à remplir'!$G$31:$G$400,"lots")),IF(CE$2="Espèce",IF(CE$3="Toutes",SUMIFS('Étape 1 - à remplir'!$F$31:$F$400,'Étape 1 - à remplir'!$E$31:$E$400,MASQ2!BV383,'Étape 1 - à remplir'!$G$31:$G$400,"lots"),SUMIFS('Étape 1 - à remplir'!$F$31:$F$400,'Étape 1 - à remplir'!$E$31:$E$400,MASQ2!BV383,'Étape 1 - à remplir'!$N$31:$N$400,CE$3,'Étape 1 - à remplir'!$G$31:$G$400,"lots"))))))=0,NA(),IF(CE$2="Catégorie",IF(CE$3="Toutes",SUMIFS('Étape 1 - à remplir'!$F$31:$F$400,'Étape 1 - à remplir'!$E$31:$E$400,MASQ2!BV383,'Étape 1 - à remplir'!$G$31:$G$400,"lots"),SUMIFS('Étape 1 - à remplir'!$F$31:$F$400,'Étape 1 - à remplir'!$E$31:$E$400,MASQ2!BV383,'Étape 1 - à remplir'!$C$31:$C$400,CE$3)),IF(CE$2="Âge",IF(CE$3="Tous",SUMIFS('Étape 1 - à remplir'!$F$31:$F$400,'Étape 1 - à remplir'!$E$31:$E$400,MASQ2!BV383,'Étape 1 - à remplir'!$G$31:$G$400,"lots"),SUMIFS('Étape 1 - à remplir'!$F$31:$F$400,'Étape 1 - à remplir'!$E$31:$E$400,MASQ2!BV383,'Étape 1 - à remplir'!$P$31:$P$400,CE$3,'Étape 1 - à remplir'!$G$31:$G$400,"lots")),IF(CE$2="Atelier",IF(CE$3="Tous",SUMIFS('Étape 1 - à remplir'!$F$31:$F$400,'Étape 1 - à remplir'!$E$31:$E$400,MASQ2!BV383,'Étape 1 - à remplir'!$G$31:$G$400,"lots"),SUMIFS('Étape 1 - à remplir'!$F$31:$F$400,'Étape 1 - à remplir'!$E$31:$E$400,MASQ2!BV383,'Étape 1 - à remplir'!$O$31:$O$400,CE$3,'Étape 1 - à remplir'!$G$31:$G$400,"lots")),IF(CE$2="Espèce",IF(CE$3="Toutes",SUMIFS('Étape 1 - à remplir'!$F$31:$F$400,'Étape 1 - à remplir'!$E$31:$E$400,MASQ2!BV383,'Étape 1 - à remplir'!$G$31:$G$400,"lots"),SUMIFS('Étape 1 - à remplir'!$F$31:$F$400,'Étape 1 - à remplir'!$E$31:$E$400,MASQ2!BV383,'Étape 1 - à remplir'!$N$31:$N$400,CE$3,'Étape 1 - à remplir'!$G$31:$G$400,"lots")))))))</f>
        <v>#N/A</v>
      </c>
      <c r="BX383">
        <f t="shared" si="258"/>
        <v>0</v>
      </c>
      <c r="BY383" t="str">
        <f t="shared" si="242"/>
        <v>Sulfadiazine</v>
      </c>
      <c r="BZ383" t="str">
        <f t="shared" si="243"/>
        <v>Triméthoprime</v>
      </c>
      <c r="CA383" t="str">
        <f t="shared" si="244"/>
        <v/>
      </c>
      <c r="CB383" t="str">
        <f t="shared" si="245"/>
        <v>Sulfamides</v>
      </c>
      <c r="CC383" t="str">
        <f t="shared" si="246"/>
        <v>Trimethoprime</v>
      </c>
      <c r="CD383" s="63" t="str">
        <f t="shared" si="247"/>
        <v/>
      </c>
      <c r="CG383" s="42">
        <v>380</v>
      </c>
      <c r="CH383" s="42" t="e">
        <f t="shared" si="263"/>
        <v>#N/A</v>
      </c>
      <c r="CI383" s="63" t="e">
        <f t="shared" si="264"/>
        <v>#N/A</v>
      </c>
      <c r="DM383" s="63"/>
      <c r="EA383" s="194" t="str">
        <f t="shared" ca="1" si="248"/>
        <v/>
      </c>
      <c r="EB383" s="226" t="str">
        <f>IFERROR(IF(ED383=0,"",COUNTIF(ED$4:ED$600,"&gt;"&amp;ED383)+COUNTIF(ED$4:ED383,ED383)),"")</f>
        <v/>
      </c>
      <c r="EC383" t="str">
        <f t="shared" si="249"/>
        <v>PM 113 LACT</v>
      </c>
      <c r="ED383" t="e">
        <f>IF(IF(EL$2="Catégorie",IF(EL$3="Toutes",SUMIFS('Étape 1 - à remplir'!$F$31:$F$400,'Étape 1 - à remplir'!$E$31:$E$400,MASQ2!EC383,'Étape 1 - à remplir'!$G$31:$G$400,"kg"),SUMIFS('Étape 1 - à remplir'!$F$31:$F$400,'Étape 1 - à remplir'!$E$31:$E$400,MASQ2!EC383,'Étape 1 - à remplir'!$C$31:$C$400,EL$3)),IF(EL$2="Âge",IF(EL$3="Tous",SUMIFS('Étape 1 - à remplir'!$F$31:$F$400,'Étape 1 - à remplir'!$E$31:$E$400,MASQ2!EC383,'Étape 1 - à remplir'!$G$31:$G$400,"kg"),SUMIFS('Étape 1 - à remplir'!$F$31:$F$400,'Étape 1 - à remplir'!$E$31:$E$400,MASQ2!EC383,'Étape 1 - à remplir'!$P$31:$P$400,EL$3,'Étape 1 - à remplir'!$G$31:$G$400,"kg")),IF(EL$2="Atelier",IF(EL$3="Tous",SUMIFS('Étape 1 - à remplir'!$F$31:$F$400,'Étape 1 - à remplir'!$E$31:$E$400,MASQ2!EC383,'Étape 1 - à remplir'!$G$31:$G$400,"kg"),SUMIFS('Étape 1 - à remplir'!$F$31:$F$400,'Étape 1 - à remplir'!$E$31:$E$400,MASQ2!EC383,'Étape 1 - à remplir'!$O$31:$O$400,EL$3,'Étape 1 - à remplir'!$G$31:$G$400,"kg")),IF(EL$2="Espèce",IF(EL$3="Toutes",SUMIFS('Étape 1 - à remplir'!$F$31:$F$400,'Étape 1 - à remplir'!$E$31:$E$400,MASQ2!EC383,'Étape 1 - à remplir'!$G$31:$G$400,"kg"),SUMIFS('Étape 1 - à remplir'!$F$31:$F$400,'Étape 1 - à remplir'!$E$31:$E$400,MASQ2!EC383,'Étape 1 - à remplir'!$N$31:$N$400,EL$3,'Étape 1 - à remplir'!$G$31:$G$400,"kg"))))))=0,NA(),IF(EL$2="Catégorie",IF(EL$3="Toutes",SUMIFS('Étape 1 - à remplir'!$F$31:$F$400,'Étape 1 - à remplir'!$E$31:$E$400,MASQ2!EC383,'Étape 1 - à remplir'!$G$31:$G$400,"kg"),SUMIFS('Étape 1 - à remplir'!$F$31:$F$400,'Étape 1 - à remplir'!$E$31:$E$400,MASQ2!EC383,'Étape 1 - à remplir'!$C$31:$C$400,EL$3)),IF(EL$2="Âge",IF(EL$3="Tous",SUMIFS('Étape 1 - à remplir'!$F$31:$F$400,'Étape 1 - à remplir'!$E$31:$E$400,MASQ2!EC383,'Étape 1 - à remplir'!$G$31:$G$400,"kg"),SUMIFS('Étape 1 - à remplir'!$F$31:$F$400,'Étape 1 - à remplir'!$E$31:$E$400,MASQ2!EC383,'Étape 1 - à remplir'!$P$31:$P$400,EL$3,'Étape 1 - à remplir'!$G$31:$G$400,"kg")),IF(EL$2="Atelier",IF(EL$3="Tous",SUMIFS('Étape 1 - à remplir'!$F$31:$F$400,'Étape 1 - à remplir'!$E$31:$E$400,MASQ2!EC383,'Étape 1 - à remplir'!$G$31:$G$400,"kg"),SUMIFS('Étape 1 - à remplir'!$F$31:$F$400,'Étape 1 - à remplir'!$E$31:$E$400,MASQ2!EC383,'Étape 1 - à remplir'!$O$31:$O$400,EL$3,'Étape 1 - à remplir'!$G$31:$G$400,"kg")),IF(EL$2="Espèce",IF(EL$3="Toutes",SUMIFS('Étape 1 - à remplir'!$F$31:$F$400,'Étape 1 - à remplir'!$E$31:$E$400,MASQ2!EC383,'Étape 1 - à remplir'!$G$31:$G$400,"kg"),SUMIFS('Étape 1 - à remplir'!$F$31:$F$400,'Étape 1 - à remplir'!$E$31:$E$400,MASQ2!EC383,'Étape 1 - à remplir'!$N$31:$N$400,EL$3,'Étape 1 - à remplir'!$G$31:$G$400,"kg")))))))</f>
        <v>#N/A</v>
      </c>
      <c r="EE383" s="76">
        <f t="shared" si="259"/>
        <v>0</v>
      </c>
      <c r="EF383" t="str">
        <f t="shared" si="250"/>
        <v>Sulfadiazine</v>
      </c>
      <c r="EG383" t="str">
        <f t="shared" si="251"/>
        <v>Triméthoprime</v>
      </c>
      <c r="EH383" t="str">
        <f t="shared" si="252"/>
        <v/>
      </c>
      <c r="EI383" t="str">
        <f t="shared" si="253"/>
        <v>Sulfamides</v>
      </c>
      <c r="EJ383" t="str">
        <f t="shared" si="254"/>
        <v>Trimethoprime</v>
      </c>
      <c r="EK383" s="63" t="str">
        <f t="shared" si="255"/>
        <v/>
      </c>
      <c r="EN383" s="42">
        <v>380</v>
      </c>
      <c r="EO383" t="e">
        <f t="shared" si="261"/>
        <v>#N/A</v>
      </c>
      <c r="EP383" s="63" t="e">
        <f t="shared" si="262"/>
        <v>#N/A</v>
      </c>
      <c r="FT383" s="63"/>
    </row>
    <row r="384" spans="2:176" x14ac:dyDescent="0.3">
      <c r="B384" s="42"/>
      <c r="M384" s="194" t="str">
        <f ca="1">INDEX(Données_ATB!BD:BU,MATCH(MASQ2!O384,Données_ATB!BD:BD,0),18)</f>
        <v>x</v>
      </c>
      <c r="N384" s="14" t="str">
        <f>IFERROR(IF(Q384=0,"",COUNTIF(Q$4:Q$600,"&gt;"&amp;Q384)+COUNTIF(Q$4:Q384,Q384)),"")</f>
        <v/>
      </c>
      <c r="O384" t="str">
        <f>Données_ATB!BD383</f>
        <v>PM 11-B COLISTINE 400 PORC-AGNEAU ET CHEVREAU SEVRES</v>
      </c>
      <c r="P384" t="e">
        <f>IF(IF(X$2="Catégorie",IF(X$3="Toutes",SUMIFS('Étape 1 - à remplir'!$F$31:$F$400,'Étape 1 - à remplir'!$E$31:$E$400,MASQ2!O384,'Étape 1 - à remplir'!$G$31:$G$400,"animaux"),SUMIFS('Étape 1 - à remplir'!$F$31:$F$400,'Étape 1 - à remplir'!$E$31:$E$400,MASQ2!O384,'Étape 1 - à remplir'!$C$31:$C$400,X$3)),IF(X$2="Âge",IF(X$3="Tous",SUMIFS('Étape 1 - à remplir'!$F$31:$F$400,'Étape 1 - à remplir'!$E$31:$E$400,MASQ2!O384,'Étape 1 - à remplir'!$G$31:$G$400,"animaux"),SUMIFS('Étape 1 - à remplir'!$F$31:$F$400,'Étape 1 - à remplir'!$E$31:$E$400,MASQ2!O384,'Étape 1 - à remplir'!$P$31:$P$400,X$3)),IF(X$2="Atelier",IF(X$3="Tous",SUMIFS('Étape 1 - à remplir'!$F$31:$F$400,'Étape 1 - à remplir'!$E$31:$E$400,MASQ2!O384,'Étape 1 - à remplir'!$G$31:$G$400,"animaux"),SUMIFS('Étape 1 - à remplir'!$F$31:$F$400,'Étape 1 - à remplir'!$E$31:$E$400,MASQ2!O384,'Étape 1 - à remplir'!$O$31:$O$400,X$3)),IF(X$2="Espèce",IF(X$3="Toutes",SUMIFS('Étape 1 - à remplir'!$F$31:$F$400,'Étape 1 - à remplir'!$E$31:$E$400,MASQ2!O384,'Étape 1 - à remplir'!$G$31:$G$400,"animaux"),SUMIFS('Étape 1 - à remplir'!$F$31:$F$400,'Étape 1 - à remplir'!$E$31:$E$400,MASQ2!O384,'Étape 1 - à remplir'!$N$31:$N$400,X$3))))))=0,NA(),IF(X$2="Catégorie",IF(X$3="Toutes",SUMIFS('Étape 1 - à remplir'!$F$31:$F$400,'Étape 1 - à remplir'!$E$31:$E$400,MASQ2!O384,'Étape 1 - à remplir'!$G$31:$G$400,"animaux"),SUMIFS('Étape 1 - à remplir'!$F$31:$F$400,'Étape 1 - à remplir'!$E$31:$E$400,MASQ2!O384,'Étape 1 - à remplir'!$C$31:$C$400,X$3)),IF(X$2="Âge",IF(X$3="Tous",SUMIFS('Étape 1 - à remplir'!$F$31:$F$400,'Étape 1 - à remplir'!$E$31:$E$400,MASQ2!O384,'Étape 1 - à remplir'!$G$31:$G$400,"animaux"),SUMIFS('Étape 1 - à remplir'!$F$31:$F$400,'Étape 1 - à remplir'!$E$31:$E$400,MASQ2!O384,'Étape 1 - à remplir'!$P$31:$P$400,X$3)),IF(X$2="Atelier",IF(X$3="Tous",SUMIFS('Étape 1 - à remplir'!$F$31:$F$400,'Étape 1 - à remplir'!$E$31:$E$400,MASQ2!O384,'Étape 1 - à remplir'!$G$31:$G$400,"animaux"),SUMIFS('Étape 1 - à remplir'!$F$31:$F$400,'Étape 1 - à remplir'!$E$31:$E$400,MASQ2!O384,'Étape 1 - à remplir'!$O$31:$O$400,X$3)),IF(X$2="Espèce",IF(X$3="Toutes",SUMIFS('Étape 1 - à remplir'!$F$31:$F$400,'Étape 1 - à remplir'!$E$31:$E$400,MASQ2!O384,'Étape 1 - à remplir'!$G$31:$G$400,"animaux"),SUMIFS('Étape 1 - à remplir'!$F$31:$F$400,'Étape 1 - à remplir'!$E$31:$E$400,MASQ2!O384,'Étape 1 - à remplir'!$N$31:$N$400,X$3)))))))</f>
        <v>#N/A</v>
      </c>
      <c r="Q384" s="63">
        <f t="shared" si="260"/>
        <v>0</v>
      </c>
      <c r="R384" t="str">
        <f>Données_ATB!BM383</f>
        <v>Colistine</v>
      </c>
      <c r="S384" t="str">
        <f>Données_ATB!BN383</f>
        <v/>
      </c>
      <c r="T384" s="63" t="str">
        <f>Données_ATB!BO383</f>
        <v/>
      </c>
      <c r="U384" s="42" t="str">
        <f>Données_ATB!BQ383</f>
        <v>Polypeptides</v>
      </c>
      <c r="V384" t="str">
        <f>Données_ATB!BR383</f>
        <v/>
      </c>
      <c r="W384" s="63" t="str">
        <f>Données_ATB!BS383</f>
        <v/>
      </c>
      <c r="Z384" s="42">
        <v>381</v>
      </c>
      <c r="AA384" t="e">
        <f t="shared" si="256"/>
        <v>#N/A</v>
      </c>
      <c r="AB384" s="63" t="e">
        <f t="shared" si="257"/>
        <v>#N/A</v>
      </c>
      <c r="BF384" s="63"/>
      <c r="BT384" s="194" t="str">
        <f t="shared" ca="1" si="240"/>
        <v>x</v>
      </c>
      <c r="BU384" s="219" t="str">
        <f>IFERROR(IF(BX384=0,"",COUNTIF(BX$4:BX$600,"&gt;"&amp;BX384)+COUNTIF(BX$4:BX384,BX384)),"")</f>
        <v/>
      </c>
      <c r="BV384" s="42" t="str">
        <f t="shared" si="241"/>
        <v>PM 11-B COLISTINE 400 PORC-AGNEAU ET CHEVREAU SEVRES</v>
      </c>
      <c r="BW384" t="e">
        <f>IF(IF(CE$2="Catégorie",IF(CE$3="Toutes",SUMIFS('Étape 1 - à remplir'!$F$31:$F$400,'Étape 1 - à remplir'!$E$31:$E$400,MASQ2!BV384,'Étape 1 - à remplir'!$G$31:$G$400,"lots"),SUMIFS('Étape 1 - à remplir'!$F$31:$F$400,'Étape 1 - à remplir'!$E$31:$E$400,MASQ2!BV384,'Étape 1 - à remplir'!$C$31:$C$400,CE$3)),IF(CE$2="Âge",IF(CE$3="Tous",SUMIFS('Étape 1 - à remplir'!$F$31:$F$400,'Étape 1 - à remplir'!$E$31:$E$400,MASQ2!BV384,'Étape 1 - à remplir'!$G$31:$G$400,"lots"),SUMIFS('Étape 1 - à remplir'!$F$31:$F$400,'Étape 1 - à remplir'!$E$31:$E$400,MASQ2!BV384,'Étape 1 - à remplir'!$P$31:$P$400,CE$3,'Étape 1 - à remplir'!$G$31:$G$400,"lots")),IF(CE$2="Atelier",IF(CE$3="Tous",SUMIFS('Étape 1 - à remplir'!$F$31:$F$400,'Étape 1 - à remplir'!$E$31:$E$400,MASQ2!BV384,'Étape 1 - à remplir'!$G$31:$G$400,"lots"),SUMIFS('Étape 1 - à remplir'!$F$31:$F$400,'Étape 1 - à remplir'!$E$31:$E$400,MASQ2!BV384,'Étape 1 - à remplir'!$O$31:$O$400,CE$3,'Étape 1 - à remplir'!$G$31:$G$400,"lots")),IF(CE$2="Espèce",IF(CE$3="Toutes",SUMIFS('Étape 1 - à remplir'!$F$31:$F$400,'Étape 1 - à remplir'!$E$31:$E$400,MASQ2!BV384,'Étape 1 - à remplir'!$G$31:$G$400,"lots"),SUMIFS('Étape 1 - à remplir'!$F$31:$F$400,'Étape 1 - à remplir'!$E$31:$E$400,MASQ2!BV384,'Étape 1 - à remplir'!$N$31:$N$400,CE$3,'Étape 1 - à remplir'!$G$31:$G$400,"lots"))))))=0,NA(),IF(CE$2="Catégorie",IF(CE$3="Toutes",SUMIFS('Étape 1 - à remplir'!$F$31:$F$400,'Étape 1 - à remplir'!$E$31:$E$400,MASQ2!BV384,'Étape 1 - à remplir'!$G$31:$G$400,"lots"),SUMIFS('Étape 1 - à remplir'!$F$31:$F$400,'Étape 1 - à remplir'!$E$31:$E$400,MASQ2!BV384,'Étape 1 - à remplir'!$C$31:$C$400,CE$3)),IF(CE$2="Âge",IF(CE$3="Tous",SUMIFS('Étape 1 - à remplir'!$F$31:$F$400,'Étape 1 - à remplir'!$E$31:$E$400,MASQ2!BV384,'Étape 1 - à remplir'!$G$31:$G$400,"lots"),SUMIFS('Étape 1 - à remplir'!$F$31:$F$400,'Étape 1 - à remplir'!$E$31:$E$400,MASQ2!BV384,'Étape 1 - à remplir'!$P$31:$P$400,CE$3,'Étape 1 - à remplir'!$G$31:$G$400,"lots")),IF(CE$2="Atelier",IF(CE$3="Tous",SUMIFS('Étape 1 - à remplir'!$F$31:$F$400,'Étape 1 - à remplir'!$E$31:$E$400,MASQ2!BV384,'Étape 1 - à remplir'!$G$31:$G$400,"lots"),SUMIFS('Étape 1 - à remplir'!$F$31:$F$400,'Étape 1 - à remplir'!$E$31:$E$400,MASQ2!BV384,'Étape 1 - à remplir'!$O$31:$O$400,CE$3,'Étape 1 - à remplir'!$G$31:$G$400,"lots")),IF(CE$2="Espèce",IF(CE$3="Toutes",SUMIFS('Étape 1 - à remplir'!$F$31:$F$400,'Étape 1 - à remplir'!$E$31:$E$400,MASQ2!BV384,'Étape 1 - à remplir'!$G$31:$G$400,"lots"),SUMIFS('Étape 1 - à remplir'!$F$31:$F$400,'Étape 1 - à remplir'!$E$31:$E$400,MASQ2!BV384,'Étape 1 - à remplir'!$N$31:$N$400,CE$3,'Étape 1 - à remplir'!$G$31:$G$400,"lots")))))))</f>
        <v>#N/A</v>
      </c>
      <c r="BX384">
        <f t="shared" si="258"/>
        <v>0</v>
      </c>
      <c r="BY384" t="str">
        <f t="shared" si="242"/>
        <v>Colistine</v>
      </c>
      <c r="BZ384" t="str">
        <f t="shared" si="243"/>
        <v/>
      </c>
      <c r="CA384" t="str">
        <f t="shared" si="244"/>
        <v/>
      </c>
      <c r="CB384" t="str">
        <f t="shared" si="245"/>
        <v>Polypeptides</v>
      </c>
      <c r="CC384" t="str">
        <f t="shared" si="246"/>
        <v/>
      </c>
      <c r="CD384" s="63" t="str">
        <f t="shared" si="247"/>
        <v/>
      </c>
      <c r="CG384" s="42">
        <v>381</v>
      </c>
      <c r="CH384" s="42" t="e">
        <f t="shared" si="263"/>
        <v>#N/A</v>
      </c>
      <c r="CI384" s="63" t="e">
        <f t="shared" si="264"/>
        <v>#N/A</v>
      </c>
      <c r="DM384" s="63"/>
      <c r="EA384" s="194" t="str">
        <f t="shared" ca="1" si="248"/>
        <v>x</v>
      </c>
      <c r="EB384" s="226" t="str">
        <f>IFERROR(IF(ED384=0,"",COUNTIF(ED$4:ED$600,"&gt;"&amp;ED384)+COUNTIF(ED$4:ED384,ED384)),"")</f>
        <v/>
      </c>
      <c r="EC384" t="str">
        <f t="shared" si="249"/>
        <v>PM 11-B COLISTINE 400 PORC-AGNEAU ET CHEVREAU SEVRES</v>
      </c>
      <c r="ED384" t="e">
        <f>IF(IF(EL$2="Catégorie",IF(EL$3="Toutes",SUMIFS('Étape 1 - à remplir'!$F$31:$F$400,'Étape 1 - à remplir'!$E$31:$E$400,MASQ2!EC384,'Étape 1 - à remplir'!$G$31:$G$400,"kg"),SUMIFS('Étape 1 - à remplir'!$F$31:$F$400,'Étape 1 - à remplir'!$E$31:$E$400,MASQ2!EC384,'Étape 1 - à remplir'!$C$31:$C$400,EL$3)),IF(EL$2="Âge",IF(EL$3="Tous",SUMIFS('Étape 1 - à remplir'!$F$31:$F$400,'Étape 1 - à remplir'!$E$31:$E$400,MASQ2!EC384,'Étape 1 - à remplir'!$G$31:$G$400,"kg"),SUMIFS('Étape 1 - à remplir'!$F$31:$F$400,'Étape 1 - à remplir'!$E$31:$E$400,MASQ2!EC384,'Étape 1 - à remplir'!$P$31:$P$400,EL$3,'Étape 1 - à remplir'!$G$31:$G$400,"kg")),IF(EL$2="Atelier",IF(EL$3="Tous",SUMIFS('Étape 1 - à remplir'!$F$31:$F$400,'Étape 1 - à remplir'!$E$31:$E$400,MASQ2!EC384,'Étape 1 - à remplir'!$G$31:$G$400,"kg"),SUMIFS('Étape 1 - à remplir'!$F$31:$F$400,'Étape 1 - à remplir'!$E$31:$E$400,MASQ2!EC384,'Étape 1 - à remplir'!$O$31:$O$400,EL$3,'Étape 1 - à remplir'!$G$31:$G$400,"kg")),IF(EL$2="Espèce",IF(EL$3="Toutes",SUMIFS('Étape 1 - à remplir'!$F$31:$F$400,'Étape 1 - à remplir'!$E$31:$E$400,MASQ2!EC384,'Étape 1 - à remplir'!$G$31:$G$400,"kg"),SUMIFS('Étape 1 - à remplir'!$F$31:$F$400,'Étape 1 - à remplir'!$E$31:$E$400,MASQ2!EC384,'Étape 1 - à remplir'!$N$31:$N$400,EL$3,'Étape 1 - à remplir'!$G$31:$G$400,"kg"))))))=0,NA(),IF(EL$2="Catégorie",IF(EL$3="Toutes",SUMIFS('Étape 1 - à remplir'!$F$31:$F$400,'Étape 1 - à remplir'!$E$31:$E$400,MASQ2!EC384,'Étape 1 - à remplir'!$G$31:$G$400,"kg"),SUMIFS('Étape 1 - à remplir'!$F$31:$F$400,'Étape 1 - à remplir'!$E$31:$E$400,MASQ2!EC384,'Étape 1 - à remplir'!$C$31:$C$400,EL$3)),IF(EL$2="Âge",IF(EL$3="Tous",SUMIFS('Étape 1 - à remplir'!$F$31:$F$400,'Étape 1 - à remplir'!$E$31:$E$400,MASQ2!EC384,'Étape 1 - à remplir'!$G$31:$G$400,"kg"),SUMIFS('Étape 1 - à remplir'!$F$31:$F$400,'Étape 1 - à remplir'!$E$31:$E$400,MASQ2!EC384,'Étape 1 - à remplir'!$P$31:$P$400,EL$3,'Étape 1 - à remplir'!$G$31:$G$400,"kg")),IF(EL$2="Atelier",IF(EL$3="Tous",SUMIFS('Étape 1 - à remplir'!$F$31:$F$400,'Étape 1 - à remplir'!$E$31:$E$400,MASQ2!EC384,'Étape 1 - à remplir'!$G$31:$G$400,"kg"),SUMIFS('Étape 1 - à remplir'!$F$31:$F$400,'Étape 1 - à remplir'!$E$31:$E$400,MASQ2!EC384,'Étape 1 - à remplir'!$O$31:$O$400,EL$3,'Étape 1 - à remplir'!$G$31:$G$400,"kg")),IF(EL$2="Espèce",IF(EL$3="Toutes",SUMIFS('Étape 1 - à remplir'!$F$31:$F$400,'Étape 1 - à remplir'!$E$31:$E$400,MASQ2!EC384,'Étape 1 - à remplir'!$G$31:$G$400,"kg"),SUMIFS('Étape 1 - à remplir'!$F$31:$F$400,'Étape 1 - à remplir'!$E$31:$E$400,MASQ2!EC384,'Étape 1 - à remplir'!$N$31:$N$400,EL$3,'Étape 1 - à remplir'!$G$31:$G$400,"kg")))))))</f>
        <v>#N/A</v>
      </c>
      <c r="EE384" s="76">
        <f t="shared" si="259"/>
        <v>0</v>
      </c>
      <c r="EF384" t="str">
        <f t="shared" si="250"/>
        <v>Colistine</v>
      </c>
      <c r="EG384" t="str">
        <f t="shared" si="251"/>
        <v/>
      </c>
      <c r="EH384" t="str">
        <f t="shared" si="252"/>
        <v/>
      </c>
      <c r="EI384" t="str">
        <f t="shared" si="253"/>
        <v>Polypeptides</v>
      </c>
      <c r="EJ384" t="str">
        <f t="shared" si="254"/>
        <v/>
      </c>
      <c r="EK384" s="63" t="str">
        <f t="shared" si="255"/>
        <v/>
      </c>
      <c r="EN384" s="42">
        <v>381</v>
      </c>
      <c r="EO384" t="e">
        <f t="shared" si="261"/>
        <v>#N/A</v>
      </c>
      <c r="EP384" s="63" t="e">
        <f t="shared" si="262"/>
        <v>#N/A</v>
      </c>
      <c r="FT384" s="63"/>
    </row>
    <row r="385" spans="2:176" x14ac:dyDescent="0.3">
      <c r="B385" s="42"/>
      <c r="M385" s="194" t="str">
        <f ca="1">INDEX(Données_ATB!BD:BU,MATCH(MASQ2!O385,Données_ATB!BD:BD,0),18)</f>
        <v/>
      </c>
      <c r="N385" s="14" t="str">
        <f>IFERROR(IF(Q385=0,"",COUNTIF(Q$4:Q$600,"&gt;"&amp;Q385)+COUNTIF(Q$4:Q385,Q385)),"")</f>
        <v/>
      </c>
      <c r="O385" t="str">
        <f>Données_ATB!BD384</f>
        <v>PM 16-2 CHLORTETRACYCLINE 100 PORC ET AGNEAU-CHEVREAU SEVRES</v>
      </c>
      <c r="P385" t="e">
        <f>IF(IF(X$2="Catégorie",IF(X$3="Toutes",SUMIFS('Étape 1 - à remplir'!$F$31:$F$400,'Étape 1 - à remplir'!$E$31:$E$400,MASQ2!O385,'Étape 1 - à remplir'!$G$31:$G$400,"animaux"),SUMIFS('Étape 1 - à remplir'!$F$31:$F$400,'Étape 1 - à remplir'!$E$31:$E$400,MASQ2!O385,'Étape 1 - à remplir'!$C$31:$C$400,X$3)),IF(X$2="Âge",IF(X$3="Tous",SUMIFS('Étape 1 - à remplir'!$F$31:$F$400,'Étape 1 - à remplir'!$E$31:$E$400,MASQ2!O385,'Étape 1 - à remplir'!$G$31:$G$400,"animaux"),SUMIFS('Étape 1 - à remplir'!$F$31:$F$400,'Étape 1 - à remplir'!$E$31:$E$400,MASQ2!O385,'Étape 1 - à remplir'!$P$31:$P$400,X$3)),IF(X$2="Atelier",IF(X$3="Tous",SUMIFS('Étape 1 - à remplir'!$F$31:$F$400,'Étape 1 - à remplir'!$E$31:$E$400,MASQ2!O385,'Étape 1 - à remplir'!$G$31:$G$400,"animaux"),SUMIFS('Étape 1 - à remplir'!$F$31:$F$400,'Étape 1 - à remplir'!$E$31:$E$400,MASQ2!O385,'Étape 1 - à remplir'!$O$31:$O$400,X$3)),IF(X$2="Espèce",IF(X$3="Toutes",SUMIFS('Étape 1 - à remplir'!$F$31:$F$400,'Étape 1 - à remplir'!$E$31:$E$400,MASQ2!O385,'Étape 1 - à remplir'!$G$31:$G$400,"animaux"),SUMIFS('Étape 1 - à remplir'!$F$31:$F$400,'Étape 1 - à remplir'!$E$31:$E$400,MASQ2!O385,'Étape 1 - à remplir'!$N$31:$N$400,X$3))))))=0,NA(),IF(X$2="Catégorie",IF(X$3="Toutes",SUMIFS('Étape 1 - à remplir'!$F$31:$F$400,'Étape 1 - à remplir'!$E$31:$E$400,MASQ2!O385,'Étape 1 - à remplir'!$G$31:$G$400,"animaux"),SUMIFS('Étape 1 - à remplir'!$F$31:$F$400,'Étape 1 - à remplir'!$E$31:$E$400,MASQ2!O385,'Étape 1 - à remplir'!$C$31:$C$400,X$3)),IF(X$2="Âge",IF(X$3="Tous",SUMIFS('Étape 1 - à remplir'!$F$31:$F$400,'Étape 1 - à remplir'!$E$31:$E$400,MASQ2!O385,'Étape 1 - à remplir'!$G$31:$G$400,"animaux"),SUMIFS('Étape 1 - à remplir'!$F$31:$F$400,'Étape 1 - à remplir'!$E$31:$E$400,MASQ2!O385,'Étape 1 - à remplir'!$P$31:$P$400,X$3)),IF(X$2="Atelier",IF(X$3="Tous",SUMIFS('Étape 1 - à remplir'!$F$31:$F$400,'Étape 1 - à remplir'!$E$31:$E$400,MASQ2!O385,'Étape 1 - à remplir'!$G$31:$G$400,"animaux"),SUMIFS('Étape 1 - à remplir'!$F$31:$F$400,'Étape 1 - à remplir'!$E$31:$E$400,MASQ2!O385,'Étape 1 - à remplir'!$O$31:$O$400,X$3)),IF(X$2="Espèce",IF(X$3="Toutes",SUMIFS('Étape 1 - à remplir'!$F$31:$F$400,'Étape 1 - à remplir'!$E$31:$E$400,MASQ2!O385,'Étape 1 - à remplir'!$G$31:$G$400,"animaux"),SUMIFS('Étape 1 - à remplir'!$F$31:$F$400,'Étape 1 - à remplir'!$E$31:$E$400,MASQ2!O385,'Étape 1 - à remplir'!$N$31:$N$400,X$3)))))))</f>
        <v>#N/A</v>
      </c>
      <c r="Q385" s="63">
        <f t="shared" si="260"/>
        <v>0</v>
      </c>
      <c r="R385" t="str">
        <f>Données_ATB!BM384</f>
        <v>Chlortétracycline</v>
      </c>
      <c r="S385" t="str">
        <f>Données_ATB!BN384</f>
        <v/>
      </c>
      <c r="T385" s="63" t="str">
        <f>Données_ATB!BO384</f>
        <v/>
      </c>
      <c r="U385" s="42" t="str">
        <f>Données_ATB!BQ384</f>
        <v>Tetracyclines</v>
      </c>
      <c r="V385" t="str">
        <f>Données_ATB!BR384</f>
        <v/>
      </c>
      <c r="W385" s="63" t="str">
        <f>Données_ATB!BS384</f>
        <v/>
      </c>
      <c r="Z385" s="42">
        <v>382</v>
      </c>
      <c r="AA385" t="e">
        <f t="shared" si="256"/>
        <v>#N/A</v>
      </c>
      <c r="AB385" s="63" t="e">
        <f t="shared" si="257"/>
        <v>#N/A</v>
      </c>
      <c r="BF385" s="63"/>
      <c r="BT385" s="194" t="str">
        <f t="shared" ca="1" si="240"/>
        <v/>
      </c>
      <c r="BU385" s="219" t="str">
        <f>IFERROR(IF(BX385=0,"",COUNTIF(BX$4:BX$600,"&gt;"&amp;BX385)+COUNTIF(BX$4:BX385,BX385)),"")</f>
        <v/>
      </c>
      <c r="BV385" s="42" t="str">
        <f t="shared" si="241"/>
        <v>PM 16-2 CHLORTETRACYCLINE 100 PORC ET AGNEAU-CHEVREAU SEVRES</v>
      </c>
      <c r="BW385" t="e">
        <f>IF(IF(CE$2="Catégorie",IF(CE$3="Toutes",SUMIFS('Étape 1 - à remplir'!$F$31:$F$400,'Étape 1 - à remplir'!$E$31:$E$400,MASQ2!BV385,'Étape 1 - à remplir'!$G$31:$G$400,"lots"),SUMIFS('Étape 1 - à remplir'!$F$31:$F$400,'Étape 1 - à remplir'!$E$31:$E$400,MASQ2!BV385,'Étape 1 - à remplir'!$C$31:$C$400,CE$3)),IF(CE$2="Âge",IF(CE$3="Tous",SUMIFS('Étape 1 - à remplir'!$F$31:$F$400,'Étape 1 - à remplir'!$E$31:$E$400,MASQ2!BV385,'Étape 1 - à remplir'!$G$31:$G$400,"lots"),SUMIFS('Étape 1 - à remplir'!$F$31:$F$400,'Étape 1 - à remplir'!$E$31:$E$400,MASQ2!BV385,'Étape 1 - à remplir'!$P$31:$P$400,CE$3,'Étape 1 - à remplir'!$G$31:$G$400,"lots")),IF(CE$2="Atelier",IF(CE$3="Tous",SUMIFS('Étape 1 - à remplir'!$F$31:$F$400,'Étape 1 - à remplir'!$E$31:$E$400,MASQ2!BV385,'Étape 1 - à remplir'!$G$31:$G$400,"lots"),SUMIFS('Étape 1 - à remplir'!$F$31:$F$400,'Étape 1 - à remplir'!$E$31:$E$400,MASQ2!BV385,'Étape 1 - à remplir'!$O$31:$O$400,CE$3,'Étape 1 - à remplir'!$G$31:$G$400,"lots")),IF(CE$2="Espèce",IF(CE$3="Toutes",SUMIFS('Étape 1 - à remplir'!$F$31:$F$400,'Étape 1 - à remplir'!$E$31:$E$400,MASQ2!BV385,'Étape 1 - à remplir'!$G$31:$G$400,"lots"),SUMIFS('Étape 1 - à remplir'!$F$31:$F$400,'Étape 1 - à remplir'!$E$31:$E$400,MASQ2!BV385,'Étape 1 - à remplir'!$N$31:$N$400,CE$3,'Étape 1 - à remplir'!$G$31:$G$400,"lots"))))))=0,NA(),IF(CE$2="Catégorie",IF(CE$3="Toutes",SUMIFS('Étape 1 - à remplir'!$F$31:$F$400,'Étape 1 - à remplir'!$E$31:$E$400,MASQ2!BV385,'Étape 1 - à remplir'!$G$31:$G$400,"lots"),SUMIFS('Étape 1 - à remplir'!$F$31:$F$400,'Étape 1 - à remplir'!$E$31:$E$400,MASQ2!BV385,'Étape 1 - à remplir'!$C$31:$C$400,CE$3)),IF(CE$2="Âge",IF(CE$3="Tous",SUMIFS('Étape 1 - à remplir'!$F$31:$F$400,'Étape 1 - à remplir'!$E$31:$E$400,MASQ2!BV385,'Étape 1 - à remplir'!$G$31:$G$400,"lots"),SUMIFS('Étape 1 - à remplir'!$F$31:$F$400,'Étape 1 - à remplir'!$E$31:$E$400,MASQ2!BV385,'Étape 1 - à remplir'!$P$31:$P$400,CE$3,'Étape 1 - à remplir'!$G$31:$G$400,"lots")),IF(CE$2="Atelier",IF(CE$3="Tous",SUMIFS('Étape 1 - à remplir'!$F$31:$F$400,'Étape 1 - à remplir'!$E$31:$E$400,MASQ2!BV385,'Étape 1 - à remplir'!$G$31:$G$400,"lots"),SUMIFS('Étape 1 - à remplir'!$F$31:$F$400,'Étape 1 - à remplir'!$E$31:$E$400,MASQ2!BV385,'Étape 1 - à remplir'!$O$31:$O$400,CE$3,'Étape 1 - à remplir'!$G$31:$G$400,"lots")),IF(CE$2="Espèce",IF(CE$3="Toutes",SUMIFS('Étape 1 - à remplir'!$F$31:$F$400,'Étape 1 - à remplir'!$E$31:$E$400,MASQ2!BV385,'Étape 1 - à remplir'!$G$31:$G$400,"lots"),SUMIFS('Étape 1 - à remplir'!$F$31:$F$400,'Étape 1 - à remplir'!$E$31:$E$400,MASQ2!BV385,'Étape 1 - à remplir'!$N$31:$N$400,CE$3,'Étape 1 - à remplir'!$G$31:$G$400,"lots")))))))</f>
        <v>#N/A</v>
      </c>
      <c r="BX385">
        <f t="shared" si="258"/>
        <v>0</v>
      </c>
      <c r="BY385" t="str">
        <f t="shared" si="242"/>
        <v>Chlortétracycline</v>
      </c>
      <c r="BZ385" t="str">
        <f t="shared" si="243"/>
        <v/>
      </c>
      <c r="CA385" t="str">
        <f t="shared" si="244"/>
        <v/>
      </c>
      <c r="CB385" t="str">
        <f t="shared" si="245"/>
        <v>Tetracyclines</v>
      </c>
      <c r="CC385" t="str">
        <f t="shared" si="246"/>
        <v/>
      </c>
      <c r="CD385" s="63" t="str">
        <f t="shared" si="247"/>
        <v/>
      </c>
      <c r="CG385" s="42">
        <v>382</v>
      </c>
      <c r="CH385" s="42" t="e">
        <f t="shared" si="263"/>
        <v>#N/A</v>
      </c>
      <c r="CI385" s="63" t="e">
        <f t="shared" si="264"/>
        <v>#N/A</v>
      </c>
      <c r="DM385" s="63"/>
      <c r="EA385" s="194" t="str">
        <f t="shared" ca="1" si="248"/>
        <v/>
      </c>
      <c r="EB385" s="226" t="str">
        <f>IFERROR(IF(ED385=0,"",COUNTIF(ED$4:ED$600,"&gt;"&amp;ED385)+COUNTIF(ED$4:ED385,ED385)),"")</f>
        <v/>
      </c>
      <c r="EC385" t="str">
        <f t="shared" si="249"/>
        <v>PM 16-2 CHLORTETRACYCLINE 100 PORC ET AGNEAU-CHEVREAU SEVRES</v>
      </c>
      <c r="ED385" t="e">
        <f>IF(IF(EL$2="Catégorie",IF(EL$3="Toutes",SUMIFS('Étape 1 - à remplir'!$F$31:$F$400,'Étape 1 - à remplir'!$E$31:$E$400,MASQ2!EC385,'Étape 1 - à remplir'!$G$31:$G$400,"kg"),SUMIFS('Étape 1 - à remplir'!$F$31:$F$400,'Étape 1 - à remplir'!$E$31:$E$400,MASQ2!EC385,'Étape 1 - à remplir'!$C$31:$C$400,EL$3)),IF(EL$2="Âge",IF(EL$3="Tous",SUMIFS('Étape 1 - à remplir'!$F$31:$F$400,'Étape 1 - à remplir'!$E$31:$E$400,MASQ2!EC385,'Étape 1 - à remplir'!$G$31:$G$400,"kg"),SUMIFS('Étape 1 - à remplir'!$F$31:$F$400,'Étape 1 - à remplir'!$E$31:$E$400,MASQ2!EC385,'Étape 1 - à remplir'!$P$31:$P$400,EL$3,'Étape 1 - à remplir'!$G$31:$G$400,"kg")),IF(EL$2="Atelier",IF(EL$3="Tous",SUMIFS('Étape 1 - à remplir'!$F$31:$F$400,'Étape 1 - à remplir'!$E$31:$E$400,MASQ2!EC385,'Étape 1 - à remplir'!$G$31:$G$400,"kg"),SUMIFS('Étape 1 - à remplir'!$F$31:$F$400,'Étape 1 - à remplir'!$E$31:$E$400,MASQ2!EC385,'Étape 1 - à remplir'!$O$31:$O$400,EL$3,'Étape 1 - à remplir'!$G$31:$G$400,"kg")),IF(EL$2="Espèce",IF(EL$3="Toutes",SUMIFS('Étape 1 - à remplir'!$F$31:$F$400,'Étape 1 - à remplir'!$E$31:$E$400,MASQ2!EC385,'Étape 1 - à remplir'!$G$31:$G$400,"kg"),SUMIFS('Étape 1 - à remplir'!$F$31:$F$400,'Étape 1 - à remplir'!$E$31:$E$400,MASQ2!EC385,'Étape 1 - à remplir'!$N$31:$N$400,EL$3,'Étape 1 - à remplir'!$G$31:$G$400,"kg"))))))=0,NA(),IF(EL$2="Catégorie",IF(EL$3="Toutes",SUMIFS('Étape 1 - à remplir'!$F$31:$F$400,'Étape 1 - à remplir'!$E$31:$E$400,MASQ2!EC385,'Étape 1 - à remplir'!$G$31:$G$400,"kg"),SUMIFS('Étape 1 - à remplir'!$F$31:$F$400,'Étape 1 - à remplir'!$E$31:$E$400,MASQ2!EC385,'Étape 1 - à remplir'!$C$31:$C$400,EL$3)),IF(EL$2="Âge",IF(EL$3="Tous",SUMIFS('Étape 1 - à remplir'!$F$31:$F$400,'Étape 1 - à remplir'!$E$31:$E$400,MASQ2!EC385,'Étape 1 - à remplir'!$G$31:$G$400,"kg"),SUMIFS('Étape 1 - à remplir'!$F$31:$F$400,'Étape 1 - à remplir'!$E$31:$E$400,MASQ2!EC385,'Étape 1 - à remplir'!$P$31:$P$400,EL$3,'Étape 1 - à remplir'!$G$31:$G$400,"kg")),IF(EL$2="Atelier",IF(EL$3="Tous",SUMIFS('Étape 1 - à remplir'!$F$31:$F$400,'Étape 1 - à remplir'!$E$31:$E$400,MASQ2!EC385,'Étape 1 - à remplir'!$G$31:$G$400,"kg"),SUMIFS('Étape 1 - à remplir'!$F$31:$F$400,'Étape 1 - à remplir'!$E$31:$E$400,MASQ2!EC385,'Étape 1 - à remplir'!$O$31:$O$400,EL$3,'Étape 1 - à remplir'!$G$31:$G$400,"kg")),IF(EL$2="Espèce",IF(EL$3="Toutes",SUMIFS('Étape 1 - à remplir'!$F$31:$F$400,'Étape 1 - à remplir'!$E$31:$E$400,MASQ2!EC385,'Étape 1 - à remplir'!$G$31:$G$400,"kg"),SUMIFS('Étape 1 - à remplir'!$F$31:$F$400,'Étape 1 - à remplir'!$E$31:$E$400,MASQ2!EC385,'Étape 1 - à remplir'!$N$31:$N$400,EL$3,'Étape 1 - à remplir'!$G$31:$G$400,"kg")))))))</f>
        <v>#N/A</v>
      </c>
      <c r="EE385" s="76">
        <f t="shared" si="259"/>
        <v>0</v>
      </c>
      <c r="EF385" t="str">
        <f t="shared" si="250"/>
        <v>Chlortétracycline</v>
      </c>
      <c r="EG385" t="str">
        <f t="shared" si="251"/>
        <v/>
      </c>
      <c r="EH385" t="str">
        <f t="shared" si="252"/>
        <v/>
      </c>
      <c r="EI385" t="str">
        <f t="shared" si="253"/>
        <v>Tetracyclines</v>
      </c>
      <c r="EJ385" t="str">
        <f t="shared" si="254"/>
        <v/>
      </c>
      <c r="EK385" s="63" t="str">
        <f t="shared" si="255"/>
        <v/>
      </c>
      <c r="EN385" s="42">
        <v>382</v>
      </c>
      <c r="EO385" t="e">
        <f t="shared" si="261"/>
        <v>#N/A</v>
      </c>
      <c r="EP385" s="63" t="e">
        <f t="shared" si="262"/>
        <v>#N/A</v>
      </c>
      <c r="FT385" s="63"/>
    </row>
    <row r="386" spans="2:176" x14ac:dyDescent="0.3">
      <c r="B386" s="42"/>
      <c r="M386" s="194" t="str">
        <f ca="1">INDEX(Données_ATB!BD:BU,MATCH(MASQ2!O386,Données_ATB!BD:BD,0),18)</f>
        <v/>
      </c>
      <c r="N386" s="14" t="str">
        <f>IFERROR(IF(Q386=0,"",COUNTIF(Q$4:Q$600,"&gt;"&amp;Q386)+COUNTIF(Q$4:Q386,Q386)),"")</f>
        <v/>
      </c>
      <c r="O386" t="str">
        <f>Données_ATB!BD385</f>
        <v>PM 16-B CHLORTETRACYCLINE 100 PORC-AGNEAU ET CHEVREAU SEVRES</v>
      </c>
      <c r="P386" t="e">
        <f>IF(IF(X$2="Catégorie",IF(X$3="Toutes",SUMIFS('Étape 1 - à remplir'!$F$31:$F$400,'Étape 1 - à remplir'!$E$31:$E$400,MASQ2!O386,'Étape 1 - à remplir'!$G$31:$G$400,"animaux"),SUMIFS('Étape 1 - à remplir'!$F$31:$F$400,'Étape 1 - à remplir'!$E$31:$E$400,MASQ2!O386,'Étape 1 - à remplir'!$C$31:$C$400,X$3)),IF(X$2="Âge",IF(X$3="Tous",SUMIFS('Étape 1 - à remplir'!$F$31:$F$400,'Étape 1 - à remplir'!$E$31:$E$400,MASQ2!O386,'Étape 1 - à remplir'!$G$31:$G$400,"animaux"),SUMIFS('Étape 1 - à remplir'!$F$31:$F$400,'Étape 1 - à remplir'!$E$31:$E$400,MASQ2!O386,'Étape 1 - à remplir'!$P$31:$P$400,X$3)),IF(X$2="Atelier",IF(X$3="Tous",SUMIFS('Étape 1 - à remplir'!$F$31:$F$400,'Étape 1 - à remplir'!$E$31:$E$400,MASQ2!O386,'Étape 1 - à remplir'!$G$31:$G$400,"animaux"),SUMIFS('Étape 1 - à remplir'!$F$31:$F$400,'Étape 1 - à remplir'!$E$31:$E$400,MASQ2!O386,'Étape 1 - à remplir'!$O$31:$O$400,X$3)),IF(X$2="Espèce",IF(X$3="Toutes",SUMIFS('Étape 1 - à remplir'!$F$31:$F$400,'Étape 1 - à remplir'!$E$31:$E$400,MASQ2!O386,'Étape 1 - à remplir'!$G$31:$G$400,"animaux"),SUMIFS('Étape 1 - à remplir'!$F$31:$F$400,'Étape 1 - à remplir'!$E$31:$E$400,MASQ2!O386,'Étape 1 - à remplir'!$N$31:$N$400,X$3))))))=0,NA(),IF(X$2="Catégorie",IF(X$3="Toutes",SUMIFS('Étape 1 - à remplir'!$F$31:$F$400,'Étape 1 - à remplir'!$E$31:$E$400,MASQ2!O386,'Étape 1 - à remplir'!$G$31:$G$400,"animaux"),SUMIFS('Étape 1 - à remplir'!$F$31:$F$400,'Étape 1 - à remplir'!$E$31:$E$400,MASQ2!O386,'Étape 1 - à remplir'!$C$31:$C$400,X$3)),IF(X$2="Âge",IF(X$3="Tous",SUMIFS('Étape 1 - à remplir'!$F$31:$F$400,'Étape 1 - à remplir'!$E$31:$E$400,MASQ2!O386,'Étape 1 - à remplir'!$G$31:$G$400,"animaux"),SUMIFS('Étape 1 - à remplir'!$F$31:$F$400,'Étape 1 - à remplir'!$E$31:$E$400,MASQ2!O386,'Étape 1 - à remplir'!$P$31:$P$400,X$3)),IF(X$2="Atelier",IF(X$3="Tous",SUMIFS('Étape 1 - à remplir'!$F$31:$F$400,'Étape 1 - à remplir'!$E$31:$E$400,MASQ2!O386,'Étape 1 - à remplir'!$G$31:$G$400,"animaux"),SUMIFS('Étape 1 - à remplir'!$F$31:$F$400,'Étape 1 - à remplir'!$E$31:$E$400,MASQ2!O386,'Étape 1 - à remplir'!$O$31:$O$400,X$3)),IF(X$2="Espèce",IF(X$3="Toutes",SUMIFS('Étape 1 - à remplir'!$F$31:$F$400,'Étape 1 - à remplir'!$E$31:$E$400,MASQ2!O386,'Étape 1 - à remplir'!$G$31:$G$400,"animaux"),SUMIFS('Étape 1 - à remplir'!$F$31:$F$400,'Étape 1 - à remplir'!$E$31:$E$400,MASQ2!O386,'Étape 1 - à remplir'!$N$31:$N$400,X$3)))))))</f>
        <v>#N/A</v>
      </c>
      <c r="Q386" s="63">
        <f t="shared" si="260"/>
        <v>0</v>
      </c>
      <c r="R386" t="str">
        <f>Données_ATB!BM385</f>
        <v>Chlortétracycline</v>
      </c>
      <c r="S386" t="str">
        <f>Données_ATB!BN385</f>
        <v/>
      </c>
      <c r="T386" s="63" t="str">
        <f>Données_ATB!BO385</f>
        <v/>
      </c>
      <c r="U386" s="42" t="str">
        <f>Données_ATB!BQ385</f>
        <v>Tetracyclines</v>
      </c>
      <c r="V386" t="str">
        <f>Données_ATB!BR385</f>
        <v/>
      </c>
      <c r="W386" s="63" t="str">
        <f>Données_ATB!BS385</f>
        <v/>
      </c>
      <c r="Z386" s="42">
        <v>383</v>
      </c>
      <c r="AA386" t="e">
        <f t="shared" si="256"/>
        <v>#N/A</v>
      </c>
      <c r="AB386" s="63" t="e">
        <f t="shared" si="257"/>
        <v>#N/A</v>
      </c>
      <c r="BF386" s="63"/>
      <c r="BT386" s="194" t="str">
        <f t="shared" ca="1" si="240"/>
        <v/>
      </c>
      <c r="BU386" s="219" t="str">
        <f>IFERROR(IF(BX386=0,"",COUNTIF(BX$4:BX$600,"&gt;"&amp;BX386)+COUNTIF(BX$4:BX386,BX386)),"")</f>
        <v/>
      </c>
      <c r="BV386" s="42" t="str">
        <f t="shared" si="241"/>
        <v>PM 16-B CHLORTETRACYCLINE 100 PORC-AGNEAU ET CHEVREAU SEVRES</v>
      </c>
      <c r="BW386" t="e">
        <f>IF(IF(CE$2="Catégorie",IF(CE$3="Toutes",SUMIFS('Étape 1 - à remplir'!$F$31:$F$400,'Étape 1 - à remplir'!$E$31:$E$400,MASQ2!BV386,'Étape 1 - à remplir'!$G$31:$G$400,"lots"),SUMIFS('Étape 1 - à remplir'!$F$31:$F$400,'Étape 1 - à remplir'!$E$31:$E$400,MASQ2!BV386,'Étape 1 - à remplir'!$C$31:$C$400,CE$3)),IF(CE$2="Âge",IF(CE$3="Tous",SUMIFS('Étape 1 - à remplir'!$F$31:$F$400,'Étape 1 - à remplir'!$E$31:$E$400,MASQ2!BV386,'Étape 1 - à remplir'!$G$31:$G$400,"lots"),SUMIFS('Étape 1 - à remplir'!$F$31:$F$400,'Étape 1 - à remplir'!$E$31:$E$400,MASQ2!BV386,'Étape 1 - à remplir'!$P$31:$P$400,CE$3,'Étape 1 - à remplir'!$G$31:$G$400,"lots")),IF(CE$2="Atelier",IF(CE$3="Tous",SUMIFS('Étape 1 - à remplir'!$F$31:$F$400,'Étape 1 - à remplir'!$E$31:$E$400,MASQ2!BV386,'Étape 1 - à remplir'!$G$31:$G$400,"lots"),SUMIFS('Étape 1 - à remplir'!$F$31:$F$400,'Étape 1 - à remplir'!$E$31:$E$400,MASQ2!BV386,'Étape 1 - à remplir'!$O$31:$O$400,CE$3,'Étape 1 - à remplir'!$G$31:$G$400,"lots")),IF(CE$2="Espèce",IF(CE$3="Toutes",SUMIFS('Étape 1 - à remplir'!$F$31:$F$400,'Étape 1 - à remplir'!$E$31:$E$400,MASQ2!BV386,'Étape 1 - à remplir'!$G$31:$G$400,"lots"),SUMIFS('Étape 1 - à remplir'!$F$31:$F$400,'Étape 1 - à remplir'!$E$31:$E$400,MASQ2!BV386,'Étape 1 - à remplir'!$N$31:$N$400,CE$3,'Étape 1 - à remplir'!$G$31:$G$400,"lots"))))))=0,NA(),IF(CE$2="Catégorie",IF(CE$3="Toutes",SUMIFS('Étape 1 - à remplir'!$F$31:$F$400,'Étape 1 - à remplir'!$E$31:$E$400,MASQ2!BV386,'Étape 1 - à remplir'!$G$31:$G$400,"lots"),SUMIFS('Étape 1 - à remplir'!$F$31:$F$400,'Étape 1 - à remplir'!$E$31:$E$400,MASQ2!BV386,'Étape 1 - à remplir'!$C$31:$C$400,CE$3)),IF(CE$2="Âge",IF(CE$3="Tous",SUMIFS('Étape 1 - à remplir'!$F$31:$F$400,'Étape 1 - à remplir'!$E$31:$E$400,MASQ2!BV386,'Étape 1 - à remplir'!$G$31:$G$400,"lots"),SUMIFS('Étape 1 - à remplir'!$F$31:$F$400,'Étape 1 - à remplir'!$E$31:$E$400,MASQ2!BV386,'Étape 1 - à remplir'!$P$31:$P$400,CE$3,'Étape 1 - à remplir'!$G$31:$G$400,"lots")),IF(CE$2="Atelier",IF(CE$3="Tous",SUMIFS('Étape 1 - à remplir'!$F$31:$F$400,'Étape 1 - à remplir'!$E$31:$E$400,MASQ2!BV386,'Étape 1 - à remplir'!$G$31:$G$400,"lots"),SUMIFS('Étape 1 - à remplir'!$F$31:$F$400,'Étape 1 - à remplir'!$E$31:$E$400,MASQ2!BV386,'Étape 1 - à remplir'!$O$31:$O$400,CE$3,'Étape 1 - à remplir'!$G$31:$G$400,"lots")),IF(CE$2="Espèce",IF(CE$3="Toutes",SUMIFS('Étape 1 - à remplir'!$F$31:$F$400,'Étape 1 - à remplir'!$E$31:$E$400,MASQ2!BV386,'Étape 1 - à remplir'!$G$31:$G$400,"lots"),SUMIFS('Étape 1 - à remplir'!$F$31:$F$400,'Étape 1 - à remplir'!$E$31:$E$400,MASQ2!BV386,'Étape 1 - à remplir'!$N$31:$N$400,CE$3,'Étape 1 - à remplir'!$G$31:$G$400,"lots")))))))</f>
        <v>#N/A</v>
      </c>
      <c r="BX386">
        <f t="shared" si="258"/>
        <v>0</v>
      </c>
      <c r="BY386" t="str">
        <f t="shared" si="242"/>
        <v>Chlortétracycline</v>
      </c>
      <c r="BZ386" t="str">
        <f t="shared" si="243"/>
        <v/>
      </c>
      <c r="CA386" t="str">
        <f t="shared" si="244"/>
        <v/>
      </c>
      <c r="CB386" t="str">
        <f t="shared" si="245"/>
        <v>Tetracyclines</v>
      </c>
      <c r="CC386" t="str">
        <f t="shared" si="246"/>
        <v/>
      </c>
      <c r="CD386" s="63" t="str">
        <f t="shared" si="247"/>
        <v/>
      </c>
      <c r="CG386" s="42">
        <v>383</v>
      </c>
      <c r="CH386" s="42" t="e">
        <f t="shared" si="263"/>
        <v>#N/A</v>
      </c>
      <c r="CI386" s="63" t="e">
        <f t="shared" si="264"/>
        <v>#N/A</v>
      </c>
      <c r="DM386" s="63"/>
      <c r="EA386" s="194" t="str">
        <f t="shared" ca="1" si="248"/>
        <v/>
      </c>
      <c r="EB386" s="226" t="str">
        <f>IFERROR(IF(ED386=0,"",COUNTIF(ED$4:ED$600,"&gt;"&amp;ED386)+COUNTIF(ED$4:ED386,ED386)),"")</f>
        <v/>
      </c>
      <c r="EC386" t="str">
        <f t="shared" si="249"/>
        <v>PM 16-B CHLORTETRACYCLINE 100 PORC-AGNEAU ET CHEVREAU SEVRES</v>
      </c>
      <c r="ED386" t="e">
        <f>IF(IF(EL$2="Catégorie",IF(EL$3="Toutes",SUMIFS('Étape 1 - à remplir'!$F$31:$F$400,'Étape 1 - à remplir'!$E$31:$E$400,MASQ2!EC386,'Étape 1 - à remplir'!$G$31:$G$400,"kg"),SUMIFS('Étape 1 - à remplir'!$F$31:$F$400,'Étape 1 - à remplir'!$E$31:$E$400,MASQ2!EC386,'Étape 1 - à remplir'!$C$31:$C$400,EL$3)),IF(EL$2="Âge",IF(EL$3="Tous",SUMIFS('Étape 1 - à remplir'!$F$31:$F$400,'Étape 1 - à remplir'!$E$31:$E$400,MASQ2!EC386,'Étape 1 - à remplir'!$G$31:$G$400,"kg"),SUMIFS('Étape 1 - à remplir'!$F$31:$F$400,'Étape 1 - à remplir'!$E$31:$E$400,MASQ2!EC386,'Étape 1 - à remplir'!$P$31:$P$400,EL$3,'Étape 1 - à remplir'!$G$31:$G$400,"kg")),IF(EL$2="Atelier",IF(EL$3="Tous",SUMIFS('Étape 1 - à remplir'!$F$31:$F$400,'Étape 1 - à remplir'!$E$31:$E$400,MASQ2!EC386,'Étape 1 - à remplir'!$G$31:$G$400,"kg"),SUMIFS('Étape 1 - à remplir'!$F$31:$F$400,'Étape 1 - à remplir'!$E$31:$E$400,MASQ2!EC386,'Étape 1 - à remplir'!$O$31:$O$400,EL$3,'Étape 1 - à remplir'!$G$31:$G$400,"kg")),IF(EL$2="Espèce",IF(EL$3="Toutes",SUMIFS('Étape 1 - à remplir'!$F$31:$F$400,'Étape 1 - à remplir'!$E$31:$E$400,MASQ2!EC386,'Étape 1 - à remplir'!$G$31:$G$400,"kg"),SUMIFS('Étape 1 - à remplir'!$F$31:$F$400,'Étape 1 - à remplir'!$E$31:$E$400,MASQ2!EC386,'Étape 1 - à remplir'!$N$31:$N$400,EL$3,'Étape 1 - à remplir'!$G$31:$G$400,"kg"))))))=0,NA(),IF(EL$2="Catégorie",IF(EL$3="Toutes",SUMIFS('Étape 1 - à remplir'!$F$31:$F$400,'Étape 1 - à remplir'!$E$31:$E$400,MASQ2!EC386,'Étape 1 - à remplir'!$G$31:$G$400,"kg"),SUMIFS('Étape 1 - à remplir'!$F$31:$F$400,'Étape 1 - à remplir'!$E$31:$E$400,MASQ2!EC386,'Étape 1 - à remplir'!$C$31:$C$400,EL$3)),IF(EL$2="Âge",IF(EL$3="Tous",SUMIFS('Étape 1 - à remplir'!$F$31:$F$400,'Étape 1 - à remplir'!$E$31:$E$400,MASQ2!EC386,'Étape 1 - à remplir'!$G$31:$G$400,"kg"),SUMIFS('Étape 1 - à remplir'!$F$31:$F$400,'Étape 1 - à remplir'!$E$31:$E$400,MASQ2!EC386,'Étape 1 - à remplir'!$P$31:$P$400,EL$3,'Étape 1 - à remplir'!$G$31:$G$400,"kg")),IF(EL$2="Atelier",IF(EL$3="Tous",SUMIFS('Étape 1 - à remplir'!$F$31:$F$400,'Étape 1 - à remplir'!$E$31:$E$400,MASQ2!EC386,'Étape 1 - à remplir'!$G$31:$G$400,"kg"),SUMIFS('Étape 1 - à remplir'!$F$31:$F$400,'Étape 1 - à remplir'!$E$31:$E$400,MASQ2!EC386,'Étape 1 - à remplir'!$O$31:$O$400,EL$3,'Étape 1 - à remplir'!$G$31:$G$400,"kg")),IF(EL$2="Espèce",IF(EL$3="Toutes",SUMIFS('Étape 1 - à remplir'!$F$31:$F$400,'Étape 1 - à remplir'!$E$31:$E$400,MASQ2!EC386,'Étape 1 - à remplir'!$G$31:$G$400,"kg"),SUMIFS('Étape 1 - à remplir'!$F$31:$F$400,'Étape 1 - à remplir'!$E$31:$E$400,MASQ2!EC386,'Étape 1 - à remplir'!$N$31:$N$400,EL$3,'Étape 1 - à remplir'!$G$31:$G$400,"kg")))))))</f>
        <v>#N/A</v>
      </c>
      <c r="EE386" s="76">
        <f t="shared" si="259"/>
        <v>0</v>
      </c>
      <c r="EF386" t="str">
        <f t="shared" si="250"/>
        <v>Chlortétracycline</v>
      </c>
      <c r="EG386" t="str">
        <f t="shared" si="251"/>
        <v/>
      </c>
      <c r="EH386" t="str">
        <f t="shared" si="252"/>
        <v/>
      </c>
      <c r="EI386" t="str">
        <f t="shared" si="253"/>
        <v>Tetracyclines</v>
      </c>
      <c r="EJ386" t="str">
        <f t="shared" si="254"/>
        <v/>
      </c>
      <c r="EK386" s="63" t="str">
        <f t="shared" si="255"/>
        <v/>
      </c>
      <c r="EN386" s="42">
        <v>383</v>
      </c>
      <c r="EO386" t="e">
        <f t="shared" si="261"/>
        <v>#N/A</v>
      </c>
      <c r="EP386" s="63" t="e">
        <f t="shared" si="262"/>
        <v>#N/A</v>
      </c>
      <c r="FT386" s="63"/>
    </row>
    <row r="387" spans="2:176" x14ac:dyDescent="0.3">
      <c r="B387" s="42"/>
      <c r="M387" s="194" t="str">
        <f ca="1">INDEX(Données_ATB!BD:BU,MATCH(MASQ2!O387,Données_ATB!BD:BD,0),18)</f>
        <v/>
      </c>
      <c r="N387" s="14" t="str">
        <f>IFERROR(IF(Q387=0,"",COUNTIF(Q$4:Q$600,"&gt;"&amp;Q387)+COUNTIF(Q$4:Q387,Q387)),"")</f>
        <v/>
      </c>
      <c r="O387" t="str">
        <f>Données_ATB!BD386</f>
        <v>PM 17-A OXYTETRACYCLINE 40 LAPIN-VOLAILLE-PORC-AGNEAU ET CHEVREAU SEVRES</v>
      </c>
      <c r="P387" t="e">
        <f>IF(IF(X$2="Catégorie",IF(X$3="Toutes",SUMIFS('Étape 1 - à remplir'!$F$31:$F$400,'Étape 1 - à remplir'!$E$31:$E$400,MASQ2!O387,'Étape 1 - à remplir'!$G$31:$G$400,"animaux"),SUMIFS('Étape 1 - à remplir'!$F$31:$F$400,'Étape 1 - à remplir'!$E$31:$E$400,MASQ2!O387,'Étape 1 - à remplir'!$C$31:$C$400,X$3)),IF(X$2="Âge",IF(X$3="Tous",SUMIFS('Étape 1 - à remplir'!$F$31:$F$400,'Étape 1 - à remplir'!$E$31:$E$400,MASQ2!O387,'Étape 1 - à remplir'!$G$31:$G$400,"animaux"),SUMIFS('Étape 1 - à remplir'!$F$31:$F$400,'Étape 1 - à remplir'!$E$31:$E$400,MASQ2!O387,'Étape 1 - à remplir'!$P$31:$P$400,X$3)),IF(X$2="Atelier",IF(X$3="Tous",SUMIFS('Étape 1 - à remplir'!$F$31:$F$400,'Étape 1 - à remplir'!$E$31:$E$400,MASQ2!O387,'Étape 1 - à remplir'!$G$31:$G$400,"animaux"),SUMIFS('Étape 1 - à remplir'!$F$31:$F$400,'Étape 1 - à remplir'!$E$31:$E$400,MASQ2!O387,'Étape 1 - à remplir'!$O$31:$O$400,X$3)),IF(X$2="Espèce",IF(X$3="Toutes",SUMIFS('Étape 1 - à remplir'!$F$31:$F$400,'Étape 1 - à remplir'!$E$31:$E$400,MASQ2!O387,'Étape 1 - à remplir'!$G$31:$G$400,"animaux"),SUMIFS('Étape 1 - à remplir'!$F$31:$F$400,'Étape 1 - à remplir'!$E$31:$E$400,MASQ2!O387,'Étape 1 - à remplir'!$N$31:$N$400,X$3))))))=0,NA(),IF(X$2="Catégorie",IF(X$3="Toutes",SUMIFS('Étape 1 - à remplir'!$F$31:$F$400,'Étape 1 - à remplir'!$E$31:$E$400,MASQ2!O387,'Étape 1 - à remplir'!$G$31:$G$400,"animaux"),SUMIFS('Étape 1 - à remplir'!$F$31:$F$400,'Étape 1 - à remplir'!$E$31:$E$400,MASQ2!O387,'Étape 1 - à remplir'!$C$31:$C$400,X$3)),IF(X$2="Âge",IF(X$3="Tous",SUMIFS('Étape 1 - à remplir'!$F$31:$F$400,'Étape 1 - à remplir'!$E$31:$E$400,MASQ2!O387,'Étape 1 - à remplir'!$G$31:$G$400,"animaux"),SUMIFS('Étape 1 - à remplir'!$F$31:$F$400,'Étape 1 - à remplir'!$E$31:$E$400,MASQ2!O387,'Étape 1 - à remplir'!$P$31:$P$400,X$3)),IF(X$2="Atelier",IF(X$3="Tous",SUMIFS('Étape 1 - à remplir'!$F$31:$F$400,'Étape 1 - à remplir'!$E$31:$E$400,MASQ2!O387,'Étape 1 - à remplir'!$G$31:$G$400,"animaux"),SUMIFS('Étape 1 - à remplir'!$F$31:$F$400,'Étape 1 - à remplir'!$E$31:$E$400,MASQ2!O387,'Étape 1 - à remplir'!$O$31:$O$400,X$3)),IF(X$2="Espèce",IF(X$3="Toutes",SUMIFS('Étape 1 - à remplir'!$F$31:$F$400,'Étape 1 - à remplir'!$E$31:$E$400,MASQ2!O387,'Étape 1 - à remplir'!$G$31:$G$400,"animaux"),SUMIFS('Étape 1 - à remplir'!$F$31:$F$400,'Étape 1 - à remplir'!$E$31:$E$400,MASQ2!O387,'Étape 1 - à remplir'!$N$31:$N$400,X$3)))))))</f>
        <v>#N/A</v>
      </c>
      <c r="Q387" s="63">
        <f t="shared" si="260"/>
        <v>0</v>
      </c>
      <c r="R387" t="str">
        <f>Données_ATB!BM386</f>
        <v>Oxytétracycline</v>
      </c>
      <c r="S387" t="str">
        <f>Données_ATB!BN386</f>
        <v/>
      </c>
      <c r="T387" s="63" t="str">
        <f>Données_ATB!BO386</f>
        <v/>
      </c>
      <c r="U387" s="42" t="str">
        <f>Données_ATB!BQ386</f>
        <v>Tetracyclines</v>
      </c>
      <c r="V387" t="str">
        <f>Données_ATB!BR386</f>
        <v/>
      </c>
      <c r="W387" s="63" t="str">
        <f>Données_ATB!BS386</f>
        <v/>
      </c>
      <c r="Z387" s="42">
        <v>384</v>
      </c>
      <c r="AA387" t="e">
        <f t="shared" si="256"/>
        <v>#N/A</v>
      </c>
      <c r="AB387" s="63" t="e">
        <f t="shared" si="257"/>
        <v>#N/A</v>
      </c>
      <c r="BF387" s="63"/>
      <c r="BT387" s="194" t="str">
        <f t="shared" ca="1" si="240"/>
        <v/>
      </c>
      <c r="BU387" s="219" t="str">
        <f>IFERROR(IF(BX387=0,"",COUNTIF(BX$4:BX$600,"&gt;"&amp;BX387)+COUNTIF(BX$4:BX387,BX387)),"")</f>
        <v/>
      </c>
      <c r="BV387" s="42" t="str">
        <f t="shared" si="241"/>
        <v>PM 17-A OXYTETRACYCLINE 40 LAPIN-VOLAILLE-PORC-AGNEAU ET CHEVREAU SEVRES</v>
      </c>
      <c r="BW387" t="e">
        <f>IF(IF(CE$2="Catégorie",IF(CE$3="Toutes",SUMIFS('Étape 1 - à remplir'!$F$31:$F$400,'Étape 1 - à remplir'!$E$31:$E$400,MASQ2!BV387,'Étape 1 - à remplir'!$G$31:$G$400,"lots"),SUMIFS('Étape 1 - à remplir'!$F$31:$F$400,'Étape 1 - à remplir'!$E$31:$E$400,MASQ2!BV387,'Étape 1 - à remplir'!$C$31:$C$400,CE$3)),IF(CE$2="Âge",IF(CE$3="Tous",SUMIFS('Étape 1 - à remplir'!$F$31:$F$400,'Étape 1 - à remplir'!$E$31:$E$400,MASQ2!BV387,'Étape 1 - à remplir'!$G$31:$G$400,"lots"),SUMIFS('Étape 1 - à remplir'!$F$31:$F$400,'Étape 1 - à remplir'!$E$31:$E$400,MASQ2!BV387,'Étape 1 - à remplir'!$P$31:$P$400,CE$3,'Étape 1 - à remplir'!$G$31:$G$400,"lots")),IF(CE$2="Atelier",IF(CE$3="Tous",SUMIFS('Étape 1 - à remplir'!$F$31:$F$400,'Étape 1 - à remplir'!$E$31:$E$400,MASQ2!BV387,'Étape 1 - à remplir'!$G$31:$G$400,"lots"),SUMIFS('Étape 1 - à remplir'!$F$31:$F$400,'Étape 1 - à remplir'!$E$31:$E$400,MASQ2!BV387,'Étape 1 - à remplir'!$O$31:$O$400,CE$3,'Étape 1 - à remplir'!$G$31:$G$400,"lots")),IF(CE$2="Espèce",IF(CE$3="Toutes",SUMIFS('Étape 1 - à remplir'!$F$31:$F$400,'Étape 1 - à remplir'!$E$31:$E$400,MASQ2!BV387,'Étape 1 - à remplir'!$G$31:$G$400,"lots"),SUMIFS('Étape 1 - à remplir'!$F$31:$F$400,'Étape 1 - à remplir'!$E$31:$E$400,MASQ2!BV387,'Étape 1 - à remplir'!$N$31:$N$400,CE$3,'Étape 1 - à remplir'!$G$31:$G$400,"lots"))))))=0,NA(),IF(CE$2="Catégorie",IF(CE$3="Toutes",SUMIFS('Étape 1 - à remplir'!$F$31:$F$400,'Étape 1 - à remplir'!$E$31:$E$400,MASQ2!BV387,'Étape 1 - à remplir'!$G$31:$G$400,"lots"),SUMIFS('Étape 1 - à remplir'!$F$31:$F$400,'Étape 1 - à remplir'!$E$31:$E$400,MASQ2!BV387,'Étape 1 - à remplir'!$C$31:$C$400,CE$3)),IF(CE$2="Âge",IF(CE$3="Tous",SUMIFS('Étape 1 - à remplir'!$F$31:$F$400,'Étape 1 - à remplir'!$E$31:$E$400,MASQ2!BV387,'Étape 1 - à remplir'!$G$31:$G$400,"lots"),SUMIFS('Étape 1 - à remplir'!$F$31:$F$400,'Étape 1 - à remplir'!$E$31:$E$400,MASQ2!BV387,'Étape 1 - à remplir'!$P$31:$P$400,CE$3,'Étape 1 - à remplir'!$G$31:$G$400,"lots")),IF(CE$2="Atelier",IF(CE$3="Tous",SUMIFS('Étape 1 - à remplir'!$F$31:$F$400,'Étape 1 - à remplir'!$E$31:$E$400,MASQ2!BV387,'Étape 1 - à remplir'!$G$31:$G$400,"lots"),SUMIFS('Étape 1 - à remplir'!$F$31:$F$400,'Étape 1 - à remplir'!$E$31:$E$400,MASQ2!BV387,'Étape 1 - à remplir'!$O$31:$O$400,CE$3,'Étape 1 - à remplir'!$G$31:$G$400,"lots")),IF(CE$2="Espèce",IF(CE$3="Toutes",SUMIFS('Étape 1 - à remplir'!$F$31:$F$400,'Étape 1 - à remplir'!$E$31:$E$400,MASQ2!BV387,'Étape 1 - à remplir'!$G$31:$G$400,"lots"),SUMIFS('Étape 1 - à remplir'!$F$31:$F$400,'Étape 1 - à remplir'!$E$31:$E$400,MASQ2!BV387,'Étape 1 - à remplir'!$N$31:$N$400,CE$3,'Étape 1 - à remplir'!$G$31:$G$400,"lots")))))))</f>
        <v>#N/A</v>
      </c>
      <c r="BX387">
        <f t="shared" si="258"/>
        <v>0</v>
      </c>
      <c r="BY387" t="str">
        <f t="shared" si="242"/>
        <v>Oxytétracycline</v>
      </c>
      <c r="BZ387" t="str">
        <f t="shared" si="243"/>
        <v/>
      </c>
      <c r="CA387" t="str">
        <f t="shared" si="244"/>
        <v/>
      </c>
      <c r="CB387" t="str">
        <f t="shared" si="245"/>
        <v>Tetracyclines</v>
      </c>
      <c r="CC387" t="str">
        <f t="shared" si="246"/>
        <v/>
      </c>
      <c r="CD387" s="63" t="str">
        <f t="shared" si="247"/>
        <v/>
      </c>
      <c r="CG387" s="42">
        <v>384</v>
      </c>
      <c r="CH387" s="42" t="e">
        <f t="shared" si="263"/>
        <v>#N/A</v>
      </c>
      <c r="CI387" s="63" t="e">
        <f t="shared" si="264"/>
        <v>#N/A</v>
      </c>
      <c r="DM387" s="63"/>
      <c r="EA387" s="194" t="str">
        <f t="shared" ca="1" si="248"/>
        <v/>
      </c>
      <c r="EB387" s="226" t="str">
        <f>IFERROR(IF(ED387=0,"",COUNTIF(ED$4:ED$600,"&gt;"&amp;ED387)+COUNTIF(ED$4:ED387,ED387)),"")</f>
        <v/>
      </c>
      <c r="EC387" t="str">
        <f t="shared" si="249"/>
        <v>PM 17-A OXYTETRACYCLINE 40 LAPIN-VOLAILLE-PORC-AGNEAU ET CHEVREAU SEVRES</v>
      </c>
      <c r="ED387" t="e">
        <f>IF(IF(EL$2="Catégorie",IF(EL$3="Toutes",SUMIFS('Étape 1 - à remplir'!$F$31:$F$400,'Étape 1 - à remplir'!$E$31:$E$400,MASQ2!EC387,'Étape 1 - à remplir'!$G$31:$G$400,"kg"),SUMIFS('Étape 1 - à remplir'!$F$31:$F$400,'Étape 1 - à remplir'!$E$31:$E$400,MASQ2!EC387,'Étape 1 - à remplir'!$C$31:$C$400,EL$3)),IF(EL$2="Âge",IF(EL$3="Tous",SUMIFS('Étape 1 - à remplir'!$F$31:$F$400,'Étape 1 - à remplir'!$E$31:$E$400,MASQ2!EC387,'Étape 1 - à remplir'!$G$31:$G$400,"kg"),SUMIFS('Étape 1 - à remplir'!$F$31:$F$400,'Étape 1 - à remplir'!$E$31:$E$400,MASQ2!EC387,'Étape 1 - à remplir'!$P$31:$P$400,EL$3,'Étape 1 - à remplir'!$G$31:$G$400,"kg")),IF(EL$2="Atelier",IF(EL$3="Tous",SUMIFS('Étape 1 - à remplir'!$F$31:$F$400,'Étape 1 - à remplir'!$E$31:$E$400,MASQ2!EC387,'Étape 1 - à remplir'!$G$31:$G$400,"kg"),SUMIFS('Étape 1 - à remplir'!$F$31:$F$400,'Étape 1 - à remplir'!$E$31:$E$400,MASQ2!EC387,'Étape 1 - à remplir'!$O$31:$O$400,EL$3,'Étape 1 - à remplir'!$G$31:$G$400,"kg")),IF(EL$2="Espèce",IF(EL$3="Toutes",SUMIFS('Étape 1 - à remplir'!$F$31:$F$400,'Étape 1 - à remplir'!$E$31:$E$400,MASQ2!EC387,'Étape 1 - à remplir'!$G$31:$G$400,"kg"),SUMIFS('Étape 1 - à remplir'!$F$31:$F$400,'Étape 1 - à remplir'!$E$31:$E$400,MASQ2!EC387,'Étape 1 - à remplir'!$N$31:$N$400,EL$3,'Étape 1 - à remplir'!$G$31:$G$400,"kg"))))))=0,NA(),IF(EL$2="Catégorie",IF(EL$3="Toutes",SUMIFS('Étape 1 - à remplir'!$F$31:$F$400,'Étape 1 - à remplir'!$E$31:$E$400,MASQ2!EC387,'Étape 1 - à remplir'!$G$31:$G$400,"kg"),SUMIFS('Étape 1 - à remplir'!$F$31:$F$400,'Étape 1 - à remplir'!$E$31:$E$400,MASQ2!EC387,'Étape 1 - à remplir'!$C$31:$C$400,EL$3)),IF(EL$2="Âge",IF(EL$3="Tous",SUMIFS('Étape 1 - à remplir'!$F$31:$F$400,'Étape 1 - à remplir'!$E$31:$E$400,MASQ2!EC387,'Étape 1 - à remplir'!$G$31:$G$400,"kg"),SUMIFS('Étape 1 - à remplir'!$F$31:$F$400,'Étape 1 - à remplir'!$E$31:$E$400,MASQ2!EC387,'Étape 1 - à remplir'!$P$31:$P$400,EL$3,'Étape 1 - à remplir'!$G$31:$G$400,"kg")),IF(EL$2="Atelier",IF(EL$3="Tous",SUMIFS('Étape 1 - à remplir'!$F$31:$F$400,'Étape 1 - à remplir'!$E$31:$E$400,MASQ2!EC387,'Étape 1 - à remplir'!$G$31:$G$400,"kg"),SUMIFS('Étape 1 - à remplir'!$F$31:$F$400,'Étape 1 - à remplir'!$E$31:$E$400,MASQ2!EC387,'Étape 1 - à remplir'!$O$31:$O$400,EL$3,'Étape 1 - à remplir'!$G$31:$G$400,"kg")),IF(EL$2="Espèce",IF(EL$3="Toutes",SUMIFS('Étape 1 - à remplir'!$F$31:$F$400,'Étape 1 - à remplir'!$E$31:$E$400,MASQ2!EC387,'Étape 1 - à remplir'!$G$31:$G$400,"kg"),SUMIFS('Étape 1 - à remplir'!$F$31:$F$400,'Étape 1 - à remplir'!$E$31:$E$400,MASQ2!EC387,'Étape 1 - à remplir'!$N$31:$N$400,EL$3,'Étape 1 - à remplir'!$G$31:$G$400,"kg")))))))</f>
        <v>#N/A</v>
      </c>
      <c r="EE387" s="76">
        <f t="shared" si="259"/>
        <v>0</v>
      </c>
      <c r="EF387" t="str">
        <f t="shared" si="250"/>
        <v>Oxytétracycline</v>
      </c>
      <c r="EG387" t="str">
        <f t="shared" si="251"/>
        <v/>
      </c>
      <c r="EH387" t="str">
        <f t="shared" si="252"/>
        <v/>
      </c>
      <c r="EI387" t="str">
        <f t="shared" si="253"/>
        <v>Tetracyclines</v>
      </c>
      <c r="EJ387" t="str">
        <f t="shared" si="254"/>
        <v/>
      </c>
      <c r="EK387" s="63" t="str">
        <f t="shared" si="255"/>
        <v/>
      </c>
      <c r="EN387" s="42">
        <v>384</v>
      </c>
      <c r="EO387" t="e">
        <f t="shared" si="261"/>
        <v>#N/A</v>
      </c>
      <c r="EP387" s="63" t="e">
        <f t="shared" si="262"/>
        <v>#N/A</v>
      </c>
      <c r="FT387" s="63"/>
    </row>
    <row r="388" spans="2:176" x14ac:dyDescent="0.3">
      <c r="B388" s="42"/>
      <c r="M388" s="194" t="str">
        <f ca="1">INDEX(Données_ATB!BD:BU,MATCH(MASQ2!O388,Données_ATB!BD:BD,0),18)</f>
        <v/>
      </c>
      <c r="N388" s="14" t="str">
        <f>IFERROR(IF(Q388=0,"",COUNTIF(Q$4:Q$600,"&gt;"&amp;Q388)+COUNTIF(Q$4:Q388,Q388)),"")</f>
        <v/>
      </c>
      <c r="O388" t="str">
        <f>Données_ATB!BD387</f>
        <v>PM 17-B OXYTETRACYCLINE 100 PORC-AGNEAU ET CHEVREAU SEVRES</v>
      </c>
      <c r="P388" t="e">
        <f>IF(IF(X$2="Catégorie",IF(X$3="Toutes",SUMIFS('Étape 1 - à remplir'!$F$31:$F$400,'Étape 1 - à remplir'!$E$31:$E$400,MASQ2!O388,'Étape 1 - à remplir'!$G$31:$G$400,"animaux"),SUMIFS('Étape 1 - à remplir'!$F$31:$F$400,'Étape 1 - à remplir'!$E$31:$E$400,MASQ2!O388,'Étape 1 - à remplir'!$C$31:$C$400,X$3)),IF(X$2="Âge",IF(X$3="Tous",SUMIFS('Étape 1 - à remplir'!$F$31:$F$400,'Étape 1 - à remplir'!$E$31:$E$400,MASQ2!O388,'Étape 1 - à remplir'!$G$31:$G$400,"animaux"),SUMIFS('Étape 1 - à remplir'!$F$31:$F$400,'Étape 1 - à remplir'!$E$31:$E$400,MASQ2!O388,'Étape 1 - à remplir'!$P$31:$P$400,X$3)),IF(X$2="Atelier",IF(X$3="Tous",SUMIFS('Étape 1 - à remplir'!$F$31:$F$400,'Étape 1 - à remplir'!$E$31:$E$400,MASQ2!O388,'Étape 1 - à remplir'!$G$31:$G$400,"animaux"),SUMIFS('Étape 1 - à remplir'!$F$31:$F$400,'Étape 1 - à remplir'!$E$31:$E$400,MASQ2!O388,'Étape 1 - à remplir'!$O$31:$O$400,X$3)),IF(X$2="Espèce",IF(X$3="Toutes",SUMIFS('Étape 1 - à remplir'!$F$31:$F$400,'Étape 1 - à remplir'!$E$31:$E$400,MASQ2!O388,'Étape 1 - à remplir'!$G$31:$G$400,"animaux"),SUMIFS('Étape 1 - à remplir'!$F$31:$F$400,'Étape 1 - à remplir'!$E$31:$E$400,MASQ2!O388,'Étape 1 - à remplir'!$N$31:$N$400,X$3))))))=0,NA(),IF(X$2="Catégorie",IF(X$3="Toutes",SUMIFS('Étape 1 - à remplir'!$F$31:$F$400,'Étape 1 - à remplir'!$E$31:$E$400,MASQ2!O388,'Étape 1 - à remplir'!$G$31:$G$400,"animaux"),SUMIFS('Étape 1 - à remplir'!$F$31:$F$400,'Étape 1 - à remplir'!$E$31:$E$400,MASQ2!O388,'Étape 1 - à remplir'!$C$31:$C$400,X$3)),IF(X$2="Âge",IF(X$3="Tous",SUMIFS('Étape 1 - à remplir'!$F$31:$F$400,'Étape 1 - à remplir'!$E$31:$E$400,MASQ2!O388,'Étape 1 - à remplir'!$G$31:$G$400,"animaux"),SUMIFS('Étape 1 - à remplir'!$F$31:$F$400,'Étape 1 - à remplir'!$E$31:$E$400,MASQ2!O388,'Étape 1 - à remplir'!$P$31:$P$400,X$3)),IF(X$2="Atelier",IF(X$3="Tous",SUMIFS('Étape 1 - à remplir'!$F$31:$F$400,'Étape 1 - à remplir'!$E$31:$E$400,MASQ2!O388,'Étape 1 - à remplir'!$G$31:$G$400,"animaux"),SUMIFS('Étape 1 - à remplir'!$F$31:$F$400,'Étape 1 - à remplir'!$E$31:$E$400,MASQ2!O388,'Étape 1 - à remplir'!$O$31:$O$400,X$3)),IF(X$2="Espèce",IF(X$3="Toutes",SUMIFS('Étape 1 - à remplir'!$F$31:$F$400,'Étape 1 - à remplir'!$E$31:$E$400,MASQ2!O388,'Étape 1 - à remplir'!$G$31:$G$400,"animaux"),SUMIFS('Étape 1 - à remplir'!$F$31:$F$400,'Étape 1 - à remplir'!$E$31:$E$400,MASQ2!O388,'Étape 1 - à remplir'!$N$31:$N$400,X$3)))))))</f>
        <v>#N/A</v>
      </c>
      <c r="Q388" s="63">
        <f t="shared" si="260"/>
        <v>0</v>
      </c>
      <c r="R388" t="str">
        <f>Données_ATB!BM387</f>
        <v>Oxytétracycline</v>
      </c>
      <c r="S388" t="str">
        <f>Données_ATB!BN387</f>
        <v/>
      </c>
      <c r="T388" s="63" t="str">
        <f>Données_ATB!BO387</f>
        <v/>
      </c>
      <c r="U388" s="42" t="str">
        <f>Données_ATB!BQ387</f>
        <v>Tetracyclines</v>
      </c>
      <c r="V388" t="str">
        <f>Données_ATB!BR387</f>
        <v/>
      </c>
      <c r="W388" s="63" t="str">
        <f>Données_ATB!BS387</f>
        <v/>
      </c>
      <c r="Z388" s="42">
        <v>385</v>
      </c>
      <c r="AA388" t="e">
        <f t="shared" si="256"/>
        <v>#N/A</v>
      </c>
      <c r="AB388" s="63" t="e">
        <f t="shared" si="257"/>
        <v>#N/A</v>
      </c>
      <c r="BF388" s="63"/>
      <c r="BT388" s="194" t="str">
        <f t="shared" ref="BT388:BT451" ca="1" si="265">M388</f>
        <v/>
      </c>
      <c r="BU388" s="219" t="str">
        <f>IFERROR(IF(BX388=0,"",COUNTIF(BX$4:BX$600,"&gt;"&amp;BX388)+COUNTIF(BX$4:BX388,BX388)),"")</f>
        <v/>
      </c>
      <c r="BV388" s="42" t="str">
        <f t="shared" ref="BV388:BV451" si="266">O388</f>
        <v>PM 17-B OXYTETRACYCLINE 100 PORC-AGNEAU ET CHEVREAU SEVRES</v>
      </c>
      <c r="BW388" t="e">
        <f>IF(IF(CE$2="Catégorie",IF(CE$3="Toutes",SUMIFS('Étape 1 - à remplir'!$F$31:$F$400,'Étape 1 - à remplir'!$E$31:$E$400,MASQ2!BV388,'Étape 1 - à remplir'!$G$31:$G$400,"lots"),SUMIFS('Étape 1 - à remplir'!$F$31:$F$400,'Étape 1 - à remplir'!$E$31:$E$400,MASQ2!BV388,'Étape 1 - à remplir'!$C$31:$C$400,CE$3)),IF(CE$2="Âge",IF(CE$3="Tous",SUMIFS('Étape 1 - à remplir'!$F$31:$F$400,'Étape 1 - à remplir'!$E$31:$E$400,MASQ2!BV388,'Étape 1 - à remplir'!$G$31:$G$400,"lots"),SUMIFS('Étape 1 - à remplir'!$F$31:$F$400,'Étape 1 - à remplir'!$E$31:$E$400,MASQ2!BV388,'Étape 1 - à remplir'!$P$31:$P$400,CE$3,'Étape 1 - à remplir'!$G$31:$G$400,"lots")),IF(CE$2="Atelier",IF(CE$3="Tous",SUMIFS('Étape 1 - à remplir'!$F$31:$F$400,'Étape 1 - à remplir'!$E$31:$E$400,MASQ2!BV388,'Étape 1 - à remplir'!$G$31:$G$400,"lots"),SUMIFS('Étape 1 - à remplir'!$F$31:$F$400,'Étape 1 - à remplir'!$E$31:$E$400,MASQ2!BV388,'Étape 1 - à remplir'!$O$31:$O$400,CE$3,'Étape 1 - à remplir'!$G$31:$G$400,"lots")),IF(CE$2="Espèce",IF(CE$3="Toutes",SUMIFS('Étape 1 - à remplir'!$F$31:$F$400,'Étape 1 - à remplir'!$E$31:$E$400,MASQ2!BV388,'Étape 1 - à remplir'!$G$31:$G$400,"lots"),SUMIFS('Étape 1 - à remplir'!$F$31:$F$400,'Étape 1 - à remplir'!$E$31:$E$400,MASQ2!BV388,'Étape 1 - à remplir'!$N$31:$N$400,CE$3,'Étape 1 - à remplir'!$G$31:$G$400,"lots"))))))=0,NA(),IF(CE$2="Catégorie",IF(CE$3="Toutes",SUMIFS('Étape 1 - à remplir'!$F$31:$F$400,'Étape 1 - à remplir'!$E$31:$E$400,MASQ2!BV388,'Étape 1 - à remplir'!$G$31:$G$400,"lots"),SUMIFS('Étape 1 - à remplir'!$F$31:$F$400,'Étape 1 - à remplir'!$E$31:$E$400,MASQ2!BV388,'Étape 1 - à remplir'!$C$31:$C$400,CE$3)),IF(CE$2="Âge",IF(CE$3="Tous",SUMIFS('Étape 1 - à remplir'!$F$31:$F$400,'Étape 1 - à remplir'!$E$31:$E$400,MASQ2!BV388,'Étape 1 - à remplir'!$G$31:$G$400,"lots"),SUMIFS('Étape 1 - à remplir'!$F$31:$F$400,'Étape 1 - à remplir'!$E$31:$E$400,MASQ2!BV388,'Étape 1 - à remplir'!$P$31:$P$400,CE$3,'Étape 1 - à remplir'!$G$31:$G$400,"lots")),IF(CE$2="Atelier",IF(CE$3="Tous",SUMIFS('Étape 1 - à remplir'!$F$31:$F$400,'Étape 1 - à remplir'!$E$31:$E$400,MASQ2!BV388,'Étape 1 - à remplir'!$G$31:$G$400,"lots"),SUMIFS('Étape 1 - à remplir'!$F$31:$F$400,'Étape 1 - à remplir'!$E$31:$E$400,MASQ2!BV388,'Étape 1 - à remplir'!$O$31:$O$400,CE$3,'Étape 1 - à remplir'!$G$31:$G$400,"lots")),IF(CE$2="Espèce",IF(CE$3="Toutes",SUMIFS('Étape 1 - à remplir'!$F$31:$F$400,'Étape 1 - à remplir'!$E$31:$E$400,MASQ2!BV388,'Étape 1 - à remplir'!$G$31:$G$400,"lots"),SUMIFS('Étape 1 - à remplir'!$F$31:$F$400,'Étape 1 - à remplir'!$E$31:$E$400,MASQ2!BV388,'Étape 1 - à remplir'!$N$31:$N$400,CE$3,'Étape 1 - à remplir'!$G$31:$G$400,"lots")))))))</f>
        <v>#N/A</v>
      </c>
      <c r="BX388">
        <f t="shared" si="258"/>
        <v>0</v>
      </c>
      <c r="BY388" t="str">
        <f t="shared" ref="BY388:BY451" si="267">R388</f>
        <v>Oxytétracycline</v>
      </c>
      <c r="BZ388" t="str">
        <f t="shared" ref="BZ388:BZ451" si="268">S388</f>
        <v/>
      </c>
      <c r="CA388" t="str">
        <f t="shared" ref="CA388:CA451" si="269">T388</f>
        <v/>
      </c>
      <c r="CB388" t="str">
        <f t="shared" ref="CB388:CB451" si="270">U388</f>
        <v>Tetracyclines</v>
      </c>
      <c r="CC388" t="str">
        <f t="shared" ref="CC388:CC451" si="271">V388</f>
        <v/>
      </c>
      <c r="CD388" s="63" t="str">
        <f t="shared" ref="CD388:CD451" si="272">W388</f>
        <v/>
      </c>
      <c r="CG388" s="42">
        <v>385</v>
      </c>
      <c r="CH388" s="42" t="e">
        <f t="shared" si="263"/>
        <v>#N/A</v>
      </c>
      <c r="CI388" s="63" t="e">
        <f t="shared" si="264"/>
        <v>#N/A</v>
      </c>
      <c r="DM388" s="63"/>
      <c r="EA388" s="194" t="str">
        <f t="shared" ref="EA388:EA451" ca="1" si="273">M388</f>
        <v/>
      </c>
      <c r="EB388" s="226" t="str">
        <f>IFERROR(IF(ED388=0,"",COUNTIF(ED$4:ED$600,"&gt;"&amp;ED388)+COUNTIF(ED$4:ED388,ED388)),"")</f>
        <v/>
      </c>
      <c r="EC388" t="str">
        <f t="shared" ref="EC388:EC451" si="274">O388</f>
        <v>PM 17-B OXYTETRACYCLINE 100 PORC-AGNEAU ET CHEVREAU SEVRES</v>
      </c>
      <c r="ED388" t="e">
        <f>IF(IF(EL$2="Catégorie",IF(EL$3="Toutes",SUMIFS('Étape 1 - à remplir'!$F$31:$F$400,'Étape 1 - à remplir'!$E$31:$E$400,MASQ2!EC388,'Étape 1 - à remplir'!$G$31:$G$400,"kg"),SUMIFS('Étape 1 - à remplir'!$F$31:$F$400,'Étape 1 - à remplir'!$E$31:$E$400,MASQ2!EC388,'Étape 1 - à remplir'!$C$31:$C$400,EL$3)),IF(EL$2="Âge",IF(EL$3="Tous",SUMIFS('Étape 1 - à remplir'!$F$31:$F$400,'Étape 1 - à remplir'!$E$31:$E$400,MASQ2!EC388,'Étape 1 - à remplir'!$G$31:$G$400,"kg"),SUMIFS('Étape 1 - à remplir'!$F$31:$F$400,'Étape 1 - à remplir'!$E$31:$E$400,MASQ2!EC388,'Étape 1 - à remplir'!$P$31:$P$400,EL$3,'Étape 1 - à remplir'!$G$31:$G$400,"kg")),IF(EL$2="Atelier",IF(EL$3="Tous",SUMIFS('Étape 1 - à remplir'!$F$31:$F$400,'Étape 1 - à remplir'!$E$31:$E$400,MASQ2!EC388,'Étape 1 - à remplir'!$G$31:$G$400,"kg"),SUMIFS('Étape 1 - à remplir'!$F$31:$F$400,'Étape 1 - à remplir'!$E$31:$E$400,MASQ2!EC388,'Étape 1 - à remplir'!$O$31:$O$400,EL$3,'Étape 1 - à remplir'!$G$31:$G$400,"kg")),IF(EL$2="Espèce",IF(EL$3="Toutes",SUMIFS('Étape 1 - à remplir'!$F$31:$F$400,'Étape 1 - à remplir'!$E$31:$E$400,MASQ2!EC388,'Étape 1 - à remplir'!$G$31:$G$400,"kg"),SUMIFS('Étape 1 - à remplir'!$F$31:$F$400,'Étape 1 - à remplir'!$E$31:$E$400,MASQ2!EC388,'Étape 1 - à remplir'!$N$31:$N$400,EL$3,'Étape 1 - à remplir'!$G$31:$G$400,"kg"))))))=0,NA(),IF(EL$2="Catégorie",IF(EL$3="Toutes",SUMIFS('Étape 1 - à remplir'!$F$31:$F$400,'Étape 1 - à remplir'!$E$31:$E$400,MASQ2!EC388,'Étape 1 - à remplir'!$G$31:$G$400,"kg"),SUMIFS('Étape 1 - à remplir'!$F$31:$F$400,'Étape 1 - à remplir'!$E$31:$E$400,MASQ2!EC388,'Étape 1 - à remplir'!$C$31:$C$400,EL$3)),IF(EL$2="Âge",IF(EL$3="Tous",SUMIFS('Étape 1 - à remplir'!$F$31:$F$400,'Étape 1 - à remplir'!$E$31:$E$400,MASQ2!EC388,'Étape 1 - à remplir'!$G$31:$G$400,"kg"),SUMIFS('Étape 1 - à remplir'!$F$31:$F$400,'Étape 1 - à remplir'!$E$31:$E$400,MASQ2!EC388,'Étape 1 - à remplir'!$P$31:$P$400,EL$3,'Étape 1 - à remplir'!$G$31:$G$400,"kg")),IF(EL$2="Atelier",IF(EL$3="Tous",SUMIFS('Étape 1 - à remplir'!$F$31:$F$400,'Étape 1 - à remplir'!$E$31:$E$400,MASQ2!EC388,'Étape 1 - à remplir'!$G$31:$G$400,"kg"),SUMIFS('Étape 1 - à remplir'!$F$31:$F$400,'Étape 1 - à remplir'!$E$31:$E$400,MASQ2!EC388,'Étape 1 - à remplir'!$O$31:$O$400,EL$3,'Étape 1 - à remplir'!$G$31:$G$400,"kg")),IF(EL$2="Espèce",IF(EL$3="Toutes",SUMIFS('Étape 1 - à remplir'!$F$31:$F$400,'Étape 1 - à remplir'!$E$31:$E$400,MASQ2!EC388,'Étape 1 - à remplir'!$G$31:$G$400,"kg"),SUMIFS('Étape 1 - à remplir'!$F$31:$F$400,'Étape 1 - à remplir'!$E$31:$E$400,MASQ2!EC388,'Étape 1 - à remplir'!$N$31:$N$400,EL$3,'Étape 1 - à remplir'!$G$31:$G$400,"kg")))))))</f>
        <v>#N/A</v>
      </c>
      <c r="EE388" s="76">
        <f t="shared" si="259"/>
        <v>0</v>
      </c>
      <c r="EF388" t="str">
        <f t="shared" ref="EF388:EF451" si="275">R388</f>
        <v>Oxytétracycline</v>
      </c>
      <c r="EG388" t="str">
        <f t="shared" ref="EG388:EG451" si="276">S388</f>
        <v/>
      </c>
      <c r="EH388" t="str">
        <f t="shared" ref="EH388:EH451" si="277">T388</f>
        <v/>
      </c>
      <c r="EI388" t="str">
        <f t="shared" ref="EI388:EI451" si="278">U388</f>
        <v>Tetracyclines</v>
      </c>
      <c r="EJ388" t="str">
        <f t="shared" ref="EJ388:EJ451" si="279">V388</f>
        <v/>
      </c>
      <c r="EK388" s="63" t="str">
        <f t="shared" ref="EK388:EK451" si="280">W388</f>
        <v/>
      </c>
      <c r="EN388" s="42">
        <v>385</v>
      </c>
      <c r="EO388" t="e">
        <f t="shared" si="261"/>
        <v>#N/A</v>
      </c>
      <c r="EP388" s="63" t="e">
        <f t="shared" si="262"/>
        <v>#N/A</v>
      </c>
      <c r="FT388" s="63"/>
    </row>
    <row r="389" spans="2:176" x14ac:dyDescent="0.3">
      <c r="B389" s="42"/>
      <c r="M389" s="194" t="str">
        <f ca="1">INDEX(Données_ATB!BD:BU,MATCH(MASQ2!O389,Données_ATB!BD:BD,0),18)</f>
        <v/>
      </c>
      <c r="N389" s="14" t="str">
        <f>IFERROR(IF(Q389=0,"",COUNTIF(Q$4:Q$600,"&gt;"&amp;Q389)+COUNTIF(Q$4:Q389,Q389)),"")</f>
        <v/>
      </c>
      <c r="O389" t="str">
        <f>Données_ATB!BD388</f>
        <v>PM 18-3 TIAMULINE 6.5 DELTAVIT ENTERITE PORC ENTEROCOLITE LAPIN</v>
      </c>
      <c r="P389" t="e">
        <f>IF(IF(X$2="Catégorie",IF(X$3="Toutes",SUMIFS('Étape 1 - à remplir'!$F$31:$F$400,'Étape 1 - à remplir'!$E$31:$E$400,MASQ2!O389,'Étape 1 - à remplir'!$G$31:$G$400,"animaux"),SUMIFS('Étape 1 - à remplir'!$F$31:$F$400,'Étape 1 - à remplir'!$E$31:$E$400,MASQ2!O389,'Étape 1 - à remplir'!$C$31:$C$400,X$3)),IF(X$2="Âge",IF(X$3="Tous",SUMIFS('Étape 1 - à remplir'!$F$31:$F$400,'Étape 1 - à remplir'!$E$31:$E$400,MASQ2!O389,'Étape 1 - à remplir'!$G$31:$G$400,"animaux"),SUMIFS('Étape 1 - à remplir'!$F$31:$F$400,'Étape 1 - à remplir'!$E$31:$E$400,MASQ2!O389,'Étape 1 - à remplir'!$P$31:$P$400,X$3)),IF(X$2="Atelier",IF(X$3="Tous",SUMIFS('Étape 1 - à remplir'!$F$31:$F$400,'Étape 1 - à remplir'!$E$31:$E$400,MASQ2!O389,'Étape 1 - à remplir'!$G$31:$G$400,"animaux"),SUMIFS('Étape 1 - à remplir'!$F$31:$F$400,'Étape 1 - à remplir'!$E$31:$E$400,MASQ2!O389,'Étape 1 - à remplir'!$O$31:$O$400,X$3)),IF(X$2="Espèce",IF(X$3="Toutes",SUMIFS('Étape 1 - à remplir'!$F$31:$F$400,'Étape 1 - à remplir'!$E$31:$E$400,MASQ2!O389,'Étape 1 - à remplir'!$G$31:$G$400,"animaux"),SUMIFS('Étape 1 - à remplir'!$F$31:$F$400,'Étape 1 - à remplir'!$E$31:$E$400,MASQ2!O389,'Étape 1 - à remplir'!$N$31:$N$400,X$3))))))=0,NA(),IF(X$2="Catégorie",IF(X$3="Toutes",SUMIFS('Étape 1 - à remplir'!$F$31:$F$400,'Étape 1 - à remplir'!$E$31:$E$400,MASQ2!O389,'Étape 1 - à remplir'!$G$31:$G$400,"animaux"),SUMIFS('Étape 1 - à remplir'!$F$31:$F$400,'Étape 1 - à remplir'!$E$31:$E$400,MASQ2!O389,'Étape 1 - à remplir'!$C$31:$C$400,X$3)),IF(X$2="Âge",IF(X$3="Tous",SUMIFS('Étape 1 - à remplir'!$F$31:$F$400,'Étape 1 - à remplir'!$E$31:$E$400,MASQ2!O389,'Étape 1 - à remplir'!$G$31:$G$400,"animaux"),SUMIFS('Étape 1 - à remplir'!$F$31:$F$400,'Étape 1 - à remplir'!$E$31:$E$400,MASQ2!O389,'Étape 1 - à remplir'!$P$31:$P$400,X$3)),IF(X$2="Atelier",IF(X$3="Tous",SUMIFS('Étape 1 - à remplir'!$F$31:$F$400,'Étape 1 - à remplir'!$E$31:$E$400,MASQ2!O389,'Étape 1 - à remplir'!$G$31:$G$400,"animaux"),SUMIFS('Étape 1 - à remplir'!$F$31:$F$400,'Étape 1 - à remplir'!$E$31:$E$400,MASQ2!O389,'Étape 1 - à remplir'!$O$31:$O$400,X$3)),IF(X$2="Espèce",IF(X$3="Toutes",SUMIFS('Étape 1 - à remplir'!$F$31:$F$400,'Étape 1 - à remplir'!$E$31:$E$400,MASQ2!O389,'Étape 1 - à remplir'!$G$31:$G$400,"animaux"),SUMIFS('Étape 1 - à remplir'!$F$31:$F$400,'Étape 1 - à remplir'!$E$31:$E$400,MASQ2!O389,'Étape 1 - à remplir'!$N$31:$N$400,X$3)))))))</f>
        <v>#N/A</v>
      </c>
      <c r="Q389" s="63">
        <f t="shared" si="260"/>
        <v>0</v>
      </c>
      <c r="R389" t="str">
        <f>Données_ATB!BM388</f>
        <v>Tiamuline</v>
      </c>
      <c r="S389" t="str">
        <f>Données_ATB!BN388</f>
        <v/>
      </c>
      <c r="T389" s="63" t="str">
        <f>Données_ATB!BO388</f>
        <v/>
      </c>
      <c r="U389" s="42" t="str">
        <f>Données_ATB!BQ388</f>
        <v>Pleuromutilines</v>
      </c>
      <c r="V389" t="str">
        <f>Données_ATB!BR388</f>
        <v/>
      </c>
      <c r="W389" s="63" t="str">
        <f>Données_ATB!BS388</f>
        <v/>
      </c>
      <c r="Z389" s="42">
        <v>386</v>
      </c>
      <c r="AA389" t="e">
        <f t="shared" ref="AA389:AA452" si="281">INDEX(N$3:Q$600,MATCH(Z389,N$3:N$600,0),2)</f>
        <v>#N/A</v>
      </c>
      <c r="AB389" s="63" t="e">
        <f t="shared" ref="AB389:AB452" si="282">INDEX(N$3:Q$600,MATCH(Z389,N$3:N$600,0),4)</f>
        <v>#N/A</v>
      </c>
      <c r="BF389" s="63"/>
      <c r="BT389" s="194" t="str">
        <f t="shared" ca="1" si="265"/>
        <v/>
      </c>
      <c r="BU389" s="219" t="str">
        <f>IFERROR(IF(BX389=0,"",COUNTIF(BX$4:BX$600,"&gt;"&amp;BX389)+COUNTIF(BX$4:BX389,BX389)),"")</f>
        <v/>
      </c>
      <c r="BV389" s="42" t="str">
        <f t="shared" si="266"/>
        <v>PM 18-3 TIAMULINE 6.5 DELTAVIT ENTERITE PORC ENTEROCOLITE LAPIN</v>
      </c>
      <c r="BW389" t="e">
        <f>IF(IF(CE$2="Catégorie",IF(CE$3="Toutes",SUMIFS('Étape 1 - à remplir'!$F$31:$F$400,'Étape 1 - à remplir'!$E$31:$E$400,MASQ2!BV389,'Étape 1 - à remplir'!$G$31:$G$400,"lots"),SUMIFS('Étape 1 - à remplir'!$F$31:$F$400,'Étape 1 - à remplir'!$E$31:$E$400,MASQ2!BV389,'Étape 1 - à remplir'!$C$31:$C$400,CE$3)),IF(CE$2="Âge",IF(CE$3="Tous",SUMIFS('Étape 1 - à remplir'!$F$31:$F$400,'Étape 1 - à remplir'!$E$31:$E$400,MASQ2!BV389,'Étape 1 - à remplir'!$G$31:$G$400,"lots"),SUMIFS('Étape 1 - à remplir'!$F$31:$F$400,'Étape 1 - à remplir'!$E$31:$E$400,MASQ2!BV389,'Étape 1 - à remplir'!$P$31:$P$400,CE$3,'Étape 1 - à remplir'!$G$31:$G$400,"lots")),IF(CE$2="Atelier",IF(CE$3="Tous",SUMIFS('Étape 1 - à remplir'!$F$31:$F$400,'Étape 1 - à remplir'!$E$31:$E$400,MASQ2!BV389,'Étape 1 - à remplir'!$G$31:$G$400,"lots"),SUMIFS('Étape 1 - à remplir'!$F$31:$F$400,'Étape 1 - à remplir'!$E$31:$E$400,MASQ2!BV389,'Étape 1 - à remplir'!$O$31:$O$400,CE$3,'Étape 1 - à remplir'!$G$31:$G$400,"lots")),IF(CE$2="Espèce",IF(CE$3="Toutes",SUMIFS('Étape 1 - à remplir'!$F$31:$F$400,'Étape 1 - à remplir'!$E$31:$E$400,MASQ2!BV389,'Étape 1 - à remplir'!$G$31:$G$400,"lots"),SUMIFS('Étape 1 - à remplir'!$F$31:$F$400,'Étape 1 - à remplir'!$E$31:$E$400,MASQ2!BV389,'Étape 1 - à remplir'!$N$31:$N$400,CE$3,'Étape 1 - à remplir'!$G$31:$G$400,"lots"))))))=0,NA(),IF(CE$2="Catégorie",IF(CE$3="Toutes",SUMIFS('Étape 1 - à remplir'!$F$31:$F$400,'Étape 1 - à remplir'!$E$31:$E$400,MASQ2!BV389,'Étape 1 - à remplir'!$G$31:$G$400,"lots"),SUMIFS('Étape 1 - à remplir'!$F$31:$F$400,'Étape 1 - à remplir'!$E$31:$E$400,MASQ2!BV389,'Étape 1 - à remplir'!$C$31:$C$400,CE$3)),IF(CE$2="Âge",IF(CE$3="Tous",SUMIFS('Étape 1 - à remplir'!$F$31:$F$400,'Étape 1 - à remplir'!$E$31:$E$400,MASQ2!BV389,'Étape 1 - à remplir'!$G$31:$G$400,"lots"),SUMIFS('Étape 1 - à remplir'!$F$31:$F$400,'Étape 1 - à remplir'!$E$31:$E$400,MASQ2!BV389,'Étape 1 - à remplir'!$P$31:$P$400,CE$3,'Étape 1 - à remplir'!$G$31:$G$400,"lots")),IF(CE$2="Atelier",IF(CE$3="Tous",SUMIFS('Étape 1 - à remplir'!$F$31:$F$400,'Étape 1 - à remplir'!$E$31:$E$400,MASQ2!BV389,'Étape 1 - à remplir'!$G$31:$G$400,"lots"),SUMIFS('Étape 1 - à remplir'!$F$31:$F$400,'Étape 1 - à remplir'!$E$31:$E$400,MASQ2!BV389,'Étape 1 - à remplir'!$O$31:$O$400,CE$3,'Étape 1 - à remplir'!$G$31:$G$400,"lots")),IF(CE$2="Espèce",IF(CE$3="Toutes",SUMIFS('Étape 1 - à remplir'!$F$31:$F$400,'Étape 1 - à remplir'!$E$31:$E$400,MASQ2!BV389,'Étape 1 - à remplir'!$G$31:$G$400,"lots"),SUMIFS('Étape 1 - à remplir'!$F$31:$F$400,'Étape 1 - à remplir'!$E$31:$E$400,MASQ2!BV389,'Étape 1 - à remplir'!$N$31:$N$400,CE$3,'Étape 1 - à remplir'!$G$31:$G$400,"lots")))))))</f>
        <v>#N/A</v>
      </c>
      <c r="BX389">
        <f t="shared" ref="BX389:BX452" si="283">IFERROR(BW389,0)</f>
        <v>0</v>
      </c>
      <c r="BY389" t="str">
        <f t="shared" si="267"/>
        <v>Tiamuline</v>
      </c>
      <c r="BZ389" t="str">
        <f t="shared" si="268"/>
        <v/>
      </c>
      <c r="CA389" t="str">
        <f t="shared" si="269"/>
        <v/>
      </c>
      <c r="CB389" t="str">
        <f t="shared" si="270"/>
        <v>Pleuromutilines</v>
      </c>
      <c r="CC389" t="str">
        <f t="shared" si="271"/>
        <v/>
      </c>
      <c r="CD389" s="63" t="str">
        <f t="shared" si="272"/>
        <v/>
      </c>
      <c r="CG389" s="42">
        <v>386</v>
      </c>
      <c r="CH389" s="42" t="e">
        <f t="shared" si="263"/>
        <v>#N/A</v>
      </c>
      <c r="CI389" s="63" t="e">
        <f t="shared" si="264"/>
        <v>#N/A</v>
      </c>
      <c r="DM389" s="63"/>
      <c r="EA389" s="194" t="str">
        <f t="shared" ca="1" si="273"/>
        <v/>
      </c>
      <c r="EB389" s="226" t="str">
        <f>IFERROR(IF(ED389=0,"",COUNTIF(ED$4:ED$600,"&gt;"&amp;ED389)+COUNTIF(ED$4:ED389,ED389)),"")</f>
        <v/>
      </c>
      <c r="EC389" t="str">
        <f t="shared" si="274"/>
        <v>PM 18-3 TIAMULINE 6.5 DELTAVIT ENTERITE PORC ENTEROCOLITE LAPIN</v>
      </c>
      <c r="ED389" t="e">
        <f>IF(IF(EL$2="Catégorie",IF(EL$3="Toutes",SUMIFS('Étape 1 - à remplir'!$F$31:$F$400,'Étape 1 - à remplir'!$E$31:$E$400,MASQ2!EC389,'Étape 1 - à remplir'!$G$31:$G$400,"kg"),SUMIFS('Étape 1 - à remplir'!$F$31:$F$400,'Étape 1 - à remplir'!$E$31:$E$400,MASQ2!EC389,'Étape 1 - à remplir'!$C$31:$C$400,EL$3)),IF(EL$2="Âge",IF(EL$3="Tous",SUMIFS('Étape 1 - à remplir'!$F$31:$F$400,'Étape 1 - à remplir'!$E$31:$E$400,MASQ2!EC389,'Étape 1 - à remplir'!$G$31:$G$400,"kg"),SUMIFS('Étape 1 - à remplir'!$F$31:$F$400,'Étape 1 - à remplir'!$E$31:$E$400,MASQ2!EC389,'Étape 1 - à remplir'!$P$31:$P$400,EL$3,'Étape 1 - à remplir'!$G$31:$G$400,"kg")),IF(EL$2="Atelier",IF(EL$3="Tous",SUMIFS('Étape 1 - à remplir'!$F$31:$F$400,'Étape 1 - à remplir'!$E$31:$E$400,MASQ2!EC389,'Étape 1 - à remplir'!$G$31:$G$400,"kg"),SUMIFS('Étape 1 - à remplir'!$F$31:$F$400,'Étape 1 - à remplir'!$E$31:$E$400,MASQ2!EC389,'Étape 1 - à remplir'!$O$31:$O$400,EL$3,'Étape 1 - à remplir'!$G$31:$G$400,"kg")),IF(EL$2="Espèce",IF(EL$3="Toutes",SUMIFS('Étape 1 - à remplir'!$F$31:$F$400,'Étape 1 - à remplir'!$E$31:$E$400,MASQ2!EC389,'Étape 1 - à remplir'!$G$31:$G$400,"kg"),SUMIFS('Étape 1 - à remplir'!$F$31:$F$400,'Étape 1 - à remplir'!$E$31:$E$400,MASQ2!EC389,'Étape 1 - à remplir'!$N$31:$N$400,EL$3,'Étape 1 - à remplir'!$G$31:$G$400,"kg"))))))=0,NA(),IF(EL$2="Catégorie",IF(EL$3="Toutes",SUMIFS('Étape 1 - à remplir'!$F$31:$F$400,'Étape 1 - à remplir'!$E$31:$E$400,MASQ2!EC389,'Étape 1 - à remplir'!$G$31:$G$400,"kg"),SUMIFS('Étape 1 - à remplir'!$F$31:$F$400,'Étape 1 - à remplir'!$E$31:$E$400,MASQ2!EC389,'Étape 1 - à remplir'!$C$31:$C$400,EL$3)),IF(EL$2="Âge",IF(EL$3="Tous",SUMIFS('Étape 1 - à remplir'!$F$31:$F$400,'Étape 1 - à remplir'!$E$31:$E$400,MASQ2!EC389,'Étape 1 - à remplir'!$G$31:$G$400,"kg"),SUMIFS('Étape 1 - à remplir'!$F$31:$F$400,'Étape 1 - à remplir'!$E$31:$E$400,MASQ2!EC389,'Étape 1 - à remplir'!$P$31:$P$400,EL$3,'Étape 1 - à remplir'!$G$31:$G$400,"kg")),IF(EL$2="Atelier",IF(EL$3="Tous",SUMIFS('Étape 1 - à remplir'!$F$31:$F$400,'Étape 1 - à remplir'!$E$31:$E$400,MASQ2!EC389,'Étape 1 - à remplir'!$G$31:$G$400,"kg"),SUMIFS('Étape 1 - à remplir'!$F$31:$F$400,'Étape 1 - à remplir'!$E$31:$E$400,MASQ2!EC389,'Étape 1 - à remplir'!$O$31:$O$400,EL$3,'Étape 1 - à remplir'!$G$31:$G$400,"kg")),IF(EL$2="Espèce",IF(EL$3="Toutes",SUMIFS('Étape 1 - à remplir'!$F$31:$F$400,'Étape 1 - à remplir'!$E$31:$E$400,MASQ2!EC389,'Étape 1 - à remplir'!$G$31:$G$400,"kg"),SUMIFS('Étape 1 - à remplir'!$F$31:$F$400,'Étape 1 - à remplir'!$E$31:$E$400,MASQ2!EC389,'Étape 1 - à remplir'!$N$31:$N$400,EL$3,'Étape 1 - à remplir'!$G$31:$G$400,"kg")))))))</f>
        <v>#N/A</v>
      </c>
      <c r="EE389" s="76">
        <f t="shared" ref="EE389:EE452" si="284">IFERROR(ED389,0)</f>
        <v>0</v>
      </c>
      <c r="EF389" t="str">
        <f t="shared" si="275"/>
        <v>Tiamuline</v>
      </c>
      <c r="EG389" t="str">
        <f t="shared" si="276"/>
        <v/>
      </c>
      <c r="EH389" t="str">
        <f t="shared" si="277"/>
        <v/>
      </c>
      <c r="EI389" t="str">
        <f t="shared" si="278"/>
        <v>Pleuromutilines</v>
      </c>
      <c r="EJ389" t="str">
        <f t="shared" si="279"/>
        <v/>
      </c>
      <c r="EK389" s="63" t="str">
        <f t="shared" si="280"/>
        <v/>
      </c>
      <c r="EN389" s="42">
        <v>386</v>
      </c>
      <c r="EO389" t="e">
        <f t="shared" si="261"/>
        <v>#N/A</v>
      </c>
      <c r="EP389" s="63" t="e">
        <f t="shared" si="262"/>
        <v>#N/A</v>
      </c>
      <c r="FT389" s="63"/>
    </row>
    <row r="390" spans="2:176" x14ac:dyDescent="0.3">
      <c r="B390" s="42"/>
      <c r="M390" s="194" t="str">
        <f ca="1">INDEX(Données_ATB!BD:BU,MATCH(MASQ2!O390,Données_ATB!BD:BD,0),18)</f>
        <v/>
      </c>
      <c r="N390" s="14" t="str">
        <f>IFERROR(IF(Q390=0,"",COUNTIF(Q$4:Q$600,"&gt;"&amp;Q390)+COUNTIF(Q$4:Q390,Q390)),"")</f>
        <v/>
      </c>
      <c r="O390" t="str">
        <f>Données_ATB!BD389</f>
        <v>PM 20 TILMICOSINE 40 PORCS</v>
      </c>
      <c r="P390" t="e">
        <f>IF(IF(X$2="Catégorie",IF(X$3="Toutes",SUMIFS('Étape 1 - à remplir'!$F$31:$F$400,'Étape 1 - à remplir'!$E$31:$E$400,MASQ2!O390,'Étape 1 - à remplir'!$G$31:$G$400,"animaux"),SUMIFS('Étape 1 - à remplir'!$F$31:$F$400,'Étape 1 - à remplir'!$E$31:$E$400,MASQ2!O390,'Étape 1 - à remplir'!$C$31:$C$400,X$3)),IF(X$2="Âge",IF(X$3="Tous",SUMIFS('Étape 1 - à remplir'!$F$31:$F$400,'Étape 1 - à remplir'!$E$31:$E$400,MASQ2!O390,'Étape 1 - à remplir'!$G$31:$G$400,"animaux"),SUMIFS('Étape 1 - à remplir'!$F$31:$F$400,'Étape 1 - à remplir'!$E$31:$E$400,MASQ2!O390,'Étape 1 - à remplir'!$P$31:$P$400,X$3)),IF(X$2="Atelier",IF(X$3="Tous",SUMIFS('Étape 1 - à remplir'!$F$31:$F$400,'Étape 1 - à remplir'!$E$31:$E$400,MASQ2!O390,'Étape 1 - à remplir'!$G$31:$G$400,"animaux"),SUMIFS('Étape 1 - à remplir'!$F$31:$F$400,'Étape 1 - à remplir'!$E$31:$E$400,MASQ2!O390,'Étape 1 - à remplir'!$O$31:$O$400,X$3)),IF(X$2="Espèce",IF(X$3="Toutes",SUMIFS('Étape 1 - à remplir'!$F$31:$F$400,'Étape 1 - à remplir'!$E$31:$E$400,MASQ2!O390,'Étape 1 - à remplir'!$G$31:$G$400,"animaux"),SUMIFS('Étape 1 - à remplir'!$F$31:$F$400,'Étape 1 - à remplir'!$E$31:$E$400,MASQ2!O390,'Étape 1 - à remplir'!$N$31:$N$400,X$3))))))=0,NA(),IF(X$2="Catégorie",IF(X$3="Toutes",SUMIFS('Étape 1 - à remplir'!$F$31:$F$400,'Étape 1 - à remplir'!$E$31:$E$400,MASQ2!O390,'Étape 1 - à remplir'!$G$31:$G$400,"animaux"),SUMIFS('Étape 1 - à remplir'!$F$31:$F$400,'Étape 1 - à remplir'!$E$31:$E$400,MASQ2!O390,'Étape 1 - à remplir'!$C$31:$C$400,X$3)),IF(X$2="Âge",IF(X$3="Tous",SUMIFS('Étape 1 - à remplir'!$F$31:$F$400,'Étape 1 - à remplir'!$E$31:$E$400,MASQ2!O390,'Étape 1 - à remplir'!$G$31:$G$400,"animaux"),SUMIFS('Étape 1 - à remplir'!$F$31:$F$400,'Étape 1 - à remplir'!$E$31:$E$400,MASQ2!O390,'Étape 1 - à remplir'!$P$31:$P$400,X$3)),IF(X$2="Atelier",IF(X$3="Tous",SUMIFS('Étape 1 - à remplir'!$F$31:$F$400,'Étape 1 - à remplir'!$E$31:$E$400,MASQ2!O390,'Étape 1 - à remplir'!$G$31:$G$400,"animaux"),SUMIFS('Étape 1 - à remplir'!$F$31:$F$400,'Étape 1 - à remplir'!$E$31:$E$400,MASQ2!O390,'Étape 1 - à remplir'!$O$31:$O$400,X$3)),IF(X$2="Espèce",IF(X$3="Toutes",SUMIFS('Étape 1 - à remplir'!$F$31:$F$400,'Étape 1 - à remplir'!$E$31:$E$400,MASQ2!O390,'Étape 1 - à remplir'!$G$31:$G$400,"animaux"),SUMIFS('Étape 1 - à remplir'!$F$31:$F$400,'Étape 1 - à remplir'!$E$31:$E$400,MASQ2!O390,'Étape 1 - à remplir'!$N$31:$N$400,X$3)))))))</f>
        <v>#N/A</v>
      </c>
      <c r="Q390" s="63">
        <f t="shared" ref="Q390:Q453" si="285">IFERROR(P390,0)</f>
        <v>0</v>
      </c>
      <c r="R390" t="str">
        <f>Données_ATB!BM389</f>
        <v>Tilmicosine</v>
      </c>
      <c r="S390" t="str">
        <f>Données_ATB!BN389</f>
        <v/>
      </c>
      <c r="T390" s="63" t="str">
        <f>Données_ATB!BO389</f>
        <v/>
      </c>
      <c r="U390" s="42" t="str">
        <f>Données_ATB!BQ389</f>
        <v>Macrolides</v>
      </c>
      <c r="V390" t="str">
        <f>Données_ATB!BR389</f>
        <v/>
      </c>
      <c r="W390" s="63" t="str">
        <f>Données_ATB!BS389</f>
        <v/>
      </c>
      <c r="Z390" s="42">
        <v>387</v>
      </c>
      <c r="AA390" t="e">
        <f t="shared" si="281"/>
        <v>#N/A</v>
      </c>
      <c r="AB390" s="63" t="e">
        <f t="shared" si="282"/>
        <v>#N/A</v>
      </c>
      <c r="BF390" s="63"/>
      <c r="BT390" s="194" t="str">
        <f t="shared" ca="1" si="265"/>
        <v/>
      </c>
      <c r="BU390" s="219" t="str">
        <f>IFERROR(IF(BX390=0,"",COUNTIF(BX$4:BX$600,"&gt;"&amp;BX390)+COUNTIF(BX$4:BX390,BX390)),"")</f>
        <v/>
      </c>
      <c r="BV390" s="42" t="str">
        <f t="shared" si="266"/>
        <v>PM 20 TILMICOSINE 40 PORCS</v>
      </c>
      <c r="BW390" t="e">
        <f>IF(IF(CE$2="Catégorie",IF(CE$3="Toutes",SUMIFS('Étape 1 - à remplir'!$F$31:$F$400,'Étape 1 - à remplir'!$E$31:$E$400,MASQ2!BV390,'Étape 1 - à remplir'!$G$31:$G$400,"lots"),SUMIFS('Étape 1 - à remplir'!$F$31:$F$400,'Étape 1 - à remplir'!$E$31:$E$400,MASQ2!BV390,'Étape 1 - à remplir'!$C$31:$C$400,CE$3)),IF(CE$2="Âge",IF(CE$3="Tous",SUMIFS('Étape 1 - à remplir'!$F$31:$F$400,'Étape 1 - à remplir'!$E$31:$E$400,MASQ2!BV390,'Étape 1 - à remplir'!$G$31:$G$400,"lots"),SUMIFS('Étape 1 - à remplir'!$F$31:$F$400,'Étape 1 - à remplir'!$E$31:$E$400,MASQ2!BV390,'Étape 1 - à remplir'!$P$31:$P$400,CE$3,'Étape 1 - à remplir'!$G$31:$G$400,"lots")),IF(CE$2="Atelier",IF(CE$3="Tous",SUMIFS('Étape 1 - à remplir'!$F$31:$F$400,'Étape 1 - à remplir'!$E$31:$E$400,MASQ2!BV390,'Étape 1 - à remplir'!$G$31:$G$400,"lots"),SUMIFS('Étape 1 - à remplir'!$F$31:$F$400,'Étape 1 - à remplir'!$E$31:$E$400,MASQ2!BV390,'Étape 1 - à remplir'!$O$31:$O$400,CE$3,'Étape 1 - à remplir'!$G$31:$G$400,"lots")),IF(CE$2="Espèce",IF(CE$3="Toutes",SUMIFS('Étape 1 - à remplir'!$F$31:$F$400,'Étape 1 - à remplir'!$E$31:$E$400,MASQ2!BV390,'Étape 1 - à remplir'!$G$31:$G$400,"lots"),SUMIFS('Étape 1 - à remplir'!$F$31:$F$400,'Étape 1 - à remplir'!$E$31:$E$400,MASQ2!BV390,'Étape 1 - à remplir'!$N$31:$N$400,CE$3,'Étape 1 - à remplir'!$G$31:$G$400,"lots"))))))=0,NA(),IF(CE$2="Catégorie",IF(CE$3="Toutes",SUMIFS('Étape 1 - à remplir'!$F$31:$F$400,'Étape 1 - à remplir'!$E$31:$E$400,MASQ2!BV390,'Étape 1 - à remplir'!$G$31:$G$400,"lots"),SUMIFS('Étape 1 - à remplir'!$F$31:$F$400,'Étape 1 - à remplir'!$E$31:$E$400,MASQ2!BV390,'Étape 1 - à remplir'!$C$31:$C$400,CE$3)),IF(CE$2="Âge",IF(CE$3="Tous",SUMIFS('Étape 1 - à remplir'!$F$31:$F$400,'Étape 1 - à remplir'!$E$31:$E$400,MASQ2!BV390,'Étape 1 - à remplir'!$G$31:$G$400,"lots"),SUMIFS('Étape 1 - à remplir'!$F$31:$F$400,'Étape 1 - à remplir'!$E$31:$E$400,MASQ2!BV390,'Étape 1 - à remplir'!$P$31:$P$400,CE$3,'Étape 1 - à remplir'!$G$31:$G$400,"lots")),IF(CE$2="Atelier",IF(CE$3="Tous",SUMIFS('Étape 1 - à remplir'!$F$31:$F$400,'Étape 1 - à remplir'!$E$31:$E$400,MASQ2!BV390,'Étape 1 - à remplir'!$G$31:$G$400,"lots"),SUMIFS('Étape 1 - à remplir'!$F$31:$F$400,'Étape 1 - à remplir'!$E$31:$E$400,MASQ2!BV390,'Étape 1 - à remplir'!$O$31:$O$400,CE$3,'Étape 1 - à remplir'!$G$31:$G$400,"lots")),IF(CE$2="Espèce",IF(CE$3="Toutes",SUMIFS('Étape 1 - à remplir'!$F$31:$F$400,'Étape 1 - à remplir'!$E$31:$E$400,MASQ2!BV390,'Étape 1 - à remplir'!$G$31:$G$400,"lots"),SUMIFS('Étape 1 - à remplir'!$F$31:$F$400,'Étape 1 - à remplir'!$E$31:$E$400,MASQ2!BV390,'Étape 1 - à remplir'!$N$31:$N$400,CE$3,'Étape 1 - à remplir'!$G$31:$G$400,"lots")))))))</f>
        <v>#N/A</v>
      </c>
      <c r="BX390">
        <f t="shared" si="283"/>
        <v>0</v>
      </c>
      <c r="BY390" t="str">
        <f t="shared" si="267"/>
        <v>Tilmicosine</v>
      </c>
      <c r="BZ390" t="str">
        <f t="shared" si="268"/>
        <v/>
      </c>
      <c r="CA390" t="str">
        <f t="shared" si="269"/>
        <v/>
      </c>
      <c r="CB390" t="str">
        <f t="shared" si="270"/>
        <v>Macrolides</v>
      </c>
      <c r="CC390" t="str">
        <f t="shared" si="271"/>
        <v/>
      </c>
      <c r="CD390" s="63" t="str">
        <f t="shared" si="272"/>
        <v/>
      </c>
      <c r="CG390" s="42">
        <v>387</v>
      </c>
      <c r="CH390" s="42" t="e">
        <f t="shared" si="263"/>
        <v>#N/A</v>
      </c>
      <c r="CI390" s="63" t="e">
        <f t="shared" si="264"/>
        <v>#N/A</v>
      </c>
      <c r="DM390" s="63"/>
      <c r="EA390" s="194" t="str">
        <f t="shared" ca="1" si="273"/>
        <v/>
      </c>
      <c r="EB390" s="226" t="str">
        <f>IFERROR(IF(ED390=0,"",COUNTIF(ED$4:ED$600,"&gt;"&amp;ED390)+COUNTIF(ED$4:ED390,ED390)),"")</f>
        <v/>
      </c>
      <c r="EC390" t="str">
        <f t="shared" si="274"/>
        <v>PM 20 TILMICOSINE 40 PORCS</v>
      </c>
      <c r="ED390" t="e">
        <f>IF(IF(EL$2="Catégorie",IF(EL$3="Toutes",SUMIFS('Étape 1 - à remplir'!$F$31:$F$400,'Étape 1 - à remplir'!$E$31:$E$400,MASQ2!EC390,'Étape 1 - à remplir'!$G$31:$G$400,"kg"),SUMIFS('Étape 1 - à remplir'!$F$31:$F$400,'Étape 1 - à remplir'!$E$31:$E$400,MASQ2!EC390,'Étape 1 - à remplir'!$C$31:$C$400,EL$3)),IF(EL$2="Âge",IF(EL$3="Tous",SUMIFS('Étape 1 - à remplir'!$F$31:$F$400,'Étape 1 - à remplir'!$E$31:$E$400,MASQ2!EC390,'Étape 1 - à remplir'!$G$31:$G$400,"kg"),SUMIFS('Étape 1 - à remplir'!$F$31:$F$400,'Étape 1 - à remplir'!$E$31:$E$400,MASQ2!EC390,'Étape 1 - à remplir'!$P$31:$P$400,EL$3,'Étape 1 - à remplir'!$G$31:$G$400,"kg")),IF(EL$2="Atelier",IF(EL$3="Tous",SUMIFS('Étape 1 - à remplir'!$F$31:$F$400,'Étape 1 - à remplir'!$E$31:$E$400,MASQ2!EC390,'Étape 1 - à remplir'!$G$31:$G$400,"kg"),SUMIFS('Étape 1 - à remplir'!$F$31:$F$400,'Étape 1 - à remplir'!$E$31:$E$400,MASQ2!EC390,'Étape 1 - à remplir'!$O$31:$O$400,EL$3,'Étape 1 - à remplir'!$G$31:$G$400,"kg")),IF(EL$2="Espèce",IF(EL$3="Toutes",SUMIFS('Étape 1 - à remplir'!$F$31:$F$400,'Étape 1 - à remplir'!$E$31:$E$400,MASQ2!EC390,'Étape 1 - à remplir'!$G$31:$G$400,"kg"),SUMIFS('Étape 1 - à remplir'!$F$31:$F$400,'Étape 1 - à remplir'!$E$31:$E$400,MASQ2!EC390,'Étape 1 - à remplir'!$N$31:$N$400,EL$3,'Étape 1 - à remplir'!$G$31:$G$400,"kg"))))))=0,NA(),IF(EL$2="Catégorie",IF(EL$3="Toutes",SUMIFS('Étape 1 - à remplir'!$F$31:$F$400,'Étape 1 - à remplir'!$E$31:$E$400,MASQ2!EC390,'Étape 1 - à remplir'!$G$31:$G$400,"kg"),SUMIFS('Étape 1 - à remplir'!$F$31:$F$400,'Étape 1 - à remplir'!$E$31:$E$400,MASQ2!EC390,'Étape 1 - à remplir'!$C$31:$C$400,EL$3)),IF(EL$2="Âge",IF(EL$3="Tous",SUMIFS('Étape 1 - à remplir'!$F$31:$F$400,'Étape 1 - à remplir'!$E$31:$E$400,MASQ2!EC390,'Étape 1 - à remplir'!$G$31:$G$400,"kg"),SUMIFS('Étape 1 - à remplir'!$F$31:$F$400,'Étape 1 - à remplir'!$E$31:$E$400,MASQ2!EC390,'Étape 1 - à remplir'!$P$31:$P$400,EL$3,'Étape 1 - à remplir'!$G$31:$G$400,"kg")),IF(EL$2="Atelier",IF(EL$3="Tous",SUMIFS('Étape 1 - à remplir'!$F$31:$F$400,'Étape 1 - à remplir'!$E$31:$E$400,MASQ2!EC390,'Étape 1 - à remplir'!$G$31:$G$400,"kg"),SUMIFS('Étape 1 - à remplir'!$F$31:$F$400,'Étape 1 - à remplir'!$E$31:$E$400,MASQ2!EC390,'Étape 1 - à remplir'!$O$31:$O$400,EL$3,'Étape 1 - à remplir'!$G$31:$G$400,"kg")),IF(EL$2="Espèce",IF(EL$3="Toutes",SUMIFS('Étape 1 - à remplir'!$F$31:$F$400,'Étape 1 - à remplir'!$E$31:$E$400,MASQ2!EC390,'Étape 1 - à remplir'!$G$31:$G$400,"kg"),SUMIFS('Étape 1 - à remplir'!$F$31:$F$400,'Étape 1 - à remplir'!$E$31:$E$400,MASQ2!EC390,'Étape 1 - à remplir'!$N$31:$N$400,EL$3,'Étape 1 - à remplir'!$G$31:$G$400,"kg")))))))</f>
        <v>#N/A</v>
      </c>
      <c r="EE390" s="76">
        <f t="shared" si="284"/>
        <v>0</v>
      </c>
      <c r="EF390" t="str">
        <f t="shared" si="275"/>
        <v>Tilmicosine</v>
      </c>
      <c r="EG390" t="str">
        <f t="shared" si="276"/>
        <v/>
      </c>
      <c r="EH390" t="str">
        <f t="shared" si="277"/>
        <v/>
      </c>
      <c r="EI390" t="str">
        <f t="shared" si="278"/>
        <v>Macrolides</v>
      </c>
      <c r="EJ390" t="str">
        <f t="shared" si="279"/>
        <v/>
      </c>
      <c r="EK390" s="63" t="str">
        <f t="shared" si="280"/>
        <v/>
      </c>
      <c r="EN390" s="42">
        <v>387</v>
      </c>
      <c r="EO390" t="e">
        <f t="shared" si="261"/>
        <v>#N/A</v>
      </c>
      <c r="EP390" s="63" t="e">
        <f t="shared" si="262"/>
        <v>#N/A</v>
      </c>
      <c r="FT390" s="63"/>
    </row>
    <row r="391" spans="2:176" x14ac:dyDescent="0.3">
      <c r="B391" s="42"/>
      <c r="M391" s="194" t="str">
        <f ca="1">INDEX(Données_ATB!BD:BU,MATCH(MASQ2!O391,Données_ATB!BD:BD,0),18)</f>
        <v/>
      </c>
      <c r="N391" s="14" t="str">
        <f>IFERROR(IF(Q391=0,"",COUNTIF(Q$4:Q$600,"&gt;"&amp;Q391)+COUNTIF(Q$4:Q391,Q391)),"")</f>
        <v/>
      </c>
      <c r="O391" t="str">
        <f>Données_ATB!BD390</f>
        <v>PM 21 TYLOSINE 20 PORC-VOLAILLE</v>
      </c>
      <c r="P391" t="e">
        <f>IF(IF(X$2="Catégorie",IF(X$3="Toutes",SUMIFS('Étape 1 - à remplir'!$F$31:$F$400,'Étape 1 - à remplir'!$E$31:$E$400,MASQ2!O391,'Étape 1 - à remplir'!$G$31:$G$400,"animaux"),SUMIFS('Étape 1 - à remplir'!$F$31:$F$400,'Étape 1 - à remplir'!$E$31:$E$400,MASQ2!O391,'Étape 1 - à remplir'!$C$31:$C$400,X$3)),IF(X$2="Âge",IF(X$3="Tous",SUMIFS('Étape 1 - à remplir'!$F$31:$F$400,'Étape 1 - à remplir'!$E$31:$E$400,MASQ2!O391,'Étape 1 - à remplir'!$G$31:$G$400,"animaux"),SUMIFS('Étape 1 - à remplir'!$F$31:$F$400,'Étape 1 - à remplir'!$E$31:$E$400,MASQ2!O391,'Étape 1 - à remplir'!$P$31:$P$400,X$3)),IF(X$2="Atelier",IF(X$3="Tous",SUMIFS('Étape 1 - à remplir'!$F$31:$F$400,'Étape 1 - à remplir'!$E$31:$E$400,MASQ2!O391,'Étape 1 - à remplir'!$G$31:$G$400,"animaux"),SUMIFS('Étape 1 - à remplir'!$F$31:$F$400,'Étape 1 - à remplir'!$E$31:$E$400,MASQ2!O391,'Étape 1 - à remplir'!$O$31:$O$400,X$3)),IF(X$2="Espèce",IF(X$3="Toutes",SUMIFS('Étape 1 - à remplir'!$F$31:$F$400,'Étape 1 - à remplir'!$E$31:$E$400,MASQ2!O391,'Étape 1 - à remplir'!$G$31:$G$400,"animaux"),SUMIFS('Étape 1 - à remplir'!$F$31:$F$400,'Étape 1 - à remplir'!$E$31:$E$400,MASQ2!O391,'Étape 1 - à remplir'!$N$31:$N$400,X$3))))))=0,NA(),IF(X$2="Catégorie",IF(X$3="Toutes",SUMIFS('Étape 1 - à remplir'!$F$31:$F$400,'Étape 1 - à remplir'!$E$31:$E$400,MASQ2!O391,'Étape 1 - à remplir'!$G$31:$G$400,"animaux"),SUMIFS('Étape 1 - à remplir'!$F$31:$F$400,'Étape 1 - à remplir'!$E$31:$E$400,MASQ2!O391,'Étape 1 - à remplir'!$C$31:$C$400,X$3)),IF(X$2="Âge",IF(X$3="Tous",SUMIFS('Étape 1 - à remplir'!$F$31:$F$400,'Étape 1 - à remplir'!$E$31:$E$400,MASQ2!O391,'Étape 1 - à remplir'!$G$31:$G$400,"animaux"),SUMIFS('Étape 1 - à remplir'!$F$31:$F$400,'Étape 1 - à remplir'!$E$31:$E$400,MASQ2!O391,'Étape 1 - à remplir'!$P$31:$P$400,X$3)),IF(X$2="Atelier",IF(X$3="Tous",SUMIFS('Étape 1 - à remplir'!$F$31:$F$400,'Étape 1 - à remplir'!$E$31:$E$400,MASQ2!O391,'Étape 1 - à remplir'!$G$31:$G$400,"animaux"),SUMIFS('Étape 1 - à remplir'!$F$31:$F$400,'Étape 1 - à remplir'!$E$31:$E$400,MASQ2!O391,'Étape 1 - à remplir'!$O$31:$O$400,X$3)),IF(X$2="Espèce",IF(X$3="Toutes",SUMIFS('Étape 1 - à remplir'!$F$31:$F$400,'Étape 1 - à remplir'!$E$31:$E$400,MASQ2!O391,'Étape 1 - à remplir'!$G$31:$G$400,"animaux"),SUMIFS('Étape 1 - à remplir'!$F$31:$F$400,'Étape 1 - à remplir'!$E$31:$E$400,MASQ2!O391,'Étape 1 - à remplir'!$N$31:$N$400,X$3)))))))</f>
        <v>#N/A</v>
      </c>
      <c r="Q391" s="63">
        <f t="shared" si="285"/>
        <v>0</v>
      </c>
      <c r="R391" t="str">
        <f>Données_ATB!BM390</f>
        <v>Tylosine</v>
      </c>
      <c r="S391" t="str">
        <f>Données_ATB!BN390</f>
        <v/>
      </c>
      <c r="T391" s="63" t="str">
        <f>Données_ATB!BO390</f>
        <v/>
      </c>
      <c r="U391" s="42" t="str">
        <f>Données_ATB!BQ390</f>
        <v>Macrolides</v>
      </c>
      <c r="V391" t="str">
        <f>Données_ATB!BR390</f>
        <v/>
      </c>
      <c r="W391" s="63" t="str">
        <f>Données_ATB!BS390</f>
        <v/>
      </c>
      <c r="Z391" s="42">
        <v>388</v>
      </c>
      <c r="AA391" t="e">
        <f t="shared" si="281"/>
        <v>#N/A</v>
      </c>
      <c r="AB391" s="63" t="e">
        <f t="shared" si="282"/>
        <v>#N/A</v>
      </c>
      <c r="BF391" s="63"/>
      <c r="BT391" s="194" t="str">
        <f t="shared" ca="1" si="265"/>
        <v/>
      </c>
      <c r="BU391" s="219" t="str">
        <f>IFERROR(IF(BX391=0,"",COUNTIF(BX$4:BX$600,"&gt;"&amp;BX391)+COUNTIF(BX$4:BX391,BX391)),"")</f>
        <v/>
      </c>
      <c r="BV391" s="42" t="str">
        <f t="shared" si="266"/>
        <v>PM 21 TYLOSINE 20 PORC-VOLAILLE</v>
      </c>
      <c r="BW391" t="e">
        <f>IF(IF(CE$2="Catégorie",IF(CE$3="Toutes",SUMIFS('Étape 1 - à remplir'!$F$31:$F$400,'Étape 1 - à remplir'!$E$31:$E$400,MASQ2!BV391,'Étape 1 - à remplir'!$G$31:$G$400,"lots"),SUMIFS('Étape 1 - à remplir'!$F$31:$F$400,'Étape 1 - à remplir'!$E$31:$E$400,MASQ2!BV391,'Étape 1 - à remplir'!$C$31:$C$400,CE$3)),IF(CE$2="Âge",IF(CE$3="Tous",SUMIFS('Étape 1 - à remplir'!$F$31:$F$400,'Étape 1 - à remplir'!$E$31:$E$400,MASQ2!BV391,'Étape 1 - à remplir'!$G$31:$G$400,"lots"),SUMIFS('Étape 1 - à remplir'!$F$31:$F$400,'Étape 1 - à remplir'!$E$31:$E$400,MASQ2!BV391,'Étape 1 - à remplir'!$P$31:$P$400,CE$3,'Étape 1 - à remplir'!$G$31:$G$400,"lots")),IF(CE$2="Atelier",IF(CE$3="Tous",SUMIFS('Étape 1 - à remplir'!$F$31:$F$400,'Étape 1 - à remplir'!$E$31:$E$400,MASQ2!BV391,'Étape 1 - à remplir'!$G$31:$G$400,"lots"),SUMIFS('Étape 1 - à remplir'!$F$31:$F$400,'Étape 1 - à remplir'!$E$31:$E$400,MASQ2!BV391,'Étape 1 - à remplir'!$O$31:$O$400,CE$3,'Étape 1 - à remplir'!$G$31:$G$400,"lots")),IF(CE$2="Espèce",IF(CE$3="Toutes",SUMIFS('Étape 1 - à remplir'!$F$31:$F$400,'Étape 1 - à remplir'!$E$31:$E$400,MASQ2!BV391,'Étape 1 - à remplir'!$G$31:$G$400,"lots"),SUMIFS('Étape 1 - à remplir'!$F$31:$F$400,'Étape 1 - à remplir'!$E$31:$E$400,MASQ2!BV391,'Étape 1 - à remplir'!$N$31:$N$400,CE$3,'Étape 1 - à remplir'!$G$31:$G$400,"lots"))))))=0,NA(),IF(CE$2="Catégorie",IF(CE$3="Toutes",SUMIFS('Étape 1 - à remplir'!$F$31:$F$400,'Étape 1 - à remplir'!$E$31:$E$400,MASQ2!BV391,'Étape 1 - à remplir'!$G$31:$G$400,"lots"),SUMIFS('Étape 1 - à remplir'!$F$31:$F$400,'Étape 1 - à remplir'!$E$31:$E$400,MASQ2!BV391,'Étape 1 - à remplir'!$C$31:$C$400,CE$3)),IF(CE$2="Âge",IF(CE$3="Tous",SUMIFS('Étape 1 - à remplir'!$F$31:$F$400,'Étape 1 - à remplir'!$E$31:$E$400,MASQ2!BV391,'Étape 1 - à remplir'!$G$31:$G$400,"lots"),SUMIFS('Étape 1 - à remplir'!$F$31:$F$400,'Étape 1 - à remplir'!$E$31:$E$400,MASQ2!BV391,'Étape 1 - à remplir'!$P$31:$P$400,CE$3,'Étape 1 - à remplir'!$G$31:$G$400,"lots")),IF(CE$2="Atelier",IF(CE$3="Tous",SUMIFS('Étape 1 - à remplir'!$F$31:$F$400,'Étape 1 - à remplir'!$E$31:$E$400,MASQ2!BV391,'Étape 1 - à remplir'!$G$31:$G$400,"lots"),SUMIFS('Étape 1 - à remplir'!$F$31:$F$400,'Étape 1 - à remplir'!$E$31:$E$400,MASQ2!BV391,'Étape 1 - à remplir'!$O$31:$O$400,CE$3,'Étape 1 - à remplir'!$G$31:$G$400,"lots")),IF(CE$2="Espèce",IF(CE$3="Toutes",SUMIFS('Étape 1 - à remplir'!$F$31:$F$400,'Étape 1 - à remplir'!$E$31:$E$400,MASQ2!BV391,'Étape 1 - à remplir'!$G$31:$G$400,"lots"),SUMIFS('Étape 1 - à remplir'!$F$31:$F$400,'Étape 1 - à remplir'!$E$31:$E$400,MASQ2!BV391,'Étape 1 - à remplir'!$N$31:$N$400,CE$3,'Étape 1 - à remplir'!$G$31:$G$400,"lots")))))))</f>
        <v>#N/A</v>
      </c>
      <c r="BX391">
        <f t="shared" si="283"/>
        <v>0</v>
      </c>
      <c r="BY391" t="str">
        <f t="shared" si="267"/>
        <v>Tylosine</v>
      </c>
      <c r="BZ391" t="str">
        <f t="shared" si="268"/>
        <v/>
      </c>
      <c r="CA391" t="str">
        <f t="shared" si="269"/>
        <v/>
      </c>
      <c r="CB391" t="str">
        <f t="shared" si="270"/>
        <v>Macrolides</v>
      </c>
      <c r="CC391" t="str">
        <f t="shared" si="271"/>
        <v/>
      </c>
      <c r="CD391" s="63" t="str">
        <f t="shared" si="272"/>
        <v/>
      </c>
      <c r="CG391" s="42">
        <v>388</v>
      </c>
      <c r="CH391" s="42" t="e">
        <f t="shared" si="263"/>
        <v>#N/A</v>
      </c>
      <c r="CI391" s="63" t="e">
        <f t="shared" si="264"/>
        <v>#N/A</v>
      </c>
      <c r="DM391" s="63"/>
      <c r="EA391" s="194" t="str">
        <f t="shared" ca="1" si="273"/>
        <v/>
      </c>
      <c r="EB391" s="226" t="str">
        <f>IFERROR(IF(ED391=0,"",COUNTIF(ED$4:ED$600,"&gt;"&amp;ED391)+COUNTIF(ED$4:ED391,ED391)),"")</f>
        <v/>
      </c>
      <c r="EC391" t="str">
        <f t="shared" si="274"/>
        <v>PM 21 TYLOSINE 20 PORC-VOLAILLE</v>
      </c>
      <c r="ED391" t="e">
        <f>IF(IF(EL$2="Catégorie",IF(EL$3="Toutes",SUMIFS('Étape 1 - à remplir'!$F$31:$F$400,'Étape 1 - à remplir'!$E$31:$E$400,MASQ2!EC391,'Étape 1 - à remplir'!$G$31:$G$400,"kg"),SUMIFS('Étape 1 - à remplir'!$F$31:$F$400,'Étape 1 - à remplir'!$E$31:$E$400,MASQ2!EC391,'Étape 1 - à remplir'!$C$31:$C$400,EL$3)),IF(EL$2="Âge",IF(EL$3="Tous",SUMIFS('Étape 1 - à remplir'!$F$31:$F$400,'Étape 1 - à remplir'!$E$31:$E$400,MASQ2!EC391,'Étape 1 - à remplir'!$G$31:$G$400,"kg"),SUMIFS('Étape 1 - à remplir'!$F$31:$F$400,'Étape 1 - à remplir'!$E$31:$E$400,MASQ2!EC391,'Étape 1 - à remplir'!$P$31:$P$400,EL$3,'Étape 1 - à remplir'!$G$31:$G$400,"kg")),IF(EL$2="Atelier",IF(EL$3="Tous",SUMIFS('Étape 1 - à remplir'!$F$31:$F$400,'Étape 1 - à remplir'!$E$31:$E$400,MASQ2!EC391,'Étape 1 - à remplir'!$G$31:$G$400,"kg"),SUMIFS('Étape 1 - à remplir'!$F$31:$F$400,'Étape 1 - à remplir'!$E$31:$E$400,MASQ2!EC391,'Étape 1 - à remplir'!$O$31:$O$400,EL$3,'Étape 1 - à remplir'!$G$31:$G$400,"kg")),IF(EL$2="Espèce",IF(EL$3="Toutes",SUMIFS('Étape 1 - à remplir'!$F$31:$F$400,'Étape 1 - à remplir'!$E$31:$E$400,MASQ2!EC391,'Étape 1 - à remplir'!$G$31:$G$400,"kg"),SUMIFS('Étape 1 - à remplir'!$F$31:$F$400,'Étape 1 - à remplir'!$E$31:$E$400,MASQ2!EC391,'Étape 1 - à remplir'!$N$31:$N$400,EL$3,'Étape 1 - à remplir'!$G$31:$G$400,"kg"))))))=0,NA(),IF(EL$2="Catégorie",IF(EL$3="Toutes",SUMIFS('Étape 1 - à remplir'!$F$31:$F$400,'Étape 1 - à remplir'!$E$31:$E$400,MASQ2!EC391,'Étape 1 - à remplir'!$G$31:$G$400,"kg"),SUMIFS('Étape 1 - à remplir'!$F$31:$F$400,'Étape 1 - à remplir'!$E$31:$E$400,MASQ2!EC391,'Étape 1 - à remplir'!$C$31:$C$400,EL$3)),IF(EL$2="Âge",IF(EL$3="Tous",SUMIFS('Étape 1 - à remplir'!$F$31:$F$400,'Étape 1 - à remplir'!$E$31:$E$400,MASQ2!EC391,'Étape 1 - à remplir'!$G$31:$G$400,"kg"),SUMIFS('Étape 1 - à remplir'!$F$31:$F$400,'Étape 1 - à remplir'!$E$31:$E$400,MASQ2!EC391,'Étape 1 - à remplir'!$P$31:$P$400,EL$3,'Étape 1 - à remplir'!$G$31:$G$400,"kg")),IF(EL$2="Atelier",IF(EL$3="Tous",SUMIFS('Étape 1 - à remplir'!$F$31:$F$400,'Étape 1 - à remplir'!$E$31:$E$400,MASQ2!EC391,'Étape 1 - à remplir'!$G$31:$G$400,"kg"),SUMIFS('Étape 1 - à remplir'!$F$31:$F$400,'Étape 1 - à remplir'!$E$31:$E$400,MASQ2!EC391,'Étape 1 - à remplir'!$O$31:$O$400,EL$3,'Étape 1 - à remplir'!$G$31:$G$400,"kg")),IF(EL$2="Espèce",IF(EL$3="Toutes",SUMIFS('Étape 1 - à remplir'!$F$31:$F$400,'Étape 1 - à remplir'!$E$31:$E$400,MASQ2!EC391,'Étape 1 - à remplir'!$G$31:$G$400,"kg"),SUMIFS('Étape 1 - à remplir'!$F$31:$F$400,'Étape 1 - à remplir'!$E$31:$E$400,MASQ2!EC391,'Étape 1 - à remplir'!$N$31:$N$400,EL$3,'Étape 1 - à remplir'!$G$31:$G$400,"kg")))))))</f>
        <v>#N/A</v>
      </c>
      <c r="EE391" s="76">
        <f t="shared" si="284"/>
        <v>0</v>
      </c>
      <c r="EF391" t="str">
        <f t="shared" si="275"/>
        <v>Tylosine</v>
      </c>
      <c r="EG391" t="str">
        <f t="shared" si="276"/>
        <v/>
      </c>
      <c r="EH391" t="str">
        <f t="shared" si="277"/>
        <v/>
      </c>
      <c r="EI391" t="str">
        <f t="shared" si="278"/>
        <v>Macrolides</v>
      </c>
      <c r="EJ391" t="str">
        <f t="shared" si="279"/>
        <v/>
      </c>
      <c r="EK391" s="63" t="str">
        <f t="shared" si="280"/>
        <v/>
      </c>
      <c r="EN391" s="42">
        <v>388</v>
      </c>
      <c r="EO391" t="e">
        <f t="shared" si="261"/>
        <v>#N/A</v>
      </c>
      <c r="EP391" s="63" t="e">
        <f t="shared" si="262"/>
        <v>#N/A</v>
      </c>
      <c r="FT391" s="63"/>
    </row>
    <row r="392" spans="2:176" x14ac:dyDescent="0.3">
      <c r="B392" s="42"/>
      <c r="M392" s="194" t="str">
        <f ca="1">INDEX(Données_ATB!BD:BU,MATCH(MASQ2!O392,Données_ATB!BD:BD,0),18)</f>
        <v/>
      </c>
      <c r="N392" s="14" t="str">
        <f>IFERROR(IF(Q392=0,"",COUNTIF(Q$4:Q$600,"&gt;"&amp;Q392)+COUNTIF(Q$4:Q392,Q392)),"")</f>
        <v/>
      </c>
      <c r="O392" t="str">
        <f>Données_ATB!BD391</f>
        <v>PM 23 APRAMYCINE 20 PORC</v>
      </c>
      <c r="P392" t="e">
        <f>IF(IF(X$2="Catégorie",IF(X$3="Toutes",SUMIFS('Étape 1 - à remplir'!$F$31:$F$400,'Étape 1 - à remplir'!$E$31:$E$400,MASQ2!O392,'Étape 1 - à remplir'!$G$31:$G$400,"animaux"),SUMIFS('Étape 1 - à remplir'!$F$31:$F$400,'Étape 1 - à remplir'!$E$31:$E$400,MASQ2!O392,'Étape 1 - à remplir'!$C$31:$C$400,X$3)),IF(X$2="Âge",IF(X$3="Tous",SUMIFS('Étape 1 - à remplir'!$F$31:$F$400,'Étape 1 - à remplir'!$E$31:$E$400,MASQ2!O392,'Étape 1 - à remplir'!$G$31:$G$400,"animaux"),SUMIFS('Étape 1 - à remplir'!$F$31:$F$400,'Étape 1 - à remplir'!$E$31:$E$400,MASQ2!O392,'Étape 1 - à remplir'!$P$31:$P$400,X$3)),IF(X$2="Atelier",IF(X$3="Tous",SUMIFS('Étape 1 - à remplir'!$F$31:$F$400,'Étape 1 - à remplir'!$E$31:$E$400,MASQ2!O392,'Étape 1 - à remplir'!$G$31:$G$400,"animaux"),SUMIFS('Étape 1 - à remplir'!$F$31:$F$400,'Étape 1 - à remplir'!$E$31:$E$400,MASQ2!O392,'Étape 1 - à remplir'!$O$31:$O$400,X$3)),IF(X$2="Espèce",IF(X$3="Toutes",SUMIFS('Étape 1 - à remplir'!$F$31:$F$400,'Étape 1 - à remplir'!$E$31:$E$400,MASQ2!O392,'Étape 1 - à remplir'!$G$31:$G$400,"animaux"),SUMIFS('Étape 1 - à remplir'!$F$31:$F$400,'Étape 1 - à remplir'!$E$31:$E$400,MASQ2!O392,'Étape 1 - à remplir'!$N$31:$N$400,X$3))))))=0,NA(),IF(X$2="Catégorie",IF(X$3="Toutes",SUMIFS('Étape 1 - à remplir'!$F$31:$F$400,'Étape 1 - à remplir'!$E$31:$E$400,MASQ2!O392,'Étape 1 - à remplir'!$G$31:$G$400,"animaux"),SUMIFS('Étape 1 - à remplir'!$F$31:$F$400,'Étape 1 - à remplir'!$E$31:$E$400,MASQ2!O392,'Étape 1 - à remplir'!$C$31:$C$400,X$3)),IF(X$2="Âge",IF(X$3="Tous",SUMIFS('Étape 1 - à remplir'!$F$31:$F$400,'Étape 1 - à remplir'!$E$31:$E$400,MASQ2!O392,'Étape 1 - à remplir'!$G$31:$G$400,"animaux"),SUMIFS('Étape 1 - à remplir'!$F$31:$F$400,'Étape 1 - à remplir'!$E$31:$E$400,MASQ2!O392,'Étape 1 - à remplir'!$P$31:$P$400,X$3)),IF(X$2="Atelier",IF(X$3="Tous",SUMIFS('Étape 1 - à remplir'!$F$31:$F$400,'Étape 1 - à remplir'!$E$31:$E$400,MASQ2!O392,'Étape 1 - à remplir'!$G$31:$G$400,"animaux"),SUMIFS('Étape 1 - à remplir'!$F$31:$F$400,'Étape 1 - à remplir'!$E$31:$E$400,MASQ2!O392,'Étape 1 - à remplir'!$O$31:$O$400,X$3)),IF(X$2="Espèce",IF(X$3="Toutes",SUMIFS('Étape 1 - à remplir'!$F$31:$F$400,'Étape 1 - à remplir'!$E$31:$E$400,MASQ2!O392,'Étape 1 - à remplir'!$G$31:$G$400,"animaux"),SUMIFS('Étape 1 - à remplir'!$F$31:$F$400,'Étape 1 - à remplir'!$E$31:$E$400,MASQ2!O392,'Étape 1 - à remplir'!$N$31:$N$400,X$3)))))))</f>
        <v>#N/A</v>
      </c>
      <c r="Q392" s="63">
        <f t="shared" si="285"/>
        <v>0</v>
      </c>
      <c r="R392" t="str">
        <f>Données_ATB!BM391</f>
        <v>Apramycine</v>
      </c>
      <c r="S392" t="str">
        <f>Données_ATB!BN391</f>
        <v/>
      </c>
      <c r="T392" s="63" t="str">
        <f>Données_ATB!BO391</f>
        <v/>
      </c>
      <c r="U392" s="42" t="str">
        <f>Données_ATB!BQ391</f>
        <v>Aminoglycosides</v>
      </c>
      <c r="V392" t="str">
        <f>Données_ATB!BR391</f>
        <v/>
      </c>
      <c r="W392" s="63" t="str">
        <f>Données_ATB!BS391</f>
        <v/>
      </c>
      <c r="Z392" s="42">
        <v>389</v>
      </c>
      <c r="AA392" t="e">
        <f t="shared" si="281"/>
        <v>#N/A</v>
      </c>
      <c r="AB392" s="63" t="e">
        <f t="shared" si="282"/>
        <v>#N/A</v>
      </c>
      <c r="BF392" s="63"/>
      <c r="BT392" s="194" t="str">
        <f t="shared" ca="1" si="265"/>
        <v/>
      </c>
      <c r="BU392" s="219" t="str">
        <f>IFERROR(IF(BX392=0,"",COUNTIF(BX$4:BX$600,"&gt;"&amp;BX392)+COUNTIF(BX$4:BX392,BX392)),"")</f>
        <v/>
      </c>
      <c r="BV392" s="42" t="str">
        <f t="shared" si="266"/>
        <v>PM 23 APRAMYCINE 20 PORC</v>
      </c>
      <c r="BW392" t="e">
        <f>IF(IF(CE$2="Catégorie",IF(CE$3="Toutes",SUMIFS('Étape 1 - à remplir'!$F$31:$F$400,'Étape 1 - à remplir'!$E$31:$E$400,MASQ2!BV392,'Étape 1 - à remplir'!$G$31:$G$400,"lots"),SUMIFS('Étape 1 - à remplir'!$F$31:$F$400,'Étape 1 - à remplir'!$E$31:$E$400,MASQ2!BV392,'Étape 1 - à remplir'!$C$31:$C$400,CE$3)),IF(CE$2="Âge",IF(CE$3="Tous",SUMIFS('Étape 1 - à remplir'!$F$31:$F$400,'Étape 1 - à remplir'!$E$31:$E$400,MASQ2!BV392,'Étape 1 - à remplir'!$G$31:$G$400,"lots"),SUMIFS('Étape 1 - à remplir'!$F$31:$F$400,'Étape 1 - à remplir'!$E$31:$E$400,MASQ2!BV392,'Étape 1 - à remplir'!$P$31:$P$400,CE$3,'Étape 1 - à remplir'!$G$31:$G$400,"lots")),IF(CE$2="Atelier",IF(CE$3="Tous",SUMIFS('Étape 1 - à remplir'!$F$31:$F$400,'Étape 1 - à remplir'!$E$31:$E$400,MASQ2!BV392,'Étape 1 - à remplir'!$G$31:$G$400,"lots"),SUMIFS('Étape 1 - à remplir'!$F$31:$F$400,'Étape 1 - à remplir'!$E$31:$E$400,MASQ2!BV392,'Étape 1 - à remplir'!$O$31:$O$400,CE$3,'Étape 1 - à remplir'!$G$31:$G$400,"lots")),IF(CE$2="Espèce",IF(CE$3="Toutes",SUMIFS('Étape 1 - à remplir'!$F$31:$F$400,'Étape 1 - à remplir'!$E$31:$E$400,MASQ2!BV392,'Étape 1 - à remplir'!$G$31:$G$400,"lots"),SUMIFS('Étape 1 - à remplir'!$F$31:$F$400,'Étape 1 - à remplir'!$E$31:$E$400,MASQ2!BV392,'Étape 1 - à remplir'!$N$31:$N$400,CE$3,'Étape 1 - à remplir'!$G$31:$G$400,"lots"))))))=0,NA(),IF(CE$2="Catégorie",IF(CE$3="Toutes",SUMIFS('Étape 1 - à remplir'!$F$31:$F$400,'Étape 1 - à remplir'!$E$31:$E$400,MASQ2!BV392,'Étape 1 - à remplir'!$G$31:$G$400,"lots"),SUMIFS('Étape 1 - à remplir'!$F$31:$F$400,'Étape 1 - à remplir'!$E$31:$E$400,MASQ2!BV392,'Étape 1 - à remplir'!$C$31:$C$400,CE$3)),IF(CE$2="Âge",IF(CE$3="Tous",SUMIFS('Étape 1 - à remplir'!$F$31:$F$400,'Étape 1 - à remplir'!$E$31:$E$400,MASQ2!BV392,'Étape 1 - à remplir'!$G$31:$G$400,"lots"),SUMIFS('Étape 1 - à remplir'!$F$31:$F$400,'Étape 1 - à remplir'!$E$31:$E$400,MASQ2!BV392,'Étape 1 - à remplir'!$P$31:$P$400,CE$3,'Étape 1 - à remplir'!$G$31:$G$400,"lots")),IF(CE$2="Atelier",IF(CE$3="Tous",SUMIFS('Étape 1 - à remplir'!$F$31:$F$400,'Étape 1 - à remplir'!$E$31:$E$400,MASQ2!BV392,'Étape 1 - à remplir'!$G$31:$G$400,"lots"),SUMIFS('Étape 1 - à remplir'!$F$31:$F$400,'Étape 1 - à remplir'!$E$31:$E$400,MASQ2!BV392,'Étape 1 - à remplir'!$O$31:$O$400,CE$3,'Étape 1 - à remplir'!$G$31:$G$400,"lots")),IF(CE$2="Espèce",IF(CE$3="Toutes",SUMIFS('Étape 1 - à remplir'!$F$31:$F$400,'Étape 1 - à remplir'!$E$31:$E$400,MASQ2!BV392,'Étape 1 - à remplir'!$G$31:$G$400,"lots"),SUMIFS('Étape 1 - à remplir'!$F$31:$F$400,'Étape 1 - à remplir'!$E$31:$E$400,MASQ2!BV392,'Étape 1 - à remplir'!$N$31:$N$400,CE$3,'Étape 1 - à remplir'!$G$31:$G$400,"lots")))))))</f>
        <v>#N/A</v>
      </c>
      <c r="BX392">
        <f t="shared" si="283"/>
        <v>0</v>
      </c>
      <c r="BY392" t="str">
        <f t="shared" si="267"/>
        <v>Apramycine</v>
      </c>
      <c r="BZ392" t="str">
        <f t="shared" si="268"/>
        <v/>
      </c>
      <c r="CA392" t="str">
        <f t="shared" si="269"/>
        <v/>
      </c>
      <c r="CB392" t="str">
        <f t="shared" si="270"/>
        <v>Aminoglycosides</v>
      </c>
      <c r="CC392" t="str">
        <f t="shared" si="271"/>
        <v/>
      </c>
      <c r="CD392" s="63" t="str">
        <f t="shared" si="272"/>
        <v/>
      </c>
      <c r="CG392" s="42">
        <v>389</v>
      </c>
      <c r="CH392" s="42" t="e">
        <f t="shared" si="263"/>
        <v>#N/A</v>
      </c>
      <c r="CI392" s="63" t="e">
        <f t="shared" si="264"/>
        <v>#N/A</v>
      </c>
      <c r="DM392" s="63"/>
      <c r="EA392" s="194" t="str">
        <f t="shared" ca="1" si="273"/>
        <v/>
      </c>
      <c r="EB392" s="226" t="str">
        <f>IFERROR(IF(ED392=0,"",COUNTIF(ED$4:ED$600,"&gt;"&amp;ED392)+COUNTIF(ED$4:ED392,ED392)),"")</f>
        <v/>
      </c>
      <c r="EC392" t="str">
        <f t="shared" si="274"/>
        <v>PM 23 APRAMYCINE 20 PORC</v>
      </c>
      <c r="ED392" t="e">
        <f>IF(IF(EL$2="Catégorie",IF(EL$3="Toutes",SUMIFS('Étape 1 - à remplir'!$F$31:$F$400,'Étape 1 - à remplir'!$E$31:$E$400,MASQ2!EC392,'Étape 1 - à remplir'!$G$31:$G$400,"kg"),SUMIFS('Étape 1 - à remplir'!$F$31:$F$400,'Étape 1 - à remplir'!$E$31:$E$400,MASQ2!EC392,'Étape 1 - à remplir'!$C$31:$C$400,EL$3)),IF(EL$2="Âge",IF(EL$3="Tous",SUMIFS('Étape 1 - à remplir'!$F$31:$F$400,'Étape 1 - à remplir'!$E$31:$E$400,MASQ2!EC392,'Étape 1 - à remplir'!$G$31:$G$400,"kg"),SUMIFS('Étape 1 - à remplir'!$F$31:$F$400,'Étape 1 - à remplir'!$E$31:$E$400,MASQ2!EC392,'Étape 1 - à remplir'!$P$31:$P$400,EL$3,'Étape 1 - à remplir'!$G$31:$G$400,"kg")),IF(EL$2="Atelier",IF(EL$3="Tous",SUMIFS('Étape 1 - à remplir'!$F$31:$F$400,'Étape 1 - à remplir'!$E$31:$E$400,MASQ2!EC392,'Étape 1 - à remplir'!$G$31:$G$400,"kg"),SUMIFS('Étape 1 - à remplir'!$F$31:$F$400,'Étape 1 - à remplir'!$E$31:$E$400,MASQ2!EC392,'Étape 1 - à remplir'!$O$31:$O$400,EL$3,'Étape 1 - à remplir'!$G$31:$G$400,"kg")),IF(EL$2="Espèce",IF(EL$3="Toutes",SUMIFS('Étape 1 - à remplir'!$F$31:$F$400,'Étape 1 - à remplir'!$E$31:$E$400,MASQ2!EC392,'Étape 1 - à remplir'!$G$31:$G$400,"kg"),SUMIFS('Étape 1 - à remplir'!$F$31:$F$400,'Étape 1 - à remplir'!$E$31:$E$400,MASQ2!EC392,'Étape 1 - à remplir'!$N$31:$N$400,EL$3,'Étape 1 - à remplir'!$G$31:$G$400,"kg"))))))=0,NA(),IF(EL$2="Catégorie",IF(EL$3="Toutes",SUMIFS('Étape 1 - à remplir'!$F$31:$F$400,'Étape 1 - à remplir'!$E$31:$E$400,MASQ2!EC392,'Étape 1 - à remplir'!$G$31:$G$400,"kg"),SUMIFS('Étape 1 - à remplir'!$F$31:$F$400,'Étape 1 - à remplir'!$E$31:$E$400,MASQ2!EC392,'Étape 1 - à remplir'!$C$31:$C$400,EL$3)),IF(EL$2="Âge",IF(EL$3="Tous",SUMIFS('Étape 1 - à remplir'!$F$31:$F$400,'Étape 1 - à remplir'!$E$31:$E$400,MASQ2!EC392,'Étape 1 - à remplir'!$G$31:$G$400,"kg"),SUMIFS('Étape 1 - à remplir'!$F$31:$F$400,'Étape 1 - à remplir'!$E$31:$E$400,MASQ2!EC392,'Étape 1 - à remplir'!$P$31:$P$400,EL$3,'Étape 1 - à remplir'!$G$31:$G$400,"kg")),IF(EL$2="Atelier",IF(EL$3="Tous",SUMIFS('Étape 1 - à remplir'!$F$31:$F$400,'Étape 1 - à remplir'!$E$31:$E$400,MASQ2!EC392,'Étape 1 - à remplir'!$G$31:$G$400,"kg"),SUMIFS('Étape 1 - à remplir'!$F$31:$F$400,'Étape 1 - à remplir'!$E$31:$E$400,MASQ2!EC392,'Étape 1 - à remplir'!$O$31:$O$400,EL$3,'Étape 1 - à remplir'!$G$31:$G$400,"kg")),IF(EL$2="Espèce",IF(EL$3="Toutes",SUMIFS('Étape 1 - à remplir'!$F$31:$F$400,'Étape 1 - à remplir'!$E$31:$E$400,MASQ2!EC392,'Étape 1 - à remplir'!$G$31:$G$400,"kg"),SUMIFS('Étape 1 - à remplir'!$F$31:$F$400,'Étape 1 - à remplir'!$E$31:$E$400,MASQ2!EC392,'Étape 1 - à remplir'!$N$31:$N$400,EL$3,'Étape 1 - à remplir'!$G$31:$G$400,"kg")))))))</f>
        <v>#N/A</v>
      </c>
      <c r="EE392" s="76">
        <f t="shared" si="284"/>
        <v>0</v>
      </c>
      <c r="EF392" t="str">
        <f t="shared" si="275"/>
        <v>Apramycine</v>
      </c>
      <c r="EG392" t="str">
        <f t="shared" si="276"/>
        <v/>
      </c>
      <c r="EH392" t="str">
        <f t="shared" si="277"/>
        <v/>
      </c>
      <c r="EI392" t="str">
        <f t="shared" si="278"/>
        <v>Aminoglycosides</v>
      </c>
      <c r="EJ392" t="str">
        <f t="shared" si="279"/>
        <v/>
      </c>
      <c r="EK392" s="63" t="str">
        <f t="shared" si="280"/>
        <v/>
      </c>
      <c r="EN392" s="42">
        <v>389</v>
      </c>
      <c r="EO392" t="e">
        <f t="shared" si="261"/>
        <v>#N/A</v>
      </c>
      <c r="EP392" s="63" t="e">
        <f t="shared" si="262"/>
        <v>#N/A</v>
      </c>
      <c r="FT392" s="63"/>
    </row>
    <row r="393" spans="2:176" x14ac:dyDescent="0.3">
      <c r="B393" s="42"/>
      <c r="M393" s="194" t="str">
        <f ca="1">INDEX(Données_ATB!BD:BU,MATCH(MASQ2!O393,Données_ATB!BD:BD,0),18)</f>
        <v/>
      </c>
      <c r="N393" s="14" t="str">
        <f>IFERROR(IF(Q393=0,"",COUNTIF(Q$4:Q$600,"&gt;"&amp;Q393)+COUNTIF(Q$4:Q393,Q393)),"")</f>
        <v/>
      </c>
      <c r="O393" t="str">
        <f>Données_ATB!BD392</f>
        <v>PM 27 LINCOMYCINE 4.4 SPECTINOMYCINE 4.4 PORC</v>
      </c>
      <c r="P393" t="e">
        <f>IF(IF(X$2="Catégorie",IF(X$3="Toutes",SUMIFS('Étape 1 - à remplir'!$F$31:$F$400,'Étape 1 - à remplir'!$E$31:$E$400,MASQ2!O393,'Étape 1 - à remplir'!$G$31:$G$400,"animaux"),SUMIFS('Étape 1 - à remplir'!$F$31:$F$400,'Étape 1 - à remplir'!$E$31:$E$400,MASQ2!O393,'Étape 1 - à remplir'!$C$31:$C$400,X$3)),IF(X$2="Âge",IF(X$3="Tous",SUMIFS('Étape 1 - à remplir'!$F$31:$F$400,'Étape 1 - à remplir'!$E$31:$E$400,MASQ2!O393,'Étape 1 - à remplir'!$G$31:$G$400,"animaux"),SUMIFS('Étape 1 - à remplir'!$F$31:$F$400,'Étape 1 - à remplir'!$E$31:$E$400,MASQ2!O393,'Étape 1 - à remplir'!$P$31:$P$400,X$3)),IF(X$2="Atelier",IF(X$3="Tous",SUMIFS('Étape 1 - à remplir'!$F$31:$F$400,'Étape 1 - à remplir'!$E$31:$E$400,MASQ2!O393,'Étape 1 - à remplir'!$G$31:$G$400,"animaux"),SUMIFS('Étape 1 - à remplir'!$F$31:$F$400,'Étape 1 - à remplir'!$E$31:$E$400,MASQ2!O393,'Étape 1 - à remplir'!$O$31:$O$400,X$3)),IF(X$2="Espèce",IF(X$3="Toutes",SUMIFS('Étape 1 - à remplir'!$F$31:$F$400,'Étape 1 - à remplir'!$E$31:$E$400,MASQ2!O393,'Étape 1 - à remplir'!$G$31:$G$400,"animaux"),SUMIFS('Étape 1 - à remplir'!$F$31:$F$400,'Étape 1 - à remplir'!$E$31:$E$400,MASQ2!O393,'Étape 1 - à remplir'!$N$31:$N$400,X$3))))))=0,NA(),IF(X$2="Catégorie",IF(X$3="Toutes",SUMIFS('Étape 1 - à remplir'!$F$31:$F$400,'Étape 1 - à remplir'!$E$31:$E$400,MASQ2!O393,'Étape 1 - à remplir'!$G$31:$G$400,"animaux"),SUMIFS('Étape 1 - à remplir'!$F$31:$F$400,'Étape 1 - à remplir'!$E$31:$E$400,MASQ2!O393,'Étape 1 - à remplir'!$C$31:$C$400,X$3)),IF(X$2="Âge",IF(X$3="Tous",SUMIFS('Étape 1 - à remplir'!$F$31:$F$400,'Étape 1 - à remplir'!$E$31:$E$400,MASQ2!O393,'Étape 1 - à remplir'!$G$31:$G$400,"animaux"),SUMIFS('Étape 1 - à remplir'!$F$31:$F$400,'Étape 1 - à remplir'!$E$31:$E$400,MASQ2!O393,'Étape 1 - à remplir'!$P$31:$P$400,X$3)),IF(X$2="Atelier",IF(X$3="Tous",SUMIFS('Étape 1 - à remplir'!$F$31:$F$400,'Étape 1 - à remplir'!$E$31:$E$400,MASQ2!O393,'Étape 1 - à remplir'!$G$31:$G$400,"animaux"),SUMIFS('Étape 1 - à remplir'!$F$31:$F$400,'Étape 1 - à remplir'!$E$31:$E$400,MASQ2!O393,'Étape 1 - à remplir'!$O$31:$O$400,X$3)),IF(X$2="Espèce",IF(X$3="Toutes",SUMIFS('Étape 1 - à remplir'!$F$31:$F$400,'Étape 1 - à remplir'!$E$31:$E$400,MASQ2!O393,'Étape 1 - à remplir'!$G$31:$G$400,"animaux"),SUMIFS('Étape 1 - à remplir'!$F$31:$F$400,'Étape 1 - à remplir'!$E$31:$E$400,MASQ2!O393,'Étape 1 - à remplir'!$N$31:$N$400,X$3)))))))</f>
        <v>#N/A</v>
      </c>
      <c r="Q393" s="63">
        <f t="shared" si="285"/>
        <v>0</v>
      </c>
      <c r="R393" t="str">
        <f>Données_ATB!BM392</f>
        <v>Lincomycine</v>
      </c>
      <c r="S393" t="str">
        <f>Données_ATB!BN392</f>
        <v>Spectinomycine</v>
      </c>
      <c r="T393" s="63" t="str">
        <f>Données_ATB!BO392</f>
        <v/>
      </c>
      <c r="U393" s="42" t="str">
        <f>Données_ATB!BQ392</f>
        <v>Lincosamides</v>
      </c>
      <c r="V393" t="str">
        <f>Données_ATB!BR392</f>
        <v>Aminoglycosides</v>
      </c>
      <c r="W393" s="63" t="str">
        <f>Données_ATB!BS392</f>
        <v/>
      </c>
      <c r="Z393" s="42">
        <v>390</v>
      </c>
      <c r="AA393" t="e">
        <f t="shared" si="281"/>
        <v>#N/A</v>
      </c>
      <c r="AB393" s="63" t="e">
        <f t="shared" si="282"/>
        <v>#N/A</v>
      </c>
      <c r="BF393" s="63"/>
      <c r="BT393" s="194" t="str">
        <f t="shared" ca="1" si="265"/>
        <v/>
      </c>
      <c r="BU393" s="219" t="str">
        <f>IFERROR(IF(BX393=0,"",COUNTIF(BX$4:BX$600,"&gt;"&amp;BX393)+COUNTIF(BX$4:BX393,BX393)),"")</f>
        <v/>
      </c>
      <c r="BV393" s="42" t="str">
        <f t="shared" si="266"/>
        <v>PM 27 LINCOMYCINE 4.4 SPECTINOMYCINE 4.4 PORC</v>
      </c>
      <c r="BW393" t="e">
        <f>IF(IF(CE$2="Catégorie",IF(CE$3="Toutes",SUMIFS('Étape 1 - à remplir'!$F$31:$F$400,'Étape 1 - à remplir'!$E$31:$E$400,MASQ2!BV393,'Étape 1 - à remplir'!$G$31:$G$400,"lots"),SUMIFS('Étape 1 - à remplir'!$F$31:$F$400,'Étape 1 - à remplir'!$E$31:$E$400,MASQ2!BV393,'Étape 1 - à remplir'!$C$31:$C$400,CE$3)),IF(CE$2="Âge",IF(CE$3="Tous",SUMIFS('Étape 1 - à remplir'!$F$31:$F$400,'Étape 1 - à remplir'!$E$31:$E$400,MASQ2!BV393,'Étape 1 - à remplir'!$G$31:$G$400,"lots"),SUMIFS('Étape 1 - à remplir'!$F$31:$F$400,'Étape 1 - à remplir'!$E$31:$E$400,MASQ2!BV393,'Étape 1 - à remplir'!$P$31:$P$400,CE$3,'Étape 1 - à remplir'!$G$31:$G$400,"lots")),IF(CE$2="Atelier",IF(CE$3="Tous",SUMIFS('Étape 1 - à remplir'!$F$31:$F$400,'Étape 1 - à remplir'!$E$31:$E$400,MASQ2!BV393,'Étape 1 - à remplir'!$G$31:$G$400,"lots"),SUMIFS('Étape 1 - à remplir'!$F$31:$F$400,'Étape 1 - à remplir'!$E$31:$E$400,MASQ2!BV393,'Étape 1 - à remplir'!$O$31:$O$400,CE$3,'Étape 1 - à remplir'!$G$31:$G$400,"lots")),IF(CE$2="Espèce",IF(CE$3="Toutes",SUMIFS('Étape 1 - à remplir'!$F$31:$F$400,'Étape 1 - à remplir'!$E$31:$E$400,MASQ2!BV393,'Étape 1 - à remplir'!$G$31:$G$400,"lots"),SUMIFS('Étape 1 - à remplir'!$F$31:$F$400,'Étape 1 - à remplir'!$E$31:$E$400,MASQ2!BV393,'Étape 1 - à remplir'!$N$31:$N$400,CE$3,'Étape 1 - à remplir'!$G$31:$G$400,"lots"))))))=0,NA(),IF(CE$2="Catégorie",IF(CE$3="Toutes",SUMIFS('Étape 1 - à remplir'!$F$31:$F$400,'Étape 1 - à remplir'!$E$31:$E$400,MASQ2!BV393,'Étape 1 - à remplir'!$G$31:$G$400,"lots"),SUMIFS('Étape 1 - à remplir'!$F$31:$F$400,'Étape 1 - à remplir'!$E$31:$E$400,MASQ2!BV393,'Étape 1 - à remplir'!$C$31:$C$400,CE$3)),IF(CE$2="Âge",IF(CE$3="Tous",SUMIFS('Étape 1 - à remplir'!$F$31:$F$400,'Étape 1 - à remplir'!$E$31:$E$400,MASQ2!BV393,'Étape 1 - à remplir'!$G$31:$G$400,"lots"),SUMIFS('Étape 1 - à remplir'!$F$31:$F$400,'Étape 1 - à remplir'!$E$31:$E$400,MASQ2!BV393,'Étape 1 - à remplir'!$P$31:$P$400,CE$3,'Étape 1 - à remplir'!$G$31:$G$400,"lots")),IF(CE$2="Atelier",IF(CE$3="Tous",SUMIFS('Étape 1 - à remplir'!$F$31:$F$400,'Étape 1 - à remplir'!$E$31:$E$400,MASQ2!BV393,'Étape 1 - à remplir'!$G$31:$G$400,"lots"),SUMIFS('Étape 1 - à remplir'!$F$31:$F$400,'Étape 1 - à remplir'!$E$31:$E$400,MASQ2!BV393,'Étape 1 - à remplir'!$O$31:$O$400,CE$3,'Étape 1 - à remplir'!$G$31:$G$400,"lots")),IF(CE$2="Espèce",IF(CE$3="Toutes",SUMIFS('Étape 1 - à remplir'!$F$31:$F$400,'Étape 1 - à remplir'!$E$31:$E$400,MASQ2!BV393,'Étape 1 - à remplir'!$G$31:$G$400,"lots"),SUMIFS('Étape 1 - à remplir'!$F$31:$F$400,'Étape 1 - à remplir'!$E$31:$E$400,MASQ2!BV393,'Étape 1 - à remplir'!$N$31:$N$400,CE$3,'Étape 1 - à remplir'!$G$31:$G$400,"lots")))))))</f>
        <v>#N/A</v>
      </c>
      <c r="BX393">
        <f t="shared" si="283"/>
        <v>0</v>
      </c>
      <c r="BY393" t="str">
        <f t="shared" si="267"/>
        <v>Lincomycine</v>
      </c>
      <c r="BZ393" t="str">
        <f t="shared" si="268"/>
        <v>Spectinomycine</v>
      </c>
      <c r="CA393" t="str">
        <f t="shared" si="269"/>
        <v/>
      </c>
      <c r="CB393" t="str">
        <f t="shared" si="270"/>
        <v>Lincosamides</v>
      </c>
      <c r="CC393" t="str">
        <f t="shared" si="271"/>
        <v>Aminoglycosides</v>
      </c>
      <c r="CD393" s="63" t="str">
        <f t="shared" si="272"/>
        <v/>
      </c>
      <c r="CG393" s="42">
        <v>390</v>
      </c>
      <c r="CH393" s="42" t="e">
        <f t="shared" si="263"/>
        <v>#N/A</v>
      </c>
      <c r="CI393" s="63" t="e">
        <f t="shared" si="264"/>
        <v>#N/A</v>
      </c>
      <c r="DM393" s="63"/>
      <c r="EA393" s="194" t="str">
        <f t="shared" ca="1" si="273"/>
        <v/>
      </c>
      <c r="EB393" s="226" t="str">
        <f>IFERROR(IF(ED393=0,"",COUNTIF(ED$4:ED$600,"&gt;"&amp;ED393)+COUNTIF(ED$4:ED393,ED393)),"")</f>
        <v/>
      </c>
      <c r="EC393" t="str">
        <f t="shared" si="274"/>
        <v>PM 27 LINCOMYCINE 4.4 SPECTINOMYCINE 4.4 PORC</v>
      </c>
      <c r="ED393" t="e">
        <f>IF(IF(EL$2="Catégorie",IF(EL$3="Toutes",SUMIFS('Étape 1 - à remplir'!$F$31:$F$400,'Étape 1 - à remplir'!$E$31:$E$400,MASQ2!EC393,'Étape 1 - à remplir'!$G$31:$G$400,"kg"),SUMIFS('Étape 1 - à remplir'!$F$31:$F$400,'Étape 1 - à remplir'!$E$31:$E$400,MASQ2!EC393,'Étape 1 - à remplir'!$C$31:$C$400,EL$3)),IF(EL$2="Âge",IF(EL$3="Tous",SUMIFS('Étape 1 - à remplir'!$F$31:$F$400,'Étape 1 - à remplir'!$E$31:$E$400,MASQ2!EC393,'Étape 1 - à remplir'!$G$31:$G$400,"kg"),SUMIFS('Étape 1 - à remplir'!$F$31:$F$400,'Étape 1 - à remplir'!$E$31:$E$400,MASQ2!EC393,'Étape 1 - à remplir'!$P$31:$P$400,EL$3,'Étape 1 - à remplir'!$G$31:$G$400,"kg")),IF(EL$2="Atelier",IF(EL$3="Tous",SUMIFS('Étape 1 - à remplir'!$F$31:$F$400,'Étape 1 - à remplir'!$E$31:$E$400,MASQ2!EC393,'Étape 1 - à remplir'!$G$31:$G$400,"kg"),SUMIFS('Étape 1 - à remplir'!$F$31:$F$400,'Étape 1 - à remplir'!$E$31:$E$400,MASQ2!EC393,'Étape 1 - à remplir'!$O$31:$O$400,EL$3,'Étape 1 - à remplir'!$G$31:$G$400,"kg")),IF(EL$2="Espèce",IF(EL$3="Toutes",SUMIFS('Étape 1 - à remplir'!$F$31:$F$400,'Étape 1 - à remplir'!$E$31:$E$400,MASQ2!EC393,'Étape 1 - à remplir'!$G$31:$G$400,"kg"),SUMIFS('Étape 1 - à remplir'!$F$31:$F$400,'Étape 1 - à remplir'!$E$31:$E$400,MASQ2!EC393,'Étape 1 - à remplir'!$N$31:$N$400,EL$3,'Étape 1 - à remplir'!$G$31:$G$400,"kg"))))))=0,NA(),IF(EL$2="Catégorie",IF(EL$3="Toutes",SUMIFS('Étape 1 - à remplir'!$F$31:$F$400,'Étape 1 - à remplir'!$E$31:$E$400,MASQ2!EC393,'Étape 1 - à remplir'!$G$31:$G$400,"kg"),SUMIFS('Étape 1 - à remplir'!$F$31:$F$400,'Étape 1 - à remplir'!$E$31:$E$400,MASQ2!EC393,'Étape 1 - à remplir'!$C$31:$C$400,EL$3)),IF(EL$2="Âge",IF(EL$3="Tous",SUMIFS('Étape 1 - à remplir'!$F$31:$F$400,'Étape 1 - à remplir'!$E$31:$E$400,MASQ2!EC393,'Étape 1 - à remplir'!$G$31:$G$400,"kg"),SUMIFS('Étape 1 - à remplir'!$F$31:$F$400,'Étape 1 - à remplir'!$E$31:$E$400,MASQ2!EC393,'Étape 1 - à remplir'!$P$31:$P$400,EL$3,'Étape 1 - à remplir'!$G$31:$G$400,"kg")),IF(EL$2="Atelier",IF(EL$3="Tous",SUMIFS('Étape 1 - à remplir'!$F$31:$F$400,'Étape 1 - à remplir'!$E$31:$E$400,MASQ2!EC393,'Étape 1 - à remplir'!$G$31:$G$400,"kg"),SUMIFS('Étape 1 - à remplir'!$F$31:$F$400,'Étape 1 - à remplir'!$E$31:$E$400,MASQ2!EC393,'Étape 1 - à remplir'!$O$31:$O$400,EL$3,'Étape 1 - à remplir'!$G$31:$G$400,"kg")),IF(EL$2="Espèce",IF(EL$3="Toutes",SUMIFS('Étape 1 - à remplir'!$F$31:$F$400,'Étape 1 - à remplir'!$E$31:$E$400,MASQ2!EC393,'Étape 1 - à remplir'!$G$31:$G$400,"kg"),SUMIFS('Étape 1 - à remplir'!$F$31:$F$400,'Étape 1 - à remplir'!$E$31:$E$400,MASQ2!EC393,'Étape 1 - à remplir'!$N$31:$N$400,EL$3,'Étape 1 - à remplir'!$G$31:$G$400,"kg")))))))</f>
        <v>#N/A</v>
      </c>
      <c r="EE393" s="76">
        <f t="shared" si="284"/>
        <v>0</v>
      </c>
      <c r="EF393" t="str">
        <f t="shared" si="275"/>
        <v>Lincomycine</v>
      </c>
      <c r="EG393" t="str">
        <f t="shared" si="276"/>
        <v>Spectinomycine</v>
      </c>
      <c r="EH393" t="str">
        <f t="shared" si="277"/>
        <v/>
      </c>
      <c r="EI393" t="str">
        <f t="shared" si="278"/>
        <v>Lincosamides</v>
      </c>
      <c r="EJ393" t="str">
        <f t="shared" si="279"/>
        <v>Aminoglycosides</v>
      </c>
      <c r="EK393" s="63" t="str">
        <f t="shared" si="280"/>
        <v/>
      </c>
      <c r="EN393" s="42">
        <v>390</v>
      </c>
      <c r="EO393" t="e">
        <f t="shared" si="261"/>
        <v>#N/A</v>
      </c>
      <c r="EP393" s="63" t="e">
        <f t="shared" si="262"/>
        <v>#N/A</v>
      </c>
      <c r="FT393" s="63"/>
    </row>
    <row r="394" spans="2:176" x14ac:dyDescent="0.3">
      <c r="B394" s="42"/>
      <c r="M394" s="194" t="str">
        <f ca="1">INDEX(Données_ATB!BD:BU,MATCH(MASQ2!O394,Données_ATB!BD:BD,0),18)</f>
        <v/>
      </c>
      <c r="N394" s="14" t="str">
        <f>IFERROR(IF(Q394=0,"",COUNTIF(Q$4:Q$600,"&gt;"&amp;Q394)+COUNTIF(Q$4:Q394,Q394)),"")</f>
        <v/>
      </c>
      <c r="O394" t="str">
        <f>Données_ATB!BD393</f>
        <v>PM 35-A ACIDE OXOLINIQUE 80 PORC</v>
      </c>
      <c r="P394" t="e">
        <f>IF(IF(X$2="Catégorie",IF(X$3="Toutes",SUMIFS('Étape 1 - à remplir'!$F$31:$F$400,'Étape 1 - à remplir'!$E$31:$E$400,MASQ2!O394,'Étape 1 - à remplir'!$G$31:$G$400,"animaux"),SUMIFS('Étape 1 - à remplir'!$F$31:$F$400,'Étape 1 - à remplir'!$E$31:$E$400,MASQ2!O394,'Étape 1 - à remplir'!$C$31:$C$400,X$3)),IF(X$2="Âge",IF(X$3="Tous",SUMIFS('Étape 1 - à remplir'!$F$31:$F$400,'Étape 1 - à remplir'!$E$31:$E$400,MASQ2!O394,'Étape 1 - à remplir'!$G$31:$G$400,"animaux"),SUMIFS('Étape 1 - à remplir'!$F$31:$F$400,'Étape 1 - à remplir'!$E$31:$E$400,MASQ2!O394,'Étape 1 - à remplir'!$P$31:$P$400,X$3)),IF(X$2="Atelier",IF(X$3="Tous",SUMIFS('Étape 1 - à remplir'!$F$31:$F$400,'Étape 1 - à remplir'!$E$31:$E$400,MASQ2!O394,'Étape 1 - à remplir'!$G$31:$G$400,"animaux"),SUMIFS('Étape 1 - à remplir'!$F$31:$F$400,'Étape 1 - à remplir'!$E$31:$E$400,MASQ2!O394,'Étape 1 - à remplir'!$O$31:$O$400,X$3)),IF(X$2="Espèce",IF(X$3="Toutes",SUMIFS('Étape 1 - à remplir'!$F$31:$F$400,'Étape 1 - à remplir'!$E$31:$E$400,MASQ2!O394,'Étape 1 - à remplir'!$G$31:$G$400,"animaux"),SUMIFS('Étape 1 - à remplir'!$F$31:$F$400,'Étape 1 - à remplir'!$E$31:$E$400,MASQ2!O394,'Étape 1 - à remplir'!$N$31:$N$400,X$3))))))=0,NA(),IF(X$2="Catégorie",IF(X$3="Toutes",SUMIFS('Étape 1 - à remplir'!$F$31:$F$400,'Étape 1 - à remplir'!$E$31:$E$400,MASQ2!O394,'Étape 1 - à remplir'!$G$31:$G$400,"animaux"),SUMIFS('Étape 1 - à remplir'!$F$31:$F$400,'Étape 1 - à remplir'!$E$31:$E$400,MASQ2!O394,'Étape 1 - à remplir'!$C$31:$C$400,X$3)),IF(X$2="Âge",IF(X$3="Tous",SUMIFS('Étape 1 - à remplir'!$F$31:$F$400,'Étape 1 - à remplir'!$E$31:$E$400,MASQ2!O394,'Étape 1 - à remplir'!$G$31:$G$400,"animaux"),SUMIFS('Étape 1 - à remplir'!$F$31:$F$400,'Étape 1 - à remplir'!$E$31:$E$400,MASQ2!O394,'Étape 1 - à remplir'!$P$31:$P$400,X$3)),IF(X$2="Atelier",IF(X$3="Tous",SUMIFS('Étape 1 - à remplir'!$F$31:$F$400,'Étape 1 - à remplir'!$E$31:$E$400,MASQ2!O394,'Étape 1 - à remplir'!$G$31:$G$400,"animaux"),SUMIFS('Étape 1 - à remplir'!$F$31:$F$400,'Étape 1 - à remplir'!$E$31:$E$400,MASQ2!O394,'Étape 1 - à remplir'!$O$31:$O$400,X$3)),IF(X$2="Espèce",IF(X$3="Toutes",SUMIFS('Étape 1 - à remplir'!$F$31:$F$400,'Étape 1 - à remplir'!$E$31:$E$400,MASQ2!O394,'Étape 1 - à remplir'!$G$31:$G$400,"animaux"),SUMIFS('Étape 1 - à remplir'!$F$31:$F$400,'Étape 1 - à remplir'!$E$31:$E$400,MASQ2!O394,'Étape 1 - à remplir'!$N$31:$N$400,X$3)))))))</f>
        <v>#N/A</v>
      </c>
      <c r="Q394" s="63">
        <f t="shared" si="285"/>
        <v>0</v>
      </c>
      <c r="R394" t="str">
        <f>Données_ATB!BM393</f>
        <v>Acide oxolinique</v>
      </c>
      <c r="S394" t="str">
        <f>Données_ATB!BN393</f>
        <v/>
      </c>
      <c r="T394" s="63" t="str">
        <f>Données_ATB!BO393</f>
        <v/>
      </c>
      <c r="U394" s="42" t="str">
        <f>Données_ATB!BQ393</f>
        <v>Quinolones</v>
      </c>
      <c r="V394" t="str">
        <f>Données_ATB!BR393</f>
        <v/>
      </c>
      <c r="W394" s="63" t="str">
        <f>Données_ATB!BS393</f>
        <v/>
      </c>
      <c r="Z394" s="42">
        <v>391</v>
      </c>
      <c r="AA394" t="e">
        <f t="shared" si="281"/>
        <v>#N/A</v>
      </c>
      <c r="AB394" s="63" t="e">
        <f t="shared" si="282"/>
        <v>#N/A</v>
      </c>
      <c r="BF394" s="63"/>
      <c r="BT394" s="194" t="str">
        <f t="shared" ca="1" si="265"/>
        <v/>
      </c>
      <c r="BU394" s="219" t="str">
        <f>IFERROR(IF(BX394=0,"",COUNTIF(BX$4:BX$600,"&gt;"&amp;BX394)+COUNTIF(BX$4:BX394,BX394)),"")</f>
        <v/>
      </c>
      <c r="BV394" s="42" t="str">
        <f t="shared" si="266"/>
        <v>PM 35-A ACIDE OXOLINIQUE 80 PORC</v>
      </c>
      <c r="BW394" t="e">
        <f>IF(IF(CE$2="Catégorie",IF(CE$3="Toutes",SUMIFS('Étape 1 - à remplir'!$F$31:$F$400,'Étape 1 - à remplir'!$E$31:$E$400,MASQ2!BV394,'Étape 1 - à remplir'!$G$31:$G$400,"lots"),SUMIFS('Étape 1 - à remplir'!$F$31:$F$400,'Étape 1 - à remplir'!$E$31:$E$400,MASQ2!BV394,'Étape 1 - à remplir'!$C$31:$C$400,CE$3)),IF(CE$2="Âge",IF(CE$3="Tous",SUMIFS('Étape 1 - à remplir'!$F$31:$F$400,'Étape 1 - à remplir'!$E$31:$E$400,MASQ2!BV394,'Étape 1 - à remplir'!$G$31:$G$400,"lots"),SUMIFS('Étape 1 - à remplir'!$F$31:$F$400,'Étape 1 - à remplir'!$E$31:$E$400,MASQ2!BV394,'Étape 1 - à remplir'!$P$31:$P$400,CE$3,'Étape 1 - à remplir'!$G$31:$G$400,"lots")),IF(CE$2="Atelier",IF(CE$3="Tous",SUMIFS('Étape 1 - à remplir'!$F$31:$F$400,'Étape 1 - à remplir'!$E$31:$E$400,MASQ2!BV394,'Étape 1 - à remplir'!$G$31:$G$400,"lots"),SUMIFS('Étape 1 - à remplir'!$F$31:$F$400,'Étape 1 - à remplir'!$E$31:$E$400,MASQ2!BV394,'Étape 1 - à remplir'!$O$31:$O$400,CE$3,'Étape 1 - à remplir'!$G$31:$G$400,"lots")),IF(CE$2="Espèce",IF(CE$3="Toutes",SUMIFS('Étape 1 - à remplir'!$F$31:$F$400,'Étape 1 - à remplir'!$E$31:$E$400,MASQ2!BV394,'Étape 1 - à remplir'!$G$31:$G$400,"lots"),SUMIFS('Étape 1 - à remplir'!$F$31:$F$400,'Étape 1 - à remplir'!$E$31:$E$400,MASQ2!BV394,'Étape 1 - à remplir'!$N$31:$N$400,CE$3,'Étape 1 - à remplir'!$G$31:$G$400,"lots"))))))=0,NA(),IF(CE$2="Catégorie",IF(CE$3="Toutes",SUMIFS('Étape 1 - à remplir'!$F$31:$F$400,'Étape 1 - à remplir'!$E$31:$E$400,MASQ2!BV394,'Étape 1 - à remplir'!$G$31:$G$400,"lots"),SUMIFS('Étape 1 - à remplir'!$F$31:$F$400,'Étape 1 - à remplir'!$E$31:$E$400,MASQ2!BV394,'Étape 1 - à remplir'!$C$31:$C$400,CE$3)),IF(CE$2="Âge",IF(CE$3="Tous",SUMIFS('Étape 1 - à remplir'!$F$31:$F$400,'Étape 1 - à remplir'!$E$31:$E$400,MASQ2!BV394,'Étape 1 - à remplir'!$G$31:$G$400,"lots"),SUMIFS('Étape 1 - à remplir'!$F$31:$F$400,'Étape 1 - à remplir'!$E$31:$E$400,MASQ2!BV394,'Étape 1 - à remplir'!$P$31:$P$400,CE$3,'Étape 1 - à remplir'!$G$31:$G$400,"lots")),IF(CE$2="Atelier",IF(CE$3="Tous",SUMIFS('Étape 1 - à remplir'!$F$31:$F$400,'Étape 1 - à remplir'!$E$31:$E$400,MASQ2!BV394,'Étape 1 - à remplir'!$G$31:$G$400,"lots"),SUMIFS('Étape 1 - à remplir'!$F$31:$F$400,'Étape 1 - à remplir'!$E$31:$E$400,MASQ2!BV394,'Étape 1 - à remplir'!$O$31:$O$400,CE$3,'Étape 1 - à remplir'!$G$31:$G$400,"lots")),IF(CE$2="Espèce",IF(CE$3="Toutes",SUMIFS('Étape 1 - à remplir'!$F$31:$F$400,'Étape 1 - à remplir'!$E$31:$E$400,MASQ2!BV394,'Étape 1 - à remplir'!$G$31:$G$400,"lots"),SUMIFS('Étape 1 - à remplir'!$F$31:$F$400,'Étape 1 - à remplir'!$E$31:$E$400,MASQ2!BV394,'Étape 1 - à remplir'!$N$31:$N$400,CE$3,'Étape 1 - à remplir'!$G$31:$G$400,"lots")))))))</f>
        <v>#N/A</v>
      </c>
      <c r="BX394">
        <f t="shared" si="283"/>
        <v>0</v>
      </c>
      <c r="BY394" t="str">
        <f t="shared" si="267"/>
        <v>Acide oxolinique</v>
      </c>
      <c r="BZ394" t="str">
        <f t="shared" si="268"/>
        <v/>
      </c>
      <c r="CA394" t="str">
        <f t="shared" si="269"/>
        <v/>
      </c>
      <c r="CB394" t="str">
        <f t="shared" si="270"/>
        <v>Quinolones</v>
      </c>
      <c r="CC394" t="str">
        <f t="shared" si="271"/>
        <v/>
      </c>
      <c r="CD394" s="63" t="str">
        <f t="shared" si="272"/>
        <v/>
      </c>
      <c r="CG394" s="42">
        <v>391</v>
      </c>
      <c r="CH394" s="42" t="e">
        <f t="shared" si="263"/>
        <v>#N/A</v>
      </c>
      <c r="CI394" s="63" t="e">
        <f t="shared" si="264"/>
        <v>#N/A</v>
      </c>
      <c r="DM394" s="63"/>
      <c r="EA394" s="194" t="str">
        <f t="shared" ca="1" si="273"/>
        <v/>
      </c>
      <c r="EB394" s="226" t="str">
        <f>IFERROR(IF(ED394=0,"",COUNTIF(ED$4:ED$600,"&gt;"&amp;ED394)+COUNTIF(ED$4:ED394,ED394)),"")</f>
        <v/>
      </c>
      <c r="EC394" t="str">
        <f t="shared" si="274"/>
        <v>PM 35-A ACIDE OXOLINIQUE 80 PORC</v>
      </c>
      <c r="ED394" t="e">
        <f>IF(IF(EL$2="Catégorie",IF(EL$3="Toutes",SUMIFS('Étape 1 - à remplir'!$F$31:$F$400,'Étape 1 - à remplir'!$E$31:$E$400,MASQ2!EC394,'Étape 1 - à remplir'!$G$31:$G$400,"kg"),SUMIFS('Étape 1 - à remplir'!$F$31:$F$400,'Étape 1 - à remplir'!$E$31:$E$400,MASQ2!EC394,'Étape 1 - à remplir'!$C$31:$C$400,EL$3)),IF(EL$2="Âge",IF(EL$3="Tous",SUMIFS('Étape 1 - à remplir'!$F$31:$F$400,'Étape 1 - à remplir'!$E$31:$E$400,MASQ2!EC394,'Étape 1 - à remplir'!$G$31:$G$400,"kg"),SUMIFS('Étape 1 - à remplir'!$F$31:$F$400,'Étape 1 - à remplir'!$E$31:$E$400,MASQ2!EC394,'Étape 1 - à remplir'!$P$31:$P$400,EL$3,'Étape 1 - à remplir'!$G$31:$G$400,"kg")),IF(EL$2="Atelier",IF(EL$3="Tous",SUMIFS('Étape 1 - à remplir'!$F$31:$F$400,'Étape 1 - à remplir'!$E$31:$E$400,MASQ2!EC394,'Étape 1 - à remplir'!$G$31:$G$400,"kg"),SUMIFS('Étape 1 - à remplir'!$F$31:$F$400,'Étape 1 - à remplir'!$E$31:$E$400,MASQ2!EC394,'Étape 1 - à remplir'!$O$31:$O$400,EL$3,'Étape 1 - à remplir'!$G$31:$G$400,"kg")),IF(EL$2="Espèce",IF(EL$3="Toutes",SUMIFS('Étape 1 - à remplir'!$F$31:$F$400,'Étape 1 - à remplir'!$E$31:$E$400,MASQ2!EC394,'Étape 1 - à remplir'!$G$31:$G$400,"kg"),SUMIFS('Étape 1 - à remplir'!$F$31:$F$400,'Étape 1 - à remplir'!$E$31:$E$400,MASQ2!EC394,'Étape 1 - à remplir'!$N$31:$N$400,EL$3,'Étape 1 - à remplir'!$G$31:$G$400,"kg"))))))=0,NA(),IF(EL$2="Catégorie",IF(EL$3="Toutes",SUMIFS('Étape 1 - à remplir'!$F$31:$F$400,'Étape 1 - à remplir'!$E$31:$E$400,MASQ2!EC394,'Étape 1 - à remplir'!$G$31:$G$400,"kg"),SUMIFS('Étape 1 - à remplir'!$F$31:$F$400,'Étape 1 - à remplir'!$E$31:$E$400,MASQ2!EC394,'Étape 1 - à remplir'!$C$31:$C$400,EL$3)),IF(EL$2="Âge",IF(EL$3="Tous",SUMIFS('Étape 1 - à remplir'!$F$31:$F$400,'Étape 1 - à remplir'!$E$31:$E$400,MASQ2!EC394,'Étape 1 - à remplir'!$G$31:$G$400,"kg"),SUMIFS('Étape 1 - à remplir'!$F$31:$F$400,'Étape 1 - à remplir'!$E$31:$E$400,MASQ2!EC394,'Étape 1 - à remplir'!$P$31:$P$400,EL$3,'Étape 1 - à remplir'!$G$31:$G$400,"kg")),IF(EL$2="Atelier",IF(EL$3="Tous",SUMIFS('Étape 1 - à remplir'!$F$31:$F$400,'Étape 1 - à remplir'!$E$31:$E$400,MASQ2!EC394,'Étape 1 - à remplir'!$G$31:$G$400,"kg"),SUMIFS('Étape 1 - à remplir'!$F$31:$F$400,'Étape 1 - à remplir'!$E$31:$E$400,MASQ2!EC394,'Étape 1 - à remplir'!$O$31:$O$400,EL$3,'Étape 1 - à remplir'!$G$31:$G$400,"kg")),IF(EL$2="Espèce",IF(EL$3="Toutes",SUMIFS('Étape 1 - à remplir'!$F$31:$F$400,'Étape 1 - à remplir'!$E$31:$E$400,MASQ2!EC394,'Étape 1 - à remplir'!$G$31:$G$400,"kg"),SUMIFS('Étape 1 - à remplir'!$F$31:$F$400,'Étape 1 - à remplir'!$E$31:$E$400,MASQ2!EC394,'Étape 1 - à remplir'!$N$31:$N$400,EL$3,'Étape 1 - à remplir'!$G$31:$G$400,"kg")))))))</f>
        <v>#N/A</v>
      </c>
      <c r="EE394" s="76">
        <f t="shared" si="284"/>
        <v>0</v>
      </c>
      <c r="EF394" t="str">
        <f t="shared" si="275"/>
        <v>Acide oxolinique</v>
      </c>
      <c r="EG394" t="str">
        <f t="shared" si="276"/>
        <v/>
      </c>
      <c r="EH394" t="str">
        <f t="shared" si="277"/>
        <v/>
      </c>
      <c r="EI394" t="str">
        <f t="shared" si="278"/>
        <v>Quinolones</v>
      </c>
      <c r="EJ394" t="str">
        <f t="shared" si="279"/>
        <v/>
      </c>
      <c r="EK394" s="63" t="str">
        <f t="shared" si="280"/>
        <v/>
      </c>
      <c r="EN394" s="42">
        <v>391</v>
      </c>
      <c r="EO394" t="e">
        <f t="shared" ref="EO394:EO457" si="286">INDEX(EB$3:EE$600,MATCH(EN394,EB$3:EB$600,0),2)</f>
        <v>#N/A</v>
      </c>
      <c r="EP394" s="63" t="e">
        <f t="shared" ref="EP394:EP457" si="287">INDEX(EB$3:EE$600,MATCH(EN394,EB$3:EB$600,0),3)</f>
        <v>#N/A</v>
      </c>
      <c r="FT394" s="63"/>
    </row>
    <row r="395" spans="2:176" x14ac:dyDescent="0.3">
      <c r="B395" s="42"/>
      <c r="M395" s="194" t="str">
        <f ca="1">INDEX(Données_ATB!BD:BU,MATCH(MASQ2!O395,Données_ATB!BD:BD,0),18)</f>
        <v/>
      </c>
      <c r="N395" s="14" t="str">
        <f>IFERROR(IF(Q395=0,"",COUNTIF(Q$4:Q$600,"&gt;"&amp;Q395)+COUNTIF(Q$4:Q395,Q395)),"")</f>
        <v/>
      </c>
      <c r="O395" t="str">
        <f>Données_ATB!BD394</f>
        <v>PNEUMOBIOTIQUE</v>
      </c>
      <c r="P395" t="e">
        <f>IF(IF(X$2="Catégorie",IF(X$3="Toutes",SUMIFS('Étape 1 - à remplir'!$F$31:$F$400,'Étape 1 - à remplir'!$E$31:$E$400,MASQ2!O395,'Étape 1 - à remplir'!$G$31:$G$400,"animaux"),SUMIFS('Étape 1 - à remplir'!$F$31:$F$400,'Étape 1 - à remplir'!$E$31:$E$400,MASQ2!O395,'Étape 1 - à remplir'!$C$31:$C$400,X$3)),IF(X$2="Âge",IF(X$3="Tous",SUMIFS('Étape 1 - à remplir'!$F$31:$F$400,'Étape 1 - à remplir'!$E$31:$E$400,MASQ2!O395,'Étape 1 - à remplir'!$G$31:$G$400,"animaux"),SUMIFS('Étape 1 - à remplir'!$F$31:$F$400,'Étape 1 - à remplir'!$E$31:$E$400,MASQ2!O395,'Étape 1 - à remplir'!$P$31:$P$400,X$3)),IF(X$2="Atelier",IF(X$3="Tous",SUMIFS('Étape 1 - à remplir'!$F$31:$F$400,'Étape 1 - à remplir'!$E$31:$E$400,MASQ2!O395,'Étape 1 - à remplir'!$G$31:$G$400,"animaux"),SUMIFS('Étape 1 - à remplir'!$F$31:$F$400,'Étape 1 - à remplir'!$E$31:$E$400,MASQ2!O395,'Étape 1 - à remplir'!$O$31:$O$400,X$3)),IF(X$2="Espèce",IF(X$3="Toutes",SUMIFS('Étape 1 - à remplir'!$F$31:$F$400,'Étape 1 - à remplir'!$E$31:$E$400,MASQ2!O395,'Étape 1 - à remplir'!$G$31:$G$400,"animaux"),SUMIFS('Étape 1 - à remplir'!$F$31:$F$400,'Étape 1 - à remplir'!$E$31:$E$400,MASQ2!O395,'Étape 1 - à remplir'!$N$31:$N$400,X$3))))))=0,NA(),IF(X$2="Catégorie",IF(X$3="Toutes",SUMIFS('Étape 1 - à remplir'!$F$31:$F$400,'Étape 1 - à remplir'!$E$31:$E$400,MASQ2!O395,'Étape 1 - à remplir'!$G$31:$G$400,"animaux"),SUMIFS('Étape 1 - à remplir'!$F$31:$F$400,'Étape 1 - à remplir'!$E$31:$E$400,MASQ2!O395,'Étape 1 - à remplir'!$C$31:$C$400,X$3)),IF(X$2="Âge",IF(X$3="Tous",SUMIFS('Étape 1 - à remplir'!$F$31:$F$400,'Étape 1 - à remplir'!$E$31:$E$400,MASQ2!O395,'Étape 1 - à remplir'!$G$31:$G$400,"animaux"),SUMIFS('Étape 1 - à remplir'!$F$31:$F$400,'Étape 1 - à remplir'!$E$31:$E$400,MASQ2!O395,'Étape 1 - à remplir'!$P$31:$P$400,X$3)),IF(X$2="Atelier",IF(X$3="Tous",SUMIFS('Étape 1 - à remplir'!$F$31:$F$400,'Étape 1 - à remplir'!$E$31:$E$400,MASQ2!O395,'Étape 1 - à remplir'!$G$31:$G$400,"animaux"),SUMIFS('Étape 1 - à remplir'!$F$31:$F$400,'Étape 1 - à remplir'!$E$31:$E$400,MASQ2!O395,'Étape 1 - à remplir'!$O$31:$O$400,X$3)),IF(X$2="Espèce",IF(X$3="Toutes",SUMIFS('Étape 1 - à remplir'!$F$31:$F$400,'Étape 1 - à remplir'!$E$31:$E$400,MASQ2!O395,'Étape 1 - à remplir'!$G$31:$G$400,"animaux"),SUMIFS('Étape 1 - à remplir'!$F$31:$F$400,'Étape 1 - à remplir'!$E$31:$E$400,MASQ2!O395,'Étape 1 - à remplir'!$N$31:$N$400,X$3)))))))</f>
        <v>#N/A</v>
      </c>
      <c r="Q395" s="63">
        <f t="shared" si="285"/>
        <v>0</v>
      </c>
      <c r="R395" t="str">
        <f>Données_ATB!BM394</f>
        <v>Oxytétracycline</v>
      </c>
      <c r="S395" t="str">
        <f>Données_ATB!BN394</f>
        <v>Spiramycine</v>
      </c>
      <c r="T395" s="63" t="str">
        <f>Données_ATB!BO394</f>
        <v/>
      </c>
      <c r="U395" s="42" t="str">
        <f>Données_ATB!BQ394</f>
        <v>Tetracyclines</v>
      </c>
      <c r="V395" t="str">
        <f>Données_ATB!BR394</f>
        <v>Macrolides</v>
      </c>
      <c r="W395" s="63" t="str">
        <f>Données_ATB!BS394</f>
        <v/>
      </c>
      <c r="Z395" s="42">
        <v>392</v>
      </c>
      <c r="AA395" t="e">
        <f t="shared" si="281"/>
        <v>#N/A</v>
      </c>
      <c r="AB395" s="63" t="e">
        <f t="shared" si="282"/>
        <v>#N/A</v>
      </c>
      <c r="BF395" s="63"/>
      <c r="BT395" s="194" t="str">
        <f t="shared" ca="1" si="265"/>
        <v/>
      </c>
      <c r="BU395" s="219" t="str">
        <f>IFERROR(IF(BX395=0,"",COUNTIF(BX$4:BX$600,"&gt;"&amp;BX395)+COUNTIF(BX$4:BX395,BX395)),"")</f>
        <v/>
      </c>
      <c r="BV395" s="42" t="str">
        <f t="shared" si="266"/>
        <v>PNEUMOBIOTIQUE</v>
      </c>
      <c r="BW395" t="e">
        <f>IF(IF(CE$2="Catégorie",IF(CE$3="Toutes",SUMIFS('Étape 1 - à remplir'!$F$31:$F$400,'Étape 1 - à remplir'!$E$31:$E$400,MASQ2!BV395,'Étape 1 - à remplir'!$G$31:$G$400,"lots"),SUMIFS('Étape 1 - à remplir'!$F$31:$F$400,'Étape 1 - à remplir'!$E$31:$E$400,MASQ2!BV395,'Étape 1 - à remplir'!$C$31:$C$400,CE$3)),IF(CE$2="Âge",IF(CE$3="Tous",SUMIFS('Étape 1 - à remplir'!$F$31:$F$400,'Étape 1 - à remplir'!$E$31:$E$400,MASQ2!BV395,'Étape 1 - à remplir'!$G$31:$G$400,"lots"),SUMIFS('Étape 1 - à remplir'!$F$31:$F$400,'Étape 1 - à remplir'!$E$31:$E$400,MASQ2!BV395,'Étape 1 - à remplir'!$P$31:$P$400,CE$3,'Étape 1 - à remplir'!$G$31:$G$400,"lots")),IF(CE$2="Atelier",IF(CE$3="Tous",SUMIFS('Étape 1 - à remplir'!$F$31:$F$400,'Étape 1 - à remplir'!$E$31:$E$400,MASQ2!BV395,'Étape 1 - à remplir'!$G$31:$G$400,"lots"),SUMIFS('Étape 1 - à remplir'!$F$31:$F$400,'Étape 1 - à remplir'!$E$31:$E$400,MASQ2!BV395,'Étape 1 - à remplir'!$O$31:$O$400,CE$3,'Étape 1 - à remplir'!$G$31:$G$400,"lots")),IF(CE$2="Espèce",IF(CE$3="Toutes",SUMIFS('Étape 1 - à remplir'!$F$31:$F$400,'Étape 1 - à remplir'!$E$31:$E$400,MASQ2!BV395,'Étape 1 - à remplir'!$G$31:$G$400,"lots"),SUMIFS('Étape 1 - à remplir'!$F$31:$F$400,'Étape 1 - à remplir'!$E$31:$E$400,MASQ2!BV395,'Étape 1 - à remplir'!$N$31:$N$400,CE$3,'Étape 1 - à remplir'!$G$31:$G$400,"lots"))))))=0,NA(),IF(CE$2="Catégorie",IF(CE$3="Toutes",SUMIFS('Étape 1 - à remplir'!$F$31:$F$400,'Étape 1 - à remplir'!$E$31:$E$400,MASQ2!BV395,'Étape 1 - à remplir'!$G$31:$G$400,"lots"),SUMIFS('Étape 1 - à remplir'!$F$31:$F$400,'Étape 1 - à remplir'!$E$31:$E$400,MASQ2!BV395,'Étape 1 - à remplir'!$C$31:$C$400,CE$3)),IF(CE$2="Âge",IF(CE$3="Tous",SUMIFS('Étape 1 - à remplir'!$F$31:$F$400,'Étape 1 - à remplir'!$E$31:$E$400,MASQ2!BV395,'Étape 1 - à remplir'!$G$31:$G$400,"lots"),SUMIFS('Étape 1 - à remplir'!$F$31:$F$400,'Étape 1 - à remplir'!$E$31:$E$400,MASQ2!BV395,'Étape 1 - à remplir'!$P$31:$P$400,CE$3,'Étape 1 - à remplir'!$G$31:$G$400,"lots")),IF(CE$2="Atelier",IF(CE$3="Tous",SUMIFS('Étape 1 - à remplir'!$F$31:$F$400,'Étape 1 - à remplir'!$E$31:$E$400,MASQ2!BV395,'Étape 1 - à remplir'!$G$31:$G$400,"lots"),SUMIFS('Étape 1 - à remplir'!$F$31:$F$400,'Étape 1 - à remplir'!$E$31:$E$400,MASQ2!BV395,'Étape 1 - à remplir'!$O$31:$O$400,CE$3,'Étape 1 - à remplir'!$G$31:$G$400,"lots")),IF(CE$2="Espèce",IF(CE$3="Toutes",SUMIFS('Étape 1 - à remplir'!$F$31:$F$400,'Étape 1 - à remplir'!$E$31:$E$400,MASQ2!BV395,'Étape 1 - à remplir'!$G$31:$G$400,"lots"),SUMIFS('Étape 1 - à remplir'!$F$31:$F$400,'Étape 1 - à remplir'!$E$31:$E$400,MASQ2!BV395,'Étape 1 - à remplir'!$N$31:$N$400,CE$3,'Étape 1 - à remplir'!$G$31:$G$400,"lots")))))))</f>
        <v>#N/A</v>
      </c>
      <c r="BX395">
        <f t="shared" si="283"/>
        <v>0</v>
      </c>
      <c r="BY395" t="str">
        <f t="shared" si="267"/>
        <v>Oxytétracycline</v>
      </c>
      <c r="BZ395" t="str">
        <f t="shared" si="268"/>
        <v>Spiramycine</v>
      </c>
      <c r="CA395" t="str">
        <f t="shared" si="269"/>
        <v/>
      </c>
      <c r="CB395" t="str">
        <f t="shared" si="270"/>
        <v>Tetracyclines</v>
      </c>
      <c r="CC395" t="str">
        <f t="shared" si="271"/>
        <v>Macrolides</v>
      </c>
      <c r="CD395" s="63" t="str">
        <f t="shared" si="272"/>
        <v/>
      </c>
      <c r="CG395" s="42">
        <v>392</v>
      </c>
      <c r="CH395" s="42" t="e">
        <f t="shared" si="263"/>
        <v>#N/A</v>
      </c>
      <c r="CI395" s="63" t="e">
        <f t="shared" si="264"/>
        <v>#N/A</v>
      </c>
      <c r="DM395" s="63"/>
      <c r="EA395" s="194" t="str">
        <f t="shared" ca="1" si="273"/>
        <v/>
      </c>
      <c r="EB395" s="226" t="str">
        <f>IFERROR(IF(ED395=0,"",COUNTIF(ED$4:ED$600,"&gt;"&amp;ED395)+COUNTIF(ED$4:ED395,ED395)),"")</f>
        <v/>
      </c>
      <c r="EC395" t="str">
        <f t="shared" si="274"/>
        <v>PNEUMOBIOTIQUE</v>
      </c>
      <c r="ED395" t="e">
        <f>IF(IF(EL$2="Catégorie",IF(EL$3="Toutes",SUMIFS('Étape 1 - à remplir'!$F$31:$F$400,'Étape 1 - à remplir'!$E$31:$E$400,MASQ2!EC395,'Étape 1 - à remplir'!$G$31:$G$400,"kg"),SUMIFS('Étape 1 - à remplir'!$F$31:$F$400,'Étape 1 - à remplir'!$E$31:$E$400,MASQ2!EC395,'Étape 1 - à remplir'!$C$31:$C$400,EL$3)),IF(EL$2="Âge",IF(EL$3="Tous",SUMIFS('Étape 1 - à remplir'!$F$31:$F$400,'Étape 1 - à remplir'!$E$31:$E$400,MASQ2!EC395,'Étape 1 - à remplir'!$G$31:$G$400,"kg"),SUMIFS('Étape 1 - à remplir'!$F$31:$F$400,'Étape 1 - à remplir'!$E$31:$E$400,MASQ2!EC395,'Étape 1 - à remplir'!$P$31:$P$400,EL$3,'Étape 1 - à remplir'!$G$31:$G$400,"kg")),IF(EL$2="Atelier",IF(EL$3="Tous",SUMIFS('Étape 1 - à remplir'!$F$31:$F$400,'Étape 1 - à remplir'!$E$31:$E$400,MASQ2!EC395,'Étape 1 - à remplir'!$G$31:$G$400,"kg"),SUMIFS('Étape 1 - à remplir'!$F$31:$F$400,'Étape 1 - à remplir'!$E$31:$E$400,MASQ2!EC395,'Étape 1 - à remplir'!$O$31:$O$400,EL$3,'Étape 1 - à remplir'!$G$31:$G$400,"kg")),IF(EL$2="Espèce",IF(EL$3="Toutes",SUMIFS('Étape 1 - à remplir'!$F$31:$F$400,'Étape 1 - à remplir'!$E$31:$E$400,MASQ2!EC395,'Étape 1 - à remplir'!$G$31:$G$400,"kg"),SUMIFS('Étape 1 - à remplir'!$F$31:$F$400,'Étape 1 - à remplir'!$E$31:$E$400,MASQ2!EC395,'Étape 1 - à remplir'!$N$31:$N$400,EL$3,'Étape 1 - à remplir'!$G$31:$G$400,"kg"))))))=0,NA(),IF(EL$2="Catégorie",IF(EL$3="Toutes",SUMIFS('Étape 1 - à remplir'!$F$31:$F$400,'Étape 1 - à remplir'!$E$31:$E$400,MASQ2!EC395,'Étape 1 - à remplir'!$G$31:$G$400,"kg"),SUMIFS('Étape 1 - à remplir'!$F$31:$F$400,'Étape 1 - à remplir'!$E$31:$E$400,MASQ2!EC395,'Étape 1 - à remplir'!$C$31:$C$400,EL$3)),IF(EL$2="Âge",IF(EL$3="Tous",SUMIFS('Étape 1 - à remplir'!$F$31:$F$400,'Étape 1 - à remplir'!$E$31:$E$400,MASQ2!EC395,'Étape 1 - à remplir'!$G$31:$G$400,"kg"),SUMIFS('Étape 1 - à remplir'!$F$31:$F$400,'Étape 1 - à remplir'!$E$31:$E$400,MASQ2!EC395,'Étape 1 - à remplir'!$P$31:$P$400,EL$3,'Étape 1 - à remplir'!$G$31:$G$400,"kg")),IF(EL$2="Atelier",IF(EL$3="Tous",SUMIFS('Étape 1 - à remplir'!$F$31:$F$400,'Étape 1 - à remplir'!$E$31:$E$400,MASQ2!EC395,'Étape 1 - à remplir'!$G$31:$G$400,"kg"),SUMIFS('Étape 1 - à remplir'!$F$31:$F$400,'Étape 1 - à remplir'!$E$31:$E$400,MASQ2!EC395,'Étape 1 - à remplir'!$O$31:$O$400,EL$3,'Étape 1 - à remplir'!$G$31:$G$400,"kg")),IF(EL$2="Espèce",IF(EL$3="Toutes",SUMIFS('Étape 1 - à remplir'!$F$31:$F$400,'Étape 1 - à remplir'!$E$31:$E$400,MASQ2!EC395,'Étape 1 - à remplir'!$G$31:$G$400,"kg"),SUMIFS('Étape 1 - à remplir'!$F$31:$F$400,'Étape 1 - à remplir'!$E$31:$E$400,MASQ2!EC395,'Étape 1 - à remplir'!$N$31:$N$400,EL$3,'Étape 1 - à remplir'!$G$31:$G$400,"kg")))))))</f>
        <v>#N/A</v>
      </c>
      <c r="EE395" s="76">
        <f t="shared" si="284"/>
        <v>0</v>
      </c>
      <c r="EF395" t="str">
        <f t="shared" si="275"/>
        <v>Oxytétracycline</v>
      </c>
      <c r="EG395" t="str">
        <f t="shared" si="276"/>
        <v>Spiramycine</v>
      </c>
      <c r="EH395" t="str">
        <f t="shared" si="277"/>
        <v/>
      </c>
      <c r="EI395" t="str">
        <f t="shared" si="278"/>
        <v>Tetracyclines</v>
      </c>
      <c r="EJ395" t="str">
        <f t="shared" si="279"/>
        <v>Macrolides</v>
      </c>
      <c r="EK395" s="63" t="str">
        <f t="shared" si="280"/>
        <v/>
      </c>
      <c r="EN395" s="42">
        <v>392</v>
      </c>
      <c r="EO395" t="e">
        <f t="shared" si="286"/>
        <v>#N/A</v>
      </c>
      <c r="EP395" s="63" t="e">
        <f t="shared" si="287"/>
        <v>#N/A</v>
      </c>
      <c r="FT395" s="63"/>
    </row>
    <row r="396" spans="2:176" x14ac:dyDescent="0.3">
      <c r="B396" s="42"/>
      <c r="M396" s="194" t="str">
        <f ca="1">INDEX(Données_ATB!BD:BU,MATCH(MASQ2!O396,Données_ATB!BD:BD,0),18)</f>
        <v/>
      </c>
      <c r="N396" s="14" t="str">
        <f>IFERROR(IF(Q396=0,"",COUNTIF(Q$4:Q$600,"&gt;"&amp;Q396)+COUNTIF(Q$4:Q396,Q396)),"")</f>
        <v/>
      </c>
      <c r="O396" t="str">
        <f>Données_ATB!BD395</f>
        <v>PNEUMOSPECTIN 50/100 MG/ML SOLUTION INJECTABLE</v>
      </c>
      <c r="P396" t="e">
        <f>IF(IF(X$2="Catégorie",IF(X$3="Toutes",SUMIFS('Étape 1 - à remplir'!$F$31:$F$400,'Étape 1 - à remplir'!$E$31:$E$400,MASQ2!O396,'Étape 1 - à remplir'!$G$31:$G$400,"animaux"),SUMIFS('Étape 1 - à remplir'!$F$31:$F$400,'Étape 1 - à remplir'!$E$31:$E$400,MASQ2!O396,'Étape 1 - à remplir'!$C$31:$C$400,X$3)),IF(X$2="Âge",IF(X$3="Tous",SUMIFS('Étape 1 - à remplir'!$F$31:$F$400,'Étape 1 - à remplir'!$E$31:$E$400,MASQ2!O396,'Étape 1 - à remplir'!$G$31:$G$400,"animaux"),SUMIFS('Étape 1 - à remplir'!$F$31:$F$400,'Étape 1 - à remplir'!$E$31:$E$400,MASQ2!O396,'Étape 1 - à remplir'!$P$31:$P$400,X$3)),IF(X$2="Atelier",IF(X$3="Tous",SUMIFS('Étape 1 - à remplir'!$F$31:$F$400,'Étape 1 - à remplir'!$E$31:$E$400,MASQ2!O396,'Étape 1 - à remplir'!$G$31:$G$400,"animaux"),SUMIFS('Étape 1 - à remplir'!$F$31:$F$400,'Étape 1 - à remplir'!$E$31:$E$400,MASQ2!O396,'Étape 1 - à remplir'!$O$31:$O$400,X$3)),IF(X$2="Espèce",IF(X$3="Toutes",SUMIFS('Étape 1 - à remplir'!$F$31:$F$400,'Étape 1 - à remplir'!$E$31:$E$400,MASQ2!O396,'Étape 1 - à remplir'!$G$31:$G$400,"animaux"),SUMIFS('Étape 1 - à remplir'!$F$31:$F$400,'Étape 1 - à remplir'!$E$31:$E$400,MASQ2!O396,'Étape 1 - à remplir'!$N$31:$N$400,X$3))))))=0,NA(),IF(X$2="Catégorie",IF(X$3="Toutes",SUMIFS('Étape 1 - à remplir'!$F$31:$F$400,'Étape 1 - à remplir'!$E$31:$E$400,MASQ2!O396,'Étape 1 - à remplir'!$G$31:$G$400,"animaux"),SUMIFS('Étape 1 - à remplir'!$F$31:$F$400,'Étape 1 - à remplir'!$E$31:$E$400,MASQ2!O396,'Étape 1 - à remplir'!$C$31:$C$400,X$3)),IF(X$2="Âge",IF(X$3="Tous",SUMIFS('Étape 1 - à remplir'!$F$31:$F$400,'Étape 1 - à remplir'!$E$31:$E$400,MASQ2!O396,'Étape 1 - à remplir'!$G$31:$G$400,"animaux"),SUMIFS('Étape 1 - à remplir'!$F$31:$F$400,'Étape 1 - à remplir'!$E$31:$E$400,MASQ2!O396,'Étape 1 - à remplir'!$P$31:$P$400,X$3)),IF(X$2="Atelier",IF(X$3="Tous",SUMIFS('Étape 1 - à remplir'!$F$31:$F$400,'Étape 1 - à remplir'!$E$31:$E$400,MASQ2!O396,'Étape 1 - à remplir'!$G$31:$G$400,"animaux"),SUMIFS('Étape 1 - à remplir'!$F$31:$F$400,'Étape 1 - à remplir'!$E$31:$E$400,MASQ2!O396,'Étape 1 - à remplir'!$O$31:$O$400,X$3)),IF(X$2="Espèce",IF(X$3="Toutes",SUMIFS('Étape 1 - à remplir'!$F$31:$F$400,'Étape 1 - à remplir'!$E$31:$E$400,MASQ2!O396,'Étape 1 - à remplir'!$G$31:$G$400,"animaux"),SUMIFS('Étape 1 - à remplir'!$F$31:$F$400,'Étape 1 - à remplir'!$E$31:$E$400,MASQ2!O396,'Étape 1 - à remplir'!$N$31:$N$400,X$3)))))))</f>
        <v>#N/A</v>
      </c>
      <c r="Q396" s="63">
        <f t="shared" si="285"/>
        <v>0</v>
      </c>
      <c r="R396" t="str">
        <f>Données_ATB!BM395</f>
        <v>Spectinomycine</v>
      </c>
      <c r="S396" t="str">
        <f>Données_ATB!BN395</f>
        <v>Lincomycine</v>
      </c>
      <c r="T396" s="63" t="str">
        <f>Données_ATB!BO395</f>
        <v/>
      </c>
      <c r="U396" s="42" t="str">
        <f>Données_ATB!BQ395</f>
        <v>Aminoglycosides</v>
      </c>
      <c r="V396" t="str">
        <f>Données_ATB!BR395</f>
        <v>Lincosamides</v>
      </c>
      <c r="W396" s="63" t="str">
        <f>Données_ATB!BS395</f>
        <v/>
      </c>
      <c r="Z396" s="42">
        <v>393</v>
      </c>
      <c r="AA396" t="e">
        <f t="shared" si="281"/>
        <v>#N/A</v>
      </c>
      <c r="AB396" s="63" t="e">
        <f t="shared" si="282"/>
        <v>#N/A</v>
      </c>
      <c r="BF396" s="63"/>
      <c r="BT396" s="194" t="str">
        <f t="shared" ca="1" si="265"/>
        <v/>
      </c>
      <c r="BU396" s="219" t="str">
        <f>IFERROR(IF(BX396=0,"",COUNTIF(BX$4:BX$600,"&gt;"&amp;BX396)+COUNTIF(BX$4:BX396,BX396)),"")</f>
        <v/>
      </c>
      <c r="BV396" s="42" t="str">
        <f t="shared" si="266"/>
        <v>PNEUMOSPECTIN 50/100 MG/ML SOLUTION INJECTABLE</v>
      </c>
      <c r="BW396" t="e">
        <f>IF(IF(CE$2="Catégorie",IF(CE$3="Toutes",SUMIFS('Étape 1 - à remplir'!$F$31:$F$400,'Étape 1 - à remplir'!$E$31:$E$400,MASQ2!BV396,'Étape 1 - à remplir'!$G$31:$G$400,"lots"),SUMIFS('Étape 1 - à remplir'!$F$31:$F$400,'Étape 1 - à remplir'!$E$31:$E$400,MASQ2!BV396,'Étape 1 - à remplir'!$C$31:$C$400,CE$3)),IF(CE$2="Âge",IF(CE$3="Tous",SUMIFS('Étape 1 - à remplir'!$F$31:$F$400,'Étape 1 - à remplir'!$E$31:$E$400,MASQ2!BV396,'Étape 1 - à remplir'!$G$31:$G$400,"lots"),SUMIFS('Étape 1 - à remplir'!$F$31:$F$400,'Étape 1 - à remplir'!$E$31:$E$400,MASQ2!BV396,'Étape 1 - à remplir'!$P$31:$P$400,CE$3,'Étape 1 - à remplir'!$G$31:$G$400,"lots")),IF(CE$2="Atelier",IF(CE$3="Tous",SUMIFS('Étape 1 - à remplir'!$F$31:$F$400,'Étape 1 - à remplir'!$E$31:$E$400,MASQ2!BV396,'Étape 1 - à remplir'!$G$31:$G$400,"lots"),SUMIFS('Étape 1 - à remplir'!$F$31:$F$400,'Étape 1 - à remplir'!$E$31:$E$400,MASQ2!BV396,'Étape 1 - à remplir'!$O$31:$O$400,CE$3,'Étape 1 - à remplir'!$G$31:$G$400,"lots")),IF(CE$2="Espèce",IF(CE$3="Toutes",SUMIFS('Étape 1 - à remplir'!$F$31:$F$400,'Étape 1 - à remplir'!$E$31:$E$400,MASQ2!BV396,'Étape 1 - à remplir'!$G$31:$G$400,"lots"),SUMIFS('Étape 1 - à remplir'!$F$31:$F$400,'Étape 1 - à remplir'!$E$31:$E$400,MASQ2!BV396,'Étape 1 - à remplir'!$N$31:$N$400,CE$3,'Étape 1 - à remplir'!$G$31:$G$400,"lots"))))))=0,NA(),IF(CE$2="Catégorie",IF(CE$3="Toutes",SUMIFS('Étape 1 - à remplir'!$F$31:$F$400,'Étape 1 - à remplir'!$E$31:$E$400,MASQ2!BV396,'Étape 1 - à remplir'!$G$31:$G$400,"lots"),SUMIFS('Étape 1 - à remplir'!$F$31:$F$400,'Étape 1 - à remplir'!$E$31:$E$400,MASQ2!BV396,'Étape 1 - à remplir'!$C$31:$C$400,CE$3)),IF(CE$2="Âge",IF(CE$3="Tous",SUMIFS('Étape 1 - à remplir'!$F$31:$F$400,'Étape 1 - à remplir'!$E$31:$E$400,MASQ2!BV396,'Étape 1 - à remplir'!$G$31:$G$400,"lots"),SUMIFS('Étape 1 - à remplir'!$F$31:$F$400,'Étape 1 - à remplir'!$E$31:$E$400,MASQ2!BV396,'Étape 1 - à remplir'!$P$31:$P$400,CE$3,'Étape 1 - à remplir'!$G$31:$G$400,"lots")),IF(CE$2="Atelier",IF(CE$3="Tous",SUMIFS('Étape 1 - à remplir'!$F$31:$F$400,'Étape 1 - à remplir'!$E$31:$E$400,MASQ2!BV396,'Étape 1 - à remplir'!$G$31:$G$400,"lots"),SUMIFS('Étape 1 - à remplir'!$F$31:$F$400,'Étape 1 - à remplir'!$E$31:$E$400,MASQ2!BV396,'Étape 1 - à remplir'!$O$31:$O$400,CE$3,'Étape 1 - à remplir'!$G$31:$G$400,"lots")),IF(CE$2="Espèce",IF(CE$3="Toutes",SUMIFS('Étape 1 - à remplir'!$F$31:$F$400,'Étape 1 - à remplir'!$E$31:$E$400,MASQ2!BV396,'Étape 1 - à remplir'!$G$31:$G$400,"lots"),SUMIFS('Étape 1 - à remplir'!$F$31:$F$400,'Étape 1 - à remplir'!$E$31:$E$400,MASQ2!BV396,'Étape 1 - à remplir'!$N$31:$N$400,CE$3,'Étape 1 - à remplir'!$G$31:$G$400,"lots")))))))</f>
        <v>#N/A</v>
      </c>
      <c r="BX396">
        <f t="shared" si="283"/>
        <v>0</v>
      </c>
      <c r="BY396" t="str">
        <f t="shared" si="267"/>
        <v>Spectinomycine</v>
      </c>
      <c r="BZ396" t="str">
        <f t="shared" si="268"/>
        <v>Lincomycine</v>
      </c>
      <c r="CA396" t="str">
        <f t="shared" si="269"/>
        <v/>
      </c>
      <c r="CB396" t="str">
        <f t="shared" si="270"/>
        <v>Aminoglycosides</v>
      </c>
      <c r="CC396" t="str">
        <f t="shared" si="271"/>
        <v>Lincosamides</v>
      </c>
      <c r="CD396" s="63" t="str">
        <f t="shared" si="272"/>
        <v/>
      </c>
      <c r="CG396" s="42">
        <v>393</v>
      </c>
      <c r="CH396" s="42" t="e">
        <f t="shared" si="263"/>
        <v>#N/A</v>
      </c>
      <c r="CI396" s="63" t="e">
        <f t="shared" si="264"/>
        <v>#N/A</v>
      </c>
      <c r="DM396" s="63"/>
      <c r="EA396" s="194" t="str">
        <f t="shared" ca="1" si="273"/>
        <v/>
      </c>
      <c r="EB396" s="226" t="str">
        <f>IFERROR(IF(ED396=0,"",COUNTIF(ED$4:ED$600,"&gt;"&amp;ED396)+COUNTIF(ED$4:ED396,ED396)),"")</f>
        <v/>
      </c>
      <c r="EC396" t="str">
        <f t="shared" si="274"/>
        <v>PNEUMOSPECTIN 50/100 MG/ML SOLUTION INJECTABLE</v>
      </c>
      <c r="ED396" t="e">
        <f>IF(IF(EL$2="Catégorie",IF(EL$3="Toutes",SUMIFS('Étape 1 - à remplir'!$F$31:$F$400,'Étape 1 - à remplir'!$E$31:$E$400,MASQ2!EC396,'Étape 1 - à remplir'!$G$31:$G$400,"kg"),SUMIFS('Étape 1 - à remplir'!$F$31:$F$400,'Étape 1 - à remplir'!$E$31:$E$400,MASQ2!EC396,'Étape 1 - à remplir'!$C$31:$C$400,EL$3)),IF(EL$2="Âge",IF(EL$3="Tous",SUMIFS('Étape 1 - à remplir'!$F$31:$F$400,'Étape 1 - à remplir'!$E$31:$E$400,MASQ2!EC396,'Étape 1 - à remplir'!$G$31:$G$400,"kg"),SUMIFS('Étape 1 - à remplir'!$F$31:$F$400,'Étape 1 - à remplir'!$E$31:$E$400,MASQ2!EC396,'Étape 1 - à remplir'!$P$31:$P$400,EL$3,'Étape 1 - à remplir'!$G$31:$G$400,"kg")),IF(EL$2="Atelier",IF(EL$3="Tous",SUMIFS('Étape 1 - à remplir'!$F$31:$F$400,'Étape 1 - à remplir'!$E$31:$E$400,MASQ2!EC396,'Étape 1 - à remplir'!$G$31:$G$400,"kg"),SUMIFS('Étape 1 - à remplir'!$F$31:$F$400,'Étape 1 - à remplir'!$E$31:$E$400,MASQ2!EC396,'Étape 1 - à remplir'!$O$31:$O$400,EL$3,'Étape 1 - à remplir'!$G$31:$G$400,"kg")),IF(EL$2="Espèce",IF(EL$3="Toutes",SUMIFS('Étape 1 - à remplir'!$F$31:$F$400,'Étape 1 - à remplir'!$E$31:$E$400,MASQ2!EC396,'Étape 1 - à remplir'!$G$31:$G$400,"kg"),SUMIFS('Étape 1 - à remplir'!$F$31:$F$400,'Étape 1 - à remplir'!$E$31:$E$400,MASQ2!EC396,'Étape 1 - à remplir'!$N$31:$N$400,EL$3,'Étape 1 - à remplir'!$G$31:$G$400,"kg"))))))=0,NA(),IF(EL$2="Catégorie",IF(EL$3="Toutes",SUMIFS('Étape 1 - à remplir'!$F$31:$F$400,'Étape 1 - à remplir'!$E$31:$E$400,MASQ2!EC396,'Étape 1 - à remplir'!$G$31:$G$400,"kg"),SUMIFS('Étape 1 - à remplir'!$F$31:$F$400,'Étape 1 - à remplir'!$E$31:$E$400,MASQ2!EC396,'Étape 1 - à remplir'!$C$31:$C$400,EL$3)),IF(EL$2="Âge",IF(EL$3="Tous",SUMIFS('Étape 1 - à remplir'!$F$31:$F$400,'Étape 1 - à remplir'!$E$31:$E$400,MASQ2!EC396,'Étape 1 - à remplir'!$G$31:$G$400,"kg"),SUMIFS('Étape 1 - à remplir'!$F$31:$F$400,'Étape 1 - à remplir'!$E$31:$E$400,MASQ2!EC396,'Étape 1 - à remplir'!$P$31:$P$400,EL$3,'Étape 1 - à remplir'!$G$31:$G$400,"kg")),IF(EL$2="Atelier",IF(EL$3="Tous",SUMIFS('Étape 1 - à remplir'!$F$31:$F$400,'Étape 1 - à remplir'!$E$31:$E$400,MASQ2!EC396,'Étape 1 - à remplir'!$G$31:$G$400,"kg"),SUMIFS('Étape 1 - à remplir'!$F$31:$F$400,'Étape 1 - à remplir'!$E$31:$E$400,MASQ2!EC396,'Étape 1 - à remplir'!$O$31:$O$400,EL$3,'Étape 1 - à remplir'!$G$31:$G$400,"kg")),IF(EL$2="Espèce",IF(EL$3="Toutes",SUMIFS('Étape 1 - à remplir'!$F$31:$F$400,'Étape 1 - à remplir'!$E$31:$E$400,MASQ2!EC396,'Étape 1 - à remplir'!$G$31:$G$400,"kg"),SUMIFS('Étape 1 - à remplir'!$F$31:$F$400,'Étape 1 - à remplir'!$E$31:$E$400,MASQ2!EC396,'Étape 1 - à remplir'!$N$31:$N$400,EL$3,'Étape 1 - à remplir'!$G$31:$G$400,"kg")))))))</f>
        <v>#N/A</v>
      </c>
      <c r="EE396" s="76">
        <f t="shared" si="284"/>
        <v>0</v>
      </c>
      <c r="EF396" t="str">
        <f t="shared" si="275"/>
        <v>Spectinomycine</v>
      </c>
      <c r="EG396" t="str">
        <f t="shared" si="276"/>
        <v>Lincomycine</v>
      </c>
      <c r="EH396" t="str">
        <f t="shared" si="277"/>
        <v/>
      </c>
      <c r="EI396" t="str">
        <f t="shared" si="278"/>
        <v>Aminoglycosides</v>
      </c>
      <c r="EJ396" t="str">
        <f t="shared" si="279"/>
        <v>Lincosamides</v>
      </c>
      <c r="EK396" s="63" t="str">
        <f t="shared" si="280"/>
        <v/>
      </c>
      <c r="EN396" s="42">
        <v>393</v>
      </c>
      <c r="EO396" t="e">
        <f t="shared" si="286"/>
        <v>#N/A</v>
      </c>
      <c r="EP396" s="63" t="e">
        <f t="shared" si="287"/>
        <v>#N/A</v>
      </c>
      <c r="FT396" s="63"/>
    </row>
    <row r="397" spans="2:176" x14ac:dyDescent="0.3">
      <c r="B397" s="42"/>
      <c r="M397" s="194" t="str">
        <f ca="1">INDEX(Données_ATB!BD:BU,MATCH(MASQ2!O397,Données_ATB!BD:BD,0),18)</f>
        <v>x</v>
      </c>
      <c r="N397" s="14" t="str">
        <f>IFERROR(IF(Q397=0,"",COUNTIF(Q$4:Q$600,"&gt;"&amp;Q397)+COUNTIF(Q$4:Q397,Q397)),"")</f>
        <v/>
      </c>
      <c r="O397" t="str">
        <f>Données_ATB!BD396</f>
        <v>PO 11 COLISTINE 100 LAPIN - VOLAILLE - PORC - VEAU</v>
      </c>
      <c r="P397" t="e">
        <f>IF(IF(X$2="Catégorie",IF(X$3="Toutes",SUMIFS('Étape 1 - à remplir'!$F$31:$F$400,'Étape 1 - à remplir'!$E$31:$E$400,MASQ2!O397,'Étape 1 - à remplir'!$G$31:$G$400,"animaux"),SUMIFS('Étape 1 - à remplir'!$F$31:$F$400,'Étape 1 - à remplir'!$E$31:$E$400,MASQ2!O397,'Étape 1 - à remplir'!$C$31:$C$400,X$3)),IF(X$2="Âge",IF(X$3="Tous",SUMIFS('Étape 1 - à remplir'!$F$31:$F$400,'Étape 1 - à remplir'!$E$31:$E$400,MASQ2!O397,'Étape 1 - à remplir'!$G$31:$G$400,"animaux"),SUMIFS('Étape 1 - à remplir'!$F$31:$F$400,'Étape 1 - à remplir'!$E$31:$E$400,MASQ2!O397,'Étape 1 - à remplir'!$P$31:$P$400,X$3)),IF(X$2="Atelier",IF(X$3="Tous",SUMIFS('Étape 1 - à remplir'!$F$31:$F$400,'Étape 1 - à remplir'!$E$31:$E$400,MASQ2!O397,'Étape 1 - à remplir'!$G$31:$G$400,"animaux"),SUMIFS('Étape 1 - à remplir'!$F$31:$F$400,'Étape 1 - à remplir'!$E$31:$E$400,MASQ2!O397,'Étape 1 - à remplir'!$O$31:$O$400,X$3)),IF(X$2="Espèce",IF(X$3="Toutes",SUMIFS('Étape 1 - à remplir'!$F$31:$F$400,'Étape 1 - à remplir'!$E$31:$E$400,MASQ2!O397,'Étape 1 - à remplir'!$G$31:$G$400,"animaux"),SUMIFS('Étape 1 - à remplir'!$F$31:$F$400,'Étape 1 - à remplir'!$E$31:$E$400,MASQ2!O397,'Étape 1 - à remplir'!$N$31:$N$400,X$3))))))=0,NA(),IF(X$2="Catégorie",IF(X$3="Toutes",SUMIFS('Étape 1 - à remplir'!$F$31:$F$400,'Étape 1 - à remplir'!$E$31:$E$400,MASQ2!O397,'Étape 1 - à remplir'!$G$31:$G$400,"animaux"),SUMIFS('Étape 1 - à remplir'!$F$31:$F$400,'Étape 1 - à remplir'!$E$31:$E$400,MASQ2!O397,'Étape 1 - à remplir'!$C$31:$C$400,X$3)),IF(X$2="Âge",IF(X$3="Tous",SUMIFS('Étape 1 - à remplir'!$F$31:$F$400,'Étape 1 - à remplir'!$E$31:$E$400,MASQ2!O397,'Étape 1 - à remplir'!$G$31:$G$400,"animaux"),SUMIFS('Étape 1 - à remplir'!$F$31:$F$400,'Étape 1 - à remplir'!$E$31:$E$400,MASQ2!O397,'Étape 1 - à remplir'!$P$31:$P$400,X$3)),IF(X$2="Atelier",IF(X$3="Tous",SUMIFS('Étape 1 - à remplir'!$F$31:$F$400,'Étape 1 - à remplir'!$E$31:$E$400,MASQ2!O397,'Étape 1 - à remplir'!$G$31:$G$400,"animaux"),SUMIFS('Étape 1 - à remplir'!$F$31:$F$400,'Étape 1 - à remplir'!$E$31:$E$400,MASQ2!O397,'Étape 1 - à remplir'!$O$31:$O$400,X$3)),IF(X$2="Espèce",IF(X$3="Toutes",SUMIFS('Étape 1 - à remplir'!$F$31:$F$400,'Étape 1 - à remplir'!$E$31:$E$400,MASQ2!O397,'Étape 1 - à remplir'!$G$31:$G$400,"animaux"),SUMIFS('Étape 1 - à remplir'!$F$31:$F$400,'Étape 1 - à remplir'!$E$31:$E$400,MASQ2!O397,'Étape 1 - à remplir'!$N$31:$N$400,X$3)))))))</f>
        <v>#N/A</v>
      </c>
      <c r="Q397" s="63">
        <f t="shared" si="285"/>
        <v>0</v>
      </c>
      <c r="R397" t="str">
        <f>Données_ATB!BM396</f>
        <v>Colistine</v>
      </c>
      <c r="S397" t="str">
        <f>Données_ATB!BN396</f>
        <v/>
      </c>
      <c r="T397" s="63" t="str">
        <f>Données_ATB!BO396</f>
        <v/>
      </c>
      <c r="U397" s="42" t="str">
        <f>Données_ATB!BQ396</f>
        <v>Polypeptides</v>
      </c>
      <c r="V397" t="str">
        <f>Données_ATB!BR396</f>
        <v/>
      </c>
      <c r="W397" s="63" t="str">
        <f>Données_ATB!BS396</f>
        <v/>
      </c>
      <c r="Z397" s="42">
        <v>394</v>
      </c>
      <c r="AA397" t="e">
        <f t="shared" si="281"/>
        <v>#N/A</v>
      </c>
      <c r="AB397" s="63" t="e">
        <f t="shared" si="282"/>
        <v>#N/A</v>
      </c>
      <c r="BF397" s="63"/>
      <c r="BT397" s="194" t="str">
        <f t="shared" ca="1" si="265"/>
        <v>x</v>
      </c>
      <c r="BU397" s="219" t="str">
        <f>IFERROR(IF(BX397=0,"",COUNTIF(BX$4:BX$600,"&gt;"&amp;BX397)+COUNTIF(BX$4:BX397,BX397)),"")</f>
        <v/>
      </c>
      <c r="BV397" s="42" t="str">
        <f t="shared" si="266"/>
        <v>PO 11 COLISTINE 100 LAPIN - VOLAILLE - PORC - VEAU</v>
      </c>
      <c r="BW397" t="e">
        <f>IF(IF(CE$2="Catégorie",IF(CE$3="Toutes",SUMIFS('Étape 1 - à remplir'!$F$31:$F$400,'Étape 1 - à remplir'!$E$31:$E$400,MASQ2!BV397,'Étape 1 - à remplir'!$G$31:$G$400,"lots"),SUMIFS('Étape 1 - à remplir'!$F$31:$F$400,'Étape 1 - à remplir'!$E$31:$E$400,MASQ2!BV397,'Étape 1 - à remplir'!$C$31:$C$400,CE$3)),IF(CE$2="Âge",IF(CE$3="Tous",SUMIFS('Étape 1 - à remplir'!$F$31:$F$400,'Étape 1 - à remplir'!$E$31:$E$400,MASQ2!BV397,'Étape 1 - à remplir'!$G$31:$G$400,"lots"),SUMIFS('Étape 1 - à remplir'!$F$31:$F$400,'Étape 1 - à remplir'!$E$31:$E$400,MASQ2!BV397,'Étape 1 - à remplir'!$P$31:$P$400,CE$3,'Étape 1 - à remplir'!$G$31:$G$400,"lots")),IF(CE$2="Atelier",IF(CE$3="Tous",SUMIFS('Étape 1 - à remplir'!$F$31:$F$400,'Étape 1 - à remplir'!$E$31:$E$400,MASQ2!BV397,'Étape 1 - à remplir'!$G$31:$G$400,"lots"),SUMIFS('Étape 1 - à remplir'!$F$31:$F$400,'Étape 1 - à remplir'!$E$31:$E$400,MASQ2!BV397,'Étape 1 - à remplir'!$O$31:$O$400,CE$3,'Étape 1 - à remplir'!$G$31:$G$400,"lots")),IF(CE$2="Espèce",IF(CE$3="Toutes",SUMIFS('Étape 1 - à remplir'!$F$31:$F$400,'Étape 1 - à remplir'!$E$31:$E$400,MASQ2!BV397,'Étape 1 - à remplir'!$G$31:$G$400,"lots"),SUMIFS('Étape 1 - à remplir'!$F$31:$F$400,'Étape 1 - à remplir'!$E$31:$E$400,MASQ2!BV397,'Étape 1 - à remplir'!$N$31:$N$400,CE$3,'Étape 1 - à remplir'!$G$31:$G$400,"lots"))))))=0,NA(),IF(CE$2="Catégorie",IF(CE$3="Toutes",SUMIFS('Étape 1 - à remplir'!$F$31:$F$400,'Étape 1 - à remplir'!$E$31:$E$400,MASQ2!BV397,'Étape 1 - à remplir'!$G$31:$G$400,"lots"),SUMIFS('Étape 1 - à remplir'!$F$31:$F$400,'Étape 1 - à remplir'!$E$31:$E$400,MASQ2!BV397,'Étape 1 - à remplir'!$C$31:$C$400,CE$3)),IF(CE$2="Âge",IF(CE$3="Tous",SUMIFS('Étape 1 - à remplir'!$F$31:$F$400,'Étape 1 - à remplir'!$E$31:$E$400,MASQ2!BV397,'Étape 1 - à remplir'!$G$31:$G$400,"lots"),SUMIFS('Étape 1 - à remplir'!$F$31:$F$400,'Étape 1 - à remplir'!$E$31:$E$400,MASQ2!BV397,'Étape 1 - à remplir'!$P$31:$P$400,CE$3,'Étape 1 - à remplir'!$G$31:$G$400,"lots")),IF(CE$2="Atelier",IF(CE$3="Tous",SUMIFS('Étape 1 - à remplir'!$F$31:$F$400,'Étape 1 - à remplir'!$E$31:$E$400,MASQ2!BV397,'Étape 1 - à remplir'!$G$31:$G$400,"lots"),SUMIFS('Étape 1 - à remplir'!$F$31:$F$400,'Étape 1 - à remplir'!$E$31:$E$400,MASQ2!BV397,'Étape 1 - à remplir'!$O$31:$O$400,CE$3,'Étape 1 - à remplir'!$G$31:$G$400,"lots")),IF(CE$2="Espèce",IF(CE$3="Toutes",SUMIFS('Étape 1 - à remplir'!$F$31:$F$400,'Étape 1 - à remplir'!$E$31:$E$400,MASQ2!BV397,'Étape 1 - à remplir'!$G$31:$G$400,"lots"),SUMIFS('Étape 1 - à remplir'!$F$31:$F$400,'Étape 1 - à remplir'!$E$31:$E$400,MASQ2!BV397,'Étape 1 - à remplir'!$N$31:$N$400,CE$3,'Étape 1 - à remplir'!$G$31:$G$400,"lots")))))))</f>
        <v>#N/A</v>
      </c>
      <c r="BX397">
        <f t="shared" si="283"/>
        <v>0</v>
      </c>
      <c r="BY397" t="str">
        <f t="shared" si="267"/>
        <v>Colistine</v>
      </c>
      <c r="BZ397" t="str">
        <f t="shared" si="268"/>
        <v/>
      </c>
      <c r="CA397" t="str">
        <f t="shared" si="269"/>
        <v/>
      </c>
      <c r="CB397" t="str">
        <f t="shared" si="270"/>
        <v>Polypeptides</v>
      </c>
      <c r="CC397" t="str">
        <f t="shared" si="271"/>
        <v/>
      </c>
      <c r="CD397" s="63" t="str">
        <f t="shared" si="272"/>
        <v/>
      </c>
      <c r="CG397" s="42">
        <v>394</v>
      </c>
      <c r="CH397" s="42" t="e">
        <f t="shared" si="263"/>
        <v>#N/A</v>
      </c>
      <c r="CI397" s="63" t="e">
        <f t="shared" si="264"/>
        <v>#N/A</v>
      </c>
      <c r="DM397" s="63"/>
      <c r="EA397" s="194" t="str">
        <f t="shared" ca="1" si="273"/>
        <v>x</v>
      </c>
      <c r="EB397" s="226" t="str">
        <f>IFERROR(IF(ED397=0,"",COUNTIF(ED$4:ED$600,"&gt;"&amp;ED397)+COUNTIF(ED$4:ED397,ED397)),"")</f>
        <v/>
      </c>
      <c r="EC397" t="str">
        <f t="shared" si="274"/>
        <v>PO 11 COLISTINE 100 LAPIN - VOLAILLE - PORC - VEAU</v>
      </c>
      <c r="ED397" t="e">
        <f>IF(IF(EL$2="Catégorie",IF(EL$3="Toutes",SUMIFS('Étape 1 - à remplir'!$F$31:$F$400,'Étape 1 - à remplir'!$E$31:$E$400,MASQ2!EC397,'Étape 1 - à remplir'!$G$31:$G$400,"kg"),SUMIFS('Étape 1 - à remplir'!$F$31:$F$400,'Étape 1 - à remplir'!$E$31:$E$400,MASQ2!EC397,'Étape 1 - à remplir'!$C$31:$C$400,EL$3)),IF(EL$2="Âge",IF(EL$3="Tous",SUMIFS('Étape 1 - à remplir'!$F$31:$F$400,'Étape 1 - à remplir'!$E$31:$E$400,MASQ2!EC397,'Étape 1 - à remplir'!$G$31:$G$400,"kg"),SUMIFS('Étape 1 - à remplir'!$F$31:$F$400,'Étape 1 - à remplir'!$E$31:$E$400,MASQ2!EC397,'Étape 1 - à remplir'!$P$31:$P$400,EL$3,'Étape 1 - à remplir'!$G$31:$G$400,"kg")),IF(EL$2="Atelier",IF(EL$3="Tous",SUMIFS('Étape 1 - à remplir'!$F$31:$F$400,'Étape 1 - à remplir'!$E$31:$E$400,MASQ2!EC397,'Étape 1 - à remplir'!$G$31:$G$400,"kg"),SUMIFS('Étape 1 - à remplir'!$F$31:$F$400,'Étape 1 - à remplir'!$E$31:$E$400,MASQ2!EC397,'Étape 1 - à remplir'!$O$31:$O$400,EL$3,'Étape 1 - à remplir'!$G$31:$G$400,"kg")),IF(EL$2="Espèce",IF(EL$3="Toutes",SUMIFS('Étape 1 - à remplir'!$F$31:$F$400,'Étape 1 - à remplir'!$E$31:$E$400,MASQ2!EC397,'Étape 1 - à remplir'!$G$31:$G$400,"kg"),SUMIFS('Étape 1 - à remplir'!$F$31:$F$400,'Étape 1 - à remplir'!$E$31:$E$400,MASQ2!EC397,'Étape 1 - à remplir'!$N$31:$N$400,EL$3,'Étape 1 - à remplir'!$G$31:$G$400,"kg"))))))=0,NA(),IF(EL$2="Catégorie",IF(EL$3="Toutes",SUMIFS('Étape 1 - à remplir'!$F$31:$F$400,'Étape 1 - à remplir'!$E$31:$E$400,MASQ2!EC397,'Étape 1 - à remplir'!$G$31:$G$400,"kg"),SUMIFS('Étape 1 - à remplir'!$F$31:$F$400,'Étape 1 - à remplir'!$E$31:$E$400,MASQ2!EC397,'Étape 1 - à remplir'!$C$31:$C$400,EL$3)),IF(EL$2="Âge",IF(EL$3="Tous",SUMIFS('Étape 1 - à remplir'!$F$31:$F$400,'Étape 1 - à remplir'!$E$31:$E$400,MASQ2!EC397,'Étape 1 - à remplir'!$G$31:$G$400,"kg"),SUMIFS('Étape 1 - à remplir'!$F$31:$F$400,'Étape 1 - à remplir'!$E$31:$E$400,MASQ2!EC397,'Étape 1 - à remplir'!$P$31:$P$400,EL$3,'Étape 1 - à remplir'!$G$31:$G$400,"kg")),IF(EL$2="Atelier",IF(EL$3="Tous",SUMIFS('Étape 1 - à remplir'!$F$31:$F$400,'Étape 1 - à remplir'!$E$31:$E$400,MASQ2!EC397,'Étape 1 - à remplir'!$G$31:$G$400,"kg"),SUMIFS('Étape 1 - à remplir'!$F$31:$F$400,'Étape 1 - à remplir'!$E$31:$E$400,MASQ2!EC397,'Étape 1 - à remplir'!$O$31:$O$400,EL$3,'Étape 1 - à remplir'!$G$31:$G$400,"kg")),IF(EL$2="Espèce",IF(EL$3="Toutes",SUMIFS('Étape 1 - à remplir'!$F$31:$F$400,'Étape 1 - à remplir'!$E$31:$E$400,MASQ2!EC397,'Étape 1 - à remplir'!$G$31:$G$400,"kg"),SUMIFS('Étape 1 - à remplir'!$F$31:$F$400,'Étape 1 - à remplir'!$E$31:$E$400,MASQ2!EC397,'Étape 1 - à remplir'!$N$31:$N$400,EL$3,'Étape 1 - à remplir'!$G$31:$G$400,"kg")))))))</f>
        <v>#N/A</v>
      </c>
      <c r="EE397" s="76">
        <f t="shared" si="284"/>
        <v>0</v>
      </c>
      <c r="EF397" t="str">
        <f t="shared" si="275"/>
        <v>Colistine</v>
      </c>
      <c r="EG397" t="str">
        <f t="shared" si="276"/>
        <v/>
      </c>
      <c r="EH397" t="str">
        <f t="shared" si="277"/>
        <v/>
      </c>
      <c r="EI397" t="str">
        <f t="shared" si="278"/>
        <v>Polypeptides</v>
      </c>
      <c r="EJ397" t="str">
        <f t="shared" si="279"/>
        <v/>
      </c>
      <c r="EK397" s="63" t="str">
        <f t="shared" si="280"/>
        <v/>
      </c>
      <c r="EN397" s="42">
        <v>394</v>
      </c>
      <c r="EO397" t="e">
        <f t="shared" si="286"/>
        <v>#N/A</v>
      </c>
      <c r="EP397" s="63" t="e">
        <f t="shared" si="287"/>
        <v>#N/A</v>
      </c>
      <c r="FT397" s="63"/>
    </row>
    <row r="398" spans="2:176" x14ac:dyDescent="0.3">
      <c r="B398" s="42"/>
      <c r="M398" s="194" t="str">
        <f ca="1">INDEX(Données_ATB!BD:BU,MATCH(MASQ2!O398,Données_ATB!BD:BD,0),18)</f>
        <v/>
      </c>
      <c r="N398" s="14" t="str">
        <f>IFERROR(IF(Q398=0,"",COUNTIF(Q$4:Q$600,"&gt;"&amp;Q398)+COUNTIF(Q$4:Q398,Q398)),"")</f>
        <v/>
      </c>
      <c r="O398" t="str">
        <f>Données_ATB!BD397</f>
        <v>PO 121 AMPICILLINE 10 VOLAILLE-PORC-VEAU-AGNEAU-CHEVREAU</v>
      </c>
      <c r="P398" t="e">
        <f>IF(IF(X$2="Catégorie",IF(X$3="Toutes",SUMIFS('Étape 1 - à remplir'!$F$31:$F$400,'Étape 1 - à remplir'!$E$31:$E$400,MASQ2!O398,'Étape 1 - à remplir'!$G$31:$G$400,"animaux"),SUMIFS('Étape 1 - à remplir'!$F$31:$F$400,'Étape 1 - à remplir'!$E$31:$E$400,MASQ2!O398,'Étape 1 - à remplir'!$C$31:$C$400,X$3)),IF(X$2="Âge",IF(X$3="Tous",SUMIFS('Étape 1 - à remplir'!$F$31:$F$400,'Étape 1 - à remplir'!$E$31:$E$400,MASQ2!O398,'Étape 1 - à remplir'!$G$31:$G$400,"animaux"),SUMIFS('Étape 1 - à remplir'!$F$31:$F$400,'Étape 1 - à remplir'!$E$31:$E$400,MASQ2!O398,'Étape 1 - à remplir'!$P$31:$P$400,X$3)),IF(X$2="Atelier",IF(X$3="Tous",SUMIFS('Étape 1 - à remplir'!$F$31:$F$400,'Étape 1 - à remplir'!$E$31:$E$400,MASQ2!O398,'Étape 1 - à remplir'!$G$31:$G$400,"animaux"),SUMIFS('Étape 1 - à remplir'!$F$31:$F$400,'Étape 1 - à remplir'!$E$31:$E$400,MASQ2!O398,'Étape 1 - à remplir'!$O$31:$O$400,X$3)),IF(X$2="Espèce",IF(X$3="Toutes",SUMIFS('Étape 1 - à remplir'!$F$31:$F$400,'Étape 1 - à remplir'!$E$31:$E$400,MASQ2!O398,'Étape 1 - à remplir'!$G$31:$G$400,"animaux"),SUMIFS('Étape 1 - à remplir'!$F$31:$F$400,'Étape 1 - à remplir'!$E$31:$E$400,MASQ2!O398,'Étape 1 - à remplir'!$N$31:$N$400,X$3))))))=0,NA(),IF(X$2="Catégorie",IF(X$3="Toutes",SUMIFS('Étape 1 - à remplir'!$F$31:$F$400,'Étape 1 - à remplir'!$E$31:$E$400,MASQ2!O398,'Étape 1 - à remplir'!$G$31:$G$400,"animaux"),SUMIFS('Étape 1 - à remplir'!$F$31:$F$400,'Étape 1 - à remplir'!$E$31:$E$400,MASQ2!O398,'Étape 1 - à remplir'!$C$31:$C$400,X$3)),IF(X$2="Âge",IF(X$3="Tous",SUMIFS('Étape 1 - à remplir'!$F$31:$F$400,'Étape 1 - à remplir'!$E$31:$E$400,MASQ2!O398,'Étape 1 - à remplir'!$G$31:$G$400,"animaux"),SUMIFS('Étape 1 - à remplir'!$F$31:$F$400,'Étape 1 - à remplir'!$E$31:$E$400,MASQ2!O398,'Étape 1 - à remplir'!$P$31:$P$400,X$3)),IF(X$2="Atelier",IF(X$3="Tous",SUMIFS('Étape 1 - à remplir'!$F$31:$F$400,'Étape 1 - à remplir'!$E$31:$E$400,MASQ2!O398,'Étape 1 - à remplir'!$G$31:$G$400,"animaux"),SUMIFS('Étape 1 - à remplir'!$F$31:$F$400,'Étape 1 - à remplir'!$E$31:$E$400,MASQ2!O398,'Étape 1 - à remplir'!$O$31:$O$400,X$3)),IF(X$2="Espèce",IF(X$3="Toutes",SUMIFS('Étape 1 - à remplir'!$F$31:$F$400,'Étape 1 - à remplir'!$E$31:$E$400,MASQ2!O398,'Étape 1 - à remplir'!$G$31:$G$400,"animaux"),SUMIFS('Étape 1 - à remplir'!$F$31:$F$400,'Étape 1 - à remplir'!$E$31:$E$400,MASQ2!O398,'Étape 1 - à remplir'!$N$31:$N$400,X$3)))))))</f>
        <v>#N/A</v>
      </c>
      <c r="Q398" s="63">
        <f t="shared" si="285"/>
        <v>0</v>
      </c>
      <c r="R398" t="str">
        <f>Données_ATB!BM397</f>
        <v>Ampicilline</v>
      </c>
      <c r="S398" t="str">
        <f>Données_ATB!BN397</f>
        <v/>
      </c>
      <c r="T398" s="63" t="str">
        <f>Données_ATB!BO397</f>
        <v/>
      </c>
      <c r="U398" s="42" t="str">
        <f>Données_ATB!BQ397</f>
        <v>Penicillines</v>
      </c>
      <c r="V398" t="str">
        <f>Données_ATB!BR397</f>
        <v/>
      </c>
      <c r="W398" s="63" t="str">
        <f>Données_ATB!BS397</f>
        <v/>
      </c>
      <c r="Z398" s="42">
        <v>395</v>
      </c>
      <c r="AA398" t="e">
        <f t="shared" si="281"/>
        <v>#N/A</v>
      </c>
      <c r="AB398" s="63" t="e">
        <f t="shared" si="282"/>
        <v>#N/A</v>
      </c>
      <c r="BF398" s="63"/>
      <c r="BT398" s="194" t="str">
        <f t="shared" ca="1" si="265"/>
        <v/>
      </c>
      <c r="BU398" s="219" t="str">
        <f>IFERROR(IF(BX398=0,"",COUNTIF(BX$4:BX$600,"&gt;"&amp;BX398)+COUNTIF(BX$4:BX398,BX398)),"")</f>
        <v/>
      </c>
      <c r="BV398" s="42" t="str">
        <f t="shared" si="266"/>
        <v>PO 121 AMPICILLINE 10 VOLAILLE-PORC-VEAU-AGNEAU-CHEVREAU</v>
      </c>
      <c r="BW398" t="e">
        <f>IF(IF(CE$2="Catégorie",IF(CE$3="Toutes",SUMIFS('Étape 1 - à remplir'!$F$31:$F$400,'Étape 1 - à remplir'!$E$31:$E$400,MASQ2!BV398,'Étape 1 - à remplir'!$G$31:$G$400,"lots"),SUMIFS('Étape 1 - à remplir'!$F$31:$F$400,'Étape 1 - à remplir'!$E$31:$E$400,MASQ2!BV398,'Étape 1 - à remplir'!$C$31:$C$400,CE$3)),IF(CE$2="Âge",IF(CE$3="Tous",SUMIFS('Étape 1 - à remplir'!$F$31:$F$400,'Étape 1 - à remplir'!$E$31:$E$400,MASQ2!BV398,'Étape 1 - à remplir'!$G$31:$G$400,"lots"),SUMIFS('Étape 1 - à remplir'!$F$31:$F$400,'Étape 1 - à remplir'!$E$31:$E$400,MASQ2!BV398,'Étape 1 - à remplir'!$P$31:$P$400,CE$3,'Étape 1 - à remplir'!$G$31:$G$400,"lots")),IF(CE$2="Atelier",IF(CE$3="Tous",SUMIFS('Étape 1 - à remplir'!$F$31:$F$400,'Étape 1 - à remplir'!$E$31:$E$400,MASQ2!BV398,'Étape 1 - à remplir'!$G$31:$G$400,"lots"),SUMIFS('Étape 1 - à remplir'!$F$31:$F$400,'Étape 1 - à remplir'!$E$31:$E$400,MASQ2!BV398,'Étape 1 - à remplir'!$O$31:$O$400,CE$3,'Étape 1 - à remplir'!$G$31:$G$400,"lots")),IF(CE$2="Espèce",IF(CE$3="Toutes",SUMIFS('Étape 1 - à remplir'!$F$31:$F$400,'Étape 1 - à remplir'!$E$31:$E$400,MASQ2!BV398,'Étape 1 - à remplir'!$G$31:$G$400,"lots"),SUMIFS('Étape 1 - à remplir'!$F$31:$F$400,'Étape 1 - à remplir'!$E$31:$E$400,MASQ2!BV398,'Étape 1 - à remplir'!$N$31:$N$400,CE$3,'Étape 1 - à remplir'!$G$31:$G$400,"lots"))))))=0,NA(),IF(CE$2="Catégorie",IF(CE$3="Toutes",SUMIFS('Étape 1 - à remplir'!$F$31:$F$400,'Étape 1 - à remplir'!$E$31:$E$400,MASQ2!BV398,'Étape 1 - à remplir'!$G$31:$G$400,"lots"),SUMIFS('Étape 1 - à remplir'!$F$31:$F$400,'Étape 1 - à remplir'!$E$31:$E$400,MASQ2!BV398,'Étape 1 - à remplir'!$C$31:$C$400,CE$3)),IF(CE$2="Âge",IF(CE$3="Tous",SUMIFS('Étape 1 - à remplir'!$F$31:$F$400,'Étape 1 - à remplir'!$E$31:$E$400,MASQ2!BV398,'Étape 1 - à remplir'!$G$31:$G$400,"lots"),SUMIFS('Étape 1 - à remplir'!$F$31:$F$400,'Étape 1 - à remplir'!$E$31:$E$400,MASQ2!BV398,'Étape 1 - à remplir'!$P$31:$P$400,CE$3,'Étape 1 - à remplir'!$G$31:$G$400,"lots")),IF(CE$2="Atelier",IF(CE$3="Tous",SUMIFS('Étape 1 - à remplir'!$F$31:$F$400,'Étape 1 - à remplir'!$E$31:$E$400,MASQ2!BV398,'Étape 1 - à remplir'!$G$31:$G$400,"lots"),SUMIFS('Étape 1 - à remplir'!$F$31:$F$400,'Étape 1 - à remplir'!$E$31:$E$400,MASQ2!BV398,'Étape 1 - à remplir'!$O$31:$O$400,CE$3,'Étape 1 - à remplir'!$G$31:$G$400,"lots")),IF(CE$2="Espèce",IF(CE$3="Toutes",SUMIFS('Étape 1 - à remplir'!$F$31:$F$400,'Étape 1 - à remplir'!$E$31:$E$400,MASQ2!BV398,'Étape 1 - à remplir'!$G$31:$G$400,"lots"),SUMIFS('Étape 1 - à remplir'!$F$31:$F$400,'Étape 1 - à remplir'!$E$31:$E$400,MASQ2!BV398,'Étape 1 - à remplir'!$N$31:$N$400,CE$3,'Étape 1 - à remplir'!$G$31:$G$400,"lots")))))))</f>
        <v>#N/A</v>
      </c>
      <c r="BX398">
        <f t="shared" si="283"/>
        <v>0</v>
      </c>
      <c r="BY398" t="str">
        <f t="shared" si="267"/>
        <v>Ampicilline</v>
      </c>
      <c r="BZ398" t="str">
        <f t="shared" si="268"/>
        <v/>
      </c>
      <c r="CA398" t="str">
        <f t="shared" si="269"/>
        <v/>
      </c>
      <c r="CB398" t="str">
        <f t="shared" si="270"/>
        <v>Penicillines</v>
      </c>
      <c r="CC398" t="str">
        <f t="shared" si="271"/>
        <v/>
      </c>
      <c r="CD398" s="63" t="str">
        <f t="shared" si="272"/>
        <v/>
      </c>
      <c r="CG398" s="42">
        <v>395</v>
      </c>
      <c r="CH398" s="42" t="e">
        <f t="shared" si="263"/>
        <v>#N/A</v>
      </c>
      <c r="CI398" s="63" t="e">
        <f t="shared" si="264"/>
        <v>#N/A</v>
      </c>
      <c r="DM398" s="63"/>
      <c r="EA398" s="194" t="str">
        <f t="shared" ca="1" si="273"/>
        <v/>
      </c>
      <c r="EB398" s="226" t="str">
        <f>IFERROR(IF(ED398=0,"",COUNTIF(ED$4:ED$600,"&gt;"&amp;ED398)+COUNTIF(ED$4:ED398,ED398)),"")</f>
        <v/>
      </c>
      <c r="EC398" t="str">
        <f t="shared" si="274"/>
        <v>PO 121 AMPICILLINE 10 VOLAILLE-PORC-VEAU-AGNEAU-CHEVREAU</v>
      </c>
      <c r="ED398" t="e">
        <f>IF(IF(EL$2="Catégorie",IF(EL$3="Toutes",SUMIFS('Étape 1 - à remplir'!$F$31:$F$400,'Étape 1 - à remplir'!$E$31:$E$400,MASQ2!EC398,'Étape 1 - à remplir'!$G$31:$G$400,"kg"),SUMIFS('Étape 1 - à remplir'!$F$31:$F$400,'Étape 1 - à remplir'!$E$31:$E$400,MASQ2!EC398,'Étape 1 - à remplir'!$C$31:$C$400,EL$3)),IF(EL$2="Âge",IF(EL$3="Tous",SUMIFS('Étape 1 - à remplir'!$F$31:$F$400,'Étape 1 - à remplir'!$E$31:$E$400,MASQ2!EC398,'Étape 1 - à remplir'!$G$31:$G$400,"kg"),SUMIFS('Étape 1 - à remplir'!$F$31:$F$400,'Étape 1 - à remplir'!$E$31:$E$400,MASQ2!EC398,'Étape 1 - à remplir'!$P$31:$P$400,EL$3,'Étape 1 - à remplir'!$G$31:$G$400,"kg")),IF(EL$2="Atelier",IF(EL$3="Tous",SUMIFS('Étape 1 - à remplir'!$F$31:$F$400,'Étape 1 - à remplir'!$E$31:$E$400,MASQ2!EC398,'Étape 1 - à remplir'!$G$31:$G$400,"kg"),SUMIFS('Étape 1 - à remplir'!$F$31:$F$400,'Étape 1 - à remplir'!$E$31:$E$400,MASQ2!EC398,'Étape 1 - à remplir'!$O$31:$O$400,EL$3,'Étape 1 - à remplir'!$G$31:$G$400,"kg")),IF(EL$2="Espèce",IF(EL$3="Toutes",SUMIFS('Étape 1 - à remplir'!$F$31:$F$400,'Étape 1 - à remplir'!$E$31:$E$400,MASQ2!EC398,'Étape 1 - à remplir'!$G$31:$G$400,"kg"),SUMIFS('Étape 1 - à remplir'!$F$31:$F$400,'Étape 1 - à remplir'!$E$31:$E$400,MASQ2!EC398,'Étape 1 - à remplir'!$N$31:$N$400,EL$3,'Étape 1 - à remplir'!$G$31:$G$400,"kg"))))))=0,NA(),IF(EL$2="Catégorie",IF(EL$3="Toutes",SUMIFS('Étape 1 - à remplir'!$F$31:$F$400,'Étape 1 - à remplir'!$E$31:$E$400,MASQ2!EC398,'Étape 1 - à remplir'!$G$31:$G$400,"kg"),SUMIFS('Étape 1 - à remplir'!$F$31:$F$400,'Étape 1 - à remplir'!$E$31:$E$400,MASQ2!EC398,'Étape 1 - à remplir'!$C$31:$C$400,EL$3)),IF(EL$2="Âge",IF(EL$3="Tous",SUMIFS('Étape 1 - à remplir'!$F$31:$F$400,'Étape 1 - à remplir'!$E$31:$E$400,MASQ2!EC398,'Étape 1 - à remplir'!$G$31:$G$400,"kg"),SUMIFS('Étape 1 - à remplir'!$F$31:$F$400,'Étape 1 - à remplir'!$E$31:$E$400,MASQ2!EC398,'Étape 1 - à remplir'!$P$31:$P$400,EL$3,'Étape 1 - à remplir'!$G$31:$G$400,"kg")),IF(EL$2="Atelier",IF(EL$3="Tous",SUMIFS('Étape 1 - à remplir'!$F$31:$F$400,'Étape 1 - à remplir'!$E$31:$E$400,MASQ2!EC398,'Étape 1 - à remplir'!$G$31:$G$400,"kg"),SUMIFS('Étape 1 - à remplir'!$F$31:$F$400,'Étape 1 - à remplir'!$E$31:$E$400,MASQ2!EC398,'Étape 1 - à remplir'!$O$31:$O$400,EL$3,'Étape 1 - à remplir'!$G$31:$G$400,"kg")),IF(EL$2="Espèce",IF(EL$3="Toutes",SUMIFS('Étape 1 - à remplir'!$F$31:$F$400,'Étape 1 - à remplir'!$E$31:$E$400,MASQ2!EC398,'Étape 1 - à remplir'!$G$31:$G$400,"kg"),SUMIFS('Étape 1 - à remplir'!$F$31:$F$400,'Étape 1 - à remplir'!$E$31:$E$400,MASQ2!EC398,'Étape 1 - à remplir'!$N$31:$N$400,EL$3,'Étape 1 - à remplir'!$G$31:$G$400,"kg")))))))</f>
        <v>#N/A</v>
      </c>
      <c r="EE398" s="76">
        <f t="shared" si="284"/>
        <v>0</v>
      </c>
      <c r="EF398" t="str">
        <f t="shared" si="275"/>
        <v>Ampicilline</v>
      </c>
      <c r="EG398" t="str">
        <f t="shared" si="276"/>
        <v/>
      </c>
      <c r="EH398" t="str">
        <f t="shared" si="277"/>
        <v/>
      </c>
      <c r="EI398" t="str">
        <f t="shared" si="278"/>
        <v>Penicillines</v>
      </c>
      <c r="EJ398" t="str">
        <f t="shared" si="279"/>
        <v/>
      </c>
      <c r="EK398" s="63" t="str">
        <f t="shared" si="280"/>
        <v/>
      </c>
      <c r="EN398" s="42">
        <v>395</v>
      </c>
      <c r="EO398" t="e">
        <f t="shared" si="286"/>
        <v>#N/A</v>
      </c>
      <c r="EP398" s="63" t="e">
        <f t="shared" si="287"/>
        <v>#N/A</v>
      </c>
      <c r="FT398" s="63"/>
    </row>
    <row r="399" spans="2:176" x14ac:dyDescent="0.3">
      <c r="B399" s="42"/>
      <c r="M399" s="194" t="str">
        <f ca="1">INDEX(Données_ATB!BD:BU,MATCH(MASQ2!O399,Données_ATB!BD:BD,0),18)</f>
        <v>x</v>
      </c>
      <c r="N399" s="14" t="str">
        <f>IFERROR(IF(Q399=0,"",COUNTIF(Q$4:Q$600,"&gt;"&amp;Q399)+COUNTIF(Q$4:Q399,Q399)),"")</f>
        <v/>
      </c>
      <c r="O399" t="str">
        <f>Données_ATB!BD398</f>
        <v>POTENCIL</v>
      </c>
      <c r="P399" t="e">
        <f>IF(IF(X$2="Catégorie",IF(X$3="Toutes",SUMIFS('Étape 1 - à remplir'!$F$31:$F$400,'Étape 1 - à remplir'!$E$31:$E$400,MASQ2!O399,'Étape 1 - à remplir'!$G$31:$G$400,"animaux"),SUMIFS('Étape 1 - à remplir'!$F$31:$F$400,'Étape 1 - à remplir'!$E$31:$E$400,MASQ2!O399,'Étape 1 - à remplir'!$C$31:$C$400,X$3)),IF(X$2="Âge",IF(X$3="Tous",SUMIFS('Étape 1 - à remplir'!$F$31:$F$400,'Étape 1 - à remplir'!$E$31:$E$400,MASQ2!O399,'Étape 1 - à remplir'!$G$31:$G$400,"animaux"),SUMIFS('Étape 1 - à remplir'!$F$31:$F$400,'Étape 1 - à remplir'!$E$31:$E$400,MASQ2!O399,'Étape 1 - à remplir'!$P$31:$P$400,X$3)),IF(X$2="Atelier",IF(X$3="Tous",SUMIFS('Étape 1 - à remplir'!$F$31:$F$400,'Étape 1 - à remplir'!$E$31:$E$400,MASQ2!O399,'Étape 1 - à remplir'!$G$31:$G$400,"animaux"),SUMIFS('Étape 1 - à remplir'!$F$31:$F$400,'Étape 1 - à remplir'!$E$31:$E$400,MASQ2!O399,'Étape 1 - à remplir'!$O$31:$O$400,X$3)),IF(X$2="Espèce",IF(X$3="Toutes",SUMIFS('Étape 1 - à remplir'!$F$31:$F$400,'Étape 1 - à remplir'!$E$31:$E$400,MASQ2!O399,'Étape 1 - à remplir'!$G$31:$G$400,"animaux"),SUMIFS('Étape 1 - à remplir'!$F$31:$F$400,'Étape 1 - à remplir'!$E$31:$E$400,MASQ2!O399,'Étape 1 - à remplir'!$N$31:$N$400,X$3))))))=0,NA(),IF(X$2="Catégorie",IF(X$3="Toutes",SUMIFS('Étape 1 - à remplir'!$F$31:$F$400,'Étape 1 - à remplir'!$E$31:$E$400,MASQ2!O399,'Étape 1 - à remplir'!$G$31:$G$400,"animaux"),SUMIFS('Étape 1 - à remplir'!$F$31:$F$400,'Étape 1 - à remplir'!$E$31:$E$400,MASQ2!O399,'Étape 1 - à remplir'!$C$31:$C$400,X$3)),IF(X$2="Âge",IF(X$3="Tous",SUMIFS('Étape 1 - à remplir'!$F$31:$F$400,'Étape 1 - à remplir'!$E$31:$E$400,MASQ2!O399,'Étape 1 - à remplir'!$G$31:$G$400,"animaux"),SUMIFS('Étape 1 - à remplir'!$F$31:$F$400,'Étape 1 - à remplir'!$E$31:$E$400,MASQ2!O399,'Étape 1 - à remplir'!$P$31:$P$400,X$3)),IF(X$2="Atelier",IF(X$3="Tous",SUMIFS('Étape 1 - à remplir'!$F$31:$F$400,'Étape 1 - à remplir'!$E$31:$E$400,MASQ2!O399,'Étape 1 - à remplir'!$G$31:$G$400,"animaux"),SUMIFS('Étape 1 - à remplir'!$F$31:$F$400,'Étape 1 - à remplir'!$E$31:$E$400,MASQ2!O399,'Étape 1 - à remplir'!$O$31:$O$400,X$3)),IF(X$2="Espèce",IF(X$3="Toutes",SUMIFS('Étape 1 - à remplir'!$F$31:$F$400,'Étape 1 - à remplir'!$E$31:$E$400,MASQ2!O399,'Étape 1 - à remplir'!$G$31:$G$400,"animaux"),SUMIFS('Étape 1 - à remplir'!$F$31:$F$400,'Étape 1 - à remplir'!$E$31:$E$400,MASQ2!O399,'Étape 1 - à remplir'!$N$31:$N$400,X$3)))))))</f>
        <v>#N/A</v>
      </c>
      <c r="Q399" s="63">
        <f t="shared" si="285"/>
        <v>0</v>
      </c>
      <c r="R399" t="str">
        <f>Données_ATB!BM398</f>
        <v>Amoxicilline</v>
      </c>
      <c r="S399" t="str">
        <f>Données_ATB!BN398</f>
        <v>Colistine</v>
      </c>
      <c r="T399" s="63" t="str">
        <f>Données_ATB!BO398</f>
        <v/>
      </c>
      <c r="U399" s="42" t="str">
        <f>Données_ATB!BQ398</f>
        <v>Penicillines</v>
      </c>
      <c r="V399" t="str">
        <f>Données_ATB!BR398</f>
        <v>Polypeptides</v>
      </c>
      <c r="W399" s="63" t="str">
        <f>Données_ATB!BS398</f>
        <v/>
      </c>
      <c r="Z399" s="42">
        <v>396</v>
      </c>
      <c r="AA399" t="e">
        <f t="shared" si="281"/>
        <v>#N/A</v>
      </c>
      <c r="AB399" s="63" t="e">
        <f t="shared" si="282"/>
        <v>#N/A</v>
      </c>
      <c r="BF399" s="63"/>
      <c r="BT399" s="194" t="str">
        <f t="shared" ca="1" si="265"/>
        <v>x</v>
      </c>
      <c r="BU399" s="219" t="str">
        <f>IFERROR(IF(BX399=0,"",COUNTIF(BX$4:BX$600,"&gt;"&amp;BX399)+COUNTIF(BX$4:BX399,BX399)),"")</f>
        <v/>
      </c>
      <c r="BV399" s="42" t="str">
        <f t="shared" si="266"/>
        <v>POTENCIL</v>
      </c>
      <c r="BW399" t="e">
        <f>IF(IF(CE$2="Catégorie",IF(CE$3="Toutes",SUMIFS('Étape 1 - à remplir'!$F$31:$F$400,'Étape 1 - à remplir'!$E$31:$E$400,MASQ2!BV399,'Étape 1 - à remplir'!$G$31:$G$400,"lots"),SUMIFS('Étape 1 - à remplir'!$F$31:$F$400,'Étape 1 - à remplir'!$E$31:$E$400,MASQ2!BV399,'Étape 1 - à remplir'!$C$31:$C$400,CE$3)),IF(CE$2="Âge",IF(CE$3="Tous",SUMIFS('Étape 1 - à remplir'!$F$31:$F$400,'Étape 1 - à remplir'!$E$31:$E$400,MASQ2!BV399,'Étape 1 - à remplir'!$G$31:$G$400,"lots"),SUMIFS('Étape 1 - à remplir'!$F$31:$F$400,'Étape 1 - à remplir'!$E$31:$E$400,MASQ2!BV399,'Étape 1 - à remplir'!$P$31:$P$400,CE$3,'Étape 1 - à remplir'!$G$31:$G$400,"lots")),IF(CE$2="Atelier",IF(CE$3="Tous",SUMIFS('Étape 1 - à remplir'!$F$31:$F$400,'Étape 1 - à remplir'!$E$31:$E$400,MASQ2!BV399,'Étape 1 - à remplir'!$G$31:$G$400,"lots"),SUMIFS('Étape 1 - à remplir'!$F$31:$F$400,'Étape 1 - à remplir'!$E$31:$E$400,MASQ2!BV399,'Étape 1 - à remplir'!$O$31:$O$400,CE$3,'Étape 1 - à remplir'!$G$31:$G$400,"lots")),IF(CE$2="Espèce",IF(CE$3="Toutes",SUMIFS('Étape 1 - à remplir'!$F$31:$F$400,'Étape 1 - à remplir'!$E$31:$E$400,MASQ2!BV399,'Étape 1 - à remplir'!$G$31:$G$400,"lots"),SUMIFS('Étape 1 - à remplir'!$F$31:$F$400,'Étape 1 - à remplir'!$E$31:$E$400,MASQ2!BV399,'Étape 1 - à remplir'!$N$31:$N$400,CE$3,'Étape 1 - à remplir'!$G$31:$G$400,"lots"))))))=0,NA(),IF(CE$2="Catégorie",IF(CE$3="Toutes",SUMIFS('Étape 1 - à remplir'!$F$31:$F$400,'Étape 1 - à remplir'!$E$31:$E$400,MASQ2!BV399,'Étape 1 - à remplir'!$G$31:$G$400,"lots"),SUMIFS('Étape 1 - à remplir'!$F$31:$F$400,'Étape 1 - à remplir'!$E$31:$E$400,MASQ2!BV399,'Étape 1 - à remplir'!$C$31:$C$400,CE$3)),IF(CE$2="Âge",IF(CE$3="Tous",SUMIFS('Étape 1 - à remplir'!$F$31:$F$400,'Étape 1 - à remplir'!$E$31:$E$400,MASQ2!BV399,'Étape 1 - à remplir'!$G$31:$G$400,"lots"),SUMIFS('Étape 1 - à remplir'!$F$31:$F$400,'Étape 1 - à remplir'!$E$31:$E$400,MASQ2!BV399,'Étape 1 - à remplir'!$P$31:$P$400,CE$3,'Étape 1 - à remplir'!$G$31:$G$400,"lots")),IF(CE$2="Atelier",IF(CE$3="Tous",SUMIFS('Étape 1 - à remplir'!$F$31:$F$400,'Étape 1 - à remplir'!$E$31:$E$400,MASQ2!BV399,'Étape 1 - à remplir'!$G$31:$G$400,"lots"),SUMIFS('Étape 1 - à remplir'!$F$31:$F$400,'Étape 1 - à remplir'!$E$31:$E$400,MASQ2!BV399,'Étape 1 - à remplir'!$O$31:$O$400,CE$3,'Étape 1 - à remplir'!$G$31:$G$400,"lots")),IF(CE$2="Espèce",IF(CE$3="Toutes",SUMIFS('Étape 1 - à remplir'!$F$31:$F$400,'Étape 1 - à remplir'!$E$31:$E$400,MASQ2!BV399,'Étape 1 - à remplir'!$G$31:$G$400,"lots"),SUMIFS('Étape 1 - à remplir'!$F$31:$F$400,'Étape 1 - à remplir'!$E$31:$E$400,MASQ2!BV399,'Étape 1 - à remplir'!$N$31:$N$400,CE$3,'Étape 1 - à remplir'!$G$31:$G$400,"lots")))))))</f>
        <v>#N/A</v>
      </c>
      <c r="BX399">
        <f t="shared" si="283"/>
        <v>0</v>
      </c>
      <c r="BY399" t="str">
        <f t="shared" si="267"/>
        <v>Amoxicilline</v>
      </c>
      <c r="BZ399" t="str">
        <f t="shared" si="268"/>
        <v>Colistine</v>
      </c>
      <c r="CA399" t="str">
        <f t="shared" si="269"/>
        <v/>
      </c>
      <c r="CB399" t="str">
        <f t="shared" si="270"/>
        <v>Penicillines</v>
      </c>
      <c r="CC399" t="str">
        <f t="shared" si="271"/>
        <v>Polypeptides</v>
      </c>
      <c r="CD399" s="63" t="str">
        <f t="shared" si="272"/>
        <v/>
      </c>
      <c r="CG399" s="42">
        <v>396</v>
      </c>
      <c r="CH399" s="42" t="e">
        <f t="shared" si="263"/>
        <v>#N/A</v>
      </c>
      <c r="CI399" s="63" t="e">
        <f t="shared" si="264"/>
        <v>#N/A</v>
      </c>
      <c r="DM399" s="63"/>
      <c r="EA399" s="194" t="str">
        <f t="shared" ca="1" si="273"/>
        <v>x</v>
      </c>
      <c r="EB399" s="226" t="str">
        <f>IFERROR(IF(ED399=0,"",COUNTIF(ED$4:ED$600,"&gt;"&amp;ED399)+COUNTIF(ED$4:ED399,ED399)),"")</f>
        <v/>
      </c>
      <c r="EC399" t="str">
        <f t="shared" si="274"/>
        <v>POTENCIL</v>
      </c>
      <c r="ED399" t="e">
        <f>IF(IF(EL$2="Catégorie",IF(EL$3="Toutes",SUMIFS('Étape 1 - à remplir'!$F$31:$F$400,'Étape 1 - à remplir'!$E$31:$E$400,MASQ2!EC399,'Étape 1 - à remplir'!$G$31:$G$400,"kg"),SUMIFS('Étape 1 - à remplir'!$F$31:$F$400,'Étape 1 - à remplir'!$E$31:$E$400,MASQ2!EC399,'Étape 1 - à remplir'!$C$31:$C$400,EL$3)),IF(EL$2="Âge",IF(EL$3="Tous",SUMIFS('Étape 1 - à remplir'!$F$31:$F$400,'Étape 1 - à remplir'!$E$31:$E$400,MASQ2!EC399,'Étape 1 - à remplir'!$G$31:$G$400,"kg"),SUMIFS('Étape 1 - à remplir'!$F$31:$F$400,'Étape 1 - à remplir'!$E$31:$E$400,MASQ2!EC399,'Étape 1 - à remplir'!$P$31:$P$400,EL$3,'Étape 1 - à remplir'!$G$31:$G$400,"kg")),IF(EL$2="Atelier",IF(EL$3="Tous",SUMIFS('Étape 1 - à remplir'!$F$31:$F$400,'Étape 1 - à remplir'!$E$31:$E$400,MASQ2!EC399,'Étape 1 - à remplir'!$G$31:$G$400,"kg"),SUMIFS('Étape 1 - à remplir'!$F$31:$F$400,'Étape 1 - à remplir'!$E$31:$E$400,MASQ2!EC399,'Étape 1 - à remplir'!$O$31:$O$400,EL$3,'Étape 1 - à remplir'!$G$31:$G$400,"kg")),IF(EL$2="Espèce",IF(EL$3="Toutes",SUMIFS('Étape 1 - à remplir'!$F$31:$F$400,'Étape 1 - à remplir'!$E$31:$E$400,MASQ2!EC399,'Étape 1 - à remplir'!$G$31:$G$400,"kg"),SUMIFS('Étape 1 - à remplir'!$F$31:$F$400,'Étape 1 - à remplir'!$E$31:$E$400,MASQ2!EC399,'Étape 1 - à remplir'!$N$31:$N$400,EL$3,'Étape 1 - à remplir'!$G$31:$G$400,"kg"))))))=0,NA(),IF(EL$2="Catégorie",IF(EL$3="Toutes",SUMIFS('Étape 1 - à remplir'!$F$31:$F$400,'Étape 1 - à remplir'!$E$31:$E$400,MASQ2!EC399,'Étape 1 - à remplir'!$G$31:$G$400,"kg"),SUMIFS('Étape 1 - à remplir'!$F$31:$F$400,'Étape 1 - à remplir'!$E$31:$E$400,MASQ2!EC399,'Étape 1 - à remplir'!$C$31:$C$400,EL$3)),IF(EL$2="Âge",IF(EL$3="Tous",SUMIFS('Étape 1 - à remplir'!$F$31:$F$400,'Étape 1 - à remplir'!$E$31:$E$400,MASQ2!EC399,'Étape 1 - à remplir'!$G$31:$G$400,"kg"),SUMIFS('Étape 1 - à remplir'!$F$31:$F$400,'Étape 1 - à remplir'!$E$31:$E$400,MASQ2!EC399,'Étape 1 - à remplir'!$P$31:$P$400,EL$3,'Étape 1 - à remplir'!$G$31:$G$400,"kg")),IF(EL$2="Atelier",IF(EL$3="Tous",SUMIFS('Étape 1 - à remplir'!$F$31:$F$400,'Étape 1 - à remplir'!$E$31:$E$400,MASQ2!EC399,'Étape 1 - à remplir'!$G$31:$G$400,"kg"),SUMIFS('Étape 1 - à remplir'!$F$31:$F$400,'Étape 1 - à remplir'!$E$31:$E$400,MASQ2!EC399,'Étape 1 - à remplir'!$O$31:$O$400,EL$3,'Étape 1 - à remplir'!$G$31:$G$400,"kg")),IF(EL$2="Espèce",IF(EL$3="Toutes",SUMIFS('Étape 1 - à remplir'!$F$31:$F$400,'Étape 1 - à remplir'!$E$31:$E$400,MASQ2!EC399,'Étape 1 - à remplir'!$G$31:$G$400,"kg"),SUMIFS('Étape 1 - à remplir'!$F$31:$F$400,'Étape 1 - à remplir'!$E$31:$E$400,MASQ2!EC399,'Étape 1 - à remplir'!$N$31:$N$400,EL$3,'Étape 1 - à remplir'!$G$31:$G$400,"kg")))))))</f>
        <v>#N/A</v>
      </c>
      <c r="EE399" s="76">
        <f t="shared" si="284"/>
        <v>0</v>
      </c>
      <c r="EF399" t="str">
        <f t="shared" si="275"/>
        <v>Amoxicilline</v>
      </c>
      <c r="EG399" t="str">
        <f t="shared" si="276"/>
        <v>Colistine</v>
      </c>
      <c r="EH399" t="str">
        <f t="shared" si="277"/>
        <v/>
      </c>
      <c r="EI399" t="str">
        <f t="shared" si="278"/>
        <v>Penicillines</v>
      </c>
      <c r="EJ399" t="str">
        <f t="shared" si="279"/>
        <v>Polypeptides</v>
      </c>
      <c r="EK399" s="63" t="str">
        <f t="shared" si="280"/>
        <v/>
      </c>
      <c r="EN399" s="42">
        <v>396</v>
      </c>
      <c r="EO399" t="e">
        <f t="shared" si="286"/>
        <v>#N/A</v>
      </c>
      <c r="EP399" s="63" t="e">
        <f t="shared" si="287"/>
        <v>#N/A</v>
      </c>
      <c r="FT399" s="63"/>
    </row>
    <row r="400" spans="2:176" x14ac:dyDescent="0.3">
      <c r="B400" s="42"/>
      <c r="M400" s="194" t="str">
        <f ca="1">INDEX(Données_ATB!BD:BU,MATCH(MASQ2!O400,Données_ATB!BD:BD,0),18)</f>
        <v/>
      </c>
      <c r="N400" s="14" t="str">
        <f>IFERROR(IF(Q400=0,"",COUNTIF(Q$4:Q$600,"&gt;"&amp;Q400)+COUNTIF(Q$4:Q400,Q400)),"")</f>
        <v/>
      </c>
      <c r="O400" t="str">
        <f>Données_ATB!BD399</f>
        <v>PREDNIDERM</v>
      </c>
      <c r="P400" t="e">
        <f>IF(IF(X$2="Catégorie",IF(X$3="Toutes",SUMIFS('Étape 1 - à remplir'!$F$31:$F$400,'Étape 1 - à remplir'!$E$31:$E$400,MASQ2!O400,'Étape 1 - à remplir'!$G$31:$G$400,"animaux"),SUMIFS('Étape 1 - à remplir'!$F$31:$F$400,'Étape 1 - à remplir'!$E$31:$E$400,MASQ2!O400,'Étape 1 - à remplir'!$C$31:$C$400,X$3)),IF(X$2="Âge",IF(X$3="Tous",SUMIFS('Étape 1 - à remplir'!$F$31:$F$400,'Étape 1 - à remplir'!$E$31:$E$400,MASQ2!O400,'Étape 1 - à remplir'!$G$31:$G$400,"animaux"),SUMIFS('Étape 1 - à remplir'!$F$31:$F$400,'Étape 1 - à remplir'!$E$31:$E$400,MASQ2!O400,'Étape 1 - à remplir'!$P$31:$P$400,X$3)),IF(X$2="Atelier",IF(X$3="Tous",SUMIFS('Étape 1 - à remplir'!$F$31:$F$400,'Étape 1 - à remplir'!$E$31:$E$400,MASQ2!O400,'Étape 1 - à remplir'!$G$31:$G$400,"animaux"),SUMIFS('Étape 1 - à remplir'!$F$31:$F$400,'Étape 1 - à remplir'!$E$31:$E$400,MASQ2!O400,'Étape 1 - à remplir'!$O$31:$O$400,X$3)),IF(X$2="Espèce",IF(X$3="Toutes",SUMIFS('Étape 1 - à remplir'!$F$31:$F$400,'Étape 1 - à remplir'!$E$31:$E$400,MASQ2!O400,'Étape 1 - à remplir'!$G$31:$G$400,"animaux"),SUMIFS('Étape 1 - à remplir'!$F$31:$F$400,'Étape 1 - à remplir'!$E$31:$E$400,MASQ2!O400,'Étape 1 - à remplir'!$N$31:$N$400,X$3))))))=0,NA(),IF(X$2="Catégorie",IF(X$3="Toutes",SUMIFS('Étape 1 - à remplir'!$F$31:$F$400,'Étape 1 - à remplir'!$E$31:$E$400,MASQ2!O400,'Étape 1 - à remplir'!$G$31:$G$400,"animaux"),SUMIFS('Étape 1 - à remplir'!$F$31:$F$400,'Étape 1 - à remplir'!$E$31:$E$400,MASQ2!O400,'Étape 1 - à remplir'!$C$31:$C$400,X$3)),IF(X$2="Âge",IF(X$3="Tous",SUMIFS('Étape 1 - à remplir'!$F$31:$F$400,'Étape 1 - à remplir'!$E$31:$E$400,MASQ2!O400,'Étape 1 - à remplir'!$G$31:$G$400,"animaux"),SUMIFS('Étape 1 - à remplir'!$F$31:$F$400,'Étape 1 - à remplir'!$E$31:$E$400,MASQ2!O400,'Étape 1 - à remplir'!$P$31:$P$400,X$3)),IF(X$2="Atelier",IF(X$3="Tous",SUMIFS('Étape 1 - à remplir'!$F$31:$F$400,'Étape 1 - à remplir'!$E$31:$E$400,MASQ2!O400,'Étape 1 - à remplir'!$G$31:$G$400,"animaux"),SUMIFS('Étape 1 - à remplir'!$F$31:$F$400,'Étape 1 - à remplir'!$E$31:$E$400,MASQ2!O400,'Étape 1 - à remplir'!$O$31:$O$400,X$3)),IF(X$2="Espèce",IF(X$3="Toutes",SUMIFS('Étape 1 - à remplir'!$F$31:$F$400,'Étape 1 - à remplir'!$E$31:$E$400,MASQ2!O400,'Étape 1 - à remplir'!$G$31:$G$400,"animaux"),SUMIFS('Étape 1 - à remplir'!$F$31:$F$400,'Étape 1 - à remplir'!$E$31:$E$400,MASQ2!O400,'Étape 1 - à remplir'!$N$31:$N$400,X$3)))))))</f>
        <v>#N/A</v>
      </c>
      <c r="Q400" s="63">
        <f t="shared" si="285"/>
        <v>0</v>
      </c>
      <c r="R400" t="str">
        <f>Données_ATB!BM399</f>
        <v>Néomycine</v>
      </c>
      <c r="S400" t="str">
        <f>Données_ATB!BN399</f>
        <v/>
      </c>
      <c r="T400" s="63" t="str">
        <f>Données_ATB!BO399</f>
        <v/>
      </c>
      <c r="U400" s="42" t="str">
        <f>Données_ATB!BQ399</f>
        <v>Aminoglycosides</v>
      </c>
      <c r="V400" t="str">
        <f>Données_ATB!BR399</f>
        <v/>
      </c>
      <c r="W400" s="63" t="str">
        <f>Données_ATB!BS399</f>
        <v/>
      </c>
      <c r="Z400" s="42">
        <v>397</v>
      </c>
      <c r="AA400" t="e">
        <f t="shared" si="281"/>
        <v>#N/A</v>
      </c>
      <c r="AB400" s="63" t="e">
        <f t="shared" si="282"/>
        <v>#N/A</v>
      </c>
      <c r="BF400" s="63"/>
      <c r="BT400" s="194" t="str">
        <f t="shared" ca="1" si="265"/>
        <v/>
      </c>
      <c r="BU400" s="219" t="str">
        <f>IFERROR(IF(BX400=0,"",COUNTIF(BX$4:BX$600,"&gt;"&amp;BX400)+COUNTIF(BX$4:BX400,BX400)),"")</f>
        <v/>
      </c>
      <c r="BV400" s="42" t="str">
        <f t="shared" si="266"/>
        <v>PREDNIDERM</v>
      </c>
      <c r="BW400" t="e">
        <f>IF(IF(CE$2="Catégorie",IF(CE$3="Toutes",SUMIFS('Étape 1 - à remplir'!$F$31:$F$400,'Étape 1 - à remplir'!$E$31:$E$400,MASQ2!BV400,'Étape 1 - à remplir'!$G$31:$G$400,"lots"),SUMIFS('Étape 1 - à remplir'!$F$31:$F$400,'Étape 1 - à remplir'!$E$31:$E$400,MASQ2!BV400,'Étape 1 - à remplir'!$C$31:$C$400,CE$3)),IF(CE$2="Âge",IF(CE$3="Tous",SUMIFS('Étape 1 - à remplir'!$F$31:$F$400,'Étape 1 - à remplir'!$E$31:$E$400,MASQ2!BV400,'Étape 1 - à remplir'!$G$31:$G$400,"lots"),SUMIFS('Étape 1 - à remplir'!$F$31:$F$400,'Étape 1 - à remplir'!$E$31:$E$400,MASQ2!BV400,'Étape 1 - à remplir'!$P$31:$P$400,CE$3,'Étape 1 - à remplir'!$G$31:$G$400,"lots")),IF(CE$2="Atelier",IF(CE$3="Tous",SUMIFS('Étape 1 - à remplir'!$F$31:$F$400,'Étape 1 - à remplir'!$E$31:$E$400,MASQ2!BV400,'Étape 1 - à remplir'!$G$31:$G$400,"lots"),SUMIFS('Étape 1 - à remplir'!$F$31:$F$400,'Étape 1 - à remplir'!$E$31:$E$400,MASQ2!BV400,'Étape 1 - à remplir'!$O$31:$O$400,CE$3,'Étape 1 - à remplir'!$G$31:$G$400,"lots")),IF(CE$2="Espèce",IF(CE$3="Toutes",SUMIFS('Étape 1 - à remplir'!$F$31:$F$400,'Étape 1 - à remplir'!$E$31:$E$400,MASQ2!BV400,'Étape 1 - à remplir'!$G$31:$G$400,"lots"),SUMIFS('Étape 1 - à remplir'!$F$31:$F$400,'Étape 1 - à remplir'!$E$31:$E$400,MASQ2!BV400,'Étape 1 - à remplir'!$N$31:$N$400,CE$3,'Étape 1 - à remplir'!$G$31:$G$400,"lots"))))))=0,NA(),IF(CE$2="Catégorie",IF(CE$3="Toutes",SUMIFS('Étape 1 - à remplir'!$F$31:$F$400,'Étape 1 - à remplir'!$E$31:$E$400,MASQ2!BV400,'Étape 1 - à remplir'!$G$31:$G$400,"lots"),SUMIFS('Étape 1 - à remplir'!$F$31:$F$400,'Étape 1 - à remplir'!$E$31:$E$400,MASQ2!BV400,'Étape 1 - à remplir'!$C$31:$C$400,CE$3)),IF(CE$2="Âge",IF(CE$3="Tous",SUMIFS('Étape 1 - à remplir'!$F$31:$F$400,'Étape 1 - à remplir'!$E$31:$E$400,MASQ2!BV400,'Étape 1 - à remplir'!$G$31:$G$400,"lots"),SUMIFS('Étape 1 - à remplir'!$F$31:$F$400,'Étape 1 - à remplir'!$E$31:$E$400,MASQ2!BV400,'Étape 1 - à remplir'!$P$31:$P$400,CE$3,'Étape 1 - à remplir'!$G$31:$G$400,"lots")),IF(CE$2="Atelier",IF(CE$3="Tous",SUMIFS('Étape 1 - à remplir'!$F$31:$F$400,'Étape 1 - à remplir'!$E$31:$E$400,MASQ2!BV400,'Étape 1 - à remplir'!$G$31:$G$400,"lots"),SUMIFS('Étape 1 - à remplir'!$F$31:$F$400,'Étape 1 - à remplir'!$E$31:$E$400,MASQ2!BV400,'Étape 1 - à remplir'!$O$31:$O$400,CE$3,'Étape 1 - à remplir'!$G$31:$G$400,"lots")),IF(CE$2="Espèce",IF(CE$3="Toutes",SUMIFS('Étape 1 - à remplir'!$F$31:$F$400,'Étape 1 - à remplir'!$E$31:$E$400,MASQ2!BV400,'Étape 1 - à remplir'!$G$31:$G$400,"lots"),SUMIFS('Étape 1 - à remplir'!$F$31:$F$400,'Étape 1 - à remplir'!$E$31:$E$400,MASQ2!BV400,'Étape 1 - à remplir'!$N$31:$N$400,CE$3,'Étape 1 - à remplir'!$G$31:$G$400,"lots")))))))</f>
        <v>#N/A</v>
      </c>
      <c r="BX400">
        <f t="shared" si="283"/>
        <v>0</v>
      </c>
      <c r="BY400" t="str">
        <f t="shared" si="267"/>
        <v>Néomycine</v>
      </c>
      <c r="BZ400" t="str">
        <f t="shared" si="268"/>
        <v/>
      </c>
      <c r="CA400" t="str">
        <f t="shared" si="269"/>
        <v/>
      </c>
      <c r="CB400" t="str">
        <f t="shared" si="270"/>
        <v>Aminoglycosides</v>
      </c>
      <c r="CC400" t="str">
        <f t="shared" si="271"/>
        <v/>
      </c>
      <c r="CD400" s="63" t="str">
        <f t="shared" si="272"/>
        <v/>
      </c>
      <c r="CG400" s="42">
        <v>397</v>
      </c>
      <c r="CH400" s="42" t="e">
        <f t="shared" si="263"/>
        <v>#N/A</v>
      </c>
      <c r="CI400" s="63" t="e">
        <f t="shared" si="264"/>
        <v>#N/A</v>
      </c>
      <c r="DM400" s="63"/>
      <c r="EA400" s="194" t="str">
        <f t="shared" ca="1" si="273"/>
        <v/>
      </c>
      <c r="EB400" s="226" t="str">
        <f>IFERROR(IF(ED400=0,"",COUNTIF(ED$4:ED$600,"&gt;"&amp;ED400)+COUNTIF(ED$4:ED400,ED400)),"")</f>
        <v/>
      </c>
      <c r="EC400" t="str">
        <f t="shared" si="274"/>
        <v>PREDNIDERM</v>
      </c>
      <c r="ED400" t="e">
        <f>IF(IF(EL$2="Catégorie",IF(EL$3="Toutes",SUMIFS('Étape 1 - à remplir'!$F$31:$F$400,'Étape 1 - à remplir'!$E$31:$E$400,MASQ2!EC400,'Étape 1 - à remplir'!$G$31:$G$400,"kg"),SUMIFS('Étape 1 - à remplir'!$F$31:$F$400,'Étape 1 - à remplir'!$E$31:$E$400,MASQ2!EC400,'Étape 1 - à remplir'!$C$31:$C$400,EL$3)),IF(EL$2="Âge",IF(EL$3="Tous",SUMIFS('Étape 1 - à remplir'!$F$31:$F$400,'Étape 1 - à remplir'!$E$31:$E$400,MASQ2!EC400,'Étape 1 - à remplir'!$G$31:$G$400,"kg"),SUMIFS('Étape 1 - à remplir'!$F$31:$F$400,'Étape 1 - à remplir'!$E$31:$E$400,MASQ2!EC400,'Étape 1 - à remplir'!$P$31:$P$400,EL$3,'Étape 1 - à remplir'!$G$31:$G$400,"kg")),IF(EL$2="Atelier",IF(EL$3="Tous",SUMIFS('Étape 1 - à remplir'!$F$31:$F$400,'Étape 1 - à remplir'!$E$31:$E$400,MASQ2!EC400,'Étape 1 - à remplir'!$G$31:$G$400,"kg"),SUMIFS('Étape 1 - à remplir'!$F$31:$F$400,'Étape 1 - à remplir'!$E$31:$E$400,MASQ2!EC400,'Étape 1 - à remplir'!$O$31:$O$400,EL$3,'Étape 1 - à remplir'!$G$31:$G$400,"kg")),IF(EL$2="Espèce",IF(EL$3="Toutes",SUMIFS('Étape 1 - à remplir'!$F$31:$F$400,'Étape 1 - à remplir'!$E$31:$E$400,MASQ2!EC400,'Étape 1 - à remplir'!$G$31:$G$400,"kg"),SUMIFS('Étape 1 - à remplir'!$F$31:$F$400,'Étape 1 - à remplir'!$E$31:$E$400,MASQ2!EC400,'Étape 1 - à remplir'!$N$31:$N$400,EL$3,'Étape 1 - à remplir'!$G$31:$G$400,"kg"))))))=0,NA(),IF(EL$2="Catégorie",IF(EL$3="Toutes",SUMIFS('Étape 1 - à remplir'!$F$31:$F$400,'Étape 1 - à remplir'!$E$31:$E$400,MASQ2!EC400,'Étape 1 - à remplir'!$G$31:$G$400,"kg"),SUMIFS('Étape 1 - à remplir'!$F$31:$F$400,'Étape 1 - à remplir'!$E$31:$E$400,MASQ2!EC400,'Étape 1 - à remplir'!$C$31:$C$400,EL$3)),IF(EL$2="Âge",IF(EL$3="Tous",SUMIFS('Étape 1 - à remplir'!$F$31:$F$400,'Étape 1 - à remplir'!$E$31:$E$400,MASQ2!EC400,'Étape 1 - à remplir'!$G$31:$G$400,"kg"),SUMIFS('Étape 1 - à remplir'!$F$31:$F$400,'Étape 1 - à remplir'!$E$31:$E$400,MASQ2!EC400,'Étape 1 - à remplir'!$P$31:$P$400,EL$3,'Étape 1 - à remplir'!$G$31:$G$400,"kg")),IF(EL$2="Atelier",IF(EL$3="Tous",SUMIFS('Étape 1 - à remplir'!$F$31:$F$400,'Étape 1 - à remplir'!$E$31:$E$400,MASQ2!EC400,'Étape 1 - à remplir'!$G$31:$G$400,"kg"),SUMIFS('Étape 1 - à remplir'!$F$31:$F$400,'Étape 1 - à remplir'!$E$31:$E$400,MASQ2!EC400,'Étape 1 - à remplir'!$O$31:$O$400,EL$3,'Étape 1 - à remplir'!$G$31:$G$400,"kg")),IF(EL$2="Espèce",IF(EL$3="Toutes",SUMIFS('Étape 1 - à remplir'!$F$31:$F$400,'Étape 1 - à remplir'!$E$31:$E$400,MASQ2!EC400,'Étape 1 - à remplir'!$G$31:$G$400,"kg"),SUMIFS('Étape 1 - à remplir'!$F$31:$F$400,'Étape 1 - à remplir'!$E$31:$E$400,MASQ2!EC400,'Étape 1 - à remplir'!$N$31:$N$400,EL$3,'Étape 1 - à remplir'!$G$31:$G$400,"kg")))))))</f>
        <v>#N/A</v>
      </c>
      <c r="EE400" s="76">
        <f t="shared" si="284"/>
        <v>0</v>
      </c>
      <c r="EF400" t="str">
        <f t="shared" si="275"/>
        <v>Néomycine</v>
      </c>
      <c r="EG400" t="str">
        <f t="shared" si="276"/>
        <v/>
      </c>
      <c r="EH400" t="str">
        <f t="shared" si="277"/>
        <v/>
      </c>
      <c r="EI400" t="str">
        <f t="shared" si="278"/>
        <v>Aminoglycosides</v>
      </c>
      <c r="EJ400" t="str">
        <f t="shared" si="279"/>
        <v/>
      </c>
      <c r="EK400" s="63" t="str">
        <f t="shared" si="280"/>
        <v/>
      </c>
      <c r="EN400" s="42">
        <v>397</v>
      </c>
      <c r="EO400" t="e">
        <f t="shared" si="286"/>
        <v>#N/A</v>
      </c>
      <c r="EP400" s="63" t="e">
        <f t="shared" si="287"/>
        <v>#N/A</v>
      </c>
      <c r="FT400" s="63"/>
    </row>
    <row r="401" spans="2:176" x14ac:dyDescent="0.3">
      <c r="B401" s="42"/>
      <c r="M401" s="194" t="str">
        <f ca="1">INDEX(Données_ATB!BD:BU,MATCH(MASQ2!O401,Données_ATB!BD:BD,0),18)</f>
        <v>x</v>
      </c>
      <c r="N401" s="14" t="str">
        <f>IFERROR(IF(Q401=0,"",COUNTIF(Q$4:Q$600,"&gt;"&amp;Q401)+COUNTIF(Q$4:Q401,Q401)),"")</f>
        <v/>
      </c>
      <c r="O401" t="str">
        <f>Données_ATB!BD400</f>
        <v>PREMELANGE MEDICAMENTEUX CS FRANVET</v>
      </c>
      <c r="P401" t="e">
        <f>IF(IF(X$2="Catégorie",IF(X$3="Toutes",SUMIFS('Étape 1 - à remplir'!$F$31:$F$400,'Étape 1 - à remplir'!$E$31:$E$400,MASQ2!O401,'Étape 1 - à remplir'!$G$31:$G$400,"animaux"),SUMIFS('Étape 1 - à remplir'!$F$31:$F$400,'Étape 1 - à remplir'!$E$31:$E$400,MASQ2!O401,'Étape 1 - à remplir'!$C$31:$C$400,X$3)),IF(X$2="Âge",IF(X$3="Tous",SUMIFS('Étape 1 - à remplir'!$F$31:$F$400,'Étape 1 - à remplir'!$E$31:$E$400,MASQ2!O401,'Étape 1 - à remplir'!$G$31:$G$400,"animaux"),SUMIFS('Étape 1 - à remplir'!$F$31:$F$400,'Étape 1 - à remplir'!$E$31:$E$400,MASQ2!O401,'Étape 1 - à remplir'!$P$31:$P$400,X$3)),IF(X$2="Atelier",IF(X$3="Tous",SUMIFS('Étape 1 - à remplir'!$F$31:$F$400,'Étape 1 - à remplir'!$E$31:$E$400,MASQ2!O401,'Étape 1 - à remplir'!$G$31:$G$400,"animaux"),SUMIFS('Étape 1 - à remplir'!$F$31:$F$400,'Étape 1 - à remplir'!$E$31:$E$400,MASQ2!O401,'Étape 1 - à remplir'!$O$31:$O$400,X$3)),IF(X$2="Espèce",IF(X$3="Toutes",SUMIFS('Étape 1 - à remplir'!$F$31:$F$400,'Étape 1 - à remplir'!$E$31:$E$400,MASQ2!O401,'Étape 1 - à remplir'!$G$31:$G$400,"animaux"),SUMIFS('Étape 1 - à remplir'!$F$31:$F$400,'Étape 1 - à remplir'!$E$31:$E$400,MASQ2!O401,'Étape 1 - à remplir'!$N$31:$N$400,X$3))))))=0,NA(),IF(X$2="Catégorie",IF(X$3="Toutes",SUMIFS('Étape 1 - à remplir'!$F$31:$F$400,'Étape 1 - à remplir'!$E$31:$E$400,MASQ2!O401,'Étape 1 - à remplir'!$G$31:$G$400,"animaux"),SUMIFS('Étape 1 - à remplir'!$F$31:$F$400,'Étape 1 - à remplir'!$E$31:$E$400,MASQ2!O401,'Étape 1 - à remplir'!$C$31:$C$400,X$3)),IF(X$2="Âge",IF(X$3="Tous",SUMIFS('Étape 1 - à remplir'!$F$31:$F$400,'Étape 1 - à remplir'!$E$31:$E$400,MASQ2!O401,'Étape 1 - à remplir'!$G$31:$G$400,"animaux"),SUMIFS('Étape 1 - à remplir'!$F$31:$F$400,'Étape 1 - à remplir'!$E$31:$E$400,MASQ2!O401,'Étape 1 - à remplir'!$P$31:$P$400,X$3)),IF(X$2="Atelier",IF(X$3="Tous",SUMIFS('Étape 1 - à remplir'!$F$31:$F$400,'Étape 1 - à remplir'!$E$31:$E$400,MASQ2!O401,'Étape 1 - à remplir'!$G$31:$G$400,"animaux"),SUMIFS('Étape 1 - à remplir'!$F$31:$F$400,'Étape 1 - à remplir'!$E$31:$E$400,MASQ2!O401,'Étape 1 - à remplir'!$O$31:$O$400,X$3)),IF(X$2="Espèce",IF(X$3="Toutes",SUMIFS('Étape 1 - à remplir'!$F$31:$F$400,'Étape 1 - à remplir'!$E$31:$E$400,MASQ2!O401,'Étape 1 - à remplir'!$G$31:$G$400,"animaux"),SUMIFS('Étape 1 - à remplir'!$F$31:$F$400,'Étape 1 - à remplir'!$E$31:$E$400,MASQ2!O401,'Étape 1 - à remplir'!$N$31:$N$400,X$3)))))))</f>
        <v>#N/A</v>
      </c>
      <c r="Q401" s="63">
        <f t="shared" si="285"/>
        <v>0</v>
      </c>
      <c r="R401" t="str">
        <f>Données_ATB!BM400</f>
        <v>Sulfadiméthoxine</v>
      </c>
      <c r="S401" t="str">
        <f>Données_ATB!BN400</f>
        <v>Colistine</v>
      </c>
      <c r="T401" s="63" t="str">
        <f>Données_ATB!BO400</f>
        <v/>
      </c>
      <c r="U401" s="42" t="str">
        <f>Données_ATB!BQ400</f>
        <v>Sulfamides</v>
      </c>
      <c r="V401" t="str">
        <f>Données_ATB!BR400</f>
        <v>Polypeptides</v>
      </c>
      <c r="W401" s="63" t="str">
        <f>Données_ATB!BS400</f>
        <v/>
      </c>
      <c r="Z401" s="42">
        <v>398</v>
      </c>
      <c r="AA401" t="e">
        <f t="shared" si="281"/>
        <v>#N/A</v>
      </c>
      <c r="AB401" s="63" t="e">
        <f t="shared" si="282"/>
        <v>#N/A</v>
      </c>
      <c r="BF401" s="63"/>
      <c r="BT401" s="194" t="str">
        <f t="shared" ca="1" si="265"/>
        <v>x</v>
      </c>
      <c r="BU401" s="219" t="str">
        <f>IFERROR(IF(BX401=0,"",COUNTIF(BX$4:BX$600,"&gt;"&amp;BX401)+COUNTIF(BX$4:BX401,BX401)),"")</f>
        <v/>
      </c>
      <c r="BV401" s="42" t="str">
        <f t="shared" si="266"/>
        <v>PREMELANGE MEDICAMENTEUX CS FRANVET</v>
      </c>
      <c r="BW401" t="e">
        <f>IF(IF(CE$2="Catégorie",IF(CE$3="Toutes",SUMIFS('Étape 1 - à remplir'!$F$31:$F$400,'Étape 1 - à remplir'!$E$31:$E$400,MASQ2!BV401,'Étape 1 - à remplir'!$G$31:$G$400,"lots"),SUMIFS('Étape 1 - à remplir'!$F$31:$F$400,'Étape 1 - à remplir'!$E$31:$E$400,MASQ2!BV401,'Étape 1 - à remplir'!$C$31:$C$400,CE$3)),IF(CE$2="Âge",IF(CE$3="Tous",SUMIFS('Étape 1 - à remplir'!$F$31:$F$400,'Étape 1 - à remplir'!$E$31:$E$400,MASQ2!BV401,'Étape 1 - à remplir'!$G$31:$G$400,"lots"),SUMIFS('Étape 1 - à remplir'!$F$31:$F$400,'Étape 1 - à remplir'!$E$31:$E$400,MASQ2!BV401,'Étape 1 - à remplir'!$P$31:$P$400,CE$3,'Étape 1 - à remplir'!$G$31:$G$400,"lots")),IF(CE$2="Atelier",IF(CE$3="Tous",SUMIFS('Étape 1 - à remplir'!$F$31:$F$400,'Étape 1 - à remplir'!$E$31:$E$400,MASQ2!BV401,'Étape 1 - à remplir'!$G$31:$G$400,"lots"),SUMIFS('Étape 1 - à remplir'!$F$31:$F$400,'Étape 1 - à remplir'!$E$31:$E$400,MASQ2!BV401,'Étape 1 - à remplir'!$O$31:$O$400,CE$3,'Étape 1 - à remplir'!$G$31:$G$400,"lots")),IF(CE$2="Espèce",IF(CE$3="Toutes",SUMIFS('Étape 1 - à remplir'!$F$31:$F$400,'Étape 1 - à remplir'!$E$31:$E$400,MASQ2!BV401,'Étape 1 - à remplir'!$G$31:$G$400,"lots"),SUMIFS('Étape 1 - à remplir'!$F$31:$F$400,'Étape 1 - à remplir'!$E$31:$E$400,MASQ2!BV401,'Étape 1 - à remplir'!$N$31:$N$400,CE$3,'Étape 1 - à remplir'!$G$31:$G$400,"lots"))))))=0,NA(),IF(CE$2="Catégorie",IF(CE$3="Toutes",SUMIFS('Étape 1 - à remplir'!$F$31:$F$400,'Étape 1 - à remplir'!$E$31:$E$400,MASQ2!BV401,'Étape 1 - à remplir'!$G$31:$G$400,"lots"),SUMIFS('Étape 1 - à remplir'!$F$31:$F$400,'Étape 1 - à remplir'!$E$31:$E$400,MASQ2!BV401,'Étape 1 - à remplir'!$C$31:$C$400,CE$3)),IF(CE$2="Âge",IF(CE$3="Tous",SUMIFS('Étape 1 - à remplir'!$F$31:$F$400,'Étape 1 - à remplir'!$E$31:$E$400,MASQ2!BV401,'Étape 1 - à remplir'!$G$31:$G$400,"lots"),SUMIFS('Étape 1 - à remplir'!$F$31:$F$400,'Étape 1 - à remplir'!$E$31:$E$400,MASQ2!BV401,'Étape 1 - à remplir'!$P$31:$P$400,CE$3,'Étape 1 - à remplir'!$G$31:$G$400,"lots")),IF(CE$2="Atelier",IF(CE$3="Tous",SUMIFS('Étape 1 - à remplir'!$F$31:$F$400,'Étape 1 - à remplir'!$E$31:$E$400,MASQ2!BV401,'Étape 1 - à remplir'!$G$31:$G$400,"lots"),SUMIFS('Étape 1 - à remplir'!$F$31:$F$400,'Étape 1 - à remplir'!$E$31:$E$400,MASQ2!BV401,'Étape 1 - à remplir'!$O$31:$O$400,CE$3,'Étape 1 - à remplir'!$G$31:$G$400,"lots")),IF(CE$2="Espèce",IF(CE$3="Toutes",SUMIFS('Étape 1 - à remplir'!$F$31:$F$400,'Étape 1 - à remplir'!$E$31:$E$400,MASQ2!BV401,'Étape 1 - à remplir'!$G$31:$G$400,"lots"),SUMIFS('Étape 1 - à remplir'!$F$31:$F$400,'Étape 1 - à remplir'!$E$31:$E$400,MASQ2!BV401,'Étape 1 - à remplir'!$N$31:$N$400,CE$3,'Étape 1 - à remplir'!$G$31:$G$400,"lots")))))))</f>
        <v>#N/A</v>
      </c>
      <c r="BX401">
        <f t="shared" si="283"/>
        <v>0</v>
      </c>
      <c r="BY401" t="str">
        <f t="shared" si="267"/>
        <v>Sulfadiméthoxine</v>
      </c>
      <c r="BZ401" t="str">
        <f t="shared" si="268"/>
        <v>Colistine</v>
      </c>
      <c r="CA401" t="str">
        <f t="shared" si="269"/>
        <v/>
      </c>
      <c r="CB401" t="str">
        <f t="shared" si="270"/>
        <v>Sulfamides</v>
      </c>
      <c r="CC401" t="str">
        <f t="shared" si="271"/>
        <v>Polypeptides</v>
      </c>
      <c r="CD401" s="63" t="str">
        <f t="shared" si="272"/>
        <v/>
      </c>
      <c r="CG401" s="42">
        <v>398</v>
      </c>
      <c r="CH401" s="42" t="e">
        <f t="shared" si="263"/>
        <v>#N/A</v>
      </c>
      <c r="CI401" s="63" t="e">
        <f t="shared" si="264"/>
        <v>#N/A</v>
      </c>
      <c r="DM401" s="63"/>
      <c r="EA401" s="194" t="str">
        <f t="shared" ca="1" si="273"/>
        <v>x</v>
      </c>
      <c r="EB401" s="226" t="str">
        <f>IFERROR(IF(ED401=0,"",COUNTIF(ED$4:ED$600,"&gt;"&amp;ED401)+COUNTIF(ED$4:ED401,ED401)),"")</f>
        <v/>
      </c>
      <c r="EC401" t="str">
        <f t="shared" si="274"/>
        <v>PREMELANGE MEDICAMENTEUX CS FRANVET</v>
      </c>
      <c r="ED401" t="e">
        <f>IF(IF(EL$2="Catégorie",IF(EL$3="Toutes",SUMIFS('Étape 1 - à remplir'!$F$31:$F$400,'Étape 1 - à remplir'!$E$31:$E$400,MASQ2!EC401,'Étape 1 - à remplir'!$G$31:$G$400,"kg"),SUMIFS('Étape 1 - à remplir'!$F$31:$F$400,'Étape 1 - à remplir'!$E$31:$E$400,MASQ2!EC401,'Étape 1 - à remplir'!$C$31:$C$400,EL$3)),IF(EL$2="Âge",IF(EL$3="Tous",SUMIFS('Étape 1 - à remplir'!$F$31:$F$400,'Étape 1 - à remplir'!$E$31:$E$400,MASQ2!EC401,'Étape 1 - à remplir'!$G$31:$G$400,"kg"),SUMIFS('Étape 1 - à remplir'!$F$31:$F$400,'Étape 1 - à remplir'!$E$31:$E$400,MASQ2!EC401,'Étape 1 - à remplir'!$P$31:$P$400,EL$3,'Étape 1 - à remplir'!$G$31:$G$400,"kg")),IF(EL$2="Atelier",IF(EL$3="Tous",SUMIFS('Étape 1 - à remplir'!$F$31:$F$400,'Étape 1 - à remplir'!$E$31:$E$400,MASQ2!EC401,'Étape 1 - à remplir'!$G$31:$G$400,"kg"),SUMIFS('Étape 1 - à remplir'!$F$31:$F$400,'Étape 1 - à remplir'!$E$31:$E$400,MASQ2!EC401,'Étape 1 - à remplir'!$O$31:$O$400,EL$3,'Étape 1 - à remplir'!$G$31:$G$400,"kg")),IF(EL$2="Espèce",IF(EL$3="Toutes",SUMIFS('Étape 1 - à remplir'!$F$31:$F$400,'Étape 1 - à remplir'!$E$31:$E$400,MASQ2!EC401,'Étape 1 - à remplir'!$G$31:$G$400,"kg"),SUMIFS('Étape 1 - à remplir'!$F$31:$F$400,'Étape 1 - à remplir'!$E$31:$E$400,MASQ2!EC401,'Étape 1 - à remplir'!$N$31:$N$400,EL$3,'Étape 1 - à remplir'!$G$31:$G$400,"kg"))))))=0,NA(),IF(EL$2="Catégorie",IF(EL$3="Toutes",SUMIFS('Étape 1 - à remplir'!$F$31:$F$400,'Étape 1 - à remplir'!$E$31:$E$400,MASQ2!EC401,'Étape 1 - à remplir'!$G$31:$G$400,"kg"),SUMIFS('Étape 1 - à remplir'!$F$31:$F$400,'Étape 1 - à remplir'!$E$31:$E$400,MASQ2!EC401,'Étape 1 - à remplir'!$C$31:$C$400,EL$3)),IF(EL$2="Âge",IF(EL$3="Tous",SUMIFS('Étape 1 - à remplir'!$F$31:$F$400,'Étape 1 - à remplir'!$E$31:$E$400,MASQ2!EC401,'Étape 1 - à remplir'!$G$31:$G$400,"kg"),SUMIFS('Étape 1 - à remplir'!$F$31:$F$400,'Étape 1 - à remplir'!$E$31:$E$400,MASQ2!EC401,'Étape 1 - à remplir'!$P$31:$P$400,EL$3,'Étape 1 - à remplir'!$G$31:$G$400,"kg")),IF(EL$2="Atelier",IF(EL$3="Tous",SUMIFS('Étape 1 - à remplir'!$F$31:$F$400,'Étape 1 - à remplir'!$E$31:$E$400,MASQ2!EC401,'Étape 1 - à remplir'!$G$31:$G$400,"kg"),SUMIFS('Étape 1 - à remplir'!$F$31:$F$400,'Étape 1 - à remplir'!$E$31:$E$400,MASQ2!EC401,'Étape 1 - à remplir'!$O$31:$O$400,EL$3,'Étape 1 - à remplir'!$G$31:$G$400,"kg")),IF(EL$2="Espèce",IF(EL$3="Toutes",SUMIFS('Étape 1 - à remplir'!$F$31:$F$400,'Étape 1 - à remplir'!$E$31:$E$400,MASQ2!EC401,'Étape 1 - à remplir'!$G$31:$G$400,"kg"),SUMIFS('Étape 1 - à remplir'!$F$31:$F$400,'Étape 1 - à remplir'!$E$31:$E$400,MASQ2!EC401,'Étape 1 - à remplir'!$N$31:$N$400,EL$3,'Étape 1 - à remplir'!$G$31:$G$400,"kg")))))))</f>
        <v>#N/A</v>
      </c>
      <c r="EE401" s="76">
        <f t="shared" si="284"/>
        <v>0</v>
      </c>
      <c r="EF401" t="str">
        <f t="shared" si="275"/>
        <v>Sulfadiméthoxine</v>
      </c>
      <c r="EG401" t="str">
        <f t="shared" si="276"/>
        <v>Colistine</v>
      </c>
      <c r="EH401" t="str">
        <f t="shared" si="277"/>
        <v/>
      </c>
      <c r="EI401" t="str">
        <f t="shared" si="278"/>
        <v>Sulfamides</v>
      </c>
      <c r="EJ401" t="str">
        <f t="shared" si="279"/>
        <v>Polypeptides</v>
      </c>
      <c r="EK401" s="63" t="str">
        <f t="shared" si="280"/>
        <v/>
      </c>
      <c r="EN401" s="42">
        <v>398</v>
      </c>
      <c r="EO401" t="e">
        <f t="shared" si="286"/>
        <v>#N/A</v>
      </c>
      <c r="EP401" s="63" t="e">
        <f t="shared" si="287"/>
        <v>#N/A</v>
      </c>
      <c r="FT401" s="63"/>
    </row>
    <row r="402" spans="2:176" x14ac:dyDescent="0.3">
      <c r="B402" s="42"/>
      <c r="M402" s="194" t="str">
        <f ca="1">INDEX(Données_ATB!BD:BU,MATCH(MASQ2!O402,Données_ATB!BD:BD,0),18)</f>
        <v/>
      </c>
      <c r="N402" s="14" t="str">
        <f>IFERROR(IF(Q402=0,"",COUNTIF(Q$4:Q$600,"&gt;"&amp;Q402)+COUNTIF(Q$4:Q402,Q402)),"")</f>
        <v/>
      </c>
      <c r="O402" t="str">
        <f>Données_ATB!BD401</f>
        <v>PREMELANGE MEDICAMENTEUX Z 27</v>
      </c>
      <c r="P402" t="e">
        <f>IF(IF(X$2="Catégorie",IF(X$3="Toutes",SUMIFS('Étape 1 - à remplir'!$F$31:$F$400,'Étape 1 - à remplir'!$E$31:$E$400,MASQ2!O402,'Étape 1 - à remplir'!$G$31:$G$400,"animaux"),SUMIFS('Étape 1 - à remplir'!$F$31:$F$400,'Étape 1 - à remplir'!$E$31:$E$400,MASQ2!O402,'Étape 1 - à remplir'!$C$31:$C$400,X$3)),IF(X$2="Âge",IF(X$3="Tous",SUMIFS('Étape 1 - à remplir'!$F$31:$F$400,'Étape 1 - à remplir'!$E$31:$E$400,MASQ2!O402,'Étape 1 - à remplir'!$G$31:$G$400,"animaux"),SUMIFS('Étape 1 - à remplir'!$F$31:$F$400,'Étape 1 - à remplir'!$E$31:$E$400,MASQ2!O402,'Étape 1 - à remplir'!$P$31:$P$400,X$3)),IF(X$2="Atelier",IF(X$3="Tous",SUMIFS('Étape 1 - à remplir'!$F$31:$F$400,'Étape 1 - à remplir'!$E$31:$E$400,MASQ2!O402,'Étape 1 - à remplir'!$G$31:$G$400,"animaux"),SUMIFS('Étape 1 - à remplir'!$F$31:$F$400,'Étape 1 - à remplir'!$E$31:$E$400,MASQ2!O402,'Étape 1 - à remplir'!$O$31:$O$400,X$3)),IF(X$2="Espèce",IF(X$3="Toutes",SUMIFS('Étape 1 - à remplir'!$F$31:$F$400,'Étape 1 - à remplir'!$E$31:$E$400,MASQ2!O402,'Étape 1 - à remplir'!$G$31:$G$400,"animaux"),SUMIFS('Étape 1 - à remplir'!$F$31:$F$400,'Étape 1 - à remplir'!$E$31:$E$400,MASQ2!O402,'Étape 1 - à remplir'!$N$31:$N$400,X$3))))))=0,NA(),IF(X$2="Catégorie",IF(X$3="Toutes",SUMIFS('Étape 1 - à remplir'!$F$31:$F$400,'Étape 1 - à remplir'!$E$31:$E$400,MASQ2!O402,'Étape 1 - à remplir'!$G$31:$G$400,"animaux"),SUMIFS('Étape 1 - à remplir'!$F$31:$F$400,'Étape 1 - à remplir'!$E$31:$E$400,MASQ2!O402,'Étape 1 - à remplir'!$C$31:$C$400,X$3)),IF(X$2="Âge",IF(X$3="Tous",SUMIFS('Étape 1 - à remplir'!$F$31:$F$400,'Étape 1 - à remplir'!$E$31:$E$400,MASQ2!O402,'Étape 1 - à remplir'!$G$31:$G$400,"animaux"),SUMIFS('Étape 1 - à remplir'!$F$31:$F$400,'Étape 1 - à remplir'!$E$31:$E$400,MASQ2!O402,'Étape 1 - à remplir'!$P$31:$P$400,X$3)),IF(X$2="Atelier",IF(X$3="Tous",SUMIFS('Étape 1 - à remplir'!$F$31:$F$400,'Étape 1 - à remplir'!$E$31:$E$400,MASQ2!O402,'Étape 1 - à remplir'!$G$31:$G$400,"animaux"),SUMIFS('Étape 1 - à remplir'!$F$31:$F$400,'Étape 1 - à remplir'!$E$31:$E$400,MASQ2!O402,'Étape 1 - à remplir'!$O$31:$O$400,X$3)),IF(X$2="Espèce",IF(X$3="Toutes",SUMIFS('Étape 1 - à remplir'!$F$31:$F$400,'Étape 1 - à remplir'!$E$31:$E$400,MASQ2!O402,'Étape 1 - à remplir'!$G$31:$G$400,"animaux"),SUMIFS('Étape 1 - à remplir'!$F$31:$F$400,'Étape 1 - à remplir'!$E$31:$E$400,MASQ2!O402,'Étape 1 - à remplir'!$N$31:$N$400,X$3)))))))</f>
        <v>#N/A</v>
      </c>
      <c r="Q402" s="63">
        <f t="shared" si="285"/>
        <v>0</v>
      </c>
      <c r="R402" t="str">
        <f>Données_ATB!BM401</f>
        <v>Sulfadimidine</v>
      </c>
      <c r="S402" t="str">
        <f>Données_ATB!BN401</f>
        <v>Oxytétracycline</v>
      </c>
      <c r="T402" s="63" t="str">
        <f>Données_ATB!BO401</f>
        <v/>
      </c>
      <c r="U402" s="42" t="str">
        <f>Données_ATB!BQ401</f>
        <v>Sulfamides</v>
      </c>
      <c r="V402" t="str">
        <f>Données_ATB!BR401</f>
        <v>Tetracyclines</v>
      </c>
      <c r="W402" s="63" t="str">
        <f>Données_ATB!BS401</f>
        <v/>
      </c>
      <c r="Z402" s="42">
        <v>399</v>
      </c>
      <c r="AA402" t="e">
        <f t="shared" si="281"/>
        <v>#N/A</v>
      </c>
      <c r="AB402" s="63" t="e">
        <f t="shared" si="282"/>
        <v>#N/A</v>
      </c>
      <c r="BF402" s="63"/>
      <c r="BT402" s="194" t="str">
        <f t="shared" ca="1" si="265"/>
        <v/>
      </c>
      <c r="BU402" s="219" t="str">
        <f>IFERROR(IF(BX402=0,"",COUNTIF(BX$4:BX$600,"&gt;"&amp;BX402)+COUNTIF(BX$4:BX402,BX402)),"")</f>
        <v/>
      </c>
      <c r="BV402" s="42" t="str">
        <f t="shared" si="266"/>
        <v>PREMELANGE MEDICAMENTEUX Z 27</v>
      </c>
      <c r="BW402" t="e">
        <f>IF(IF(CE$2="Catégorie",IF(CE$3="Toutes",SUMIFS('Étape 1 - à remplir'!$F$31:$F$400,'Étape 1 - à remplir'!$E$31:$E$400,MASQ2!BV402,'Étape 1 - à remplir'!$G$31:$G$400,"lots"),SUMIFS('Étape 1 - à remplir'!$F$31:$F$400,'Étape 1 - à remplir'!$E$31:$E$400,MASQ2!BV402,'Étape 1 - à remplir'!$C$31:$C$400,CE$3)),IF(CE$2="Âge",IF(CE$3="Tous",SUMIFS('Étape 1 - à remplir'!$F$31:$F$400,'Étape 1 - à remplir'!$E$31:$E$400,MASQ2!BV402,'Étape 1 - à remplir'!$G$31:$G$400,"lots"),SUMIFS('Étape 1 - à remplir'!$F$31:$F$400,'Étape 1 - à remplir'!$E$31:$E$400,MASQ2!BV402,'Étape 1 - à remplir'!$P$31:$P$400,CE$3,'Étape 1 - à remplir'!$G$31:$G$400,"lots")),IF(CE$2="Atelier",IF(CE$3="Tous",SUMIFS('Étape 1 - à remplir'!$F$31:$F$400,'Étape 1 - à remplir'!$E$31:$E$400,MASQ2!BV402,'Étape 1 - à remplir'!$G$31:$G$400,"lots"),SUMIFS('Étape 1 - à remplir'!$F$31:$F$400,'Étape 1 - à remplir'!$E$31:$E$400,MASQ2!BV402,'Étape 1 - à remplir'!$O$31:$O$400,CE$3,'Étape 1 - à remplir'!$G$31:$G$400,"lots")),IF(CE$2="Espèce",IF(CE$3="Toutes",SUMIFS('Étape 1 - à remplir'!$F$31:$F$400,'Étape 1 - à remplir'!$E$31:$E$400,MASQ2!BV402,'Étape 1 - à remplir'!$G$31:$G$400,"lots"),SUMIFS('Étape 1 - à remplir'!$F$31:$F$400,'Étape 1 - à remplir'!$E$31:$E$400,MASQ2!BV402,'Étape 1 - à remplir'!$N$31:$N$400,CE$3,'Étape 1 - à remplir'!$G$31:$G$400,"lots"))))))=0,NA(),IF(CE$2="Catégorie",IF(CE$3="Toutes",SUMIFS('Étape 1 - à remplir'!$F$31:$F$400,'Étape 1 - à remplir'!$E$31:$E$400,MASQ2!BV402,'Étape 1 - à remplir'!$G$31:$G$400,"lots"),SUMIFS('Étape 1 - à remplir'!$F$31:$F$400,'Étape 1 - à remplir'!$E$31:$E$400,MASQ2!BV402,'Étape 1 - à remplir'!$C$31:$C$400,CE$3)),IF(CE$2="Âge",IF(CE$3="Tous",SUMIFS('Étape 1 - à remplir'!$F$31:$F$400,'Étape 1 - à remplir'!$E$31:$E$400,MASQ2!BV402,'Étape 1 - à remplir'!$G$31:$G$400,"lots"),SUMIFS('Étape 1 - à remplir'!$F$31:$F$400,'Étape 1 - à remplir'!$E$31:$E$400,MASQ2!BV402,'Étape 1 - à remplir'!$P$31:$P$400,CE$3,'Étape 1 - à remplir'!$G$31:$G$400,"lots")),IF(CE$2="Atelier",IF(CE$3="Tous",SUMIFS('Étape 1 - à remplir'!$F$31:$F$400,'Étape 1 - à remplir'!$E$31:$E$400,MASQ2!BV402,'Étape 1 - à remplir'!$G$31:$G$400,"lots"),SUMIFS('Étape 1 - à remplir'!$F$31:$F$400,'Étape 1 - à remplir'!$E$31:$E$400,MASQ2!BV402,'Étape 1 - à remplir'!$O$31:$O$400,CE$3,'Étape 1 - à remplir'!$G$31:$G$400,"lots")),IF(CE$2="Espèce",IF(CE$3="Toutes",SUMIFS('Étape 1 - à remplir'!$F$31:$F$400,'Étape 1 - à remplir'!$E$31:$E$400,MASQ2!BV402,'Étape 1 - à remplir'!$G$31:$G$400,"lots"),SUMIFS('Étape 1 - à remplir'!$F$31:$F$400,'Étape 1 - à remplir'!$E$31:$E$400,MASQ2!BV402,'Étape 1 - à remplir'!$N$31:$N$400,CE$3,'Étape 1 - à remplir'!$G$31:$G$400,"lots")))))))</f>
        <v>#N/A</v>
      </c>
      <c r="BX402">
        <f t="shared" si="283"/>
        <v>0</v>
      </c>
      <c r="BY402" t="str">
        <f t="shared" si="267"/>
        <v>Sulfadimidine</v>
      </c>
      <c r="BZ402" t="str">
        <f t="shared" si="268"/>
        <v>Oxytétracycline</v>
      </c>
      <c r="CA402" t="str">
        <f t="shared" si="269"/>
        <v/>
      </c>
      <c r="CB402" t="str">
        <f t="shared" si="270"/>
        <v>Sulfamides</v>
      </c>
      <c r="CC402" t="str">
        <f t="shared" si="271"/>
        <v>Tetracyclines</v>
      </c>
      <c r="CD402" s="63" t="str">
        <f t="shared" si="272"/>
        <v/>
      </c>
      <c r="CG402" s="42">
        <v>399</v>
      </c>
      <c r="CH402" s="42" t="e">
        <f t="shared" ref="CH402:CH465" si="288">INDEX(BU$3:BX$600,MATCH(CG402,BU$3:BU$600,0),2)</f>
        <v>#N/A</v>
      </c>
      <c r="CI402" s="63" t="e">
        <f t="shared" ref="CI402:CI465" si="289">INDEX(BU$3:BX$600,MATCH(CG402,BU$3:BU$600,0),3)</f>
        <v>#N/A</v>
      </c>
      <c r="DM402" s="63"/>
      <c r="EA402" s="194" t="str">
        <f t="shared" ca="1" si="273"/>
        <v/>
      </c>
      <c r="EB402" s="226" t="str">
        <f>IFERROR(IF(ED402=0,"",COUNTIF(ED$4:ED$600,"&gt;"&amp;ED402)+COUNTIF(ED$4:ED402,ED402)),"")</f>
        <v/>
      </c>
      <c r="EC402" t="str">
        <f t="shared" si="274"/>
        <v>PREMELANGE MEDICAMENTEUX Z 27</v>
      </c>
      <c r="ED402" t="e">
        <f>IF(IF(EL$2="Catégorie",IF(EL$3="Toutes",SUMIFS('Étape 1 - à remplir'!$F$31:$F$400,'Étape 1 - à remplir'!$E$31:$E$400,MASQ2!EC402,'Étape 1 - à remplir'!$G$31:$G$400,"kg"),SUMIFS('Étape 1 - à remplir'!$F$31:$F$400,'Étape 1 - à remplir'!$E$31:$E$400,MASQ2!EC402,'Étape 1 - à remplir'!$C$31:$C$400,EL$3)),IF(EL$2="Âge",IF(EL$3="Tous",SUMIFS('Étape 1 - à remplir'!$F$31:$F$400,'Étape 1 - à remplir'!$E$31:$E$400,MASQ2!EC402,'Étape 1 - à remplir'!$G$31:$G$400,"kg"),SUMIFS('Étape 1 - à remplir'!$F$31:$F$400,'Étape 1 - à remplir'!$E$31:$E$400,MASQ2!EC402,'Étape 1 - à remplir'!$P$31:$P$400,EL$3,'Étape 1 - à remplir'!$G$31:$G$400,"kg")),IF(EL$2="Atelier",IF(EL$3="Tous",SUMIFS('Étape 1 - à remplir'!$F$31:$F$400,'Étape 1 - à remplir'!$E$31:$E$400,MASQ2!EC402,'Étape 1 - à remplir'!$G$31:$G$400,"kg"),SUMIFS('Étape 1 - à remplir'!$F$31:$F$400,'Étape 1 - à remplir'!$E$31:$E$400,MASQ2!EC402,'Étape 1 - à remplir'!$O$31:$O$400,EL$3,'Étape 1 - à remplir'!$G$31:$G$400,"kg")),IF(EL$2="Espèce",IF(EL$3="Toutes",SUMIFS('Étape 1 - à remplir'!$F$31:$F$400,'Étape 1 - à remplir'!$E$31:$E$400,MASQ2!EC402,'Étape 1 - à remplir'!$G$31:$G$400,"kg"),SUMIFS('Étape 1 - à remplir'!$F$31:$F$400,'Étape 1 - à remplir'!$E$31:$E$400,MASQ2!EC402,'Étape 1 - à remplir'!$N$31:$N$400,EL$3,'Étape 1 - à remplir'!$G$31:$G$400,"kg"))))))=0,NA(),IF(EL$2="Catégorie",IF(EL$3="Toutes",SUMIFS('Étape 1 - à remplir'!$F$31:$F$400,'Étape 1 - à remplir'!$E$31:$E$400,MASQ2!EC402,'Étape 1 - à remplir'!$G$31:$G$400,"kg"),SUMIFS('Étape 1 - à remplir'!$F$31:$F$400,'Étape 1 - à remplir'!$E$31:$E$400,MASQ2!EC402,'Étape 1 - à remplir'!$C$31:$C$400,EL$3)),IF(EL$2="Âge",IF(EL$3="Tous",SUMIFS('Étape 1 - à remplir'!$F$31:$F$400,'Étape 1 - à remplir'!$E$31:$E$400,MASQ2!EC402,'Étape 1 - à remplir'!$G$31:$G$400,"kg"),SUMIFS('Étape 1 - à remplir'!$F$31:$F$400,'Étape 1 - à remplir'!$E$31:$E$400,MASQ2!EC402,'Étape 1 - à remplir'!$P$31:$P$400,EL$3,'Étape 1 - à remplir'!$G$31:$G$400,"kg")),IF(EL$2="Atelier",IF(EL$3="Tous",SUMIFS('Étape 1 - à remplir'!$F$31:$F$400,'Étape 1 - à remplir'!$E$31:$E$400,MASQ2!EC402,'Étape 1 - à remplir'!$G$31:$G$400,"kg"),SUMIFS('Étape 1 - à remplir'!$F$31:$F$400,'Étape 1 - à remplir'!$E$31:$E$400,MASQ2!EC402,'Étape 1 - à remplir'!$O$31:$O$400,EL$3,'Étape 1 - à remplir'!$G$31:$G$400,"kg")),IF(EL$2="Espèce",IF(EL$3="Toutes",SUMIFS('Étape 1 - à remplir'!$F$31:$F$400,'Étape 1 - à remplir'!$E$31:$E$400,MASQ2!EC402,'Étape 1 - à remplir'!$G$31:$G$400,"kg"),SUMIFS('Étape 1 - à remplir'!$F$31:$F$400,'Étape 1 - à remplir'!$E$31:$E$400,MASQ2!EC402,'Étape 1 - à remplir'!$N$31:$N$400,EL$3,'Étape 1 - à remplir'!$G$31:$G$400,"kg")))))))</f>
        <v>#N/A</v>
      </c>
      <c r="EE402" s="76">
        <f t="shared" si="284"/>
        <v>0</v>
      </c>
      <c r="EF402" t="str">
        <f t="shared" si="275"/>
        <v>Sulfadimidine</v>
      </c>
      <c r="EG402" t="str">
        <f t="shared" si="276"/>
        <v>Oxytétracycline</v>
      </c>
      <c r="EH402" t="str">
        <f t="shared" si="277"/>
        <v/>
      </c>
      <c r="EI402" t="str">
        <f t="shared" si="278"/>
        <v>Sulfamides</v>
      </c>
      <c r="EJ402" t="str">
        <f t="shared" si="279"/>
        <v>Tetracyclines</v>
      </c>
      <c r="EK402" s="63" t="str">
        <f t="shared" si="280"/>
        <v/>
      </c>
      <c r="EN402" s="42">
        <v>399</v>
      </c>
      <c r="EO402" t="e">
        <f t="shared" si="286"/>
        <v>#N/A</v>
      </c>
      <c r="EP402" s="63" t="e">
        <f t="shared" si="287"/>
        <v>#N/A</v>
      </c>
      <c r="FT402" s="63"/>
    </row>
    <row r="403" spans="2:176" x14ac:dyDescent="0.3">
      <c r="B403" s="42"/>
      <c r="M403" s="194" t="str">
        <f ca="1">INDEX(Données_ATB!BD:BU,MATCH(MASQ2!O403,Données_ATB!BD:BD,0),18)</f>
        <v/>
      </c>
      <c r="N403" s="14" t="str">
        <f>IFERROR(IF(Q403=0,"",COUNTIF(Q$4:Q$600,"&gt;"&amp;Q403)+COUNTIF(Q$4:Q403,Q403)),"")</f>
        <v/>
      </c>
      <c r="O403" t="str">
        <f>Données_ATB!BD402</f>
        <v>PREMELANGE MEDICAMENTEUX Z 29</v>
      </c>
      <c r="P403" t="e">
        <f>IF(IF(X$2="Catégorie",IF(X$3="Toutes",SUMIFS('Étape 1 - à remplir'!$F$31:$F$400,'Étape 1 - à remplir'!$E$31:$E$400,MASQ2!O403,'Étape 1 - à remplir'!$G$31:$G$400,"animaux"),SUMIFS('Étape 1 - à remplir'!$F$31:$F$400,'Étape 1 - à remplir'!$E$31:$E$400,MASQ2!O403,'Étape 1 - à remplir'!$C$31:$C$400,X$3)),IF(X$2="Âge",IF(X$3="Tous",SUMIFS('Étape 1 - à remplir'!$F$31:$F$400,'Étape 1 - à remplir'!$E$31:$E$400,MASQ2!O403,'Étape 1 - à remplir'!$G$31:$G$400,"animaux"),SUMIFS('Étape 1 - à remplir'!$F$31:$F$400,'Étape 1 - à remplir'!$E$31:$E$400,MASQ2!O403,'Étape 1 - à remplir'!$P$31:$P$400,X$3)),IF(X$2="Atelier",IF(X$3="Tous",SUMIFS('Étape 1 - à remplir'!$F$31:$F$400,'Étape 1 - à remplir'!$E$31:$E$400,MASQ2!O403,'Étape 1 - à remplir'!$G$31:$G$400,"animaux"),SUMIFS('Étape 1 - à remplir'!$F$31:$F$400,'Étape 1 - à remplir'!$E$31:$E$400,MASQ2!O403,'Étape 1 - à remplir'!$O$31:$O$400,X$3)),IF(X$2="Espèce",IF(X$3="Toutes",SUMIFS('Étape 1 - à remplir'!$F$31:$F$400,'Étape 1 - à remplir'!$E$31:$E$400,MASQ2!O403,'Étape 1 - à remplir'!$G$31:$G$400,"animaux"),SUMIFS('Étape 1 - à remplir'!$F$31:$F$400,'Étape 1 - à remplir'!$E$31:$E$400,MASQ2!O403,'Étape 1 - à remplir'!$N$31:$N$400,X$3))))))=0,NA(),IF(X$2="Catégorie",IF(X$3="Toutes",SUMIFS('Étape 1 - à remplir'!$F$31:$F$400,'Étape 1 - à remplir'!$E$31:$E$400,MASQ2!O403,'Étape 1 - à remplir'!$G$31:$G$400,"animaux"),SUMIFS('Étape 1 - à remplir'!$F$31:$F$400,'Étape 1 - à remplir'!$E$31:$E$400,MASQ2!O403,'Étape 1 - à remplir'!$C$31:$C$400,X$3)),IF(X$2="Âge",IF(X$3="Tous",SUMIFS('Étape 1 - à remplir'!$F$31:$F$400,'Étape 1 - à remplir'!$E$31:$E$400,MASQ2!O403,'Étape 1 - à remplir'!$G$31:$G$400,"animaux"),SUMIFS('Étape 1 - à remplir'!$F$31:$F$400,'Étape 1 - à remplir'!$E$31:$E$400,MASQ2!O403,'Étape 1 - à remplir'!$P$31:$P$400,X$3)),IF(X$2="Atelier",IF(X$3="Tous",SUMIFS('Étape 1 - à remplir'!$F$31:$F$400,'Étape 1 - à remplir'!$E$31:$E$400,MASQ2!O403,'Étape 1 - à remplir'!$G$31:$G$400,"animaux"),SUMIFS('Étape 1 - à remplir'!$F$31:$F$400,'Étape 1 - à remplir'!$E$31:$E$400,MASQ2!O403,'Étape 1 - à remplir'!$O$31:$O$400,X$3)),IF(X$2="Espèce",IF(X$3="Toutes",SUMIFS('Étape 1 - à remplir'!$F$31:$F$400,'Étape 1 - à remplir'!$E$31:$E$400,MASQ2!O403,'Étape 1 - à remplir'!$G$31:$G$400,"animaux"),SUMIFS('Étape 1 - à remplir'!$F$31:$F$400,'Étape 1 - à remplir'!$E$31:$E$400,MASQ2!O403,'Étape 1 - à remplir'!$N$31:$N$400,X$3)))))))</f>
        <v>#N/A</v>
      </c>
      <c r="Q403" s="63">
        <f t="shared" si="285"/>
        <v>0</v>
      </c>
      <c r="R403" t="str">
        <f>Données_ATB!BM402</f>
        <v>Sulfadiméthoxine</v>
      </c>
      <c r="S403" t="str">
        <f>Données_ATB!BN402</f>
        <v>Oxytétracycline</v>
      </c>
      <c r="T403" s="63" t="str">
        <f>Données_ATB!BO402</f>
        <v/>
      </c>
      <c r="U403" s="42" t="str">
        <f>Données_ATB!BQ402</f>
        <v>Sulfamides</v>
      </c>
      <c r="V403" t="str">
        <f>Données_ATB!BR402</f>
        <v>Tetracyclines</v>
      </c>
      <c r="W403" s="63" t="str">
        <f>Données_ATB!BS402</f>
        <v/>
      </c>
      <c r="Z403" s="42">
        <v>400</v>
      </c>
      <c r="AA403" t="e">
        <f t="shared" si="281"/>
        <v>#N/A</v>
      </c>
      <c r="AB403" s="63" t="e">
        <f t="shared" si="282"/>
        <v>#N/A</v>
      </c>
      <c r="BF403" s="63"/>
      <c r="BT403" s="194" t="str">
        <f t="shared" ca="1" si="265"/>
        <v/>
      </c>
      <c r="BU403" s="219" t="str">
        <f>IFERROR(IF(BX403=0,"",COUNTIF(BX$4:BX$600,"&gt;"&amp;BX403)+COUNTIF(BX$4:BX403,BX403)),"")</f>
        <v/>
      </c>
      <c r="BV403" s="42" t="str">
        <f t="shared" si="266"/>
        <v>PREMELANGE MEDICAMENTEUX Z 29</v>
      </c>
      <c r="BW403" t="e">
        <f>IF(IF(CE$2="Catégorie",IF(CE$3="Toutes",SUMIFS('Étape 1 - à remplir'!$F$31:$F$400,'Étape 1 - à remplir'!$E$31:$E$400,MASQ2!BV403,'Étape 1 - à remplir'!$G$31:$G$400,"lots"),SUMIFS('Étape 1 - à remplir'!$F$31:$F$400,'Étape 1 - à remplir'!$E$31:$E$400,MASQ2!BV403,'Étape 1 - à remplir'!$C$31:$C$400,CE$3)),IF(CE$2="Âge",IF(CE$3="Tous",SUMIFS('Étape 1 - à remplir'!$F$31:$F$400,'Étape 1 - à remplir'!$E$31:$E$400,MASQ2!BV403,'Étape 1 - à remplir'!$G$31:$G$400,"lots"),SUMIFS('Étape 1 - à remplir'!$F$31:$F$400,'Étape 1 - à remplir'!$E$31:$E$400,MASQ2!BV403,'Étape 1 - à remplir'!$P$31:$P$400,CE$3,'Étape 1 - à remplir'!$G$31:$G$400,"lots")),IF(CE$2="Atelier",IF(CE$3="Tous",SUMIFS('Étape 1 - à remplir'!$F$31:$F$400,'Étape 1 - à remplir'!$E$31:$E$400,MASQ2!BV403,'Étape 1 - à remplir'!$G$31:$G$400,"lots"),SUMIFS('Étape 1 - à remplir'!$F$31:$F$400,'Étape 1 - à remplir'!$E$31:$E$400,MASQ2!BV403,'Étape 1 - à remplir'!$O$31:$O$400,CE$3,'Étape 1 - à remplir'!$G$31:$G$400,"lots")),IF(CE$2="Espèce",IF(CE$3="Toutes",SUMIFS('Étape 1 - à remplir'!$F$31:$F$400,'Étape 1 - à remplir'!$E$31:$E$400,MASQ2!BV403,'Étape 1 - à remplir'!$G$31:$G$400,"lots"),SUMIFS('Étape 1 - à remplir'!$F$31:$F$400,'Étape 1 - à remplir'!$E$31:$E$400,MASQ2!BV403,'Étape 1 - à remplir'!$N$31:$N$400,CE$3,'Étape 1 - à remplir'!$G$31:$G$400,"lots"))))))=0,NA(),IF(CE$2="Catégorie",IF(CE$3="Toutes",SUMIFS('Étape 1 - à remplir'!$F$31:$F$400,'Étape 1 - à remplir'!$E$31:$E$400,MASQ2!BV403,'Étape 1 - à remplir'!$G$31:$G$400,"lots"),SUMIFS('Étape 1 - à remplir'!$F$31:$F$400,'Étape 1 - à remplir'!$E$31:$E$400,MASQ2!BV403,'Étape 1 - à remplir'!$C$31:$C$400,CE$3)),IF(CE$2="Âge",IF(CE$3="Tous",SUMIFS('Étape 1 - à remplir'!$F$31:$F$400,'Étape 1 - à remplir'!$E$31:$E$400,MASQ2!BV403,'Étape 1 - à remplir'!$G$31:$G$400,"lots"),SUMIFS('Étape 1 - à remplir'!$F$31:$F$400,'Étape 1 - à remplir'!$E$31:$E$400,MASQ2!BV403,'Étape 1 - à remplir'!$P$31:$P$400,CE$3,'Étape 1 - à remplir'!$G$31:$G$400,"lots")),IF(CE$2="Atelier",IF(CE$3="Tous",SUMIFS('Étape 1 - à remplir'!$F$31:$F$400,'Étape 1 - à remplir'!$E$31:$E$400,MASQ2!BV403,'Étape 1 - à remplir'!$G$31:$G$400,"lots"),SUMIFS('Étape 1 - à remplir'!$F$31:$F$400,'Étape 1 - à remplir'!$E$31:$E$400,MASQ2!BV403,'Étape 1 - à remplir'!$O$31:$O$400,CE$3,'Étape 1 - à remplir'!$G$31:$G$400,"lots")),IF(CE$2="Espèce",IF(CE$3="Toutes",SUMIFS('Étape 1 - à remplir'!$F$31:$F$400,'Étape 1 - à remplir'!$E$31:$E$400,MASQ2!BV403,'Étape 1 - à remplir'!$G$31:$G$400,"lots"),SUMIFS('Étape 1 - à remplir'!$F$31:$F$400,'Étape 1 - à remplir'!$E$31:$E$400,MASQ2!BV403,'Étape 1 - à remplir'!$N$31:$N$400,CE$3,'Étape 1 - à remplir'!$G$31:$G$400,"lots")))))))</f>
        <v>#N/A</v>
      </c>
      <c r="BX403">
        <f t="shared" si="283"/>
        <v>0</v>
      </c>
      <c r="BY403" t="str">
        <f t="shared" si="267"/>
        <v>Sulfadiméthoxine</v>
      </c>
      <c r="BZ403" t="str">
        <f t="shared" si="268"/>
        <v>Oxytétracycline</v>
      </c>
      <c r="CA403" t="str">
        <f t="shared" si="269"/>
        <v/>
      </c>
      <c r="CB403" t="str">
        <f t="shared" si="270"/>
        <v>Sulfamides</v>
      </c>
      <c r="CC403" t="str">
        <f t="shared" si="271"/>
        <v>Tetracyclines</v>
      </c>
      <c r="CD403" s="63" t="str">
        <f t="shared" si="272"/>
        <v/>
      </c>
      <c r="CG403" s="42">
        <v>400</v>
      </c>
      <c r="CH403" s="42" t="e">
        <f t="shared" si="288"/>
        <v>#N/A</v>
      </c>
      <c r="CI403" s="63" t="e">
        <f t="shared" si="289"/>
        <v>#N/A</v>
      </c>
      <c r="DM403" s="63"/>
      <c r="EA403" s="194" t="str">
        <f t="shared" ca="1" si="273"/>
        <v/>
      </c>
      <c r="EB403" s="226" t="str">
        <f>IFERROR(IF(ED403=0,"",COUNTIF(ED$4:ED$600,"&gt;"&amp;ED403)+COUNTIF(ED$4:ED403,ED403)),"")</f>
        <v/>
      </c>
      <c r="EC403" t="str">
        <f t="shared" si="274"/>
        <v>PREMELANGE MEDICAMENTEUX Z 29</v>
      </c>
      <c r="ED403" t="e">
        <f>IF(IF(EL$2="Catégorie",IF(EL$3="Toutes",SUMIFS('Étape 1 - à remplir'!$F$31:$F$400,'Étape 1 - à remplir'!$E$31:$E$400,MASQ2!EC403,'Étape 1 - à remplir'!$G$31:$G$400,"kg"),SUMIFS('Étape 1 - à remplir'!$F$31:$F$400,'Étape 1 - à remplir'!$E$31:$E$400,MASQ2!EC403,'Étape 1 - à remplir'!$C$31:$C$400,EL$3)),IF(EL$2="Âge",IF(EL$3="Tous",SUMIFS('Étape 1 - à remplir'!$F$31:$F$400,'Étape 1 - à remplir'!$E$31:$E$400,MASQ2!EC403,'Étape 1 - à remplir'!$G$31:$G$400,"kg"),SUMIFS('Étape 1 - à remplir'!$F$31:$F$400,'Étape 1 - à remplir'!$E$31:$E$400,MASQ2!EC403,'Étape 1 - à remplir'!$P$31:$P$400,EL$3,'Étape 1 - à remplir'!$G$31:$G$400,"kg")),IF(EL$2="Atelier",IF(EL$3="Tous",SUMIFS('Étape 1 - à remplir'!$F$31:$F$400,'Étape 1 - à remplir'!$E$31:$E$400,MASQ2!EC403,'Étape 1 - à remplir'!$G$31:$G$400,"kg"),SUMIFS('Étape 1 - à remplir'!$F$31:$F$400,'Étape 1 - à remplir'!$E$31:$E$400,MASQ2!EC403,'Étape 1 - à remplir'!$O$31:$O$400,EL$3,'Étape 1 - à remplir'!$G$31:$G$400,"kg")),IF(EL$2="Espèce",IF(EL$3="Toutes",SUMIFS('Étape 1 - à remplir'!$F$31:$F$400,'Étape 1 - à remplir'!$E$31:$E$400,MASQ2!EC403,'Étape 1 - à remplir'!$G$31:$G$400,"kg"),SUMIFS('Étape 1 - à remplir'!$F$31:$F$400,'Étape 1 - à remplir'!$E$31:$E$400,MASQ2!EC403,'Étape 1 - à remplir'!$N$31:$N$400,EL$3,'Étape 1 - à remplir'!$G$31:$G$400,"kg"))))))=0,NA(),IF(EL$2="Catégorie",IF(EL$3="Toutes",SUMIFS('Étape 1 - à remplir'!$F$31:$F$400,'Étape 1 - à remplir'!$E$31:$E$400,MASQ2!EC403,'Étape 1 - à remplir'!$G$31:$G$400,"kg"),SUMIFS('Étape 1 - à remplir'!$F$31:$F$400,'Étape 1 - à remplir'!$E$31:$E$400,MASQ2!EC403,'Étape 1 - à remplir'!$C$31:$C$400,EL$3)),IF(EL$2="Âge",IF(EL$3="Tous",SUMIFS('Étape 1 - à remplir'!$F$31:$F$400,'Étape 1 - à remplir'!$E$31:$E$400,MASQ2!EC403,'Étape 1 - à remplir'!$G$31:$G$400,"kg"),SUMIFS('Étape 1 - à remplir'!$F$31:$F$400,'Étape 1 - à remplir'!$E$31:$E$400,MASQ2!EC403,'Étape 1 - à remplir'!$P$31:$P$400,EL$3,'Étape 1 - à remplir'!$G$31:$G$400,"kg")),IF(EL$2="Atelier",IF(EL$3="Tous",SUMIFS('Étape 1 - à remplir'!$F$31:$F$400,'Étape 1 - à remplir'!$E$31:$E$400,MASQ2!EC403,'Étape 1 - à remplir'!$G$31:$G$400,"kg"),SUMIFS('Étape 1 - à remplir'!$F$31:$F$400,'Étape 1 - à remplir'!$E$31:$E$400,MASQ2!EC403,'Étape 1 - à remplir'!$O$31:$O$400,EL$3,'Étape 1 - à remplir'!$G$31:$G$400,"kg")),IF(EL$2="Espèce",IF(EL$3="Toutes",SUMIFS('Étape 1 - à remplir'!$F$31:$F$400,'Étape 1 - à remplir'!$E$31:$E$400,MASQ2!EC403,'Étape 1 - à remplir'!$G$31:$G$400,"kg"),SUMIFS('Étape 1 - à remplir'!$F$31:$F$400,'Étape 1 - à remplir'!$E$31:$E$400,MASQ2!EC403,'Étape 1 - à remplir'!$N$31:$N$400,EL$3,'Étape 1 - à remplir'!$G$31:$G$400,"kg")))))))</f>
        <v>#N/A</v>
      </c>
      <c r="EE403" s="76">
        <f t="shared" si="284"/>
        <v>0</v>
      </c>
      <c r="EF403" t="str">
        <f t="shared" si="275"/>
        <v>Sulfadiméthoxine</v>
      </c>
      <c r="EG403" t="str">
        <f t="shared" si="276"/>
        <v>Oxytétracycline</v>
      </c>
      <c r="EH403" t="str">
        <f t="shared" si="277"/>
        <v/>
      </c>
      <c r="EI403" t="str">
        <f t="shared" si="278"/>
        <v>Sulfamides</v>
      </c>
      <c r="EJ403" t="str">
        <f t="shared" si="279"/>
        <v>Tetracyclines</v>
      </c>
      <c r="EK403" s="63" t="str">
        <f t="shared" si="280"/>
        <v/>
      </c>
      <c r="EN403" s="42">
        <v>400</v>
      </c>
      <c r="EO403" t="e">
        <f t="shared" si="286"/>
        <v>#N/A</v>
      </c>
      <c r="EP403" s="63" t="e">
        <f t="shared" si="287"/>
        <v>#N/A</v>
      </c>
      <c r="FT403" s="63"/>
    </row>
    <row r="404" spans="2:176" x14ac:dyDescent="0.3">
      <c r="B404" s="42"/>
      <c r="M404" s="194" t="str">
        <f ca="1">INDEX(Données_ATB!BD:BU,MATCH(MASQ2!O404,Données_ATB!BD:BD,0),18)</f>
        <v/>
      </c>
      <c r="N404" s="14" t="str">
        <f>IFERROR(IF(Q404=0,"",COUNTIF(Q$4:Q$600,"&gt;"&amp;Q404)+COUNTIF(Q$4:Q404,Q404)),"")</f>
        <v/>
      </c>
      <c r="O404" t="str">
        <f>Données_ATB!BD403</f>
        <v>PREMELANGE MEDICAMENTEUX Z 30</v>
      </c>
      <c r="P404" t="e">
        <f>IF(IF(X$2="Catégorie",IF(X$3="Toutes",SUMIFS('Étape 1 - à remplir'!$F$31:$F$400,'Étape 1 - à remplir'!$E$31:$E$400,MASQ2!O404,'Étape 1 - à remplir'!$G$31:$G$400,"animaux"),SUMIFS('Étape 1 - à remplir'!$F$31:$F$400,'Étape 1 - à remplir'!$E$31:$E$400,MASQ2!O404,'Étape 1 - à remplir'!$C$31:$C$400,X$3)),IF(X$2="Âge",IF(X$3="Tous",SUMIFS('Étape 1 - à remplir'!$F$31:$F$400,'Étape 1 - à remplir'!$E$31:$E$400,MASQ2!O404,'Étape 1 - à remplir'!$G$31:$G$400,"animaux"),SUMIFS('Étape 1 - à remplir'!$F$31:$F$400,'Étape 1 - à remplir'!$E$31:$E$400,MASQ2!O404,'Étape 1 - à remplir'!$P$31:$P$400,X$3)),IF(X$2="Atelier",IF(X$3="Tous",SUMIFS('Étape 1 - à remplir'!$F$31:$F$400,'Étape 1 - à remplir'!$E$31:$E$400,MASQ2!O404,'Étape 1 - à remplir'!$G$31:$G$400,"animaux"),SUMIFS('Étape 1 - à remplir'!$F$31:$F$400,'Étape 1 - à remplir'!$E$31:$E$400,MASQ2!O404,'Étape 1 - à remplir'!$O$31:$O$400,X$3)),IF(X$2="Espèce",IF(X$3="Toutes",SUMIFS('Étape 1 - à remplir'!$F$31:$F$400,'Étape 1 - à remplir'!$E$31:$E$400,MASQ2!O404,'Étape 1 - à remplir'!$G$31:$G$400,"animaux"),SUMIFS('Étape 1 - à remplir'!$F$31:$F$400,'Étape 1 - à remplir'!$E$31:$E$400,MASQ2!O404,'Étape 1 - à remplir'!$N$31:$N$400,X$3))))))=0,NA(),IF(X$2="Catégorie",IF(X$3="Toutes",SUMIFS('Étape 1 - à remplir'!$F$31:$F$400,'Étape 1 - à remplir'!$E$31:$E$400,MASQ2!O404,'Étape 1 - à remplir'!$G$31:$G$400,"animaux"),SUMIFS('Étape 1 - à remplir'!$F$31:$F$400,'Étape 1 - à remplir'!$E$31:$E$400,MASQ2!O404,'Étape 1 - à remplir'!$C$31:$C$400,X$3)),IF(X$2="Âge",IF(X$3="Tous",SUMIFS('Étape 1 - à remplir'!$F$31:$F$400,'Étape 1 - à remplir'!$E$31:$E$400,MASQ2!O404,'Étape 1 - à remplir'!$G$31:$G$400,"animaux"),SUMIFS('Étape 1 - à remplir'!$F$31:$F$400,'Étape 1 - à remplir'!$E$31:$E$400,MASQ2!O404,'Étape 1 - à remplir'!$P$31:$P$400,X$3)),IF(X$2="Atelier",IF(X$3="Tous",SUMIFS('Étape 1 - à remplir'!$F$31:$F$400,'Étape 1 - à remplir'!$E$31:$E$400,MASQ2!O404,'Étape 1 - à remplir'!$G$31:$G$400,"animaux"),SUMIFS('Étape 1 - à remplir'!$F$31:$F$400,'Étape 1 - à remplir'!$E$31:$E$400,MASQ2!O404,'Étape 1 - à remplir'!$O$31:$O$400,X$3)),IF(X$2="Espèce",IF(X$3="Toutes",SUMIFS('Étape 1 - à remplir'!$F$31:$F$400,'Étape 1 - à remplir'!$E$31:$E$400,MASQ2!O404,'Étape 1 - à remplir'!$G$31:$G$400,"animaux"),SUMIFS('Étape 1 - à remplir'!$F$31:$F$400,'Étape 1 - à remplir'!$E$31:$E$400,MASQ2!O404,'Étape 1 - à remplir'!$N$31:$N$400,X$3)))))))</f>
        <v>#N/A</v>
      </c>
      <c r="Q404" s="63">
        <f t="shared" si="285"/>
        <v>0</v>
      </c>
      <c r="R404" t="str">
        <f>Données_ATB!BM403</f>
        <v>Sulfadiazine</v>
      </c>
      <c r="S404" t="str">
        <f>Données_ATB!BN403</f>
        <v>Triméthoprime</v>
      </c>
      <c r="T404" s="63" t="str">
        <f>Données_ATB!BO403</f>
        <v/>
      </c>
      <c r="U404" s="42" t="str">
        <f>Données_ATB!BQ403</f>
        <v>Sulfamides</v>
      </c>
      <c r="V404" t="str">
        <f>Données_ATB!BR403</f>
        <v>Trimethoprime</v>
      </c>
      <c r="W404" s="63" t="str">
        <f>Données_ATB!BS403</f>
        <v/>
      </c>
      <c r="Z404" s="42">
        <v>401</v>
      </c>
      <c r="AA404" t="e">
        <f t="shared" si="281"/>
        <v>#N/A</v>
      </c>
      <c r="AB404" s="63" t="e">
        <f t="shared" si="282"/>
        <v>#N/A</v>
      </c>
      <c r="BF404" s="63"/>
      <c r="BT404" s="194" t="str">
        <f t="shared" ca="1" si="265"/>
        <v/>
      </c>
      <c r="BU404" s="219" t="str">
        <f>IFERROR(IF(BX404=0,"",COUNTIF(BX$4:BX$600,"&gt;"&amp;BX404)+COUNTIF(BX$4:BX404,BX404)),"")</f>
        <v/>
      </c>
      <c r="BV404" s="42" t="str">
        <f t="shared" si="266"/>
        <v>PREMELANGE MEDICAMENTEUX Z 30</v>
      </c>
      <c r="BW404" t="e">
        <f>IF(IF(CE$2="Catégorie",IF(CE$3="Toutes",SUMIFS('Étape 1 - à remplir'!$F$31:$F$400,'Étape 1 - à remplir'!$E$31:$E$400,MASQ2!BV404,'Étape 1 - à remplir'!$G$31:$G$400,"lots"),SUMIFS('Étape 1 - à remplir'!$F$31:$F$400,'Étape 1 - à remplir'!$E$31:$E$400,MASQ2!BV404,'Étape 1 - à remplir'!$C$31:$C$400,CE$3)),IF(CE$2="Âge",IF(CE$3="Tous",SUMIFS('Étape 1 - à remplir'!$F$31:$F$400,'Étape 1 - à remplir'!$E$31:$E$400,MASQ2!BV404,'Étape 1 - à remplir'!$G$31:$G$400,"lots"),SUMIFS('Étape 1 - à remplir'!$F$31:$F$400,'Étape 1 - à remplir'!$E$31:$E$400,MASQ2!BV404,'Étape 1 - à remplir'!$P$31:$P$400,CE$3,'Étape 1 - à remplir'!$G$31:$G$400,"lots")),IF(CE$2="Atelier",IF(CE$3="Tous",SUMIFS('Étape 1 - à remplir'!$F$31:$F$400,'Étape 1 - à remplir'!$E$31:$E$400,MASQ2!BV404,'Étape 1 - à remplir'!$G$31:$G$400,"lots"),SUMIFS('Étape 1 - à remplir'!$F$31:$F$400,'Étape 1 - à remplir'!$E$31:$E$400,MASQ2!BV404,'Étape 1 - à remplir'!$O$31:$O$400,CE$3,'Étape 1 - à remplir'!$G$31:$G$400,"lots")),IF(CE$2="Espèce",IF(CE$3="Toutes",SUMIFS('Étape 1 - à remplir'!$F$31:$F$400,'Étape 1 - à remplir'!$E$31:$E$400,MASQ2!BV404,'Étape 1 - à remplir'!$G$31:$G$400,"lots"),SUMIFS('Étape 1 - à remplir'!$F$31:$F$400,'Étape 1 - à remplir'!$E$31:$E$400,MASQ2!BV404,'Étape 1 - à remplir'!$N$31:$N$400,CE$3,'Étape 1 - à remplir'!$G$31:$G$400,"lots"))))))=0,NA(),IF(CE$2="Catégorie",IF(CE$3="Toutes",SUMIFS('Étape 1 - à remplir'!$F$31:$F$400,'Étape 1 - à remplir'!$E$31:$E$400,MASQ2!BV404,'Étape 1 - à remplir'!$G$31:$G$400,"lots"),SUMIFS('Étape 1 - à remplir'!$F$31:$F$400,'Étape 1 - à remplir'!$E$31:$E$400,MASQ2!BV404,'Étape 1 - à remplir'!$C$31:$C$400,CE$3)),IF(CE$2="Âge",IF(CE$3="Tous",SUMIFS('Étape 1 - à remplir'!$F$31:$F$400,'Étape 1 - à remplir'!$E$31:$E$400,MASQ2!BV404,'Étape 1 - à remplir'!$G$31:$G$400,"lots"),SUMIFS('Étape 1 - à remplir'!$F$31:$F$400,'Étape 1 - à remplir'!$E$31:$E$400,MASQ2!BV404,'Étape 1 - à remplir'!$P$31:$P$400,CE$3,'Étape 1 - à remplir'!$G$31:$G$400,"lots")),IF(CE$2="Atelier",IF(CE$3="Tous",SUMIFS('Étape 1 - à remplir'!$F$31:$F$400,'Étape 1 - à remplir'!$E$31:$E$400,MASQ2!BV404,'Étape 1 - à remplir'!$G$31:$G$400,"lots"),SUMIFS('Étape 1 - à remplir'!$F$31:$F$400,'Étape 1 - à remplir'!$E$31:$E$400,MASQ2!BV404,'Étape 1 - à remplir'!$O$31:$O$400,CE$3,'Étape 1 - à remplir'!$G$31:$G$400,"lots")),IF(CE$2="Espèce",IF(CE$3="Toutes",SUMIFS('Étape 1 - à remplir'!$F$31:$F$400,'Étape 1 - à remplir'!$E$31:$E$400,MASQ2!BV404,'Étape 1 - à remplir'!$G$31:$G$400,"lots"),SUMIFS('Étape 1 - à remplir'!$F$31:$F$400,'Étape 1 - à remplir'!$E$31:$E$400,MASQ2!BV404,'Étape 1 - à remplir'!$N$31:$N$400,CE$3,'Étape 1 - à remplir'!$G$31:$G$400,"lots")))))))</f>
        <v>#N/A</v>
      </c>
      <c r="BX404">
        <f t="shared" si="283"/>
        <v>0</v>
      </c>
      <c r="BY404" t="str">
        <f t="shared" si="267"/>
        <v>Sulfadiazine</v>
      </c>
      <c r="BZ404" t="str">
        <f t="shared" si="268"/>
        <v>Triméthoprime</v>
      </c>
      <c r="CA404" t="str">
        <f t="shared" si="269"/>
        <v/>
      </c>
      <c r="CB404" t="str">
        <f t="shared" si="270"/>
        <v>Sulfamides</v>
      </c>
      <c r="CC404" t="str">
        <f t="shared" si="271"/>
        <v>Trimethoprime</v>
      </c>
      <c r="CD404" s="63" t="str">
        <f t="shared" si="272"/>
        <v/>
      </c>
      <c r="CG404" s="42">
        <v>401</v>
      </c>
      <c r="CH404" s="42" t="e">
        <f t="shared" si="288"/>
        <v>#N/A</v>
      </c>
      <c r="CI404" s="63" t="e">
        <f t="shared" si="289"/>
        <v>#N/A</v>
      </c>
      <c r="DM404" s="63"/>
      <c r="EA404" s="194" t="str">
        <f t="shared" ca="1" si="273"/>
        <v/>
      </c>
      <c r="EB404" s="226" t="str">
        <f>IFERROR(IF(ED404=0,"",COUNTIF(ED$4:ED$600,"&gt;"&amp;ED404)+COUNTIF(ED$4:ED404,ED404)),"")</f>
        <v/>
      </c>
      <c r="EC404" t="str">
        <f t="shared" si="274"/>
        <v>PREMELANGE MEDICAMENTEUX Z 30</v>
      </c>
      <c r="ED404" t="e">
        <f>IF(IF(EL$2="Catégorie",IF(EL$3="Toutes",SUMIFS('Étape 1 - à remplir'!$F$31:$F$400,'Étape 1 - à remplir'!$E$31:$E$400,MASQ2!EC404,'Étape 1 - à remplir'!$G$31:$G$400,"kg"),SUMIFS('Étape 1 - à remplir'!$F$31:$F$400,'Étape 1 - à remplir'!$E$31:$E$400,MASQ2!EC404,'Étape 1 - à remplir'!$C$31:$C$400,EL$3)),IF(EL$2="Âge",IF(EL$3="Tous",SUMIFS('Étape 1 - à remplir'!$F$31:$F$400,'Étape 1 - à remplir'!$E$31:$E$400,MASQ2!EC404,'Étape 1 - à remplir'!$G$31:$G$400,"kg"),SUMIFS('Étape 1 - à remplir'!$F$31:$F$400,'Étape 1 - à remplir'!$E$31:$E$400,MASQ2!EC404,'Étape 1 - à remplir'!$P$31:$P$400,EL$3,'Étape 1 - à remplir'!$G$31:$G$400,"kg")),IF(EL$2="Atelier",IF(EL$3="Tous",SUMIFS('Étape 1 - à remplir'!$F$31:$F$400,'Étape 1 - à remplir'!$E$31:$E$400,MASQ2!EC404,'Étape 1 - à remplir'!$G$31:$G$400,"kg"),SUMIFS('Étape 1 - à remplir'!$F$31:$F$400,'Étape 1 - à remplir'!$E$31:$E$400,MASQ2!EC404,'Étape 1 - à remplir'!$O$31:$O$400,EL$3,'Étape 1 - à remplir'!$G$31:$G$400,"kg")),IF(EL$2="Espèce",IF(EL$3="Toutes",SUMIFS('Étape 1 - à remplir'!$F$31:$F$400,'Étape 1 - à remplir'!$E$31:$E$400,MASQ2!EC404,'Étape 1 - à remplir'!$G$31:$G$400,"kg"),SUMIFS('Étape 1 - à remplir'!$F$31:$F$400,'Étape 1 - à remplir'!$E$31:$E$400,MASQ2!EC404,'Étape 1 - à remplir'!$N$31:$N$400,EL$3,'Étape 1 - à remplir'!$G$31:$G$400,"kg"))))))=0,NA(),IF(EL$2="Catégorie",IF(EL$3="Toutes",SUMIFS('Étape 1 - à remplir'!$F$31:$F$400,'Étape 1 - à remplir'!$E$31:$E$400,MASQ2!EC404,'Étape 1 - à remplir'!$G$31:$G$400,"kg"),SUMIFS('Étape 1 - à remplir'!$F$31:$F$400,'Étape 1 - à remplir'!$E$31:$E$400,MASQ2!EC404,'Étape 1 - à remplir'!$C$31:$C$400,EL$3)),IF(EL$2="Âge",IF(EL$3="Tous",SUMIFS('Étape 1 - à remplir'!$F$31:$F$400,'Étape 1 - à remplir'!$E$31:$E$400,MASQ2!EC404,'Étape 1 - à remplir'!$G$31:$G$400,"kg"),SUMIFS('Étape 1 - à remplir'!$F$31:$F$400,'Étape 1 - à remplir'!$E$31:$E$400,MASQ2!EC404,'Étape 1 - à remplir'!$P$31:$P$400,EL$3,'Étape 1 - à remplir'!$G$31:$G$400,"kg")),IF(EL$2="Atelier",IF(EL$3="Tous",SUMIFS('Étape 1 - à remplir'!$F$31:$F$400,'Étape 1 - à remplir'!$E$31:$E$400,MASQ2!EC404,'Étape 1 - à remplir'!$G$31:$G$400,"kg"),SUMIFS('Étape 1 - à remplir'!$F$31:$F$400,'Étape 1 - à remplir'!$E$31:$E$400,MASQ2!EC404,'Étape 1 - à remplir'!$O$31:$O$400,EL$3,'Étape 1 - à remplir'!$G$31:$G$400,"kg")),IF(EL$2="Espèce",IF(EL$3="Toutes",SUMIFS('Étape 1 - à remplir'!$F$31:$F$400,'Étape 1 - à remplir'!$E$31:$E$400,MASQ2!EC404,'Étape 1 - à remplir'!$G$31:$G$400,"kg"),SUMIFS('Étape 1 - à remplir'!$F$31:$F$400,'Étape 1 - à remplir'!$E$31:$E$400,MASQ2!EC404,'Étape 1 - à remplir'!$N$31:$N$400,EL$3,'Étape 1 - à remplir'!$G$31:$G$400,"kg")))))))</f>
        <v>#N/A</v>
      </c>
      <c r="EE404" s="76">
        <f t="shared" si="284"/>
        <v>0</v>
      </c>
      <c r="EF404" t="str">
        <f t="shared" si="275"/>
        <v>Sulfadiazine</v>
      </c>
      <c r="EG404" t="str">
        <f t="shared" si="276"/>
        <v>Triméthoprime</v>
      </c>
      <c r="EH404" t="str">
        <f t="shared" si="277"/>
        <v/>
      </c>
      <c r="EI404" t="str">
        <f t="shared" si="278"/>
        <v>Sulfamides</v>
      </c>
      <c r="EJ404" t="str">
        <f t="shared" si="279"/>
        <v>Trimethoprime</v>
      </c>
      <c r="EK404" s="63" t="str">
        <f t="shared" si="280"/>
        <v/>
      </c>
      <c r="EN404" s="42">
        <v>401</v>
      </c>
      <c r="EO404" t="e">
        <f t="shared" si="286"/>
        <v>#N/A</v>
      </c>
      <c r="EP404" s="63" t="e">
        <f t="shared" si="287"/>
        <v>#N/A</v>
      </c>
      <c r="FT404" s="63"/>
    </row>
    <row r="405" spans="2:176" x14ac:dyDescent="0.3">
      <c r="B405" s="42"/>
      <c r="M405" s="194" t="str">
        <f ca="1">INDEX(Données_ATB!BD:BU,MATCH(MASQ2!O405,Données_ATB!BD:BD,0),18)</f>
        <v/>
      </c>
      <c r="N405" s="14" t="str">
        <f>IFERROR(IF(Q405=0,"",COUNTIF(Q$4:Q$600,"&gt;"&amp;Q405)+COUNTIF(Q$4:Q405,Q405)),"")</f>
        <v/>
      </c>
      <c r="O405" t="str">
        <f>Données_ATB!BD404</f>
        <v>PRIMOX</v>
      </c>
      <c r="P405" t="e">
        <f>IF(IF(X$2="Catégorie",IF(X$3="Toutes",SUMIFS('Étape 1 - à remplir'!$F$31:$F$400,'Étape 1 - à remplir'!$E$31:$E$400,MASQ2!O405,'Étape 1 - à remplir'!$G$31:$G$400,"animaux"),SUMIFS('Étape 1 - à remplir'!$F$31:$F$400,'Étape 1 - à remplir'!$E$31:$E$400,MASQ2!O405,'Étape 1 - à remplir'!$C$31:$C$400,X$3)),IF(X$2="Âge",IF(X$3="Tous",SUMIFS('Étape 1 - à remplir'!$F$31:$F$400,'Étape 1 - à remplir'!$E$31:$E$400,MASQ2!O405,'Étape 1 - à remplir'!$G$31:$G$400,"animaux"),SUMIFS('Étape 1 - à remplir'!$F$31:$F$400,'Étape 1 - à remplir'!$E$31:$E$400,MASQ2!O405,'Étape 1 - à remplir'!$P$31:$P$400,X$3)),IF(X$2="Atelier",IF(X$3="Tous",SUMIFS('Étape 1 - à remplir'!$F$31:$F$400,'Étape 1 - à remplir'!$E$31:$E$400,MASQ2!O405,'Étape 1 - à remplir'!$G$31:$G$400,"animaux"),SUMIFS('Étape 1 - à remplir'!$F$31:$F$400,'Étape 1 - à remplir'!$E$31:$E$400,MASQ2!O405,'Étape 1 - à remplir'!$O$31:$O$400,X$3)),IF(X$2="Espèce",IF(X$3="Toutes",SUMIFS('Étape 1 - à remplir'!$F$31:$F$400,'Étape 1 - à remplir'!$E$31:$E$400,MASQ2!O405,'Étape 1 - à remplir'!$G$31:$G$400,"animaux"),SUMIFS('Étape 1 - à remplir'!$F$31:$F$400,'Étape 1 - à remplir'!$E$31:$E$400,MASQ2!O405,'Étape 1 - à remplir'!$N$31:$N$400,X$3))))))=0,NA(),IF(X$2="Catégorie",IF(X$3="Toutes",SUMIFS('Étape 1 - à remplir'!$F$31:$F$400,'Étape 1 - à remplir'!$E$31:$E$400,MASQ2!O405,'Étape 1 - à remplir'!$G$31:$G$400,"animaux"),SUMIFS('Étape 1 - à remplir'!$F$31:$F$400,'Étape 1 - à remplir'!$E$31:$E$400,MASQ2!O405,'Étape 1 - à remplir'!$C$31:$C$400,X$3)),IF(X$2="Âge",IF(X$3="Tous",SUMIFS('Étape 1 - à remplir'!$F$31:$F$400,'Étape 1 - à remplir'!$E$31:$E$400,MASQ2!O405,'Étape 1 - à remplir'!$G$31:$G$400,"animaux"),SUMIFS('Étape 1 - à remplir'!$F$31:$F$400,'Étape 1 - à remplir'!$E$31:$E$400,MASQ2!O405,'Étape 1 - à remplir'!$P$31:$P$400,X$3)),IF(X$2="Atelier",IF(X$3="Tous",SUMIFS('Étape 1 - à remplir'!$F$31:$F$400,'Étape 1 - à remplir'!$E$31:$E$400,MASQ2!O405,'Étape 1 - à remplir'!$G$31:$G$400,"animaux"),SUMIFS('Étape 1 - à remplir'!$F$31:$F$400,'Étape 1 - à remplir'!$E$31:$E$400,MASQ2!O405,'Étape 1 - à remplir'!$O$31:$O$400,X$3)),IF(X$2="Espèce",IF(X$3="Toutes",SUMIFS('Étape 1 - à remplir'!$F$31:$F$400,'Étape 1 - à remplir'!$E$31:$E$400,MASQ2!O405,'Étape 1 - à remplir'!$G$31:$G$400,"animaux"),SUMIFS('Étape 1 - à remplir'!$F$31:$F$400,'Étape 1 - à remplir'!$E$31:$E$400,MASQ2!O405,'Étape 1 - à remplir'!$N$31:$N$400,X$3)))))))</f>
        <v>#N/A</v>
      </c>
      <c r="Q405" s="63">
        <f t="shared" si="285"/>
        <v>0</v>
      </c>
      <c r="R405" t="str">
        <f>Données_ATB!BM404</f>
        <v>Oxytétracycline</v>
      </c>
      <c r="S405" t="str">
        <f>Données_ATB!BN404</f>
        <v/>
      </c>
      <c r="T405" s="63" t="str">
        <f>Données_ATB!BO404</f>
        <v/>
      </c>
      <c r="U405" s="42" t="str">
        <f>Données_ATB!BQ404</f>
        <v>Tetracyclines</v>
      </c>
      <c r="V405" t="str">
        <f>Données_ATB!BR404</f>
        <v/>
      </c>
      <c r="W405" s="63" t="str">
        <f>Données_ATB!BS404</f>
        <v/>
      </c>
      <c r="Z405" s="42">
        <v>402</v>
      </c>
      <c r="AA405" t="e">
        <f t="shared" si="281"/>
        <v>#N/A</v>
      </c>
      <c r="AB405" s="63" t="e">
        <f t="shared" si="282"/>
        <v>#N/A</v>
      </c>
      <c r="BF405" s="63"/>
      <c r="BT405" s="194" t="str">
        <f t="shared" ca="1" si="265"/>
        <v/>
      </c>
      <c r="BU405" s="219" t="str">
        <f>IFERROR(IF(BX405=0,"",COUNTIF(BX$4:BX$600,"&gt;"&amp;BX405)+COUNTIF(BX$4:BX405,BX405)),"")</f>
        <v/>
      </c>
      <c r="BV405" s="42" t="str">
        <f t="shared" si="266"/>
        <v>PRIMOX</v>
      </c>
      <c r="BW405" t="e">
        <f>IF(IF(CE$2="Catégorie",IF(CE$3="Toutes",SUMIFS('Étape 1 - à remplir'!$F$31:$F$400,'Étape 1 - à remplir'!$E$31:$E$400,MASQ2!BV405,'Étape 1 - à remplir'!$G$31:$G$400,"lots"),SUMIFS('Étape 1 - à remplir'!$F$31:$F$400,'Étape 1 - à remplir'!$E$31:$E$400,MASQ2!BV405,'Étape 1 - à remplir'!$C$31:$C$400,CE$3)),IF(CE$2="Âge",IF(CE$3="Tous",SUMIFS('Étape 1 - à remplir'!$F$31:$F$400,'Étape 1 - à remplir'!$E$31:$E$400,MASQ2!BV405,'Étape 1 - à remplir'!$G$31:$G$400,"lots"),SUMIFS('Étape 1 - à remplir'!$F$31:$F$400,'Étape 1 - à remplir'!$E$31:$E$400,MASQ2!BV405,'Étape 1 - à remplir'!$P$31:$P$400,CE$3,'Étape 1 - à remplir'!$G$31:$G$400,"lots")),IF(CE$2="Atelier",IF(CE$3="Tous",SUMIFS('Étape 1 - à remplir'!$F$31:$F$400,'Étape 1 - à remplir'!$E$31:$E$400,MASQ2!BV405,'Étape 1 - à remplir'!$G$31:$G$400,"lots"),SUMIFS('Étape 1 - à remplir'!$F$31:$F$400,'Étape 1 - à remplir'!$E$31:$E$400,MASQ2!BV405,'Étape 1 - à remplir'!$O$31:$O$400,CE$3,'Étape 1 - à remplir'!$G$31:$G$400,"lots")),IF(CE$2="Espèce",IF(CE$3="Toutes",SUMIFS('Étape 1 - à remplir'!$F$31:$F$400,'Étape 1 - à remplir'!$E$31:$E$400,MASQ2!BV405,'Étape 1 - à remplir'!$G$31:$G$400,"lots"),SUMIFS('Étape 1 - à remplir'!$F$31:$F$400,'Étape 1 - à remplir'!$E$31:$E$400,MASQ2!BV405,'Étape 1 - à remplir'!$N$31:$N$400,CE$3,'Étape 1 - à remplir'!$G$31:$G$400,"lots"))))))=0,NA(),IF(CE$2="Catégorie",IF(CE$3="Toutes",SUMIFS('Étape 1 - à remplir'!$F$31:$F$400,'Étape 1 - à remplir'!$E$31:$E$400,MASQ2!BV405,'Étape 1 - à remplir'!$G$31:$G$400,"lots"),SUMIFS('Étape 1 - à remplir'!$F$31:$F$400,'Étape 1 - à remplir'!$E$31:$E$400,MASQ2!BV405,'Étape 1 - à remplir'!$C$31:$C$400,CE$3)),IF(CE$2="Âge",IF(CE$3="Tous",SUMIFS('Étape 1 - à remplir'!$F$31:$F$400,'Étape 1 - à remplir'!$E$31:$E$400,MASQ2!BV405,'Étape 1 - à remplir'!$G$31:$G$400,"lots"),SUMIFS('Étape 1 - à remplir'!$F$31:$F$400,'Étape 1 - à remplir'!$E$31:$E$400,MASQ2!BV405,'Étape 1 - à remplir'!$P$31:$P$400,CE$3,'Étape 1 - à remplir'!$G$31:$G$400,"lots")),IF(CE$2="Atelier",IF(CE$3="Tous",SUMIFS('Étape 1 - à remplir'!$F$31:$F$400,'Étape 1 - à remplir'!$E$31:$E$400,MASQ2!BV405,'Étape 1 - à remplir'!$G$31:$G$400,"lots"),SUMIFS('Étape 1 - à remplir'!$F$31:$F$400,'Étape 1 - à remplir'!$E$31:$E$400,MASQ2!BV405,'Étape 1 - à remplir'!$O$31:$O$400,CE$3,'Étape 1 - à remplir'!$G$31:$G$400,"lots")),IF(CE$2="Espèce",IF(CE$3="Toutes",SUMIFS('Étape 1 - à remplir'!$F$31:$F$400,'Étape 1 - à remplir'!$E$31:$E$400,MASQ2!BV405,'Étape 1 - à remplir'!$G$31:$G$400,"lots"),SUMIFS('Étape 1 - à remplir'!$F$31:$F$400,'Étape 1 - à remplir'!$E$31:$E$400,MASQ2!BV405,'Étape 1 - à remplir'!$N$31:$N$400,CE$3,'Étape 1 - à remplir'!$G$31:$G$400,"lots")))))))</f>
        <v>#N/A</v>
      </c>
      <c r="BX405">
        <f t="shared" si="283"/>
        <v>0</v>
      </c>
      <c r="BY405" t="str">
        <f t="shared" si="267"/>
        <v>Oxytétracycline</v>
      </c>
      <c r="BZ405" t="str">
        <f t="shared" si="268"/>
        <v/>
      </c>
      <c r="CA405" t="str">
        <f t="shared" si="269"/>
        <v/>
      </c>
      <c r="CB405" t="str">
        <f t="shared" si="270"/>
        <v>Tetracyclines</v>
      </c>
      <c r="CC405" t="str">
        <f t="shared" si="271"/>
        <v/>
      </c>
      <c r="CD405" s="63" t="str">
        <f t="shared" si="272"/>
        <v/>
      </c>
      <c r="CG405" s="42">
        <v>402</v>
      </c>
      <c r="CH405" s="42" t="e">
        <f t="shared" si="288"/>
        <v>#N/A</v>
      </c>
      <c r="CI405" s="63" t="e">
        <f t="shared" si="289"/>
        <v>#N/A</v>
      </c>
      <c r="DM405" s="63"/>
      <c r="EA405" s="194" t="str">
        <f t="shared" ca="1" si="273"/>
        <v/>
      </c>
      <c r="EB405" s="226" t="str">
        <f>IFERROR(IF(ED405=0,"",COUNTIF(ED$4:ED$600,"&gt;"&amp;ED405)+COUNTIF(ED$4:ED405,ED405)),"")</f>
        <v/>
      </c>
      <c r="EC405" t="str">
        <f t="shared" si="274"/>
        <v>PRIMOX</v>
      </c>
      <c r="ED405" t="e">
        <f>IF(IF(EL$2="Catégorie",IF(EL$3="Toutes",SUMIFS('Étape 1 - à remplir'!$F$31:$F$400,'Étape 1 - à remplir'!$E$31:$E$400,MASQ2!EC405,'Étape 1 - à remplir'!$G$31:$G$400,"kg"),SUMIFS('Étape 1 - à remplir'!$F$31:$F$400,'Étape 1 - à remplir'!$E$31:$E$400,MASQ2!EC405,'Étape 1 - à remplir'!$C$31:$C$400,EL$3)),IF(EL$2="Âge",IF(EL$3="Tous",SUMIFS('Étape 1 - à remplir'!$F$31:$F$400,'Étape 1 - à remplir'!$E$31:$E$400,MASQ2!EC405,'Étape 1 - à remplir'!$G$31:$G$400,"kg"),SUMIFS('Étape 1 - à remplir'!$F$31:$F$400,'Étape 1 - à remplir'!$E$31:$E$400,MASQ2!EC405,'Étape 1 - à remplir'!$P$31:$P$400,EL$3,'Étape 1 - à remplir'!$G$31:$G$400,"kg")),IF(EL$2="Atelier",IF(EL$3="Tous",SUMIFS('Étape 1 - à remplir'!$F$31:$F$400,'Étape 1 - à remplir'!$E$31:$E$400,MASQ2!EC405,'Étape 1 - à remplir'!$G$31:$G$400,"kg"),SUMIFS('Étape 1 - à remplir'!$F$31:$F$400,'Étape 1 - à remplir'!$E$31:$E$400,MASQ2!EC405,'Étape 1 - à remplir'!$O$31:$O$400,EL$3,'Étape 1 - à remplir'!$G$31:$G$400,"kg")),IF(EL$2="Espèce",IF(EL$3="Toutes",SUMIFS('Étape 1 - à remplir'!$F$31:$F$400,'Étape 1 - à remplir'!$E$31:$E$400,MASQ2!EC405,'Étape 1 - à remplir'!$G$31:$G$400,"kg"),SUMIFS('Étape 1 - à remplir'!$F$31:$F$400,'Étape 1 - à remplir'!$E$31:$E$400,MASQ2!EC405,'Étape 1 - à remplir'!$N$31:$N$400,EL$3,'Étape 1 - à remplir'!$G$31:$G$400,"kg"))))))=0,NA(),IF(EL$2="Catégorie",IF(EL$3="Toutes",SUMIFS('Étape 1 - à remplir'!$F$31:$F$400,'Étape 1 - à remplir'!$E$31:$E$400,MASQ2!EC405,'Étape 1 - à remplir'!$G$31:$G$400,"kg"),SUMIFS('Étape 1 - à remplir'!$F$31:$F$400,'Étape 1 - à remplir'!$E$31:$E$400,MASQ2!EC405,'Étape 1 - à remplir'!$C$31:$C$400,EL$3)),IF(EL$2="Âge",IF(EL$3="Tous",SUMIFS('Étape 1 - à remplir'!$F$31:$F$400,'Étape 1 - à remplir'!$E$31:$E$400,MASQ2!EC405,'Étape 1 - à remplir'!$G$31:$G$400,"kg"),SUMIFS('Étape 1 - à remplir'!$F$31:$F$400,'Étape 1 - à remplir'!$E$31:$E$400,MASQ2!EC405,'Étape 1 - à remplir'!$P$31:$P$400,EL$3,'Étape 1 - à remplir'!$G$31:$G$400,"kg")),IF(EL$2="Atelier",IF(EL$3="Tous",SUMIFS('Étape 1 - à remplir'!$F$31:$F$400,'Étape 1 - à remplir'!$E$31:$E$400,MASQ2!EC405,'Étape 1 - à remplir'!$G$31:$G$400,"kg"),SUMIFS('Étape 1 - à remplir'!$F$31:$F$400,'Étape 1 - à remplir'!$E$31:$E$400,MASQ2!EC405,'Étape 1 - à remplir'!$O$31:$O$400,EL$3,'Étape 1 - à remplir'!$G$31:$G$400,"kg")),IF(EL$2="Espèce",IF(EL$3="Toutes",SUMIFS('Étape 1 - à remplir'!$F$31:$F$400,'Étape 1 - à remplir'!$E$31:$E$400,MASQ2!EC405,'Étape 1 - à remplir'!$G$31:$G$400,"kg"),SUMIFS('Étape 1 - à remplir'!$F$31:$F$400,'Étape 1 - à remplir'!$E$31:$E$400,MASQ2!EC405,'Étape 1 - à remplir'!$N$31:$N$400,EL$3,'Étape 1 - à remplir'!$G$31:$G$400,"kg")))))))</f>
        <v>#N/A</v>
      </c>
      <c r="EE405" s="76">
        <f t="shared" si="284"/>
        <v>0</v>
      </c>
      <c r="EF405" t="str">
        <f t="shared" si="275"/>
        <v>Oxytétracycline</v>
      </c>
      <c r="EG405" t="str">
        <f t="shared" si="276"/>
        <v/>
      </c>
      <c r="EH405" t="str">
        <f t="shared" si="277"/>
        <v/>
      </c>
      <c r="EI405" t="str">
        <f t="shared" si="278"/>
        <v>Tetracyclines</v>
      </c>
      <c r="EJ405" t="str">
        <f t="shared" si="279"/>
        <v/>
      </c>
      <c r="EK405" s="63" t="str">
        <f t="shared" si="280"/>
        <v/>
      </c>
      <c r="EN405" s="42">
        <v>402</v>
      </c>
      <c r="EO405" t="e">
        <f t="shared" si="286"/>
        <v>#N/A</v>
      </c>
      <c r="EP405" s="63" t="e">
        <f t="shared" si="287"/>
        <v>#N/A</v>
      </c>
      <c r="FT405" s="63"/>
    </row>
    <row r="406" spans="2:176" x14ac:dyDescent="0.3">
      <c r="B406" s="42"/>
      <c r="M406" s="194" t="str">
        <f ca="1">INDEX(Données_ATB!BD:BU,MATCH(MASQ2!O406,Données_ATB!BD:BD,0),18)</f>
        <v/>
      </c>
      <c r="N406" s="14" t="str">
        <f>IFERROR(IF(Q406=0,"",COUNTIF(Q$4:Q$600,"&gt;"&amp;Q406)+COUNTIF(Q$4:Q406,Q406)),"")</f>
        <v/>
      </c>
      <c r="O406" t="str">
        <f>Données_ATB!BD405</f>
        <v>PROCACTIVE SUSPENSION INJECTABLE POUR BOVINS ET PORCINS</v>
      </c>
      <c r="P406" t="e">
        <f>IF(IF(X$2="Catégorie",IF(X$3="Toutes",SUMIFS('Étape 1 - à remplir'!$F$31:$F$400,'Étape 1 - à remplir'!$E$31:$E$400,MASQ2!O406,'Étape 1 - à remplir'!$G$31:$G$400,"animaux"),SUMIFS('Étape 1 - à remplir'!$F$31:$F$400,'Étape 1 - à remplir'!$E$31:$E$400,MASQ2!O406,'Étape 1 - à remplir'!$C$31:$C$400,X$3)),IF(X$2="Âge",IF(X$3="Tous",SUMIFS('Étape 1 - à remplir'!$F$31:$F$400,'Étape 1 - à remplir'!$E$31:$E$400,MASQ2!O406,'Étape 1 - à remplir'!$G$31:$G$400,"animaux"),SUMIFS('Étape 1 - à remplir'!$F$31:$F$400,'Étape 1 - à remplir'!$E$31:$E$400,MASQ2!O406,'Étape 1 - à remplir'!$P$31:$P$400,X$3)),IF(X$2="Atelier",IF(X$3="Tous",SUMIFS('Étape 1 - à remplir'!$F$31:$F$400,'Étape 1 - à remplir'!$E$31:$E$400,MASQ2!O406,'Étape 1 - à remplir'!$G$31:$G$400,"animaux"),SUMIFS('Étape 1 - à remplir'!$F$31:$F$400,'Étape 1 - à remplir'!$E$31:$E$400,MASQ2!O406,'Étape 1 - à remplir'!$O$31:$O$400,X$3)),IF(X$2="Espèce",IF(X$3="Toutes",SUMIFS('Étape 1 - à remplir'!$F$31:$F$400,'Étape 1 - à remplir'!$E$31:$E$400,MASQ2!O406,'Étape 1 - à remplir'!$G$31:$G$400,"animaux"),SUMIFS('Étape 1 - à remplir'!$F$31:$F$400,'Étape 1 - à remplir'!$E$31:$E$400,MASQ2!O406,'Étape 1 - à remplir'!$N$31:$N$400,X$3))))))=0,NA(),IF(X$2="Catégorie",IF(X$3="Toutes",SUMIFS('Étape 1 - à remplir'!$F$31:$F$400,'Étape 1 - à remplir'!$E$31:$E$400,MASQ2!O406,'Étape 1 - à remplir'!$G$31:$G$400,"animaux"),SUMIFS('Étape 1 - à remplir'!$F$31:$F$400,'Étape 1 - à remplir'!$E$31:$E$400,MASQ2!O406,'Étape 1 - à remplir'!$C$31:$C$400,X$3)),IF(X$2="Âge",IF(X$3="Tous",SUMIFS('Étape 1 - à remplir'!$F$31:$F$400,'Étape 1 - à remplir'!$E$31:$E$400,MASQ2!O406,'Étape 1 - à remplir'!$G$31:$G$400,"animaux"),SUMIFS('Étape 1 - à remplir'!$F$31:$F$400,'Étape 1 - à remplir'!$E$31:$E$400,MASQ2!O406,'Étape 1 - à remplir'!$P$31:$P$400,X$3)),IF(X$2="Atelier",IF(X$3="Tous",SUMIFS('Étape 1 - à remplir'!$F$31:$F$400,'Étape 1 - à remplir'!$E$31:$E$400,MASQ2!O406,'Étape 1 - à remplir'!$G$31:$G$400,"animaux"),SUMIFS('Étape 1 - à remplir'!$F$31:$F$400,'Étape 1 - à remplir'!$E$31:$E$400,MASQ2!O406,'Étape 1 - à remplir'!$O$31:$O$400,X$3)),IF(X$2="Espèce",IF(X$3="Toutes",SUMIFS('Étape 1 - à remplir'!$F$31:$F$400,'Étape 1 - à remplir'!$E$31:$E$400,MASQ2!O406,'Étape 1 - à remplir'!$G$31:$G$400,"animaux"),SUMIFS('Étape 1 - à remplir'!$F$31:$F$400,'Étape 1 - à remplir'!$E$31:$E$400,MASQ2!O406,'Étape 1 - à remplir'!$N$31:$N$400,X$3)))))))</f>
        <v>#N/A</v>
      </c>
      <c r="Q406" s="63">
        <f t="shared" si="285"/>
        <v>0</v>
      </c>
      <c r="R406" t="str">
        <f>Données_ATB!BM405</f>
        <v>Benzylpénicilline</v>
      </c>
      <c r="S406" t="str">
        <f>Données_ATB!BN405</f>
        <v/>
      </c>
      <c r="T406" s="63" t="str">
        <f>Données_ATB!BO405</f>
        <v/>
      </c>
      <c r="U406" s="42" t="str">
        <f>Données_ATB!BQ405</f>
        <v>Penicillines</v>
      </c>
      <c r="V406" t="str">
        <f>Données_ATB!BR405</f>
        <v/>
      </c>
      <c r="W406" s="63" t="str">
        <f>Données_ATB!BS405</f>
        <v/>
      </c>
      <c r="Z406" s="42">
        <v>403</v>
      </c>
      <c r="AA406" t="e">
        <f t="shared" si="281"/>
        <v>#N/A</v>
      </c>
      <c r="AB406" s="63" t="e">
        <f t="shared" si="282"/>
        <v>#N/A</v>
      </c>
      <c r="BF406" s="63"/>
      <c r="BT406" s="194" t="str">
        <f t="shared" ca="1" si="265"/>
        <v/>
      </c>
      <c r="BU406" s="219" t="str">
        <f>IFERROR(IF(BX406=0,"",COUNTIF(BX$4:BX$600,"&gt;"&amp;BX406)+COUNTIF(BX$4:BX406,BX406)),"")</f>
        <v/>
      </c>
      <c r="BV406" s="42" t="str">
        <f t="shared" si="266"/>
        <v>PROCACTIVE SUSPENSION INJECTABLE POUR BOVINS ET PORCINS</v>
      </c>
      <c r="BW406" t="e">
        <f>IF(IF(CE$2="Catégorie",IF(CE$3="Toutes",SUMIFS('Étape 1 - à remplir'!$F$31:$F$400,'Étape 1 - à remplir'!$E$31:$E$400,MASQ2!BV406,'Étape 1 - à remplir'!$G$31:$G$400,"lots"),SUMIFS('Étape 1 - à remplir'!$F$31:$F$400,'Étape 1 - à remplir'!$E$31:$E$400,MASQ2!BV406,'Étape 1 - à remplir'!$C$31:$C$400,CE$3)),IF(CE$2="Âge",IF(CE$3="Tous",SUMIFS('Étape 1 - à remplir'!$F$31:$F$400,'Étape 1 - à remplir'!$E$31:$E$400,MASQ2!BV406,'Étape 1 - à remplir'!$G$31:$G$400,"lots"),SUMIFS('Étape 1 - à remplir'!$F$31:$F$400,'Étape 1 - à remplir'!$E$31:$E$400,MASQ2!BV406,'Étape 1 - à remplir'!$P$31:$P$400,CE$3,'Étape 1 - à remplir'!$G$31:$G$400,"lots")),IF(CE$2="Atelier",IF(CE$3="Tous",SUMIFS('Étape 1 - à remplir'!$F$31:$F$400,'Étape 1 - à remplir'!$E$31:$E$400,MASQ2!BV406,'Étape 1 - à remplir'!$G$31:$G$400,"lots"),SUMIFS('Étape 1 - à remplir'!$F$31:$F$400,'Étape 1 - à remplir'!$E$31:$E$400,MASQ2!BV406,'Étape 1 - à remplir'!$O$31:$O$400,CE$3,'Étape 1 - à remplir'!$G$31:$G$400,"lots")),IF(CE$2="Espèce",IF(CE$3="Toutes",SUMIFS('Étape 1 - à remplir'!$F$31:$F$400,'Étape 1 - à remplir'!$E$31:$E$400,MASQ2!BV406,'Étape 1 - à remplir'!$G$31:$G$400,"lots"),SUMIFS('Étape 1 - à remplir'!$F$31:$F$400,'Étape 1 - à remplir'!$E$31:$E$400,MASQ2!BV406,'Étape 1 - à remplir'!$N$31:$N$400,CE$3,'Étape 1 - à remplir'!$G$31:$G$400,"lots"))))))=0,NA(),IF(CE$2="Catégorie",IF(CE$3="Toutes",SUMIFS('Étape 1 - à remplir'!$F$31:$F$400,'Étape 1 - à remplir'!$E$31:$E$400,MASQ2!BV406,'Étape 1 - à remplir'!$G$31:$G$400,"lots"),SUMIFS('Étape 1 - à remplir'!$F$31:$F$400,'Étape 1 - à remplir'!$E$31:$E$400,MASQ2!BV406,'Étape 1 - à remplir'!$C$31:$C$400,CE$3)),IF(CE$2="Âge",IF(CE$3="Tous",SUMIFS('Étape 1 - à remplir'!$F$31:$F$400,'Étape 1 - à remplir'!$E$31:$E$400,MASQ2!BV406,'Étape 1 - à remplir'!$G$31:$G$400,"lots"),SUMIFS('Étape 1 - à remplir'!$F$31:$F$400,'Étape 1 - à remplir'!$E$31:$E$400,MASQ2!BV406,'Étape 1 - à remplir'!$P$31:$P$400,CE$3,'Étape 1 - à remplir'!$G$31:$G$400,"lots")),IF(CE$2="Atelier",IF(CE$3="Tous",SUMIFS('Étape 1 - à remplir'!$F$31:$F$400,'Étape 1 - à remplir'!$E$31:$E$400,MASQ2!BV406,'Étape 1 - à remplir'!$G$31:$G$400,"lots"),SUMIFS('Étape 1 - à remplir'!$F$31:$F$400,'Étape 1 - à remplir'!$E$31:$E$400,MASQ2!BV406,'Étape 1 - à remplir'!$O$31:$O$400,CE$3,'Étape 1 - à remplir'!$G$31:$G$400,"lots")),IF(CE$2="Espèce",IF(CE$3="Toutes",SUMIFS('Étape 1 - à remplir'!$F$31:$F$400,'Étape 1 - à remplir'!$E$31:$E$400,MASQ2!BV406,'Étape 1 - à remplir'!$G$31:$G$400,"lots"),SUMIFS('Étape 1 - à remplir'!$F$31:$F$400,'Étape 1 - à remplir'!$E$31:$E$400,MASQ2!BV406,'Étape 1 - à remplir'!$N$31:$N$400,CE$3,'Étape 1 - à remplir'!$G$31:$G$400,"lots")))))))</f>
        <v>#N/A</v>
      </c>
      <c r="BX406">
        <f t="shared" si="283"/>
        <v>0</v>
      </c>
      <c r="BY406" t="str">
        <f t="shared" si="267"/>
        <v>Benzylpénicilline</v>
      </c>
      <c r="BZ406" t="str">
        <f t="shared" si="268"/>
        <v/>
      </c>
      <c r="CA406" t="str">
        <f t="shared" si="269"/>
        <v/>
      </c>
      <c r="CB406" t="str">
        <f t="shared" si="270"/>
        <v>Penicillines</v>
      </c>
      <c r="CC406" t="str">
        <f t="shared" si="271"/>
        <v/>
      </c>
      <c r="CD406" s="63" t="str">
        <f t="shared" si="272"/>
        <v/>
      </c>
      <c r="CG406" s="42">
        <v>403</v>
      </c>
      <c r="CH406" s="42" t="e">
        <f t="shared" si="288"/>
        <v>#N/A</v>
      </c>
      <c r="CI406" s="63" t="e">
        <f t="shared" si="289"/>
        <v>#N/A</v>
      </c>
      <c r="DM406" s="63"/>
      <c r="EA406" s="194" t="str">
        <f t="shared" ca="1" si="273"/>
        <v/>
      </c>
      <c r="EB406" s="226" t="str">
        <f>IFERROR(IF(ED406=0,"",COUNTIF(ED$4:ED$600,"&gt;"&amp;ED406)+COUNTIF(ED$4:ED406,ED406)),"")</f>
        <v/>
      </c>
      <c r="EC406" t="str">
        <f t="shared" si="274"/>
        <v>PROCACTIVE SUSPENSION INJECTABLE POUR BOVINS ET PORCINS</v>
      </c>
      <c r="ED406" t="e">
        <f>IF(IF(EL$2="Catégorie",IF(EL$3="Toutes",SUMIFS('Étape 1 - à remplir'!$F$31:$F$400,'Étape 1 - à remplir'!$E$31:$E$400,MASQ2!EC406,'Étape 1 - à remplir'!$G$31:$G$400,"kg"),SUMIFS('Étape 1 - à remplir'!$F$31:$F$400,'Étape 1 - à remplir'!$E$31:$E$400,MASQ2!EC406,'Étape 1 - à remplir'!$C$31:$C$400,EL$3)),IF(EL$2="Âge",IF(EL$3="Tous",SUMIFS('Étape 1 - à remplir'!$F$31:$F$400,'Étape 1 - à remplir'!$E$31:$E$400,MASQ2!EC406,'Étape 1 - à remplir'!$G$31:$G$400,"kg"),SUMIFS('Étape 1 - à remplir'!$F$31:$F$400,'Étape 1 - à remplir'!$E$31:$E$400,MASQ2!EC406,'Étape 1 - à remplir'!$P$31:$P$400,EL$3,'Étape 1 - à remplir'!$G$31:$G$400,"kg")),IF(EL$2="Atelier",IF(EL$3="Tous",SUMIFS('Étape 1 - à remplir'!$F$31:$F$400,'Étape 1 - à remplir'!$E$31:$E$400,MASQ2!EC406,'Étape 1 - à remplir'!$G$31:$G$400,"kg"),SUMIFS('Étape 1 - à remplir'!$F$31:$F$400,'Étape 1 - à remplir'!$E$31:$E$400,MASQ2!EC406,'Étape 1 - à remplir'!$O$31:$O$400,EL$3,'Étape 1 - à remplir'!$G$31:$G$400,"kg")),IF(EL$2="Espèce",IF(EL$3="Toutes",SUMIFS('Étape 1 - à remplir'!$F$31:$F$400,'Étape 1 - à remplir'!$E$31:$E$400,MASQ2!EC406,'Étape 1 - à remplir'!$G$31:$G$400,"kg"),SUMIFS('Étape 1 - à remplir'!$F$31:$F$400,'Étape 1 - à remplir'!$E$31:$E$400,MASQ2!EC406,'Étape 1 - à remplir'!$N$31:$N$400,EL$3,'Étape 1 - à remplir'!$G$31:$G$400,"kg"))))))=0,NA(),IF(EL$2="Catégorie",IF(EL$3="Toutes",SUMIFS('Étape 1 - à remplir'!$F$31:$F$400,'Étape 1 - à remplir'!$E$31:$E$400,MASQ2!EC406,'Étape 1 - à remplir'!$G$31:$G$400,"kg"),SUMIFS('Étape 1 - à remplir'!$F$31:$F$400,'Étape 1 - à remplir'!$E$31:$E$400,MASQ2!EC406,'Étape 1 - à remplir'!$C$31:$C$400,EL$3)),IF(EL$2="Âge",IF(EL$3="Tous",SUMIFS('Étape 1 - à remplir'!$F$31:$F$400,'Étape 1 - à remplir'!$E$31:$E$400,MASQ2!EC406,'Étape 1 - à remplir'!$G$31:$G$400,"kg"),SUMIFS('Étape 1 - à remplir'!$F$31:$F$400,'Étape 1 - à remplir'!$E$31:$E$400,MASQ2!EC406,'Étape 1 - à remplir'!$P$31:$P$400,EL$3,'Étape 1 - à remplir'!$G$31:$G$400,"kg")),IF(EL$2="Atelier",IF(EL$3="Tous",SUMIFS('Étape 1 - à remplir'!$F$31:$F$400,'Étape 1 - à remplir'!$E$31:$E$400,MASQ2!EC406,'Étape 1 - à remplir'!$G$31:$G$400,"kg"),SUMIFS('Étape 1 - à remplir'!$F$31:$F$400,'Étape 1 - à remplir'!$E$31:$E$400,MASQ2!EC406,'Étape 1 - à remplir'!$O$31:$O$400,EL$3,'Étape 1 - à remplir'!$G$31:$G$400,"kg")),IF(EL$2="Espèce",IF(EL$3="Toutes",SUMIFS('Étape 1 - à remplir'!$F$31:$F$400,'Étape 1 - à remplir'!$E$31:$E$400,MASQ2!EC406,'Étape 1 - à remplir'!$G$31:$G$400,"kg"),SUMIFS('Étape 1 - à remplir'!$F$31:$F$400,'Étape 1 - à remplir'!$E$31:$E$400,MASQ2!EC406,'Étape 1 - à remplir'!$N$31:$N$400,EL$3,'Étape 1 - à remplir'!$G$31:$G$400,"kg")))))))</f>
        <v>#N/A</v>
      </c>
      <c r="EE406" s="76">
        <f t="shared" si="284"/>
        <v>0</v>
      </c>
      <c r="EF406" t="str">
        <f t="shared" si="275"/>
        <v>Benzylpénicilline</v>
      </c>
      <c r="EG406" t="str">
        <f t="shared" si="276"/>
        <v/>
      </c>
      <c r="EH406" t="str">
        <f t="shared" si="277"/>
        <v/>
      </c>
      <c r="EI406" t="str">
        <f t="shared" si="278"/>
        <v>Penicillines</v>
      </c>
      <c r="EJ406" t="str">
        <f t="shared" si="279"/>
        <v/>
      </c>
      <c r="EK406" s="63" t="str">
        <f t="shared" si="280"/>
        <v/>
      </c>
      <c r="EN406" s="42">
        <v>403</v>
      </c>
      <c r="EO406" t="e">
        <f t="shared" si="286"/>
        <v>#N/A</v>
      </c>
      <c r="EP406" s="63" t="e">
        <f t="shared" si="287"/>
        <v>#N/A</v>
      </c>
      <c r="FT406" s="63"/>
    </row>
    <row r="407" spans="2:176" x14ac:dyDescent="0.3">
      <c r="B407" s="42"/>
      <c r="M407" s="194" t="str">
        <f ca="1">INDEX(Données_ATB!BD:BU,MATCH(MASQ2!O407,Données_ATB!BD:BD,0),18)</f>
        <v/>
      </c>
      <c r="N407" s="14" t="str">
        <f>IFERROR(IF(Q407=0,"",COUNTIF(Q$4:Q$600,"&gt;"&amp;Q407)+COUNTIF(Q$4:Q407,Q407)),"")</f>
        <v/>
      </c>
      <c r="O407" t="str">
        <f>Données_ATB!BD406</f>
        <v>PS OXYTETRACYCLINE AQUACULTURE</v>
      </c>
      <c r="P407" t="e">
        <f>IF(IF(X$2="Catégorie",IF(X$3="Toutes",SUMIFS('Étape 1 - à remplir'!$F$31:$F$400,'Étape 1 - à remplir'!$E$31:$E$400,MASQ2!O407,'Étape 1 - à remplir'!$G$31:$G$400,"animaux"),SUMIFS('Étape 1 - à remplir'!$F$31:$F$400,'Étape 1 - à remplir'!$E$31:$E$400,MASQ2!O407,'Étape 1 - à remplir'!$C$31:$C$400,X$3)),IF(X$2="Âge",IF(X$3="Tous",SUMIFS('Étape 1 - à remplir'!$F$31:$F$400,'Étape 1 - à remplir'!$E$31:$E$400,MASQ2!O407,'Étape 1 - à remplir'!$G$31:$G$400,"animaux"),SUMIFS('Étape 1 - à remplir'!$F$31:$F$400,'Étape 1 - à remplir'!$E$31:$E$400,MASQ2!O407,'Étape 1 - à remplir'!$P$31:$P$400,X$3)),IF(X$2="Atelier",IF(X$3="Tous",SUMIFS('Étape 1 - à remplir'!$F$31:$F$400,'Étape 1 - à remplir'!$E$31:$E$400,MASQ2!O407,'Étape 1 - à remplir'!$G$31:$G$400,"animaux"),SUMIFS('Étape 1 - à remplir'!$F$31:$F$400,'Étape 1 - à remplir'!$E$31:$E$400,MASQ2!O407,'Étape 1 - à remplir'!$O$31:$O$400,X$3)),IF(X$2="Espèce",IF(X$3="Toutes",SUMIFS('Étape 1 - à remplir'!$F$31:$F$400,'Étape 1 - à remplir'!$E$31:$E$400,MASQ2!O407,'Étape 1 - à remplir'!$G$31:$G$400,"animaux"),SUMIFS('Étape 1 - à remplir'!$F$31:$F$400,'Étape 1 - à remplir'!$E$31:$E$400,MASQ2!O407,'Étape 1 - à remplir'!$N$31:$N$400,X$3))))))=0,NA(),IF(X$2="Catégorie",IF(X$3="Toutes",SUMIFS('Étape 1 - à remplir'!$F$31:$F$400,'Étape 1 - à remplir'!$E$31:$E$400,MASQ2!O407,'Étape 1 - à remplir'!$G$31:$G$400,"animaux"),SUMIFS('Étape 1 - à remplir'!$F$31:$F$400,'Étape 1 - à remplir'!$E$31:$E$400,MASQ2!O407,'Étape 1 - à remplir'!$C$31:$C$400,X$3)),IF(X$2="Âge",IF(X$3="Tous",SUMIFS('Étape 1 - à remplir'!$F$31:$F$400,'Étape 1 - à remplir'!$E$31:$E$400,MASQ2!O407,'Étape 1 - à remplir'!$G$31:$G$400,"animaux"),SUMIFS('Étape 1 - à remplir'!$F$31:$F$400,'Étape 1 - à remplir'!$E$31:$E$400,MASQ2!O407,'Étape 1 - à remplir'!$P$31:$P$400,X$3)),IF(X$2="Atelier",IF(X$3="Tous",SUMIFS('Étape 1 - à remplir'!$F$31:$F$400,'Étape 1 - à remplir'!$E$31:$E$400,MASQ2!O407,'Étape 1 - à remplir'!$G$31:$G$400,"animaux"),SUMIFS('Étape 1 - à remplir'!$F$31:$F$400,'Étape 1 - à remplir'!$E$31:$E$400,MASQ2!O407,'Étape 1 - à remplir'!$O$31:$O$400,X$3)),IF(X$2="Espèce",IF(X$3="Toutes",SUMIFS('Étape 1 - à remplir'!$F$31:$F$400,'Étape 1 - à remplir'!$E$31:$E$400,MASQ2!O407,'Étape 1 - à remplir'!$G$31:$G$400,"animaux"),SUMIFS('Étape 1 - à remplir'!$F$31:$F$400,'Étape 1 - à remplir'!$E$31:$E$400,MASQ2!O407,'Étape 1 - à remplir'!$N$31:$N$400,X$3)))))))</f>
        <v>#N/A</v>
      </c>
      <c r="Q407" s="63">
        <f t="shared" si="285"/>
        <v>0</v>
      </c>
      <c r="R407" t="str">
        <f>Données_ATB!BM406</f>
        <v>Oxytétracycline</v>
      </c>
      <c r="S407" t="str">
        <f>Données_ATB!BN406</f>
        <v/>
      </c>
      <c r="T407" s="63" t="str">
        <f>Données_ATB!BO406</f>
        <v/>
      </c>
      <c r="U407" s="42" t="str">
        <f>Données_ATB!BQ406</f>
        <v>Tetracyclines</v>
      </c>
      <c r="V407" t="str">
        <f>Données_ATB!BR406</f>
        <v/>
      </c>
      <c r="W407" s="63" t="str">
        <f>Données_ATB!BS406</f>
        <v/>
      </c>
      <c r="Z407" s="42">
        <v>404</v>
      </c>
      <c r="AA407" t="e">
        <f t="shared" si="281"/>
        <v>#N/A</v>
      </c>
      <c r="AB407" s="63" t="e">
        <f t="shared" si="282"/>
        <v>#N/A</v>
      </c>
      <c r="BF407" s="63"/>
      <c r="BT407" s="194" t="str">
        <f t="shared" ca="1" si="265"/>
        <v/>
      </c>
      <c r="BU407" s="219" t="str">
        <f>IFERROR(IF(BX407=0,"",COUNTIF(BX$4:BX$600,"&gt;"&amp;BX407)+COUNTIF(BX$4:BX407,BX407)),"")</f>
        <v/>
      </c>
      <c r="BV407" s="42" t="str">
        <f t="shared" si="266"/>
        <v>PS OXYTETRACYCLINE AQUACULTURE</v>
      </c>
      <c r="BW407" t="e">
        <f>IF(IF(CE$2="Catégorie",IF(CE$3="Toutes",SUMIFS('Étape 1 - à remplir'!$F$31:$F$400,'Étape 1 - à remplir'!$E$31:$E$400,MASQ2!BV407,'Étape 1 - à remplir'!$G$31:$G$400,"lots"),SUMIFS('Étape 1 - à remplir'!$F$31:$F$400,'Étape 1 - à remplir'!$E$31:$E$400,MASQ2!BV407,'Étape 1 - à remplir'!$C$31:$C$400,CE$3)),IF(CE$2="Âge",IF(CE$3="Tous",SUMIFS('Étape 1 - à remplir'!$F$31:$F$400,'Étape 1 - à remplir'!$E$31:$E$400,MASQ2!BV407,'Étape 1 - à remplir'!$G$31:$G$400,"lots"),SUMIFS('Étape 1 - à remplir'!$F$31:$F$400,'Étape 1 - à remplir'!$E$31:$E$400,MASQ2!BV407,'Étape 1 - à remplir'!$P$31:$P$400,CE$3,'Étape 1 - à remplir'!$G$31:$G$400,"lots")),IF(CE$2="Atelier",IF(CE$3="Tous",SUMIFS('Étape 1 - à remplir'!$F$31:$F$400,'Étape 1 - à remplir'!$E$31:$E$400,MASQ2!BV407,'Étape 1 - à remplir'!$G$31:$G$400,"lots"),SUMIFS('Étape 1 - à remplir'!$F$31:$F$400,'Étape 1 - à remplir'!$E$31:$E$400,MASQ2!BV407,'Étape 1 - à remplir'!$O$31:$O$400,CE$3,'Étape 1 - à remplir'!$G$31:$G$400,"lots")),IF(CE$2="Espèce",IF(CE$3="Toutes",SUMIFS('Étape 1 - à remplir'!$F$31:$F$400,'Étape 1 - à remplir'!$E$31:$E$400,MASQ2!BV407,'Étape 1 - à remplir'!$G$31:$G$400,"lots"),SUMIFS('Étape 1 - à remplir'!$F$31:$F$400,'Étape 1 - à remplir'!$E$31:$E$400,MASQ2!BV407,'Étape 1 - à remplir'!$N$31:$N$400,CE$3,'Étape 1 - à remplir'!$G$31:$G$400,"lots"))))))=0,NA(),IF(CE$2="Catégorie",IF(CE$3="Toutes",SUMIFS('Étape 1 - à remplir'!$F$31:$F$400,'Étape 1 - à remplir'!$E$31:$E$400,MASQ2!BV407,'Étape 1 - à remplir'!$G$31:$G$400,"lots"),SUMIFS('Étape 1 - à remplir'!$F$31:$F$400,'Étape 1 - à remplir'!$E$31:$E$400,MASQ2!BV407,'Étape 1 - à remplir'!$C$31:$C$400,CE$3)),IF(CE$2="Âge",IF(CE$3="Tous",SUMIFS('Étape 1 - à remplir'!$F$31:$F$400,'Étape 1 - à remplir'!$E$31:$E$400,MASQ2!BV407,'Étape 1 - à remplir'!$G$31:$G$400,"lots"),SUMIFS('Étape 1 - à remplir'!$F$31:$F$400,'Étape 1 - à remplir'!$E$31:$E$400,MASQ2!BV407,'Étape 1 - à remplir'!$P$31:$P$400,CE$3,'Étape 1 - à remplir'!$G$31:$G$400,"lots")),IF(CE$2="Atelier",IF(CE$3="Tous",SUMIFS('Étape 1 - à remplir'!$F$31:$F$400,'Étape 1 - à remplir'!$E$31:$E$400,MASQ2!BV407,'Étape 1 - à remplir'!$G$31:$G$400,"lots"),SUMIFS('Étape 1 - à remplir'!$F$31:$F$400,'Étape 1 - à remplir'!$E$31:$E$400,MASQ2!BV407,'Étape 1 - à remplir'!$O$31:$O$400,CE$3,'Étape 1 - à remplir'!$G$31:$G$400,"lots")),IF(CE$2="Espèce",IF(CE$3="Toutes",SUMIFS('Étape 1 - à remplir'!$F$31:$F$400,'Étape 1 - à remplir'!$E$31:$E$400,MASQ2!BV407,'Étape 1 - à remplir'!$G$31:$G$400,"lots"),SUMIFS('Étape 1 - à remplir'!$F$31:$F$400,'Étape 1 - à remplir'!$E$31:$E$400,MASQ2!BV407,'Étape 1 - à remplir'!$N$31:$N$400,CE$3,'Étape 1 - à remplir'!$G$31:$G$400,"lots")))))))</f>
        <v>#N/A</v>
      </c>
      <c r="BX407">
        <f t="shared" si="283"/>
        <v>0</v>
      </c>
      <c r="BY407" t="str">
        <f t="shared" si="267"/>
        <v>Oxytétracycline</v>
      </c>
      <c r="BZ407" t="str">
        <f t="shared" si="268"/>
        <v/>
      </c>
      <c r="CA407" t="str">
        <f t="shared" si="269"/>
        <v/>
      </c>
      <c r="CB407" t="str">
        <f t="shared" si="270"/>
        <v>Tetracyclines</v>
      </c>
      <c r="CC407" t="str">
        <f t="shared" si="271"/>
        <v/>
      </c>
      <c r="CD407" s="63" t="str">
        <f t="shared" si="272"/>
        <v/>
      </c>
      <c r="CG407" s="42">
        <v>404</v>
      </c>
      <c r="CH407" s="42" t="e">
        <f t="shared" si="288"/>
        <v>#N/A</v>
      </c>
      <c r="CI407" s="63" t="e">
        <f t="shared" si="289"/>
        <v>#N/A</v>
      </c>
      <c r="DM407" s="63"/>
      <c r="EA407" s="194" t="str">
        <f t="shared" ca="1" si="273"/>
        <v/>
      </c>
      <c r="EB407" s="226" t="str">
        <f>IFERROR(IF(ED407=0,"",COUNTIF(ED$4:ED$600,"&gt;"&amp;ED407)+COUNTIF(ED$4:ED407,ED407)),"")</f>
        <v/>
      </c>
      <c r="EC407" t="str">
        <f t="shared" si="274"/>
        <v>PS OXYTETRACYCLINE AQUACULTURE</v>
      </c>
      <c r="ED407" t="e">
        <f>IF(IF(EL$2="Catégorie",IF(EL$3="Toutes",SUMIFS('Étape 1 - à remplir'!$F$31:$F$400,'Étape 1 - à remplir'!$E$31:$E$400,MASQ2!EC407,'Étape 1 - à remplir'!$G$31:$G$400,"kg"),SUMIFS('Étape 1 - à remplir'!$F$31:$F$400,'Étape 1 - à remplir'!$E$31:$E$400,MASQ2!EC407,'Étape 1 - à remplir'!$C$31:$C$400,EL$3)),IF(EL$2="Âge",IF(EL$3="Tous",SUMIFS('Étape 1 - à remplir'!$F$31:$F$400,'Étape 1 - à remplir'!$E$31:$E$400,MASQ2!EC407,'Étape 1 - à remplir'!$G$31:$G$400,"kg"),SUMIFS('Étape 1 - à remplir'!$F$31:$F$400,'Étape 1 - à remplir'!$E$31:$E$400,MASQ2!EC407,'Étape 1 - à remplir'!$P$31:$P$400,EL$3,'Étape 1 - à remplir'!$G$31:$G$400,"kg")),IF(EL$2="Atelier",IF(EL$3="Tous",SUMIFS('Étape 1 - à remplir'!$F$31:$F$400,'Étape 1 - à remplir'!$E$31:$E$400,MASQ2!EC407,'Étape 1 - à remplir'!$G$31:$G$400,"kg"),SUMIFS('Étape 1 - à remplir'!$F$31:$F$400,'Étape 1 - à remplir'!$E$31:$E$400,MASQ2!EC407,'Étape 1 - à remplir'!$O$31:$O$400,EL$3,'Étape 1 - à remplir'!$G$31:$G$400,"kg")),IF(EL$2="Espèce",IF(EL$3="Toutes",SUMIFS('Étape 1 - à remplir'!$F$31:$F$400,'Étape 1 - à remplir'!$E$31:$E$400,MASQ2!EC407,'Étape 1 - à remplir'!$G$31:$G$400,"kg"),SUMIFS('Étape 1 - à remplir'!$F$31:$F$400,'Étape 1 - à remplir'!$E$31:$E$400,MASQ2!EC407,'Étape 1 - à remplir'!$N$31:$N$400,EL$3,'Étape 1 - à remplir'!$G$31:$G$400,"kg"))))))=0,NA(),IF(EL$2="Catégorie",IF(EL$3="Toutes",SUMIFS('Étape 1 - à remplir'!$F$31:$F$400,'Étape 1 - à remplir'!$E$31:$E$400,MASQ2!EC407,'Étape 1 - à remplir'!$G$31:$G$400,"kg"),SUMIFS('Étape 1 - à remplir'!$F$31:$F$400,'Étape 1 - à remplir'!$E$31:$E$400,MASQ2!EC407,'Étape 1 - à remplir'!$C$31:$C$400,EL$3)),IF(EL$2="Âge",IF(EL$3="Tous",SUMIFS('Étape 1 - à remplir'!$F$31:$F$400,'Étape 1 - à remplir'!$E$31:$E$400,MASQ2!EC407,'Étape 1 - à remplir'!$G$31:$G$400,"kg"),SUMIFS('Étape 1 - à remplir'!$F$31:$F$400,'Étape 1 - à remplir'!$E$31:$E$400,MASQ2!EC407,'Étape 1 - à remplir'!$P$31:$P$400,EL$3,'Étape 1 - à remplir'!$G$31:$G$400,"kg")),IF(EL$2="Atelier",IF(EL$3="Tous",SUMIFS('Étape 1 - à remplir'!$F$31:$F$400,'Étape 1 - à remplir'!$E$31:$E$400,MASQ2!EC407,'Étape 1 - à remplir'!$G$31:$G$400,"kg"),SUMIFS('Étape 1 - à remplir'!$F$31:$F$400,'Étape 1 - à remplir'!$E$31:$E$400,MASQ2!EC407,'Étape 1 - à remplir'!$O$31:$O$400,EL$3,'Étape 1 - à remplir'!$G$31:$G$400,"kg")),IF(EL$2="Espèce",IF(EL$3="Toutes",SUMIFS('Étape 1 - à remplir'!$F$31:$F$400,'Étape 1 - à remplir'!$E$31:$E$400,MASQ2!EC407,'Étape 1 - à remplir'!$G$31:$G$400,"kg"),SUMIFS('Étape 1 - à remplir'!$F$31:$F$400,'Étape 1 - à remplir'!$E$31:$E$400,MASQ2!EC407,'Étape 1 - à remplir'!$N$31:$N$400,EL$3,'Étape 1 - à remplir'!$G$31:$G$400,"kg")))))))</f>
        <v>#N/A</v>
      </c>
      <c r="EE407" s="76">
        <f t="shared" si="284"/>
        <v>0</v>
      </c>
      <c r="EF407" t="str">
        <f t="shared" si="275"/>
        <v>Oxytétracycline</v>
      </c>
      <c r="EG407" t="str">
        <f t="shared" si="276"/>
        <v/>
      </c>
      <c r="EH407" t="str">
        <f t="shared" si="277"/>
        <v/>
      </c>
      <c r="EI407" t="str">
        <f t="shared" si="278"/>
        <v>Tetracyclines</v>
      </c>
      <c r="EJ407" t="str">
        <f t="shared" si="279"/>
        <v/>
      </c>
      <c r="EK407" s="63" t="str">
        <f t="shared" si="280"/>
        <v/>
      </c>
      <c r="EN407" s="42">
        <v>404</v>
      </c>
      <c r="EO407" t="e">
        <f t="shared" si="286"/>
        <v>#N/A</v>
      </c>
      <c r="EP407" s="63" t="e">
        <f t="shared" si="287"/>
        <v>#N/A</v>
      </c>
      <c r="FT407" s="63"/>
    </row>
    <row r="408" spans="2:176" x14ac:dyDescent="0.3">
      <c r="B408" s="42"/>
      <c r="M408" s="194" t="str">
        <f ca="1">INDEX(Données_ATB!BD:BU,MATCH(MASQ2!O408,Données_ATB!BD:BD,0),18)</f>
        <v/>
      </c>
      <c r="N408" s="14" t="str">
        <f>IFERROR(IF(Q408=0,"",COUNTIF(Q$4:Q$600,"&gt;"&amp;Q408)+COUNTIF(Q$4:Q408,Q408)),"")</f>
        <v/>
      </c>
      <c r="O408" t="str">
        <f>Données_ATB!BD407</f>
        <v>PULMODOX 500 MG/G GRANULES POUR SOLUTION BUVABLE POUR PORCS, POULETS ET DINDES</v>
      </c>
      <c r="P408" t="e">
        <f>IF(IF(X$2="Catégorie",IF(X$3="Toutes",SUMIFS('Étape 1 - à remplir'!$F$31:$F$400,'Étape 1 - à remplir'!$E$31:$E$400,MASQ2!O408,'Étape 1 - à remplir'!$G$31:$G$400,"animaux"),SUMIFS('Étape 1 - à remplir'!$F$31:$F$400,'Étape 1 - à remplir'!$E$31:$E$400,MASQ2!O408,'Étape 1 - à remplir'!$C$31:$C$400,X$3)),IF(X$2="Âge",IF(X$3="Tous",SUMIFS('Étape 1 - à remplir'!$F$31:$F$400,'Étape 1 - à remplir'!$E$31:$E$400,MASQ2!O408,'Étape 1 - à remplir'!$G$31:$G$400,"animaux"),SUMIFS('Étape 1 - à remplir'!$F$31:$F$400,'Étape 1 - à remplir'!$E$31:$E$400,MASQ2!O408,'Étape 1 - à remplir'!$P$31:$P$400,X$3)),IF(X$2="Atelier",IF(X$3="Tous",SUMIFS('Étape 1 - à remplir'!$F$31:$F$400,'Étape 1 - à remplir'!$E$31:$E$400,MASQ2!O408,'Étape 1 - à remplir'!$G$31:$G$400,"animaux"),SUMIFS('Étape 1 - à remplir'!$F$31:$F$400,'Étape 1 - à remplir'!$E$31:$E$400,MASQ2!O408,'Étape 1 - à remplir'!$O$31:$O$400,X$3)),IF(X$2="Espèce",IF(X$3="Toutes",SUMIFS('Étape 1 - à remplir'!$F$31:$F$400,'Étape 1 - à remplir'!$E$31:$E$400,MASQ2!O408,'Étape 1 - à remplir'!$G$31:$G$400,"animaux"),SUMIFS('Étape 1 - à remplir'!$F$31:$F$400,'Étape 1 - à remplir'!$E$31:$E$400,MASQ2!O408,'Étape 1 - à remplir'!$N$31:$N$400,X$3))))))=0,NA(),IF(X$2="Catégorie",IF(X$3="Toutes",SUMIFS('Étape 1 - à remplir'!$F$31:$F$400,'Étape 1 - à remplir'!$E$31:$E$400,MASQ2!O408,'Étape 1 - à remplir'!$G$31:$G$400,"animaux"),SUMIFS('Étape 1 - à remplir'!$F$31:$F$400,'Étape 1 - à remplir'!$E$31:$E$400,MASQ2!O408,'Étape 1 - à remplir'!$C$31:$C$400,X$3)),IF(X$2="Âge",IF(X$3="Tous",SUMIFS('Étape 1 - à remplir'!$F$31:$F$400,'Étape 1 - à remplir'!$E$31:$E$400,MASQ2!O408,'Étape 1 - à remplir'!$G$31:$G$400,"animaux"),SUMIFS('Étape 1 - à remplir'!$F$31:$F$400,'Étape 1 - à remplir'!$E$31:$E$400,MASQ2!O408,'Étape 1 - à remplir'!$P$31:$P$400,X$3)),IF(X$2="Atelier",IF(X$3="Tous",SUMIFS('Étape 1 - à remplir'!$F$31:$F$400,'Étape 1 - à remplir'!$E$31:$E$400,MASQ2!O408,'Étape 1 - à remplir'!$G$31:$G$400,"animaux"),SUMIFS('Étape 1 - à remplir'!$F$31:$F$400,'Étape 1 - à remplir'!$E$31:$E$400,MASQ2!O408,'Étape 1 - à remplir'!$O$31:$O$400,X$3)),IF(X$2="Espèce",IF(X$3="Toutes",SUMIFS('Étape 1 - à remplir'!$F$31:$F$400,'Étape 1 - à remplir'!$E$31:$E$400,MASQ2!O408,'Étape 1 - à remplir'!$G$31:$G$400,"animaux"),SUMIFS('Étape 1 - à remplir'!$F$31:$F$400,'Étape 1 - à remplir'!$E$31:$E$400,MASQ2!O408,'Étape 1 - à remplir'!$N$31:$N$400,X$3)))))))</f>
        <v>#N/A</v>
      </c>
      <c r="Q408" s="63">
        <f t="shared" si="285"/>
        <v>0</v>
      </c>
      <c r="R408" t="str">
        <f>Données_ATB!BM407</f>
        <v>Doxycycline</v>
      </c>
      <c r="S408" t="str">
        <f>Données_ATB!BN407</f>
        <v/>
      </c>
      <c r="T408" s="63" t="str">
        <f>Données_ATB!BO407</f>
        <v/>
      </c>
      <c r="U408" s="42" t="str">
        <f>Données_ATB!BQ407</f>
        <v>Tetracyclines</v>
      </c>
      <c r="V408" t="str">
        <f>Données_ATB!BR407</f>
        <v/>
      </c>
      <c r="W408" s="63" t="str">
        <f>Données_ATB!BS407</f>
        <v/>
      </c>
      <c r="Z408" s="42">
        <v>405</v>
      </c>
      <c r="AA408" t="e">
        <f t="shared" si="281"/>
        <v>#N/A</v>
      </c>
      <c r="AB408" s="63" t="e">
        <f t="shared" si="282"/>
        <v>#N/A</v>
      </c>
      <c r="BF408" s="63"/>
      <c r="BT408" s="194" t="str">
        <f t="shared" ca="1" si="265"/>
        <v/>
      </c>
      <c r="BU408" s="219" t="str">
        <f>IFERROR(IF(BX408=0,"",COUNTIF(BX$4:BX$600,"&gt;"&amp;BX408)+COUNTIF(BX$4:BX408,BX408)),"")</f>
        <v/>
      </c>
      <c r="BV408" s="42" t="str">
        <f t="shared" si="266"/>
        <v>PULMODOX 500 MG/G GRANULES POUR SOLUTION BUVABLE POUR PORCS, POULETS ET DINDES</v>
      </c>
      <c r="BW408" t="e">
        <f>IF(IF(CE$2="Catégorie",IF(CE$3="Toutes",SUMIFS('Étape 1 - à remplir'!$F$31:$F$400,'Étape 1 - à remplir'!$E$31:$E$400,MASQ2!BV408,'Étape 1 - à remplir'!$G$31:$G$400,"lots"),SUMIFS('Étape 1 - à remplir'!$F$31:$F$400,'Étape 1 - à remplir'!$E$31:$E$400,MASQ2!BV408,'Étape 1 - à remplir'!$C$31:$C$400,CE$3)),IF(CE$2="Âge",IF(CE$3="Tous",SUMIFS('Étape 1 - à remplir'!$F$31:$F$400,'Étape 1 - à remplir'!$E$31:$E$400,MASQ2!BV408,'Étape 1 - à remplir'!$G$31:$G$400,"lots"),SUMIFS('Étape 1 - à remplir'!$F$31:$F$400,'Étape 1 - à remplir'!$E$31:$E$400,MASQ2!BV408,'Étape 1 - à remplir'!$P$31:$P$400,CE$3,'Étape 1 - à remplir'!$G$31:$G$400,"lots")),IF(CE$2="Atelier",IF(CE$3="Tous",SUMIFS('Étape 1 - à remplir'!$F$31:$F$400,'Étape 1 - à remplir'!$E$31:$E$400,MASQ2!BV408,'Étape 1 - à remplir'!$G$31:$G$400,"lots"),SUMIFS('Étape 1 - à remplir'!$F$31:$F$400,'Étape 1 - à remplir'!$E$31:$E$400,MASQ2!BV408,'Étape 1 - à remplir'!$O$31:$O$400,CE$3,'Étape 1 - à remplir'!$G$31:$G$400,"lots")),IF(CE$2="Espèce",IF(CE$3="Toutes",SUMIFS('Étape 1 - à remplir'!$F$31:$F$400,'Étape 1 - à remplir'!$E$31:$E$400,MASQ2!BV408,'Étape 1 - à remplir'!$G$31:$G$400,"lots"),SUMIFS('Étape 1 - à remplir'!$F$31:$F$400,'Étape 1 - à remplir'!$E$31:$E$400,MASQ2!BV408,'Étape 1 - à remplir'!$N$31:$N$400,CE$3,'Étape 1 - à remplir'!$G$31:$G$400,"lots"))))))=0,NA(),IF(CE$2="Catégorie",IF(CE$3="Toutes",SUMIFS('Étape 1 - à remplir'!$F$31:$F$400,'Étape 1 - à remplir'!$E$31:$E$400,MASQ2!BV408,'Étape 1 - à remplir'!$G$31:$G$400,"lots"),SUMIFS('Étape 1 - à remplir'!$F$31:$F$400,'Étape 1 - à remplir'!$E$31:$E$400,MASQ2!BV408,'Étape 1 - à remplir'!$C$31:$C$400,CE$3)),IF(CE$2="Âge",IF(CE$3="Tous",SUMIFS('Étape 1 - à remplir'!$F$31:$F$400,'Étape 1 - à remplir'!$E$31:$E$400,MASQ2!BV408,'Étape 1 - à remplir'!$G$31:$G$400,"lots"),SUMIFS('Étape 1 - à remplir'!$F$31:$F$400,'Étape 1 - à remplir'!$E$31:$E$400,MASQ2!BV408,'Étape 1 - à remplir'!$P$31:$P$400,CE$3,'Étape 1 - à remplir'!$G$31:$G$400,"lots")),IF(CE$2="Atelier",IF(CE$3="Tous",SUMIFS('Étape 1 - à remplir'!$F$31:$F$400,'Étape 1 - à remplir'!$E$31:$E$400,MASQ2!BV408,'Étape 1 - à remplir'!$G$31:$G$400,"lots"),SUMIFS('Étape 1 - à remplir'!$F$31:$F$400,'Étape 1 - à remplir'!$E$31:$E$400,MASQ2!BV408,'Étape 1 - à remplir'!$O$31:$O$400,CE$3,'Étape 1 - à remplir'!$G$31:$G$400,"lots")),IF(CE$2="Espèce",IF(CE$3="Toutes",SUMIFS('Étape 1 - à remplir'!$F$31:$F$400,'Étape 1 - à remplir'!$E$31:$E$400,MASQ2!BV408,'Étape 1 - à remplir'!$G$31:$G$400,"lots"),SUMIFS('Étape 1 - à remplir'!$F$31:$F$400,'Étape 1 - à remplir'!$E$31:$E$400,MASQ2!BV408,'Étape 1 - à remplir'!$N$31:$N$400,CE$3,'Étape 1 - à remplir'!$G$31:$G$400,"lots")))))))</f>
        <v>#N/A</v>
      </c>
      <c r="BX408">
        <f t="shared" si="283"/>
        <v>0</v>
      </c>
      <c r="BY408" t="str">
        <f t="shared" si="267"/>
        <v>Doxycycline</v>
      </c>
      <c r="BZ408" t="str">
        <f t="shared" si="268"/>
        <v/>
      </c>
      <c r="CA408" t="str">
        <f t="shared" si="269"/>
        <v/>
      </c>
      <c r="CB408" t="str">
        <f t="shared" si="270"/>
        <v>Tetracyclines</v>
      </c>
      <c r="CC408" t="str">
        <f t="shared" si="271"/>
        <v/>
      </c>
      <c r="CD408" s="63" t="str">
        <f t="shared" si="272"/>
        <v/>
      </c>
      <c r="CG408" s="42">
        <v>405</v>
      </c>
      <c r="CH408" s="42" t="e">
        <f t="shared" si="288"/>
        <v>#N/A</v>
      </c>
      <c r="CI408" s="63" t="e">
        <f t="shared" si="289"/>
        <v>#N/A</v>
      </c>
      <c r="DM408" s="63"/>
      <c r="EA408" s="194" t="str">
        <f t="shared" ca="1" si="273"/>
        <v/>
      </c>
      <c r="EB408" s="226" t="str">
        <f>IFERROR(IF(ED408=0,"",COUNTIF(ED$4:ED$600,"&gt;"&amp;ED408)+COUNTIF(ED$4:ED408,ED408)),"")</f>
        <v/>
      </c>
      <c r="EC408" t="str">
        <f t="shared" si="274"/>
        <v>PULMODOX 500 MG/G GRANULES POUR SOLUTION BUVABLE POUR PORCS, POULETS ET DINDES</v>
      </c>
      <c r="ED408" t="e">
        <f>IF(IF(EL$2="Catégorie",IF(EL$3="Toutes",SUMIFS('Étape 1 - à remplir'!$F$31:$F$400,'Étape 1 - à remplir'!$E$31:$E$400,MASQ2!EC408,'Étape 1 - à remplir'!$G$31:$G$400,"kg"),SUMIFS('Étape 1 - à remplir'!$F$31:$F$400,'Étape 1 - à remplir'!$E$31:$E$400,MASQ2!EC408,'Étape 1 - à remplir'!$C$31:$C$400,EL$3)),IF(EL$2="Âge",IF(EL$3="Tous",SUMIFS('Étape 1 - à remplir'!$F$31:$F$400,'Étape 1 - à remplir'!$E$31:$E$400,MASQ2!EC408,'Étape 1 - à remplir'!$G$31:$G$400,"kg"),SUMIFS('Étape 1 - à remplir'!$F$31:$F$400,'Étape 1 - à remplir'!$E$31:$E$400,MASQ2!EC408,'Étape 1 - à remplir'!$P$31:$P$400,EL$3,'Étape 1 - à remplir'!$G$31:$G$400,"kg")),IF(EL$2="Atelier",IF(EL$3="Tous",SUMIFS('Étape 1 - à remplir'!$F$31:$F$400,'Étape 1 - à remplir'!$E$31:$E$400,MASQ2!EC408,'Étape 1 - à remplir'!$G$31:$G$400,"kg"),SUMIFS('Étape 1 - à remplir'!$F$31:$F$400,'Étape 1 - à remplir'!$E$31:$E$400,MASQ2!EC408,'Étape 1 - à remplir'!$O$31:$O$400,EL$3,'Étape 1 - à remplir'!$G$31:$G$400,"kg")),IF(EL$2="Espèce",IF(EL$3="Toutes",SUMIFS('Étape 1 - à remplir'!$F$31:$F$400,'Étape 1 - à remplir'!$E$31:$E$400,MASQ2!EC408,'Étape 1 - à remplir'!$G$31:$G$400,"kg"),SUMIFS('Étape 1 - à remplir'!$F$31:$F$400,'Étape 1 - à remplir'!$E$31:$E$400,MASQ2!EC408,'Étape 1 - à remplir'!$N$31:$N$400,EL$3,'Étape 1 - à remplir'!$G$31:$G$400,"kg"))))))=0,NA(),IF(EL$2="Catégorie",IF(EL$3="Toutes",SUMIFS('Étape 1 - à remplir'!$F$31:$F$400,'Étape 1 - à remplir'!$E$31:$E$400,MASQ2!EC408,'Étape 1 - à remplir'!$G$31:$G$400,"kg"),SUMIFS('Étape 1 - à remplir'!$F$31:$F$400,'Étape 1 - à remplir'!$E$31:$E$400,MASQ2!EC408,'Étape 1 - à remplir'!$C$31:$C$400,EL$3)),IF(EL$2="Âge",IF(EL$3="Tous",SUMIFS('Étape 1 - à remplir'!$F$31:$F$400,'Étape 1 - à remplir'!$E$31:$E$400,MASQ2!EC408,'Étape 1 - à remplir'!$G$31:$G$400,"kg"),SUMIFS('Étape 1 - à remplir'!$F$31:$F$400,'Étape 1 - à remplir'!$E$31:$E$400,MASQ2!EC408,'Étape 1 - à remplir'!$P$31:$P$400,EL$3,'Étape 1 - à remplir'!$G$31:$G$400,"kg")),IF(EL$2="Atelier",IF(EL$3="Tous",SUMIFS('Étape 1 - à remplir'!$F$31:$F$400,'Étape 1 - à remplir'!$E$31:$E$400,MASQ2!EC408,'Étape 1 - à remplir'!$G$31:$G$400,"kg"),SUMIFS('Étape 1 - à remplir'!$F$31:$F$400,'Étape 1 - à remplir'!$E$31:$E$400,MASQ2!EC408,'Étape 1 - à remplir'!$O$31:$O$400,EL$3,'Étape 1 - à remplir'!$G$31:$G$400,"kg")),IF(EL$2="Espèce",IF(EL$3="Toutes",SUMIFS('Étape 1 - à remplir'!$F$31:$F$400,'Étape 1 - à remplir'!$E$31:$E$400,MASQ2!EC408,'Étape 1 - à remplir'!$G$31:$G$400,"kg"),SUMIFS('Étape 1 - à remplir'!$F$31:$F$400,'Étape 1 - à remplir'!$E$31:$E$400,MASQ2!EC408,'Étape 1 - à remplir'!$N$31:$N$400,EL$3,'Étape 1 - à remplir'!$G$31:$G$400,"kg")))))))</f>
        <v>#N/A</v>
      </c>
      <c r="EE408" s="76">
        <f t="shared" si="284"/>
        <v>0</v>
      </c>
      <c r="EF408" t="str">
        <f t="shared" si="275"/>
        <v>Doxycycline</v>
      </c>
      <c r="EG408" t="str">
        <f t="shared" si="276"/>
        <v/>
      </c>
      <c r="EH408" t="str">
        <f t="shared" si="277"/>
        <v/>
      </c>
      <c r="EI408" t="str">
        <f t="shared" si="278"/>
        <v>Tetracyclines</v>
      </c>
      <c r="EJ408" t="str">
        <f t="shared" si="279"/>
        <v/>
      </c>
      <c r="EK408" s="63" t="str">
        <f t="shared" si="280"/>
        <v/>
      </c>
      <c r="EN408" s="42">
        <v>405</v>
      </c>
      <c r="EO408" t="e">
        <f t="shared" si="286"/>
        <v>#N/A</v>
      </c>
      <c r="EP408" s="63" t="e">
        <f t="shared" si="287"/>
        <v>#N/A</v>
      </c>
      <c r="FT408" s="63"/>
    </row>
    <row r="409" spans="2:176" x14ac:dyDescent="0.3">
      <c r="B409" s="42"/>
      <c r="M409" s="194" t="str">
        <f ca="1">INDEX(Données_ATB!BD:BU,MATCH(MASQ2!O409,Données_ATB!BD:BD,0),18)</f>
        <v/>
      </c>
      <c r="N409" s="14" t="str">
        <f>IFERROR(IF(Q409=0,"",COUNTIF(Q$4:Q$600,"&gt;"&amp;Q409)+COUNTIF(Q$4:Q409,Q409)),"")</f>
        <v/>
      </c>
      <c r="O409" t="str">
        <f>Données_ATB!BD408</f>
        <v>PULMODOX DOXYCYCLINE 50 PORC</v>
      </c>
      <c r="P409" t="e">
        <f>IF(IF(X$2="Catégorie",IF(X$3="Toutes",SUMIFS('Étape 1 - à remplir'!$F$31:$F$400,'Étape 1 - à remplir'!$E$31:$E$400,MASQ2!O409,'Étape 1 - à remplir'!$G$31:$G$400,"animaux"),SUMIFS('Étape 1 - à remplir'!$F$31:$F$400,'Étape 1 - à remplir'!$E$31:$E$400,MASQ2!O409,'Étape 1 - à remplir'!$C$31:$C$400,X$3)),IF(X$2="Âge",IF(X$3="Tous",SUMIFS('Étape 1 - à remplir'!$F$31:$F$400,'Étape 1 - à remplir'!$E$31:$E$400,MASQ2!O409,'Étape 1 - à remplir'!$G$31:$G$400,"animaux"),SUMIFS('Étape 1 - à remplir'!$F$31:$F$400,'Étape 1 - à remplir'!$E$31:$E$400,MASQ2!O409,'Étape 1 - à remplir'!$P$31:$P$400,X$3)),IF(X$2="Atelier",IF(X$3="Tous",SUMIFS('Étape 1 - à remplir'!$F$31:$F$400,'Étape 1 - à remplir'!$E$31:$E$400,MASQ2!O409,'Étape 1 - à remplir'!$G$31:$G$400,"animaux"),SUMIFS('Étape 1 - à remplir'!$F$31:$F$400,'Étape 1 - à remplir'!$E$31:$E$400,MASQ2!O409,'Étape 1 - à remplir'!$O$31:$O$400,X$3)),IF(X$2="Espèce",IF(X$3="Toutes",SUMIFS('Étape 1 - à remplir'!$F$31:$F$400,'Étape 1 - à remplir'!$E$31:$E$400,MASQ2!O409,'Étape 1 - à remplir'!$G$31:$G$400,"animaux"),SUMIFS('Étape 1 - à remplir'!$F$31:$F$400,'Étape 1 - à remplir'!$E$31:$E$400,MASQ2!O409,'Étape 1 - à remplir'!$N$31:$N$400,X$3))))))=0,NA(),IF(X$2="Catégorie",IF(X$3="Toutes",SUMIFS('Étape 1 - à remplir'!$F$31:$F$400,'Étape 1 - à remplir'!$E$31:$E$400,MASQ2!O409,'Étape 1 - à remplir'!$G$31:$G$400,"animaux"),SUMIFS('Étape 1 - à remplir'!$F$31:$F$400,'Étape 1 - à remplir'!$E$31:$E$400,MASQ2!O409,'Étape 1 - à remplir'!$C$31:$C$400,X$3)),IF(X$2="Âge",IF(X$3="Tous",SUMIFS('Étape 1 - à remplir'!$F$31:$F$400,'Étape 1 - à remplir'!$E$31:$E$400,MASQ2!O409,'Étape 1 - à remplir'!$G$31:$G$400,"animaux"),SUMIFS('Étape 1 - à remplir'!$F$31:$F$400,'Étape 1 - à remplir'!$E$31:$E$400,MASQ2!O409,'Étape 1 - à remplir'!$P$31:$P$400,X$3)),IF(X$2="Atelier",IF(X$3="Tous",SUMIFS('Étape 1 - à remplir'!$F$31:$F$400,'Étape 1 - à remplir'!$E$31:$E$400,MASQ2!O409,'Étape 1 - à remplir'!$G$31:$G$400,"animaux"),SUMIFS('Étape 1 - à remplir'!$F$31:$F$400,'Étape 1 - à remplir'!$E$31:$E$400,MASQ2!O409,'Étape 1 - à remplir'!$O$31:$O$400,X$3)),IF(X$2="Espèce",IF(X$3="Toutes",SUMIFS('Étape 1 - à remplir'!$F$31:$F$400,'Étape 1 - à remplir'!$E$31:$E$400,MASQ2!O409,'Étape 1 - à remplir'!$G$31:$G$400,"animaux"),SUMIFS('Étape 1 - à remplir'!$F$31:$F$400,'Étape 1 - à remplir'!$E$31:$E$400,MASQ2!O409,'Étape 1 - à remplir'!$N$31:$N$400,X$3)))))))</f>
        <v>#N/A</v>
      </c>
      <c r="Q409" s="63">
        <f t="shared" si="285"/>
        <v>0</v>
      </c>
      <c r="R409" t="str">
        <f>Données_ATB!BM408</f>
        <v>Doxycycline</v>
      </c>
      <c r="S409" t="str">
        <f>Données_ATB!BN408</f>
        <v/>
      </c>
      <c r="T409" s="63" t="str">
        <f>Données_ATB!BO408</f>
        <v/>
      </c>
      <c r="U409" s="42" t="str">
        <f>Données_ATB!BQ408</f>
        <v>Tetracyclines</v>
      </c>
      <c r="V409" t="str">
        <f>Données_ATB!BR408</f>
        <v/>
      </c>
      <c r="W409" s="63" t="str">
        <f>Données_ATB!BS408</f>
        <v/>
      </c>
      <c r="Z409" s="42">
        <v>406</v>
      </c>
      <c r="AA409" t="e">
        <f t="shared" si="281"/>
        <v>#N/A</v>
      </c>
      <c r="AB409" s="63" t="e">
        <f t="shared" si="282"/>
        <v>#N/A</v>
      </c>
      <c r="BF409" s="63"/>
      <c r="BT409" s="194" t="str">
        <f t="shared" ca="1" si="265"/>
        <v/>
      </c>
      <c r="BU409" s="219" t="str">
        <f>IFERROR(IF(BX409=0,"",COUNTIF(BX$4:BX$600,"&gt;"&amp;BX409)+COUNTIF(BX$4:BX409,BX409)),"")</f>
        <v/>
      </c>
      <c r="BV409" s="42" t="str">
        <f t="shared" si="266"/>
        <v>PULMODOX DOXYCYCLINE 50 PORC</v>
      </c>
      <c r="BW409" t="e">
        <f>IF(IF(CE$2="Catégorie",IF(CE$3="Toutes",SUMIFS('Étape 1 - à remplir'!$F$31:$F$400,'Étape 1 - à remplir'!$E$31:$E$400,MASQ2!BV409,'Étape 1 - à remplir'!$G$31:$G$400,"lots"),SUMIFS('Étape 1 - à remplir'!$F$31:$F$400,'Étape 1 - à remplir'!$E$31:$E$400,MASQ2!BV409,'Étape 1 - à remplir'!$C$31:$C$400,CE$3)),IF(CE$2="Âge",IF(CE$3="Tous",SUMIFS('Étape 1 - à remplir'!$F$31:$F$400,'Étape 1 - à remplir'!$E$31:$E$400,MASQ2!BV409,'Étape 1 - à remplir'!$G$31:$G$400,"lots"),SUMIFS('Étape 1 - à remplir'!$F$31:$F$400,'Étape 1 - à remplir'!$E$31:$E$400,MASQ2!BV409,'Étape 1 - à remplir'!$P$31:$P$400,CE$3,'Étape 1 - à remplir'!$G$31:$G$400,"lots")),IF(CE$2="Atelier",IF(CE$3="Tous",SUMIFS('Étape 1 - à remplir'!$F$31:$F$400,'Étape 1 - à remplir'!$E$31:$E$400,MASQ2!BV409,'Étape 1 - à remplir'!$G$31:$G$400,"lots"),SUMIFS('Étape 1 - à remplir'!$F$31:$F$400,'Étape 1 - à remplir'!$E$31:$E$400,MASQ2!BV409,'Étape 1 - à remplir'!$O$31:$O$400,CE$3,'Étape 1 - à remplir'!$G$31:$G$400,"lots")),IF(CE$2="Espèce",IF(CE$3="Toutes",SUMIFS('Étape 1 - à remplir'!$F$31:$F$400,'Étape 1 - à remplir'!$E$31:$E$400,MASQ2!BV409,'Étape 1 - à remplir'!$G$31:$G$400,"lots"),SUMIFS('Étape 1 - à remplir'!$F$31:$F$400,'Étape 1 - à remplir'!$E$31:$E$400,MASQ2!BV409,'Étape 1 - à remplir'!$N$31:$N$400,CE$3,'Étape 1 - à remplir'!$G$31:$G$400,"lots"))))))=0,NA(),IF(CE$2="Catégorie",IF(CE$3="Toutes",SUMIFS('Étape 1 - à remplir'!$F$31:$F$400,'Étape 1 - à remplir'!$E$31:$E$400,MASQ2!BV409,'Étape 1 - à remplir'!$G$31:$G$400,"lots"),SUMIFS('Étape 1 - à remplir'!$F$31:$F$400,'Étape 1 - à remplir'!$E$31:$E$400,MASQ2!BV409,'Étape 1 - à remplir'!$C$31:$C$400,CE$3)),IF(CE$2="Âge",IF(CE$3="Tous",SUMIFS('Étape 1 - à remplir'!$F$31:$F$400,'Étape 1 - à remplir'!$E$31:$E$400,MASQ2!BV409,'Étape 1 - à remplir'!$G$31:$G$400,"lots"),SUMIFS('Étape 1 - à remplir'!$F$31:$F$400,'Étape 1 - à remplir'!$E$31:$E$400,MASQ2!BV409,'Étape 1 - à remplir'!$P$31:$P$400,CE$3,'Étape 1 - à remplir'!$G$31:$G$400,"lots")),IF(CE$2="Atelier",IF(CE$3="Tous",SUMIFS('Étape 1 - à remplir'!$F$31:$F$400,'Étape 1 - à remplir'!$E$31:$E$400,MASQ2!BV409,'Étape 1 - à remplir'!$G$31:$G$400,"lots"),SUMIFS('Étape 1 - à remplir'!$F$31:$F$400,'Étape 1 - à remplir'!$E$31:$E$400,MASQ2!BV409,'Étape 1 - à remplir'!$O$31:$O$400,CE$3,'Étape 1 - à remplir'!$G$31:$G$400,"lots")),IF(CE$2="Espèce",IF(CE$3="Toutes",SUMIFS('Étape 1 - à remplir'!$F$31:$F$400,'Étape 1 - à remplir'!$E$31:$E$400,MASQ2!BV409,'Étape 1 - à remplir'!$G$31:$G$400,"lots"),SUMIFS('Étape 1 - à remplir'!$F$31:$F$400,'Étape 1 - à remplir'!$E$31:$E$400,MASQ2!BV409,'Étape 1 - à remplir'!$N$31:$N$400,CE$3,'Étape 1 - à remplir'!$G$31:$G$400,"lots")))))))</f>
        <v>#N/A</v>
      </c>
      <c r="BX409">
        <f t="shared" si="283"/>
        <v>0</v>
      </c>
      <c r="BY409" t="str">
        <f t="shared" si="267"/>
        <v>Doxycycline</v>
      </c>
      <c r="BZ409" t="str">
        <f t="shared" si="268"/>
        <v/>
      </c>
      <c r="CA409" t="str">
        <f t="shared" si="269"/>
        <v/>
      </c>
      <c r="CB409" t="str">
        <f t="shared" si="270"/>
        <v>Tetracyclines</v>
      </c>
      <c r="CC409" t="str">
        <f t="shared" si="271"/>
        <v/>
      </c>
      <c r="CD409" s="63" t="str">
        <f t="shared" si="272"/>
        <v/>
      </c>
      <c r="CG409" s="42">
        <v>406</v>
      </c>
      <c r="CH409" s="42" t="e">
        <f t="shared" si="288"/>
        <v>#N/A</v>
      </c>
      <c r="CI409" s="63" t="e">
        <f t="shared" si="289"/>
        <v>#N/A</v>
      </c>
      <c r="DM409" s="63"/>
      <c r="EA409" s="194" t="str">
        <f t="shared" ca="1" si="273"/>
        <v/>
      </c>
      <c r="EB409" s="226" t="str">
        <f>IFERROR(IF(ED409=0,"",COUNTIF(ED$4:ED$600,"&gt;"&amp;ED409)+COUNTIF(ED$4:ED409,ED409)),"")</f>
        <v/>
      </c>
      <c r="EC409" t="str">
        <f t="shared" si="274"/>
        <v>PULMODOX DOXYCYCLINE 50 PORC</v>
      </c>
      <c r="ED409" t="e">
        <f>IF(IF(EL$2="Catégorie",IF(EL$3="Toutes",SUMIFS('Étape 1 - à remplir'!$F$31:$F$400,'Étape 1 - à remplir'!$E$31:$E$400,MASQ2!EC409,'Étape 1 - à remplir'!$G$31:$G$400,"kg"),SUMIFS('Étape 1 - à remplir'!$F$31:$F$400,'Étape 1 - à remplir'!$E$31:$E$400,MASQ2!EC409,'Étape 1 - à remplir'!$C$31:$C$400,EL$3)),IF(EL$2="Âge",IF(EL$3="Tous",SUMIFS('Étape 1 - à remplir'!$F$31:$F$400,'Étape 1 - à remplir'!$E$31:$E$400,MASQ2!EC409,'Étape 1 - à remplir'!$G$31:$G$400,"kg"),SUMIFS('Étape 1 - à remplir'!$F$31:$F$400,'Étape 1 - à remplir'!$E$31:$E$400,MASQ2!EC409,'Étape 1 - à remplir'!$P$31:$P$400,EL$3,'Étape 1 - à remplir'!$G$31:$G$400,"kg")),IF(EL$2="Atelier",IF(EL$3="Tous",SUMIFS('Étape 1 - à remplir'!$F$31:$F$400,'Étape 1 - à remplir'!$E$31:$E$400,MASQ2!EC409,'Étape 1 - à remplir'!$G$31:$G$400,"kg"),SUMIFS('Étape 1 - à remplir'!$F$31:$F$400,'Étape 1 - à remplir'!$E$31:$E$400,MASQ2!EC409,'Étape 1 - à remplir'!$O$31:$O$400,EL$3,'Étape 1 - à remplir'!$G$31:$G$400,"kg")),IF(EL$2="Espèce",IF(EL$3="Toutes",SUMIFS('Étape 1 - à remplir'!$F$31:$F$400,'Étape 1 - à remplir'!$E$31:$E$400,MASQ2!EC409,'Étape 1 - à remplir'!$G$31:$G$400,"kg"),SUMIFS('Étape 1 - à remplir'!$F$31:$F$400,'Étape 1 - à remplir'!$E$31:$E$400,MASQ2!EC409,'Étape 1 - à remplir'!$N$31:$N$400,EL$3,'Étape 1 - à remplir'!$G$31:$G$400,"kg"))))))=0,NA(),IF(EL$2="Catégorie",IF(EL$3="Toutes",SUMIFS('Étape 1 - à remplir'!$F$31:$F$400,'Étape 1 - à remplir'!$E$31:$E$400,MASQ2!EC409,'Étape 1 - à remplir'!$G$31:$G$400,"kg"),SUMIFS('Étape 1 - à remplir'!$F$31:$F$400,'Étape 1 - à remplir'!$E$31:$E$400,MASQ2!EC409,'Étape 1 - à remplir'!$C$31:$C$400,EL$3)),IF(EL$2="Âge",IF(EL$3="Tous",SUMIFS('Étape 1 - à remplir'!$F$31:$F$400,'Étape 1 - à remplir'!$E$31:$E$400,MASQ2!EC409,'Étape 1 - à remplir'!$G$31:$G$400,"kg"),SUMIFS('Étape 1 - à remplir'!$F$31:$F$400,'Étape 1 - à remplir'!$E$31:$E$400,MASQ2!EC409,'Étape 1 - à remplir'!$P$31:$P$400,EL$3,'Étape 1 - à remplir'!$G$31:$G$400,"kg")),IF(EL$2="Atelier",IF(EL$3="Tous",SUMIFS('Étape 1 - à remplir'!$F$31:$F$400,'Étape 1 - à remplir'!$E$31:$E$400,MASQ2!EC409,'Étape 1 - à remplir'!$G$31:$G$400,"kg"),SUMIFS('Étape 1 - à remplir'!$F$31:$F$400,'Étape 1 - à remplir'!$E$31:$E$400,MASQ2!EC409,'Étape 1 - à remplir'!$O$31:$O$400,EL$3,'Étape 1 - à remplir'!$G$31:$G$400,"kg")),IF(EL$2="Espèce",IF(EL$3="Toutes",SUMIFS('Étape 1 - à remplir'!$F$31:$F$400,'Étape 1 - à remplir'!$E$31:$E$400,MASQ2!EC409,'Étape 1 - à remplir'!$G$31:$G$400,"kg"),SUMIFS('Étape 1 - à remplir'!$F$31:$F$400,'Étape 1 - à remplir'!$E$31:$E$400,MASQ2!EC409,'Étape 1 - à remplir'!$N$31:$N$400,EL$3,'Étape 1 - à remplir'!$G$31:$G$400,"kg")))))))</f>
        <v>#N/A</v>
      </c>
      <c r="EE409" s="76">
        <f t="shared" si="284"/>
        <v>0</v>
      </c>
      <c r="EF409" t="str">
        <f t="shared" si="275"/>
        <v>Doxycycline</v>
      </c>
      <c r="EG409" t="str">
        <f t="shared" si="276"/>
        <v/>
      </c>
      <c r="EH409" t="str">
        <f t="shared" si="277"/>
        <v/>
      </c>
      <c r="EI409" t="str">
        <f t="shared" si="278"/>
        <v>Tetracyclines</v>
      </c>
      <c r="EJ409" t="str">
        <f t="shared" si="279"/>
        <v/>
      </c>
      <c r="EK409" s="63" t="str">
        <f t="shared" si="280"/>
        <v/>
      </c>
      <c r="EN409" s="42">
        <v>406</v>
      </c>
      <c r="EO409" t="e">
        <f t="shared" si="286"/>
        <v>#N/A</v>
      </c>
      <c r="EP409" s="63" t="e">
        <f t="shared" si="287"/>
        <v>#N/A</v>
      </c>
      <c r="FT409" s="63"/>
    </row>
    <row r="410" spans="2:176" x14ac:dyDescent="0.3">
      <c r="B410" s="42"/>
      <c r="M410" s="194" t="str">
        <f ca="1">INDEX(Données_ATB!BD:BU,MATCH(MASQ2!O410,Données_ATB!BD:BD,0),18)</f>
        <v/>
      </c>
      <c r="N410" s="14" t="str">
        <f>IFERROR(IF(Q410=0,"",COUNTIF(Q$4:Q$600,"&gt;"&amp;Q410)+COUNTIF(Q$4:Q410,Q410)),"")</f>
        <v/>
      </c>
      <c r="O410" t="str">
        <f>Données_ATB!BD409</f>
        <v>PULMODOX P.O.S. 5 %</v>
      </c>
      <c r="P410" t="e">
        <f>IF(IF(X$2="Catégorie",IF(X$3="Toutes",SUMIFS('Étape 1 - à remplir'!$F$31:$F$400,'Étape 1 - à remplir'!$E$31:$E$400,MASQ2!O410,'Étape 1 - à remplir'!$G$31:$G$400,"animaux"),SUMIFS('Étape 1 - à remplir'!$F$31:$F$400,'Étape 1 - à remplir'!$E$31:$E$400,MASQ2!O410,'Étape 1 - à remplir'!$C$31:$C$400,X$3)),IF(X$2="Âge",IF(X$3="Tous",SUMIFS('Étape 1 - à remplir'!$F$31:$F$400,'Étape 1 - à remplir'!$E$31:$E$400,MASQ2!O410,'Étape 1 - à remplir'!$G$31:$G$400,"animaux"),SUMIFS('Étape 1 - à remplir'!$F$31:$F$400,'Étape 1 - à remplir'!$E$31:$E$400,MASQ2!O410,'Étape 1 - à remplir'!$P$31:$P$400,X$3)),IF(X$2="Atelier",IF(X$3="Tous",SUMIFS('Étape 1 - à remplir'!$F$31:$F$400,'Étape 1 - à remplir'!$E$31:$E$400,MASQ2!O410,'Étape 1 - à remplir'!$G$31:$G$400,"animaux"),SUMIFS('Étape 1 - à remplir'!$F$31:$F$400,'Étape 1 - à remplir'!$E$31:$E$400,MASQ2!O410,'Étape 1 - à remplir'!$O$31:$O$400,X$3)),IF(X$2="Espèce",IF(X$3="Toutes",SUMIFS('Étape 1 - à remplir'!$F$31:$F$400,'Étape 1 - à remplir'!$E$31:$E$400,MASQ2!O410,'Étape 1 - à remplir'!$G$31:$G$400,"animaux"),SUMIFS('Étape 1 - à remplir'!$F$31:$F$400,'Étape 1 - à remplir'!$E$31:$E$400,MASQ2!O410,'Étape 1 - à remplir'!$N$31:$N$400,X$3))))))=0,NA(),IF(X$2="Catégorie",IF(X$3="Toutes",SUMIFS('Étape 1 - à remplir'!$F$31:$F$400,'Étape 1 - à remplir'!$E$31:$E$400,MASQ2!O410,'Étape 1 - à remplir'!$G$31:$G$400,"animaux"),SUMIFS('Étape 1 - à remplir'!$F$31:$F$400,'Étape 1 - à remplir'!$E$31:$E$400,MASQ2!O410,'Étape 1 - à remplir'!$C$31:$C$400,X$3)),IF(X$2="Âge",IF(X$3="Tous",SUMIFS('Étape 1 - à remplir'!$F$31:$F$400,'Étape 1 - à remplir'!$E$31:$E$400,MASQ2!O410,'Étape 1 - à remplir'!$G$31:$G$400,"animaux"),SUMIFS('Étape 1 - à remplir'!$F$31:$F$400,'Étape 1 - à remplir'!$E$31:$E$400,MASQ2!O410,'Étape 1 - à remplir'!$P$31:$P$400,X$3)),IF(X$2="Atelier",IF(X$3="Tous",SUMIFS('Étape 1 - à remplir'!$F$31:$F$400,'Étape 1 - à remplir'!$E$31:$E$400,MASQ2!O410,'Étape 1 - à remplir'!$G$31:$G$400,"animaux"),SUMIFS('Étape 1 - à remplir'!$F$31:$F$400,'Étape 1 - à remplir'!$E$31:$E$400,MASQ2!O410,'Étape 1 - à remplir'!$O$31:$O$400,X$3)),IF(X$2="Espèce",IF(X$3="Toutes",SUMIFS('Étape 1 - à remplir'!$F$31:$F$400,'Étape 1 - à remplir'!$E$31:$E$400,MASQ2!O410,'Étape 1 - à remplir'!$G$31:$G$400,"animaux"),SUMIFS('Étape 1 - à remplir'!$F$31:$F$400,'Étape 1 - à remplir'!$E$31:$E$400,MASQ2!O410,'Étape 1 - à remplir'!$N$31:$N$400,X$3)))))))</f>
        <v>#N/A</v>
      </c>
      <c r="Q410" s="63">
        <f t="shared" si="285"/>
        <v>0</v>
      </c>
      <c r="R410" t="str">
        <f>Données_ATB!BM409</f>
        <v>Doxycycline</v>
      </c>
      <c r="S410" t="str">
        <f>Données_ATB!BN409</f>
        <v/>
      </c>
      <c r="T410" s="63" t="str">
        <f>Données_ATB!BO409</f>
        <v/>
      </c>
      <c r="U410" s="42" t="str">
        <f>Données_ATB!BQ409</f>
        <v>Tetracyclines</v>
      </c>
      <c r="V410" t="str">
        <f>Données_ATB!BR409</f>
        <v/>
      </c>
      <c r="W410" s="63" t="str">
        <f>Données_ATB!BS409</f>
        <v/>
      </c>
      <c r="Z410" s="42">
        <v>407</v>
      </c>
      <c r="AA410" t="e">
        <f t="shared" si="281"/>
        <v>#N/A</v>
      </c>
      <c r="AB410" s="63" t="e">
        <f t="shared" si="282"/>
        <v>#N/A</v>
      </c>
      <c r="BF410" s="63"/>
      <c r="BT410" s="194" t="str">
        <f t="shared" ca="1" si="265"/>
        <v/>
      </c>
      <c r="BU410" s="219" t="str">
        <f>IFERROR(IF(BX410=0,"",COUNTIF(BX$4:BX$600,"&gt;"&amp;BX410)+COUNTIF(BX$4:BX410,BX410)),"")</f>
        <v/>
      </c>
      <c r="BV410" s="42" t="str">
        <f t="shared" si="266"/>
        <v>PULMODOX P.O.S. 5 %</v>
      </c>
      <c r="BW410" t="e">
        <f>IF(IF(CE$2="Catégorie",IF(CE$3="Toutes",SUMIFS('Étape 1 - à remplir'!$F$31:$F$400,'Étape 1 - à remplir'!$E$31:$E$400,MASQ2!BV410,'Étape 1 - à remplir'!$G$31:$G$400,"lots"),SUMIFS('Étape 1 - à remplir'!$F$31:$F$400,'Étape 1 - à remplir'!$E$31:$E$400,MASQ2!BV410,'Étape 1 - à remplir'!$C$31:$C$400,CE$3)),IF(CE$2="Âge",IF(CE$3="Tous",SUMIFS('Étape 1 - à remplir'!$F$31:$F$400,'Étape 1 - à remplir'!$E$31:$E$400,MASQ2!BV410,'Étape 1 - à remplir'!$G$31:$G$400,"lots"),SUMIFS('Étape 1 - à remplir'!$F$31:$F$400,'Étape 1 - à remplir'!$E$31:$E$400,MASQ2!BV410,'Étape 1 - à remplir'!$P$31:$P$400,CE$3,'Étape 1 - à remplir'!$G$31:$G$400,"lots")),IF(CE$2="Atelier",IF(CE$3="Tous",SUMIFS('Étape 1 - à remplir'!$F$31:$F$400,'Étape 1 - à remplir'!$E$31:$E$400,MASQ2!BV410,'Étape 1 - à remplir'!$G$31:$G$400,"lots"),SUMIFS('Étape 1 - à remplir'!$F$31:$F$400,'Étape 1 - à remplir'!$E$31:$E$400,MASQ2!BV410,'Étape 1 - à remplir'!$O$31:$O$400,CE$3,'Étape 1 - à remplir'!$G$31:$G$400,"lots")),IF(CE$2="Espèce",IF(CE$3="Toutes",SUMIFS('Étape 1 - à remplir'!$F$31:$F$400,'Étape 1 - à remplir'!$E$31:$E$400,MASQ2!BV410,'Étape 1 - à remplir'!$G$31:$G$400,"lots"),SUMIFS('Étape 1 - à remplir'!$F$31:$F$400,'Étape 1 - à remplir'!$E$31:$E$400,MASQ2!BV410,'Étape 1 - à remplir'!$N$31:$N$400,CE$3,'Étape 1 - à remplir'!$G$31:$G$400,"lots"))))))=0,NA(),IF(CE$2="Catégorie",IF(CE$3="Toutes",SUMIFS('Étape 1 - à remplir'!$F$31:$F$400,'Étape 1 - à remplir'!$E$31:$E$400,MASQ2!BV410,'Étape 1 - à remplir'!$G$31:$G$400,"lots"),SUMIFS('Étape 1 - à remplir'!$F$31:$F$400,'Étape 1 - à remplir'!$E$31:$E$400,MASQ2!BV410,'Étape 1 - à remplir'!$C$31:$C$400,CE$3)),IF(CE$2="Âge",IF(CE$3="Tous",SUMIFS('Étape 1 - à remplir'!$F$31:$F$400,'Étape 1 - à remplir'!$E$31:$E$400,MASQ2!BV410,'Étape 1 - à remplir'!$G$31:$G$400,"lots"),SUMIFS('Étape 1 - à remplir'!$F$31:$F$400,'Étape 1 - à remplir'!$E$31:$E$400,MASQ2!BV410,'Étape 1 - à remplir'!$P$31:$P$400,CE$3,'Étape 1 - à remplir'!$G$31:$G$400,"lots")),IF(CE$2="Atelier",IF(CE$3="Tous",SUMIFS('Étape 1 - à remplir'!$F$31:$F$400,'Étape 1 - à remplir'!$E$31:$E$400,MASQ2!BV410,'Étape 1 - à remplir'!$G$31:$G$400,"lots"),SUMIFS('Étape 1 - à remplir'!$F$31:$F$400,'Étape 1 - à remplir'!$E$31:$E$400,MASQ2!BV410,'Étape 1 - à remplir'!$O$31:$O$400,CE$3,'Étape 1 - à remplir'!$G$31:$G$400,"lots")),IF(CE$2="Espèce",IF(CE$3="Toutes",SUMIFS('Étape 1 - à remplir'!$F$31:$F$400,'Étape 1 - à remplir'!$E$31:$E$400,MASQ2!BV410,'Étape 1 - à remplir'!$G$31:$G$400,"lots"),SUMIFS('Étape 1 - à remplir'!$F$31:$F$400,'Étape 1 - à remplir'!$E$31:$E$400,MASQ2!BV410,'Étape 1 - à remplir'!$N$31:$N$400,CE$3,'Étape 1 - à remplir'!$G$31:$G$400,"lots")))))))</f>
        <v>#N/A</v>
      </c>
      <c r="BX410">
        <f t="shared" si="283"/>
        <v>0</v>
      </c>
      <c r="BY410" t="str">
        <f t="shared" si="267"/>
        <v>Doxycycline</v>
      </c>
      <c r="BZ410" t="str">
        <f t="shared" si="268"/>
        <v/>
      </c>
      <c r="CA410" t="str">
        <f t="shared" si="269"/>
        <v/>
      </c>
      <c r="CB410" t="str">
        <f t="shared" si="270"/>
        <v>Tetracyclines</v>
      </c>
      <c r="CC410" t="str">
        <f t="shared" si="271"/>
        <v/>
      </c>
      <c r="CD410" s="63" t="str">
        <f t="shared" si="272"/>
        <v/>
      </c>
      <c r="CG410" s="42">
        <v>407</v>
      </c>
      <c r="CH410" s="42" t="e">
        <f t="shared" si="288"/>
        <v>#N/A</v>
      </c>
      <c r="CI410" s="63" t="e">
        <f t="shared" si="289"/>
        <v>#N/A</v>
      </c>
      <c r="DM410" s="63"/>
      <c r="EA410" s="194" t="str">
        <f t="shared" ca="1" si="273"/>
        <v/>
      </c>
      <c r="EB410" s="226" t="str">
        <f>IFERROR(IF(ED410=0,"",COUNTIF(ED$4:ED$600,"&gt;"&amp;ED410)+COUNTIF(ED$4:ED410,ED410)),"")</f>
        <v/>
      </c>
      <c r="EC410" t="str">
        <f t="shared" si="274"/>
        <v>PULMODOX P.O.S. 5 %</v>
      </c>
      <c r="ED410" t="e">
        <f>IF(IF(EL$2="Catégorie",IF(EL$3="Toutes",SUMIFS('Étape 1 - à remplir'!$F$31:$F$400,'Étape 1 - à remplir'!$E$31:$E$400,MASQ2!EC410,'Étape 1 - à remplir'!$G$31:$G$400,"kg"),SUMIFS('Étape 1 - à remplir'!$F$31:$F$400,'Étape 1 - à remplir'!$E$31:$E$400,MASQ2!EC410,'Étape 1 - à remplir'!$C$31:$C$400,EL$3)),IF(EL$2="Âge",IF(EL$3="Tous",SUMIFS('Étape 1 - à remplir'!$F$31:$F$400,'Étape 1 - à remplir'!$E$31:$E$400,MASQ2!EC410,'Étape 1 - à remplir'!$G$31:$G$400,"kg"),SUMIFS('Étape 1 - à remplir'!$F$31:$F$400,'Étape 1 - à remplir'!$E$31:$E$400,MASQ2!EC410,'Étape 1 - à remplir'!$P$31:$P$400,EL$3,'Étape 1 - à remplir'!$G$31:$G$400,"kg")),IF(EL$2="Atelier",IF(EL$3="Tous",SUMIFS('Étape 1 - à remplir'!$F$31:$F$400,'Étape 1 - à remplir'!$E$31:$E$400,MASQ2!EC410,'Étape 1 - à remplir'!$G$31:$G$400,"kg"),SUMIFS('Étape 1 - à remplir'!$F$31:$F$400,'Étape 1 - à remplir'!$E$31:$E$400,MASQ2!EC410,'Étape 1 - à remplir'!$O$31:$O$400,EL$3,'Étape 1 - à remplir'!$G$31:$G$400,"kg")),IF(EL$2="Espèce",IF(EL$3="Toutes",SUMIFS('Étape 1 - à remplir'!$F$31:$F$400,'Étape 1 - à remplir'!$E$31:$E$400,MASQ2!EC410,'Étape 1 - à remplir'!$G$31:$G$400,"kg"),SUMIFS('Étape 1 - à remplir'!$F$31:$F$400,'Étape 1 - à remplir'!$E$31:$E$400,MASQ2!EC410,'Étape 1 - à remplir'!$N$31:$N$400,EL$3,'Étape 1 - à remplir'!$G$31:$G$400,"kg"))))))=0,NA(),IF(EL$2="Catégorie",IF(EL$3="Toutes",SUMIFS('Étape 1 - à remplir'!$F$31:$F$400,'Étape 1 - à remplir'!$E$31:$E$400,MASQ2!EC410,'Étape 1 - à remplir'!$G$31:$G$400,"kg"),SUMIFS('Étape 1 - à remplir'!$F$31:$F$400,'Étape 1 - à remplir'!$E$31:$E$400,MASQ2!EC410,'Étape 1 - à remplir'!$C$31:$C$400,EL$3)),IF(EL$2="Âge",IF(EL$3="Tous",SUMIFS('Étape 1 - à remplir'!$F$31:$F$400,'Étape 1 - à remplir'!$E$31:$E$400,MASQ2!EC410,'Étape 1 - à remplir'!$G$31:$G$400,"kg"),SUMIFS('Étape 1 - à remplir'!$F$31:$F$400,'Étape 1 - à remplir'!$E$31:$E$400,MASQ2!EC410,'Étape 1 - à remplir'!$P$31:$P$400,EL$3,'Étape 1 - à remplir'!$G$31:$G$400,"kg")),IF(EL$2="Atelier",IF(EL$3="Tous",SUMIFS('Étape 1 - à remplir'!$F$31:$F$400,'Étape 1 - à remplir'!$E$31:$E$400,MASQ2!EC410,'Étape 1 - à remplir'!$G$31:$G$400,"kg"),SUMIFS('Étape 1 - à remplir'!$F$31:$F$400,'Étape 1 - à remplir'!$E$31:$E$400,MASQ2!EC410,'Étape 1 - à remplir'!$O$31:$O$400,EL$3,'Étape 1 - à remplir'!$G$31:$G$400,"kg")),IF(EL$2="Espèce",IF(EL$3="Toutes",SUMIFS('Étape 1 - à remplir'!$F$31:$F$400,'Étape 1 - à remplir'!$E$31:$E$400,MASQ2!EC410,'Étape 1 - à remplir'!$G$31:$G$400,"kg"),SUMIFS('Étape 1 - à remplir'!$F$31:$F$400,'Étape 1 - à remplir'!$E$31:$E$400,MASQ2!EC410,'Étape 1 - à remplir'!$N$31:$N$400,EL$3,'Étape 1 - à remplir'!$G$31:$G$400,"kg")))))))</f>
        <v>#N/A</v>
      </c>
      <c r="EE410" s="76">
        <f t="shared" si="284"/>
        <v>0</v>
      </c>
      <c r="EF410" t="str">
        <f t="shared" si="275"/>
        <v>Doxycycline</v>
      </c>
      <c r="EG410" t="str">
        <f t="shared" si="276"/>
        <v/>
      </c>
      <c r="EH410" t="str">
        <f t="shared" si="277"/>
        <v/>
      </c>
      <c r="EI410" t="str">
        <f t="shared" si="278"/>
        <v>Tetracyclines</v>
      </c>
      <c r="EJ410" t="str">
        <f t="shared" si="279"/>
        <v/>
      </c>
      <c r="EK410" s="63" t="str">
        <f t="shared" si="280"/>
        <v/>
      </c>
      <c r="EN410" s="42">
        <v>407</v>
      </c>
      <c r="EO410" t="e">
        <f t="shared" si="286"/>
        <v>#N/A</v>
      </c>
      <c r="EP410" s="63" t="e">
        <f t="shared" si="287"/>
        <v>#N/A</v>
      </c>
      <c r="FT410" s="63"/>
    </row>
    <row r="411" spans="2:176" x14ac:dyDescent="0.3">
      <c r="B411" s="42"/>
      <c r="M411" s="194" t="str">
        <f ca="1">INDEX(Données_ATB!BD:BU,MATCH(MASQ2!O411,Données_ATB!BD:BD,0),18)</f>
        <v/>
      </c>
      <c r="N411" s="14" t="str">
        <f>IFERROR(IF(Q411=0,"",COUNTIF(Q$4:Q$600,"&gt;"&amp;Q411)+COUNTIF(Q$4:Q411,Q411)),"")</f>
        <v/>
      </c>
      <c r="O411" t="str">
        <f>Données_ATB!BD410</f>
        <v>PULMOTIL AC</v>
      </c>
      <c r="P411" t="e">
        <f>IF(IF(X$2="Catégorie",IF(X$3="Toutes",SUMIFS('Étape 1 - à remplir'!$F$31:$F$400,'Étape 1 - à remplir'!$E$31:$E$400,MASQ2!O411,'Étape 1 - à remplir'!$G$31:$G$400,"animaux"),SUMIFS('Étape 1 - à remplir'!$F$31:$F$400,'Étape 1 - à remplir'!$E$31:$E$400,MASQ2!O411,'Étape 1 - à remplir'!$C$31:$C$400,X$3)),IF(X$2="Âge",IF(X$3="Tous",SUMIFS('Étape 1 - à remplir'!$F$31:$F$400,'Étape 1 - à remplir'!$E$31:$E$400,MASQ2!O411,'Étape 1 - à remplir'!$G$31:$G$400,"animaux"),SUMIFS('Étape 1 - à remplir'!$F$31:$F$400,'Étape 1 - à remplir'!$E$31:$E$400,MASQ2!O411,'Étape 1 - à remplir'!$P$31:$P$400,X$3)),IF(X$2="Atelier",IF(X$3="Tous",SUMIFS('Étape 1 - à remplir'!$F$31:$F$400,'Étape 1 - à remplir'!$E$31:$E$400,MASQ2!O411,'Étape 1 - à remplir'!$G$31:$G$400,"animaux"),SUMIFS('Étape 1 - à remplir'!$F$31:$F$400,'Étape 1 - à remplir'!$E$31:$E$400,MASQ2!O411,'Étape 1 - à remplir'!$O$31:$O$400,X$3)),IF(X$2="Espèce",IF(X$3="Toutes",SUMIFS('Étape 1 - à remplir'!$F$31:$F$400,'Étape 1 - à remplir'!$E$31:$E$400,MASQ2!O411,'Étape 1 - à remplir'!$G$31:$G$400,"animaux"),SUMIFS('Étape 1 - à remplir'!$F$31:$F$400,'Étape 1 - à remplir'!$E$31:$E$400,MASQ2!O411,'Étape 1 - à remplir'!$N$31:$N$400,X$3))))))=0,NA(),IF(X$2="Catégorie",IF(X$3="Toutes",SUMIFS('Étape 1 - à remplir'!$F$31:$F$400,'Étape 1 - à remplir'!$E$31:$E$400,MASQ2!O411,'Étape 1 - à remplir'!$G$31:$G$400,"animaux"),SUMIFS('Étape 1 - à remplir'!$F$31:$F$400,'Étape 1 - à remplir'!$E$31:$E$400,MASQ2!O411,'Étape 1 - à remplir'!$C$31:$C$400,X$3)),IF(X$2="Âge",IF(X$3="Tous",SUMIFS('Étape 1 - à remplir'!$F$31:$F$400,'Étape 1 - à remplir'!$E$31:$E$400,MASQ2!O411,'Étape 1 - à remplir'!$G$31:$G$400,"animaux"),SUMIFS('Étape 1 - à remplir'!$F$31:$F$400,'Étape 1 - à remplir'!$E$31:$E$400,MASQ2!O411,'Étape 1 - à remplir'!$P$31:$P$400,X$3)),IF(X$2="Atelier",IF(X$3="Tous",SUMIFS('Étape 1 - à remplir'!$F$31:$F$400,'Étape 1 - à remplir'!$E$31:$E$400,MASQ2!O411,'Étape 1 - à remplir'!$G$31:$G$400,"animaux"),SUMIFS('Étape 1 - à remplir'!$F$31:$F$400,'Étape 1 - à remplir'!$E$31:$E$400,MASQ2!O411,'Étape 1 - à remplir'!$O$31:$O$400,X$3)),IF(X$2="Espèce",IF(X$3="Toutes",SUMIFS('Étape 1 - à remplir'!$F$31:$F$400,'Étape 1 - à remplir'!$E$31:$E$400,MASQ2!O411,'Étape 1 - à remplir'!$G$31:$G$400,"animaux"),SUMIFS('Étape 1 - à remplir'!$F$31:$F$400,'Étape 1 - à remplir'!$E$31:$E$400,MASQ2!O411,'Étape 1 - à remplir'!$N$31:$N$400,X$3)))))))</f>
        <v>#N/A</v>
      </c>
      <c r="Q411" s="63">
        <f t="shared" si="285"/>
        <v>0</v>
      </c>
      <c r="R411" t="str">
        <f>Données_ATB!BM410</f>
        <v>Tilmicosine</v>
      </c>
      <c r="S411" t="str">
        <f>Données_ATB!BN410</f>
        <v/>
      </c>
      <c r="T411" s="63" t="str">
        <f>Données_ATB!BO410</f>
        <v/>
      </c>
      <c r="U411" s="42" t="str">
        <f>Données_ATB!BQ410</f>
        <v>Macrolides</v>
      </c>
      <c r="V411" t="str">
        <f>Données_ATB!BR410</f>
        <v/>
      </c>
      <c r="W411" s="63" t="str">
        <f>Données_ATB!BS410</f>
        <v/>
      </c>
      <c r="Z411" s="42">
        <v>408</v>
      </c>
      <c r="AA411" t="e">
        <f t="shared" si="281"/>
        <v>#N/A</v>
      </c>
      <c r="AB411" s="63" t="e">
        <f t="shared" si="282"/>
        <v>#N/A</v>
      </c>
      <c r="BF411" s="63"/>
      <c r="BT411" s="194" t="str">
        <f t="shared" ca="1" si="265"/>
        <v/>
      </c>
      <c r="BU411" s="219" t="str">
        <f>IFERROR(IF(BX411=0,"",COUNTIF(BX$4:BX$600,"&gt;"&amp;BX411)+COUNTIF(BX$4:BX411,BX411)),"")</f>
        <v/>
      </c>
      <c r="BV411" s="42" t="str">
        <f t="shared" si="266"/>
        <v>PULMOTIL AC</v>
      </c>
      <c r="BW411" t="e">
        <f>IF(IF(CE$2="Catégorie",IF(CE$3="Toutes",SUMIFS('Étape 1 - à remplir'!$F$31:$F$400,'Étape 1 - à remplir'!$E$31:$E$400,MASQ2!BV411,'Étape 1 - à remplir'!$G$31:$G$400,"lots"),SUMIFS('Étape 1 - à remplir'!$F$31:$F$400,'Étape 1 - à remplir'!$E$31:$E$400,MASQ2!BV411,'Étape 1 - à remplir'!$C$31:$C$400,CE$3)),IF(CE$2="Âge",IF(CE$3="Tous",SUMIFS('Étape 1 - à remplir'!$F$31:$F$400,'Étape 1 - à remplir'!$E$31:$E$400,MASQ2!BV411,'Étape 1 - à remplir'!$G$31:$G$400,"lots"),SUMIFS('Étape 1 - à remplir'!$F$31:$F$400,'Étape 1 - à remplir'!$E$31:$E$400,MASQ2!BV411,'Étape 1 - à remplir'!$P$31:$P$400,CE$3,'Étape 1 - à remplir'!$G$31:$G$400,"lots")),IF(CE$2="Atelier",IF(CE$3="Tous",SUMIFS('Étape 1 - à remplir'!$F$31:$F$400,'Étape 1 - à remplir'!$E$31:$E$400,MASQ2!BV411,'Étape 1 - à remplir'!$G$31:$G$400,"lots"),SUMIFS('Étape 1 - à remplir'!$F$31:$F$400,'Étape 1 - à remplir'!$E$31:$E$400,MASQ2!BV411,'Étape 1 - à remplir'!$O$31:$O$400,CE$3,'Étape 1 - à remplir'!$G$31:$G$400,"lots")),IF(CE$2="Espèce",IF(CE$3="Toutes",SUMIFS('Étape 1 - à remplir'!$F$31:$F$400,'Étape 1 - à remplir'!$E$31:$E$400,MASQ2!BV411,'Étape 1 - à remplir'!$G$31:$G$400,"lots"),SUMIFS('Étape 1 - à remplir'!$F$31:$F$400,'Étape 1 - à remplir'!$E$31:$E$400,MASQ2!BV411,'Étape 1 - à remplir'!$N$31:$N$400,CE$3,'Étape 1 - à remplir'!$G$31:$G$400,"lots"))))))=0,NA(),IF(CE$2="Catégorie",IF(CE$3="Toutes",SUMIFS('Étape 1 - à remplir'!$F$31:$F$400,'Étape 1 - à remplir'!$E$31:$E$400,MASQ2!BV411,'Étape 1 - à remplir'!$G$31:$G$400,"lots"),SUMIFS('Étape 1 - à remplir'!$F$31:$F$400,'Étape 1 - à remplir'!$E$31:$E$400,MASQ2!BV411,'Étape 1 - à remplir'!$C$31:$C$400,CE$3)),IF(CE$2="Âge",IF(CE$3="Tous",SUMIFS('Étape 1 - à remplir'!$F$31:$F$400,'Étape 1 - à remplir'!$E$31:$E$400,MASQ2!BV411,'Étape 1 - à remplir'!$G$31:$G$400,"lots"),SUMIFS('Étape 1 - à remplir'!$F$31:$F$400,'Étape 1 - à remplir'!$E$31:$E$400,MASQ2!BV411,'Étape 1 - à remplir'!$P$31:$P$400,CE$3,'Étape 1 - à remplir'!$G$31:$G$400,"lots")),IF(CE$2="Atelier",IF(CE$3="Tous",SUMIFS('Étape 1 - à remplir'!$F$31:$F$400,'Étape 1 - à remplir'!$E$31:$E$400,MASQ2!BV411,'Étape 1 - à remplir'!$G$31:$G$400,"lots"),SUMIFS('Étape 1 - à remplir'!$F$31:$F$400,'Étape 1 - à remplir'!$E$31:$E$400,MASQ2!BV411,'Étape 1 - à remplir'!$O$31:$O$400,CE$3,'Étape 1 - à remplir'!$G$31:$G$400,"lots")),IF(CE$2="Espèce",IF(CE$3="Toutes",SUMIFS('Étape 1 - à remplir'!$F$31:$F$400,'Étape 1 - à remplir'!$E$31:$E$400,MASQ2!BV411,'Étape 1 - à remplir'!$G$31:$G$400,"lots"),SUMIFS('Étape 1 - à remplir'!$F$31:$F$400,'Étape 1 - à remplir'!$E$31:$E$400,MASQ2!BV411,'Étape 1 - à remplir'!$N$31:$N$400,CE$3,'Étape 1 - à remplir'!$G$31:$G$400,"lots")))))))</f>
        <v>#N/A</v>
      </c>
      <c r="BX411">
        <f t="shared" si="283"/>
        <v>0</v>
      </c>
      <c r="BY411" t="str">
        <f t="shared" si="267"/>
        <v>Tilmicosine</v>
      </c>
      <c r="BZ411" t="str">
        <f t="shared" si="268"/>
        <v/>
      </c>
      <c r="CA411" t="str">
        <f t="shared" si="269"/>
        <v/>
      </c>
      <c r="CB411" t="str">
        <f t="shared" si="270"/>
        <v>Macrolides</v>
      </c>
      <c r="CC411" t="str">
        <f t="shared" si="271"/>
        <v/>
      </c>
      <c r="CD411" s="63" t="str">
        <f t="shared" si="272"/>
        <v/>
      </c>
      <c r="CG411" s="42">
        <v>408</v>
      </c>
      <c r="CH411" s="42" t="e">
        <f t="shared" si="288"/>
        <v>#N/A</v>
      </c>
      <c r="CI411" s="63" t="e">
        <f t="shared" si="289"/>
        <v>#N/A</v>
      </c>
      <c r="DM411" s="63"/>
      <c r="EA411" s="194" t="str">
        <f t="shared" ca="1" si="273"/>
        <v/>
      </c>
      <c r="EB411" s="226" t="str">
        <f>IFERROR(IF(ED411=0,"",COUNTIF(ED$4:ED$600,"&gt;"&amp;ED411)+COUNTIF(ED$4:ED411,ED411)),"")</f>
        <v/>
      </c>
      <c r="EC411" t="str">
        <f t="shared" si="274"/>
        <v>PULMOTIL AC</v>
      </c>
      <c r="ED411" t="e">
        <f>IF(IF(EL$2="Catégorie",IF(EL$3="Toutes",SUMIFS('Étape 1 - à remplir'!$F$31:$F$400,'Étape 1 - à remplir'!$E$31:$E$400,MASQ2!EC411,'Étape 1 - à remplir'!$G$31:$G$400,"kg"),SUMIFS('Étape 1 - à remplir'!$F$31:$F$400,'Étape 1 - à remplir'!$E$31:$E$400,MASQ2!EC411,'Étape 1 - à remplir'!$C$31:$C$400,EL$3)),IF(EL$2="Âge",IF(EL$3="Tous",SUMIFS('Étape 1 - à remplir'!$F$31:$F$400,'Étape 1 - à remplir'!$E$31:$E$400,MASQ2!EC411,'Étape 1 - à remplir'!$G$31:$G$400,"kg"),SUMIFS('Étape 1 - à remplir'!$F$31:$F$400,'Étape 1 - à remplir'!$E$31:$E$400,MASQ2!EC411,'Étape 1 - à remplir'!$P$31:$P$400,EL$3,'Étape 1 - à remplir'!$G$31:$G$400,"kg")),IF(EL$2="Atelier",IF(EL$3="Tous",SUMIFS('Étape 1 - à remplir'!$F$31:$F$400,'Étape 1 - à remplir'!$E$31:$E$400,MASQ2!EC411,'Étape 1 - à remplir'!$G$31:$G$400,"kg"),SUMIFS('Étape 1 - à remplir'!$F$31:$F$400,'Étape 1 - à remplir'!$E$31:$E$400,MASQ2!EC411,'Étape 1 - à remplir'!$O$31:$O$400,EL$3,'Étape 1 - à remplir'!$G$31:$G$400,"kg")),IF(EL$2="Espèce",IF(EL$3="Toutes",SUMIFS('Étape 1 - à remplir'!$F$31:$F$400,'Étape 1 - à remplir'!$E$31:$E$400,MASQ2!EC411,'Étape 1 - à remplir'!$G$31:$G$400,"kg"),SUMIFS('Étape 1 - à remplir'!$F$31:$F$400,'Étape 1 - à remplir'!$E$31:$E$400,MASQ2!EC411,'Étape 1 - à remplir'!$N$31:$N$400,EL$3,'Étape 1 - à remplir'!$G$31:$G$400,"kg"))))))=0,NA(),IF(EL$2="Catégorie",IF(EL$3="Toutes",SUMIFS('Étape 1 - à remplir'!$F$31:$F$400,'Étape 1 - à remplir'!$E$31:$E$400,MASQ2!EC411,'Étape 1 - à remplir'!$G$31:$G$400,"kg"),SUMIFS('Étape 1 - à remplir'!$F$31:$F$400,'Étape 1 - à remplir'!$E$31:$E$400,MASQ2!EC411,'Étape 1 - à remplir'!$C$31:$C$400,EL$3)),IF(EL$2="Âge",IF(EL$3="Tous",SUMIFS('Étape 1 - à remplir'!$F$31:$F$400,'Étape 1 - à remplir'!$E$31:$E$400,MASQ2!EC411,'Étape 1 - à remplir'!$G$31:$G$400,"kg"),SUMIFS('Étape 1 - à remplir'!$F$31:$F$400,'Étape 1 - à remplir'!$E$31:$E$400,MASQ2!EC411,'Étape 1 - à remplir'!$P$31:$P$400,EL$3,'Étape 1 - à remplir'!$G$31:$G$400,"kg")),IF(EL$2="Atelier",IF(EL$3="Tous",SUMIFS('Étape 1 - à remplir'!$F$31:$F$400,'Étape 1 - à remplir'!$E$31:$E$400,MASQ2!EC411,'Étape 1 - à remplir'!$G$31:$G$400,"kg"),SUMIFS('Étape 1 - à remplir'!$F$31:$F$400,'Étape 1 - à remplir'!$E$31:$E$400,MASQ2!EC411,'Étape 1 - à remplir'!$O$31:$O$400,EL$3,'Étape 1 - à remplir'!$G$31:$G$400,"kg")),IF(EL$2="Espèce",IF(EL$3="Toutes",SUMIFS('Étape 1 - à remplir'!$F$31:$F$400,'Étape 1 - à remplir'!$E$31:$E$400,MASQ2!EC411,'Étape 1 - à remplir'!$G$31:$G$400,"kg"),SUMIFS('Étape 1 - à remplir'!$F$31:$F$400,'Étape 1 - à remplir'!$E$31:$E$400,MASQ2!EC411,'Étape 1 - à remplir'!$N$31:$N$400,EL$3,'Étape 1 - à remplir'!$G$31:$G$400,"kg")))))))</f>
        <v>#N/A</v>
      </c>
      <c r="EE411" s="76">
        <f t="shared" si="284"/>
        <v>0</v>
      </c>
      <c r="EF411" t="str">
        <f t="shared" si="275"/>
        <v>Tilmicosine</v>
      </c>
      <c r="EG411" t="str">
        <f t="shared" si="276"/>
        <v/>
      </c>
      <c r="EH411" t="str">
        <f t="shared" si="277"/>
        <v/>
      </c>
      <c r="EI411" t="str">
        <f t="shared" si="278"/>
        <v>Macrolides</v>
      </c>
      <c r="EJ411" t="str">
        <f t="shared" si="279"/>
        <v/>
      </c>
      <c r="EK411" s="63" t="str">
        <f t="shared" si="280"/>
        <v/>
      </c>
      <c r="EN411" s="42">
        <v>408</v>
      </c>
      <c r="EO411" t="e">
        <f t="shared" si="286"/>
        <v>#N/A</v>
      </c>
      <c r="EP411" s="63" t="e">
        <f t="shared" si="287"/>
        <v>#N/A</v>
      </c>
      <c r="FT411" s="63"/>
    </row>
    <row r="412" spans="2:176" x14ac:dyDescent="0.3">
      <c r="B412" s="42"/>
      <c r="M412" s="194" t="str">
        <f ca="1">INDEX(Données_ATB!BD:BU,MATCH(MASQ2!O412,Données_ATB!BD:BD,0),18)</f>
        <v/>
      </c>
      <c r="N412" s="14" t="str">
        <f>IFERROR(IF(Q412=0,"",COUNTIF(Q$4:Q$600,"&gt;"&amp;Q412)+COUNTIF(Q$4:Q412,Q412)),"")</f>
        <v/>
      </c>
      <c r="O412" t="str">
        <f>Données_ATB!BD411</f>
        <v>PULMOTIL TILMICOSINE 40 PORC-LAPIN</v>
      </c>
      <c r="P412" t="e">
        <f>IF(IF(X$2="Catégorie",IF(X$3="Toutes",SUMIFS('Étape 1 - à remplir'!$F$31:$F$400,'Étape 1 - à remplir'!$E$31:$E$400,MASQ2!O412,'Étape 1 - à remplir'!$G$31:$G$400,"animaux"),SUMIFS('Étape 1 - à remplir'!$F$31:$F$400,'Étape 1 - à remplir'!$E$31:$E$400,MASQ2!O412,'Étape 1 - à remplir'!$C$31:$C$400,X$3)),IF(X$2="Âge",IF(X$3="Tous",SUMIFS('Étape 1 - à remplir'!$F$31:$F$400,'Étape 1 - à remplir'!$E$31:$E$400,MASQ2!O412,'Étape 1 - à remplir'!$G$31:$G$400,"animaux"),SUMIFS('Étape 1 - à remplir'!$F$31:$F$400,'Étape 1 - à remplir'!$E$31:$E$400,MASQ2!O412,'Étape 1 - à remplir'!$P$31:$P$400,X$3)),IF(X$2="Atelier",IF(X$3="Tous",SUMIFS('Étape 1 - à remplir'!$F$31:$F$400,'Étape 1 - à remplir'!$E$31:$E$400,MASQ2!O412,'Étape 1 - à remplir'!$G$31:$G$400,"animaux"),SUMIFS('Étape 1 - à remplir'!$F$31:$F$400,'Étape 1 - à remplir'!$E$31:$E$400,MASQ2!O412,'Étape 1 - à remplir'!$O$31:$O$400,X$3)),IF(X$2="Espèce",IF(X$3="Toutes",SUMIFS('Étape 1 - à remplir'!$F$31:$F$400,'Étape 1 - à remplir'!$E$31:$E$400,MASQ2!O412,'Étape 1 - à remplir'!$G$31:$G$400,"animaux"),SUMIFS('Étape 1 - à remplir'!$F$31:$F$400,'Étape 1 - à remplir'!$E$31:$E$400,MASQ2!O412,'Étape 1 - à remplir'!$N$31:$N$400,X$3))))))=0,NA(),IF(X$2="Catégorie",IF(X$3="Toutes",SUMIFS('Étape 1 - à remplir'!$F$31:$F$400,'Étape 1 - à remplir'!$E$31:$E$400,MASQ2!O412,'Étape 1 - à remplir'!$G$31:$G$400,"animaux"),SUMIFS('Étape 1 - à remplir'!$F$31:$F$400,'Étape 1 - à remplir'!$E$31:$E$400,MASQ2!O412,'Étape 1 - à remplir'!$C$31:$C$400,X$3)),IF(X$2="Âge",IF(X$3="Tous",SUMIFS('Étape 1 - à remplir'!$F$31:$F$400,'Étape 1 - à remplir'!$E$31:$E$400,MASQ2!O412,'Étape 1 - à remplir'!$G$31:$G$400,"animaux"),SUMIFS('Étape 1 - à remplir'!$F$31:$F$400,'Étape 1 - à remplir'!$E$31:$E$400,MASQ2!O412,'Étape 1 - à remplir'!$P$31:$P$400,X$3)),IF(X$2="Atelier",IF(X$3="Tous",SUMIFS('Étape 1 - à remplir'!$F$31:$F$400,'Étape 1 - à remplir'!$E$31:$E$400,MASQ2!O412,'Étape 1 - à remplir'!$G$31:$G$400,"animaux"),SUMIFS('Étape 1 - à remplir'!$F$31:$F$400,'Étape 1 - à remplir'!$E$31:$E$400,MASQ2!O412,'Étape 1 - à remplir'!$O$31:$O$400,X$3)),IF(X$2="Espèce",IF(X$3="Toutes",SUMIFS('Étape 1 - à remplir'!$F$31:$F$400,'Étape 1 - à remplir'!$E$31:$E$400,MASQ2!O412,'Étape 1 - à remplir'!$G$31:$G$400,"animaux"),SUMIFS('Étape 1 - à remplir'!$F$31:$F$400,'Étape 1 - à remplir'!$E$31:$E$400,MASQ2!O412,'Étape 1 - à remplir'!$N$31:$N$400,X$3)))))))</f>
        <v>#N/A</v>
      </c>
      <c r="Q412" s="63">
        <f t="shared" si="285"/>
        <v>0</v>
      </c>
      <c r="R412" t="str">
        <f>Données_ATB!BM411</f>
        <v>Tilmicosine</v>
      </c>
      <c r="S412" t="str">
        <f>Données_ATB!BN411</f>
        <v/>
      </c>
      <c r="T412" s="63" t="str">
        <f>Données_ATB!BO411</f>
        <v/>
      </c>
      <c r="U412" s="42" t="str">
        <f>Données_ATB!BQ411</f>
        <v>Macrolides</v>
      </c>
      <c r="V412" t="str">
        <f>Données_ATB!BR411</f>
        <v/>
      </c>
      <c r="W412" s="63" t="str">
        <f>Données_ATB!BS411</f>
        <v/>
      </c>
      <c r="Z412" s="42">
        <v>409</v>
      </c>
      <c r="AA412" t="e">
        <f t="shared" si="281"/>
        <v>#N/A</v>
      </c>
      <c r="AB412" s="63" t="e">
        <f t="shared" si="282"/>
        <v>#N/A</v>
      </c>
      <c r="BF412" s="63"/>
      <c r="BT412" s="194" t="str">
        <f t="shared" ca="1" si="265"/>
        <v/>
      </c>
      <c r="BU412" s="219" t="str">
        <f>IFERROR(IF(BX412=0,"",COUNTIF(BX$4:BX$600,"&gt;"&amp;BX412)+COUNTIF(BX$4:BX412,BX412)),"")</f>
        <v/>
      </c>
      <c r="BV412" s="42" t="str">
        <f t="shared" si="266"/>
        <v>PULMOTIL TILMICOSINE 40 PORC-LAPIN</v>
      </c>
      <c r="BW412" t="e">
        <f>IF(IF(CE$2="Catégorie",IF(CE$3="Toutes",SUMIFS('Étape 1 - à remplir'!$F$31:$F$400,'Étape 1 - à remplir'!$E$31:$E$400,MASQ2!BV412,'Étape 1 - à remplir'!$G$31:$G$400,"lots"),SUMIFS('Étape 1 - à remplir'!$F$31:$F$400,'Étape 1 - à remplir'!$E$31:$E$400,MASQ2!BV412,'Étape 1 - à remplir'!$C$31:$C$400,CE$3)),IF(CE$2="Âge",IF(CE$3="Tous",SUMIFS('Étape 1 - à remplir'!$F$31:$F$400,'Étape 1 - à remplir'!$E$31:$E$400,MASQ2!BV412,'Étape 1 - à remplir'!$G$31:$G$400,"lots"),SUMIFS('Étape 1 - à remplir'!$F$31:$F$400,'Étape 1 - à remplir'!$E$31:$E$400,MASQ2!BV412,'Étape 1 - à remplir'!$P$31:$P$400,CE$3,'Étape 1 - à remplir'!$G$31:$G$400,"lots")),IF(CE$2="Atelier",IF(CE$3="Tous",SUMIFS('Étape 1 - à remplir'!$F$31:$F$400,'Étape 1 - à remplir'!$E$31:$E$400,MASQ2!BV412,'Étape 1 - à remplir'!$G$31:$G$400,"lots"),SUMIFS('Étape 1 - à remplir'!$F$31:$F$400,'Étape 1 - à remplir'!$E$31:$E$400,MASQ2!BV412,'Étape 1 - à remplir'!$O$31:$O$400,CE$3,'Étape 1 - à remplir'!$G$31:$G$400,"lots")),IF(CE$2="Espèce",IF(CE$3="Toutes",SUMIFS('Étape 1 - à remplir'!$F$31:$F$400,'Étape 1 - à remplir'!$E$31:$E$400,MASQ2!BV412,'Étape 1 - à remplir'!$G$31:$G$400,"lots"),SUMIFS('Étape 1 - à remplir'!$F$31:$F$400,'Étape 1 - à remplir'!$E$31:$E$400,MASQ2!BV412,'Étape 1 - à remplir'!$N$31:$N$400,CE$3,'Étape 1 - à remplir'!$G$31:$G$400,"lots"))))))=0,NA(),IF(CE$2="Catégorie",IF(CE$3="Toutes",SUMIFS('Étape 1 - à remplir'!$F$31:$F$400,'Étape 1 - à remplir'!$E$31:$E$400,MASQ2!BV412,'Étape 1 - à remplir'!$G$31:$G$400,"lots"),SUMIFS('Étape 1 - à remplir'!$F$31:$F$400,'Étape 1 - à remplir'!$E$31:$E$400,MASQ2!BV412,'Étape 1 - à remplir'!$C$31:$C$400,CE$3)),IF(CE$2="Âge",IF(CE$3="Tous",SUMIFS('Étape 1 - à remplir'!$F$31:$F$400,'Étape 1 - à remplir'!$E$31:$E$400,MASQ2!BV412,'Étape 1 - à remplir'!$G$31:$G$400,"lots"),SUMIFS('Étape 1 - à remplir'!$F$31:$F$400,'Étape 1 - à remplir'!$E$31:$E$400,MASQ2!BV412,'Étape 1 - à remplir'!$P$31:$P$400,CE$3,'Étape 1 - à remplir'!$G$31:$G$400,"lots")),IF(CE$2="Atelier",IF(CE$3="Tous",SUMIFS('Étape 1 - à remplir'!$F$31:$F$400,'Étape 1 - à remplir'!$E$31:$E$400,MASQ2!BV412,'Étape 1 - à remplir'!$G$31:$G$400,"lots"),SUMIFS('Étape 1 - à remplir'!$F$31:$F$400,'Étape 1 - à remplir'!$E$31:$E$400,MASQ2!BV412,'Étape 1 - à remplir'!$O$31:$O$400,CE$3,'Étape 1 - à remplir'!$G$31:$G$400,"lots")),IF(CE$2="Espèce",IF(CE$3="Toutes",SUMIFS('Étape 1 - à remplir'!$F$31:$F$400,'Étape 1 - à remplir'!$E$31:$E$400,MASQ2!BV412,'Étape 1 - à remplir'!$G$31:$G$400,"lots"),SUMIFS('Étape 1 - à remplir'!$F$31:$F$400,'Étape 1 - à remplir'!$E$31:$E$400,MASQ2!BV412,'Étape 1 - à remplir'!$N$31:$N$400,CE$3,'Étape 1 - à remplir'!$G$31:$G$400,"lots")))))))</f>
        <v>#N/A</v>
      </c>
      <c r="BX412">
        <f t="shared" si="283"/>
        <v>0</v>
      </c>
      <c r="BY412" t="str">
        <f t="shared" si="267"/>
        <v>Tilmicosine</v>
      </c>
      <c r="BZ412" t="str">
        <f t="shared" si="268"/>
        <v/>
      </c>
      <c r="CA412" t="str">
        <f t="shared" si="269"/>
        <v/>
      </c>
      <c r="CB412" t="str">
        <f t="shared" si="270"/>
        <v>Macrolides</v>
      </c>
      <c r="CC412" t="str">
        <f t="shared" si="271"/>
        <v/>
      </c>
      <c r="CD412" s="63" t="str">
        <f t="shared" si="272"/>
        <v/>
      </c>
      <c r="CG412" s="42">
        <v>409</v>
      </c>
      <c r="CH412" s="42" t="e">
        <f t="shared" si="288"/>
        <v>#N/A</v>
      </c>
      <c r="CI412" s="63" t="e">
        <f t="shared" si="289"/>
        <v>#N/A</v>
      </c>
      <c r="DM412" s="63"/>
      <c r="EA412" s="194" t="str">
        <f t="shared" ca="1" si="273"/>
        <v/>
      </c>
      <c r="EB412" s="226" t="str">
        <f>IFERROR(IF(ED412=0,"",COUNTIF(ED$4:ED$600,"&gt;"&amp;ED412)+COUNTIF(ED$4:ED412,ED412)),"")</f>
        <v/>
      </c>
      <c r="EC412" t="str">
        <f t="shared" si="274"/>
        <v>PULMOTIL TILMICOSINE 40 PORC-LAPIN</v>
      </c>
      <c r="ED412" t="e">
        <f>IF(IF(EL$2="Catégorie",IF(EL$3="Toutes",SUMIFS('Étape 1 - à remplir'!$F$31:$F$400,'Étape 1 - à remplir'!$E$31:$E$400,MASQ2!EC412,'Étape 1 - à remplir'!$G$31:$G$400,"kg"),SUMIFS('Étape 1 - à remplir'!$F$31:$F$400,'Étape 1 - à remplir'!$E$31:$E$400,MASQ2!EC412,'Étape 1 - à remplir'!$C$31:$C$400,EL$3)),IF(EL$2="Âge",IF(EL$3="Tous",SUMIFS('Étape 1 - à remplir'!$F$31:$F$400,'Étape 1 - à remplir'!$E$31:$E$400,MASQ2!EC412,'Étape 1 - à remplir'!$G$31:$G$400,"kg"),SUMIFS('Étape 1 - à remplir'!$F$31:$F$400,'Étape 1 - à remplir'!$E$31:$E$400,MASQ2!EC412,'Étape 1 - à remplir'!$P$31:$P$400,EL$3,'Étape 1 - à remplir'!$G$31:$G$400,"kg")),IF(EL$2="Atelier",IF(EL$3="Tous",SUMIFS('Étape 1 - à remplir'!$F$31:$F$400,'Étape 1 - à remplir'!$E$31:$E$400,MASQ2!EC412,'Étape 1 - à remplir'!$G$31:$G$400,"kg"),SUMIFS('Étape 1 - à remplir'!$F$31:$F$400,'Étape 1 - à remplir'!$E$31:$E$400,MASQ2!EC412,'Étape 1 - à remplir'!$O$31:$O$400,EL$3,'Étape 1 - à remplir'!$G$31:$G$400,"kg")),IF(EL$2="Espèce",IF(EL$3="Toutes",SUMIFS('Étape 1 - à remplir'!$F$31:$F$400,'Étape 1 - à remplir'!$E$31:$E$400,MASQ2!EC412,'Étape 1 - à remplir'!$G$31:$G$400,"kg"),SUMIFS('Étape 1 - à remplir'!$F$31:$F$400,'Étape 1 - à remplir'!$E$31:$E$400,MASQ2!EC412,'Étape 1 - à remplir'!$N$31:$N$400,EL$3,'Étape 1 - à remplir'!$G$31:$G$400,"kg"))))))=0,NA(),IF(EL$2="Catégorie",IF(EL$3="Toutes",SUMIFS('Étape 1 - à remplir'!$F$31:$F$400,'Étape 1 - à remplir'!$E$31:$E$400,MASQ2!EC412,'Étape 1 - à remplir'!$G$31:$G$400,"kg"),SUMIFS('Étape 1 - à remplir'!$F$31:$F$400,'Étape 1 - à remplir'!$E$31:$E$400,MASQ2!EC412,'Étape 1 - à remplir'!$C$31:$C$400,EL$3)),IF(EL$2="Âge",IF(EL$3="Tous",SUMIFS('Étape 1 - à remplir'!$F$31:$F$400,'Étape 1 - à remplir'!$E$31:$E$400,MASQ2!EC412,'Étape 1 - à remplir'!$G$31:$G$400,"kg"),SUMIFS('Étape 1 - à remplir'!$F$31:$F$400,'Étape 1 - à remplir'!$E$31:$E$400,MASQ2!EC412,'Étape 1 - à remplir'!$P$31:$P$400,EL$3,'Étape 1 - à remplir'!$G$31:$G$400,"kg")),IF(EL$2="Atelier",IF(EL$3="Tous",SUMIFS('Étape 1 - à remplir'!$F$31:$F$400,'Étape 1 - à remplir'!$E$31:$E$400,MASQ2!EC412,'Étape 1 - à remplir'!$G$31:$G$400,"kg"),SUMIFS('Étape 1 - à remplir'!$F$31:$F$400,'Étape 1 - à remplir'!$E$31:$E$400,MASQ2!EC412,'Étape 1 - à remplir'!$O$31:$O$400,EL$3,'Étape 1 - à remplir'!$G$31:$G$400,"kg")),IF(EL$2="Espèce",IF(EL$3="Toutes",SUMIFS('Étape 1 - à remplir'!$F$31:$F$400,'Étape 1 - à remplir'!$E$31:$E$400,MASQ2!EC412,'Étape 1 - à remplir'!$G$31:$G$400,"kg"),SUMIFS('Étape 1 - à remplir'!$F$31:$F$400,'Étape 1 - à remplir'!$E$31:$E$400,MASQ2!EC412,'Étape 1 - à remplir'!$N$31:$N$400,EL$3,'Étape 1 - à remplir'!$G$31:$G$400,"kg")))))))</f>
        <v>#N/A</v>
      </c>
      <c r="EE412" s="76">
        <f t="shared" si="284"/>
        <v>0</v>
      </c>
      <c r="EF412" t="str">
        <f t="shared" si="275"/>
        <v>Tilmicosine</v>
      </c>
      <c r="EG412" t="str">
        <f t="shared" si="276"/>
        <v/>
      </c>
      <c r="EH412" t="str">
        <f t="shared" si="277"/>
        <v/>
      </c>
      <c r="EI412" t="str">
        <f t="shared" si="278"/>
        <v>Macrolides</v>
      </c>
      <c r="EJ412" t="str">
        <f t="shared" si="279"/>
        <v/>
      </c>
      <c r="EK412" s="63" t="str">
        <f t="shared" si="280"/>
        <v/>
      </c>
      <c r="EN412" s="42">
        <v>409</v>
      </c>
      <c r="EO412" t="e">
        <f t="shared" si="286"/>
        <v>#N/A</v>
      </c>
      <c r="EP412" s="63" t="e">
        <f t="shared" si="287"/>
        <v>#N/A</v>
      </c>
      <c r="FT412" s="63"/>
    </row>
    <row r="413" spans="2:176" x14ac:dyDescent="0.3">
      <c r="B413" s="42"/>
      <c r="M413" s="194" t="str">
        <f ca="1">INDEX(Données_ATB!BD:BU,MATCH(MASQ2!O413,Données_ATB!BD:BD,0),18)</f>
        <v/>
      </c>
      <c r="N413" s="14" t="str">
        <f>IFERROR(IF(Q413=0,"",COUNTIF(Q$4:Q$600,"&gt;"&amp;Q413)+COUNTIF(Q$4:Q413,Q413)),"")</f>
        <v/>
      </c>
      <c r="O413" t="str">
        <f>Données_ATB!BD412</f>
        <v>PULMOVAL CHLORTETRACYCLINE 100 PORC ET AGNEAU-CHEVREAU SEVRES</v>
      </c>
      <c r="P413" t="e">
        <f>IF(IF(X$2="Catégorie",IF(X$3="Toutes",SUMIFS('Étape 1 - à remplir'!$F$31:$F$400,'Étape 1 - à remplir'!$E$31:$E$400,MASQ2!O413,'Étape 1 - à remplir'!$G$31:$G$400,"animaux"),SUMIFS('Étape 1 - à remplir'!$F$31:$F$400,'Étape 1 - à remplir'!$E$31:$E$400,MASQ2!O413,'Étape 1 - à remplir'!$C$31:$C$400,X$3)),IF(X$2="Âge",IF(X$3="Tous",SUMIFS('Étape 1 - à remplir'!$F$31:$F$400,'Étape 1 - à remplir'!$E$31:$E$400,MASQ2!O413,'Étape 1 - à remplir'!$G$31:$G$400,"animaux"),SUMIFS('Étape 1 - à remplir'!$F$31:$F$400,'Étape 1 - à remplir'!$E$31:$E$400,MASQ2!O413,'Étape 1 - à remplir'!$P$31:$P$400,X$3)),IF(X$2="Atelier",IF(X$3="Tous",SUMIFS('Étape 1 - à remplir'!$F$31:$F$400,'Étape 1 - à remplir'!$E$31:$E$400,MASQ2!O413,'Étape 1 - à remplir'!$G$31:$G$400,"animaux"),SUMIFS('Étape 1 - à remplir'!$F$31:$F$400,'Étape 1 - à remplir'!$E$31:$E$400,MASQ2!O413,'Étape 1 - à remplir'!$O$31:$O$400,X$3)),IF(X$2="Espèce",IF(X$3="Toutes",SUMIFS('Étape 1 - à remplir'!$F$31:$F$400,'Étape 1 - à remplir'!$E$31:$E$400,MASQ2!O413,'Étape 1 - à remplir'!$G$31:$G$400,"animaux"),SUMIFS('Étape 1 - à remplir'!$F$31:$F$400,'Étape 1 - à remplir'!$E$31:$E$400,MASQ2!O413,'Étape 1 - à remplir'!$N$31:$N$400,X$3))))))=0,NA(),IF(X$2="Catégorie",IF(X$3="Toutes",SUMIFS('Étape 1 - à remplir'!$F$31:$F$400,'Étape 1 - à remplir'!$E$31:$E$400,MASQ2!O413,'Étape 1 - à remplir'!$G$31:$G$400,"animaux"),SUMIFS('Étape 1 - à remplir'!$F$31:$F$400,'Étape 1 - à remplir'!$E$31:$E$400,MASQ2!O413,'Étape 1 - à remplir'!$C$31:$C$400,X$3)),IF(X$2="Âge",IF(X$3="Tous",SUMIFS('Étape 1 - à remplir'!$F$31:$F$400,'Étape 1 - à remplir'!$E$31:$E$400,MASQ2!O413,'Étape 1 - à remplir'!$G$31:$G$400,"animaux"),SUMIFS('Étape 1 - à remplir'!$F$31:$F$400,'Étape 1 - à remplir'!$E$31:$E$400,MASQ2!O413,'Étape 1 - à remplir'!$P$31:$P$400,X$3)),IF(X$2="Atelier",IF(X$3="Tous",SUMIFS('Étape 1 - à remplir'!$F$31:$F$400,'Étape 1 - à remplir'!$E$31:$E$400,MASQ2!O413,'Étape 1 - à remplir'!$G$31:$G$400,"animaux"),SUMIFS('Étape 1 - à remplir'!$F$31:$F$400,'Étape 1 - à remplir'!$E$31:$E$400,MASQ2!O413,'Étape 1 - à remplir'!$O$31:$O$400,X$3)),IF(X$2="Espèce",IF(X$3="Toutes",SUMIFS('Étape 1 - à remplir'!$F$31:$F$400,'Étape 1 - à remplir'!$E$31:$E$400,MASQ2!O413,'Étape 1 - à remplir'!$G$31:$G$400,"animaux"),SUMIFS('Étape 1 - à remplir'!$F$31:$F$400,'Étape 1 - à remplir'!$E$31:$E$400,MASQ2!O413,'Étape 1 - à remplir'!$N$31:$N$400,X$3)))))))</f>
        <v>#N/A</v>
      </c>
      <c r="Q413" s="63">
        <f t="shared" si="285"/>
        <v>0</v>
      </c>
      <c r="R413" t="str">
        <f>Données_ATB!BM412</f>
        <v>Chlortétracycline</v>
      </c>
      <c r="S413" t="str">
        <f>Données_ATB!BN412</f>
        <v/>
      </c>
      <c r="T413" s="63" t="str">
        <f>Données_ATB!BO412</f>
        <v/>
      </c>
      <c r="U413" s="42" t="str">
        <f>Données_ATB!BQ412</f>
        <v>Tetracyclines</v>
      </c>
      <c r="V413" t="str">
        <f>Données_ATB!BR412</f>
        <v/>
      </c>
      <c r="W413" s="63" t="str">
        <f>Données_ATB!BS412</f>
        <v/>
      </c>
      <c r="Z413" s="42">
        <v>410</v>
      </c>
      <c r="AA413" t="e">
        <f t="shared" si="281"/>
        <v>#N/A</v>
      </c>
      <c r="AB413" s="63" t="e">
        <f t="shared" si="282"/>
        <v>#N/A</v>
      </c>
      <c r="BF413" s="63"/>
      <c r="BT413" s="194" t="str">
        <f t="shared" ca="1" si="265"/>
        <v/>
      </c>
      <c r="BU413" s="219" t="str">
        <f>IFERROR(IF(BX413=0,"",COUNTIF(BX$4:BX$600,"&gt;"&amp;BX413)+COUNTIF(BX$4:BX413,BX413)),"")</f>
        <v/>
      </c>
      <c r="BV413" s="42" t="str">
        <f t="shared" si="266"/>
        <v>PULMOVAL CHLORTETRACYCLINE 100 PORC ET AGNEAU-CHEVREAU SEVRES</v>
      </c>
      <c r="BW413" t="e">
        <f>IF(IF(CE$2="Catégorie",IF(CE$3="Toutes",SUMIFS('Étape 1 - à remplir'!$F$31:$F$400,'Étape 1 - à remplir'!$E$31:$E$400,MASQ2!BV413,'Étape 1 - à remplir'!$G$31:$G$400,"lots"),SUMIFS('Étape 1 - à remplir'!$F$31:$F$400,'Étape 1 - à remplir'!$E$31:$E$400,MASQ2!BV413,'Étape 1 - à remplir'!$C$31:$C$400,CE$3)),IF(CE$2="Âge",IF(CE$3="Tous",SUMIFS('Étape 1 - à remplir'!$F$31:$F$400,'Étape 1 - à remplir'!$E$31:$E$400,MASQ2!BV413,'Étape 1 - à remplir'!$G$31:$G$400,"lots"),SUMIFS('Étape 1 - à remplir'!$F$31:$F$400,'Étape 1 - à remplir'!$E$31:$E$400,MASQ2!BV413,'Étape 1 - à remplir'!$P$31:$P$400,CE$3,'Étape 1 - à remplir'!$G$31:$G$400,"lots")),IF(CE$2="Atelier",IF(CE$3="Tous",SUMIFS('Étape 1 - à remplir'!$F$31:$F$400,'Étape 1 - à remplir'!$E$31:$E$400,MASQ2!BV413,'Étape 1 - à remplir'!$G$31:$G$400,"lots"),SUMIFS('Étape 1 - à remplir'!$F$31:$F$400,'Étape 1 - à remplir'!$E$31:$E$400,MASQ2!BV413,'Étape 1 - à remplir'!$O$31:$O$400,CE$3,'Étape 1 - à remplir'!$G$31:$G$400,"lots")),IF(CE$2="Espèce",IF(CE$3="Toutes",SUMIFS('Étape 1 - à remplir'!$F$31:$F$400,'Étape 1 - à remplir'!$E$31:$E$400,MASQ2!BV413,'Étape 1 - à remplir'!$G$31:$G$400,"lots"),SUMIFS('Étape 1 - à remplir'!$F$31:$F$400,'Étape 1 - à remplir'!$E$31:$E$400,MASQ2!BV413,'Étape 1 - à remplir'!$N$31:$N$400,CE$3,'Étape 1 - à remplir'!$G$31:$G$400,"lots"))))))=0,NA(),IF(CE$2="Catégorie",IF(CE$3="Toutes",SUMIFS('Étape 1 - à remplir'!$F$31:$F$400,'Étape 1 - à remplir'!$E$31:$E$400,MASQ2!BV413,'Étape 1 - à remplir'!$G$31:$G$400,"lots"),SUMIFS('Étape 1 - à remplir'!$F$31:$F$400,'Étape 1 - à remplir'!$E$31:$E$400,MASQ2!BV413,'Étape 1 - à remplir'!$C$31:$C$400,CE$3)),IF(CE$2="Âge",IF(CE$3="Tous",SUMIFS('Étape 1 - à remplir'!$F$31:$F$400,'Étape 1 - à remplir'!$E$31:$E$400,MASQ2!BV413,'Étape 1 - à remplir'!$G$31:$G$400,"lots"),SUMIFS('Étape 1 - à remplir'!$F$31:$F$400,'Étape 1 - à remplir'!$E$31:$E$400,MASQ2!BV413,'Étape 1 - à remplir'!$P$31:$P$400,CE$3,'Étape 1 - à remplir'!$G$31:$G$400,"lots")),IF(CE$2="Atelier",IF(CE$3="Tous",SUMIFS('Étape 1 - à remplir'!$F$31:$F$400,'Étape 1 - à remplir'!$E$31:$E$400,MASQ2!BV413,'Étape 1 - à remplir'!$G$31:$G$400,"lots"),SUMIFS('Étape 1 - à remplir'!$F$31:$F$400,'Étape 1 - à remplir'!$E$31:$E$400,MASQ2!BV413,'Étape 1 - à remplir'!$O$31:$O$400,CE$3,'Étape 1 - à remplir'!$G$31:$G$400,"lots")),IF(CE$2="Espèce",IF(CE$3="Toutes",SUMIFS('Étape 1 - à remplir'!$F$31:$F$400,'Étape 1 - à remplir'!$E$31:$E$400,MASQ2!BV413,'Étape 1 - à remplir'!$G$31:$G$400,"lots"),SUMIFS('Étape 1 - à remplir'!$F$31:$F$400,'Étape 1 - à remplir'!$E$31:$E$400,MASQ2!BV413,'Étape 1 - à remplir'!$N$31:$N$400,CE$3,'Étape 1 - à remplir'!$G$31:$G$400,"lots")))))))</f>
        <v>#N/A</v>
      </c>
      <c r="BX413">
        <f t="shared" si="283"/>
        <v>0</v>
      </c>
      <c r="BY413" t="str">
        <f t="shared" si="267"/>
        <v>Chlortétracycline</v>
      </c>
      <c r="BZ413" t="str">
        <f t="shared" si="268"/>
        <v/>
      </c>
      <c r="CA413" t="str">
        <f t="shared" si="269"/>
        <v/>
      </c>
      <c r="CB413" t="str">
        <f t="shared" si="270"/>
        <v>Tetracyclines</v>
      </c>
      <c r="CC413" t="str">
        <f t="shared" si="271"/>
        <v/>
      </c>
      <c r="CD413" s="63" t="str">
        <f t="shared" si="272"/>
        <v/>
      </c>
      <c r="CG413" s="42">
        <v>410</v>
      </c>
      <c r="CH413" s="42" t="e">
        <f t="shared" si="288"/>
        <v>#N/A</v>
      </c>
      <c r="CI413" s="63" t="e">
        <f t="shared" si="289"/>
        <v>#N/A</v>
      </c>
      <c r="DM413" s="63"/>
      <c r="EA413" s="194" t="str">
        <f t="shared" ca="1" si="273"/>
        <v/>
      </c>
      <c r="EB413" s="226" t="str">
        <f>IFERROR(IF(ED413=0,"",COUNTIF(ED$4:ED$600,"&gt;"&amp;ED413)+COUNTIF(ED$4:ED413,ED413)),"")</f>
        <v/>
      </c>
      <c r="EC413" t="str">
        <f t="shared" si="274"/>
        <v>PULMOVAL CHLORTETRACYCLINE 100 PORC ET AGNEAU-CHEVREAU SEVRES</v>
      </c>
      <c r="ED413" t="e">
        <f>IF(IF(EL$2="Catégorie",IF(EL$3="Toutes",SUMIFS('Étape 1 - à remplir'!$F$31:$F$400,'Étape 1 - à remplir'!$E$31:$E$400,MASQ2!EC413,'Étape 1 - à remplir'!$G$31:$G$400,"kg"),SUMIFS('Étape 1 - à remplir'!$F$31:$F$400,'Étape 1 - à remplir'!$E$31:$E$400,MASQ2!EC413,'Étape 1 - à remplir'!$C$31:$C$400,EL$3)),IF(EL$2="Âge",IF(EL$3="Tous",SUMIFS('Étape 1 - à remplir'!$F$31:$F$400,'Étape 1 - à remplir'!$E$31:$E$400,MASQ2!EC413,'Étape 1 - à remplir'!$G$31:$G$400,"kg"),SUMIFS('Étape 1 - à remplir'!$F$31:$F$400,'Étape 1 - à remplir'!$E$31:$E$400,MASQ2!EC413,'Étape 1 - à remplir'!$P$31:$P$400,EL$3,'Étape 1 - à remplir'!$G$31:$G$400,"kg")),IF(EL$2="Atelier",IF(EL$3="Tous",SUMIFS('Étape 1 - à remplir'!$F$31:$F$400,'Étape 1 - à remplir'!$E$31:$E$400,MASQ2!EC413,'Étape 1 - à remplir'!$G$31:$G$400,"kg"),SUMIFS('Étape 1 - à remplir'!$F$31:$F$400,'Étape 1 - à remplir'!$E$31:$E$400,MASQ2!EC413,'Étape 1 - à remplir'!$O$31:$O$400,EL$3,'Étape 1 - à remplir'!$G$31:$G$400,"kg")),IF(EL$2="Espèce",IF(EL$3="Toutes",SUMIFS('Étape 1 - à remplir'!$F$31:$F$400,'Étape 1 - à remplir'!$E$31:$E$400,MASQ2!EC413,'Étape 1 - à remplir'!$G$31:$G$400,"kg"),SUMIFS('Étape 1 - à remplir'!$F$31:$F$400,'Étape 1 - à remplir'!$E$31:$E$400,MASQ2!EC413,'Étape 1 - à remplir'!$N$31:$N$400,EL$3,'Étape 1 - à remplir'!$G$31:$G$400,"kg"))))))=0,NA(),IF(EL$2="Catégorie",IF(EL$3="Toutes",SUMIFS('Étape 1 - à remplir'!$F$31:$F$400,'Étape 1 - à remplir'!$E$31:$E$400,MASQ2!EC413,'Étape 1 - à remplir'!$G$31:$G$400,"kg"),SUMIFS('Étape 1 - à remplir'!$F$31:$F$400,'Étape 1 - à remplir'!$E$31:$E$400,MASQ2!EC413,'Étape 1 - à remplir'!$C$31:$C$400,EL$3)),IF(EL$2="Âge",IF(EL$3="Tous",SUMIFS('Étape 1 - à remplir'!$F$31:$F$400,'Étape 1 - à remplir'!$E$31:$E$400,MASQ2!EC413,'Étape 1 - à remplir'!$G$31:$G$400,"kg"),SUMIFS('Étape 1 - à remplir'!$F$31:$F$400,'Étape 1 - à remplir'!$E$31:$E$400,MASQ2!EC413,'Étape 1 - à remplir'!$P$31:$P$400,EL$3,'Étape 1 - à remplir'!$G$31:$G$400,"kg")),IF(EL$2="Atelier",IF(EL$3="Tous",SUMIFS('Étape 1 - à remplir'!$F$31:$F$400,'Étape 1 - à remplir'!$E$31:$E$400,MASQ2!EC413,'Étape 1 - à remplir'!$G$31:$G$400,"kg"),SUMIFS('Étape 1 - à remplir'!$F$31:$F$400,'Étape 1 - à remplir'!$E$31:$E$400,MASQ2!EC413,'Étape 1 - à remplir'!$O$31:$O$400,EL$3,'Étape 1 - à remplir'!$G$31:$G$400,"kg")),IF(EL$2="Espèce",IF(EL$3="Toutes",SUMIFS('Étape 1 - à remplir'!$F$31:$F$400,'Étape 1 - à remplir'!$E$31:$E$400,MASQ2!EC413,'Étape 1 - à remplir'!$G$31:$G$400,"kg"),SUMIFS('Étape 1 - à remplir'!$F$31:$F$400,'Étape 1 - à remplir'!$E$31:$E$400,MASQ2!EC413,'Étape 1 - à remplir'!$N$31:$N$400,EL$3,'Étape 1 - à remplir'!$G$31:$G$400,"kg")))))))</f>
        <v>#N/A</v>
      </c>
      <c r="EE413" s="76">
        <f t="shared" si="284"/>
        <v>0</v>
      </c>
      <c r="EF413" t="str">
        <f t="shared" si="275"/>
        <v>Chlortétracycline</v>
      </c>
      <c r="EG413" t="str">
        <f t="shared" si="276"/>
        <v/>
      </c>
      <c r="EH413" t="str">
        <f t="shared" si="277"/>
        <v/>
      </c>
      <c r="EI413" t="str">
        <f t="shared" si="278"/>
        <v>Tetracyclines</v>
      </c>
      <c r="EJ413" t="str">
        <f t="shared" si="279"/>
        <v/>
      </c>
      <c r="EK413" s="63" t="str">
        <f t="shared" si="280"/>
        <v/>
      </c>
      <c r="EN413" s="42">
        <v>410</v>
      </c>
      <c r="EO413" t="e">
        <f t="shared" si="286"/>
        <v>#N/A</v>
      </c>
      <c r="EP413" s="63" t="e">
        <f t="shared" si="287"/>
        <v>#N/A</v>
      </c>
      <c r="FT413" s="63"/>
    </row>
    <row r="414" spans="2:176" x14ac:dyDescent="0.3">
      <c r="B414" s="42"/>
      <c r="M414" s="194" t="str">
        <f ca="1">INDEX(Données_ATB!BD:BU,MATCH(MASQ2!O414,Données_ATB!BD:BD,0),18)</f>
        <v/>
      </c>
      <c r="N414" s="14" t="str">
        <f>IFERROR(IF(Q414=0,"",COUNTIF(Q$4:Q$600,"&gt;"&amp;Q414)+COUNTIF(Q$4:Q414,Q414)),"")</f>
        <v/>
      </c>
      <c r="O414" t="str">
        <f>Données_ATB!BD413</f>
        <v>PULMOVAL CHLORTETRACYCLINE 40 LAPIN-VOLAILLE-PORC ET AGNEAU-CHEVREAU SEVRES</v>
      </c>
      <c r="P414" t="e">
        <f>IF(IF(X$2="Catégorie",IF(X$3="Toutes",SUMIFS('Étape 1 - à remplir'!$F$31:$F$400,'Étape 1 - à remplir'!$E$31:$E$400,MASQ2!O414,'Étape 1 - à remplir'!$G$31:$G$400,"animaux"),SUMIFS('Étape 1 - à remplir'!$F$31:$F$400,'Étape 1 - à remplir'!$E$31:$E$400,MASQ2!O414,'Étape 1 - à remplir'!$C$31:$C$400,X$3)),IF(X$2="Âge",IF(X$3="Tous",SUMIFS('Étape 1 - à remplir'!$F$31:$F$400,'Étape 1 - à remplir'!$E$31:$E$400,MASQ2!O414,'Étape 1 - à remplir'!$G$31:$G$400,"animaux"),SUMIFS('Étape 1 - à remplir'!$F$31:$F$400,'Étape 1 - à remplir'!$E$31:$E$400,MASQ2!O414,'Étape 1 - à remplir'!$P$31:$P$400,X$3)),IF(X$2="Atelier",IF(X$3="Tous",SUMIFS('Étape 1 - à remplir'!$F$31:$F$400,'Étape 1 - à remplir'!$E$31:$E$400,MASQ2!O414,'Étape 1 - à remplir'!$G$31:$G$400,"animaux"),SUMIFS('Étape 1 - à remplir'!$F$31:$F$400,'Étape 1 - à remplir'!$E$31:$E$400,MASQ2!O414,'Étape 1 - à remplir'!$O$31:$O$400,X$3)),IF(X$2="Espèce",IF(X$3="Toutes",SUMIFS('Étape 1 - à remplir'!$F$31:$F$400,'Étape 1 - à remplir'!$E$31:$E$400,MASQ2!O414,'Étape 1 - à remplir'!$G$31:$G$400,"animaux"),SUMIFS('Étape 1 - à remplir'!$F$31:$F$400,'Étape 1 - à remplir'!$E$31:$E$400,MASQ2!O414,'Étape 1 - à remplir'!$N$31:$N$400,X$3))))))=0,NA(),IF(X$2="Catégorie",IF(X$3="Toutes",SUMIFS('Étape 1 - à remplir'!$F$31:$F$400,'Étape 1 - à remplir'!$E$31:$E$400,MASQ2!O414,'Étape 1 - à remplir'!$G$31:$G$400,"animaux"),SUMIFS('Étape 1 - à remplir'!$F$31:$F$400,'Étape 1 - à remplir'!$E$31:$E$400,MASQ2!O414,'Étape 1 - à remplir'!$C$31:$C$400,X$3)),IF(X$2="Âge",IF(X$3="Tous",SUMIFS('Étape 1 - à remplir'!$F$31:$F$400,'Étape 1 - à remplir'!$E$31:$E$400,MASQ2!O414,'Étape 1 - à remplir'!$G$31:$G$400,"animaux"),SUMIFS('Étape 1 - à remplir'!$F$31:$F$400,'Étape 1 - à remplir'!$E$31:$E$400,MASQ2!O414,'Étape 1 - à remplir'!$P$31:$P$400,X$3)),IF(X$2="Atelier",IF(X$3="Tous",SUMIFS('Étape 1 - à remplir'!$F$31:$F$400,'Étape 1 - à remplir'!$E$31:$E$400,MASQ2!O414,'Étape 1 - à remplir'!$G$31:$G$400,"animaux"),SUMIFS('Étape 1 - à remplir'!$F$31:$F$400,'Étape 1 - à remplir'!$E$31:$E$400,MASQ2!O414,'Étape 1 - à remplir'!$O$31:$O$400,X$3)),IF(X$2="Espèce",IF(X$3="Toutes",SUMIFS('Étape 1 - à remplir'!$F$31:$F$400,'Étape 1 - à remplir'!$E$31:$E$400,MASQ2!O414,'Étape 1 - à remplir'!$G$31:$G$400,"animaux"),SUMIFS('Étape 1 - à remplir'!$F$31:$F$400,'Étape 1 - à remplir'!$E$31:$E$400,MASQ2!O414,'Étape 1 - à remplir'!$N$31:$N$400,X$3)))))))</f>
        <v>#N/A</v>
      </c>
      <c r="Q414" s="63">
        <f t="shared" si="285"/>
        <v>0</v>
      </c>
      <c r="R414" t="str">
        <f>Données_ATB!BM413</f>
        <v>Chlortétracycline</v>
      </c>
      <c r="S414" t="str">
        <f>Données_ATB!BN413</f>
        <v/>
      </c>
      <c r="T414" s="63" t="str">
        <f>Données_ATB!BO413</f>
        <v/>
      </c>
      <c r="U414" s="42" t="str">
        <f>Données_ATB!BQ413</f>
        <v>Tetracyclines</v>
      </c>
      <c r="V414" t="str">
        <f>Données_ATB!BR413</f>
        <v/>
      </c>
      <c r="W414" s="63" t="str">
        <f>Données_ATB!BS413</f>
        <v/>
      </c>
      <c r="Z414" s="42">
        <v>411</v>
      </c>
      <c r="AA414" t="e">
        <f t="shared" si="281"/>
        <v>#N/A</v>
      </c>
      <c r="AB414" s="63" t="e">
        <f t="shared" si="282"/>
        <v>#N/A</v>
      </c>
      <c r="BF414" s="63"/>
      <c r="BT414" s="194" t="str">
        <f t="shared" ca="1" si="265"/>
        <v/>
      </c>
      <c r="BU414" s="219" t="str">
        <f>IFERROR(IF(BX414=0,"",COUNTIF(BX$4:BX$600,"&gt;"&amp;BX414)+COUNTIF(BX$4:BX414,BX414)),"")</f>
        <v/>
      </c>
      <c r="BV414" s="42" t="str">
        <f t="shared" si="266"/>
        <v>PULMOVAL CHLORTETRACYCLINE 40 LAPIN-VOLAILLE-PORC ET AGNEAU-CHEVREAU SEVRES</v>
      </c>
      <c r="BW414" t="e">
        <f>IF(IF(CE$2="Catégorie",IF(CE$3="Toutes",SUMIFS('Étape 1 - à remplir'!$F$31:$F$400,'Étape 1 - à remplir'!$E$31:$E$400,MASQ2!BV414,'Étape 1 - à remplir'!$G$31:$G$400,"lots"),SUMIFS('Étape 1 - à remplir'!$F$31:$F$400,'Étape 1 - à remplir'!$E$31:$E$400,MASQ2!BV414,'Étape 1 - à remplir'!$C$31:$C$400,CE$3)),IF(CE$2="Âge",IF(CE$3="Tous",SUMIFS('Étape 1 - à remplir'!$F$31:$F$400,'Étape 1 - à remplir'!$E$31:$E$400,MASQ2!BV414,'Étape 1 - à remplir'!$G$31:$G$400,"lots"),SUMIFS('Étape 1 - à remplir'!$F$31:$F$400,'Étape 1 - à remplir'!$E$31:$E$400,MASQ2!BV414,'Étape 1 - à remplir'!$P$31:$P$400,CE$3,'Étape 1 - à remplir'!$G$31:$G$400,"lots")),IF(CE$2="Atelier",IF(CE$3="Tous",SUMIFS('Étape 1 - à remplir'!$F$31:$F$400,'Étape 1 - à remplir'!$E$31:$E$400,MASQ2!BV414,'Étape 1 - à remplir'!$G$31:$G$400,"lots"),SUMIFS('Étape 1 - à remplir'!$F$31:$F$400,'Étape 1 - à remplir'!$E$31:$E$400,MASQ2!BV414,'Étape 1 - à remplir'!$O$31:$O$400,CE$3,'Étape 1 - à remplir'!$G$31:$G$400,"lots")),IF(CE$2="Espèce",IF(CE$3="Toutes",SUMIFS('Étape 1 - à remplir'!$F$31:$F$400,'Étape 1 - à remplir'!$E$31:$E$400,MASQ2!BV414,'Étape 1 - à remplir'!$G$31:$G$400,"lots"),SUMIFS('Étape 1 - à remplir'!$F$31:$F$400,'Étape 1 - à remplir'!$E$31:$E$400,MASQ2!BV414,'Étape 1 - à remplir'!$N$31:$N$400,CE$3,'Étape 1 - à remplir'!$G$31:$G$400,"lots"))))))=0,NA(),IF(CE$2="Catégorie",IF(CE$3="Toutes",SUMIFS('Étape 1 - à remplir'!$F$31:$F$400,'Étape 1 - à remplir'!$E$31:$E$400,MASQ2!BV414,'Étape 1 - à remplir'!$G$31:$G$400,"lots"),SUMIFS('Étape 1 - à remplir'!$F$31:$F$400,'Étape 1 - à remplir'!$E$31:$E$400,MASQ2!BV414,'Étape 1 - à remplir'!$C$31:$C$400,CE$3)),IF(CE$2="Âge",IF(CE$3="Tous",SUMIFS('Étape 1 - à remplir'!$F$31:$F$400,'Étape 1 - à remplir'!$E$31:$E$400,MASQ2!BV414,'Étape 1 - à remplir'!$G$31:$G$400,"lots"),SUMIFS('Étape 1 - à remplir'!$F$31:$F$400,'Étape 1 - à remplir'!$E$31:$E$400,MASQ2!BV414,'Étape 1 - à remplir'!$P$31:$P$400,CE$3,'Étape 1 - à remplir'!$G$31:$G$400,"lots")),IF(CE$2="Atelier",IF(CE$3="Tous",SUMIFS('Étape 1 - à remplir'!$F$31:$F$400,'Étape 1 - à remplir'!$E$31:$E$400,MASQ2!BV414,'Étape 1 - à remplir'!$G$31:$G$400,"lots"),SUMIFS('Étape 1 - à remplir'!$F$31:$F$400,'Étape 1 - à remplir'!$E$31:$E$400,MASQ2!BV414,'Étape 1 - à remplir'!$O$31:$O$400,CE$3,'Étape 1 - à remplir'!$G$31:$G$400,"lots")),IF(CE$2="Espèce",IF(CE$3="Toutes",SUMIFS('Étape 1 - à remplir'!$F$31:$F$400,'Étape 1 - à remplir'!$E$31:$E$400,MASQ2!BV414,'Étape 1 - à remplir'!$G$31:$G$400,"lots"),SUMIFS('Étape 1 - à remplir'!$F$31:$F$400,'Étape 1 - à remplir'!$E$31:$E$400,MASQ2!BV414,'Étape 1 - à remplir'!$N$31:$N$400,CE$3,'Étape 1 - à remplir'!$G$31:$G$400,"lots")))))))</f>
        <v>#N/A</v>
      </c>
      <c r="BX414">
        <f t="shared" si="283"/>
        <v>0</v>
      </c>
      <c r="BY414" t="str">
        <f t="shared" si="267"/>
        <v>Chlortétracycline</v>
      </c>
      <c r="BZ414" t="str">
        <f t="shared" si="268"/>
        <v/>
      </c>
      <c r="CA414" t="str">
        <f t="shared" si="269"/>
        <v/>
      </c>
      <c r="CB414" t="str">
        <f t="shared" si="270"/>
        <v>Tetracyclines</v>
      </c>
      <c r="CC414" t="str">
        <f t="shared" si="271"/>
        <v/>
      </c>
      <c r="CD414" s="63" t="str">
        <f t="shared" si="272"/>
        <v/>
      </c>
      <c r="CG414" s="42">
        <v>411</v>
      </c>
      <c r="CH414" s="42" t="e">
        <f t="shared" si="288"/>
        <v>#N/A</v>
      </c>
      <c r="CI414" s="63" t="e">
        <f t="shared" si="289"/>
        <v>#N/A</v>
      </c>
      <c r="DM414" s="63"/>
      <c r="EA414" s="194" t="str">
        <f t="shared" ca="1" si="273"/>
        <v/>
      </c>
      <c r="EB414" s="226" t="str">
        <f>IFERROR(IF(ED414=0,"",COUNTIF(ED$4:ED$600,"&gt;"&amp;ED414)+COUNTIF(ED$4:ED414,ED414)),"")</f>
        <v/>
      </c>
      <c r="EC414" t="str">
        <f t="shared" si="274"/>
        <v>PULMOVAL CHLORTETRACYCLINE 40 LAPIN-VOLAILLE-PORC ET AGNEAU-CHEVREAU SEVRES</v>
      </c>
      <c r="ED414" t="e">
        <f>IF(IF(EL$2="Catégorie",IF(EL$3="Toutes",SUMIFS('Étape 1 - à remplir'!$F$31:$F$400,'Étape 1 - à remplir'!$E$31:$E$400,MASQ2!EC414,'Étape 1 - à remplir'!$G$31:$G$400,"kg"),SUMIFS('Étape 1 - à remplir'!$F$31:$F$400,'Étape 1 - à remplir'!$E$31:$E$400,MASQ2!EC414,'Étape 1 - à remplir'!$C$31:$C$400,EL$3)),IF(EL$2="Âge",IF(EL$3="Tous",SUMIFS('Étape 1 - à remplir'!$F$31:$F$400,'Étape 1 - à remplir'!$E$31:$E$400,MASQ2!EC414,'Étape 1 - à remplir'!$G$31:$G$400,"kg"),SUMIFS('Étape 1 - à remplir'!$F$31:$F$400,'Étape 1 - à remplir'!$E$31:$E$400,MASQ2!EC414,'Étape 1 - à remplir'!$P$31:$P$400,EL$3,'Étape 1 - à remplir'!$G$31:$G$400,"kg")),IF(EL$2="Atelier",IF(EL$3="Tous",SUMIFS('Étape 1 - à remplir'!$F$31:$F$400,'Étape 1 - à remplir'!$E$31:$E$400,MASQ2!EC414,'Étape 1 - à remplir'!$G$31:$G$400,"kg"),SUMIFS('Étape 1 - à remplir'!$F$31:$F$400,'Étape 1 - à remplir'!$E$31:$E$400,MASQ2!EC414,'Étape 1 - à remplir'!$O$31:$O$400,EL$3,'Étape 1 - à remplir'!$G$31:$G$400,"kg")),IF(EL$2="Espèce",IF(EL$3="Toutes",SUMIFS('Étape 1 - à remplir'!$F$31:$F$400,'Étape 1 - à remplir'!$E$31:$E$400,MASQ2!EC414,'Étape 1 - à remplir'!$G$31:$G$400,"kg"),SUMIFS('Étape 1 - à remplir'!$F$31:$F$400,'Étape 1 - à remplir'!$E$31:$E$400,MASQ2!EC414,'Étape 1 - à remplir'!$N$31:$N$400,EL$3,'Étape 1 - à remplir'!$G$31:$G$400,"kg"))))))=0,NA(),IF(EL$2="Catégorie",IF(EL$3="Toutes",SUMIFS('Étape 1 - à remplir'!$F$31:$F$400,'Étape 1 - à remplir'!$E$31:$E$400,MASQ2!EC414,'Étape 1 - à remplir'!$G$31:$G$400,"kg"),SUMIFS('Étape 1 - à remplir'!$F$31:$F$400,'Étape 1 - à remplir'!$E$31:$E$400,MASQ2!EC414,'Étape 1 - à remplir'!$C$31:$C$400,EL$3)),IF(EL$2="Âge",IF(EL$3="Tous",SUMIFS('Étape 1 - à remplir'!$F$31:$F$400,'Étape 1 - à remplir'!$E$31:$E$400,MASQ2!EC414,'Étape 1 - à remplir'!$G$31:$G$400,"kg"),SUMIFS('Étape 1 - à remplir'!$F$31:$F$400,'Étape 1 - à remplir'!$E$31:$E$400,MASQ2!EC414,'Étape 1 - à remplir'!$P$31:$P$400,EL$3,'Étape 1 - à remplir'!$G$31:$G$400,"kg")),IF(EL$2="Atelier",IF(EL$3="Tous",SUMIFS('Étape 1 - à remplir'!$F$31:$F$400,'Étape 1 - à remplir'!$E$31:$E$400,MASQ2!EC414,'Étape 1 - à remplir'!$G$31:$G$400,"kg"),SUMIFS('Étape 1 - à remplir'!$F$31:$F$400,'Étape 1 - à remplir'!$E$31:$E$400,MASQ2!EC414,'Étape 1 - à remplir'!$O$31:$O$400,EL$3,'Étape 1 - à remplir'!$G$31:$G$400,"kg")),IF(EL$2="Espèce",IF(EL$3="Toutes",SUMIFS('Étape 1 - à remplir'!$F$31:$F$400,'Étape 1 - à remplir'!$E$31:$E$400,MASQ2!EC414,'Étape 1 - à remplir'!$G$31:$G$400,"kg"),SUMIFS('Étape 1 - à remplir'!$F$31:$F$400,'Étape 1 - à remplir'!$E$31:$E$400,MASQ2!EC414,'Étape 1 - à remplir'!$N$31:$N$400,EL$3,'Étape 1 - à remplir'!$G$31:$G$400,"kg")))))))</f>
        <v>#N/A</v>
      </c>
      <c r="EE414" s="76">
        <f t="shared" si="284"/>
        <v>0</v>
      </c>
      <c r="EF414" t="str">
        <f t="shared" si="275"/>
        <v>Chlortétracycline</v>
      </c>
      <c r="EG414" t="str">
        <f t="shared" si="276"/>
        <v/>
      </c>
      <c r="EH414" t="str">
        <f t="shared" si="277"/>
        <v/>
      </c>
      <c r="EI414" t="str">
        <f t="shared" si="278"/>
        <v>Tetracyclines</v>
      </c>
      <c r="EJ414" t="str">
        <f t="shared" si="279"/>
        <v/>
      </c>
      <c r="EK414" s="63" t="str">
        <f t="shared" si="280"/>
        <v/>
      </c>
      <c r="EN414" s="42">
        <v>411</v>
      </c>
      <c r="EO414" t="e">
        <f t="shared" si="286"/>
        <v>#N/A</v>
      </c>
      <c r="EP414" s="63" t="e">
        <f t="shared" si="287"/>
        <v>#N/A</v>
      </c>
      <c r="FT414" s="63"/>
    </row>
    <row r="415" spans="2:176" x14ac:dyDescent="0.3">
      <c r="B415" s="42"/>
      <c r="M415" s="194" t="str">
        <f ca="1">INDEX(Données_ATB!BD:BU,MATCH(MASQ2!O415,Données_ATB!BD:BD,0),18)</f>
        <v/>
      </c>
      <c r="N415" s="14" t="str">
        <f>IFERROR(IF(Q415=0,"",COUNTIF(Q$4:Q$600,"&gt;"&amp;Q415)+COUNTIF(Q$4:Q415,Q415)),"")</f>
        <v/>
      </c>
      <c r="O415" t="str">
        <f>Données_ATB!BD414</f>
        <v>PULMOVET 250 MG/ML SOLUTION POUR ADMINISTRATION DANS L'EAU DE BOISSON OU LE LAIT DE REMPLACEMENT POUR BOVINS, PORCINS, POULETS ET DINDES</v>
      </c>
      <c r="P415" t="e">
        <f>IF(IF(X$2="Catégorie",IF(X$3="Toutes",SUMIFS('Étape 1 - à remplir'!$F$31:$F$400,'Étape 1 - à remplir'!$E$31:$E$400,MASQ2!O415,'Étape 1 - à remplir'!$G$31:$G$400,"animaux"),SUMIFS('Étape 1 - à remplir'!$F$31:$F$400,'Étape 1 - à remplir'!$E$31:$E$400,MASQ2!O415,'Étape 1 - à remplir'!$C$31:$C$400,X$3)),IF(X$2="Âge",IF(X$3="Tous",SUMIFS('Étape 1 - à remplir'!$F$31:$F$400,'Étape 1 - à remplir'!$E$31:$E$400,MASQ2!O415,'Étape 1 - à remplir'!$G$31:$G$400,"animaux"),SUMIFS('Étape 1 - à remplir'!$F$31:$F$400,'Étape 1 - à remplir'!$E$31:$E$400,MASQ2!O415,'Étape 1 - à remplir'!$P$31:$P$400,X$3)),IF(X$2="Atelier",IF(X$3="Tous",SUMIFS('Étape 1 - à remplir'!$F$31:$F$400,'Étape 1 - à remplir'!$E$31:$E$400,MASQ2!O415,'Étape 1 - à remplir'!$G$31:$G$400,"animaux"),SUMIFS('Étape 1 - à remplir'!$F$31:$F$400,'Étape 1 - à remplir'!$E$31:$E$400,MASQ2!O415,'Étape 1 - à remplir'!$O$31:$O$400,X$3)),IF(X$2="Espèce",IF(X$3="Toutes",SUMIFS('Étape 1 - à remplir'!$F$31:$F$400,'Étape 1 - à remplir'!$E$31:$E$400,MASQ2!O415,'Étape 1 - à remplir'!$G$31:$G$400,"animaux"),SUMIFS('Étape 1 - à remplir'!$F$31:$F$400,'Étape 1 - à remplir'!$E$31:$E$400,MASQ2!O415,'Étape 1 - à remplir'!$N$31:$N$400,X$3))))))=0,NA(),IF(X$2="Catégorie",IF(X$3="Toutes",SUMIFS('Étape 1 - à remplir'!$F$31:$F$400,'Étape 1 - à remplir'!$E$31:$E$400,MASQ2!O415,'Étape 1 - à remplir'!$G$31:$G$400,"animaux"),SUMIFS('Étape 1 - à remplir'!$F$31:$F$400,'Étape 1 - à remplir'!$E$31:$E$400,MASQ2!O415,'Étape 1 - à remplir'!$C$31:$C$400,X$3)),IF(X$2="Âge",IF(X$3="Tous",SUMIFS('Étape 1 - à remplir'!$F$31:$F$400,'Étape 1 - à remplir'!$E$31:$E$400,MASQ2!O415,'Étape 1 - à remplir'!$G$31:$G$400,"animaux"),SUMIFS('Étape 1 - à remplir'!$F$31:$F$400,'Étape 1 - à remplir'!$E$31:$E$400,MASQ2!O415,'Étape 1 - à remplir'!$P$31:$P$400,X$3)),IF(X$2="Atelier",IF(X$3="Tous",SUMIFS('Étape 1 - à remplir'!$F$31:$F$400,'Étape 1 - à remplir'!$E$31:$E$400,MASQ2!O415,'Étape 1 - à remplir'!$G$31:$G$400,"animaux"),SUMIFS('Étape 1 - à remplir'!$F$31:$F$400,'Étape 1 - à remplir'!$E$31:$E$400,MASQ2!O415,'Étape 1 - à remplir'!$O$31:$O$400,X$3)),IF(X$2="Espèce",IF(X$3="Toutes",SUMIFS('Étape 1 - à remplir'!$F$31:$F$400,'Étape 1 - à remplir'!$E$31:$E$400,MASQ2!O415,'Étape 1 - à remplir'!$G$31:$G$400,"animaux"),SUMIFS('Étape 1 - à remplir'!$F$31:$F$400,'Étape 1 - à remplir'!$E$31:$E$400,MASQ2!O415,'Étape 1 - à remplir'!$N$31:$N$400,X$3)))))))</f>
        <v>#N/A</v>
      </c>
      <c r="Q415" s="63">
        <f t="shared" si="285"/>
        <v>0</v>
      </c>
      <c r="R415" t="str">
        <f>Données_ATB!BM414</f>
        <v>Tilmicosine</v>
      </c>
      <c r="S415" t="str">
        <f>Données_ATB!BN414</f>
        <v/>
      </c>
      <c r="T415" s="63" t="str">
        <f>Données_ATB!BO414</f>
        <v/>
      </c>
      <c r="U415" s="42" t="str">
        <f>Données_ATB!BQ414</f>
        <v>Macrolides</v>
      </c>
      <c r="V415" t="str">
        <f>Données_ATB!BR414</f>
        <v/>
      </c>
      <c r="W415" s="63" t="str">
        <f>Données_ATB!BS414</f>
        <v/>
      </c>
      <c r="Z415" s="42">
        <v>412</v>
      </c>
      <c r="AA415" t="e">
        <f t="shared" si="281"/>
        <v>#N/A</v>
      </c>
      <c r="AB415" s="63" t="e">
        <f t="shared" si="282"/>
        <v>#N/A</v>
      </c>
      <c r="BF415" s="63"/>
      <c r="BT415" s="194" t="str">
        <f t="shared" ca="1" si="265"/>
        <v/>
      </c>
      <c r="BU415" s="219" t="str">
        <f>IFERROR(IF(BX415=0,"",COUNTIF(BX$4:BX$600,"&gt;"&amp;BX415)+COUNTIF(BX$4:BX415,BX415)),"")</f>
        <v/>
      </c>
      <c r="BV415" s="42" t="str">
        <f t="shared" si="266"/>
        <v>PULMOVET 250 MG/ML SOLUTION POUR ADMINISTRATION DANS L'EAU DE BOISSON OU LE LAIT DE REMPLACEMENT POUR BOVINS, PORCINS, POULETS ET DINDES</v>
      </c>
      <c r="BW415" t="e">
        <f>IF(IF(CE$2="Catégorie",IF(CE$3="Toutes",SUMIFS('Étape 1 - à remplir'!$F$31:$F$400,'Étape 1 - à remplir'!$E$31:$E$400,MASQ2!BV415,'Étape 1 - à remplir'!$G$31:$G$400,"lots"),SUMIFS('Étape 1 - à remplir'!$F$31:$F$400,'Étape 1 - à remplir'!$E$31:$E$400,MASQ2!BV415,'Étape 1 - à remplir'!$C$31:$C$400,CE$3)),IF(CE$2="Âge",IF(CE$3="Tous",SUMIFS('Étape 1 - à remplir'!$F$31:$F$400,'Étape 1 - à remplir'!$E$31:$E$400,MASQ2!BV415,'Étape 1 - à remplir'!$G$31:$G$400,"lots"),SUMIFS('Étape 1 - à remplir'!$F$31:$F$400,'Étape 1 - à remplir'!$E$31:$E$400,MASQ2!BV415,'Étape 1 - à remplir'!$P$31:$P$400,CE$3,'Étape 1 - à remplir'!$G$31:$G$400,"lots")),IF(CE$2="Atelier",IF(CE$3="Tous",SUMIFS('Étape 1 - à remplir'!$F$31:$F$400,'Étape 1 - à remplir'!$E$31:$E$400,MASQ2!BV415,'Étape 1 - à remplir'!$G$31:$G$400,"lots"),SUMIFS('Étape 1 - à remplir'!$F$31:$F$400,'Étape 1 - à remplir'!$E$31:$E$400,MASQ2!BV415,'Étape 1 - à remplir'!$O$31:$O$400,CE$3,'Étape 1 - à remplir'!$G$31:$G$400,"lots")),IF(CE$2="Espèce",IF(CE$3="Toutes",SUMIFS('Étape 1 - à remplir'!$F$31:$F$400,'Étape 1 - à remplir'!$E$31:$E$400,MASQ2!BV415,'Étape 1 - à remplir'!$G$31:$G$400,"lots"),SUMIFS('Étape 1 - à remplir'!$F$31:$F$400,'Étape 1 - à remplir'!$E$31:$E$400,MASQ2!BV415,'Étape 1 - à remplir'!$N$31:$N$400,CE$3,'Étape 1 - à remplir'!$G$31:$G$400,"lots"))))))=0,NA(),IF(CE$2="Catégorie",IF(CE$3="Toutes",SUMIFS('Étape 1 - à remplir'!$F$31:$F$400,'Étape 1 - à remplir'!$E$31:$E$400,MASQ2!BV415,'Étape 1 - à remplir'!$G$31:$G$400,"lots"),SUMIFS('Étape 1 - à remplir'!$F$31:$F$400,'Étape 1 - à remplir'!$E$31:$E$400,MASQ2!BV415,'Étape 1 - à remplir'!$C$31:$C$400,CE$3)),IF(CE$2="Âge",IF(CE$3="Tous",SUMIFS('Étape 1 - à remplir'!$F$31:$F$400,'Étape 1 - à remplir'!$E$31:$E$400,MASQ2!BV415,'Étape 1 - à remplir'!$G$31:$G$400,"lots"),SUMIFS('Étape 1 - à remplir'!$F$31:$F$400,'Étape 1 - à remplir'!$E$31:$E$400,MASQ2!BV415,'Étape 1 - à remplir'!$P$31:$P$400,CE$3,'Étape 1 - à remplir'!$G$31:$G$400,"lots")),IF(CE$2="Atelier",IF(CE$3="Tous",SUMIFS('Étape 1 - à remplir'!$F$31:$F$400,'Étape 1 - à remplir'!$E$31:$E$400,MASQ2!BV415,'Étape 1 - à remplir'!$G$31:$G$400,"lots"),SUMIFS('Étape 1 - à remplir'!$F$31:$F$400,'Étape 1 - à remplir'!$E$31:$E$400,MASQ2!BV415,'Étape 1 - à remplir'!$O$31:$O$400,CE$3,'Étape 1 - à remplir'!$G$31:$G$400,"lots")),IF(CE$2="Espèce",IF(CE$3="Toutes",SUMIFS('Étape 1 - à remplir'!$F$31:$F$400,'Étape 1 - à remplir'!$E$31:$E$400,MASQ2!BV415,'Étape 1 - à remplir'!$G$31:$G$400,"lots"),SUMIFS('Étape 1 - à remplir'!$F$31:$F$400,'Étape 1 - à remplir'!$E$31:$E$400,MASQ2!BV415,'Étape 1 - à remplir'!$N$31:$N$400,CE$3,'Étape 1 - à remplir'!$G$31:$G$400,"lots")))))))</f>
        <v>#N/A</v>
      </c>
      <c r="BX415">
        <f t="shared" si="283"/>
        <v>0</v>
      </c>
      <c r="BY415" t="str">
        <f t="shared" si="267"/>
        <v>Tilmicosine</v>
      </c>
      <c r="BZ415" t="str">
        <f t="shared" si="268"/>
        <v/>
      </c>
      <c r="CA415" t="str">
        <f t="shared" si="269"/>
        <v/>
      </c>
      <c r="CB415" t="str">
        <f t="shared" si="270"/>
        <v>Macrolides</v>
      </c>
      <c r="CC415" t="str">
        <f t="shared" si="271"/>
        <v/>
      </c>
      <c r="CD415" s="63" t="str">
        <f t="shared" si="272"/>
        <v/>
      </c>
      <c r="CG415" s="42">
        <v>412</v>
      </c>
      <c r="CH415" s="42" t="e">
        <f t="shared" si="288"/>
        <v>#N/A</v>
      </c>
      <c r="CI415" s="63" t="e">
        <f t="shared" si="289"/>
        <v>#N/A</v>
      </c>
      <c r="DM415" s="63"/>
      <c r="EA415" s="194" t="str">
        <f t="shared" ca="1" si="273"/>
        <v/>
      </c>
      <c r="EB415" s="226" t="str">
        <f>IFERROR(IF(ED415=0,"",COUNTIF(ED$4:ED$600,"&gt;"&amp;ED415)+COUNTIF(ED$4:ED415,ED415)),"")</f>
        <v/>
      </c>
      <c r="EC415" t="str">
        <f t="shared" si="274"/>
        <v>PULMOVET 250 MG/ML SOLUTION POUR ADMINISTRATION DANS L'EAU DE BOISSON OU LE LAIT DE REMPLACEMENT POUR BOVINS, PORCINS, POULETS ET DINDES</v>
      </c>
      <c r="ED415" t="e">
        <f>IF(IF(EL$2="Catégorie",IF(EL$3="Toutes",SUMIFS('Étape 1 - à remplir'!$F$31:$F$400,'Étape 1 - à remplir'!$E$31:$E$400,MASQ2!EC415,'Étape 1 - à remplir'!$G$31:$G$400,"kg"),SUMIFS('Étape 1 - à remplir'!$F$31:$F$400,'Étape 1 - à remplir'!$E$31:$E$400,MASQ2!EC415,'Étape 1 - à remplir'!$C$31:$C$400,EL$3)),IF(EL$2="Âge",IF(EL$3="Tous",SUMIFS('Étape 1 - à remplir'!$F$31:$F$400,'Étape 1 - à remplir'!$E$31:$E$400,MASQ2!EC415,'Étape 1 - à remplir'!$G$31:$G$400,"kg"),SUMIFS('Étape 1 - à remplir'!$F$31:$F$400,'Étape 1 - à remplir'!$E$31:$E$400,MASQ2!EC415,'Étape 1 - à remplir'!$P$31:$P$400,EL$3,'Étape 1 - à remplir'!$G$31:$G$400,"kg")),IF(EL$2="Atelier",IF(EL$3="Tous",SUMIFS('Étape 1 - à remplir'!$F$31:$F$400,'Étape 1 - à remplir'!$E$31:$E$400,MASQ2!EC415,'Étape 1 - à remplir'!$G$31:$G$400,"kg"),SUMIFS('Étape 1 - à remplir'!$F$31:$F$400,'Étape 1 - à remplir'!$E$31:$E$400,MASQ2!EC415,'Étape 1 - à remplir'!$O$31:$O$400,EL$3,'Étape 1 - à remplir'!$G$31:$G$400,"kg")),IF(EL$2="Espèce",IF(EL$3="Toutes",SUMIFS('Étape 1 - à remplir'!$F$31:$F$400,'Étape 1 - à remplir'!$E$31:$E$400,MASQ2!EC415,'Étape 1 - à remplir'!$G$31:$G$400,"kg"),SUMIFS('Étape 1 - à remplir'!$F$31:$F$400,'Étape 1 - à remplir'!$E$31:$E$400,MASQ2!EC415,'Étape 1 - à remplir'!$N$31:$N$400,EL$3,'Étape 1 - à remplir'!$G$31:$G$400,"kg"))))))=0,NA(),IF(EL$2="Catégorie",IF(EL$3="Toutes",SUMIFS('Étape 1 - à remplir'!$F$31:$F$400,'Étape 1 - à remplir'!$E$31:$E$400,MASQ2!EC415,'Étape 1 - à remplir'!$G$31:$G$400,"kg"),SUMIFS('Étape 1 - à remplir'!$F$31:$F$400,'Étape 1 - à remplir'!$E$31:$E$400,MASQ2!EC415,'Étape 1 - à remplir'!$C$31:$C$400,EL$3)),IF(EL$2="Âge",IF(EL$3="Tous",SUMIFS('Étape 1 - à remplir'!$F$31:$F$400,'Étape 1 - à remplir'!$E$31:$E$400,MASQ2!EC415,'Étape 1 - à remplir'!$G$31:$G$400,"kg"),SUMIFS('Étape 1 - à remplir'!$F$31:$F$400,'Étape 1 - à remplir'!$E$31:$E$400,MASQ2!EC415,'Étape 1 - à remplir'!$P$31:$P$400,EL$3,'Étape 1 - à remplir'!$G$31:$G$400,"kg")),IF(EL$2="Atelier",IF(EL$3="Tous",SUMIFS('Étape 1 - à remplir'!$F$31:$F$400,'Étape 1 - à remplir'!$E$31:$E$400,MASQ2!EC415,'Étape 1 - à remplir'!$G$31:$G$400,"kg"),SUMIFS('Étape 1 - à remplir'!$F$31:$F$400,'Étape 1 - à remplir'!$E$31:$E$400,MASQ2!EC415,'Étape 1 - à remplir'!$O$31:$O$400,EL$3,'Étape 1 - à remplir'!$G$31:$G$400,"kg")),IF(EL$2="Espèce",IF(EL$3="Toutes",SUMIFS('Étape 1 - à remplir'!$F$31:$F$400,'Étape 1 - à remplir'!$E$31:$E$400,MASQ2!EC415,'Étape 1 - à remplir'!$G$31:$G$400,"kg"),SUMIFS('Étape 1 - à remplir'!$F$31:$F$400,'Étape 1 - à remplir'!$E$31:$E$400,MASQ2!EC415,'Étape 1 - à remplir'!$N$31:$N$400,EL$3,'Étape 1 - à remplir'!$G$31:$G$400,"kg")))))))</f>
        <v>#N/A</v>
      </c>
      <c r="EE415" s="76">
        <f t="shared" si="284"/>
        <v>0</v>
      </c>
      <c r="EF415" t="str">
        <f t="shared" si="275"/>
        <v>Tilmicosine</v>
      </c>
      <c r="EG415" t="str">
        <f t="shared" si="276"/>
        <v/>
      </c>
      <c r="EH415" t="str">
        <f t="shared" si="277"/>
        <v/>
      </c>
      <c r="EI415" t="str">
        <f t="shared" si="278"/>
        <v>Macrolides</v>
      </c>
      <c r="EJ415" t="str">
        <f t="shared" si="279"/>
        <v/>
      </c>
      <c r="EK415" s="63" t="str">
        <f t="shared" si="280"/>
        <v/>
      </c>
      <c r="EN415" s="42">
        <v>412</v>
      </c>
      <c r="EO415" t="e">
        <f t="shared" si="286"/>
        <v>#N/A</v>
      </c>
      <c r="EP415" s="63" t="e">
        <f t="shared" si="287"/>
        <v>#N/A</v>
      </c>
      <c r="FT415" s="63"/>
    </row>
    <row r="416" spans="2:176" x14ac:dyDescent="0.3">
      <c r="B416" s="42"/>
      <c r="M416" s="194" t="str">
        <f ca="1">INDEX(Données_ATB!BD:BU,MATCH(MASQ2!O416,Données_ATB!BD:BD,0),18)</f>
        <v>x</v>
      </c>
      <c r="N416" s="14" t="str">
        <f>IFERROR(IF(Q416=0,"",COUNTIF(Q$4:Q$600,"&gt;"&amp;Q416)+COUNTIF(Q$4:Q416,Q416)),"")</f>
        <v/>
      </c>
      <c r="O416" t="str">
        <f>Données_ATB!BD415</f>
        <v>QUINOEX 2,5 % SOLUTION BUVABLE POUR VEAUX</v>
      </c>
      <c r="P416" t="e">
        <f>IF(IF(X$2="Catégorie",IF(X$3="Toutes",SUMIFS('Étape 1 - à remplir'!$F$31:$F$400,'Étape 1 - à remplir'!$E$31:$E$400,MASQ2!O416,'Étape 1 - à remplir'!$G$31:$G$400,"animaux"),SUMIFS('Étape 1 - à remplir'!$F$31:$F$400,'Étape 1 - à remplir'!$E$31:$E$400,MASQ2!O416,'Étape 1 - à remplir'!$C$31:$C$400,X$3)),IF(X$2="Âge",IF(X$3="Tous",SUMIFS('Étape 1 - à remplir'!$F$31:$F$400,'Étape 1 - à remplir'!$E$31:$E$400,MASQ2!O416,'Étape 1 - à remplir'!$G$31:$G$400,"animaux"),SUMIFS('Étape 1 - à remplir'!$F$31:$F$400,'Étape 1 - à remplir'!$E$31:$E$400,MASQ2!O416,'Étape 1 - à remplir'!$P$31:$P$400,X$3)),IF(X$2="Atelier",IF(X$3="Tous",SUMIFS('Étape 1 - à remplir'!$F$31:$F$400,'Étape 1 - à remplir'!$E$31:$E$400,MASQ2!O416,'Étape 1 - à remplir'!$G$31:$G$400,"animaux"),SUMIFS('Étape 1 - à remplir'!$F$31:$F$400,'Étape 1 - à remplir'!$E$31:$E$400,MASQ2!O416,'Étape 1 - à remplir'!$O$31:$O$400,X$3)),IF(X$2="Espèce",IF(X$3="Toutes",SUMIFS('Étape 1 - à remplir'!$F$31:$F$400,'Étape 1 - à remplir'!$E$31:$E$400,MASQ2!O416,'Étape 1 - à remplir'!$G$31:$G$400,"animaux"),SUMIFS('Étape 1 - à remplir'!$F$31:$F$400,'Étape 1 - à remplir'!$E$31:$E$400,MASQ2!O416,'Étape 1 - à remplir'!$N$31:$N$400,X$3))))))=0,NA(),IF(X$2="Catégorie",IF(X$3="Toutes",SUMIFS('Étape 1 - à remplir'!$F$31:$F$400,'Étape 1 - à remplir'!$E$31:$E$400,MASQ2!O416,'Étape 1 - à remplir'!$G$31:$G$400,"animaux"),SUMIFS('Étape 1 - à remplir'!$F$31:$F$400,'Étape 1 - à remplir'!$E$31:$E$400,MASQ2!O416,'Étape 1 - à remplir'!$C$31:$C$400,X$3)),IF(X$2="Âge",IF(X$3="Tous",SUMIFS('Étape 1 - à remplir'!$F$31:$F$400,'Étape 1 - à remplir'!$E$31:$E$400,MASQ2!O416,'Étape 1 - à remplir'!$G$31:$G$400,"animaux"),SUMIFS('Étape 1 - à remplir'!$F$31:$F$400,'Étape 1 - à remplir'!$E$31:$E$400,MASQ2!O416,'Étape 1 - à remplir'!$P$31:$P$400,X$3)),IF(X$2="Atelier",IF(X$3="Tous",SUMIFS('Étape 1 - à remplir'!$F$31:$F$400,'Étape 1 - à remplir'!$E$31:$E$400,MASQ2!O416,'Étape 1 - à remplir'!$G$31:$G$400,"animaux"),SUMIFS('Étape 1 - à remplir'!$F$31:$F$400,'Étape 1 - à remplir'!$E$31:$E$400,MASQ2!O416,'Étape 1 - à remplir'!$O$31:$O$400,X$3)),IF(X$2="Espèce",IF(X$3="Toutes",SUMIFS('Étape 1 - à remplir'!$F$31:$F$400,'Étape 1 - à remplir'!$E$31:$E$400,MASQ2!O416,'Étape 1 - à remplir'!$G$31:$G$400,"animaux"),SUMIFS('Étape 1 - à remplir'!$F$31:$F$400,'Étape 1 - à remplir'!$E$31:$E$400,MASQ2!O416,'Étape 1 - à remplir'!$N$31:$N$400,X$3)))))))</f>
        <v>#N/A</v>
      </c>
      <c r="Q416" s="63">
        <f t="shared" si="285"/>
        <v>0</v>
      </c>
      <c r="R416" t="str">
        <f>Données_ATB!BM415</f>
        <v>Enrofloxacine</v>
      </c>
      <c r="S416" t="str">
        <f>Données_ATB!BN415</f>
        <v/>
      </c>
      <c r="T416" s="63" t="str">
        <f>Données_ATB!BO415</f>
        <v/>
      </c>
      <c r="U416" s="42" t="str">
        <f>Données_ATB!BQ415</f>
        <v>Fluoroquinolones</v>
      </c>
      <c r="V416" t="str">
        <f>Données_ATB!BR415</f>
        <v/>
      </c>
      <c r="W416" s="63" t="str">
        <f>Données_ATB!BS415</f>
        <v/>
      </c>
      <c r="Z416" s="42">
        <v>413</v>
      </c>
      <c r="AA416" t="e">
        <f t="shared" si="281"/>
        <v>#N/A</v>
      </c>
      <c r="AB416" s="63" t="e">
        <f t="shared" si="282"/>
        <v>#N/A</v>
      </c>
      <c r="BF416" s="63"/>
      <c r="BT416" s="194" t="str">
        <f t="shared" ca="1" si="265"/>
        <v>x</v>
      </c>
      <c r="BU416" s="219" t="str">
        <f>IFERROR(IF(BX416=0,"",COUNTIF(BX$4:BX$600,"&gt;"&amp;BX416)+COUNTIF(BX$4:BX416,BX416)),"")</f>
        <v/>
      </c>
      <c r="BV416" s="42" t="str">
        <f t="shared" si="266"/>
        <v>QUINOEX 2,5 % SOLUTION BUVABLE POUR VEAUX</v>
      </c>
      <c r="BW416" t="e">
        <f>IF(IF(CE$2="Catégorie",IF(CE$3="Toutes",SUMIFS('Étape 1 - à remplir'!$F$31:$F$400,'Étape 1 - à remplir'!$E$31:$E$400,MASQ2!BV416,'Étape 1 - à remplir'!$G$31:$G$400,"lots"),SUMIFS('Étape 1 - à remplir'!$F$31:$F$400,'Étape 1 - à remplir'!$E$31:$E$400,MASQ2!BV416,'Étape 1 - à remplir'!$C$31:$C$400,CE$3)),IF(CE$2="Âge",IF(CE$3="Tous",SUMIFS('Étape 1 - à remplir'!$F$31:$F$400,'Étape 1 - à remplir'!$E$31:$E$400,MASQ2!BV416,'Étape 1 - à remplir'!$G$31:$G$400,"lots"),SUMIFS('Étape 1 - à remplir'!$F$31:$F$400,'Étape 1 - à remplir'!$E$31:$E$400,MASQ2!BV416,'Étape 1 - à remplir'!$P$31:$P$400,CE$3,'Étape 1 - à remplir'!$G$31:$G$400,"lots")),IF(CE$2="Atelier",IF(CE$3="Tous",SUMIFS('Étape 1 - à remplir'!$F$31:$F$400,'Étape 1 - à remplir'!$E$31:$E$400,MASQ2!BV416,'Étape 1 - à remplir'!$G$31:$G$400,"lots"),SUMIFS('Étape 1 - à remplir'!$F$31:$F$400,'Étape 1 - à remplir'!$E$31:$E$400,MASQ2!BV416,'Étape 1 - à remplir'!$O$31:$O$400,CE$3,'Étape 1 - à remplir'!$G$31:$G$400,"lots")),IF(CE$2="Espèce",IF(CE$3="Toutes",SUMIFS('Étape 1 - à remplir'!$F$31:$F$400,'Étape 1 - à remplir'!$E$31:$E$400,MASQ2!BV416,'Étape 1 - à remplir'!$G$31:$G$400,"lots"),SUMIFS('Étape 1 - à remplir'!$F$31:$F$400,'Étape 1 - à remplir'!$E$31:$E$400,MASQ2!BV416,'Étape 1 - à remplir'!$N$31:$N$400,CE$3,'Étape 1 - à remplir'!$G$31:$G$400,"lots"))))))=0,NA(),IF(CE$2="Catégorie",IF(CE$3="Toutes",SUMIFS('Étape 1 - à remplir'!$F$31:$F$400,'Étape 1 - à remplir'!$E$31:$E$400,MASQ2!BV416,'Étape 1 - à remplir'!$G$31:$G$400,"lots"),SUMIFS('Étape 1 - à remplir'!$F$31:$F$400,'Étape 1 - à remplir'!$E$31:$E$400,MASQ2!BV416,'Étape 1 - à remplir'!$C$31:$C$400,CE$3)),IF(CE$2="Âge",IF(CE$3="Tous",SUMIFS('Étape 1 - à remplir'!$F$31:$F$400,'Étape 1 - à remplir'!$E$31:$E$400,MASQ2!BV416,'Étape 1 - à remplir'!$G$31:$G$400,"lots"),SUMIFS('Étape 1 - à remplir'!$F$31:$F$400,'Étape 1 - à remplir'!$E$31:$E$400,MASQ2!BV416,'Étape 1 - à remplir'!$P$31:$P$400,CE$3,'Étape 1 - à remplir'!$G$31:$G$400,"lots")),IF(CE$2="Atelier",IF(CE$3="Tous",SUMIFS('Étape 1 - à remplir'!$F$31:$F$400,'Étape 1 - à remplir'!$E$31:$E$400,MASQ2!BV416,'Étape 1 - à remplir'!$G$31:$G$400,"lots"),SUMIFS('Étape 1 - à remplir'!$F$31:$F$400,'Étape 1 - à remplir'!$E$31:$E$400,MASQ2!BV416,'Étape 1 - à remplir'!$O$31:$O$400,CE$3,'Étape 1 - à remplir'!$G$31:$G$400,"lots")),IF(CE$2="Espèce",IF(CE$3="Toutes",SUMIFS('Étape 1 - à remplir'!$F$31:$F$400,'Étape 1 - à remplir'!$E$31:$E$400,MASQ2!BV416,'Étape 1 - à remplir'!$G$31:$G$400,"lots"),SUMIFS('Étape 1 - à remplir'!$F$31:$F$400,'Étape 1 - à remplir'!$E$31:$E$400,MASQ2!BV416,'Étape 1 - à remplir'!$N$31:$N$400,CE$3,'Étape 1 - à remplir'!$G$31:$G$400,"lots")))))))</f>
        <v>#N/A</v>
      </c>
      <c r="BX416">
        <f t="shared" si="283"/>
        <v>0</v>
      </c>
      <c r="BY416" t="str">
        <f t="shared" si="267"/>
        <v>Enrofloxacine</v>
      </c>
      <c r="BZ416" t="str">
        <f t="shared" si="268"/>
        <v/>
      </c>
      <c r="CA416" t="str">
        <f t="shared" si="269"/>
        <v/>
      </c>
      <c r="CB416" t="str">
        <f t="shared" si="270"/>
        <v>Fluoroquinolones</v>
      </c>
      <c r="CC416" t="str">
        <f t="shared" si="271"/>
        <v/>
      </c>
      <c r="CD416" s="63" t="str">
        <f t="shared" si="272"/>
        <v/>
      </c>
      <c r="CG416" s="42">
        <v>413</v>
      </c>
      <c r="CH416" s="42" t="e">
        <f t="shared" si="288"/>
        <v>#N/A</v>
      </c>
      <c r="CI416" s="63" t="e">
        <f t="shared" si="289"/>
        <v>#N/A</v>
      </c>
      <c r="DM416" s="63"/>
      <c r="EA416" s="194" t="str">
        <f t="shared" ca="1" si="273"/>
        <v>x</v>
      </c>
      <c r="EB416" s="226" t="str">
        <f>IFERROR(IF(ED416=0,"",COUNTIF(ED$4:ED$600,"&gt;"&amp;ED416)+COUNTIF(ED$4:ED416,ED416)),"")</f>
        <v/>
      </c>
      <c r="EC416" t="str">
        <f t="shared" si="274"/>
        <v>QUINOEX 2,5 % SOLUTION BUVABLE POUR VEAUX</v>
      </c>
      <c r="ED416" t="e">
        <f>IF(IF(EL$2="Catégorie",IF(EL$3="Toutes",SUMIFS('Étape 1 - à remplir'!$F$31:$F$400,'Étape 1 - à remplir'!$E$31:$E$400,MASQ2!EC416,'Étape 1 - à remplir'!$G$31:$G$400,"kg"),SUMIFS('Étape 1 - à remplir'!$F$31:$F$400,'Étape 1 - à remplir'!$E$31:$E$400,MASQ2!EC416,'Étape 1 - à remplir'!$C$31:$C$400,EL$3)),IF(EL$2="Âge",IF(EL$3="Tous",SUMIFS('Étape 1 - à remplir'!$F$31:$F$400,'Étape 1 - à remplir'!$E$31:$E$400,MASQ2!EC416,'Étape 1 - à remplir'!$G$31:$G$400,"kg"),SUMIFS('Étape 1 - à remplir'!$F$31:$F$400,'Étape 1 - à remplir'!$E$31:$E$400,MASQ2!EC416,'Étape 1 - à remplir'!$P$31:$P$400,EL$3,'Étape 1 - à remplir'!$G$31:$G$400,"kg")),IF(EL$2="Atelier",IF(EL$3="Tous",SUMIFS('Étape 1 - à remplir'!$F$31:$F$400,'Étape 1 - à remplir'!$E$31:$E$400,MASQ2!EC416,'Étape 1 - à remplir'!$G$31:$G$400,"kg"),SUMIFS('Étape 1 - à remplir'!$F$31:$F$400,'Étape 1 - à remplir'!$E$31:$E$400,MASQ2!EC416,'Étape 1 - à remplir'!$O$31:$O$400,EL$3,'Étape 1 - à remplir'!$G$31:$G$400,"kg")),IF(EL$2="Espèce",IF(EL$3="Toutes",SUMIFS('Étape 1 - à remplir'!$F$31:$F$400,'Étape 1 - à remplir'!$E$31:$E$400,MASQ2!EC416,'Étape 1 - à remplir'!$G$31:$G$400,"kg"),SUMIFS('Étape 1 - à remplir'!$F$31:$F$400,'Étape 1 - à remplir'!$E$31:$E$400,MASQ2!EC416,'Étape 1 - à remplir'!$N$31:$N$400,EL$3,'Étape 1 - à remplir'!$G$31:$G$400,"kg"))))))=0,NA(),IF(EL$2="Catégorie",IF(EL$3="Toutes",SUMIFS('Étape 1 - à remplir'!$F$31:$F$400,'Étape 1 - à remplir'!$E$31:$E$400,MASQ2!EC416,'Étape 1 - à remplir'!$G$31:$G$400,"kg"),SUMIFS('Étape 1 - à remplir'!$F$31:$F$400,'Étape 1 - à remplir'!$E$31:$E$400,MASQ2!EC416,'Étape 1 - à remplir'!$C$31:$C$400,EL$3)),IF(EL$2="Âge",IF(EL$3="Tous",SUMIFS('Étape 1 - à remplir'!$F$31:$F$400,'Étape 1 - à remplir'!$E$31:$E$400,MASQ2!EC416,'Étape 1 - à remplir'!$G$31:$G$400,"kg"),SUMIFS('Étape 1 - à remplir'!$F$31:$F$400,'Étape 1 - à remplir'!$E$31:$E$400,MASQ2!EC416,'Étape 1 - à remplir'!$P$31:$P$400,EL$3,'Étape 1 - à remplir'!$G$31:$G$400,"kg")),IF(EL$2="Atelier",IF(EL$3="Tous",SUMIFS('Étape 1 - à remplir'!$F$31:$F$400,'Étape 1 - à remplir'!$E$31:$E$400,MASQ2!EC416,'Étape 1 - à remplir'!$G$31:$G$400,"kg"),SUMIFS('Étape 1 - à remplir'!$F$31:$F$400,'Étape 1 - à remplir'!$E$31:$E$400,MASQ2!EC416,'Étape 1 - à remplir'!$O$31:$O$400,EL$3,'Étape 1 - à remplir'!$G$31:$G$400,"kg")),IF(EL$2="Espèce",IF(EL$3="Toutes",SUMIFS('Étape 1 - à remplir'!$F$31:$F$400,'Étape 1 - à remplir'!$E$31:$E$400,MASQ2!EC416,'Étape 1 - à remplir'!$G$31:$G$400,"kg"),SUMIFS('Étape 1 - à remplir'!$F$31:$F$400,'Étape 1 - à remplir'!$E$31:$E$400,MASQ2!EC416,'Étape 1 - à remplir'!$N$31:$N$400,EL$3,'Étape 1 - à remplir'!$G$31:$G$400,"kg")))))))</f>
        <v>#N/A</v>
      </c>
      <c r="EE416" s="76">
        <f t="shared" si="284"/>
        <v>0</v>
      </c>
      <c r="EF416" t="str">
        <f t="shared" si="275"/>
        <v>Enrofloxacine</v>
      </c>
      <c r="EG416" t="str">
        <f t="shared" si="276"/>
        <v/>
      </c>
      <c r="EH416" t="str">
        <f t="shared" si="277"/>
        <v/>
      </c>
      <c r="EI416" t="str">
        <f t="shared" si="278"/>
        <v>Fluoroquinolones</v>
      </c>
      <c r="EJ416" t="str">
        <f t="shared" si="279"/>
        <v/>
      </c>
      <c r="EK416" s="63" t="str">
        <f t="shared" si="280"/>
        <v/>
      </c>
      <c r="EN416" s="42">
        <v>413</v>
      </c>
      <c r="EO416" t="e">
        <f t="shared" si="286"/>
        <v>#N/A</v>
      </c>
      <c r="EP416" s="63" t="e">
        <f t="shared" si="287"/>
        <v>#N/A</v>
      </c>
      <c r="FT416" s="63"/>
    </row>
    <row r="417" spans="2:176" x14ac:dyDescent="0.3">
      <c r="B417" s="42"/>
      <c r="M417" s="194" t="str">
        <f ca="1">INDEX(Données_ATB!BD:BU,MATCH(MASQ2!O417,Données_ATB!BD:BD,0),18)</f>
        <v>x</v>
      </c>
      <c r="N417" s="14" t="str">
        <f>IFERROR(IF(Q417=0,"",COUNTIF(Q$4:Q$600,"&gt;"&amp;Q417)+COUNTIF(Q$4:Q417,Q417)),"")</f>
        <v/>
      </c>
      <c r="O417" t="str">
        <f>Données_ATB!BD416</f>
        <v>QUINOFLOX 10% SOLUTION BUVABLE</v>
      </c>
      <c r="P417" t="e">
        <f>IF(IF(X$2="Catégorie",IF(X$3="Toutes",SUMIFS('Étape 1 - à remplir'!$F$31:$F$400,'Étape 1 - à remplir'!$E$31:$E$400,MASQ2!O417,'Étape 1 - à remplir'!$G$31:$G$400,"animaux"),SUMIFS('Étape 1 - à remplir'!$F$31:$F$400,'Étape 1 - à remplir'!$E$31:$E$400,MASQ2!O417,'Étape 1 - à remplir'!$C$31:$C$400,X$3)),IF(X$2="Âge",IF(X$3="Tous",SUMIFS('Étape 1 - à remplir'!$F$31:$F$400,'Étape 1 - à remplir'!$E$31:$E$400,MASQ2!O417,'Étape 1 - à remplir'!$G$31:$G$400,"animaux"),SUMIFS('Étape 1 - à remplir'!$F$31:$F$400,'Étape 1 - à remplir'!$E$31:$E$400,MASQ2!O417,'Étape 1 - à remplir'!$P$31:$P$400,X$3)),IF(X$2="Atelier",IF(X$3="Tous",SUMIFS('Étape 1 - à remplir'!$F$31:$F$400,'Étape 1 - à remplir'!$E$31:$E$400,MASQ2!O417,'Étape 1 - à remplir'!$G$31:$G$400,"animaux"),SUMIFS('Étape 1 - à remplir'!$F$31:$F$400,'Étape 1 - à remplir'!$E$31:$E$400,MASQ2!O417,'Étape 1 - à remplir'!$O$31:$O$400,X$3)),IF(X$2="Espèce",IF(X$3="Toutes",SUMIFS('Étape 1 - à remplir'!$F$31:$F$400,'Étape 1 - à remplir'!$E$31:$E$400,MASQ2!O417,'Étape 1 - à remplir'!$G$31:$G$400,"animaux"),SUMIFS('Étape 1 - à remplir'!$F$31:$F$400,'Étape 1 - à remplir'!$E$31:$E$400,MASQ2!O417,'Étape 1 - à remplir'!$N$31:$N$400,X$3))))))=0,NA(),IF(X$2="Catégorie",IF(X$3="Toutes",SUMIFS('Étape 1 - à remplir'!$F$31:$F$400,'Étape 1 - à remplir'!$E$31:$E$400,MASQ2!O417,'Étape 1 - à remplir'!$G$31:$G$400,"animaux"),SUMIFS('Étape 1 - à remplir'!$F$31:$F$400,'Étape 1 - à remplir'!$E$31:$E$400,MASQ2!O417,'Étape 1 - à remplir'!$C$31:$C$400,X$3)),IF(X$2="Âge",IF(X$3="Tous",SUMIFS('Étape 1 - à remplir'!$F$31:$F$400,'Étape 1 - à remplir'!$E$31:$E$400,MASQ2!O417,'Étape 1 - à remplir'!$G$31:$G$400,"animaux"),SUMIFS('Étape 1 - à remplir'!$F$31:$F$400,'Étape 1 - à remplir'!$E$31:$E$400,MASQ2!O417,'Étape 1 - à remplir'!$P$31:$P$400,X$3)),IF(X$2="Atelier",IF(X$3="Tous",SUMIFS('Étape 1 - à remplir'!$F$31:$F$400,'Étape 1 - à remplir'!$E$31:$E$400,MASQ2!O417,'Étape 1 - à remplir'!$G$31:$G$400,"animaux"),SUMIFS('Étape 1 - à remplir'!$F$31:$F$400,'Étape 1 - à remplir'!$E$31:$E$400,MASQ2!O417,'Étape 1 - à remplir'!$O$31:$O$400,X$3)),IF(X$2="Espèce",IF(X$3="Toutes",SUMIFS('Étape 1 - à remplir'!$F$31:$F$400,'Étape 1 - à remplir'!$E$31:$E$400,MASQ2!O417,'Étape 1 - à remplir'!$G$31:$G$400,"animaux"),SUMIFS('Étape 1 - à remplir'!$F$31:$F$400,'Étape 1 - à remplir'!$E$31:$E$400,MASQ2!O417,'Étape 1 - à remplir'!$N$31:$N$400,X$3)))))))</f>
        <v>#N/A</v>
      </c>
      <c r="Q417" s="63">
        <f t="shared" si="285"/>
        <v>0</v>
      </c>
      <c r="R417" t="str">
        <f>Données_ATB!BM416</f>
        <v>Enrofloxacine</v>
      </c>
      <c r="S417" t="str">
        <f>Données_ATB!BN416</f>
        <v/>
      </c>
      <c r="T417" s="63" t="str">
        <f>Données_ATB!BO416</f>
        <v/>
      </c>
      <c r="U417" s="42" t="str">
        <f>Données_ATB!BQ416</f>
        <v>Fluoroquinolones</v>
      </c>
      <c r="V417" t="str">
        <f>Données_ATB!BR416</f>
        <v/>
      </c>
      <c r="W417" s="63" t="str">
        <f>Données_ATB!BS416</f>
        <v/>
      </c>
      <c r="Z417" s="42">
        <v>414</v>
      </c>
      <c r="AA417" t="e">
        <f t="shared" si="281"/>
        <v>#N/A</v>
      </c>
      <c r="AB417" s="63" t="e">
        <f t="shared" si="282"/>
        <v>#N/A</v>
      </c>
      <c r="BF417" s="63"/>
      <c r="BT417" s="194" t="str">
        <f t="shared" ca="1" si="265"/>
        <v>x</v>
      </c>
      <c r="BU417" s="219" t="str">
        <f>IFERROR(IF(BX417=0,"",COUNTIF(BX$4:BX$600,"&gt;"&amp;BX417)+COUNTIF(BX$4:BX417,BX417)),"")</f>
        <v/>
      </c>
      <c r="BV417" s="42" t="str">
        <f t="shared" si="266"/>
        <v>QUINOFLOX 10% SOLUTION BUVABLE</v>
      </c>
      <c r="BW417" t="e">
        <f>IF(IF(CE$2="Catégorie",IF(CE$3="Toutes",SUMIFS('Étape 1 - à remplir'!$F$31:$F$400,'Étape 1 - à remplir'!$E$31:$E$400,MASQ2!BV417,'Étape 1 - à remplir'!$G$31:$G$400,"lots"),SUMIFS('Étape 1 - à remplir'!$F$31:$F$400,'Étape 1 - à remplir'!$E$31:$E$400,MASQ2!BV417,'Étape 1 - à remplir'!$C$31:$C$400,CE$3)),IF(CE$2="Âge",IF(CE$3="Tous",SUMIFS('Étape 1 - à remplir'!$F$31:$F$400,'Étape 1 - à remplir'!$E$31:$E$400,MASQ2!BV417,'Étape 1 - à remplir'!$G$31:$G$400,"lots"),SUMIFS('Étape 1 - à remplir'!$F$31:$F$400,'Étape 1 - à remplir'!$E$31:$E$400,MASQ2!BV417,'Étape 1 - à remplir'!$P$31:$P$400,CE$3,'Étape 1 - à remplir'!$G$31:$G$400,"lots")),IF(CE$2="Atelier",IF(CE$3="Tous",SUMIFS('Étape 1 - à remplir'!$F$31:$F$400,'Étape 1 - à remplir'!$E$31:$E$400,MASQ2!BV417,'Étape 1 - à remplir'!$G$31:$G$400,"lots"),SUMIFS('Étape 1 - à remplir'!$F$31:$F$400,'Étape 1 - à remplir'!$E$31:$E$400,MASQ2!BV417,'Étape 1 - à remplir'!$O$31:$O$400,CE$3,'Étape 1 - à remplir'!$G$31:$G$400,"lots")),IF(CE$2="Espèce",IF(CE$3="Toutes",SUMIFS('Étape 1 - à remplir'!$F$31:$F$400,'Étape 1 - à remplir'!$E$31:$E$400,MASQ2!BV417,'Étape 1 - à remplir'!$G$31:$G$400,"lots"),SUMIFS('Étape 1 - à remplir'!$F$31:$F$400,'Étape 1 - à remplir'!$E$31:$E$400,MASQ2!BV417,'Étape 1 - à remplir'!$N$31:$N$400,CE$3,'Étape 1 - à remplir'!$G$31:$G$400,"lots"))))))=0,NA(),IF(CE$2="Catégorie",IF(CE$3="Toutes",SUMIFS('Étape 1 - à remplir'!$F$31:$F$400,'Étape 1 - à remplir'!$E$31:$E$400,MASQ2!BV417,'Étape 1 - à remplir'!$G$31:$G$400,"lots"),SUMIFS('Étape 1 - à remplir'!$F$31:$F$400,'Étape 1 - à remplir'!$E$31:$E$400,MASQ2!BV417,'Étape 1 - à remplir'!$C$31:$C$400,CE$3)),IF(CE$2="Âge",IF(CE$3="Tous",SUMIFS('Étape 1 - à remplir'!$F$31:$F$400,'Étape 1 - à remplir'!$E$31:$E$400,MASQ2!BV417,'Étape 1 - à remplir'!$G$31:$G$400,"lots"),SUMIFS('Étape 1 - à remplir'!$F$31:$F$400,'Étape 1 - à remplir'!$E$31:$E$400,MASQ2!BV417,'Étape 1 - à remplir'!$P$31:$P$400,CE$3,'Étape 1 - à remplir'!$G$31:$G$400,"lots")),IF(CE$2="Atelier",IF(CE$3="Tous",SUMIFS('Étape 1 - à remplir'!$F$31:$F$400,'Étape 1 - à remplir'!$E$31:$E$400,MASQ2!BV417,'Étape 1 - à remplir'!$G$31:$G$400,"lots"),SUMIFS('Étape 1 - à remplir'!$F$31:$F$400,'Étape 1 - à remplir'!$E$31:$E$400,MASQ2!BV417,'Étape 1 - à remplir'!$O$31:$O$400,CE$3,'Étape 1 - à remplir'!$G$31:$G$400,"lots")),IF(CE$2="Espèce",IF(CE$3="Toutes",SUMIFS('Étape 1 - à remplir'!$F$31:$F$400,'Étape 1 - à remplir'!$E$31:$E$400,MASQ2!BV417,'Étape 1 - à remplir'!$G$31:$G$400,"lots"),SUMIFS('Étape 1 - à remplir'!$F$31:$F$400,'Étape 1 - à remplir'!$E$31:$E$400,MASQ2!BV417,'Étape 1 - à remplir'!$N$31:$N$400,CE$3,'Étape 1 - à remplir'!$G$31:$G$400,"lots")))))))</f>
        <v>#N/A</v>
      </c>
      <c r="BX417">
        <f t="shared" si="283"/>
        <v>0</v>
      </c>
      <c r="BY417" t="str">
        <f t="shared" si="267"/>
        <v>Enrofloxacine</v>
      </c>
      <c r="BZ417" t="str">
        <f t="shared" si="268"/>
        <v/>
      </c>
      <c r="CA417" t="str">
        <f t="shared" si="269"/>
        <v/>
      </c>
      <c r="CB417" t="str">
        <f t="shared" si="270"/>
        <v>Fluoroquinolones</v>
      </c>
      <c r="CC417" t="str">
        <f t="shared" si="271"/>
        <v/>
      </c>
      <c r="CD417" s="63" t="str">
        <f t="shared" si="272"/>
        <v/>
      </c>
      <c r="CG417" s="42">
        <v>414</v>
      </c>
      <c r="CH417" s="42" t="e">
        <f t="shared" si="288"/>
        <v>#N/A</v>
      </c>
      <c r="CI417" s="63" t="e">
        <f t="shared" si="289"/>
        <v>#N/A</v>
      </c>
      <c r="DM417" s="63"/>
      <c r="EA417" s="194" t="str">
        <f t="shared" ca="1" si="273"/>
        <v>x</v>
      </c>
      <c r="EB417" s="226" t="str">
        <f>IFERROR(IF(ED417=0,"",COUNTIF(ED$4:ED$600,"&gt;"&amp;ED417)+COUNTIF(ED$4:ED417,ED417)),"")</f>
        <v/>
      </c>
      <c r="EC417" t="str">
        <f t="shared" si="274"/>
        <v>QUINOFLOX 10% SOLUTION BUVABLE</v>
      </c>
      <c r="ED417" t="e">
        <f>IF(IF(EL$2="Catégorie",IF(EL$3="Toutes",SUMIFS('Étape 1 - à remplir'!$F$31:$F$400,'Étape 1 - à remplir'!$E$31:$E$400,MASQ2!EC417,'Étape 1 - à remplir'!$G$31:$G$400,"kg"),SUMIFS('Étape 1 - à remplir'!$F$31:$F$400,'Étape 1 - à remplir'!$E$31:$E$400,MASQ2!EC417,'Étape 1 - à remplir'!$C$31:$C$400,EL$3)),IF(EL$2="Âge",IF(EL$3="Tous",SUMIFS('Étape 1 - à remplir'!$F$31:$F$400,'Étape 1 - à remplir'!$E$31:$E$400,MASQ2!EC417,'Étape 1 - à remplir'!$G$31:$G$400,"kg"),SUMIFS('Étape 1 - à remplir'!$F$31:$F$400,'Étape 1 - à remplir'!$E$31:$E$400,MASQ2!EC417,'Étape 1 - à remplir'!$P$31:$P$400,EL$3,'Étape 1 - à remplir'!$G$31:$G$400,"kg")),IF(EL$2="Atelier",IF(EL$3="Tous",SUMIFS('Étape 1 - à remplir'!$F$31:$F$400,'Étape 1 - à remplir'!$E$31:$E$400,MASQ2!EC417,'Étape 1 - à remplir'!$G$31:$G$400,"kg"),SUMIFS('Étape 1 - à remplir'!$F$31:$F$400,'Étape 1 - à remplir'!$E$31:$E$400,MASQ2!EC417,'Étape 1 - à remplir'!$O$31:$O$400,EL$3,'Étape 1 - à remplir'!$G$31:$G$400,"kg")),IF(EL$2="Espèce",IF(EL$3="Toutes",SUMIFS('Étape 1 - à remplir'!$F$31:$F$400,'Étape 1 - à remplir'!$E$31:$E$400,MASQ2!EC417,'Étape 1 - à remplir'!$G$31:$G$400,"kg"),SUMIFS('Étape 1 - à remplir'!$F$31:$F$400,'Étape 1 - à remplir'!$E$31:$E$400,MASQ2!EC417,'Étape 1 - à remplir'!$N$31:$N$400,EL$3,'Étape 1 - à remplir'!$G$31:$G$400,"kg"))))))=0,NA(),IF(EL$2="Catégorie",IF(EL$3="Toutes",SUMIFS('Étape 1 - à remplir'!$F$31:$F$400,'Étape 1 - à remplir'!$E$31:$E$400,MASQ2!EC417,'Étape 1 - à remplir'!$G$31:$G$400,"kg"),SUMIFS('Étape 1 - à remplir'!$F$31:$F$400,'Étape 1 - à remplir'!$E$31:$E$400,MASQ2!EC417,'Étape 1 - à remplir'!$C$31:$C$400,EL$3)),IF(EL$2="Âge",IF(EL$3="Tous",SUMIFS('Étape 1 - à remplir'!$F$31:$F$400,'Étape 1 - à remplir'!$E$31:$E$400,MASQ2!EC417,'Étape 1 - à remplir'!$G$31:$G$400,"kg"),SUMIFS('Étape 1 - à remplir'!$F$31:$F$400,'Étape 1 - à remplir'!$E$31:$E$400,MASQ2!EC417,'Étape 1 - à remplir'!$P$31:$P$400,EL$3,'Étape 1 - à remplir'!$G$31:$G$400,"kg")),IF(EL$2="Atelier",IF(EL$3="Tous",SUMIFS('Étape 1 - à remplir'!$F$31:$F$400,'Étape 1 - à remplir'!$E$31:$E$400,MASQ2!EC417,'Étape 1 - à remplir'!$G$31:$G$400,"kg"),SUMIFS('Étape 1 - à remplir'!$F$31:$F$400,'Étape 1 - à remplir'!$E$31:$E$400,MASQ2!EC417,'Étape 1 - à remplir'!$O$31:$O$400,EL$3,'Étape 1 - à remplir'!$G$31:$G$400,"kg")),IF(EL$2="Espèce",IF(EL$3="Toutes",SUMIFS('Étape 1 - à remplir'!$F$31:$F$400,'Étape 1 - à remplir'!$E$31:$E$400,MASQ2!EC417,'Étape 1 - à remplir'!$G$31:$G$400,"kg"),SUMIFS('Étape 1 - à remplir'!$F$31:$F$400,'Étape 1 - à remplir'!$E$31:$E$400,MASQ2!EC417,'Étape 1 - à remplir'!$N$31:$N$400,EL$3,'Étape 1 - à remplir'!$G$31:$G$400,"kg")))))))</f>
        <v>#N/A</v>
      </c>
      <c r="EE417" s="76">
        <f t="shared" si="284"/>
        <v>0</v>
      </c>
      <c r="EF417" t="str">
        <f t="shared" si="275"/>
        <v>Enrofloxacine</v>
      </c>
      <c r="EG417" t="str">
        <f t="shared" si="276"/>
        <v/>
      </c>
      <c r="EH417" t="str">
        <f t="shared" si="277"/>
        <v/>
      </c>
      <c r="EI417" t="str">
        <f t="shared" si="278"/>
        <v>Fluoroquinolones</v>
      </c>
      <c r="EJ417" t="str">
        <f t="shared" si="279"/>
        <v/>
      </c>
      <c r="EK417" s="63" t="str">
        <f t="shared" si="280"/>
        <v/>
      </c>
      <c r="EN417" s="42">
        <v>414</v>
      </c>
      <c r="EO417" t="e">
        <f t="shared" si="286"/>
        <v>#N/A</v>
      </c>
      <c r="EP417" s="63" t="e">
        <f t="shared" si="287"/>
        <v>#N/A</v>
      </c>
      <c r="FT417" s="63"/>
    </row>
    <row r="418" spans="2:176" x14ac:dyDescent="0.3">
      <c r="B418" s="42"/>
      <c r="M418" s="194" t="str">
        <f ca="1">INDEX(Données_ATB!BD:BU,MATCH(MASQ2!O418,Données_ATB!BD:BD,0),18)</f>
        <v>x</v>
      </c>
      <c r="N418" s="14" t="str">
        <f>IFERROR(IF(Q418=0,"",COUNTIF(Q$4:Q$600,"&gt;"&amp;Q418)+COUNTIF(Q$4:Q418,Q418)),"")</f>
        <v/>
      </c>
      <c r="O418" t="str">
        <f>Données_ATB!BD417</f>
        <v>QUINOTRYL 100 MG/ML SOLUTION INJECTABLE POUR BOVINS ET PORCINS</v>
      </c>
      <c r="P418" t="e">
        <f>IF(IF(X$2="Catégorie",IF(X$3="Toutes",SUMIFS('Étape 1 - à remplir'!$F$31:$F$400,'Étape 1 - à remplir'!$E$31:$E$400,MASQ2!O418,'Étape 1 - à remplir'!$G$31:$G$400,"animaux"),SUMIFS('Étape 1 - à remplir'!$F$31:$F$400,'Étape 1 - à remplir'!$E$31:$E$400,MASQ2!O418,'Étape 1 - à remplir'!$C$31:$C$400,X$3)),IF(X$2="Âge",IF(X$3="Tous",SUMIFS('Étape 1 - à remplir'!$F$31:$F$400,'Étape 1 - à remplir'!$E$31:$E$400,MASQ2!O418,'Étape 1 - à remplir'!$G$31:$G$400,"animaux"),SUMIFS('Étape 1 - à remplir'!$F$31:$F$400,'Étape 1 - à remplir'!$E$31:$E$400,MASQ2!O418,'Étape 1 - à remplir'!$P$31:$P$400,X$3)),IF(X$2="Atelier",IF(X$3="Tous",SUMIFS('Étape 1 - à remplir'!$F$31:$F$400,'Étape 1 - à remplir'!$E$31:$E$400,MASQ2!O418,'Étape 1 - à remplir'!$G$31:$G$400,"animaux"),SUMIFS('Étape 1 - à remplir'!$F$31:$F$400,'Étape 1 - à remplir'!$E$31:$E$400,MASQ2!O418,'Étape 1 - à remplir'!$O$31:$O$400,X$3)),IF(X$2="Espèce",IF(X$3="Toutes",SUMIFS('Étape 1 - à remplir'!$F$31:$F$400,'Étape 1 - à remplir'!$E$31:$E$400,MASQ2!O418,'Étape 1 - à remplir'!$G$31:$G$400,"animaux"),SUMIFS('Étape 1 - à remplir'!$F$31:$F$400,'Étape 1 - à remplir'!$E$31:$E$400,MASQ2!O418,'Étape 1 - à remplir'!$N$31:$N$400,X$3))))))=0,NA(),IF(X$2="Catégorie",IF(X$3="Toutes",SUMIFS('Étape 1 - à remplir'!$F$31:$F$400,'Étape 1 - à remplir'!$E$31:$E$400,MASQ2!O418,'Étape 1 - à remplir'!$G$31:$G$400,"animaux"),SUMIFS('Étape 1 - à remplir'!$F$31:$F$400,'Étape 1 - à remplir'!$E$31:$E$400,MASQ2!O418,'Étape 1 - à remplir'!$C$31:$C$400,X$3)),IF(X$2="Âge",IF(X$3="Tous",SUMIFS('Étape 1 - à remplir'!$F$31:$F$400,'Étape 1 - à remplir'!$E$31:$E$400,MASQ2!O418,'Étape 1 - à remplir'!$G$31:$G$400,"animaux"),SUMIFS('Étape 1 - à remplir'!$F$31:$F$400,'Étape 1 - à remplir'!$E$31:$E$400,MASQ2!O418,'Étape 1 - à remplir'!$P$31:$P$400,X$3)),IF(X$2="Atelier",IF(X$3="Tous",SUMIFS('Étape 1 - à remplir'!$F$31:$F$400,'Étape 1 - à remplir'!$E$31:$E$400,MASQ2!O418,'Étape 1 - à remplir'!$G$31:$G$400,"animaux"),SUMIFS('Étape 1 - à remplir'!$F$31:$F$400,'Étape 1 - à remplir'!$E$31:$E$400,MASQ2!O418,'Étape 1 - à remplir'!$O$31:$O$400,X$3)),IF(X$2="Espèce",IF(X$3="Toutes",SUMIFS('Étape 1 - à remplir'!$F$31:$F$400,'Étape 1 - à remplir'!$E$31:$E$400,MASQ2!O418,'Étape 1 - à remplir'!$G$31:$G$400,"animaux"),SUMIFS('Étape 1 - à remplir'!$F$31:$F$400,'Étape 1 - à remplir'!$E$31:$E$400,MASQ2!O418,'Étape 1 - à remplir'!$N$31:$N$400,X$3)))))))</f>
        <v>#N/A</v>
      </c>
      <c r="Q418" s="63">
        <f t="shared" si="285"/>
        <v>0</v>
      </c>
      <c r="R418" t="str">
        <f>Données_ATB!BM417</f>
        <v>Enrofloxacine</v>
      </c>
      <c r="S418" t="str">
        <f>Données_ATB!BN417</f>
        <v/>
      </c>
      <c r="T418" s="63" t="str">
        <f>Données_ATB!BO417</f>
        <v/>
      </c>
      <c r="U418" s="42" t="str">
        <f>Données_ATB!BQ417</f>
        <v>Fluoroquinolones</v>
      </c>
      <c r="V418" t="str">
        <f>Données_ATB!BR417</f>
        <v/>
      </c>
      <c r="W418" s="63" t="str">
        <f>Données_ATB!BS417</f>
        <v/>
      </c>
      <c r="Z418" s="42">
        <v>415</v>
      </c>
      <c r="AA418" t="e">
        <f t="shared" si="281"/>
        <v>#N/A</v>
      </c>
      <c r="AB418" s="63" t="e">
        <f t="shared" si="282"/>
        <v>#N/A</v>
      </c>
      <c r="BF418" s="63"/>
      <c r="BT418" s="194" t="str">
        <f t="shared" ca="1" si="265"/>
        <v>x</v>
      </c>
      <c r="BU418" s="219" t="str">
        <f>IFERROR(IF(BX418=0,"",COUNTIF(BX$4:BX$600,"&gt;"&amp;BX418)+COUNTIF(BX$4:BX418,BX418)),"")</f>
        <v/>
      </c>
      <c r="BV418" s="42" t="str">
        <f t="shared" si="266"/>
        <v>QUINOTRYL 100 MG/ML SOLUTION INJECTABLE POUR BOVINS ET PORCINS</v>
      </c>
      <c r="BW418" t="e">
        <f>IF(IF(CE$2="Catégorie",IF(CE$3="Toutes",SUMIFS('Étape 1 - à remplir'!$F$31:$F$400,'Étape 1 - à remplir'!$E$31:$E$400,MASQ2!BV418,'Étape 1 - à remplir'!$G$31:$G$400,"lots"),SUMIFS('Étape 1 - à remplir'!$F$31:$F$400,'Étape 1 - à remplir'!$E$31:$E$400,MASQ2!BV418,'Étape 1 - à remplir'!$C$31:$C$400,CE$3)),IF(CE$2="Âge",IF(CE$3="Tous",SUMIFS('Étape 1 - à remplir'!$F$31:$F$400,'Étape 1 - à remplir'!$E$31:$E$400,MASQ2!BV418,'Étape 1 - à remplir'!$G$31:$G$400,"lots"),SUMIFS('Étape 1 - à remplir'!$F$31:$F$400,'Étape 1 - à remplir'!$E$31:$E$400,MASQ2!BV418,'Étape 1 - à remplir'!$P$31:$P$400,CE$3,'Étape 1 - à remplir'!$G$31:$G$400,"lots")),IF(CE$2="Atelier",IF(CE$3="Tous",SUMIFS('Étape 1 - à remplir'!$F$31:$F$400,'Étape 1 - à remplir'!$E$31:$E$400,MASQ2!BV418,'Étape 1 - à remplir'!$G$31:$G$400,"lots"),SUMIFS('Étape 1 - à remplir'!$F$31:$F$400,'Étape 1 - à remplir'!$E$31:$E$400,MASQ2!BV418,'Étape 1 - à remplir'!$O$31:$O$400,CE$3,'Étape 1 - à remplir'!$G$31:$G$400,"lots")),IF(CE$2="Espèce",IF(CE$3="Toutes",SUMIFS('Étape 1 - à remplir'!$F$31:$F$400,'Étape 1 - à remplir'!$E$31:$E$400,MASQ2!BV418,'Étape 1 - à remplir'!$G$31:$G$400,"lots"),SUMIFS('Étape 1 - à remplir'!$F$31:$F$400,'Étape 1 - à remplir'!$E$31:$E$400,MASQ2!BV418,'Étape 1 - à remplir'!$N$31:$N$400,CE$3,'Étape 1 - à remplir'!$G$31:$G$400,"lots"))))))=0,NA(),IF(CE$2="Catégorie",IF(CE$3="Toutes",SUMIFS('Étape 1 - à remplir'!$F$31:$F$400,'Étape 1 - à remplir'!$E$31:$E$400,MASQ2!BV418,'Étape 1 - à remplir'!$G$31:$G$400,"lots"),SUMIFS('Étape 1 - à remplir'!$F$31:$F$400,'Étape 1 - à remplir'!$E$31:$E$400,MASQ2!BV418,'Étape 1 - à remplir'!$C$31:$C$400,CE$3)),IF(CE$2="Âge",IF(CE$3="Tous",SUMIFS('Étape 1 - à remplir'!$F$31:$F$400,'Étape 1 - à remplir'!$E$31:$E$400,MASQ2!BV418,'Étape 1 - à remplir'!$G$31:$G$400,"lots"),SUMIFS('Étape 1 - à remplir'!$F$31:$F$400,'Étape 1 - à remplir'!$E$31:$E$400,MASQ2!BV418,'Étape 1 - à remplir'!$P$31:$P$400,CE$3,'Étape 1 - à remplir'!$G$31:$G$400,"lots")),IF(CE$2="Atelier",IF(CE$3="Tous",SUMIFS('Étape 1 - à remplir'!$F$31:$F$400,'Étape 1 - à remplir'!$E$31:$E$400,MASQ2!BV418,'Étape 1 - à remplir'!$G$31:$G$400,"lots"),SUMIFS('Étape 1 - à remplir'!$F$31:$F$400,'Étape 1 - à remplir'!$E$31:$E$400,MASQ2!BV418,'Étape 1 - à remplir'!$O$31:$O$400,CE$3,'Étape 1 - à remplir'!$G$31:$G$400,"lots")),IF(CE$2="Espèce",IF(CE$3="Toutes",SUMIFS('Étape 1 - à remplir'!$F$31:$F$400,'Étape 1 - à remplir'!$E$31:$E$400,MASQ2!BV418,'Étape 1 - à remplir'!$G$31:$G$400,"lots"),SUMIFS('Étape 1 - à remplir'!$F$31:$F$400,'Étape 1 - à remplir'!$E$31:$E$400,MASQ2!BV418,'Étape 1 - à remplir'!$N$31:$N$400,CE$3,'Étape 1 - à remplir'!$G$31:$G$400,"lots")))))))</f>
        <v>#N/A</v>
      </c>
      <c r="BX418">
        <f t="shared" si="283"/>
        <v>0</v>
      </c>
      <c r="BY418" t="str">
        <f t="shared" si="267"/>
        <v>Enrofloxacine</v>
      </c>
      <c r="BZ418" t="str">
        <f t="shared" si="268"/>
        <v/>
      </c>
      <c r="CA418" t="str">
        <f t="shared" si="269"/>
        <v/>
      </c>
      <c r="CB418" t="str">
        <f t="shared" si="270"/>
        <v>Fluoroquinolones</v>
      </c>
      <c r="CC418" t="str">
        <f t="shared" si="271"/>
        <v/>
      </c>
      <c r="CD418" s="63" t="str">
        <f t="shared" si="272"/>
        <v/>
      </c>
      <c r="CG418" s="42">
        <v>415</v>
      </c>
      <c r="CH418" s="42" t="e">
        <f t="shared" si="288"/>
        <v>#N/A</v>
      </c>
      <c r="CI418" s="63" t="e">
        <f t="shared" si="289"/>
        <v>#N/A</v>
      </c>
      <c r="DM418" s="63"/>
      <c r="EA418" s="194" t="str">
        <f t="shared" ca="1" si="273"/>
        <v>x</v>
      </c>
      <c r="EB418" s="226" t="str">
        <f>IFERROR(IF(ED418=0,"",COUNTIF(ED$4:ED$600,"&gt;"&amp;ED418)+COUNTIF(ED$4:ED418,ED418)),"")</f>
        <v/>
      </c>
      <c r="EC418" t="str">
        <f t="shared" si="274"/>
        <v>QUINOTRYL 100 MG/ML SOLUTION INJECTABLE POUR BOVINS ET PORCINS</v>
      </c>
      <c r="ED418" t="e">
        <f>IF(IF(EL$2="Catégorie",IF(EL$3="Toutes",SUMIFS('Étape 1 - à remplir'!$F$31:$F$400,'Étape 1 - à remplir'!$E$31:$E$400,MASQ2!EC418,'Étape 1 - à remplir'!$G$31:$G$400,"kg"),SUMIFS('Étape 1 - à remplir'!$F$31:$F$400,'Étape 1 - à remplir'!$E$31:$E$400,MASQ2!EC418,'Étape 1 - à remplir'!$C$31:$C$400,EL$3)),IF(EL$2="Âge",IF(EL$3="Tous",SUMIFS('Étape 1 - à remplir'!$F$31:$F$400,'Étape 1 - à remplir'!$E$31:$E$400,MASQ2!EC418,'Étape 1 - à remplir'!$G$31:$G$400,"kg"),SUMIFS('Étape 1 - à remplir'!$F$31:$F$400,'Étape 1 - à remplir'!$E$31:$E$400,MASQ2!EC418,'Étape 1 - à remplir'!$P$31:$P$400,EL$3,'Étape 1 - à remplir'!$G$31:$G$400,"kg")),IF(EL$2="Atelier",IF(EL$3="Tous",SUMIFS('Étape 1 - à remplir'!$F$31:$F$400,'Étape 1 - à remplir'!$E$31:$E$400,MASQ2!EC418,'Étape 1 - à remplir'!$G$31:$G$400,"kg"),SUMIFS('Étape 1 - à remplir'!$F$31:$F$400,'Étape 1 - à remplir'!$E$31:$E$400,MASQ2!EC418,'Étape 1 - à remplir'!$O$31:$O$400,EL$3,'Étape 1 - à remplir'!$G$31:$G$400,"kg")),IF(EL$2="Espèce",IF(EL$3="Toutes",SUMIFS('Étape 1 - à remplir'!$F$31:$F$400,'Étape 1 - à remplir'!$E$31:$E$400,MASQ2!EC418,'Étape 1 - à remplir'!$G$31:$G$400,"kg"),SUMIFS('Étape 1 - à remplir'!$F$31:$F$400,'Étape 1 - à remplir'!$E$31:$E$400,MASQ2!EC418,'Étape 1 - à remplir'!$N$31:$N$400,EL$3,'Étape 1 - à remplir'!$G$31:$G$400,"kg"))))))=0,NA(),IF(EL$2="Catégorie",IF(EL$3="Toutes",SUMIFS('Étape 1 - à remplir'!$F$31:$F$400,'Étape 1 - à remplir'!$E$31:$E$400,MASQ2!EC418,'Étape 1 - à remplir'!$G$31:$G$400,"kg"),SUMIFS('Étape 1 - à remplir'!$F$31:$F$400,'Étape 1 - à remplir'!$E$31:$E$400,MASQ2!EC418,'Étape 1 - à remplir'!$C$31:$C$400,EL$3)),IF(EL$2="Âge",IF(EL$3="Tous",SUMIFS('Étape 1 - à remplir'!$F$31:$F$400,'Étape 1 - à remplir'!$E$31:$E$400,MASQ2!EC418,'Étape 1 - à remplir'!$G$31:$G$400,"kg"),SUMIFS('Étape 1 - à remplir'!$F$31:$F$400,'Étape 1 - à remplir'!$E$31:$E$400,MASQ2!EC418,'Étape 1 - à remplir'!$P$31:$P$400,EL$3,'Étape 1 - à remplir'!$G$31:$G$400,"kg")),IF(EL$2="Atelier",IF(EL$3="Tous",SUMIFS('Étape 1 - à remplir'!$F$31:$F$400,'Étape 1 - à remplir'!$E$31:$E$400,MASQ2!EC418,'Étape 1 - à remplir'!$G$31:$G$400,"kg"),SUMIFS('Étape 1 - à remplir'!$F$31:$F$400,'Étape 1 - à remplir'!$E$31:$E$400,MASQ2!EC418,'Étape 1 - à remplir'!$O$31:$O$400,EL$3,'Étape 1 - à remplir'!$G$31:$G$400,"kg")),IF(EL$2="Espèce",IF(EL$3="Toutes",SUMIFS('Étape 1 - à remplir'!$F$31:$F$400,'Étape 1 - à remplir'!$E$31:$E$400,MASQ2!EC418,'Étape 1 - à remplir'!$G$31:$G$400,"kg"),SUMIFS('Étape 1 - à remplir'!$F$31:$F$400,'Étape 1 - à remplir'!$E$31:$E$400,MASQ2!EC418,'Étape 1 - à remplir'!$N$31:$N$400,EL$3,'Étape 1 - à remplir'!$G$31:$G$400,"kg")))))))</f>
        <v>#N/A</v>
      </c>
      <c r="EE418" s="76">
        <f t="shared" si="284"/>
        <v>0</v>
      </c>
      <c r="EF418" t="str">
        <f t="shared" si="275"/>
        <v>Enrofloxacine</v>
      </c>
      <c r="EG418" t="str">
        <f t="shared" si="276"/>
        <v/>
      </c>
      <c r="EH418" t="str">
        <f t="shared" si="277"/>
        <v/>
      </c>
      <c r="EI418" t="str">
        <f t="shared" si="278"/>
        <v>Fluoroquinolones</v>
      </c>
      <c r="EJ418" t="str">
        <f t="shared" si="279"/>
        <v/>
      </c>
      <c r="EK418" s="63" t="str">
        <f t="shared" si="280"/>
        <v/>
      </c>
      <c r="EN418" s="42">
        <v>415</v>
      </c>
      <c r="EO418" t="e">
        <f t="shared" si="286"/>
        <v>#N/A</v>
      </c>
      <c r="EP418" s="63" t="e">
        <f t="shared" si="287"/>
        <v>#N/A</v>
      </c>
      <c r="FT418" s="63"/>
    </row>
    <row r="419" spans="2:176" x14ac:dyDescent="0.3">
      <c r="B419" s="42"/>
      <c r="M419" s="194" t="str">
        <f ca="1">INDEX(Données_ATB!BD:BU,MATCH(MASQ2!O419,Données_ATB!BD:BD,0),18)</f>
        <v>x</v>
      </c>
      <c r="N419" s="14" t="str">
        <f>IFERROR(IF(Q419=0,"",COUNTIF(Q$4:Q$600,"&gt;"&amp;Q419)+COUNTIF(Q$4:Q419,Q419)),"")</f>
        <v/>
      </c>
      <c r="O419" t="str">
        <f>Données_ATB!BD418</f>
        <v>QUINOTRYL 50 MG/ML SOLUTION INJECTABLE POUR BOVINS ET PORCINS</v>
      </c>
      <c r="P419" t="e">
        <f>IF(IF(X$2="Catégorie",IF(X$3="Toutes",SUMIFS('Étape 1 - à remplir'!$F$31:$F$400,'Étape 1 - à remplir'!$E$31:$E$400,MASQ2!O419,'Étape 1 - à remplir'!$G$31:$G$400,"animaux"),SUMIFS('Étape 1 - à remplir'!$F$31:$F$400,'Étape 1 - à remplir'!$E$31:$E$400,MASQ2!O419,'Étape 1 - à remplir'!$C$31:$C$400,X$3)),IF(X$2="Âge",IF(X$3="Tous",SUMIFS('Étape 1 - à remplir'!$F$31:$F$400,'Étape 1 - à remplir'!$E$31:$E$400,MASQ2!O419,'Étape 1 - à remplir'!$G$31:$G$400,"animaux"),SUMIFS('Étape 1 - à remplir'!$F$31:$F$400,'Étape 1 - à remplir'!$E$31:$E$400,MASQ2!O419,'Étape 1 - à remplir'!$P$31:$P$400,X$3)),IF(X$2="Atelier",IF(X$3="Tous",SUMIFS('Étape 1 - à remplir'!$F$31:$F$400,'Étape 1 - à remplir'!$E$31:$E$400,MASQ2!O419,'Étape 1 - à remplir'!$G$31:$G$400,"animaux"),SUMIFS('Étape 1 - à remplir'!$F$31:$F$400,'Étape 1 - à remplir'!$E$31:$E$400,MASQ2!O419,'Étape 1 - à remplir'!$O$31:$O$400,X$3)),IF(X$2="Espèce",IF(X$3="Toutes",SUMIFS('Étape 1 - à remplir'!$F$31:$F$400,'Étape 1 - à remplir'!$E$31:$E$400,MASQ2!O419,'Étape 1 - à remplir'!$G$31:$G$400,"animaux"),SUMIFS('Étape 1 - à remplir'!$F$31:$F$400,'Étape 1 - à remplir'!$E$31:$E$400,MASQ2!O419,'Étape 1 - à remplir'!$N$31:$N$400,X$3))))))=0,NA(),IF(X$2="Catégorie",IF(X$3="Toutes",SUMIFS('Étape 1 - à remplir'!$F$31:$F$400,'Étape 1 - à remplir'!$E$31:$E$400,MASQ2!O419,'Étape 1 - à remplir'!$G$31:$G$400,"animaux"),SUMIFS('Étape 1 - à remplir'!$F$31:$F$400,'Étape 1 - à remplir'!$E$31:$E$400,MASQ2!O419,'Étape 1 - à remplir'!$C$31:$C$400,X$3)),IF(X$2="Âge",IF(X$3="Tous",SUMIFS('Étape 1 - à remplir'!$F$31:$F$400,'Étape 1 - à remplir'!$E$31:$E$400,MASQ2!O419,'Étape 1 - à remplir'!$G$31:$G$400,"animaux"),SUMIFS('Étape 1 - à remplir'!$F$31:$F$400,'Étape 1 - à remplir'!$E$31:$E$400,MASQ2!O419,'Étape 1 - à remplir'!$P$31:$P$400,X$3)),IF(X$2="Atelier",IF(X$3="Tous",SUMIFS('Étape 1 - à remplir'!$F$31:$F$400,'Étape 1 - à remplir'!$E$31:$E$400,MASQ2!O419,'Étape 1 - à remplir'!$G$31:$G$400,"animaux"),SUMIFS('Étape 1 - à remplir'!$F$31:$F$400,'Étape 1 - à remplir'!$E$31:$E$400,MASQ2!O419,'Étape 1 - à remplir'!$O$31:$O$400,X$3)),IF(X$2="Espèce",IF(X$3="Toutes",SUMIFS('Étape 1 - à remplir'!$F$31:$F$400,'Étape 1 - à remplir'!$E$31:$E$400,MASQ2!O419,'Étape 1 - à remplir'!$G$31:$G$400,"animaux"),SUMIFS('Étape 1 - à remplir'!$F$31:$F$400,'Étape 1 - à remplir'!$E$31:$E$400,MASQ2!O419,'Étape 1 - à remplir'!$N$31:$N$400,X$3)))))))</f>
        <v>#N/A</v>
      </c>
      <c r="Q419" s="63">
        <f t="shared" si="285"/>
        <v>0</v>
      </c>
      <c r="R419" t="str">
        <f>Données_ATB!BM418</f>
        <v>Enrofloxacine</v>
      </c>
      <c r="S419" t="str">
        <f>Données_ATB!BN418</f>
        <v/>
      </c>
      <c r="T419" s="63" t="str">
        <f>Données_ATB!BO418</f>
        <v/>
      </c>
      <c r="U419" s="42" t="str">
        <f>Données_ATB!BQ418</f>
        <v>Fluoroquinolones</v>
      </c>
      <c r="V419" t="str">
        <f>Données_ATB!BR418</f>
        <v/>
      </c>
      <c r="W419" s="63" t="str">
        <f>Données_ATB!BS418</f>
        <v/>
      </c>
      <c r="Z419" s="42">
        <v>416</v>
      </c>
      <c r="AA419" t="e">
        <f t="shared" si="281"/>
        <v>#N/A</v>
      </c>
      <c r="AB419" s="63" t="e">
        <f t="shared" si="282"/>
        <v>#N/A</v>
      </c>
      <c r="BF419" s="63"/>
      <c r="BT419" s="194" t="str">
        <f t="shared" ca="1" si="265"/>
        <v>x</v>
      </c>
      <c r="BU419" s="219" t="str">
        <f>IFERROR(IF(BX419=0,"",COUNTIF(BX$4:BX$600,"&gt;"&amp;BX419)+COUNTIF(BX$4:BX419,BX419)),"")</f>
        <v/>
      </c>
      <c r="BV419" s="42" t="str">
        <f t="shared" si="266"/>
        <v>QUINOTRYL 50 MG/ML SOLUTION INJECTABLE POUR BOVINS ET PORCINS</v>
      </c>
      <c r="BW419" t="e">
        <f>IF(IF(CE$2="Catégorie",IF(CE$3="Toutes",SUMIFS('Étape 1 - à remplir'!$F$31:$F$400,'Étape 1 - à remplir'!$E$31:$E$400,MASQ2!BV419,'Étape 1 - à remplir'!$G$31:$G$400,"lots"),SUMIFS('Étape 1 - à remplir'!$F$31:$F$400,'Étape 1 - à remplir'!$E$31:$E$400,MASQ2!BV419,'Étape 1 - à remplir'!$C$31:$C$400,CE$3)),IF(CE$2="Âge",IF(CE$3="Tous",SUMIFS('Étape 1 - à remplir'!$F$31:$F$400,'Étape 1 - à remplir'!$E$31:$E$400,MASQ2!BV419,'Étape 1 - à remplir'!$G$31:$G$400,"lots"),SUMIFS('Étape 1 - à remplir'!$F$31:$F$400,'Étape 1 - à remplir'!$E$31:$E$400,MASQ2!BV419,'Étape 1 - à remplir'!$P$31:$P$400,CE$3,'Étape 1 - à remplir'!$G$31:$G$400,"lots")),IF(CE$2="Atelier",IF(CE$3="Tous",SUMIFS('Étape 1 - à remplir'!$F$31:$F$400,'Étape 1 - à remplir'!$E$31:$E$400,MASQ2!BV419,'Étape 1 - à remplir'!$G$31:$G$400,"lots"),SUMIFS('Étape 1 - à remplir'!$F$31:$F$400,'Étape 1 - à remplir'!$E$31:$E$400,MASQ2!BV419,'Étape 1 - à remplir'!$O$31:$O$400,CE$3,'Étape 1 - à remplir'!$G$31:$G$400,"lots")),IF(CE$2="Espèce",IF(CE$3="Toutes",SUMIFS('Étape 1 - à remplir'!$F$31:$F$400,'Étape 1 - à remplir'!$E$31:$E$400,MASQ2!BV419,'Étape 1 - à remplir'!$G$31:$G$400,"lots"),SUMIFS('Étape 1 - à remplir'!$F$31:$F$400,'Étape 1 - à remplir'!$E$31:$E$400,MASQ2!BV419,'Étape 1 - à remplir'!$N$31:$N$400,CE$3,'Étape 1 - à remplir'!$G$31:$G$400,"lots"))))))=0,NA(),IF(CE$2="Catégorie",IF(CE$3="Toutes",SUMIFS('Étape 1 - à remplir'!$F$31:$F$400,'Étape 1 - à remplir'!$E$31:$E$400,MASQ2!BV419,'Étape 1 - à remplir'!$G$31:$G$400,"lots"),SUMIFS('Étape 1 - à remplir'!$F$31:$F$400,'Étape 1 - à remplir'!$E$31:$E$400,MASQ2!BV419,'Étape 1 - à remplir'!$C$31:$C$400,CE$3)),IF(CE$2="Âge",IF(CE$3="Tous",SUMIFS('Étape 1 - à remplir'!$F$31:$F$400,'Étape 1 - à remplir'!$E$31:$E$400,MASQ2!BV419,'Étape 1 - à remplir'!$G$31:$G$400,"lots"),SUMIFS('Étape 1 - à remplir'!$F$31:$F$400,'Étape 1 - à remplir'!$E$31:$E$400,MASQ2!BV419,'Étape 1 - à remplir'!$P$31:$P$400,CE$3,'Étape 1 - à remplir'!$G$31:$G$400,"lots")),IF(CE$2="Atelier",IF(CE$3="Tous",SUMIFS('Étape 1 - à remplir'!$F$31:$F$400,'Étape 1 - à remplir'!$E$31:$E$400,MASQ2!BV419,'Étape 1 - à remplir'!$G$31:$G$400,"lots"),SUMIFS('Étape 1 - à remplir'!$F$31:$F$400,'Étape 1 - à remplir'!$E$31:$E$400,MASQ2!BV419,'Étape 1 - à remplir'!$O$31:$O$400,CE$3,'Étape 1 - à remplir'!$G$31:$G$400,"lots")),IF(CE$2="Espèce",IF(CE$3="Toutes",SUMIFS('Étape 1 - à remplir'!$F$31:$F$400,'Étape 1 - à remplir'!$E$31:$E$400,MASQ2!BV419,'Étape 1 - à remplir'!$G$31:$G$400,"lots"),SUMIFS('Étape 1 - à remplir'!$F$31:$F$400,'Étape 1 - à remplir'!$E$31:$E$400,MASQ2!BV419,'Étape 1 - à remplir'!$N$31:$N$400,CE$3,'Étape 1 - à remplir'!$G$31:$G$400,"lots")))))))</f>
        <v>#N/A</v>
      </c>
      <c r="BX419">
        <f t="shared" si="283"/>
        <v>0</v>
      </c>
      <c r="BY419" t="str">
        <f t="shared" si="267"/>
        <v>Enrofloxacine</v>
      </c>
      <c r="BZ419" t="str">
        <f t="shared" si="268"/>
        <v/>
      </c>
      <c r="CA419" t="str">
        <f t="shared" si="269"/>
        <v/>
      </c>
      <c r="CB419" t="str">
        <f t="shared" si="270"/>
        <v>Fluoroquinolones</v>
      </c>
      <c r="CC419" t="str">
        <f t="shared" si="271"/>
        <v/>
      </c>
      <c r="CD419" s="63" t="str">
        <f t="shared" si="272"/>
        <v/>
      </c>
      <c r="CG419" s="42">
        <v>416</v>
      </c>
      <c r="CH419" s="42" t="e">
        <f t="shared" si="288"/>
        <v>#N/A</v>
      </c>
      <c r="CI419" s="63" t="e">
        <f t="shared" si="289"/>
        <v>#N/A</v>
      </c>
      <c r="DM419" s="63"/>
      <c r="EA419" s="194" t="str">
        <f t="shared" ca="1" si="273"/>
        <v>x</v>
      </c>
      <c r="EB419" s="226" t="str">
        <f>IFERROR(IF(ED419=0,"",COUNTIF(ED$4:ED$600,"&gt;"&amp;ED419)+COUNTIF(ED$4:ED419,ED419)),"")</f>
        <v/>
      </c>
      <c r="EC419" t="str">
        <f t="shared" si="274"/>
        <v>QUINOTRYL 50 MG/ML SOLUTION INJECTABLE POUR BOVINS ET PORCINS</v>
      </c>
      <c r="ED419" t="e">
        <f>IF(IF(EL$2="Catégorie",IF(EL$3="Toutes",SUMIFS('Étape 1 - à remplir'!$F$31:$F$400,'Étape 1 - à remplir'!$E$31:$E$400,MASQ2!EC419,'Étape 1 - à remplir'!$G$31:$G$400,"kg"),SUMIFS('Étape 1 - à remplir'!$F$31:$F$400,'Étape 1 - à remplir'!$E$31:$E$400,MASQ2!EC419,'Étape 1 - à remplir'!$C$31:$C$400,EL$3)),IF(EL$2="Âge",IF(EL$3="Tous",SUMIFS('Étape 1 - à remplir'!$F$31:$F$400,'Étape 1 - à remplir'!$E$31:$E$400,MASQ2!EC419,'Étape 1 - à remplir'!$G$31:$G$400,"kg"),SUMIFS('Étape 1 - à remplir'!$F$31:$F$400,'Étape 1 - à remplir'!$E$31:$E$400,MASQ2!EC419,'Étape 1 - à remplir'!$P$31:$P$400,EL$3,'Étape 1 - à remplir'!$G$31:$G$400,"kg")),IF(EL$2="Atelier",IF(EL$3="Tous",SUMIFS('Étape 1 - à remplir'!$F$31:$F$400,'Étape 1 - à remplir'!$E$31:$E$400,MASQ2!EC419,'Étape 1 - à remplir'!$G$31:$G$400,"kg"),SUMIFS('Étape 1 - à remplir'!$F$31:$F$400,'Étape 1 - à remplir'!$E$31:$E$400,MASQ2!EC419,'Étape 1 - à remplir'!$O$31:$O$400,EL$3,'Étape 1 - à remplir'!$G$31:$G$400,"kg")),IF(EL$2="Espèce",IF(EL$3="Toutes",SUMIFS('Étape 1 - à remplir'!$F$31:$F$400,'Étape 1 - à remplir'!$E$31:$E$400,MASQ2!EC419,'Étape 1 - à remplir'!$G$31:$G$400,"kg"),SUMIFS('Étape 1 - à remplir'!$F$31:$F$400,'Étape 1 - à remplir'!$E$31:$E$400,MASQ2!EC419,'Étape 1 - à remplir'!$N$31:$N$400,EL$3,'Étape 1 - à remplir'!$G$31:$G$400,"kg"))))))=0,NA(),IF(EL$2="Catégorie",IF(EL$3="Toutes",SUMIFS('Étape 1 - à remplir'!$F$31:$F$400,'Étape 1 - à remplir'!$E$31:$E$400,MASQ2!EC419,'Étape 1 - à remplir'!$G$31:$G$400,"kg"),SUMIFS('Étape 1 - à remplir'!$F$31:$F$400,'Étape 1 - à remplir'!$E$31:$E$400,MASQ2!EC419,'Étape 1 - à remplir'!$C$31:$C$400,EL$3)),IF(EL$2="Âge",IF(EL$3="Tous",SUMIFS('Étape 1 - à remplir'!$F$31:$F$400,'Étape 1 - à remplir'!$E$31:$E$400,MASQ2!EC419,'Étape 1 - à remplir'!$G$31:$G$400,"kg"),SUMIFS('Étape 1 - à remplir'!$F$31:$F$400,'Étape 1 - à remplir'!$E$31:$E$400,MASQ2!EC419,'Étape 1 - à remplir'!$P$31:$P$400,EL$3,'Étape 1 - à remplir'!$G$31:$G$400,"kg")),IF(EL$2="Atelier",IF(EL$3="Tous",SUMIFS('Étape 1 - à remplir'!$F$31:$F$400,'Étape 1 - à remplir'!$E$31:$E$400,MASQ2!EC419,'Étape 1 - à remplir'!$G$31:$G$400,"kg"),SUMIFS('Étape 1 - à remplir'!$F$31:$F$400,'Étape 1 - à remplir'!$E$31:$E$400,MASQ2!EC419,'Étape 1 - à remplir'!$O$31:$O$400,EL$3,'Étape 1 - à remplir'!$G$31:$G$400,"kg")),IF(EL$2="Espèce",IF(EL$3="Toutes",SUMIFS('Étape 1 - à remplir'!$F$31:$F$400,'Étape 1 - à remplir'!$E$31:$E$400,MASQ2!EC419,'Étape 1 - à remplir'!$G$31:$G$400,"kg"),SUMIFS('Étape 1 - à remplir'!$F$31:$F$400,'Étape 1 - à remplir'!$E$31:$E$400,MASQ2!EC419,'Étape 1 - à remplir'!$N$31:$N$400,EL$3,'Étape 1 - à remplir'!$G$31:$G$400,"kg")))))))</f>
        <v>#N/A</v>
      </c>
      <c r="EE419" s="76">
        <f t="shared" si="284"/>
        <v>0</v>
      </c>
      <c r="EF419" t="str">
        <f t="shared" si="275"/>
        <v>Enrofloxacine</v>
      </c>
      <c r="EG419" t="str">
        <f t="shared" si="276"/>
        <v/>
      </c>
      <c r="EH419" t="str">
        <f t="shared" si="277"/>
        <v/>
      </c>
      <c r="EI419" t="str">
        <f t="shared" si="278"/>
        <v>Fluoroquinolones</v>
      </c>
      <c r="EJ419" t="str">
        <f t="shared" si="279"/>
        <v/>
      </c>
      <c r="EK419" s="63" t="str">
        <f t="shared" si="280"/>
        <v/>
      </c>
      <c r="EN419" s="42">
        <v>416</v>
      </c>
      <c r="EO419" t="e">
        <f t="shared" si="286"/>
        <v>#N/A</v>
      </c>
      <c r="EP419" s="63" t="e">
        <f t="shared" si="287"/>
        <v>#N/A</v>
      </c>
      <c r="FT419" s="63"/>
    </row>
    <row r="420" spans="2:176" x14ac:dyDescent="0.3">
      <c r="B420" s="42"/>
      <c r="M420" s="194" t="str">
        <f ca="1">INDEX(Données_ATB!BD:BU,MATCH(MASQ2!O420,Données_ATB!BD:BD,0),18)</f>
        <v>x</v>
      </c>
      <c r="N420" s="14" t="str">
        <f>IFERROR(IF(Q420=0,"",COUNTIF(Q$4:Q$600,"&gt;"&amp;Q420)+COUNTIF(Q$4:Q420,Q420)),"")</f>
        <v/>
      </c>
      <c r="O420" t="str">
        <f>Données_ATB!BD419</f>
        <v>READYCEF 50 MG/ML SUSPENSION INJECTABLE POUR PORCINS ET BOVINS</v>
      </c>
      <c r="P420" t="e">
        <f>IF(IF(X$2="Catégorie",IF(X$3="Toutes",SUMIFS('Étape 1 - à remplir'!$F$31:$F$400,'Étape 1 - à remplir'!$E$31:$E$400,MASQ2!O420,'Étape 1 - à remplir'!$G$31:$G$400,"animaux"),SUMIFS('Étape 1 - à remplir'!$F$31:$F$400,'Étape 1 - à remplir'!$E$31:$E$400,MASQ2!O420,'Étape 1 - à remplir'!$C$31:$C$400,X$3)),IF(X$2="Âge",IF(X$3="Tous",SUMIFS('Étape 1 - à remplir'!$F$31:$F$400,'Étape 1 - à remplir'!$E$31:$E$400,MASQ2!O420,'Étape 1 - à remplir'!$G$31:$G$400,"animaux"),SUMIFS('Étape 1 - à remplir'!$F$31:$F$400,'Étape 1 - à remplir'!$E$31:$E$400,MASQ2!O420,'Étape 1 - à remplir'!$P$31:$P$400,X$3)),IF(X$2="Atelier",IF(X$3="Tous",SUMIFS('Étape 1 - à remplir'!$F$31:$F$400,'Étape 1 - à remplir'!$E$31:$E$400,MASQ2!O420,'Étape 1 - à remplir'!$G$31:$G$400,"animaux"),SUMIFS('Étape 1 - à remplir'!$F$31:$F$400,'Étape 1 - à remplir'!$E$31:$E$400,MASQ2!O420,'Étape 1 - à remplir'!$O$31:$O$400,X$3)),IF(X$2="Espèce",IF(X$3="Toutes",SUMIFS('Étape 1 - à remplir'!$F$31:$F$400,'Étape 1 - à remplir'!$E$31:$E$400,MASQ2!O420,'Étape 1 - à remplir'!$G$31:$G$400,"animaux"),SUMIFS('Étape 1 - à remplir'!$F$31:$F$400,'Étape 1 - à remplir'!$E$31:$E$400,MASQ2!O420,'Étape 1 - à remplir'!$N$31:$N$400,X$3))))))=0,NA(),IF(X$2="Catégorie",IF(X$3="Toutes",SUMIFS('Étape 1 - à remplir'!$F$31:$F$400,'Étape 1 - à remplir'!$E$31:$E$400,MASQ2!O420,'Étape 1 - à remplir'!$G$31:$G$400,"animaux"),SUMIFS('Étape 1 - à remplir'!$F$31:$F$400,'Étape 1 - à remplir'!$E$31:$E$400,MASQ2!O420,'Étape 1 - à remplir'!$C$31:$C$400,X$3)),IF(X$2="Âge",IF(X$3="Tous",SUMIFS('Étape 1 - à remplir'!$F$31:$F$400,'Étape 1 - à remplir'!$E$31:$E$400,MASQ2!O420,'Étape 1 - à remplir'!$G$31:$G$400,"animaux"),SUMIFS('Étape 1 - à remplir'!$F$31:$F$400,'Étape 1 - à remplir'!$E$31:$E$400,MASQ2!O420,'Étape 1 - à remplir'!$P$31:$P$400,X$3)),IF(X$2="Atelier",IF(X$3="Tous",SUMIFS('Étape 1 - à remplir'!$F$31:$F$400,'Étape 1 - à remplir'!$E$31:$E$400,MASQ2!O420,'Étape 1 - à remplir'!$G$31:$G$400,"animaux"),SUMIFS('Étape 1 - à remplir'!$F$31:$F$400,'Étape 1 - à remplir'!$E$31:$E$400,MASQ2!O420,'Étape 1 - à remplir'!$O$31:$O$400,X$3)),IF(X$2="Espèce",IF(X$3="Toutes",SUMIFS('Étape 1 - à remplir'!$F$31:$F$400,'Étape 1 - à remplir'!$E$31:$E$400,MASQ2!O420,'Étape 1 - à remplir'!$G$31:$G$400,"animaux"),SUMIFS('Étape 1 - à remplir'!$F$31:$F$400,'Étape 1 - à remplir'!$E$31:$E$400,MASQ2!O420,'Étape 1 - à remplir'!$N$31:$N$400,X$3)))))))</f>
        <v>#N/A</v>
      </c>
      <c r="Q420" s="63">
        <f t="shared" si="285"/>
        <v>0</v>
      </c>
      <c r="R420" t="str">
        <f>Données_ATB!BM419</f>
        <v>Ceftiofur</v>
      </c>
      <c r="S420" t="str">
        <f>Données_ATB!BN419</f>
        <v/>
      </c>
      <c r="T420" s="63" t="str">
        <f>Données_ATB!BO419</f>
        <v/>
      </c>
      <c r="U420" s="42" t="str">
        <f>Données_ATB!BQ419</f>
        <v>Cephalosporines 3&amp;4G</v>
      </c>
      <c r="V420" t="str">
        <f>Données_ATB!BR419</f>
        <v/>
      </c>
      <c r="W420" s="63" t="str">
        <f>Données_ATB!BS419</f>
        <v/>
      </c>
      <c r="Z420" s="42">
        <v>417</v>
      </c>
      <c r="AA420" t="e">
        <f t="shared" si="281"/>
        <v>#N/A</v>
      </c>
      <c r="AB420" s="63" t="e">
        <f t="shared" si="282"/>
        <v>#N/A</v>
      </c>
      <c r="BF420" s="63"/>
      <c r="BT420" s="194" t="str">
        <f t="shared" ca="1" si="265"/>
        <v>x</v>
      </c>
      <c r="BU420" s="219" t="str">
        <f>IFERROR(IF(BX420=0,"",COUNTIF(BX$4:BX$600,"&gt;"&amp;BX420)+COUNTIF(BX$4:BX420,BX420)),"")</f>
        <v/>
      </c>
      <c r="BV420" s="42" t="str">
        <f t="shared" si="266"/>
        <v>READYCEF 50 MG/ML SUSPENSION INJECTABLE POUR PORCINS ET BOVINS</v>
      </c>
      <c r="BW420" t="e">
        <f>IF(IF(CE$2="Catégorie",IF(CE$3="Toutes",SUMIFS('Étape 1 - à remplir'!$F$31:$F$400,'Étape 1 - à remplir'!$E$31:$E$400,MASQ2!BV420,'Étape 1 - à remplir'!$G$31:$G$400,"lots"),SUMIFS('Étape 1 - à remplir'!$F$31:$F$400,'Étape 1 - à remplir'!$E$31:$E$400,MASQ2!BV420,'Étape 1 - à remplir'!$C$31:$C$400,CE$3)),IF(CE$2="Âge",IF(CE$3="Tous",SUMIFS('Étape 1 - à remplir'!$F$31:$F$400,'Étape 1 - à remplir'!$E$31:$E$400,MASQ2!BV420,'Étape 1 - à remplir'!$G$31:$G$400,"lots"),SUMIFS('Étape 1 - à remplir'!$F$31:$F$400,'Étape 1 - à remplir'!$E$31:$E$400,MASQ2!BV420,'Étape 1 - à remplir'!$P$31:$P$400,CE$3,'Étape 1 - à remplir'!$G$31:$G$400,"lots")),IF(CE$2="Atelier",IF(CE$3="Tous",SUMIFS('Étape 1 - à remplir'!$F$31:$F$400,'Étape 1 - à remplir'!$E$31:$E$400,MASQ2!BV420,'Étape 1 - à remplir'!$G$31:$G$400,"lots"),SUMIFS('Étape 1 - à remplir'!$F$31:$F$400,'Étape 1 - à remplir'!$E$31:$E$400,MASQ2!BV420,'Étape 1 - à remplir'!$O$31:$O$400,CE$3,'Étape 1 - à remplir'!$G$31:$G$400,"lots")),IF(CE$2="Espèce",IF(CE$3="Toutes",SUMIFS('Étape 1 - à remplir'!$F$31:$F$400,'Étape 1 - à remplir'!$E$31:$E$400,MASQ2!BV420,'Étape 1 - à remplir'!$G$31:$G$400,"lots"),SUMIFS('Étape 1 - à remplir'!$F$31:$F$400,'Étape 1 - à remplir'!$E$31:$E$400,MASQ2!BV420,'Étape 1 - à remplir'!$N$31:$N$400,CE$3,'Étape 1 - à remplir'!$G$31:$G$400,"lots"))))))=0,NA(),IF(CE$2="Catégorie",IF(CE$3="Toutes",SUMIFS('Étape 1 - à remplir'!$F$31:$F$400,'Étape 1 - à remplir'!$E$31:$E$400,MASQ2!BV420,'Étape 1 - à remplir'!$G$31:$G$400,"lots"),SUMIFS('Étape 1 - à remplir'!$F$31:$F$400,'Étape 1 - à remplir'!$E$31:$E$400,MASQ2!BV420,'Étape 1 - à remplir'!$C$31:$C$400,CE$3)),IF(CE$2="Âge",IF(CE$3="Tous",SUMIFS('Étape 1 - à remplir'!$F$31:$F$400,'Étape 1 - à remplir'!$E$31:$E$400,MASQ2!BV420,'Étape 1 - à remplir'!$G$31:$G$400,"lots"),SUMIFS('Étape 1 - à remplir'!$F$31:$F$400,'Étape 1 - à remplir'!$E$31:$E$400,MASQ2!BV420,'Étape 1 - à remplir'!$P$31:$P$400,CE$3,'Étape 1 - à remplir'!$G$31:$G$400,"lots")),IF(CE$2="Atelier",IF(CE$3="Tous",SUMIFS('Étape 1 - à remplir'!$F$31:$F$400,'Étape 1 - à remplir'!$E$31:$E$400,MASQ2!BV420,'Étape 1 - à remplir'!$G$31:$G$400,"lots"),SUMIFS('Étape 1 - à remplir'!$F$31:$F$400,'Étape 1 - à remplir'!$E$31:$E$400,MASQ2!BV420,'Étape 1 - à remplir'!$O$31:$O$400,CE$3,'Étape 1 - à remplir'!$G$31:$G$400,"lots")),IF(CE$2="Espèce",IF(CE$3="Toutes",SUMIFS('Étape 1 - à remplir'!$F$31:$F$400,'Étape 1 - à remplir'!$E$31:$E$400,MASQ2!BV420,'Étape 1 - à remplir'!$G$31:$G$400,"lots"),SUMIFS('Étape 1 - à remplir'!$F$31:$F$400,'Étape 1 - à remplir'!$E$31:$E$400,MASQ2!BV420,'Étape 1 - à remplir'!$N$31:$N$400,CE$3,'Étape 1 - à remplir'!$G$31:$G$400,"lots")))))))</f>
        <v>#N/A</v>
      </c>
      <c r="BX420">
        <f t="shared" si="283"/>
        <v>0</v>
      </c>
      <c r="BY420" t="str">
        <f t="shared" si="267"/>
        <v>Ceftiofur</v>
      </c>
      <c r="BZ420" t="str">
        <f t="shared" si="268"/>
        <v/>
      </c>
      <c r="CA420" t="str">
        <f t="shared" si="269"/>
        <v/>
      </c>
      <c r="CB420" t="str">
        <f t="shared" si="270"/>
        <v>Cephalosporines 3&amp;4G</v>
      </c>
      <c r="CC420" t="str">
        <f t="shared" si="271"/>
        <v/>
      </c>
      <c r="CD420" s="63" t="str">
        <f t="shared" si="272"/>
        <v/>
      </c>
      <c r="CG420" s="42">
        <v>417</v>
      </c>
      <c r="CH420" s="42" t="e">
        <f t="shared" si="288"/>
        <v>#N/A</v>
      </c>
      <c r="CI420" s="63" t="e">
        <f t="shared" si="289"/>
        <v>#N/A</v>
      </c>
      <c r="DM420" s="63"/>
      <c r="EA420" s="194" t="str">
        <f t="shared" ca="1" si="273"/>
        <v>x</v>
      </c>
      <c r="EB420" s="226" t="str">
        <f>IFERROR(IF(ED420=0,"",COUNTIF(ED$4:ED$600,"&gt;"&amp;ED420)+COUNTIF(ED$4:ED420,ED420)),"")</f>
        <v/>
      </c>
      <c r="EC420" t="str">
        <f t="shared" si="274"/>
        <v>READYCEF 50 MG/ML SUSPENSION INJECTABLE POUR PORCINS ET BOVINS</v>
      </c>
      <c r="ED420" t="e">
        <f>IF(IF(EL$2="Catégorie",IF(EL$3="Toutes",SUMIFS('Étape 1 - à remplir'!$F$31:$F$400,'Étape 1 - à remplir'!$E$31:$E$400,MASQ2!EC420,'Étape 1 - à remplir'!$G$31:$G$400,"kg"),SUMIFS('Étape 1 - à remplir'!$F$31:$F$400,'Étape 1 - à remplir'!$E$31:$E$400,MASQ2!EC420,'Étape 1 - à remplir'!$C$31:$C$400,EL$3)),IF(EL$2="Âge",IF(EL$3="Tous",SUMIFS('Étape 1 - à remplir'!$F$31:$F$400,'Étape 1 - à remplir'!$E$31:$E$400,MASQ2!EC420,'Étape 1 - à remplir'!$G$31:$G$400,"kg"),SUMIFS('Étape 1 - à remplir'!$F$31:$F$400,'Étape 1 - à remplir'!$E$31:$E$400,MASQ2!EC420,'Étape 1 - à remplir'!$P$31:$P$400,EL$3,'Étape 1 - à remplir'!$G$31:$G$400,"kg")),IF(EL$2="Atelier",IF(EL$3="Tous",SUMIFS('Étape 1 - à remplir'!$F$31:$F$400,'Étape 1 - à remplir'!$E$31:$E$400,MASQ2!EC420,'Étape 1 - à remplir'!$G$31:$G$400,"kg"),SUMIFS('Étape 1 - à remplir'!$F$31:$F$400,'Étape 1 - à remplir'!$E$31:$E$400,MASQ2!EC420,'Étape 1 - à remplir'!$O$31:$O$400,EL$3,'Étape 1 - à remplir'!$G$31:$G$400,"kg")),IF(EL$2="Espèce",IF(EL$3="Toutes",SUMIFS('Étape 1 - à remplir'!$F$31:$F$400,'Étape 1 - à remplir'!$E$31:$E$400,MASQ2!EC420,'Étape 1 - à remplir'!$G$31:$G$400,"kg"),SUMIFS('Étape 1 - à remplir'!$F$31:$F$400,'Étape 1 - à remplir'!$E$31:$E$400,MASQ2!EC420,'Étape 1 - à remplir'!$N$31:$N$400,EL$3,'Étape 1 - à remplir'!$G$31:$G$400,"kg"))))))=0,NA(),IF(EL$2="Catégorie",IF(EL$3="Toutes",SUMIFS('Étape 1 - à remplir'!$F$31:$F$400,'Étape 1 - à remplir'!$E$31:$E$400,MASQ2!EC420,'Étape 1 - à remplir'!$G$31:$G$400,"kg"),SUMIFS('Étape 1 - à remplir'!$F$31:$F$400,'Étape 1 - à remplir'!$E$31:$E$400,MASQ2!EC420,'Étape 1 - à remplir'!$C$31:$C$400,EL$3)),IF(EL$2="Âge",IF(EL$3="Tous",SUMIFS('Étape 1 - à remplir'!$F$31:$F$400,'Étape 1 - à remplir'!$E$31:$E$400,MASQ2!EC420,'Étape 1 - à remplir'!$G$31:$G$400,"kg"),SUMIFS('Étape 1 - à remplir'!$F$31:$F$400,'Étape 1 - à remplir'!$E$31:$E$400,MASQ2!EC420,'Étape 1 - à remplir'!$P$31:$P$400,EL$3,'Étape 1 - à remplir'!$G$31:$G$400,"kg")),IF(EL$2="Atelier",IF(EL$3="Tous",SUMIFS('Étape 1 - à remplir'!$F$31:$F$400,'Étape 1 - à remplir'!$E$31:$E$400,MASQ2!EC420,'Étape 1 - à remplir'!$G$31:$G$400,"kg"),SUMIFS('Étape 1 - à remplir'!$F$31:$F$400,'Étape 1 - à remplir'!$E$31:$E$400,MASQ2!EC420,'Étape 1 - à remplir'!$O$31:$O$400,EL$3,'Étape 1 - à remplir'!$G$31:$G$400,"kg")),IF(EL$2="Espèce",IF(EL$3="Toutes",SUMIFS('Étape 1 - à remplir'!$F$31:$F$400,'Étape 1 - à remplir'!$E$31:$E$400,MASQ2!EC420,'Étape 1 - à remplir'!$G$31:$G$400,"kg"),SUMIFS('Étape 1 - à remplir'!$F$31:$F$400,'Étape 1 - à remplir'!$E$31:$E$400,MASQ2!EC420,'Étape 1 - à remplir'!$N$31:$N$400,EL$3,'Étape 1 - à remplir'!$G$31:$G$400,"kg")))))))</f>
        <v>#N/A</v>
      </c>
      <c r="EE420" s="76">
        <f t="shared" si="284"/>
        <v>0</v>
      </c>
      <c r="EF420" t="str">
        <f t="shared" si="275"/>
        <v>Ceftiofur</v>
      </c>
      <c r="EG420" t="str">
        <f t="shared" si="276"/>
        <v/>
      </c>
      <c r="EH420" t="str">
        <f t="shared" si="277"/>
        <v/>
      </c>
      <c r="EI420" t="str">
        <f t="shared" si="278"/>
        <v>Cephalosporines 3&amp;4G</v>
      </c>
      <c r="EJ420" t="str">
        <f t="shared" si="279"/>
        <v/>
      </c>
      <c r="EK420" s="63" t="str">
        <f t="shared" si="280"/>
        <v/>
      </c>
      <c r="EN420" s="42">
        <v>417</v>
      </c>
      <c r="EO420" t="e">
        <f t="shared" si="286"/>
        <v>#N/A</v>
      </c>
      <c r="EP420" s="63" t="e">
        <f t="shared" si="287"/>
        <v>#N/A</v>
      </c>
      <c r="FT420" s="63"/>
    </row>
    <row r="421" spans="2:176" x14ac:dyDescent="0.3">
      <c r="B421" s="42"/>
      <c r="M421" s="194" t="str">
        <f ca="1">INDEX(Données_ATB!BD:BU,MATCH(MASQ2!O421,Données_ATB!BD:BD,0),18)</f>
        <v/>
      </c>
      <c r="N421" s="14" t="str">
        <f>IFERROR(IF(Q421=0,"",COUNTIF(Q$4:Q$600,"&gt;"&amp;Q421)+COUNTIF(Q$4:Q421,Q421)),"")</f>
        <v/>
      </c>
      <c r="O421" t="str">
        <f>Données_ATB!BD420</f>
        <v>RESFLOR SOLUTION INJECTABLE</v>
      </c>
      <c r="P421" t="e">
        <f>IF(IF(X$2="Catégorie",IF(X$3="Toutes",SUMIFS('Étape 1 - à remplir'!$F$31:$F$400,'Étape 1 - à remplir'!$E$31:$E$400,MASQ2!O421,'Étape 1 - à remplir'!$G$31:$G$400,"animaux"),SUMIFS('Étape 1 - à remplir'!$F$31:$F$400,'Étape 1 - à remplir'!$E$31:$E$400,MASQ2!O421,'Étape 1 - à remplir'!$C$31:$C$400,X$3)),IF(X$2="Âge",IF(X$3="Tous",SUMIFS('Étape 1 - à remplir'!$F$31:$F$400,'Étape 1 - à remplir'!$E$31:$E$400,MASQ2!O421,'Étape 1 - à remplir'!$G$31:$G$400,"animaux"),SUMIFS('Étape 1 - à remplir'!$F$31:$F$400,'Étape 1 - à remplir'!$E$31:$E$400,MASQ2!O421,'Étape 1 - à remplir'!$P$31:$P$400,X$3)),IF(X$2="Atelier",IF(X$3="Tous",SUMIFS('Étape 1 - à remplir'!$F$31:$F$400,'Étape 1 - à remplir'!$E$31:$E$400,MASQ2!O421,'Étape 1 - à remplir'!$G$31:$G$400,"animaux"),SUMIFS('Étape 1 - à remplir'!$F$31:$F$400,'Étape 1 - à remplir'!$E$31:$E$400,MASQ2!O421,'Étape 1 - à remplir'!$O$31:$O$400,X$3)),IF(X$2="Espèce",IF(X$3="Toutes",SUMIFS('Étape 1 - à remplir'!$F$31:$F$400,'Étape 1 - à remplir'!$E$31:$E$400,MASQ2!O421,'Étape 1 - à remplir'!$G$31:$G$400,"animaux"),SUMIFS('Étape 1 - à remplir'!$F$31:$F$400,'Étape 1 - à remplir'!$E$31:$E$400,MASQ2!O421,'Étape 1 - à remplir'!$N$31:$N$400,X$3))))))=0,NA(),IF(X$2="Catégorie",IF(X$3="Toutes",SUMIFS('Étape 1 - à remplir'!$F$31:$F$400,'Étape 1 - à remplir'!$E$31:$E$400,MASQ2!O421,'Étape 1 - à remplir'!$G$31:$G$400,"animaux"),SUMIFS('Étape 1 - à remplir'!$F$31:$F$400,'Étape 1 - à remplir'!$E$31:$E$400,MASQ2!O421,'Étape 1 - à remplir'!$C$31:$C$400,X$3)),IF(X$2="Âge",IF(X$3="Tous",SUMIFS('Étape 1 - à remplir'!$F$31:$F$400,'Étape 1 - à remplir'!$E$31:$E$400,MASQ2!O421,'Étape 1 - à remplir'!$G$31:$G$400,"animaux"),SUMIFS('Étape 1 - à remplir'!$F$31:$F$400,'Étape 1 - à remplir'!$E$31:$E$400,MASQ2!O421,'Étape 1 - à remplir'!$P$31:$P$400,X$3)),IF(X$2="Atelier",IF(X$3="Tous",SUMIFS('Étape 1 - à remplir'!$F$31:$F$400,'Étape 1 - à remplir'!$E$31:$E$400,MASQ2!O421,'Étape 1 - à remplir'!$G$31:$G$400,"animaux"),SUMIFS('Étape 1 - à remplir'!$F$31:$F$400,'Étape 1 - à remplir'!$E$31:$E$400,MASQ2!O421,'Étape 1 - à remplir'!$O$31:$O$400,X$3)),IF(X$2="Espèce",IF(X$3="Toutes",SUMIFS('Étape 1 - à remplir'!$F$31:$F$400,'Étape 1 - à remplir'!$E$31:$E$400,MASQ2!O421,'Étape 1 - à remplir'!$G$31:$G$400,"animaux"),SUMIFS('Étape 1 - à remplir'!$F$31:$F$400,'Étape 1 - à remplir'!$E$31:$E$400,MASQ2!O421,'Étape 1 - à remplir'!$N$31:$N$400,X$3)))))))</f>
        <v>#N/A</v>
      </c>
      <c r="Q421" s="63">
        <f t="shared" si="285"/>
        <v>0</v>
      </c>
      <c r="R421" t="str">
        <f>Données_ATB!BM420</f>
        <v>Florfénicol</v>
      </c>
      <c r="S421" t="str">
        <f>Données_ATB!BN420</f>
        <v/>
      </c>
      <c r="T421" s="63" t="str">
        <f>Données_ATB!BO420</f>
        <v/>
      </c>
      <c r="U421" s="42" t="str">
        <f>Données_ATB!BQ420</f>
        <v>Phenicoles</v>
      </c>
      <c r="V421" t="str">
        <f>Données_ATB!BR420</f>
        <v/>
      </c>
      <c r="W421" s="63" t="str">
        <f>Données_ATB!BS420</f>
        <v/>
      </c>
      <c r="Z421" s="42">
        <v>418</v>
      </c>
      <c r="AA421" t="e">
        <f t="shared" si="281"/>
        <v>#N/A</v>
      </c>
      <c r="AB421" s="63" t="e">
        <f t="shared" si="282"/>
        <v>#N/A</v>
      </c>
      <c r="BF421" s="63"/>
      <c r="BT421" s="194" t="str">
        <f t="shared" ca="1" si="265"/>
        <v/>
      </c>
      <c r="BU421" s="219" t="str">
        <f>IFERROR(IF(BX421=0,"",COUNTIF(BX$4:BX$600,"&gt;"&amp;BX421)+COUNTIF(BX$4:BX421,BX421)),"")</f>
        <v/>
      </c>
      <c r="BV421" s="42" t="str">
        <f t="shared" si="266"/>
        <v>RESFLOR SOLUTION INJECTABLE</v>
      </c>
      <c r="BW421" t="e">
        <f>IF(IF(CE$2="Catégorie",IF(CE$3="Toutes",SUMIFS('Étape 1 - à remplir'!$F$31:$F$400,'Étape 1 - à remplir'!$E$31:$E$400,MASQ2!BV421,'Étape 1 - à remplir'!$G$31:$G$400,"lots"),SUMIFS('Étape 1 - à remplir'!$F$31:$F$400,'Étape 1 - à remplir'!$E$31:$E$400,MASQ2!BV421,'Étape 1 - à remplir'!$C$31:$C$400,CE$3)),IF(CE$2="Âge",IF(CE$3="Tous",SUMIFS('Étape 1 - à remplir'!$F$31:$F$400,'Étape 1 - à remplir'!$E$31:$E$400,MASQ2!BV421,'Étape 1 - à remplir'!$G$31:$G$400,"lots"),SUMIFS('Étape 1 - à remplir'!$F$31:$F$400,'Étape 1 - à remplir'!$E$31:$E$400,MASQ2!BV421,'Étape 1 - à remplir'!$P$31:$P$400,CE$3,'Étape 1 - à remplir'!$G$31:$G$400,"lots")),IF(CE$2="Atelier",IF(CE$3="Tous",SUMIFS('Étape 1 - à remplir'!$F$31:$F$400,'Étape 1 - à remplir'!$E$31:$E$400,MASQ2!BV421,'Étape 1 - à remplir'!$G$31:$G$400,"lots"),SUMIFS('Étape 1 - à remplir'!$F$31:$F$400,'Étape 1 - à remplir'!$E$31:$E$400,MASQ2!BV421,'Étape 1 - à remplir'!$O$31:$O$400,CE$3,'Étape 1 - à remplir'!$G$31:$G$400,"lots")),IF(CE$2="Espèce",IF(CE$3="Toutes",SUMIFS('Étape 1 - à remplir'!$F$31:$F$400,'Étape 1 - à remplir'!$E$31:$E$400,MASQ2!BV421,'Étape 1 - à remplir'!$G$31:$G$400,"lots"),SUMIFS('Étape 1 - à remplir'!$F$31:$F$400,'Étape 1 - à remplir'!$E$31:$E$400,MASQ2!BV421,'Étape 1 - à remplir'!$N$31:$N$400,CE$3,'Étape 1 - à remplir'!$G$31:$G$400,"lots"))))))=0,NA(),IF(CE$2="Catégorie",IF(CE$3="Toutes",SUMIFS('Étape 1 - à remplir'!$F$31:$F$400,'Étape 1 - à remplir'!$E$31:$E$400,MASQ2!BV421,'Étape 1 - à remplir'!$G$31:$G$400,"lots"),SUMIFS('Étape 1 - à remplir'!$F$31:$F$400,'Étape 1 - à remplir'!$E$31:$E$400,MASQ2!BV421,'Étape 1 - à remplir'!$C$31:$C$400,CE$3)),IF(CE$2="Âge",IF(CE$3="Tous",SUMIFS('Étape 1 - à remplir'!$F$31:$F$400,'Étape 1 - à remplir'!$E$31:$E$400,MASQ2!BV421,'Étape 1 - à remplir'!$G$31:$G$400,"lots"),SUMIFS('Étape 1 - à remplir'!$F$31:$F$400,'Étape 1 - à remplir'!$E$31:$E$400,MASQ2!BV421,'Étape 1 - à remplir'!$P$31:$P$400,CE$3,'Étape 1 - à remplir'!$G$31:$G$400,"lots")),IF(CE$2="Atelier",IF(CE$3="Tous",SUMIFS('Étape 1 - à remplir'!$F$31:$F$400,'Étape 1 - à remplir'!$E$31:$E$400,MASQ2!BV421,'Étape 1 - à remplir'!$G$31:$G$400,"lots"),SUMIFS('Étape 1 - à remplir'!$F$31:$F$400,'Étape 1 - à remplir'!$E$31:$E$400,MASQ2!BV421,'Étape 1 - à remplir'!$O$31:$O$400,CE$3,'Étape 1 - à remplir'!$G$31:$G$400,"lots")),IF(CE$2="Espèce",IF(CE$3="Toutes",SUMIFS('Étape 1 - à remplir'!$F$31:$F$400,'Étape 1 - à remplir'!$E$31:$E$400,MASQ2!BV421,'Étape 1 - à remplir'!$G$31:$G$400,"lots"),SUMIFS('Étape 1 - à remplir'!$F$31:$F$400,'Étape 1 - à remplir'!$E$31:$E$400,MASQ2!BV421,'Étape 1 - à remplir'!$N$31:$N$400,CE$3,'Étape 1 - à remplir'!$G$31:$G$400,"lots")))))))</f>
        <v>#N/A</v>
      </c>
      <c r="BX421">
        <f t="shared" si="283"/>
        <v>0</v>
      </c>
      <c r="BY421" t="str">
        <f t="shared" si="267"/>
        <v>Florfénicol</v>
      </c>
      <c r="BZ421" t="str">
        <f t="shared" si="268"/>
        <v/>
      </c>
      <c r="CA421" t="str">
        <f t="shared" si="269"/>
        <v/>
      </c>
      <c r="CB421" t="str">
        <f t="shared" si="270"/>
        <v>Phenicoles</v>
      </c>
      <c r="CC421" t="str">
        <f t="shared" si="271"/>
        <v/>
      </c>
      <c r="CD421" s="63" t="str">
        <f t="shared" si="272"/>
        <v/>
      </c>
      <c r="CG421" s="42">
        <v>418</v>
      </c>
      <c r="CH421" s="42" t="e">
        <f t="shared" si="288"/>
        <v>#N/A</v>
      </c>
      <c r="CI421" s="63" t="e">
        <f t="shared" si="289"/>
        <v>#N/A</v>
      </c>
      <c r="DM421" s="63"/>
      <c r="EA421" s="194" t="str">
        <f t="shared" ca="1" si="273"/>
        <v/>
      </c>
      <c r="EB421" s="226" t="str">
        <f>IFERROR(IF(ED421=0,"",COUNTIF(ED$4:ED$600,"&gt;"&amp;ED421)+COUNTIF(ED$4:ED421,ED421)),"")</f>
        <v/>
      </c>
      <c r="EC421" t="str">
        <f t="shared" si="274"/>
        <v>RESFLOR SOLUTION INJECTABLE</v>
      </c>
      <c r="ED421" t="e">
        <f>IF(IF(EL$2="Catégorie",IF(EL$3="Toutes",SUMIFS('Étape 1 - à remplir'!$F$31:$F$400,'Étape 1 - à remplir'!$E$31:$E$400,MASQ2!EC421,'Étape 1 - à remplir'!$G$31:$G$400,"kg"),SUMIFS('Étape 1 - à remplir'!$F$31:$F$400,'Étape 1 - à remplir'!$E$31:$E$400,MASQ2!EC421,'Étape 1 - à remplir'!$C$31:$C$400,EL$3)),IF(EL$2="Âge",IF(EL$3="Tous",SUMIFS('Étape 1 - à remplir'!$F$31:$F$400,'Étape 1 - à remplir'!$E$31:$E$400,MASQ2!EC421,'Étape 1 - à remplir'!$G$31:$G$400,"kg"),SUMIFS('Étape 1 - à remplir'!$F$31:$F$400,'Étape 1 - à remplir'!$E$31:$E$400,MASQ2!EC421,'Étape 1 - à remplir'!$P$31:$P$400,EL$3,'Étape 1 - à remplir'!$G$31:$G$400,"kg")),IF(EL$2="Atelier",IF(EL$3="Tous",SUMIFS('Étape 1 - à remplir'!$F$31:$F$400,'Étape 1 - à remplir'!$E$31:$E$400,MASQ2!EC421,'Étape 1 - à remplir'!$G$31:$G$400,"kg"),SUMIFS('Étape 1 - à remplir'!$F$31:$F$400,'Étape 1 - à remplir'!$E$31:$E$400,MASQ2!EC421,'Étape 1 - à remplir'!$O$31:$O$400,EL$3,'Étape 1 - à remplir'!$G$31:$G$400,"kg")),IF(EL$2="Espèce",IF(EL$3="Toutes",SUMIFS('Étape 1 - à remplir'!$F$31:$F$400,'Étape 1 - à remplir'!$E$31:$E$400,MASQ2!EC421,'Étape 1 - à remplir'!$G$31:$G$400,"kg"),SUMIFS('Étape 1 - à remplir'!$F$31:$F$400,'Étape 1 - à remplir'!$E$31:$E$400,MASQ2!EC421,'Étape 1 - à remplir'!$N$31:$N$400,EL$3,'Étape 1 - à remplir'!$G$31:$G$400,"kg"))))))=0,NA(),IF(EL$2="Catégorie",IF(EL$3="Toutes",SUMIFS('Étape 1 - à remplir'!$F$31:$F$400,'Étape 1 - à remplir'!$E$31:$E$400,MASQ2!EC421,'Étape 1 - à remplir'!$G$31:$G$400,"kg"),SUMIFS('Étape 1 - à remplir'!$F$31:$F$400,'Étape 1 - à remplir'!$E$31:$E$400,MASQ2!EC421,'Étape 1 - à remplir'!$C$31:$C$400,EL$3)),IF(EL$2="Âge",IF(EL$3="Tous",SUMIFS('Étape 1 - à remplir'!$F$31:$F$400,'Étape 1 - à remplir'!$E$31:$E$400,MASQ2!EC421,'Étape 1 - à remplir'!$G$31:$G$400,"kg"),SUMIFS('Étape 1 - à remplir'!$F$31:$F$400,'Étape 1 - à remplir'!$E$31:$E$400,MASQ2!EC421,'Étape 1 - à remplir'!$P$31:$P$400,EL$3,'Étape 1 - à remplir'!$G$31:$G$400,"kg")),IF(EL$2="Atelier",IF(EL$3="Tous",SUMIFS('Étape 1 - à remplir'!$F$31:$F$400,'Étape 1 - à remplir'!$E$31:$E$400,MASQ2!EC421,'Étape 1 - à remplir'!$G$31:$G$400,"kg"),SUMIFS('Étape 1 - à remplir'!$F$31:$F$400,'Étape 1 - à remplir'!$E$31:$E$400,MASQ2!EC421,'Étape 1 - à remplir'!$O$31:$O$400,EL$3,'Étape 1 - à remplir'!$G$31:$G$400,"kg")),IF(EL$2="Espèce",IF(EL$3="Toutes",SUMIFS('Étape 1 - à remplir'!$F$31:$F$400,'Étape 1 - à remplir'!$E$31:$E$400,MASQ2!EC421,'Étape 1 - à remplir'!$G$31:$G$400,"kg"),SUMIFS('Étape 1 - à remplir'!$F$31:$F$400,'Étape 1 - à remplir'!$E$31:$E$400,MASQ2!EC421,'Étape 1 - à remplir'!$N$31:$N$400,EL$3,'Étape 1 - à remplir'!$G$31:$G$400,"kg")))))))</f>
        <v>#N/A</v>
      </c>
      <c r="EE421" s="76">
        <f t="shared" si="284"/>
        <v>0</v>
      </c>
      <c r="EF421" t="str">
        <f t="shared" si="275"/>
        <v>Florfénicol</v>
      </c>
      <c r="EG421" t="str">
        <f t="shared" si="276"/>
        <v/>
      </c>
      <c r="EH421" t="str">
        <f t="shared" si="277"/>
        <v/>
      </c>
      <c r="EI421" t="str">
        <f t="shared" si="278"/>
        <v>Phenicoles</v>
      </c>
      <c r="EJ421" t="str">
        <f t="shared" si="279"/>
        <v/>
      </c>
      <c r="EK421" s="63" t="str">
        <f t="shared" si="280"/>
        <v/>
      </c>
      <c r="EN421" s="42">
        <v>418</v>
      </c>
      <c r="EO421" t="e">
        <f t="shared" si="286"/>
        <v>#N/A</v>
      </c>
      <c r="EP421" s="63" t="e">
        <f t="shared" si="287"/>
        <v>#N/A</v>
      </c>
      <c r="FT421" s="63"/>
    </row>
    <row r="422" spans="2:176" x14ac:dyDescent="0.3">
      <c r="B422" s="42"/>
      <c r="M422" s="194" t="str">
        <f ca="1">INDEX(Données_ATB!BD:BU,MATCH(MASQ2!O422,Données_ATB!BD:BD,0),18)</f>
        <v>x</v>
      </c>
      <c r="N422" s="14" t="str">
        <f>IFERROR(IF(Q422=0,"",COUNTIF(Q$4:Q$600,"&gt;"&amp;Q422)+COUNTIF(Q$4:Q422,Q422)),"")</f>
        <v/>
      </c>
      <c r="O422" t="str">
        <f>Données_ATB!BD421</f>
        <v>RESPYTRIL 100 MG/ML SOLUTION INJECTABLE POUR BOVINS</v>
      </c>
      <c r="P422" t="e">
        <f>IF(IF(X$2="Catégorie",IF(X$3="Toutes",SUMIFS('Étape 1 - à remplir'!$F$31:$F$400,'Étape 1 - à remplir'!$E$31:$E$400,MASQ2!O422,'Étape 1 - à remplir'!$G$31:$G$400,"animaux"),SUMIFS('Étape 1 - à remplir'!$F$31:$F$400,'Étape 1 - à remplir'!$E$31:$E$400,MASQ2!O422,'Étape 1 - à remplir'!$C$31:$C$400,X$3)),IF(X$2="Âge",IF(X$3="Tous",SUMIFS('Étape 1 - à remplir'!$F$31:$F$400,'Étape 1 - à remplir'!$E$31:$E$400,MASQ2!O422,'Étape 1 - à remplir'!$G$31:$G$400,"animaux"),SUMIFS('Étape 1 - à remplir'!$F$31:$F$400,'Étape 1 - à remplir'!$E$31:$E$400,MASQ2!O422,'Étape 1 - à remplir'!$P$31:$P$400,X$3)),IF(X$2="Atelier",IF(X$3="Tous",SUMIFS('Étape 1 - à remplir'!$F$31:$F$400,'Étape 1 - à remplir'!$E$31:$E$400,MASQ2!O422,'Étape 1 - à remplir'!$G$31:$G$400,"animaux"),SUMIFS('Étape 1 - à remplir'!$F$31:$F$400,'Étape 1 - à remplir'!$E$31:$E$400,MASQ2!O422,'Étape 1 - à remplir'!$O$31:$O$400,X$3)),IF(X$2="Espèce",IF(X$3="Toutes",SUMIFS('Étape 1 - à remplir'!$F$31:$F$400,'Étape 1 - à remplir'!$E$31:$E$400,MASQ2!O422,'Étape 1 - à remplir'!$G$31:$G$400,"animaux"),SUMIFS('Étape 1 - à remplir'!$F$31:$F$400,'Étape 1 - à remplir'!$E$31:$E$400,MASQ2!O422,'Étape 1 - à remplir'!$N$31:$N$400,X$3))))))=0,NA(),IF(X$2="Catégorie",IF(X$3="Toutes",SUMIFS('Étape 1 - à remplir'!$F$31:$F$400,'Étape 1 - à remplir'!$E$31:$E$400,MASQ2!O422,'Étape 1 - à remplir'!$G$31:$G$400,"animaux"),SUMIFS('Étape 1 - à remplir'!$F$31:$F$400,'Étape 1 - à remplir'!$E$31:$E$400,MASQ2!O422,'Étape 1 - à remplir'!$C$31:$C$400,X$3)),IF(X$2="Âge",IF(X$3="Tous",SUMIFS('Étape 1 - à remplir'!$F$31:$F$400,'Étape 1 - à remplir'!$E$31:$E$400,MASQ2!O422,'Étape 1 - à remplir'!$G$31:$G$400,"animaux"),SUMIFS('Étape 1 - à remplir'!$F$31:$F$400,'Étape 1 - à remplir'!$E$31:$E$400,MASQ2!O422,'Étape 1 - à remplir'!$P$31:$P$400,X$3)),IF(X$2="Atelier",IF(X$3="Tous",SUMIFS('Étape 1 - à remplir'!$F$31:$F$400,'Étape 1 - à remplir'!$E$31:$E$400,MASQ2!O422,'Étape 1 - à remplir'!$G$31:$G$400,"animaux"),SUMIFS('Étape 1 - à remplir'!$F$31:$F$400,'Étape 1 - à remplir'!$E$31:$E$400,MASQ2!O422,'Étape 1 - à remplir'!$O$31:$O$400,X$3)),IF(X$2="Espèce",IF(X$3="Toutes",SUMIFS('Étape 1 - à remplir'!$F$31:$F$400,'Étape 1 - à remplir'!$E$31:$E$400,MASQ2!O422,'Étape 1 - à remplir'!$G$31:$G$400,"animaux"),SUMIFS('Étape 1 - à remplir'!$F$31:$F$400,'Étape 1 - à remplir'!$E$31:$E$400,MASQ2!O422,'Étape 1 - à remplir'!$N$31:$N$400,X$3)))))))</f>
        <v>#N/A</v>
      </c>
      <c r="Q422" s="63">
        <f t="shared" si="285"/>
        <v>0</v>
      </c>
      <c r="R422" t="str">
        <f>Données_ATB!BM421</f>
        <v>Enrofloxacine</v>
      </c>
      <c r="S422" t="str">
        <f>Données_ATB!BN421</f>
        <v/>
      </c>
      <c r="T422" s="63" t="str">
        <f>Données_ATB!BO421</f>
        <v/>
      </c>
      <c r="U422" s="42" t="str">
        <f>Données_ATB!BQ421</f>
        <v>Fluoroquinolones</v>
      </c>
      <c r="V422" t="str">
        <f>Données_ATB!BR421</f>
        <v/>
      </c>
      <c r="W422" s="63" t="str">
        <f>Données_ATB!BS421</f>
        <v/>
      </c>
      <c r="Z422" s="42">
        <v>419</v>
      </c>
      <c r="AA422" t="e">
        <f t="shared" si="281"/>
        <v>#N/A</v>
      </c>
      <c r="AB422" s="63" t="e">
        <f t="shared" si="282"/>
        <v>#N/A</v>
      </c>
      <c r="BF422" s="63"/>
      <c r="BT422" s="194" t="str">
        <f t="shared" ca="1" si="265"/>
        <v>x</v>
      </c>
      <c r="BU422" s="219" t="str">
        <f>IFERROR(IF(BX422=0,"",COUNTIF(BX$4:BX$600,"&gt;"&amp;BX422)+COUNTIF(BX$4:BX422,BX422)),"")</f>
        <v/>
      </c>
      <c r="BV422" s="42" t="str">
        <f t="shared" si="266"/>
        <v>RESPYTRIL 100 MG/ML SOLUTION INJECTABLE POUR BOVINS</v>
      </c>
      <c r="BW422" t="e">
        <f>IF(IF(CE$2="Catégorie",IF(CE$3="Toutes",SUMIFS('Étape 1 - à remplir'!$F$31:$F$400,'Étape 1 - à remplir'!$E$31:$E$400,MASQ2!BV422,'Étape 1 - à remplir'!$G$31:$G$400,"lots"),SUMIFS('Étape 1 - à remplir'!$F$31:$F$400,'Étape 1 - à remplir'!$E$31:$E$400,MASQ2!BV422,'Étape 1 - à remplir'!$C$31:$C$400,CE$3)),IF(CE$2="Âge",IF(CE$3="Tous",SUMIFS('Étape 1 - à remplir'!$F$31:$F$400,'Étape 1 - à remplir'!$E$31:$E$400,MASQ2!BV422,'Étape 1 - à remplir'!$G$31:$G$400,"lots"),SUMIFS('Étape 1 - à remplir'!$F$31:$F$400,'Étape 1 - à remplir'!$E$31:$E$400,MASQ2!BV422,'Étape 1 - à remplir'!$P$31:$P$400,CE$3,'Étape 1 - à remplir'!$G$31:$G$400,"lots")),IF(CE$2="Atelier",IF(CE$3="Tous",SUMIFS('Étape 1 - à remplir'!$F$31:$F$400,'Étape 1 - à remplir'!$E$31:$E$400,MASQ2!BV422,'Étape 1 - à remplir'!$G$31:$G$400,"lots"),SUMIFS('Étape 1 - à remplir'!$F$31:$F$400,'Étape 1 - à remplir'!$E$31:$E$400,MASQ2!BV422,'Étape 1 - à remplir'!$O$31:$O$400,CE$3,'Étape 1 - à remplir'!$G$31:$G$400,"lots")),IF(CE$2="Espèce",IF(CE$3="Toutes",SUMIFS('Étape 1 - à remplir'!$F$31:$F$400,'Étape 1 - à remplir'!$E$31:$E$400,MASQ2!BV422,'Étape 1 - à remplir'!$G$31:$G$400,"lots"),SUMIFS('Étape 1 - à remplir'!$F$31:$F$400,'Étape 1 - à remplir'!$E$31:$E$400,MASQ2!BV422,'Étape 1 - à remplir'!$N$31:$N$400,CE$3,'Étape 1 - à remplir'!$G$31:$G$400,"lots"))))))=0,NA(),IF(CE$2="Catégorie",IF(CE$3="Toutes",SUMIFS('Étape 1 - à remplir'!$F$31:$F$400,'Étape 1 - à remplir'!$E$31:$E$400,MASQ2!BV422,'Étape 1 - à remplir'!$G$31:$G$400,"lots"),SUMIFS('Étape 1 - à remplir'!$F$31:$F$400,'Étape 1 - à remplir'!$E$31:$E$400,MASQ2!BV422,'Étape 1 - à remplir'!$C$31:$C$400,CE$3)),IF(CE$2="Âge",IF(CE$3="Tous",SUMIFS('Étape 1 - à remplir'!$F$31:$F$400,'Étape 1 - à remplir'!$E$31:$E$400,MASQ2!BV422,'Étape 1 - à remplir'!$G$31:$G$400,"lots"),SUMIFS('Étape 1 - à remplir'!$F$31:$F$400,'Étape 1 - à remplir'!$E$31:$E$400,MASQ2!BV422,'Étape 1 - à remplir'!$P$31:$P$400,CE$3,'Étape 1 - à remplir'!$G$31:$G$400,"lots")),IF(CE$2="Atelier",IF(CE$3="Tous",SUMIFS('Étape 1 - à remplir'!$F$31:$F$400,'Étape 1 - à remplir'!$E$31:$E$400,MASQ2!BV422,'Étape 1 - à remplir'!$G$31:$G$400,"lots"),SUMIFS('Étape 1 - à remplir'!$F$31:$F$400,'Étape 1 - à remplir'!$E$31:$E$400,MASQ2!BV422,'Étape 1 - à remplir'!$O$31:$O$400,CE$3,'Étape 1 - à remplir'!$G$31:$G$400,"lots")),IF(CE$2="Espèce",IF(CE$3="Toutes",SUMIFS('Étape 1 - à remplir'!$F$31:$F$400,'Étape 1 - à remplir'!$E$31:$E$400,MASQ2!BV422,'Étape 1 - à remplir'!$G$31:$G$400,"lots"),SUMIFS('Étape 1 - à remplir'!$F$31:$F$400,'Étape 1 - à remplir'!$E$31:$E$400,MASQ2!BV422,'Étape 1 - à remplir'!$N$31:$N$400,CE$3,'Étape 1 - à remplir'!$G$31:$G$400,"lots")))))))</f>
        <v>#N/A</v>
      </c>
      <c r="BX422">
        <f t="shared" si="283"/>
        <v>0</v>
      </c>
      <c r="BY422" t="str">
        <f t="shared" si="267"/>
        <v>Enrofloxacine</v>
      </c>
      <c r="BZ422" t="str">
        <f t="shared" si="268"/>
        <v/>
      </c>
      <c r="CA422" t="str">
        <f t="shared" si="269"/>
        <v/>
      </c>
      <c r="CB422" t="str">
        <f t="shared" si="270"/>
        <v>Fluoroquinolones</v>
      </c>
      <c r="CC422" t="str">
        <f t="shared" si="271"/>
        <v/>
      </c>
      <c r="CD422" s="63" t="str">
        <f t="shared" si="272"/>
        <v/>
      </c>
      <c r="CG422" s="42">
        <v>419</v>
      </c>
      <c r="CH422" s="42" t="e">
        <f t="shared" si="288"/>
        <v>#N/A</v>
      </c>
      <c r="CI422" s="63" t="e">
        <f t="shared" si="289"/>
        <v>#N/A</v>
      </c>
      <c r="DM422" s="63"/>
      <c r="EA422" s="194" t="str">
        <f t="shared" ca="1" si="273"/>
        <v>x</v>
      </c>
      <c r="EB422" s="226" t="str">
        <f>IFERROR(IF(ED422=0,"",COUNTIF(ED$4:ED$600,"&gt;"&amp;ED422)+COUNTIF(ED$4:ED422,ED422)),"")</f>
        <v/>
      </c>
      <c r="EC422" t="str">
        <f t="shared" si="274"/>
        <v>RESPYTRIL 100 MG/ML SOLUTION INJECTABLE POUR BOVINS</v>
      </c>
      <c r="ED422" t="e">
        <f>IF(IF(EL$2="Catégorie",IF(EL$3="Toutes",SUMIFS('Étape 1 - à remplir'!$F$31:$F$400,'Étape 1 - à remplir'!$E$31:$E$400,MASQ2!EC422,'Étape 1 - à remplir'!$G$31:$G$400,"kg"),SUMIFS('Étape 1 - à remplir'!$F$31:$F$400,'Étape 1 - à remplir'!$E$31:$E$400,MASQ2!EC422,'Étape 1 - à remplir'!$C$31:$C$400,EL$3)),IF(EL$2="Âge",IF(EL$3="Tous",SUMIFS('Étape 1 - à remplir'!$F$31:$F$400,'Étape 1 - à remplir'!$E$31:$E$400,MASQ2!EC422,'Étape 1 - à remplir'!$G$31:$G$400,"kg"),SUMIFS('Étape 1 - à remplir'!$F$31:$F$400,'Étape 1 - à remplir'!$E$31:$E$400,MASQ2!EC422,'Étape 1 - à remplir'!$P$31:$P$400,EL$3,'Étape 1 - à remplir'!$G$31:$G$400,"kg")),IF(EL$2="Atelier",IF(EL$3="Tous",SUMIFS('Étape 1 - à remplir'!$F$31:$F$400,'Étape 1 - à remplir'!$E$31:$E$400,MASQ2!EC422,'Étape 1 - à remplir'!$G$31:$G$400,"kg"),SUMIFS('Étape 1 - à remplir'!$F$31:$F$400,'Étape 1 - à remplir'!$E$31:$E$400,MASQ2!EC422,'Étape 1 - à remplir'!$O$31:$O$400,EL$3,'Étape 1 - à remplir'!$G$31:$G$400,"kg")),IF(EL$2="Espèce",IF(EL$3="Toutes",SUMIFS('Étape 1 - à remplir'!$F$31:$F$400,'Étape 1 - à remplir'!$E$31:$E$400,MASQ2!EC422,'Étape 1 - à remplir'!$G$31:$G$400,"kg"),SUMIFS('Étape 1 - à remplir'!$F$31:$F$400,'Étape 1 - à remplir'!$E$31:$E$400,MASQ2!EC422,'Étape 1 - à remplir'!$N$31:$N$400,EL$3,'Étape 1 - à remplir'!$G$31:$G$400,"kg"))))))=0,NA(),IF(EL$2="Catégorie",IF(EL$3="Toutes",SUMIFS('Étape 1 - à remplir'!$F$31:$F$400,'Étape 1 - à remplir'!$E$31:$E$400,MASQ2!EC422,'Étape 1 - à remplir'!$G$31:$G$400,"kg"),SUMIFS('Étape 1 - à remplir'!$F$31:$F$400,'Étape 1 - à remplir'!$E$31:$E$400,MASQ2!EC422,'Étape 1 - à remplir'!$C$31:$C$400,EL$3)),IF(EL$2="Âge",IF(EL$3="Tous",SUMIFS('Étape 1 - à remplir'!$F$31:$F$400,'Étape 1 - à remplir'!$E$31:$E$400,MASQ2!EC422,'Étape 1 - à remplir'!$G$31:$G$400,"kg"),SUMIFS('Étape 1 - à remplir'!$F$31:$F$400,'Étape 1 - à remplir'!$E$31:$E$400,MASQ2!EC422,'Étape 1 - à remplir'!$P$31:$P$400,EL$3,'Étape 1 - à remplir'!$G$31:$G$400,"kg")),IF(EL$2="Atelier",IF(EL$3="Tous",SUMIFS('Étape 1 - à remplir'!$F$31:$F$400,'Étape 1 - à remplir'!$E$31:$E$400,MASQ2!EC422,'Étape 1 - à remplir'!$G$31:$G$400,"kg"),SUMIFS('Étape 1 - à remplir'!$F$31:$F$400,'Étape 1 - à remplir'!$E$31:$E$400,MASQ2!EC422,'Étape 1 - à remplir'!$O$31:$O$400,EL$3,'Étape 1 - à remplir'!$G$31:$G$400,"kg")),IF(EL$2="Espèce",IF(EL$3="Toutes",SUMIFS('Étape 1 - à remplir'!$F$31:$F$400,'Étape 1 - à remplir'!$E$31:$E$400,MASQ2!EC422,'Étape 1 - à remplir'!$G$31:$G$400,"kg"),SUMIFS('Étape 1 - à remplir'!$F$31:$F$400,'Étape 1 - à remplir'!$E$31:$E$400,MASQ2!EC422,'Étape 1 - à remplir'!$N$31:$N$400,EL$3,'Étape 1 - à remplir'!$G$31:$G$400,"kg")))))))</f>
        <v>#N/A</v>
      </c>
      <c r="EE422" s="76">
        <f t="shared" si="284"/>
        <v>0</v>
      </c>
      <c r="EF422" t="str">
        <f t="shared" si="275"/>
        <v>Enrofloxacine</v>
      </c>
      <c r="EG422" t="str">
        <f t="shared" si="276"/>
        <v/>
      </c>
      <c r="EH422" t="str">
        <f t="shared" si="277"/>
        <v/>
      </c>
      <c r="EI422" t="str">
        <f t="shared" si="278"/>
        <v>Fluoroquinolones</v>
      </c>
      <c r="EJ422" t="str">
        <f t="shared" si="279"/>
        <v/>
      </c>
      <c r="EK422" s="63" t="str">
        <f t="shared" si="280"/>
        <v/>
      </c>
      <c r="EN422" s="42">
        <v>419</v>
      </c>
      <c r="EO422" t="e">
        <f t="shared" si="286"/>
        <v>#N/A</v>
      </c>
      <c r="EP422" s="63" t="e">
        <f t="shared" si="287"/>
        <v>#N/A</v>
      </c>
      <c r="FT422" s="63"/>
    </row>
    <row r="423" spans="2:176" x14ac:dyDescent="0.3">
      <c r="B423" s="42"/>
      <c r="M423" s="194" t="str">
        <f ca="1">INDEX(Données_ATB!BD:BU,MATCH(MASQ2!O423,Données_ATB!BD:BD,0),18)</f>
        <v/>
      </c>
      <c r="N423" s="14" t="str">
        <f>IFERROR(IF(Q423=0,"",COUNTIF(Q$4:Q$600,"&gt;"&amp;Q423)+COUNTIF(Q$4:Q423,Q423)),"")</f>
        <v/>
      </c>
      <c r="O423" t="str">
        <f>Données_ATB!BD422</f>
        <v>REVOZYN RTU 308,8 MG/ML SUSPENSION INJECTABLE POUR BOVINS</v>
      </c>
      <c r="P423" t="e">
        <f>IF(IF(X$2="Catégorie",IF(X$3="Toutes",SUMIFS('Étape 1 - à remplir'!$F$31:$F$400,'Étape 1 - à remplir'!$E$31:$E$400,MASQ2!O423,'Étape 1 - à remplir'!$G$31:$G$400,"animaux"),SUMIFS('Étape 1 - à remplir'!$F$31:$F$400,'Étape 1 - à remplir'!$E$31:$E$400,MASQ2!O423,'Étape 1 - à remplir'!$C$31:$C$400,X$3)),IF(X$2="Âge",IF(X$3="Tous",SUMIFS('Étape 1 - à remplir'!$F$31:$F$400,'Étape 1 - à remplir'!$E$31:$E$400,MASQ2!O423,'Étape 1 - à remplir'!$G$31:$G$400,"animaux"),SUMIFS('Étape 1 - à remplir'!$F$31:$F$400,'Étape 1 - à remplir'!$E$31:$E$400,MASQ2!O423,'Étape 1 - à remplir'!$P$31:$P$400,X$3)),IF(X$2="Atelier",IF(X$3="Tous",SUMIFS('Étape 1 - à remplir'!$F$31:$F$400,'Étape 1 - à remplir'!$E$31:$E$400,MASQ2!O423,'Étape 1 - à remplir'!$G$31:$G$400,"animaux"),SUMIFS('Étape 1 - à remplir'!$F$31:$F$400,'Étape 1 - à remplir'!$E$31:$E$400,MASQ2!O423,'Étape 1 - à remplir'!$O$31:$O$400,X$3)),IF(X$2="Espèce",IF(X$3="Toutes",SUMIFS('Étape 1 - à remplir'!$F$31:$F$400,'Étape 1 - à remplir'!$E$31:$E$400,MASQ2!O423,'Étape 1 - à remplir'!$G$31:$G$400,"animaux"),SUMIFS('Étape 1 - à remplir'!$F$31:$F$400,'Étape 1 - à remplir'!$E$31:$E$400,MASQ2!O423,'Étape 1 - à remplir'!$N$31:$N$400,X$3))))))=0,NA(),IF(X$2="Catégorie",IF(X$3="Toutes",SUMIFS('Étape 1 - à remplir'!$F$31:$F$400,'Étape 1 - à remplir'!$E$31:$E$400,MASQ2!O423,'Étape 1 - à remplir'!$G$31:$G$400,"animaux"),SUMIFS('Étape 1 - à remplir'!$F$31:$F$400,'Étape 1 - à remplir'!$E$31:$E$400,MASQ2!O423,'Étape 1 - à remplir'!$C$31:$C$400,X$3)),IF(X$2="Âge",IF(X$3="Tous",SUMIFS('Étape 1 - à remplir'!$F$31:$F$400,'Étape 1 - à remplir'!$E$31:$E$400,MASQ2!O423,'Étape 1 - à remplir'!$G$31:$G$400,"animaux"),SUMIFS('Étape 1 - à remplir'!$F$31:$F$400,'Étape 1 - à remplir'!$E$31:$E$400,MASQ2!O423,'Étape 1 - à remplir'!$P$31:$P$400,X$3)),IF(X$2="Atelier",IF(X$3="Tous",SUMIFS('Étape 1 - à remplir'!$F$31:$F$400,'Étape 1 - à remplir'!$E$31:$E$400,MASQ2!O423,'Étape 1 - à remplir'!$G$31:$G$400,"animaux"),SUMIFS('Étape 1 - à remplir'!$F$31:$F$400,'Étape 1 - à remplir'!$E$31:$E$400,MASQ2!O423,'Étape 1 - à remplir'!$O$31:$O$400,X$3)),IF(X$2="Espèce",IF(X$3="Toutes",SUMIFS('Étape 1 - à remplir'!$F$31:$F$400,'Étape 1 - à remplir'!$E$31:$E$400,MASQ2!O423,'Étape 1 - à remplir'!$G$31:$G$400,"animaux"),SUMIFS('Étape 1 - à remplir'!$F$31:$F$400,'Étape 1 - à remplir'!$E$31:$E$400,MASQ2!O423,'Étape 1 - à remplir'!$N$31:$N$400,X$3)))))))</f>
        <v>#N/A</v>
      </c>
      <c r="Q423" s="63">
        <f t="shared" si="285"/>
        <v>0</v>
      </c>
      <c r="R423" t="str">
        <f>Données_ATB!BM422</f>
        <v>Pénéthamate (ou pénéthacilline)</v>
      </c>
      <c r="S423" t="str">
        <f>Données_ATB!BN422</f>
        <v/>
      </c>
      <c r="T423" s="63" t="str">
        <f>Données_ATB!BO422</f>
        <v/>
      </c>
      <c r="U423" s="42" t="str">
        <f>Données_ATB!BQ422</f>
        <v>Penicillines</v>
      </c>
      <c r="V423" t="str">
        <f>Données_ATB!BR422</f>
        <v/>
      </c>
      <c r="W423" s="63" t="str">
        <f>Données_ATB!BS422</f>
        <v/>
      </c>
      <c r="Z423" s="42">
        <v>420</v>
      </c>
      <c r="AA423" t="e">
        <f t="shared" si="281"/>
        <v>#N/A</v>
      </c>
      <c r="AB423" s="63" t="e">
        <f t="shared" si="282"/>
        <v>#N/A</v>
      </c>
      <c r="BF423" s="63"/>
      <c r="BT423" s="194" t="str">
        <f t="shared" ca="1" si="265"/>
        <v/>
      </c>
      <c r="BU423" s="219" t="str">
        <f>IFERROR(IF(BX423=0,"",COUNTIF(BX$4:BX$600,"&gt;"&amp;BX423)+COUNTIF(BX$4:BX423,BX423)),"")</f>
        <v/>
      </c>
      <c r="BV423" s="42" t="str">
        <f t="shared" si="266"/>
        <v>REVOZYN RTU 308,8 MG/ML SUSPENSION INJECTABLE POUR BOVINS</v>
      </c>
      <c r="BW423" t="e">
        <f>IF(IF(CE$2="Catégorie",IF(CE$3="Toutes",SUMIFS('Étape 1 - à remplir'!$F$31:$F$400,'Étape 1 - à remplir'!$E$31:$E$400,MASQ2!BV423,'Étape 1 - à remplir'!$G$31:$G$400,"lots"),SUMIFS('Étape 1 - à remplir'!$F$31:$F$400,'Étape 1 - à remplir'!$E$31:$E$400,MASQ2!BV423,'Étape 1 - à remplir'!$C$31:$C$400,CE$3)),IF(CE$2="Âge",IF(CE$3="Tous",SUMIFS('Étape 1 - à remplir'!$F$31:$F$400,'Étape 1 - à remplir'!$E$31:$E$400,MASQ2!BV423,'Étape 1 - à remplir'!$G$31:$G$400,"lots"),SUMIFS('Étape 1 - à remplir'!$F$31:$F$400,'Étape 1 - à remplir'!$E$31:$E$400,MASQ2!BV423,'Étape 1 - à remplir'!$P$31:$P$400,CE$3,'Étape 1 - à remplir'!$G$31:$G$400,"lots")),IF(CE$2="Atelier",IF(CE$3="Tous",SUMIFS('Étape 1 - à remplir'!$F$31:$F$400,'Étape 1 - à remplir'!$E$31:$E$400,MASQ2!BV423,'Étape 1 - à remplir'!$G$31:$G$400,"lots"),SUMIFS('Étape 1 - à remplir'!$F$31:$F$400,'Étape 1 - à remplir'!$E$31:$E$400,MASQ2!BV423,'Étape 1 - à remplir'!$O$31:$O$400,CE$3,'Étape 1 - à remplir'!$G$31:$G$400,"lots")),IF(CE$2="Espèce",IF(CE$3="Toutes",SUMIFS('Étape 1 - à remplir'!$F$31:$F$400,'Étape 1 - à remplir'!$E$31:$E$400,MASQ2!BV423,'Étape 1 - à remplir'!$G$31:$G$400,"lots"),SUMIFS('Étape 1 - à remplir'!$F$31:$F$400,'Étape 1 - à remplir'!$E$31:$E$400,MASQ2!BV423,'Étape 1 - à remplir'!$N$31:$N$400,CE$3,'Étape 1 - à remplir'!$G$31:$G$400,"lots"))))))=0,NA(),IF(CE$2="Catégorie",IF(CE$3="Toutes",SUMIFS('Étape 1 - à remplir'!$F$31:$F$400,'Étape 1 - à remplir'!$E$31:$E$400,MASQ2!BV423,'Étape 1 - à remplir'!$G$31:$G$400,"lots"),SUMIFS('Étape 1 - à remplir'!$F$31:$F$400,'Étape 1 - à remplir'!$E$31:$E$400,MASQ2!BV423,'Étape 1 - à remplir'!$C$31:$C$400,CE$3)),IF(CE$2="Âge",IF(CE$3="Tous",SUMIFS('Étape 1 - à remplir'!$F$31:$F$400,'Étape 1 - à remplir'!$E$31:$E$400,MASQ2!BV423,'Étape 1 - à remplir'!$G$31:$G$400,"lots"),SUMIFS('Étape 1 - à remplir'!$F$31:$F$400,'Étape 1 - à remplir'!$E$31:$E$400,MASQ2!BV423,'Étape 1 - à remplir'!$P$31:$P$400,CE$3,'Étape 1 - à remplir'!$G$31:$G$400,"lots")),IF(CE$2="Atelier",IF(CE$3="Tous",SUMIFS('Étape 1 - à remplir'!$F$31:$F$400,'Étape 1 - à remplir'!$E$31:$E$400,MASQ2!BV423,'Étape 1 - à remplir'!$G$31:$G$400,"lots"),SUMIFS('Étape 1 - à remplir'!$F$31:$F$400,'Étape 1 - à remplir'!$E$31:$E$400,MASQ2!BV423,'Étape 1 - à remplir'!$O$31:$O$400,CE$3,'Étape 1 - à remplir'!$G$31:$G$400,"lots")),IF(CE$2="Espèce",IF(CE$3="Toutes",SUMIFS('Étape 1 - à remplir'!$F$31:$F$400,'Étape 1 - à remplir'!$E$31:$E$400,MASQ2!BV423,'Étape 1 - à remplir'!$G$31:$G$400,"lots"),SUMIFS('Étape 1 - à remplir'!$F$31:$F$400,'Étape 1 - à remplir'!$E$31:$E$400,MASQ2!BV423,'Étape 1 - à remplir'!$N$31:$N$400,CE$3,'Étape 1 - à remplir'!$G$31:$G$400,"lots")))))))</f>
        <v>#N/A</v>
      </c>
      <c r="BX423">
        <f t="shared" si="283"/>
        <v>0</v>
      </c>
      <c r="BY423" t="str">
        <f t="shared" si="267"/>
        <v>Pénéthamate (ou pénéthacilline)</v>
      </c>
      <c r="BZ423" t="str">
        <f t="shared" si="268"/>
        <v/>
      </c>
      <c r="CA423" t="str">
        <f t="shared" si="269"/>
        <v/>
      </c>
      <c r="CB423" t="str">
        <f t="shared" si="270"/>
        <v>Penicillines</v>
      </c>
      <c r="CC423" t="str">
        <f t="shared" si="271"/>
        <v/>
      </c>
      <c r="CD423" s="63" t="str">
        <f t="shared" si="272"/>
        <v/>
      </c>
      <c r="CG423" s="42">
        <v>420</v>
      </c>
      <c r="CH423" s="42" t="e">
        <f t="shared" si="288"/>
        <v>#N/A</v>
      </c>
      <c r="CI423" s="63" t="e">
        <f t="shared" si="289"/>
        <v>#N/A</v>
      </c>
      <c r="DM423" s="63"/>
      <c r="EA423" s="194" t="str">
        <f t="shared" ca="1" si="273"/>
        <v/>
      </c>
      <c r="EB423" s="226" t="str">
        <f>IFERROR(IF(ED423=0,"",COUNTIF(ED$4:ED$600,"&gt;"&amp;ED423)+COUNTIF(ED$4:ED423,ED423)),"")</f>
        <v/>
      </c>
      <c r="EC423" t="str">
        <f t="shared" si="274"/>
        <v>REVOZYN RTU 308,8 MG/ML SUSPENSION INJECTABLE POUR BOVINS</v>
      </c>
      <c r="ED423" t="e">
        <f>IF(IF(EL$2="Catégorie",IF(EL$3="Toutes",SUMIFS('Étape 1 - à remplir'!$F$31:$F$400,'Étape 1 - à remplir'!$E$31:$E$400,MASQ2!EC423,'Étape 1 - à remplir'!$G$31:$G$400,"kg"),SUMIFS('Étape 1 - à remplir'!$F$31:$F$400,'Étape 1 - à remplir'!$E$31:$E$400,MASQ2!EC423,'Étape 1 - à remplir'!$C$31:$C$400,EL$3)),IF(EL$2="Âge",IF(EL$3="Tous",SUMIFS('Étape 1 - à remplir'!$F$31:$F$400,'Étape 1 - à remplir'!$E$31:$E$400,MASQ2!EC423,'Étape 1 - à remplir'!$G$31:$G$400,"kg"),SUMIFS('Étape 1 - à remplir'!$F$31:$F$400,'Étape 1 - à remplir'!$E$31:$E$400,MASQ2!EC423,'Étape 1 - à remplir'!$P$31:$P$400,EL$3,'Étape 1 - à remplir'!$G$31:$G$400,"kg")),IF(EL$2="Atelier",IF(EL$3="Tous",SUMIFS('Étape 1 - à remplir'!$F$31:$F$400,'Étape 1 - à remplir'!$E$31:$E$400,MASQ2!EC423,'Étape 1 - à remplir'!$G$31:$G$400,"kg"),SUMIFS('Étape 1 - à remplir'!$F$31:$F$400,'Étape 1 - à remplir'!$E$31:$E$400,MASQ2!EC423,'Étape 1 - à remplir'!$O$31:$O$400,EL$3,'Étape 1 - à remplir'!$G$31:$G$400,"kg")),IF(EL$2="Espèce",IF(EL$3="Toutes",SUMIFS('Étape 1 - à remplir'!$F$31:$F$400,'Étape 1 - à remplir'!$E$31:$E$400,MASQ2!EC423,'Étape 1 - à remplir'!$G$31:$G$400,"kg"),SUMIFS('Étape 1 - à remplir'!$F$31:$F$400,'Étape 1 - à remplir'!$E$31:$E$400,MASQ2!EC423,'Étape 1 - à remplir'!$N$31:$N$400,EL$3,'Étape 1 - à remplir'!$G$31:$G$400,"kg"))))))=0,NA(),IF(EL$2="Catégorie",IF(EL$3="Toutes",SUMIFS('Étape 1 - à remplir'!$F$31:$F$400,'Étape 1 - à remplir'!$E$31:$E$400,MASQ2!EC423,'Étape 1 - à remplir'!$G$31:$G$400,"kg"),SUMIFS('Étape 1 - à remplir'!$F$31:$F$400,'Étape 1 - à remplir'!$E$31:$E$400,MASQ2!EC423,'Étape 1 - à remplir'!$C$31:$C$400,EL$3)),IF(EL$2="Âge",IF(EL$3="Tous",SUMIFS('Étape 1 - à remplir'!$F$31:$F$400,'Étape 1 - à remplir'!$E$31:$E$400,MASQ2!EC423,'Étape 1 - à remplir'!$G$31:$G$400,"kg"),SUMIFS('Étape 1 - à remplir'!$F$31:$F$400,'Étape 1 - à remplir'!$E$31:$E$400,MASQ2!EC423,'Étape 1 - à remplir'!$P$31:$P$400,EL$3,'Étape 1 - à remplir'!$G$31:$G$400,"kg")),IF(EL$2="Atelier",IF(EL$3="Tous",SUMIFS('Étape 1 - à remplir'!$F$31:$F$400,'Étape 1 - à remplir'!$E$31:$E$400,MASQ2!EC423,'Étape 1 - à remplir'!$G$31:$G$400,"kg"),SUMIFS('Étape 1 - à remplir'!$F$31:$F$400,'Étape 1 - à remplir'!$E$31:$E$400,MASQ2!EC423,'Étape 1 - à remplir'!$O$31:$O$400,EL$3,'Étape 1 - à remplir'!$G$31:$G$400,"kg")),IF(EL$2="Espèce",IF(EL$3="Toutes",SUMIFS('Étape 1 - à remplir'!$F$31:$F$400,'Étape 1 - à remplir'!$E$31:$E$400,MASQ2!EC423,'Étape 1 - à remplir'!$G$31:$G$400,"kg"),SUMIFS('Étape 1 - à remplir'!$F$31:$F$400,'Étape 1 - à remplir'!$E$31:$E$400,MASQ2!EC423,'Étape 1 - à remplir'!$N$31:$N$400,EL$3,'Étape 1 - à remplir'!$G$31:$G$400,"kg")))))))</f>
        <v>#N/A</v>
      </c>
      <c r="EE423" s="76">
        <f t="shared" si="284"/>
        <v>0</v>
      </c>
      <c r="EF423" t="str">
        <f t="shared" si="275"/>
        <v>Pénéthamate (ou pénéthacilline)</v>
      </c>
      <c r="EG423" t="str">
        <f t="shared" si="276"/>
        <v/>
      </c>
      <c r="EH423" t="str">
        <f t="shared" si="277"/>
        <v/>
      </c>
      <c r="EI423" t="str">
        <f t="shared" si="278"/>
        <v>Penicillines</v>
      </c>
      <c r="EJ423" t="str">
        <f t="shared" si="279"/>
        <v/>
      </c>
      <c r="EK423" s="63" t="str">
        <f t="shared" si="280"/>
        <v/>
      </c>
      <c r="EN423" s="42">
        <v>420</v>
      </c>
      <c r="EO423" t="e">
        <f t="shared" si="286"/>
        <v>#N/A</v>
      </c>
      <c r="EP423" s="63" t="e">
        <f t="shared" si="287"/>
        <v>#N/A</v>
      </c>
      <c r="FT423" s="63"/>
    </row>
    <row r="424" spans="2:176" x14ac:dyDescent="0.3">
      <c r="B424" s="42"/>
      <c r="M424" s="194" t="str">
        <f ca="1">INDEX(Données_ATB!BD:BU,MATCH(MASQ2!O424,Données_ATB!BD:BD,0),18)</f>
        <v/>
      </c>
      <c r="N424" s="14" t="str">
        <f>IFERROR(IF(Q424=0,"",COUNTIF(Q$4:Q$600,"&gt;"&amp;Q424)+COUNTIF(Q$4:Q424,Q424)),"")</f>
        <v/>
      </c>
      <c r="O424" t="str">
        <f>Données_ATB!BD423</f>
        <v>RHEMOX 435,6 MG/G POUDRE POUR ADMINISTRATION DANS L'EAU DE BOISSON POUR PORCINS, POULES, CANARDS, ET DINDES</v>
      </c>
      <c r="P424" t="e">
        <f>IF(IF(X$2="Catégorie",IF(X$3="Toutes",SUMIFS('Étape 1 - à remplir'!$F$31:$F$400,'Étape 1 - à remplir'!$E$31:$E$400,MASQ2!O424,'Étape 1 - à remplir'!$G$31:$G$400,"animaux"),SUMIFS('Étape 1 - à remplir'!$F$31:$F$400,'Étape 1 - à remplir'!$E$31:$E$400,MASQ2!O424,'Étape 1 - à remplir'!$C$31:$C$400,X$3)),IF(X$2="Âge",IF(X$3="Tous",SUMIFS('Étape 1 - à remplir'!$F$31:$F$400,'Étape 1 - à remplir'!$E$31:$E$400,MASQ2!O424,'Étape 1 - à remplir'!$G$31:$G$400,"animaux"),SUMIFS('Étape 1 - à remplir'!$F$31:$F$400,'Étape 1 - à remplir'!$E$31:$E$400,MASQ2!O424,'Étape 1 - à remplir'!$P$31:$P$400,X$3)),IF(X$2="Atelier",IF(X$3="Tous",SUMIFS('Étape 1 - à remplir'!$F$31:$F$400,'Étape 1 - à remplir'!$E$31:$E$400,MASQ2!O424,'Étape 1 - à remplir'!$G$31:$G$400,"animaux"),SUMIFS('Étape 1 - à remplir'!$F$31:$F$400,'Étape 1 - à remplir'!$E$31:$E$400,MASQ2!O424,'Étape 1 - à remplir'!$O$31:$O$400,X$3)),IF(X$2="Espèce",IF(X$3="Toutes",SUMIFS('Étape 1 - à remplir'!$F$31:$F$400,'Étape 1 - à remplir'!$E$31:$E$400,MASQ2!O424,'Étape 1 - à remplir'!$G$31:$G$400,"animaux"),SUMIFS('Étape 1 - à remplir'!$F$31:$F$400,'Étape 1 - à remplir'!$E$31:$E$400,MASQ2!O424,'Étape 1 - à remplir'!$N$31:$N$400,X$3))))))=0,NA(),IF(X$2="Catégorie",IF(X$3="Toutes",SUMIFS('Étape 1 - à remplir'!$F$31:$F$400,'Étape 1 - à remplir'!$E$31:$E$400,MASQ2!O424,'Étape 1 - à remplir'!$G$31:$G$400,"animaux"),SUMIFS('Étape 1 - à remplir'!$F$31:$F$400,'Étape 1 - à remplir'!$E$31:$E$400,MASQ2!O424,'Étape 1 - à remplir'!$C$31:$C$400,X$3)),IF(X$2="Âge",IF(X$3="Tous",SUMIFS('Étape 1 - à remplir'!$F$31:$F$400,'Étape 1 - à remplir'!$E$31:$E$400,MASQ2!O424,'Étape 1 - à remplir'!$G$31:$G$400,"animaux"),SUMIFS('Étape 1 - à remplir'!$F$31:$F$400,'Étape 1 - à remplir'!$E$31:$E$400,MASQ2!O424,'Étape 1 - à remplir'!$P$31:$P$400,X$3)),IF(X$2="Atelier",IF(X$3="Tous",SUMIFS('Étape 1 - à remplir'!$F$31:$F$400,'Étape 1 - à remplir'!$E$31:$E$400,MASQ2!O424,'Étape 1 - à remplir'!$G$31:$G$400,"animaux"),SUMIFS('Étape 1 - à remplir'!$F$31:$F$400,'Étape 1 - à remplir'!$E$31:$E$400,MASQ2!O424,'Étape 1 - à remplir'!$O$31:$O$400,X$3)),IF(X$2="Espèce",IF(X$3="Toutes",SUMIFS('Étape 1 - à remplir'!$F$31:$F$400,'Étape 1 - à remplir'!$E$31:$E$400,MASQ2!O424,'Étape 1 - à remplir'!$G$31:$G$400,"animaux"),SUMIFS('Étape 1 - à remplir'!$F$31:$F$400,'Étape 1 - à remplir'!$E$31:$E$400,MASQ2!O424,'Étape 1 - à remplir'!$N$31:$N$400,X$3)))))))</f>
        <v>#N/A</v>
      </c>
      <c r="Q424" s="63">
        <f t="shared" si="285"/>
        <v>0</v>
      </c>
      <c r="R424" t="str">
        <f>Données_ATB!BM423</f>
        <v>Amoxicilline</v>
      </c>
      <c r="S424" t="str">
        <f>Données_ATB!BN423</f>
        <v/>
      </c>
      <c r="T424" s="63" t="str">
        <f>Données_ATB!BO423</f>
        <v/>
      </c>
      <c r="U424" s="42" t="str">
        <f>Données_ATB!BQ423</f>
        <v>Penicillines</v>
      </c>
      <c r="V424" t="str">
        <f>Données_ATB!BR423</f>
        <v/>
      </c>
      <c r="W424" s="63" t="str">
        <f>Données_ATB!BS423</f>
        <v/>
      </c>
      <c r="Z424" s="42">
        <v>421</v>
      </c>
      <c r="AA424" t="e">
        <f t="shared" si="281"/>
        <v>#N/A</v>
      </c>
      <c r="AB424" s="63" t="e">
        <f t="shared" si="282"/>
        <v>#N/A</v>
      </c>
      <c r="BF424" s="63"/>
      <c r="BT424" s="194" t="str">
        <f t="shared" ca="1" si="265"/>
        <v/>
      </c>
      <c r="BU424" s="219" t="str">
        <f>IFERROR(IF(BX424=0,"",COUNTIF(BX$4:BX$600,"&gt;"&amp;BX424)+COUNTIF(BX$4:BX424,BX424)),"")</f>
        <v/>
      </c>
      <c r="BV424" s="42" t="str">
        <f t="shared" si="266"/>
        <v>RHEMOX 435,6 MG/G POUDRE POUR ADMINISTRATION DANS L'EAU DE BOISSON POUR PORCINS, POULES, CANARDS, ET DINDES</v>
      </c>
      <c r="BW424" t="e">
        <f>IF(IF(CE$2="Catégorie",IF(CE$3="Toutes",SUMIFS('Étape 1 - à remplir'!$F$31:$F$400,'Étape 1 - à remplir'!$E$31:$E$400,MASQ2!BV424,'Étape 1 - à remplir'!$G$31:$G$400,"lots"),SUMIFS('Étape 1 - à remplir'!$F$31:$F$400,'Étape 1 - à remplir'!$E$31:$E$400,MASQ2!BV424,'Étape 1 - à remplir'!$C$31:$C$400,CE$3)),IF(CE$2="Âge",IF(CE$3="Tous",SUMIFS('Étape 1 - à remplir'!$F$31:$F$400,'Étape 1 - à remplir'!$E$31:$E$400,MASQ2!BV424,'Étape 1 - à remplir'!$G$31:$G$400,"lots"),SUMIFS('Étape 1 - à remplir'!$F$31:$F$400,'Étape 1 - à remplir'!$E$31:$E$400,MASQ2!BV424,'Étape 1 - à remplir'!$P$31:$P$400,CE$3,'Étape 1 - à remplir'!$G$31:$G$400,"lots")),IF(CE$2="Atelier",IF(CE$3="Tous",SUMIFS('Étape 1 - à remplir'!$F$31:$F$400,'Étape 1 - à remplir'!$E$31:$E$400,MASQ2!BV424,'Étape 1 - à remplir'!$G$31:$G$400,"lots"),SUMIFS('Étape 1 - à remplir'!$F$31:$F$400,'Étape 1 - à remplir'!$E$31:$E$400,MASQ2!BV424,'Étape 1 - à remplir'!$O$31:$O$400,CE$3,'Étape 1 - à remplir'!$G$31:$G$400,"lots")),IF(CE$2="Espèce",IF(CE$3="Toutes",SUMIFS('Étape 1 - à remplir'!$F$31:$F$400,'Étape 1 - à remplir'!$E$31:$E$400,MASQ2!BV424,'Étape 1 - à remplir'!$G$31:$G$400,"lots"),SUMIFS('Étape 1 - à remplir'!$F$31:$F$400,'Étape 1 - à remplir'!$E$31:$E$400,MASQ2!BV424,'Étape 1 - à remplir'!$N$31:$N$400,CE$3,'Étape 1 - à remplir'!$G$31:$G$400,"lots"))))))=0,NA(),IF(CE$2="Catégorie",IF(CE$3="Toutes",SUMIFS('Étape 1 - à remplir'!$F$31:$F$400,'Étape 1 - à remplir'!$E$31:$E$400,MASQ2!BV424,'Étape 1 - à remplir'!$G$31:$G$400,"lots"),SUMIFS('Étape 1 - à remplir'!$F$31:$F$400,'Étape 1 - à remplir'!$E$31:$E$400,MASQ2!BV424,'Étape 1 - à remplir'!$C$31:$C$400,CE$3)),IF(CE$2="Âge",IF(CE$3="Tous",SUMIFS('Étape 1 - à remplir'!$F$31:$F$400,'Étape 1 - à remplir'!$E$31:$E$400,MASQ2!BV424,'Étape 1 - à remplir'!$G$31:$G$400,"lots"),SUMIFS('Étape 1 - à remplir'!$F$31:$F$400,'Étape 1 - à remplir'!$E$31:$E$400,MASQ2!BV424,'Étape 1 - à remplir'!$P$31:$P$400,CE$3,'Étape 1 - à remplir'!$G$31:$G$400,"lots")),IF(CE$2="Atelier",IF(CE$3="Tous",SUMIFS('Étape 1 - à remplir'!$F$31:$F$400,'Étape 1 - à remplir'!$E$31:$E$400,MASQ2!BV424,'Étape 1 - à remplir'!$G$31:$G$400,"lots"),SUMIFS('Étape 1 - à remplir'!$F$31:$F$400,'Étape 1 - à remplir'!$E$31:$E$400,MASQ2!BV424,'Étape 1 - à remplir'!$O$31:$O$400,CE$3,'Étape 1 - à remplir'!$G$31:$G$400,"lots")),IF(CE$2="Espèce",IF(CE$3="Toutes",SUMIFS('Étape 1 - à remplir'!$F$31:$F$400,'Étape 1 - à remplir'!$E$31:$E$400,MASQ2!BV424,'Étape 1 - à remplir'!$G$31:$G$400,"lots"),SUMIFS('Étape 1 - à remplir'!$F$31:$F$400,'Étape 1 - à remplir'!$E$31:$E$400,MASQ2!BV424,'Étape 1 - à remplir'!$N$31:$N$400,CE$3,'Étape 1 - à remplir'!$G$31:$G$400,"lots")))))))</f>
        <v>#N/A</v>
      </c>
      <c r="BX424">
        <f t="shared" si="283"/>
        <v>0</v>
      </c>
      <c r="BY424" t="str">
        <f t="shared" si="267"/>
        <v>Amoxicilline</v>
      </c>
      <c r="BZ424" t="str">
        <f t="shared" si="268"/>
        <v/>
      </c>
      <c r="CA424" t="str">
        <f t="shared" si="269"/>
        <v/>
      </c>
      <c r="CB424" t="str">
        <f t="shared" si="270"/>
        <v>Penicillines</v>
      </c>
      <c r="CC424" t="str">
        <f t="shared" si="271"/>
        <v/>
      </c>
      <c r="CD424" s="63" t="str">
        <f t="shared" si="272"/>
        <v/>
      </c>
      <c r="CG424" s="42">
        <v>421</v>
      </c>
      <c r="CH424" s="42" t="e">
        <f t="shared" si="288"/>
        <v>#N/A</v>
      </c>
      <c r="CI424" s="63" t="e">
        <f t="shared" si="289"/>
        <v>#N/A</v>
      </c>
      <c r="DM424" s="63"/>
      <c r="EA424" s="194" t="str">
        <f t="shared" ca="1" si="273"/>
        <v/>
      </c>
      <c r="EB424" s="226" t="str">
        <f>IFERROR(IF(ED424=0,"",COUNTIF(ED$4:ED$600,"&gt;"&amp;ED424)+COUNTIF(ED$4:ED424,ED424)),"")</f>
        <v/>
      </c>
      <c r="EC424" t="str">
        <f t="shared" si="274"/>
        <v>RHEMOX 435,6 MG/G POUDRE POUR ADMINISTRATION DANS L'EAU DE BOISSON POUR PORCINS, POULES, CANARDS, ET DINDES</v>
      </c>
      <c r="ED424" t="e">
        <f>IF(IF(EL$2="Catégorie",IF(EL$3="Toutes",SUMIFS('Étape 1 - à remplir'!$F$31:$F$400,'Étape 1 - à remplir'!$E$31:$E$400,MASQ2!EC424,'Étape 1 - à remplir'!$G$31:$G$400,"kg"),SUMIFS('Étape 1 - à remplir'!$F$31:$F$400,'Étape 1 - à remplir'!$E$31:$E$400,MASQ2!EC424,'Étape 1 - à remplir'!$C$31:$C$400,EL$3)),IF(EL$2="Âge",IF(EL$3="Tous",SUMIFS('Étape 1 - à remplir'!$F$31:$F$400,'Étape 1 - à remplir'!$E$31:$E$400,MASQ2!EC424,'Étape 1 - à remplir'!$G$31:$G$400,"kg"),SUMIFS('Étape 1 - à remplir'!$F$31:$F$400,'Étape 1 - à remplir'!$E$31:$E$400,MASQ2!EC424,'Étape 1 - à remplir'!$P$31:$P$400,EL$3,'Étape 1 - à remplir'!$G$31:$G$400,"kg")),IF(EL$2="Atelier",IF(EL$3="Tous",SUMIFS('Étape 1 - à remplir'!$F$31:$F$400,'Étape 1 - à remplir'!$E$31:$E$400,MASQ2!EC424,'Étape 1 - à remplir'!$G$31:$G$400,"kg"),SUMIFS('Étape 1 - à remplir'!$F$31:$F$400,'Étape 1 - à remplir'!$E$31:$E$400,MASQ2!EC424,'Étape 1 - à remplir'!$O$31:$O$400,EL$3,'Étape 1 - à remplir'!$G$31:$G$400,"kg")),IF(EL$2="Espèce",IF(EL$3="Toutes",SUMIFS('Étape 1 - à remplir'!$F$31:$F$400,'Étape 1 - à remplir'!$E$31:$E$400,MASQ2!EC424,'Étape 1 - à remplir'!$G$31:$G$400,"kg"),SUMIFS('Étape 1 - à remplir'!$F$31:$F$400,'Étape 1 - à remplir'!$E$31:$E$400,MASQ2!EC424,'Étape 1 - à remplir'!$N$31:$N$400,EL$3,'Étape 1 - à remplir'!$G$31:$G$400,"kg"))))))=0,NA(),IF(EL$2="Catégorie",IF(EL$3="Toutes",SUMIFS('Étape 1 - à remplir'!$F$31:$F$400,'Étape 1 - à remplir'!$E$31:$E$400,MASQ2!EC424,'Étape 1 - à remplir'!$G$31:$G$400,"kg"),SUMIFS('Étape 1 - à remplir'!$F$31:$F$400,'Étape 1 - à remplir'!$E$31:$E$400,MASQ2!EC424,'Étape 1 - à remplir'!$C$31:$C$400,EL$3)),IF(EL$2="Âge",IF(EL$3="Tous",SUMIFS('Étape 1 - à remplir'!$F$31:$F$400,'Étape 1 - à remplir'!$E$31:$E$400,MASQ2!EC424,'Étape 1 - à remplir'!$G$31:$G$400,"kg"),SUMIFS('Étape 1 - à remplir'!$F$31:$F$400,'Étape 1 - à remplir'!$E$31:$E$400,MASQ2!EC424,'Étape 1 - à remplir'!$P$31:$P$400,EL$3,'Étape 1 - à remplir'!$G$31:$G$400,"kg")),IF(EL$2="Atelier",IF(EL$3="Tous",SUMIFS('Étape 1 - à remplir'!$F$31:$F$400,'Étape 1 - à remplir'!$E$31:$E$400,MASQ2!EC424,'Étape 1 - à remplir'!$G$31:$G$400,"kg"),SUMIFS('Étape 1 - à remplir'!$F$31:$F$400,'Étape 1 - à remplir'!$E$31:$E$400,MASQ2!EC424,'Étape 1 - à remplir'!$O$31:$O$400,EL$3,'Étape 1 - à remplir'!$G$31:$G$400,"kg")),IF(EL$2="Espèce",IF(EL$3="Toutes",SUMIFS('Étape 1 - à remplir'!$F$31:$F$400,'Étape 1 - à remplir'!$E$31:$E$400,MASQ2!EC424,'Étape 1 - à remplir'!$G$31:$G$400,"kg"),SUMIFS('Étape 1 - à remplir'!$F$31:$F$400,'Étape 1 - à remplir'!$E$31:$E$400,MASQ2!EC424,'Étape 1 - à remplir'!$N$31:$N$400,EL$3,'Étape 1 - à remplir'!$G$31:$G$400,"kg")))))))</f>
        <v>#N/A</v>
      </c>
      <c r="EE424" s="76">
        <f t="shared" si="284"/>
        <v>0</v>
      </c>
      <c r="EF424" t="str">
        <f t="shared" si="275"/>
        <v>Amoxicilline</v>
      </c>
      <c r="EG424" t="str">
        <f t="shared" si="276"/>
        <v/>
      </c>
      <c r="EH424" t="str">
        <f t="shared" si="277"/>
        <v/>
      </c>
      <c r="EI424" t="str">
        <f t="shared" si="278"/>
        <v>Penicillines</v>
      </c>
      <c r="EJ424" t="str">
        <f t="shared" si="279"/>
        <v/>
      </c>
      <c r="EK424" s="63" t="str">
        <f t="shared" si="280"/>
        <v/>
      </c>
      <c r="EN424" s="42">
        <v>421</v>
      </c>
      <c r="EO424" t="e">
        <f t="shared" si="286"/>
        <v>#N/A</v>
      </c>
      <c r="EP424" s="63" t="e">
        <f t="shared" si="287"/>
        <v>#N/A</v>
      </c>
      <c r="FT424" s="63"/>
    </row>
    <row r="425" spans="2:176" x14ac:dyDescent="0.3">
      <c r="B425" s="42"/>
      <c r="M425" s="194" t="str">
        <f ca="1">INDEX(Données_ATB!BD:BU,MATCH(MASQ2!O425,Données_ATB!BD:BD,0),18)</f>
        <v/>
      </c>
      <c r="N425" s="14" t="str">
        <f>IFERROR(IF(Q425=0,"",COUNTIF(Q$4:Q$600,"&gt;"&amp;Q425)+COUNTIF(Q$4:Q425,Q425)),"")</f>
        <v/>
      </c>
      <c r="O425" t="str">
        <f>Données_ATB!BD424</f>
        <v>RILEXINE H.L.</v>
      </c>
      <c r="P425" t="e">
        <f>IF(IF(X$2="Catégorie",IF(X$3="Toutes",SUMIFS('Étape 1 - à remplir'!$F$31:$F$400,'Étape 1 - à remplir'!$E$31:$E$400,MASQ2!O425,'Étape 1 - à remplir'!$G$31:$G$400,"animaux"),SUMIFS('Étape 1 - à remplir'!$F$31:$F$400,'Étape 1 - à remplir'!$E$31:$E$400,MASQ2!O425,'Étape 1 - à remplir'!$C$31:$C$400,X$3)),IF(X$2="Âge",IF(X$3="Tous",SUMIFS('Étape 1 - à remplir'!$F$31:$F$400,'Étape 1 - à remplir'!$E$31:$E$400,MASQ2!O425,'Étape 1 - à remplir'!$G$31:$G$400,"animaux"),SUMIFS('Étape 1 - à remplir'!$F$31:$F$400,'Étape 1 - à remplir'!$E$31:$E$400,MASQ2!O425,'Étape 1 - à remplir'!$P$31:$P$400,X$3)),IF(X$2="Atelier",IF(X$3="Tous",SUMIFS('Étape 1 - à remplir'!$F$31:$F$400,'Étape 1 - à remplir'!$E$31:$E$400,MASQ2!O425,'Étape 1 - à remplir'!$G$31:$G$400,"animaux"),SUMIFS('Étape 1 - à remplir'!$F$31:$F$400,'Étape 1 - à remplir'!$E$31:$E$400,MASQ2!O425,'Étape 1 - à remplir'!$O$31:$O$400,X$3)),IF(X$2="Espèce",IF(X$3="Toutes",SUMIFS('Étape 1 - à remplir'!$F$31:$F$400,'Étape 1 - à remplir'!$E$31:$E$400,MASQ2!O425,'Étape 1 - à remplir'!$G$31:$G$400,"animaux"),SUMIFS('Étape 1 - à remplir'!$F$31:$F$400,'Étape 1 - à remplir'!$E$31:$E$400,MASQ2!O425,'Étape 1 - à remplir'!$N$31:$N$400,X$3))))))=0,NA(),IF(X$2="Catégorie",IF(X$3="Toutes",SUMIFS('Étape 1 - à remplir'!$F$31:$F$400,'Étape 1 - à remplir'!$E$31:$E$400,MASQ2!O425,'Étape 1 - à remplir'!$G$31:$G$400,"animaux"),SUMIFS('Étape 1 - à remplir'!$F$31:$F$400,'Étape 1 - à remplir'!$E$31:$E$400,MASQ2!O425,'Étape 1 - à remplir'!$C$31:$C$400,X$3)),IF(X$2="Âge",IF(X$3="Tous",SUMIFS('Étape 1 - à remplir'!$F$31:$F$400,'Étape 1 - à remplir'!$E$31:$E$400,MASQ2!O425,'Étape 1 - à remplir'!$G$31:$G$400,"animaux"),SUMIFS('Étape 1 - à remplir'!$F$31:$F$400,'Étape 1 - à remplir'!$E$31:$E$400,MASQ2!O425,'Étape 1 - à remplir'!$P$31:$P$400,X$3)),IF(X$2="Atelier",IF(X$3="Tous",SUMIFS('Étape 1 - à remplir'!$F$31:$F$400,'Étape 1 - à remplir'!$E$31:$E$400,MASQ2!O425,'Étape 1 - à remplir'!$G$31:$G$400,"animaux"),SUMIFS('Étape 1 - à remplir'!$F$31:$F$400,'Étape 1 - à remplir'!$E$31:$E$400,MASQ2!O425,'Étape 1 - à remplir'!$O$31:$O$400,X$3)),IF(X$2="Espèce",IF(X$3="Toutes",SUMIFS('Étape 1 - à remplir'!$F$31:$F$400,'Étape 1 - à remplir'!$E$31:$E$400,MASQ2!O425,'Étape 1 - à remplir'!$G$31:$G$400,"animaux"),SUMIFS('Étape 1 - à remplir'!$F$31:$F$400,'Étape 1 - à remplir'!$E$31:$E$400,MASQ2!O425,'Étape 1 - à remplir'!$N$31:$N$400,X$3)))))))</f>
        <v>#N/A</v>
      </c>
      <c r="Q425" s="63">
        <f t="shared" si="285"/>
        <v>0</v>
      </c>
      <c r="R425" t="str">
        <f>Données_ATB!BM424</f>
        <v>Céfalexine</v>
      </c>
      <c r="S425" t="str">
        <f>Données_ATB!BN424</f>
        <v/>
      </c>
      <c r="T425" s="63" t="str">
        <f>Données_ATB!BO424</f>
        <v/>
      </c>
      <c r="U425" s="42" t="str">
        <f>Données_ATB!BQ424</f>
        <v>Cephalosporines 1&amp;2G</v>
      </c>
      <c r="V425" t="str">
        <f>Données_ATB!BR424</f>
        <v/>
      </c>
      <c r="W425" s="63" t="str">
        <f>Données_ATB!BS424</f>
        <v/>
      </c>
      <c r="Z425" s="42">
        <v>422</v>
      </c>
      <c r="AA425" t="e">
        <f t="shared" si="281"/>
        <v>#N/A</v>
      </c>
      <c r="AB425" s="63" t="e">
        <f t="shared" si="282"/>
        <v>#N/A</v>
      </c>
      <c r="BF425" s="63"/>
      <c r="BT425" s="194" t="str">
        <f t="shared" ca="1" si="265"/>
        <v/>
      </c>
      <c r="BU425" s="219" t="str">
        <f>IFERROR(IF(BX425=0,"",COUNTIF(BX$4:BX$600,"&gt;"&amp;BX425)+COUNTIF(BX$4:BX425,BX425)),"")</f>
        <v/>
      </c>
      <c r="BV425" s="42" t="str">
        <f t="shared" si="266"/>
        <v>RILEXINE H.L.</v>
      </c>
      <c r="BW425" t="e">
        <f>IF(IF(CE$2="Catégorie",IF(CE$3="Toutes",SUMIFS('Étape 1 - à remplir'!$F$31:$F$400,'Étape 1 - à remplir'!$E$31:$E$400,MASQ2!BV425,'Étape 1 - à remplir'!$G$31:$G$400,"lots"),SUMIFS('Étape 1 - à remplir'!$F$31:$F$400,'Étape 1 - à remplir'!$E$31:$E$400,MASQ2!BV425,'Étape 1 - à remplir'!$C$31:$C$400,CE$3)),IF(CE$2="Âge",IF(CE$3="Tous",SUMIFS('Étape 1 - à remplir'!$F$31:$F$400,'Étape 1 - à remplir'!$E$31:$E$400,MASQ2!BV425,'Étape 1 - à remplir'!$G$31:$G$400,"lots"),SUMIFS('Étape 1 - à remplir'!$F$31:$F$400,'Étape 1 - à remplir'!$E$31:$E$400,MASQ2!BV425,'Étape 1 - à remplir'!$P$31:$P$400,CE$3,'Étape 1 - à remplir'!$G$31:$G$400,"lots")),IF(CE$2="Atelier",IF(CE$3="Tous",SUMIFS('Étape 1 - à remplir'!$F$31:$F$400,'Étape 1 - à remplir'!$E$31:$E$400,MASQ2!BV425,'Étape 1 - à remplir'!$G$31:$G$400,"lots"),SUMIFS('Étape 1 - à remplir'!$F$31:$F$400,'Étape 1 - à remplir'!$E$31:$E$400,MASQ2!BV425,'Étape 1 - à remplir'!$O$31:$O$400,CE$3,'Étape 1 - à remplir'!$G$31:$G$400,"lots")),IF(CE$2="Espèce",IF(CE$3="Toutes",SUMIFS('Étape 1 - à remplir'!$F$31:$F$400,'Étape 1 - à remplir'!$E$31:$E$400,MASQ2!BV425,'Étape 1 - à remplir'!$G$31:$G$400,"lots"),SUMIFS('Étape 1 - à remplir'!$F$31:$F$400,'Étape 1 - à remplir'!$E$31:$E$400,MASQ2!BV425,'Étape 1 - à remplir'!$N$31:$N$400,CE$3,'Étape 1 - à remplir'!$G$31:$G$400,"lots"))))))=0,NA(),IF(CE$2="Catégorie",IF(CE$3="Toutes",SUMIFS('Étape 1 - à remplir'!$F$31:$F$400,'Étape 1 - à remplir'!$E$31:$E$400,MASQ2!BV425,'Étape 1 - à remplir'!$G$31:$G$400,"lots"),SUMIFS('Étape 1 - à remplir'!$F$31:$F$400,'Étape 1 - à remplir'!$E$31:$E$400,MASQ2!BV425,'Étape 1 - à remplir'!$C$31:$C$400,CE$3)),IF(CE$2="Âge",IF(CE$3="Tous",SUMIFS('Étape 1 - à remplir'!$F$31:$F$400,'Étape 1 - à remplir'!$E$31:$E$400,MASQ2!BV425,'Étape 1 - à remplir'!$G$31:$G$400,"lots"),SUMIFS('Étape 1 - à remplir'!$F$31:$F$400,'Étape 1 - à remplir'!$E$31:$E$400,MASQ2!BV425,'Étape 1 - à remplir'!$P$31:$P$400,CE$3,'Étape 1 - à remplir'!$G$31:$G$400,"lots")),IF(CE$2="Atelier",IF(CE$3="Tous",SUMIFS('Étape 1 - à remplir'!$F$31:$F$400,'Étape 1 - à remplir'!$E$31:$E$400,MASQ2!BV425,'Étape 1 - à remplir'!$G$31:$G$400,"lots"),SUMIFS('Étape 1 - à remplir'!$F$31:$F$400,'Étape 1 - à remplir'!$E$31:$E$400,MASQ2!BV425,'Étape 1 - à remplir'!$O$31:$O$400,CE$3,'Étape 1 - à remplir'!$G$31:$G$400,"lots")),IF(CE$2="Espèce",IF(CE$3="Toutes",SUMIFS('Étape 1 - à remplir'!$F$31:$F$400,'Étape 1 - à remplir'!$E$31:$E$400,MASQ2!BV425,'Étape 1 - à remplir'!$G$31:$G$400,"lots"),SUMIFS('Étape 1 - à remplir'!$F$31:$F$400,'Étape 1 - à remplir'!$E$31:$E$400,MASQ2!BV425,'Étape 1 - à remplir'!$N$31:$N$400,CE$3,'Étape 1 - à remplir'!$G$31:$G$400,"lots")))))))</f>
        <v>#N/A</v>
      </c>
      <c r="BX425">
        <f t="shared" si="283"/>
        <v>0</v>
      </c>
      <c r="BY425" t="str">
        <f t="shared" si="267"/>
        <v>Céfalexine</v>
      </c>
      <c r="BZ425" t="str">
        <f t="shared" si="268"/>
        <v/>
      </c>
      <c r="CA425" t="str">
        <f t="shared" si="269"/>
        <v/>
      </c>
      <c r="CB425" t="str">
        <f t="shared" si="270"/>
        <v>Cephalosporines 1&amp;2G</v>
      </c>
      <c r="CC425" t="str">
        <f t="shared" si="271"/>
        <v/>
      </c>
      <c r="CD425" s="63" t="str">
        <f t="shared" si="272"/>
        <v/>
      </c>
      <c r="CG425" s="42">
        <v>422</v>
      </c>
      <c r="CH425" s="42" t="e">
        <f t="shared" si="288"/>
        <v>#N/A</v>
      </c>
      <c r="CI425" s="63" t="e">
        <f t="shared" si="289"/>
        <v>#N/A</v>
      </c>
      <c r="DM425" s="63"/>
      <c r="EA425" s="194" t="str">
        <f t="shared" ca="1" si="273"/>
        <v/>
      </c>
      <c r="EB425" s="226" t="str">
        <f>IFERROR(IF(ED425=0,"",COUNTIF(ED$4:ED$600,"&gt;"&amp;ED425)+COUNTIF(ED$4:ED425,ED425)),"")</f>
        <v/>
      </c>
      <c r="EC425" t="str">
        <f t="shared" si="274"/>
        <v>RILEXINE H.L.</v>
      </c>
      <c r="ED425" t="e">
        <f>IF(IF(EL$2="Catégorie",IF(EL$3="Toutes",SUMIFS('Étape 1 - à remplir'!$F$31:$F$400,'Étape 1 - à remplir'!$E$31:$E$400,MASQ2!EC425,'Étape 1 - à remplir'!$G$31:$G$400,"kg"),SUMIFS('Étape 1 - à remplir'!$F$31:$F$400,'Étape 1 - à remplir'!$E$31:$E$400,MASQ2!EC425,'Étape 1 - à remplir'!$C$31:$C$400,EL$3)),IF(EL$2="Âge",IF(EL$3="Tous",SUMIFS('Étape 1 - à remplir'!$F$31:$F$400,'Étape 1 - à remplir'!$E$31:$E$400,MASQ2!EC425,'Étape 1 - à remplir'!$G$31:$G$400,"kg"),SUMIFS('Étape 1 - à remplir'!$F$31:$F$400,'Étape 1 - à remplir'!$E$31:$E$400,MASQ2!EC425,'Étape 1 - à remplir'!$P$31:$P$400,EL$3,'Étape 1 - à remplir'!$G$31:$G$400,"kg")),IF(EL$2="Atelier",IF(EL$3="Tous",SUMIFS('Étape 1 - à remplir'!$F$31:$F$400,'Étape 1 - à remplir'!$E$31:$E$400,MASQ2!EC425,'Étape 1 - à remplir'!$G$31:$G$400,"kg"),SUMIFS('Étape 1 - à remplir'!$F$31:$F$400,'Étape 1 - à remplir'!$E$31:$E$400,MASQ2!EC425,'Étape 1 - à remplir'!$O$31:$O$400,EL$3,'Étape 1 - à remplir'!$G$31:$G$400,"kg")),IF(EL$2="Espèce",IF(EL$3="Toutes",SUMIFS('Étape 1 - à remplir'!$F$31:$F$400,'Étape 1 - à remplir'!$E$31:$E$400,MASQ2!EC425,'Étape 1 - à remplir'!$G$31:$G$400,"kg"),SUMIFS('Étape 1 - à remplir'!$F$31:$F$400,'Étape 1 - à remplir'!$E$31:$E$400,MASQ2!EC425,'Étape 1 - à remplir'!$N$31:$N$400,EL$3,'Étape 1 - à remplir'!$G$31:$G$400,"kg"))))))=0,NA(),IF(EL$2="Catégorie",IF(EL$3="Toutes",SUMIFS('Étape 1 - à remplir'!$F$31:$F$400,'Étape 1 - à remplir'!$E$31:$E$400,MASQ2!EC425,'Étape 1 - à remplir'!$G$31:$G$400,"kg"),SUMIFS('Étape 1 - à remplir'!$F$31:$F$400,'Étape 1 - à remplir'!$E$31:$E$400,MASQ2!EC425,'Étape 1 - à remplir'!$C$31:$C$400,EL$3)),IF(EL$2="Âge",IF(EL$3="Tous",SUMIFS('Étape 1 - à remplir'!$F$31:$F$400,'Étape 1 - à remplir'!$E$31:$E$400,MASQ2!EC425,'Étape 1 - à remplir'!$G$31:$G$400,"kg"),SUMIFS('Étape 1 - à remplir'!$F$31:$F$400,'Étape 1 - à remplir'!$E$31:$E$400,MASQ2!EC425,'Étape 1 - à remplir'!$P$31:$P$400,EL$3,'Étape 1 - à remplir'!$G$31:$G$400,"kg")),IF(EL$2="Atelier",IF(EL$3="Tous",SUMIFS('Étape 1 - à remplir'!$F$31:$F$400,'Étape 1 - à remplir'!$E$31:$E$400,MASQ2!EC425,'Étape 1 - à remplir'!$G$31:$G$400,"kg"),SUMIFS('Étape 1 - à remplir'!$F$31:$F$400,'Étape 1 - à remplir'!$E$31:$E$400,MASQ2!EC425,'Étape 1 - à remplir'!$O$31:$O$400,EL$3,'Étape 1 - à remplir'!$G$31:$G$400,"kg")),IF(EL$2="Espèce",IF(EL$3="Toutes",SUMIFS('Étape 1 - à remplir'!$F$31:$F$400,'Étape 1 - à remplir'!$E$31:$E$400,MASQ2!EC425,'Étape 1 - à remplir'!$G$31:$G$400,"kg"),SUMIFS('Étape 1 - à remplir'!$F$31:$F$400,'Étape 1 - à remplir'!$E$31:$E$400,MASQ2!EC425,'Étape 1 - à remplir'!$N$31:$N$400,EL$3,'Étape 1 - à remplir'!$G$31:$G$400,"kg")))))))</f>
        <v>#N/A</v>
      </c>
      <c r="EE425" s="76">
        <f t="shared" si="284"/>
        <v>0</v>
      </c>
      <c r="EF425" t="str">
        <f t="shared" si="275"/>
        <v>Céfalexine</v>
      </c>
      <c r="EG425" t="str">
        <f t="shared" si="276"/>
        <v/>
      </c>
      <c r="EH425" t="str">
        <f t="shared" si="277"/>
        <v/>
      </c>
      <c r="EI425" t="str">
        <f t="shared" si="278"/>
        <v>Cephalosporines 1&amp;2G</v>
      </c>
      <c r="EJ425" t="str">
        <f t="shared" si="279"/>
        <v/>
      </c>
      <c r="EK425" s="63" t="str">
        <f t="shared" si="280"/>
        <v/>
      </c>
      <c r="EN425" s="42">
        <v>422</v>
      </c>
      <c r="EO425" t="e">
        <f t="shared" si="286"/>
        <v>#N/A</v>
      </c>
      <c r="EP425" s="63" t="e">
        <f t="shared" si="287"/>
        <v>#N/A</v>
      </c>
      <c r="FT425" s="63"/>
    </row>
    <row r="426" spans="2:176" x14ac:dyDescent="0.3">
      <c r="B426" s="42"/>
      <c r="M426" s="194" t="str">
        <f ca="1">INDEX(Données_ATB!BD:BU,MATCH(MASQ2!O426,Données_ATB!BD:BD,0),18)</f>
        <v/>
      </c>
      <c r="N426" s="14" t="str">
        <f>IFERROR(IF(Q426=0,"",COUNTIF(Q$4:Q$600,"&gt;"&amp;Q426)+COUNTIF(Q$4:Q426,Q426)),"")</f>
        <v/>
      </c>
      <c r="O426" t="str">
        <f>Données_ATB!BD425</f>
        <v>RILEXINE TRAITEMENT</v>
      </c>
      <c r="P426" t="e">
        <f>IF(IF(X$2="Catégorie",IF(X$3="Toutes",SUMIFS('Étape 1 - à remplir'!$F$31:$F$400,'Étape 1 - à remplir'!$E$31:$E$400,MASQ2!O426,'Étape 1 - à remplir'!$G$31:$G$400,"animaux"),SUMIFS('Étape 1 - à remplir'!$F$31:$F$400,'Étape 1 - à remplir'!$E$31:$E$400,MASQ2!O426,'Étape 1 - à remplir'!$C$31:$C$400,X$3)),IF(X$2="Âge",IF(X$3="Tous",SUMIFS('Étape 1 - à remplir'!$F$31:$F$400,'Étape 1 - à remplir'!$E$31:$E$400,MASQ2!O426,'Étape 1 - à remplir'!$G$31:$G$400,"animaux"),SUMIFS('Étape 1 - à remplir'!$F$31:$F$400,'Étape 1 - à remplir'!$E$31:$E$400,MASQ2!O426,'Étape 1 - à remplir'!$P$31:$P$400,X$3)),IF(X$2="Atelier",IF(X$3="Tous",SUMIFS('Étape 1 - à remplir'!$F$31:$F$400,'Étape 1 - à remplir'!$E$31:$E$400,MASQ2!O426,'Étape 1 - à remplir'!$G$31:$G$400,"animaux"),SUMIFS('Étape 1 - à remplir'!$F$31:$F$400,'Étape 1 - à remplir'!$E$31:$E$400,MASQ2!O426,'Étape 1 - à remplir'!$O$31:$O$400,X$3)),IF(X$2="Espèce",IF(X$3="Toutes",SUMIFS('Étape 1 - à remplir'!$F$31:$F$400,'Étape 1 - à remplir'!$E$31:$E$400,MASQ2!O426,'Étape 1 - à remplir'!$G$31:$G$400,"animaux"),SUMIFS('Étape 1 - à remplir'!$F$31:$F$400,'Étape 1 - à remplir'!$E$31:$E$400,MASQ2!O426,'Étape 1 - à remplir'!$N$31:$N$400,X$3))))))=0,NA(),IF(X$2="Catégorie",IF(X$3="Toutes",SUMIFS('Étape 1 - à remplir'!$F$31:$F$400,'Étape 1 - à remplir'!$E$31:$E$400,MASQ2!O426,'Étape 1 - à remplir'!$G$31:$G$400,"animaux"),SUMIFS('Étape 1 - à remplir'!$F$31:$F$400,'Étape 1 - à remplir'!$E$31:$E$400,MASQ2!O426,'Étape 1 - à remplir'!$C$31:$C$400,X$3)),IF(X$2="Âge",IF(X$3="Tous",SUMIFS('Étape 1 - à remplir'!$F$31:$F$400,'Étape 1 - à remplir'!$E$31:$E$400,MASQ2!O426,'Étape 1 - à remplir'!$G$31:$G$400,"animaux"),SUMIFS('Étape 1 - à remplir'!$F$31:$F$400,'Étape 1 - à remplir'!$E$31:$E$400,MASQ2!O426,'Étape 1 - à remplir'!$P$31:$P$400,X$3)),IF(X$2="Atelier",IF(X$3="Tous",SUMIFS('Étape 1 - à remplir'!$F$31:$F$400,'Étape 1 - à remplir'!$E$31:$E$400,MASQ2!O426,'Étape 1 - à remplir'!$G$31:$G$400,"animaux"),SUMIFS('Étape 1 - à remplir'!$F$31:$F$400,'Étape 1 - à remplir'!$E$31:$E$400,MASQ2!O426,'Étape 1 - à remplir'!$O$31:$O$400,X$3)),IF(X$2="Espèce",IF(X$3="Toutes",SUMIFS('Étape 1 - à remplir'!$F$31:$F$400,'Étape 1 - à remplir'!$E$31:$E$400,MASQ2!O426,'Étape 1 - à remplir'!$G$31:$G$400,"animaux"),SUMIFS('Étape 1 - à remplir'!$F$31:$F$400,'Étape 1 - à remplir'!$E$31:$E$400,MASQ2!O426,'Étape 1 - à remplir'!$N$31:$N$400,X$3)))))))</f>
        <v>#N/A</v>
      </c>
      <c r="Q426" s="63">
        <f t="shared" si="285"/>
        <v>0</v>
      </c>
      <c r="R426" t="str">
        <f>Données_ATB!BM425</f>
        <v>Céfalexine</v>
      </c>
      <c r="S426" t="str">
        <f>Données_ATB!BN425</f>
        <v/>
      </c>
      <c r="T426" s="63" t="str">
        <f>Données_ATB!BO425</f>
        <v/>
      </c>
      <c r="U426" s="42" t="str">
        <f>Données_ATB!BQ425</f>
        <v>Cephalosporines 1&amp;2G</v>
      </c>
      <c r="V426" t="str">
        <f>Données_ATB!BR425</f>
        <v/>
      </c>
      <c r="W426" s="63" t="str">
        <f>Données_ATB!BS425</f>
        <v/>
      </c>
      <c r="Z426" s="42">
        <v>423</v>
      </c>
      <c r="AA426" t="e">
        <f t="shared" si="281"/>
        <v>#N/A</v>
      </c>
      <c r="AB426" s="63" t="e">
        <f t="shared" si="282"/>
        <v>#N/A</v>
      </c>
      <c r="BF426" s="63"/>
      <c r="BT426" s="194" t="str">
        <f t="shared" ca="1" si="265"/>
        <v/>
      </c>
      <c r="BU426" s="219" t="str">
        <f>IFERROR(IF(BX426=0,"",COUNTIF(BX$4:BX$600,"&gt;"&amp;BX426)+COUNTIF(BX$4:BX426,BX426)),"")</f>
        <v/>
      </c>
      <c r="BV426" s="42" t="str">
        <f t="shared" si="266"/>
        <v>RILEXINE TRAITEMENT</v>
      </c>
      <c r="BW426" t="e">
        <f>IF(IF(CE$2="Catégorie",IF(CE$3="Toutes",SUMIFS('Étape 1 - à remplir'!$F$31:$F$400,'Étape 1 - à remplir'!$E$31:$E$400,MASQ2!BV426,'Étape 1 - à remplir'!$G$31:$G$400,"lots"),SUMIFS('Étape 1 - à remplir'!$F$31:$F$400,'Étape 1 - à remplir'!$E$31:$E$400,MASQ2!BV426,'Étape 1 - à remplir'!$C$31:$C$400,CE$3)),IF(CE$2="Âge",IF(CE$3="Tous",SUMIFS('Étape 1 - à remplir'!$F$31:$F$400,'Étape 1 - à remplir'!$E$31:$E$400,MASQ2!BV426,'Étape 1 - à remplir'!$G$31:$G$400,"lots"),SUMIFS('Étape 1 - à remplir'!$F$31:$F$400,'Étape 1 - à remplir'!$E$31:$E$400,MASQ2!BV426,'Étape 1 - à remplir'!$P$31:$P$400,CE$3,'Étape 1 - à remplir'!$G$31:$G$400,"lots")),IF(CE$2="Atelier",IF(CE$3="Tous",SUMIFS('Étape 1 - à remplir'!$F$31:$F$400,'Étape 1 - à remplir'!$E$31:$E$400,MASQ2!BV426,'Étape 1 - à remplir'!$G$31:$G$400,"lots"),SUMIFS('Étape 1 - à remplir'!$F$31:$F$400,'Étape 1 - à remplir'!$E$31:$E$400,MASQ2!BV426,'Étape 1 - à remplir'!$O$31:$O$400,CE$3,'Étape 1 - à remplir'!$G$31:$G$400,"lots")),IF(CE$2="Espèce",IF(CE$3="Toutes",SUMIFS('Étape 1 - à remplir'!$F$31:$F$400,'Étape 1 - à remplir'!$E$31:$E$400,MASQ2!BV426,'Étape 1 - à remplir'!$G$31:$G$400,"lots"),SUMIFS('Étape 1 - à remplir'!$F$31:$F$400,'Étape 1 - à remplir'!$E$31:$E$400,MASQ2!BV426,'Étape 1 - à remplir'!$N$31:$N$400,CE$3,'Étape 1 - à remplir'!$G$31:$G$400,"lots"))))))=0,NA(),IF(CE$2="Catégorie",IF(CE$3="Toutes",SUMIFS('Étape 1 - à remplir'!$F$31:$F$400,'Étape 1 - à remplir'!$E$31:$E$400,MASQ2!BV426,'Étape 1 - à remplir'!$G$31:$G$400,"lots"),SUMIFS('Étape 1 - à remplir'!$F$31:$F$400,'Étape 1 - à remplir'!$E$31:$E$400,MASQ2!BV426,'Étape 1 - à remplir'!$C$31:$C$400,CE$3)),IF(CE$2="Âge",IF(CE$3="Tous",SUMIFS('Étape 1 - à remplir'!$F$31:$F$400,'Étape 1 - à remplir'!$E$31:$E$400,MASQ2!BV426,'Étape 1 - à remplir'!$G$31:$G$400,"lots"),SUMIFS('Étape 1 - à remplir'!$F$31:$F$400,'Étape 1 - à remplir'!$E$31:$E$400,MASQ2!BV426,'Étape 1 - à remplir'!$P$31:$P$400,CE$3,'Étape 1 - à remplir'!$G$31:$G$400,"lots")),IF(CE$2="Atelier",IF(CE$3="Tous",SUMIFS('Étape 1 - à remplir'!$F$31:$F$400,'Étape 1 - à remplir'!$E$31:$E$400,MASQ2!BV426,'Étape 1 - à remplir'!$G$31:$G$400,"lots"),SUMIFS('Étape 1 - à remplir'!$F$31:$F$400,'Étape 1 - à remplir'!$E$31:$E$400,MASQ2!BV426,'Étape 1 - à remplir'!$O$31:$O$400,CE$3,'Étape 1 - à remplir'!$G$31:$G$400,"lots")),IF(CE$2="Espèce",IF(CE$3="Toutes",SUMIFS('Étape 1 - à remplir'!$F$31:$F$400,'Étape 1 - à remplir'!$E$31:$E$400,MASQ2!BV426,'Étape 1 - à remplir'!$G$31:$G$400,"lots"),SUMIFS('Étape 1 - à remplir'!$F$31:$F$400,'Étape 1 - à remplir'!$E$31:$E$400,MASQ2!BV426,'Étape 1 - à remplir'!$N$31:$N$400,CE$3,'Étape 1 - à remplir'!$G$31:$G$400,"lots")))))))</f>
        <v>#N/A</v>
      </c>
      <c r="BX426">
        <f t="shared" si="283"/>
        <v>0</v>
      </c>
      <c r="BY426" t="str">
        <f t="shared" si="267"/>
        <v>Céfalexine</v>
      </c>
      <c r="BZ426" t="str">
        <f t="shared" si="268"/>
        <v/>
      </c>
      <c r="CA426" t="str">
        <f t="shared" si="269"/>
        <v/>
      </c>
      <c r="CB426" t="str">
        <f t="shared" si="270"/>
        <v>Cephalosporines 1&amp;2G</v>
      </c>
      <c r="CC426" t="str">
        <f t="shared" si="271"/>
        <v/>
      </c>
      <c r="CD426" s="63" t="str">
        <f t="shared" si="272"/>
        <v/>
      </c>
      <c r="CG426" s="42">
        <v>423</v>
      </c>
      <c r="CH426" s="42" t="e">
        <f t="shared" si="288"/>
        <v>#N/A</v>
      </c>
      <c r="CI426" s="63" t="e">
        <f t="shared" si="289"/>
        <v>#N/A</v>
      </c>
      <c r="DM426" s="63"/>
      <c r="EA426" s="194" t="str">
        <f t="shared" ca="1" si="273"/>
        <v/>
      </c>
      <c r="EB426" s="226" t="str">
        <f>IFERROR(IF(ED426=0,"",COUNTIF(ED$4:ED$600,"&gt;"&amp;ED426)+COUNTIF(ED$4:ED426,ED426)),"")</f>
        <v/>
      </c>
      <c r="EC426" t="str">
        <f t="shared" si="274"/>
        <v>RILEXINE TRAITEMENT</v>
      </c>
      <c r="ED426" t="e">
        <f>IF(IF(EL$2="Catégorie",IF(EL$3="Toutes",SUMIFS('Étape 1 - à remplir'!$F$31:$F$400,'Étape 1 - à remplir'!$E$31:$E$400,MASQ2!EC426,'Étape 1 - à remplir'!$G$31:$G$400,"kg"),SUMIFS('Étape 1 - à remplir'!$F$31:$F$400,'Étape 1 - à remplir'!$E$31:$E$400,MASQ2!EC426,'Étape 1 - à remplir'!$C$31:$C$400,EL$3)),IF(EL$2="Âge",IF(EL$3="Tous",SUMIFS('Étape 1 - à remplir'!$F$31:$F$400,'Étape 1 - à remplir'!$E$31:$E$400,MASQ2!EC426,'Étape 1 - à remplir'!$G$31:$G$400,"kg"),SUMIFS('Étape 1 - à remplir'!$F$31:$F$400,'Étape 1 - à remplir'!$E$31:$E$400,MASQ2!EC426,'Étape 1 - à remplir'!$P$31:$P$400,EL$3,'Étape 1 - à remplir'!$G$31:$G$400,"kg")),IF(EL$2="Atelier",IF(EL$3="Tous",SUMIFS('Étape 1 - à remplir'!$F$31:$F$400,'Étape 1 - à remplir'!$E$31:$E$400,MASQ2!EC426,'Étape 1 - à remplir'!$G$31:$G$400,"kg"),SUMIFS('Étape 1 - à remplir'!$F$31:$F$400,'Étape 1 - à remplir'!$E$31:$E$400,MASQ2!EC426,'Étape 1 - à remplir'!$O$31:$O$400,EL$3,'Étape 1 - à remplir'!$G$31:$G$400,"kg")),IF(EL$2="Espèce",IF(EL$3="Toutes",SUMIFS('Étape 1 - à remplir'!$F$31:$F$400,'Étape 1 - à remplir'!$E$31:$E$400,MASQ2!EC426,'Étape 1 - à remplir'!$G$31:$G$400,"kg"),SUMIFS('Étape 1 - à remplir'!$F$31:$F$400,'Étape 1 - à remplir'!$E$31:$E$400,MASQ2!EC426,'Étape 1 - à remplir'!$N$31:$N$400,EL$3,'Étape 1 - à remplir'!$G$31:$G$400,"kg"))))))=0,NA(),IF(EL$2="Catégorie",IF(EL$3="Toutes",SUMIFS('Étape 1 - à remplir'!$F$31:$F$400,'Étape 1 - à remplir'!$E$31:$E$400,MASQ2!EC426,'Étape 1 - à remplir'!$G$31:$G$400,"kg"),SUMIFS('Étape 1 - à remplir'!$F$31:$F$400,'Étape 1 - à remplir'!$E$31:$E$400,MASQ2!EC426,'Étape 1 - à remplir'!$C$31:$C$400,EL$3)),IF(EL$2="Âge",IF(EL$3="Tous",SUMIFS('Étape 1 - à remplir'!$F$31:$F$400,'Étape 1 - à remplir'!$E$31:$E$400,MASQ2!EC426,'Étape 1 - à remplir'!$G$31:$G$400,"kg"),SUMIFS('Étape 1 - à remplir'!$F$31:$F$400,'Étape 1 - à remplir'!$E$31:$E$400,MASQ2!EC426,'Étape 1 - à remplir'!$P$31:$P$400,EL$3,'Étape 1 - à remplir'!$G$31:$G$400,"kg")),IF(EL$2="Atelier",IF(EL$3="Tous",SUMIFS('Étape 1 - à remplir'!$F$31:$F$400,'Étape 1 - à remplir'!$E$31:$E$400,MASQ2!EC426,'Étape 1 - à remplir'!$G$31:$G$400,"kg"),SUMIFS('Étape 1 - à remplir'!$F$31:$F$400,'Étape 1 - à remplir'!$E$31:$E$400,MASQ2!EC426,'Étape 1 - à remplir'!$O$31:$O$400,EL$3,'Étape 1 - à remplir'!$G$31:$G$400,"kg")),IF(EL$2="Espèce",IF(EL$3="Toutes",SUMIFS('Étape 1 - à remplir'!$F$31:$F$400,'Étape 1 - à remplir'!$E$31:$E$400,MASQ2!EC426,'Étape 1 - à remplir'!$G$31:$G$400,"kg"),SUMIFS('Étape 1 - à remplir'!$F$31:$F$400,'Étape 1 - à remplir'!$E$31:$E$400,MASQ2!EC426,'Étape 1 - à remplir'!$N$31:$N$400,EL$3,'Étape 1 - à remplir'!$G$31:$G$400,"kg")))))))</f>
        <v>#N/A</v>
      </c>
      <c r="EE426" s="76">
        <f t="shared" si="284"/>
        <v>0</v>
      </c>
      <c r="EF426" t="str">
        <f t="shared" si="275"/>
        <v>Céfalexine</v>
      </c>
      <c r="EG426" t="str">
        <f t="shared" si="276"/>
        <v/>
      </c>
      <c r="EH426" t="str">
        <f t="shared" si="277"/>
        <v/>
      </c>
      <c r="EI426" t="str">
        <f t="shared" si="278"/>
        <v>Cephalosporines 1&amp;2G</v>
      </c>
      <c r="EJ426" t="str">
        <f t="shared" si="279"/>
        <v/>
      </c>
      <c r="EK426" s="63" t="str">
        <f t="shared" si="280"/>
        <v/>
      </c>
      <c r="EN426" s="42">
        <v>423</v>
      </c>
      <c r="EO426" t="e">
        <f t="shared" si="286"/>
        <v>#N/A</v>
      </c>
      <c r="EP426" s="63" t="e">
        <f t="shared" si="287"/>
        <v>#N/A</v>
      </c>
      <c r="FT426" s="63"/>
    </row>
    <row r="427" spans="2:176" x14ac:dyDescent="0.3">
      <c r="B427" s="42"/>
      <c r="M427" s="194" t="str">
        <f ca="1">INDEX(Données_ATB!BD:BU,MATCH(MASQ2!O427,Données_ATB!BD:BD,0),18)</f>
        <v/>
      </c>
      <c r="N427" s="14" t="str">
        <f>IFERROR(IF(Q427=0,"",COUNTIF(Q$4:Q$600,"&gt;"&amp;Q427)+COUNTIF(Q$4:Q427,Q427)),"")</f>
        <v/>
      </c>
      <c r="O427" t="str">
        <f>Données_ATB!BD426</f>
        <v>RONAXAN 500 MG/G</v>
      </c>
      <c r="P427" t="e">
        <f>IF(IF(X$2="Catégorie",IF(X$3="Toutes",SUMIFS('Étape 1 - à remplir'!$F$31:$F$400,'Étape 1 - à remplir'!$E$31:$E$400,MASQ2!O427,'Étape 1 - à remplir'!$G$31:$G$400,"animaux"),SUMIFS('Étape 1 - à remplir'!$F$31:$F$400,'Étape 1 - à remplir'!$E$31:$E$400,MASQ2!O427,'Étape 1 - à remplir'!$C$31:$C$400,X$3)),IF(X$2="Âge",IF(X$3="Tous",SUMIFS('Étape 1 - à remplir'!$F$31:$F$400,'Étape 1 - à remplir'!$E$31:$E$400,MASQ2!O427,'Étape 1 - à remplir'!$G$31:$G$400,"animaux"),SUMIFS('Étape 1 - à remplir'!$F$31:$F$400,'Étape 1 - à remplir'!$E$31:$E$400,MASQ2!O427,'Étape 1 - à remplir'!$P$31:$P$400,X$3)),IF(X$2="Atelier",IF(X$3="Tous",SUMIFS('Étape 1 - à remplir'!$F$31:$F$400,'Étape 1 - à remplir'!$E$31:$E$400,MASQ2!O427,'Étape 1 - à remplir'!$G$31:$G$400,"animaux"),SUMIFS('Étape 1 - à remplir'!$F$31:$F$400,'Étape 1 - à remplir'!$E$31:$E$400,MASQ2!O427,'Étape 1 - à remplir'!$O$31:$O$400,X$3)),IF(X$2="Espèce",IF(X$3="Toutes",SUMIFS('Étape 1 - à remplir'!$F$31:$F$400,'Étape 1 - à remplir'!$E$31:$E$400,MASQ2!O427,'Étape 1 - à remplir'!$G$31:$G$400,"animaux"),SUMIFS('Étape 1 - à remplir'!$F$31:$F$400,'Étape 1 - à remplir'!$E$31:$E$400,MASQ2!O427,'Étape 1 - à remplir'!$N$31:$N$400,X$3))))))=0,NA(),IF(X$2="Catégorie",IF(X$3="Toutes",SUMIFS('Étape 1 - à remplir'!$F$31:$F$400,'Étape 1 - à remplir'!$E$31:$E$400,MASQ2!O427,'Étape 1 - à remplir'!$G$31:$G$400,"animaux"),SUMIFS('Étape 1 - à remplir'!$F$31:$F$400,'Étape 1 - à remplir'!$E$31:$E$400,MASQ2!O427,'Étape 1 - à remplir'!$C$31:$C$400,X$3)),IF(X$2="Âge",IF(X$3="Tous",SUMIFS('Étape 1 - à remplir'!$F$31:$F$400,'Étape 1 - à remplir'!$E$31:$E$400,MASQ2!O427,'Étape 1 - à remplir'!$G$31:$G$400,"animaux"),SUMIFS('Étape 1 - à remplir'!$F$31:$F$400,'Étape 1 - à remplir'!$E$31:$E$400,MASQ2!O427,'Étape 1 - à remplir'!$P$31:$P$400,X$3)),IF(X$2="Atelier",IF(X$3="Tous",SUMIFS('Étape 1 - à remplir'!$F$31:$F$400,'Étape 1 - à remplir'!$E$31:$E$400,MASQ2!O427,'Étape 1 - à remplir'!$G$31:$G$400,"animaux"),SUMIFS('Étape 1 - à remplir'!$F$31:$F$400,'Étape 1 - à remplir'!$E$31:$E$400,MASQ2!O427,'Étape 1 - à remplir'!$O$31:$O$400,X$3)),IF(X$2="Espèce",IF(X$3="Toutes",SUMIFS('Étape 1 - à remplir'!$F$31:$F$400,'Étape 1 - à remplir'!$E$31:$E$400,MASQ2!O427,'Étape 1 - à remplir'!$G$31:$G$400,"animaux"),SUMIFS('Étape 1 - à remplir'!$F$31:$F$400,'Étape 1 - à remplir'!$E$31:$E$400,MASQ2!O427,'Étape 1 - à remplir'!$N$31:$N$400,X$3)))))))</f>
        <v>#N/A</v>
      </c>
      <c r="Q427" s="63">
        <f t="shared" si="285"/>
        <v>0</v>
      </c>
      <c r="R427" t="str">
        <f>Données_ATB!BM426</f>
        <v>Doxycycline</v>
      </c>
      <c r="S427" t="str">
        <f>Données_ATB!BN426</f>
        <v/>
      </c>
      <c r="T427" s="63" t="str">
        <f>Données_ATB!BO426</f>
        <v/>
      </c>
      <c r="U427" s="42" t="str">
        <f>Données_ATB!BQ426</f>
        <v>Tetracyclines</v>
      </c>
      <c r="V427" t="str">
        <f>Données_ATB!BR426</f>
        <v/>
      </c>
      <c r="W427" s="63" t="str">
        <f>Données_ATB!BS426</f>
        <v/>
      </c>
      <c r="Z427" s="42">
        <v>424</v>
      </c>
      <c r="AA427" t="e">
        <f t="shared" si="281"/>
        <v>#N/A</v>
      </c>
      <c r="AB427" s="63" t="e">
        <f t="shared" si="282"/>
        <v>#N/A</v>
      </c>
      <c r="BF427" s="63"/>
      <c r="BT427" s="194" t="str">
        <f t="shared" ca="1" si="265"/>
        <v/>
      </c>
      <c r="BU427" s="219" t="str">
        <f>IFERROR(IF(BX427=0,"",COUNTIF(BX$4:BX$600,"&gt;"&amp;BX427)+COUNTIF(BX$4:BX427,BX427)),"")</f>
        <v/>
      </c>
      <c r="BV427" s="42" t="str">
        <f t="shared" si="266"/>
        <v>RONAXAN 500 MG/G</v>
      </c>
      <c r="BW427" t="e">
        <f>IF(IF(CE$2="Catégorie",IF(CE$3="Toutes",SUMIFS('Étape 1 - à remplir'!$F$31:$F$400,'Étape 1 - à remplir'!$E$31:$E$400,MASQ2!BV427,'Étape 1 - à remplir'!$G$31:$G$400,"lots"),SUMIFS('Étape 1 - à remplir'!$F$31:$F$400,'Étape 1 - à remplir'!$E$31:$E$400,MASQ2!BV427,'Étape 1 - à remplir'!$C$31:$C$400,CE$3)),IF(CE$2="Âge",IF(CE$3="Tous",SUMIFS('Étape 1 - à remplir'!$F$31:$F$400,'Étape 1 - à remplir'!$E$31:$E$400,MASQ2!BV427,'Étape 1 - à remplir'!$G$31:$G$400,"lots"),SUMIFS('Étape 1 - à remplir'!$F$31:$F$400,'Étape 1 - à remplir'!$E$31:$E$400,MASQ2!BV427,'Étape 1 - à remplir'!$P$31:$P$400,CE$3,'Étape 1 - à remplir'!$G$31:$G$400,"lots")),IF(CE$2="Atelier",IF(CE$3="Tous",SUMIFS('Étape 1 - à remplir'!$F$31:$F$400,'Étape 1 - à remplir'!$E$31:$E$400,MASQ2!BV427,'Étape 1 - à remplir'!$G$31:$G$400,"lots"),SUMIFS('Étape 1 - à remplir'!$F$31:$F$400,'Étape 1 - à remplir'!$E$31:$E$400,MASQ2!BV427,'Étape 1 - à remplir'!$O$31:$O$400,CE$3,'Étape 1 - à remplir'!$G$31:$G$400,"lots")),IF(CE$2="Espèce",IF(CE$3="Toutes",SUMIFS('Étape 1 - à remplir'!$F$31:$F$400,'Étape 1 - à remplir'!$E$31:$E$400,MASQ2!BV427,'Étape 1 - à remplir'!$G$31:$G$400,"lots"),SUMIFS('Étape 1 - à remplir'!$F$31:$F$400,'Étape 1 - à remplir'!$E$31:$E$400,MASQ2!BV427,'Étape 1 - à remplir'!$N$31:$N$400,CE$3,'Étape 1 - à remplir'!$G$31:$G$400,"lots"))))))=0,NA(),IF(CE$2="Catégorie",IF(CE$3="Toutes",SUMIFS('Étape 1 - à remplir'!$F$31:$F$400,'Étape 1 - à remplir'!$E$31:$E$400,MASQ2!BV427,'Étape 1 - à remplir'!$G$31:$G$400,"lots"),SUMIFS('Étape 1 - à remplir'!$F$31:$F$400,'Étape 1 - à remplir'!$E$31:$E$400,MASQ2!BV427,'Étape 1 - à remplir'!$C$31:$C$400,CE$3)),IF(CE$2="Âge",IF(CE$3="Tous",SUMIFS('Étape 1 - à remplir'!$F$31:$F$400,'Étape 1 - à remplir'!$E$31:$E$400,MASQ2!BV427,'Étape 1 - à remplir'!$G$31:$G$400,"lots"),SUMIFS('Étape 1 - à remplir'!$F$31:$F$400,'Étape 1 - à remplir'!$E$31:$E$400,MASQ2!BV427,'Étape 1 - à remplir'!$P$31:$P$400,CE$3,'Étape 1 - à remplir'!$G$31:$G$400,"lots")),IF(CE$2="Atelier",IF(CE$3="Tous",SUMIFS('Étape 1 - à remplir'!$F$31:$F$400,'Étape 1 - à remplir'!$E$31:$E$400,MASQ2!BV427,'Étape 1 - à remplir'!$G$31:$G$400,"lots"),SUMIFS('Étape 1 - à remplir'!$F$31:$F$400,'Étape 1 - à remplir'!$E$31:$E$400,MASQ2!BV427,'Étape 1 - à remplir'!$O$31:$O$400,CE$3,'Étape 1 - à remplir'!$G$31:$G$400,"lots")),IF(CE$2="Espèce",IF(CE$3="Toutes",SUMIFS('Étape 1 - à remplir'!$F$31:$F$400,'Étape 1 - à remplir'!$E$31:$E$400,MASQ2!BV427,'Étape 1 - à remplir'!$G$31:$G$400,"lots"),SUMIFS('Étape 1 - à remplir'!$F$31:$F$400,'Étape 1 - à remplir'!$E$31:$E$400,MASQ2!BV427,'Étape 1 - à remplir'!$N$31:$N$400,CE$3,'Étape 1 - à remplir'!$G$31:$G$400,"lots")))))))</f>
        <v>#N/A</v>
      </c>
      <c r="BX427">
        <f t="shared" si="283"/>
        <v>0</v>
      </c>
      <c r="BY427" t="str">
        <f t="shared" si="267"/>
        <v>Doxycycline</v>
      </c>
      <c r="BZ427" t="str">
        <f t="shared" si="268"/>
        <v/>
      </c>
      <c r="CA427" t="str">
        <f t="shared" si="269"/>
        <v/>
      </c>
      <c r="CB427" t="str">
        <f t="shared" si="270"/>
        <v>Tetracyclines</v>
      </c>
      <c r="CC427" t="str">
        <f t="shared" si="271"/>
        <v/>
      </c>
      <c r="CD427" s="63" t="str">
        <f t="shared" si="272"/>
        <v/>
      </c>
      <c r="CG427" s="42">
        <v>424</v>
      </c>
      <c r="CH427" s="42" t="e">
        <f t="shared" si="288"/>
        <v>#N/A</v>
      </c>
      <c r="CI427" s="63" t="e">
        <f t="shared" si="289"/>
        <v>#N/A</v>
      </c>
      <c r="DM427" s="63"/>
      <c r="EA427" s="194" t="str">
        <f t="shared" ca="1" si="273"/>
        <v/>
      </c>
      <c r="EB427" s="226" t="str">
        <f>IFERROR(IF(ED427=0,"",COUNTIF(ED$4:ED$600,"&gt;"&amp;ED427)+COUNTIF(ED$4:ED427,ED427)),"")</f>
        <v/>
      </c>
      <c r="EC427" t="str">
        <f t="shared" si="274"/>
        <v>RONAXAN 500 MG/G</v>
      </c>
      <c r="ED427" t="e">
        <f>IF(IF(EL$2="Catégorie",IF(EL$3="Toutes",SUMIFS('Étape 1 - à remplir'!$F$31:$F$400,'Étape 1 - à remplir'!$E$31:$E$400,MASQ2!EC427,'Étape 1 - à remplir'!$G$31:$G$400,"kg"),SUMIFS('Étape 1 - à remplir'!$F$31:$F$400,'Étape 1 - à remplir'!$E$31:$E$400,MASQ2!EC427,'Étape 1 - à remplir'!$C$31:$C$400,EL$3)),IF(EL$2="Âge",IF(EL$3="Tous",SUMIFS('Étape 1 - à remplir'!$F$31:$F$400,'Étape 1 - à remplir'!$E$31:$E$400,MASQ2!EC427,'Étape 1 - à remplir'!$G$31:$G$400,"kg"),SUMIFS('Étape 1 - à remplir'!$F$31:$F$400,'Étape 1 - à remplir'!$E$31:$E$400,MASQ2!EC427,'Étape 1 - à remplir'!$P$31:$P$400,EL$3,'Étape 1 - à remplir'!$G$31:$G$400,"kg")),IF(EL$2="Atelier",IF(EL$3="Tous",SUMIFS('Étape 1 - à remplir'!$F$31:$F$400,'Étape 1 - à remplir'!$E$31:$E$400,MASQ2!EC427,'Étape 1 - à remplir'!$G$31:$G$400,"kg"),SUMIFS('Étape 1 - à remplir'!$F$31:$F$400,'Étape 1 - à remplir'!$E$31:$E$400,MASQ2!EC427,'Étape 1 - à remplir'!$O$31:$O$400,EL$3,'Étape 1 - à remplir'!$G$31:$G$400,"kg")),IF(EL$2="Espèce",IF(EL$3="Toutes",SUMIFS('Étape 1 - à remplir'!$F$31:$F$400,'Étape 1 - à remplir'!$E$31:$E$400,MASQ2!EC427,'Étape 1 - à remplir'!$G$31:$G$400,"kg"),SUMIFS('Étape 1 - à remplir'!$F$31:$F$400,'Étape 1 - à remplir'!$E$31:$E$400,MASQ2!EC427,'Étape 1 - à remplir'!$N$31:$N$400,EL$3,'Étape 1 - à remplir'!$G$31:$G$400,"kg"))))))=0,NA(),IF(EL$2="Catégorie",IF(EL$3="Toutes",SUMIFS('Étape 1 - à remplir'!$F$31:$F$400,'Étape 1 - à remplir'!$E$31:$E$400,MASQ2!EC427,'Étape 1 - à remplir'!$G$31:$G$400,"kg"),SUMIFS('Étape 1 - à remplir'!$F$31:$F$400,'Étape 1 - à remplir'!$E$31:$E$400,MASQ2!EC427,'Étape 1 - à remplir'!$C$31:$C$400,EL$3)),IF(EL$2="Âge",IF(EL$3="Tous",SUMIFS('Étape 1 - à remplir'!$F$31:$F$400,'Étape 1 - à remplir'!$E$31:$E$400,MASQ2!EC427,'Étape 1 - à remplir'!$G$31:$G$400,"kg"),SUMIFS('Étape 1 - à remplir'!$F$31:$F$400,'Étape 1 - à remplir'!$E$31:$E$400,MASQ2!EC427,'Étape 1 - à remplir'!$P$31:$P$400,EL$3,'Étape 1 - à remplir'!$G$31:$G$400,"kg")),IF(EL$2="Atelier",IF(EL$3="Tous",SUMIFS('Étape 1 - à remplir'!$F$31:$F$400,'Étape 1 - à remplir'!$E$31:$E$400,MASQ2!EC427,'Étape 1 - à remplir'!$G$31:$G$400,"kg"),SUMIFS('Étape 1 - à remplir'!$F$31:$F$400,'Étape 1 - à remplir'!$E$31:$E$400,MASQ2!EC427,'Étape 1 - à remplir'!$O$31:$O$400,EL$3,'Étape 1 - à remplir'!$G$31:$G$400,"kg")),IF(EL$2="Espèce",IF(EL$3="Toutes",SUMIFS('Étape 1 - à remplir'!$F$31:$F$400,'Étape 1 - à remplir'!$E$31:$E$400,MASQ2!EC427,'Étape 1 - à remplir'!$G$31:$G$400,"kg"),SUMIFS('Étape 1 - à remplir'!$F$31:$F$400,'Étape 1 - à remplir'!$E$31:$E$400,MASQ2!EC427,'Étape 1 - à remplir'!$N$31:$N$400,EL$3,'Étape 1 - à remplir'!$G$31:$G$400,"kg")))))))</f>
        <v>#N/A</v>
      </c>
      <c r="EE427" s="76">
        <f t="shared" si="284"/>
        <v>0</v>
      </c>
      <c r="EF427" t="str">
        <f t="shared" si="275"/>
        <v>Doxycycline</v>
      </c>
      <c r="EG427" t="str">
        <f t="shared" si="276"/>
        <v/>
      </c>
      <c r="EH427" t="str">
        <f t="shared" si="277"/>
        <v/>
      </c>
      <c r="EI427" t="str">
        <f t="shared" si="278"/>
        <v>Tetracyclines</v>
      </c>
      <c r="EJ427" t="str">
        <f t="shared" si="279"/>
        <v/>
      </c>
      <c r="EK427" s="63" t="str">
        <f t="shared" si="280"/>
        <v/>
      </c>
      <c r="EN427" s="42">
        <v>424</v>
      </c>
      <c r="EO427" t="e">
        <f t="shared" si="286"/>
        <v>#N/A</v>
      </c>
      <c r="EP427" s="63" t="e">
        <f t="shared" si="287"/>
        <v>#N/A</v>
      </c>
      <c r="FT427" s="63"/>
    </row>
    <row r="428" spans="2:176" x14ac:dyDescent="0.3">
      <c r="B428" s="42"/>
      <c r="M428" s="194" t="str">
        <f ca="1">INDEX(Données_ATB!BD:BU,MATCH(MASQ2!O428,Données_ATB!BD:BD,0),18)</f>
        <v/>
      </c>
      <c r="N428" s="14" t="str">
        <f>IFERROR(IF(Q428=0,"",COUNTIF(Q$4:Q$600,"&gt;"&amp;Q428)+COUNTIF(Q$4:Q428,Q428)),"")</f>
        <v/>
      </c>
      <c r="O428" t="str">
        <f>Données_ATB!BD427</f>
        <v>RONAXAN CONCENTRE 20 %</v>
      </c>
      <c r="P428" t="e">
        <f>IF(IF(X$2="Catégorie",IF(X$3="Toutes",SUMIFS('Étape 1 - à remplir'!$F$31:$F$400,'Étape 1 - à remplir'!$E$31:$E$400,MASQ2!O428,'Étape 1 - à remplir'!$G$31:$G$400,"animaux"),SUMIFS('Étape 1 - à remplir'!$F$31:$F$400,'Étape 1 - à remplir'!$E$31:$E$400,MASQ2!O428,'Étape 1 - à remplir'!$C$31:$C$400,X$3)),IF(X$2="Âge",IF(X$3="Tous",SUMIFS('Étape 1 - à remplir'!$F$31:$F$400,'Étape 1 - à remplir'!$E$31:$E$400,MASQ2!O428,'Étape 1 - à remplir'!$G$31:$G$400,"animaux"),SUMIFS('Étape 1 - à remplir'!$F$31:$F$400,'Étape 1 - à remplir'!$E$31:$E$400,MASQ2!O428,'Étape 1 - à remplir'!$P$31:$P$400,X$3)),IF(X$2="Atelier",IF(X$3="Tous",SUMIFS('Étape 1 - à remplir'!$F$31:$F$400,'Étape 1 - à remplir'!$E$31:$E$400,MASQ2!O428,'Étape 1 - à remplir'!$G$31:$G$400,"animaux"),SUMIFS('Étape 1 - à remplir'!$F$31:$F$400,'Étape 1 - à remplir'!$E$31:$E$400,MASQ2!O428,'Étape 1 - à remplir'!$O$31:$O$400,X$3)),IF(X$2="Espèce",IF(X$3="Toutes",SUMIFS('Étape 1 - à remplir'!$F$31:$F$400,'Étape 1 - à remplir'!$E$31:$E$400,MASQ2!O428,'Étape 1 - à remplir'!$G$31:$G$400,"animaux"),SUMIFS('Étape 1 - à remplir'!$F$31:$F$400,'Étape 1 - à remplir'!$E$31:$E$400,MASQ2!O428,'Étape 1 - à remplir'!$N$31:$N$400,X$3))))))=0,NA(),IF(X$2="Catégorie",IF(X$3="Toutes",SUMIFS('Étape 1 - à remplir'!$F$31:$F$400,'Étape 1 - à remplir'!$E$31:$E$400,MASQ2!O428,'Étape 1 - à remplir'!$G$31:$G$400,"animaux"),SUMIFS('Étape 1 - à remplir'!$F$31:$F$400,'Étape 1 - à remplir'!$E$31:$E$400,MASQ2!O428,'Étape 1 - à remplir'!$C$31:$C$400,X$3)),IF(X$2="Âge",IF(X$3="Tous",SUMIFS('Étape 1 - à remplir'!$F$31:$F$400,'Étape 1 - à remplir'!$E$31:$E$400,MASQ2!O428,'Étape 1 - à remplir'!$G$31:$G$400,"animaux"),SUMIFS('Étape 1 - à remplir'!$F$31:$F$400,'Étape 1 - à remplir'!$E$31:$E$400,MASQ2!O428,'Étape 1 - à remplir'!$P$31:$P$400,X$3)),IF(X$2="Atelier",IF(X$3="Tous",SUMIFS('Étape 1 - à remplir'!$F$31:$F$400,'Étape 1 - à remplir'!$E$31:$E$400,MASQ2!O428,'Étape 1 - à remplir'!$G$31:$G$400,"animaux"),SUMIFS('Étape 1 - à remplir'!$F$31:$F$400,'Étape 1 - à remplir'!$E$31:$E$400,MASQ2!O428,'Étape 1 - à remplir'!$O$31:$O$400,X$3)),IF(X$2="Espèce",IF(X$3="Toutes",SUMIFS('Étape 1 - à remplir'!$F$31:$F$400,'Étape 1 - à remplir'!$E$31:$E$400,MASQ2!O428,'Étape 1 - à remplir'!$G$31:$G$400,"animaux"),SUMIFS('Étape 1 - à remplir'!$F$31:$F$400,'Étape 1 - à remplir'!$E$31:$E$400,MASQ2!O428,'Étape 1 - à remplir'!$N$31:$N$400,X$3)))))))</f>
        <v>#N/A</v>
      </c>
      <c r="Q428" s="63">
        <f t="shared" si="285"/>
        <v>0</v>
      </c>
      <c r="R428" t="str">
        <f>Données_ATB!BM427</f>
        <v>Doxycycline</v>
      </c>
      <c r="S428" t="str">
        <f>Données_ATB!BN427</f>
        <v/>
      </c>
      <c r="T428" s="63" t="str">
        <f>Données_ATB!BO427</f>
        <v/>
      </c>
      <c r="U428" s="42" t="str">
        <f>Données_ATB!BQ427</f>
        <v>Tetracyclines</v>
      </c>
      <c r="V428" t="str">
        <f>Données_ATB!BR427</f>
        <v/>
      </c>
      <c r="W428" s="63" t="str">
        <f>Données_ATB!BS427</f>
        <v/>
      </c>
      <c r="Z428" s="42">
        <v>425</v>
      </c>
      <c r="AA428" t="e">
        <f t="shared" si="281"/>
        <v>#N/A</v>
      </c>
      <c r="AB428" s="63" t="e">
        <f t="shared" si="282"/>
        <v>#N/A</v>
      </c>
      <c r="BF428" s="63"/>
      <c r="BT428" s="194" t="str">
        <f t="shared" ca="1" si="265"/>
        <v/>
      </c>
      <c r="BU428" s="219" t="str">
        <f>IFERROR(IF(BX428=0,"",COUNTIF(BX$4:BX$600,"&gt;"&amp;BX428)+COUNTIF(BX$4:BX428,BX428)),"")</f>
        <v/>
      </c>
      <c r="BV428" s="42" t="str">
        <f t="shared" si="266"/>
        <v>RONAXAN CONCENTRE 20 %</v>
      </c>
      <c r="BW428" t="e">
        <f>IF(IF(CE$2="Catégorie",IF(CE$3="Toutes",SUMIFS('Étape 1 - à remplir'!$F$31:$F$400,'Étape 1 - à remplir'!$E$31:$E$400,MASQ2!BV428,'Étape 1 - à remplir'!$G$31:$G$400,"lots"),SUMIFS('Étape 1 - à remplir'!$F$31:$F$400,'Étape 1 - à remplir'!$E$31:$E$400,MASQ2!BV428,'Étape 1 - à remplir'!$C$31:$C$400,CE$3)),IF(CE$2="Âge",IF(CE$3="Tous",SUMIFS('Étape 1 - à remplir'!$F$31:$F$400,'Étape 1 - à remplir'!$E$31:$E$400,MASQ2!BV428,'Étape 1 - à remplir'!$G$31:$G$400,"lots"),SUMIFS('Étape 1 - à remplir'!$F$31:$F$400,'Étape 1 - à remplir'!$E$31:$E$400,MASQ2!BV428,'Étape 1 - à remplir'!$P$31:$P$400,CE$3,'Étape 1 - à remplir'!$G$31:$G$400,"lots")),IF(CE$2="Atelier",IF(CE$3="Tous",SUMIFS('Étape 1 - à remplir'!$F$31:$F$400,'Étape 1 - à remplir'!$E$31:$E$400,MASQ2!BV428,'Étape 1 - à remplir'!$G$31:$G$400,"lots"),SUMIFS('Étape 1 - à remplir'!$F$31:$F$400,'Étape 1 - à remplir'!$E$31:$E$400,MASQ2!BV428,'Étape 1 - à remplir'!$O$31:$O$400,CE$3,'Étape 1 - à remplir'!$G$31:$G$400,"lots")),IF(CE$2="Espèce",IF(CE$3="Toutes",SUMIFS('Étape 1 - à remplir'!$F$31:$F$400,'Étape 1 - à remplir'!$E$31:$E$400,MASQ2!BV428,'Étape 1 - à remplir'!$G$31:$G$400,"lots"),SUMIFS('Étape 1 - à remplir'!$F$31:$F$400,'Étape 1 - à remplir'!$E$31:$E$400,MASQ2!BV428,'Étape 1 - à remplir'!$N$31:$N$400,CE$3,'Étape 1 - à remplir'!$G$31:$G$400,"lots"))))))=0,NA(),IF(CE$2="Catégorie",IF(CE$3="Toutes",SUMIFS('Étape 1 - à remplir'!$F$31:$F$400,'Étape 1 - à remplir'!$E$31:$E$400,MASQ2!BV428,'Étape 1 - à remplir'!$G$31:$G$400,"lots"),SUMIFS('Étape 1 - à remplir'!$F$31:$F$400,'Étape 1 - à remplir'!$E$31:$E$400,MASQ2!BV428,'Étape 1 - à remplir'!$C$31:$C$400,CE$3)),IF(CE$2="Âge",IF(CE$3="Tous",SUMIFS('Étape 1 - à remplir'!$F$31:$F$400,'Étape 1 - à remplir'!$E$31:$E$400,MASQ2!BV428,'Étape 1 - à remplir'!$G$31:$G$400,"lots"),SUMIFS('Étape 1 - à remplir'!$F$31:$F$400,'Étape 1 - à remplir'!$E$31:$E$400,MASQ2!BV428,'Étape 1 - à remplir'!$P$31:$P$400,CE$3,'Étape 1 - à remplir'!$G$31:$G$400,"lots")),IF(CE$2="Atelier",IF(CE$3="Tous",SUMIFS('Étape 1 - à remplir'!$F$31:$F$400,'Étape 1 - à remplir'!$E$31:$E$400,MASQ2!BV428,'Étape 1 - à remplir'!$G$31:$G$400,"lots"),SUMIFS('Étape 1 - à remplir'!$F$31:$F$400,'Étape 1 - à remplir'!$E$31:$E$400,MASQ2!BV428,'Étape 1 - à remplir'!$O$31:$O$400,CE$3,'Étape 1 - à remplir'!$G$31:$G$400,"lots")),IF(CE$2="Espèce",IF(CE$3="Toutes",SUMIFS('Étape 1 - à remplir'!$F$31:$F$400,'Étape 1 - à remplir'!$E$31:$E$400,MASQ2!BV428,'Étape 1 - à remplir'!$G$31:$G$400,"lots"),SUMIFS('Étape 1 - à remplir'!$F$31:$F$400,'Étape 1 - à remplir'!$E$31:$E$400,MASQ2!BV428,'Étape 1 - à remplir'!$N$31:$N$400,CE$3,'Étape 1 - à remplir'!$G$31:$G$400,"lots")))))))</f>
        <v>#N/A</v>
      </c>
      <c r="BX428">
        <f t="shared" si="283"/>
        <v>0</v>
      </c>
      <c r="BY428" t="str">
        <f t="shared" si="267"/>
        <v>Doxycycline</v>
      </c>
      <c r="BZ428" t="str">
        <f t="shared" si="268"/>
        <v/>
      </c>
      <c r="CA428" t="str">
        <f t="shared" si="269"/>
        <v/>
      </c>
      <c r="CB428" t="str">
        <f t="shared" si="270"/>
        <v>Tetracyclines</v>
      </c>
      <c r="CC428" t="str">
        <f t="shared" si="271"/>
        <v/>
      </c>
      <c r="CD428" s="63" t="str">
        <f t="shared" si="272"/>
        <v/>
      </c>
      <c r="CG428" s="42">
        <v>425</v>
      </c>
      <c r="CH428" s="42" t="e">
        <f t="shared" si="288"/>
        <v>#N/A</v>
      </c>
      <c r="CI428" s="63" t="e">
        <f t="shared" si="289"/>
        <v>#N/A</v>
      </c>
      <c r="DM428" s="63"/>
      <c r="EA428" s="194" t="str">
        <f t="shared" ca="1" si="273"/>
        <v/>
      </c>
      <c r="EB428" s="226" t="str">
        <f>IFERROR(IF(ED428=0,"",COUNTIF(ED$4:ED$600,"&gt;"&amp;ED428)+COUNTIF(ED$4:ED428,ED428)),"")</f>
        <v/>
      </c>
      <c r="EC428" t="str">
        <f t="shared" si="274"/>
        <v>RONAXAN CONCENTRE 20 %</v>
      </c>
      <c r="ED428" t="e">
        <f>IF(IF(EL$2="Catégorie",IF(EL$3="Toutes",SUMIFS('Étape 1 - à remplir'!$F$31:$F$400,'Étape 1 - à remplir'!$E$31:$E$400,MASQ2!EC428,'Étape 1 - à remplir'!$G$31:$G$400,"kg"),SUMIFS('Étape 1 - à remplir'!$F$31:$F$400,'Étape 1 - à remplir'!$E$31:$E$400,MASQ2!EC428,'Étape 1 - à remplir'!$C$31:$C$400,EL$3)),IF(EL$2="Âge",IF(EL$3="Tous",SUMIFS('Étape 1 - à remplir'!$F$31:$F$400,'Étape 1 - à remplir'!$E$31:$E$400,MASQ2!EC428,'Étape 1 - à remplir'!$G$31:$G$400,"kg"),SUMIFS('Étape 1 - à remplir'!$F$31:$F$400,'Étape 1 - à remplir'!$E$31:$E$400,MASQ2!EC428,'Étape 1 - à remplir'!$P$31:$P$400,EL$3,'Étape 1 - à remplir'!$G$31:$G$400,"kg")),IF(EL$2="Atelier",IF(EL$3="Tous",SUMIFS('Étape 1 - à remplir'!$F$31:$F$400,'Étape 1 - à remplir'!$E$31:$E$400,MASQ2!EC428,'Étape 1 - à remplir'!$G$31:$G$400,"kg"),SUMIFS('Étape 1 - à remplir'!$F$31:$F$400,'Étape 1 - à remplir'!$E$31:$E$400,MASQ2!EC428,'Étape 1 - à remplir'!$O$31:$O$400,EL$3,'Étape 1 - à remplir'!$G$31:$G$400,"kg")),IF(EL$2="Espèce",IF(EL$3="Toutes",SUMIFS('Étape 1 - à remplir'!$F$31:$F$400,'Étape 1 - à remplir'!$E$31:$E$400,MASQ2!EC428,'Étape 1 - à remplir'!$G$31:$G$400,"kg"),SUMIFS('Étape 1 - à remplir'!$F$31:$F$400,'Étape 1 - à remplir'!$E$31:$E$400,MASQ2!EC428,'Étape 1 - à remplir'!$N$31:$N$400,EL$3,'Étape 1 - à remplir'!$G$31:$G$400,"kg"))))))=0,NA(),IF(EL$2="Catégorie",IF(EL$3="Toutes",SUMIFS('Étape 1 - à remplir'!$F$31:$F$400,'Étape 1 - à remplir'!$E$31:$E$400,MASQ2!EC428,'Étape 1 - à remplir'!$G$31:$G$400,"kg"),SUMIFS('Étape 1 - à remplir'!$F$31:$F$400,'Étape 1 - à remplir'!$E$31:$E$400,MASQ2!EC428,'Étape 1 - à remplir'!$C$31:$C$400,EL$3)),IF(EL$2="Âge",IF(EL$3="Tous",SUMIFS('Étape 1 - à remplir'!$F$31:$F$400,'Étape 1 - à remplir'!$E$31:$E$400,MASQ2!EC428,'Étape 1 - à remplir'!$G$31:$G$400,"kg"),SUMIFS('Étape 1 - à remplir'!$F$31:$F$400,'Étape 1 - à remplir'!$E$31:$E$400,MASQ2!EC428,'Étape 1 - à remplir'!$P$31:$P$400,EL$3,'Étape 1 - à remplir'!$G$31:$G$400,"kg")),IF(EL$2="Atelier",IF(EL$3="Tous",SUMIFS('Étape 1 - à remplir'!$F$31:$F$400,'Étape 1 - à remplir'!$E$31:$E$400,MASQ2!EC428,'Étape 1 - à remplir'!$G$31:$G$400,"kg"),SUMIFS('Étape 1 - à remplir'!$F$31:$F$400,'Étape 1 - à remplir'!$E$31:$E$400,MASQ2!EC428,'Étape 1 - à remplir'!$O$31:$O$400,EL$3,'Étape 1 - à remplir'!$G$31:$G$400,"kg")),IF(EL$2="Espèce",IF(EL$3="Toutes",SUMIFS('Étape 1 - à remplir'!$F$31:$F$400,'Étape 1 - à remplir'!$E$31:$E$400,MASQ2!EC428,'Étape 1 - à remplir'!$G$31:$G$400,"kg"),SUMIFS('Étape 1 - à remplir'!$F$31:$F$400,'Étape 1 - à remplir'!$E$31:$E$400,MASQ2!EC428,'Étape 1 - à remplir'!$N$31:$N$400,EL$3,'Étape 1 - à remplir'!$G$31:$G$400,"kg")))))))</f>
        <v>#N/A</v>
      </c>
      <c r="EE428" s="76">
        <f t="shared" si="284"/>
        <v>0</v>
      </c>
      <c r="EF428" t="str">
        <f t="shared" si="275"/>
        <v>Doxycycline</v>
      </c>
      <c r="EG428" t="str">
        <f t="shared" si="276"/>
        <v/>
      </c>
      <c r="EH428" t="str">
        <f t="shared" si="277"/>
        <v/>
      </c>
      <c r="EI428" t="str">
        <f t="shared" si="278"/>
        <v>Tetracyclines</v>
      </c>
      <c r="EJ428" t="str">
        <f t="shared" si="279"/>
        <v/>
      </c>
      <c r="EK428" s="63" t="str">
        <f t="shared" si="280"/>
        <v/>
      </c>
      <c r="EN428" s="42">
        <v>425</v>
      </c>
      <c r="EO428" t="e">
        <f t="shared" si="286"/>
        <v>#N/A</v>
      </c>
      <c r="EP428" s="63" t="e">
        <f t="shared" si="287"/>
        <v>#N/A</v>
      </c>
      <c r="FT428" s="63"/>
    </row>
    <row r="429" spans="2:176" x14ac:dyDescent="0.3">
      <c r="B429" s="42"/>
      <c r="M429" s="194" t="str">
        <f ca="1">INDEX(Données_ATB!BD:BU,MATCH(MASQ2!O429,Données_ATB!BD:BD,0),18)</f>
        <v/>
      </c>
      <c r="N429" s="14" t="str">
        <f>IFERROR(IF(Q429=0,"",COUNTIF(Q$4:Q$600,"&gt;"&amp;Q429)+COUNTIF(Q$4:Q429,Q429)),"")</f>
        <v/>
      </c>
      <c r="O429" t="str">
        <f>Données_ATB!BD428</f>
        <v>RONAXAN DOXYCYCLINE 20 POULET</v>
      </c>
      <c r="P429" t="e">
        <f>IF(IF(X$2="Catégorie",IF(X$3="Toutes",SUMIFS('Étape 1 - à remplir'!$F$31:$F$400,'Étape 1 - à remplir'!$E$31:$E$400,MASQ2!O429,'Étape 1 - à remplir'!$G$31:$G$400,"animaux"),SUMIFS('Étape 1 - à remplir'!$F$31:$F$400,'Étape 1 - à remplir'!$E$31:$E$400,MASQ2!O429,'Étape 1 - à remplir'!$C$31:$C$400,X$3)),IF(X$2="Âge",IF(X$3="Tous",SUMIFS('Étape 1 - à remplir'!$F$31:$F$400,'Étape 1 - à remplir'!$E$31:$E$400,MASQ2!O429,'Étape 1 - à remplir'!$G$31:$G$400,"animaux"),SUMIFS('Étape 1 - à remplir'!$F$31:$F$400,'Étape 1 - à remplir'!$E$31:$E$400,MASQ2!O429,'Étape 1 - à remplir'!$P$31:$P$400,X$3)),IF(X$2="Atelier",IF(X$3="Tous",SUMIFS('Étape 1 - à remplir'!$F$31:$F$400,'Étape 1 - à remplir'!$E$31:$E$400,MASQ2!O429,'Étape 1 - à remplir'!$G$31:$G$400,"animaux"),SUMIFS('Étape 1 - à remplir'!$F$31:$F$400,'Étape 1 - à remplir'!$E$31:$E$400,MASQ2!O429,'Étape 1 - à remplir'!$O$31:$O$400,X$3)),IF(X$2="Espèce",IF(X$3="Toutes",SUMIFS('Étape 1 - à remplir'!$F$31:$F$400,'Étape 1 - à remplir'!$E$31:$E$400,MASQ2!O429,'Étape 1 - à remplir'!$G$31:$G$400,"animaux"),SUMIFS('Étape 1 - à remplir'!$F$31:$F$400,'Étape 1 - à remplir'!$E$31:$E$400,MASQ2!O429,'Étape 1 - à remplir'!$N$31:$N$400,X$3))))))=0,NA(),IF(X$2="Catégorie",IF(X$3="Toutes",SUMIFS('Étape 1 - à remplir'!$F$31:$F$400,'Étape 1 - à remplir'!$E$31:$E$400,MASQ2!O429,'Étape 1 - à remplir'!$G$31:$G$400,"animaux"),SUMIFS('Étape 1 - à remplir'!$F$31:$F$400,'Étape 1 - à remplir'!$E$31:$E$400,MASQ2!O429,'Étape 1 - à remplir'!$C$31:$C$400,X$3)),IF(X$2="Âge",IF(X$3="Tous",SUMIFS('Étape 1 - à remplir'!$F$31:$F$400,'Étape 1 - à remplir'!$E$31:$E$400,MASQ2!O429,'Étape 1 - à remplir'!$G$31:$G$400,"animaux"),SUMIFS('Étape 1 - à remplir'!$F$31:$F$400,'Étape 1 - à remplir'!$E$31:$E$400,MASQ2!O429,'Étape 1 - à remplir'!$P$31:$P$400,X$3)),IF(X$2="Atelier",IF(X$3="Tous",SUMIFS('Étape 1 - à remplir'!$F$31:$F$400,'Étape 1 - à remplir'!$E$31:$E$400,MASQ2!O429,'Étape 1 - à remplir'!$G$31:$G$400,"animaux"),SUMIFS('Étape 1 - à remplir'!$F$31:$F$400,'Étape 1 - à remplir'!$E$31:$E$400,MASQ2!O429,'Étape 1 - à remplir'!$O$31:$O$400,X$3)),IF(X$2="Espèce",IF(X$3="Toutes",SUMIFS('Étape 1 - à remplir'!$F$31:$F$400,'Étape 1 - à remplir'!$E$31:$E$400,MASQ2!O429,'Étape 1 - à remplir'!$G$31:$G$400,"animaux"),SUMIFS('Étape 1 - à remplir'!$F$31:$F$400,'Étape 1 - à remplir'!$E$31:$E$400,MASQ2!O429,'Étape 1 - à remplir'!$N$31:$N$400,X$3)))))))</f>
        <v>#N/A</v>
      </c>
      <c r="Q429" s="63">
        <f t="shared" si="285"/>
        <v>0</v>
      </c>
      <c r="R429" t="str">
        <f>Données_ATB!BM428</f>
        <v>Doxycycline</v>
      </c>
      <c r="S429" t="str">
        <f>Données_ATB!BN428</f>
        <v/>
      </c>
      <c r="T429" s="63" t="str">
        <f>Données_ATB!BO428</f>
        <v/>
      </c>
      <c r="U429" s="42" t="str">
        <f>Données_ATB!BQ428</f>
        <v>Tetracyclines</v>
      </c>
      <c r="V429" t="str">
        <f>Données_ATB!BR428</f>
        <v/>
      </c>
      <c r="W429" s="63" t="str">
        <f>Données_ATB!BS428</f>
        <v/>
      </c>
      <c r="Z429" s="42">
        <v>426</v>
      </c>
      <c r="AA429" t="e">
        <f t="shared" si="281"/>
        <v>#N/A</v>
      </c>
      <c r="AB429" s="63" t="e">
        <f t="shared" si="282"/>
        <v>#N/A</v>
      </c>
      <c r="BF429" s="63"/>
      <c r="BT429" s="194" t="str">
        <f t="shared" ca="1" si="265"/>
        <v/>
      </c>
      <c r="BU429" s="219" t="str">
        <f>IFERROR(IF(BX429=0,"",COUNTIF(BX$4:BX$600,"&gt;"&amp;BX429)+COUNTIF(BX$4:BX429,BX429)),"")</f>
        <v/>
      </c>
      <c r="BV429" s="42" t="str">
        <f t="shared" si="266"/>
        <v>RONAXAN DOXYCYCLINE 20 POULET</v>
      </c>
      <c r="BW429" t="e">
        <f>IF(IF(CE$2="Catégorie",IF(CE$3="Toutes",SUMIFS('Étape 1 - à remplir'!$F$31:$F$400,'Étape 1 - à remplir'!$E$31:$E$400,MASQ2!BV429,'Étape 1 - à remplir'!$G$31:$G$400,"lots"),SUMIFS('Étape 1 - à remplir'!$F$31:$F$400,'Étape 1 - à remplir'!$E$31:$E$400,MASQ2!BV429,'Étape 1 - à remplir'!$C$31:$C$400,CE$3)),IF(CE$2="Âge",IF(CE$3="Tous",SUMIFS('Étape 1 - à remplir'!$F$31:$F$400,'Étape 1 - à remplir'!$E$31:$E$400,MASQ2!BV429,'Étape 1 - à remplir'!$G$31:$G$400,"lots"),SUMIFS('Étape 1 - à remplir'!$F$31:$F$400,'Étape 1 - à remplir'!$E$31:$E$400,MASQ2!BV429,'Étape 1 - à remplir'!$P$31:$P$400,CE$3,'Étape 1 - à remplir'!$G$31:$G$400,"lots")),IF(CE$2="Atelier",IF(CE$3="Tous",SUMIFS('Étape 1 - à remplir'!$F$31:$F$400,'Étape 1 - à remplir'!$E$31:$E$400,MASQ2!BV429,'Étape 1 - à remplir'!$G$31:$G$400,"lots"),SUMIFS('Étape 1 - à remplir'!$F$31:$F$400,'Étape 1 - à remplir'!$E$31:$E$400,MASQ2!BV429,'Étape 1 - à remplir'!$O$31:$O$400,CE$3,'Étape 1 - à remplir'!$G$31:$G$400,"lots")),IF(CE$2="Espèce",IF(CE$3="Toutes",SUMIFS('Étape 1 - à remplir'!$F$31:$F$400,'Étape 1 - à remplir'!$E$31:$E$400,MASQ2!BV429,'Étape 1 - à remplir'!$G$31:$G$400,"lots"),SUMIFS('Étape 1 - à remplir'!$F$31:$F$400,'Étape 1 - à remplir'!$E$31:$E$400,MASQ2!BV429,'Étape 1 - à remplir'!$N$31:$N$400,CE$3,'Étape 1 - à remplir'!$G$31:$G$400,"lots"))))))=0,NA(),IF(CE$2="Catégorie",IF(CE$3="Toutes",SUMIFS('Étape 1 - à remplir'!$F$31:$F$400,'Étape 1 - à remplir'!$E$31:$E$400,MASQ2!BV429,'Étape 1 - à remplir'!$G$31:$G$400,"lots"),SUMIFS('Étape 1 - à remplir'!$F$31:$F$400,'Étape 1 - à remplir'!$E$31:$E$400,MASQ2!BV429,'Étape 1 - à remplir'!$C$31:$C$400,CE$3)),IF(CE$2="Âge",IF(CE$3="Tous",SUMIFS('Étape 1 - à remplir'!$F$31:$F$400,'Étape 1 - à remplir'!$E$31:$E$400,MASQ2!BV429,'Étape 1 - à remplir'!$G$31:$G$400,"lots"),SUMIFS('Étape 1 - à remplir'!$F$31:$F$400,'Étape 1 - à remplir'!$E$31:$E$400,MASQ2!BV429,'Étape 1 - à remplir'!$P$31:$P$400,CE$3,'Étape 1 - à remplir'!$G$31:$G$400,"lots")),IF(CE$2="Atelier",IF(CE$3="Tous",SUMIFS('Étape 1 - à remplir'!$F$31:$F$400,'Étape 1 - à remplir'!$E$31:$E$400,MASQ2!BV429,'Étape 1 - à remplir'!$G$31:$G$400,"lots"),SUMIFS('Étape 1 - à remplir'!$F$31:$F$400,'Étape 1 - à remplir'!$E$31:$E$400,MASQ2!BV429,'Étape 1 - à remplir'!$O$31:$O$400,CE$3,'Étape 1 - à remplir'!$G$31:$G$400,"lots")),IF(CE$2="Espèce",IF(CE$3="Toutes",SUMIFS('Étape 1 - à remplir'!$F$31:$F$400,'Étape 1 - à remplir'!$E$31:$E$400,MASQ2!BV429,'Étape 1 - à remplir'!$G$31:$G$400,"lots"),SUMIFS('Étape 1 - à remplir'!$F$31:$F$400,'Étape 1 - à remplir'!$E$31:$E$400,MASQ2!BV429,'Étape 1 - à remplir'!$N$31:$N$400,CE$3,'Étape 1 - à remplir'!$G$31:$G$400,"lots")))))))</f>
        <v>#N/A</v>
      </c>
      <c r="BX429">
        <f t="shared" si="283"/>
        <v>0</v>
      </c>
      <c r="BY429" t="str">
        <f t="shared" si="267"/>
        <v>Doxycycline</v>
      </c>
      <c r="BZ429" t="str">
        <f t="shared" si="268"/>
        <v/>
      </c>
      <c r="CA429" t="str">
        <f t="shared" si="269"/>
        <v/>
      </c>
      <c r="CB429" t="str">
        <f t="shared" si="270"/>
        <v>Tetracyclines</v>
      </c>
      <c r="CC429" t="str">
        <f t="shared" si="271"/>
        <v/>
      </c>
      <c r="CD429" s="63" t="str">
        <f t="shared" si="272"/>
        <v/>
      </c>
      <c r="CG429" s="42">
        <v>426</v>
      </c>
      <c r="CH429" s="42" t="e">
        <f t="shared" si="288"/>
        <v>#N/A</v>
      </c>
      <c r="CI429" s="63" t="e">
        <f t="shared" si="289"/>
        <v>#N/A</v>
      </c>
      <c r="DM429" s="63"/>
      <c r="EA429" s="194" t="str">
        <f t="shared" ca="1" si="273"/>
        <v/>
      </c>
      <c r="EB429" s="226" t="str">
        <f>IFERROR(IF(ED429=0,"",COUNTIF(ED$4:ED$600,"&gt;"&amp;ED429)+COUNTIF(ED$4:ED429,ED429)),"")</f>
        <v/>
      </c>
      <c r="EC429" t="str">
        <f t="shared" si="274"/>
        <v>RONAXAN DOXYCYCLINE 20 POULET</v>
      </c>
      <c r="ED429" t="e">
        <f>IF(IF(EL$2="Catégorie",IF(EL$3="Toutes",SUMIFS('Étape 1 - à remplir'!$F$31:$F$400,'Étape 1 - à remplir'!$E$31:$E$400,MASQ2!EC429,'Étape 1 - à remplir'!$G$31:$G$400,"kg"),SUMIFS('Étape 1 - à remplir'!$F$31:$F$400,'Étape 1 - à remplir'!$E$31:$E$400,MASQ2!EC429,'Étape 1 - à remplir'!$C$31:$C$400,EL$3)),IF(EL$2="Âge",IF(EL$3="Tous",SUMIFS('Étape 1 - à remplir'!$F$31:$F$400,'Étape 1 - à remplir'!$E$31:$E$400,MASQ2!EC429,'Étape 1 - à remplir'!$G$31:$G$400,"kg"),SUMIFS('Étape 1 - à remplir'!$F$31:$F$400,'Étape 1 - à remplir'!$E$31:$E$400,MASQ2!EC429,'Étape 1 - à remplir'!$P$31:$P$400,EL$3,'Étape 1 - à remplir'!$G$31:$G$400,"kg")),IF(EL$2="Atelier",IF(EL$3="Tous",SUMIFS('Étape 1 - à remplir'!$F$31:$F$400,'Étape 1 - à remplir'!$E$31:$E$400,MASQ2!EC429,'Étape 1 - à remplir'!$G$31:$G$400,"kg"),SUMIFS('Étape 1 - à remplir'!$F$31:$F$400,'Étape 1 - à remplir'!$E$31:$E$400,MASQ2!EC429,'Étape 1 - à remplir'!$O$31:$O$400,EL$3,'Étape 1 - à remplir'!$G$31:$G$400,"kg")),IF(EL$2="Espèce",IF(EL$3="Toutes",SUMIFS('Étape 1 - à remplir'!$F$31:$F$400,'Étape 1 - à remplir'!$E$31:$E$400,MASQ2!EC429,'Étape 1 - à remplir'!$G$31:$G$400,"kg"),SUMIFS('Étape 1 - à remplir'!$F$31:$F$400,'Étape 1 - à remplir'!$E$31:$E$400,MASQ2!EC429,'Étape 1 - à remplir'!$N$31:$N$400,EL$3,'Étape 1 - à remplir'!$G$31:$G$400,"kg"))))))=0,NA(),IF(EL$2="Catégorie",IF(EL$3="Toutes",SUMIFS('Étape 1 - à remplir'!$F$31:$F$400,'Étape 1 - à remplir'!$E$31:$E$400,MASQ2!EC429,'Étape 1 - à remplir'!$G$31:$G$400,"kg"),SUMIFS('Étape 1 - à remplir'!$F$31:$F$400,'Étape 1 - à remplir'!$E$31:$E$400,MASQ2!EC429,'Étape 1 - à remplir'!$C$31:$C$400,EL$3)),IF(EL$2="Âge",IF(EL$3="Tous",SUMIFS('Étape 1 - à remplir'!$F$31:$F$400,'Étape 1 - à remplir'!$E$31:$E$400,MASQ2!EC429,'Étape 1 - à remplir'!$G$31:$G$400,"kg"),SUMIFS('Étape 1 - à remplir'!$F$31:$F$400,'Étape 1 - à remplir'!$E$31:$E$400,MASQ2!EC429,'Étape 1 - à remplir'!$P$31:$P$400,EL$3,'Étape 1 - à remplir'!$G$31:$G$400,"kg")),IF(EL$2="Atelier",IF(EL$3="Tous",SUMIFS('Étape 1 - à remplir'!$F$31:$F$400,'Étape 1 - à remplir'!$E$31:$E$400,MASQ2!EC429,'Étape 1 - à remplir'!$G$31:$G$400,"kg"),SUMIFS('Étape 1 - à remplir'!$F$31:$F$400,'Étape 1 - à remplir'!$E$31:$E$400,MASQ2!EC429,'Étape 1 - à remplir'!$O$31:$O$400,EL$3,'Étape 1 - à remplir'!$G$31:$G$400,"kg")),IF(EL$2="Espèce",IF(EL$3="Toutes",SUMIFS('Étape 1 - à remplir'!$F$31:$F$400,'Étape 1 - à remplir'!$E$31:$E$400,MASQ2!EC429,'Étape 1 - à remplir'!$G$31:$G$400,"kg"),SUMIFS('Étape 1 - à remplir'!$F$31:$F$400,'Étape 1 - à remplir'!$E$31:$E$400,MASQ2!EC429,'Étape 1 - à remplir'!$N$31:$N$400,EL$3,'Étape 1 - à remplir'!$G$31:$G$400,"kg")))))))</f>
        <v>#N/A</v>
      </c>
      <c r="EE429" s="76">
        <f t="shared" si="284"/>
        <v>0</v>
      </c>
      <c r="EF429" t="str">
        <f t="shared" si="275"/>
        <v>Doxycycline</v>
      </c>
      <c r="EG429" t="str">
        <f t="shared" si="276"/>
        <v/>
      </c>
      <c r="EH429" t="str">
        <f t="shared" si="277"/>
        <v/>
      </c>
      <c r="EI429" t="str">
        <f t="shared" si="278"/>
        <v>Tetracyclines</v>
      </c>
      <c r="EJ429" t="str">
        <f t="shared" si="279"/>
        <v/>
      </c>
      <c r="EK429" s="63" t="str">
        <f t="shared" si="280"/>
        <v/>
      </c>
      <c r="EN429" s="42">
        <v>426</v>
      </c>
      <c r="EO429" t="e">
        <f t="shared" si="286"/>
        <v>#N/A</v>
      </c>
      <c r="EP429" s="63" t="e">
        <f t="shared" si="287"/>
        <v>#N/A</v>
      </c>
      <c r="FT429" s="63"/>
    </row>
    <row r="430" spans="2:176" x14ac:dyDescent="0.3">
      <c r="B430" s="42"/>
      <c r="M430" s="194" t="str">
        <f ca="1">INDEX(Données_ATB!BD:BU,MATCH(MASQ2!O430,Données_ATB!BD:BD,0),18)</f>
        <v/>
      </c>
      <c r="N430" s="14" t="str">
        <f>IFERROR(IF(Q430=0,"",COUNTIF(Q$4:Q$600,"&gt;"&amp;Q430)+COUNTIF(Q$4:Q430,Q430)),"")</f>
        <v/>
      </c>
      <c r="O430" t="str">
        <f>Données_ATB!BD429</f>
        <v>RONAXAN P.S. 5 %</v>
      </c>
      <c r="P430" t="e">
        <f>IF(IF(X$2="Catégorie",IF(X$3="Toutes",SUMIFS('Étape 1 - à remplir'!$F$31:$F$400,'Étape 1 - à remplir'!$E$31:$E$400,MASQ2!O430,'Étape 1 - à remplir'!$G$31:$G$400,"animaux"),SUMIFS('Étape 1 - à remplir'!$F$31:$F$400,'Étape 1 - à remplir'!$E$31:$E$400,MASQ2!O430,'Étape 1 - à remplir'!$C$31:$C$400,X$3)),IF(X$2="Âge",IF(X$3="Tous",SUMIFS('Étape 1 - à remplir'!$F$31:$F$400,'Étape 1 - à remplir'!$E$31:$E$400,MASQ2!O430,'Étape 1 - à remplir'!$G$31:$G$400,"animaux"),SUMIFS('Étape 1 - à remplir'!$F$31:$F$400,'Étape 1 - à remplir'!$E$31:$E$400,MASQ2!O430,'Étape 1 - à remplir'!$P$31:$P$400,X$3)),IF(X$2="Atelier",IF(X$3="Tous",SUMIFS('Étape 1 - à remplir'!$F$31:$F$400,'Étape 1 - à remplir'!$E$31:$E$400,MASQ2!O430,'Étape 1 - à remplir'!$G$31:$G$400,"animaux"),SUMIFS('Étape 1 - à remplir'!$F$31:$F$400,'Étape 1 - à remplir'!$E$31:$E$400,MASQ2!O430,'Étape 1 - à remplir'!$O$31:$O$400,X$3)),IF(X$2="Espèce",IF(X$3="Toutes",SUMIFS('Étape 1 - à remplir'!$F$31:$F$400,'Étape 1 - à remplir'!$E$31:$E$400,MASQ2!O430,'Étape 1 - à remplir'!$G$31:$G$400,"animaux"),SUMIFS('Étape 1 - à remplir'!$F$31:$F$400,'Étape 1 - à remplir'!$E$31:$E$400,MASQ2!O430,'Étape 1 - à remplir'!$N$31:$N$400,X$3))))))=0,NA(),IF(X$2="Catégorie",IF(X$3="Toutes",SUMIFS('Étape 1 - à remplir'!$F$31:$F$400,'Étape 1 - à remplir'!$E$31:$E$400,MASQ2!O430,'Étape 1 - à remplir'!$G$31:$G$400,"animaux"),SUMIFS('Étape 1 - à remplir'!$F$31:$F$400,'Étape 1 - à remplir'!$E$31:$E$400,MASQ2!O430,'Étape 1 - à remplir'!$C$31:$C$400,X$3)),IF(X$2="Âge",IF(X$3="Tous",SUMIFS('Étape 1 - à remplir'!$F$31:$F$400,'Étape 1 - à remplir'!$E$31:$E$400,MASQ2!O430,'Étape 1 - à remplir'!$G$31:$G$400,"animaux"),SUMIFS('Étape 1 - à remplir'!$F$31:$F$400,'Étape 1 - à remplir'!$E$31:$E$400,MASQ2!O430,'Étape 1 - à remplir'!$P$31:$P$400,X$3)),IF(X$2="Atelier",IF(X$3="Tous",SUMIFS('Étape 1 - à remplir'!$F$31:$F$400,'Étape 1 - à remplir'!$E$31:$E$400,MASQ2!O430,'Étape 1 - à remplir'!$G$31:$G$400,"animaux"),SUMIFS('Étape 1 - à remplir'!$F$31:$F$400,'Étape 1 - à remplir'!$E$31:$E$400,MASQ2!O430,'Étape 1 - à remplir'!$O$31:$O$400,X$3)),IF(X$2="Espèce",IF(X$3="Toutes",SUMIFS('Étape 1 - à remplir'!$F$31:$F$400,'Étape 1 - à remplir'!$E$31:$E$400,MASQ2!O430,'Étape 1 - à remplir'!$G$31:$G$400,"animaux"),SUMIFS('Étape 1 - à remplir'!$F$31:$F$400,'Étape 1 - à remplir'!$E$31:$E$400,MASQ2!O430,'Étape 1 - à remplir'!$N$31:$N$400,X$3)))))))</f>
        <v>#N/A</v>
      </c>
      <c r="Q430" s="63">
        <f t="shared" si="285"/>
        <v>0</v>
      </c>
      <c r="R430" t="str">
        <f>Données_ATB!BM429</f>
        <v>Doxycycline</v>
      </c>
      <c r="S430" t="str">
        <f>Données_ATB!BN429</f>
        <v/>
      </c>
      <c r="T430" s="63" t="str">
        <f>Données_ATB!BO429</f>
        <v/>
      </c>
      <c r="U430" s="42" t="str">
        <f>Données_ATB!BQ429</f>
        <v>Tetracyclines</v>
      </c>
      <c r="V430" t="str">
        <f>Données_ATB!BR429</f>
        <v/>
      </c>
      <c r="W430" s="63" t="str">
        <f>Données_ATB!BS429</f>
        <v/>
      </c>
      <c r="Z430" s="42">
        <v>427</v>
      </c>
      <c r="AA430" t="e">
        <f t="shared" si="281"/>
        <v>#N/A</v>
      </c>
      <c r="AB430" s="63" t="e">
        <f t="shared" si="282"/>
        <v>#N/A</v>
      </c>
      <c r="BF430" s="63"/>
      <c r="BT430" s="194" t="str">
        <f t="shared" ca="1" si="265"/>
        <v/>
      </c>
      <c r="BU430" s="219" t="str">
        <f>IFERROR(IF(BX430=0,"",COUNTIF(BX$4:BX$600,"&gt;"&amp;BX430)+COUNTIF(BX$4:BX430,BX430)),"")</f>
        <v/>
      </c>
      <c r="BV430" s="42" t="str">
        <f t="shared" si="266"/>
        <v>RONAXAN P.S. 5 %</v>
      </c>
      <c r="BW430" t="e">
        <f>IF(IF(CE$2="Catégorie",IF(CE$3="Toutes",SUMIFS('Étape 1 - à remplir'!$F$31:$F$400,'Étape 1 - à remplir'!$E$31:$E$400,MASQ2!BV430,'Étape 1 - à remplir'!$G$31:$G$400,"lots"),SUMIFS('Étape 1 - à remplir'!$F$31:$F$400,'Étape 1 - à remplir'!$E$31:$E$400,MASQ2!BV430,'Étape 1 - à remplir'!$C$31:$C$400,CE$3)),IF(CE$2="Âge",IF(CE$3="Tous",SUMIFS('Étape 1 - à remplir'!$F$31:$F$400,'Étape 1 - à remplir'!$E$31:$E$400,MASQ2!BV430,'Étape 1 - à remplir'!$G$31:$G$400,"lots"),SUMIFS('Étape 1 - à remplir'!$F$31:$F$400,'Étape 1 - à remplir'!$E$31:$E$400,MASQ2!BV430,'Étape 1 - à remplir'!$P$31:$P$400,CE$3,'Étape 1 - à remplir'!$G$31:$G$400,"lots")),IF(CE$2="Atelier",IF(CE$3="Tous",SUMIFS('Étape 1 - à remplir'!$F$31:$F$400,'Étape 1 - à remplir'!$E$31:$E$400,MASQ2!BV430,'Étape 1 - à remplir'!$G$31:$G$400,"lots"),SUMIFS('Étape 1 - à remplir'!$F$31:$F$400,'Étape 1 - à remplir'!$E$31:$E$400,MASQ2!BV430,'Étape 1 - à remplir'!$O$31:$O$400,CE$3,'Étape 1 - à remplir'!$G$31:$G$400,"lots")),IF(CE$2="Espèce",IF(CE$3="Toutes",SUMIFS('Étape 1 - à remplir'!$F$31:$F$400,'Étape 1 - à remplir'!$E$31:$E$400,MASQ2!BV430,'Étape 1 - à remplir'!$G$31:$G$400,"lots"),SUMIFS('Étape 1 - à remplir'!$F$31:$F$400,'Étape 1 - à remplir'!$E$31:$E$400,MASQ2!BV430,'Étape 1 - à remplir'!$N$31:$N$400,CE$3,'Étape 1 - à remplir'!$G$31:$G$400,"lots"))))))=0,NA(),IF(CE$2="Catégorie",IF(CE$3="Toutes",SUMIFS('Étape 1 - à remplir'!$F$31:$F$400,'Étape 1 - à remplir'!$E$31:$E$400,MASQ2!BV430,'Étape 1 - à remplir'!$G$31:$G$400,"lots"),SUMIFS('Étape 1 - à remplir'!$F$31:$F$400,'Étape 1 - à remplir'!$E$31:$E$400,MASQ2!BV430,'Étape 1 - à remplir'!$C$31:$C$400,CE$3)),IF(CE$2="Âge",IF(CE$3="Tous",SUMIFS('Étape 1 - à remplir'!$F$31:$F$400,'Étape 1 - à remplir'!$E$31:$E$400,MASQ2!BV430,'Étape 1 - à remplir'!$G$31:$G$400,"lots"),SUMIFS('Étape 1 - à remplir'!$F$31:$F$400,'Étape 1 - à remplir'!$E$31:$E$400,MASQ2!BV430,'Étape 1 - à remplir'!$P$31:$P$400,CE$3,'Étape 1 - à remplir'!$G$31:$G$400,"lots")),IF(CE$2="Atelier",IF(CE$3="Tous",SUMIFS('Étape 1 - à remplir'!$F$31:$F$400,'Étape 1 - à remplir'!$E$31:$E$400,MASQ2!BV430,'Étape 1 - à remplir'!$G$31:$G$400,"lots"),SUMIFS('Étape 1 - à remplir'!$F$31:$F$400,'Étape 1 - à remplir'!$E$31:$E$400,MASQ2!BV430,'Étape 1 - à remplir'!$O$31:$O$400,CE$3,'Étape 1 - à remplir'!$G$31:$G$400,"lots")),IF(CE$2="Espèce",IF(CE$3="Toutes",SUMIFS('Étape 1 - à remplir'!$F$31:$F$400,'Étape 1 - à remplir'!$E$31:$E$400,MASQ2!BV430,'Étape 1 - à remplir'!$G$31:$G$400,"lots"),SUMIFS('Étape 1 - à remplir'!$F$31:$F$400,'Étape 1 - à remplir'!$E$31:$E$400,MASQ2!BV430,'Étape 1 - à remplir'!$N$31:$N$400,CE$3,'Étape 1 - à remplir'!$G$31:$G$400,"lots")))))))</f>
        <v>#N/A</v>
      </c>
      <c r="BX430">
        <f t="shared" si="283"/>
        <v>0</v>
      </c>
      <c r="BY430" t="str">
        <f t="shared" si="267"/>
        <v>Doxycycline</v>
      </c>
      <c r="BZ430" t="str">
        <f t="shared" si="268"/>
        <v/>
      </c>
      <c r="CA430" t="str">
        <f t="shared" si="269"/>
        <v/>
      </c>
      <c r="CB430" t="str">
        <f t="shared" si="270"/>
        <v>Tetracyclines</v>
      </c>
      <c r="CC430" t="str">
        <f t="shared" si="271"/>
        <v/>
      </c>
      <c r="CD430" s="63" t="str">
        <f t="shared" si="272"/>
        <v/>
      </c>
      <c r="CG430" s="42">
        <v>427</v>
      </c>
      <c r="CH430" s="42" t="e">
        <f t="shared" si="288"/>
        <v>#N/A</v>
      </c>
      <c r="CI430" s="63" t="e">
        <f t="shared" si="289"/>
        <v>#N/A</v>
      </c>
      <c r="DM430" s="63"/>
      <c r="EA430" s="194" t="str">
        <f t="shared" ca="1" si="273"/>
        <v/>
      </c>
      <c r="EB430" s="226" t="str">
        <f>IFERROR(IF(ED430=0,"",COUNTIF(ED$4:ED$600,"&gt;"&amp;ED430)+COUNTIF(ED$4:ED430,ED430)),"")</f>
        <v/>
      </c>
      <c r="EC430" t="str">
        <f t="shared" si="274"/>
        <v>RONAXAN P.S. 5 %</v>
      </c>
      <c r="ED430" t="e">
        <f>IF(IF(EL$2="Catégorie",IF(EL$3="Toutes",SUMIFS('Étape 1 - à remplir'!$F$31:$F$400,'Étape 1 - à remplir'!$E$31:$E$400,MASQ2!EC430,'Étape 1 - à remplir'!$G$31:$G$400,"kg"),SUMIFS('Étape 1 - à remplir'!$F$31:$F$400,'Étape 1 - à remplir'!$E$31:$E$400,MASQ2!EC430,'Étape 1 - à remplir'!$C$31:$C$400,EL$3)),IF(EL$2="Âge",IF(EL$3="Tous",SUMIFS('Étape 1 - à remplir'!$F$31:$F$400,'Étape 1 - à remplir'!$E$31:$E$400,MASQ2!EC430,'Étape 1 - à remplir'!$G$31:$G$400,"kg"),SUMIFS('Étape 1 - à remplir'!$F$31:$F$400,'Étape 1 - à remplir'!$E$31:$E$400,MASQ2!EC430,'Étape 1 - à remplir'!$P$31:$P$400,EL$3,'Étape 1 - à remplir'!$G$31:$G$400,"kg")),IF(EL$2="Atelier",IF(EL$3="Tous",SUMIFS('Étape 1 - à remplir'!$F$31:$F$400,'Étape 1 - à remplir'!$E$31:$E$400,MASQ2!EC430,'Étape 1 - à remplir'!$G$31:$G$400,"kg"),SUMIFS('Étape 1 - à remplir'!$F$31:$F$400,'Étape 1 - à remplir'!$E$31:$E$400,MASQ2!EC430,'Étape 1 - à remplir'!$O$31:$O$400,EL$3,'Étape 1 - à remplir'!$G$31:$G$400,"kg")),IF(EL$2="Espèce",IF(EL$3="Toutes",SUMIFS('Étape 1 - à remplir'!$F$31:$F$400,'Étape 1 - à remplir'!$E$31:$E$400,MASQ2!EC430,'Étape 1 - à remplir'!$G$31:$G$400,"kg"),SUMIFS('Étape 1 - à remplir'!$F$31:$F$400,'Étape 1 - à remplir'!$E$31:$E$400,MASQ2!EC430,'Étape 1 - à remplir'!$N$31:$N$400,EL$3,'Étape 1 - à remplir'!$G$31:$G$400,"kg"))))))=0,NA(),IF(EL$2="Catégorie",IF(EL$3="Toutes",SUMIFS('Étape 1 - à remplir'!$F$31:$F$400,'Étape 1 - à remplir'!$E$31:$E$400,MASQ2!EC430,'Étape 1 - à remplir'!$G$31:$G$400,"kg"),SUMIFS('Étape 1 - à remplir'!$F$31:$F$400,'Étape 1 - à remplir'!$E$31:$E$400,MASQ2!EC430,'Étape 1 - à remplir'!$C$31:$C$400,EL$3)),IF(EL$2="Âge",IF(EL$3="Tous",SUMIFS('Étape 1 - à remplir'!$F$31:$F$400,'Étape 1 - à remplir'!$E$31:$E$400,MASQ2!EC430,'Étape 1 - à remplir'!$G$31:$G$400,"kg"),SUMIFS('Étape 1 - à remplir'!$F$31:$F$400,'Étape 1 - à remplir'!$E$31:$E$400,MASQ2!EC430,'Étape 1 - à remplir'!$P$31:$P$400,EL$3,'Étape 1 - à remplir'!$G$31:$G$400,"kg")),IF(EL$2="Atelier",IF(EL$3="Tous",SUMIFS('Étape 1 - à remplir'!$F$31:$F$400,'Étape 1 - à remplir'!$E$31:$E$400,MASQ2!EC430,'Étape 1 - à remplir'!$G$31:$G$400,"kg"),SUMIFS('Étape 1 - à remplir'!$F$31:$F$400,'Étape 1 - à remplir'!$E$31:$E$400,MASQ2!EC430,'Étape 1 - à remplir'!$O$31:$O$400,EL$3,'Étape 1 - à remplir'!$G$31:$G$400,"kg")),IF(EL$2="Espèce",IF(EL$3="Toutes",SUMIFS('Étape 1 - à remplir'!$F$31:$F$400,'Étape 1 - à remplir'!$E$31:$E$400,MASQ2!EC430,'Étape 1 - à remplir'!$G$31:$G$400,"kg"),SUMIFS('Étape 1 - à remplir'!$F$31:$F$400,'Étape 1 - à remplir'!$E$31:$E$400,MASQ2!EC430,'Étape 1 - à remplir'!$N$31:$N$400,EL$3,'Étape 1 - à remplir'!$G$31:$G$400,"kg")))))))</f>
        <v>#N/A</v>
      </c>
      <c r="EE430" s="76">
        <f t="shared" si="284"/>
        <v>0</v>
      </c>
      <c r="EF430" t="str">
        <f t="shared" si="275"/>
        <v>Doxycycline</v>
      </c>
      <c r="EG430" t="str">
        <f t="shared" si="276"/>
        <v/>
      </c>
      <c r="EH430" t="str">
        <f t="shared" si="277"/>
        <v/>
      </c>
      <c r="EI430" t="str">
        <f t="shared" si="278"/>
        <v>Tetracyclines</v>
      </c>
      <c r="EJ430" t="str">
        <f t="shared" si="279"/>
        <v/>
      </c>
      <c r="EK430" s="63" t="str">
        <f t="shared" si="280"/>
        <v/>
      </c>
      <c r="EN430" s="42">
        <v>427</v>
      </c>
      <c r="EO430" t="e">
        <f t="shared" si="286"/>
        <v>#N/A</v>
      </c>
      <c r="EP430" s="63" t="e">
        <f t="shared" si="287"/>
        <v>#N/A</v>
      </c>
      <c r="FT430" s="63"/>
    </row>
    <row r="431" spans="2:176" x14ac:dyDescent="0.3">
      <c r="B431" s="42"/>
      <c r="M431" s="194" t="str">
        <f ca="1">INDEX(Données_ATB!BD:BU,MATCH(MASQ2!O431,Données_ATB!BD:BD,0),18)</f>
        <v/>
      </c>
      <c r="N431" s="14" t="str">
        <f>IFERROR(IF(Q431=0,"",COUNTIF(Q$4:Q$600,"&gt;"&amp;Q431)+COUNTIF(Q$4:Q431,Q431)),"")</f>
        <v/>
      </c>
      <c r="O431" t="str">
        <f>Données_ATB!BD430</f>
        <v>SANTAMIX OTC SDM 60</v>
      </c>
      <c r="P431" t="e">
        <f>IF(IF(X$2="Catégorie",IF(X$3="Toutes",SUMIFS('Étape 1 - à remplir'!$F$31:$F$400,'Étape 1 - à remplir'!$E$31:$E$400,MASQ2!O431,'Étape 1 - à remplir'!$G$31:$G$400,"animaux"),SUMIFS('Étape 1 - à remplir'!$F$31:$F$400,'Étape 1 - à remplir'!$E$31:$E$400,MASQ2!O431,'Étape 1 - à remplir'!$C$31:$C$400,X$3)),IF(X$2="Âge",IF(X$3="Tous",SUMIFS('Étape 1 - à remplir'!$F$31:$F$400,'Étape 1 - à remplir'!$E$31:$E$400,MASQ2!O431,'Étape 1 - à remplir'!$G$31:$G$400,"animaux"),SUMIFS('Étape 1 - à remplir'!$F$31:$F$400,'Étape 1 - à remplir'!$E$31:$E$400,MASQ2!O431,'Étape 1 - à remplir'!$P$31:$P$400,X$3)),IF(X$2="Atelier",IF(X$3="Tous",SUMIFS('Étape 1 - à remplir'!$F$31:$F$400,'Étape 1 - à remplir'!$E$31:$E$400,MASQ2!O431,'Étape 1 - à remplir'!$G$31:$G$400,"animaux"),SUMIFS('Étape 1 - à remplir'!$F$31:$F$400,'Étape 1 - à remplir'!$E$31:$E$400,MASQ2!O431,'Étape 1 - à remplir'!$O$31:$O$400,X$3)),IF(X$2="Espèce",IF(X$3="Toutes",SUMIFS('Étape 1 - à remplir'!$F$31:$F$400,'Étape 1 - à remplir'!$E$31:$E$400,MASQ2!O431,'Étape 1 - à remplir'!$G$31:$G$400,"animaux"),SUMIFS('Étape 1 - à remplir'!$F$31:$F$400,'Étape 1 - à remplir'!$E$31:$E$400,MASQ2!O431,'Étape 1 - à remplir'!$N$31:$N$400,X$3))))))=0,NA(),IF(X$2="Catégorie",IF(X$3="Toutes",SUMIFS('Étape 1 - à remplir'!$F$31:$F$400,'Étape 1 - à remplir'!$E$31:$E$400,MASQ2!O431,'Étape 1 - à remplir'!$G$31:$G$400,"animaux"),SUMIFS('Étape 1 - à remplir'!$F$31:$F$400,'Étape 1 - à remplir'!$E$31:$E$400,MASQ2!O431,'Étape 1 - à remplir'!$C$31:$C$400,X$3)),IF(X$2="Âge",IF(X$3="Tous",SUMIFS('Étape 1 - à remplir'!$F$31:$F$400,'Étape 1 - à remplir'!$E$31:$E$400,MASQ2!O431,'Étape 1 - à remplir'!$G$31:$G$400,"animaux"),SUMIFS('Étape 1 - à remplir'!$F$31:$F$400,'Étape 1 - à remplir'!$E$31:$E$400,MASQ2!O431,'Étape 1 - à remplir'!$P$31:$P$400,X$3)),IF(X$2="Atelier",IF(X$3="Tous",SUMIFS('Étape 1 - à remplir'!$F$31:$F$400,'Étape 1 - à remplir'!$E$31:$E$400,MASQ2!O431,'Étape 1 - à remplir'!$G$31:$G$400,"animaux"),SUMIFS('Étape 1 - à remplir'!$F$31:$F$400,'Étape 1 - à remplir'!$E$31:$E$400,MASQ2!O431,'Étape 1 - à remplir'!$O$31:$O$400,X$3)),IF(X$2="Espèce",IF(X$3="Toutes",SUMIFS('Étape 1 - à remplir'!$F$31:$F$400,'Étape 1 - à remplir'!$E$31:$E$400,MASQ2!O431,'Étape 1 - à remplir'!$G$31:$G$400,"animaux"),SUMIFS('Étape 1 - à remplir'!$F$31:$F$400,'Étape 1 - à remplir'!$E$31:$E$400,MASQ2!O431,'Étape 1 - à remplir'!$N$31:$N$400,X$3)))))))</f>
        <v>#N/A</v>
      </c>
      <c r="Q431" s="63">
        <f t="shared" si="285"/>
        <v>0</v>
      </c>
      <c r="R431" t="str">
        <f>Données_ATB!BM430</f>
        <v>Oxytétracycline</v>
      </c>
      <c r="S431" t="str">
        <f>Données_ATB!BN430</f>
        <v>Sulfadiméthoxine</v>
      </c>
      <c r="T431" s="63" t="str">
        <f>Données_ATB!BO430</f>
        <v/>
      </c>
      <c r="U431" s="42" t="str">
        <f>Données_ATB!BQ430</f>
        <v>Tetracyclines</v>
      </c>
      <c r="V431" t="str">
        <f>Données_ATB!BR430</f>
        <v>Sulfamides</v>
      </c>
      <c r="W431" s="63" t="str">
        <f>Données_ATB!BS430</f>
        <v/>
      </c>
      <c r="Z431" s="42">
        <v>428</v>
      </c>
      <c r="AA431" t="e">
        <f t="shared" si="281"/>
        <v>#N/A</v>
      </c>
      <c r="AB431" s="63" t="e">
        <f t="shared" si="282"/>
        <v>#N/A</v>
      </c>
      <c r="BF431" s="63"/>
      <c r="BT431" s="194" t="str">
        <f t="shared" ca="1" si="265"/>
        <v/>
      </c>
      <c r="BU431" s="219" t="str">
        <f>IFERROR(IF(BX431=0,"",COUNTIF(BX$4:BX$600,"&gt;"&amp;BX431)+COUNTIF(BX$4:BX431,BX431)),"")</f>
        <v/>
      </c>
      <c r="BV431" s="42" t="str">
        <f t="shared" si="266"/>
        <v>SANTAMIX OTC SDM 60</v>
      </c>
      <c r="BW431" t="e">
        <f>IF(IF(CE$2="Catégorie",IF(CE$3="Toutes",SUMIFS('Étape 1 - à remplir'!$F$31:$F$400,'Étape 1 - à remplir'!$E$31:$E$400,MASQ2!BV431,'Étape 1 - à remplir'!$G$31:$G$400,"lots"),SUMIFS('Étape 1 - à remplir'!$F$31:$F$400,'Étape 1 - à remplir'!$E$31:$E$400,MASQ2!BV431,'Étape 1 - à remplir'!$C$31:$C$400,CE$3)),IF(CE$2="Âge",IF(CE$3="Tous",SUMIFS('Étape 1 - à remplir'!$F$31:$F$400,'Étape 1 - à remplir'!$E$31:$E$400,MASQ2!BV431,'Étape 1 - à remplir'!$G$31:$G$400,"lots"),SUMIFS('Étape 1 - à remplir'!$F$31:$F$400,'Étape 1 - à remplir'!$E$31:$E$400,MASQ2!BV431,'Étape 1 - à remplir'!$P$31:$P$400,CE$3,'Étape 1 - à remplir'!$G$31:$G$400,"lots")),IF(CE$2="Atelier",IF(CE$3="Tous",SUMIFS('Étape 1 - à remplir'!$F$31:$F$400,'Étape 1 - à remplir'!$E$31:$E$400,MASQ2!BV431,'Étape 1 - à remplir'!$G$31:$G$400,"lots"),SUMIFS('Étape 1 - à remplir'!$F$31:$F$400,'Étape 1 - à remplir'!$E$31:$E$400,MASQ2!BV431,'Étape 1 - à remplir'!$O$31:$O$400,CE$3,'Étape 1 - à remplir'!$G$31:$G$400,"lots")),IF(CE$2="Espèce",IF(CE$3="Toutes",SUMIFS('Étape 1 - à remplir'!$F$31:$F$400,'Étape 1 - à remplir'!$E$31:$E$400,MASQ2!BV431,'Étape 1 - à remplir'!$G$31:$G$400,"lots"),SUMIFS('Étape 1 - à remplir'!$F$31:$F$400,'Étape 1 - à remplir'!$E$31:$E$400,MASQ2!BV431,'Étape 1 - à remplir'!$N$31:$N$400,CE$3,'Étape 1 - à remplir'!$G$31:$G$400,"lots"))))))=0,NA(),IF(CE$2="Catégorie",IF(CE$3="Toutes",SUMIFS('Étape 1 - à remplir'!$F$31:$F$400,'Étape 1 - à remplir'!$E$31:$E$400,MASQ2!BV431,'Étape 1 - à remplir'!$G$31:$G$400,"lots"),SUMIFS('Étape 1 - à remplir'!$F$31:$F$400,'Étape 1 - à remplir'!$E$31:$E$400,MASQ2!BV431,'Étape 1 - à remplir'!$C$31:$C$400,CE$3)),IF(CE$2="Âge",IF(CE$3="Tous",SUMIFS('Étape 1 - à remplir'!$F$31:$F$400,'Étape 1 - à remplir'!$E$31:$E$400,MASQ2!BV431,'Étape 1 - à remplir'!$G$31:$G$400,"lots"),SUMIFS('Étape 1 - à remplir'!$F$31:$F$400,'Étape 1 - à remplir'!$E$31:$E$400,MASQ2!BV431,'Étape 1 - à remplir'!$P$31:$P$400,CE$3,'Étape 1 - à remplir'!$G$31:$G$400,"lots")),IF(CE$2="Atelier",IF(CE$3="Tous",SUMIFS('Étape 1 - à remplir'!$F$31:$F$400,'Étape 1 - à remplir'!$E$31:$E$400,MASQ2!BV431,'Étape 1 - à remplir'!$G$31:$G$400,"lots"),SUMIFS('Étape 1 - à remplir'!$F$31:$F$400,'Étape 1 - à remplir'!$E$31:$E$400,MASQ2!BV431,'Étape 1 - à remplir'!$O$31:$O$400,CE$3,'Étape 1 - à remplir'!$G$31:$G$400,"lots")),IF(CE$2="Espèce",IF(CE$3="Toutes",SUMIFS('Étape 1 - à remplir'!$F$31:$F$400,'Étape 1 - à remplir'!$E$31:$E$400,MASQ2!BV431,'Étape 1 - à remplir'!$G$31:$G$400,"lots"),SUMIFS('Étape 1 - à remplir'!$F$31:$F$400,'Étape 1 - à remplir'!$E$31:$E$400,MASQ2!BV431,'Étape 1 - à remplir'!$N$31:$N$400,CE$3,'Étape 1 - à remplir'!$G$31:$G$400,"lots")))))))</f>
        <v>#N/A</v>
      </c>
      <c r="BX431">
        <f t="shared" si="283"/>
        <v>0</v>
      </c>
      <c r="BY431" t="str">
        <f t="shared" si="267"/>
        <v>Oxytétracycline</v>
      </c>
      <c r="BZ431" t="str">
        <f t="shared" si="268"/>
        <v>Sulfadiméthoxine</v>
      </c>
      <c r="CA431" t="str">
        <f t="shared" si="269"/>
        <v/>
      </c>
      <c r="CB431" t="str">
        <f t="shared" si="270"/>
        <v>Tetracyclines</v>
      </c>
      <c r="CC431" t="str">
        <f t="shared" si="271"/>
        <v>Sulfamides</v>
      </c>
      <c r="CD431" s="63" t="str">
        <f t="shared" si="272"/>
        <v/>
      </c>
      <c r="CG431" s="42">
        <v>428</v>
      </c>
      <c r="CH431" s="42" t="e">
        <f t="shared" si="288"/>
        <v>#N/A</v>
      </c>
      <c r="CI431" s="63" t="e">
        <f t="shared" si="289"/>
        <v>#N/A</v>
      </c>
      <c r="DM431" s="63"/>
      <c r="EA431" s="194" t="str">
        <f t="shared" ca="1" si="273"/>
        <v/>
      </c>
      <c r="EB431" s="226" t="str">
        <f>IFERROR(IF(ED431=0,"",COUNTIF(ED$4:ED$600,"&gt;"&amp;ED431)+COUNTIF(ED$4:ED431,ED431)),"")</f>
        <v/>
      </c>
      <c r="EC431" t="str">
        <f t="shared" si="274"/>
        <v>SANTAMIX OTC SDM 60</v>
      </c>
      <c r="ED431" t="e">
        <f>IF(IF(EL$2="Catégorie",IF(EL$3="Toutes",SUMIFS('Étape 1 - à remplir'!$F$31:$F$400,'Étape 1 - à remplir'!$E$31:$E$400,MASQ2!EC431,'Étape 1 - à remplir'!$G$31:$G$400,"kg"),SUMIFS('Étape 1 - à remplir'!$F$31:$F$400,'Étape 1 - à remplir'!$E$31:$E$400,MASQ2!EC431,'Étape 1 - à remplir'!$C$31:$C$400,EL$3)),IF(EL$2="Âge",IF(EL$3="Tous",SUMIFS('Étape 1 - à remplir'!$F$31:$F$400,'Étape 1 - à remplir'!$E$31:$E$400,MASQ2!EC431,'Étape 1 - à remplir'!$G$31:$G$400,"kg"),SUMIFS('Étape 1 - à remplir'!$F$31:$F$400,'Étape 1 - à remplir'!$E$31:$E$400,MASQ2!EC431,'Étape 1 - à remplir'!$P$31:$P$400,EL$3,'Étape 1 - à remplir'!$G$31:$G$400,"kg")),IF(EL$2="Atelier",IF(EL$3="Tous",SUMIFS('Étape 1 - à remplir'!$F$31:$F$400,'Étape 1 - à remplir'!$E$31:$E$400,MASQ2!EC431,'Étape 1 - à remplir'!$G$31:$G$400,"kg"),SUMIFS('Étape 1 - à remplir'!$F$31:$F$400,'Étape 1 - à remplir'!$E$31:$E$400,MASQ2!EC431,'Étape 1 - à remplir'!$O$31:$O$400,EL$3,'Étape 1 - à remplir'!$G$31:$G$400,"kg")),IF(EL$2="Espèce",IF(EL$3="Toutes",SUMIFS('Étape 1 - à remplir'!$F$31:$F$400,'Étape 1 - à remplir'!$E$31:$E$400,MASQ2!EC431,'Étape 1 - à remplir'!$G$31:$G$400,"kg"),SUMIFS('Étape 1 - à remplir'!$F$31:$F$400,'Étape 1 - à remplir'!$E$31:$E$400,MASQ2!EC431,'Étape 1 - à remplir'!$N$31:$N$400,EL$3,'Étape 1 - à remplir'!$G$31:$G$400,"kg"))))))=0,NA(),IF(EL$2="Catégorie",IF(EL$3="Toutes",SUMIFS('Étape 1 - à remplir'!$F$31:$F$400,'Étape 1 - à remplir'!$E$31:$E$400,MASQ2!EC431,'Étape 1 - à remplir'!$G$31:$G$400,"kg"),SUMIFS('Étape 1 - à remplir'!$F$31:$F$400,'Étape 1 - à remplir'!$E$31:$E$400,MASQ2!EC431,'Étape 1 - à remplir'!$C$31:$C$400,EL$3)),IF(EL$2="Âge",IF(EL$3="Tous",SUMIFS('Étape 1 - à remplir'!$F$31:$F$400,'Étape 1 - à remplir'!$E$31:$E$400,MASQ2!EC431,'Étape 1 - à remplir'!$G$31:$G$400,"kg"),SUMIFS('Étape 1 - à remplir'!$F$31:$F$400,'Étape 1 - à remplir'!$E$31:$E$400,MASQ2!EC431,'Étape 1 - à remplir'!$P$31:$P$400,EL$3,'Étape 1 - à remplir'!$G$31:$G$400,"kg")),IF(EL$2="Atelier",IF(EL$3="Tous",SUMIFS('Étape 1 - à remplir'!$F$31:$F$400,'Étape 1 - à remplir'!$E$31:$E$400,MASQ2!EC431,'Étape 1 - à remplir'!$G$31:$G$400,"kg"),SUMIFS('Étape 1 - à remplir'!$F$31:$F$400,'Étape 1 - à remplir'!$E$31:$E$400,MASQ2!EC431,'Étape 1 - à remplir'!$O$31:$O$400,EL$3,'Étape 1 - à remplir'!$G$31:$G$400,"kg")),IF(EL$2="Espèce",IF(EL$3="Toutes",SUMIFS('Étape 1 - à remplir'!$F$31:$F$400,'Étape 1 - à remplir'!$E$31:$E$400,MASQ2!EC431,'Étape 1 - à remplir'!$G$31:$G$400,"kg"),SUMIFS('Étape 1 - à remplir'!$F$31:$F$400,'Étape 1 - à remplir'!$E$31:$E$400,MASQ2!EC431,'Étape 1 - à remplir'!$N$31:$N$400,EL$3,'Étape 1 - à remplir'!$G$31:$G$400,"kg")))))))</f>
        <v>#N/A</v>
      </c>
      <c r="EE431" s="76">
        <f t="shared" si="284"/>
        <v>0</v>
      </c>
      <c r="EF431" t="str">
        <f t="shared" si="275"/>
        <v>Oxytétracycline</v>
      </c>
      <c r="EG431" t="str">
        <f t="shared" si="276"/>
        <v>Sulfadiméthoxine</v>
      </c>
      <c r="EH431" t="str">
        <f t="shared" si="277"/>
        <v/>
      </c>
      <c r="EI431" t="str">
        <f t="shared" si="278"/>
        <v>Tetracyclines</v>
      </c>
      <c r="EJ431" t="str">
        <f t="shared" si="279"/>
        <v>Sulfamides</v>
      </c>
      <c r="EK431" s="63" t="str">
        <f t="shared" si="280"/>
        <v/>
      </c>
      <c r="EN431" s="42">
        <v>428</v>
      </c>
      <c r="EO431" t="e">
        <f t="shared" si="286"/>
        <v>#N/A</v>
      </c>
      <c r="EP431" s="63" t="e">
        <f t="shared" si="287"/>
        <v>#N/A</v>
      </c>
      <c r="FT431" s="63"/>
    </row>
    <row r="432" spans="2:176" x14ac:dyDescent="0.3">
      <c r="B432" s="42"/>
      <c r="M432" s="194" t="str">
        <f ca="1">INDEX(Données_ATB!BD:BU,MATCH(MASQ2!O432,Données_ATB!BD:BD,0),18)</f>
        <v/>
      </c>
      <c r="N432" s="14" t="str">
        <f>IFERROR(IF(Q432=0,"",COUNTIF(Q$4:Q$600,"&gt;"&amp;Q432)+COUNTIF(Q$4:Q432,Q432)),"")</f>
        <v/>
      </c>
      <c r="O432" t="str">
        <f>Données_ATB!BD431</f>
        <v>SANTAMIX TILMICOSINE 40 PORCINS - LAPINS</v>
      </c>
      <c r="P432" t="e">
        <f>IF(IF(X$2="Catégorie",IF(X$3="Toutes",SUMIFS('Étape 1 - à remplir'!$F$31:$F$400,'Étape 1 - à remplir'!$E$31:$E$400,MASQ2!O432,'Étape 1 - à remplir'!$G$31:$G$400,"animaux"),SUMIFS('Étape 1 - à remplir'!$F$31:$F$400,'Étape 1 - à remplir'!$E$31:$E$400,MASQ2!O432,'Étape 1 - à remplir'!$C$31:$C$400,X$3)),IF(X$2="Âge",IF(X$3="Tous",SUMIFS('Étape 1 - à remplir'!$F$31:$F$400,'Étape 1 - à remplir'!$E$31:$E$400,MASQ2!O432,'Étape 1 - à remplir'!$G$31:$G$400,"animaux"),SUMIFS('Étape 1 - à remplir'!$F$31:$F$400,'Étape 1 - à remplir'!$E$31:$E$400,MASQ2!O432,'Étape 1 - à remplir'!$P$31:$P$400,X$3)),IF(X$2="Atelier",IF(X$3="Tous",SUMIFS('Étape 1 - à remplir'!$F$31:$F$400,'Étape 1 - à remplir'!$E$31:$E$400,MASQ2!O432,'Étape 1 - à remplir'!$G$31:$G$400,"animaux"),SUMIFS('Étape 1 - à remplir'!$F$31:$F$400,'Étape 1 - à remplir'!$E$31:$E$400,MASQ2!O432,'Étape 1 - à remplir'!$O$31:$O$400,X$3)),IF(X$2="Espèce",IF(X$3="Toutes",SUMIFS('Étape 1 - à remplir'!$F$31:$F$400,'Étape 1 - à remplir'!$E$31:$E$400,MASQ2!O432,'Étape 1 - à remplir'!$G$31:$G$400,"animaux"),SUMIFS('Étape 1 - à remplir'!$F$31:$F$400,'Étape 1 - à remplir'!$E$31:$E$400,MASQ2!O432,'Étape 1 - à remplir'!$N$31:$N$400,X$3))))))=0,NA(),IF(X$2="Catégorie",IF(X$3="Toutes",SUMIFS('Étape 1 - à remplir'!$F$31:$F$400,'Étape 1 - à remplir'!$E$31:$E$400,MASQ2!O432,'Étape 1 - à remplir'!$G$31:$G$400,"animaux"),SUMIFS('Étape 1 - à remplir'!$F$31:$F$400,'Étape 1 - à remplir'!$E$31:$E$400,MASQ2!O432,'Étape 1 - à remplir'!$C$31:$C$400,X$3)),IF(X$2="Âge",IF(X$3="Tous",SUMIFS('Étape 1 - à remplir'!$F$31:$F$400,'Étape 1 - à remplir'!$E$31:$E$400,MASQ2!O432,'Étape 1 - à remplir'!$G$31:$G$400,"animaux"),SUMIFS('Étape 1 - à remplir'!$F$31:$F$400,'Étape 1 - à remplir'!$E$31:$E$400,MASQ2!O432,'Étape 1 - à remplir'!$P$31:$P$400,X$3)),IF(X$2="Atelier",IF(X$3="Tous",SUMIFS('Étape 1 - à remplir'!$F$31:$F$400,'Étape 1 - à remplir'!$E$31:$E$400,MASQ2!O432,'Étape 1 - à remplir'!$G$31:$G$400,"animaux"),SUMIFS('Étape 1 - à remplir'!$F$31:$F$400,'Étape 1 - à remplir'!$E$31:$E$400,MASQ2!O432,'Étape 1 - à remplir'!$O$31:$O$400,X$3)),IF(X$2="Espèce",IF(X$3="Toutes",SUMIFS('Étape 1 - à remplir'!$F$31:$F$400,'Étape 1 - à remplir'!$E$31:$E$400,MASQ2!O432,'Étape 1 - à remplir'!$G$31:$G$400,"animaux"),SUMIFS('Étape 1 - à remplir'!$F$31:$F$400,'Étape 1 - à remplir'!$E$31:$E$400,MASQ2!O432,'Étape 1 - à remplir'!$N$31:$N$400,X$3)))))))</f>
        <v>#N/A</v>
      </c>
      <c r="Q432" s="63">
        <f t="shared" si="285"/>
        <v>0</v>
      </c>
      <c r="R432" t="str">
        <f>Données_ATB!BM431</f>
        <v>Tilmicosine</v>
      </c>
      <c r="S432" t="str">
        <f>Données_ATB!BN431</f>
        <v/>
      </c>
      <c r="T432" s="63" t="str">
        <f>Données_ATB!BO431</f>
        <v/>
      </c>
      <c r="U432" s="42" t="str">
        <f>Données_ATB!BQ431</f>
        <v>Macrolides</v>
      </c>
      <c r="V432" t="str">
        <f>Données_ATB!BR431</f>
        <v/>
      </c>
      <c r="W432" s="63" t="str">
        <f>Données_ATB!BS431</f>
        <v/>
      </c>
      <c r="Z432" s="42">
        <v>429</v>
      </c>
      <c r="AA432" t="e">
        <f t="shared" si="281"/>
        <v>#N/A</v>
      </c>
      <c r="AB432" s="63" t="e">
        <f t="shared" si="282"/>
        <v>#N/A</v>
      </c>
      <c r="BF432" s="63"/>
      <c r="BT432" s="194" t="str">
        <f t="shared" ca="1" si="265"/>
        <v/>
      </c>
      <c r="BU432" s="219" t="str">
        <f>IFERROR(IF(BX432=0,"",COUNTIF(BX$4:BX$600,"&gt;"&amp;BX432)+COUNTIF(BX$4:BX432,BX432)),"")</f>
        <v/>
      </c>
      <c r="BV432" s="42" t="str">
        <f t="shared" si="266"/>
        <v>SANTAMIX TILMICOSINE 40 PORCINS - LAPINS</v>
      </c>
      <c r="BW432" t="e">
        <f>IF(IF(CE$2="Catégorie",IF(CE$3="Toutes",SUMIFS('Étape 1 - à remplir'!$F$31:$F$400,'Étape 1 - à remplir'!$E$31:$E$400,MASQ2!BV432,'Étape 1 - à remplir'!$G$31:$G$400,"lots"),SUMIFS('Étape 1 - à remplir'!$F$31:$F$400,'Étape 1 - à remplir'!$E$31:$E$400,MASQ2!BV432,'Étape 1 - à remplir'!$C$31:$C$400,CE$3)),IF(CE$2="Âge",IF(CE$3="Tous",SUMIFS('Étape 1 - à remplir'!$F$31:$F$400,'Étape 1 - à remplir'!$E$31:$E$400,MASQ2!BV432,'Étape 1 - à remplir'!$G$31:$G$400,"lots"),SUMIFS('Étape 1 - à remplir'!$F$31:$F$400,'Étape 1 - à remplir'!$E$31:$E$400,MASQ2!BV432,'Étape 1 - à remplir'!$P$31:$P$400,CE$3,'Étape 1 - à remplir'!$G$31:$G$400,"lots")),IF(CE$2="Atelier",IF(CE$3="Tous",SUMIFS('Étape 1 - à remplir'!$F$31:$F$400,'Étape 1 - à remplir'!$E$31:$E$400,MASQ2!BV432,'Étape 1 - à remplir'!$G$31:$G$400,"lots"),SUMIFS('Étape 1 - à remplir'!$F$31:$F$400,'Étape 1 - à remplir'!$E$31:$E$400,MASQ2!BV432,'Étape 1 - à remplir'!$O$31:$O$400,CE$3,'Étape 1 - à remplir'!$G$31:$G$400,"lots")),IF(CE$2="Espèce",IF(CE$3="Toutes",SUMIFS('Étape 1 - à remplir'!$F$31:$F$400,'Étape 1 - à remplir'!$E$31:$E$400,MASQ2!BV432,'Étape 1 - à remplir'!$G$31:$G$400,"lots"),SUMIFS('Étape 1 - à remplir'!$F$31:$F$400,'Étape 1 - à remplir'!$E$31:$E$400,MASQ2!BV432,'Étape 1 - à remplir'!$N$31:$N$400,CE$3,'Étape 1 - à remplir'!$G$31:$G$400,"lots"))))))=0,NA(),IF(CE$2="Catégorie",IF(CE$3="Toutes",SUMIFS('Étape 1 - à remplir'!$F$31:$F$400,'Étape 1 - à remplir'!$E$31:$E$400,MASQ2!BV432,'Étape 1 - à remplir'!$G$31:$G$400,"lots"),SUMIFS('Étape 1 - à remplir'!$F$31:$F$400,'Étape 1 - à remplir'!$E$31:$E$400,MASQ2!BV432,'Étape 1 - à remplir'!$C$31:$C$400,CE$3)),IF(CE$2="Âge",IF(CE$3="Tous",SUMIFS('Étape 1 - à remplir'!$F$31:$F$400,'Étape 1 - à remplir'!$E$31:$E$400,MASQ2!BV432,'Étape 1 - à remplir'!$G$31:$G$400,"lots"),SUMIFS('Étape 1 - à remplir'!$F$31:$F$400,'Étape 1 - à remplir'!$E$31:$E$400,MASQ2!BV432,'Étape 1 - à remplir'!$P$31:$P$400,CE$3,'Étape 1 - à remplir'!$G$31:$G$400,"lots")),IF(CE$2="Atelier",IF(CE$3="Tous",SUMIFS('Étape 1 - à remplir'!$F$31:$F$400,'Étape 1 - à remplir'!$E$31:$E$400,MASQ2!BV432,'Étape 1 - à remplir'!$G$31:$G$400,"lots"),SUMIFS('Étape 1 - à remplir'!$F$31:$F$400,'Étape 1 - à remplir'!$E$31:$E$400,MASQ2!BV432,'Étape 1 - à remplir'!$O$31:$O$400,CE$3,'Étape 1 - à remplir'!$G$31:$G$400,"lots")),IF(CE$2="Espèce",IF(CE$3="Toutes",SUMIFS('Étape 1 - à remplir'!$F$31:$F$400,'Étape 1 - à remplir'!$E$31:$E$400,MASQ2!BV432,'Étape 1 - à remplir'!$G$31:$G$400,"lots"),SUMIFS('Étape 1 - à remplir'!$F$31:$F$400,'Étape 1 - à remplir'!$E$31:$E$400,MASQ2!BV432,'Étape 1 - à remplir'!$N$31:$N$400,CE$3,'Étape 1 - à remplir'!$G$31:$G$400,"lots")))))))</f>
        <v>#N/A</v>
      </c>
      <c r="BX432">
        <f t="shared" si="283"/>
        <v>0</v>
      </c>
      <c r="BY432" t="str">
        <f t="shared" si="267"/>
        <v>Tilmicosine</v>
      </c>
      <c r="BZ432" t="str">
        <f t="shared" si="268"/>
        <v/>
      </c>
      <c r="CA432" t="str">
        <f t="shared" si="269"/>
        <v/>
      </c>
      <c r="CB432" t="str">
        <f t="shared" si="270"/>
        <v>Macrolides</v>
      </c>
      <c r="CC432" t="str">
        <f t="shared" si="271"/>
        <v/>
      </c>
      <c r="CD432" s="63" t="str">
        <f t="shared" si="272"/>
        <v/>
      </c>
      <c r="CG432" s="42">
        <v>429</v>
      </c>
      <c r="CH432" s="42" t="e">
        <f t="shared" si="288"/>
        <v>#N/A</v>
      </c>
      <c r="CI432" s="63" t="e">
        <f t="shared" si="289"/>
        <v>#N/A</v>
      </c>
      <c r="DM432" s="63"/>
      <c r="EA432" s="194" t="str">
        <f t="shared" ca="1" si="273"/>
        <v/>
      </c>
      <c r="EB432" s="226" t="str">
        <f>IFERROR(IF(ED432=0,"",COUNTIF(ED$4:ED$600,"&gt;"&amp;ED432)+COUNTIF(ED$4:ED432,ED432)),"")</f>
        <v/>
      </c>
      <c r="EC432" t="str">
        <f t="shared" si="274"/>
        <v>SANTAMIX TILMICOSINE 40 PORCINS - LAPINS</v>
      </c>
      <c r="ED432" t="e">
        <f>IF(IF(EL$2="Catégorie",IF(EL$3="Toutes",SUMIFS('Étape 1 - à remplir'!$F$31:$F$400,'Étape 1 - à remplir'!$E$31:$E$400,MASQ2!EC432,'Étape 1 - à remplir'!$G$31:$G$400,"kg"),SUMIFS('Étape 1 - à remplir'!$F$31:$F$400,'Étape 1 - à remplir'!$E$31:$E$400,MASQ2!EC432,'Étape 1 - à remplir'!$C$31:$C$400,EL$3)),IF(EL$2="Âge",IF(EL$3="Tous",SUMIFS('Étape 1 - à remplir'!$F$31:$F$400,'Étape 1 - à remplir'!$E$31:$E$400,MASQ2!EC432,'Étape 1 - à remplir'!$G$31:$G$400,"kg"),SUMIFS('Étape 1 - à remplir'!$F$31:$F$400,'Étape 1 - à remplir'!$E$31:$E$400,MASQ2!EC432,'Étape 1 - à remplir'!$P$31:$P$400,EL$3,'Étape 1 - à remplir'!$G$31:$G$400,"kg")),IF(EL$2="Atelier",IF(EL$3="Tous",SUMIFS('Étape 1 - à remplir'!$F$31:$F$400,'Étape 1 - à remplir'!$E$31:$E$400,MASQ2!EC432,'Étape 1 - à remplir'!$G$31:$G$400,"kg"),SUMIFS('Étape 1 - à remplir'!$F$31:$F$400,'Étape 1 - à remplir'!$E$31:$E$400,MASQ2!EC432,'Étape 1 - à remplir'!$O$31:$O$400,EL$3,'Étape 1 - à remplir'!$G$31:$G$400,"kg")),IF(EL$2="Espèce",IF(EL$3="Toutes",SUMIFS('Étape 1 - à remplir'!$F$31:$F$400,'Étape 1 - à remplir'!$E$31:$E$400,MASQ2!EC432,'Étape 1 - à remplir'!$G$31:$G$400,"kg"),SUMIFS('Étape 1 - à remplir'!$F$31:$F$400,'Étape 1 - à remplir'!$E$31:$E$400,MASQ2!EC432,'Étape 1 - à remplir'!$N$31:$N$400,EL$3,'Étape 1 - à remplir'!$G$31:$G$400,"kg"))))))=0,NA(),IF(EL$2="Catégorie",IF(EL$3="Toutes",SUMIFS('Étape 1 - à remplir'!$F$31:$F$400,'Étape 1 - à remplir'!$E$31:$E$400,MASQ2!EC432,'Étape 1 - à remplir'!$G$31:$G$400,"kg"),SUMIFS('Étape 1 - à remplir'!$F$31:$F$400,'Étape 1 - à remplir'!$E$31:$E$400,MASQ2!EC432,'Étape 1 - à remplir'!$C$31:$C$400,EL$3)),IF(EL$2="Âge",IF(EL$3="Tous",SUMIFS('Étape 1 - à remplir'!$F$31:$F$400,'Étape 1 - à remplir'!$E$31:$E$400,MASQ2!EC432,'Étape 1 - à remplir'!$G$31:$G$400,"kg"),SUMIFS('Étape 1 - à remplir'!$F$31:$F$400,'Étape 1 - à remplir'!$E$31:$E$400,MASQ2!EC432,'Étape 1 - à remplir'!$P$31:$P$400,EL$3,'Étape 1 - à remplir'!$G$31:$G$400,"kg")),IF(EL$2="Atelier",IF(EL$3="Tous",SUMIFS('Étape 1 - à remplir'!$F$31:$F$400,'Étape 1 - à remplir'!$E$31:$E$400,MASQ2!EC432,'Étape 1 - à remplir'!$G$31:$G$400,"kg"),SUMIFS('Étape 1 - à remplir'!$F$31:$F$400,'Étape 1 - à remplir'!$E$31:$E$400,MASQ2!EC432,'Étape 1 - à remplir'!$O$31:$O$400,EL$3,'Étape 1 - à remplir'!$G$31:$G$400,"kg")),IF(EL$2="Espèce",IF(EL$3="Toutes",SUMIFS('Étape 1 - à remplir'!$F$31:$F$400,'Étape 1 - à remplir'!$E$31:$E$400,MASQ2!EC432,'Étape 1 - à remplir'!$G$31:$G$400,"kg"),SUMIFS('Étape 1 - à remplir'!$F$31:$F$400,'Étape 1 - à remplir'!$E$31:$E$400,MASQ2!EC432,'Étape 1 - à remplir'!$N$31:$N$400,EL$3,'Étape 1 - à remplir'!$G$31:$G$400,"kg")))))))</f>
        <v>#N/A</v>
      </c>
      <c r="EE432" s="76">
        <f t="shared" si="284"/>
        <v>0</v>
      </c>
      <c r="EF432" t="str">
        <f t="shared" si="275"/>
        <v>Tilmicosine</v>
      </c>
      <c r="EG432" t="str">
        <f t="shared" si="276"/>
        <v/>
      </c>
      <c r="EH432" t="str">
        <f t="shared" si="277"/>
        <v/>
      </c>
      <c r="EI432" t="str">
        <f t="shared" si="278"/>
        <v>Macrolides</v>
      </c>
      <c r="EJ432" t="str">
        <f t="shared" si="279"/>
        <v/>
      </c>
      <c r="EK432" s="63" t="str">
        <f t="shared" si="280"/>
        <v/>
      </c>
      <c r="EN432" s="42">
        <v>429</v>
      </c>
      <c r="EO432" t="e">
        <f t="shared" si="286"/>
        <v>#N/A</v>
      </c>
      <c r="EP432" s="63" t="e">
        <f t="shared" si="287"/>
        <v>#N/A</v>
      </c>
      <c r="FT432" s="63"/>
    </row>
    <row r="433" spans="2:176" x14ac:dyDescent="0.3">
      <c r="B433" s="42"/>
      <c r="M433" s="194" t="str">
        <f ca="1">INDEX(Données_ATB!BD:BU,MATCH(MASQ2!O433,Données_ATB!BD:BD,0),18)</f>
        <v/>
      </c>
      <c r="N433" s="14" t="str">
        <f>IFERROR(IF(Q433=0,"",COUNTIF(Q$4:Q$600,"&gt;"&amp;Q433)+COUNTIF(Q$4:Q433,Q433)),"")</f>
        <v/>
      </c>
      <c r="O433" t="str">
        <f>Données_ATB!BD432</f>
        <v>SANTAMIX TYLO 20</v>
      </c>
      <c r="P433" t="e">
        <f>IF(IF(X$2="Catégorie",IF(X$3="Toutes",SUMIFS('Étape 1 - à remplir'!$F$31:$F$400,'Étape 1 - à remplir'!$E$31:$E$400,MASQ2!O433,'Étape 1 - à remplir'!$G$31:$G$400,"animaux"),SUMIFS('Étape 1 - à remplir'!$F$31:$F$400,'Étape 1 - à remplir'!$E$31:$E$400,MASQ2!O433,'Étape 1 - à remplir'!$C$31:$C$400,X$3)),IF(X$2="Âge",IF(X$3="Tous",SUMIFS('Étape 1 - à remplir'!$F$31:$F$400,'Étape 1 - à remplir'!$E$31:$E$400,MASQ2!O433,'Étape 1 - à remplir'!$G$31:$G$400,"animaux"),SUMIFS('Étape 1 - à remplir'!$F$31:$F$400,'Étape 1 - à remplir'!$E$31:$E$400,MASQ2!O433,'Étape 1 - à remplir'!$P$31:$P$400,X$3)),IF(X$2="Atelier",IF(X$3="Tous",SUMIFS('Étape 1 - à remplir'!$F$31:$F$400,'Étape 1 - à remplir'!$E$31:$E$400,MASQ2!O433,'Étape 1 - à remplir'!$G$31:$G$400,"animaux"),SUMIFS('Étape 1 - à remplir'!$F$31:$F$400,'Étape 1 - à remplir'!$E$31:$E$400,MASQ2!O433,'Étape 1 - à remplir'!$O$31:$O$400,X$3)),IF(X$2="Espèce",IF(X$3="Toutes",SUMIFS('Étape 1 - à remplir'!$F$31:$F$400,'Étape 1 - à remplir'!$E$31:$E$400,MASQ2!O433,'Étape 1 - à remplir'!$G$31:$G$400,"animaux"),SUMIFS('Étape 1 - à remplir'!$F$31:$F$400,'Étape 1 - à remplir'!$E$31:$E$400,MASQ2!O433,'Étape 1 - à remplir'!$N$31:$N$400,X$3))))))=0,NA(),IF(X$2="Catégorie",IF(X$3="Toutes",SUMIFS('Étape 1 - à remplir'!$F$31:$F$400,'Étape 1 - à remplir'!$E$31:$E$400,MASQ2!O433,'Étape 1 - à remplir'!$G$31:$G$400,"animaux"),SUMIFS('Étape 1 - à remplir'!$F$31:$F$400,'Étape 1 - à remplir'!$E$31:$E$400,MASQ2!O433,'Étape 1 - à remplir'!$C$31:$C$400,X$3)),IF(X$2="Âge",IF(X$3="Tous",SUMIFS('Étape 1 - à remplir'!$F$31:$F$400,'Étape 1 - à remplir'!$E$31:$E$400,MASQ2!O433,'Étape 1 - à remplir'!$G$31:$G$400,"animaux"),SUMIFS('Étape 1 - à remplir'!$F$31:$F$400,'Étape 1 - à remplir'!$E$31:$E$400,MASQ2!O433,'Étape 1 - à remplir'!$P$31:$P$400,X$3)),IF(X$2="Atelier",IF(X$3="Tous",SUMIFS('Étape 1 - à remplir'!$F$31:$F$400,'Étape 1 - à remplir'!$E$31:$E$400,MASQ2!O433,'Étape 1 - à remplir'!$G$31:$G$400,"animaux"),SUMIFS('Étape 1 - à remplir'!$F$31:$F$400,'Étape 1 - à remplir'!$E$31:$E$400,MASQ2!O433,'Étape 1 - à remplir'!$O$31:$O$400,X$3)),IF(X$2="Espèce",IF(X$3="Toutes",SUMIFS('Étape 1 - à remplir'!$F$31:$F$400,'Étape 1 - à remplir'!$E$31:$E$400,MASQ2!O433,'Étape 1 - à remplir'!$G$31:$G$400,"animaux"),SUMIFS('Étape 1 - à remplir'!$F$31:$F$400,'Étape 1 - à remplir'!$E$31:$E$400,MASQ2!O433,'Étape 1 - à remplir'!$N$31:$N$400,X$3)))))))</f>
        <v>#N/A</v>
      </c>
      <c r="Q433" s="63">
        <f t="shared" si="285"/>
        <v>0</v>
      </c>
      <c r="R433" t="str">
        <f>Données_ATB!BM432</f>
        <v>Tylosine</v>
      </c>
      <c r="S433" t="str">
        <f>Données_ATB!BN432</f>
        <v/>
      </c>
      <c r="T433" s="63" t="str">
        <f>Données_ATB!BO432</f>
        <v/>
      </c>
      <c r="U433" s="42" t="str">
        <f>Données_ATB!BQ432</f>
        <v>Macrolides</v>
      </c>
      <c r="V433" t="str">
        <f>Données_ATB!BR432</f>
        <v/>
      </c>
      <c r="W433" s="63" t="str">
        <f>Données_ATB!BS432</f>
        <v/>
      </c>
      <c r="Z433" s="42">
        <v>430</v>
      </c>
      <c r="AA433" t="e">
        <f t="shared" si="281"/>
        <v>#N/A</v>
      </c>
      <c r="AB433" s="63" t="e">
        <f t="shared" si="282"/>
        <v>#N/A</v>
      </c>
      <c r="BF433" s="63"/>
      <c r="BT433" s="194" t="str">
        <f t="shared" ca="1" si="265"/>
        <v/>
      </c>
      <c r="BU433" s="219" t="str">
        <f>IFERROR(IF(BX433=0,"",COUNTIF(BX$4:BX$600,"&gt;"&amp;BX433)+COUNTIF(BX$4:BX433,BX433)),"")</f>
        <v/>
      </c>
      <c r="BV433" s="42" t="str">
        <f t="shared" si="266"/>
        <v>SANTAMIX TYLO 20</v>
      </c>
      <c r="BW433" t="e">
        <f>IF(IF(CE$2="Catégorie",IF(CE$3="Toutes",SUMIFS('Étape 1 - à remplir'!$F$31:$F$400,'Étape 1 - à remplir'!$E$31:$E$400,MASQ2!BV433,'Étape 1 - à remplir'!$G$31:$G$400,"lots"),SUMIFS('Étape 1 - à remplir'!$F$31:$F$400,'Étape 1 - à remplir'!$E$31:$E$400,MASQ2!BV433,'Étape 1 - à remplir'!$C$31:$C$400,CE$3)),IF(CE$2="Âge",IF(CE$3="Tous",SUMIFS('Étape 1 - à remplir'!$F$31:$F$400,'Étape 1 - à remplir'!$E$31:$E$400,MASQ2!BV433,'Étape 1 - à remplir'!$G$31:$G$400,"lots"),SUMIFS('Étape 1 - à remplir'!$F$31:$F$400,'Étape 1 - à remplir'!$E$31:$E$400,MASQ2!BV433,'Étape 1 - à remplir'!$P$31:$P$400,CE$3,'Étape 1 - à remplir'!$G$31:$G$400,"lots")),IF(CE$2="Atelier",IF(CE$3="Tous",SUMIFS('Étape 1 - à remplir'!$F$31:$F$400,'Étape 1 - à remplir'!$E$31:$E$400,MASQ2!BV433,'Étape 1 - à remplir'!$G$31:$G$400,"lots"),SUMIFS('Étape 1 - à remplir'!$F$31:$F$400,'Étape 1 - à remplir'!$E$31:$E$400,MASQ2!BV433,'Étape 1 - à remplir'!$O$31:$O$400,CE$3,'Étape 1 - à remplir'!$G$31:$G$400,"lots")),IF(CE$2="Espèce",IF(CE$3="Toutes",SUMIFS('Étape 1 - à remplir'!$F$31:$F$400,'Étape 1 - à remplir'!$E$31:$E$400,MASQ2!BV433,'Étape 1 - à remplir'!$G$31:$G$400,"lots"),SUMIFS('Étape 1 - à remplir'!$F$31:$F$400,'Étape 1 - à remplir'!$E$31:$E$400,MASQ2!BV433,'Étape 1 - à remplir'!$N$31:$N$400,CE$3,'Étape 1 - à remplir'!$G$31:$G$400,"lots"))))))=0,NA(),IF(CE$2="Catégorie",IF(CE$3="Toutes",SUMIFS('Étape 1 - à remplir'!$F$31:$F$400,'Étape 1 - à remplir'!$E$31:$E$400,MASQ2!BV433,'Étape 1 - à remplir'!$G$31:$G$400,"lots"),SUMIFS('Étape 1 - à remplir'!$F$31:$F$400,'Étape 1 - à remplir'!$E$31:$E$400,MASQ2!BV433,'Étape 1 - à remplir'!$C$31:$C$400,CE$3)),IF(CE$2="Âge",IF(CE$3="Tous",SUMIFS('Étape 1 - à remplir'!$F$31:$F$400,'Étape 1 - à remplir'!$E$31:$E$400,MASQ2!BV433,'Étape 1 - à remplir'!$G$31:$G$400,"lots"),SUMIFS('Étape 1 - à remplir'!$F$31:$F$400,'Étape 1 - à remplir'!$E$31:$E$400,MASQ2!BV433,'Étape 1 - à remplir'!$P$31:$P$400,CE$3,'Étape 1 - à remplir'!$G$31:$G$400,"lots")),IF(CE$2="Atelier",IF(CE$3="Tous",SUMIFS('Étape 1 - à remplir'!$F$31:$F$400,'Étape 1 - à remplir'!$E$31:$E$400,MASQ2!BV433,'Étape 1 - à remplir'!$G$31:$G$400,"lots"),SUMIFS('Étape 1 - à remplir'!$F$31:$F$400,'Étape 1 - à remplir'!$E$31:$E$400,MASQ2!BV433,'Étape 1 - à remplir'!$O$31:$O$400,CE$3,'Étape 1 - à remplir'!$G$31:$G$400,"lots")),IF(CE$2="Espèce",IF(CE$3="Toutes",SUMIFS('Étape 1 - à remplir'!$F$31:$F$400,'Étape 1 - à remplir'!$E$31:$E$400,MASQ2!BV433,'Étape 1 - à remplir'!$G$31:$G$400,"lots"),SUMIFS('Étape 1 - à remplir'!$F$31:$F$400,'Étape 1 - à remplir'!$E$31:$E$400,MASQ2!BV433,'Étape 1 - à remplir'!$N$31:$N$400,CE$3,'Étape 1 - à remplir'!$G$31:$G$400,"lots")))))))</f>
        <v>#N/A</v>
      </c>
      <c r="BX433">
        <f t="shared" si="283"/>
        <v>0</v>
      </c>
      <c r="BY433" t="str">
        <f t="shared" si="267"/>
        <v>Tylosine</v>
      </c>
      <c r="BZ433" t="str">
        <f t="shared" si="268"/>
        <v/>
      </c>
      <c r="CA433" t="str">
        <f t="shared" si="269"/>
        <v/>
      </c>
      <c r="CB433" t="str">
        <f t="shared" si="270"/>
        <v>Macrolides</v>
      </c>
      <c r="CC433" t="str">
        <f t="shared" si="271"/>
        <v/>
      </c>
      <c r="CD433" s="63" t="str">
        <f t="shared" si="272"/>
        <v/>
      </c>
      <c r="CG433" s="42">
        <v>430</v>
      </c>
      <c r="CH433" s="42" t="e">
        <f t="shared" si="288"/>
        <v>#N/A</v>
      </c>
      <c r="CI433" s="63" t="e">
        <f t="shared" si="289"/>
        <v>#N/A</v>
      </c>
      <c r="DM433" s="63"/>
      <c r="EA433" s="194" t="str">
        <f t="shared" ca="1" si="273"/>
        <v/>
      </c>
      <c r="EB433" s="226" t="str">
        <f>IFERROR(IF(ED433=0,"",COUNTIF(ED$4:ED$600,"&gt;"&amp;ED433)+COUNTIF(ED$4:ED433,ED433)),"")</f>
        <v/>
      </c>
      <c r="EC433" t="str">
        <f t="shared" si="274"/>
        <v>SANTAMIX TYLO 20</v>
      </c>
      <c r="ED433" t="e">
        <f>IF(IF(EL$2="Catégorie",IF(EL$3="Toutes",SUMIFS('Étape 1 - à remplir'!$F$31:$F$400,'Étape 1 - à remplir'!$E$31:$E$400,MASQ2!EC433,'Étape 1 - à remplir'!$G$31:$G$400,"kg"),SUMIFS('Étape 1 - à remplir'!$F$31:$F$400,'Étape 1 - à remplir'!$E$31:$E$400,MASQ2!EC433,'Étape 1 - à remplir'!$C$31:$C$400,EL$3)),IF(EL$2="Âge",IF(EL$3="Tous",SUMIFS('Étape 1 - à remplir'!$F$31:$F$400,'Étape 1 - à remplir'!$E$31:$E$400,MASQ2!EC433,'Étape 1 - à remplir'!$G$31:$G$400,"kg"),SUMIFS('Étape 1 - à remplir'!$F$31:$F$400,'Étape 1 - à remplir'!$E$31:$E$400,MASQ2!EC433,'Étape 1 - à remplir'!$P$31:$P$400,EL$3,'Étape 1 - à remplir'!$G$31:$G$400,"kg")),IF(EL$2="Atelier",IF(EL$3="Tous",SUMIFS('Étape 1 - à remplir'!$F$31:$F$400,'Étape 1 - à remplir'!$E$31:$E$400,MASQ2!EC433,'Étape 1 - à remplir'!$G$31:$G$400,"kg"),SUMIFS('Étape 1 - à remplir'!$F$31:$F$400,'Étape 1 - à remplir'!$E$31:$E$400,MASQ2!EC433,'Étape 1 - à remplir'!$O$31:$O$400,EL$3,'Étape 1 - à remplir'!$G$31:$G$400,"kg")),IF(EL$2="Espèce",IF(EL$3="Toutes",SUMIFS('Étape 1 - à remplir'!$F$31:$F$400,'Étape 1 - à remplir'!$E$31:$E$400,MASQ2!EC433,'Étape 1 - à remplir'!$G$31:$G$400,"kg"),SUMIFS('Étape 1 - à remplir'!$F$31:$F$400,'Étape 1 - à remplir'!$E$31:$E$400,MASQ2!EC433,'Étape 1 - à remplir'!$N$31:$N$400,EL$3,'Étape 1 - à remplir'!$G$31:$G$400,"kg"))))))=0,NA(),IF(EL$2="Catégorie",IF(EL$3="Toutes",SUMIFS('Étape 1 - à remplir'!$F$31:$F$400,'Étape 1 - à remplir'!$E$31:$E$400,MASQ2!EC433,'Étape 1 - à remplir'!$G$31:$G$400,"kg"),SUMIFS('Étape 1 - à remplir'!$F$31:$F$400,'Étape 1 - à remplir'!$E$31:$E$400,MASQ2!EC433,'Étape 1 - à remplir'!$C$31:$C$400,EL$3)),IF(EL$2="Âge",IF(EL$3="Tous",SUMIFS('Étape 1 - à remplir'!$F$31:$F$400,'Étape 1 - à remplir'!$E$31:$E$400,MASQ2!EC433,'Étape 1 - à remplir'!$G$31:$G$400,"kg"),SUMIFS('Étape 1 - à remplir'!$F$31:$F$400,'Étape 1 - à remplir'!$E$31:$E$400,MASQ2!EC433,'Étape 1 - à remplir'!$P$31:$P$400,EL$3,'Étape 1 - à remplir'!$G$31:$G$400,"kg")),IF(EL$2="Atelier",IF(EL$3="Tous",SUMIFS('Étape 1 - à remplir'!$F$31:$F$400,'Étape 1 - à remplir'!$E$31:$E$400,MASQ2!EC433,'Étape 1 - à remplir'!$G$31:$G$400,"kg"),SUMIFS('Étape 1 - à remplir'!$F$31:$F$400,'Étape 1 - à remplir'!$E$31:$E$400,MASQ2!EC433,'Étape 1 - à remplir'!$O$31:$O$400,EL$3,'Étape 1 - à remplir'!$G$31:$G$400,"kg")),IF(EL$2="Espèce",IF(EL$3="Toutes",SUMIFS('Étape 1 - à remplir'!$F$31:$F$400,'Étape 1 - à remplir'!$E$31:$E$400,MASQ2!EC433,'Étape 1 - à remplir'!$G$31:$G$400,"kg"),SUMIFS('Étape 1 - à remplir'!$F$31:$F$400,'Étape 1 - à remplir'!$E$31:$E$400,MASQ2!EC433,'Étape 1 - à remplir'!$N$31:$N$400,EL$3,'Étape 1 - à remplir'!$G$31:$G$400,"kg")))))))</f>
        <v>#N/A</v>
      </c>
      <c r="EE433" s="76">
        <f t="shared" si="284"/>
        <v>0</v>
      </c>
      <c r="EF433" t="str">
        <f t="shared" si="275"/>
        <v>Tylosine</v>
      </c>
      <c r="EG433" t="str">
        <f t="shared" si="276"/>
        <v/>
      </c>
      <c r="EH433" t="str">
        <f t="shared" si="277"/>
        <v/>
      </c>
      <c r="EI433" t="str">
        <f t="shared" si="278"/>
        <v>Macrolides</v>
      </c>
      <c r="EJ433" t="str">
        <f t="shared" si="279"/>
        <v/>
      </c>
      <c r="EK433" s="63" t="str">
        <f t="shared" si="280"/>
        <v/>
      </c>
      <c r="EN433" s="42">
        <v>430</v>
      </c>
      <c r="EO433" t="e">
        <f t="shared" si="286"/>
        <v>#N/A</v>
      </c>
      <c r="EP433" s="63" t="e">
        <f t="shared" si="287"/>
        <v>#N/A</v>
      </c>
      <c r="FT433" s="63"/>
    </row>
    <row r="434" spans="2:176" x14ac:dyDescent="0.3">
      <c r="B434" s="42"/>
      <c r="M434" s="194" t="str">
        <f ca="1">INDEX(Données_ATB!BD:BU,MATCH(MASQ2!O434,Données_ATB!BD:BD,0),18)</f>
        <v/>
      </c>
      <c r="N434" s="14" t="str">
        <f>IFERROR(IF(Q434=0,"",COUNTIF(Q$4:Q$600,"&gt;"&amp;Q434)+COUNTIF(Q$4:Q434,Q434)),"")</f>
        <v/>
      </c>
      <c r="O434" t="str">
        <f>Données_ATB!BD433</f>
        <v>SELECTAN</v>
      </c>
      <c r="P434" t="e">
        <f>IF(IF(X$2="Catégorie",IF(X$3="Toutes",SUMIFS('Étape 1 - à remplir'!$F$31:$F$400,'Étape 1 - à remplir'!$E$31:$E$400,MASQ2!O434,'Étape 1 - à remplir'!$G$31:$G$400,"animaux"),SUMIFS('Étape 1 - à remplir'!$F$31:$F$400,'Étape 1 - à remplir'!$E$31:$E$400,MASQ2!O434,'Étape 1 - à remplir'!$C$31:$C$400,X$3)),IF(X$2="Âge",IF(X$3="Tous",SUMIFS('Étape 1 - à remplir'!$F$31:$F$400,'Étape 1 - à remplir'!$E$31:$E$400,MASQ2!O434,'Étape 1 - à remplir'!$G$31:$G$400,"animaux"),SUMIFS('Étape 1 - à remplir'!$F$31:$F$400,'Étape 1 - à remplir'!$E$31:$E$400,MASQ2!O434,'Étape 1 - à remplir'!$P$31:$P$400,X$3)),IF(X$2="Atelier",IF(X$3="Tous",SUMIFS('Étape 1 - à remplir'!$F$31:$F$400,'Étape 1 - à remplir'!$E$31:$E$400,MASQ2!O434,'Étape 1 - à remplir'!$G$31:$G$400,"animaux"),SUMIFS('Étape 1 - à remplir'!$F$31:$F$400,'Étape 1 - à remplir'!$E$31:$E$400,MASQ2!O434,'Étape 1 - à remplir'!$O$31:$O$400,X$3)),IF(X$2="Espèce",IF(X$3="Toutes",SUMIFS('Étape 1 - à remplir'!$F$31:$F$400,'Étape 1 - à remplir'!$E$31:$E$400,MASQ2!O434,'Étape 1 - à remplir'!$G$31:$G$400,"animaux"),SUMIFS('Étape 1 - à remplir'!$F$31:$F$400,'Étape 1 - à remplir'!$E$31:$E$400,MASQ2!O434,'Étape 1 - à remplir'!$N$31:$N$400,X$3))))))=0,NA(),IF(X$2="Catégorie",IF(X$3="Toutes",SUMIFS('Étape 1 - à remplir'!$F$31:$F$400,'Étape 1 - à remplir'!$E$31:$E$400,MASQ2!O434,'Étape 1 - à remplir'!$G$31:$G$400,"animaux"),SUMIFS('Étape 1 - à remplir'!$F$31:$F$400,'Étape 1 - à remplir'!$E$31:$E$400,MASQ2!O434,'Étape 1 - à remplir'!$C$31:$C$400,X$3)),IF(X$2="Âge",IF(X$3="Tous",SUMIFS('Étape 1 - à remplir'!$F$31:$F$400,'Étape 1 - à remplir'!$E$31:$E$400,MASQ2!O434,'Étape 1 - à remplir'!$G$31:$G$400,"animaux"),SUMIFS('Étape 1 - à remplir'!$F$31:$F$400,'Étape 1 - à remplir'!$E$31:$E$400,MASQ2!O434,'Étape 1 - à remplir'!$P$31:$P$400,X$3)),IF(X$2="Atelier",IF(X$3="Tous",SUMIFS('Étape 1 - à remplir'!$F$31:$F$400,'Étape 1 - à remplir'!$E$31:$E$400,MASQ2!O434,'Étape 1 - à remplir'!$G$31:$G$400,"animaux"),SUMIFS('Étape 1 - à remplir'!$F$31:$F$400,'Étape 1 - à remplir'!$E$31:$E$400,MASQ2!O434,'Étape 1 - à remplir'!$O$31:$O$400,X$3)),IF(X$2="Espèce",IF(X$3="Toutes",SUMIFS('Étape 1 - à remplir'!$F$31:$F$400,'Étape 1 - à remplir'!$E$31:$E$400,MASQ2!O434,'Étape 1 - à remplir'!$G$31:$G$400,"animaux"),SUMIFS('Étape 1 - à remplir'!$F$31:$F$400,'Étape 1 - à remplir'!$E$31:$E$400,MASQ2!O434,'Étape 1 - à remplir'!$N$31:$N$400,X$3)))))))</f>
        <v>#N/A</v>
      </c>
      <c r="Q434" s="63">
        <f t="shared" si="285"/>
        <v>0</v>
      </c>
      <c r="R434" t="str">
        <f>Données_ATB!BM433</f>
        <v>Florfénicol</v>
      </c>
      <c r="S434" t="str">
        <f>Données_ATB!BN433</f>
        <v/>
      </c>
      <c r="T434" s="63" t="str">
        <f>Données_ATB!BO433</f>
        <v/>
      </c>
      <c r="U434" s="42" t="str">
        <f>Données_ATB!BQ433</f>
        <v>Phenicoles</v>
      </c>
      <c r="V434" t="str">
        <f>Données_ATB!BR433</f>
        <v/>
      </c>
      <c r="W434" s="63" t="str">
        <f>Données_ATB!BS433</f>
        <v/>
      </c>
      <c r="Z434" s="42">
        <v>431</v>
      </c>
      <c r="AA434" t="e">
        <f t="shared" si="281"/>
        <v>#N/A</v>
      </c>
      <c r="AB434" s="63" t="e">
        <f t="shared" si="282"/>
        <v>#N/A</v>
      </c>
      <c r="BF434" s="63"/>
      <c r="BT434" s="194" t="str">
        <f t="shared" ca="1" si="265"/>
        <v/>
      </c>
      <c r="BU434" s="219" t="str">
        <f>IFERROR(IF(BX434=0,"",COUNTIF(BX$4:BX$600,"&gt;"&amp;BX434)+COUNTIF(BX$4:BX434,BX434)),"")</f>
        <v/>
      </c>
      <c r="BV434" s="42" t="str">
        <f t="shared" si="266"/>
        <v>SELECTAN</v>
      </c>
      <c r="BW434" t="e">
        <f>IF(IF(CE$2="Catégorie",IF(CE$3="Toutes",SUMIFS('Étape 1 - à remplir'!$F$31:$F$400,'Étape 1 - à remplir'!$E$31:$E$400,MASQ2!BV434,'Étape 1 - à remplir'!$G$31:$G$400,"lots"),SUMIFS('Étape 1 - à remplir'!$F$31:$F$400,'Étape 1 - à remplir'!$E$31:$E$400,MASQ2!BV434,'Étape 1 - à remplir'!$C$31:$C$400,CE$3)),IF(CE$2="Âge",IF(CE$3="Tous",SUMIFS('Étape 1 - à remplir'!$F$31:$F$400,'Étape 1 - à remplir'!$E$31:$E$400,MASQ2!BV434,'Étape 1 - à remplir'!$G$31:$G$400,"lots"),SUMIFS('Étape 1 - à remplir'!$F$31:$F$400,'Étape 1 - à remplir'!$E$31:$E$400,MASQ2!BV434,'Étape 1 - à remplir'!$P$31:$P$400,CE$3,'Étape 1 - à remplir'!$G$31:$G$400,"lots")),IF(CE$2="Atelier",IF(CE$3="Tous",SUMIFS('Étape 1 - à remplir'!$F$31:$F$400,'Étape 1 - à remplir'!$E$31:$E$400,MASQ2!BV434,'Étape 1 - à remplir'!$G$31:$G$400,"lots"),SUMIFS('Étape 1 - à remplir'!$F$31:$F$400,'Étape 1 - à remplir'!$E$31:$E$400,MASQ2!BV434,'Étape 1 - à remplir'!$O$31:$O$400,CE$3,'Étape 1 - à remplir'!$G$31:$G$400,"lots")),IF(CE$2="Espèce",IF(CE$3="Toutes",SUMIFS('Étape 1 - à remplir'!$F$31:$F$400,'Étape 1 - à remplir'!$E$31:$E$400,MASQ2!BV434,'Étape 1 - à remplir'!$G$31:$G$400,"lots"),SUMIFS('Étape 1 - à remplir'!$F$31:$F$400,'Étape 1 - à remplir'!$E$31:$E$400,MASQ2!BV434,'Étape 1 - à remplir'!$N$31:$N$400,CE$3,'Étape 1 - à remplir'!$G$31:$G$400,"lots"))))))=0,NA(),IF(CE$2="Catégorie",IF(CE$3="Toutes",SUMIFS('Étape 1 - à remplir'!$F$31:$F$400,'Étape 1 - à remplir'!$E$31:$E$400,MASQ2!BV434,'Étape 1 - à remplir'!$G$31:$G$400,"lots"),SUMIFS('Étape 1 - à remplir'!$F$31:$F$400,'Étape 1 - à remplir'!$E$31:$E$400,MASQ2!BV434,'Étape 1 - à remplir'!$C$31:$C$400,CE$3)),IF(CE$2="Âge",IF(CE$3="Tous",SUMIFS('Étape 1 - à remplir'!$F$31:$F$400,'Étape 1 - à remplir'!$E$31:$E$400,MASQ2!BV434,'Étape 1 - à remplir'!$G$31:$G$400,"lots"),SUMIFS('Étape 1 - à remplir'!$F$31:$F$400,'Étape 1 - à remplir'!$E$31:$E$400,MASQ2!BV434,'Étape 1 - à remplir'!$P$31:$P$400,CE$3,'Étape 1 - à remplir'!$G$31:$G$400,"lots")),IF(CE$2="Atelier",IF(CE$3="Tous",SUMIFS('Étape 1 - à remplir'!$F$31:$F$400,'Étape 1 - à remplir'!$E$31:$E$400,MASQ2!BV434,'Étape 1 - à remplir'!$G$31:$G$400,"lots"),SUMIFS('Étape 1 - à remplir'!$F$31:$F$400,'Étape 1 - à remplir'!$E$31:$E$400,MASQ2!BV434,'Étape 1 - à remplir'!$O$31:$O$400,CE$3,'Étape 1 - à remplir'!$G$31:$G$400,"lots")),IF(CE$2="Espèce",IF(CE$3="Toutes",SUMIFS('Étape 1 - à remplir'!$F$31:$F$400,'Étape 1 - à remplir'!$E$31:$E$400,MASQ2!BV434,'Étape 1 - à remplir'!$G$31:$G$400,"lots"),SUMIFS('Étape 1 - à remplir'!$F$31:$F$400,'Étape 1 - à remplir'!$E$31:$E$400,MASQ2!BV434,'Étape 1 - à remplir'!$N$31:$N$400,CE$3,'Étape 1 - à remplir'!$G$31:$G$400,"lots")))))))</f>
        <v>#N/A</v>
      </c>
      <c r="BX434">
        <f t="shared" si="283"/>
        <v>0</v>
      </c>
      <c r="BY434" t="str">
        <f t="shared" si="267"/>
        <v>Florfénicol</v>
      </c>
      <c r="BZ434" t="str">
        <f t="shared" si="268"/>
        <v/>
      </c>
      <c r="CA434" t="str">
        <f t="shared" si="269"/>
        <v/>
      </c>
      <c r="CB434" t="str">
        <f t="shared" si="270"/>
        <v>Phenicoles</v>
      </c>
      <c r="CC434" t="str">
        <f t="shared" si="271"/>
        <v/>
      </c>
      <c r="CD434" s="63" t="str">
        <f t="shared" si="272"/>
        <v/>
      </c>
      <c r="CG434" s="42">
        <v>431</v>
      </c>
      <c r="CH434" s="42" t="e">
        <f t="shared" si="288"/>
        <v>#N/A</v>
      </c>
      <c r="CI434" s="63" t="e">
        <f t="shared" si="289"/>
        <v>#N/A</v>
      </c>
      <c r="DM434" s="63"/>
      <c r="EA434" s="194" t="str">
        <f t="shared" ca="1" si="273"/>
        <v/>
      </c>
      <c r="EB434" s="226" t="str">
        <f>IFERROR(IF(ED434=0,"",COUNTIF(ED$4:ED$600,"&gt;"&amp;ED434)+COUNTIF(ED$4:ED434,ED434)),"")</f>
        <v/>
      </c>
      <c r="EC434" t="str">
        <f t="shared" si="274"/>
        <v>SELECTAN</v>
      </c>
      <c r="ED434" t="e">
        <f>IF(IF(EL$2="Catégorie",IF(EL$3="Toutes",SUMIFS('Étape 1 - à remplir'!$F$31:$F$400,'Étape 1 - à remplir'!$E$31:$E$400,MASQ2!EC434,'Étape 1 - à remplir'!$G$31:$G$400,"kg"),SUMIFS('Étape 1 - à remplir'!$F$31:$F$400,'Étape 1 - à remplir'!$E$31:$E$400,MASQ2!EC434,'Étape 1 - à remplir'!$C$31:$C$400,EL$3)),IF(EL$2="Âge",IF(EL$3="Tous",SUMIFS('Étape 1 - à remplir'!$F$31:$F$400,'Étape 1 - à remplir'!$E$31:$E$400,MASQ2!EC434,'Étape 1 - à remplir'!$G$31:$G$400,"kg"),SUMIFS('Étape 1 - à remplir'!$F$31:$F$400,'Étape 1 - à remplir'!$E$31:$E$400,MASQ2!EC434,'Étape 1 - à remplir'!$P$31:$P$400,EL$3,'Étape 1 - à remplir'!$G$31:$G$400,"kg")),IF(EL$2="Atelier",IF(EL$3="Tous",SUMIFS('Étape 1 - à remplir'!$F$31:$F$400,'Étape 1 - à remplir'!$E$31:$E$400,MASQ2!EC434,'Étape 1 - à remplir'!$G$31:$G$400,"kg"),SUMIFS('Étape 1 - à remplir'!$F$31:$F$400,'Étape 1 - à remplir'!$E$31:$E$400,MASQ2!EC434,'Étape 1 - à remplir'!$O$31:$O$400,EL$3,'Étape 1 - à remplir'!$G$31:$G$400,"kg")),IF(EL$2="Espèce",IF(EL$3="Toutes",SUMIFS('Étape 1 - à remplir'!$F$31:$F$400,'Étape 1 - à remplir'!$E$31:$E$400,MASQ2!EC434,'Étape 1 - à remplir'!$G$31:$G$400,"kg"),SUMIFS('Étape 1 - à remplir'!$F$31:$F$400,'Étape 1 - à remplir'!$E$31:$E$400,MASQ2!EC434,'Étape 1 - à remplir'!$N$31:$N$400,EL$3,'Étape 1 - à remplir'!$G$31:$G$400,"kg"))))))=0,NA(),IF(EL$2="Catégorie",IF(EL$3="Toutes",SUMIFS('Étape 1 - à remplir'!$F$31:$F$400,'Étape 1 - à remplir'!$E$31:$E$400,MASQ2!EC434,'Étape 1 - à remplir'!$G$31:$G$400,"kg"),SUMIFS('Étape 1 - à remplir'!$F$31:$F$400,'Étape 1 - à remplir'!$E$31:$E$400,MASQ2!EC434,'Étape 1 - à remplir'!$C$31:$C$400,EL$3)),IF(EL$2="Âge",IF(EL$3="Tous",SUMIFS('Étape 1 - à remplir'!$F$31:$F$400,'Étape 1 - à remplir'!$E$31:$E$400,MASQ2!EC434,'Étape 1 - à remplir'!$G$31:$G$400,"kg"),SUMIFS('Étape 1 - à remplir'!$F$31:$F$400,'Étape 1 - à remplir'!$E$31:$E$400,MASQ2!EC434,'Étape 1 - à remplir'!$P$31:$P$400,EL$3,'Étape 1 - à remplir'!$G$31:$G$400,"kg")),IF(EL$2="Atelier",IF(EL$3="Tous",SUMIFS('Étape 1 - à remplir'!$F$31:$F$400,'Étape 1 - à remplir'!$E$31:$E$400,MASQ2!EC434,'Étape 1 - à remplir'!$G$31:$G$400,"kg"),SUMIFS('Étape 1 - à remplir'!$F$31:$F$400,'Étape 1 - à remplir'!$E$31:$E$400,MASQ2!EC434,'Étape 1 - à remplir'!$O$31:$O$400,EL$3,'Étape 1 - à remplir'!$G$31:$G$400,"kg")),IF(EL$2="Espèce",IF(EL$3="Toutes",SUMIFS('Étape 1 - à remplir'!$F$31:$F$400,'Étape 1 - à remplir'!$E$31:$E$400,MASQ2!EC434,'Étape 1 - à remplir'!$G$31:$G$400,"kg"),SUMIFS('Étape 1 - à remplir'!$F$31:$F$400,'Étape 1 - à remplir'!$E$31:$E$400,MASQ2!EC434,'Étape 1 - à remplir'!$N$31:$N$400,EL$3,'Étape 1 - à remplir'!$G$31:$G$400,"kg")))))))</f>
        <v>#N/A</v>
      </c>
      <c r="EE434" s="76">
        <f t="shared" si="284"/>
        <v>0</v>
      </c>
      <c r="EF434" t="str">
        <f t="shared" si="275"/>
        <v>Florfénicol</v>
      </c>
      <c r="EG434" t="str">
        <f t="shared" si="276"/>
        <v/>
      </c>
      <c r="EH434" t="str">
        <f t="shared" si="277"/>
        <v/>
      </c>
      <c r="EI434" t="str">
        <f t="shared" si="278"/>
        <v>Phenicoles</v>
      </c>
      <c r="EJ434" t="str">
        <f t="shared" si="279"/>
        <v/>
      </c>
      <c r="EK434" s="63" t="str">
        <f t="shared" si="280"/>
        <v/>
      </c>
      <c r="EN434" s="42">
        <v>431</v>
      </c>
      <c r="EO434" t="e">
        <f t="shared" si="286"/>
        <v>#N/A</v>
      </c>
      <c r="EP434" s="63" t="e">
        <f t="shared" si="287"/>
        <v>#N/A</v>
      </c>
      <c r="FT434" s="63"/>
    </row>
    <row r="435" spans="2:176" x14ac:dyDescent="0.3">
      <c r="B435" s="42"/>
      <c r="M435" s="194" t="str">
        <f ca="1">INDEX(Données_ATB!BD:BU,MATCH(MASQ2!O435,Données_ATB!BD:BD,0),18)</f>
        <v/>
      </c>
      <c r="N435" s="14" t="str">
        <f>IFERROR(IF(Q435=0,"",COUNTIF(Q$4:Q$600,"&gt;"&amp;Q435)+COUNTIF(Q$4:Q435,Q435)),"")</f>
        <v/>
      </c>
      <c r="O435" t="str">
        <f>Données_ATB!BD434</f>
        <v>SELECTAN ORAL 23 MG/ML SOLUTION A DILUER POUR ADMINISTRATION DANS L'EAU DE BOISSON</v>
      </c>
      <c r="P435" t="e">
        <f>IF(IF(X$2="Catégorie",IF(X$3="Toutes",SUMIFS('Étape 1 - à remplir'!$F$31:$F$400,'Étape 1 - à remplir'!$E$31:$E$400,MASQ2!O435,'Étape 1 - à remplir'!$G$31:$G$400,"animaux"),SUMIFS('Étape 1 - à remplir'!$F$31:$F$400,'Étape 1 - à remplir'!$E$31:$E$400,MASQ2!O435,'Étape 1 - à remplir'!$C$31:$C$400,X$3)),IF(X$2="Âge",IF(X$3="Tous",SUMIFS('Étape 1 - à remplir'!$F$31:$F$400,'Étape 1 - à remplir'!$E$31:$E$400,MASQ2!O435,'Étape 1 - à remplir'!$G$31:$G$400,"animaux"),SUMIFS('Étape 1 - à remplir'!$F$31:$F$400,'Étape 1 - à remplir'!$E$31:$E$400,MASQ2!O435,'Étape 1 - à remplir'!$P$31:$P$400,X$3)),IF(X$2="Atelier",IF(X$3="Tous",SUMIFS('Étape 1 - à remplir'!$F$31:$F$400,'Étape 1 - à remplir'!$E$31:$E$400,MASQ2!O435,'Étape 1 - à remplir'!$G$31:$G$400,"animaux"),SUMIFS('Étape 1 - à remplir'!$F$31:$F$400,'Étape 1 - à remplir'!$E$31:$E$400,MASQ2!O435,'Étape 1 - à remplir'!$O$31:$O$400,X$3)),IF(X$2="Espèce",IF(X$3="Toutes",SUMIFS('Étape 1 - à remplir'!$F$31:$F$400,'Étape 1 - à remplir'!$E$31:$E$400,MASQ2!O435,'Étape 1 - à remplir'!$G$31:$G$400,"animaux"),SUMIFS('Étape 1 - à remplir'!$F$31:$F$400,'Étape 1 - à remplir'!$E$31:$E$400,MASQ2!O435,'Étape 1 - à remplir'!$N$31:$N$400,X$3))))))=0,NA(),IF(X$2="Catégorie",IF(X$3="Toutes",SUMIFS('Étape 1 - à remplir'!$F$31:$F$400,'Étape 1 - à remplir'!$E$31:$E$400,MASQ2!O435,'Étape 1 - à remplir'!$G$31:$G$400,"animaux"),SUMIFS('Étape 1 - à remplir'!$F$31:$F$400,'Étape 1 - à remplir'!$E$31:$E$400,MASQ2!O435,'Étape 1 - à remplir'!$C$31:$C$400,X$3)),IF(X$2="Âge",IF(X$3="Tous",SUMIFS('Étape 1 - à remplir'!$F$31:$F$400,'Étape 1 - à remplir'!$E$31:$E$400,MASQ2!O435,'Étape 1 - à remplir'!$G$31:$G$400,"animaux"),SUMIFS('Étape 1 - à remplir'!$F$31:$F$400,'Étape 1 - à remplir'!$E$31:$E$400,MASQ2!O435,'Étape 1 - à remplir'!$P$31:$P$400,X$3)),IF(X$2="Atelier",IF(X$3="Tous",SUMIFS('Étape 1 - à remplir'!$F$31:$F$400,'Étape 1 - à remplir'!$E$31:$E$400,MASQ2!O435,'Étape 1 - à remplir'!$G$31:$G$400,"animaux"),SUMIFS('Étape 1 - à remplir'!$F$31:$F$400,'Étape 1 - à remplir'!$E$31:$E$400,MASQ2!O435,'Étape 1 - à remplir'!$O$31:$O$400,X$3)),IF(X$2="Espèce",IF(X$3="Toutes",SUMIFS('Étape 1 - à remplir'!$F$31:$F$400,'Étape 1 - à remplir'!$E$31:$E$400,MASQ2!O435,'Étape 1 - à remplir'!$G$31:$G$400,"animaux"),SUMIFS('Étape 1 - à remplir'!$F$31:$F$400,'Étape 1 - à remplir'!$E$31:$E$400,MASQ2!O435,'Étape 1 - à remplir'!$N$31:$N$400,X$3)))))))</f>
        <v>#N/A</v>
      </c>
      <c r="Q435" s="63">
        <f t="shared" si="285"/>
        <v>0</v>
      </c>
      <c r="R435" t="str">
        <f>Données_ATB!BM434</f>
        <v>Florfénicol</v>
      </c>
      <c r="S435" t="str">
        <f>Données_ATB!BN434</f>
        <v/>
      </c>
      <c r="T435" s="63" t="str">
        <f>Données_ATB!BO434</f>
        <v/>
      </c>
      <c r="U435" s="42" t="str">
        <f>Données_ATB!BQ434</f>
        <v>Phenicoles</v>
      </c>
      <c r="V435" t="str">
        <f>Données_ATB!BR434</f>
        <v/>
      </c>
      <c r="W435" s="63" t="str">
        <f>Données_ATB!BS434</f>
        <v/>
      </c>
      <c r="Z435" s="42">
        <v>432</v>
      </c>
      <c r="AA435" t="e">
        <f t="shared" si="281"/>
        <v>#N/A</v>
      </c>
      <c r="AB435" s="63" t="e">
        <f t="shared" si="282"/>
        <v>#N/A</v>
      </c>
      <c r="BF435" s="63"/>
      <c r="BT435" s="194" t="str">
        <f t="shared" ca="1" si="265"/>
        <v/>
      </c>
      <c r="BU435" s="219" t="str">
        <f>IFERROR(IF(BX435=0,"",COUNTIF(BX$4:BX$600,"&gt;"&amp;BX435)+COUNTIF(BX$4:BX435,BX435)),"")</f>
        <v/>
      </c>
      <c r="BV435" s="42" t="str">
        <f t="shared" si="266"/>
        <v>SELECTAN ORAL 23 MG/ML SOLUTION A DILUER POUR ADMINISTRATION DANS L'EAU DE BOISSON</v>
      </c>
      <c r="BW435" t="e">
        <f>IF(IF(CE$2="Catégorie",IF(CE$3="Toutes",SUMIFS('Étape 1 - à remplir'!$F$31:$F$400,'Étape 1 - à remplir'!$E$31:$E$400,MASQ2!BV435,'Étape 1 - à remplir'!$G$31:$G$400,"lots"),SUMIFS('Étape 1 - à remplir'!$F$31:$F$400,'Étape 1 - à remplir'!$E$31:$E$400,MASQ2!BV435,'Étape 1 - à remplir'!$C$31:$C$400,CE$3)),IF(CE$2="Âge",IF(CE$3="Tous",SUMIFS('Étape 1 - à remplir'!$F$31:$F$400,'Étape 1 - à remplir'!$E$31:$E$400,MASQ2!BV435,'Étape 1 - à remplir'!$G$31:$G$400,"lots"),SUMIFS('Étape 1 - à remplir'!$F$31:$F$400,'Étape 1 - à remplir'!$E$31:$E$400,MASQ2!BV435,'Étape 1 - à remplir'!$P$31:$P$400,CE$3,'Étape 1 - à remplir'!$G$31:$G$400,"lots")),IF(CE$2="Atelier",IF(CE$3="Tous",SUMIFS('Étape 1 - à remplir'!$F$31:$F$400,'Étape 1 - à remplir'!$E$31:$E$400,MASQ2!BV435,'Étape 1 - à remplir'!$G$31:$G$400,"lots"),SUMIFS('Étape 1 - à remplir'!$F$31:$F$400,'Étape 1 - à remplir'!$E$31:$E$400,MASQ2!BV435,'Étape 1 - à remplir'!$O$31:$O$400,CE$3,'Étape 1 - à remplir'!$G$31:$G$400,"lots")),IF(CE$2="Espèce",IF(CE$3="Toutes",SUMIFS('Étape 1 - à remplir'!$F$31:$F$400,'Étape 1 - à remplir'!$E$31:$E$400,MASQ2!BV435,'Étape 1 - à remplir'!$G$31:$G$400,"lots"),SUMIFS('Étape 1 - à remplir'!$F$31:$F$400,'Étape 1 - à remplir'!$E$31:$E$400,MASQ2!BV435,'Étape 1 - à remplir'!$N$31:$N$400,CE$3,'Étape 1 - à remplir'!$G$31:$G$400,"lots"))))))=0,NA(),IF(CE$2="Catégorie",IF(CE$3="Toutes",SUMIFS('Étape 1 - à remplir'!$F$31:$F$400,'Étape 1 - à remplir'!$E$31:$E$400,MASQ2!BV435,'Étape 1 - à remplir'!$G$31:$G$400,"lots"),SUMIFS('Étape 1 - à remplir'!$F$31:$F$400,'Étape 1 - à remplir'!$E$31:$E$400,MASQ2!BV435,'Étape 1 - à remplir'!$C$31:$C$400,CE$3)),IF(CE$2="Âge",IF(CE$3="Tous",SUMIFS('Étape 1 - à remplir'!$F$31:$F$400,'Étape 1 - à remplir'!$E$31:$E$400,MASQ2!BV435,'Étape 1 - à remplir'!$G$31:$G$400,"lots"),SUMIFS('Étape 1 - à remplir'!$F$31:$F$400,'Étape 1 - à remplir'!$E$31:$E$400,MASQ2!BV435,'Étape 1 - à remplir'!$P$31:$P$400,CE$3,'Étape 1 - à remplir'!$G$31:$G$400,"lots")),IF(CE$2="Atelier",IF(CE$3="Tous",SUMIFS('Étape 1 - à remplir'!$F$31:$F$400,'Étape 1 - à remplir'!$E$31:$E$400,MASQ2!BV435,'Étape 1 - à remplir'!$G$31:$G$400,"lots"),SUMIFS('Étape 1 - à remplir'!$F$31:$F$400,'Étape 1 - à remplir'!$E$31:$E$400,MASQ2!BV435,'Étape 1 - à remplir'!$O$31:$O$400,CE$3,'Étape 1 - à remplir'!$G$31:$G$400,"lots")),IF(CE$2="Espèce",IF(CE$3="Toutes",SUMIFS('Étape 1 - à remplir'!$F$31:$F$400,'Étape 1 - à remplir'!$E$31:$E$400,MASQ2!BV435,'Étape 1 - à remplir'!$G$31:$G$400,"lots"),SUMIFS('Étape 1 - à remplir'!$F$31:$F$400,'Étape 1 - à remplir'!$E$31:$E$400,MASQ2!BV435,'Étape 1 - à remplir'!$N$31:$N$400,CE$3,'Étape 1 - à remplir'!$G$31:$G$400,"lots")))))))</f>
        <v>#N/A</v>
      </c>
      <c r="BX435">
        <f t="shared" si="283"/>
        <v>0</v>
      </c>
      <c r="BY435" t="str">
        <f t="shared" si="267"/>
        <v>Florfénicol</v>
      </c>
      <c r="BZ435" t="str">
        <f t="shared" si="268"/>
        <v/>
      </c>
      <c r="CA435" t="str">
        <f t="shared" si="269"/>
        <v/>
      </c>
      <c r="CB435" t="str">
        <f t="shared" si="270"/>
        <v>Phenicoles</v>
      </c>
      <c r="CC435" t="str">
        <f t="shared" si="271"/>
        <v/>
      </c>
      <c r="CD435" s="63" t="str">
        <f t="shared" si="272"/>
        <v/>
      </c>
      <c r="CG435" s="42">
        <v>432</v>
      </c>
      <c r="CH435" s="42" t="e">
        <f t="shared" si="288"/>
        <v>#N/A</v>
      </c>
      <c r="CI435" s="63" t="e">
        <f t="shared" si="289"/>
        <v>#N/A</v>
      </c>
      <c r="DM435" s="63"/>
      <c r="EA435" s="194" t="str">
        <f t="shared" ca="1" si="273"/>
        <v/>
      </c>
      <c r="EB435" s="226" t="str">
        <f>IFERROR(IF(ED435=0,"",COUNTIF(ED$4:ED$600,"&gt;"&amp;ED435)+COUNTIF(ED$4:ED435,ED435)),"")</f>
        <v/>
      </c>
      <c r="EC435" t="str">
        <f t="shared" si="274"/>
        <v>SELECTAN ORAL 23 MG/ML SOLUTION A DILUER POUR ADMINISTRATION DANS L'EAU DE BOISSON</v>
      </c>
      <c r="ED435" t="e">
        <f>IF(IF(EL$2="Catégorie",IF(EL$3="Toutes",SUMIFS('Étape 1 - à remplir'!$F$31:$F$400,'Étape 1 - à remplir'!$E$31:$E$400,MASQ2!EC435,'Étape 1 - à remplir'!$G$31:$G$400,"kg"),SUMIFS('Étape 1 - à remplir'!$F$31:$F$400,'Étape 1 - à remplir'!$E$31:$E$400,MASQ2!EC435,'Étape 1 - à remplir'!$C$31:$C$400,EL$3)),IF(EL$2="Âge",IF(EL$3="Tous",SUMIFS('Étape 1 - à remplir'!$F$31:$F$400,'Étape 1 - à remplir'!$E$31:$E$400,MASQ2!EC435,'Étape 1 - à remplir'!$G$31:$G$400,"kg"),SUMIFS('Étape 1 - à remplir'!$F$31:$F$400,'Étape 1 - à remplir'!$E$31:$E$400,MASQ2!EC435,'Étape 1 - à remplir'!$P$31:$P$400,EL$3,'Étape 1 - à remplir'!$G$31:$G$400,"kg")),IF(EL$2="Atelier",IF(EL$3="Tous",SUMIFS('Étape 1 - à remplir'!$F$31:$F$400,'Étape 1 - à remplir'!$E$31:$E$400,MASQ2!EC435,'Étape 1 - à remplir'!$G$31:$G$400,"kg"),SUMIFS('Étape 1 - à remplir'!$F$31:$F$400,'Étape 1 - à remplir'!$E$31:$E$400,MASQ2!EC435,'Étape 1 - à remplir'!$O$31:$O$400,EL$3,'Étape 1 - à remplir'!$G$31:$G$400,"kg")),IF(EL$2="Espèce",IF(EL$3="Toutes",SUMIFS('Étape 1 - à remplir'!$F$31:$F$400,'Étape 1 - à remplir'!$E$31:$E$400,MASQ2!EC435,'Étape 1 - à remplir'!$G$31:$G$400,"kg"),SUMIFS('Étape 1 - à remplir'!$F$31:$F$400,'Étape 1 - à remplir'!$E$31:$E$400,MASQ2!EC435,'Étape 1 - à remplir'!$N$31:$N$400,EL$3,'Étape 1 - à remplir'!$G$31:$G$400,"kg"))))))=0,NA(),IF(EL$2="Catégorie",IF(EL$3="Toutes",SUMIFS('Étape 1 - à remplir'!$F$31:$F$400,'Étape 1 - à remplir'!$E$31:$E$400,MASQ2!EC435,'Étape 1 - à remplir'!$G$31:$G$400,"kg"),SUMIFS('Étape 1 - à remplir'!$F$31:$F$400,'Étape 1 - à remplir'!$E$31:$E$400,MASQ2!EC435,'Étape 1 - à remplir'!$C$31:$C$400,EL$3)),IF(EL$2="Âge",IF(EL$3="Tous",SUMIFS('Étape 1 - à remplir'!$F$31:$F$400,'Étape 1 - à remplir'!$E$31:$E$400,MASQ2!EC435,'Étape 1 - à remplir'!$G$31:$G$400,"kg"),SUMIFS('Étape 1 - à remplir'!$F$31:$F$400,'Étape 1 - à remplir'!$E$31:$E$400,MASQ2!EC435,'Étape 1 - à remplir'!$P$31:$P$400,EL$3,'Étape 1 - à remplir'!$G$31:$G$400,"kg")),IF(EL$2="Atelier",IF(EL$3="Tous",SUMIFS('Étape 1 - à remplir'!$F$31:$F$400,'Étape 1 - à remplir'!$E$31:$E$400,MASQ2!EC435,'Étape 1 - à remplir'!$G$31:$G$400,"kg"),SUMIFS('Étape 1 - à remplir'!$F$31:$F$400,'Étape 1 - à remplir'!$E$31:$E$400,MASQ2!EC435,'Étape 1 - à remplir'!$O$31:$O$400,EL$3,'Étape 1 - à remplir'!$G$31:$G$400,"kg")),IF(EL$2="Espèce",IF(EL$3="Toutes",SUMIFS('Étape 1 - à remplir'!$F$31:$F$400,'Étape 1 - à remplir'!$E$31:$E$400,MASQ2!EC435,'Étape 1 - à remplir'!$G$31:$G$400,"kg"),SUMIFS('Étape 1 - à remplir'!$F$31:$F$400,'Étape 1 - à remplir'!$E$31:$E$400,MASQ2!EC435,'Étape 1 - à remplir'!$N$31:$N$400,EL$3,'Étape 1 - à remplir'!$G$31:$G$400,"kg")))))))</f>
        <v>#N/A</v>
      </c>
      <c r="EE435" s="76">
        <f t="shared" si="284"/>
        <v>0</v>
      </c>
      <c r="EF435" t="str">
        <f t="shared" si="275"/>
        <v>Florfénicol</v>
      </c>
      <c r="EG435" t="str">
        <f t="shared" si="276"/>
        <v/>
      </c>
      <c r="EH435" t="str">
        <f t="shared" si="277"/>
        <v/>
      </c>
      <c r="EI435" t="str">
        <f t="shared" si="278"/>
        <v>Phenicoles</v>
      </c>
      <c r="EJ435" t="str">
        <f t="shared" si="279"/>
        <v/>
      </c>
      <c r="EK435" s="63" t="str">
        <f t="shared" si="280"/>
        <v/>
      </c>
      <c r="EN435" s="42">
        <v>432</v>
      </c>
      <c r="EO435" t="e">
        <f t="shared" si="286"/>
        <v>#N/A</v>
      </c>
      <c r="EP435" s="63" t="e">
        <f t="shared" si="287"/>
        <v>#N/A</v>
      </c>
      <c r="FT435" s="63"/>
    </row>
    <row r="436" spans="2:176" x14ac:dyDescent="0.3">
      <c r="B436" s="42"/>
      <c r="M436" s="194" t="str">
        <f ca="1">INDEX(Données_ATB!BD:BU,MATCH(MASQ2!O436,Données_ATB!BD:BD,0),18)</f>
        <v/>
      </c>
      <c r="N436" s="14" t="str">
        <f>IFERROR(IF(Q436=0,"",COUNTIF(Q$4:Q$600,"&gt;"&amp;Q436)+COUNTIF(Q$4:Q436,Q436)),"")</f>
        <v/>
      </c>
      <c r="O436" t="str">
        <f>Données_ATB!BD435</f>
        <v>SEPTOTRYL INJECTABLE</v>
      </c>
      <c r="P436" t="e">
        <f>IF(IF(X$2="Catégorie",IF(X$3="Toutes",SUMIFS('Étape 1 - à remplir'!$F$31:$F$400,'Étape 1 - à remplir'!$E$31:$E$400,MASQ2!O436,'Étape 1 - à remplir'!$G$31:$G$400,"animaux"),SUMIFS('Étape 1 - à remplir'!$F$31:$F$400,'Étape 1 - à remplir'!$E$31:$E$400,MASQ2!O436,'Étape 1 - à remplir'!$C$31:$C$400,X$3)),IF(X$2="Âge",IF(X$3="Tous",SUMIFS('Étape 1 - à remplir'!$F$31:$F$400,'Étape 1 - à remplir'!$E$31:$E$400,MASQ2!O436,'Étape 1 - à remplir'!$G$31:$G$400,"animaux"),SUMIFS('Étape 1 - à remplir'!$F$31:$F$400,'Étape 1 - à remplir'!$E$31:$E$400,MASQ2!O436,'Étape 1 - à remplir'!$P$31:$P$400,X$3)),IF(X$2="Atelier",IF(X$3="Tous",SUMIFS('Étape 1 - à remplir'!$F$31:$F$400,'Étape 1 - à remplir'!$E$31:$E$400,MASQ2!O436,'Étape 1 - à remplir'!$G$31:$G$400,"animaux"),SUMIFS('Étape 1 - à remplir'!$F$31:$F$400,'Étape 1 - à remplir'!$E$31:$E$400,MASQ2!O436,'Étape 1 - à remplir'!$O$31:$O$400,X$3)),IF(X$2="Espèce",IF(X$3="Toutes",SUMIFS('Étape 1 - à remplir'!$F$31:$F$400,'Étape 1 - à remplir'!$E$31:$E$400,MASQ2!O436,'Étape 1 - à remplir'!$G$31:$G$400,"animaux"),SUMIFS('Étape 1 - à remplir'!$F$31:$F$400,'Étape 1 - à remplir'!$E$31:$E$400,MASQ2!O436,'Étape 1 - à remplir'!$N$31:$N$400,X$3))))))=0,NA(),IF(X$2="Catégorie",IF(X$3="Toutes",SUMIFS('Étape 1 - à remplir'!$F$31:$F$400,'Étape 1 - à remplir'!$E$31:$E$400,MASQ2!O436,'Étape 1 - à remplir'!$G$31:$G$400,"animaux"),SUMIFS('Étape 1 - à remplir'!$F$31:$F$400,'Étape 1 - à remplir'!$E$31:$E$400,MASQ2!O436,'Étape 1 - à remplir'!$C$31:$C$400,X$3)),IF(X$2="Âge",IF(X$3="Tous",SUMIFS('Étape 1 - à remplir'!$F$31:$F$400,'Étape 1 - à remplir'!$E$31:$E$400,MASQ2!O436,'Étape 1 - à remplir'!$G$31:$G$400,"animaux"),SUMIFS('Étape 1 - à remplir'!$F$31:$F$400,'Étape 1 - à remplir'!$E$31:$E$400,MASQ2!O436,'Étape 1 - à remplir'!$P$31:$P$400,X$3)),IF(X$2="Atelier",IF(X$3="Tous",SUMIFS('Étape 1 - à remplir'!$F$31:$F$400,'Étape 1 - à remplir'!$E$31:$E$400,MASQ2!O436,'Étape 1 - à remplir'!$G$31:$G$400,"animaux"),SUMIFS('Étape 1 - à remplir'!$F$31:$F$400,'Étape 1 - à remplir'!$E$31:$E$400,MASQ2!O436,'Étape 1 - à remplir'!$O$31:$O$400,X$3)),IF(X$2="Espèce",IF(X$3="Toutes",SUMIFS('Étape 1 - à remplir'!$F$31:$F$400,'Étape 1 - à remplir'!$E$31:$E$400,MASQ2!O436,'Étape 1 - à remplir'!$G$31:$G$400,"animaux"),SUMIFS('Étape 1 - à remplir'!$F$31:$F$400,'Étape 1 - à remplir'!$E$31:$E$400,MASQ2!O436,'Étape 1 - à remplir'!$N$31:$N$400,X$3)))))))</f>
        <v>#N/A</v>
      </c>
      <c r="Q436" s="63">
        <f t="shared" si="285"/>
        <v>0</v>
      </c>
      <c r="R436" t="str">
        <f>Données_ATB!BM435</f>
        <v>Sulfaméthoxypyridazine</v>
      </c>
      <c r="S436" t="str">
        <f>Données_ATB!BN435</f>
        <v>Triméthoprime</v>
      </c>
      <c r="T436" s="63" t="str">
        <f>Données_ATB!BO435</f>
        <v/>
      </c>
      <c r="U436" s="42" t="str">
        <f>Données_ATB!BQ435</f>
        <v>Sulfamides</v>
      </c>
      <c r="V436" t="str">
        <f>Données_ATB!BR435</f>
        <v>Trimethoprime</v>
      </c>
      <c r="W436" s="63" t="str">
        <f>Données_ATB!BS435</f>
        <v/>
      </c>
      <c r="Z436" s="42">
        <v>433</v>
      </c>
      <c r="AA436" t="e">
        <f t="shared" si="281"/>
        <v>#N/A</v>
      </c>
      <c r="AB436" s="63" t="e">
        <f t="shared" si="282"/>
        <v>#N/A</v>
      </c>
      <c r="BF436" s="63"/>
      <c r="BT436" s="194" t="str">
        <f t="shared" ca="1" si="265"/>
        <v/>
      </c>
      <c r="BU436" s="219" t="str">
        <f>IFERROR(IF(BX436=0,"",COUNTIF(BX$4:BX$600,"&gt;"&amp;BX436)+COUNTIF(BX$4:BX436,BX436)),"")</f>
        <v/>
      </c>
      <c r="BV436" s="42" t="str">
        <f t="shared" si="266"/>
        <v>SEPTOTRYL INJECTABLE</v>
      </c>
      <c r="BW436" t="e">
        <f>IF(IF(CE$2="Catégorie",IF(CE$3="Toutes",SUMIFS('Étape 1 - à remplir'!$F$31:$F$400,'Étape 1 - à remplir'!$E$31:$E$400,MASQ2!BV436,'Étape 1 - à remplir'!$G$31:$G$400,"lots"),SUMIFS('Étape 1 - à remplir'!$F$31:$F$400,'Étape 1 - à remplir'!$E$31:$E$400,MASQ2!BV436,'Étape 1 - à remplir'!$C$31:$C$400,CE$3)),IF(CE$2="Âge",IF(CE$3="Tous",SUMIFS('Étape 1 - à remplir'!$F$31:$F$400,'Étape 1 - à remplir'!$E$31:$E$400,MASQ2!BV436,'Étape 1 - à remplir'!$G$31:$G$400,"lots"),SUMIFS('Étape 1 - à remplir'!$F$31:$F$400,'Étape 1 - à remplir'!$E$31:$E$400,MASQ2!BV436,'Étape 1 - à remplir'!$P$31:$P$400,CE$3,'Étape 1 - à remplir'!$G$31:$G$400,"lots")),IF(CE$2="Atelier",IF(CE$3="Tous",SUMIFS('Étape 1 - à remplir'!$F$31:$F$400,'Étape 1 - à remplir'!$E$31:$E$400,MASQ2!BV436,'Étape 1 - à remplir'!$G$31:$G$400,"lots"),SUMIFS('Étape 1 - à remplir'!$F$31:$F$400,'Étape 1 - à remplir'!$E$31:$E$400,MASQ2!BV436,'Étape 1 - à remplir'!$O$31:$O$400,CE$3,'Étape 1 - à remplir'!$G$31:$G$400,"lots")),IF(CE$2="Espèce",IF(CE$3="Toutes",SUMIFS('Étape 1 - à remplir'!$F$31:$F$400,'Étape 1 - à remplir'!$E$31:$E$400,MASQ2!BV436,'Étape 1 - à remplir'!$G$31:$G$400,"lots"),SUMIFS('Étape 1 - à remplir'!$F$31:$F$400,'Étape 1 - à remplir'!$E$31:$E$400,MASQ2!BV436,'Étape 1 - à remplir'!$N$31:$N$400,CE$3,'Étape 1 - à remplir'!$G$31:$G$400,"lots"))))))=0,NA(),IF(CE$2="Catégorie",IF(CE$3="Toutes",SUMIFS('Étape 1 - à remplir'!$F$31:$F$400,'Étape 1 - à remplir'!$E$31:$E$400,MASQ2!BV436,'Étape 1 - à remplir'!$G$31:$G$400,"lots"),SUMIFS('Étape 1 - à remplir'!$F$31:$F$400,'Étape 1 - à remplir'!$E$31:$E$400,MASQ2!BV436,'Étape 1 - à remplir'!$C$31:$C$400,CE$3)),IF(CE$2="Âge",IF(CE$3="Tous",SUMIFS('Étape 1 - à remplir'!$F$31:$F$400,'Étape 1 - à remplir'!$E$31:$E$400,MASQ2!BV436,'Étape 1 - à remplir'!$G$31:$G$400,"lots"),SUMIFS('Étape 1 - à remplir'!$F$31:$F$400,'Étape 1 - à remplir'!$E$31:$E$400,MASQ2!BV436,'Étape 1 - à remplir'!$P$31:$P$400,CE$3,'Étape 1 - à remplir'!$G$31:$G$400,"lots")),IF(CE$2="Atelier",IF(CE$3="Tous",SUMIFS('Étape 1 - à remplir'!$F$31:$F$400,'Étape 1 - à remplir'!$E$31:$E$400,MASQ2!BV436,'Étape 1 - à remplir'!$G$31:$G$400,"lots"),SUMIFS('Étape 1 - à remplir'!$F$31:$F$400,'Étape 1 - à remplir'!$E$31:$E$400,MASQ2!BV436,'Étape 1 - à remplir'!$O$31:$O$400,CE$3,'Étape 1 - à remplir'!$G$31:$G$400,"lots")),IF(CE$2="Espèce",IF(CE$3="Toutes",SUMIFS('Étape 1 - à remplir'!$F$31:$F$400,'Étape 1 - à remplir'!$E$31:$E$400,MASQ2!BV436,'Étape 1 - à remplir'!$G$31:$G$400,"lots"),SUMIFS('Étape 1 - à remplir'!$F$31:$F$400,'Étape 1 - à remplir'!$E$31:$E$400,MASQ2!BV436,'Étape 1 - à remplir'!$N$31:$N$400,CE$3,'Étape 1 - à remplir'!$G$31:$G$400,"lots")))))))</f>
        <v>#N/A</v>
      </c>
      <c r="BX436">
        <f t="shared" si="283"/>
        <v>0</v>
      </c>
      <c r="BY436" t="str">
        <f t="shared" si="267"/>
        <v>Sulfaméthoxypyridazine</v>
      </c>
      <c r="BZ436" t="str">
        <f t="shared" si="268"/>
        <v>Triméthoprime</v>
      </c>
      <c r="CA436" t="str">
        <f t="shared" si="269"/>
        <v/>
      </c>
      <c r="CB436" t="str">
        <f t="shared" si="270"/>
        <v>Sulfamides</v>
      </c>
      <c r="CC436" t="str">
        <f t="shared" si="271"/>
        <v>Trimethoprime</v>
      </c>
      <c r="CD436" s="63" t="str">
        <f t="shared" si="272"/>
        <v/>
      </c>
      <c r="CG436" s="42">
        <v>433</v>
      </c>
      <c r="CH436" s="42" t="e">
        <f t="shared" si="288"/>
        <v>#N/A</v>
      </c>
      <c r="CI436" s="63" t="e">
        <f t="shared" si="289"/>
        <v>#N/A</v>
      </c>
      <c r="DM436" s="63"/>
      <c r="EA436" s="194" t="str">
        <f t="shared" ca="1" si="273"/>
        <v/>
      </c>
      <c r="EB436" s="226" t="str">
        <f>IFERROR(IF(ED436=0,"",COUNTIF(ED$4:ED$600,"&gt;"&amp;ED436)+COUNTIF(ED$4:ED436,ED436)),"")</f>
        <v/>
      </c>
      <c r="EC436" t="str">
        <f t="shared" si="274"/>
        <v>SEPTOTRYL INJECTABLE</v>
      </c>
      <c r="ED436" t="e">
        <f>IF(IF(EL$2="Catégorie",IF(EL$3="Toutes",SUMIFS('Étape 1 - à remplir'!$F$31:$F$400,'Étape 1 - à remplir'!$E$31:$E$400,MASQ2!EC436,'Étape 1 - à remplir'!$G$31:$G$400,"kg"),SUMIFS('Étape 1 - à remplir'!$F$31:$F$400,'Étape 1 - à remplir'!$E$31:$E$400,MASQ2!EC436,'Étape 1 - à remplir'!$C$31:$C$400,EL$3)),IF(EL$2="Âge",IF(EL$3="Tous",SUMIFS('Étape 1 - à remplir'!$F$31:$F$400,'Étape 1 - à remplir'!$E$31:$E$400,MASQ2!EC436,'Étape 1 - à remplir'!$G$31:$G$400,"kg"),SUMIFS('Étape 1 - à remplir'!$F$31:$F$400,'Étape 1 - à remplir'!$E$31:$E$400,MASQ2!EC436,'Étape 1 - à remplir'!$P$31:$P$400,EL$3,'Étape 1 - à remplir'!$G$31:$G$400,"kg")),IF(EL$2="Atelier",IF(EL$3="Tous",SUMIFS('Étape 1 - à remplir'!$F$31:$F$400,'Étape 1 - à remplir'!$E$31:$E$400,MASQ2!EC436,'Étape 1 - à remplir'!$G$31:$G$400,"kg"),SUMIFS('Étape 1 - à remplir'!$F$31:$F$400,'Étape 1 - à remplir'!$E$31:$E$400,MASQ2!EC436,'Étape 1 - à remplir'!$O$31:$O$400,EL$3,'Étape 1 - à remplir'!$G$31:$G$400,"kg")),IF(EL$2="Espèce",IF(EL$3="Toutes",SUMIFS('Étape 1 - à remplir'!$F$31:$F$400,'Étape 1 - à remplir'!$E$31:$E$400,MASQ2!EC436,'Étape 1 - à remplir'!$G$31:$G$400,"kg"),SUMIFS('Étape 1 - à remplir'!$F$31:$F$400,'Étape 1 - à remplir'!$E$31:$E$400,MASQ2!EC436,'Étape 1 - à remplir'!$N$31:$N$400,EL$3,'Étape 1 - à remplir'!$G$31:$G$400,"kg"))))))=0,NA(),IF(EL$2="Catégorie",IF(EL$3="Toutes",SUMIFS('Étape 1 - à remplir'!$F$31:$F$400,'Étape 1 - à remplir'!$E$31:$E$400,MASQ2!EC436,'Étape 1 - à remplir'!$G$31:$G$400,"kg"),SUMIFS('Étape 1 - à remplir'!$F$31:$F$400,'Étape 1 - à remplir'!$E$31:$E$400,MASQ2!EC436,'Étape 1 - à remplir'!$C$31:$C$400,EL$3)),IF(EL$2="Âge",IF(EL$3="Tous",SUMIFS('Étape 1 - à remplir'!$F$31:$F$400,'Étape 1 - à remplir'!$E$31:$E$400,MASQ2!EC436,'Étape 1 - à remplir'!$G$31:$G$400,"kg"),SUMIFS('Étape 1 - à remplir'!$F$31:$F$400,'Étape 1 - à remplir'!$E$31:$E$400,MASQ2!EC436,'Étape 1 - à remplir'!$P$31:$P$400,EL$3,'Étape 1 - à remplir'!$G$31:$G$400,"kg")),IF(EL$2="Atelier",IF(EL$3="Tous",SUMIFS('Étape 1 - à remplir'!$F$31:$F$400,'Étape 1 - à remplir'!$E$31:$E$400,MASQ2!EC436,'Étape 1 - à remplir'!$G$31:$G$400,"kg"),SUMIFS('Étape 1 - à remplir'!$F$31:$F$400,'Étape 1 - à remplir'!$E$31:$E$400,MASQ2!EC436,'Étape 1 - à remplir'!$O$31:$O$400,EL$3,'Étape 1 - à remplir'!$G$31:$G$400,"kg")),IF(EL$2="Espèce",IF(EL$3="Toutes",SUMIFS('Étape 1 - à remplir'!$F$31:$F$400,'Étape 1 - à remplir'!$E$31:$E$400,MASQ2!EC436,'Étape 1 - à remplir'!$G$31:$G$400,"kg"),SUMIFS('Étape 1 - à remplir'!$F$31:$F$400,'Étape 1 - à remplir'!$E$31:$E$400,MASQ2!EC436,'Étape 1 - à remplir'!$N$31:$N$400,EL$3,'Étape 1 - à remplir'!$G$31:$G$400,"kg")))))))</f>
        <v>#N/A</v>
      </c>
      <c r="EE436" s="76">
        <f t="shared" si="284"/>
        <v>0</v>
      </c>
      <c r="EF436" t="str">
        <f t="shared" si="275"/>
        <v>Sulfaméthoxypyridazine</v>
      </c>
      <c r="EG436" t="str">
        <f t="shared" si="276"/>
        <v>Triméthoprime</v>
      </c>
      <c r="EH436" t="str">
        <f t="shared" si="277"/>
        <v/>
      </c>
      <c r="EI436" t="str">
        <f t="shared" si="278"/>
        <v>Sulfamides</v>
      </c>
      <c r="EJ436" t="str">
        <f t="shared" si="279"/>
        <v>Trimethoprime</v>
      </c>
      <c r="EK436" s="63" t="str">
        <f t="shared" si="280"/>
        <v/>
      </c>
      <c r="EN436" s="42">
        <v>433</v>
      </c>
      <c r="EO436" t="e">
        <f t="shared" si="286"/>
        <v>#N/A</v>
      </c>
      <c r="EP436" s="63" t="e">
        <f t="shared" si="287"/>
        <v>#N/A</v>
      </c>
      <c r="FT436" s="63"/>
    </row>
    <row r="437" spans="2:176" x14ac:dyDescent="0.3">
      <c r="B437" s="42"/>
      <c r="M437" s="194" t="str">
        <f ca="1">INDEX(Données_ATB!BD:BU,MATCH(MASQ2!O437,Données_ATB!BD:BD,0),18)</f>
        <v>x</v>
      </c>
      <c r="N437" s="14" t="str">
        <f>IFERROR(IF(Q437=0,"",COUNTIF(Q$4:Q$600,"&gt;"&amp;Q437)+COUNTIF(Q$4:Q437,Q437)),"")</f>
        <v/>
      </c>
      <c r="O437" t="str">
        <f>Données_ATB!BD436</f>
        <v>SEPTOTRYL-COLISTINE</v>
      </c>
      <c r="P437" t="e">
        <f>IF(IF(X$2="Catégorie",IF(X$3="Toutes",SUMIFS('Étape 1 - à remplir'!$F$31:$F$400,'Étape 1 - à remplir'!$E$31:$E$400,MASQ2!O437,'Étape 1 - à remplir'!$G$31:$G$400,"animaux"),SUMIFS('Étape 1 - à remplir'!$F$31:$F$400,'Étape 1 - à remplir'!$E$31:$E$400,MASQ2!O437,'Étape 1 - à remplir'!$C$31:$C$400,X$3)),IF(X$2="Âge",IF(X$3="Tous",SUMIFS('Étape 1 - à remplir'!$F$31:$F$400,'Étape 1 - à remplir'!$E$31:$E$400,MASQ2!O437,'Étape 1 - à remplir'!$G$31:$G$400,"animaux"),SUMIFS('Étape 1 - à remplir'!$F$31:$F$400,'Étape 1 - à remplir'!$E$31:$E$400,MASQ2!O437,'Étape 1 - à remplir'!$P$31:$P$400,X$3)),IF(X$2="Atelier",IF(X$3="Tous",SUMIFS('Étape 1 - à remplir'!$F$31:$F$400,'Étape 1 - à remplir'!$E$31:$E$400,MASQ2!O437,'Étape 1 - à remplir'!$G$31:$G$400,"animaux"),SUMIFS('Étape 1 - à remplir'!$F$31:$F$400,'Étape 1 - à remplir'!$E$31:$E$400,MASQ2!O437,'Étape 1 - à remplir'!$O$31:$O$400,X$3)),IF(X$2="Espèce",IF(X$3="Toutes",SUMIFS('Étape 1 - à remplir'!$F$31:$F$400,'Étape 1 - à remplir'!$E$31:$E$400,MASQ2!O437,'Étape 1 - à remplir'!$G$31:$G$400,"animaux"),SUMIFS('Étape 1 - à remplir'!$F$31:$F$400,'Étape 1 - à remplir'!$E$31:$E$400,MASQ2!O437,'Étape 1 - à remplir'!$N$31:$N$400,X$3))))))=0,NA(),IF(X$2="Catégorie",IF(X$3="Toutes",SUMIFS('Étape 1 - à remplir'!$F$31:$F$400,'Étape 1 - à remplir'!$E$31:$E$400,MASQ2!O437,'Étape 1 - à remplir'!$G$31:$G$400,"animaux"),SUMIFS('Étape 1 - à remplir'!$F$31:$F$400,'Étape 1 - à remplir'!$E$31:$E$400,MASQ2!O437,'Étape 1 - à remplir'!$C$31:$C$400,X$3)),IF(X$2="Âge",IF(X$3="Tous",SUMIFS('Étape 1 - à remplir'!$F$31:$F$400,'Étape 1 - à remplir'!$E$31:$E$400,MASQ2!O437,'Étape 1 - à remplir'!$G$31:$G$400,"animaux"),SUMIFS('Étape 1 - à remplir'!$F$31:$F$400,'Étape 1 - à remplir'!$E$31:$E$400,MASQ2!O437,'Étape 1 - à remplir'!$P$31:$P$400,X$3)),IF(X$2="Atelier",IF(X$3="Tous",SUMIFS('Étape 1 - à remplir'!$F$31:$F$400,'Étape 1 - à remplir'!$E$31:$E$400,MASQ2!O437,'Étape 1 - à remplir'!$G$31:$G$400,"animaux"),SUMIFS('Étape 1 - à remplir'!$F$31:$F$400,'Étape 1 - à remplir'!$E$31:$E$400,MASQ2!O437,'Étape 1 - à remplir'!$O$31:$O$400,X$3)),IF(X$2="Espèce",IF(X$3="Toutes",SUMIFS('Étape 1 - à remplir'!$F$31:$F$400,'Étape 1 - à remplir'!$E$31:$E$400,MASQ2!O437,'Étape 1 - à remplir'!$G$31:$G$400,"animaux"),SUMIFS('Étape 1 - à remplir'!$F$31:$F$400,'Étape 1 - à remplir'!$E$31:$E$400,MASQ2!O437,'Étape 1 - à remplir'!$N$31:$N$400,X$3)))))))</f>
        <v>#N/A</v>
      </c>
      <c r="Q437" s="63">
        <f t="shared" si="285"/>
        <v>0</v>
      </c>
      <c r="R437" t="str">
        <f>Données_ATB!BM436</f>
        <v>Sulfaméthoxypyridazine</v>
      </c>
      <c r="S437" t="str">
        <f>Données_ATB!BN436</f>
        <v>Colistine</v>
      </c>
      <c r="T437" s="63" t="str">
        <f>Données_ATB!BO436</f>
        <v/>
      </c>
      <c r="U437" s="42" t="str">
        <f>Données_ATB!BQ436</f>
        <v>Sulfamides</v>
      </c>
      <c r="V437" t="str">
        <f>Données_ATB!BR436</f>
        <v>Polypeptides</v>
      </c>
      <c r="W437" s="63" t="str">
        <f>Données_ATB!BS436</f>
        <v/>
      </c>
      <c r="Z437" s="42">
        <v>434</v>
      </c>
      <c r="AA437" t="e">
        <f t="shared" si="281"/>
        <v>#N/A</v>
      </c>
      <c r="AB437" s="63" t="e">
        <f t="shared" si="282"/>
        <v>#N/A</v>
      </c>
      <c r="BF437" s="63"/>
      <c r="BT437" s="194" t="str">
        <f t="shared" ca="1" si="265"/>
        <v>x</v>
      </c>
      <c r="BU437" s="219" t="str">
        <f>IFERROR(IF(BX437=0,"",COUNTIF(BX$4:BX$600,"&gt;"&amp;BX437)+COUNTIF(BX$4:BX437,BX437)),"")</f>
        <v/>
      </c>
      <c r="BV437" s="42" t="str">
        <f t="shared" si="266"/>
        <v>SEPTOTRYL-COLISTINE</v>
      </c>
      <c r="BW437" t="e">
        <f>IF(IF(CE$2="Catégorie",IF(CE$3="Toutes",SUMIFS('Étape 1 - à remplir'!$F$31:$F$400,'Étape 1 - à remplir'!$E$31:$E$400,MASQ2!BV437,'Étape 1 - à remplir'!$G$31:$G$400,"lots"),SUMIFS('Étape 1 - à remplir'!$F$31:$F$400,'Étape 1 - à remplir'!$E$31:$E$400,MASQ2!BV437,'Étape 1 - à remplir'!$C$31:$C$400,CE$3)),IF(CE$2="Âge",IF(CE$3="Tous",SUMIFS('Étape 1 - à remplir'!$F$31:$F$400,'Étape 1 - à remplir'!$E$31:$E$400,MASQ2!BV437,'Étape 1 - à remplir'!$G$31:$G$400,"lots"),SUMIFS('Étape 1 - à remplir'!$F$31:$F$400,'Étape 1 - à remplir'!$E$31:$E$400,MASQ2!BV437,'Étape 1 - à remplir'!$P$31:$P$400,CE$3,'Étape 1 - à remplir'!$G$31:$G$400,"lots")),IF(CE$2="Atelier",IF(CE$3="Tous",SUMIFS('Étape 1 - à remplir'!$F$31:$F$400,'Étape 1 - à remplir'!$E$31:$E$400,MASQ2!BV437,'Étape 1 - à remplir'!$G$31:$G$400,"lots"),SUMIFS('Étape 1 - à remplir'!$F$31:$F$400,'Étape 1 - à remplir'!$E$31:$E$400,MASQ2!BV437,'Étape 1 - à remplir'!$O$31:$O$400,CE$3,'Étape 1 - à remplir'!$G$31:$G$400,"lots")),IF(CE$2="Espèce",IF(CE$3="Toutes",SUMIFS('Étape 1 - à remplir'!$F$31:$F$400,'Étape 1 - à remplir'!$E$31:$E$400,MASQ2!BV437,'Étape 1 - à remplir'!$G$31:$G$400,"lots"),SUMIFS('Étape 1 - à remplir'!$F$31:$F$400,'Étape 1 - à remplir'!$E$31:$E$400,MASQ2!BV437,'Étape 1 - à remplir'!$N$31:$N$400,CE$3,'Étape 1 - à remplir'!$G$31:$G$400,"lots"))))))=0,NA(),IF(CE$2="Catégorie",IF(CE$3="Toutes",SUMIFS('Étape 1 - à remplir'!$F$31:$F$400,'Étape 1 - à remplir'!$E$31:$E$400,MASQ2!BV437,'Étape 1 - à remplir'!$G$31:$G$400,"lots"),SUMIFS('Étape 1 - à remplir'!$F$31:$F$400,'Étape 1 - à remplir'!$E$31:$E$400,MASQ2!BV437,'Étape 1 - à remplir'!$C$31:$C$400,CE$3)),IF(CE$2="Âge",IF(CE$3="Tous",SUMIFS('Étape 1 - à remplir'!$F$31:$F$400,'Étape 1 - à remplir'!$E$31:$E$400,MASQ2!BV437,'Étape 1 - à remplir'!$G$31:$G$400,"lots"),SUMIFS('Étape 1 - à remplir'!$F$31:$F$400,'Étape 1 - à remplir'!$E$31:$E$400,MASQ2!BV437,'Étape 1 - à remplir'!$P$31:$P$400,CE$3,'Étape 1 - à remplir'!$G$31:$G$400,"lots")),IF(CE$2="Atelier",IF(CE$3="Tous",SUMIFS('Étape 1 - à remplir'!$F$31:$F$400,'Étape 1 - à remplir'!$E$31:$E$400,MASQ2!BV437,'Étape 1 - à remplir'!$G$31:$G$400,"lots"),SUMIFS('Étape 1 - à remplir'!$F$31:$F$400,'Étape 1 - à remplir'!$E$31:$E$400,MASQ2!BV437,'Étape 1 - à remplir'!$O$31:$O$400,CE$3,'Étape 1 - à remplir'!$G$31:$G$400,"lots")),IF(CE$2="Espèce",IF(CE$3="Toutes",SUMIFS('Étape 1 - à remplir'!$F$31:$F$400,'Étape 1 - à remplir'!$E$31:$E$400,MASQ2!BV437,'Étape 1 - à remplir'!$G$31:$G$400,"lots"),SUMIFS('Étape 1 - à remplir'!$F$31:$F$400,'Étape 1 - à remplir'!$E$31:$E$400,MASQ2!BV437,'Étape 1 - à remplir'!$N$31:$N$400,CE$3,'Étape 1 - à remplir'!$G$31:$G$400,"lots")))))))</f>
        <v>#N/A</v>
      </c>
      <c r="BX437">
        <f t="shared" si="283"/>
        <v>0</v>
      </c>
      <c r="BY437" t="str">
        <f t="shared" si="267"/>
        <v>Sulfaméthoxypyridazine</v>
      </c>
      <c r="BZ437" t="str">
        <f t="shared" si="268"/>
        <v>Colistine</v>
      </c>
      <c r="CA437" t="str">
        <f t="shared" si="269"/>
        <v/>
      </c>
      <c r="CB437" t="str">
        <f t="shared" si="270"/>
        <v>Sulfamides</v>
      </c>
      <c r="CC437" t="str">
        <f t="shared" si="271"/>
        <v>Polypeptides</v>
      </c>
      <c r="CD437" s="63" t="str">
        <f t="shared" si="272"/>
        <v/>
      </c>
      <c r="CG437" s="42">
        <v>434</v>
      </c>
      <c r="CH437" s="42" t="e">
        <f t="shared" si="288"/>
        <v>#N/A</v>
      </c>
      <c r="CI437" s="63" t="e">
        <f t="shared" si="289"/>
        <v>#N/A</v>
      </c>
      <c r="DM437" s="63"/>
      <c r="EA437" s="194" t="str">
        <f t="shared" ca="1" si="273"/>
        <v>x</v>
      </c>
      <c r="EB437" s="226" t="str">
        <f>IFERROR(IF(ED437=0,"",COUNTIF(ED$4:ED$600,"&gt;"&amp;ED437)+COUNTIF(ED$4:ED437,ED437)),"")</f>
        <v/>
      </c>
      <c r="EC437" t="str">
        <f t="shared" si="274"/>
        <v>SEPTOTRYL-COLISTINE</v>
      </c>
      <c r="ED437" t="e">
        <f>IF(IF(EL$2="Catégorie",IF(EL$3="Toutes",SUMIFS('Étape 1 - à remplir'!$F$31:$F$400,'Étape 1 - à remplir'!$E$31:$E$400,MASQ2!EC437,'Étape 1 - à remplir'!$G$31:$G$400,"kg"),SUMIFS('Étape 1 - à remplir'!$F$31:$F$400,'Étape 1 - à remplir'!$E$31:$E$400,MASQ2!EC437,'Étape 1 - à remplir'!$C$31:$C$400,EL$3)),IF(EL$2="Âge",IF(EL$3="Tous",SUMIFS('Étape 1 - à remplir'!$F$31:$F$400,'Étape 1 - à remplir'!$E$31:$E$400,MASQ2!EC437,'Étape 1 - à remplir'!$G$31:$G$400,"kg"),SUMIFS('Étape 1 - à remplir'!$F$31:$F$400,'Étape 1 - à remplir'!$E$31:$E$400,MASQ2!EC437,'Étape 1 - à remplir'!$P$31:$P$400,EL$3,'Étape 1 - à remplir'!$G$31:$G$400,"kg")),IF(EL$2="Atelier",IF(EL$3="Tous",SUMIFS('Étape 1 - à remplir'!$F$31:$F$400,'Étape 1 - à remplir'!$E$31:$E$400,MASQ2!EC437,'Étape 1 - à remplir'!$G$31:$G$400,"kg"),SUMIFS('Étape 1 - à remplir'!$F$31:$F$400,'Étape 1 - à remplir'!$E$31:$E$400,MASQ2!EC437,'Étape 1 - à remplir'!$O$31:$O$400,EL$3,'Étape 1 - à remplir'!$G$31:$G$400,"kg")),IF(EL$2="Espèce",IF(EL$3="Toutes",SUMIFS('Étape 1 - à remplir'!$F$31:$F$400,'Étape 1 - à remplir'!$E$31:$E$400,MASQ2!EC437,'Étape 1 - à remplir'!$G$31:$G$400,"kg"),SUMIFS('Étape 1 - à remplir'!$F$31:$F$400,'Étape 1 - à remplir'!$E$31:$E$400,MASQ2!EC437,'Étape 1 - à remplir'!$N$31:$N$400,EL$3,'Étape 1 - à remplir'!$G$31:$G$400,"kg"))))))=0,NA(),IF(EL$2="Catégorie",IF(EL$3="Toutes",SUMIFS('Étape 1 - à remplir'!$F$31:$F$400,'Étape 1 - à remplir'!$E$31:$E$400,MASQ2!EC437,'Étape 1 - à remplir'!$G$31:$G$400,"kg"),SUMIFS('Étape 1 - à remplir'!$F$31:$F$400,'Étape 1 - à remplir'!$E$31:$E$400,MASQ2!EC437,'Étape 1 - à remplir'!$C$31:$C$400,EL$3)),IF(EL$2="Âge",IF(EL$3="Tous",SUMIFS('Étape 1 - à remplir'!$F$31:$F$400,'Étape 1 - à remplir'!$E$31:$E$400,MASQ2!EC437,'Étape 1 - à remplir'!$G$31:$G$400,"kg"),SUMIFS('Étape 1 - à remplir'!$F$31:$F$400,'Étape 1 - à remplir'!$E$31:$E$400,MASQ2!EC437,'Étape 1 - à remplir'!$P$31:$P$400,EL$3,'Étape 1 - à remplir'!$G$31:$G$400,"kg")),IF(EL$2="Atelier",IF(EL$3="Tous",SUMIFS('Étape 1 - à remplir'!$F$31:$F$400,'Étape 1 - à remplir'!$E$31:$E$400,MASQ2!EC437,'Étape 1 - à remplir'!$G$31:$G$400,"kg"),SUMIFS('Étape 1 - à remplir'!$F$31:$F$400,'Étape 1 - à remplir'!$E$31:$E$400,MASQ2!EC437,'Étape 1 - à remplir'!$O$31:$O$400,EL$3,'Étape 1 - à remplir'!$G$31:$G$400,"kg")),IF(EL$2="Espèce",IF(EL$3="Toutes",SUMIFS('Étape 1 - à remplir'!$F$31:$F$400,'Étape 1 - à remplir'!$E$31:$E$400,MASQ2!EC437,'Étape 1 - à remplir'!$G$31:$G$400,"kg"),SUMIFS('Étape 1 - à remplir'!$F$31:$F$400,'Étape 1 - à remplir'!$E$31:$E$400,MASQ2!EC437,'Étape 1 - à remplir'!$N$31:$N$400,EL$3,'Étape 1 - à remplir'!$G$31:$G$400,"kg")))))))</f>
        <v>#N/A</v>
      </c>
      <c r="EE437" s="76">
        <f t="shared" si="284"/>
        <v>0</v>
      </c>
      <c r="EF437" t="str">
        <f t="shared" si="275"/>
        <v>Sulfaméthoxypyridazine</v>
      </c>
      <c r="EG437" t="str">
        <f t="shared" si="276"/>
        <v>Colistine</v>
      </c>
      <c r="EH437" t="str">
        <f t="shared" si="277"/>
        <v/>
      </c>
      <c r="EI437" t="str">
        <f t="shared" si="278"/>
        <v>Sulfamides</v>
      </c>
      <c r="EJ437" t="str">
        <f t="shared" si="279"/>
        <v>Polypeptides</v>
      </c>
      <c r="EK437" s="63" t="str">
        <f t="shared" si="280"/>
        <v/>
      </c>
      <c r="EN437" s="42">
        <v>434</v>
      </c>
      <c r="EO437" t="e">
        <f t="shared" si="286"/>
        <v>#N/A</v>
      </c>
      <c r="EP437" s="63" t="e">
        <f t="shared" si="287"/>
        <v>#N/A</v>
      </c>
      <c r="FT437" s="63"/>
    </row>
    <row r="438" spans="2:176" x14ac:dyDescent="0.3">
      <c r="B438" s="42"/>
      <c r="M438" s="194" t="str">
        <f ca="1">INDEX(Données_ATB!BD:BU,MATCH(MASQ2!O438,Données_ATB!BD:BD,0),18)</f>
        <v/>
      </c>
      <c r="N438" s="14" t="str">
        <f>IFERROR(IF(Q438=0,"",COUNTIF(Q$4:Q$600,"&gt;"&amp;Q438)+COUNTIF(Q$4:Q438,Q438)),"")</f>
        <v/>
      </c>
      <c r="O438" t="str">
        <f>Données_ATB!BD437</f>
        <v>SHOTAFLOR 300 MG/ML SOLUTION INJECTABLE POUR BOVINS</v>
      </c>
      <c r="P438" t="e">
        <f>IF(IF(X$2="Catégorie",IF(X$3="Toutes",SUMIFS('Étape 1 - à remplir'!$F$31:$F$400,'Étape 1 - à remplir'!$E$31:$E$400,MASQ2!O438,'Étape 1 - à remplir'!$G$31:$G$400,"animaux"),SUMIFS('Étape 1 - à remplir'!$F$31:$F$400,'Étape 1 - à remplir'!$E$31:$E$400,MASQ2!O438,'Étape 1 - à remplir'!$C$31:$C$400,X$3)),IF(X$2="Âge",IF(X$3="Tous",SUMIFS('Étape 1 - à remplir'!$F$31:$F$400,'Étape 1 - à remplir'!$E$31:$E$400,MASQ2!O438,'Étape 1 - à remplir'!$G$31:$G$400,"animaux"),SUMIFS('Étape 1 - à remplir'!$F$31:$F$400,'Étape 1 - à remplir'!$E$31:$E$400,MASQ2!O438,'Étape 1 - à remplir'!$P$31:$P$400,X$3)),IF(X$2="Atelier",IF(X$3="Tous",SUMIFS('Étape 1 - à remplir'!$F$31:$F$400,'Étape 1 - à remplir'!$E$31:$E$400,MASQ2!O438,'Étape 1 - à remplir'!$G$31:$G$400,"animaux"),SUMIFS('Étape 1 - à remplir'!$F$31:$F$400,'Étape 1 - à remplir'!$E$31:$E$400,MASQ2!O438,'Étape 1 - à remplir'!$O$31:$O$400,X$3)),IF(X$2="Espèce",IF(X$3="Toutes",SUMIFS('Étape 1 - à remplir'!$F$31:$F$400,'Étape 1 - à remplir'!$E$31:$E$400,MASQ2!O438,'Étape 1 - à remplir'!$G$31:$G$400,"animaux"),SUMIFS('Étape 1 - à remplir'!$F$31:$F$400,'Étape 1 - à remplir'!$E$31:$E$400,MASQ2!O438,'Étape 1 - à remplir'!$N$31:$N$400,X$3))))))=0,NA(),IF(X$2="Catégorie",IF(X$3="Toutes",SUMIFS('Étape 1 - à remplir'!$F$31:$F$400,'Étape 1 - à remplir'!$E$31:$E$400,MASQ2!O438,'Étape 1 - à remplir'!$G$31:$G$400,"animaux"),SUMIFS('Étape 1 - à remplir'!$F$31:$F$400,'Étape 1 - à remplir'!$E$31:$E$400,MASQ2!O438,'Étape 1 - à remplir'!$C$31:$C$400,X$3)),IF(X$2="Âge",IF(X$3="Tous",SUMIFS('Étape 1 - à remplir'!$F$31:$F$400,'Étape 1 - à remplir'!$E$31:$E$400,MASQ2!O438,'Étape 1 - à remplir'!$G$31:$G$400,"animaux"),SUMIFS('Étape 1 - à remplir'!$F$31:$F$400,'Étape 1 - à remplir'!$E$31:$E$400,MASQ2!O438,'Étape 1 - à remplir'!$P$31:$P$400,X$3)),IF(X$2="Atelier",IF(X$3="Tous",SUMIFS('Étape 1 - à remplir'!$F$31:$F$400,'Étape 1 - à remplir'!$E$31:$E$400,MASQ2!O438,'Étape 1 - à remplir'!$G$31:$G$400,"animaux"),SUMIFS('Étape 1 - à remplir'!$F$31:$F$400,'Étape 1 - à remplir'!$E$31:$E$400,MASQ2!O438,'Étape 1 - à remplir'!$O$31:$O$400,X$3)),IF(X$2="Espèce",IF(X$3="Toutes",SUMIFS('Étape 1 - à remplir'!$F$31:$F$400,'Étape 1 - à remplir'!$E$31:$E$400,MASQ2!O438,'Étape 1 - à remplir'!$G$31:$G$400,"animaux"),SUMIFS('Étape 1 - à remplir'!$F$31:$F$400,'Étape 1 - à remplir'!$E$31:$E$400,MASQ2!O438,'Étape 1 - à remplir'!$N$31:$N$400,X$3)))))))</f>
        <v>#N/A</v>
      </c>
      <c r="Q438" s="63">
        <f t="shared" si="285"/>
        <v>0</v>
      </c>
      <c r="R438" t="str">
        <f>Données_ATB!BM437</f>
        <v>Florfénicol</v>
      </c>
      <c r="S438" t="str">
        <f>Données_ATB!BN437</f>
        <v/>
      </c>
      <c r="T438" s="63" t="str">
        <f>Données_ATB!BO437</f>
        <v/>
      </c>
      <c r="U438" s="42" t="str">
        <f>Données_ATB!BQ437</f>
        <v>Phenicoles</v>
      </c>
      <c r="V438" t="str">
        <f>Données_ATB!BR437</f>
        <v/>
      </c>
      <c r="W438" s="63" t="str">
        <f>Données_ATB!BS437</f>
        <v/>
      </c>
      <c r="Z438" s="42">
        <v>435</v>
      </c>
      <c r="AA438" t="e">
        <f t="shared" si="281"/>
        <v>#N/A</v>
      </c>
      <c r="AB438" s="63" t="e">
        <f t="shared" si="282"/>
        <v>#N/A</v>
      </c>
      <c r="BF438" s="63"/>
      <c r="BT438" s="194" t="str">
        <f t="shared" ca="1" si="265"/>
        <v/>
      </c>
      <c r="BU438" s="219" t="str">
        <f>IFERROR(IF(BX438=0,"",COUNTIF(BX$4:BX$600,"&gt;"&amp;BX438)+COUNTIF(BX$4:BX438,BX438)),"")</f>
        <v/>
      </c>
      <c r="BV438" s="42" t="str">
        <f t="shared" si="266"/>
        <v>SHOTAFLOR 300 MG/ML SOLUTION INJECTABLE POUR BOVINS</v>
      </c>
      <c r="BW438" t="e">
        <f>IF(IF(CE$2="Catégorie",IF(CE$3="Toutes",SUMIFS('Étape 1 - à remplir'!$F$31:$F$400,'Étape 1 - à remplir'!$E$31:$E$400,MASQ2!BV438,'Étape 1 - à remplir'!$G$31:$G$400,"lots"),SUMIFS('Étape 1 - à remplir'!$F$31:$F$400,'Étape 1 - à remplir'!$E$31:$E$400,MASQ2!BV438,'Étape 1 - à remplir'!$C$31:$C$400,CE$3)),IF(CE$2="Âge",IF(CE$3="Tous",SUMIFS('Étape 1 - à remplir'!$F$31:$F$400,'Étape 1 - à remplir'!$E$31:$E$400,MASQ2!BV438,'Étape 1 - à remplir'!$G$31:$G$400,"lots"),SUMIFS('Étape 1 - à remplir'!$F$31:$F$400,'Étape 1 - à remplir'!$E$31:$E$400,MASQ2!BV438,'Étape 1 - à remplir'!$P$31:$P$400,CE$3,'Étape 1 - à remplir'!$G$31:$G$400,"lots")),IF(CE$2="Atelier",IF(CE$3="Tous",SUMIFS('Étape 1 - à remplir'!$F$31:$F$400,'Étape 1 - à remplir'!$E$31:$E$400,MASQ2!BV438,'Étape 1 - à remplir'!$G$31:$G$400,"lots"),SUMIFS('Étape 1 - à remplir'!$F$31:$F$400,'Étape 1 - à remplir'!$E$31:$E$400,MASQ2!BV438,'Étape 1 - à remplir'!$O$31:$O$400,CE$3,'Étape 1 - à remplir'!$G$31:$G$400,"lots")),IF(CE$2="Espèce",IF(CE$3="Toutes",SUMIFS('Étape 1 - à remplir'!$F$31:$F$400,'Étape 1 - à remplir'!$E$31:$E$400,MASQ2!BV438,'Étape 1 - à remplir'!$G$31:$G$400,"lots"),SUMIFS('Étape 1 - à remplir'!$F$31:$F$400,'Étape 1 - à remplir'!$E$31:$E$400,MASQ2!BV438,'Étape 1 - à remplir'!$N$31:$N$400,CE$3,'Étape 1 - à remplir'!$G$31:$G$400,"lots"))))))=0,NA(),IF(CE$2="Catégorie",IF(CE$3="Toutes",SUMIFS('Étape 1 - à remplir'!$F$31:$F$400,'Étape 1 - à remplir'!$E$31:$E$400,MASQ2!BV438,'Étape 1 - à remplir'!$G$31:$G$400,"lots"),SUMIFS('Étape 1 - à remplir'!$F$31:$F$400,'Étape 1 - à remplir'!$E$31:$E$400,MASQ2!BV438,'Étape 1 - à remplir'!$C$31:$C$400,CE$3)),IF(CE$2="Âge",IF(CE$3="Tous",SUMIFS('Étape 1 - à remplir'!$F$31:$F$400,'Étape 1 - à remplir'!$E$31:$E$400,MASQ2!BV438,'Étape 1 - à remplir'!$G$31:$G$400,"lots"),SUMIFS('Étape 1 - à remplir'!$F$31:$F$400,'Étape 1 - à remplir'!$E$31:$E$400,MASQ2!BV438,'Étape 1 - à remplir'!$P$31:$P$400,CE$3,'Étape 1 - à remplir'!$G$31:$G$400,"lots")),IF(CE$2="Atelier",IF(CE$3="Tous",SUMIFS('Étape 1 - à remplir'!$F$31:$F$400,'Étape 1 - à remplir'!$E$31:$E$400,MASQ2!BV438,'Étape 1 - à remplir'!$G$31:$G$400,"lots"),SUMIFS('Étape 1 - à remplir'!$F$31:$F$400,'Étape 1 - à remplir'!$E$31:$E$400,MASQ2!BV438,'Étape 1 - à remplir'!$O$31:$O$400,CE$3,'Étape 1 - à remplir'!$G$31:$G$400,"lots")),IF(CE$2="Espèce",IF(CE$3="Toutes",SUMIFS('Étape 1 - à remplir'!$F$31:$F$400,'Étape 1 - à remplir'!$E$31:$E$400,MASQ2!BV438,'Étape 1 - à remplir'!$G$31:$G$400,"lots"),SUMIFS('Étape 1 - à remplir'!$F$31:$F$400,'Étape 1 - à remplir'!$E$31:$E$400,MASQ2!BV438,'Étape 1 - à remplir'!$N$31:$N$400,CE$3,'Étape 1 - à remplir'!$G$31:$G$400,"lots")))))))</f>
        <v>#N/A</v>
      </c>
      <c r="BX438">
        <f t="shared" si="283"/>
        <v>0</v>
      </c>
      <c r="BY438" t="str">
        <f t="shared" si="267"/>
        <v>Florfénicol</v>
      </c>
      <c r="BZ438" t="str">
        <f t="shared" si="268"/>
        <v/>
      </c>
      <c r="CA438" t="str">
        <f t="shared" si="269"/>
        <v/>
      </c>
      <c r="CB438" t="str">
        <f t="shared" si="270"/>
        <v>Phenicoles</v>
      </c>
      <c r="CC438" t="str">
        <f t="shared" si="271"/>
        <v/>
      </c>
      <c r="CD438" s="63" t="str">
        <f t="shared" si="272"/>
        <v/>
      </c>
      <c r="CG438" s="42">
        <v>435</v>
      </c>
      <c r="CH438" s="42" t="e">
        <f t="shared" si="288"/>
        <v>#N/A</v>
      </c>
      <c r="CI438" s="63" t="e">
        <f t="shared" si="289"/>
        <v>#N/A</v>
      </c>
      <c r="DM438" s="63"/>
      <c r="EA438" s="194" t="str">
        <f t="shared" ca="1" si="273"/>
        <v/>
      </c>
      <c r="EB438" s="226" t="str">
        <f>IFERROR(IF(ED438=0,"",COUNTIF(ED$4:ED$600,"&gt;"&amp;ED438)+COUNTIF(ED$4:ED438,ED438)),"")</f>
        <v/>
      </c>
      <c r="EC438" t="str">
        <f t="shared" si="274"/>
        <v>SHOTAFLOR 300 MG/ML SOLUTION INJECTABLE POUR BOVINS</v>
      </c>
      <c r="ED438" t="e">
        <f>IF(IF(EL$2="Catégorie",IF(EL$3="Toutes",SUMIFS('Étape 1 - à remplir'!$F$31:$F$400,'Étape 1 - à remplir'!$E$31:$E$400,MASQ2!EC438,'Étape 1 - à remplir'!$G$31:$G$400,"kg"),SUMIFS('Étape 1 - à remplir'!$F$31:$F$400,'Étape 1 - à remplir'!$E$31:$E$400,MASQ2!EC438,'Étape 1 - à remplir'!$C$31:$C$400,EL$3)),IF(EL$2="Âge",IF(EL$3="Tous",SUMIFS('Étape 1 - à remplir'!$F$31:$F$400,'Étape 1 - à remplir'!$E$31:$E$400,MASQ2!EC438,'Étape 1 - à remplir'!$G$31:$G$400,"kg"),SUMIFS('Étape 1 - à remplir'!$F$31:$F$400,'Étape 1 - à remplir'!$E$31:$E$400,MASQ2!EC438,'Étape 1 - à remplir'!$P$31:$P$400,EL$3,'Étape 1 - à remplir'!$G$31:$G$400,"kg")),IF(EL$2="Atelier",IF(EL$3="Tous",SUMIFS('Étape 1 - à remplir'!$F$31:$F$400,'Étape 1 - à remplir'!$E$31:$E$400,MASQ2!EC438,'Étape 1 - à remplir'!$G$31:$G$400,"kg"),SUMIFS('Étape 1 - à remplir'!$F$31:$F$400,'Étape 1 - à remplir'!$E$31:$E$400,MASQ2!EC438,'Étape 1 - à remplir'!$O$31:$O$400,EL$3,'Étape 1 - à remplir'!$G$31:$G$400,"kg")),IF(EL$2="Espèce",IF(EL$3="Toutes",SUMIFS('Étape 1 - à remplir'!$F$31:$F$400,'Étape 1 - à remplir'!$E$31:$E$400,MASQ2!EC438,'Étape 1 - à remplir'!$G$31:$G$400,"kg"),SUMIFS('Étape 1 - à remplir'!$F$31:$F$400,'Étape 1 - à remplir'!$E$31:$E$400,MASQ2!EC438,'Étape 1 - à remplir'!$N$31:$N$400,EL$3,'Étape 1 - à remplir'!$G$31:$G$400,"kg"))))))=0,NA(),IF(EL$2="Catégorie",IF(EL$3="Toutes",SUMIFS('Étape 1 - à remplir'!$F$31:$F$400,'Étape 1 - à remplir'!$E$31:$E$400,MASQ2!EC438,'Étape 1 - à remplir'!$G$31:$G$400,"kg"),SUMIFS('Étape 1 - à remplir'!$F$31:$F$400,'Étape 1 - à remplir'!$E$31:$E$400,MASQ2!EC438,'Étape 1 - à remplir'!$C$31:$C$400,EL$3)),IF(EL$2="Âge",IF(EL$3="Tous",SUMIFS('Étape 1 - à remplir'!$F$31:$F$400,'Étape 1 - à remplir'!$E$31:$E$400,MASQ2!EC438,'Étape 1 - à remplir'!$G$31:$G$400,"kg"),SUMIFS('Étape 1 - à remplir'!$F$31:$F$400,'Étape 1 - à remplir'!$E$31:$E$400,MASQ2!EC438,'Étape 1 - à remplir'!$P$31:$P$400,EL$3,'Étape 1 - à remplir'!$G$31:$G$400,"kg")),IF(EL$2="Atelier",IF(EL$3="Tous",SUMIFS('Étape 1 - à remplir'!$F$31:$F$400,'Étape 1 - à remplir'!$E$31:$E$400,MASQ2!EC438,'Étape 1 - à remplir'!$G$31:$G$400,"kg"),SUMIFS('Étape 1 - à remplir'!$F$31:$F$400,'Étape 1 - à remplir'!$E$31:$E$400,MASQ2!EC438,'Étape 1 - à remplir'!$O$31:$O$400,EL$3,'Étape 1 - à remplir'!$G$31:$G$400,"kg")),IF(EL$2="Espèce",IF(EL$3="Toutes",SUMIFS('Étape 1 - à remplir'!$F$31:$F$400,'Étape 1 - à remplir'!$E$31:$E$400,MASQ2!EC438,'Étape 1 - à remplir'!$G$31:$G$400,"kg"),SUMIFS('Étape 1 - à remplir'!$F$31:$F$400,'Étape 1 - à remplir'!$E$31:$E$400,MASQ2!EC438,'Étape 1 - à remplir'!$N$31:$N$400,EL$3,'Étape 1 - à remplir'!$G$31:$G$400,"kg")))))))</f>
        <v>#N/A</v>
      </c>
      <c r="EE438" s="76">
        <f t="shared" si="284"/>
        <v>0</v>
      </c>
      <c r="EF438" t="str">
        <f t="shared" si="275"/>
        <v>Florfénicol</v>
      </c>
      <c r="EG438" t="str">
        <f t="shared" si="276"/>
        <v/>
      </c>
      <c r="EH438" t="str">
        <f t="shared" si="277"/>
        <v/>
      </c>
      <c r="EI438" t="str">
        <f t="shared" si="278"/>
        <v>Phenicoles</v>
      </c>
      <c r="EJ438" t="str">
        <f t="shared" si="279"/>
        <v/>
      </c>
      <c r="EK438" s="63" t="str">
        <f t="shared" si="280"/>
        <v/>
      </c>
      <c r="EN438" s="42">
        <v>435</v>
      </c>
      <c r="EO438" t="e">
        <f t="shared" si="286"/>
        <v>#N/A</v>
      </c>
      <c r="EP438" s="63" t="e">
        <f t="shared" si="287"/>
        <v>#N/A</v>
      </c>
      <c r="FT438" s="63"/>
    </row>
    <row r="439" spans="2:176" x14ac:dyDescent="0.3">
      <c r="B439" s="42"/>
      <c r="M439" s="194" t="str">
        <f ca="1">INDEX(Données_ATB!BD:BU,MATCH(MASQ2!O439,Données_ATB!BD:BD,0),18)</f>
        <v/>
      </c>
      <c r="N439" s="14" t="str">
        <f>IFERROR(IF(Q439=0,"",COUNTIF(Q$4:Q$600,"&gt;"&amp;Q439)+COUNTIF(Q$4:Q439,Q439)),"")</f>
        <v/>
      </c>
      <c r="O439" t="str">
        <f>Données_ATB!BD438</f>
        <v>SHOTAFLOR 300 MG/ML SOLUTION INJECTABLE POUR PORCS</v>
      </c>
      <c r="P439" t="e">
        <f>IF(IF(X$2="Catégorie",IF(X$3="Toutes",SUMIFS('Étape 1 - à remplir'!$F$31:$F$400,'Étape 1 - à remplir'!$E$31:$E$400,MASQ2!O439,'Étape 1 - à remplir'!$G$31:$G$400,"animaux"),SUMIFS('Étape 1 - à remplir'!$F$31:$F$400,'Étape 1 - à remplir'!$E$31:$E$400,MASQ2!O439,'Étape 1 - à remplir'!$C$31:$C$400,X$3)),IF(X$2="Âge",IF(X$3="Tous",SUMIFS('Étape 1 - à remplir'!$F$31:$F$400,'Étape 1 - à remplir'!$E$31:$E$400,MASQ2!O439,'Étape 1 - à remplir'!$G$31:$G$400,"animaux"),SUMIFS('Étape 1 - à remplir'!$F$31:$F$400,'Étape 1 - à remplir'!$E$31:$E$400,MASQ2!O439,'Étape 1 - à remplir'!$P$31:$P$400,X$3)),IF(X$2="Atelier",IF(X$3="Tous",SUMIFS('Étape 1 - à remplir'!$F$31:$F$400,'Étape 1 - à remplir'!$E$31:$E$400,MASQ2!O439,'Étape 1 - à remplir'!$G$31:$G$400,"animaux"),SUMIFS('Étape 1 - à remplir'!$F$31:$F$400,'Étape 1 - à remplir'!$E$31:$E$400,MASQ2!O439,'Étape 1 - à remplir'!$O$31:$O$400,X$3)),IF(X$2="Espèce",IF(X$3="Toutes",SUMIFS('Étape 1 - à remplir'!$F$31:$F$400,'Étape 1 - à remplir'!$E$31:$E$400,MASQ2!O439,'Étape 1 - à remplir'!$G$31:$G$400,"animaux"),SUMIFS('Étape 1 - à remplir'!$F$31:$F$400,'Étape 1 - à remplir'!$E$31:$E$400,MASQ2!O439,'Étape 1 - à remplir'!$N$31:$N$400,X$3))))))=0,NA(),IF(X$2="Catégorie",IF(X$3="Toutes",SUMIFS('Étape 1 - à remplir'!$F$31:$F$400,'Étape 1 - à remplir'!$E$31:$E$400,MASQ2!O439,'Étape 1 - à remplir'!$G$31:$G$400,"animaux"),SUMIFS('Étape 1 - à remplir'!$F$31:$F$400,'Étape 1 - à remplir'!$E$31:$E$400,MASQ2!O439,'Étape 1 - à remplir'!$C$31:$C$400,X$3)),IF(X$2="Âge",IF(X$3="Tous",SUMIFS('Étape 1 - à remplir'!$F$31:$F$400,'Étape 1 - à remplir'!$E$31:$E$400,MASQ2!O439,'Étape 1 - à remplir'!$G$31:$G$400,"animaux"),SUMIFS('Étape 1 - à remplir'!$F$31:$F$400,'Étape 1 - à remplir'!$E$31:$E$400,MASQ2!O439,'Étape 1 - à remplir'!$P$31:$P$400,X$3)),IF(X$2="Atelier",IF(X$3="Tous",SUMIFS('Étape 1 - à remplir'!$F$31:$F$400,'Étape 1 - à remplir'!$E$31:$E$400,MASQ2!O439,'Étape 1 - à remplir'!$G$31:$G$400,"animaux"),SUMIFS('Étape 1 - à remplir'!$F$31:$F$400,'Étape 1 - à remplir'!$E$31:$E$400,MASQ2!O439,'Étape 1 - à remplir'!$O$31:$O$400,X$3)),IF(X$2="Espèce",IF(X$3="Toutes",SUMIFS('Étape 1 - à remplir'!$F$31:$F$400,'Étape 1 - à remplir'!$E$31:$E$400,MASQ2!O439,'Étape 1 - à remplir'!$G$31:$G$400,"animaux"),SUMIFS('Étape 1 - à remplir'!$F$31:$F$400,'Étape 1 - à remplir'!$E$31:$E$400,MASQ2!O439,'Étape 1 - à remplir'!$N$31:$N$400,X$3)))))))</f>
        <v>#N/A</v>
      </c>
      <c r="Q439" s="63">
        <f t="shared" si="285"/>
        <v>0</v>
      </c>
      <c r="R439" t="str">
        <f>Données_ATB!BM438</f>
        <v>Florfénicol</v>
      </c>
      <c r="S439" t="str">
        <f>Données_ATB!BN438</f>
        <v/>
      </c>
      <c r="T439" s="63" t="str">
        <f>Données_ATB!BO438</f>
        <v/>
      </c>
      <c r="U439" s="42" t="str">
        <f>Données_ATB!BQ438</f>
        <v>Phenicoles</v>
      </c>
      <c r="V439" t="str">
        <f>Données_ATB!BR438</f>
        <v/>
      </c>
      <c r="W439" s="63" t="str">
        <f>Données_ATB!BS438</f>
        <v/>
      </c>
      <c r="Z439" s="42">
        <v>436</v>
      </c>
      <c r="AA439" t="e">
        <f t="shared" si="281"/>
        <v>#N/A</v>
      </c>
      <c r="AB439" s="63" t="e">
        <f t="shared" si="282"/>
        <v>#N/A</v>
      </c>
      <c r="BF439" s="63"/>
      <c r="BT439" s="194" t="str">
        <f t="shared" ca="1" si="265"/>
        <v/>
      </c>
      <c r="BU439" s="219" t="str">
        <f>IFERROR(IF(BX439=0,"",COUNTIF(BX$4:BX$600,"&gt;"&amp;BX439)+COUNTIF(BX$4:BX439,BX439)),"")</f>
        <v/>
      </c>
      <c r="BV439" s="42" t="str">
        <f t="shared" si="266"/>
        <v>SHOTAFLOR 300 MG/ML SOLUTION INJECTABLE POUR PORCS</v>
      </c>
      <c r="BW439" t="e">
        <f>IF(IF(CE$2="Catégorie",IF(CE$3="Toutes",SUMIFS('Étape 1 - à remplir'!$F$31:$F$400,'Étape 1 - à remplir'!$E$31:$E$400,MASQ2!BV439,'Étape 1 - à remplir'!$G$31:$G$400,"lots"),SUMIFS('Étape 1 - à remplir'!$F$31:$F$400,'Étape 1 - à remplir'!$E$31:$E$400,MASQ2!BV439,'Étape 1 - à remplir'!$C$31:$C$400,CE$3)),IF(CE$2="Âge",IF(CE$3="Tous",SUMIFS('Étape 1 - à remplir'!$F$31:$F$400,'Étape 1 - à remplir'!$E$31:$E$400,MASQ2!BV439,'Étape 1 - à remplir'!$G$31:$G$400,"lots"),SUMIFS('Étape 1 - à remplir'!$F$31:$F$400,'Étape 1 - à remplir'!$E$31:$E$400,MASQ2!BV439,'Étape 1 - à remplir'!$P$31:$P$400,CE$3,'Étape 1 - à remplir'!$G$31:$G$400,"lots")),IF(CE$2="Atelier",IF(CE$3="Tous",SUMIFS('Étape 1 - à remplir'!$F$31:$F$400,'Étape 1 - à remplir'!$E$31:$E$400,MASQ2!BV439,'Étape 1 - à remplir'!$G$31:$G$400,"lots"),SUMIFS('Étape 1 - à remplir'!$F$31:$F$400,'Étape 1 - à remplir'!$E$31:$E$400,MASQ2!BV439,'Étape 1 - à remplir'!$O$31:$O$400,CE$3,'Étape 1 - à remplir'!$G$31:$G$400,"lots")),IF(CE$2="Espèce",IF(CE$3="Toutes",SUMIFS('Étape 1 - à remplir'!$F$31:$F$400,'Étape 1 - à remplir'!$E$31:$E$400,MASQ2!BV439,'Étape 1 - à remplir'!$G$31:$G$400,"lots"),SUMIFS('Étape 1 - à remplir'!$F$31:$F$400,'Étape 1 - à remplir'!$E$31:$E$400,MASQ2!BV439,'Étape 1 - à remplir'!$N$31:$N$400,CE$3,'Étape 1 - à remplir'!$G$31:$G$400,"lots"))))))=0,NA(),IF(CE$2="Catégorie",IF(CE$3="Toutes",SUMIFS('Étape 1 - à remplir'!$F$31:$F$400,'Étape 1 - à remplir'!$E$31:$E$400,MASQ2!BV439,'Étape 1 - à remplir'!$G$31:$G$400,"lots"),SUMIFS('Étape 1 - à remplir'!$F$31:$F$400,'Étape 1 - à remplir'!$E$31:$E$400,MASQ2!BV439,'Étape 1 - à remplir'!$C$31:$C$400,CE$3)),IF(CE$2="Âge",IF(CE$3="Tous",SUMIFS('Étape 1 - à remplir'!$F$31:$F$400,'Étape 1 - à remplir'!$E$31:$E$400,MASQ2!BV439,'Étape 1 - à remplir'!$G$31:$G$400,"lots"),SUMIFS('Étape 1 - à remplir'!$F$31:$F$400,'Étape 1 - à remplir'!$E$31:$E$400,MASQ2!BV439,'Étape 1 - à remplir'!$P$31:$P$400,CE$3,'Étape 1 - à remplir'!$G$31:$G$400,"lots")),IF(CE$2="Atelier",IF(CE$3="Tous",SUMIFS('Étape 1 - à remplir'!$F$31:$F$400,'Étape 1 - à remplir'!$E$31:$E$400,MASQ2!BV439,'Étape 1 - à remplir'!$G$31:$G$400,"lots"),SUMIFS('Étape 1 - à remplir'!$F$31:$F$400,'Étape 1 - à remplir'!$E$31:$E$400,MASQ2!BV439,'Étape 1 - à remplir'!$O$31:$O$400,CE$3,'Étape 1 - à remplir'!$G$31:$G$400,"lots")),IF(CE$2="Espèce",IF(CE$3="Toutes",SUMIFS('Étape 1 - à remplir'!$F$31:$F$400,'Étape 1 - à remplir'!$E$31:$E$400,MASQ2!BV439,'Étape 1 - à remplir'!$G$31:$G$400,"lots"),SUMIFS('Étape 1 - à remplir'!$F$31:$F$400,'Étape 1 - à remplir'!$E$31:$E$400,MASQ2!BV439,'Étape 1 - à remplir'!$N$31:$N$400,CE$3,'Étape 1 - à remplir'!$G$31:$G$400,"lots")))))))</f>
        <v>#N/A</v>
      </c>
      <c r="BX439">
        <f t="shared" si="283"/>
        <v>0</v>
      </c>
      <c r="BY439" t="str">
        <f t="shared" si="267"/>
        <v>Florfénicol</v>
      </c>
      <c r="BZ439" t="str">
        <f t="shared" si="268"/>
        <v/>
      </c>
      <c r="CA439" t="str">
        <f t="shared" si="269"/>
        <v/>
      </c>
      <c r="CB439" t="str">
        <f t="shared" si="270"/>
        <v>Phenicoles</v>
      </c>
      <c r="CC439" t="str">
        <f t="shared" si="271"/>
        <v/>
      </c>
      <c r="CD439" s="63" t="str">
        <f t="shared" si="272"/>
        <v/>
      </c>
      <c r="CG439" s="42">
        <v>436</v>
      </c>
      <c r="CH439" s="42" t="e">
        <f t="shared" si="288"/>
        <v>#N/A</v>
      </c>
      <c r="CI439" s="63" t="e">
        <f t="shared" si="289"/>
        <v>#N/A</v>
      </c>
      <c r="DM439" s="63"/>
      <c r="EA439" s="194" t="str">
        <f t="shared" ca="1" si="273"/>
        <v/>
      </c>
      <c r="EB439" s="226" t="str">
        <f>IFERROR(IF(ED439=0,"",COUNTIF(ED$4:ED$600,"&gt;"&amp;ED439)+COUNTIF(ED$4:ED439,ED439)),"")</f>
        <v/>
      </c>
      <c r="EC439" t="str">
        <f t="shared" si="274"/>
        <v>SHOTAFLOR 300 MG/ML SOLUTION INJECTABLE POUR PORCS</v>
      </c>
      <c r="ED439" t="e">
        <f>IF(IF(EL$2="Catégorie",IF(EL$3="Toutes",SUMIFS('Étape 1 - à remplir'!$F$31:$F$400,'Étape 1 - à remplir'!$E$31:$E$400,MASQ2!EC439,'Étape 1 - à remplir'!$G$31:$G$400,"kg"),SUMIFS('Étape 1 - à remplir'!$F$31:$F$400,'Étape 1 - à remplir'!$E$31:$E$400,MASQ2!EC439,'Étape 1 - à remplir'!$C$31:$C$400,EL$3)),IF(EL$2="Âge",IF(EL$3="Tous",SUMIFS('Étape 1 - à remplir'!$F$31:$F$400,'Étape 1 - à remplir'!$E$31:$E$400,MASQ2!EC439,'Étape 1 - à remplir'!$G$31:$G$400,"kg"),SUMIFS('Étape 1 - à remplir'!$F$31:$F$400,'Étape 1 - à remplir'!$E$31:$E$400,MASQ2!EC439,'Étape 1 - à remplir'!$P$31:$P$400,EL$3,'Étape 1 - à remplir'!$G$31:$G$400,"kg")),IF(EL$2="Atelier",IF(EL$3="Tous",SUMIFS('Étape 1 - à remplir'!$F$31:$F$400,'Étape 1 - à remplir'!$E$31:$E$400,MASQ2!EC439,'Étape 1 - à remplir'!$G$31:$G$400,"kg"),SUMIFS('Étape 1 - à remplir'!$F$31:$F$400,'Étape 1 - à remplir'!$E$31:$E$400,MASQ2!EC439,'Étape 1 - à remplir'!$O$31:$O$400,EL$3,'Étape 1 - à remplir'!$G$31:$G$400,"kg")),IF(EL$2="Espèce",IF(EL$3="Toutes",SUMIFS('Étape 1 - à remplir'!$F$31:$F$400,'Étape 1 - à remplir'!$E$31:$E$400,MASQ2!EC439,'Étape 1 - à remplir'!$G$31:$G$400,"kg"),SUMIFS('Étape 1 - à remplir'!$F$31:$F$400,'Étape 1 - à remplir'!$E$31:$E$400,MASQ2!EC439,'Étape 1 - à remplir'!$N$31:$N$400,EL$3,'Étape 1 - à remplir'!$G$31:$G$400,"kg"))))))=0,NA(),IF(EL$2="Catégorie",IF(EL$3="Toutes",SUMIFS('Étape 1 - à remplir'!$F$31:$F$400,'Étape 1 - à remplir'!$E$31:$E$400,MASQ2!EC439,'Étape 1 - à remplir'!$G$31:$G$400,"kg"),SUMIFS('Étape 1 - à remplir'!$F$31:$F$400,'Étape 1 - à remplir'!$E$31:$E$400,MASQ2!EC439,'Étape 1 - à remplir'!$C$31:$C$400,EL$3)),IF(EL$2="Âge",IF(EL$3="Tous",SUMIFS('Étape 1 - à remplir'!$F$31:$F$400,'Étape 1 - à remplir'!$E$31:$E$400,MASQ2!EC439,'Étape 1 - à remplir'!$G$31:$G$400,"kg"),SUMIFS('Étape 1 - à remplir'!$F$31:$F$400,'Étape 1 - à remplir'!$E$31:$E$400,MASQ2!EC439,'Étape 1 - à remplir'!$P$31:$P$400,EL$3,'Étape 1 - à remplir'!$G$31:$G$400,"kg")),IF(EL$2="Atelier",IF(EL$3="Tous",SUMIFS('Étape 1 - à remplir'!$F$31:$F$400,'Étape 1 - à remplir'!$E$31:$E$400,MASQ2!EC439,'Étape 1 - à remplir'!$G$31:$G$400,"kg"),SUMIFS('Étape 1 - à remplir'!$F$31:$F$400,'Étape 1 - à remplir'!$E$31:$E$400,MASQ2!EC439,'Étape 1 - à remplir'!$O$31:$O$400,EL$3,'Étape 1 - à remplir'!$G$31:$G$400,"kg")),IF(EL$2="Espèce",IF(EL$3="Toutes",SUMIFS('Étape 1 - à remplir'!$F$31:$F$400,'Étape 1 - à remplir'!$E$31:$E$400,MASQ2!EC439,'Étape 1 - à remplir'!$G$31:$G$400,"kg"),SUMIFS('Étape 1 - à remplir'!$F$31:$F$400,'Étape 1 - à remplir'!$E$31:$E$400,MASQ2!EC439,'Étape 1 - à remplir'!$N$31:$N$400,EL$3,'Étape 1 - à remplir'!$G$31:$G$400,"kg")))))))</f>
        <v>#N/A</v>
      </c>
      <c r="EE439" s="76">
        <f t="shared" si="284"/>
        <v>0</v>
      </c>
      <c r="EF439" t="str">
        <f t="shared" si="275"/>
        <v>Florfénicol</v>
      </c>
      <c r="EG439" t="str">
        <f t="shared" si="276"/>
        <v/>
      </c>
      <c r="EH439" t="str">
        <f t="shared" si="277"/>
        <v/>
      </c>
      <c r="EI439" t="str">
        <f t="shared" si="278"/>
        <v>Phenicoles</v>
      </c>
      <c r="EJ439" t="str">
        <f t="shared" si="279"/>
        <v/>
      </c>
      <c r="EK439" s="63" t="str">
        <f t="shared" si="280"/>
        <v/>
      </c>
      <c r="EN439" s="42">
        <v>436</v>
      </c>
      <c r="EO439" t="e">
        <f t="shared" si="286"/>
        <v>#N/A</v>
      </c>
      <c r="EP439" s="63" t="e">
        <f t="shared" si="287"/>
        <v>#N/A</v>
      </c>
      <c r="FT439" s="63"/>
    </row>
    <row r="440" spans="2:176" x14ac:dyDescent="0.3">
      <c r="B440" s="42"/>
      <c r="M440" s="194" t="str">
        <f ca="1">INDEX(Données_ATB!BD:BU,MATCH(MASQ2!O440,Données_ATB!BD:BD,0),18)</f>
        <v/>
      </c>
      <c r="N440" s="14" t="str">
        <f>IFERROR(IF(Q440=0,"",COUNTIF(Q$4:Q$600,"&gt;"&amp;Q440)+COUNTIF(Q$4:Q440,Q440)),"")</f>
        <v/>
      </c>
      <c r="O440" t="str">
        <f>Données_ATB!BD439</f>
        <v>SHOTAPEN</v>
      </c>
      <c r="P440" t="e">
        <f>IF(IF(X$2="Catégorie",IF(X$3="Toutes",SUMIFS('Étape 1 - à remplir'!$F$31:$F$400,'Étape 1 - à remplir'!$E$31:$E$400,MASQ2!O440,'Étape 1 - à remplir'!$G$31:$G$400,"animaux"),SUMIFS('Étape 1 - à remplir'!$F$31:$F$400,'Étape 1 - à remplir'!$E$31:$E$400,MASQ2!O440,'Étape 1 - à remplir'!$C$31:$C$400,X$3)),IF(X$2="Âge",IF(X$3="Tous",SUMIFS('Étape 1 - à remplir'!$F$31:$F$400,'Étape 1 - à remplir'!$E$31:$E$400,MASQ2!O440,'Étape 1 - à remplir'!$G$31:$G$400,"animaux"),SUMIFS('Étape 1 - à remplir'!$F$31:$F$400,'Étape 1 - à remplir'!$E$31:$E$400,MASQ2!O440,'Étape 1 - à remplir'!$P$31:$P$400,X$3)),IF(X$2="Atelier",IF(X$3="Tous",SUMIFS('Étape 1 - à remplir'!$F$31:$F$400,'Étape 1 - à remplir'!$E$31:$E$400,MASQ2!O440,'Étape 1 - à remplir'!$G$31:$G$400,"animaux"),SUMIFS('Étape 1 - à remplir'!$F$31:$F$400,'Étape 1 - à remplir'!$E$31:$E$400,MASQ2!O440,'Étape 1 - à remplir'!$O$31:$O$400,X$3)),IF(X$2="Espèce",IF(X$3="Toutes",SUMIFS('Étape 1 - à remplir'!$F$31:$F$400,'Étape 1 - à remplir'!$E$31:$E$400,MASQ2!O440,'Étape 1 - à remplir'!$G$31:$G$400,"animaux"),SUMIFS('Étape 1 - à remplir'!$F$31:$F$400,'Étape 1 - à remplir'!$E$31:$E$400,MASQ2!O440,'Étape 1 - à remplir'!$N$31:$N$400,X$3))))))=0,NA(),IF(X$2="Catégorie",IF(X$3="Toutes",SUMIFS('Étape 1 - à remplir'!$F$31:$F$400,'Étape 1 - à remplir'!$E$31:$E$400,MASQ2!O440,'Étape 1 - à remplir'!$G$31:$G$400,"animaux"),SUMIFS('Étape 1 - à remplir'!$F$31:$F$400,'Étape 1 - à remplir'!$E$31:$E$400,MASQ2!O440,'Étape 1 - à remplir'!$C$31:$C$400,X$3)),IF(X$2="Âge",IF(X$3="Tous",SUMIFS('Étape 1 - à remplir'!$F$31:$F$400,'Étape 1 - à remplir'!$E$31:$E$400,MASQ2!O440,'Étape 1 - à remplir'!$G$31:$G$400,"animaux"),SUMIFS('Étape 1 - à remplir'!$F$31:$F$400,'Étape 1 - à remplir'!$E$31:$E$400,MASQ2!O440,'Étape 1 - à remplir'!$P$31:$P$400,X$3)),IF(X$2="Atelier",IF(X$3="Tous",SUMIFS('Étape 1 - à remplir'!$F$31:$F$400,'Étape 1 - à remplir'!$E$31:$E$400,MASQ2!O440,'Étape 1 - à remplir'!$G$31:$G$400,"animaux"),SUMIFS('Étape 1 - à remplir'!$F$31:$F$400,'Étape 1 - à remplir'!$E$31:$E$400,MASQ2!O440,'Étape 1 - à remplir'!$O$31:$O$400,X$3)),IF(X$2="Espèce",IF(X$3="Toutes",SUMIFS('Étape 1 - à remplir'!$F$31:$F$400,'Étape 1 - à remplir'!$E$31:$E$400,MASQ2!O440,'Étape 1 - à remplir'!$G$31:$G$400,"animaux"),SUMIFS('Étape 1 - à remplir'!$F$31:$F$400,'Étape 1 - à remplir'!$E$31:$E$400,MASQ2!O440,'Étape 1 - à remplir'!$N$31:$N$400,X$3)))))))</f>
        <v>#N/A</v>
      </c>
      <c r="Q440" s="63">
        <f t="shared" si="285"/>
        <v>0</v>
      </c>
      <c r="R440" t="str">
        <f>Données_ATB!BM439</f>
        <v>Dihydrostreptomycine</v>
      </c>
      <c r="S440" t="str">
        <f>Données_ATB!BN439</f>
        <v>Benzylpénicilline</v>
      </c>
      <c r="T440" s="63" t="str">
        <f>Données_ATB!BO439</f>
        <v/>
      </c>
      <c r="U440" s="42" t="str">
        <f>Données_ATB!BQ439</f>
        <v>Aminoglycosides</v>
      </c>
      <c r="V440" t="str">
        <f>Données_ATB!BR439</f>
        <v>Penicillines</v>
      </c>
      <c r="W440" s="63" t="str">
        <f>Données_ATB!BS439</f>
        <v/>
      </c>
      <c r="Z440" s="42">
        <v>437</v>
      </c>
      <c r="AA440" t="e">
        <f t="shared" si="281"/>
        <v>#N/A</v>
      </c>
      <c r="AB440" s="63" t="e">
        <f t="shared" si="282"/>
        <v>#N/A</v>
      </c>
      <c r="BF440" s="63"/>
      <c r="BT440" s="194" t="str">
        <f t="shared" ca="1" si="265"/>
        <v/>
      </c>
      <c r="BU440" s="219" t="str">
        <f>IFERROR(IF(BX440=0,"",COUNTIF(BX$4:BX$600,"&gt;"&amp;BX440)+COUNTIF(BX$4:BX440,BX440)),"")</f>
        <v/>
      </c>
      <c r="BV440" s="42" t="str">
        <f t="shared" si="266"/>
        <v>SHOTAPEN</v>
      </c>
      <c r="BW440" t="e">
        <f>IF(IF(CE$2="Catégorie",IF(CE$3="Toutes",SUMIFS('Étape 1 - à remplir'!$F$31:$F$400,'Étape 1 - à remplir'!$E$31:$E$400,MASQ2!BV440,'Étape 1 - à remplir'!$G$31:$G$400,"lots"),SUMIFS('Étape 1 - à remplir'!$F$31:$F$400,'Étape 1 - à remplir'!$E$31:$E$400,MASQ2!BV440,'Étape 1 - à remplir'!$C$31:$C$400,CE$3)),IF(CE$2="Âge",IF(CE$3="Tous",SUMIFS('Étape 1 - à remplir'!$F$31:$F$400,'Étape 1 - à remplir'!$E$31:$E$400,MASQ2!BV440,'Étape 1 - à remplir'!$G$31:$G$400,"lots"),SUMIFS('Étape 1 - à remplir'!$F$31:$F$400,'Étape 1 - à remplir'!$E$31:$E$400,MASQ2!BV440,'Étape 1 - à remplir'!$P$31:$P$400,CE$3,'Étape 1 - à remplir'!$G$31:$G$400,"lots")),IF(CE$2="Atelier",IF(CE$3="Tous",SUMIFS('Étape 1 - à remplir'!$F$31:$F$400,'Étape 1 - à remplir'!$E$31:$E$400,MASQ2!BV440,'Étape 1 - à remplir'!$G$31:$G$400,"lots"),SUMIFS('Étape 1 - à remplir'!$F$31:$F$400,'Étape 1 - à remplir'!$E$31:$E$400,MASQ2!BV440,'Étape 1 - à remplir'!$O$31:$O$400,CE$3,'Étape 1 - à remplir'!$G$31:$G$400,"lots")),IF(CE$2="Espèce",IF(CE$3="Toutes",SUMIFS('Étape 1 - à remplir'!$F$31:$F$400,'Étape 1 - à remplir'!$E$31:$E$400,MASQ2!BV440,'Étape 1 - à remplir'!$G$31:$G$400,"lots"),SUMIFS('Étape 1 - à remplir'!$F$31:$F$400,'Étape 1 - à remplir'!$E$31:$E$400,MASQ2!BV440,'Étape 1 - à remplir'!$N$31:$N$400,CE$3,'Étape 1 - à remplir'!$G$31:$G$400,"lots"))))))=0,NA(),IF(CE$2="Catégorie",IF(CE$3="Toutes",SUMIFS('Étape 1 - à remplir'!$F$31:$F$400,'Étape 1 - à remplir'!$E$31:$E$400,MASQ2!BV440,'Étape 1 - à remplir'!$G$31:$G$400,"lots"),SUMIFS('Étape 1 - à remplir'!$F$31:$F$400,'Étape 1 - à remplir'!$E$31:$E$400,MASQ2!BV440,'Étape 1 - à remplir'!$C$31:$C$400,CE$3)),IF(CE$2="Âge",IF(CE$3="Tous",SUMIFS('Étape 1 - à remplir'!$F$31:$F$400,'Étape 1 - à remplir'!$E$31:$E$400,MASQ2!BV440,'Étape 1 - à remplir'!$G$31:$G$400,"lots"),SUMIFS('Étape 1 - à remplir'!$F$31:$F$400,'Étape 1 - à remplir'!$E$31:$E$400,MASQ2!BV440,'Étape 1 - à remplir'!$P$31:$P$400,CE$3,'Étape 1 - à remplir'!$G$31:$G$400,"lots")),IF(CE$2="Atelier",IF(CE$3="Tous",SUMIFS('Étape 1 - à remplir'!$F$31:$F$400,'Étape 1 - à remplir'!$E$31:$E$400,MASQ2!BV440,'Étape 1 - à remplir'!$G$31:$G$400,"lots"),SUMIFS('Étape 1 - à remplir'!$F$31:$F$400,'Étape 1 - à remplir'!$E$31:$E$400,MASQ2!BV440,'Étape 1 - à remplir'!$O$31:$O$400,CE$3,'Étape 1 - à remplir'!$G$31:$G$400,"lots")),IF(CE$2="Espèce",IF(CE$3="Toutes",SUMIFS('Étape 1 - à remplir'!$F$31:$F$400,'Étape 1 - à remplir'!$E$31:$E$400,MASQ2!BV440,'Étape 1 - à remplir'!$G$31:$G$400,"lots"),SUMIFS('Étape 1 - à remplir'!$F$31:$F$400,'Étape 1 - à remplir'!$E$31:$E$400,MASQ2!BV440,'Étape 1 - à remplir'!$N$31:$N$400,CE$3,'Étape 1 - à remplir'!$G$31:$G$400,"lots")))))))</f>
        <v>#N/A</v>
      </c>
      <c r="BX440">
        <f t="shared" si="283"/>
        <v>0</v>
      </c>
      <c r="BY440" t="str">
        <f t="shared" si="267"/>
        <v>Dihydrostreptomycine</v>
      </c>
      <c r="BZ440" t="str">
        <f t="shared" si="268"/>
        <v>Benzylpénicilline</v>
      </c>
      <c r="CA440" t="str">
        <f t="shared" si="269"/>
        <v/>
      </c>
      <c r="CB440" t="str">
        <f t="shared" si="270"/>
        <v>Aminoglycosides</v>
      </c>
      <c r="CC440" t="str">
        <f t="shared" si="271"/>
        <v>Penicillines</v>
      </c>
      <c r="CD440" s="63" t="str">
        <f t="shared" si="272"/>
        <v/>
      </c>
      <c r="CG440" s="42">
        <v>437</v>
      </c>
      <c r="CH440" s="42" t="e">
        <f t="shared" si="288"/>
        <v>#N/A</v>
      </c>
      <c r="CI440" s="63" t="e">
        <f t="shared" si="289"/>
        <v>#N/A</v>
      </c>
      <c r="DM440" s="63"/>
      <c r="EA440" s="194" t="str">
        <f t="shared" ca="1" si="273"/>
        <v/>
      </c>
      <c r="EB440" s="226" t="str">
        <f>IFERROR(IF(ED440=0,"",COUNTIF(ED$4:ED$600,"&gt;"&amp;ED440)+COUNTIF(ED$4:ED440,ED440)),"")</f>
        <v/>
      </c>
      <c r="EC440" t="str">
        <f t="shared" si="274"/>
        <v>SHOTAPEN</v>
      </c>
      <c r="ED440" t="e">
        <f>IF(IF(EL$2="Catégorie",IF(EL$3="Toutes",SUMIFS('Étape 1 - à remplir'!$F$31:$F$400,'Étape 1 - à remplir'!$E$31:$E$400,MASQ2!EC440,'Étape 1 - à remplir'!$G$31:$G$400,"kg"),SUMIFS('Étape 1 - à remplir'!$F$31:$F$400,'Étape 1 - à remplir'!$E$31:$E$400,MASQ2!EC440,'Étape 1 - à remplir'!$C$31:$C$400,EL$3)),IF(EL$2="Âge",IF(EL$3="Tous",SUMIFS('Étape 1 - à remplir'!$F$31:$F$400,'Étape 1 - à remplir'!$E$31:$E$400,MASQ2!EC440,'Étape 1 - à remplir'!$G$31:$G$400,"kg"),SUMIFS('Étape 1 - à remplir'!$F$31:$F$400,'Étape 1 - à remplir'!$E$31:$E$400,MASQ2!EC440,'Étape 1 - à remplir'!$P$31:$P$400,EL$3,'Étape 1 - à remplir'!$G$31:$G$400,"kg")),IF(EL$2="Atelier",IF(EL$3="Tous",SUMIFS('Étape 1 - à remplir'!$F$31:$F$400,'Étape 1 - à remplir'!$E$31:$E$400,MASQ2!EC440,'Étape 1 - à remplir'!$G$31:$G$400,"kg"),SUMIFS('Étape 1 - à remplir'!$F$31:$F$400,'Étape 1 - à remplir'!$E$31:$E$400,MASQ2!EC440,'Étape 1 - à remplir'!$O$31:$O$400,EL$3,'Étape 1 - à remplir'!$G$31:$G$400,"kg")),IF(EL$2="Espèce",IF(EL$3="Toutes",SUMIFS('Étape 1 - à remplir'!$F$31:$F$400,'Étape 1 - à remplir'!$E$31:$E$400,MASQ2!EC440,'Étape 1 - à remplir'!$G$31:$G$400,"kg"),SUMIFS('Étape 1 - à remplir'!$F$31:$F$400,'Étape 1 - à remplir'!$E$31:$E$400,MASQ2!EC440,'Étape 1 - à remplir'!$N$31:$N$400,EL$3,'Étape 1 - à remplir'!$G$31:$G$400,"kg"))))))=0,NA(),IF(EL$2="Catégorie",IF(EL$3="Toutes",SUMIFS('Étape 1 - à remplir'!$F$31:$F$400,'Étape 1 - à remplir'!$E$31:$E$400,MASQ2!EC440,'Étape 1 - à remplir'!$G$31:$G$400,"kg"),SUMIFS('Étape 1 - à remplir'!$F$31:$F$400,'Étape 1 - à remplir'!$E$31:$E$400,MASQ2!EC440,'Étape 1 - à remplir'!$C$31:$C$400,EL$3)),IF(EL$2="Âge",IF(EL$3="Tous",SUMIFS('Étape 1 - à remplir'!$F$31:$F$400,'Étape 1 - à remplir'!$E$31:$E$400,MASQ2!EC440,'Étape 1 - à remplir'!$G$31:$G$400,"kg"),SUMIFS('Étape 1 - à remplir'!$F$31:$F$400,'Étape 1 - à remplir'!$E$31:$E$400,MASQ2!EC440,'Étape 1 - à remplir'!$P$31:$P$400,EL$3,'Étape 1 - à remplir'!$G$31:$G$400,"kg")),IF(EL$2="Atelier",IF(EL$3="Tous",SUMIFS('Étape 1 - à remplir'!$F$31:$F$400,'Étape 1 - à remplir'!$E$31:$E$400,MASQ2!EC440,'Étape 1 - à remplir'!$G$31:$G$400,"kg"),SUMIFS('Étape 1 - à remplir'!$F$31:$F$400,'Étape 1 - à remplir'!$E$31:$E$400,MASQ2!EC440,'Étape 1 - à remplir'!$O$31:$O$400,EL$3,'Étape 1 - à remplir'!$G$31:$G$400,"kg")),IF(EL$2="Espèce",IF(EL$3="Toutes",SUMIFS('Étape 1 - à remplir'!$F$31:$F$400,'Étape 1 - à remplir'!$E$31:$E$400,MASQ2!EC440,'Étape 1 - à remplir'!$G$31:$G$400,"kg"),SUMIFS('Étape 1 - à remplir'!$F$31:$F$400,'Étape 1 - à remplir'!$E$31:$E$400,MASQ2!EC440,'Étape 1 - à remplir'!$N$31:$N$400,EL$3,'Étape 1 - à remplir'!$G$31:$G$400,"kg")))))))</f>
        <v>#N/A</v>
      </c>
      <c r="EE440" s="76">
        <f t="shared" si="284"/>
        <v>0</v>
      </c>
      <c r="EF440" t="str">
        <f t="shared" si="275"/>
        <v>Dihydrostreptomycine</v>
      </c>
      <c r="EG440" t="str">
        <f t="shared" si="276"/>
        <v>Benzylpénicilline</v>
      </c>
      <c r="EH440" t="str">
        <f t="shared" si="277"/>
        <v/>
      </c>
      <c r="EI440" t="str">
        <f t="shared" si="278"/>
        <v>Aminoglycosides</v>
      </c>
      <c r="EJ440" t="str">
        <f t="shared" si="279"/>
        <v>Penicillines</v>
      </c>
      <c r="EK440" s="63" t="str">
        <f t="shared" si="280"/>
        <v/>
      </c>
      <c r="EN440" s="42">
        <v>437</v>
      </c>
      <c r="EO440" t="e">
        <f t="shared" si="286"/>
        <v>#N/A</v>
      </c>
      <c r="EP440" s="63" t="e">
        <f t="shared" si="287"/>
        <v>#N/A</v>
      </c>
      <c r="FT440" s="63"/>
    </row>
    <row r="441" spans="2:176" x14ac:dyDescent="0.3">
      <c r="B441" s="42"/>
      <c r="M441" s="194" t="str">
        <f ca="1">INDEX(Données_ATB!BD:BU,MATCH(MASQ2!O441,Données_ATB!BD:BD,0),18)</f>
        <v>x</v>
      </c>
      <c r="N441" s="14" t="str">
        <f>IFERROR(IF(Q441=0,"",COUNTIF(Q$4:Q$600,"&gt;"&amp;Q441)+COUNTIF(Q$4:Q441,Q441)),"")</f>
        <v/>
      </c>
      <c r="O441" t="str">
        <f>Données_ATB!BD440</f>
        <v>SODIBIO</v>
      </c>
      <c r="P441" t="e">
        <f>IF(IF(X$2="Catégorie",IF(X$3="Toutes",SUMIFS('Étape 1 - à remplir'!$F$31:$F$400,'Étape 1 - à remplir'!$E$31:$E$400,MASQ2!O441,'Étape 1 - à remplir'!$G$31:$G$400,"animaux"),SUMIFS('Étape 1 - à remplir'!$F$31:$F$400,'Étape 1 - à remplir'!$E$31:$E$400,MASQ2!O441,'Étape 1 - à remplir'!$C$31:$C$400,X$3)),IF(X$2="Âge",IF(X$3="Tous",SUMIFS('Étape 1 - à remplir'!$F$31:$F$400,'Étape 1 - à remplir'!$E$31:$E$400,MASQ2!O441,'Étape 1 - à remplir'!$G$31:$G$400,"animaux"),SUMIFS('Étape 1 - à remplir'!$F$31:$F$400,'Étape 1 - à remplir'!$E$31:$E$400,MASQ2!O441,'Étape 1 - à remplir'!$P$31:$P$400,X$3)),IF(X$2="Atelier",IF(X$3="Tous",SUMIFS('Étape 1 - à remplir'!$F$31:$F$400,'Étape 1 - à remplir'!$E$31:$E$400,MASQ2!O441,'Étape 1 - à remplir'!$G$31:$G$400,"animaux"),SUMIFS('Étape 1 - à remplir'!$F$31:$F$400,'Étape 1 - à remplir'!$E$31:$E$400,MASQ2!O441,'Étape 1 - à remplir'!$O$31:$O$400,X$3)),IF(X$2="Espèce",IF(X$3="Toutes",SUMIFS('Étape 1 - à remplir'!$F$31:$F$400,'Étape 1 - à remplir'!$E$31:$E$400,MASQ2!O441,'Étape 1 - à remplir'!$G$31:$G$400,"animaux"),SUMIFS('Étape 1 - à remplir'!$F$31:$F$400,'Étape 1 - à remplir'!$E$31:$E$400,MASQ2!O441,'Étape 1 - à remplir'!$N$31:$N$400,X$3))))))=0,NA(),IF(X$2="Catégorie",IF(X$3="Toutes",SUMIFS('Étape 1 - à remplir'!$F$31:$F$400,'Étape 1 - à remplir'!$E$31:$E$400,MASQ2!O441,'Étape 1 - à remplir'!$G$31:$G$400,"animaux"),SUMIFS('Étape 1 - à remplir'!$F$31:$F$400,'Étape 1 - à remplir'!$E$31:$E$400,MASQ2!O441,'Étape 1 - à remplir'!$C$31:$C$400,X$3)),IF(X$2="Âge",IF(X$3="Tous",SUMIFS('Étape 1 - à remplir'!$F$31:$F$400,'Étape 1 - à remplir'!$E$31:$E$400,MASQ2!O441,'Étape 1 - à remplir'!$G$31:$G$400,"animaux"),SUMIFS('Étape 1 - à remplir'!$F$31:$F$400,'Étape 1 - à remplir'!$E$31:$E$400,MASQ2!O441,'Étape 1 - à remplir'!$P$31:$P$400,X$3)),IF(X$2="Atelier",IF(X$3="Tous",SUMIFS('Étape 1 - à remplir'!$F$31:$F$400,'Étape 1 - à remplir'!$E$31:$E$400,MASQ2!O441,'Étape 1 - à remplir'!$G$31:$G$400,"animaux"),SUMIFS('Étape 1 - à remplir'!$F$31:$F$400,'Étape 1 - à remplir'!$E$31:$E$400,MASQ2!O441,'Étape 1 - à remplir'!$O$31:$O$400,X$3)),IF(X$2="Espèce",IF(X$3="Toutes",SUMIFS('Étape 1 - à remplir'!$F$31:$F$400,'Étape 1 - à remplir'!$E$31:$E$400,MASQ2!O441,'Étape 1 - à remplir'!$G$31:$G$400,"animaux"),SUMIFS('Étape 1 - à remplir'!$F$31:$F$400,'Étape 1 - à remplir'!$E$31:$E$400,MASQ2!O441,'Étape 1 - à remplir'!$N$31:$N$400,X$3)))))))</f>
        <v>#N/A</v>
      </c>
      <c r="Q441" s="63">
        <f t="shared" si="285"/>
        <v>0</v>
      </c>
      <c r="R441" t="str">
        <f>Données_ATB!BM440</f>
        <v>Ampicilline</v>
      </c>
      <c r="S441" t="str">
        <f>Données_ATB!BN440</f>
        <v>Colistine</v>
      </c>
      <c r="T441" s="63" t="str">
        <f>Données_ATB!BO440</f>
        <v/>
      </c>
      <c r="U441" s="42" t="str">
        <f>Données_ATB!BQ440</f>
        <v>Penicillines</v>
      </c>
      <c r="V441" t="str">
        <f>Données_ATB!BR440</f>
        <v>Polypeptides</v>
      </c>
      <c r="W441" s="63" t="str">
        <f>Données_ATB!BS440</f>
        <v/>
      </c>
      <c r="Z441" s="42">
        <v>438</v>
      </c>
      <c r="AA441" t="e">
        <f t="shared" si="281"/>
        <v>#N/A</v>
      </c>
      <c r="AB441" s="63" t="e">
        <f t="shared" si="282"/>
        <v>#N/A</v>
      </c>
      <c r="BF441" s="63"/>
      <c r="BT441" s="194" t="str">
        <f t="shared" ca="1" si="265"/>
        <v>x</v>
      </c>
      <c r="BU441" s="219" t="str">
        <f>IFERROR(IF(BX441=0,"",COUNTIF(BX$4:BX$600,"&gt;"&amp;BX441)+COUNTIF(BX$4:BX441,BX441)),"")</f>
        <v/>
      </c>
      <c r="BV441" s="42" t="str">
        <f t="shared" si="266"/>
        <v>SODIBIO</v>
      </c>
      <c r="BW441" t="e">
        <f>IF(IF(CE$2="Catégorie",IF(CE$3="Toutes",SUMIFS('Étape 1 - à remplir'!$F$31:$F$400,'Étape 1 - à remplir'!$E$31:$E$400,MASQ2!BV441,'Étape 1 - à remplir'!$G$31:$G$400,"lots"),SUMIFS('Étape 1 - à remplir'!$F$31:$F$400,'Étape 1 - à remplir'!$E$31:$E$400,MASQ2!BV441,'Étape 1 - à remplir'!$C$31:$C$400,CE$3)),IF(CE$2="Âge",IF(CE$3="Tous",SUMIFS('Étape 1 - à remplir'!$F$31:$F$400,'Étape 1 - à remplir'!$E$31:$E$400,MASQ2!BV441,'Étape 1 - à remplir'!$G$31:$G$400,"lots"),SUMIFS('Étape 1 - à remplir'!$F$31:$F$400,'Étape 1 - à remplir'!$E$31:$E$400,MASQ2!BV441,'Étape 1 - à remplir'!$P$31:$P$400,CE$3,'Étape 1 - à remplir'!$G$31:$G$400,"lots")),IF(CE$2="Atelier",IF(CE$3="Tous",SUMIFS('Étape 1 - à remplir'!$F$31:$F$400,'Étape 1 - à remplir'!$E$31:$E$400,MASQ2!BV441,'Étape 1 - à remplir'!$G$31:$G$400,"lots"),SUMIFS('Étape 1 - à remplir'!$F$31:$F$400,'Étape 1 - à remplir'!$E$31:$E$400,MASQ2!BV441,'Étape 1 - à remplir'!$O$31:$O$400,CE$3,'Étape 1 - à remplir'!$G$31:$G$400,"lots")),IF(CE$2="Espèce",IF(CE$3="Toutes",SUMIFS('Étape 1 - à remplir'!$F$31:$F$400,'Étape 1 - à remplir'!$E$31:$E$400,MASQ2!BV441,'Étape 1 - à remplir'!$G$31:$G$400,"lots"),SUMIFS('Étape 1 - à remplir'!$F$31:$F$400,'Étape 1 - à remplir'!$E$31:$E$400,MASQ2!BV441,'Étape 1 - à remplir'!$N$31:$N$400,CE$3,'Étape 1 - à remplir'!$G$31:$G$400,"lots"))))))=0,NA(),IF(CE$2="Catégorie",IF(CE$3="Toutes",SUMIFS('Étape 1 - à remplir'!$F$31:$F$400,'Étape 1 - à remplir'!$E$31:$E$400,MASQ2!BV441,'Étape 1 - à remplir'!$G$31:$G$400,"lots"),SUMIFS('Étape 1 - à remplir'!$F$31:$F$400,'Étape 1 - à remplir'!$E$31:$E$400,MASQ2!BV441,'Étape 1 - à remplir'!$C$31:$C$400,CE$3)),IF(CE$2="Âge",IF(CE$3="Tous",SUMIFS('Étape 1 - à remplir'!$F$31:$F$400,'Étape 1 - à remplir'!$E$31:$E$400,MASQ2!BV441,'Étape 1 - à remplir'!$G$31:$G$400,"lots"),SUMIFS('Étape 1 - à remplir'!$F$31:$F$400,'Étape 1 - à remplir'!$E$31:$E$400,MASQ2!BV441,'Étape 1 - à remplir'!$P$31:$P$400,CE$3,'Étape 1 - à remplir'!$G$31:$G$400,"lots")),IF(CE$2="Atelier",IF(CE$3="Tous",SUMIFS('Étape 1 - à remplir'!$F$31:$F$400,'Étape 1 - à remplir'!$E$31:$E$400,MASQ2!BV441,'Étape 1 - à remplir'!$G$31:$G$400,"lots"),SUMIFS('Étape 1 - à remplir'!$F$31:$F$400,'Étape 1 - à remplir'!$E$31:$E$400,MASQ2!BV441,'Étape 1 - à remplir'!$O$31:$O$400,CE$3,'Étape 1 - à remplir'!$G$31:$G$400,"lots")),IF(CE$2="Espèce",IF(CE$3="Toutes",SUMIFS('Étape 1 - à remplir'!$F$31:$F$400,'Étape 1 - à remplir'!$E$31:$E$400,MASQ2!BV441,'Étape 1 - à remplir'!$G$31:$G$400,"lots"),SUMIFS('Étape 1 - à remplir'!$F$31:$F$400,'Étape 1 - à remplir'!$E$31:$E$400,MASQ2!BV441,'Étape 1 - à remplir'!$N$31:$N$400,CE$3,'Étape 1 - à remplir'!$G$31:$G$400,"lots")))))))</f>
        <v>#N/A</v>
      </c>
      <c r="BX441">
        <f t="shared" si="283"/>
        <v>0</v>
      </c>
      <c r="BY441" t="str">
        <f t="shared" si="267"/>
        <v>Ampicilline</v>
      </c>
      <c r="BZ441" t="str">
        <f t="shared" si="268"/>
        <v>Colistine</v>
      </c>
      <c r="CA441" t="str">
        <f t="shared" si="269"/>
        <v/>
      </c>
      <c r="CB441" t="str">
        <f t="shared" si="270"/>
        <v>Penicillines</v>
      </c>
      <c r="CC441" t="str">
        <f t="shared" si="271"/>
        <v>Polypeptides</v>
      </c>
      <c r="CD441" s="63" t="str">
        <f t="shared" si="272"/>
        <v/>
      </c>
      <c r="CG441" s="42">
        <v>438</v>
      </c>
      <c r="CH441" s="42" t="e">
        <f t="shared" si="288"/>
        <v>#N/A</v>
      </c>
      <c r="CI441" s="63" t="e">
        <f t="shared" si="289"/>
        <v>#N/A</v>
      </c>
      <c r="DM441" s="63"/>
      <c r="EA441" s="194" t="str">
        <f t="shared" ca="1" si="273"/>
        <v>x</v>
      </c>
      <c r="EB441" s="226" t="str">
        <f>IFERROR(IF(ED441=0,"",COUNTIF(ED$4:ED$600,"&gt;"&amp;ED441)+COUNTIF(ED$4:ED441,ED441)),"")</f>
        <v/>
      </c>
      <c r="EC441" t="str">
        <f t="shared" si="274"/>
        <v>SODIBIO</v>
      </c>
      <c r="ED441" t="e">
        <f>IF(IF(EL$2="Catégorie",IF(EL$3="Toutes",SUMIFS('Étape 1 - à remplir'!$F$31:$F$400,'Étape 1 - à remplir'!$E$31:$E$400,MASQ2!EC441,'Étape 1 - à remplir'!$G$31:$G$400,"kg"),SUMIFS('Étape 1 - à remplir'!$F$31:$F$400,'Étape 1 - à remplir'!$E$31:$E$400,MASQ2!EC441,'Étape 1 - à remplir'!$C$31:$C$400,EL$3)),IF(EL$2="Âge",IF(EL$3="Tous",SUMIFS('Étape 1 - à remplir'!$F$31:$F$400,'Étape 1 - à remplir'!$E$31:$E$400,MASQ2!EC441,'Étape 1 - à remplir'!$G$31:$G$400,"kg"),SUMIFS('Étape 1 - à remplir'!$F$31:$F$400,'Étape 1 - à remplir'!$E$31:$E$400,MASQ2!EC441,'Étape 1 - à remplir'!$P$31:$P$400,EL$3,'Étape 1 - à remplir'!$G$31:$G$400,"kg")),IF(EL$2="Atelier",IF(EL$3="Tous",SUMIFS('Étape 1 - à remplir'!$F$31:$F$400,'Étape 1 - à remplir'!$E$31:$E$400,MASQ2!EC441,'Étape 1 - à remplir'!$G$31:$G$400,"kg"),SUMIFS('Étape 1 - à remplir'!$F$31:$F$400,'Étape 1 - à remplir'!$E$31:$E$400,MASQ2!EC441,'Étape 1 - à remplir'!$O$31:$O$400,EL$3,'Étape 1 - à remplir'!$G$31:$G$400,"kg")),IF(EL$2="Espèce",IF(EL$3="Toutes",SUMIFS('Étape 1 - à remplir'!$F$31:$F$400,'Étape 1 - à remplir'!$E$31:$E$400,MASQ2!EC441,'Étape 1 - à remplir'!$G$31:$G$400,"kg"),SUMIFS('Étape 1 - à remplir'!$F$31:$F$400,'Étape 1 - à remplir'!$E$31:$E$400,MASQ2!EC441,'Étape 1 - à remplir'!$N$31:$N$400,EL$3,'Étape 1 - à remplir'!$G$31:$G$400,"kg"))))))=0,NA(),IF(EL$2="Catégorie",IF(EL$3="Toutes",SUMIFS('Étape 1 - à remplir'!$F$31:$F$400,'Étape 1 - à remplir'!$E$31:$E$400,MASQ2!EC441,'Étape 1 - à remplir'!$G$31:$G$400,"kg"),SUMIFS('Étape 1 - à remplir'!$F$31:$F$400,'Étape 1 - à remplir'!$E$31:$E$400,MASQ2!EC441,'Étape 1 - à remplir'!$C$31:$C$400,EL$3)),IF(EL$2="Âge",IF(EL$3="Tous",SUMIFS('Étape 1 - à remplir'!$F$31:$F$400,'Étape 1 - à remplir'!$E$31:$E$400,MASQ2!EC441,'Étape 1 - à remplir'!$G$31:$G$400,"kg"),SUMIFS('Étape 1 - à remplir'!$F$31:$F$400,'Étape 1 - à remplir'!$E$31:$E$400,MASQ2!EC441,'Étape 1 - à remplir'!$P$31:$P$400,EL$3,'Étape 1 - à remplir'!$G$31:$G$400,"kg")),IF(EL$2="Atelier",IF(EL$3="Tous",SUMIFS('Étape 1 - à remplir'!$F$31:$F$400,'Étape 1 - à remplir'!$E$31:$E$400,MASQ2!EC441,'Étape 1 - à remplir'!$G$31:$G$400,"kg"),SUMIFS('Étape 1 - à remplir'!$F$31:$F$400,'Étape 1 - à remplir'!$E$31:$E$400,MASQ2!EC441,'Étape 1 - à remplir'!$O$31:$O$400,EL$3,'Étape 1 - à remplir'!$G$31:$G$400,"kg")),IF(EL$2="Espèce",IF(EL$3="Toutes",SUMIFS('Étape 1 - à remplir'!$F$31:$F$400,'Étape 1 - à remplir'!$E$31:$E$400,MASQ2!EC441,'Étape 1 - à remplir'!$G$31:$G$400,"kg"),SUMIFS('Étape 1 - à remplir'!$F$31:$F$400,'Étape 1 - à remplir'!$E$31:$E$400,MASQ2!EC441,'Étape 1 - à remplir'!$N$31:$N$400,EL$3,'Étape 1 - à remplir'!$G$31:$G$400,"kg")))))))</f>
        <v>#N/A</v>
      </c>
      <c r="EE441" s="76">
        <f t="shared" si="284"/>
        <v>0</v>
      </c>
      <c r="EF441" t="str">
        <f t="shared" si="275"/>
        <v>Ampicilline</v>
      </c>
      <c r="EG441" t="str">
        <f t="shared" si="276"/>
        <v>Colistine</v>
      </c>
      <c r="EH441" t="str">
        <f t="shared" si="277"/>
        <v/>
      </c>
      <c r="EI441" t="str">
        <f t="shared" si="278"/>
        <v>Penicillines</v>
      </c>
      <c r="EJ441" t="str">
        <f t="shared" si="279"/>
        <v>Polypeptides</v>
      </c>
      <c r="EK441" s="63" t="str">
        <f t="shared" si="280"/>
        <v/>
      </c>
      <c r="EN441" s="42">
        <v>438</v>
      </c>
      <c r="EO441" t="e">
        <f t="shared" si="286"/>
        <v>#N/A</v>
      </c>
      <c r="EP441" s="63" t="e">
        <f t="shared" si="287"/>
        <v>#N/A</v>
      </c>
      <c r="FT441" s="63"/>
    </row>
    <row r="442" spans="2:176" x14ac:dyDescent="0.3">
      <c r="B442" s="42"/>
      <c r="M442" s="194" t="str">
        <f ca="1">INDEX(Données_ATB!BD:BU,MATCH(MASQ2!O442,Données_ATB!BD:BD,0),18)</f>
        <v>x</v>
      </c>
      <c r="N442" s="14" t="str">
        <f>IFERROR(IF(Q442=0,"",COUNTIF(Q$4:Q$600,"&gt;"&amp;Q442)+COUNTIF(Q$4:Q442,Q442)),"")</f>
        <v/>
      </c>
      <c r="O442" t="str">
        <f>Données_ATB!BD441</f>
        <v>SODICOLY INJECTABLE</v>
      </c>
      <c r="P442" t="e">
        <f>IF(IF(X$2="Catégorie",IF(X$3="Toutes",SUMIFS('Étape 1 - à remplir'!$F$31:$F$400,'Étape 1 - à remplir'!$E$31:$E$400,MASQ2!O442,'Étape 1 - à remplir'!$G$31:$G$400,"animaux"),SUMIFS('Étape 1 - à remplir'!$F$31:$F$400,'Étape 1 - à remplir'!$E$31:$E$400,MASQ2!O442,'Étape 1 - à remplir'!$C$31:$C$400,X$3)),IF(X$2="Âge",IF(X$3="Tous",SUMIFS('Étape 1 - à remplir'!$F$31:$F$400,'Étape 1 - à remplir'!$E$31:$E$400,MASQ2!O442,'Étape 1 - à remplir'!$G$31:$G$400,"animaux"),SUMIFS('Étape 1 - à remplir'!$F$31:$F$400,'Étape 1 - à remplir'!$E$31:$E$400,MASQ2!O442,'Étape 1 - à remplir'!$P$31:$P$400,X$3)),IF(X$2="Atelier",IF(X$3="Tous",SUMIFS('Étape 1 - à remplir'!$F$31:$F$400,'Étape 1 - à remplir'!$E$31:$E$400,MASQ2!O442,'Étape 1 - à remplir'!$G$31:$G$400,"animaux"),SUMIFS('Étape 1 - à remplir'!$F$31:$F$400,'Étape 1 - à remplir'!$E$31:$E$400,MASQ2!O442,'Étape 1 - à remplir'!$O$31:$O$400,X$3)),IF(X$2="Espèce",IF(X$3="Toutes",SUMIFS('Étape 1 - à remplir'!$F$31:$F$400,'Étape 1 - à remplir'!$E$31:$E$400,MASQ2!O442,'Étape 1 - à remplir'!$G$31:$G$400,"animaux"),SUMIFS('Étape 1 - à remplir'!$F$31:$F$400,'Étape 1 - à remplir'!$E$31:$E$400,MASQ2!O442,'Étape 1 - à remplir'!$N$31:$N$400,X$3))))))=0,NA(),IF(X$2="Catégorie",IF(X$3="Toutes",SUMIFS('Étape 1 - à remplir'!$F$31:$F$400,'Étape 1 - à remplir'!$E$31:$E$400,MASQ2!O442,'Étape 1 - à remplir'!$G$31:$G$400,"animaux"),SUMIFS('Étape 1 - à remplir'!$F$31:$F$400,'Étape 1 - à remplir'!$E$31:$E$400,MASQ2!O442,'Étape 1 - à remplir'!$C$31:$C$400,X$3)),IF(X$2="Âge",IF(X$3="Tous",SUMIFS('Étape 1 - à remplir'!$F$31:$F$400,'Étape 1 - à remplir'!$E$31:$E$400,MASQ2!O442,'Étape 1 - à remplir'!$G$31:$G$400,"animaux"),SUMIFS('Étape 1 - à remplir'!$F$31:$F$400,'Étape 1 - à remplir'!$E$31:$E$400,MASQ2!O442,'Étape 1 - à remplir'!$P$31:$P$400,X$3)),IF(X$2="Atelier",IF(X$3="Tous",SUMIFS('Étape 1 - à remplir'!$F$31:$F$400,'Étape 1 - à remplir'!$E$31:$E$400,MASQ2!O442,'Étape 1 - à remplir'!$G$31:$G$400,"animaux"),SUMIFS('Étape 1 - à remplir'!$F$31:$F$400,'Étape 1 - à remplir'!$E$31:$E$400,MASQ2!O442,'Étape 1 - à remplir'!$O$31:$O$400,X$3)),IF(X$2="Espèce",IF(X$3="Toutes",SUMIFS('Étape 1 - à remplir'!$F$31:$F$400,'Étape 1 - à remplir'!$E$31:$E$400,MASQ2!O442,'Étape 1 - à remplir'!$G$31:$G$400,"animaux"),SUMIFS('Étape 1 - à remplir'!$F$31:$F$400,'Étape 1 - à remplir'!$E$31:$E$400,MASQ2!O442,'Étape 1 - à remplir'!$N$31:$N$400,X$3)))))))</f>
        <v>#N/A</v>
      </c>
      <c r="Q442" s="63">
        <f t="shared" si="285"/>
        <v>0</v>
      </c>
      <c r="R442" t="str">
        <f>Données_ATB!BM441</f>
        <v>Colistine</v>
      </c>
      <c r="S442" t="str">
        <f>Données_ATB!BN441</f>
        <v/>
      </c>
      <c r="T442" s="63" t="str">
        <f>Données_ATB!BO441</f>
        <v/>
      </c>
      <c r="U442" s="42" t="str">
        <f>Données_ATB!BQ441</f>
        <v>Polypeptides</v>
      </c>
      <c r="V442" t="str">
        <f>Données_ATB!BR441</f>
        <v/>
      </c>
      <c r="W442" s="63" t="str">
        <f>Données_ATB!BS441</f>
        <v/>
      </c>
      <c r="Z442" s="42">
        <v>439</v>
      </c>
      <c r="AA442" t="e">
        <f t="shared" si="281"/>
        <v>#N/A</v>
      </c>
      <c r="AB442" s="63" t="e">
        <f t="shared" si="282"/>
        <v>#N/A</v>
      </c>
      <c r="BF442" s="63"/>
      <c r="BT442" s="194" t="str">
        <f t="shared" ca="1" si="265"/>
        <v>x</v>
      </c>
      <c r="BU442" s="219" t="str">
        <f>IFERROR(IF(BX442=0,"",COUNTIF(BX$4:BX$600,"&gt;"&amp;BX442)+COUNTIF(BX$4:BX442,BX442)),"")</f>
        <v/>
      </c>
      <c r="BV442" s="42" t="str">
        <f t="shared" si="266"/>
        <v>SODICOLY INJECTABLE</v>
      </c>
      <c r="BW442" t="e">
        <f>IF(IF(CE$2="Catégorie",IF(CE$3="Toutes",SUMIFS('Étape 1 - à remplir'!$F$31:$F$400,'Étape 1 - à remplir'!$E$31:$E$400,MASQ2!BV442,'Étape 1 - à remplir'!$G$31:$G$400,"lots"),SUMIFS('Étape 1 - à remplir'!$F$31:$F$400,'Étape 1 - à remplir'!$E$31:$E$400,MASQ2!BV442,'Étape 1 - à remplir'!$C$31:$C$400,CE$3)),IF(CE$2="Âge",IF(CE$3="Tous",SUMIFS('Étape 1 - à remplir'!$F$31:$F$400,'Étape 1 - à remplir'!$E$31:$E$400,MASQ2!BV442,'Étape 1 - à remplir'!$G$31:$G$400,"lots"),SUMIFS('Étape 1 - à remplir'!$F$31:$F$400,'Étape 1 - à remplir'!$E$31:$E$400,MASQ2!BV442,'Étape 1 - à remplir'!$P$31:$P$400,CE$3,'Étape 1 - à remplir'!$G$31:$G$400,"lots")),IF(CE$2="Atelier",IF(CE$3="Tous",SUMIFS('Étape 1 - à remplir'!$F$31:$F$400,'Étape 1 - à remplir'!$E$31:$E$400,MASQ2!BV442,'Étape 1 - à remplir'!$G$31:$G$400,"lots"),SUMIFS('Étape 1 - à remplir'!$F$31:$F$400,'Étape 1 - à remplir'!$E$31:$E$400,MASQ2!BV442,'Étape 1 - à remplir'!$O$31:$O$400,CE$3,'Étape 1 - à remplir'!$G$31:$G$400,"lots")),IF(CE$2="Espèce",IF(CE$3="Toutes",SUMIFS('Étape 1 - à remplir'!$F$31:$F$400,'Étape 1 - à remplir'!$E$31:$E$400,MASQ2!BV442,'Étape 1 - à remplir'!$G$31:$G$400,"lots"),SUMIFS('Étape 1 - à remplir'!$F$31:$F$400,'Étape 1 - à remplir'!$E$31:$E$400,MASQ2!BV442,'Étape 1 - à remplir'!$N$31:$N$400,CE$3,'Étape 1 - à remplir'!$G$31:$G$400,"lots"))))))=0,NA(),IF(CE$2="Catégorie",IF(CE$3="Toutes",SUMIFS('Étape 1 - à remplir'!$F$31:$F$400,'Étape 1 - à remplir'!$E$31:$E$400,MASQ2!BV442,'Étape 1 - à remplir'!$G$31:$G$400,"lots"),SUMIFS('Étape 1 - à remplir'!$F$31:$F$400,'Étape 1 - à remplir'!$E$31:$E$400,MASQ2!BV442,'Étape 1 - à remplir'!$C$31:$C$400,CE$3)),IF(CE$2="Âge",IF(CE$3="Tous",SUMIFS('Étape 1 - à remplir'!$F$31:$F$400,'Étape 1 - à remplir'!$E$31:$E$400,MASQ2!BV442,'Étape 1 - à remplir'!$G$31:$G$400,"lots"),SUMIFS('Étape 1 - à remplir'!$F$31:$F$400,'Étape 1 - à remplir'!$E$31:$E$400,MASQ2!BV442,'Étape 1 - à remplir'!$P$31:$P$400,CE$3,'Étape 1 - à remplir'!$G$31:$G$400,"lots")),IF(CE$2="Atelier",IF(CE$3="Tous",SUMIFS('Étape 1 - à remplir'!$F$31:$F$400,'Étape 1 - à remplir'!$E$31:$E$400,MASQ2!BV442,'Étape 1 - à remplir'!$G$31:$G$400,"lots"),SUMIFS('Étape 1 - à remplir'!$F$31:$F$400,'Étape 1 - à remplir'!$E$31:$E$400,MASQ2!BV442,'Étape 1 - à remplir'!$O$31:$O$400,CE$3,'Étape 1 - à remplir'!$G$31:$G$400,"lots")),IF(CE$2="Espèce",IF(CE$3="Toutes",SUMIFS('Étape 1 - à remplir'!$F$31:$F$400,'Étape 1 - à remplir'!$E$31:$E$400,MASQ2!BV442,'Étape 1 - à remplir'!$G$31:$G$400,"lots"),SUMIFS('Étape 1 - à remplir'!$F$31:$F$400,'Étape 1 - à remplir'!$E$31:$E$400,MASQ2!BV442,'Étape 1 - à remplir'!$N$31:$N$400,CE$3,'Étape 1 - à remplir'!$G$31:$G$400,"lots")))))))</f>
        <v>#N/A</v>
      </c>
      <c r="BX442">
        <f t="shared" si="283"/>
        <v>0</v>
      </c>
      <c r="BY442" t="str">
        <f t="shared" si="267"/>
        <v>Colistine</v>
      </c>
      <c r="BZ442" t="str">
        <f t="shared" si="268"/>
        <v/>
      </c>
      <c r="CA442" t="str">
        <f t="shared" si="269"/>
        <v/>
      </c>
      <c r="CB442" t="str">
        <f t="shared" si="270"/>
        <v>Polypeptides</v>
      </c>
      <c r="CC442" t="str">
        <f t="shared" si="271"/>
        <v/>
      </c>
      <c r="CD442" s="63" t="str">
        <f t="shared" si="272"/>
        <v/>
      </c>
      <c r="CG442" s="42">
        <v>439</v>
      </c>
      <c r="CH442" s="42" t="e">
        <f t="shared" si="288"/>
        <v>#N/A</v>
      </c>
      <c r="CI442" s="63" t="e">
        <f t="shared" si="289"/>
        <v>#N/A</v>
      </c>
      <c r="DM442" s="63"/>
      <c r="EA442" s="194" t="str">
        <f t="shared" ca="1" si="273"/>
        <v>x</v>
      </c>
      <c r="EB442" s="226" t="str">
        <f>IFERROR(IF(ED442=0,"",COUNTIF(ED$4:ED$600,"&gt;"&amp;ED442)+COUNTIF(ED$4:ED442,ED442)),"")</f>
        <v/>
      </c>
      <c r="EC442" t="str">
        <f t="shared" si="274"/>
        <v>SODICOLY INJECTABLE</v>
      </c>
      <c r="ED442" t="e">
        <f>IF(IF(EL$2="Catégorie",IF(EL$3="Toutes",SUMIFS('Étape 1 - à remplir'!$F$31:$F$400,'Étape 1 - à remplir'!$E$31:$E$400,MASQ2!EC442,'Étape 1 - à remplir'!$G$31:$G$400,"kg"),SUMIFS('Étape 1 - à remplir'!$F$31:$F$400,'Étape 1 - à remplir'!$E$31:$E$400,MASQ2!EC442,'Étape 1 - à remplir'!$C$31:$C$400,EL$3)),IF(EL$2="Âge",IF(EL$3="Tous",SUMIFS('Étape 1 - à remplir'!$F$31:$F$400,'Étape 1 - à remplir'!$E$31:$E$400,MASQ2!EC442,'Étape 1 - à remplir'!$G$31:$G$400,"kg"),SUMIFS('Étape 1 - à remplir'!$F$31:$F$400,'Étape 1 - à remplir'!$E$31:$E$400,MASQ2!EC442,'Étape 1 - à remplir'!$P$31:$P$400,EL$3,'Étape 1 - à remplir'!$G$31:$G$400,"kg")),IF(EL$2="Atelier",IF(EL$3="Tous",SUMIFS('Étape 1 - à remplir'!$F$31:$F$400,'Étape 1 - à remplir'!$E$31:$E$400,MASQ2!EC442,'Étape 1 - à remplir'!$G$31:$G$400,"kg"),SUMIFS('Étape 1 - à remplir'!$F$31:$F$400,'Étape 1 - à remplir'!$E$31:$E$400,MASQ2!EC442,'Étape 1 - à remplir'!$O$31:$O$400,EL$3,'Étape 1 - à remplir'!$G$31:$G$400,"kg")),IF(EL$2="Espèce",IF(EL$3="Toutes",SUMIFS('Étape 1 - à remplir'!$F$31:$F$400,'Étape 1 - à remplir'!$E$31:$E$400,MASQ2!EC442,'Étape 1 - à remplir'!$G$31:$G$400,"kg"),SUMIFS('Étape 1 - à remplir'!$F$31:$F$400,'Étape 1 - à remplir'!$E$31:$E$400,MASQ2!EC442,'Étape 1 - à remplir'!$N$31:$N$400,EL$3,'Étape 1 - à remplir'!$G$31:$G$400,"kg"))))))=0,NA(),IF(EL$2="Catégorie",IF(EL$3="Toutes",SUMIFS('Étape 1 - à remplir'!$F$31:$F$400,'Étape 1 - à remplir'!$E$31:$E$400,MASQ2!EC442,'Étape 1 - à remplir'!$G$31:$G$400,"kg"),SUMIFS('Étape 1 - à remplir'!$F$31:$F$400,'Étape 1 - à remplir'!$E$31:$E$400,MASQ2!EC442,'Étape 1 - à remplir'!$C$31:$C$400,EL$3)),IF(EL$2="Âge",IF(EL$3="Tous",SUMIFS('Étape 1 - à remplir'!$F$31:$F$400,'Étape 1 - à remplir'!$E$31:$E$400,MASQ2!EC442,'Étape 1 - à remplir'!$G$31:$G$400,"kg"),SUMIFS('Étape 1 - à remplir'!$F$31:$F$400,'Étape 1 - à remplir'!$E$31:$E$400,MASQ2!EC442,'Étape 1 - à remplir'!$P$31:$P$400,EL$3,'Étape 1 - à remplir'!$G$31:$G$400,"kg")),IF(EL$2="Atelier",IF(EL$3="Tous",SUMIFS('Étape 1 - à remplir'!$F$31:$F$400,'Étape 1 - à remplir'!$E$31:$E$400,MASQ2!EC442,'Étape 1 - à remplir'!$G$31:$G$400,"kg"),SUMIFS('Étape 1 - à remplir'!$F$31:$F$400,'Étape 1 - à remplir'!$E$31:$E$400,MASQ2!EC442,'Étape 1 - à remplir'!$O$31:$O$400,EL$3,'Étape 1 - à remplir'!$G$31:$G$400,"kg")),IF(EL$2="Espèce",IF(EL$3="Toutes",SUMIFS('Étape 1 - à remplir'!$F$31:$F$400,'Étape 1 - à remplir'!$E$31:$E$400,MASQ2!EC442,'Étape 1 - à remplir'!$G$31:$G$400,"kg"),SUMIFS('Étape 1 - à remplir'!$F$31:$F$400,'Étape 1 - à remplir'!$E$31:$E$400,MASQ2!EC442,'Étape 1 - à remplir'!$N$31:$N$400,EL$3,'Étape 1 - à remplir'!$G$31:$G$400,"kg")))))))</f>
        <v>#N/A</v>
      </c>
      <c r="EE442" s="76">
        <f t="shared" si="284"/>
        <v>0</v>
      </c>
      <c r="EF442" t="str">
        <f t="shared" si="275"/>
        <v>Colistine</v>
      </c>
      <c r="EG442" t="str">
        <f t="shared" si="276"/>
        <v/>
      </c>
      <c r="EH442" t="str">
        <f t="shared" si="277"/>
        <v/>
      </c>
      <c r="EI442" t="str">
        <f t="shared" si="278"/>
        <v>Polypeptides</v>
      </c>
      <c r="EJ442" t="str">
        <f t="shared" si="279"/>
        <v/>
      </c>
      <c r="EK442" s="63" t="str">
        <f t="shared" si="280"/>
        <v/>
      </c>
      <c r="EN442" s="42">
        <v>439</v>
      </c>
      <c r="EO442" t="e">
        <f t="shared" si="286"/>
        <v>#N/A</v>
      </c>
      <c r="EP442" s="63" t="e">
        <f t="shared" si="287"/>
        <v>#N/A</v>
      </c>
      <c r="FT442" s="63"/>
    </row>
    <row r="443" spans="2:176" x14ac:dyDescent="0.3">
      <c r="B443" s="42"/>
      <c r="M443" s="194" t="str">
        <f ca="1">INDEX(Données_ATB!BD:BU,MATCH(MASQ2!O443,Données_ATB!BD:BD,0),18)</f>
        <v>x</v>
      </c>
      <c r="N443" s="14" t="str">
        <f>IFERROR(IF(Q443=0,"",COUNTIF(Q$4:Q$600,"&gt;"&amp;Q443)+COUNTIF(Q$4:Q443,Q443)),"")</f>
        <v/>
      </c>
      <c r="O443" t="str">
        <f>Données_ATB!BD442</f>
        <v>SOGECOLI 2 MILLIONS UI/ML SOLUTION BUVABLE</v>
      </c>
      <c r="P443" t="e">
        <f>IF(IF(X$2="Catégorie",IF(X$3="Toutes",SUMIFS('Étape 1 - à remplir'!$F$31:$F$400,'Étape 1 - à remplir'!$E$31:$E$400,MASQ2!O443,'Étape 1 - à remplir'!$G$31:$G$400,"animaux"),SUMIFS('Étape 1 - à remplir'!$F$31:$F$400,'Étape 1 - à remplir'!$E$31:$E$400,MASQ2!O443,'Étape 1 - à remplir'!$C$31:$C$400,X$3)),IF(X$2="Âge",IF(X$3="Tous",SUMIFS('Étape 1 - à remplir'!$F$31:$F$400,'Étape 1 - à remplir'!$E$31:$E$400,MASQ2!O443,'Étape 1 - à remplir'!$G$31:$G$400,"animaux"),SUMIFS('Étape 1 - à remplir'!$F$31:$F$400,'Étape 1 - à remplir'!$E$31:$E$400,MASQ2!O443,'Étape 1 - à remplir'!$P$31:$P$400,X$3)),IF(X$2="Atelier",IF(X$3="Tous",SUMIFS('Étape 1 - à remplir'!$F$31:$F$400,'Étape 1 - à remplir'!$E$31:$E$400,MASQ2!O443,'Étape 1 - à remplir'!$G$31:$G$400,"animaux"),SUMIFS('Étape 1 - à remplir'!$F$31:$F$400,'Étape 1 - à remplir'!$E$31:$E$400,MASQ2!O443,'Étape 1 - à remplir'!$O$31:$O$400,X$3)),IF(X$2="Espèce",IF(X$3="Toutes",SUMIFS('Étape 1 - à remplir'!$F$31:$F$400,'Étape 1 - à remplir'!$E$31:$E$400,MASQ2!O443,'Étape 1 - à remplir'!$G$31:$G$400,"animaux"),SUMIFS('Étape 1 - à remplir'!$F$31:$F$400,'Étape 1 - à remplir'!$E$31:$E$400,MASQ2!O443,'Étape 1 - à remplir'!$N$31:$N$400,X$3))))))=0,NA(),IF(X$2="Catégorie",IF(X$3="Toutes",SUMIFS('Étape 1 - à remplir'!$F$31:$F$400,'Étape 1 - à remplir'!$E$31:$E$400,MASQ2!O443,'Étape 1 - à remplir'!$G$31:$G$400,"animaux"),SUMIFS('Étape 1 - à remplir'!$F$31:$F$400,'Étape 1 - à remplir'!$E$31:$E$400,MASQ2!O443,'Étape 1 - à remplir'!$C$31:$C$400,X$3)),IF(X$2="Âge",IF(X$3="Tous",SUMIFS('Étape 1 - à remplir'!$F$31:$F$400,'Étape 1 - à remplir'!$E$31:$E$400,MASQ2!O443,'Étape 1 - à remplir'!$G$31:$G$400,"animaux"),SUMIFS('Étape 1 - à remplir'!$F$31:$F$400,'Étape 1 - à remplir'!$E$31:$E$400,MASQ2!O443,'Étape 1 - à remplir'!$P$31:$P$400,X$3)),IF(X$2="Atelier",IF(X$3="Tous",SUMIFS('Étape 1 - à remplir'!$F$31:$F$400,'Étape 1 - à remplir'!$E$31:$E$400,MASQ2!O443,'Étape 1 - à remplir'!$G$31:$G$400,"animaux"),SUMIFS('Étape 1 - à remplir'!$F$31:$F$400,'Étape 1 - à remplir'!$E$31:$E$400,MASQ2!O443,'Étape 1 - à remplir'!$O$31:$O$400,X$3)),IF(X$2="Espèce",IF(X$3="Toutes",SUMIFS('Étape 1 - à remplir'!$F$31:$F$400,'Étape 1 - à remplir'!$E$31:$E$400,MASQ2!O443,'Étape 1 - à remplir'!$G$31:$G$400,"animaux"),SUMIFS('Étape 1 - à remplir'!$F$31:$F$400,'Étape 1 - à remplir'!$E$31:$E$400,MASQ2!O443,'Étape 1 - à remplir'!$N$31:$N$400,X$3)))))))</f>
        <v>#N/A</v>
      </c>
      <c r="Q443" s="63">
        <f t="shared" si="285"/>
        <v>0</v>
      </c>
      <c r="R443" t="str">
        <f>Données_ATB!BM442</f>
        <v>Colistine</v>
      </c>
      <c r="S443" t="str">
        <f>Données_ATB!BN442</f>
        <v/>
      </c>
      <c r="T443" s="63" t="str">
        <f>Données_ATB!BO442</f>
        <v/>
      </c>
      <c r="U443" s="42" t="str">
        <f>Données_ATB!BQ442</f>
        <v>Polypeptides</v>
      </c>
      <c r="V443" t="str">
        <f>Données_ATB!BR442</f>
        <v/>
      </c>
      <c r="W443" s="63" t="str">
        <f>Données_ATB!BS442</f>
        <v/>
      </c>
      <c r="Z443" s="42">
        <v>440</v>
      </c>
      <c r="AA443" t="e">
        <f t="shared" si="281"/>
        <v>#N/A</v>
      </c>
      <c r="AB443" s="63" t="e">
        <f t="shared" si="282"/>
        <v>#N/A</v>
      </c>
      <c r="BF443" s="63"/>
      <c r="BT443" s="194" t="str">
        <f t="shared" ca="1" si="265"/>
        <v>x</v>
      </c>
      <c r="BU443" s="219" t="str">
        <f>IFERROR(IF(BX443=0,"",COUNTIF(BX$4:BX$600,"&gt;"&amp;BX443)+COUNTIF(BX$4:BX443,BX443)),"")</f>
        <v/>
      </c>
      <c r="BV443" s="42" t="str">
        <f t="shared" si="266"/>
        <v>SOGECOLI 2 MILLIONS UI/ML SOLUTION BUVABLE</v>
      </c>
      <c r="BW443" t="e">
        <f>IF(IF(CE$2="Catégorie",IF(CE$3="Toutes",SUMIFS('Étape 1 - à remplir'!$F$31:$F$400,'Étape 1 - à remplir'!$E$31:$E$400,MASQ2!BV443,'Étape 1 - à remplir'!$G$31:$G$400,"lots"),SUMIFS('Étape 1 - à remplir'!$F$31:$F$400,'Étape 1 - à remplir'!$E$31:$E$400,MASQ2!BV443,'Étape 1 - à remplir'!$C$31:$C$400,CE$3)),IF(CE$2="Âge",IF(CE$3="Tous",SUMIFS('Étape 1 - à remplir'!$F$31:$F$400,'Étape 1 - à remplir'!$E$31:$E$400,MASQ2!BV443,'Étape 1 - à remplir'!$G$31:$G$400,"lots"),SUMIFS('Étape 1 - à remplir'!$F$31:$F$400,'Étape 1 - à remplir'!$E$31:$E$400,MASQ2!BV443,'Étape 1 - à remplir'!$P$31:$P$400,CE$3,'Étape 1 - à remplir'!$G$31:$G$400,"lots")),IF(CE$2="Atelier",IF(CE$3="Tous",SUMIFS('Étape 1 - à remplir'!$F$31:$F$400,'Étape 1 - à remplir'!$E$31:$E$400,MASQ2!BV443,'Étape 1 - à remplir'!$G$31:$G$400,"lots"),SUMIFS('Étape 1 - à remplir'!$F$31:$F$400,'Étape 1 - à remplir'!$E$31:$E$400,MASQ2!BV443,'Étape 1 - à remplir'!$O$31:$O$400,CE$3,'Étape 1 - à remplir'!$G$31:$G$400,"lots")),IF(CE$2="Espèce",IF(CE$3="Toutes",SUMIFS('Étape 1 - à remplir'!$F$31:$F$400,'Étape 1 - à remplir'!$E$31:$E$400,MASQ2!BV443,'Étape 1 - à remplir'!$G$31:$G$400,"lots"),SUMIFS('Étape 1 - à remplir'!$F$31:$F$400,'Étape 1 - à remplir'!$E$31:$E$400,MASQ2!BV443,'Étape 1 - à remplir'!$N$31:$N$400,CE$3,'Étape 1 - à remplir'!$G$31:$G$400,"lots"))))))=0,NA(),IF(CE$2="Catégorie",IF(CE$3="Toutes",SUMIFS('Étape 1 - à remplir'!$F$31:$F$400,'Étape 1 - à remplir'!$E$31:$E$400,MASQ2!BV443,'Étape 1 - à remplir'!$G$31:$G$400,"lots"),SUMIFS('Étape 1 - à remplir'!$F$31:$F$400,'Étape 1 - à remplir'!$E$31:$E$400,MASQ2!BV443,'Étape 1 - à remplir'!$C$31:$C$400,CE$3)),IF(CE$2="Âge",IF(CE$3="Tous",SUMIFS('Étape 1 - à remplir'!$F$31:$F$400,'Étape 1 - à remplir'!$E$31:$E$400,MASQ2!BV443,'Étape 1 - à remplir'!$G$31:$G$400,"lots"),SUMIFS('Étape 1 - à remplir'!$F$31:$F$400,'Étape 1 - à remplir'!$E$31:$E$400,MASQ2!BV443,'Étape 1 - à remplir'!$P$31:$P$400,CE$3,'Étape 1 - à remplir'!$G$31:$G$400,"lots")),IF(CE$2="Atelier",IF(CE$3="Tous",SUMIFS('Étape 1 - à remplir'!$F$31:$F$400,'Étape 1 - à remplir'!$E$31:$E$400,MASQ2!BV443,'Étape 1 - à remplir'!$G$31:$G$400,"lots"),SUMIFS('Étape 1 - à remplir'!$F$31:$F$400,'Étape 1 - à remplir'!$E$31:$E$400,MASQ2!BV443,'Étape 1 - à remplir'!$O$31:$O$400,CE$3,'Étape 1 - à remplir'!$G$31:$G$400,"lots")),IF(CE$2="Espèce",IF(CE$3="Toutes",SUMIFS('Étape 1 - à remplir'!$F$31:$F$400,'Étape 1 - à remplir'!$E$31:$E$400,MASQ2!BV443,'Étape 1 - à remplir'!$G$31:$G$400,"lots"),SUMIFS('Étape 1 - à remplir'!$F$31:$F$400,'Étape 1 - à remplir'!$E$31:$E$400,MASQ2!BV443,'Étape 1 - à remplir'!$N$31:$N$400,CE$3,'Étape 1 - à remplir'!$G$31:$G$400,"lots")))))))</f>
        <v>#N/A</v>
      </c>
      <c r="BX443">
        <f t="shared" si="283"/>
        <v>0</v>
      </c>
      <c r="BY443" t="str">
        <f t="shared" si="267"/>
        <v>Colistine</v>
      </c>
      <c r="BZ443" t="str">
        <f t="shared" si="268"/>
        <v/>
      </c>
      <c r="CA443" t="str">
        <f t="shared" si="269"/>
        <v/>
      </c>
      <c r="CB443" t="str">
        <f t="shared" si="270"/>
        <v>Polypeptides</v>
      </c>
      <c r="CC443" t="str">
        <f t="shared" si="271"/>
        <v/>
      </c>
      <c r="CD443" s="63" t="str">
        <f t="shared" si="272"/>
        <v/>
      </c>
      <c r="CG443" s="42">
        <v>440</v>
      </c>
      <c r="CH443" s="42" t="e">
        <f t="shared" si="288"/>
        <v>#N/A</v>
      </c>
      <c r="CI443" s="63" t="e">
        <f t="shared" si="289"/>
        <v>#N/A</v>
      </c>
      <c r="DM443" s="63"/>
      <c r="EA443" s="194" t="str">
        <f t="shared" ca="1" si="273"/>
        <v>x</v>
      </c>
      <c r="EB443" s="226" t="str">
        <f>IFERROR(IF(ED443=0,"",COUNTIF(ED$4:ED$600,"&gt;"&amp;ED443)+COUNTIF(ED$4:ED443,ED443)),"")</f>
        <v/>
      </c>
      <c r="EC443" t="str">
        <f t="shared" si="274"/>
        <v>SOGECOLI 2 MILLIONS UI/ML SOLUTION BUVABLE</v>
      </c>
      <c r="ED443" t="e">
        <f>IF(IF(EL$2="Catégorie",IF(EL$3="Toutes",SUMIFS('Étape 1 - à remplir'!$F$31:$F$400,'Étape 1 - à remplir'!$E$31:$E$400,MASQ2!EC443,'Étape 1 - à remplir'!$G$31:$G$400,"kg"),SUMIFS('Étape 1 - à remplir'!$F$31:$F$400,'Étape 1 - à remplir'!$E$31:$E$400,MASQ2!EC443,'Étape 1 - à remplir'!$C$31:$C$400,EL$3)),IF(EL$2="Âge",IF(EL$3="Tous",SUMIFS('Étape 1 - à remplir'!$F$31:$F$400,'Étape 1 - à remplir'!$E$31:$E$400,MASQ2!EC443,'Étape 1 - à remplir'!$G$31:$G$400,"kg"),SUMIFS('Étape 1 - à remplir'!$F$31:$F$400,'Étape 1 - à remplir'!$E$31:$E$400,MASQ2!EC443,'Étape 1 - à remplir'!$P$31:$P$400,EL$3,'Étape 1 - à remplir'!$G$31:$G$400,"kg")),IF(EL$2="Atelier",IF(EL$3="Tous",SUMIFS('Étape 1 - à remplir'!$F$31:$F$400,'Étape 1 - à remplir'!$E$31:$E$400,MASQ2!EC443,'Étape 1 - à remplir'!$G$31:$G$400,"kg"),SUMIFS('Étape 1 - à remplir'!$F$31:$F$400,'Étape 1 - à remplir'!$E$31:$E$400,MASQ2!EC443,'Étape 1 - à remplir'!$O$31:$O$400,EL$3,'Étape 1 - à remplir'!$G$31:$G$400,"kg")),IF(EL$2="Espèce",IF(EL$3="Toutes",SUMIFS('Étape 1 - à remplir'!$F$31:$F$400,'Étape 1 - à remplir'!$E$31:$E$400,MASQ2!EC443,'Étape 1 - à remplir'!$G$31:$G$400,"kg"),SUMIFS('Étape 1 - à remplir'!$F$31:$F$400,'Étape 1 - à remplir'!$E$31:$E$400,MASQ2!EC443,'Étape 1 - à remplir'!$N$31:$N$400,EL$3,'Étape 1 - à remplir'!$G$31:$G$400,"kg"))))))=0,NA(),IF(EL$2="Catégorie",IF(EL$3="Toutes",SUMIFS('Étape 1 - à remplir'!$F$31:$F$400,'Étape 1 - à remplir'!$E$31:$E$400,MASQ2!EC443,'Étape 1 - à remplir'!$G$31:$G$400,"kg"),SUMIFS('Étape 1 - à remplir'!$F$31:$F$400,'Étape 1 - à remplir'!$E$31:$E$400,MASQ2!EC443,'Étape 1 - à remplir'!$C$31:$C$400,EL$3)),IF(EL$2="Âge",IF(EL$3="Tous",SUMIFS('Étape 1 - à remplir'!$F$31:$F$400,'Étape 1 - à remplir'!$E$31:$E$400,MASQ2!EC443,'Étape 1 - à remplir'!$G$31:$G$400,"kg"),SUMIFS('Étape 1 - à remplir'!$F$31:$F$400,'Étape 1 - à remplir'!$E$31:$E$400,MASQ2!EC443,'Étape 1 - à remplir'!$P$31:$P$400,EL$3,'Étape 1 - à remplir'!$G$31:$G$400,"kg")),IF(EL$2="Atelier",IF(EL$3="Tous",SUMIFS('Étape 1 - à remplir'!$F$31:$F$400,'Étape 1 - à remplir'!$E$31:$E$400,MASQ2!EC443,'Étape 1 - à remplir'!$G$31:$G$400,"kg"),SUMIFS('Étape 1 - à remplir'!$F$31:$F$400,'Étape 1 - à remplir'!$E$31:$E$400,MASQ2!EC443,'Étape 1 - à remplir'!$O$31:$O$400,EL$3,'Étape 1 - à remplir'!$G$31:$G$400,"kg")),IF(EL$2="Espèce",IF(EL$3="Toutes",SUMIFS('Étape 1 - à remplir'!$F$31:$F$400,'Étape 1 - à remplir'!$E$31:$E$400,MASQ2!EC443,'Étape 1 - à remplir'!$G$31:$G$400,"kg"),SUMIFS('Étape 1 - à remplir'!$F$31:$F$400,'Étape 1 - à remplir'!$E$31:$E$400,MASQ2!EC443,'Étape 1 - à remplir'!$N$31:$N$400,EL$3,'Étape 1 - à remplir'!$G$31:$G$400,"kg")))))))</f>
        <v>#N/A</v>
      </c>
      <c r="EE443" s="76">
        <f t="shared" si="284"/>
        <v>0</v>
      </c>
      <c r="EF443" t="str">
        <f t="shared" si="275"/>
        <v>Colistine</v>
      </c>
      <c r="EG443" t="str">
        <f t="shared" si="276"/>
        <v/>
      </c>
      <c r="EH443" t="str">
        <f t="shared" si="277"/>
        <v/>
      </c>
      <c r="EI443" t="str">
        <f t="shared" si="278"/>
        <v>Polypeptides</v>
      </c>
      <c r="EJ443" t="str">
        <f t="shared" si="279"/>
        <v/>
      </c>
      <c r="EK443" s="63" t="str">
        <f t="shared" si="280"/>
        <v/>
      </c>
      <c r="EN443" s="42">
        <v>440</v>
      </c>
      <c r="EO443" t="e">
        <f t="shared" si="286"/>
        <v>#N/A</v>
      </c>
      <c r="EP443" s="63" t="e">
        <f t="shared" si="287"/>
        <v>#N/A</v>
      </c>
      <c r="FT443" s="63"/>
    </row>
    <row r="444" spans="2:176" x14ac:dyDescent="0.3">
      <c r="B444" s="42"/>
      <c r="M444" s="194" t="str">
        <f ca="1">INDEX(Données_ATB!BD:BU,MATCH(MASQ2!O444,Données_ATB!BD:BD,0),18)</f>
        <v/>
      </c>
      <c r="N444" s="14" t="str">
        <f>IFERROR(IF(Q444=0,"",COUNTIF(Q$4:Q$600,"&gt;"&amp;Q444)+COUNTIF(Q$4:Q444,Q444)),"")</f>
        <v/>
      </c>
      <c r="O444" t="str">
        <f>Données_ATB!BD443</f>
        <v>SOGESTART</v>
      </c>
      <c r="P444" t="e">
        <f>IF(IF(X$2="Catégorie",IF(X$3="Toutes",SUMIFS('Étape 1 - à remplir'!$F$31:$F$400,'Étape 1 - à remplir'!$E$31:$E$400,MASQ2!O444,'Étape 1 - à remplir'!$G$31:$G$400,"animaux"),SUMIFS('Étape 1 - à remplir'!$F$31:$F$400,'Étape 1 - à remplir'!$E$31:$E$400,MASQ2!O444,'Étape 1 - à remplir'!$C$31:$C$400,X$3)),IF(X$2="Âge",IF(X$3="Tous",SUMIFS('Étape 1 - à remplir'!$F$31:$F$400,'Étape 1 - à remplir'!$E$31:$E$400,MASQ2!O444,'Étape 1 - à remplir'!$G$31:$G$400,"animaux"),SUMIFS('Étape 1 - à remplir'!$F$31:$F$400,'Étape 1 - à remplir'!$E$31:$E$400,MASQ2!O444,'Étape 1 - à remplir'!$P$31:$P$400,X$3)),IF(X$2="Atelier",IF(X$3="Tous",SUMIFS('Étape 1 - à remplir'!$F$31:$F$400,'Étape 1 - à remplir'!$E$31:$E$400,MASQ2!O444,'Étape 1 - à remplir'!$G$31:$G$400,"animaux"),SUMIFS('Étape 1 - à remplir'!$F$31:$F$400,'Étape 1 - à remplir'!$E$31:$E$400,MASQ2!O444,'Étape 1 - à remplir'!$O$31:$O$400,X$3)),IF(X$2="Espèce",IF(X$3="Toutes",SUMIFS('Étape 1 - à remplir'!$F$31:$F$400,'Étape 1 - à remplir'!$E$31:$E$400,MASQ2!O444,'Étape 1 - à remplir'!$G$31:$G$400,"animaux"),SUMIFS('Étape 1 - à remplir'!$F$31:$F$400,'Étape 1 - à remplir'!$E$31:$E$400,MASQ2!O444,'Étape 1 - à remplir'!$N$31:$N$400,X$3))))))=0,NA(),IF(X$2="Catégorie",IF(X$3="Toutes",SUMIFS('Étape 1 - à remplir'!$F$31:$F$400,'Étape 1 - à remplir'!$E$31:$E$400,MASQ2!O444,'Étape 1 - à remplir'!$G$31:$G$400,"animaux"),SUMIFS('Étape 1 - à remplir'!$F$31:$F$400,'Étape 1 - à remplir'!$E$31:$E$400,MASQ2!O444,'Étape 1 - à remplir'!$C$31:$C$400,X$3)),IF(X$2="Âge",IF(X$3="Tous",SUMIFS('Étape 1 - à remplir'!$F$31:$F$400,'Étape 1 - à remplir'!$E$31:$E$400,MASQ2!O444,'Étape 1 - à remplir'!$G$31:$G$400,"animaux"),SUMIFS('Étape 1 - à remplir'!$F$31:$F$400,'Étape 1 - à remplir'!$E$31:$E$400,MASQ2!O444,'Étape 1 - à remplir'!$P$31:$P$400,X$3)),IF(X$2="Atelier",IF(X$3="Tous",SUMIFS('Étape 1 - à remplir'!$F$31:$F$400,'Étape 1 - à remplir'!$E$31:$E$400,MASQ2!O444,'Étape 1 - à remplir'!$G$31:$G$400,"animaux"),SUMIFS('Étape 1 - à remplir'!$F$31:$F$400,'Étape 1 - à remplir'!$E$31:$E$400,MASQ2!O444,'Étape 1 - à remplir'!$O$31:$O$400,X$3)),IF(X$2="Espèce",IF(X$3="Toutes",SUMIFS('Étape 1 - à remplir'!$F$31:$F$400,'Étape 1 - à remplir'!$E$31:$E$400,MASQ2!O444,'Étape 1 - à remplir'!$G$31:$G$400,"animaux"),SUMIFS('Étape 1 - à remplir'!$F$31:$F$400,'Étape 1 - à remplir'!$E$31:$E$400,MASQ2!O444,'Étape 1 - à remplir'!$N$31:$N$400,X$3)))))))</f>
        <v>#N/A</v>
      </c>
      <c r="Q444" s="63">
        <f t="shared" si="285"/>
        <v>0</v>
      </c>
      <c r="R444" t="str">
        <f>Données_ATB!BM443</f>
        <v>Tétracycline</v>
      </c>
      <c r="S444" t="str">
        <f>Données_ATB!BN443</f>
        <v>Sulfadimidine</v>
      </c>
      <c r="T444" s="63" t="str">
        <f>Données_ATB!BO443</f>
        <v/>
      </c>
      <c r="U444" s="42" t="str">
        <f>Données_ATB!BQ443</f>
        <v>Tetracyclines</v>
      </c>
      <c r="V444" t="str">
        <f>Données_ATB!BR443</f>
        <v>Sulfamides</v>
      </c>
      <c r="W444" s="63" t="str">
        <f>Données_ATB!BS443</f>
        <v/>
      </c>
      <c r="Z444" s="42">
        <v>441</v>
      </c>
      <c r="AA444" t="e">
        <f t="shared" si="281"/>
        <v>#N/A</v>
      </c>
      <c r="AB444" s="63" t="e">
        <f t="shared" si="282"/>
        <v>#N/A</v>
      </c>
      <c r="BF444" s="63"/>
      <c r="BT444" s="194" t="str">
        <f t="shared" ca="1" si="265"/>
        <v/>
      </c>
      <c r="BU444" s="219" t="str">
        <f>IFERROR(IF(BX444=0,"",COUNTIF(BX$4:BX$600,"&gt;"&amp;BX444)+COUNTIF(BX$4:BX444,BX444)),"")</f>
        <v/>
      </c>
      <c r="BV444" s="42" t="str">
        <f t="shared" si="266"/>
        <v>SOGESTART</v>
      </c>
      <c r="BW444" t="e">
        <f>IF(IF(CE$2="Catégorie",IF(CE$3="Toutes",SUMIFS('Étape 1 - à remplir'!$F$31:$F$400,'Étape 1 - à remplir'!$E$31:$E$400,MASQ2!BV444,'Étape 1 - à remplir'!$G$31:$G$400,"lots"),SUMIFS('Étape 1 - à remplir'!$F$31:$F$400,'Étape 1 - à remplir'!$E$31:$E$400,MASQ2!BV444,'Étape 1 - à remplir'!$C$31:$C$400,CE$3)),IF(CE$2="Âge",IF(CE$3="Tous",SUMIFS('Étape 1 - à remplir'!$F$31:$F$400,'Étape 1 - à remplir'!$E$31:$E$400,MASQ2!BV444,'Étape 1 - à remplir'!$G$31:$G$400,"lots"),SUMIFS('Étape 1 - à remplir'!$F$31:$F$400,'Étape 1 - à remplir'!$E$31:$E$400,MASQ2!BV444,'Étape 1 - à remplir'!$P$31:$P$400,CE$3,'Étape 1 - à remplir'!$G$31:$G$400,"lots")),IF(CE$2="Atelier",IF(CE$3="Tous",SUMIFS('Étape 1 - à remplir'!$F$31:$F$400,'Étape 1 - à remplir'!$E$31:$E$400,MASQ2!BV444,'Étape 1 - à remplir'!$G$31:$G$400,"lots"),SUMIFS('Étape 1 - à remplir'!$F$31:$F$400,'Étape 1 - à remplir'!$E$31:$E$400,MASQ2!BV444,'Étape 1 - à remplir'!$O$31:$O$400,CE$3,'Étape 1 - à remplir'!$G$31:$G$400,"lots")),IF(CE$2="Espèce",IF(CE$3="Toutes",SUMIFS('Étape 1 - à remplir'!$F$31:$F$400,'Étape 1 - à remplir'!$E$31:$E$400,MASQ2!BV444,'Étape 1 - à remplir'!$G$31:$G$400,"lots"),SUMIFS('Étape 1 - à remplir'!$F$31:$F$400,'Étape 1 - à remplir'!$E$31:$E$400,MASQ2!BV444,'Étape 1 - à remplir'!$N$31:$N$400,CE$3,'Étape 1 - à remplir'!$G$31:$G$400,"lots"))))))=0,NA(),IF(CE$2="Catégorie",IF(CE$3="Toutes",SUMIFS('Étape 1 - à remplir'!$F$31:$F$400,'Étape 1 - à remplir'!$E$31:$E$400,MASQ2!BV444,'Étape 1 - à remplir'!$G$31:$G$400,"lots"),SUMIFS('Étape 1 - à remplir'!$F$31:$F$400,'Étape 1 - à remplir'!$E$31:$E$400,MASQ2!BV444,'Étape 1 - à remplir'!$C$31:$C$400,CE$3)),IF(CE$2="Âge",IF(CE$3="Tous",SUMIFS('Étape 1 - à remplir'!$F$31:$F$400,'Étape 1 - à remplir'!$E$31:$E$400,MASQ2!BV444,'Étape 1 - à remplir'!$G$31:$G$400,"lots"),SUMIFS('Étape 1 - à remplir'!$F$31:$F$400,'Étape 1 - à remplir'!$E$31:$E$400,MASQ2!BV444,'Étape 1 - à remplir'!$P$31:$P$400,CE$3,'Étape 1 - à remplir'!$G$31:$G$400,"lots")),IF(CE$2="Atelier",IF(CE$3="Tous",SUMIFS('Étape 1 - à remplir'!$F$31:$F$400,'Étape 1 - à remplir'!$E$31:$E$400,MASQ2!BV444,'Étape 1 - à remplir'!$G$31:$G$400,"lots"),SUMIFS('Étape 1 - à remplir'!$F$31:$F$400,'Étape 1 - à remplir'!$E$31:$E$400,MASQ2!BV444,'Étape 1 - à remplir'!$O$31:$O$400,CE$3,'Étape 1 - à remplir'!$G$31:$G$400,"lots")),IF(CE$2="Espèce",IF(CE$3="Toutes",SUMIFS('Étape 1 - à remplir'!$F$31:$F$400,'Étape 1 - à remplir'!$E$31:$E$400,MASQ2!BV444,'Étape 1 - à remplir'!$G$31:$G$400,"lots"),SUMIFS('Étape 1 - à remplir'!$F$31:$F$400,'Étape 1 - à remplir'!$E$31:$E$400,MASQ2!BV444,'Étape 1 - à remplir'!$N$31:$N$400,CE$3,'Étape 1 - à remplir'!$G$31:$G$400,"lots")))))))</f>
        <v>#N/A</v>
      </c>
      <c r="BX444">
        <f t="shared" si="283"/>
        <v>0</v>
      </c>
      <c r="BY444" t="str">
        <f t="shared" si="267"/>
        <v>Tétracycline</v>
      </c>
      <c r="BZ444" t="str">
        <f t="shared" si="268"/>
        <v>Sulfadimidine</v>
      </c>
      <c r="CA444" t="str">
        <f t="shared" si="269"/>
        <v/>
      </c>
      <c r="CB444" t="str">
        <f t="shared" si="270"/>
        <v>Tetracyclines</v>
      </c>
      <c r="CC444" t="str">
        <f t="shared" si="271"/>
        <v>Sulfamides</v>
      </c>
      <c r="CD444" s="63" t="str">
        <f t="shared" si="272"/>
        <v/>
      </c>
      <c r="CG444" s="42">
        <v>441</v>
      </c>
      <c r="CH444" s="42" t="e">
        <f t="shared" si="288"/>
        <v>#N/A</v>
      </c>
      <c r="CI444" s="63" t="e">
        <f t="shared" si="289"/>
        <v>#N/A</v>
      </c>
      <c r="DM444" s="63"/>
      <c r="EA444" s="194" t="str">
        <f t="shared" ca="1" si="273"/>
        <v/>
      </c>
      <c r="EB444" s="226" t="str">
        <f>IFERROR(IF(ED444=0,"",COUNTIF(ED$4:ED$600,"&gt;"&amp;ED444)+COUNTIF(ED$4:ED444,ED444)),"")</f>
        <v/>
      </c>
      <c r="EC444" t="str">
        <f t="shared" si="274"/>
        <v>SOGESTART</v>
      </c>
      <c r="ED444" t="e">
        <f>IF(IF(EL$2="Catégorie",IF(EL$3="Toutes",SUMIFS('Étape 1 - à remplir'!$F$31:$F$400,'Étape 1 - à remplir'!$E$31:$E$400,MASQ2!EC444,'Étape 1 - à remplir'!$G$31:$G$400,"kg"),SUMIFS('Étape 1 - à remplir'!$F$31:$F$400,'Étape 1 - à remplir'!$E$31:$E$400,MASQ2!EC444,'Étape 1 - à remplir'!$C$31:$C$400,EL$3)),IF(EL$2="Âge",IF(EL$3="Tous",SUMIFS('Étape 1 - à remplir'!$F$31:$F$400,'Étape 1 - à remplir'!$E$31:$E$400,MASQ2!EC444,'Étape 1 - à remplir'!$G$31:$G$400,"kg"),SUMIFS('Étape 1 - à remplir'!$F$31:$F$400,'Étape 1 - à remplir'!$E$31:$E$400,MASQ2!EC444,'Étape 1 - à remplir'!$P$31:$P$400,EL$3,'Étape 1 - à remplir'!$G$31:$G$400,"kg")),IF(EL$2="Atelier",IF(EL$3="Tous",SUMIFS('Étape 1 - à remplir'!$F$31:$F$400,'Étape 1 - à remplir'!$E$31:$E$400,MASQ2!EC444,'Étape 1 - à remplir'!$G$31:$G$400,"kg"),SUMIFS('Étape 1 - à remplir'!$F$31:$F$400,'Étape 1 - à remplir'!$E$31:$E$400,MASQ2!EC444,'Étape 1 - à remplir'!$O$31:$O$400,EL$3,'Étape 1 - à remplir'!$G$31:$G$400,"kg")),IF(EL$2="Espèce",IF(EL$3="Toutes",SUMIFS('Étape 1 - à remplir'!$F$31:$F$400,'Étape 1 - à remplir'!$E$31:$E$400,MASQ2!EC444,'Étape 1 - à remplir'!$G$31:$G$400,"kg"),SUMIFS('Étape 1 - à remplir'!$F$31:$F$400,'Étape 1 - à remplir'!$E$31:$E$400,MASQ2!EC444,'Étape 1 - à remplir'!$N$31:$N$400,EL$3,'Étape 1 - à remplir'!$G$31:$G$400,"kg"))))))=0,NA(),IF(EL$2="Catégorie",IF(EL$3="Toutes",SUMIFS('Étape 1 - à remplir'!$F$31:$F$400,'Étape 1 - à remplir'!$E$31:$E$400,MASQ2!EC444,'Étape 1 - à remplir'!$G$31:$G$400,"kg"),SUMIFS('Étape 1 - à remplir'!$F$31:$F$400,'Étape 1 - à remplir'!$E$31:$E$400,MASQ2!EC444,'Étape 1 - à remplir'!$C$31:$C$400,EL$3)),IF(EL$2="Âge",IF(EL$3="Tous",SUMIFS('Étape 1 - à remplir'!$F$31:$F$400,'Étape 1 - à remplir'!$E$31:$E$400,MASQ2!EC444,'Étape 1 - à remplir'!$G$31:$G$400,"kg"),SUMIFS('Étape 1 - à remplir'!$F$31:$F$400,'Étape 1 - à remplir'!$E$31:$E$400,MASQ2!EC444,'Étape 1 - à remplir'!$P$31:$P$400,EL$3,'Étape 1 - à remplir'!$G$31:$G$400,"kg")),IF(EL$2="Atelier",IF(EL$3="Tous",SUMIFS('Étape 1 - à remplir'!$F$31:$F$400,'Étape 1 - à remplir'!$E$31:$E$400,MASQ2!EC444,'Étape 1 - à remplir'!$G$31:$G$400,"kg"),SUMIFS('Étape 1 - à remplir'!$F$31:$F$400,'Étape 1 - à remplir'!$E$31:$E$400,MASQ2!EC444,'Étape 1 - à remplir'!$O$31:$O$400,EL$3,'Étape 1 - à remplir'!$G$31:$G$400,"kg")),IF(EL$2="Espèce",IF(EL$3="Toutes",SUMIFS('Étape 1 - à remplir'!$F$31:$F$400,'Étape 1 - à remplir'!$E$31:$E$400,MASQ2!EC444,'Étape 1 - à remplir'!$G$31:$G$400,"kg"),SUMIFS('Étape 1 - à remplir'!$F$31:$F$400,'Étape 1 - à remplir'!$E$31:$E$400,MASQ2!EC444,'Étape 1 - à remplir'!$N$31:$N$400,EL$3,'Étape 1 - à remplir'!$G$31:$G$400,"kg")))))))</f>
        <v>#N/A</v>
      </c>
      <c r="EE444" s="76">
        <f t="shared" si="284"/>
        <v>0</v>
      </c>
      <c r="EF444" t="str">
        <f t="shared" si="275"/>
        <v>Tétracycline</v>
      </c>
      <c r="EG444" t="str">
        <f t="shared" si="276"/>
        <v>Sulfadimidine</v>
      </c>
      <c r="EH444" t="str">
        <f t="shared" si="277"/>
        <v/>
      </c>
      <c r="EI444" t="str">
        <f t="shared" si="278"/>
        <v>Tetracyclines</v>
      </c>
      <c r="EJ444" t="str">
        <f t="shared" si="279"/>
        <v>Sulfamides</v>
      </c>
      <c r="EK444" s="63" t="str">
        <f t="shared" si="280"/>
        <v/>
      </c>
      <c r="EN444" s="42">
        <v>441</v>
      </c>
      <c r="EO444" t="e">
        <f t="shared" si="286"/>
        <v>#N/A</v>
      </c>
      <c r="EP444" s="63" t="e">
        <f t="shared" si="287"/>
        <v>#N/A</v>
      </c>
      <c r="FT444" s="63"/>
    </row>
    <row r="445" spans="2:176" x14ac:dyDescent="0.3">
      <c r="B445" s="42"/>
      <c r="M445" s="194" t="str">
        <f ca="1">INDEX(Données_ATB!BD:BU,MATCH(MASQ2!O445,Données_ATB!BD:BD,0),18)</f>
        <v/>
      </c>
      <c r="N445" s="14" t="str">
        <f>IFERROR(IF(Q445=0,"",COUNTIF(Q$4:Q$600,"&gt;"&amp;Q445)+COUNTIF(Q$4:Q445,Q445)),"")</f>
        <v/>
      </c>
      <c r="O445" t="str">
        <f>Données_ATB!BD444</f>
        <v>SOGETYL 100 MUI POUDRE POUR SOLUTION BUVABLE POUR VEAUX PORCINS ET VOLAILLES</v>
      </c>
      <c r="P445" t="e">
        <f>IF(IF(X$2="Catégorie",IF(X$3="Toutes",SUMIFS('Étape 1 - à remplir'!$F$31:$F$400,'Étape 1 - à remplir'!$E$31:$E$400,MASQ2!O445,'Étape 1 - à remplir'!$G$31:$G$400,"animaux"),SUMIFS('Étape 1 - à remplir'!$F$31:$F$400,'Étape 1 - à remplir'!$E$31:$E$400,MASQ2!O445,'Étape 1 - à remplir'!$C$31:$C$400,X$3)),IF(X$2="Âge",IF(X$3="Tous",SUMIFS('Étape 1 - à remplir'!$F$31:$F$400,'Étape 1 - à remplir'!$E$31:$E$400,MASQ2!O445,'Étape 1 - à remplir'!$G$31:$G$400,"animaux"),SUMIFS('Étape 1 - à remplir'!$F$31:$F$400,'Étape 1 - à remplir'!$E$31:$E$400,MASQ2!O445,'Étape 1 - à remplir'!$P$31:$P$400,X$3)),IF(X$2="Atelier",IF(X$3="Tous",SUMIFS('Étape 1 - à remplir'!$F$31:$F$400,'Étape 1 - à remplir'!$E$31:$E$400,MASQ2!O445,'Étape 1 - à remplir'!$G$31:$G$400,"animaux"),SUMIFS('Étape 1 - à remplir'!$F$31:$F$400,'Étape 1 - à remplir'!$E$31:$E$400,MASQ2!O445,'Étape 1 - à remplir'!$O$31:$O$400,X$3)),IF(X$2="Espèce",IF(X$3="Toutes",SUMIFS('Étape 1 - à remplir'!$F$31:$F$400,'Étape 1 - à remplir'!$E$31:$E$400,MASQ2!O445,'Étape 1 - à remplir'!$G$31:$G$400,"animaux"),SUMIFS('Étape 1 - à remplir'!$F$31:$F$400,'Étape 1 - à remplir'!$E$31:$E$400,MASQ2!O445,'Étape 1 - à remplir'!$N$31:$N$400,X$3))))))=0,NA(),IF(X$2="Catégorie",IF(X$3="Toutes",SUMIFS('Étape 1 - à remplir'!$F$31:$F$400,'Étape 1 - à remplir'!$E$31:$E$400,MASQ2!O445,'Étape 1 - à remplir'!$G$31:$G$400,"animaux"),SUMIFS('Étape 1 - à remplir'!$F$31:$F$400,'Étape 1 - à remplir'!$E$31:$E$400,MASQ2!O445,'Étape 1 - à remplir'!$C$31:$C$400,X$3)),IF(X$2="Âge",IF(X$3="Tous",SUMIFS('Étape 1 - à remplir'!$F$31:$F$400,'Étape 1 - à remplir'!$E$31:$E$400,MASQ2!O445,'Étape 1 - à remplir'!$G$31:$G$400,"animaux"),SUMIFS('Étape 1 - à remplir'!$F$31:$F$400,'Étape 1 - à remplir'!$E$31:$E$400,MASQ2!O445,'Étape 1 - à remplir'!$P$31:$P$400,X$3)),IF(X$2="Atelier",IF(X$3="Tous",SUMIFS('Étape 1 - à remplir'!$F$31:$F$400,'Étape 1 - à remplir'!$E$31:$E$400,MASQ2!O445,'Étape 1 - à remplir'!$G$31:$G$400,"animaux"),SUMIFS('Étape 1 - à remplir'!$F$31:$F$400,'Étape 1 - à remplir'!$E$31:$E$400,MASQ2!O445,'Étape 1 - à remplir'!$O$31:$O$400,X$3)),IF(X$2="Espèce",IF(X$3="Toutes",SUMIFS('Étape 1 - à remplir'!$F$31:$F$400,'Étape 1 - à remplir'!$E$31:$E$400,MASQ2!O445,'Étape 1 - à remplir'!$G$31:$G$400,"animaux"),SUMIFS('Étape 1 - à remplir'!$F$31:$F$400,'Étape 1 - à remplir'!$E$31:$E$400,MASQ2!O445,'Étape 1 - à remplir'!$N$31:$N$400,X$3)))))))</f>
        <v>#N/A</v>
      </c>
      <c r="Q445" s="63">
        <f t="shared" si="285"/>
        <v>0</v>
      </c>
      <c r="R445" t="str">
        <f>Données_ATB!BM444</f>
        <v>Tylosine</v>
      </c>
      <c r="S445" t="str">
        <f>Données_ATB!BN444</f>
        <v/>
      </c>
      <c r="T445" s="63" t="str">
        <f>Données_ATB!BO444</f>
        <v/>
      </c>
      <c r="U445" s="42" t="str">
        <f>Données_ATB!BQ444</f>
        <v>Macrolides</v>
      </c>
      <c r="V445" t="str">
        <f>Données_ATB!BR444</f>
        <v/>
      </c>
      <c r="W445" s="63" t="str">
        <f>Données_ATB!BS444</f>
        <v/>
      </c>
      <c r="Z445" s="42">
        <v>442</v>
      </c>
      <c r="AA445" t="e">
        <f t="shared" si="281"/>
        <v>#N/A</v>
      </c>
      <c r="AB445" s="63" t="e">
        <f t="shared" si="282"/>
        <v>#N/A</v>
      </c>
      <c r="BF445" s="63"/>
      <c r="BT445" s="194" t="str">
        <f t="shared" ca="1" si="265"/>
        <v/>
      </c>
      <c r="BU445" s="219" t="str">
        <f>IFERROR(IF(BX445=0,"",COUNTIF(BX$4:BX$600,"&gt;"&amp;BX445)+COUNTIF(BX$4:BX445,BX445)),"")</f>
        <v/>
      </c>
      <c r="BV445" s="42" t="str">
        <f t="shared" si="266"/>
        <v>SOGETYL 100 MUI POUDRE POUR SOLUTION BUVABLE POUR VEAUX PORCINS ET VOLAILLES</v>
      </c>
      <c r="BW445" t="e">
        <f>IF(IF(CE$2="Catégorie",IF(CE$3="Toutes",SUMIFS('Étape 1 - à remplir'!$F$31:$F$400,'Étape 1 - à remplir'!$E$31:$E$400,MASQ2!BV445,'Étape 1 - à remplir'!$G$31:$G$400,"lots"),SUMIFS('Étape 1 - à remplir'!$F$31:$F$400,'Étape 1 - à remplir'!$E$31:$E$400,MASQ2!BV445,'Étape 1 - à remplir'!$C$31:$C$400,CE$3)),IF(CE$2="Âge",IF(CE$3="Tous",SUMIFS('Étape 1 - à remplir'!$F$31:$F$400,'Étape 1 - à remplir'!$E$31:$E$400,MASQ2!BV445,'Étape 1 - à remplir'!$G$31:$G$400,"lots"),SUMIFS('Étape 1 - à remplir'!$F$31:$F$400,'Étape 1 - à remplir'!$E$31:$E$400,MASQ2!BV445,'Étape 1 - à remplir'!$P$31:$P$400,CE$3,'Étape 1 - à remplir'!$G$31:$G$400,"lots")),IF(CE$2="Atelier",IF(CE$3="Tous",SUMIFS('Étape 1 - à remplir'!$F$31:$F$400,'Étape 1 - à remplir'!$E$31:$E$400,MASQ2!BV445,'Étape 1 - à remplir'!$G$31:$G$400,"lots"),SUMIFS('Étape 1 - à remplir'!$F$31:$F$400,'Étape 1 - à remplir'!$E$31:$E$400,MASQ2!BV445,'Étape 1 - à remplir'!$O$31:$O$400,CE$3,'Étape 1 - à remplir'!$G$31:$G$400,"lots")),IF(CE$2="Espèce",IF(CE$3="Toutes",SUMIFS('Étape 1 - à remplir'!$F$31:$F$400,'Étape 1 - à remplir'!$E$31:$E$400,MASQ2!BV445,'Étape 1 - à remplir'!$G$31:$G$400,"lots"),SUMIFS('Étape 1 - à remplir'!$F$31:$F$400,'Étape 1 - à remplir'!$E$31:$E$400,MASQ2!BV445,'Étape 1 - à remplir'!$N$31:$N$400,CE$3,'Étape 1 - à remplir'!$G$31:$G$400,"lots"))))))=0,NA(),IF(CE$2="Catégorie",IF(CE$3="Toutes",SUMIFS('Étape 1 - à remplir'!$F$31:$F$400,'Étape 1 - à remplir'!$E$31:$E$400,MASQ2!BV445,'Étape 1 - à remplir'!$G$31:$G$400,"lots"),SUMIFS('Étape 1 - à remplir'!$F$31:$F$400,'Étape 1 - à remplir'!$E$31:$E$400,MASQ2!BV445,'Étape 1 - à remplir'!$C$31:$C$400,CE$3)),IF(CE$2="Âge",IF(CE$3="Tous",SUMIFS('Étape 1 - à remplir'!$F$31:$F$400,'Étape 1 - à remplir'!$E$31:$E$400,MASQ2!BV445,'Étape 1 - à remplir'!$G$31:$G$400,"lots"),SUMIFS('Étape 1 - à remplir'!$F$31:$F$400,'Étape 1 - à remplir'!$E$31:$E$400,MASQ2!BV445,'Étape 1 - à remplir'!$P$31:$P$400,CE$3,'Étape 1 - à remplir'!$G$31:$G$400,"lots")),IF(CE$2="Atelier",IF(CE$3="Tous",SUMIFS('Étape 1 - à remplir'!$F$31:$F$400,'Étape 1 - à remplir'!$E$31:$E$400,MASQ2!BV445,'Étape 1 - à remplir'!$G$31:$G$400,"lots"),SUMIFS('Étape 1 - à remplir'!$F$31:$F$400,'Étape 1 - à remplir'!$E$31:$E$400,MASQ2!BV445,'Étape 1 - à remplir'!$O$31:$O$400,CE$3,'Étape 1 - à remplir'!$G$31:$G$400,"lots")),IF(CE$2="Espèce",IF(CE$3="Toutes",SUMIFS('Étape 1 - à remplir'!$F$31:$F$400,'Étape 1 - à remplir'!$E$31:$E$400,MASQ2!BV445,'Étape 1 - à remplir'!$G$31:$G$400,"lots"),SUMIFS('Étape 1 - à remplir'!$F$31:$F$400,'Étape 1 - à remplir'!$E$31:$E$400,MASQ2!BV445,'Étape 1 - à remplir'!$N$31:$N$400,CE$3,'Étape 1 - à remplir'!$G$31:$G$400,"lots")))))))</f>
        <v>#N/A</v>
      </c>
      <c r="BX445">
        <f t="shared" si="283"/>
        <v>0</v>
      </c>
      <c r="BY445" t="str">
        <f t="shared" si="267"/>
        <v>Tylosine</v>
      </c>
      <c r="BZ445" t="str">
        <f t="shared" si="268"/>
        <v/>
      </c>
      <c r="CA445" t="str">
        <f t="shared" si="269"/>
        <v/>
      </c>
      <c r="CB445" t="str">
        <f t="shared" si="270"/>
        <v>Macrolides</v>
      </c>
      <c r="CC445" t="str">
        <f t="shared" si="271"/>
        <v/>
      </c>
      <c r="CD445" s="63" t="str">
        <f t="shared" si="272"/>
        <v/>
      </c>
      <c r="CG445" s="42">
        <v>442</v>
      </c>
      <c r="CH445" s="42" t="e">
        <f t="shared" si="288"/>
        <v>#N/A</v>
      </c>
      <c r="CI445" s="63" t="e">
        <f t="shared" si="289"/>
        <v>#N/A</v>
      </c>
      <c r="DM445" s="63"/>
      <c r="EA445" s="194" t="str">
        <f t="shared" ca="1" si="273"/>
        <v/>
      </c>
      <c r="EB445" s="226" t="str">
        <f>IFERROR(IF(ED445=0,"",COUNTIF(ED$4:ED$600,"&gt;"&amp;ED445)+COUNTIF(ED$4:ED445,ED445)),"")</f>
        <v/>
      </c>
      <c r="EC445" t="str">
        <f t="shared" si="274"/>
        <v>SOGETYL 100 MUI POUDRE POUR SOLUTION BUVABLE POUR VEAUX PORCINS ET VOLAILLES</v>
      </c>
      <c r="ED445" t="e">
        <f>IF(IF(EL$2="Catégorie",IF(EL$3="Toutes",SUMIFS('Étape 1 - à remplir'!$F$31:$F$400,'Étape 1 - à remplir'!$E$31:$E$400,MASQ2!EC445,'Étape 1 - à remplir'!$G$31:$G$400,"kg"),SUMIFS('Étape 1 - à remplir'!$F$31:$F$400,'Étape 1 - à remplir'!$E$31:$E$400,MASQ2!EC445,'Étape 1 - à remplir'!$C$31:$C$400,EL$3)),IF(EL$2="Âge",IF(EL$3="Tous",SUMIFS('Étape 1 - à remplir'!$F$31:$F$400,'Étape 1 - à remplir'!$E$31:$E$400,MASQ2!EC445,'Étape 1 - à remplir'!$G$31:$G$400,"kg"),SUMIFS('Étape 1 - à remplir'!$F$31:$F$400,'Étape 1 - à remplir'!$E$31:$E$400,MASQ2!EC445,'Étape 1 - à remplir'!$P$31:$P$400,EL$3,'Étape 1 - à remplir'!$G$31:$G$400,"kg")),IF(EL$2="Atelier",IF(EL$3="Tous",SUMIFS('Étape 1 - à remplir'!$F$31:$F$400,'Étape 1 - à remplir'!$E$31:$E$400,MASQ2!EC445,'Étape 1 - à remplir'!$G$31:$G$400,"kg"),SUMIFS('Étape 1 - à remplir'!$F$31:$F$400,'Étape 1 - à remplir'!$E$31:$E$400,MASQ2!EC445,'Étape 1 - à remplir'!$O$31:$O$400,EL$3,'Étape 1 - à remplir'!$G$31:$G$400,"kg")),IF(EL$2="Espèce",IF(EL$3="Toutes",SUMIFS('Étape 1 - à remplir'!$F$31:$F$400,'Étape 1 - à remplir'!$E$31:$E$400,MASQ2!EC445,'Étape 1 - à remplir'!$G$31:$G$400,"kg"),SUMIFS('Étape 1 - à remplir'!$F$31:$F$400,'Étape 1 - à remplir'!$E$31:$E$400,MASQ2!EC445,'Étape 1 - à remplir'!$N$31:$N$400,EL$3,'Étape 1 - à remplir'!$G$31:$G$400,"kg"))))))=0,NA(),IF(EL$2="Catégorie",IF(EL$3="Toutes",SUMIFS('Étape 1 - à remplir'!$F$31:$F$400,'Étape 1 - à remplir'!$E$31:$E$400,MASQ2!EC445,'Étape 1 - à remplir'!$G$31:$G$400,"kg"),SUMIFS('Étape 1 - à remplir'!$F$31:$F$400,'Étape 1 - à remplir'!$E$31:$E$400,MASQ2!EC445,'Étape 1 - à remplir'!$C$31:$C$400,EL$3)),IF(EL$2="Âge",IF(EL$3="Tous",SUMIFS('Étape 1 - à remplir'!$F$31:$F$400,'Étape 1 - à remplir'!$E$31:$E$400,MASQ2!EC445,'Étape 1 - à remplir'!$G$31:$G$400,"kg"),SUMIFS('Étape 1 - à remplir'!$F$31:$F$400,'Étape 1 - à remplir'!$E$31:$E$400,MASQ2!EC445,'Étape 1 - à remplir'!$P$31:$P$400,EL$3,'Étape 1 - à remplir'!$G$31:$G$400,"kg")),IF(EL$2="Atelier",IF(EL$3="Tous",SUMIFS('Étape 1 - à remplir'!$F$31:$F$400,'Étape 1 - à remplir'!$E$31:$E$400,MASQ2!EC445,'Étape 1 - à remplir'!$G$31:$G$400,"kg"),SUMIFS('Étape 1 - à remplir'!$F$31:$F$400,'Étape 1 - à remplir'!$E$31:$E$400,MASQ2!EC445,'Étape 1 - à remplir'!$O$31:$O$400,EL$3,'Étape 1 - à remplir'!$G$31:$G$400,"kg")),IF(EL$2="Espèce",IF(EL$3="Toutes",SUMIFS('Étape 1 - à remplir'!$F$31:$F$400,'Étape 1 - à remplir'!$E$31:$E$400,MASQ2!EC445,'Étape 1 - à remplir'!$G$31:$G$400,"kg"),SUMIFS('Étape 1 - à remplir'!$F$31:$F$400,'Étape 1 - à remplir'!$E$31:$E$400,MASQ2!EC445,'Étape 1 - à remplir'!$N$31:$N$400,EL$3,'Étape 1 - à remplir'!$G$31:$G$400,"kg")))))))</f>
        <v>#N/A</v>
      </c>
      <c r="EE445" s="76">
        <f t="shared" si="284"/>
        <v>0</v>
      </c>
      <c r="EF445" t="str">
        <f t="shared" si="275"/>
        <v>Tylosine</v>
      </c>
      <c r="EG445" t="str">
        <f t="shared" si="276"/>
        <v/>
      </c>
      <c r="EH445" t="str">
        <f t="shared" si="277"/>
        <v/>
      </c>
      <c r="EI445" t="str">
        <f t="shared" si="278"/>
        <v>Macrolides</v>
      </c>
      <c r="EJ445" t="str">
        <f t="shared" si="279"/>
        <v/>
      </c>
      <c r="EK445" s="63" t="str">
        <f t="shared" si="280"/>
        <v/>
      </c>
      <c r="EN445" s="42">
        <v>442</v>
      </c>
      <c r="EO445" t="e">
        <f t="shared" si="286"/>
        <v>#N/A</v>
      </c>
      <c r="EP445" s="63" t="e">
        <f t="shared" si="287"/>
        <v>#N/A</v>
      </c>
      <c r="FT445" s="63"/>
    </row>
    <row r="446" spans="2:176" x14ac:dyDescent="0.3">
      <c r="B446" s="42"/>
      <c r="M446" s="194" t="str">
        <f ca="1">INDEX(Données_ATB!BD:BU,MATCH(MASQ2!O446,Données_ATB!BD:BD,0),18)</f>
        <v/>
      </c>
      <c r="N446" s="14" t="str">
        <f>IFERROR(IF(Q446=0,"",COUNTIF(Q$4:Q$600,"&gt;"&amp;Q446)+COUNTIF(Q$4:Q446,Q446)),"")</f>
        <v/>
      </c>
      <c r="O446" t="str">
        <f>Données_ATB!BD445</f>
        <v>SOLAMOCTA 697 MG/G POUDRE POUR ADMINISTRATION DANS L'EAU DE BOISSON DES POULES CANARDS ET DINDES</v>
      </c>
      <c r="P446" t="e">
        <f>IF(IF(X$2="Catégorie",IF(X$3="Toutes",SUMIFS('Étape 1 - à remplir'!$F$31:$F$400,'Étape 1 - à remplir'!$E$31:$E$400,MASQ2!O446,'Étape 1 - à remplir'!$G$31:$G$400,"animaux"),SUMIFS('Étape 1 - à remplir'!$F$31:$F$400,'Étape 1 - à remplir'!$E$31:$E$400,MASQ2!O446,'Étape 1 - à remplir'!$C$31:$C$400,X$3)),IF(X$2="Âge",IF(X$3="Tous",SUMIFS('Étape 1 - à remplir'!$F$31:$F$400,'Étape 1 - à remplir'!$E$31:$E$400,MASQ2!O446,'Étape 1 - à remplir'!$G$31:$G$400,"animaux"),SUMIFS('Étape 1 - à remplir'!$F$31:$F$400,'Étape 1 - à remplir'!$E$31:$E$400,MASQ2!O446,'Étape 1 - à remplir'!$P$31:$P$400,X$3)),IF(X$2="Atelier",IF(X$3="Tous",SUMIFS('Étape 1 - à remplir'!$F$31:$F$400,'Étape 1 - à remplir'!$E$31:$E$400,MASQ2!O446,'Étape 1 - à remplir'!$G$31:$G$400,"animaux"),SUMIFS('Étape 1 - à remplir'!$F$31:$F$400,'Étape 1 - à remplir'!$E$31:$E$400,MASQ2!O446,'Étape 1 - à remplir'!$O$31:$O$400,X$3)),IF(X$2="Espèce",IF(X$3="Toutes",SUMIFS('Étape 1 - à remplir'!$F$31:$F$400,'Étape 1 - à remplir'!$E$31:$E$400,MASQ2!O446,'Étape 1 - à remplir'!$G$31:$G$400,"animaux"),SUMIFS('Étape 1 - à remplir'!$F$31:$F$400,'Étape 1 - à remplir'!$E$31:$E$400,MASQ2!O446,'Étape 1 - à remplir'!$N$31:$N$400,X$3))))))=0,NA(),IF(X$2="Catégorie",IF(X$3="Toutes",SUMIFS('Étape 1 - à remplir'!$F$31:$F$400,'Étape 1 - à remplir'!$E$31:$E$400,MASQ2!O446,'Étape 1 - à remplir'!$G$31:$G$400,"animaux"),SUMIFS('Étape 1 - à remplir'!$F$31:$F$400,'Étape 1 - à remplir'!$E$31:$E$400,MASQ2!O446,'Étape 1 - à remplir'!$C$31:$C$400,X$3)),IF(X$2="Âge",IF(X$3="Tous",SUMIFS('Étape 1 - à remplir'!$F$31:$F$400,'Étape 1 - à remplir'!$E$31:$E$400,MASQ2!O446,'Étape 1 - à remplir'!$G$31:$G$400,"animaux"),SUMIFS('Étape 1 - à remplir'!$F$31:$F$400,'Étape 1 - à remplir'!$E$31:$E$400,MASQ2!O446,'Étape 1 - à remplir'!$P$31:$P$400,X$3)),IF(X$2="Atelier",IF(X$3="Tous",SUMIFS('Étape 1 - à remplir'!$F$31:$F$400,'Étape 1 - à remplir'!$E$31:$E$400,MASQ2!O446,'Étape 1 - à remplir'!$G$31:$G$400,"animaux"),SUMIFS('Étape 1 - à remplir'!$F$31:$F$400,'Étape 1 - à remplir'!$E$31:$E$400,MASQ2!O446,'Étape 1 - à remplir'!$O$31:$O$400,X$3)),IF(X$2="Espèce",IF(X$3="Toutes",SUMIFS('Étape 1 - à remplir'!$F$31:$F$400,'Étape 1 - à remplir'!$E$31:$E$400,MASQ2!O446,'Étape 1 - à remplir'!$G$31:$G$400,"animaux"),SUMIFS('Étape 1 - à remplir'!$F$31:$F$400,'Étape 1 - à remplir'!$E$31:$E$400,MASQ2!O446,'Étape 1 - à remplir'!$N$31:$N$400,X$3)))))))</f>
        <v>#N/A</v>
      </c>
      <c r="Q446" s="63">
        <f t="shared" si="285"/>
        <v>0</v>
      </c>
      <c r="R446" t="str">
        <f>Données_ATB!BM445</f>
        <v>Amoxicilline</v>
      </c>
      <c r="S446" t="str">
        <f>Données_ATB!BN445</f>
        <v/>
      </c>
      <c r="T446" s="63" t="str">
        <f>Données_ATB!BO445</f>
        <v/>
      </c>
      <c r="U446" s="42" t="str">
        <f>Données_ATB!BQ445</f>
        <v>Penicillines</v>
      </c>
      <c r="V446" t="str">
        <f>Données_ATB!BR445</f>
        <v/>
      </c>
      <c r="W446" s="63" t="str">
        <f>Données_ATB!BS445</f>
        <v/>
      </c>
      <c r="Z446" s="42">
        <v>443</v>
      </c>
      <c r="AA446" t="e">
        <f t="shared" si="281"/>
        <v>#N/A</v>
      </c>
      <c r="AB446" s="63" t="e">
        <f t="shared" si="282"/>
        <v>#N/A</v>
      </c>
      <c r="BF446" s="63"/>
      <c r="BT446" s="194" t="str">
        <f t="shared" ca="1" si="265"/>
        <v/>
      </c>
      <c r="BU446" s="219" t="str">
        <f>IFERROR(IF(BX446=0,"",COUNTIF(BX$4:BX$600,"&gt;"&amp;BX446)+COUNTIF(BX$4:BX446,BX446)),"")</f>
        <v/>
      </c>
      <c r="BV446" s="42" t="str">
        <f t="shared" si="266"/>
        <v>SOLAMOCTA 697 MG/G POUDRE POUR ADMINISTRATION DANS L'EAU DE BOISSON DES POULES CANARDS ET DINDES</v>
      </c>
      <c r="BW446" t="e">
        <f>IF(IF(CE$2="Catégorie",IF(CE$3="Toutes",SUMIFS('Étape 1 - à remplir'!$F$31:$F$400,'Étape 1 - à remplir'!$E$31:$E$400,MASQ2!BV446,'Étape 1 - à remplir'!$G$31:$G$400,"lots"),SUMIFS('Étape 1 - à remplir'!$F$31:$F$400,'Étape 1 - à remplir'!$E$31:$E$400,MASQ2!BV446,'Étape 1 - à remplir'!$C$31:$C$400,CE$3)),IF(CE$2="Âge",IF(CE$3="Tous",SUMIFS('Étape 1 - à remplir'!$F$31:$F$400,'Étape 1 - à remplir'!$E$31:$E$400,MASQ2!BV446,'Étape 1 - à remplir'!$G$31:$G$400,"lots"),SUMIFS('Étape 1 - à remplir'!$F$31:$F$400,'Étape 1 - à remplir'!$E$31:$E$400,MASQ2!BV446,'Étape 1 - à remplir'!$P$31:$P$400,CE$3,'Étape 1 - à remplir'!$G$31:$G$400,"lots")),IF(CE$2="Atelier",IF(CE$3="Tous",SUMIFS('Étape 1 - à remplir'!$F$31:$F$400,'Étape 1 - à remplir'!$E$31:$E$400,MASQ2!BV446,'Étape 1 - à remplir'!$G$31:$G$400,"lots"),SUMIFS('Étape 1 - à remplir'!$F$31:$F$400,'Étape 1 - à remplir'!$E$31:$E$400,MASQ2!BV446,'Étape 1 - à remplir'!$O$31:$O$400,CE$3,'Étape 1 - à remplir'!$G$31:$G$400,"lots")),IF(CE$2="Espèce",IF(CE$3="Toutes",SUMIFS('Étape 1 - à remplir'!$F$31:$F$400,'Étape 1 - à remplir'!$E$31:$E$400,MASQ2!BV446,'Étape 1 - à remplir'!$G$31:$G$400,"lots"),SUMIFS('Étape 1 - à remplir'!$F$31:$F$400,'Étape 1 - à remplir'!$E$31:$E$400,MASQ2!BV446,'Étape 1 - à remplir'!$N$31:$N$400,CE$3,'Étape 1 - à remplir'!$G$31:$G$400,"lots"))))))=0,NA(),IF(CE$2="Catégorie",IF(CE$3="Toutes",SUMIFS('Étape 1 - à remplir'!$F$31:$F$400,'Étape 1 - à remplir'!$E$31:$E$400,MASQ2!BV446,'Étape 1 - à remplir'!$G$31:$G$400,"lots"),SUMIFS('Étape 1 - à remplir'!$F$31:$F$400,'Étape 1 - à remplir'!$E$31:$E$400,MASQ2!BV446,'Étape 1 - à remplir'!$C$31:$C$400,CE$3)),IF(CE$2="Âge",IF(CE$3="Tous",SUMIFS('Étape 1 - à remplir'!$F$31:$F$400,'Étape 1 - à remplir'!$E$31:$E$400,MASQ2!BV446,'Étape 1 - à remplir'!$G$31:$G$400,"lots"),SUMIFS('Étape 1 - à remplir'!$F$31:$F$400,'Étape 1 - à remplir'!$E$31:$E$400,MASQ2!BV446,'Étape 1 - à remplir'!$P$31:$P$400,CE$3,'Étape 1 - à remplir'!$G$31:$G$400,"lots")),IF(CE$2="Atelier",IF(CE$3="Tous",SUMIFS('Étape 1 - à remplir'!$F$31:$F$400,'Étape 1 - à remplir'!$E$31:$E$400,MASQ2!BV446,'Étape 1 - à remplir'!$G$31:$G$400,"lots"),SUMIFS('Étape 1 - à remplir'!$F$31:$F$400,'Étape 1 - à remplir'!$E$31:$E$400,MASQ2!BV446,'Étape 1 - à remplir'!$O$31:$O$400,CE$3,'Étape 1 - à remplir'!$G$31:$G$400,"lots")),IF(CE$2="Espèce",IF(CE$3="Toutes",SUMIFS('Étape 1 - à remplir'!$F$31:$F$400,'Étape 1 - à remplir'!$E$31:$E$400,MASQ2!BV446,'Étape 1 - à remplir'!$G$31:$G$400,"lots"),SUMIFS('Étape 1 - à remplir'!$F$31:$F$400,'Étape 1 - à remplir'!$E$31:$E$400,MASQ2!BV446,'Étape 1 - à remplir'!$N$31:$N$400,CE$3,'Étape 1 - à remplir'!$G$31:$G$400,"lots")))))))</f>
        <v>#N/A</v>
      </c>
      <c r="BX446">
        <f t="shared" si="283"/>
        <v>0</v>
      </c>
      <c r="BY446" t="str">
        <f t="shared" si="267"/>
        <v>Amoxicilline</v>
      </c>
      <c r="BZ446" t="str">
        <f t="shared" si="268"/>
        <v/>
      </c>
      <c r="CA446" t="str">
        <f t="shared" si="269"/>
        <v/>
      </c>
      <c r="CB446" t="str">
        <f t="shared" si="270"/>
        <v>Penicillines</v>
      </c>
      <c r="CC446" t="str">
        <f t="shared" si="271"/>
        <v/>
      </c>
      <c r="CD446" s="63" t="str">
        <f t="shared" si="272"/>
        <v/>
      </c>
      <c r="CG446" s="42">
        <v>443</v>
      </c>
      <c r="CH446" s="42" t="e">
        <f t="shared" si="288"/>
        <v>#N/A</v>
      </c>
      <c r="CI446" s="63" t="e">
        <f t="shared" si="289"/>
        <v>#N/A</v>
      </c>
      <c r="DM446" s="63"/>
      <c r="EA446" s="194" t="str">
        <f t="shared" ca="1" si="273"/>
        <v/>
      </c>
      <c r="EB446" s="226" t="str">
        <f>IFERROR(IF(ED446=0,"",COUNTIF(ED$4:ED$600,"&gt;"&amp;ED446)+COUNTIF(ED$4:ED446,ED446)),"")</f>
        <v/>
      </c>
      <c r="EC446" t="str">
        <f t="shared" si="274"/>
        <v>SOLAMOCTA 697 MG/G POUDRE POUR ADMINISTRATION DANS L'EAU DE BOISSON DES POULES CANARDS ET DINDES</v>
      </c>
      <c r="ED446" t="e">
        <f>IF(IF(EL$2="Catégorie",IF(EL$3="Toutes",SUMIFS('Étape 1 - à remplir'!$F$31:$F$400,'Étape 1 - à remplir'!$E$31:$E$400,MASQ2!EC446,'Étape 1 - à remplir'!$G$31:$G$400,"kg"),SUMIFS('Étape 1 - à remplir'!$F$31:$F$400,'Étape 1 - à remplir'!$E$31:$E$400,MASQ2!EC446,'Étape 1 - à remplir'!$C$31:$C$400,EL$3)),IF(EL$2="Âge",IF(EL$3="Tous",SUMIFS('Étape 1 - à remplir'!$F$31:$F$400,'Étape 1 - à remplir'!$E$31:$E$400,MASQ2!EC446,'Étape 1 - à remplir'!$G$31:$G$400,"kg"),SUMIFS('Étape 1 - à remplir'!$F$31:$F$400,'Étape 1 - à remplir'!$E$31:$E$400,MASQ2!EC446,'Étape 1 - à remplir'!$P$31:$P$400,EL$3,'Étape 1 - à remplir'!$G$31:$G$400,"kg")),IF(EL$2="Atelier",IF(EL$3="Tous",SUMIFS('Étape 1 - à remplir'!$F$31:$F$400,'Étape 1 - à remplir'!$E$31:$E$400,MASQ2!EC446,'Étape 1 - à remplir'!$G$31:$G$400,"kg"),SUMIFS('Étape 1 - à remplir'!$F$31:$F$400,'Étape 1 - à remplir'!$E$31:$E$400,MASQ2!EC446,'Étape 1 - à remplir'!$O$31:$O$400,EL$3,'Étape 1 - à remplir'!$G$31:$G$400,"kg")),IF(EL$2="Espèce",IF(EL$3="Toutes",SUMIFS('Étape 1 - à remplir'!$F$31:$F$400,'Étape 1 - à remplir'!$E$31:$E$400,MASQ2!EC446,'Étape 1 - à remplir'!$G$31:$G$400,"kg"),SUMIFS('Étape 1 - à remplir'!$F$31:$F$400,'Étape 1 - à remplir'!$E$31:$E$400,MASQ2!EC446,'Étape 1 - à remplir'!$N$31:$N$400,EL$3,'Étape 1 - à remplir'!$G$31:$G$400,"kg"))))))=0,NA(),IF(EL$2="Catégorie",IF(EL$3="Toutes",SUMIFS('Étape 1 - à remplir'!$F$31:$F$400,'Étape 1 - à remplir'!$E$31:$E$400,MASQ2!EC446,'Étape 1 - à remplir'!$G$31:$G$400,"kg"),SUMIFS('Étape 1 - à remplir'!$F$31:$F$400,'Étape 1 - à remplir'!$E$31:$E$400,MASQ2!EC446,'Étape 1 - à remplir'!$C$31:$C$400,EL$3)),IF(EL$2="Âge",IF(EL$3="Tous",SUMIFS('Étape 1 - à remplir'!$F$31:$F$400,'Étape 1 - à remplir'!$E$31:$E$400,MASQ2!EC446,'Étape 1 - à remplir'!$G$31:$G$400,"kg"),SUMIFS('Étape 1 - à remplir'!$F$31:$F$400,'Étape 1 - à remplir'!$E$31:$E$400,MASQ2!EC446,'Étape 1 - à remplir'!$P$31:$P$400,EL$3,'Étape 1 - à remplir'!$G$31:$G$400,"kg")),IF(EL$2="Atelier",IF(EL$3="Tous",SUMIFS('Étape 1 - à remplir'!$F$31:$F$400,'Étape 1 - à remplir'!$E$31:$E$400,MASQ2!EC446,'Étape 1 - à remplir'!$G$31:$G$400,"kg"),SUMIFS('Étape 1 - à remplir'!$F$31:$F$400,'Étape 1 - à remplir'!$E$31:$E$400,MASQ2!EC446,'Étape 1 - à remplir'!$O$31:$O$400,EL$3,'Étape 1 - à remplir'!$G$31:$G$400,"kg")),IF(EL$2="Espèce",IF(EL$3="Toutes",SUMIFS('Étape 1 - à remplir'!$F$31:$F$400,'Étape 1 - à remplir'!$E$31:$E$400,MASQ2!EC446,'Étape 1 - à remplir'!$G$31:$G$400,"kg"),SUMIFS('Étape 1 - à remplir'!$F$31:$F$400,'Étape 1 - à remplir'!$E$31:$E$400,MASQ2!EC446,'Étape 1 - à remplir'!$N$31:$N$400,EL$3,'Étape 1 - à remplir'!$G$31:$G$400,"kg")))))))</f>
        <v>#N/A</v>
      </c>
      <c r="EE446" s="76">
        <f t="shared" si="284"/>
        <v>0</v>
      </c>
      <c r="EF446" t="str">
        <f t="shared" si="275"/>
        <v>Amoxicilline</v>
      </c>
      <c r="EG446" t="str">
        <f t="shared" si="276"/>
        <v/>
      </c>
      <c r="EH446" t="str">
        <f t="shared" si="277"/>
        <v/>
      </c>
      <c r="EI446" t="str">
        <f t="shared" si="278"/>
        <v>Penicillines</v>
      </c>
      <c r="EJ446" t="str">
        <f t="shared" si="279"/>
        <v/>
      </c>
      <c r="EK446" s="63" t="str">
        <f t="shared" si="280"/>
        <v/>
      </c>
      <c r="EN446" s="42">
        <v>443</v>
      </c>
      <c r="EO446" t="e">
        <f t="shared" si="286"/>
        <v>#N/A</v>
      </c>
      <c r="EP446" s="63" t="e">
        <f t="shared" si="287"/>
        <v>#N/A</v>
      </c>
      <c r="FT446" s="63"/>
    </row>
    <row r="447" spans="2:176" x14ac:dyDescent="0.3">
      <c r="B447" s="42"/>
      <c r="M447" s="194" t="str">
        <f ca="1">INDEX(Données_ATB!BD:BU,MATCH(MASQ2!O447,Données_ATB!BD:BD,0),18)</f>
        <v/>
      </c>
      <c r="N447" s="14" t="str">
        <f>IFERROR(IF(Q447=0,"",COUNTIF(Q$4:Q$600,"&gt;"&amp;Q447)+COUNTIF(Q$4:Q447,Q447)),"")</f>
        <v/>
      </c>
      <c r="O447" t="str">
        <f>Données_ATB!BD446</f>
        <v>SOLDOXIN 100 MG/ML SOLUTION BUVABLE POUR POULES POULETS ET PORCINS</v>
      </c>
      <c r="P447" t="e">
        <f>IF(IF(X$2="Catégorie",IF(X$3="Toutes",SUMIFS('Étape 1 - à remplir'!$F$31:$F$400,'Étape 1 - à remplir'!$E$31:$E$400,MASQ2!O447,'Étape 1 - à remplir'!$G$31:$G$400,"animaux"),SUMIFS('Étape 1 - à remplir'!$F$31:$F$400,'Étape 1 - à remplir'!$E$31:$E$400,MASQ2!O447,'Étape 1 - à remplir'!$C$31:$C$400,X$3)),IF(X$2="Âge",IF(X$3="Tous",SUMIFS('Étape 1 - à remplir'!$F$31:$F$400,'Étape 1 - à remplir'!$E$31:$E$400,MASQ2!O447,'Étape 1 - à remplir'!$G$31:$G$400,"animaux"),SUMIFS('Étape 1 - à remplir'!$F$31:$F$400,'Étape 1 - à remplir'!$E$31:$E$400,MASQ2!O447,'Étape 1 - à remplir'!$P$31:$P$400,X$3)),IF(X$2="Atelier",IF(X$3="Tous",SUMIFS('Étape 1 - à remplir'!$F$31:$F$400,'Étape 1 - à remplir'!$E$31:$E$400,MASQ2!O447,'Étape 1 - à remplir'!$G$31:$G$400,"animaux"),SUMIFS('Étape 1 - à remplir'!$F$31:$F$400,'Étape 1 - à remplir'!$E$31:$E$400,MASQ2!O447,'Étape 1 - à remplir'!$O$31:$O$400,X$3)),IF(X$2="Espèce",IF(X$3="Toutes",SUMIFS('Étape 1 - à remplir'!$F$31:$F$400,'Étape 1 - à remplir'!$E$31:$E$400,MASQ2!O447,'Étape 1 - à remplir'!$G$31:$G$400,"animaux"),SUMIFS('Étape 1 - à remplir'!$F$31:$F$400,'Étape 1 - à remplir'!$E$31:$E$400,MASQ2!O447,'Étape 1 - à remplir'!$N$31:$N$400,X$3))))))=0,NA(),IF(X$2="Catégorie",IF(X$3="Toutes",SUMIFS('Étape 1 - à remplir'!$F$31:$F$400,'Étape 1 - à remplir'!$E$31:$E$400,MASQ2!O447,'Étape 1 - à remplir'!$G$31:$G$400,"animaux"),SUMIFS('Étape 1 - à remplir'!$F$31:$F$400,'Étape 1 - à remplir'!$E$31:$E$400,MASQ2!O447,'Étape 1 - à remplir'!$C$31:$C$400,X$3)),IF(X$2="Âge",IF(X$3="Tous",SUMIFS('Étape 1 - à remplir'!$F$31:$F$400,'Étape 1 - à remplir'!$E$31:$E$400,MASQ2!O447,'Étape 1 - à remplir'!$G$31:$G$400,"animaux"),SUMIFS('Étape 1 - à remplir'!$F$31:$F$400,'Étape 1 - à remplir'!$E$31:$E$400,MASQ2!O447,'Étape 1 - à remplir'!$P$31:$P$400,X$3)),IF(X$2="Atelier",IF(X$3="Tous",SUMIFS('Étape 1 - à remplir'!$F$31:$F$400,'Étape 1 - à remplir'!$E$31:$E$400,MASQ2!O447,'Étape 1 - à remplir'!$G$31:$G$400,"animaux"),SUMIFS('Étape 1 - à remplir'!$F$31:$F$400,'Étape 1 - à remplir'!$E$31:$E$400,MASQ2!O447,'Étape 1 - à remplir'!$O$31:$O$400,X$3)),IF(X$2="Espèce",IF(X$3="Toutes",SUMIFS('Étape 1 - à remplir'!$F$31:$F$400,'Étape 1 - à remplir'!$E$31:$E$400,MASQ2!O447,'Étape 1 - à remplir'!$G$31:$G$400,"animaux"),SUMIFS('Étape 1 - à remplir'!$F$31:$F$400,'Étape 1 - à remplir'!$E$31:$E$400,MASQ2!O447,'Étape 1 - à remplir'!$N$31:$N$400,X$3)))))))</f>
        <v>#N/A</v>
      </c>
      <c r="Q447" s="63">
        <f t="shared" si="285"/>
        <v>0</v>
      </c>
      <c r="R447" t="str">
        <f>Données_ATB!BM446</f>
        <v>Doxycycline</v>
      </c>
      <c r="S447" t="str">
        <f>Données_ATB!BN446</f>
        <v/>
      </c>
      <c r="T447" s="63" t="str">
        <f>Données_ATB!BO446</f>
        <v/>
      </c>
      <c r="U447" s="42" t="str">
        <f>Données_ATB!BQ446</f>
        <v>Tetracyclines</v>
      </c>
      <c r="V447" t="str">
        <f>Données_ATB!BR446</f>
        <v/>
      </c>
      <c r="W447" s="63" t="str">
        <f>Données_ATB!BS446</f>
        <v/>
      </c>
      <c r="Z447" s="42">
        <v>444</v>
      </c>
      <c r="AA447" t="e">
        <f t="shared" si="281"/>
        <v>#N/A</v>
      </c>
      <c r="AB447" s="63" t="e">
        <f t="shared" si="282"/>
        <v>#N/A</v>
      </c>
      <c r="BF447" s="63"/>
      <c r="BT447" s="194" t="str">
        <f t="shared" ca="1" si="265"/>
        <v/>
      </c>
      <c r="BU447" s="219" t="str">
        <f>IFERROR(IF(BX447=0,"",COUNTIF(BX$4:BX$600,"&gt;"&amp;BX447)+COUNTIF(BX$4:BX447,BX447)),"")</f>
        <v/>
      </c>
      <c r="BV447" s="42" t="str">
        <f t="shared" si="266"/>
        <v>SOLDOXIN 100 MG/ML SOLUTION BUVABLE POUR POULES POULETS ET PORCINS</v>
      </c>
      <c r="BW447" t="e">
        <f>IF(IF(CE$2="Catégorie",IF(CE$3="Toutes",SUMIFS('Étape 1 - à remplir'!$F$31:$F$400,'Étape 1 - à remplir'!$E$31:$E$400,MASQ2!BV447,'Étape 1 - à remplir'!$G$31:$G$400,"lots"),SUMIFS('Étape 1 - à remplir'!$F$31:$F$400,'Étape 1 - à remplir'!$E$31:$E$400,MASQ2!BV447,'Étape 1 - à remplir'!$C$31:$C$400,CE$3)),IF(CE$2="Âge",IF(CE$3="Tous",SUMIFS('Étape 1 - à remplir'!$F$31:$F$400,'Étape 1 - à remplir'!$E$31:$E$400,MASQ2!BV447,'Étape 1 - à remplir'!$G$31:$G$400,"lots"),SUMIFS('Étape 1 - à remplir'!$F$31:$F$400,'Étape 1 - à remplir'!$E$31:$E$400,MASQ2!BV447,'Étape 1 - à remplir'!$P$31:$P$400,CE$3,'Étape 1 - à remplir'!$G$31:$G$400,"lots")),IF(CE$2="Atelier",IF(CE$3="Tous",SUMIFS('Étape 1 - à remplir'!$F$31:$F$400,'Étape 1 - à remplir'!$E$31:$E$400,MASQ2!BV447,'Étape 1 - à remplir'!$G$31:$G$400,"lots"),SUMIFS('Étape 1 - à remplir'!$F$31:$F$400,'Étape 1 - à remplir'!$E$31:$E$400,MASQ2!BV447,'Étape 1 - à remplir'!$O$31:$O$400,CE$3,'Étape 1 - à remplir'!$G$31:$G$400,"lots")),IF(CE$2="Espèce",IF(CE$3="Toutes",SUMIFS('Étape 1 - à remplir'!$F$31:$F$400,'Étape 1 - à remplir'!$E$31:$E$400,MASQ2!BV447,'Étape 1 - à remplir'!$G$31:$G$400,"lots"),SUMIFS('Étape 1 - à remplir'!$F$31:$F$400,'Étape 1 - à remplir'!$E$31:$E$400,MASQ2!BV447,'Étape 1 - à remplir'!$N$31:$N$400,CE$3,'Étape 1 - à remplir'!$G$31:$G$400,"lots"))))))=0,NA(),IF(CE$2="Catégorie",IF(CE$3="Toutes",SUMIFS('Étape 1 - à remplir'!$F$31:$F$400,'Étape 1 - à remplir'!$E$31:$E$400,MASQ2!BV447,'Étape 1 - à remplir'!$G$31:$G$400,"lots"),SUMIFS('Étape 1 - à remplir'!$F$31:$F$400,'Étape 1 - à remplir'!$E$31:$E$400,MASQ2!BV447,'Étape 1 - à remplir'!$C$31:$C$400,CE$3)),IF(CE$2="Âge",IF(CE$3="Tous",SUMIFS('Étape 1 - à remplir'!$F$31:$F$400,'Étape 1 - à remplir'!$E$31:$E$400,MASQ2!BV447,'Étape 1 - à remplir'!$G$31:$G$400,"lots"),SUMIFS('Étape 1 - à remplir'!$F$31:$F$400,'Étape 1 - à remplir'!$E$31:$E$400,MASQ2!BV447,'Étape 1 - à remplir'!$P$31:$P$400,CE$3,'Étape 1 - à remplir'!$G$31:$G$400,"lots")),IF(CE$2="Atelier",IF(CE$3="Tous",SUMIFS('Étape 1 - à remplir'!$F$31:$F$400,'Étape 1 - à remplir'!$E$31:$E$400,MASQ2!BV447,'Étape 1 - à remplir'!$G$31:$G$400,"lots"),SUMIFS('Étape 1 - à remplir'!$F$31:$F$400,'Étape 1 - à remplir'!$E$31:$E$400,MASQ2!BV447,'Étape 1 - à remplir'!$O$31:$O$400,CE$3,'Étape 1 - à remplir'!$G$31:$G$400,"lots")),IF(CE$2="Espèce",IF(CE$3="Toutes",SUMIFS('Étape 1 - à remplir'!$F$31:$F$400,'Étape 1 - à remplir'!$E$31:$E$400,MASQ2!BV447,'Étape 1 - à remplir'!$G$31:$G$400,"lots"),SUMIFS('Étape 1 - à remplir'!$F$31:$F$400,'Étape 1 - à remplir'!$E$31:$E$400,MASQ2!BV447,'Étape 1 - à remplir'!$N$31:$N$400,CE$3,'Étape 1 - à remplir'!$G$31:$G$400,"lots")))))))</f>
        <v>#N/A</v>
      </c>
      <c r="BX447">
        <f t="shared" si="283"/>
        <v>0</v>
      </c>
      <c r="BY447" t="str">
        <f t="shared" si="267"/>
        <v>Doxycycline</v>
      </c>
      <c r="BZ447" t="str">
        <f t="shared" si="268"/>
        <v/>
      </c>
      <c r="CA447" t="str">
        <f t="shared" si="269"/>
        <v/>
      </c>
      <c r="CB447" t="str">
        <f t="shared" si="270"/>
        <v>Tetracyclines</v>
      </c>
      <c r="CC447" t="str">
        <f t="shared" si="271"/>
        <v/>
      </c>
      <c r="CD447" s="63" t="str">
        <f t="shared" si="272"/>
        <v/>
      </c>
      <c r="CG447" s="42">
        <v>444</v>
      </c>
      <c r="CH447" s="42" t="e">
        <f t="shared" si="288"/>
        <v>#N/A</v>
      </c>
      <c r="CI447" s="63" t="e">
        <f t="shared" si="289"/>
        <v>#N/A</v>
      </c>
      <c r="DM447" s="63"/>
      <c r="EA447" s="194" t="str">
        <f t="shared" ca="1" si="273"/>
        <v/>
      </c>
      <c r="EB447" s="226" t="str">
        <f>IFERROR(IF(ED447=0,"",COUNTIF(ED$4:ED$600,"&gt;"&amp;ED447)+COUNTIF(ED$4:ED447,ED447)),"")</f>
        <v/>
      </c>
      <c r="EC447" t="str">
        <f t="shared" si="274"/>
        <v>SOLDOXIN 100 MG/ML SOLUTION BUVABLE POUR POULES POULETS ET PORCINS</v>
      </c>
      <c r="ED447" t="e">
        <f>IF(IF(EL$2="Catégorie",IF(EL$3="Toutes",SUMIFS('Étape 1 - à remplir'!$F$31:$F$400,'Étape 1 - à remplir'!$E$31:$E$400,MASQ2!EC447,'Étape 1 - à remplir'!$G$31:$G$400,"kg"),SUMIFS('Étape 1 - à remplir'!$F$31:$F$400,'Étape 1 - à remplir'!$E$31:$E$400,MASQ2!EC447,'Étape 1 - à remplir'!$C$31:$C$400,EL$3)),IF(EL$2="Âge",IF(EL$3="Tous",SUMIFS('Étape 1 - à remplir'!$F$31:$F$400,'Étape 1 - à remplir'!$E$31:$E$400,MASQ2!EC447,'Étape 1 - à remplir'!$G$31:$G$400,"kg"),SUMIFS('Étape 1 - à remplir'!$F$31:$F$400,'Étape 1 - à remplir'!$E$31:$E$400,MASQ2!EC447,'Étape 1 - à remplir'!$P$31:$P$400,EL$3,'Étape 1 - à remplir'!$G$31:$G$400,"kg")),IF(EL$2="Atelier",IF(EL$3="Tous",SUMIFS('Étape 1 - à remplir'!$F$31:$F$400,'Étape 1 - à remplir'!$E$31:$E$400,MASQ2!EC447,'Étape 1 - à remplir'!$G$31:$G$400,"kg"),SUMIFS('Étape 1 - à remplir'!$F$31:$F$400,'Étape 1 - à remplir'!$E$31:$E$400,MASQ2!EC447,'Étape 1 - à remplir'!$O$31:$O$400,EL$3,'Étape 1 - à remplir'!$G$31:$G$400,"kg")),IF(EL$2="Espèce",IF(EL$3="Toutes",SUMIFS('Étape 1 - à remplir'!$F$31:$F$400,'Étape 1 - à remplir'!$E$31:$E$400,MASQ2!EC447,'Étape 1 - à remplir'!$G$31:$G$400,"kg"),SUMIFS('Étape 1 - à remplir'!$F$31:$F$400,'Étape 1 - à remplir'!$E$31:$E$400,MASQ2!EC447,'Étape 1 - à remplir'!$N$31:$N$400,EL$3,'Étape 1 - à remplir'!$G$31:$G$400,"kg"))))))=0,NA(),IF(EL$2="Catégorie",IF(EL$3="Toutes",SUMIFS('Étape 1 - à remplir'!$F$31:$F$400,'Étape 1 - à remplir'!$E$31:$E$400,MASQ2!EC447,'Étape 1 - à remplir'!$G$31:$G$400,"kg"),SUMIFS('Étape 1 - à remplir'!$F$31:$F$400,'Étape 1 - à remplir'!$E$31:$E$400,MASQ2!EC447,'Étape 1 - à remplir'!$C$31:$C$400,EL$3)),IF(EL$2="Âge",IF(EL$3="Tous",SUMIFS('Étape 1 - à remplir'!$F$31:$F$400,'Étape 1 - à remplir'!$E$31:$E$400,MASQ2!EC447,'Étape 1 - à remplir'!$G$31:$G$400,"kg"),SUMIFS('Étape 1 - à remplir'!$F$31:$F$400,'Étape 1 - à remplir'!$E$31:$E$400,MASQ2!EC447,'Étape 1 - à remplir'!$P$31:$P$400,EL$3,'Étape 1 - à remplir'!$G$31:$G$400,"kg")),IF(EL$2="Atelier",IF(EL$3="Tous",SUMIFS('Étape 1 - à remplir'!$F$31:$F$400,'Étape 1 - à remplir'!$E$31:$E$400,MASQ2!EC447,'Étape 1 - à remplir'!$G$31:$G$400,"kg"),SUMIFS('Étape 1 - à remplir'!$F$31:$F$400,'Étape 1 - à remplir'!$E$31:$E$400,MASQ2!EC447,'Étape 1 - à remplir'!$O$31:$O$400,EL$3,'Étape 1 - à remplir'!$G$31:$G$400,"kg")),IF(EL$2="Espèce",IF(EL$3="Toutes",SUMIFS('Étape 1 - à remplir'!$F$31:$F$400,'Étape 1 - à remplir'!$E$31:$E$400,MASQ2!EC447,'Étape 1 - à remplir'!$G$31:$G$400,"kg"),SUMIFS('Étape 1 - à remplir'!$F$31:$F$400,'Étape 1 - à remplir'!$E$31:$E$400,MASQ2!EC447,'Étape 1 - à remplir'!$N$31:$N$400,EL$3,'Étape 1 - à remplir'!$G$31:$G$400,"kg")))))))</f>
        <v>#N/A</v>
      </c>
      <c r="EE447" s="76">
        <f t="shared" si="284"/>
        <v>0</v>
      </c>
      <c r="EF447" t="str">
        <f t="shared" si="275"/>
        <v>Doxycycline</v>
      </c>
      <c r="EG447" t="str">
        <f t="shared" si="276"/>
        <v/>
      </c>
      <c r="EH447" t="str">
        <f t="shared" si="277"/>
        <v/>
      </c>
      <c r="EI447" t="str">
        <f t="shared" si="278"/>
        <v>Tetracyclines</v>
      </c>
      <c r="EJ447" t="str">
        <f t="shared" si="279"/>
        <v/>
      </c>
      <c r="EK447" s="63" t="str">
        <f t="shared" si="280"/>
        <v/>
      </c>
      <c r="EN447" s="42">
        <v>444</v>
      </c>
      <c r="EO447" t="e">
        <f t="shared" si="286"/>
        <v>#N/A</v>
      </c>
      <c r="EP447" s="63" t="e">
        <f t="shared" si="287"/>
        <v>#N/A</v>
      </c>
      <c r="FT447" s="63"/>
    </row>
    <row r="448" spans="2:176" x14ac:dyDescent="0.3">
      <c r="B448" s="42"/>
      <c r="M448" s="194" t="str">
        <f ca="1">INDEX(Données_ATB!BD:BU,MATCH(MASQ2!O448,Données_ATB!BD:BD,0),18)</f>
        <v>x</v>
      </c>
      <c r="N448" s="14" t="str">
        <f>IFERROR(IF(Q448=0,"",COUNTIF(Q$4:Q$600,"&gt;"&amp;Q448)+COUNTIF(Q$4:Q448,Q448)),"")</f>
        <v/>
      </c>
      <c r="O448" t="str">
        <f>Données_ATB!BD447</f>
        <v>SOLUCOL</v>
      </c>
      <c r="P448" t="e">
        <f>IF(IF(X$2="Catégorie",IF(X$3="Toutes",SUMIFS('Étape 1 - à remplir'!$F$31:$F$400,'Étape 1 - à remplir'!$E$31:$E$400,MASQ2!O448,'Étape 1 - à remplir'!$G$31:$G$400,"animaux"),SUMIFS('Étape 1 - à remplir'!$F$31:$F$400,'Étape 1 - à remplir'!$E$31:$E$400,MASQ2!O448,'Étape 1 - à remplir'!$C$31:$C$400,X$3)),IF(X$2="Âge",IF(X$3="Tous",SUMIFS('Étape 1 - à remplir'!$F$31:$F$400,'Étape 1 - à remplir'!$E$31:$E$400,MASQ2!O448,'Étape 1 - à remplir'!$G$31:$G$400,"animaux"),SUMIFS('Étape 1 - à remplir'!$F$31:$F$400,'Étape 1 - à remplir'!$E$31:$E$400,MASQ2!O448,'Étape 1 - à remplir'!$P$31:$P$400,X$3)),IF(X$2="Atelier",IF(X$3="Tous",SUMIFS('Étape 1 - à remplir'!$F$31:$F$400,'Étape 1 - à remplir'!$E$31:$E$400,MASQ2!O448,'Étape 1 - à remplir'!$G$31:$G$400,"animaux"),SUMIFS('Étape 1 - à remplir'!$F$31:$F$400,'Étape 1 - à remplir'!$E$31:$E$400,MASQ2!O448,'Étape 1 - à remplir'!$O$31:$O$400,X$3)),IF(X$2="Espèce",IF(X$3="Toutes",SUMIFS('Étape 1 - à remplir'!$F$31:$F$400,'Étape 1 - à remplir'!$E$31:$E$400,MASQ2!O448,'Étape 1 - à remplir'!$G$31:$G$400,"animaux"),SUMIFS('Étape 1 - à remplir'!$F$31:$F$400,'Étape 1 - à remplir'!$E$31:$E$400,MASQ2!O448,'Étape 1 - à remplir'!$N$31:$N$400,X$3))))))=0,NA(),IF(X$2="Catégorie",IF(X$3="Toutes",SUMIFS('Étape 1 - à remplir'!$F$31:$F$400,'Étape 1 - à remplir'!$E$31:$E$400,MASQ2!O448,'Étape 1 - à remplir'!$G$31:$G$400,"animaux"),SUMIFS('Étape 1 - à remplir'!$F$31:$F$400,'Étape 1 - à remplir'!$E$31:$E$400,MASQ2!O448,'Étape 1 - à remplir'!$C$31:$C$400,X$3)),IF(X$2="Âge",IF(X$3="Tous",SUMIFS('Étape 1 - à remplir'!$F$31:$F$400,'Étape 1 - à remplir'!$E$31:$E$400,MASQ2!O448,'Étape 1 - à remplir'!$G$31:$G$400,"animaux"),SUMIFS('Étape 1 - à remplir'!$F$31:$F$400,'Étape 1 - à remplir'!$E$31:$E$400,MASQ2!O448,'Étape 1 - à remplir'!$P$31:$P$400,X$3)),IF(X$2="Atelier",IF(X$3="Tous",SUMIFS('Étape 1 - à remplir'!$F$31:$F$400,'Étape 1 - à remplir'!$E$31:$E$400,MASQ2!O448,'Étape 1 - à remplir'!$G$31:$G$400,"animaux"),SUMIFS('Étape 1 - à remplir'!$F$31:$F$400,'Étape 1 - à remplir'!$E$31:$E$400,MASQ2!O448,'Étape 1 - à remplir'!$O$31:$O$400,X$3)),IF(X$2="Espèce",IF(X$3="Toutes",SUMIFS('Étape 1 - à remplir'!$F$31:$F$400,'Étape 1 - à remplir'!$E$31:$E$400,MASQ2!O448,'Étape 1 - à remplir'!$G$31:$G$400,"animaux"),SUMIFS('Étape 1 - à remplir'!$F$31:$F$400,'Étape 1 - à remplir'!$E$31:$E$400,MASQ2!O448,'Étape 1 - à remplir'!$N$31:$N$400,X$3)))))))</f>
        <v>#N/A</v>
      </c>
      <c r="Q448" s="63">
        <f t="shared" si="285"/>
        <v>0</v>
      </c>
      <c r="R448" t="str">
        <f>Données_ATB!BM447</f>
        <v>Colistine</v>
      </c>
      <c r="S448" t="str">
        <f>Données_ATB!BN447</f>
        <v/>
      </c>
      <c r="T448" s="63" t="str">
        <f>Données_ATB!BO447</f>
        <v/>
      </c>
      <c r="U448" s="42" t="str">
        <f>Données_ATB!BQ447</f>
        <v>Polypeptides</v>
      </c>
      <c r="V448" t="str">
        <f>Données_ATB!BR447</f>
        <v/>
      </c>
      <c r="W448" s="63" t="str">
        <f>Données_ATB!BS447</f>
        <v/>
      </c>
      <c r="Z448" s="42">
        <v>445</v>
      </c>
      <c r="AA448" t="e">
        <f t="shared" si="281"/>
        <v>#N/A</v>
      </c>
      <c r="AB448" s="63" t="e">
        <f t="shared" si="282"/>
        <v>#N/A</v>
      </c>
      <c r="BF448" s="63"/>
      <c r="BT448" s="194" t="str">
        <f t="shared" ca="1" si="265"/>
        <v>x</v>
      </c>
      <c r="BU448" s="219" t="str">
        <f>IFERROR(IF(BX448=0,"",COUNTIF(BX$4:BX$600,"&gt;"&amp;BX448)+COUNTIF(BX$4:BX448,BX448)),"")</f>
        <v/>
      </c>
      <c r="BV448" s="42" t="str">
        <f t="shared" si="266"/>
        <v>SOLUCOL</v>
      </c>
      <c r="BW448" t="e">
        <f>IF(IF(CE$2="Catégorie",IF(CE$3="Toutes",SUMIFS('Étape 1 - à remplir'!$F$31:$F$400,'Étape 1 - à remplir'!$E$31:$E$400,MASQ2!BV448,'Étape 1 - à remplir'!$G$31:$G$400,"lots"),SUMIFS('Étape 1 - à remplir'!$F$31:$F$400,'Étape 1 - à remplir'!$E$31:$E$400,MASQ2!BV448,'Étape 1 - à remplir'!$C$31:$C$400,CE$3)),IF(CE$2="Âge",IF(CE$3="Tous",SUMIFS('Étape 1 - à remplir'!$F$31:$F$400,'Étape 1 - à remplir'!$E$31:$E$400,MASQ2!BV448,'Étape 1 - à remplir'!$G$31:$G$400,"lots"),SUMIFS('Étape 1 - à remplir'!$F$31:$F$400,'Étape 1 - à remplir'!$E$31:$E$400,MASQ2!BV448,'Étape 1 - à remplir'!$P$31:$P$400,CE$3,'Étape 1 - à remplir'!$G$31:$G$400,"lots")),IF(CE$2="Atelier",IF(CE$3="Tous",SUMIFS('Étape 1 - à remplir'!$F$31:$F$400,'Étape 1 - à remplir'!$E$31:$E$400,MASQ2!BV448,'Étape 1 - à remplir'!$G$31:$G$400,"lots"),SUMIFS('Étape 1 - à remplir'!$F$31:$F$400,'Étape 1 - à remplir'!$E$31:$E$400,MASQ2!BV448,'Étape 1 - à remplir'!$O$31:$O$400,CE$3,'Étape 1 - à remplir'!$G$31:$G$400,"lots")),IF(CE$2="Espèce",IF(CE$3="Toutes",SUMIFS('Étape 1 - à remplir'!$F$31:$F$400,'Étape 1 - à remplir'!$E$31:$E$400,MASQ2!BV448,'Étape 1 - à remplir'!$G$31:$G$400,"lots"),SUMIFS('Étape 1 - à remplir'!$F$31:$F$400,'Étape 1 - à remplir'!$E$31:$E$400,MASQ2!BV448,'Étape 1 - à remplir'!$N$31:$N$400,CE$3,'Étape 1 - à remplir'!$G$31:$G$400,"lots"))))))=0,NA(),IF(CE$2="Catégorie",IF(CE$3="Toutes",SUMIFS('Étape 1 - à remplir'!$F$31:$F$400,'Étape 1 - à remplir'!$E$31:$E$400,MASQ2!BV448,'Étape 1 - à remplir'!$G$31:$G$400,"lots"),SUMIFS('Étape 1 - à remplir'!$F$31:$F$400,'Étape 1 - à remplir'!$E$31:$E$400,MASQ2!BV448,'Étape 1 - à remplir'!$C$31:$C$400,CE$3)),IF(CE$2="Âge",IF(CE$3="Tous",SUMIFS('Étape 1 - à remplir'!$F$31:$F$400,'Étape 1 - à remplir'!$E$31:$E$400,MASQ2!BV448,'Étape 1 - à remplir'!$G$31:$G$400,"lots"),SUMIFS('Étape 1 - à remplir'!$F$31:$F$400,'Étape 1 - à remplir'!$E$31:$E$400,MASQ2!BV448,'Étape 1 - à remplir'!$P$31:$P$400,CE$3,'Étape 1 - à remplir'!$G$31:$G$400,"lots")),IF(CE$2="Atelier",IF(CE$3="Tous",SUMIFS('Étape 1 - à remplir'!$F$31:$F$400,'Étape 1 - à remplir'!$E$31:$E$400,MASQ2!BV448,'Étape 1 - à remplir'!$G$31:$G$400,"lots"),SUMIFS('Étape 1 - à remplir'!$F$31:$F$400,'Étape 1 - à remplir'!$E$31:$E$400,MASQ2!BV448,'Étape 1 - à remplir'!$O$31:$O$400,CE$3,'Étape 1 - à remplir'!$G$31:$G$400,"lots")),IF(CE$2="Espèce",IF(CE$3="Toutes",SUMIFS('Étape 1 - à remplir'!$F$31:$F$400,'Étape 1 - à remplir'!$E$31:$E$400,MASQ2!BV448,'Étape 1 - à remplir'!$G$31:$G$400,"lots"),SUMIFS('Étape 1 - à remplir'!$F$31:$F$400,'Étape 1 - à remplir'!$E$31:$E$400,MASQ2!BV448,'Étape 1 - à remplir'!$N$31:$N$400,CE$3,'Étape 1 - à remplir'!$G$31:$G$400,"lots")))))))</f>
        <v>#N/A</v>
      </c>
      <c r="BX448">
        <f t="shared" si="283"/>
        <v>0</v>
      </c>
      <c r="BY448" t="str">
        <f t="shared" si="267"/>
        <v>Colistine</v>
      </c>
      <c r="BZ448" t="str">
        <f t="shared" si="268"/>
        <v/>
      </c>
      <c r="CA448" t="str">
        <f t="shared" si="269"/>
        <v/>
      </c>
      <c r="CB448" t="str">
        <f t="shared" si="270"/>
        <v>Polypeptides</v>
      </c>
      <c r="CC448" t="str">
        <f t="shared" si="271"/>
        <v/>
      </c>
      <c r="CD448" s="63" t="str">
        <f t="shared" si="272"/>
        <v/>
      </c>
      <c r="CG448" s="42">
        <v>445</v>
      </c>
      <c r="CH448" s="42" t="e">
        <f t="shared" si="288"/>
        <v>#N/A</v>
      </c>
      <c r="CI448" s="63" t="e">
        <f t="shared" si="289"/>
        <v>#N/A</v>
      </c>
      <c r="DM448" s="63"/>
      <c r="EA448" s="194" t="str">
        <f t="shared" ca="1" si="273"/>
        <v>x</v>
      </c>
      <c r="EB448" s="226" t="str">
        <f>IFERROR(IF(ED448=0,"",COUNTIF(ED$4:ED$600,"&gt;"&amp;ED448)+COUNTIF(ED$4:ED448,ED448)),"")</f>
        <v/>
      </c>
      <c r="EC448" t="str">
        <f t="shared" si="274"/>
        <v>SOLUCOL</v>
      </c>
      <c r="ED448" t="e">
        <f>IF(IF(EL$2="Catégorie",IF(EL$3="Toutes",SUMIFS('Étape 1 - à remplir'!$F$31:$F$400,'Étape 1 - à remplir'!$E$31:$E$400,MASQ2!EC448,'Étape 1 - à remplir'!$G$31:$G$400,"kg"),SUMIFS('Étape 1 - à remplir'!$F$31:$F$400,'Étape 1 - à remplir'!$E$31:$E$400,MASQ2!EC448,'Étape 1 - à remplir'!$C$31:$C$400,EL$3)),IF(EL$2="Âge",IF(EL$3="Tous",SUMIFS('Étape 1 - à remplir'!$F$31:$F$400,'Étape 1 - à remplir'!$E$31:$E$400,MASQ2!EC448,'Étape 1 - à remplir'!$G$31:$G$400,"kg"),SUMIFS('Étape 1 - à remplir'!$F$31:$F$400,'Étape 1 - à remplir'!$E$31:$E$400,MASQ2!EC448,'Étape 1 - à remplir'!$P$31:$P$400,EL$3,'Étape 1 - à remplir'!$G$31:$G$400,"kg")),IF(EL$2="Atelier",IF(EL$3="Tous",SUMIFS('Étape 1 - à remplir'!$F$31:$F$400,'Étape 1 - à remplir'!$E$31:$E$400,MASQ2!EC448,'Étape 1 - à remplir'!$G$31:$G$400,"kg"),SUMIFS('Étape 1 - à remplir'!$F$31:$F$400,'Étape 1 - à remplir'!$E$31:$E$400,MASQ2!EC448,'Étape 1 - à remplir'!$O$31:$O$400,EL$3,'Étape 1 - à remplir'!$G$31:$G$400,"kg")),IF(EL$2="Espèce",IF(EL$3="Toutes",SUMIFS('Étape 1 - à remplir'!$F$31:$F$400,'Étape 1 - à remplir'!$E$31:$E$400,MASQ2!EC448,'Étape 1 - à remplir'!$G$31:$G$400,"kg"),SUMIFS('Étape 1 - à remplir'!$F$31:$F$400,'Étape 1 - à remplir'!$E$31:$E$400,MASQ2!EC448,'Étape 1 - à remplir'!$N$31:$N$400,EL$3,'Étape 1 - à remplir'!$G$31:$G$400,"kg"))))))=0,NA(),IF(EL$2="Catégorie",IF(EL$3="Toutes",SUMIFS('Étape 1 - à remplir'!$F$31:$F$400,'Étape 1 - à remplir'!$E$31:$E$400,MASQ2!EC448,'Étape 1 - à remplir'!$G$31:$G$400,"kg"),SUMIFS('Étape 1 - à remplir'!$F$31:$F$400,'Étape 1 - à remplir'!$E$31:$E$400,MASQ2!EC448,'Étape 1 - à remplir'!$C$31:$C$400,EL$3)),IF(EL$2="Âge",IF(EL$3="Tous",SUMIFS('Étape 1 - à remplir'!$F$31:$F$400,'Étape 1 - à remplir'!$E$31:$E$400,MASQ2!EC448,'Étape 1 - à remplir'!$G$31:$G$400,"kg"),SUMIFS('Étape 1 - à remplir'!$F$31:$F$400,'Étape 1 - à remplir'!$E$31:$E$400,MASQ2!EC448,'Étape 1 - à remplir'!$P$31:$P$400,EL$3,'Étape 1 - à remplir'!$G$31:$G$400,"kg")),IF(EL$2="Atelier",IF(EL$3="Tous",SUMIFS('Étape 1 - à remplir'!$F$31:$F$400,'Étape 1 - à remplir'!$E$31:$E$400,MASQ2!EC448,'Étape 1 - à remplir'!$G$31:$G$400,"kg"),SUMIFS('Étape 1 - à remplir'!$F$31:$F$400,'Étape 1 - à remplir'!$E$31:$E$400,MASQ2!EC448,'Étape 1 - à remplir'!$O$31:$O$400,EL$3,'Étape 1 - à remplir'!$G$31:$G$400,"kg")),IF(EL$2="Espèce",IF(EL$3="Toutes",SUMIFS('Étape 1 - à remplir'!$F$31:$F$400,'Étape 1 - à remplir'!$E$31:$E$400,MASQ2!EC448,'Étape 1 - à remplir'!$G$31:$G$400,"kg"),SUMIFS('Étape 1 - à remplir'!$F$31:$F$400,'Étape 1 - à remplir'!$E$31:$E$400,MASQ2!EC448,'Étape 1 - à remplir'!$N$31:$N$400,EL$3,'Étape 1 - à remplir'!$G$31:$G$400,"kg")))))))</f>
        <v>#N/A</v>
      </c>
      <c r="EE448" s="76">
        <f t="shared" si="284"/>
        <v>0</v>
      </c>
      <c r="EF448" t="str">
        <f t="shared" si="275"/>
        <v>Colistine</v>
      </c>
      <c r="EG448" t="str">
        <f t="shared" si="276"/>
        <v/>
      </c>
      <c r="EH448" t="str">
        <f t="shared" si="277"/>
        <v/>
      </c>
      <c r="EI448" t="str">
        <f t="shared" si="278"/>
        <v>Polypeptides</v>
      </c>
      <c r="EJ448" t="str">
        <f t="shared" si="279"/>
        <v/>
      </c>
      <c r="EK448" s="63" t="str">
        <f t="shared" si="280"/>
        <v/>
      </c>
      <c r="EN448" s="42">
        <v>445</v>
      </c>
      <c r="EO448" t="e">
        <f t="shared" si="286"/>
        <v>#N/A</v>
      </c>
      <c r="EP448" s="63" t="e">
        <f t="shared" si="287"/>
        <v>#N/A</v>
      </c>
      <c r="FT448" s="63"/>
    </row>
    <row r="449" spans="2:176" x14ac:dyDescent="0.3">
      <c r="B449" s="42"/>
      <c r="M449" s="194" t="str">
        <f ca="1">INDEX(Données_ATB!BD:BU,MATCH(MASQ2!O449,Données_ATB!BD:BD,0),18)</f>
        <v/>
      </c>
      <c r="N449" s="14" t="str">
        <f>IFERROR(IF(Q449=0,"",COUNTIF(Q$4:Q$600,"&gt;"&amp;Q449)+COUNTIF(Q$4:Q449,Q449)),"")</f>
        <v/>
      </c>
      <c r="O449" t="str">
        <f>Données_ATB!BD448</f>
        <v>SOLUDOX 433 MG/G POUDRE POUR ADMINISTRATION DANS L'EAU DE BOISSON POUR DINDES</v>
      </c>
      <c r="P449" t="e">
        <f>IF(IF(X$2="Catégorie",IF(X$3="Toutes",SUMIFS('Étape 1 - à remplir'!$F$31:$F$400,'Étape 1 - à remplir'!$E$31:$E$400,MASQ2!O449,'Étape 1 - à remplir'!$G$31:$G$400,"animaux"),SUMIFS('Étape 1 - à remplir'!$F$31:$F$400,'Étape 1 - à remplir'!$E$31:$E$400,MASQ2!O449,'Étape 1 - à remplir'!$C$31:$C$400,X$3)),IF(X$2="Âge",IF(X$3="Tous",SUMIFS('Étape 1 - à remplir'!$F$31:$F$400,'Étape 1 - à remplir'!$E$31:$E$400,MASQ2!O449,'Étape 1 - à remplir'!$G$31:$G$400,"animaux"),SUMIFS('Étape 1 - à remplir'!$F$31:$F$400,'Étape 1 - à remplir'!$E$31:$E$400,MASQ2!O449,'Étape 1 - à remplir'!$P$31:$P$400,X$3)),IF(X$2="Atelier",IF(X$3="Tous",SUMIFS('Étape 1 - à remplir'!$F$31:$F$400,'Étape 1 - à remplir'!$E$31:$E$400,MASQ2!O449,'Étape 1 - à remplir'!$G$31:$G$400,"animaux"),SUMIFS('Étape 1 - à remplir'!$F$31:$F$400,'Étape 1 - à remplir'!$E$31:$E$400,MASQ2!O449,'Étape 1 - à remplir'!$O$31:$O$400,X$3)),IF(X$2="Espèce",IF(X$3="Toutes",SUMIFS('Étape 1 - à remplir'!$F$31:$F$400,'Étape 1 - à remplir'!$E$31:$E$400,MASQ2!O449,'Étape 1 - à remplir'!$G$31:$G$400,"animaux"),SUMIFS('Étape 1 - à remplir'!$F$31:$F$400,'Étape 1 - à remplir'!$E$31:$E$400,MASQ2!O449,'Étape 1 - à remplir'!$N$31:$N$400,X$3))))))=0,NA(),IF(X$2="Catégorie",IF(X$3="Toutes",SUMIFS('Étape 1 - à remplir'!$F$31:$F$400,'Étape 1 - à remplir'!$E$31:$E$400,MASQ2!O449,'Étape 1 - à remplir'!$G$31:$G$400,"animaux"),SUMIFS('Étape 1 - à remplir'!$F$31:$F$400,'Étape 1 - à remplir'!$E$31:$E$400,MASQ2!O449,'Étape 1 - à remplir'!$C$31:$C$400,X$3)),IF(X$2="Âge",IF(X$3="Tous",SUMIFS('Étape 1 - à remplir'!$F$31:$F$400,'Étape 1 - à remplir'!$E$31:$E$400,MASQ2!O449,'Étape 1 - à remplir'!$G$31:$G$400,"animaux"),SUMIFS('Étape 1 - à remplir'!$F$31:$F$400,'Étape 1 - à remplir'!$E$31:$E$400,MASQ2!O449,'Étape 1 - à remplir'!$P$31:$P$400,X$3)),IF(X$2="Atelier",IF(X$3="Tous",SUMIFS('Étape 1 - à remplir'!$F$31:$F$400,'Étape 1 - à remplir'!$E$31:$E$400,MASQ2!O449,'Étape 1 - à remplir'!$G$31:$G$400,"animaux"),SUMIFS('Étape 1 - à remplir'!$F$31:$F$400,'Étape 1 - à remplir'!$E$31:$E$400,MASQ2!O449,'Étape 1 - à remplir'!$O$31:$O$400,X$3)),IF(X$2="Espèce",IF(X$3="Toutes",SUMIFS('Étape 1 - à remplir'!$F$31:$F$400,'Étape 1 - à remplir'!$E$31:$E$400,MASQ2!O449,'Étape 1 - à remplir'!$G$31:$G$400,"animaux"),SUMIFS('Étape 1 - à remplir'!$F$31:$F$400,'Étape 1 - à remplir'!$E$31:$E$400,MASQ2!O449,'Étape 1 - à remplir'!$N$31:$N$400,X$3)))))))</f>
        <v>#N/A</v>
      </c>
      <c r="Q449" s="63">
        <f t="shared" si="285"/>
        <v>0</v>
      </c>
      <c r="R449" t="str">
        <f>Données_ATB!BM448</f>
        <v>Doxycycline</v>
      </c>
      <c r="S449" t="str">
        <f>Données_ATB!BN448</f>
        <v/>
      </c>
      <c r="T449" s="63" t="str">
        <f>Données_ATB!BO448</f>
        <v/>
      </c>
      <c r="U449" s="42" t="str">
        <f>Données_ATB!BQ448</f>
        <v>Tetracyclines</v>
      </c>
      <c r="V449" t="str">
        <f>Données_ATB!BR448</f>
        <v/>
      </c>
      <c r="W449" s="63" t="str">
        <f>Données_ATB!BS448</f>
        <v/>
      </c>
      <c r="Z449" s="42">
        <v>446</v>
      </c>
      <c r="AA449" t="e">
        <f t="shared" si="281"/>
        <v>#N/A</v>
      </c>
      <c r="AB449" s="63" t="e">
        <f t="shared" si="282"/>
        <v>#N/A</v>
      </c>
      <c r="BF449" s="63"/>
      <c r="BT449" s="194" t="str">
        <f t="shared" ca="1" si="265"/>
        <v/>
      </c>
      <c r="BU449" s="219" t="str">
        <f>IFERROR(IF(BX449=0,"",COUNTIF(BX$4:BX$600,"&gt;"&amp;BX449)+COUNTIF(BX$4:BX449,BX449)),"")</f>
        <v/>
      </c>
      <c r="BV449" s="42" t="str">
        <f t="shared" si="266"/>
        <v>SOLUDOX 433 MG/G POUDRE POUR ADMINISTRATION DANS L'EAU DE BOISSON POUR DINDES</v>
      </c>
      <c r="BW449" t="e">
        <f>IF(IF(CE$2="Catégorie",IF(CE$3="Toutes",SUMIFS('Étape 1 - à remplir'!$F$31:$F$400,'Étape 1 - à remplir'!$E$31:$E$400,MASQ2!BV449,'Étape 1 - à remplir'!$G$31:$G$400,"lots"),SUMIFS('Étape 1 - à remplir'!$F$31:$F$400,'Étape 1 - à remplir'!$E$31:$E$400,MASQ2!BV449,'Étape 1 - à remplir'!$C$31:$C$400,CE$3)),IF(CE$2="Âge",IF(CE$3="Tous",SUMIFS('Étape 1 - à remplir'!$F$31:$F$400,'Étape 1 - à remplir'!$E$31:$E$400,MASQ2!BV449,'Étape 1 - à remplir'!$G$31:$G$400,"lots"),SUMIFS('Étape 1 - à remplir'!$F$31:$F$400,'Étape 1 - à remplir'!$E$31:$E$400,MASQ2!BV449,'Étape 1 - à remplir'!$P$31:$P$400,CE$3,'Étape 1 - à remplir'!$G$31:$G$400,"lots")),IF(CE$2="Atelier",IF(CE$3="Tous",SUMIFS('Étape 1 - à remplir'!$F$31:$F$400,'Étape 1 - à remplir'!$E$31:$E$400,MASQ2!BV449,'Étape 1 - à remplir'!$G$31:$G$400,"lots"),SUMIFS('Étape 1 - à remplir'!$F$31:$F$400,'Étape 1 - à remplir'!$E$31:$E$400,MASQ2!BV449,'Étape 1 - à remplir'!$O$31:$O$400,CE$3,'Étape 1 - à remplir'!$G$31:$G$400,"lots")),IF(CE$2="Espèce",IF(CE$3="Toutes",SUMIFS('Étape 1 - à remplir'!$F$31:$F$400,'Étape 1 - à remplir'!$E$31:$E$400,MASQ2!BV449,'Étape 1 - à remplir'!$G$31:$G$400,"lots"),SUMIFS('Étape 1 - à remplir'!$F$31:$F$400,'Étape 1 - à remplir'!$E$31:$E$400,MASQ2!BV449,'Étape 1 - à remplir'!$N$31:$N$400,CE$3,'Étape 1 - à remplir'!$G$31:$G$400,"lots"))))))=0,NA(),IF(CE$2="Catégorie",IF(CE$3="Toutes",SUMIFS('Étape 1 - à remplir'!$F$31:$F$400,'Étape 1 - à remplir'!$E$31:$E$400,MASQ2!BV449,'Étape 1 - à remplir'!$G$31:$G$400,"lots"),SUMIFS('Étape 1 - à remplir'!$F$31:$F$400,'Étape 1 - à remplir'!$E$31:$E$400,MASQ2!BV449,'Étape 1 - à remplir'!$C$31:$C$400,CE$3)),IF(CE$2="Âge",IF(CE$3="Tous",SUMIFS('Étape 1 - à remplir'!$F$31:$F$400,'Étape 1 - à remplir'!$E$31:$E$400,MASQ2!BV449,'Étape 1 - à remplir'!$G$31:$G$400,"lots"),SUMIFS('Étape 1 - à remplir'!$F$31:$F$400,'Étape 1 - à remplir'!$E$31:$E$400,MASQ2!BV449,'Étape 1 - à remplir'!$P$31:$P$400,CE$3,'Étape 1 - à remplir'!$G$31:$G$400,"lots")),IF(CE$2="Atelier",IF(CE$3="Tous",SUMIFS('Étape 1 - à remplir'!$F$31:$F$400,'Étape 1 - à remplir'!$E$31:$E$400,MASQ2!BV449,'Étape 1 - à remplir'!$G$31:$G$400,"lots"),SUMIFS('Étape 1 - à remplir'!$F$31:$F$400,'Étape 1 - à remplir'!$E$31:$E$400,MASQ2!BV449,'Étape 1 - à remplir'!$O$31:$O$400,CE$3,'Étape 1 - à remplir'!$G$31:$G$400,"lots")),IF(CE$2="Espèce",IF(CE$3="Toutes",SUMIFS('Étape 1 - à remplir'!$F$31:$F$400,'Étape 1 - à remplir'!$E$31:$E$400,MASQ2!BV449,'Étape 1 - à remplir'!$G$31:$G$400,"lots"),SUMIFS('Étape 1 - à remplir'!$F$31:$F$400,'Étape 1 - à remplir'!$E$31:$E$400,MASQ2!BV449,'Étape 1 - à remplir'!$N$31:$N$400,CE$3,'Étape 1 - à remplir'!$G$31:$G$400,"lots")))))))</f>
        <v>#N/A</v>
      </c>
      <c r="BX449">
        <f t="shared" si="283"/>
        <v>0</v>
      </c>
      <c r="BY449" t="str">
        <f t="shared" si="267"/>
        <v>Doxycycline</v>
      </c>
      <c r="BZ449" t="str">
        <f t="shared" si="268"/>
        <v/>
      </c>
      <c r="CA449" t="str">
        <f t="shared" si="269"/>
        <v/>
      </c>
      <c r="CB449" t="str">
        <f t="shared" si="270"/>
        <v>Tetracyclines</v>
      </c>
      <c r="CC449" t="str">
        <f t="shared" si="271"/>
        <v/>
      </c>
      <c r="CD449" s="63" t="str">
        <f t="shared" si="272"/>
        <v/>
      </c>
      <c r="CG449" s="42">
        <v>446</v>
      </c>
      <c r="CH449" s="42" t="e">
        <f t="shared" si="288"/>
        <v>#N/A</v>
      </c>
      <c r="CI449" s="63" t="e">
        <f t="shared" si="289"/>
        <v>#N/A</v>
      </c>
      <c r="DM449" s="63"/>
      <c r="EA449" s="194" t="str">
        <f t="shared" ca="1" si="273"/>
        <v/>
      </c>
      <c r="EB449" s="226" t="str">
        <f>IFERROR(IF(ED449=0,"",COUNTIF(ED$4:ED$600,"&gt;"&amp;ED449)+COUNTIF(ED$4:ED449,ED449)),"")</f>
        <v/>
      </c>
      <c r="EC449" t="str">
        <f t="shared" si="274"/>
        <v>SOLUDOX 433 MG/G POUDRE POUR ADMINISTRATION DANS L'EAU DE BOISSON POUR DINDES</v>
      </c>
      <c r="ED449" t="e">
        <f>IF(IF(EL$2="Catégorie",IF(EL$3="Toutes",SUMIFS('Étape 1 - à remplir'!$F$31:$F$400,'Étape 1 - à remplir'!$E$31:$E$400,MASQ2!EC449,'Étape 1 - à remplir'!$G$31:$G$400,"kg"),SUMIFS('Étape 1 - à remplir'!$F$31:$F$400,'Étape 1 - à remplir'!$E$31:$E$400,MASQ2!EC449,'Étape 1 - à remplir'!$C$31:$C$400,EL$3)),IF(EL$2="Âge",IF(EL$3="Tous",SUMIFS('Étape 1 - à remplir'!$F$31:$F$400,'Étape 1 - à remplir'!$E$31:$E$400,MASQ2!EC449,'Étape 1 - à remplir'!$G$31:$G$400,"kg"),SUMIFS('Étape 1 - à remplir'!$F$31:$F$400,'Étape 1 - à remplir'!$E$31:$E$400,MASQ2!EC449,'Étape 1 - à remplir'!$P$31:$P$400,EL$3,'Étape 1 - à remplir'!$G$31:$G$400,"kg")),IF(EL$2="Atelier",IF(EL$3="Tous",SUMIFS('Étape 1 - à remplir'!$F$31:$F$400,'Étape 1 - à remplir'!$E$31:$E$400,MASQ2!EC449,'Étape 1 - à remplir'!$G$31:$G$400,"kg"),SUMIFS('Étape 1 - à remplir'!$F$31:$F$400,'Étape 1 - à remplir'!$E$31:$E$400,MASQ2!EC449,'Étape 1 - à remplir'!$O$31:$O$400,EL$3,'Étape 1 - à remplir'!$G$31:$G$400,"kg")),IF(EL$2="Espèce",IF(EL$3="Toutes",SUMIFS('Étape 1 - à remplir'!$F$31:$F$400,'Étape 1 - à remplir'!$E$31:$E$400,MASQ2!EC449,'Étape 1 - à remplir'!$G$31:$G$400,"kg"),SUMIFS('Étape 1 - à remplir'!$F$31:$F$400,'Étape 1 - à remplir'!$E$31:$E$400,MASQ2!EC449,'Étape 1 - à remplir'!$N$31:$N$400,EL$3,'Étape 1 - à remplir'!$G$31:$G$400,"kg"))))))=0,NA(),IF(EL$2="Catégorie",IF(EL$3="Toutes",SUMIFS('Étape 1 - à remplir'!$F$31:$F$400,'Étape 1 - à remplir'!$E$31:$E$400,MASQ2!EC449,'Étape 1 - à remplir'!$G$31:$G$400,"kg"),SUMIFS('Étape 1 - à remplir'!$F$31:$F$400,'Étape 1 - à remplir'!$E$31:$E$400,MASQ2!EC449,'Étape 1 - à remplir'!$C$31:$C$400,EL$3)),IF(EL$2="Âge",IF(EL$3="Tous",SUMIFS('Étape 1 - à remplir'!$F$31:$F$400,'Étape 1 - à remplir'!$E$31:$E$400,MASQ2!EC449,'Étape 1 - à remplir'!$G$31:$G$400,"kg"),SUMIFS('Étape 1 - à remplir'!$F$31:$F$400,'Étape 1 - à remplir'!$E$31:$E$400,MASQ2!EC449,'Étape 1 - à remplir'!$P$31:$P$400,EL$3,'Étape 1 - à remplir'!$G$31:$G$400,"kg")),IF(EL$2="Atelier",IF(EL$3="Tous",SUMIFS('Étape 1 - à remplir'!$F$31:$F$400,'Étape 1 - à remplir'!$E$31:$E$400,MASQ2!EC449,'Étape 1 - à remplir'!$G$31:$G$400,"kg"),SUMIFS('Étape 1 - à remplir'!$F$31:$F$400,'Étape 1 - à remplir'!$E$31:$E$400,MASQ2!EC449,'Étape 1 - à remplir'!$O$31:$O$400,EL$3,'Étape 1 - à remplir'!$G$31:$G$400,"kg")),IF(EL$2="Espèce",IF(EL$3="Toutes",SUMIFS('Étape 1 - à remplir'!$F$31:$F$400,'Étape 1 - à remplir'!$E$31:$E$400,MASQ2!EC449,'Étape 1 - à remplir'!$G$31:$G$400,"kg"),SUMIFS('Étape 1 - à remplir'!$F$31:$F$400,'Étape 1 - à remplir'!$E$31:$E$400,MASQ2!EC449,'Étape 1 - à remplir'!$N$31:$N$400,EL$3,'Étape 1 - à remplir'!$G$31:$G$400,"kg")))))))</f>
        <v>#N/A</v>
      </c>
      <c r="EE449" s="76">
        <f t="shared" si="284"/>
        <v>0</v>
      </c>
      <c r="EF449" t="str">
        <f t="shared" si="275"/>
        <v>Doxycycline</v>
      </c>
      <c r="EG449" t="str">
        <f t="shared" si="276"/>
        <v/>
      </c>
      <c r="EH449" t="str">
        <f t="shared" si="277"/>
        <v/>
      </c>
      <c r="EI449" t="str">
        <f t="shared" si="278"/>
        <v>Tetracyclines</v>
      </c>
      <c r="EJ449" t="str">
        <f t="shared" si="279"/>
        <v/>
      </c>
      <c r="EK449" s="63" t="str">
        <f t="shared" si="280"/>
        <v/>
      </c>
      <c r="EN449" s="42">
        <v>446</v>
      </c>
      <c r="EO449" t="e">
        <f t="shared" si="286"/>
        <v>#N/A</v>
      </c>
      <c r="EP449" s="63" t="e">
        <f t="shared" si="287"/>
        <v>#N/A</v>
      </c>
      <c r="FT449" s="63"/>
    </row>
    <row r="450" spans="2:176" x14ac:dyDescent="0.3">
      <c r="B450" s="42"/>
      <c r="M450" s="194" t="str">
        <f ca="1">INDEX(Données_ATB!BD:BU,MATCH(MASQ2!O450,Données_ATB!BD:BD,0),18)</f>
        <v/>
      </c>
      <c r="N450" s="14" t="str">
        <f>IFERROR(IF(Q450=0,"",COUNTIF(Q$4:Q$600,"&gt;"&amp;Q450)+COUNTIF(Q$4:Q450,Q450)),"")</f>
        <v/>
      </c>
      <c r="O450" t="str">
        <f>Données_ATB!BD449</f>
        <v>SOLUDOX 433 MG/G POUDRE POUR ADMINISTRATION DANS L'EAU DE BOISSON POUR PORCS ET POULETS</v>
      </c>
      <c r="P450" t="e">
        <f>IF(IF(X$2="Catégorie",IF(X$3="Toutes",SUMIFS('Étape 1 - à remplir'!$F$31:$F$400,'Étape 1 - à remplir'!$E$31:$E$400,MASQ2!O450,'Étape 1 - à remplir'!$G$31:$G$400,"animaux"),SUMIFS('Étape 1 - à remplir'!$F$31:$F$400,'Étape 1 - à remplir'!$E$31:$E$400,MASQ2!O450,'Étape 1 - à remplir'!$C$31:$C$400,X$3)),IF(X$2="Âge",IF(X$3="Tous",SUMIFS('Étape 1 - à remplir'!$F$31:$F$400,'Étape 1 - à remplir'!$E$31:$E$400,MASQ2!O450,'Étape 1 - à remplir'!$G$31:$G$400,"animaux"),SUMIFS('Étape 1 - à remplir'!$F$31:$F$400,'Étape 1 - à remplir'!$E$31:$E$400,MASQ2!O450,'Étape 1 - à remplir'!$P$31:$P$400,X$3)),IF(X$2="Atelier",IF(X$3="Tous",SUMIFS('Étape 1 - à remplir'!$F$31:$F$400,'Étape 1 - à remplir'!$E$31:$E$400,MASQ2!O450,'Étape 1 - à remplir'!$G$31:$G$400,"animaux"),SUMIFS('Étape 1 - à remplir'!$F$31:$F$400,'Étape 1 - à remplir'!$E$31:$E$400,MASQ2!O450,'Étape 1 - à remplir'!$O$31:$O$400,X$3)),IF(X$2="Espèce",IF(X$3="Toutes",SUMIFS('Étape 1 - à remplir'!$F$31:$F$400,'Étape 1 - à remplir'!$E$31:$E$400,MASQ2!O450,'Étape 1 - à remplir'!$G$31:$G$400,"animaux"),SUMIFS('Étape 1 - à remplir'!$F$31:$F$400,'Étape 1 - à remplir'!$E$31:$E$400,MASQ2!O450,'Étape 1 - à remplir'!$N$31:$N$400,X$3))))))=0,NA(),IF(X$2="Catégorie",IF(X$3="Toutes",SUMIFS('Étape 1 - à remplir'!$F$31:$F$400,'Étape 1 - à remplir'!$E$31:$E$400,MASQ2!O450,'Étape 1 - à remplir'!$G$31:$G$400,"animaux"),SUMIFS('Étape 1 - à remplir'!$F$31:$F$400,'Étape 1 - à remplir'!$E$31:$E$400,MASQ2!O450,'Étape 1 - à remplir'!$C$31:$C$400,X$3)),IF(X$2="Âge",IF(X$3="Tous",SUMIFS('Étape 1 - à remplir'!$F$31:$F$400,'Étape 1 - à remplir'!$E$31:$E$400,MASQ2!O450,'Étape 1 - à remplir'!$G$31:$G$400,"animaux"),SUMIFS('Étape 1 - à remplir'!$F$31:$F$400,'Étape 1 - à remplir'!$E$31:$E$400,MASQ2!O450,'Étape 1 - à remplir'!$P$31:$P$400,X$3)),IF(X$2="Atelier",IF(X$3="Tous",SUMIFS('Étape 1 - à remplir'!$F$31:$F$400,'Étape 1 - à remplir'!$E$31:$E$400,MASQ2!O450,'Étape 1 - à remplir'!$G$31:$G$400,"animaux"),SUMIFS('Étape 1 - à remplir'!$F$31:$F$400,'Étape 1 - à remplir'!$E$31:$E$400,MASQ2!O450,'Étape 1 - à remplir'!$O$31:$O$400,X$3)),IF(X$2="Espèce",IF(X$3="Toutes",SUMIFS('Étape 1 - à remplir'!$F$31:$F$400,'Étape 1 - à remplir'!$E$31:$E$400,MASQ2!O450,'Étape 1 - à remplir'!$G$31:$G$400,"animaux"),SUMIFS('Étape 1 - à remplir'!$F$31:$F$400,'Étape 1 - à remplir'!$E$31:$E$400,MASQ2!O450,'Étape 1 - à remplir'!$N$31:$N$400,X$3)))))))</f>
        <v>#N/A</v>
      </c>
      <c r="Q450" s="63">
        <f t="shared" si="285"/>
        <v>0</v>
      </c>
      <c r="R450" t="str">
        <f>Données_ATB!BM449</f>
        <v>Doxycycline</v>
      </c>
      <c r="S450" t="str">
        <f>Données_ATB!BN449</f>
        <v/>
      </c>
      <c r="T450" s="63" t="str">
        <f>Données_ATB!BO449</f>
        <v/>
      </c>
      <c r="U450" s="42" t="str">
        <f>Données_ATB!BQ449</f>
        <v>Tetracyclines</v>
      </c>
      <c r="V450" t="str">
        <f>Données_ATB!BR449</f>
        <v/>
      </c>
      <c r="W450" s="63" t="str">
        <f>Données_ATB!BS449</f>
        <v/>
      </c>
      <c r="Z450" s="42">
        <v>447</v>
      </c>
      <c r="AA450" t="e">
        <f t="shared" si="281"/>
        <v>#N/A</v>
      </c>
      <c r="AB450" s="63" t="e">
        <f t="shared" si="282"/>
        <v>#N/A</v>
      </c>
      <c r="BF450" s="63"/>
      <c r="BT450" s="194" t="str">
        <f t="shared" ca="1" si="265"/>
        <v/>
      </c>
      <c r="BU450" s="219" t="str">
        <f>IFERROR(IF(BX450=0,"",COUNTIF(BX$4:BX$600,"&gt;"&amp;BX450)+COUNTIF(BX$4:BX450,BX450)),"")</f>
        <v/>
      </c>
      <c r="BV450" s="42" t="str">
        <f t="shared" si="266"/>
        <v>SOLUDOX 433 MG/G POUDRE POUR ADMINISTRATION DANS L'EAU DE BOISSON POUR PORCS ET POULETS</v>
      </c>
      <c r="BW450" t="e">
        <f>IF(IF(CE$2="Catégorie",IF(CE$3="Toutes",SUMIFS('Étape 1 - à remplir'!$F$31:$F$400,'Étape 1 - à remplir'!$E$31:$E$400,MASQ2!BV450,'Étape 1 - à remplir'!$G$31:$G$400,"lots"),SUMIFS('Étape 1 - à remplir'!$F$31:$F$400,'Étape 1 - à remplir'!$E$31:$E$400,MASQ2!BV450,'Étape 1 - à remplir'!$C$31:$C$400,CE$3)),IF(CE$2="Âge",IF(CE$3="Tous",SUMIFS('Étape 1 - à remplir'!$F$31:$F$400,'Étape 1 - à remplir'!$E$31:$E$400,MASQ2!BV450,'Étape 1 - à remplir'!$G$31:$G$400,"lots"),SUMIFS('Étape 1 - à remplir'!$F$31:$F$400,'Étape 1 - à remplir'!$E$31:$E$400,MASQ2!BV450,'Étape 1 - à remplir'!$P$31:$P$400,CE$3,'Étape 1 - à remplir'!$G$31:$G$400,"lots")),IF(CE$2="Atelier",IF(CE$3="Tous",SUMIFS('Étape 1 - à remplir'!$F$31:$F$400,'Étape 1 - à remplir'!$E$31:$E$400,MASQ2!BV450,'Étape 1 - à remplir'!$G$31:$G$400,"lots"),SUMIFS('Étape 1 - à remplir'!$F$31:$F$400,'Étape 1 - à remplir'!$E$31:$E$400,MASQ2!BV450,'Étape 1 - à remplir'!$O$31:$O$400,CE$3,'Étape 1 - à remplir'!$G$31:$G$400,"lots")),IF(CE$2="Espèce",IF(CE$3="Toutes",SUMIFS('Étape 1 - à remplir'!$F$31:$F$400,'Étape 1 - à remplir'!$E$31:$E$400,MASQ2!BV450,'Étape 1 - à remplir'!$G$31:$G$400,"lots"),SUMIFS('Étape 1 - à remplir'!$F$31:$F$400,'Étape 1 - à remplir'!$E$31:$E$400,MASQ2!BV450,'Étape 1 - à remplir'!$N$31:$N$400,CE$3,'Étape 1 - à remplir'!$G$31:$G$400,"lots"))))))=0,NA(),IF(CE$2="Catégorie",IF(CE$3="Toutes",SUMIFS('Étape 1 - à remplir'!$F$31:$F$400,'Étape 1 - à remplir'!$E$31:$E$400,MASQ2!BV450,'Étape 1 - à remplir'!$G$31:$G$400,"lots"),SUMIFS('Étape 1 - à remplir'!$F$31:$F$400,'Étape 1 - à remplir'!$E$31:$E$400,MASQ2!BV450,'Étape 1 - à remplir'!$C$31:$C$400,CE$3)),IF(CE$2="Âge",IF(CE$3="Tous",SUMIFS('Étape 1 - à remplir'!$F$31:$F$400,'Étape 1 - à remplir'!$E$31:$E$400,MASQ2!BV450,'Étape 1 - à remplir'!$G$31:$G$400,"lots"),SUMIFS('Étape 1 - à remplir'!$F$31:$F$400,'Étape 1 - à remplir'!$E$31:$E$400,MASQ2!BV450,'Étape 1 - à remplir'!$P$31:$P$400,CE$3,'Étape 1 - à remplir'!$G$31:$G$400,"lots")),IF(CE$2="Atelier",IF(CE$3="Tous",SUMIFS('Étape 1 - à remplir'!$F$31:$F$400,'Étape 1 - à remplir'!$E$31:$E$400,MASQ2!BV450,'Étape 1 - à remplir'!$G$31:$G$400,"lots"),SUMIFS('Étape 1 - à remplir'!$F$31:$F$400,'Étape 1 - à remplir'!$E$31:$E$400,MASQ2!BV450,'Étape 1 - à remplir'!$O$31:$O$400,CE$3,'Étape 1 - à remplir'!$G$31:$G$400,"lots")),IF(CE$2="Espèce",IF(CE$3="Toutes",SUMIFS('Étape 1 - à remplir'!$F$31:$F$400,'Étape 1 - à remplir'!$E$31:$E$400,MASQ2!BV450,'Étape 1 - à remplir'!$G$31:$G$400,"lots"),SUMIFS('Étape 1 - à remplir'!$F$31:$F$400,'Étape 1 - à remplir'!$E$31:$E$400,MASQ2!BV450,'Étape 1 - à remplir'!$N$31:$N$400,CE$3,'Étape 1 - à remplir'!$G$31:$G$400,"lots")))))))</f>
        <v>#N/A</v>
      </c>
      <c r="BX450">
        <f t="shared" si="283"/>
        <v>0</v>
      </c>
      <c r="BY450" t="str">
        <f t="shared" si="267"/>
        <v>Doxycycline</v>
      </c>
      <c r="BZ450" t="str">
        <f t="shared" si="268"/>
        <v/>
      </c>
      <c r="CA450" t="str">
        <f t="shared" si="269"/>
        <v/>
      </c>
      <c r="CB450" t="str">
        <f t="shared" si="270"/>
        <v>Tetracyclines</v>
      </c>
      <c r="CC450" t="str">
        <f t="shared" si="271"/>
        <v/>
      </c>
      <c r="CD450" s="63" t="str">
        <f t="shared" si="272"/>
        <v/>
      </c>
      <c r="CG450" s="42">
        <v>447</v>
      </c>
      <c r="CH450" s="42" t="e">
        <f t="shared" si="288"/>
        <v>#N/A</v>
      </c>
      <c r="CI450" s="63" t="e">
        <f t="shared" si="289"/>
        <v>#N/A</v>
      </c>
      <c r="DM450" s="63"/>
      <c r="EA450" s="194" t="str">
        <f t="shared" ca="1" si="273"/>
        <v/>
      </c>
      <c r="EB450" s="226" t="str">
        <f>IFERROR(IF(ED450=0,"",COUNTIF(ED$4:ED$600,"&gt;"&amp;ED450)+COUNTIF(ED$4:ED450,ED450)),"")</f>
        <v/>
      </c>
      <c r="EC450" t="str">
        <f t="shared" si="274"/>
        <v>SOLUDOX 433 MG/G POUDRE POUR ADMINISTRATION DANS L'EAU DE BOISSON POUR PORCS ET POULETS</v>
      </c>
      <c r="ED450" t="e">
        <f>IF(IF(EL$2="Catégorie",IF(EL$3="Toutes",SUMIFS('Étape 1 - à remplir'!$F$31:$F$400,'Étape 1 - à remplir'!$E$31:$E$400,MASQ2!EC450,'Étape 1 - à remplir'!$G$31:$G$400,"kg"),SUMIFS('Étape 1 - à remplir'!$F$31:$F$400,'Étape 1 - à remplir'!$E$31:$E$400,MASQ2!EC450,'Étape 1 - à remplir'!$C$31:$C$400,EL$3)),IF(EL$2="Âge",IF(EL$3="Tous",SUMIFS('Étape 1 - à remplir'!$F$31:$F$400,'Étape 1 - à remplir'!$E$31:$E$400,MASQ2!EC450,'Étape 1 - à remplir'!$G$31:$G$400,"kg"),SUMIFS('Étape 1 - à remplir'!$F$31:$F$400,'Étape 1 - à remplir'!$E$31:$E$400,MASQ2!EC450,'Étape 1 - à remplir'!$P$31:$P$400,EL$3,'Étape 1 - à remplir'!$G$31:$G$400,"kg")),IF(EL$2="Atelier",IF(EL$3="Tous",SUMIFS('Étape 1 - à remplir'!$F$31:$F$400,'Étape 1 - à remplir'!$E$31:$E$400,MASQ2!EC450,'Étape 1 - à remplir'!$G$31:$G$400,"kg"),SUMIFS('Étape 1 - à remplir'!$F$31:$F$400,'Étape 1 - à remplir'!$E$31:$E$400,MASQ2!EC450,'Étape 1 - à remplir'!$O$31:$O$400,EL$3,'Étape 1 - à remplir'!$G$31:$G$400,"kg")),IF(EL$2="Espèce",IF(EL$3="Toutes",SUMIFS('Étape 1 - à remplir'!$F$31:$F$400,'Étape 1 - à remplir'!$E$31:$E$400,MASQ2!EC450,'Étape 1 - à remplir'!$G$31:$G$400,"kg"),SUMIFS('Étape 1 - à remplir'!$F$31:$F$400,'Étape 1 - à remplir'!$E$31:$E$400,MASQ2!EC450,'Étape 1 - à remplir'!$N$31:$N$400,EL$3,'Étape 1 - à remplir'!$G$31:$G$400,"kg"))))))=0,NA(),IF(EL$2="Catégorie",IF(EL$3="Toutes",SUMIFS('Étape 1 - à remplir'!$F$31:$F$400,'Étape 1 - à remplir'!$E$31:$E$400,MASQ2!EC450,'Étape 1 - à remplir'!$G$31:$G$400,"kg"),SUMIFS('Étape 1 - à remplir'!$F$31:$F$400,'Étape 1 - à remplir'!$E$31:$E$400,MASQ2!EC450,'Étape 1 - à remplir'!$C$31:$C$400,EL$3)),IF(EL$2="Âge",IF(EL$3="Tous",SUMIFS('Étape 1 - à remplir'!$F$31:$F$400,'Étape 1 - à remplir'!$E$31:$E$400,MASQ2!EC450,'Étape 1 - à remplir'!$G$31:$G$400,"kg"),SUMIFS('Étape 1 - à remplir'!$F$31:$F$400,'Étape 1 - à remplir'!$E$31:$E$400,MASQ2!EC450,'Étape 1 - à remplir'!$P$31:$P$400,EL$3,'Étape 1 - à remplir'!$G$31:$G$400,"kg")),IF(EL$2="Atelier",IF(EL$3="Tous",SUMIFS('Étape 1 - à remplir'!$F$31:$F$400,'Étape 1 - à remplir'!$E$31:$E$400,MASQ2!EC450,'Étape 1 - à remplir'!$G$31:$G$400,"kg"),SUMIFS('Étape 1 - à remplir'!$F$31:$F$400,'Étape 1 - à remplir'!$E$31:$E$400,MASQ2!EC450,'Étape 1 - à remplir'!$O$31:$O$400,EL$3,'Étape 1 - à remplir'!$G$31:$G$400,"kg")),IF(EL$2="Espèce",IF(EL$3="Toutes",SUMIFS('Étape 1 - à remplir'!$F$31:$F$400,'Étape 1 - à remplir'!$E$31:$E$400,MASQ2!EC450,'Étape 1 - à remplir'!$G$31:$G$400,"kg"),SUMIFS('Étape 1 - à remplir'!$F$31:$F$400,'Étape 1 - à remplir'!$E$31:$E$400,MASQ2!EC450,'Étape 1 - à remplir'!$N$31:$N$400,EL$3,'Étape 1 - à remplir'!$G$31:$G$400,"kg")))))))</f>
        <v>#N/A</v>
      </c>
      <c r="EE450" s="76">
        <f t="shared" si="284"/>
        <v>0</v>
      </c>
      <c r="EF450" t="str">
        <f t="shared" si="275"/>
        <v>Doxycycline</v>
      </c>
      <c r="EG450" t="str">
        <f t="shared" si="276"/>
        <v/>
      </c>
      <c r="EH450" t="str">
        <f t="shared" si="277"/>
        <v/>
      </c>
      <c r="EI450" t="str">
        <f t="shared" si="278"/>
        <v>Tetracyclines</v>
      </c>
      <c r="EJ450" t="str">
        <f t="shared" si="279"/>
        <v/>
      </c>
      <c r="EK450" s="63" t="str">
        <f t="shared" si="280"/>
        <v/>
      </c>
      <c r="EN450" s="42">
        <v>447</v>
      </c>
      <c r="EO450" t="e">
        <f t="shared" si="286"/>
        <v>#N/A</v>
      </c>
      <c r="EP450" s="63" t="e">
        <f t="shared" si="287"/>
        <v>#N/A</v>
      </c>
      <c r="FT450" s="63"/>
    </row>
    <row r="451" spans="2:176" x14ac:dyDescent="0.3">
      <c r="B451" s="42"/>
      <c r="M451" s="194" t="str">
        <f ca="1">INDEX(Données_ATB!BD:BU,MATCH(MASQ2!O451,Données_ATB!BD:BD,0),18)</f>
        <v/>
      </c>
      <c r="N451" s="14" t="str">
        <f>IFERROR(IF(Q451=0,"",COUNTIF(Q$4:Q$600,"&gt;"&amp;Q451)+COUNTIF(Q$4:Q451,Q451)),"")</f>
        <v/>
      </c>
      <c r="O451" t="str">
        <f>Données_ATB!BD450</f>
        <v>SPECIORLAC</v>
      </c>
      <c r="P451" t="e">
        <f>IF(IF(X$2="Catégorie",IF(X$3="Toutes",SUMIFS('Étape 1 - à remplir'!$F$31:$F$400,'Étape 1 - à remplir'!$E$31:$E$400,MASQ2!O451,'Étape 1 - à remplir'!$G$31:$G$400,"animaux"),SUMIFS('Étape 1 - à remplir'!$F$31:$F$400,'Étape 1 - à remplir'!$E$31:$E$400,MASQ2!O451,'Étape 1 - à remplir'!$C$31:$C$400,X$3)),IF(X$2="Âge",IF(X$3="Tous",SUMIFS('Étape 1 - à remplir'!$F$31:$F$400,'Étape 1 - à remplir'!$E$31:$E$400,MASQ2!O451,'Étape 1 - à remplir'!$G$31:$G$400,"animaux"),SUMIFS('Étape 1 - à remplir'!$F$31:$F$400,'Étape 1 - à remplir'!$E$31:$E$400,MASQ2!O451,'Étape 1 - à remplir'!$P$31:$P$400,X$3)),IF(X$2="Atelier",IF(X$3="Tous",SUMIFS('Étape 1 - à remplir'!$F$31:$F$400,'Étape 1 - à remplir'!$E$31:$E$400,MASQ2!O451,'Étape 1 - à remplir'!$G$31:$G$400,"animaux"),SUMIFS('Étape 1 - à remplir'!$F$31:$F$400,'Étape 1 - à remplir'!$E$31:$E$400,MASQ2!O451,'Étape 1 - à remplir'!$O$31:$O$400,X$3)),IF(X$2="Espèce",IF(X$3="Toutes",SUMIFS('Étape 1 - à remplir'!$F$31:$F$400,'Étape 1 - à remplir'!$E$31:$E$400,MASQ2!O451,'Étape 1 - à remplir'!$G$31:$G$400,"animaux"),SUMIFS('Étape 1 - à remplir'!$F$31:$F$400,'Étape 1 - à remplir'!$E$31:$E$400,MASQ2!O451,'Étape 1 - à remplir'!$N$31:$N$400,X$3))))))=0,NA(),IF(X$2="Catégorie",IF(X$3="Toutes",SUMIFS('Étape 1 - à remplir'!$F$31:$F$400,'Étape 1 - à remplir'!$E$31:$E$400,MASQ2!O451,'Étape 1 - à remplir'!$G$31:$G$400,"animaux"),SUMIFS('Étape 1 - à remplir'!$F$31:$F$400,'Étape 1 - à remplir'!$E$31:$E$400,MASQ2!O451,'Étape 1 - à remplir'!$C$31:$C$400,X$3)),IF(X$2="Âge",IF(X$3="Tous",SUMIFS('Étape 1 - à remplir'!$F$31:$F$400,'Étape 1 - à remplir'!$E$31:$E$400,MASQ2!O451,'Étape 1 - à remplir'!$G$31:$G$400,"animaux"),SUMIFS('Étape 1 - à remplir'!$F$31:$F$400,'Étape 1 - à remplir'!$E$31:$E$400,MASQ2!O451,'Étape 1 - à remplir'!$P$31:$P$400,X$3)),IF(X$2="Atelier",IF(X$3="Tous",SUMIFS('Étape 1 - à remplir'!$F$31:$F$400,'Étape 1 - à remplir'!$E$31:$E$400,MASQ2!O451,'Étape 1 - à remplir'!$G$31:$G$400,"animaux"),SUMIFS('Étape 1 - à remplir'!$F$31:$F$400,'Étape 1 - à remplir'!$E$31:$E$400,MASQ2!O451,'Étape 1 - à remplir'!$O$31:$O$400,X$3)),IF(X$2="Espèce",IF(X$3="Toutes",SUMIFS('Étape 1 - à remplir'!$F$31:$F$400,'Étape 1 - à remplir'!$E$31:$E$400,MASQ2!O451,'Étape 1 - à remplir'!$G$31:$G$400,"animaux"),SUMIFS('Étape 1 - à remplir'!$F$31:$F$400,'Étape 1 - à remplir'!$E$31:$E$400,MASQ2!O451,'Étape 1 - à remplir'!$N$31:$N$400,X$3)))))))</f>
        <v>#N/A</v>
      </c>
      <c r="Q451" s="63">
        <f t="shared" si="285"/>
        <v>0</v>
      </c>
      <c r="R451" t="str">
        <f>Données_ATB!BM450</f>
        <v>Spiramycine</v>
      </c>
      <c r="S451" t="str">
        <f>Données_ATB!BN450</f>
        <v>Néomycine</v>
      </c>
      <c r="T451" s="63" t="str">
        <f>Données_ATB!BO450</f>
        <v/>
      </c>
      <c r="U451" s="42" t="str">
        <f>Données_ATB!BQ450</f>
        <v>Macrolides</v>
      </c>
      <c r="V451" t="str">
        <f>Données_ATB!BR450</f>
        <v>Aminoglycosides</v>
      </c>
      <c r="W451" s="63" t="str">
        <f>Données_ATB!BS450</f>
        <v/>
      </c>
      <c r="Z451" s="42">
        <v>448</v>
      </c>
      <c r="AA451" t="e">
        <f t="shared" si="281"/>
        <v>#N/A</v>
      </c>
      <c r="AB451" s="63" t="e">
        <f t="shared" si="282"/>
        <v>#N/A</v>
      </c>
      <c r="BF451" s="63"/>
      <c r="BT451" s="194" t="str">
        <f t="shared" ca="1" si="265"/>
        <v/>
      </c>
      <c r="BU451" s="219" t="str">
        <f>IFERROR(IF(BX451=0,"",COUNTIF(BX$4:BX$600,"&gt;"&amp;BX451)+COUNTIF(BX$4:BX451,BX451)),"")</f>
        <v/>
      </c>
      <c r="BV451" s="42" t="str">
        <f t="shared" si="266"/>
        <v>SPECIORLAC</v>
      </c>
      <c r="BW451" t="e">
        <f>IF(IF(CE$2="Catégorie",IF(CE$3="Toutes",SUMIFS('Étape 1 - à remplir'!$F$31:$F$400,'Étape 1 - à remplir'!$E$31:$E$400,MASQ2!BV451,'Étape 1 - à remplir'!$G$31:$G$400,"lots"),SUMIFS('Étape 1 - à remplir'!$F$31:$F$400,'Étape 1 - à remplir'!$E$31:$E$400,MASQ2!BV451,'Étape 1 - à remplir'!$C$31:$C$400,CE$3)),IF(CE$2="Âge",IF(CE$3="Tous",SUMIFS('Étape 1 - à remplir'!$F$31:$F$400,'Étape 1 - à remplir'!$E$31:$E$400,MASQ2!BV451,'Étape 1 - à remplir'!$G$31:$G$400,"lots"),SUMIFS('Étape 1 - à remplir'!$F$31:$F$400,'Étape 1 - à remplir'!$E$31:$E$400,MASQ2!BV451,'Étape 1 - à remplir'!$P$31:$P$400,CE$3,'Étape 1 - à remplir'!$G$31:$G$400,"lots")),IF(CE$2="Atelier",IF(CE$3="Tous",SUMIFS('Étape 1 - à remplir'!$F$31:$F$400,'Étape 1 - à remplir'!$E$31:$E$400,MASQ2!BV451,'Étape 1 - à remplir'!$G$31:$G$400,"lots"),SUMIFS('Étape 1 - à remplir'!$F$31:$F$400,'Étape 1 - à remplir'!$E$31:$E$400,MASQ2!BV451,'Étape 1 - à remplir'!$O$31:$O$400,CE$3,'Étape 1 - à remplir'!$G$31:$G$400,"lots")),IF(CE$2="Espèce",IF(CE$3="Toutes",SUMIFS('Étape 1 - à remplir'!$F$31:$F$400,'Étape 1 - à remplir'!$E$31:$E$400,MASQ2!BV451,'Étape 1 - à remplir'!$G$31:$G$400,"lots"),SUMIFS('Étape 1 - à remplir'!$F$31:$F$400,'Étape 1 - à remplir'!$E$31:$E$400,MASQ2!BV451,'Étape 1 - à remplir'!$N$31:$N$400,CE$3,'Étape 1 - à remplir'!$G$31:$G$400,"lots"))))))=0,NA(),IF(CE$2="Catégorie",IF(CE$3="Toutes",SUMIFS('Étape 1 - à remplir'!$F$31:$F$400,'Étape 1 - à remplir'!$E$31:$E$400,MASQ2!BV451,'Étape 1 - à remplir'!$G$31:$G$400,"lots"),SUMIFS('Étape 1 - à remplir'!$F$31:$F$400,'Étape 1 - à remplir'!$E$31:$E$400,MASQ2!BV451,'Étape 1 - à remplir'!$C$31:$C$400,CE$3)),IF(CE$2="Âge",IF(CE$3="Tous",SUMIFS('Étape 1 - à remplir'!$F$31:$F$400,'Étape 1 - à remplir'!$E$31:$E$400,MASQ2!BV451,'Étape 1 - à remplir'!$G$31:$G$400,"lots"),SUMIFS('Étape 1 - à remplir'!$F$31:$F$400,'Étape 1 - à remplir'!$E$31:$E$400,MASQ2!BV451,'Étape 1 - à remplir'!$P$31:$P$400,CE$3,'Étape 1 - à remplir'!$G$31:$G$400,"lots")),IF(CE$2="Atelier",IF(CE$3="Tous",SUMIFS('Étape 1 - à remplir'!$F$31:$F$400,'Étape 1 - à remplir'!$E$31:$E$400,MASQ2!BV451,'Étape 1 - à remplir'!$G$31:$G$400,"lots"),SUMIFS('Étape 1 - à remplir'!$F$31:$F$400,'Étape 1 - à remplir'!$E$31:$E$400,MASQ2!BV451,'Étape 1 - à remplir'!$O$31:$O$400,CE$3,'Étape 1 - à remplir'!$G$31:$G$400,"lots")),IF(CE$2="Espèce",IF(CE$3="Toutes",SUMIFS('Étape 1 - à remplir'!$F$31:$F$400,'Étape 1 - à remplir'!$E$31:$E$400,MASQ2!BV451,'Étape 1 - à remplir'!$G$31:$G$400,"lots"),SUMIFS('Étape 1 - à remplir'!$F$31:$F$400,'Étape 1 - à remplir'!$E$31:$E$400,MASQ2!BV451,'Étape 1 - à remplir'!$N$31:$N$400,CE$3,'Étape 1 - à remplir'!$G$31:$G$400,"lots")))))))</f>
        <v>#N/A</v>
      </c>
      <c r="BX451">
        <f t="shared" si="283"/>
        <v>0</v>
      </c>
      <c r="BY451" t="str">
        <f t="shared" si="267"/>
        <v>Spiramycine</v>
      </c>
      <c r="BZ451" t="str">
        <f t="shared" si="268"/>
        <v>Néomycine</v>
      </c>
      <c r="CA451" t="str">
        <f t="shared" si="269"/>
        <v/>
      </c>
      <c r="CB451" t="str">
        <f t="shared" si="270"/>
        <v>Macrolides</v>
      </c>
      <c r="CC451" t="str">
        <f t="shared" si="271"/>
        <v>Aminoglycosides</v>
      </c>
      <c r="CD451" s="63" t="str">
        <f t="shared" si="272"/>
        <v/>
      </c>
      <c r="CG451" s="42">
        <v>448</v>
      </c>
      <c r="CH451" s="42" t="e">
        <f t="shared" si="288"/>
        <v>#N/A</v>
      </c>
      <c r="CI451" s="63" t="e">
        <f t="shared" si="289"/>
        <v>#N/A</v>
      </c>
      <c r="DM451" s="63"/>
      <c r="EA451" s="194" t="str">
        <f t="shared" ca="1" si="273"/>
        <v/>
      </c>
      <c r="EB451" s="226" t="str">
        <f>IFERROR(IF(ED451=0,"",COUNTIF(ED$4:ED$600,"&gt;"&amp;ED451)+COUNTIF(ED$4:ED451,ED451)),"")</f>
        <v/>
      </c>
      <c r="EC451" t="str">
        <f t="shared" si="274"/>
        <v>SPECIORLAC</v>
      </c>
      <c r="ED451" t="e">
        <f>IF(IF(EL$2="Catégorie",IF(EL$3="Toutes",SUMIFS('Étape 1 - à remplir'!$F$31:$F$400,'Étape 1 - à remplir'!$E$31:$E$400,MASQ2!EC451,'Étape 1 - à remplir'!$G$31:$G$400,"kg"),SUMIFS('Étape 1 - à remplir'!$F$31:$F$400,'Étape 1 - à remplir'!$E$31:$E$400,MASQ2!EC451,'Étape 1 - à remplir'!$C$31:$C$400,EL$3)),IF(EL$2="Âge",IF(EL$3="Tous",SUMIFS('Étape 1 - à remplir'!$F$31:$F$400,'Étape 1 - à remplir'!$E$31:$E$400,MASQ2!EC451,'Étape 1 - à remplir'!$G$31:$G$400,"kg"),SUMIFS('Étape 1 - à remplir'!$F$31:$F$400,'Étape 1 - à remplir'!$E$31:$E$400,MASQ2!EC451,'Étape 1 - à remplir'!$P$31:$P$400,EL$3,'Étape 1 - à remplir'!$G$31:$G$400,"kg")),IF(EL$2="Atelier",IF(EL$3="Tous",SUMIFS('Étape 1 - à remplir'!$F$31:$F$400,'Étape 1 - à remplir'!$E$31:$E$400,MASQ2!EC451,'Étape 1 - à remplir'!$G$31:$G$400,"kg"),SUMIFS('Étape 1 - à remplir'!$F$31:$F$400,'Étape 1 - à remplir'!$E$31:$E$400,MASQ2!EC451,'Étape 1 - à remplir'!$O$31:$O$400,EL$3,'Étape 1 - à remplir'!$G$31:$G$400,"kg")),IF(EL$2="Espèce",IF(EL$3="Toutes",SUMIFS('Étape 1 - à remplir'!$F$31:$F$400,'Étape 1 - à remplir'!$E$31:$E$400,MASQ2!EC451,'Étape 1 - à remplir'!$G$31:$G$400,"kg"),SUMIFS('Étape 1 - à remplir'!$F$31:$F$400,'Étape 1 - à remplir'!$E$31:$E$400,MASQ2!EC451,'Étape 1 - à remplir'!$N$31:$N$400,EL$3,'Étape 1 - à remplir'!$G$31:$G$400,"kg"))))))=0,NA(),IF(EL$2="Catégorie",IF(EL$3="Toutes",SUMIFS('Étape 1 - à remplir'!$F$31:$F$400,'Étape 1 - à remplir'!$E$31:$E$400,MASQ2!EC451,'Étape 1 - à remplir'!$G$31:$G$400,"kg"),SUMIFS('Étape 1 - à remplir'!$F$31:$F$400,'Étape 1 - à remplir'!$E$31:$E$400,MASQ2!EC451,'Étape 1 - à remplir'!$C$31:$C$400,EL$3)),IF(EL$2="Âge",IF(EL$3="Tous",SUMIFS('Étape 1 - à remplir'!$F$31:$F$400,'Étape 1 - à remplir'!$E$31:$E$400,MASQ2!EC451,'Étape 1 - à remplir'!$G$31:$G$400,"kg"),SUMIFS('Étape 1 - à remplir'!$F$31:$F$400,'Étape 1 - à remplir'!$E$31:$E$400,MASQ2!EC451,'Étape 1 - à remplir'!$P$31:$P$400,EL$3,'Étape 1 - à remplir'!$G$31:$G$400,"kg")),IF(EL$2="Atelier",IF(EL$3="Tous",SUMIFS('Étape 1 - à remplir'!$F$31:$F$400,'Étape 1 - à remplir'!$E$31:$E$400,MASQ2!EC451,'Étape 1 - à remplir'!$G$31:$G$400,"kg"),SUMIFS('Étape 1 - à remplir'!$F$31:$F$400,'Étape 1 - à remplir'!$E$31:$E$400,MASQ2!EC451,'Étape 1 - à remplir'!$O$31:$O$400,EL$3,'Étape 1 - à remplir'!$G$31:$G$400,"kg")),IF(EL$2="Espèce",IF(EL$3="Toutes",SUMIFS('Étape 1 - à remplir'!$F$31:$F$400,'Étape 1 - à remplir'!$E$31:$E$400,MASQ2!EC451,'Étape 1 - à remplir'!$G$31:$G$400,"kg"),SUMIFS('Étape 1 - à remplir'!$F$31:$F$400,'Étape 1 - à remplir'!$E$31:$E$400,MASQ2!EC451,'Étape 1 - à remplir'!$N$31:$N$400,EL$3,'Étape 1 - à remplir'!$G$31:$G$400,"kg")))))))</f>
        <v>#N/A</v>
      </c>
      <c r="EE451" s="76">
        <f t="shared" si="284"/>
        <v>0</v>
      </c>
      <c r="EF451" t="str">
        <f t="shared" si="275"/>
        <v>Spiramycine</v>
      </c>
      <c r="EG451" t="str">
        <f t="shared" si="276"/>
        <v>Néomycine</v>
      </c>
      <c r="EH451" t="str">
        <f t="shared" si="277"/>
        <v/>
      </c>
      <c r="EI451" t="str">
        <f t="shared" si="278"/>
        <v>Macrolides</v>
      </c>
      <c r="EJ451" t="str">
        <f t="shared" si="279"/>
        <v>Aminoglycosides</v>
      </c>
      <c r="EK451" s="63" t="str">
        <f t="shared" si="280"/>
        <v/>
      </c>
      <c r="EN451" s="42">
        <v>448</v>
      </c>
      <c r="EO451" t="e">
        <f t="shared" si="286"/>
        <v>#N/A</v>
      </c>
      <c r="EP451" s="63" t="e">
        <f t="shared" si="287"/>
        <v>#N/A</v>
      </c>
      <c r="FT451" s="63"/>
    </row>
    <row r="452" spans="2:176" x14ac:dyDescent="0.3">
      <c r="B452" s="42"/>
      <c r="M452" s="194" t="str">
        <f ca="1">INDEX(Données_ATB!BD:BU,MATCH(MASQ2!O452,Données_ATB!BD:BD,0),18)</f>
        <v/>
      </c>
      <c r="N452" s="14" t="str">
        <f>IFERROR(IF(Q452=0,"",COUNTIF(Q$4:Q$600,"&gt;"&amp;Q452)+COUNTIF(Q$4:Q452,Q452)),"")</f>
        <v/>
      </c>
      <c r="O452" t="str">
        <f>Données_ATB!BD451</f>
        <v>SPECTAM SOLUTION INJECTABLE</v>
      </c>
      <c r="P452" t="e">
        <f>IF(IF(X$2="Catégorie",IF(X$3="Toutes",SUMIFS('Étape 1 - à remplir'!$F$31:$F$400,'Étape 1 - à remplir'!$E$31:$E$400,MASQ2!O452,'Étape 1 - à remplir'!$G$31:$G$400,"animaux"),SUMIFS('Étape 1 - à remplir'!$F$31:$F$400,'Étape 1 - à remplir'!$E$31:$E$400,MASQ2!O452,'Étape 1 - à remplir'!$C$31:$C$400,X$3)),IF(X$2="Âge",IF(X$3="Tous",SUMIFS('Étape 1 - à remplir'!$F$31:$F$400,'Étape 1 - à remplir'!$E$31:$E$400,MASQ2!O452,'Étape 1 - à remplir'!$G$31:$G$400,"animaux"),SUMIFS('Étape 1 - à remplir'!$F$31:$F$400,'Étape 1 - à remplir'!$E$31:$E$400,MASQ2!O452,'Étape 1 - à remplir'!$P$31:$P$400,X$3)),IF(X$2="Atelier",IF(X$3="Tous",SUMIFS('Étape 1 - à remplir'!$F$31:$F$400,'Étape 1 - à remplir'!$E$31:$E$400,MASQ2!O452,'Étape 1 - à remplir'!$G$31:$G$400,"animaux"),SUMIFS('Étape 1 - à remplir'!$F$31:$F$400,'Étape 1 - à remplir'!$E$31:$E$400,MASQ2!O452,'Étape 1 - à remplir'!$O$31:$O$400,X$3)),IF(X$2="Espèce",IF(X$3="Toutes",SUMIFS('Étape 1 - à remplir'!$F$31:$F$400,'Étape 1 - à remplir'!$E$31:$E$400,MASQ2!O452,'Étape 1 - à remplir'!$G$31:$G$400,"animaux"),SUMIFS('Étape 1 - à remplir'!$F$31:$F$400,'Étape 1 - à remplir'!$E$31:$E$400,MASQ2!O452,'Étape 1 - à remplir'!$N$31:$N$400,X$3))))))=0,NA(),IF(X$2="Catégorie",IF(X$3="Toutes",SUMIFS('Étape 1 - à remplir'!$F$31:$F$400,'Étape 1 - à remplir'!$E$31:$E$400,MASQ2!O452,'Étape 1 - à remplir'!$G$31:$G$400,"animaux"),SUMIFS('Étape 1 - à remplir'!$F$31:$F$400,'Étape 1 - à remplir'!$E$31:$E$400,MASQ2!O452,'Étape 1 - à remplir'!$C$31:$C$400,X$3)),IF(X$2="Âge",IF(X$3="Tous",SUMIFS('Étape 1 - à remplir'!$F$31:$F$400,'Étape 1 - à remplir'!$E$31:$E$400,MASQ2!O452,'Étape 1 - à remplir'!$G$31:$G$400,"animaux"),SUMIFS('Étape 1 - à remplir'!$F$31:$F$400,'Étape 1 - à remplir'!$E$31:$E$400,MASQ2!O452,'Étape 1 - à remplir'!$P$31:$P$400,X$3)),IF(X$2="Atelier",IF(X$3="Tous",SUMIFS('Étape 1 - à remplir'!$F$31:$F$400,'Étape 1 - à remplir'!$E$31:$E$400,MASQ2!O452,'Étape 1 - à remplir'!$G$31:$G$400,"animaux"),SUMIFS('Étape 1 - à remplir'!$F$31:$F$400,'Étape 1 - à remplir'!$E$31:$E$400,MASQ2!O452,'Étape 1 - à remplir'!$O$31:$O$400,X$3)),IF(X$2="Espèce",IF(X$3="Toutes",SUMIFS('Étape 1 - à remplir'!$F$31:$F$400,'Étape 1 - à remplir'!$E$31:$E$400,MASQ2!O452,'Étape 1 - à remplir'!$G$31:$G$400,"animaux"),SUMIFS('Étape 1 - à remplir'!$F$31:$F$400,'Étape 1 - à remplir'!$E$31:$E$400,MASQ2!O452,'Étape 1 - à remplir'!$N$31:$N$400,X$3)))))))</f>
        <v>#N/A</v>
      </c>
      <c r="Q452" s="63">
        <f t="shared" si="285"/>
        <v>0</v>
      </c>
      <c r="R452" t="str">
        <f>Données_ATB!BM451</f>
        <v>Spectinomycine</v>
      </c>
      <c r="S452" t="str">
        <f>Données_ATB!BN451</f>
        <v/>
      </c>
      <c r="T452" s="63" t="str">
        <f>Données_ATB!BO451</f>
        <v/>
      </c>
      <c r="U452" s="42" t="str">
        <f>Données_ATB!BQ451</f>
        <v>Aminoglycosides</v>
      </c>
      <c r="V452" t="str">
        <f>Données_ATB!BR451</f>
        <v/>
      </c>
      <c r="W452" s="63" t="str">
        <f>Données_ATB!BS451</f>
        <v/>
      </c>
      <c r="Z452" s="42">
        <v>449</v>
      </c>
      <c r="AA452" t="e">
        <f t="shared" si="281"/>
        <v>#N/A</v>
      </c>
      <c r="AB452" s="63" t="e">
        <f t="shared" si="282"/>
        <v>#N/A</v>
      </c>
      <c r="BF452" s="63"/>
      <c r="BT452" s="194" t="str">
        <f t="shared" ref="BT452:BT515" ca="1" si="290">M452</f>
        <v/>
      </c>
      <c r="BU452" s="219" t="str">
        <f>IFERROR(IF(BX452=0,"",COUNTIF(BX$4:BX$600,"&gt;"&amp;BX452)+COUNTIF(BX$4:BX452,BX452)),"")</f>
        <v/>
      </c>
      <c r="BV452" s="42" t="str">
        <f t="shared" ref="BV452:BV515" si="291">O452</f>
        <v>SPECTAM SOLUTION INJECTABLE</v>
      </c>
      <c r="BW452" t="e">
        <f>IF(IF(CE$2="Catégorie",IF(CE$3="Toutes",SUMIFS('Étape 1 - à remplir'!$F$31:$F$400,'Étape 1 - à remplir'!$E$31:$E$400,MASQ2!BV452,'Étape 1 - à remplir'!$G$31:$G$400,"lots"),SUMIFS('Étape 1 - à remplir'!$F$31:$F$400,'Étape 1 - à remplir'!$E$31:$E$400,MASQ2!BV452,'Étape 1 - à remplir'!$C$31:$C$400,CE$3)),IF(CE$2="Âge",IF(CE$3="Tous",SUMIFS('Étape 1 - à remplir'!$F$31:$F$400,'Étape 1 - à remplir'!$E$31:$E$400,MASQ2!BV452,'Étape 1 - à remplir'!$G$31:$G$400,"lots"),SUMIFS('Étape 1 - à remplir'!$F$31:$F$400,'Étape 1 - à remplir'!$E$31:$E$400,MASQ2!BV452,'Étape 1 - à remplir'!$P$31:$P$400,CE$3,'Étape 1 - à remplir'!$G$31:$G$400,"lots")),IF(CE$2="Atelier",IF(CE$3="Tous",SUMIFS('Étape 1 - à remplir'!$F$31:$F$400,'Étape 1 - à remplir'!$E$31:$E$400,MASQ2!BV452,'Étape 1 - à remplir'!$G$31:$G$400,"lots"),SUMIFS('Étape 1 - à remplir'!$F$31:$F$400,'Étape 1 - à remplir'!$E$31:$E$400,MASQ2!BV452,'Étape 1 - à remplir'!$O$31:$O$400,CE$3,'Étape 1 - à remplir'!$G$31:$G$400,"lots")),IF(CE$2="Espèce",IF(CE$3="Toutes",SUMIFS('Étape 1 - à remplir'!$F$31:$F$400,'Étape 1 - à remplir'!$E$31:$E$400,MASQ2!BV452,'Étape 1 - à remplir'!$G$31:$G$400,"lots"),SUMIFS('Étape 1 - à remplir'!$F$31:$F$400,'Étape 1 - à remplir'!$E$31:$E$400,MASQ2!BV452,'Étape 1 - à remplir'!$N$31:$N$400,CE$3,'Étape 1 - à remplir'!$G$31:$G$400,"lots"))))))=0,NA(),IF(CE$2="Catégorie",IF(CE$3="Toutes",SUMIFS('Étape 1 - à remplir'!$F$31:$F$400,'Étape 1 - à remplir'!$E$31:$E$400,MASQ2!BV452,'Étape 1 - à remplir'!$G$31:$G$400,"lots"),SUMIFS('Étape 1 - à remplir'!$F$31:$F$400,'Étape 1 - à remplir'!$E$31:$E$400,MASQ2!BV452,'Étape 1 - à remplir'!$C$31:$C$400,CE$3)),IF(CE$2="Âge",IF(CE$3="Tous",SUMIFS('Étape 1 - à remplir'!$F$31:$F$400,'Étape 1 - à remplir'!$E$31:$E$400,MASQ2!BV452,'Étape 1 - à remplir'!$G$31:$G$400,"lots"),SUMIFS('Étape 1 - à remplir'!$F$31:$F$400,'Étape 1 - à remplir'!$E$31:$E$400,MASQ2!BV452,'Étape 1 - à remplir'!$P$31:$P$400,CE$3,'Étape 1 - à remplir'!$G$31:$G$400,"lots")),IF(CE$2="Atelier",IF(CE$3="Tous",SUMIFS('Étape 1 - à remplir'!$F$31:$F$400,'Étape 1 - à remplir'!$E$31:$E$400,MASQ2!BV452,'Étape 1 - à remplir'!$G$31:$G$400,"lots"),SUMIFS('Étape 1 - à remplir'!$F$31:$F$400,'Étape 1 - à remplir'!$E$31:$E$400,MASQ2!BV452,'Étape 1 - à remplir'!$O$31:$O$400,CE$3,'Étape 1 - à remplir'!$G$31:$G$400,"lots")),IF(CE$2="Espèce",IF(CE$3="Toutes",SUMIFS('Étape 1 - à remplir'!$F$31:$F$400,'Étape 1 - à remplir'!$E$31:$E$400,MASQ2!BV452,'Étape 1 - à remplir'!$G$31:$G$400,"lots"),SUMIFS('Étape 1 - à remplir'!$F$31:$F$400,'Étape 1 - à remplir'!$E$31:$E$400,MASQ2!BV452,'Étape 1 - à remplir'!$N$31:$N$400,CE$3,'Étape 1 - à remplir'!$G$31:$G$400,"lots")))))))</f>
        <v>#N/A</v>
      </c>
      <c r="BX452">
        <f t="shared" si="283"/>
        <v>0</v>
      </c>
      <c r="BY452" t="str">
        <f t="shared" ref="BY452:BY515" si="292">R452</f>
        <v>Spectinomycine</v>
      </c>
      <c r="BZ452" t="str">
        <f t="shared" ref="BZ452:BZ515" si="293">S452</f>
        <v/>
      </c>
      <c r="CA452" t="str">
        <f t="shared" ref="CA452:CA515" si="294">T452</f>
        <v/>
      </c>
      <c r="CB452" t="str">
        <f t="shared" ref="CB452:CB515" si="295">U452</f>
        <v>Aminoglycosides</v>
      </c>
      <c r="CC452" t="str">
        <f t="shared" ref="CC452:CC515" si="296">V452</f>
        <v/>
      </c>
      <c r="CD452" s="63" t="str">
        <f t="shared" ref="CD452:CD515" si="297">W452</f>
        <v/>
      </c>
      <c r="CG452" s="42">
        <v>449</v>
      </c>
      <c r="CH452" s="42" t="e">
        <f t="shared" si="288"/>
        <v>#N/A</v>
      </c>
      <c r="CI452" s="63" t="e">
        <f t="shared" si="289"/>
        <v>#N/A</v>
      </c>
      <c r="DM452" s="63"/>
      <c r="EA452" s="194" t="str">
        <f t="shared" ref="EA452:EA515" ca="1" si="298">M452</f>
        <v/>
      </c>
      <c r="EB452" s="226" t="str">
        <f>IFERROR(IF(ED452=0,"",COUNTIF(ED$4:ED$600,"&gt;"&amp;ED452)+COUNTIF(ED$4:ED452,ED452)),"")</f>
        <v/>
      </c>
      <c r="EC452" t="str">
        <f t="shared" ref="EC452:EC515" si="299">O452</f>
        <v>SPECTAM SOLUTION INJECTABLE</v>
      </c>
      <c r="ED452" t="e">
        <f>IF(IF(EL$2="Catégorie",IF(EL$3="Toutes",SUMIFS('Étape 1 - à remplir'!$F$31:$F$400,'Étape 1 - à remplir'!$E$31:$E$400,MASQ2!EC452,'Étape 1 - à remplir'!$G$31:$G$400,"kg"),SUMIFS('Étape 1 - à remplir'!$F$31:$F$400,'Étape 1 - à remplir'!$E$31:$E$400,MASQ2!EC452,'Étape 1 - à remplir'!$C$31:$C$400,EL$3)),IF(EL$2="Âge",IF(EL$3="Tous",SUMIFS('Étape 1 - à remplir'!$F$31:$F$400,'Étape 1 - à remplir'!$E$31:$E$400,MASQ2!EC452,'Étape 1 - à remplir'!$G$31:$G$400,"kg"),SUMIFS('Étape 1 - à remplir'!$F$31:$F$400,'Étape 1 - à remplir'!$E$31:$E$400,MASQ2!EC452,'Étape 1 - à remplir'!$P$31:$P$400,EL$3,'Étape 1 - à remplir'!$G$31:$G$400,"kg")),IF(EL$2="Atelier",IF(EL$3="Tous",SUMIFS('Étape 1 - à remplir'!$F$31:$F$400,'Étape 1 - à remplir'!$E$31:$E$400,MASQ2!EC452,'Étape 1 - à remplir'!$G$31:$G$400,"kg"),SUMIFS('Étape 1 - à remplir'!$F$31:$F$400,'Étape 1 - à remplir'!$E$31:$E$400,MASQ2!EC452,'Étape 1 - à remplir'!$O$31:$O$400,EL$3,'Étape 1 - à remplir'!$G$31:$G$400,"kg")),IF(EL$2="Espèce",IF(EL$3="Toutes",SUMIFS('Étape 1 - à remplir'!$F$31:$F$400,'Étape 1 - à remplir'!$E$31:$E$400,MASQ2!EC452,'Étape 1 - à remplir'!$G$31:$G$400,"kg"),SUMIFS('Étape 1 - à remplir'!$F$31:$F$400,'Étape 1 - à remplir'!$E$31:$E$400,MASQ2!EC452,'Étape 1 - à remplir'!$N$31:$N$400,EL$3,'Étape 1 - à remplir'!$G$31:$G$400,"kg"))))))=0,NA(),IF(EL$2="Catégorie",IF(EL$3="Toutes",SUMIFS('Étape 1 - à remplir'!$F$31:$F$400,'Étape 1 - à remplir'!$E$31:$E$400,MASQ2!EC452,'Étape 1 - à remplir'!$G$31:$G$400,"kg"),SUMIFS('Étape 1 - à remplir'!$F$31:$F$400,'Étape 1 - à remplir'!$E$31:$E$400,MASQ2!EC452,'Étape 1 - à remplir'!$C$31:$C$400,EL$3)),IF(EL$2="Âge",IF(EL$3="Tous",SUMIFS('Étape 1 - à remplir'!$F$31:$F$400,'Étape 1 - à remplir'!$E$31:$E$400,MASQ2!EC452,'Étape 1 - à remplir'!$G$31:$G$400,"kg"),SUMIFS('Étape 1 - à remplir'!$F$31:$F$400,'Étape 1 - à remplir'!$E$31:$E$400,MASQ2!EC452,'Étape 1 - à remplir'!$P$31:$P$400,EL$3,'Étape 1 - à remplir'!$G$31:$G$400,"kg")),IF(EL$2="Atelier",IF(EL$3="Tous",SUMIFS('Étape 1 - à remplir'!$F$31:$F$400,'Étape 1 - à remplir'!$E$31:$E$400,MASQ2!EC452,'Étape 1 - à remplir'!$G$31:$G$400,"kg"),SUMIFS('Étape 1 - à remplir'!$F$31:$F$400,'Étape 1 - à remplir'!$E$31:$E$400,MASQ2!EC452,'Étape 1 - à remplir'!$O$31:$O$400,EL$3,'Étape 1 - à remplir'!$G$31:$G$400,"kg")),IF(EL$2="Espèce",IF(EL$3="Toutes",SUMIFS('Étape 1 - à remplir'!$F$31:$F$400,'Étape 1 - à remplir'!$E$31:$E$400,MASQ2!EC452,'Étape 1 - à remplir'!$G$31:$G$400,"kg"),SUMIFS('Étape 1 - à remplir'!$F$31:$F$400,'Étape 1 - à remplir'!$E$31:$E$400,MASQ2!EC452,'Étape 1 - à remplir'!$N$31:$N$400,EL$3,'Étape 1 - à remplir'!$G$31:$G$400,"kg")))))))</f>
        <v>#N/A</v>
      </c>
      <c r="EE452" s="76">
        <f t="shared" si="284"/>
        <v>0</v>
      </c>
      <c r="EF452" t="str">
        <f t="shared" ref="EF452:EF515" si="300">R452</f>
        <v>Spectinomycine</v>
      </c>
      <c r="EG452" t="str">
        <f t="shared" ref="EG452:EG515" si="301">S452</f>
        <v/>
      </c>
      <c r="EH452" t="str">
        <f t="shared" ref="EH452:EH515" si="302">T452</f>
        <v/>
      </c>
      <c r="EI452" t="str">
        <f t="shared" ref="EI452:EI515" si="303">U452</f>
        <v>Aminoglycosides</v>
      </c>
      <c r="EJ452" t="str">
        <f t="shared" ref="EJ452:EJ515" si="304">V452</f>
        <v/>
      </c>
      <c r="EK452" s="63" t="str">
        <f t="shared" ref="EK452:EK515" si="305">W452</f>
        <v/>
      </c>
      <c r="EN452" s="42">
        <v>449</v>
      </c>
      <c r="EO452" t="e">
        <f t="shared" si="286"/>
        <v>#N/A</v>
      </c>
      <c r="EP452" s="63" t="e">
        <f t="shared" si="287"/>
        <v>#N/A</v>
      </c>
      <c r="FT452" s="63"/>
    </row>
    <row r="453" spans="2:176" x14ac:dyDescent="0.3">
      <c r="B453" s="42"/>
      <c r="M453" s="194" t="str">
        <f ca="1">INDEX(Données_ATB!BD:BU,MATCH(MASQ2!O453,Données_ATB!BD:BD,0),18)</f>
        <v>x</v>
      </c>
      <c r="N453" s="14" t="str">
        <f>IFERROR(IF(Q453=0,"",COUNTIF(Q$4:Q$600,"&gt;"&amp;Q453)+COUNTIF(Q$4:Q453,Q453)),"")</f>
        <v/>
      </c>
      <c r="O453" t="str">
        <f>Données_ATB!BD452</f>
        <v>SPECTRON 100 MG/ML SOLUTION POUR UTILISATION DANS L'EAU DE BOISSON POUR POULES ET DINDES</v>
      </c>
      <c r="P453" t="e">
        <f>IF(IF(X$2="Catégorie",IF(X$3="Toutes",SUMIFS('Étape 1 - à remplir'!$F$31:$F$400,'Étape 1 - à remplir'!$E$31:$E$400,MASQ2!O453,'Étape 1 - à remplir'!$G$31:$G$400,"animaux"),SUMIFS('Étape 1 - à remplir'!$F$31:$F$400,'Étape 1 - à remplir'!$E$31:$E$400,MASQ2!O453,'Étape 1 - à remplir'!$C$31:$C$400,X$3)),IF(X$2="Âge",IF(X$3="Tous",SUMIFS('Étape 1 - à remplir'!$F$31:$F$400,'Étape 1 - à remplir'!$E$31:$E$400,MASQ2!O453,'Étape 1 - à remplir'!$G$31:$G$400,"animaux"),SUMIFS('Étape 1 - à remplir'!$F$31:$F$400,'Étape 1 - à remplir'!$E$31:$E$400,MASQ2!O453,'Étape 1 - à remplir'!$P$31:$P$400,X$3)),IF(X$2="Atelier",IF(X$3="Tous",SUMIFS('Étape 1 - à remplir'!$F$31:$F$400,'Étape 1 - à remplir'!$E$31:$E$400,MASQ2!O453,'Étape 1 - à remplir'!$G$31:$G$400,"animaux"),SUMIFS('Étape 1 - à remplir'!$F$31:$F$400,'Étape 1 - à remplir'!$E$31:$E$400,MASQ2!O453,'Étape 1 - à remplir'!$O$31:$O$400,X$3)),IF(X$2="Espèce",IF(X$3="Toutes",SUMIFS('Étape 1 - à remplir'!$F$31:$F$400,'Étape 1 - à remplir'!$E$31:$E$400,MASQ2!O453,'Étape 1 - à remplir'!$G$31:$G$400,"animaux"),SUMIFS('Étape 1 - à remplir'!$F$31:$F$400,'Étape 1 - à remplir'!$E$31:$E$400,MASQ2!O453,'Étape 1 - à remplir'!$N$31:$N$400,X$3))))))=0,NA(),IF(X$2="Catégorie",IF(X$3="Toutes",SUMIFS('Étape 1 - à remplir'!$F$31:$F$400,'Étape 1 - à remplir'!$E$31:$E$400,MASQ2!O453,'Étape 1 - à remplir'!$G$31:$G$400,"animaux"),SUMIFS('Étape 1 - à remplir'!$F$31:$F$400,'Étape 1 - à remplir'!$E$31:$E$400,MASQ2!O453,'Étape 1 - à remplir'!$C$31:$C$400,X$3)),IF(X$2="Âge",IF(X$3="Tous",SUMIFS('Étape 1 - à remplir'!$F$31:$F$400,'Étape 1 - à remplir'!$E$31:$E$400,MASQ2!O453,'Étape 1 - à remplir'!$G$31:$G$400,"animaux"),SUMIFS('Étape 1 - à remplir'!$F$31:$F$400,'Étape 1 - à remplir'!$E$31:$E$400,MASQ2!O453,'Étape 1 - à remplir'!$P$31:$P$400,X$3)),IF(X$2="Atelier",IF(X$3="Tous",SUMIFS('Étape 1 - à remplir'!$F$31:$F$400,'Étape 1 - à remplir'!$E$31:$E$400,MASQ2!O453,'Étape 1 - à remplir'!$G$31:$G$400,"animaux"),SUMIFS('Étape 1 - à remplir'!$F$31:$F$400,'Étape 1 - à remplir'!$E$31:$E$400,MASQ2!O453,'Étape 1 - à remplir'!$O$31:$O$400,X$3)),IF(X$2="Espèce",IF(X$3="Toutes",SUMIFS('Étape 1 - à remplir'!$F$31:$F$400,'Étape 1 - à remplir'!$E$31:$E$400,MASQ2!O453,'Étape 1 - à remplir'!$G$31:$G$400,"animaux"),SUMIFS('Étape 1 - à remplir'!$F$31:$F$400,'Étape 1 - à remplir'!$E$31:$E$400,MASQ2!O453,'Étape 1 - à remplir'!$N$31:$N$400,X$3)))))))</f>
        <v>#N/A</v>
      </c>
      <c r="Q453" s="63">
        <f t="shared" si="285"/>
        <v>0</v>
      </c>
      <c r="R453" t="str">
        <f>Données_ATB!BM452</f>
        <v>Enrofloxacine</v>
      </c>
      <c r="S453" t="str">
        <f>Données_ATB!BN452</f>
        <v/>
      </c>
      <c r="T453" s="63" t="str">
        <f>Données_ATB!BO452</f>
        <v/>
      </c>
      <c r="U453" s="42" t="str">
        <f>Données_ATB!BQ452</f>
        <v>Fluoroquinolones</v>
      </c>
      <c r="V453" t="str">
        <f>Données_ATB!BR452</f>
        <v/>
      </c>
      <c r="W453" s="63" t="str">
        <f>Données_ATB!BS452</f>
        <v/>
      </c>
      <c r="Z453" s="42">
        <v>450</v>
      </c>
      <c r="AA453" t="e">
        <f t="shared" ref="AA453:AA516" si="306">INDEX(N$3:Q$600,MATCH(Z453,N$3:N$600,0),2)</f>
        <v>#N/A</v>
      </c>
      <c r="AB453" s="63" t="e">
        <f t="shared" ref="AB453:AB516" si="307">INDEX(N$3:Q$600,MATCH(Z453,N$3:N$600,0),4)</f>
        <v>#N/A</v>
      </c>
      <c r="BF453" s="63"/>
      <c r="BT453" s="194" t="str">
        <f t="shared" ca="1" si="290"/>
        <v>x</v>
      </c>
      <c r="BU453" s="219" t="str">
        <f>IFERROR(IF(BX453=0,"",COUNTIF(BX$4:BX$600,"&gt;"&amp;BX453)+COUNTIF(BX$4:BX453,BX453)),"")</f>
        <v/>
      </c>
      <c r="BV453" s="42" t="str">
        <f t="shared" si="291"/>
        <v>SPECTRON 100 MG/ML SOLUTION POUR UTILISATION DANS L'EAU DE BOISSON POUR POULES ET DINDES</v>
      </c>
      <c r="BW453" t="e">
        <f>IF(IF(CE$2="Catégorie",IF(CE$3="Toutes",SUMIFS('Étape 1 - à remplir'!$F$31:$F$400,'Étape 1 - à remplir'!$E$31:$E$400,MASQ2!BV453,'Étape 1 - à remplir'!$G$31:$G$400,"lots"),SUMIFS('Étape 1 - à remplir'!$F$31:$F$400,'Étape 1 - à remplir'!$E$31:$E$400,MASQ2!BV453,'Étape 1 - à remplir'!$C$31:$C$400,CE$3)),IF(CE$2="Âge",IF(CE$3="Tous",SUMIFS('Étape 1 - à remplir'!$F$31:$F$400,'Étape 1 - à remplir'!$E$31:$E$400,MASQ2!BV453,'Étape 1 - à remplir'!$G$31:$G$400,"lots"),SUMIFS('Étape 1 - à remplir'!$F$31:$F$400,'Étape 1 - à remplir'!$E$31:$E$400,MASQ2!BV453,'Étape 1 - à remplir'!$P$31:$P$400,CE$3,'Étape 1 - à remplir'!$G$31:$G$400,"lots")),IF(CE$2="Atelier",IF(CE$3="Tous",SUMIFS('Étape 1 - à remplir'!$F$31:$F$400,'Étape 1 - à remplir'!$E$31:$E$400,MASQ2!BV453,'Étape 1 - à remplir'!$G$31:$G$400,"lots"),SUMIFS('Étape 1 - à remplir'!$F$31:$F$400,'Étape 1 - à remplir'!$E$31:$E$400,MASQ2!BV453,'Étape 1 - à remplir'!$O$31:$O$400,CE$3,'Étape 1 - à remplir'!$G$31:$G$400,"lots")),IF(CE$2="Espèce",IF(CE$3="Toutes",SUMIFS('Étape 1 - à remplir'!$F$31:$F$400,'Étape 1 - à remplir'!$E$31:$E$400,MASQ2!BV453,'Étape 1 - à remplir'!$G$31:$G$400,"lots"),SUMIFS('Étape 1 - à remplir'!$F$31:$F$400,'Étape 1 - à remplir'!$E$31:$E$400,MASQ2!BV453,'Étape 1 - à remplir'!$N$31:$N$400,CE$3,'Étape 1 - à remplir'!$G$31:$G$400,"lots"))))))=0,NA(),IF(CE$2="Catégorie",IF(CE$3="Toutes",SUMIFS('Étape 1 - à remplir'!$F$31:$F$400,'Étape 1 - à remplir'!$E$31:$E$400,MASQ2!BV453,'Étape 1 - à remplir'!$G$31:$G$400,"lots"),SUMIFS('Étape 1 - à remplir'!$F$31:$F$400,'Étape 1 - à remplir'!$E$31:$E$400,MASQ2!BV453,'Étape 1 - à remplir'!$C$31:$C$400,CE$3)),IF(CE$2="Âge",IF(CE$3="Tous",SUMIFS('Étape 1 - à remplir'!$F$31:$F$400,'Étape 1 - à remplir'!$E$31:$E$400,MASQ2!BV453,'Étape 1 - à remplir'!$G$31:$G$400,"lots"),SUMIFS('Étape 1 - à remplir'!$F$31:$F$400,'Étape 1 - à remplir'!$E$31:$E$400,MASQ2!BV453,'Étape 1 - à remplir'!$P$31:$P$400,CE$3,'Étape 1 - à remplir'!$G$31:$G$400,"lots")),IF(CE$2="Atelier",IF(CE$3="Tous",SUMIFS('Étape 1 - à remplir'!$F$31:$F$400,'Étape 1 - à remplir'!$E$31:$E$400,MASQ2!BV453,'Étape 1 - à remplir'!$G$31:$G$400,"lots"),SUMIFS('Étape 1 - à remplir'!$F$31:$F$400,'Étape 1 - à remplir'!$E$31:$E$400,MASQ2!BV453,'Étape 1 - à remplir'!$O$31:$O$400,CE$3,'Étape 1 - à remplir'!$G$31:$G$400,"lots")),IF(CE$2="Espèce",IF(CE$3="Toutes",SUMIFS('Étape 1 - à remplir'!$F$31:$F$400,'Étape 1 - à remplir'!$E$31:$E$400,MASQ2!BV453,'Étape 1 - à remplir'!$G$31:$G$400,"lots"),SUMIFS('Étape 1 - à remplir'!$F$31:$F$400,'Étape 1 - à remplir'!$E$31:$E$400,MASQ2!BV453,'Étape 1 - à remplir'!$N$31:$N$400,CE$3,'Étape 1 - à remplir'!$G$31:$G$400,"lots")))))))</f>
        <v>#N/A</v>
      </c>
      <c r="BX453">
        <f t="shared" ref="BX453:BX516" si="308">IFERROR(BW453,0)</f>
        <v>0</v>
      </c>
      <c r="BY453" t="str">
        <f t="shared" si="292"/>
        <v>Enrofloxacine</v>
      </c>
      <c r="BZ453" t="str">
        <f t="shared" si="293"/>
        <v/>
      </c>
      <c r="CA453" t="str">
        <f t="shared" si="294"/>
        <v/>
      </c>
      <c r="CB453" t="str">
        <f t="shared" si="295"/>
        <v>Fluoroquinolones</v>
      </c>
      <c r="CC453" t="str">
        <f t="shared" si="296"/>
        <v/>
      </c>
      <c r="CD453" s="63" t="str">
        <f t="shared" si="297"/>
        <v/>
      </c>
      <c r="CG453" s="42">
        <v>450</v>
      </c>
      <c r="CH453" s="42" t="e">
        <f t="shared" si="288"/>
        <v>#N/A</v>
      </c>
      <c r="CI453" s="63" t="e">
        <f t="shared" si="289"/>
        <v>#N/A</v>
      </c>
      <c r="DM453" s="63"/>
      <c r="EA453" s="194" t="str">
        <f t="shared" ca="1" si="298"/>
        <v>x</v>
      </c>
      <c r="EB453" s="226" t="str">
        <f>IFERROR(IF(ED453=0,"",COUNTIF(ED$4:ED$600,"&gt;"&amp;ED453)+COUNTIF(ED$4:ED453,ED453)),"")</f>
        <v/>
      </c>
      <c r="EC453" t="str">
        <f t="shared" si="299"/>
        <v>SPECTRON 100 MG/ML SOLUTION POUR UTILISATION DANS L'EAU DE BOISSON POUR POULES ET DINDES</v>
      </c>
      <c r="ED453" t="e">
        <f>IF(IF(EL$2="Catégorie",IF(EL$3="Toutes",SUMIFS('Étape 1 - à remplir'!$F$31:$F$400,'Étape 1 - à remplir'!$E$31:$E$400,MASQ2!EC453,'Étape 1 - à remplir'!$G$31:$G$400,"kg"),SUMIFS('Étape 1 - à remplir'!$F$31:$F$400,'Étape 1 - à remplir'!$E$31:$E$400,MASQ2!EC453,'Étape 1 - à remplir'!$C$31:$C$400,EL$3)),IF(EL$2="Âge",IF(EL$3="Tous",SUMIFS('Étape 1 - à remplir'!$F$31:$F$400,'Étape 1 - à remplir'!$E$31:$E$400,MASQ2!EC453,'Étape 1 - à remplir'!$G$31:$G$400,"kg"),SUMIFS('Étape 1 - à remplir'!$F$31:$F$400,'Étape 1 - à remplir'!$E$31:$E$400,MASQ2!EC453,'Étape 1 - à remplir'!$P$31:$P$400,EL$3,'Étape 1 - à remplir'!$G$31:$G$400,"kg")),IF(EL$2="Atelier",IF(EL$3="Tous",SUMIFS('Étape 1 - à remplir'!$F$31:$F$400,'Étape 1 - à remplir'!$E$31:$E$400,MASQ2!EC453,'Étape 1 - à remplir'!$G$31:$G$400,"kg"),SUMIFS('Étape 1 - à remplir'!$F$31:$F$400,'Étape 1 - à remplir'!$E$31:$E$400,MASQ2!EC453,'Étape 1 - à remplir'!$O$31:$O$400,EL$3,'Étape 1 - à remplir'!$G$31:$G$400,"kg")),IF(EL$2="Espèce",IF(EL$3="Toutes",SUMIFS('Étape 1 - à remplir'!$F$31:$F$400,'Étape 1 - à remplir'!$E$31:$E$400,MASQ2!EC453,'Étape 1 - à remplir'!$G$31:$G$400,"kg"),SUMIFS('Étape 1 - à remplir'!$F$31:$F$400,'Étape 1 - à remplir'!$E$31:$E$400,MASQ2!EC453,'Étape 1 - à remplir'!$N$31:$N$400,EL$3,'Étape 1 - à remplir'!$G$31:$G$400,"kg"))))))=0,NA(),IF(EL$2="Catégorie",IF(EL$3="Toutes",SUMIFS('Étape 1 - à remplir'!$F$31:$F$400,'Étape 1 - à remplir'!$E$31:$E$400,MASQ2!EC453,'Étape 1 - à remplir'!$G$31:$G$400,"kg"),SUMIFS('Étape 1 - à remplir'!$F$31:$F$400,'Étape 1 - à remplir'!$E$31:$E$400,MASQ2!EC453,'Étape 1 - à remplir'!$C$31:$C$400,EL$3)),IF(EL$2="Âge",IF(EL$3="Tous",SUMIFS('Étape 1 - à remplir'!$F$31:$F$400,'Étape 1 - à remplir'!$E$31:$E$400,MASQ2!EC453,'Étape 1 - à remplir'!$G$31:$G$400,"kg"),SUMIFS('Étape 1 - à remplir'!$F$31:$F$400,'Étape 1 - à remplir'!$E$31:$E$400,MASQ2!EC453,'Étape 1 - à remplir'!$P$31:$P$400,EL$3,'Étape 1 - à remplir'!$G$31:$G$400,"kg")),IF(EL$2="Atelier",IF(EL$3="Tous",SUMIFS('Étape 1 - à remplir'!$F$31:$F$400,'Étape 1 - à remplir'!$E$31:$E$400,MASQ2!EC453,'Étape 1 - à remplir'!$G$31:$G$400,"kg"),SUMIFS('Étape 1 - à remplir'!$F$31:$F$400,'Étape 1 - à remplir'!$E$31:$E$400,MASQ2!EC453,'Étape 1 - à remplir'!$O$31:$O$400,EL$3,'Étape 1 - à remplir'!$G$31:$G$400,"kg")),IF(EL$2="Espèce",IF(EL$3="Toutes",SUMIFS('Étape 1 - à remplir'!$F$31:$F$400,'Étape 1 - à remplir'!$E$31:$E$400,MASQ2!EC453,'Étape 1 - à remplir'!$G$31:$G$400,"kg"),SUMIFS('Étape 1 - à remplir'!$F$31:$F$400,'Étape 1 - à remplir'!$E$31:$E$400,MASQ2!EC453,'Étape 1 - à remplir'!$N$31:$N$400,EL$3,'Étape 1 - à remplir'!$G$31:$G$400,"kg")))))))</f>
        <v>#N/A</v>
      </c>
      <c r="EE453" s="76">
        <f t="shared" ref="EE453:EE516" si="309">IFERROR(ED453,0)</f>
        <v>0</v>
      </c>
      <c r="EF453" t="str">
        <f t="shared" si="300"/>
        <v>Enrofloxacine</v>
      </c>
      <c r="EG453" t="str">
        <f t="shared" si="301"/>
        <v/>
      </c>
      <c r="EH453" t="str">
        <f t="shared" si="302"/>
        <v/>
      </c>
      <c r="EI453" t="str">
        <f t="shared" si="303"/>
        <v>Fluoroquinolones</v>
      </c>
      <c r="EJ453" t="str">
        <f t="shared" si="304"/>
        <v/>
      </c>
      <c r="EK453" s="63" t="str">
        <f t="shared" si="305"/>
        <v/>
      </c>
      <c r="EN453" s="42">
        <v>450</v>
      </c>
      <c r="EO453" t="e">
        <f t="shared" si="286"/>
        <v>#N/A</v>
      </c>
      <c r="EP453" s="63" t="e">
        <f t="shared" si="287"/>
        <v>#N/A</v>
      </c>
      <c r="FT453" s="63"/>
    </row>
    <row r="454" spans="2:176" x14ac:dyDescent="0.3">
      <c r="B454" s="42"/>
      <c r="M454" s="194" t="str">
        <f ca="1">INDEX(Données_ATB!BD:BU,MATCH(MASQ2!O454,Données_ATB!BD:BD,0),18)</f>
        <v/>
      </c>
      <c r="N454" s="14" t="str">
        <f>IFERROR(IF(Q454=0,"",COUNTIF(Q$4:Q$600,"&gt;"&amp;Q454)+COUNTIF(Q$4:Q454,Q454)),"")</f>
        <v/>
      </c>
      <c r="O454" t="str">
        <f>Données_ATB!BD453</f>
        <v>SPIROVET</v>
      </c>
      <c r="P454" t="e">
        <f>IF(IF(X$2="Catégorie",IF(X$3="Toutes",SUMIFS('Étape 1 - à remplir'!$F$31:$F$400,'Étape 1 - à remplir'!$E$31:$E$400,MASQ2!O454,'Étape 1 - à remplir'!$G$31:$G$400,"animaux"),SUMIFS('Étape 1 - à remplir'!$F$31:$F$400,'Étape 1 - à remplir'!$E$31:$E$400,MASQ2!O454,'Étape 1 - à remplir'!$C$31:$C$400,X$3)),IF(X$2="Âge",IF(X$3="Tous",SUMIFS('Étape 1 - à remplir'!$F$31:$F$400,'Étape 1 - à remplir'!$E$31:$E$400,MASQ2!O454,'Étape 1 - à remplir'!$G$31:$G$400,"animaux"),SUMIFS('Étape 1 - à remplir'!$F$31:$F$400,'Étape 1 - à remplir'!$E$31:$E$400,MASQ2!O454,'Étape 1 - à remplir'!$P$31:$P$400,X$3)),IF(X$2="Atelier",IF(X$3="Tous",SUMIFS('Étape 1 - à remplir'!$F$31:$F$400,'Étape 1 - à remplir'!$E$31:$E$400,MASQ2!O454,'Étape 1 - à remplir'!$G$31:$G$400,"animaux"),SUMIFS('Étape 1 - à remplir'!$F$31:$F$400,'Étape 1 - à remplir'!$E$31:$E$400,MASQ2!O454,'Étape 1 - à remplir'!$O$31:$O$400,X$3)),IF(X$2="Espèce",IF(X$3="Toutes",SUMIFS('Étape 1 - à remplir'!$F$31:$F$400,'Étape 1 - à remplir'!$E$31:$E$400,MASQ2!O454,'Étape 1 - à remplir'!$G$31:$G$400,"animaux"),SUMIFS('Étape 1 - à remplir'!$F$31:$F$400,'Étape 1 - à remplir'!$E$31:$E$400,MASQ2!O454,'Étape 1 - à remplir'!$N$31:$N$400,X$3))))))=0,NA(),IF(X$2="Catégorie",IF(X$3="Toutes",SUMIFS('Étape 1 - à remplir'!$F$31:$F$400,'Étape 1 - à remplir'!$E$31:$E$400,MASQ2!O454,'Étape 1 - à remplir'!$G$31:$G$400,"animaux"),SUMIFS('Étape 1 - à remplir'!$F$31:$F$400,'Étape 1 - à remplir'!$E$31:$E$400,MASQ2!O454,'Étape 1 - à remplir'!$C$31:$C$400,X$3)),IF(X$2="Âge",IF(X$3="Tous",SUMIFS('Étape 1 - à remplir'!$F$31:$F$400,'Étape 1 - à remplir'!$E$31:$E$400,MASQ2!O454,'Étape 1 - à remplir'!$G$31:$G$400,"animaux"),SUMIFS('Étape 1 - à remplir'!$F$31:$F$400,'Étape 1 - à remplir'!$E$31:$E$400,MASQ2!O454,'Étape 1 - à remplir'!$P$31:$P$400,X$3)),IF(X$2="Atelier",IF(X$3="Tous",SUMIFS('Étape 1 - à remplir'!$F$31:$F$400,'Étape 1 - à remplir'!$E$31:$E$400,MASQ2!O454,'Étape 1 - à remplir'!$G$31:$G$400,"animaux"),SUMIFS('Étape 1 - à remplir'!$F$31:$F$400,'Étape 1 - à remplir'!$E$31:$E$400,MASQ2!O454,'Étape 1 - à remplir'!$O$31:$O$400,X$3)),IF(X$2="Espèce",IF(X$3="Toutes",SUMIFS('Étape 1 - à remplir'!$F$31:$F$400,'Étape 1 - à remplir'!$E$31:$E$400,MASQ2!O454,'Étape 1 - à remplir'!$G$31:$G$400,"animaux"),SUMIFS('Étape 1 - à remplir'!$F$31:$F$400,'Étape 1 - à remplir'!$E$31:$E$400,MASQ2!O454,'Étape 1 - à remplir'!$N$31:$N$400,X$3)))))))</f>
        <v>#N/A</v>
      </c>
      <c r="Q454" s="63">
        <f t="shared" ref="Q454:Q517" si="310">IFERROR(P454,0)</f>
        <v>0</v>
      </c>
      <c r="R454" t="str">
        <f>Données_ATB!BM453</f>
        <v>Spiramycine</v>
      </c>
      <c r="S454" t="str">
        <f>Données_ATB!BN453</f>
        <v/>
      </c>
      <c r="T454" s="63" t="str">
        <f>Données_ATB!BO453</f>
        <v/>
      </c>
      <c r="U454" s="42" t="str">
        <f>Données_ATB!BQ453</f>
        <v>Macrolides</v>
      </c>
      <c r="V454" t="str">
        <f>Données_ATB!BR453</f>
        <v/>
      </c>
      <c r="W454" s="63" t="str">
        <f>Données_ATB!BS453</f>
        <v/>
      </c>
      <c r="Z454" s="42">
        <v>451</v>
      </c>
      <c r="AA454" t="e">
        <f t="shared" si="306"/>
        <v>#N/A</v>
      </c>
      <c r="AB454" s="63" t="e">
        <f t="shared" si="307"/>
        <v>#N/A</v>
      </c>
      <c r="BF454" s="63"/>
      <c r="BT454" s="194" t="str">
        <f t="shared" ca="1" si="290"/>
        <v/>
      </c>
      <c r="BU454" s="219" t="str">
        <f>IFERROR(IF(BX454=0,"",COUNTIF(BX$4:BX$600,"&gt;"&amp;BX454)+COUNTIF(BX$4:BX454,BX454)),"")</f>
        <v/>
      </c>
      <c r="BV454" s="42" t="str">
        <f t="shared" si="291"/>
        <v>SPIROVET</v>
      </c>
      <c r="BW454" t="e">
        <f>IF(IF(CE$2="Catégorie",IF(CE$3="Toutes",SUMIFS('Étape 1 - à remplir'!$F$31:$F$400,'Étape 1 - à remplir'!$E$31:$E$400,MASQ2!BV454,'Étape 1 - à remplir'!$G$31:$G$400,"lots"),SUMIFS('Étape 1 - à remplir'!$F$31:$F$400,'Étape 1 - à remplir'!$E$31:$E$400,MASQ2!BV454,'Étape 1 - à remplir'!$C$31:$C$400,CE$3)),IF(CE$2="Âge",IF(CE$3="Tous",SUMIFS('Étape 1 - à remplir'!$F$31:$F$400,'Étape 1 - à remplir'!$E$31:$E$400,MASQ2!BV454,'Étape 1 - à remplir'!$G$31:$G$400,"lots"),SUMIFS('Étape 1 - à remplir'!$F$31:$F$400,'Étape 1 - à remplir'!$E$31:$E$400,MASQ2!BV454,'Étape 1 - à remplir'!$P$31:$P$400,CE$3,'Étape 1 - à remplir'!$G$31:$G$400,"lots")),IF(CE$2="Atelier",IF(CE$3="Tous",SUMIFS('Étape 1 - à remplir'!$F$31:$F$400,'Étape 1 - à remplir'!$E$31:$E$400,MASQ2!BV454,'Étape 1 - à remplir'!$G$31:$G$400,"lots"),SUMIFS('Étape 1 - à remplir'!$F$31:$F$400,'Étape 1 - à remplir'!$E$31:$E$400,MASQ2!BV454,'Étape 1 - à remplir'!$O$31:$O$400,CE$3,'Étape 1 - à remplir'!$G$31:$G$400,"lots")),IF(CE$2="Espèce",IF(CE$3="Toutes",SUMIFS('Étape 1 - à remplir'!$F$31:$F$400,'Étape 1 - à remplir'!$E$31:$E$400,MASQ2!BV454,'Étape 1 - à remplir'!$G$31:$G$400,"lots"),SUMIFS('Étape 1 - à remplir'!$F$31:$F$400,'Étape 1 - à remplir'!$E$31:$E$400,MASQ2!BV454,'Étape 1 - à remplir'!$N$31:$N$400,CE$3,'Étape 1 - à remplir'!$G$31:$G$400,"lots"))))))=0,NA(),IF(CE$2="Catégorie",IF(CE$3="Toutes",SUMIFS('Étape 1 - à remplir'!$F$31:$F$400,'Étape 1 - à remplir'!$E$31:$E$400,MASQ2!BV454,'Étape 1 - à remplir'!$G$31:$G$400,"lots"),SUMIFS('Étape 1 - à remplir'!$F$31:$F$400,'Étape 1 - à remplir'!$E$31:$E$400,MASQ2!BV454,'Étape 1 - à remplir'!$C$31:$C$400,CE$3)),IF(CE$2="Âge",IF(CE$3="Tous",SUMIFS('Étape 1 - à remplir'!$F$31:$F$400,'Étape 1 - à remplir'!$E$31:$E$400,MASQ2!BV454,'Étape 1 - à remplir'!$G$31:$G$400,"lots"),SUMIFS('Étape 1 - à remplir'!$F$31:$F$400,'Étape 1 - à remplir'!$E$31:$E$400,MASQ2!BV454,'Étape 1 - à remplir'!$P$31:$P$400,CE$3,'Étape 1 - à remplir'!$G$31:$G$400,"lots")),IF(CE$2="Atelier",IF(CE$3="Tous",SUMIFS('Étape 1 - à remplir'!$F$31:$F$400,'Étape 1 - à remplir'!$E$31:$E$400,MASQ2!BV454,'Étape 1 - à remplir'!$G$31:$G$400,"lots"),SUMIFS('Étape 1 - à remplir'!$F$31:$F$400,'Étape 1 - à remplir'!$E$31:$E$400,MASQ2!BV454,'Étape 1 - à remplir'!$O$31:$O$400,CE$3,'Étape 1 - à remplir'!$G$31:$G$400,"lots")),IF(CE$2="Espèce",IF(CE$3="Toutes",SUMIFS('Étape 1 - à remplir'!$F$31:$F$400,'Étape 1 - à remplir'!$E$31:$E$400,MASQ2!BV454,'Étape 1 - à remplir'!$G$31:$G$400,"lots"),SUMIFS('Étape 1 - à remplir'!$F$31:$F$400,'Étape 1 - à remplir'!$E$31:$E$400,MASQ2!BV454,'Étape 1 - à remplir'!$N$31:$N$400,CE$3,'Étape 1 - à remplir'!$G$31:$G$400,"lots")))))))</f>
        <v>#N/A</v>
      </c>
      <c r="BX454">
        <f t="shared" si="308"/>
        <v>0</v>
      </c>
      <c r="BY454" t="str">
        <f t="shared" si="292"/>
        <v>Spiramycine</v>
      </c>
      <c r="BZ454" t="str">
        <f t="shared" si="293"/>
        <v/>
      </c>
      <c r="CA454" t="str">
        <f t="shared" si="294"/>
        <v/>
      </c>
      <c r="CB454" t="str">
        <f t="shared" si="295"/>
        <v>Macrolides</v>
      </c>
      <c r="CC454" t="str">
        <f t="shared" si="296"/>
        <v/>
      </c>
      <c r="CD454" s="63" t="str">
        <f t="shared" si="297"/>
        <v/>
      </c>
      <c r="CG454" s="42">
        <v>451</v>
      </c>
      <c r="CH454" s="42" t="e">
        <f t="shared" si="288"/>
        <v>#N/A</v>
      </c>
      <c r="CI454" s="63" t="e">
        <f t="shared" si="289"/>
        <v>#N/A</v>
      </c>
      <c r="DM454" s="63"/>
      <c r="EA454" s="194" t="str">
        <f t="shared" ca="1" si="298"/>
        <v/>
      </c>
      <c r="EB454" s="226" t="str">
        <f>IFERROR(IF(ED454=0,"",COUNTIF(ED$4:ED$600,"&gt;"&amp;ED454)+COUNTIF(ED$4:ED454,ED454)),"")</f>
        <v/>
      </c>
      <c r="EC454" t="str">
        <f t="shared" si="299"/>
        <v>SPIROVET</v>
      </c>
      <c r="ED454" t="e">
        <f>IF(IF(EL$2="Catégorie",IF(EL$3="Toutes",SUMIFS('Étape 1 - à remplir'!$F$31:$F$400,'Étape 1 - à remplir'!$E$31:$E$400,MASQ2!EC454,'Étape 1 - à remplir'!$G$31:$G$400,"kg"),SUMIFS('Étape 1 - à remplir'!$F$31:$F$400,'Étape 1 - à remplir'!$E$31:$E$400,MASQ2!EC454,'Étape 1 - à remplir'!$C$31:$C$400,EL$3)),IF(EL$2="Âge",IF(EL$3="Tous",SUMIFS('Étape 1 - à remplir'!$F$31:$F$400,'Étape 1 - à remplir'!$E$31:$E$400,MASQ2!EC454,'Étape 1 - à remplir'!$G$31:$G$400,"kg"),SUMIFS('Étape 1 - à remplir'!$F$31:$F$400,'Étape 1 - à remplir'!$E$31:$E$400,MASQ2!EC454,'Étape 1 - à remplir'!$P$31:$P$400,EL$3,'Étape 1 - à remplir'!$G$31:$G$400,"kg")),IF(EL$2="Atelier",IF(EL$3="Tous",SUMIFS('Étape 1 - à remplir'!$F$31:$F$400,'Étape 1 - à remplir'!$E$31:$E$400,MASQ2!EC454,'Étape 1 - à remplir'!$G$31:$G$400,"kg"),SUMIFS('Étape 1 - à remplir'!$F$31:$F$400,'Étape 1 - à remplir'!$E$31:$E$400,MASQ2!EC454,'Étape 1 - à remplir'!$O$31:$O$400,EL$3,'Étape 1 - à remplir'!$G$31:$G$400,"kg")),IF(EL$2="Espèce",IF(EL$3="Toutes",SUMIFS('Étape 1 - à remplir'!$F$31:$F$400,'Étape 1 - à remplir'!$E$31:$E$400,MASQ2!EC454,'Étape 1 - à remplir'!$G$31:$G$400,"kg"),SUMIFS('Étape 1 - à remplir'!$F$31:$F$400,'Étape 1 - à remplir'!$E$31:$E$400,MASQ2!EC454,'Étape 1 - à remplir'!$N$31:$N$400,EL$3,'Étape 1 - à remplir'!$G$31:$G$400,"kg"))))))=0,NA(),IF(EL$2="Catégorie",IF(EL$3="Toutes",SUMIFS('Étape 1 - à remplir'!$F$31:$F$400,'Étape 1 - à remplir'!$E$31:$E$400,MASQ2!EC454,'Étape 1 - à remplir'!$G$31:$G$400,"kg"),SUMIFS('Étape 1 - à remplir'!$F$31:$F$400,'Étape 1 - à remplir'!$E$31:$E$400,MASQ2!EC454,'Étape 1 - à remplir'!$C$31:$C$400,EL$3)),IF(EL$2="Âge",IF(EL$3="Tous",SUMIFS('Étape 1 - à remplir'!$F$31:$F$400,'Étape 1 - à remplir'!$E$31:$E$400,MASQ2!EC454,'Étape 1 - à remplir'!$G$31:$G$400,"kg"),SUMIFS('Étape 1 - à remplir'!$F$31:$F$400,'Étape 1 - à remplir'!$E$31:$E$400,MASQ2!EC454,'Étape 1 - à remplir'!$P$31:$P$400,EL$3,'Étape 1 - à remplir'!$G$31:$G$400,"kg")),IF(EL$2="Atelier",IF(EL$3="Tous",SUMIFS('Étape 1 - à remplir'!$F$31:$F$400,'Étape 1 - à remplir'!$E$31:$E$400,MASQ2!EC454,'Étape 1 - à remplir'!$G$31:$G$400,"kg"),SUMIFS('Étape 1 - à remplir'!$F$31:$F$400,'Étape 1 - à remplir'!$E$31:$E$400,MASQ2!EC454,'Étape 1 - à remplir'!$O$31:$O$400,EL$3,'Étape 1 - à remplir'!$G$31:$G$400,"kg")),IF(EL$2="Espèce",IF(EL$3="Toutes",SUMIFS('Étape 1 - à remplir'!$F$31:$F$400,'Étape 1 - à remplir'!$E$31:$E$400,MASQ2!EC454,'Étape 1 - à remplir'!$G$31:$G$400,"kg"),SUMIFS('Étape 1 - à remplir'!$F$31:$F$400,'Étape 1 - à remplir'!$E$31:$E$400,MASQ2!EC454,'Étape 1 - à remplir'!$N$31:$N$400,EL$3,'Étape 1 - à remplir'!$G$31:$G$400,"kg")))))))</f>
        <v>#N/A</v>
      </c>
      <c r="EE454" s="76">
        <f t="shared" si="309"/>
        <v>0</v>
      </c>
      <c r="EF454" t="str">
        <f t="shared" si="300"/>
        <v>Spiramycine</v>
      </c>
      <c r="EG454" t="str">
        <f t="shared" si="301"/>
        <v/>
      </c>
      <c r="EH454" t="str">
        <f t="shared" si="302"/>
        <v/>
      </c>
      <c r="EI454" t="str">
        <f t="shared" si="303"/>
        <v>Macrolides</v>
      </c>
      <c r="EJ454" t="str">
        <f t="shared" si="304"/>
        <v/>
      </c>
      <c r="EK454" s="63" t="str">
        <f t="shared" si="305"/>
        <v/>
      </c>
      <c r="EN454" s="42">
        <v>451</v>
      </c>
      <c r="EO454" t="e">
        <f t="shared" si="286"/>
        <v>#N/A</v>
      </c>
      <c r="EP454" s="63" t="e">
        <f t="shared" si="287"/>
        <v>#N/A</v>
      </c>
      <c r="FT454" s="63"/>
    </row>
    <row r="455" spans="2:176" x14ac:dyDescent="0.3">
      <c r="B455" s="42"/>
      <c r="M455" s="194" t="str">
        <f ca="1">INDEX(Données_ATB!BD:BU,MATCH(MASQ2!O455,Données_ATB!BD:BD,0),18)</f>
        <v/>
      </c>
      <c r="N455" s="14" t="str">
        <f>IFERROR(IF(Q455=0,"",COUNTIF(Q$4:Q$600,"&gt;"&amp;Q455)+COUNTIF(Q$4:Q455,Q455)),"")</f>
        <v/>
      </c>
      <c r="O455" t="str">
        <f>Données_ATB!BD454</f>
        <v>STALIMOX 364.2 MG/G GRANULES POUR SOLUTION ORALE POUR PORCS</v>
      </c>
      <c r="P455" t="e">
        <f>IF(IF(X$2="Catégorie",IF(X$3="Toutes",SUMIFS('Étape 1 - à remplir'!$F$31:$F$400,'Étape 1 - à remplir'!$E$31:$E$400,MASQ2!O455,'Étape 1 - à remplir'!$G$31:$G$400,"animaux"),SUMIFS('Étape 1 - à remplir'!$F$31:$F$400,'Étape 1 - à remplir'!$E$31:$E$400,MASQ2!O455,'Étape 1 - à remplir'!$C$31:$C$400,X$3)),IF(X$2="Âge",IF(X$3="Tous",SUMIFS('Étape 1 - à remplir'!$F$31:$F$400,'Étape 1 - à remplir'!$E$31:$E$400,MASQ2!O455,'Étape 1 - à remplir'!$G$31:$G$400,"animaux"),SUMIFS('Étape 1 - à remplir'!$F$31:$F$400,'Étape 1 - à remplir'!$E$31:$E$400,MASQ2!O455,'Étape 1 - à remplir'!$P$31:$P$400,X$3)),IF(X$2="Atelier",IF(X$3="Tous",SUMIFS('Étape 1 - à remplir'!$F$31:$F$400,'Étape 1 - à remplir'!$E$31:$E$400,MASQ2!O455,'Étape 1 - à remplir'!$G$31:$G$400,"animaux"),SUMIFS('Étape 1 - à remplir'!$F$31:$F$400,'Étape 1 - à remplir'!$E$31:$E$400,MASQ2!O455,'Étape 1 - à remplir'!$O$31:$O$400,X$3)),IF(X$2="Espèce",IF(X$3="Toutes",SUMIFS('Étape 1 - à remplir'!$F$31:$F$400,'Étape 1 - à remplir'!$E$31:$E$400,MASQ2!O455,'Étape 1 - à remplir'!$G$31:$G$400,"animaux"),SUMIFS('Étape 1 - à remplir'!$F$31:$F$400,'Étape 1 - à remplir'!$E$31:$E$400,MASQ2!O455,'Étape 1 - à remplir'!$N$31:$N$400,X$3))))))=0,NA(),IF(X$2="Catégorie",IF(X$3="Toutes",SUMIFS('Étape 1 - à remplir'!$F$31:$F$400,'Étape 1 - à remplir'!$E$31:$E$400,MASQ2!O455,'Étape 1 - à remplir'!$G$31:$G$400,"animaux"),SUMIFS('Étape 1 - à remplir'!$F$31:$F$400,'Étape 1 - à remplir'!$E$31:$E$400,MASQ2!O455,'Étape 1 - à remplir'!$C$31:$C$400,X$3)),IF(X$2="Âge",IF(X$3="Tous",SUMIFS('Étape 1 - à remplir'!$F$31:$F$400,'Étape 1 - à remplir'!$E$31:$E$400,MASQ2!O455,'Étape 1 - à remplir'!$G$31:$G$400,"animaux"),SUMIFS('Étape 1 - à remplir'!$F$31:$F$400,'Étape 1 - à remplir'!$E$31:$E$400,MASQ2!O455,'Étape 1 - à remplir'!$P$31:$P$400,X$3)),IF(X$2="Atelier",IF(X$3="Tous",SUMIFS('Étape 1 - à remplir'!$F$31:$F$400,'Étape 1 - à remplir'!$E$31:$E$400,MASQ2!O455,'Étape 1 - à remplir'!$G$31:$G$400,"animaux"),SUMIFS('Étape 1 - à remplir'!$F$31:$F$400,'Étape 1 - à remplir'!$E$31:$E$400,MASQ2!O455,'Étape 1 - à remplir'!$O$31:$O$400,X$3)),IF(X$2="Espèce",IF(X$3="Toutes",SUMIFS('Étape 1 - à remplir'!$F$31:$F$400,'Étape 1 - à remplir'!$E$31:$E$400,MASQ2!O455,'Étape 1 - à remplir'!$G$31:$G$400,"animaux"),SUMIFS('Étape 1 - à remplir'!$F$31:$F$400,'Étape 1 - à remplir'!$E$31:$E$400,MASQ2!O455,'Étape 1 - à remplir'!$N$31:$N$400,X$3)))))))</f>
        <v>#N/A</v>
      </c>
      <c r="Q455" s="63">
        <f t="shared" si="310"/>
        <v>0</v>
      </c>
      <c r="R455" t="str">
        <f>Données_ATB!BM454</f>
        <v>Tiamuline</v>
      </c>
      <c r="S455" t="str">
        <f>Données_ATB!BN454</f>
        <v/>
      </c>
      <c r="T455" s="63" t="str">
        <f>Données_ATB!BO454</f>
        <v/>
      </c>
      <c r="U455" s="42" t="str">
        <f>Données_ATB!BQ454</f>
        <v>Pleuromutilines</v>
      </c>
      <c r="V455" t="str">
        <f>Données_ATB!BR454</f>
        <v/>
      </c>
      <c r="W455" s="63" t="str">
        <f>Données_ATB!BS454</f>
        <v/>
      </c>
      <c r="Z455" s="42">
        <v>452</v>
      </c>
      <c r="AA455" t="e">
        <f t="shared" si="306"/>
        <v>#N/A</v>
      </c>
      <c r="AB455" s="63" t="e">
        <f t="shared" si="307"/>
        <v>#N/A</v>
      </c>
      <c r="BF455" s="63"/>
      <c r="BT455" s="194" t="str">
        <f t="shared" ca="1" si="290"/>
        <v/>
      </c>
      <c r="BU455" s="219" t="str">
        <f>IFERROR(IF(BX455=0,"",COUNTIF(BX$4:BX$600,"&gt;"&amp;BX455)+COUNTIF(BX$4:BX455,BX455)),"")</f>
        <v/>
      </c>
      <c r="BV455" s="42" t="str">
        <f t="shared" si="291"/>
        <v>STALIMOX 364.2 MG/G GRANULES POUR SOLUTION ORALE POUR PORCS</v>
      </c>
      <c r="BW455" t="e">
        <f>IF(IF(CE$2="Catégorie",IF(CE$3="Toutes",SUMIFS('Étape 1 - à remplir'!$F$31:$F$400,'Étape 1 - à remplir'!$E$31:$E$400,MASQ2!BV455,'Étape 1 - à remplir'!$G$31:$G$400,"lots"),SUMIFS('Étape 1 - à remplir'!$F$31:$F$400,'Étape 1 - à remplir'!$E$31:$E$400,MASQ2!BV455,'Étape 1 - à remplir'!$C$31:$C$400,CE$3)),IF(CE$2="Âge",IF(CE$3="Tous",SUMIFS('Étape 1 - à remplir'!$F$31:$F$400,'Étape 1 - à remplir'!$E$31:$E$400,MASQ2!BV455,'Étape 1 - à remplir'!$G$31:$G$400,"lots"),SUMIFS('Étape 1 - à remplir'!$F$31:$F$400,'Étape 1 - à remplir'!$E$31:$E$400,MASQ2!BV455,'Étape 1 - à remplir'!$P$31:$P$400,CE$3,'Étape 1 - à remplir'!$G$31:$G$400,"lots")),IF(CE$2="Atelier",IF(CE$3="Tous",SUMIFS('Étape 1 - à remplir'!$F$31:$F$400,'Étape 1 - à remplir'!$E$31:$E$400,MASQ2!BV455,'Étape 1 - à remplir'!$G$31:$G$400,"lots"),SUMIFS('Étape 1 - à remplir'!$F$31:$F$400,'Étape 1 - à remplir'!$E$31:$E$400,MASQ2!BV455,'Étape 1 - à remplir'!$O$31:$O$400,CE$3,'Étape 1 - à remplir'!$G$31:$G$400,"lots")),IF(CE$2="Espèce",IF(CE$3="Toutes",SUMIFS('Étape 1 - à remplir'!$F$31:$F$400,'Étape 1 - à remplir'!$E$31:$E$400,MASQ2!BV455,'Étape 1 - à remplir'!$G$31:$G$400,"lots"),SUMIFS('Étape 1 - à remplir'!$F$31:$F$400,'Étape 1 - à remplir'!$E$31:$E$400,MASQ2!BV455,'Étape 1 - à remplir'!$N$31:$N$400,CE$3,'Étape 1 - à remplir'!$G$31:$G$400,"lots"))))))=0,NA(),IF(CE$2="Catégorie",IF(CE$3="Toutes",SUMIFS('Étape 1 - à remplir'!$F$31:$F$400,'Étape 1 - à remplir'!$E$31:$E$400,MASQ2!BV455,'Étape 1 - à remplir'!$G$31:$G$400,"lots"),SUMIFS('Étape 1 - à remplir'!$F$31:$F$400,'Étape 1 - à remplir'!$E$31:$E$400,MASQ2!BV455,'Étape 1 - à remplir'!$C$31:$C$400,CE$3)),IF(CE$2="Âge",IF(CE$3="Tous",SUMIFS('Étape 1 - à remplir'!$F$31:$F$400,'Étape 1 - à remplir'!$E$31:$E$400,MASQ2!BV455,'Étape 1 - à remplir'!$G$31:$G$400,"lots"),SUMIFS('Étape 1 - à remplir'!$F$31:$F$400,'Étape 1 - à remplir'!$E$31:$E$400,MASQ2!BV455,'Étape 1 - à remplir'!$P$31:$P$400,CE$3,'Étape 1 - à remplir'!$G$31:$G$400,"lots")),IF(CE$2="Atelier",IF(CE$3="Tous",SUMIFS('Étape 1 - à remplir'!$F$31:$F$400,'Étape 1 - à remplir'!$E$31:$E$400,MASQ2!BV455,'Étape 1 - à remplir'!$G$31:$G$400,"lots"),SUMIFS('Étape 1 - à remplir'!$F$31:$F$400,'Étape 1 - à remplir'!$E$31:$E$400,MASQ2!BV455,'Étape 1 - à remplir'!$O$31:$O$400,CE$3,'Étape 1 - à remplir'!$G$31:$G$400,"lots")),IF(CE$2="Espèce",IF(CE$3="Toutes",SUMIFS('Étape 1 - à remplir'!$F$31:$F$400,'Étape 1 - à remplir'!$E$31:$E$400,MASQ2!BV455,'Étape 1 - à remplir'!$G$31:$G$400,"lots"),SUMIFS('Étape 1 - à remplir'!$F$31:$F$400,'Étape 1 - à remplir'!$E$31:$E$400,MASQ2!BV455,'Étape 1 - à remplir'!$N$31:$N$400,CE$3,'Étape 1 - à remplir'!$G$31:$G$400,"lots")))))))</f>
        <v>#N/A</v>
      </c>
      <c r="BX455">
        <f t="shared" si="308"/>
        <v>0</v>
      </c>
      <c r="BY455" t="str">
        <f t="shared" si="292"/>
        <v>Tiamuline</v>
      </c>
      <c r="BZ455" t="str">
        <f t="shared" si="293"/>
        <v/>
      </c>
      <c r="CA455" t="str">
        <f t="shared" si="294"/>
        <v/>
      </c>
      <c r="CB455" t="str">
        <f t="shared" si="295"/>
        <v>Pleuromutilines</v>
      </c>
      <c r="CC455" t="str">
        <f t="shared" si="296"/>
        <v/>
      </c>
      <c r="CD455" s="63" t="str">
        <f t="shared" si="297"/>
        <v/>
      </c>
      <c r="CG455" s="42">
        <v>452</v>
      </c>
      <c r="CH455" s="42" t="e">
        <f t="shared" si="288"/>
        <v>#N/A</v>
      </c>
      <c r="CI455" s="63" t="e">
        <f t="shared" si="289"/>
        <v>#N/A</v>
      </c>
      <c r="DM455" s="63"/>
      <c r="EA455" s="194" t="str">
        <f t="shared" ca="1" si="298"/>
        <v/>
      </c>
      <c r="EB455" s="226" t="str">
        <f>IFERROR(IF(ED455=0,"",COUNTIF(ED$4:ED$600,"&gt;"&amp;ED455)+COUNTIF(ED$4:ED455,ED455)),"")</f>
        <v/>
      </c>
      <c r="EC455" t="str">
        <f t="shared" si="299"/>
        <v>STALIMOX 364.2 MG/G GRANULES POUR SOLUTION ORALE POUR PORCS</v>
      </c>
      <c r="ED455" t="e">
        <f>IF(IF(EL$2="Catégorie",IF(EL$3="Toutes",SUMIFS('Étape 1 - à remplir'!$F$31:$F$400,'Étape 1 - à remplir'!$E$31:$E$400,MASQ2!EC455,'Étape 1 - à remplir'!$G$31:$G$400,"kg"),SUMIFS('Étape 1 - à remplir'!$F$31:$F$400,'Étape 1 - à remplir'!$E$31:$E$400,MASQ2!EC455,'Étape 1 - à remplir'!$C$31:$C$400,EL$3)),IF(EL$2="Âge",IF(EL$3="Tous",SUMIFS('Étape 1 - à remplir'!$F$31:$F$400,'Étape 1 - à remplir'!$E$31:$E$400,MASQ2!EC455,'Étape 1 - à remplir'!$G$31:$G$400,"kg"),SUMIFS('Étape 1 - à remplir'!$F$31:$F$400,'Étape 1 - à remplir'!$E$31:$E$400,MASQ2!EC455,'Étape 1 - à remplir'!$P$31:$P$400,EL$3,'Étape 1 - à remplir'!$G$31:$G$400,"kg")),IF(EL$2="Atelier",IF(EL$3="Tous",SUMIFS('Étape 1 - à remplir'!$F$31:$F$400,'Étape 1 - à remplir'!$E$31:$E$400,MASQ2!EC455,'Étape 1 - à remplir'!$G$31:$G$400,"kg"),SUMIFS('Étape 1 - à remplir'!$F$31:$F$400,'Étape 1 - à remplir'!$E$31:$E$400,MASQ2!EC455,'Étape 1 - à remplir'!$O$31:$O$400,EL$3,'Étape 1 - à remplir'!$G$31:$G$400,"kg")),IF(EL$2="Espèce",IF(EL$3="Toutes",SUMIFS('Étape 1 - à remplir'!$F$31:$F$400,'Étape 1 - à remplir'!$E$31:$E$400,MASQ2!EC455,'Étape 1 - à remplir'!$G$31:$G$400,"kg"),SUMIFS('Étape 1 - à remplir'!$F$31:$F$400,'Étape 1 - à remplir'!$E$31:$E$400,MASQ2!EC455,'Étape 1 - à remplir'!$N$31:$N$400,EL$3,'Étape 1 - à remplir'!$G$31:$G$400,"kg"))))))=0,NA(),IF(EL$2="Catégorie",IF(EL$3="Toutes",SUMIFS('Étape 1 - à remplir'!$F$31:$F$400,'Étape 1 - à remplir'!$E$31:$E$400,MASQ2!EC455,'Étape 1 - à remplir'!$G$31:$G$400,"kg"),SUMIFS('Étape 1 - à remplir'!$F$31:$F$400,'Étape 1 - à remplir'!$E$31:$E$400,MASQ2!EC455,'Étape 1 - à remplir'!$C$31:$C$400,EL$3)),IF(EL$2="Âge",IF(EL$3="Tous",SUMIFS('Étape 1 - à remplir'!$F$31:$F$400,'Étape 1 - à remplir'!$E$31:$E$400,MASQ2!EC455,'Étape 1 - à remplir'!$G$31:$G$400,"kg"),SUMIFS('Étape 1 - à remplir'!$F$31:$F$400,'Étape 1 - à remplir'!$E$31:$E$400,MASQ2!EC455,'Étape 1 - à remplir'!$P$31:$P$400,EL$3,'Étape 1 - à remplir'!$G$31:$G$400,"kg")),IF(EL$2="Atelier",IF(EL$3="Tous",SUMIFS('Étape 1 - à remplir'!$F$31:$F$400,'Étape 1 - à remplir'!$E$31:$E$400,MASQ2!EC455,'Étape 1 - à remplir'!$G$31:$G$400,"kg"),SUMIFS('Étape 1 - à remplir'!$F$31:$F$400,'Étape 1 - à remplir'!$E$31:$E$400,MASQ2!EC455,'Étape 1 - à remplir'!$O$31:$O$400,EL$3,'Étape 1 - à remplir'!$G$31:$G$400,"kg")),IF(EL$2="Espèce",IF(EL$3="Toutes",SUMIFS('Étape 1 - à remplir'!$F$31:$F$400,'Étape 1 - à remplir'!$E$31:$E$400,MASQ2!EC455,'Étape 1 - à remplir'!$G$31:$G$400,"kg"),SUMIFS('Étape 1 - à remplir'!$F$31:$F$400,'Étape 1 - à remplir'!$E$31:$E$400,MASQ2!EC455,'Étape 1 - à remplir'!$N$31:$N$400,EL$3,'Étape 1 - à remplir'!$G$31:$G$400,"kg")))))))</f>
        <v>#N/A</v>
      </c>
      <c r="EE455" s="76">
        <f t="shared" si="309"/>
        <v>0</v>
      </c>
      <c r="EF455" t="str">
        <f t="shared" si="300"/>
        <v>Tiamuline</v>
      </c>
      <c r="EG455" t="str">
        <f t="shared" si="301"/>
        <v/>
      </c>
      <c r="EH455" t="str">
        <f t="shared" si="302"/>
        <v/>
      </c>
      <c r="EI455" t="str">
        <f t="shared" si="303"/>
        <v>Pleuromutilines</v>
      </c>
      <c r="EJ455" t="str">
        <f t="shared" si="304"/>
        <v/>
      </c>
      <c r="EK455" s="63" t="str">
        <f t="shared" si="305"/>
        <v/>
      </c>
      <c r="EN455" s="42">
        <v>452</v>
      </c>
      <c r="EO455" t="e">
        <f t="shared" si="286"/>
        <v>#N/A</v>
      </c>
      <c r="EP455" s="63" t="e">
        <f t="shared" si="287"/>
        <v>#N/A</v>
      </c>
      <c r="FT455" s="63"/>
    </row>
    <row r="456" spans="2:176" x14ac:dyDescent="0.3">
      <c r="B456" s="42"/>
      <c r="M456" s="194" t="str">
        <f ca="1">INDEX(Données_ATB!BD:BU,MATCH(MASQ2!O456,Données_ATB!BD:BD,0),18)</f>
        <v/>
      </c>
      <c r="N456" s="14" t="str">
        <f>IFERROR(IF(Q456=0,"",COUNTIF(Q$4:Q$600,"&gt;"&amp;Q456)+COUNTIF(Q$4:Q456,Q456)),"")</f>
        <v/>
      </c>
      <c r="O456" t="str">
        <f>Données_ATB!BD455</f>
        <v>STOP M</v>
      </c>
      <c r="P456" t="e">
        <f>IF(IF(X$2="Catégorie",IF(X$3="Toutes",SUMIFS('Étape 1 - à remplir'!$F$31:$F$400,'Étape 1 - à remplir'!$E$31:$E$400,MASQ2!O456,'Étape 1 - à remplir'!$G$31:$G$400,"animaux"),SUMIFS('Étape 1 - à remplir'!$F$31:$F$400,'Étape 1 - à remplir'!$E$31:$E$400,MASQ2!O456,'Étape 1 - à remplir'!$C$31:$C$400,X$3)),IF(X$2="Âge",IF(X$3="Tous",SUMIFS('Étape 1 - à remplir'!$F$31:$F$400,'Étape 1 - à remplir'!$E$31:$E$400,MASQ2!O456,'Étape 1 - à remplir'!$G$31:$G$400,"animaux"),SUMIFS('Étape 1 - à remplir'!$F$31:$F$400,'Étape 1 - à remplir'!$E$31:$E$400,MASQ2!O456,'Étape 1 - à remplir'!$P$31:$P$400,X$3)),IF(X$2="Atelier",IF(X$3="Tous",SUMIFS('Étape 1 - à remplir'!$F$31:$F$400,'Étape 1 - à remplir'!$E$31:$E$400,MASQ2!O456,'Étape 1 - à remplir'!$G$31:$G$400,"animaux"),SUMIFS('Étape 1 - à remplir'!$F$31:$F$400,'Étape 1 - à remplir'!$E$31:$E$400,MASQ2!O456,'Étape 1 - à remplir'!$O$31:$O$400,X$3)),IF(X$2="Espèce",IF(X$3="Toutes",SUMIFS('Étape 1 - à remplir'!$F$31:$F$400,'Étape 1 - à remplir'!$E$31:$E$400,MASQ2!O456,'Étape 1 - à remplir'!$G$31:$G$400,"animaux"),SUMIFS('Étape 1 - à remplir'!$F$31:$F$400,'Étape 1 - à remplir'!$E$31:$E$400,MASQ2!O456,'Étape 1 - à remplir'!$N$31:$N$400,X$3))))))=0,NA(),IF(X$2="Catégorie",IF(X$3="Toutes",SUMIFS('Étape 1 - à remplir'!$F$31:$F$400,'Étape 1 - à remplir'!$E$31:$E$400,MASQ2!O456,'Étape 1 - à remplir'!$G$31:$G$400,"animaux"),SUMIFS('Étape 1 - à remplir'!$F$31:$F$400,'Étape 1 - à remplir'!$E$31:$E$400,MASQ2!O456,'Étape 1 - à remplir'!$C$31:$C$400,X$3)),IF(X$2="Âge",IF(X$3="Tous",SUMIFS('Étape 1 - à remplir'!$F$31:$F$400,'Étape 1 - à remplir'!$E$31:$E$400,MASQ2!O456,'Étape 1 - à remplir'!$G$31:$G$400,"animaux"),SUMIFS('Étape 1 - à remplir'!$F$31:$F$400,'Étape 1 - à remplir'!$E$31:$E$400,MASQ2!O456,'Étape 1 - à remplir'!$P$31:$P$400,X$3)),IF(X$2="Atelier",IF(X$3="Tous",SUMIFS('Étape 1 - à remplir'!$F$31:$F$400,'Étape 1 - à remplir'!$E$31:$E$400,MASQ2!O456,'Étape 1 - à remplir'!$G$31:$G$400,"animaux"),SUMIFS('Étape 1 - à remplir'!$F$31:$F$400,'Étape 1 - à remplir'!$E$31:$E$400,MASQ2!O456,'Étape 1 - à remplir'!$O$31:$O$400,X$3)),IF(X$2="Espèce",IF(X$3="Toutes",SUMIFS('Étape 1 - à remplir'!$F$31:$F$400,'Étape 1 - à remplir'!$E$31:$E$400,MASQ2!O456,'Étape 1 - à remplir'!$G$31:$G$400,"animaux"),SUMIFS('Étape 1 - à remplir'!$F$31:$F$400,'Étape 1 - à remplir'!$E$31:$E$400,MASQ2!O456,'Étape 1 - à remplir'!$N$31:$N$400,X$3)))))))</f>
        <v>#N/A</v>
      </c>
      <c r="Q456" s="63">
        <f t="shared" si="310"/>
        <v>0</v>
      </c>
      <c r="R456" t="str">
        <f>Données_ATB!BM455</f>
        <v>Pénéthamate (ou pénéthacilline)</v>
      </c>
      <c r="S456" t="str">
        <f>Données_ATB!BN455</f>
        <v/>
      </c>
      <c r="T456" s="63" t="str">
        <f>Données_ATB!BO455</f>
        <v/>
      </c>
      <c r="U456" s="42" t="str">
        <f>Données_ATB!BQ455</f>
        <v>Penicillines</v>
      </c>
      <c r="V456" t="str">
        <f>Données_ATB!BR455</f>
        <v/>
      </c>
      <c r="W456" s="63" t="str">
        <f>Données_ATB!BS455</f>
        <v/>
      </c>
      <c r="Z456" s="42">
        <v>453</v>
      </c>
      <c r="AA456" t="e">
        <f t="shared" si="306"/>
        <v>#N/A</v>
      </c>
      <c r="AB456" s="63" t="e">
        <f t="shared" si="307"/>
        <v>#N/A</v>
      </c>
      <c r="BF456" s="63"/>
      <c r="BT456" s="194" t="str">
        <f t="shared" ca="1" si="290"/>
        <v/>
      </c>
      <c r="BU456" s="219" t="str">
        <f>IFERROR(IF(BX456=0,"",COUNTIF(BX$4:BX$600,"&gt;"&amp;BX456)+COUNTIF(BX$4:BX456,BX456)),"")</f>
        <v/>
      </c>
      <c r="BV456" s="42" t="str">
        <f t="shared" si="291"/>
        <v>STOP M</v>
      </c>
      <c r="BW456" t="e">
        <f>IF(IF(CE$2="Catégorie",IF(CE$3="Toutes",SUMIFS('Étape 1 - à remplir'!$F$31:$F$400,'Étape 1 - à remplir'!$E$31:$E$400,MASQ2!BV456,'Étape 1 - à remplir'!$G$31:$G$400,"lots"),SUMIFS('Étape 1 - à remplir'!$F$31:$F$400,'Étape 1 - à remplir'!$E$31:$E$400,MASQ2!BV456,'Étape 1 - à remplir'!$C$31:$C$400,CE$3)),IF(CE$2="Âge",IF(CE$3="Tous",SUMIFS('Étape 1 - à remplir'!$F$31:$F$400,'Étape 1 - à remplir'!$E$31:$E$400,MASQ2!BV456,'Étape 1 - à remplir'!$G$31:$G$400,"lots"),SUMIFS('Étape 1 - à remplir'!$F$31:$F$400,'Étape 1 - à remplir'!$E$31:$E$400,MASQ2!BV456,'Étape 1 - à remplir'!$P$31:$P$400,CE$3,'Étape 1 - à remplir'!$G$31:$G$400,"lots")),IF(CE$2="Atelier",IF(CE$3="Tous",SUMIFS('Étape 1 - à remplir'!$F$31:$F$400,'Étape 1 - à remplir'!$E$31:$E$400,MASQ2!BV456,'Étape 1 - à remplir'!$G$31:$G$400,"lots"),SUMIFS('Étape 1 - à remplir'!$F$31:$F$400,'Étape 1 - à remplir'!$E$31:$E$400,MASQ2!BV456,'Étape 1 - à remplir'!$O$31:$O$400,CE$3,'Étape 1 - à remplir'!$G$31:$G$400,"lots")),IF(CE$2="Espèce",IF(CE$3="Toutes",SUMIFS('Étape 1 - à remplir'!$F$31:$F$400,'Étape 1 - à remplir'!$E$31:$E$400,MASQ2!BV456,'Étape 1 - à remplir'!$G$31:$G$400,"lots"),SUMIFS('Étape 1 - à remplir'!$F$31:$F$400,'Étape 1 - à remplir'!$E$31:$E$400,MASQ2!BV456,'Étape 1 - à remplir'!$N$31:$N$400,CE$3,'Étape 1 - à remplir'!$G$31:$G$400,"lots"))))))=0,NA(),IF(CE$2="Catégorie",IF(CE$3="Toutes",SUMIFS('Étape 1 - à remplir'!$F$31:$F$400,'Étape 1 - à remplir'!$E$31:$E$400,MASQ2!BV456,'Étape 1 - à remplir'!$G$31:$G$400,"lots"),SUMIFS('Étape 1 - à remplir'!$F$31:$F$400,'Étape 1 - à remplir'!$E$31:$E$400,MASQ2!BV456,'Étape 1 - à remplir'!$C$31:$C$400,CE$3)),IF(CE$2="Âge",IF(CE$3="Tous",SUMIFS('Étape 1 - à remplir'!$F$31:$F$400,'Étape 1 - à remplir'!$E$31:$E$400,MASQ2!BV456,'Étape 1 - à remplir'!$G$31:$G$400,"lots"),SUMIFS('Étape 1 - à remplir'!$F$31:$F$400,'Étape 1 - à remplir'!$E$31:$E$400,MASQ2!BV456,'Étape 1 - à remplir'!$P$31:$P$400,CE$3,'Étape 1 - à remplir'!$G$31:$G$400,"lots")),IF(CE$2="Atelier",IF(CE$3="Tous",SUMIFS('Étape 1 - à remplir'!$F$31:$F$400,'Étape 1 - à remplir'!$E$31:$E$400,MASQ2!BV456,'Étape 1 - à remplir'!$G$31:$G$400,"lots"),SUMIFS('Étape 1 - à remplir'!$F$31:$F$400,'Étape 1 - à remplir'!$E$31:$E$400,MASQ2!BV456,'Étape 1 - à remplir'!$O$31:$O$400,CE$3,'Étape 1 - à remplir'!$G$31:$G$400,"lots")),IF(CE$2="Espèce",IF(CE$3="Toutes",SUMIFS('Étape 1 - à remplir'!$F$31:$F$400,'Étape 1 - à remplir'!$E$31:$E$400,MASQ2!BV456,'Étape 1 - à remplir'!$G$31:$G$400,"lots"),SUMIFS('Étape 1 - à remplir'!$F$31:$F$400,'Étape 1 - à remplir'!$E$31:$E$400,MASQ2!BV456,'Étape 1 - à remplir'!$N$31:$N$400,CE$3,'Étape 1 - à remplir'!$G$31:$G$400,"lots")))))))</f>
        <v>#N/A</v>
      </c>
      <c r="BX456">
        <f t="shared" si="308"/>
        <v>0</v>
      </c>
      <c r="BY456" t="str">
        <f t="shared" si="292"/>
        <v>Pénéthamate (ou pénéthacilline)</v>
      </c>
      <c r="BZ456" t="str">
        <f t="shared" si="293"/>
        <v/>
      </c>
      <c r="CA456" t="str">
        <f t="shared" si="294"/>
        <v/>
      </c>
      <c r="CB456" t="str">
        <f t="shared" si="295"/>
        <v>Penicillines</v>
      </c>
      <c r="CC456" t="str">
        <f t="shared" si="296"/>
        <v/>
      </c>
      <c r="CD456" s="63" t="str">
        <f t="shared" si="297"/>
        <v/>
      </c>
      <c r="CG456" s="42">
        <v>453</v>
      </c>
      <c r="CH456" s="42" t="e">
        <f t="shared" si="288"/>
        <v>#N/A</v>
      </c>
      <c r="CI456" s="63" t="e">
        <f t="shared" si="289"/>
        <v>#N/A</v>
      </c>
      <c r="DM456" s="63"/>
      <c r="EA456" s="194" t="str">
        <f t="shared" ca="1" si="298"/>
        <v/>
      </c>
      <c r="EB456" s="226" t="str">
        <f>IFERROR(IF(ED456=0,"",COUNTIF(ED$4:ED$600,"&gt;"&amp;ED456)+COUNTIF(ED$4:ED456,ED456)),"")</f>
        <v/>
      </c>
      <c r="EC456" t="str">
        <f t="shared" si="299"/>
        <v>STOP M</v>
      </c>
      <c r="ED456" t="e">
        <f>IF(IF(EL$2="Catégorie",IF(EL$3="Toutes",SUMIFS('Étape 1 - à remplir'!$F$31:$F$400,'Étape 1 - à remplir'!$E$31:$E$400,MASQ2!EC456,'Étape 1 - à remplir'!$G$31:$G$400,"kg"),SUMIFS('Étape 1 - à remplir'!$F$31:$F$400,'Étape 1 - à remplir'!$E$31:$E$400,MASQ2!EC456,'Étape 1 - à remplir'!$C$31:$C$400,EL$3)),IF(EL$2="Âge",IF(EL$3="Tous",SUMIFS('Étape 1 - à remplir'!$F$31:$F$400,'Étape 1 - à remplir'!$E$31:$E$400,MASQ2!EC456,'Étape 1 - à remplir'!$G$31:$G$400,"kg"),SUMIFS('Étape 1 - à remplir'!$F$31:$F$400,'Étape 1 - à remplir'!$E$31:$E$400,MASQ2!EC456,'Étape 1 - à remplir'!$P$31:$P$400,EL$3,'Étape 1 - à remplir'!$G$31:$G$400,"kg")),IF(EL$2="Atelier",IF(EL$3="Tous",SUMIFS('Étape 1 - à remplir'!$F$31:$F$400,'Étape 1 - à remplir'!$E$31:$E$400,MASQ2!EC456,'Étape 1 - à remplir'!$G$31:$G$400,"kg"),SUMIFS('Étape 1 - à remplir'!$F$31:$F$400,'Étape 1 - à remplir'!$E$31:$E$400,MASQ2!EC456,'Étape 1 - à remplir'!$O$31:$O$400,EL$3,'Étape 1 - à remplir'!$G$31:$G$400,"kg")),IF(EL$2="Espèce",IF(EL$3="Toutes",SUMIFS('Étape 1 - à remplir'!$F$31:$F$400,'Étape 1 - à remplir'!$E$31:$E$400,MASQ2!EC456,'Étape 1 - à remplir'!$G$31:$G$400,"kg"),SUMIFS('Étape 1 - à remplir'!$F$31:$F$400,'Étape 1 - à remplir'!$E$31:$E$400,MASQ2!EC456,'Étape 1 - à remplir'!$N$31:$N$400,EL$3,'Étape 1 - à remplir'!$G$31:$G$400,"kg"))))))=0,NA(),IF(EL$2="Catégorie",IF(EL$3="Toutes",SUMIFS('Étape 1 - à remplir'!$F$31:$F$400,'Étape 1 - à remplir'!$E$31:$E$400,MASQ2!EC456,'Étape 1 - à remplir'!$G$31:$G$400,"kg"),SUMIFS('Étape 1 - à remplir'!$F$31:$F$400,'Étape 1 - à remplir'!$E$31:$E$400,MASQ2!EC456,'Étape 1 - à remplir'!$C$31:$C$400,EL$3)),IF(EL$2="Âge",IF(EL$3="Tous",SUMIFS('Étape 1 - à remplir'!$F$31:$F$400,'Étape 1 - à remplir'!$E$31:$E$400,MASQ2!EC456,'Étape 1 - à remplir'!$G$31:$G$400,"kg"),SUMIFS('Étape 1 - à remplir'!$F$31:$F$400,'Étape 1 - à remplir'!$E$31:$E$400,MASQ2!EC456,'Étape 1 - à remplir'!$P$31:$P$400,EL$3,'Étape 1 - à remplir'!$G$31:$G$400,"kg")),IF(EL$2="Atelier",IF(EL$3="Tous",SUMIFS('Étape 1 - à remplir'!$F$31:$F$400,'Étape 1 - à remplir'!$E$31:$E$400,MASQ2!EC456,'Étape 1 - à remplir'!$G$31:$G$400,"kg"),SUMIFS('Étape 1 - à remplir'!$F$31:$F$400,'Étape 1 - à remplir'!$E$31:$E$400,MASQ2!EC456,'Étape 1 - à remplir'!$O$31:$O$400,EL$3,'Étape 1 - à remplir'!$G$31:$G$400,"kg")),IF(EL$2="Espèce",IF(EL$3="Toutes",SUMIFS('Étape 1 - à remplir'!$F$31:$F$400,'Étape 1 - à remplir'!$E$31:$E$400,MASQ2!EC456,'Étape 1 - à remplir'!$G$31:$G$400,"kg"),SUMIFS('Étape 1 - à remplir'!$F$31:$F$400,'Étape 1 - à remplir'!$E$31:$E$400,MASQ2!EC456,'Étape 1 - à remplir'!$N$31:$N$400,EL$3,'Étape 1 - à remplir'!$G$31:$G$400,"kg")))))))</f>
        <v>#N/A</v>
      </c>
      <c r="EE456" s="76">
        <f t="shared" si="309"/>
        <v>0</v>
      </c>
      <c r="EF456" t="str">
        <f t="shared" si="300"/>
        <v>Pénéthamate (ou pénéthacilline)</v>
      </c>
      <c r="EG456" t="str">
        <f t="shared" si="301"/>
        <v/>
      </c>
      <c r="EH456" t="str">
        <f t="shared" si="302"/>
        <v/>
      </c>
      <c r="EI456" t="str">
        <f t="shared" si="303"/>
        <v>Penicillines</v>
      </c>
      <c r="EJ456" t="str">
        <f t="shared" si="304"/>
        <v/>
      </c>
      <c r="EK456" s="63" t="str">
        <f t="shared" si="305"/>
        <v/>
      </c>
      <c r="EN456" s="42">
        <v>453</v>
      </c>
      <c r="EO456" t="e">
        <f t="shared" si="286"/>
        <v>#N/A</v>
      </c>
      <c r="EP456" s="63" t="e">
        <f t="shared" si="287"/>
        <v>#N/A</v>
      </c>
      <c r="FT456" s="63"/>
    </row>
    <row r="457" spans="2:176" x14ac:dyDescent="0.3">
      <c r="B457" s="42"/>
      <c r="M457" s="194" t="str">
        <f ca="1">INDEX(Données_ATB!BD:BU,MATCH(MASQ2!O457,Données_ATB!BD:BD,0),18)</f>
        <v/>
      </c>
      <c r="N457" s="14" t="str">
        <f>IFERROR(IF(Q457=0,"",COUNTIF(Q$4:Q$600,"&gt;"&amp;Q457)+COUNTIF(Q$4:Q457,Q457)),"")</f>
        <v/>
      </c>
      <c r="O457" t="str">
        <f>Données_ATB!BD456</f>
        <v>STRENZEN 500/125 MG/G POUDRE POUR EAU DE BOISSON POUR PORCS</v>
      </c>
      <c r="P457" t="e">
        <f>IF(IF(X$2="Catégorie",IF(X$3="Toutes",SUMIFS('Étape 1 - à remplir'!$F$31:$F$400,'Étape 1 - à remplir'!$E$31:$E$400,MASQ2!O457,'Étape 1 - à remplir'!$G$31:$G$400,"animaux"),SUMIFS('Étape 1 - à remplir'!$F$31:$F$400,'Étape 1 - à remplir'!$E$31:$E$400,MASQ2!O457,'Étape 1 - à remplir'!$C$31:$C$400,X$3)),IF(X$2="Âge",IF(X$3="Tous",SUMIFS('Étape 1 - à remplir'!$F$31:$F$400,'Étape 1 - à remplir'!$E$31:$E$400,MASQ2!O457,'Étape 1 - à remplir'!$G$31:$G$400,"animaux"),SUMIFS('Étape 1 - à remplir'!$F$31:$F$400,'Étape 1 - à remplir'!$E$31:$E$400,MASQ2!O457,'Étape 1 - à remplir'!$P$31:$P$400,X$3)),IF(X$2="Atelier",IF(X$3="Tous",SUMIFS('Étape 1 - à remplir'!$F$31:$F$400,'Étape 1 - à remplir'!$E$31:$E$400,MASQ2!O457,'Étape 1 - à remplir'!$G$31:$G$400,"animaux"),SUMIFS('Étape 1 - à remplir'!$F$31:$F$400,'Étape 1 - à remplir'!$E$31:$E$400,MASQ2!O457,'Étape 1 - à remplir'!$O$31:$O$400,X$3)),IF(X$2="Espèce",IF(X$3="Toutes",SUMIFS('Étape 1 - à remplir'!$F$31:$F$400,'Étape 1 - à remplir'!$E$31:$E$400,MASQ2!O457,'Étape 1 - à remplir'!$G$31:$G$400,"animaux"),SUMIFS('Étape 1 - à remplir'!$F$31:$F$400,'Étape 1 - à remplir'!$E$31:$E$400,MASQ2!O457,'Étape 1 - à remplir'!$N$31:$N$400,X$3))))))=0,NA(),IF(X$2="Catégorie",IF(X$3="Toutes",SUMIFS('Étape 1 - à remplir'!$F$31:$F$400,'Étape 1 - à remplir'!$E$31:$E$400,MASQ2!O457,'Étape 1 - à remplir'!$G$31:$G$400,"animaux"),SUMIFS('Étape 1 - à remplir'!$F$31:$F$400,'Étape 1 - à remplir'!$E$31:$E$400,MASQ2!O457,'Étape 1 - à remplir'!$C$31:$C$400,X$3)),IF(X$2="Âge",IF(X$3="Tous",SUMIFS('Étape 1 - à remplir'!$F$31:$F$400,'Étape 1 - à remplir'!$E$31:$E$400,MASQ2!O457,'Étape 1 - à remplir'!$G$31:$G$400,"animaux"),SUMIFS('Étape 1 - à remplir'!$F$31:$F$400,'Étape 1 - à remplir'!$E$31:$E$400,MASQ2!O457,'Étape 1 - à remplir'!$P$31:$P$400,X$3)),IF(X$2="Atelier",IF(X$3="Tous",SUMIFS('Étape 1 - à remplir'!$F$31:$F$400,'Étape 1 - à remplir'!$E$31:$E$400,MASQ2!O457,'Étape 1 - à remplir'!$G$31:$G$400,"animaux"),SUMIFS('Étape 1 - à remplir'!$F$31:$F$400,'Étape 1 - à remplir'!$E$31:$E$400,MASQ2!O457,'Étape 1 - à remplir'!$O$31:$O$400,X$3)),IF(X$2="Espèce",IF(X$3="Toutes",SUMIFS('Étape 1 - à remplir'!$F$31:$F$400,'Étape 1 - à remplir'!$E$31:$E$400,MASQ2!O457,'Étape 1 - à remplir'!$G$31:$G$400,"animaux"),SUMIFS('Étape 1 - à remplir'!$F$31:$F$400,'Étape 1 - à remplir'!$E$31:$E$400,MASQ2!O457,'Étape 1 - à remplir'!$N$31:$N$400,X$3)))))))</f>
        <v>#N/A</v>
      </c>
      <c r="Q457" s="63">
        <f t="shared" si="310"/>
        <v>0</v>
      </c>
      <c r="R457" t="str">
        <f>Données_ATB!BM456</f>
        <v>Amoxicilline</v>
      </c>
      <c r="S457" t="str">
        <f>Données_ATB!BN456</f>
        <v>Acide clavulanique</v>
      </c>
      <c r="T457" s="63" t="str">
        <f>Données_ATB!BO456</f>
        <v/>
      </c>
      <c r="U457" s="42" t="str">
        <f>Données_ATB!BQ456</f>
        <v>Penicillines</v>
      </c>
      <c r="V457" t="str">
        <f>Données_ATB!BR456</f>
        <v>Acide clavulanique</v>
      </c>
      <c r="W457" s="63" t="str">
        <f>Données_ATB!BS456</f>
        <v/>
      </c>
      <c r="Z457" s="42">
        <v>454</v>
      </c>
      <c r="AA457" t="e">
        <f t="shared" si="306"/>
        <v>#N/A</v>
      </c>
      <c r="AB457" s="63" t="e">
        <f t="shared" si="307"/>
        <v>#N/A</v>
      </c>
      <c r="BF457" s="63"/>
      <c r="BT457" s="194" t="str">
        <f t="shared" ca="1" si="290"/>
        <v/>
      </c>
      <c r="BU457" s="219" t="str">
        <f>IFERROR(IF(BX457=0,"",COUNTIF(BX$4:BX$600,"&gt;"&amp;BX457)+COUNTIF(BX$4:BX457,BX457)),"")</f>
        <v/>
      </c>
      <c r="BV457" s="42" t="str">
        <f t="shared" si="291"/>
        <v>STRENZEN 500/125 MG/G POUDRE POUR EAU DE BOISSON POUR PORCS</v>
      </c>
      <c r="BW457" t="e">
        <f>IF(IF(CE$2="Catégorie",IF(CE$3="Toutes",SUMIFS('Étape 1 - à remplir'!$F$31:$F$400,'Étape 1 - à remplir'!$E$31:$E$400,MASQ2!BV457,'Étape 1 - à remplir'!$G$31:$G$400,"lots"),SUMIFS('Étape 1 - à remplir'!$F$31:$F$400,'Étape 1 - à remplir'!$E$31:$E$400,MASQ2!BV457,'Étape 1 - à remplir'!$C$31:$C$400,CE$3)),IF(CE$2="Âge",IF(CE$3="Tous",SUMIFS('Étape 1 - à remplir'!$F$31:$F$400,'Étape 1 - à remplir'!$E$31:$E$400,MASQ2!BV457,'Étape 1 - à remplir'!$G$31:$G$400,"lots"),SUMIFS('Étape 1 - à remplir'!$F$31:$F$400,'Étape 1 - à remplir'!$E$31:$E$400,MASQ2!BV457,'Étape 1 - à remplir'!$P$31:$P$400,CE$3,'Étape 1 - à remplir'!$G$31:$G$400,"lots")),IF(CE$2="Atelier",IF(CE$3="Tous",SUMIFS('Étape 1 - à remplir'!$F$31:$F$400,'Étape 1 - à remplir'!$E$31:$E$400,MASQ2!BV457,'Étape 1 - à remplir'!$G$31:$G$400,"lots"),SUMIFS('Étape 1 - à remplir'!$F$31:$F$400,'Étape 1 - à remplir'!$E$31:$E$400,MASQ2!BV457,'Étape 1 - à remplir'!$O$31:$O$400,CE$3,'Étape 1 - à remplir'!$G$31:$G$400,"lots")),IF(CE$2="Espèce",IF(CE$3="Toutes",SUMIFS('Étape 1 - à remplir'!$F$31:$F$400,'Étape 1 - à remplir'!$E$31:$E$400,MASQ2!BV457,'Étape 1 - à remplir'!$G$31:$G$400,"lots"),SUMIFS('Étape 1 - à remplir'!$F$31:$F$400,'Étape 1 - à remplir'!$E$31:$E$400,MASQ2!BV457,'Étape 1 - à remplir'!$N$31:$N$400,CE$3,'Étape 1 - à remplir'!$G$31:$G$400,"lots"))))))=0,NA(),IF(CE$2="Catégorie",IF(CE$3="Toutes",SUMIFS('Étape 1 - à remplir'!$F$31:$F$400,'Étape 1 - à remplir'!$E$31:$E$400,MASQ2!BV457,'Étape 1 - à remplir'!$G$31:$G$400,"lots"),SUMIFS('Étape 1 - à remplir'!$F$31:$F$400,'Étape 1 - à remplir'!$E$31:$E$400,MASQ2!BV457,'Étape 1 - à remplir'!$C$31:$C$400,CE$3)),IF(CE$2="Âge",IF(CE$3="Tous",SUMIFS('Étape 1 - à remplir'!$F$31:$F$400,'Étape 1 - à remplir'!$E$31:$E$400,MASQ2!BV457,'Étape 1 - à remplir'!$G$31:$G$400,"lots"),SUMIFS('Étape 1 - à remplir'!$F$31:$F$400,'Étape 1 - à remplir'!$E$31:$E$400,MASQ2!BV457,'Étape 1 - à remplir'!$P$31:$P$400,CE$3,'Étape 1 - à remplir'!$G$31:$G$400,"lots")),IF(CE$2="Atelier",IF(CE$3="Tous",SUMIFS('Étape 1 - à remplir'!$F$31:$F$400,'Étape 1 - à remplir'!$E$31:$E$400,MASQ2!BV457,'Étape 1 - à remplir'!$G$31:$G$400,"lots"),SUMIFS('Étape 1 - à remplir'!$F$31:$F$400,'Étape 1 - à remplir'!$E$31:$E$400,MASQ2!BV457,'Étape 1 - à remplir'!$O$31:$O$400,CE$3,'Étape 1 - à remplir'!$G$31:$G$400,"lots")),IF(CE$2="Espèce",IF(CE$3="Toutes",SUMIFS('Étape 1 - à remplir'!$F$31:$F$400,'Étape 1 - à remplir'!$E$31:$E$400,MASQ2!BV457,'Étape 1 - à remplir'!$G$31:$G$400,"lots"),SUMIFS('Étape 1 - à remplir'!$F$31:$F$400,'Étape 1 - à remplir'!$E$31:$E$400,MASQ2!BV457,'Étape 1 - à remplir'!$N$31:$N$400,CE$3,'Étape 1 - à remplir'!$G$31:$G$400,"lots")))))))</f>
        <v>#N/A</v>
      </c>
      <c r="BX457">
        <f t="shared" si="308"/>
        <v>0</v>
      </c>
      <c r="BY457" t="str">
        <f t="shared" si="292"/>
        <v>Amoxicilline</v>
      </c>
      <c r="BZ457" t="str">
        <f t="shared" si="293"/>
        <v>Acide clavulanique</v>
      </c>
      <c r="CA457" t="str">
        <f t="shared" si="294"/>
        <v/>
      </c>
      <c r="CB457" t="str">
        <f t="shared" si="295"/>
        <v>Penicillines</v>
      </c>
      <c r="CC457" t="str">
        <f t="shared" si="296"/>
        <v>Acide clavulanique</v>
      </c>
      <c r="CD457" s="63" t="str">
        <f t="shared" si="297"/>
        <v/>
      </c>
      <c r="CG457" s="42">
        <v>454</v>
      </c>
      <c r="CH457" s="42" t="e">
        <f t="shared" si="288"/>
        <v>#N/A</v>
      </c>
      <c r="CI457" s="63" t="e">
        <f t="shared" si="289"/>
        <v>#N/A</v>
      </c>
      <c r="DM457" s="63"/>
      <c r="EA457" s="194" t="str">
        <f t="shared" ca="1" si="298"/>
        <v/>
      </c>
      <c r="EB457" s="226" t="str">
        <f>IFERROR(IF(ED457=0,"",COUNTIF(ED$4:ED$600,"&gt;"&amp;ED457)+COUNTIF(ED$4:ED457,ED457)),"")</f>
        <v/>
      </c>
      <c r="EC457" t="str">
        <f t="shared" si="299"/>
        <v>STRENZEN 500/125 MG/G POUDRE POUR EAU DE BOISSON POUR PORCS</v>
      </c>
      <c r="ED457" t="e">
        <f>IF(IF(EL$2="Catégorie",IF(EL$3="Toutes",SUMIFS('Étape 1 - à remplir'!$F$31:$F$400,'Étape 1 - à remplir'!$E$31:$E$400,MASQ2!EC457,'Étape 1 - à remplir'!$G$31:$G$400,"kg"),SUMIFS('Étape 1 - à remplir'!$F$31:$F$400,'Étape 1 - à remplir'!$E$31:$E$400,MASQ2!EC457,'Étape 1 - à remplir'!$C$31:$C$400,EL$3)),IF(EL$2="Âge",IF(EL$3="Tous",SUMIFS('Étape 1 - à remplir'!$F$31:$F$400,'Étape 1 - à remplir'!$E$31:$E$400,MASQ2!EC457,'Étape 1 - à remplir'!$G$31:$G$400,"kg"),SUMIFS('Étape 1 - à remplir'!$F$31:$F$400,'Étape 1 - à remplir'!$E$31:$E$400,MASQ2!EC457,'Étape 1 - à remplir'!$P$31:$P$400,EL$3,'Étape 1 - à remplir'!$G$31:$G$400,"kg")),IF(EL$2="Atelier",IF(EL$3="Tous",SUMIFS('Étape 1 - à remplir'!$F$31:$F$400,'Étape 1 - à remplir'!$E$31:$E$400,MASQ2!EC457,'Étape 1 - à remplir'!$G$31:$G$400,"kg"),SUMIFS('Étape 1 - à remplir'!$F$31:$F$400,'Étape 1 - à remplir'!$E$31:$E$400,MASQ2!EC457,'Étape 1 - à remplir'!$O$31:$O$400,EL$3,'Étape 1 - à remplir'!$G$31:$G$400,"kg")),IF(EL$2="Espèce",IF(EL$3="Toutes",SUMIFS('Étape 1 - à remplir'!$F$31:$F$400,'Étape 1 - à remplir'!$E$31:$E$400,MASQ2!EC457,'Étape 1 - à remplir'!$G$31:$G$400,"kg"),SUMIFS('Étape 1 - à remplir'!$F$31:$F$400,'Étape 1 - à remplir'!$E$31:$E$400,MASQ2!EC457,'Étape 1 - à remplir'!$N$31:$N$400,EL$3,'Étape 1 - à remplir'!$G$31:$G$400,"kg"))))))=0,NA(),IF(EL$2="Catégorie",IF(EL$3="Toutes",SUMIFS('Étape 1 - à remplir'!$F$31:$F$400,'Étape 1 - à remplir'!$E$31:$E$400,MASQ2!EC457,'Étape 1 - à remplir'!$G$31:$G$400,"kg"),SUMIFS('Étape 1 - à remplir'!$F$31:$F$400,'Étape 1 - à remplir'!$E$31:$E$400,MASQ2!EC457,'Étape 1 - à remplir'!$C$31:$C$400,EL$3)),IF(EL$2="Âge",IF(EL$3="Tous",SUMIFS('Étape 1 - à remplir'!$F$31:$F$400,'Étape 1 - à remplir'!$E$31:$E$400,MASQ2!EC457,'Étape 1 - à remplir'!$G$31:$G$400,"kg"),SUMIFS('Étape 1 - à remplir'!$F$31:$F$400,'Étape 1 - à remplir'!$E$31:$E$400,MASQ2!EC457,'Étape 1 - à remplir'!$P$31:$P$400,EL$3,'Étape 1 - à remplir'!$G$31:$G$400,"kg")),IF(EL$2="Atelier",IF(EL$3="Tous",SUMIFS('Étape 1 - à remplir'!$F$31:$F$400,'Étape 1 - à remplir'!$E$31:$E$400,MASQ2!EC457,'Étape 1 - à remplir'!$G$31:$G$400,"kg"),SUMIFS('Étape 1 - à remplir'!$F$31:$F$400,'Étape 1 - à remplir'!$E$31:$E$400,MASQ2!EC457,'Étape 1 - à remplir'!$O$31:$O$400,EL$3,'Étape 1 - à remplir'!$G$31:$G$400,"kg")),IF(EL$2="Espèce",IF(EL$3="Toutes",SUMIFS('Étape 1 - à remplir'!$F$31:$F$400,'Étape 1 - à remplir'!$E$31:$E$400,MASQ2!EC457,'Étape 1 - à remplir'!$G$31:$G$400,"kg"),SUMIFS('Étape 1 - à remplir'!$F$31:$F$400,'Étape 1 - à remplir'!$E$31:$E$400,MASQ2!EC457,'Étape 1 - à remplir'!$N$31:$N$400,EL$3,'Étape 1 - à remplir'!$G$31:$G$400,"kg")))))))</f>
        <v>#N/A</v>
      </c>
      <c r="EE457" s="76">
        <f t="shared" si="309"/>
        <v>0</v>
      </c>
      <c r="EF457" t="str">
        <f t="shared" si="300"/>
        <v>Amoxicilline</v>
      </c>
      <c r="EG457" t="str">
        <f t="shared" si="301"/>
        <v>Acide clavulanique</v>
      </c>
      <c r="EH457" t="str">
        <f t="shared" si="302"/>
        <v/>
      </c>
      <c r="EI457" t="str">
        <f t="shared" si="303"/>
        <v>Penicillines</v>
      </c>
      <c r="EJ457" t="str">
        <f t="shared" si="304"/>
        <v>Acide clavulanique</v>
      </c>
      <c r="EK457" s="63" t="str">
        <f t="shared" si="305"/>
        <v/>
      </c>
      <c r="EN457" s="42">
        <v>454</v>
      </c>
      <c r="EO457" t="e">
        <f t="shared" si="286"/>
        <v>#N/A</v>
      </c>
      <c r="EP457" s="63" t="e">
        <f t="shared" si="287"/>
        <v>#N/A</v>
      </c>
      <c r="FT457" s="63"/>
    </row>
    <row r="458" spans="2:176" x14ac:dyDescent="0.3">
      <c r="B458" s="42"/>
      <c r="M458" s="194" t="str">
        <f ca="1">INDEX(Données_ATB!BD:BU,MATCH(MASQ2!O458,Données_ATB!BD:BD,0),18)</f>
        <v/>
      </c>
      <c r="N458" s="14" t="str">
        <f>IFERROR(IF(Q458=0,"",COUNTIF(Q$4:Q$600,"&gt;"&amp;Q458)+COUNTIF(Q$4:Q458,Q458)),"")</f>
        <v/>
      </c>
      <c r="O458" t="str">
        <f>Données_ATB!BD457</f>
        <v>SUANOVIL 20</v>
      </c>
      <c r="P458" t="e">
        <f>IF(IF(X$2="Catégorie",IF(X$3="Toutes",SUMIFS('Étape 1 - à remplir'!$F$31:$F$400,'Étape 1 - à remplir'!$E$31:$E$400,MASQ2!O458,'Étape 1 - à remplir'!$G$31:$G$400,"animaux"),SUMIFS('Étape 1 - à remplir'!$F$31:$F$400,'Étape 1 - à remplir'!$E$31:$E$400,MASQ2!O458,'Étape 1 - à remplir'!$C$31:$C$400,X$3)),IF(X$2="Âge",IF(X$3="Tous",SUMIFS('Étape 1 - à remplir'!$F$31:$F$400,'Étape 1 - à remplir'!$E$31:$E$400,MASQ2!O458,'Étape 1 - à remplir'!$G$31:$G$400,"animaux"),SUMIFS('Étape 1 - à remplir'!$F$31:$F$400,'Étape 1 - à remplir'!$E$31:$E$400,MASQ2!O458,'Étape 1 - à remplir'!$P$31:$P$400,X$3)),IF(X$2="Atelier",IF(X$3="Tous",SUMIFS('Étape 1 - à remplir'!$F$31:$F$400,'Étape 1 - à remplir'!$E$31:$E$400,MASQ2!O458,'Étape 1 - à remplir'!$G$31:$G$400,"animaux"),SUMIFS('Étape 1 - à remplir'!$F$31:$F$400,'Étape 1 - à remplir'!$E$31:$E$400,MASQ2!O458,'Étape 1 - à remplir'!$O$31:$O$400,X$3)),IF(X$2="Espèce",IF(X$3="Toutes",SUMIFS('Étape 1 - à remplir'!$F$31:$F$400,'Étape 1 - à remplir'!$E$31:$E$400,MASQ2!O458,'Étape 1 - à remplir'!$G$31:$G$400,"animaux"),SUMIFS('Étape 1 - à remplir'!$F$31:$F$400,'Étape 1 - à remplir'!$E$31:$E$400,MASQ2!O458,'Étape 1 - à remplir'!$N$31:$N$400,X$3))))))=0,NA(),IF(X$2="Catégorie",IF(X$3="Toutes",SUMIFS('Étape 1 - à remplir'!$F$31:$F$400,'Étape 1 - à remplir'!$E$31:$E$400,MASQ2!O458,'Étape 1 - à remplir'!$G$31:$G$400,"animaux"),SUMIFS('Étape 1 - à remplir'!$F$31:$F$400,'Étape 1 - à remplir'!$E$31:$E$400,MASQ2!O458,'Étape 1 - à remplir'!$C$31:$C$400,X$3)),IF(X$2="Âge",IF(X$3="Tous",SUMIFS('Étape 1 - à remplir'!$F$31:$F$400,'Étape 1 - à remplir'!$E$31:$E$400,MASQ2!O458,'Étape 1 - à remplir'!$G$31:$G$400,"animaux"),SUMIFS('Étape 1 - à remplir'!$F$31:$F$400,'Étape 1 - à remplir'!$E$31:$E$400,MASQ2!O458,'Étape 1 - à remplir'!$P$31:$P$400,X$3)),IF(X$2="Atelier",IF(X$3="Tous",SUMIFS('Étape 1 - à remplir'!$F$31:$F$400,'Étape 1 - à remplir'!$E$31:$E$400,MASQ2!O458,'Étape 1 - à remplir'!$G$31:$G$400,"animaux"),SUMIFS('Étape 1 - à remplir'!$F$31:$F$400,'Étape 1 - à remplir'!$E$31:$E$400,MASQ2!O458,'Étape 1 - à remplir'!$O$31:$O$400,X$3)),IF(X$2="Espèce",IF(X$3="Toutes",SUMIFS('Étape 1 - à remplir'!$F$31:$F$400,'Étape 1 - à remplir'!$E$31:$E$400,MASQ2!O458,'Étape 1 - à remplir'!$G$31:$G$400,"animaux"),SUMIFS('Étape 1 - à remplir'!$F$31:$F$400,'Étape 1 - à remplir'!$E$31:$E$400,MASQ2!O458,'Étape 1 - à remplir'!$N$31:$N$400,X$3)))))))</f>
        <v>#N/A</v>
      </c>
      <c r="Q458" s="63">
        <f t="shared" si="310"/>
        <v>0</v>
      </c>
      <c r="R458" t="str">
        <f>Données_ATB!BM457</f>
        <v>Spiramycine</v>
      </c>
      <c r="S458" t="str">
        <f>Données_ATB!BN457</f>
        <v/>
      </c>
      <c r="T458" s="63" t="str">
        <f>Données_ATB!BO457</f>
        <v/>
      </c>
      <c r="U458" s="42" t="str">
        <f>Données_ATB!BQ457</f>
        <v>Macrolides</v>
      </c>
      <c r="V458" t="str">
        <f>Données_ATB!BR457</f>
        <v/>
      </c>
      <c r="W458" s="63" t="str">
        <f>Données_ATB!BS457</f>
        <v/>
      </c>
      <c r="Z458" s="42">
        <v>455</v>
      </c>
      <c r="AA458" t="e">
        <f t="shared" si="306"/>
        <v>#N/A</v>
      </c>
      <c r="AB458" s="63" t="e">
        <f t="shared" si="307"/>
        <v>#N/A</v>
      </c>
      <c r="BF458" s="63"/>
      <c r="BT458" s="194" t="str">
        <f t="shared" ca="1" si="290"/>
        <v/>
      </c>
      <c r="BU458" s="219" t="str">
        <f>IFERROR(IF(BX458=0,"",COUNTIF(BX$4:BX$600,"&gt;"&amp;BX458)+COUNTIF(BX$4:BX458,BX458)),"")</f>
        <v/>
      </c>
      <c r="BV458" s="42" t="str">
        <f t="shared" si="291"/>
        <v>SUANOVIL 20</v>
      </c>
      <c r="BW458" t="e">
        <f>IF(IF(CE$2="Catégorie",IF(CE$3="Toutes",SUMIFS('Étape 1 - à remplir'!$F$31:$F$400,'Étape 1 - à remplir'!$E$31:$E$400,MASQ2!BV458,'Étape 1 - à remplir'!$G$31:$G$400,"lots"),SUMIFS('Étape 1 - à remplir'!$F$31:$F$400,'Étape 1 - à remplir'!$E$31:$E$400,MASQ2!BV458,'Étape 1 - à remplir'!$C$31:$C$400,CE$3)),IF(CE$2="Âge",IF(CE$3="Tous",SUMIFS('Étape 1 - à remplir'!$F$31:$F$400,'Étape 1 - à remplir'!$E$31:$E$400,MASQ2!BV458,'Étape 1 - à remplir'!$G$31:$G$400,"lots"),SUMIFS('Étape 1 - à remplir'!$F$31:$F$400,'Étape 1 - à remplir'!$E$31:$E$400,MASQ2!BV458,'Étape 1 - à remplir'!$P$31:$P$400,CE$3,'Étape 1 - à remplir'!$G$31:$G$400,"lots")),IF(CE$2="Atelier",IF(CE$3="Tous",SUMIFS('Étape 1 - à remplir'!$F$31:$F$400,'Étape 1 - à remplir'!$E$31:$E$400,MASQ2!BV458,'Étape 1 - à remplir'!$G$31:$G$400,"lots"),SUMIFS('Étape 1 - à remplir'!$F$31:$F$400,'Étape 1 - à remplir'!$E$31:$E$400,MASQ2!BV458,'Étape 1 - à remplir'!$O$31:$O$400,CE$3,'Étape 1 - à remplir'!$G$31:$G$400,"lots")),IF(CE$2="Espèce",IF(CE$3="Toutes",SUMIFS('Étape 1 - à remplir'!$F$31:$F$400,'Étape 1 - à remplir'!$E$31:$E$400,MASQ2!BV458,'Étape 1 - à remplir'!$G$31:$G$400,"lots"),SUMIFS('Étape 1 - à remplir'!$F$31:$F$400,'Étape 1 - à remplir'!$E$31:$E$400,MASQ2!BV458,'Étape 1 - à remplir'!$N$31:$N$400,CE$3,'Étape 1 - à remplir'!$G$31:$G$400,"lots"))))))=0,NA(),IF(CE$2="Catégorie",IF(CE$3="Toutes",SUMIFS('Étape 1 - à remplir'!$F$31:$F$400,'Étape 1 - à remplir'!$E$31:$E$400,MASQ2!BV458,'Étape 1 - à remplir'!$G$31:$G$400,"lots"),SUMIFS('Étape 1 - à remplir'!$F$31:$F$400,'Étape 1 - à remplir'!$E$31:$E$400,MASQ2!BV458,'Étape 1 - à remplir'!$C$31:$C$400,CE$3)),IF(CE$2="Âge",IF(CE$3="Tous",SUMIFS('Étape 1 - à remplir'!$F$31:$F$400,'Étape 1 - à remplir'!$E$31:$E$400,MASQ2!BV458,'Étape 1 - à remplir'!$G$31:$G$400,"lots"),SUMIFS('Étape 1 - à remplir'!$F$31:$F$400,'Étape 1 - à remplir'!$E$31:$E$400,MASQ2!BV458,'Étape 1 - à remplir'!$P$31:$P$400,CE$3,'Étape 1 - à remplir'!$G$31:$G$400,"lots")),IF(CE$2="Atelier",IF(CE$3="Tous",SUMIFS('Étape 1 - à remplir'!$F$31:$F$400,'Étape 1 - à remplir'!$E$31:$E$400,MASQ2!BV458,'Étape 1 - à remplir'!$G$31:$G$400,"lots"),SUMIFS('Étape 1 - à remplir'!$F$31:$F$400,'Étape 1 - à remplir'!$E$31:$E$400,MASQ2!BV458,'Étape 1 - à remplir'!$O$31:$O$400,CE$3,'Étape 1 - à remplir'!$G$31:$G$400,"lots")),IF(CE$2="Espèce",IF(CE$3="Toutes",SUMIFS('Étape 1 - à remplir'!$F$31:$F$400,'Étape 1 - à remplir'!$E$31:$E$400,MASQ2!BV458,'Étape 1 - à remplir'!$G$31:$G$400,"lots"),SUMIFS('Étape 1 - à remplir'!$F$31:$F$400,'Étape 1 - à remplir'!$E$31:$E$400,MASQ2!BV458,'Étape 1 - à remplir'!$N$31:$N$400,CE$3,'Étape 1 - à remplir'!$G$31:$G$400,"lots")))))))</f>
        <v>#N/A</v>
      </c>
      <c r="BX458">
        <f t="shared" si="308"/>
        <v>0</v>
      </c>
      <c r="BY458" t="str">
        <f t="shared" si="292"/>
        <v>Spiramycine</v>
      </c>
      <c r="BZ458" t="str">
        <f t="shared" si="293"/>
        <v/>
      </c>
      <c r="CA458" t="str">
        <f t="shared" si="294"/>
        <v/>
      </c>
      <c r="CB458" t="str">
        <f t="shared" si="295"/>
        <v>Macrolides</v>
      </c>
      <c r="CC458" t="str">
        <f t="shared" si="296"/>
        <v/>
      </c>
      <c r="CD458" s="63" t="str">
        <f t="shared" si="297"/>
        <v/>
      </c>
      <c r="CG458" s="42">
        <v>455</v>
      </c>
      <c r="CH458" s="42" t="e">
        <f t="shared" si="288"/>
        <v>#N/A</v>
      </c>
      <c r="CI458" s="63" t="e">
        <f t="shared" si="289"/>
        <v>#N/A</v>
      </c>
      <c r="DM458" s="63"/>
      <c r="EA458" s="194" t="str">
        <f t="shared" ca="1" si="298"/>
        <v/>
      </c>
      <c r="EB458" s="226" t="str">
        <f>IFERROR(IF(ED458=0,"",COUNTIF(ED$4:ED$600,"&gt;"&amp;ED458)+COUNTIF(ED$4:ED458,ED458)),"")</f>
        <v/>
      </c>
      <c r="EC458" t="str">
        <f t="shared" si="299"/>
        <v>SUANOVIL 20</v>
      </c>
      <c r="ED458" t="e">
        <f>IF(IF(EL$2="Catégorie",IF(EL$3="Toutes",SUMIFS('Étape 1 - à remplir'!$F$31:$F$400,'Étape 1 - à remplir'!$E$31:$E$400,MASQ2!EC458,'Étape 1 - à remplir'!$G$31:$G$400,"kg"),SUMIFS('Étape 1 - à remplir'!$F$31:$F$400,'Étape 1 - à remplir'!$E$31:$E$400,MASQ2!EC458,'Étape 1 - à remplir'!$C$31:$C$400,EL$3)),IF(EL$2="Âge",IF(EL$3="Tous",SUMIFS('Étape 1 - à remplir'!$F$31:$F$400,'Étape 1 - à remplir'!$E$31:$E$400,MASQ2!EC458,'Étape 1 - à remplir'!$G$31:$G$400,"kg"),SUMIFS('Étape 1 - à remplir'!$F$31:$F$400,'Étape 1 - à remplir'!$E$31:$E$400,MASQ2!EC458,'Étape 1 - à remplir'!$P$31:$P$400,EL$3,'Étape 1 - à remplir'!$G$31:$G$400,"kg")),IF(EL$2="Atelier",IF(EL$3="Tous",SUMIFS('Étape 1 - à remplir'!$F$31:$F$400,'Étape 1 - à remplir'!$E$31:$E$400,MASQ2!EC458,'Étape 1 - à remplir'!$G$31:$G$400,"kg"),SUMIFS('Étape 1 - à remplir'!$F$31:$F$400,'Étape 1 - à remplir'!$E$31:$E$400,MASQ2!EC458,'Étape 1 - à remplir'!$O$31:$O$400,EL$3,'Étape 1 - à remplir'!$G$31:$G$400,"kg")),IF(EL$2="Espèce",IF(EL$3="Toutes",SUMIFS('Étape 1 - à remplir'!$F$31:$F$400,'Étape 1 - à remplir'!$E$31:$E$400,MASQ2!EC458,'Étape 1 - à remplir'!$G$31:$G$400,"kg"),SUMIFS('Étape 1 - à remplir'!$F$31:$F$400,'Étape 1 - à remplir'!$E$31:$E$400,MASQ2!EC458,'Étape 1 - à remplir'!$N$31:$N$400,EL$3,'Étape 1 - à remplir'!$G$31:$G$400,"kg"))))))=0,NA(),IF(EL$2="Catégorie",IF(EL$3="Toutes",SUMIFS('Étape 1 - à remplir'!$F$31:$F$400,'Étape 1 - à remplir'!$E$31:$E$400,MASQ2!EC458,'Étape 1 - à remplir'!$G$31:$G$400,"kg"),SUMIFS('Étape 1 - à remplir'!$F$31:$F$400,'Étape 1 - à remplir'!$E$31:$E$400,MASQ2!EC458,'Étape 1 - à remplir'!$C$31:$C$400,EL$3)),IF(EL$2="Âge",IF(EL$3="Tous",SUMIFS('Étape 1 - à remplir'!$F$31:$F$400,'Étape 1 - à remplir'!$E$31:$E$400,MASQ2!EC458,'Étape 1 - à remplir'!$G$31:$G$400,"kg"),SUMIFS('Étape 1 - à remplir'!$F$31:$F$400,'Étape 1 - à remplir'!$E$31:$E$400,MASQ2!EC458,'Étape 1 - à remplir'!$P$31:$P$400,EL$3,'Étape 1 - à remplir'!$G$31:$G$400,"kg")),IF(EL$2="Atelier",IF(EL$3="Tous",SUMIFS('Étape 1 - à remplir'!$F$31:$F$400,'Étape 1 - à remplir'!$E$31:$E$400,MASQ2!EC458,'Étape 1 - à remplir'!$G$31:$G$400,"kg"),SUMIFS('Étape 1 - à remplir'!$F$31:$F$400,'Étape 1 - à remplir'!$E$31:$E$400,MASQ2!EC458,'Étape 1 - à remplir'!$O$31:$O$400,EL$3,'Étape 1 - à remplir'!$G$31:$G$400,"kg")),IF(EL$2="Espèce",IF(EL$3="Toutes",SUMIFS('Étape 1 - à remplir'!$F$31:$F$400,'Étape 1 - à remplir'!$E$31:$E$400,MASQ2!EC458,'Étape 1 - à remplir'!$G$31:$G$400,"kg"),SUMIFS('Étape 1 - à remplir'!$F$31:$F$400,'Étape 1 - à remplir'!$E$31:$E$400,MASQ2!EC458,'Étape 1 - à remplir'!$N$31:$N$400,EL$3,'Étape 1 - à remplir'!$G$31:$G$400,"kg")))))))</f>
        <v>#N/A</v>
      </c>
      <c r="EE458" s="76">
        <f t="shared" si="309"/>
        <v>0</v>
      </c>
      <c r="EF458" t="str">
        <f t="shared" si="300"/>
        <v>Spiramycine</v>
      </c>
      <c r="EG458" t="str">
        <f t="shared" si="301"/>
        <v/>
      </c>
      <c r="EH458" t="str">
        <f t="shared" si="302"/>
        <v/>
      </c>
      <c r="EI458" t="str">
        <f t="shared" si="303"/>
        <v>Macrolides</v>
      </c>
      <c r="EJ458" t="str">
        <f t="shared" si="304"/>
        <v/>
      </c>
      <c r="EK458" s="63" t="str">
        <f t="shared" si="305"/>
        <v/>
      </c>
      <c r="EN458" s="42">
        <v>455</v>
      </c>
      <c r="EO458" t="e">
        <f t="shared" ref="EO458:EO521" si="311">INDEX(EB$3:EE$600,MATCH(EN458,EB$3:EB$600,0),2)</f>
        <v>#N/A</v>
      </c>
      <c r="EP458" s="63" t="e">
        <f t="shared" ref="EP458:EP521" si="312">INDEX(EB$3:EE$600,MATCH(EN458,EB$3:EB$600,0),3)</f>
        <v>#N/A</v>
      </c>
      <c r="FT458" s="63"/>
    </row>
    <row r="459" spans="2:176" x14ac:dyDescent="0.3">
      <c r="B459" s="42"/>
      <c r="M459" s="194" t="str">
        <f ca="1">INDEX(Données_ATB!BD:BU,MATCH(MASQ2!O459,Données_ATB!BD:BD,0),18)</f>
        <v/>
      </c>
      <c r="N459" s="14" t="str">
        <f>IFERROR(IF(Q459=0,"",COUNTIF(Q$4:Q$600,"&gt;"&amp;Q459)+COUNTIF(Q$4:Q459,Q459)),"")</f>
        <v/>
      </c>
      <c r="O459" t="str">
        <f>Données_ATB!BD458</f>
        <v>SUANOVIL 50</v>
      </c>
      <c r="P459" t="e">
        <f>IF(IF(X$2="Catégorie",IF(X$3="Toutes",SUMIFS('Étape 1 - à remplir'!$F$31:$F$400,'Étape 1 - à remplir'!$E$31:$E$400,MASQ2!O459,'Étape 1 - à remplir'!$G$31:$G$400,"animaux"),SUMIFS('Étape 1 - à remplir'!$F$31:$F$400,'Étape 1 - à remplir'!$E$31:$E$400,MASQ2!O459,'Étape 1 - à remplir'!$C$31:$C$400,X$3)),IF(X$2="Âge",IF(X$3="Tous",SUMIFS('Étape 1 - à remplir'!$F$31:$F$400,'Étape 1 - à remplir'!$E$31:$E$400,MASQ2!O459,'Étape 1 - à remplir'!$G$31:$G$400,"animaux"),SUMIFS('Étape 1 - à remplir'!$F$31:$F$400,'Étape 1 - à remplir'!$E$31:$E$400,MASQ2!O459,'Étape 1 - à remplir'!$P$31:$P$400,X$3)),IF(X$2="Atelier",IF(X$3="Tous",SUMIFS('Étape 1 - à remplir'!$F$31:$F$400,'Étape 1 - à remplir'!$E$31:$E$400,MASQ2!O459,'Étape 1 - à remplir'!$G$31:$G$400,"animaux"),SUMIFS('Étape 1 - à remplir'!$F$31:$F$400,'Étape 1 - à remplir'!$E$31:$E$400,MASQ2!O459,'Étape 1 - à remplir'!$O$31:$O$400,X$3)),IF(X$2="Espèce",IF(X$3="Toutes",SUMIFS('Étape 1 - à remplir'!$F$31:$F$400,'Étape 1 - à remplir'!$E$31:$E$400,MASQ2!O459,'Étape 1 - à remplir'!$G$31:$G$400,"animaux"),SUMIFS('Étape 1 - à remplir'!$F$31:$F$400,'Étape 1 - à remplir'!$E$31:$E$400,MASQ2!O459,'Étape 1 - à remplir'!$N$31:$N$400,X$3))))))=0,NA(),IF(X$2="Catégorie",IF(X$3="Toutes",SUMIFS('Étape 1 - à remplir'!$F$31:$F$400,'Étape 1 - à remplir'!$E$31:$E$400,MASQ2!O459,'Étape 1 - à remplir'!$G$31:$G$400,"animaux"),SUMIFS('Étape 1 - à remplir'!$F$31:$F$400,'Étape 1 - à remplir'!$E$31:$E$400,MASQ2!O459,'Étape 1 - à remplir'!$C$31:$C$400,X$3)),IF(X$2="Âge",IF(X$3="Tous",SUMIFS('Étape 1 - à remplir'!$F$31:$F$400,'Étape 1 - à remplir'!$E$31:$E$400,MASQ2!O459,'Étape 1 - à remplir'!$G$31:$G$400,"animaux"),SUMIFS('Étape 1 - à remplir'!$F$31:$F$400,'Étape 1 - à remplir'!$E$31:$E$400,MASQ2!O459,'Étape 1 - à remplir'!$P$31:$P$400,X$3)),IF(X$2="Atelier",IF(X$3="Tous",SUMIFS('Étape 1 - à remplir'!$F$31:$F$400,'Étape 1 - à remplir'!$E$31:$E$400,MASQ2!O459,'Étape 1 - à remplir'!$G$31:$G$400,"animaux"),SUMIFS('Étape 1 - à remplir'!$F$31:$F$400,'Étape 1 - à remplir'!$E$31:$E$400,MASQ2!O459,'Étape 1 - à remplir'!$O$31:$O$400,X$3)),IF(X$2="Espèce",IF(X$3="Toutes",SUMIFS('Étape 1 - à remplir'!$F$31:$F$400,'Étape 1 - à remplir'!$E$31:$E$400,MASQ2!O459,'Étape 1 - à remplir'!$G$31:$G$400,"animaux"),SUMIFS('Étape 1 - à remplir'!$F$31:$F$400,'Étape 1 - à remplir'!$E$31:$E$400,MASQ2!O459,'Étape 1 - à remplir'!$N$31:$N$400,X$3)))))))</f>
        <v>#N/A</v>
      </c>
      <c r="Q459" s="63">
        <f t="shared" si="310"/>
        <v>0</v>
      </c>
      <c r="R459" t="str">
        <f>Données_ATB!BM458</f>
        <v>Spiramycine</v>
      </c>
      <c r="S459" t="str">
        <f>Données_ATB!BN458</f>
        <v/>
      </c>
      <c r="T459" s="63" t="str">
        <f>Données_ATB!BO458</f>
        <v/>
      </c>
      <c r="U459" s="42" t="str">
        <f>Données_ATB!BQ458</f>
        <v>Macrolides</v>
      </c>
      <c r="V459" t="str">
        <f>Données_ATB!BR458</f>
        <v/>
      </c>
      <c r="W459" s="63" t="str">
        <f>Données_ATB!BS458</f>
        <v/>
      </c>
      <c r="Z459" s="42">
        <v>456</v>
      </c>
      <c r="AA459" t="e">
        <f t="shared" si="306"/>
        <v>#N/A</v>
      </c>
      <c r="AB459" s="63" t="e">
        <f t="shared" si="307"/>
        <v>#N/A</v>
      </c>
      <c r="BF459" s="63"/>
      <c r="BT459" s="194" t="str">
        <f t="shared" ca="1" si="290"/>
        <v/>
      </c>
      <c r="BU459" s="219" t="str">
        <f>IFERROR(IF(BX459=0,"",COUNTIF(BX$4:BX$600,"&gt;"&amp;BX459)+COUNTIF(BX$4:BX459,BX459)),"")</f>
        <v/>
      </c>
      <c r="BV459" s="42" t="str">
        <f t="shared" si="291"/>
        <v>SUANOVIL 50</v>
      </c>
      <c r="BW459" t="e">
        <f>IF(IF(CE$2="Catégorie",IF(CE$3="Toutes",SUMIFS('Étape 1 - à remplir'!$F$31:$F$400,'Étape 1 - à remplir'!$E$31:$E$400,MASQ2!BV459,'Étape 1 - à remplir'!$G$31:$G$400,"lots"),SUMIFS('Étape 1 - à remplir'!$F$31:$F$400,'Étape 1 - à remplir'!$E$31:$E$400,MASQ2!BV459,'Étape 1 - à remplir'!$C$31:$C$400,CE$3)),IF(CE$2="Âge",IF(CE$3="Tous",SUMIFS('Étape 1 - à remplir'!$F$31:$F$400,'Étape 1 - à remplir'!$E$31:$E$400,MASQ2!BV459,'Étape 1 - à remplir'!$G$31:$G$400,"lots"),SUMIFS('Étape 1 - à remplir'!$F$31:$F$400,'Étape 1 - à remplir'!$E$31:$E$400,MASQ2!BV459,'Étape 1 - à remplir'!$P$31:$P$400,CE$3,'Étape 1 - à remplir'!$G$31:$G$400,"lots")),IF(CE$2="Atelier",IF(CE$3="Tous",SUMIFS('Étape 1 - à remplir'!$F$31:$F$400,'Étape 1 - à remplir'!$E$31:$E$400,MASQ2!BV459,'Étape 1 - à remplir'!$G$31:$G$400,"lots"),SUMIFS('Étape 1 - à remplir'!$F$31:$F$400,'Étape 1 - à remplir'!$E$31:$E$400,MASQ2!BV459,'Étape 1 - à remplir'!$O$31:$O$400,CE$3,'Étape 1 - à remplir'!$G$31:$G$400,"lots")),IF(CE$2="Espèce",IF(CE$3="Toutes",SUMIFS('Étape 1 - à remplir'!$F$31:$F$400,'Étape 1 - à remplir'!$E$31:$E$400,MASQ2!BV459,'Étape 1 - à remplir'!$G$31:$G$400,"lots"),SUMIFS('Étape 1 - à remplir'!$F$31:$F$400,'Étape 1 - à remplir'!$E$31:$E$400,MASQ2!BV459,'Étape 1 - à remplir'!$N$31:$N$400,CE$3,'Étape 1 - à remplir'!$G$31:$G$400,"lots"))))))=0,NA(),IF(CE$2="Catégorie",IF(CE$3="Toutes",SUMIFS('Étape 1 - à remplir'!$F$31:$F$400,'Étape 1 - à remplir'!$E$31:$E$400,MASQ2!BV459,'Étape 1 - à remplir'!$G$31:$G$400,"lots"),SUMIFS('Étape 1 - à remplir'!$F$31:$F$400,'Étape 1 - à remplir'!$E$31:$E$400,MASQ2!BV459,'Étape 1 - à remplir'!$C$31:$C$400,CE$3)),IF(CE$2="Âge",IF(CE$3="Tous",SUMIFS('Étape 1 - à remplir'!$F$31:$F$400,'Étape 1 - à remplir'!$E$31:$E$400,MASQ2!BV459,'Étape 1 - à remplir'!$G$31:$G$400,"lots"),SUMIFS('Étape 1 - à remplir'!$F$31:$F$400,'Étape 1 - à remplir'!$E$31:$E$400,MASQ2!BV459,'Étape 1 - à remplir'!$P$31:$P$400,CE$3,'Étape 1 - à remplir'!$G$31:$G$400,"lots")),IF(CE$2="Atelier",IF(CE$3="Tous",SUMIFS('Étape 1 - à remplir'!$F$31:$F$400,'Étape 1 - à remplir'!$E$31:$E$400,MASQ2!BV459,'Étape 1 - à remplir'!$G$31:$G$400,"lots"),SUMIFS('Étape 1 - à remplir'!$F$31:$F$400,'Étape 1 - à remplir'!$E$31:$E$400,MASQ2!BV459,'Étape 1 - à remplir'!$O$31:$O$400,CE$3,'Étape 1 - à remplir'!$G$31:$G$400,"lots")),IF(CE$2="Espèce",IF(CE$3="Toutes",SUMIFS('Étape 1 - à remplir'!$F$31:$F$400,'Étape 1 - à remplir'!$E$31:$E$400,MASQ2!BV459,'Étape 1 - à remplir'!$G$31:$G$400,"lots"),SUMIFS('Étape 1 - à remplir'!$F$31:$F$400,'Étape 1 - à remplir'!$E$31:$E$400,MASQ2!BV459,'Étape 1 - à remplir'!$N$31:$N$400,CE$3,'Étape 1 - à remplir'!$G$31:$G$400,"lots")))))))</f>
        <v>#N/A</v>
      </c>
      <c r="BX459">
        <f t="shared" si="308"/>
        <v>0</v>
      </c>
      <c r="BY459" t="str">
        <f t="shared" si="292"/>
        <v>Spiramycine</v>
      </c>
      <c r="BZ459" t="str">
        <f t="shared" si="293"/>
        <v/>
      </c>
      <c r="CA459" t="str">
        <f t="shared" si="294"/>
        <v/>
      </c>
      <c r="CB459" t="str">
        <f t="shared" si="295"/>
        <v>Macrolides</v>
      </c>
      <c r="CC459" t="str">
        <f t="shared" si="296"/>
        <v/>
      </c>
      <c r="CD459" s="63" t="str">
        <f t="shared" si="297"/>
        <v/>
      </c>
      <c r="CG459" s="42">
        <v>456</v>
      </c>
      <c r="CH459" s="42" t="e">
        <f t="shared" si="288"/>
        <v>#N/A</v>
      </c>
      <c r="CI459" s="63" t="e">
        <f t="shared" si="289"/>
        <v>#N/A</v>
      </c>
      <c r="DM459" s="63"/>
      <c r="EA459" s="194" t="str">
        <f t="shared" ca="1" si="298"/>
        <v/>
      </c>
      <c r="EB459" s="226" t="str">
        <f>IFERROR(IF(ED459=0,"",COUNTIF(ED$4:ED$600,"&gt;"&amp;ED459)+COUNTIF(ED$4:ED459,ED459)),"")</f>
        <v/>
      </c>
      <c r="EC459" t="str">
        <f t="shared" si="299"/>
        <v>SUANOVIL 50</v>
      </c>
      <c r="ED459" t="e">
        <f>IF(IF(EL$2="Catégorie",IF(EL$3="Toutes",SUMIFS('Étape 1 - à remplir'!$F$31:$F$400,'Étape 1 - à remplir'!$E$31:$E$400,MASQ2!EC459,'Étape 1 - à remplir'!$G$31:$G$400,"kg"),SUMIFS('Étape 1 - à remplir'!$F$31:$F$400,'Étape 1 - à remplir'!$E$31:$E$400,MASQ2!EC459,'Étape 1 - à remplir'!$C$31:$C$400,EL$3)),IF(EL$2="Âge",IF(EL$3="Tous",SUMIFS('Étape 1 - à remplir'!$F$31:$F$400,'Étape 1 - à remplir'!$E$31:$E$400,MASQ2!EC459,'Étape 1 - à remplir'!$G$31:$G$400,"kg"),SUMIFS('Étape 1 - à remplir'!$F$31:$F$400,'Étape 1 - à remplir'!$E$31:$E$400,MASQ2!EC459,'Étape 1 - à remplir'!$P$31:$P$400,EL$3,'Étape 1 - à remplir'!$G$31:$G$400,"kg")),IF(EL$2="Atelier",IF(EL$3="Tous",SUMIFS('Étape 1 - à remplir'!$F$31:$F$400,'Étape 1 - à remplir'!$E$31:$E$400,MASQ2!EC459,'Étape 1 - à remplir'!$G$31:$G$400,"kg"),SUMIFS('Étape 1 - à remplir'!$F$31:$F$400,'Étape 1 - à remplir'!$E$31:$E$400,MASQ2!EC459,'Étape 1 - à remplir'!$O$31:$O$400,EL$3,'Étape 1 - à remplir'!$G$31:$G$400,"kg")),IF(EL$2="Espèce",IF(EL$3="Toutes",SUMIFS('Étape 1 - à remplir'!$F$31:$F$400,'Étape 1 - à remplir'!$E$31:$E$400,MASQ2!EC459,'Étape 1 - à remplir'!$G$31:$G$400,"kg"),SUMIFS('Étape 1 - à remplir'!$F$31:$F$400,'Étape 1 - à remplir'!$E$31:$E$400,MASQ2!EC459,'Étape 1 - à remplir'!$N$31:$N$400,EL$3,'Étape 1 - à remplir'!$G$31:$G$400,"kg"))))))=0,NA(),IF(EL$2="Catégorie",IF(EL$3="Toutes",SUMIFS('Étape 1 - à remplir'!$F$31:$F$400,'Étape 1 - à remplir'!$E$31:$E$400,MASQ2!EC459,'Étape 1 - à remplir'!$G$31:$G$400,"kg"),SUMIFS('Étape 1 - à remplir'!$F$31:$F$400,'Étape 1 - à remplir'!$E$31:$E$400,MASQ2!EC459,'Étape 1 - à remplir'!$C$31:$C$400,EL$3)),IF(EL$2="Âge",IF(EL$3="Tous",SUMIFS('Étape 1 - à remplir'!$F$31:$F$400,'Étape 1 - à remplir'!$E$31:$E$400,MASQ2!EC459,'Étape 1 - à remplir'!$G$31:$G$400,"kg"),SUMIFS('Étape 1 - à remplir'!$F$31:$F$400,'Étape 1 - à remplir'!$E$31:$E$400,MASQ2!EC459,'Étape 1 - à remplir'!$P$31:$P$400,EL$3,'Étape 1 - à remplir'!$G$31:$G$400,"kg")),IF(EL$2="Atelier",IF(EL$3="Tous",SUMIFS('Étape 1 - à remplir'!$F$31:$F$400,'Étape 1 - à remplir'!$E$31:$E$400,MASQ2!EC459,'Étape 1 - à remplir'!$G$31:$G$400,"kg"),SUMIFS('Étape 1 - à remplir'!$F$31:$F$400,'Étape 1 - à remplir'!$E$31:$E$400,MASQ2!EC459,'Étape 1 - à remplir'!$O$31:$O$400,EL$3,'Étape 1 - à remplir'!$G$31:$G$400,"kg")),IF(EL$2="Espèce",IF(EL$3="Toutes",SUMIFS('Étape 1 - à remplir'!$F$31:$F$400,'Étape 1 - à remplir'!$E$31:$E$400,MASQ2!EC459,'Étape 1 - à remplir'!$G$31:$G$400,"kg"),SUMIFS('Étape 1 - à remplir'!$F$31:$F$400,'Étape 1 - à remplir'!$E$31:$E$400,MASQ2!EC459,'Étape 1 - à remplir'!$N$31:$N$400,EL$3,'Étape 1 - à remplir'!$G$31:$G$400,"kg")))))))</f>
        <v>#N/A</v>
      </c>
      <c r="EE459" s="76">
        <f t="shared" si="309"/>
        <v>0</v>
      </c>
      <c r="EF459" t="str">
        <f t="shared" si="300"/>
        <v>Spiramycine</v>
      </c>
      <c r="EG459" t="str">
        <f t="shared" si="301"/>
        <v/>
      </c>
      <c r="EH459" t="str">
        <f t="shared" si="302"/>
        <v/>
      </c>
      <c r="EI459" t="str">
        <f t="shared" si="303"/>
        <v>Macrolides</v>
      </c>
      <c r="EJ459" t="str">
        <f t="shared" si="304"/>
        <v/>
      </c>
      <c r="EK459" s="63" t="str">
        <f t="shared" si="305"/>
        <v/>
      </c>
      <c r="EN459" s="42">
        <v>456</v>
      </c>
      <c r="EO459" t="e">
        <f t="shared" si="311"/>
        <v>#N/A</v>
      </c>
      <c r="EP459" s="63" t="e">
        <f t="shared" si="312"/>
        <v>#N/A</v>
      </c>
      <c r="FT459" s="63"/>
    </row>
    <row r="460" spans="2:176" x14ac:dyDescent="0.3">
      <c r="B460" s="42"/>
      <c r="M460" s="194" t="str">
        <f ca="1">INDEX(Données_ATB!BD:BU,MATCH(MASQ2!O460,Données_ATB!BD:BD,0),18)</f>
        <v/>
      </c>
      <c r="N460" s="14" t="str">
        <f>IFERROR(IF(Q460=0,"",COUNTIF(Q$4:Q$600,"&gt;"&amp;Q460)+COUNTIF(Q$4:Q460,Q460)),"")</f>
        <v/>
      </c>
      <c r="O460" t="str">
        <f>Données_ATB!BD459</f>
        <v>SULFADI 500</v>
      </c>
      <c r="P460" t="e">
        <f>IF(IF(X$2="Catégorie",IF(X$3="Toutes",SUMIFS('Étape 1 - à remplir'!$F$31:$F$400,'Étape 1 - à remplir'!$E$31:$E$400,MASQ2!O460,'Étape 1 - à remplir'!$G$31:$G$400,"animaux"),SUMIFS('Étape 1 - à remplir'!$F$31:$F$400,'Étape 1 - à remplir'!$E$31:$E$400,MASQ2!O460,'Étape 1 - à remplir'!$C$31:$C$400,X$3)),IF(X$2="Âge",IF(X$3="Tous",SUMIFS('Étape 1 - à remplir'!$F$31:$F$400,'Étape 1 - à remplir'!$E$31:$E$400,MASQ2!O460,'Étape 1 - à remplir'!$G$31:$G$400,"animaux"),SUMIFS('Étape 1 - à remplir'!$F$31:$F$400,'Étape 1 - à remplir'!$E$31:$E$400,MASQ2!O460,'Étape 1 - à remplir'!$P$31:$P$400,X$3)),IF(X$2="Atelier",IF(X$3="Tous",SUMIFS('Étape 1 - à remplir'!$F$31:$F$400,'Étape 1 - à remplir'!$E$31:$E$400,MASQ2!O460,'Étape 1 - à remplir'!$G$31:$G$400,"animaux"),SUMIFS('Étape 1 - à remplir'!$F$31:$F$400,'Étape 1 - à remplir'!$E$31:$E$400,MASQ2!O460,'Étape 1 - à remplir'!$O$31:$O$400,X$3)),IF(X$2="Espèce",IF(X$3="Toutes",SUMIFS('Étape 1 - à remplir'!$F$31:$F$400,'Étape 1 - à remplir'!$E$31:$E$400,MASQ2!O460,'Étape 1 - à remplir'!$G$31:$G$400,"animaux"),SUMIFS('Étape 1 - à remplir'!$F$31:$F$400,'Étape 1 - à remplir'!$E$31:$E$400,MASQ2!O460,'Étape 1 - à remplir'!$N$31:$N$400,X$3))))))=0,NA(),IF(X$2="Catégorie",IF(X$3="Toutes",SUMIFS('Étape 1 - à remplir'!$F$31:$F$400,'Étape 1 - à remplir'!$E$31:$E$400,MASQ2!O460,'Étape 1 - à remplir'!$G$31:$G$400,"animaux"),SUMIFS('Étape 1 - à remplir'!$F$31:$F$400,'Étape 1 - à remplir'!$E$31:$E$400,MASQ2!O460,'Étape 1 - à remplir'!$C$31:$C$400,X$3)),IF(X$2="Âge",IF(X$3="Tous",SUMIFS('Étape 1 - à remplir'!$F$31:$F$400,'Étape 1 - à remplir'!$E$31:$E$400,MASQ2!O460,'Étape 1 - à remplir'!$G$31:$G$400,"animaux"),SUMIFS('Étape 1 - à remplir'!$F$31:$F$400,'Étape 1 - à remplir'!$E$31:$E$400,MASQ2!O460,'Étape 1 - à remplir'!$P$31:$P$400,X$3)),IF(X$2="Atelier",IF(X$3="Tous",SUMIFS('Étape 1 - à remplir'!$F$31:$F$400,'Étape 1 - à remplir'!$E$31:$E$400,MASQ2!O460,'Étape 1 - à remplir'!$G$31:$G$400,"animaux"),SUMIFS('Étape 1 - à remplir'!$F$31:$F$400,'Étape 1 - à remplir'!$E$31:$E$400,MASQ2!O460,'Étape 1 - à remplir'!$O$31:$O$400,X$3)),IF(X$2="Espèce",IF(X$3="Toutes",SUMIFS('Étape 1 - à remplir'!$F$31:$F$400,'Étape 1 - à remplir'!$E$31:$E$400,MASQ2!O460,'Étape 1 - à remplir'!$G$31:$G$400,"animaux"),SUMIFS('Étape 1 - à remplir'!$F$31:$F$400,'Étape 1 - à remplir'!$E$31:$E$400,MASQ2!O460,'Étape 1 - à remplir'!$N$31:$N$400,X$3)))))))</f>
        <v>#N/A</v>
      </c>
      <c r="Q460" s="63">
        <f t="shared" si="310"/>
        <v>0</v>
      </c>
      <c r="R460" t="str">
        <f>Données_ATB!BM459</f>
        <v>Sulfadimidine</v>
      </c>
      <c r="S460" t="str">
        <f>Données_ATB!BN459</f>
        <v/>
      </c>
      <c r="T460" s="63" t="str">
        <f>Données_ATB!BO459</f>
        <v/>
      </c>
      <c r="U460" s="42" t="str">
        <f>Données_ATB!BQ459</f>
        <v>Sulfamides</v>
      </c>
      <c r="V460" t="str">
        <f>Données_ATB!BR459</f>
        <v/>
      </c>
      <c r="W460" s="63" t="str">
        <f>Données_ATB!BS459</f>
        <v/>
      </c>
      <c r="Z460" s="42">
        <v>457</v>
      </c>
      <c r="AA460" t="e">
        <f t="shared" si="306"/>
        <v>#N/A</v>
      </c>
      <c r="AB460" s="63" t="e">
        <f t="shared" si="307"/>
        <v>#N/A</v>
      </c>
      <c r="BF460" s="63"/>
      <c r="BT460" s="194" t="str">
        <f t="shared" ca="1" si="290"/>
        <v/>
      </c>
      <c r="BU460" s="219" t="str">
        <f>IFERROR(IF(BX460=0,"",COUNTIF(BX$4:BX$600,"&gt;"&amp;BX460)+COUNTIF(BX$4:BX460,BX460)),"")</f>
        <v/>
      </c>
      <c r="BV460" s="42" t="str">
        <f t="shared" si="291"/>
        <v>SULFADI 500</v>
      </c>
      <c r="BW460" t="e">
        <f>IF(IF(CE$2="Catégorie",IF(CE$3="Toutes",SUMIFS('Étape 1 - à remplir'!$F$31:$F$400,'Étape 1 - à remplir'!$E$31:$E$400,MASQ2!BV460,'Étape 1 - à remplir'!$G$31:$G$400,"lots"),SUMIFS('Étape 1 - à remplir'!$F$31:$F$400,'Étape 1 - à remplir'!$E$31:$E$400,MASQ2!BV460,'Étape 1 - à remplir'!$C$31:$C$400,CE$3)),IF(CE$2="Âge",IF(CE$3="Tous",SUMIFS('Étape 1 - à remplir'!$F$31:$F$400,'Étape 1 - à remplir'!$E$31:$E$400,MASQ2!BV460,'Étape 1 - à remplir'!$G$31:$G$400,"lots"),SUMIFS('Étape 1 - à remplir'!$F$31:$F$400,'Étape 1 - à remplir'!$E$31:$E$400,MASQ2!BV460,'Étape 1 - à remplir'!$P$31:$P$400,CE$3,'Étape 1 - à remplir'!$G$31:$G$400,"lots")),IF(CE$2="Atelier",IF(CE$3="Tous",SUMIFS('Étape 1 - à remplir'!$F$31:$F$400,'Étape 1 - à remplir'!$E$31:$E$400,MASQ2!BV460,'Étape 1 - à remplir'!$G$31:$G$400,"lots"),SUMIFS('Étape 1 - à remplir'!$F$31:$F$400,'Étape 1 - à remplir'!$E$31:$E$400,MASQ2!BV460,'Étape 1 - à remplir'!$O$31:$O$400,CE$3,'Étape 1 - à remplir'!$G$31:$G$400,"lots")),IF(CE$2="Espèce",IF(CE$3="Toutes",SUMIFS('Étape 1 - à remplir'!$F$31:$F$400,'Étape 1 - à remplir'!$E$31:$E$400,MASQ2!BV460,'Étape 1 - à remplir'!$G$31:$G$400,"lots"),SUMIFS('Étape 1 - à remplir'!$F$31:$F$400,'Étape 1 - à remplir'!$E$31:$E$400,MASQ2!BV460,'Étape 1 - à remplir'!$N$31:$N$400,CE$3,'Étape 1 - à remplir'!$G$31:$G$400,"lots"))))))=0,NA(),IF(CE$2="Catégorie",IF(CE$3="Toutes",SUMIFS('Étape 1 - à remplir'!$F$31:$F$400,'Étape 1 - à remplir'!$E$31:$E$400,MASQ2!BV460,'Étape 1 - à remplir'!$G$31:$G$400,"lots"),SUMIFS('Étape 1 - à remplir'!$F$31:$F$400,'Étape 1 - à remplir'!$E$31:$E$400,MASQ2!BV460,'Étape 1 - à remplir'!$C$31:$C$400,CE$3)),IF(CE$2="Âge",IF(CE$3="Tous",SUMIFS('Étape 1 - à remplir'!$F$31:$F$400,'Étape 1 - à remplir'!$E$31:$E$400,MASQ2!BV460,'Étape 1 - à remplir'!$G$31:$G$400,"lots"),SUMIFS('Étape 1 - à remplir'!$F$31:$F$400,'Étape 1 - à remplir'!$E$31:$E$400,MASQ2!BV460,'Étape 1 - à remplir'!$P$31:$P$400,CE$3,'Étape 1 - à remplir'!$G$31:$G$400,"lots")),IF(CE$2="Atelier",IF(CE$3="Tous",SUMIFS('Étape 1 - à remplir'!$F$31:$F$400,'Étape 1 - à remplir'!$E$31:$E$400,MASQ2!BV460,'Étape 1 - à remplir'!$G$31:$G$400,"lots"),SUMIFS('Étape 1 - à remplir'!$F$31:$F$400,'Étape 1 - à remplir'!$E$31:$E$400,MASQ2!BV460,'Étape 1 - à remplir'!$O$31:$O$400,CE$3,'Étape 1 - à remplir'!$G$31:$G$400,"lots")),IF(CE$2="Espèce",IF(CE$3="Toutes",SUMIFS('Étape 1 - à remplir'!$F$31:$F$400,'Étape 1 - à remplir'!$E$31:$E$400,MASQ2!BV460,'Étape 1 - à remplir'!$G$31:$G$400,"lots"),SUMIFS('Étape 1 - à remplir'!$F$31:$F$400,'Étape 1 - à remplir'!$E$31:$E$400,MASQ2!BV460,'Étape 1 - à remplir'!$N$31:$N$400,CE$3,'Étape 1 - à remplir'!$G$31:$G$400,"lots")))))))</f>
        <v>#N/A</v>
      </c>
      <c r="BX460">
        <f t="shared" si="308"/>
        <v>0</v>
      </c>
      <c r="BY460" t="str">
        <f t="shared" si="292"/>
        <v>Sulfadimidine</v>
      </c>
      <c r="BZ460" t="str">
        <f t="shared" si="293"/>
        <v/>
      </c>
      <c r="CA460" t="str">
        <f t="shared" si="294"/>
        <v/>
      </c>
      <c r="CB460" t="str">
        <f t="shared" si="295"/>
        <v>Sulfamides</v>
      </c>
      <c r="CC460" t="str">
        <f t="shared" si="296"/>
        <v/>
      </c>
      <c r="CD460" s="63" t="str">
        <f t="shared" si="297"/>
        <v/>
      </c>
      <c r="CG460" s="42">
        <v>457</v>
      </c>
      <c r="CH460" s="42" t="e">
        <f t="shared" si="288"/>
        <v>#N/A</v>
      </c>
      <c r="CI460" s="63" t="e">
        <f t="shared" si="289"/>
        <v>#N/A</v>
      </c>
      <c r="DM460" s="63"/>
      <c r="EA460" s="194" t="str">
        <f t="shared" ca="1" si="298"/>
        <v/>
      </c>
      <c r="EB460" s="226" t="str">
        <f>IFERROR(IF(ED460=0,"",COUNTIF(ED$4:ED$600,"&gt;"&amp;ED460)+COUNTIF(ED$4:ED460,ED460)),"")</f>
        <v/>
      </c>
      <c r="EC460" t="str">
        <f t="shared" si="299"/>
        <v>SULFADI 500</v>
      </c>
      <c r="ED460" t="e">
        <f>IF(IF(EL$2="Catégorie",IF(EL$3="Toutes",SUMIFS('Étape 1 - à remplir'!$F$31:$F$400,'Étape 1 - à remplir'!$E$31:$E$400,MASQ2!EC460,'Étape 1 - à remplir'!$G$31:$G$400,"kg"),SUMIFS('Étape 1 - à remplir'!$F$31:$F$400,'Étape 1 - à remplir'!$E$31:$E$400,MASQ2!EC460,'Étape 1 - à remplir'!$C$31:$C$400,EL$3)),IF(EL$2="Âge",IF(EL$3="Tous",SUMIFS('Étape 1 - à remplir'!$F$31:$F$400,'Étape 1 - à remplir'!$E$31:$E$400,MASQ2!EC460,'Étape 1 - à remplir'!$G$31:$G$400,"kg"),SUMIFS('Étape 1 - à remplir'!$F$31:$F$400,'Étape 1 - à remplir'!$E$31:$E$400,MASQ2!EC460,'Étape 1 - à remplir'!$P$31:$P$400,EL$3,'Étape 1 - à remplir'!$G$31:$G$400,"kg")),IF(EL$2="Atelier",IF(EL$3="Tous",SUMIFS('Étape 1 - à remplir'!$F$31:$F$400,'Étape 1 - à remplir'!$E$31:$E$400,MASQ2!EC460,'Étape 1 - à remplir'!$G$31:$G$400,"kg"),SUMIFS('Étape 1 - à remplir'!$F$31:$F$400,'Étape 1 - à remplir'!$E$31:$E$400,MASQ2!EC460,'Étape 1 - à remplir'!$O$31:$O$400,EL$3,'Étape 1 - à remplir'!$G$31:$G$400,"kg")),IF(EL$2="Espèce",IF(EL$3="Toutes",SUMIFS('Étape 1 - à remplir'!$F$31:$F$400,'Étape 1 - à remplir'!$E$31:$E$400,MASQ2!EC460,'Étape 1 - à remplir'!$G$31:$G$400,"kg"),SUMIFS('Étape 1 - à remplir'!$F$31:$F$400,'Étape 1 - à remplir'!$E$31:$E$400,MASQ2!EC460,'Étape 1 - à remplir'!$N$31:$N$400,EL$3,'Étape 1 - à remplir'!$G$31:$G$400,"kg"))))))=0,NA(),IF(EL$2="Catégorie",IF(EL$3="Toutes",SUMIFS('Étape 1 - à remplir'!$F$31:$F$400,'Étape 1 - à remplir'!$E$31:$E$400,MASQ2!EC460,'Étape 1 - à remplir'!$G$31:$G$400,"kg"),SUMIFS('Étape 1 - à remplir'!$F$31:$F$400,'Étape 1 - à remplir'!$E$31:$E$400,MASQ2!EC460,'Étape 1 - à remplir'!$C$31:$C$400,EL$3)),IF(EL$2="Âge",IF(EL$3="Tous",SUMIFS('Étape 1 - à remplir'!$F$31:$F$400,'Étape 1 - à remplir'!$E$31:$E$400,MASQ2!EC460,'Étape 1 - à remplir'!$G$31:$G$400,"kg"),SUMIFS('Étape 1 - à remplir'!$F$31:$F$400,'Étape 1 - à remplir'!$E$31:$E$400,MASQ2!EC460,'Étape 1 - à remplir'!$P$31:$P$400,EL$3,'Étape 1 - à remplir'!$G$31:$G$400,"kg")),IF(EL$2="Atelier",IF(EL$3="Tous",SUMIFS('Étape 1 - à remplir'!$F$31:$F$400,'Étape 1 - à remplir'!$E$31:$E$400,MASQ2!EC460,'Étape 1 - à remplir'!$G$31:$G$400,"kg"),SUMIFS('Étape 1 - à remplir'!$F$31:$F$400,'Étape 1 - à remplir'!$E$31:$E$400,MASQ2!EC460,'Étape 1 - à remplir'!$O$31:$O$400,EL$3,'Étape 1 - à remplir'!$G$31:$G$400,"kg")),IF(EL$2="Espèce",IF(EL$3="Toutes",SUMIFS('Étape 1 - à remplir'!$F$31:$F$400,'Étape 1 - à remplir'!$E$31:$E$400,MASQ2!EC460,'Étape 1 - à remplir'!$G$31:$G$400,"kg"),SUMIFS('Étape 1 - à remplir'!$F$31:$F$400,'Étape 1 - à remplir'!$E$31:$E$400,MASQ2!EC460,'Étape 1 - à remplir'!$N$31:$N$400,EL$3,'Étape 1 - à remplir'!$G$31:$G$400,"kg")))))))</f>
        <v>#N/A</v>
      </c>
      <c r="EE460" s="76">
        <f t="shared" si="309"/>
        <v>0</v>
      </c>
      <c r="EF460" t="str">
        <f t="shared" si="300"/>
        <v>Sulfadimidine</v>
      </c>
      <c r="EG460" t="str">
        <f t="shared" si="301"/>
        <v/>
      </c>
      <c r="EH460" t="str">
        <f t="shared" si="302"/>
        <v/>
      </c>
      <c r="EI460" t="str">
        <f t="shared" si="303"/>
        <v>Sulfamides</v>
      </c>
      <c r="EJ460" t="str">
        <f t="shared" si="304"/>
        <v/>
      </c>
      <c r="EK460" s="63" t="str">
        <f t="shared" si="305"/>
        <v/>
      </c>
      <c r="EN460" s="42">
        <v>457</v>
      </c>
      <c r="EO460" t="e">
        <f t="shared" si="311"/>
        <v>#N/A</v>
      </c>
      <c r="EP460" s="63" t="e">
        <f t="shared" si="312"/>
        <v>#N/A</v>
      </c>
      <c r="FT460" s="63"/>
    </row>
    <row r="461" spans="2:176" x14ac:dyDescent="0.3">
      <c r="B461" s="42"/>
      <c r="M461" s="194" t="str">
        <f ca="1">INDEX(Données_ATB!BD:BU,MATCH(MASQ2!O461,Données_ATB!BD:BD,0),18)</f>
        <v/>
      </c>
      <c r="N461" s="14" t="str">
        <f>IFERROR(IF(Q461=0,"",COUNTIF(Q$4:Q$600,"&gt;"&amp;Q461)+COUNTIF(Q$4:Q461,Q461)),"")</f>
        <v/>
      </c>
      <c r="O461" t="str">
        <f>Données_ATB!BD460</f>
        <v>SULFADIMERAZINE CSI</v>
      </c>
      <c r="P461" t="e">
        <f>IF(IF(X$2="Catégorie",IF(X$3="Toutes",SUMIFS('Étape 1 - à remplir'!$F$31:$F$400,'Étape 1 - à remplir'!$E$31:$E$400,MASQ2!O461,'Étape 1 - à remplir'!$G$31:$G$400,"animaux"),SUMIFS('Étape 1 - à remplir'!$F$31:$F$400,'Étape 1 - à remplir'!$E$31:$E$400,MASQ2!O461,'Étape 1 - à remplir'!$C$31:$C$400,X$3)),IF(X$2="Âge",IF(X$3="Tous",SUMIFS('Étape 1 - à remplir'!$F$31:$F$400,'Étape 1 - à remplir'!$E$31:$E$400,MASQ2!O461,'Étape 1 - à remplir'!$G$31:$G$400,"animaux"),SUMIFS('Étape 1 - à remplir'!$F$31:$F$400,'Étape 1 - à remplir'!$E$31:$E$400,MASQ2!O461,'Étape 1 - à remplir'!$P$31:$P$400,X$3)),IF(X$2="Atelier",IF(X$3="Tous",SUMIFS('Étape 1 - à remplir'!$F$31:$F$400,'Étape 1 - à remplir'!$E$31:$E$400,MASQ2!O461,'Étape 1 - à remplir'!$G$31:$G$400,"animaux"),SUMIFS('Étape 1 - à remplir'!$F$31:$F$400,'Étape 1 - à remplir'!$E$31:$E$400,MASQ2!O461,'Étape 1 - à remplir'!$O$31:$O$400,X$3)),IF(X$2="Espèce",IF(X$3="Toutes",SUMIFS('Étape 1 - à remplir'!$F$31:$F$400,'Étape 1 - à remplir'!$E$31:$E$400,MASQ2!O461,'Étape 1 - à remplir'!$G$31:$G$400,"animaux"),SUMIFS('Étape 1 - à remplir'!$F$31:$F$400,'Étape 1 - à remplir'!$E$31:$E$400,MASQ2!O461,'Étape 1 - à remplir'!$N$31:$N$400,X$3))))))=0,NA(),IF(X$2="Catégorie",IF(X$3="Toutes",SUMIFS('Étape 1 - à remplir'!$F$31:$F$400,'Étape 1 - à remplir'!$E$31:$E$400,MASQ2!O461,'Étape 1 - à remplir'!$G$31:$G$400,"animaux"),SUMIFS('Étape 1 - à remplir'!$F$31:$F$400,'Étape 1 - à remplir'!$E$31:$E$400,MASQ2!O461,'Étape 1 - à remplir'!$C$31:$C$400,X$3)),IF(X$2="Âge",IF(X$3="Tous",SUMIFS('Étape 1 - à remplir'!$F$31:$F$400,'Étape 1 - à remplir'!$E$31:$E$400,MASQ2!O461,'Étape 1 - à remplir'!$G$31:$G$400,"animaux"),SUMIFS('Étape 1 - à remplir'!$F$31:$F$400,'Étape 1 - à remplir'!$E$31:$E$400,MASQ2!O461,'Étape 1 - à remplir'!$P$31:$P$400,X$3)),IF(X$2="Atelier",IF(X$3="Tous",SUMIFS('Étape 1 - à remplir'!$F$31:$F$400,'Étape 1 - à remplir'!$E$31:$E$400,MASQ2!O461,'Étape 1 - à remplir'!$G$31:$G$400,"animaux"),SUMIFS('Étape 1 - à remplir'!$F$31:$F$400,'Étape 1 - à remplir'!$E$31:$E$400,MASQ2!O461,'Étape 1 - à remplir'!$O$31:$O$400,X$3)),IF(X$2="Espèce",IF(X$3="Toutes",SUMIFS('Étape 1 - à remplir'!$F$31:$F$400,'Étape 1 - à remplir'!$E$31:$E$400,MASQ2!O461,'Étape 1 - à remplir'!$G$31:$G$400,"animaux"),SUMIFS('Étape 1 - à remplir'!$F$31:$F$400,'Étape 1 - à remplir'!$E$31:$E$400,MASQ2!O461,'Étape 1 - à remplir'!$N$31:$N$400,X$3)))))))</f>
        <v>#N/A</v>
      </c>
      <c r="Q461" s="63">
        <f t="shared" si="310"/>
        <v>0</v>
      </c>
      <c r="R461" t="str">
        <f>Données_ATB!BM460</f>
        <v>Sulfadimidine</v>
      </c>
      <c r="S461" t="str">
        <f>Données_ATB!BN460</f>
        <v/>
      </c>
      <c r="T461" s="63" t="str">
        <f>Données_ATB!BO460</f>
        <v/>
      </c>
      <c r="U461" s="42" t="str">
        <f>Données_ATB!BQ460</f>
        <v>Sulfamides</v>
      </c>
      <c r="V461" t="str">
        <f>Données_ATB!BR460</f>
        <v/>
      </c>
      <c r="W461" s="63" t="str">
        <f>Données_ATB!BS460</f>
        <v/>
      </c>
      <c r="Z461" s="42">
        <v>458</v>
      </c>
      <c r="AA461" t="e">
        <f t="shared" si="306"/>
        <v>#N/A</v>
      </c>
      <c r="AB461" s="63" t="e">
        <f t="shared" si="307"/>
        <v>#N/A</v>
      </c>
      <c r="BF461" s="63"/>
      <c r="BT461" s="194" t="str">
        <f t="shared" ca="1" si="290"/>
        <v/>
      </c>
      <c r="BU461" s="219" t="str">
        <f>IFERROR(IF(BX461=0,"",COUNTIF(BX$4:BX$600,"&gt;"&amp;BX461)+COUNTIF(BX$4:BX461,BX461)),"")</f>
        <v/>
      </c>
      <c r="BV461" s="42" t="str">
        <f t="shared" si="291"/>
        <v>SULFADIMERAZINE CSI</v>
      </c>
      <c r="BW461" t="e">
        <f>IF(IF(CE$2="Catégorie",IF(CE$3="Toutes",SUMIFS('Étape 1 - à remplir'!$F$31:$F$400,'Étape 1 - à remplir'!$E$31:$E$400,MASQ2!BV461,'Étape 1 - à remplir'!$G$31:$G$400,"lots"),SUMIFS('Étape 1 - à remplir'!$F$31:$F$400,'Étape 1 - à remplir'!$E$31:$E$400,MASQ2!BV461,'Étape 1 - à remplir'!$C$31:$C$400,CE$3)),IF(CE$2="Âge",IF(CE$3="Tous",SUMIFS('Étape 1 - à remplir'!$F$31:$F$400,'Étape 1 - à remplir'!$E$31:$E$400,MASQ2!BV461,'Étape 1 - à remplir'!$G$31:$G$400,"lots"),SUMIFS('Étape 1 - à remplir'!$F$31:$F$400,'Étape 1 - à remplir'!$E$31:$E$400,MASQ2!BV461,'Étape 1 - à remplir'!$P$31:$P$400,CE$3,'Étape 1 - à remplir'!$G$31:$G$400,"lots")),IF(CE$2="Atelier",IF(CE$3="Tous",SUMIFS('Étape 1 - à remplir'!$F$31:$F$400,'Étape 1 - à remplir'!$E$31:$E$400,MASQ2!BV461,'Étape 1 - à remplir'!$G$31:$G$400,"lots"),SUMIFS('Étape 1 - à remplir'!$F$31:$F$400,'Étape 1 - à remplir'!$E$31:$E$400,MASQ2!BV461,'Étape 1 - à remplir'!$O$31:$O$400,CE$3,'Étape 1 - à remplir'!$G$31:$G$400,"lots")),IF(CE$2="Espèce",IF(CE$3="Toutes",SUMIFS('Étape 1 - à remplir'!$F$31:$F$400,'Étape 1 - à remplir'!$E$31:$E$400,MASQ2!BV461,'Étape 1 - à remplir'!$G$31:$G$400,"lots"),SUMIFS('Étape 1 - à remplir'!$F$31:$F$400,'Étape 1 - à remplir'!$E$31:$E$400,MASQ2!BV461,'Étape 1 - à remplir'!$N$31:$N$400,CE$3,'Étape 1 - à remplir'!$G$31:$G$400,"lots"))))))=0,NA(),IF(CE$2="Catégorie",IF(CE$3="Toutes",SUMIFS('Étape 1 - à remplir'!$F$31:$F$400,'Étape 1 - à remplir'!$E$31:$E$400,MASQ2!BV461,'Étape 1 - à remplir'!$G$31:$G$400,"lots"),SUMIFS('Étape 1 - à remplir'!$F$31:$F$400,'Étape 1 - à remplir'!$E$31:$E$400,MASQ2!BV461,'Étape 1 - à remplir'!$C$31:$C$400,CE$3)),IF(CE$2="Âge",IF(CE$3="Tous",SUMIFS('Étape 1 - à remplir'!$F$31:$F$400,'Étape 1 - à remplir'!$E$31:$E$400,MASQ2!BV461,'Étape 1 - à remplir'!$G$31:$G$400,"lots"),SUMIFS('Étape 1 - à remplir'!$F$31:$F$400,'Étape 1 - à remplir'!$E$31:$E$400,MASQ2!BV461,'Étape 1 - à remplir'!$P$31:$P$400,CE$3,'Étape 1 - à remplir'!$G$31:$G$400,"lots")),IF(CE$2="Atelier",IF(CE$3="Tous",SUMIFS('Étape 1 - à remplir'!$F$31:$F$400,'Étape 1 - à remplir'!$E$31:$E$400,MASQ2!BV461,'Étape 1 - à remplir'!$G$31:$G$400,"lots"),SUMIFS('Étape 1 - à remplir'!$F$31:$F$400,'Étape 1 - à remplir'!$E$31:$E$400,MASQ2!BV461,'Étape 1 - à remplir'!$O$31:$O$400,CE$3,'Étape 1 - à remplir'!$G$31:$G$400,"lots")),IF(CE$2="Espèce",IF(CE$3="Toutes",SUMIFS('Étape 1 - à remplir'!$F$31:$F$400,'Étape 1 - à remplir'!$E$31:$E$400,MASQ2!BV461,'Étape 1 - à remplir'!$G$31:$G$400,"lots"),SUMIFS('Étape 1 - à remplir'!$F$31:$F$400,'Étape 1 - à remplir'!$E$31:$E$400,MASQ2!BV461,'Étape 1 - à remplir'!$N$31:$N$400,CE$3,'Étape 1 - à remplir'!$G$31:$G$400,"lots")))))))</f>
        <v>#N/A</v>
      </c>
      <c r="BX461">
        <f t="shared" si="308"/>
        <v>0</v>
      </c>
      <c r="BY461" t="str">
        <f t="shared" si="292"/>
        <v>Sulfadimidine</v>
      </c>
      <c r="BZ461" t="str">
        <f t="shared" si="293"/>
        <v/>
      </c>
      <c r="CA461" t="str">
        <f t="shared" si="294"/>
        <v/>
      </c>
      <c r="CB461" t="str">
        <f t="shared" si="295"/>
        <v>Sulfamides</v>
      </c>
      <c r="CC461" t="str">
        <f t="shared" si="296"/>
        <v/>
      </c>
      <c r="CD461" s="63" t="str">
        <f t="shared" si="297"/>
        <v/>
      </c>
      <c r="CG461" s="42">
        <v>458</v>
      </c>
      <c r="CH461" s="42" t="e">
        <f t="shared" si="288"/>
        <v>#N/A</v>
      </c>
      <c r="CI461" s="63" t="e">
        <f t="shared" si="289"/>
        <v>#N/A</v>
      </c>
      <c r="DM461" s="63"/>
      <c r="EA461" s="194" t="str">
        <f t="shared" ca="1" si="298"/>
        <v/>
      </c>
      <c r="EB461" s="226" t="str">
        <f>IFERROR(IF(ED461=0,"",COUNTIF(ED$4:ED$600,"&gt;"&amp;ED461)+COUNTIF(ED$4:ED461,ED461)),"")</f>
        <v/>
      </c>
      <c r="EC461" t="str">
        <f t="shared" si="299"/>
        <v>SULFADIMERAZINE CSI</v>
      </c>
      <c r="ED461" t="e">
        <f>IF(IF(EL$2="Catégorie",IF(EL$3="Toutes",SUMIFS('Étape 1 - à remplir'!$F$31:$F$400,'Étape 1 - à remplir'!$E$31:$E$400,MASQ2!EC461,'Étape 1 - à remplir'!$G$31:$G$400,"kg"),SUMIFS('Étape 1 - à remplir'!$F$31:$F$400,'Étape 1 - à remplir'!$E$31:$E$400,MASQ2!EC461,'Étape 1 - à remplir'!$C$31:$C$400,EL$3)),IF(EL$2="Âge",IF(EL$3="Tous",SUMIFS('Étape 1 - à remplir'!$F$31:$F$400,'Étape 1 - à remplir'!$E$31:$E$400,MASQ2!EC461,'Étape 1 - à remplir'!$G$31:$G$400,"kg"),SUMIFS('Étape 1 - à remplir'!$F$31:$F$400,'Étape 1 - à remplir'!$E$31:$E$400,MASQ2!EC461,'Étape 1 - à remplir'!$P$31:$P$400,EL$3,'Étape 1 - à remplir'!$G$31:$G$400,"kg")),IF(EL$2="Atelier",IF(EL$3="Tous",SUMIFS('Étape 1 - à remplir'!$F$31:$F$400,'Étape 1 - à remplir'!$E$31:$E$400,MASQ2!EC461,'Étape 1 - à remplir'!$G$31:$G$400,"kg"),SUMIFS('Étape 1 - à remplir'!$F$31:$F$400,'Étape 1 - à remplir'!$E$31:$E$400,MASQ2!EC461,'Étape 1 - à remplir'!$O$31:$O$400,EL$3,'Étape 1 - à remplir'!$G$31:$G$400,"kg")),IF(EL$2="Espèce",IF(EL$3="Toutes",SUMIFS('Étape 1 - à remplir'!$F$31:$F$400,'Étape 1 - à remplir'!$E$31:$E$400,MASQ2!EC461,'Étape 1 - à remplir'!$G$31:$G$400,"kg"),SUMIFS('Étape 1 - à remplir'!$F$31:$F$400,'Étape 1 - à remplir'!$E$31:$E$400,MASQ2!EC461,'Étape 1 - à remplir'!$N$31:$N$400,EL$3,'Étape 1 - à remplir'!$G$31:$G$400,"kg"))))))=0,NA(),IF(EL$2="Catégorie",IF(EL$3="Toutes",SUMIFS('Étape 1 - à remplir'!$F$31:$F$400,'Étape 1 - à remplir'!$E$31:$E$400,MASQ2!EC461,'Étape 1 - à remplir'!$G$31:$G$400,"kg"),SUMIFS('Étape 1 - à remplir'!$F$31:$F$400,'Étape 1 - à remplir'!$E$31:$E$400,MASQ2!EC461,'Étape 1 - à remplir'!$C$31:$C$400,EL$3)),IF(EL$2="Âge",IF(EL$3="Tous",SUMIFS('Étape 1 - à remplir'!$F$31:$F$400,'Étape 1 - à remplir'!$E$31:$E$400,MASQ2!EC461,'Étape 1 - à remplir'!$G$31:$G$400,"kg"),SUMIFS('Étape 1 - à remplir'!$F$31:$F$400,'Étape 1 - à remplir'!$E$31:$E$400,MASQ2!EC461,'Étape 1 - à remplir'!$P$31:$P$400,EL$3,'Étape 1 - à remplir'!$G$31:$G$400,"kg")),IF(EL$2="Atelier",IF(EL$3="Tous",SUMIFS('Étape 1 - à remplir'!$F$31:$F$400,'Étape 1 - à remplir'!$E$31:$E$400,MASQ2!EC461,'Étape 1 - à remplir'!$G$31:$G$400,"kg"),SUMIFS('Étape 1 - à remplir'!$F$31:$F$400,'Étape 1 - à remplir'!$E$31:$E$400,MASQ2!EC461,'Étape 1 - à remplir'!$O$31:$O$400,EL$3,'Étape 1 - à remplir'!$G$31:$G$400,"kg")),IF(EL$2="Espèce",IF(EL$3="Toutes",SUMIFS('Étape 1 - à remplir'!$F$31:$F$400,'Étape 1 - à remplir'!$E$31:$E$400,MASQ2!EC461,'Étape 1 - à remplir'!$G$31:$G$400,"kg"),SUMIFS('Étape 1 - à remplir'!$F$31:$F$400,'Étape 1 - à remplir'!$E$31:$E$400,MASQ2!EC461,'Étape 1 - à remplir'!$N$31:$N$400,EL$3,'Étape 1 - à remplir'!$G$31:$G$400,"kg")))))))</f>
        <v>#N/A</v>
      </c>
      <c r="EE461" s="76">
        <f t="shared" si="309"/>
        <v>0</v>
      </c>
      <c r="EF461" t="str">
        <f t="shared" si="300"/>
        <v>Sulfadimidine</v>
      </c>
      <c r="EG461" t="str">
        <f t="shared" si="301"/>
        <v/>
      </c>
      <c r="EH461" t="str">
        <f t="shared" si="302"/>
        <v/>
      </c>
      <c r="EI461" t="str">
        <f t="shared" si="303"/>
        <v>Sulfamides</v>
      </c>
      <c r="EJ461" t="str">
        <f t="shared" si="304"/>
        <v/>
      </c>
      <c r="EK461" s="63" t="str">
        <f t="shared" si="305"/>
        <v/>
      </c>
      <c r="EN461" s="42">
        <v>458</v>
      </c>
      <c r="EO461" t="e">
        <f t="shared" si="311"/>
        <v>#N/A</v>
      </c>
      <c r="EP461" s="63" t="e">
        <f t="shared" si="312"/>
        <v>#N/A</v>
      </c>
      <c r="FT461" s="63"/>
    </row>
    <row r="462" spans="2:176" x14ac:dyDescent="0.3">
      <c r="B462" s="42"/>
      <c r="M462" s="194" t="str">
        <f ca="1">INDEX(Données_ATB!BD:BU,MATCH(MASQ2!O462,Données_ATB!BD:BD,0),18)</f>
        <v/>
      </c>
      <c r="N462" s="14" t="str">
        <f>IFERROR(IF(Q462=0,"",COUNTIF(Q$4:Q$600,"&gt;"&amp;Q462)+COUNTIF(Q$4:Q462,Q462)),"")</f>
        <v/>
      </c>
      <c r="O462" t="str">
        <f>Données_ATB!BD461</f>
        <v>SULFADIMERAZINE QALIAN</v>
      </c>
      <c r="P462" t="e">
        <f>IF(IF(X$2="Catégorie",IF(X$3="Toutes",SUMIFS('Étape 1 - à remplir'!$F$31:$F$400,'Étape 1 - à remplir'!$E$31:$E$400,MASQ2!O462,'Étape 1 - à remplir'!$G$31:$G$400,"animaux"),SUMIFS('Étape 1 - à remplir'!$F$31:$F$400,'Étape 1 - à remplir'!$E$31:$E$400,MASQ2!O462,'Étape 1 - à remplir'!$C$31:$C$400,X$3)),IF(X$2="Âge",IF(X$3="Tous",SUMIFS('Étape 1 - à remplir'!$F$31:$F$400,'Étape 1 - à remplir'!$E$31:$E$400,MASQ2!O462,'Étape 1 - à remplir'!$G$31:$G$400,"animaux"),SUMIFS('Étape 1 - à remplir'!$F$31:$F$400,'Étape 1 - à remplir'!$E$31:$E$400,MASQ2!O462,'Étape 1 - à remplir'!$P$31:$P$400,X$3)),IF(X$2="Atelier",IF(X$3="Tous",SUMIFS('Étape 1 - à remplir'!$F$31:$F$400,'Étape 1 - à remplir'!$E$31:$E$400,MASQ2!O462,'Étape 1 - à remplir'!$G$31:$G$400,"animaux"),SUMIFS('Étape 1 - à remplir'!$F$31:$F$400,'Étape 1 - à remplir'!$E$31:$E$400,MASQ2!O462,'Étape 1 - à remplir'!$O$31:$O$400,X$3)),IF(X$2="Espèce",IF(X$3="Toutes",SUMIFS('Étape 1 - à remplir'!$F$31:$F$400,'Étape 1 - à remplir'!$E$31:$E$400,MASQ2!O462,'Étape 1 - à remplir'!$G$31:$G$400,"animaux"),SUMIFS('Étape 1 - à remplir'!$F$31:$F$400,'Étape 1 - à remplir'!$E$31:$E$400,MASQ2!O462,'Étape 1 - à remplir'!$N$31:$N$400,X$3))))))=0,NA(),IF(X$2="Catégorie",IF(X$3="Toutes",SUMIFS('Étape 1 - à remplir'!$F$31:$F$400,'Étape 1 - à remplir'!$E$31:$E$400,MASQ2!O462,'Étape 1 - à remplir'!$G$31:$G$400,"animaux"),SUMIFS('Étape 1 - à remplir'!$F$31:$F$400,'Étape 1 - à remplir'!$E$31:$E$400,MASQ2!O462,'Étape 1 - à remplir'!$C$31:$C$400,X$3)),IF(X$2="Âge",IF(X$3="Tous",SUMIFS('Étape 1 - à remplir'!$F$31:$F$400,'Étape 1 - à remplir'!$E$31:$E$400,MASQ2!O462,'Étape 1 - à remplir'!$G$31:$G$400,"animaux"),SUMIFS('Étape 1 - à remplir'!$F$31:$F$400,'Étape 1 - à remplir'!$E$31:$E$400,MASQ2!O462,'Étape 1 - à remplir'!$P$31:$P$400,X$3)),IF(X$2="Atelier",IF(X$3="Tous",SUMIFS('Étape 1 - à remplir'!$F$31:$F$400,'Étape 1 - à remplir'!$E$31:$E$400,MASQ2!O462,'Étape 1 - à remplir'!$G$31:$G$400,"animaux"),SUMIFS('Étape 1 - à remplir'!$F$31:$F$400,'Étape 1 - à remplir'!$E$31:$E$400,MASQ2!O462,'Étape 1 - à remplir'!$O$31:$O$400,X$3)),IF(X$2="Espèce",IF(X$3="Toutes",SUMIFS('Étape 1 - à remplir'!$F$31:$F$400,'Étape 1 - à remplir'!$E$31:$E$400,MASQ2!O462,'Étape 1 - à remplir'!$G$31:$G$400,"animaux"),SUMIFS('Étape 1 - à remplir'!$F$31:$F$400,'Étape 1 - à remplir'!$E$31:$E$400,MASQ2!O462,'Étape 1 - à remplir'!$N$31:$N$400,X$3)))))))</f>
        <v>#N/A</v>
      </c>
      <c r="Q462" s="63">
        <f t="shared" si="310"/>
        <v>0</v>
      </c>
      <c r="R462" t="str">
        <f>Données_ATB!BM461</f>
        <v>Sulfadimidine</v>
      </c>
      <c r="S462" t="str">
        <f>Données_ATB!BN461</f>
        <v/>
      </c>
      <c r="T462" s="63" t="str">
        <f>Données_ATB!BO461</f>
        <v/>
      </c>
      <c r="U462" s="42" t="str">
        <f>Données_ATB!BQ461</f>
        <v>Sulfamides</v>
      </c>
      <c r="V462" t="str">
        <f>Données_ATB!BR461</f>
        <v/>
      </c>
      <c r="W462" s="63" t="str">
        <f>Données_ATB!BS461</f>
        <v/>
      </c>
      <c r="Z462" s="42">
        <v>459</v>
      </c>
      <c r="AA462" t="e">
        <f t="shared" si="306"/>
        <v>#N/A</v>
      </c>
      <c r="AB462" s="63" t="e">
        <f t="shared" si="307"/>
        <v>#N/A</v>
      </c>
      <c r="BF462" s="63"/>
      <c r="BT462" s="194" t="str">
        <f t="shared" ca="1" si="290"/>
        <v/>
      </c>
      <c r="BU462" s="219" t="str">
        <f>IFERROR(IF(BX462=0,"",COUNTIF(BX$4:BX$600,"&gt;"&amp;BX462)+COUNTIF(BX$4:BX462,BX462)),"")</f>
        <v/>
      </c>
      <c r="BV462" s="42" t="str">
        <f t="shared" si="291"/>
        <v>SULFADIMERAZINE QALIAN</v>
      </c>
      <c r="BW462" t="e">
        <f>IF(IF(CE$2="Catégorie",IF(CE$3="Toutes",SUMIFS('Étape 1 - à remplir'!$F$31:$F$400,'Étape 1 - à remplir'!$E$31:$E$400,MASQ2!BV462,'Étape 1 - à remplir'!$G$31:$G$400,"lots"),SUMIFS('Étape 1 - à remplir'!$F$31:$F$400,'Étape 1 - à remplir'!$E$31:$E$400,MASQ2!BV462,'Étape 1 - à remplir'!$C$31:$C$400,CE$3)),IF(CE$2="Âge",IF(CE$3="Tous",SUMIFS('Étape 1 - à remplir'!$F$31:$F$400,'Étape 1 - à remplir'!$E$31:$E$400,MASQ2!BV462,'Étape 1 - à remplir'!$G$31:$G$400,"lots"),SUMIFS('Étape 1 - à remplir'!$F$31:$F$400,'Étape 1 - à remplir'!$E$31:$E$400,MASQ2!BV462,'Étape 1 - à remplir'!$P$31:$P$400,CE$3,'Étape 1 - à remplir'!$G$31:$G$400,"lots")),IF(CE$2="Atelier",IF(CE$3="Tous",SUMIFS('Étape 1 - à remplir'!$F$31:$F$400,'Étape 1 - à remplir'!$E$31:$E$400,MASQ2!BV462,'Étape 1 - à remplir'!$G$31:$G$400,"lots"),SUMIFS('Étape 1 - à remplir'!$F$31:$F$400,'Étape 1 - à remplir'!$E$31:$E$400,MASQ2!BV462,'Étape 1 - à remplir'!$O$31:$O$400,CE$3,'Étape 1 - à remplir'!$G$31:$G$400,"lots")),IF(CE$2="Espèce",IF(CE$3="Toutes",SUMIFS('Étape 1 - à remplir'!$F$31:$F$400,'Étape 1 - à remplir'!$E$31:$E$400,MASQ2!BV462,'Étape 1 - à remplir'!$G$31:$G$400,"lots"),SUMIFS('Étape 1 - à remplir'!$F$31:$F$400,'Étape 1 - à remplir'!$E$31:$E$400,MASQ2!BV462,'Étape 1 - à remplir'!$N$31:$N$400,CE$3,'Étape 1 - à remplir'!$G$31:$G$400,"lots"))))))=0,NA(),IF(CE$2="Catégorie",IF(CE$3="Toutes",SUMIFS('Étape 1 - à remplir'!$F$31:$F$400,'Étape 1 - à remplir'!$E$31:$E$400,MASQ2!BV462,'Étape 1 - à remplir'!$G$31:$G$400,"lots"),SUMIFS('Étape 1 - à remplir'!$F$31:$F$400,'Étape 1 - à remplir'!$E$31:$E$400,MASQ2!BV462,'Étape 1 - à remplir'!$C$31:$C$400,CE$3)),IF(CE$2="Âge",IF(CE$3="Tous",SUMIFS('Étape 1 - à remplir'!$F$31:$F$400,'Étape 1 - à remplir'!$E$31:$E$400,MASQ2!BV462,'Étape 1 - à remplir'!$G$31:$G$400,"lots"),SUMIFS('Étape 1 - à remplir'!$F$31:$F$400,'Étape 1 - à remplir'!$E$31:$E$400,MASQ2!BV462,'Étape 1 - à remplir'!$P$31:$P$400,CE$3,'Étape 1 - à remplir'!$G$31:$G$400,"lots")),IF(CE$2="Atelier",IF(CE$3="Tous",SUMIFS('Étape 1 - à remplir'!$F$31:$F$400,'Étape 1 - à remplir'!$E$31:$E$400,MASQ2!BV462,'Étape 1 - à remplir'!$G$31:$G$400,"lots"),SUMIFS('Étape 1 - à remplir'!$F$31:$F$400,'Étape 1 - à remplir'!$E$31:$E$400,MASQ2!BV462,'Étape 1 - à remplir'!$O$31:$O$400,CE$3,'Étape 1 - à remplir'!$G$31:$G$400,"lots")),IF(CE$2="Espèce",IF(CE$3="Toutes",SUMIFS('Étape 1 - à remplir'!$F$31:$F$400,'Étape 1 - à remplir'!$E$31:$E$400,MASQ2!BV462,'Étape 1 - à remplir'!$G$31:$G$400,"lots"),SUMIFS('Étape 1 - à remplir'!$F$31:$F$400,'Étape 1 - à remplir'!$E$31:$E$400,MASQ2!BV462,'Étape 1 - à remplir'!$N$31:$N$400,CE$3,'Étape 1 - à remplir'!$G$31:$G$400,"lots")))))))</f>
        <v>#N/A</v>
      </c>
      <c r="BX462">
        <f t="shared" si="308"/>
        <v>0</v>
      </c>
      <c r="BY462" t="str">
        <f t="shared" si="292"/>
        <v>Sulfadimidine</v>
      </c>
      <c r="BZ462" t="str">
        <f t="shared" si="293"/>
        <v/>
      </c>
      <c r="CA462" t="str">
        <f t="shared" si="294"/>
        <v/>
      </c>
      <c r="CB462" t="str">
        <f t="shared" si="295"/>
        <v>Sulfamides</v>
      </c>
      <c r="CC462" t="str">
        <f t="shared" si="296"/>
        <v/>
      </c>
      <c r="CD462" s="63" t="str">
        <f t="shared" si="297"/>
        <v/>
      </c>
      <c r="CG462" s="42">
        <v>459</v>
      </c>
      <c r="CH462" s="42" t="e">
        <f t="shared" si="288"/>
        <v>#N/A</v>
      </c>
      <c r="CI462" s="63" t="e">
        <f t="shared" si="289"/>
        <v>#N/A</v>
      </c>
      <c r="DM462" s="63"/>
      <c r="EA462" s="194" t="str">
        <f t="shared" ca="1" si="298"/>
        <v/>
      </c>
      <c r="EB462" s="226" t="str">
        <f>IFERROR(IF(ED462=0,"",COUNTIF(ED$4:ED$600,"&gt;"&amp;ED462)+COUNTIF(ED$4:ED462,ED462)),"")</f>
        <v/>
      </c>
      <c r="EC462" t="str">
        <f t="shared" si="299"/>
        <v>SULFADIMERAZINE QALIAN</v>
      </c>
      <c r="ED462" t="e">
        <f>IF(IF(EL$2="Catégorie",IF(EL$3="Toutes",SUMIFS('Étape 1 - à remplir'!$F$31:$F$400,'Étape 1 - à remplir'!$E$31:$E$400,MASQ2!EC462,'Étape 1 - à remplir'!$G$31:$G$400,"kg"),SUMIFS('Étape 1 - à remplir'!$F$31:$F$400,'Étape 1 - à remplir'!$E$31:$E$400,MASQ2!EC462,'Étape 1 - à remplir'!$C$31:$C$400,EL$3)),IF(EL$2="Âge",IF(EL$3="Tous",SUMIFS('Étape 1 - à remplir'!$F$31:$F$400,'Étape 1 - à remplir'!$E$31:$E$400,MASQ2!EC462,'Étape 1 - à remplir'!$G$31:$G$400,"kg"),SUMIFS('Étape 1 - à remplir'!$F$31:$F$400,'Étape 1 - à remplir'!$E$31:$E$400,MASQ2!EC462,'Étape 1 - à remplir'!$P$31:$P$400,EL$3,'Étape 1 - à remplir'!$G$31:$G$400,"kg")),IF(EL$2="Atelier",IF(EL$3="Tous",SUMIFS('Étape 1 - à remplir'!$F$31:$F$400,'Étape 1 - à remplir'!$E$31:$E$400,MASQ2!EC462,'Étape 1 - à remplir'!$G$31:$G$400,"kg"),SUMIFS('Étape 1 - à remplir'!$F$31:$F$400,'Étape 1 - à remplir'!$E$31:$E$400,MASQ2!EC462,'Étape 1 - à remplir'!$O$31:$O$400,EL$3,'Étape 1 - à remplir'!$G$31:$G$400,"kg")),IF(EL$2="Espèce",IF(EL$3="Toutes",SUMIFS('Étape 1 - à remplir'!$F$31:$F$400,'Étape 1 - à remplir'!$E$31:$E$400,MASQ2!EC462,'Étape 1 - à remplir'!$G$31:$G$400,"kg"),SUMIFS('Étape 1 - à remplir'!$F$31:$F$400,'Étape 1 - à remplir'!$E$31:$E$400,MASQ2!EC462,'Étape 1 - à remplir'!$N$31:$N$400,EL$3,'Étape 1 - à remplir'!$G$31:$G$400,"kg"))))))=0,NA(),IF(EL$2="Catégorie",IF(EL$3="Toutes",SUMIFS('Étape 1 - à remplir'!$F$31:$F$400,'Étape 1 - à remplir'!$E$31:$E$400,MASQ2!EC462,'Étape 1 - à remplir'!$G$31:$G$400,"kg"),SUMIFS('Étape 1 - à remplir'!$F$31:$F$400,'Étape 1 - à remplir'!$E$31:$E$400,MASQ2!EC462,'Étape 1 - à remplir'!$C$31:$C$400,EL$3)),IF(EL$2="Âge",IF(EL$3="Tous",SUMIFS('Étape 1 - à remplir'!$F$31:$F$400,'Étape 1 - à remplir'!$E$31:$E$400,MASQ2!EC462,'Étape 1 - à remplir'!$G$31:$G$400,"kg"),SUMIFS('Étape 1 - à remplir'!$F$31:$F$400,'Étape 1 - à remplir'!$E$31:$E$400,MASQ2!EC462,'Étape 1 - à remplir'!$P$31:$P$400,EL$3,'Étape 1 - à remplir'!$G$31:$G$400,"kg")),IF(EL$2="Atelier",IF(EL$3="Tous",SUMIFS('Étape 1 - à remplir'!$F$31:$F$400,'Étape 1 - à remplir'!$E$31:$E$400,MASQ2!EC462,'Étape 1 - à remplir'!$G$31:$G$400,"kg"),SUMIFS('Étape 1 - à remplir'!$F$31:$F$400,'Étape 1 - à remplir'!$E$31:$E$400,MASQ2!EC462,'Étape 1 - à remplir'!$O$31:$O$400,EL$3,'Étape 1 - à remplir'!$G$31:$G$400,"kg")),IF(EL$2="Espèce",IF(EL$3="Toutes",SUMIFS('Étape 1 - à remplir'!$F$31:$F$400,'Étape 1 - à remplir'!$E$31:$E$400,MASQ2!EC462,'Étape 1 - à remplir'!$G$31:$G$400,"kg"),SUMIFS('Étape 1 - à remplir'!$F$31:$F$400,'Étape 1 - à remplir'!$E$31:$E$400,MASQ2!EC462,'Étape 1 - à remplir'!$N$31:$N$400,EL$3,'Étape 1 - à remplir'!$G$31:$G$400,"kg")))))))</f>
        <v>#N/A</v>
      </c>
      <c r="EE462" s="76">
        <f t="shared" si="309"/>
        <v>0</v>
      </c>
      <c r="EF462" t="str">
        <f t="shared" si="300"/>
        <v>Sulfadimidine</v>
      </c>
      <c r="EG462" t="str">
        <f t="shared" si="301"/>
        <v/>
      </c>
      <c r="EH462" t="str">
        <f t="shared" si="302"/>
        <v/>
      </c>
      <c r="EI462" t="str">
        <f t="shared" si="303"/>
        <v>Sulfamides</v>
      </c>
      <c r="EJ462" t="str">
        <f t="shared" si="304"/>
        <v/>
      </c>
      <c r="EK462" s="63" t="str">
        <f t="shared" si="305"/>
        <v/>
      </c>
      <c r="EN462" s="42">
        <v>459</v>
      </c>
      <c r="EO462" t="e">
        <f t="shared" si="311"/>
        <v>#N/A</v>
      </c>
      <c r="EP462" s="63" t="e">
        <f t="shared" si="312"/>
        <v>#N/A</v>
      </c>
      <c r="FT462" s="63"/>
    </row>
    <row r="463" spans="2:176" x14ac:dyDescent="0.3">
      <c r="B463" s="42"/>
      <c r="M463" s="194" t="str">
        <f ca="1">INDEX(Données_ATB!BD:BU,MATCH(MASQ2!O463,Données_ATB!BD:BD,0),18)</f>
        <v/>
      </c>
      <c r="N463" s="14" t="str">
        <f>IFERROR(IF(Q463=0,"",COUNTIF(Q$4:Q$600,"&gt;"&amp;Q463)+COUNTIF(Q$4:Q463,Q463)),"")</f>
        <v/>
      </c>
      <c r="O463" t="str">
        <f>Données_ATB!BD462</f>
        <v>SULFADIMETHOXINE 100-CR LAPIN-VOLAILLE-PORC ET AGNEAU-CHEVREAU SEVRES FRANVET</v>
      </c>
      <c r="P463" t="e">
        <f>IF(IF(X$2="Catégorie",IF(X$3="Toutes",SUMIFS('Étape 1 - à remplir'!$F$31:$F$400,'Étape 1 - à remplir'!$E$31:$E$400,MASQ2!O463,'Étape 1 - à remplir'!$G$31:$G$400,"animaux"),SUMIFS('Étape 1 - à remplir'!$F$31:$F$400,'Étape 1 - à remplir'!$E$31:$E$400,MASQ2!O463,'Étape 1 - à remplir'!$C$31:$C$400,X$3)),IF(X$2="Âge",IF(X$3="Tous",SUMIFS('Étape 1 - à remplir'!$F$31:$F$400,'Étape 1 - à remplir'!$E$31:$E$400,MASQ2!O463,'Étape 1 - à remplir'!$G$31:$G$400,"animaux"),SUMIFS('Étape 1 - à remplir'!$F$31:$F$400,'Étape 1 - à remplir'!$E$31:$E$400,MASQ2!O463,'Étape 1 - à remplir'!$P$31:$P$400,X$3)),IF(X$2="Atelier",IF(X$3="Tous",SUMIFS('Étape 1 - à remplir'!$F$31:$F$400,'Étape 1 - à remplir'!$E$31:$E$400,MASQ2!O463,'Étape 1 - à remplir'!$G$31:$G$400,"animaux"),SUMIFS('Étape 1 - à remplir'!$F$31:$F$400,'Étape 1 - à remplir'!$E$31:$E$400,MASQ2!O463,'Étape 1 - à remplir'!$O$31:$O$400,X$3)),IF(X$2="Espèce",IF(X$3="Toutes",SUMIFS('Étape 1 - à remplir'!$F$31:$F$400,'Étape 1 - à remplir'!$E$31:$E$400,MASQ2!O463,'Étape 1 - à remplir'!$G$31:$G$400,"animaux"),SUMIFS('Étape 1 - à remplir'!$F$31:$F$400,'Étape 1 - à remplir'!$E$31:$E$400,MASQ2!O463,'Étape 1 - à remplir'!$N$31:$N$400,X$3))))))=0,NA(),IF(X$2="Catégorie",IF(X$3="Toutes",SUMIFS('Étape 1 - à remplir'!$F$31:$F$400,'Étape 1 - à remplir'!$E$31:$E$400,MASQ2!O463,'Étape 1 - à remplir'!$G$31:$G$400,"animaux"),SUMIFS('Étape 1 - à remplir'!$F$31:$F$400,'Étape 1 - à remplir'!$E$31:$E$400,MASQ2!O463,'Étape 1 - à remplir'!$C$31:$C$400,X$3)),IF(X$2="Âge",IF(X$3="Tous",SUMIFS('Étape 1 - à remplir'!$F$31:$F$400,'Étape 1 - à remplir'!$E$31:$E$400,MASQ2!O463,'Étape 1 - à remplir'!$G$31:$G$400,"animaux"),SUMIFS('Étape 1 - à remplir'!$F$31:$F$400,'Étape 1 - à remplir'!$E$31:$E$400,MASQ2!O463,'Étape 1 - à remplir'!$P$31:$P$400,X$3)),IF(X$2="Atelier",IF(X$3="Tous",SUMIFS('Étape 1 - à remplir'!$F$31:$F$400,'Étape 1 - à remplir'!$E$31:$E$400,MASQ2!O463,'Étape 1 - à remplir'!$G$31:$G$400,"animaux"),SUMIFS('Étape 1 - à remplir'!$F$31:$F$400,'Étape 1 - à remplir'!$E$31:$E$400,MASQ2!O463,'Étape 1 - à remplir'!$O$31:$O$400,X$3)),IF(X$2="Espèce",IF(X$3="Toutes",SUMIFS('Étape 1 - à remplir'!$F$31:$F$400,'Étape 1 - à remplir'!$E$31:$E$400,MASQ2!O463,'Étape 1 - à remplir'!$G$31:$G$400,"animaux"),SUMIFS('Étape 1 - à remplir'!$F$31:$F$400,'Étape 1 - à remplir'!$E$31:$E$400,MASQ2!O463,'Étape 1 - à remplir'!$N$31:$N$400,X$3)))))))</f>
        <v>#N/A</v>
      </c>
      <c r="Q463" s="63">
        <f t="shared" si="310"/>
        <v>0</v>
      </c>
      <c r="R463" t="str">
        <f>Données_ATB!BM462</f>
        <v>Sulfadiméthoxine</v>
      </c>
      <c r="S463" t="str">
        <f>Données_ATB!BN462</f>
        <v/>
      </c>
      <c r="T463" s="63" t="str">
        <f>Données_ATB!BO462</f>
        <v/>
      </c>
      <c r="U463" s="42" t="str">
        <f>Données_ATB!BQ462</f>
        <v>Sulfamides</v>
      </c>
      <c r="V463" t="str">
        <f>Données_ATB!BR462</f>
        <v/>
      </c>
      <c r="W463" s="63" t="str">
        <f>Données_ATB!BS462</f>
        <v/>
      </c>
      <c r="Z463" s="42">
        <v>460</v>
      </c>
      <c r="AA463" t="e">
        <f t="shared" si="306"/>
        <v>#N/A</v>
      </c>
      <c r="AB463" s="63" t="e">
        <f t="shared" si="307"/>
        <v>#N/A</v>
      </c>
      <c r="BF463" s="63"/>
      <c r="BT463" s="194" t="str">
        <f t="shared" ca="1" si="290"/>
        <v/>
      </c>
      <c r="BU463" s="219" t="str">
        <f>IFERROR(IF(BX463=0,"",COUNTIF(BX$4:BX$600,"&gt;"&amp;BX463)+COUNTIF(BX$4:BX463,BX463)),"")</f>
        <v/>
      </c>
      <c r="BV463" s="42" t="str">
        <f t="shared" si="291"/>
        <v>SULFADIMETHOXINE 100-CR LAPIN-VOLAILLE-PORC ET AGNEAU-CHEVREAU SEVRES FRANVET</v>
      </c>
      <c r="BW463" t="e">
        <f>IF(IF(CE$2="Catégorie",IF(CE$3="Toutes",SUMIFS('Étape 1 - à remplir'!$F$31:$F$400,'Étape 1 - à remplir'!$E$31:$E$400,MASQ2!BV463,'Étape 1 - à remplir'!$G$31:$G$400,"lots"),SUMIFS('Étape 1 - à remplir'!$F$31:$F$400,'Étape 1 - à remplir'!$E$31:$E$400,MASQ2!BV463,'Étape 1 - à remplir'!$C$31:$C$400,CE$3)),IF(CE$2="Âge",IF(CE$3="Tous",SUMIFS('Étape 1 - à remplir'!$F$31:$F$400,'Étape 1 - à remplir'!$E$31:$E$400,MASQ2!BV463,'Étape 1 - à remplir'!$G$31:$G$400,"lots"),SUMIFS('Étape 1 - à remplir'!$F$31:$F$400,'Étape 1 - à remplir'!$E$31:$E$400,MASQ2!BV463,'Étape 1 - à remplir'!$P$31:$P$400,CE$3,'Étape 1 - à remplir'!$G$31:$G$400,"lots")),IF(CE$2="Atelier",IF(CE$3="Tous",SUMIFS('Étape 1 - à remplir'!$F$31:$F$400,'Étape 1 - à remplir'!$E$31:$E$400,MASQ2!BV463,'Étape 1 - à remplir'!$G$31:$G$400,"lots"),SUMIFS('Étape 1 - à remplir'!$F$31:$F$400,'Étape 1 - à remplir'!$E$31:$E$400,MASQ2!BV463,'Étape 1 - à remplir'!$O$31:$O$400,CE$3,'Étape 1 - à remplir'!$G$31:$G$400,"lots")),IF(CE$2="Espèce",IF(CE$3="Toutes",SUMIFS('Étape 1 - à remplir'!$F$31:$F$400,'Étape 1 - à remplir'!$E$31:$E$400,MASQ2!BV463,'Étape 1 - à remplir'!$G$31:$G$400,"lots"),SUMIFS('Étape 1 - à remplir'!$F$31:$F$400,'Étape 1 - à remplir'!$E$31:$E$400,MASQ2!BV463,'Étape 1 - à remplir'!$N$31:$N$400,CE$3,'Étape 1 - à remplir'!$G$31:$G$400,"lots"))))))=0,NA(),IF(CE$2="Catégorie",IF(CE$3="Toutes",SUMIFS('Étape 1 - à remplir'!$F$31:$F$400,'Étape 1 - à remplir'!$E$31:$E$400,MASQ2!BV463,'Étape 1 - à remplir'!$G$31:$G$400,"lots"),SUMIFS('Étape 1 - à remplir'!$F$31:$F$400,'Étape 1 - à remplir'!$E$31:$E$400,MASQ2!BV463,'Étape 1 - à remplir'!$C$31:$C$400,CE$3)),IF(CE$2="Âge",IF(CE$3="Tous",SUMIFS('Étape 1 - à remplir'!$F$31:$F$400,'Étape 1 - à remplir'!$E$31:$E$400,MASQ2!BV463,'Étape 1 - à remplir'!$G$31:$G$400,"lots"),SUMIFS('Étape 1 - à remplir'!$F$31:$F$400,'Étape 1 - à remplir'!$E$31:$E$400,MASQ2!BV463,'Étape 1 - à remplir'!$P$31:$P$400,CE$3,'Étape 1 - à remplir'!$G$31:$G$400,"lots")),IF(CE$2="Atelier",IF(CE$3="Tous",SUMIFS('Étape 1 - à remplir'!$F$31:$F$400,'Étape 1 - à remplir'!$E$31:$E$400,MASQ2!BV463,'Étape 1 - à remplir'!$G$31:$G$400,"lots"),SUMIFS('Étape 1 - à remplir'!$F$31:$F$400,'Étape 1 - à remplir'!$E$31:$E$400,MASQ2!BV463,'Étape 1 - à remplir'!$O$31:$O$400,CE$3,'Étape 1 - à remplir'!$G$31:$G$400,"lots")),IF(CE$2="Espèce",IF(CE$3="Toutes",SUMIFS('Étape 1 - à remplir'!$F$31:$F$400,'Étape 1 - à remplir'!$E$31:$E$400,MASQ2!BV463,'Étape 1 - à remplir'!$G$31:$G$400,"lots"),SUMIFS('Étape 1 - à remplir'!$F$31:$F$400,'Étape 1 - à remplir'!$E$31:$E$400,MASQ2!BV463,'Étape 1 - à remplir'!$N$31:$N$400,CE$3,'Étape 1 - à remplir'!$G$31:$G$400,"lots")))))))</f>
        <v>#N/A</v>
      </c>
      <c r="BX463">
        <f t="shared" si="308"/>
        <v>0</v>
      </c>
      <c r="BY463" t="str">
        <f t="shared" si="292"/>
        <v>Sulfadiméthoxine</v>
      </c>
      <c r="BZ463" t="str">
        <f t="shared" si="293"/>
        <v/>
      </c>
      <c r="CA463" t="str">
        <f t="shared" si="294"/>
        <v/>
      </c>
      <c r="CB463" t="str">
        <f t="shared" si="295"/>
        <v>Sulfamides</v>
      </c>
      <c r="CC463" t="str">
        <f t="shared" si="296"/>
        <v/>
      </c>
      <c r="CD463" s="63" t="str">
        <f t="shared" si="297"/>
        <v/>
      </c>
      <c r="CG463" s="42">
        <v>460</v>
      </c>
      <c r="CH463" s="42" t="e">
        <f t="shared" si="288"/>
        <v>#N/A</v>
      </c>
      <c r="CI463" s="63" t="e">
        <f t="shared" si="289"/>
        <v>#N/A</v>
      </c>
      <c r="DM463" s="63"/>
      <c r="EA463" s="194" t="str">
        <f t="shared" ca="1" si="298"/>
        <v/>
      </c>
      <c r="EB463" s="226" t="str">
        <f>IFERROR(IF(ED463=0,"",COUNTIF(ED$4:ED$600,"&gt;"&amp;ED463)+COUNTIF(ED$4:ED463,ED463)),"")</f>
        <v/>
      </c>
      <c r="EC463" t="str">
        <f t="shared" si="299"/>
        <v>SULFADIMETHOXINE 100-CR LAPIN-VOLAILLE-PORC ET AGNEAU-CHEVREAU SEVRES FRANVET</v>
      </c>
      <c r="ED463" t="e">
        <f>IF(IF(EL$2="Catégorie",IF(EL$3="Toutes",SUMIFS('Étape 1 - à remplir'!$F$31:$F$400,'Étape 1 - à remplir'!$E$31:$E$400,MASQ2!EC463,'Étape 1 - à remplir'!$G$31:$G$400,"kg"),SUMIFS('Étape 1 - à remplir'!$F$31:$F$400,'Étape 1 - à remplir'!$E$31:$E$400,MASQ2!EC463,'Étape 1 - à remplir'!$C$31:$C$400,EL$3)),IF(EL$2="Âge",IF(EL$3="Tous",SUMIFS('Étape 1 - à remplir'!$F$31:$F$400,'Étape 1 - à remplir'!$E$31:$E$400,MASQ2!EC463,'Étape 1 - à remplir'!$G$31:$G$400,"kg"),SUMIFS('Étape 1 - à remplir'!$F$31:$F$400,'Étape 1 - à remplir'!$E$31:$E$400,MASQ2!EC463,'Étape 1 - à remplir'!$P$31:$P$400,EL$3,'Étape 1 - à remplir'!$G$31:$G$400,"kg")),IF(EL$2="Atelier",IF(EL$3="Tous",SUMIFS('Étape 1 - à remplir'!$F$31:$F$400,'Étape 1 - à remplir'!$E$31:$E$400,MASQ2!EC463,'Étape 1 - à remplir'!$G$31:$G$400,"kg"),SUMIFS('Étape 1 - à remplir'!$F$31:$F$400,'Étape 1 - à remplir'!$E$31:$E$400,MASQ2!EC463,'Étape 1 - à remplir'!$O$31:$O$400,EL$3,'Étape 1 - à remplir'!$G$31:$G$400,"kg")),IF(EL$2="Espèce",IF(EL$3="Toutes",SUMIFS('Étape 1 - à remplir'!$F$31:$F$400,'Étape 1 - à remplir'!$E$31:$E$400,MASQ2!EC463,'Étape 1 - à remplir'!$G$31:$G$400,"kg"),SUMIFS('Étape 1 - à remplir'!$F$31:$F$400,'Étape 1 - à remplir'!$E$31:$E$400,MASQ2!EC463,'Étape 1 - à remplir'!$N$31:$N$400,EL$3,'Étape 1 - à remplir'!$G$31:$G$400,"kg"))))))=0,NA(),IF(EL$2="Catégorie",IF(EL$3="Toutes",SUMIFS('Étape 1 - à remplir'!$F$31:$F$400,'Étape 1 - à remplir'!$E$31:$E$400,MASQ2!EC463,'Étape 1 - à remplir'!$G$31:$G$400,"kg"),SUMIFS('Étape 1 - à remplir'!$F$31:$F$400,'Étape 1 - à remplir'!$E$31:$E$400,MASQ2!EC463,'Étape 1 - à remplir'!$C$31:$C$400,EL$3)),IF(EL$2="Âge",IF(EL$3="Tous",SUMIFS('Étape 1 - à remplir'!$F$31:$F$400,'Étape 1 - à remplir'!$E$31:$E$400,MASQ2!EC463,'Étape 1 - à remplir'!$G$31:$G$400,"kg"),SUMIFS('Étape 1 - à remplir'!$F$31:$F$400,'Étape 1 - à remplir'!$E$31:$E$400,MASQ2!EC463,'Étape 1 - à remplir'!$P$31:$P$400,EL$3,'Étape 1 - à remplir'!$G$31:$G$400,"kg")),IF(EL$2="Atelier",IF(EL$3="Tous",SUMIFS('Étape 1 - à remplir'!$F$31:$F$400,'Étape 1 - à remplir'!$E$31:$E$400,MASQ2!EC463,'Étape 1 - à remplir'!$G$31:$G$400,"kg"),SUMIFS('Étape 1 - à remplir'!$F$31:$F$400,'Étape 1 - à remplir'!$E$31:$E$400,MASQ2!EC463,'Étape 1 - à remplir'!$O$31:$O$400,EL$3,'Étape 1 - à remplir'!$G$31:$G$400,"kg")),IF(EL$2="Espèce",IF(EL$3="Toutes",SUMIFS('Étape 1 - à remplir'!$F$31:$F$400,'Étape 1 - à remplir'!$E$31:$E$400,MASQ2!EC463,'Étape 1 - à remplir'!$G$31:$G$400,"kg"),SUMIFS('Étape 1 - à remplir'!$F$31:$F$400,'Étape 1 - à remplir'!$E$31:$E$400,MASQ2!EC463,'Étape 1 - à remplir'!$N$31:$N$400,EL$3,'Étape 1 - à remplir'!$G$31:$G$400,"kg")))))))</f>
        <v>#N/A</v>
      </c>
      <c r="EE463" s="76">
        <f t="shared" si="309"/>
        <v>0</v>
      </c>
      <c r="EF463" t="str">
        <f t="shared" si="300"/>
        <v>Sulfadiméthoxine</v>
      </c>
      <c r="EG463" t="str">
        <f t="shared" si="301"/>
        <v/>
      </c>
      <c r="EH463" t="str">
        <f t="shared" si="302"/>
        <v/>
      </c>
      <c r="EI463" t="str">
        <f t="shared" si="303"/>
        <v>Sulfamides</v>
      </c>
      <c r="EJ463" t="str">
        <f t="shared" si="304"/>
        <v/>
      </c>
      <c r="EK463" s="63" t="str">
        <f t="shared" si="305"/>
        <v/>
      </c>
      <c r="EN463" s="42">
        <v>460</v>
      </c>
      <c r="EO463" t="e">
        <f t="shared" si="311"/>
        <v>#N/A</v>
      </c>
      <c r="EP463" s="63" t="e">
        <f t="shared" si="312"/>
        <v>#N/A</v>
      </c>
      <c r="FT463" s="63"/>
    </row>
    <row r="464" spans="2:176" x14ac:dyDescent="0.3">
      <c r="B464" s="42"/>
      <c r="M464" s="194" t="str">
        <f ca="1">INDEX(Données_ATB!BD:BU,MATCH(MASQ2!O464,Données_ATB!BD:BD,0),18)</f>
        <v/>
      </c>
      <c r="N464" s="14" t="str">
        <f>IFERROR(IF(Q464=0,"",COUNTIF(Q$4:Q$600,"&gt;"&amp;Q464)+COUNTIF(Q$4:Q464,Q464)),"")</f>
        <v/>
      </c>
      <c r="O464" t="str">
        <f>Données_ATB!BD463</f>
        <v>SULFADIMETHOXINE-TRIMETHOPRIME 62,5-12,5 PORC ET VEAU-AGNEAU-CHEVREAU SEVRES SANTAMIX</v>
      </c>
      <c r="P464" t="e">
        <f>IF(IF(X$2="Catégorie",IF(X$3="Toutes",SUMIFS('Étape 1 - à remplir'!$F$31:$F$400,'Étape 1 - à remplir'!$E$31:$E$400,MASQ2!O464,'Étape 1 - à remplir'!$G$31:$G$400,"animaux"),SUMIFS('Étape 1 - à remplir'!$F$31:$F$400,'Étape 1 - à remplir'!$E$31:$E$400,MASQ2!O464,'Étape 1 - à remplir'!$C$31:$C$400,X$3)),IF(X$2="Âge",IF(X$3="Tous",SUMIFS('Étape 1 - à remplir'!$F$31:$F$400,'Étape 1 - à remplir'!$E$31:$E$400,MASQ2!O464,'Étape 1 - à remplir'!$G$31:$G$400,"animaux"),SUMIFS('Étape 1 - à remplir'!$F$31:$F$400,'Étape 1 - à remplir'!$E$31:$E$400,MASQ2!O464,'Étape 1 - à remplir'!$P$31:$P$400,X$3)),IF(X$2="Atelier",IF(X$3="Tous",SUMIFS('Étape 1 - à remplir'!$F$31:$F$400,'Étape 1 - à remplir'!$E$31:$E$400,MASQ2!O464,'Étape 1 - à remplir'!$G$31:$G$400,"animaux"),SUMIFS('Étape 1 - à remplir'!$F$31:$F$400,'Étape 1 - à remplir'!$E$31:$E$400,MASQ2!O464,'Étape 1 - à remplir'!$O$31:$O$400,X$3)),IF(X$2="Espèce",IF(X$3="Toutes",SUMIFS('Étape 1 - à remplir'!$F$31:$F$400,'Étape 1 - à remplir'!$E$31:$E$400,MASQ2!O464,'Étape 1 - à remplir'!$G$31:$G$400,"animaux"),SUMIFS('Étape 1 - à remplir'!$F$31:$F$400,'Étape 1 - à remplir'!$E$31:$E$400,MASQ2!O464,'Étape 1 - à remplir'!$N$31:$N$400,X$3))))))=0,NA(),IF(X$2="Catégorie",IF(X$3="Toutes",SUMIFS('Étape 1 - à remplir'!$F$31:$F$400,'Étape 1 - à remplir'!$E$31:$E$400,MASQ2!O464,'Étape 1 - à remplir'!$G$31:$G$400,"animaux"),SUMIFS('Étape 1 - à remplir'!$F$31:$F$400,'Étape 1 - à remplir'!$E$31:$E$400,MASQ2!O464,'Étape 1 - à remplir'!$C$31:$C$400,X$3)),IF(X$2="Âge",IF(X$3="Tous",SUMIFS('Étape 1 - à remplir'!$F$31:$F$400,'Étape 1 - à remplir'!$E$31:$E$400,MASQ2!O464,'Étape 1 - à remplir'!$G$31:$G$400,"animaux"),SUMIFS('Étape 1 - à remplir'!$F$31:$F$400,'Étape 1 - à remplir'!$E$31:$E$400,MASQ2!O464,'Étape 1 - à remplir'!$P$31:$P$400,X$3)),IF(X$2="Atelier",IF(X$3="Tous",SUMIFS('Étape 1 - à remplir'!$F$31:$F$400,'Étape 1 - à remplir'!$E$31:$E$400,MASQ2!O464,'Étape 1 - à remplir'!$G$31:$G$400,"animaux"),SUMIFS('Étape 1 - à remplir'!$F$31:$F$400,'Étape 1 - à remplir'!$E$31:$E$400,MASQ2!O464,'Étape 1 - à remplir'!$O$31:$O$400,X$3)),IF(X$2="Espèce",IF(X$3="Toutes",SUMIFS('Étape 1 - à remplir'!$F$31:$F$400,'Étape 1 - à remplir'!$E$31:$E$400,MASQ2!O464,'Étape 1 - à remplir'!$G$31:$G$400,"animaux"),SUMIFS('Étape 1 - à remplir'!$F$31:$F$400,'Étape 1 - à remplir'!$E$31:$E$400,MASQ2!O464,'Étape 1 - à remplir'!$N$31:$N$400,X$3)))))))</f>
        <v>#N/A</v>
      </c>
      <c r="Q464" s="63">
        <f t="shared" si="310"/>
        <v>0</v>
      </c>
      <c r="R464" t="str">
        <f>Données_ATB!BM463</f>
        <v>Sulfadiméthoxine</v>
      </c>
      <c r="S464" t="str">
        <f>Données_ATB!BN463</f>
        <v>Triméthoprime</v>
      </c>
      <c r="T464" s="63" t="str">
        <f>Données_ATB!BO463</f>
        <v/>
      </c>
      <c r="U464" s="42" t="str">
        <f>Données_ATB!BQ463</f>
        <v>Sulfamides</v>
      </c>
      <c r="V464" t="str">
        <f>Données_ATB!BR463</f>
        <v>Trimethoprime</v>
      </c>
      <c r="W464" s="63" t="str">
        <f>Données_ATB!BS463</f>
        <v/>
      </c>
      <c r="Z464" s="42">
        <v>461</v>
      </c>
      <c r="AA464" t="e">
        <f t="shared" si="306"/>
        <v>#N/A</v>
      </c>
      <c r="AB464" s="63" t="e">
        <f t="shared" si="307"/>
        <v>#N/A</v>
      </c>
      <c r="BF464" s="63"/>
      <c r="BT464" s="194" t="str">
        <f t="shared" ca="1" si="290"/>
        <v/>
      </c>
      <c r="BU464" s="219" t="str">
        <f>IFERROR(IF(BX464=0,"",COUNTIF(BX$4:BX$600,"&gt;"&amp;BX464)+COUNTIF(BX$4:BX464,BX464)),"")</f>
        <v/>
      </c>
      <c r="BV464" s="42" t="str">
        <f t="shared" si="291"/>
        <v>SULFADIMETHOXINE-TRIMETHOPRIME 62,5-12,5 PORC ET VEAU-AGNEAU-CHEVREAU SEVRES SANTAMIX</v>
      </c>
      <c r="BW464" t="e">
        <f>IF(IF(CE$2="Catégorie",IF(CE$3="Toutes",SUMIFS('Étape 1 - à remplir'!$F$31:$F$400,'Étape 1 - à remplir'!$E$31:$E$400,MASQ2!BV464,'Étape 1 - à remplir'!$G$31:$G$400,"lots"),SUMIFS('Étape 1 - à remplir'!$F$31:$F$400,'Étape 1 - à remplir'!$E$31:$E$400,MASQ2!BV464,'Étape 1 - à remplir'!$C$31:$C$400,CE$3)),IF(CE$2="Âge",IF(CE$3="Tous",SUMIFS('Étape 1 - à remplir'!$F$31:$F$400,'Étape 1 - à remplir'!$E$31:$E$400,MASQ2!BV464,'Étape 1 - à remplir'!$G$31:$G$400,"lots"),SUMIFS('Étape 1 - à remplir'!$F$31:$F$400,'Étape 1 - à remplir'!$E$31:$E$400,MASQ2!BV464,'Étape 1 - à remplir'!$P$31:$P$400,CE$3,'Étape 1 - à remplir'!$G$31:$G$400,"lots")),IF(CE$2="Atelier",IF(CE$3="Tous",SUMIFS('Étape 1 - à remplir'!$F$31:$F$400,'Étape 1 - à remplir'!$E$31:$E$400,MASQ2!BV464,'Étape 1 - à remplir'!$G$31:$G$400,"lots"),SUMIFS('Étape 1 - à remplir'!$F$31:$F$400,'Étape 1 - à remplir'!$E$31:$E$400,MASQ2!BV464,'Étape 1 - à remplir'!$O$31:$O$400,CE$3,'Étape 1 - à remplir'!$G$31:$G$400,"lots")),IF(CE$2="Espèce",IF(CE$3="Toutes",SUMIFS('Étape 1 - à remplir'!$F$31:$F$400,'Étape 1 - à remplir'!$E$31:$E$400,MASQ2!BV464,'Étape 1 - à remplir'!$G$31:$G$400,"lots"),SUMIFS('Étape 1 - à remplir'!$F$31:$F$400,'Étape 1 - à remplir'!$E$31:$E$400,MASQ2!BV464,'Étape 1 - à remplir'!$N$31:$N$400,CE$3,'Étape 1 - à remplir'!$G$31:$G$400,"lots"))))))=0,NA(),IF(CE$2="Catégorie",IF(CE$3="Toutes",SUMIFS('Étape 1 - à remplir'!$F$31:$F$400,'Étape 1 - à remplir'!$E$31:$E$400,MASQ2!BV464,'Étape 1 - à remplir'!$G$31:$G$400,"lots"),SUMIFS('Étape 1 - à remplir'!$F$31:$F$400,'Étape 1 - à remplir'!$E$31:$E$400,MASQ2!BV464,'Étape 1 - à remplir'!$C$31:$C$400,CE$3)),IF(CE$2="Âge",IF(CE$3="Tous",SUMIFS('Étape 1 - à remplir'!$F$31:$F$400,'Étape 1 - à remplir'!$E$31:$E$400,MASQ2!BV464,'Étape 1 - à remplir'!$G$31:$G$400,"lots"),SUMIFS('Étape 1 - à remplir'!$F$31:$F$400,'Étape 1 - à remplir'!$E$31:$E$400,MASQ2!BV464,'Étape 1 - à remplir'!$P$31:$P$400,CE$3,'Étape 1 - à remplir'!$G$31:$G$400,"lots")),IF(CE$2="Atelier",IF(CE$3="Tous",SUMIFS('Étape 1 - à remplir'!$F$31:$F$400,'Étape 1 - à remplir'!$E$31:$E$400,MASQ2!BV464,'Étape 1 - à remplir'!$G$31:$G$400,"lots"),SUMIFS('Étape 1 - à remplir'!$F$31:$F$400,'Étape 1 - à remplir'!$E$31:$E$400,MASQ2!BV464,'Étape 1 - à remplir'!$O$31:$O$400,CE$3,'Étape 1 - à remplir'!$G$31:$G$400,"lots")),IF(CE$2="Espèce",IF(CE$3="Toutes",SUMIFS('Étape 1 - à remplir'!$F$31:$F$400,'Étape 1 - à remplir'!$E$31:$E$400,MASQ2!BV464,'Étape 1 - à remplir'!$G$31:$G$400,"lots"),SUMIFS('Étape 1 - à remplir'!$F$31:$F$400,'Étape 1 - à remplir'!$E$31:$E$400,MASQ2!BV464,'Étape 1 - à remplir'!$N$31:$N$400,CE$3,'Étape 1 - à remplir'!$G$31:$G$400,"lots")))))))</f>
        <v>#N/A</v>
      </c>
      <c r="BX464">
        <f t="shared" si="308"/>
        <v>0</v>
      </c>
      <c r="BY464" t="str">
        <f t="shared" si="292"/>
        <v>Sulfadiméthoxine</v>
      </c>
      <c r="BZ464" t="str">
        <f t="shared" si="293"/>
        <v>Triméthoprime</v>
      </c>
      <c r="CA464" t="str">
        <f t="shared" si="294"/>
        <v/>
      </c>
      <c r="CB464" t="str">
        <f t="shared" si="295"/>
        <v>Sulfamides</v>
      </c>
      <c r="CC464" t="str">
        <f t="shared" si="296"/>
        <v>Trimethoprime</v>
      </c>
      <c r="CD464" s="63" t="str">
        <f t="shared" si="297"/>
        <v/>
      </c>
      <c r="CG464" s="42">
        <v>461</v>
      </c>
      <c r="CH464" s="42" t="e">
        <f t="shared" si="288"/>
        <v>#N/A</v>
      </c>
      <c r="CI464" s="63" t="e">
        <f t="shared" si="289"/>
        <v>#N/A</v>
      </c>
      <c r="DM464" s="63"/>
      <c r="EA464" s="194" t="str">
        <f t="shared" ca="1" si="298"/>
        <v/>
      </c>
      <c r="EB464" s="226" t="str">
        <f>IFERROR(IF(ED464=0,"",COUNTIF(ED$4:ED$600,"&gt;"&amp;ED464)+COUNTIF(ED$4:ED464,ED464)),"")</f>
        <v/>
      </c>
      <c r="EC464" t="str">
        <f t="shared" si="299"/>
        <v>SULFADIMETHOXINE-TRIMETHOPRIME 62,5-12,5 PORC ET VEAU-AGNEAU-CHEVREAU SEVRES SANTAMIX</v>
      </c>
      <c r="ED464" t="e">
        <f>IF(IF(EL$2="Catégorie",IF(EL$3="Toutes",SUMIFS('Étape 1 - à remplir'!$F$31:$F$400,'Étape 1 - à remplir'!$E$31:$E$400,MASQ2!EC464,'Étape 1 - à remplir'!$G$31:$G$400,"kg"),SUMIFS('Étape 1 - à remplir'!$F$31:$F$400,'Étape 1 - à remplir'!$E$31:$E$400,MASQ2!EC464,'Étape 1 - à remplir'!$C$31:$C$400,EL$3)),IF(EL$2="Âge",IF(EL$3="Tous",SUMIFS('Étape 1 - à remplir'!$F$31:$F$400,'Étape 1 - à remplir'!$E$31:$E$400,MASQ2!EC464,'Étape 1 - à remplir'!$G$31:$G$400,"kg"),SUMIFS('Étape 1 - à remplir'!$F$31:$F$400,'Étape 1 - à remplir'!$E$31:$E$400,MASQ2!EC464,'Étape 1 - à remplir'!$P$31:$P$400,EL$3,'Étape 1 - à remplir'!$G$31:$G$400,"kg")),IF(EL$2="Atelier",IF(EL$3="Tous",SUMIFS('Étape 1 - à remplir'!$F$31:$F$400,'Étape 1 - à remplir'!$E$31:$E$400,MASQ2!EC464,'Étape 1 - à remplir'!$G$31:$G$400,"kg"),SUMIFS('Étape 1 - à remplir'!$F$31:$F$400,'Étape 1 - à remplir'!$E$31:$E$400,MASQ2!EC464,'Étape 1 - à remplir'!$O$31:$O$400,EL$3,'Étape 1 - à remplir'!$G$31:$G$400,"kg")),IF(EL$2="Espèce",IF(EL$3="Toutes",SUMIFS('Étape 1 - à remplir'!$F$31:$F$400,'Étape 1 - à remplir'!$E$31:$E$400,MASQ2!EC464,'Étape 1 - à remplir'!$G$31:$G$400,"kg"),SUMIFS('Étape 1 - à remplir'!$F$31:$F$400,'Étape 1 - à remplir'!$E$31:$E$400,MASQ2!EC464,'Étape 1 - à remplir'!$N$31:$N$400,EL$3,'Étape 1 - à remplir'!$G$31:$G$400,"kg"))))))=0,NA(),IF(EL$2="Catégorie",IF(EL$3="Toutes",SUMIFS('Étape 1 - à remplir'!$F$31:$F$400,'Étape 1 - à remplir'!$E$31:$E$400,MASQ2!EC464,'Étape 1 - à remplir'!$G$31:$G$400,"kg"),SUMIFS('Étape 1 - à remplir'!$F$31:$F$400,'Étape 1 - à remplir'!$E$31:$E$400,MASQ2!EC464,'Étape 1 - à remplir'!$C$31:$C$400,EL$3)),IF(EL$2="Âge",IF(EL$3="Tous",SUMIFS('Étape 1 - à remplir'!$F$31:$F$400,'Étape 1 - à remplir'!$E$31:$E$400,MASQ2!EC464,'Étape 1 - à remplir'!$G$31:$G$400,"kg"),SUMIFS('Étape 1 - à remplir'!$F$31:$F$400,'Étape 1 - à remplir'!$E$31:$E$400,MASQ2!EC464,'Étape 1 - à remplir'!$P$31:$P$400,EL$3,'Étape 1 - à remplir'!$G$31:$G$400,"kg")),IF(EL$2="Atelier",IF(EL$3="Tous",SUMIFS('Étape 1 - à remplir'!$F$31:$F$400,'Étape 1 - à remplir'!$E$31:$E$400,MASQ2!EC464,'Étape 1 - à remplir'!$G$31:$G$400,"kg"),SUMIFS('Étape 1 - à remplir'!$F$31:$F$400,'Étape 1 - à remplir'!$E$31:$E$400,MASQ2!EC464,'Étape 1 - à remplir'!$O$31:$O$400,EL$3,'Étape 1 - à remplir'!$G$31:$G$400,"kg")),IF(EL$2="Espèce",IF(EL$3="Toutes",SUMIFS('Étape 1 - à remplir'!$F$31:$F$400,'Étape 1 - à remplir'!$E$31:$E$400,MASQ2!EC464,'Étape 1 - à remplir'!$G$31:$G$400,"kg"),SUMIFS('Étape 1 - à remplir'!$F$31:$F$400,'Étape 1 - à remplir'!$E$31:$E$400,MASQ2!EC464,'Étape 1 - à remplir'!$N$31:$N$400,EL$3,'Étape 1 - à remplir'!$G$31:$G$400,"kg")))))))</f>
        <v>#N/A</v>
      </c>
      <c r="EE464" s="76">
        <f t="shared" si="309"/>
        <v>0</v>
      </c>
      <c r="EF464" t="str">
        <f t="shared" si="300"/>
        <v>Sulfadiméthoxine</v>
      </c>
      <c r="EG464" t="str">
        <f t="shared" si="301"/>
        <v>Triméthoprime</v>
      </c>
      <c r="EH464" t="str">
        <f t="shared" si="302"/>
        <v/>
      </c>
      <c r="EI464" t="str">
        <f t="shared" si="303"/>
        <v>Sulfamides</v>
      </c>
      <c r="EJ464" t="str">
        <f t="shared" si="304"/>
        <v>Trimethoprime</v>
      </c>
      <c r="EK464" s="63" t="str">
        <f t="shared" si="305"/>
        <v/>
      </c>
      <c r="EN464" s="42">
        <v>461</v>
      </c>
      <c r="EO464" t="e">
        <f t="shared" si="311"/>
        <v>#N/A</v>
      </c>
      <c r="EP464" s="63" t="e">
        <f t="shared" si="312"/>
        <v>#N/A</v>
      </c>
      <c r="FT464" s="63"/>
    </row>
    <row r="465" spans="2:176" x14ac:dyDescent="0.3">
      <c r="B465" s="42"/>
      <c r="M465" s="194" t="str">
        <f ca="1">INDEX(Données_ATB!BD:BU,MATCH(MASQ2!O465,Données_ATB!BD:BD,0),18)</f>
        <v/>
      </c>
      <c r="N465" s="14" t="str">
        <f>IFERROR(IF(Q465=0,"",COUNTIF(Q$4:Q$600,"&gt;"&amp;Q465)+COUNTIF(Q$4:Q465,Q465)),"")</f>
        <v/>
      </c>
      <c r="O465" t="str">
        <f>Données_ATB!BD464</f>
        <v>SULFALON</v>
      </c>
      <c r="P465" t="e">
        <f>IF(IF(X$2="Catégorie",IF(X$3="Toutes",SUMIFS('Étape 1 - à remplir'!$F$31:$F$400,'Étape 1 - à remplir'!$E$31:$E$400,MASQ2!O465,'Étape 1 - à remplir'!$G$31:$G$400,"animaux"),SUMIFS('Étape 1 - à remplir'!$F$31:$F$400,'Étape 1 - à remplir'!$E$31:$E$400,MASQ2!O465,'Étape 1 - à remplir'!$C$31:$C$400,X$3)),IF(X$2="Âge",IF(X$3="Tous",SUMIFS('Étape 1 - à remplir'!$F$31:$F$400,'Étape 1 - à remplir'!$E$31:$E$400,MASQ2!O465,'Étape 1 - à remplir'!$G$31:$G$400,"animaux"),SUMIFS('Étape 1 - à remplir'!$F$31:$F$400,'Étape 1 - à remplir'!$E$31:$E$400,MASQ2!O465,'Étape 1 - à remplir'!$P$31:$P$400,X$3)),IF(X$2="Atelier",IF(X$3="Tous",SUMIFS('Étape 1 - à remplir'!$F$31:$F$400,'Étape 1 - à remplir'!$E$31:$E$400,MASQ2!O465,'Étape 1 - à remplir'!$G$31:$G$400,"animaux"),SUMIFS('Étape 1 - à remplir'!$F$31:$F$400,'Étape 1 - à remplir'!$E$31:$E$400,MASQ2!O465,'Étape 1 - à remplir'!$O$31:$O$400,X$3)),IF(X$2="Espèce",IF(X$3="Toutes",SUMIFS('Étape 1 - à remplir'!$F$31:$F$400,'Étape 1 - à remplir'!$E$31:$E$400,MASQ2!O465,'Étape 1 - à remplir'!$G$31:$G$400,"animaux"),SUMIFS('Étape 1 - à remplir'!$F$31:$F$400,'Étape 1 - à remplir'!$E$31:$E$400,MASQ2!O465,'Étape 1 - à remplir'!$N$31:$N$400,X$3))))))=0,NA(),IF(X$2="Catégorie",IF(X$3="Toutes",SUMIFS('Étape 1 - à remplir'!$F$31:$F$400,'Étape 1 - à remplir'!$E$31:$E$400,MASQ2!O465,'Étape 1 - à remplir'!$G$31:$G$400,"animaux"),SUMIFS('Étape 1 - à remplir'!$F$31:$F$400,'Étape 1 - à remplir'!$E$31:$E$400,MASQ2!O465,'Étape 1 - à remplir'!$C$31:$C$400,X$3)),IF(X$2="Âge",IF(X$3="Tous",SUMIFS('Étape 1 - à remplir'!$F$31:$F$400,'Étape 1 - à remplir'!$E$31:$E$400,MASQ2!O465,'Étape 1 - à remplir'!$G$31:$G$400,"animaux"),SUMIFS('Étape 1 - à remplir'!$F$31:$F$400,'Étape 1 - à remplir'!$E$31:$E$400,MASQ2!O465,'Étape 1 - à remplir'!$P$31:$P$400,X$3)),IF(X$2="Atelier",IF(X$3="Tous",SUMIFS('Étape 1 - à remplir'!$F$31:$F$400,'Étape 1 - à remplir'!$E$31:$E$400,MASQ2!O465,'Étape 1 - à remplir'!$G$31:$G$400,"animaux"),SUMIFS('Étape 1 - à remplir'!$F$31:$F$400,'Étape 1 - à remplir'!$E$31:$E$400,MASQ2!O465,'Étape 1 - à remplir'!$O$31:$O$400,X$3)),IF(X$2="Espèce",IF(X$3="Toutes",SUMIFS('Étape 1 - à remplir'!$F$31:$F$400,'Étape 1 - à remplir'!$E$31:$E$400,MASQ2!O465,'Étape 1 - à remplir'!$G$31:$G$400,"animaux"),SUMIFS('Étape 1 - à remplir'!$F$31:$F$400,'Étape 1 - à remplir'!$E$31:$E$400,MASQ2!O465,'Étape 1 - à remplir'!$N$31:$N$400,X$3)))))))</f>
        <v>#N/A</v>
      </c>
      <c r="Q465" s="63">
        <f t="shared" si="310"/>
        <v>0</v>
      </c>
      <c r="R465" t="str">
        <f>Données_ATB!BM464</f>
        <v>Sulfadiméthoxine</v>
      </c>
      <c r="S465" t="str">
        <f>Données_ATB!BN464</f>
        <v/>
      </c>
      <c r="T465" s="63" t="str">
        <f>Données_ATB!BO464</f>
        <v/>
      </c>
      <c r="U465" s="42" t="str">
        <f>Données_ATB!BQ464</f>
        <v>Sulfamides</v>
      </c>
      <c r="V465" t="str">
        <f>Données_ATB!BR464</f>
        <v/>
      </c>
      <c r="W465" s="63" t="str">
        <f>Données_ATB!BS464</f>
        <v/>
      </c>
      <c r="Z465" s="42">
        <v>462</v>
      </c>
      <c r="AA465" t="e">
        <f t="shared" si="306"/>
        <v>#N/A</v>
      </c>
      <c r="AB465" s="63" t="e">
        <f t="shared" si="307"/>
        <v>#N/A</v>
      </c>
      <c r="BF465" s="63"/>
      <c r="BT465" s="194" t="str">
        <f t="shared" ca="1" si="290"/>
        <v/>
      </c>
      <c r="BU465" s="219" t="str">
        <f>IFERROR(IF(BX465=0,"",COUNTIF(BX$4:BX$600,"&gt;"&amp;BX465)+COUNTIF(BX$4:BX465,BX465)),"")</f>
        <v/>
      </c>
      <c r="BV465" s="42" t="str">
        <f t="shared" si="291"/>
        <v>SULFALON</v>
      </c>
      <c r="BW465" t="e">
        <f>IF(IF(CE$2="Catégorie",IF(CE$3="Toutes",SUMIFS('Étape 1 - à remplir'!$F$31:$F$400,'Étape 1 - à remplir'!$E$31:$E$400,MASQ2!BV465,'Étape 1 - à remplir'!$G$31:$G$400,"lots"),SUMIFS('Étape 1 - à remplir'!$F$31:$F$400,'Étape 1 - à remplir'!$E$31:$E$400,MASQ2!BV465,'Étape 1 - à remplir'!$C$31:$C$400,CE$3)),IF(CE$2="Âge",IF(CE$3="Tous",SUMIFS('Étape 1 - à remplir'!$F$31:$F$400,'Étape 1 - à remplir'!$E$31:$E$400,MASQ2!BV465,'Étape 1 - à remplir'!$G$31:$G$400,"lots"),SUMIFS('Étape 1 - à remplir'!$F$31:$F$400,'Étape 1 - à remplir'!$E$31:$E$400,MASQ2!BV465,'Étape 1 - à remplir'!$P$31:$P$400,CE$3,'Étape 1 - à remplir'!$G$31:$G$400,"lots")),IF(CE$2="Atelier",IF(CE$3="Tous",SUMIFS('Étape 1 - à remplir'!$F$31:$F$400,'Étape 1 - à remplir'!$E$31:$E$400,MASQ2!BV465,'Étape 1 - à remplir'!$G$31:$G$400,"lots"),SUMIFS('Étape 1 - à remplir'!$F$31:$F$400,'Étape 1 - à remplir'!$E$31:$E$400,MASQ2!BV465,'Étape 1 - à remplir'!$O$31:$O$400,CE$3,'Étape 1 - à remplir'!$G$31:$G$400,"lots")),IF(CE$2="Espèce",IF(CE$3="Toutes",SUMIFS('Étape 1 - à remplir'!$F$31:$F$400,'Étape 1 - à remplir'!$E$31:$E$400,MASQ2!BV465,'Étape 1 - à remplir'!$G$31:$G$400,"lots"),SUMIFS('Étape 1 - à remplir'!$F$31:$F$400,'Étape 1 - à remplir'!$E$31:$E$400,MASQ2!BV465,'Étape 1 - à remplir'!$N$31:$N$400,CE$3,'Étape 1 - à remplir'!$G$31:$G$400,"lots"))))))=0,NA(),IF(CE$2="Catégorie",IF(CE$3="Toutes",SUMIFS('Étape 1 - à remplir'!$F$31:$F$400,'Étape 1 - à remplir'!$E$31:$E$400,MASQ2!BV465,'Étape 1 - à remplir'!$G$31:$G$400,"lots"),SUMIFS('Étape 1 - à remplir'!$F$31:$F$400,'Étape 1 - à remplir'!$E$31:$E$400,MASQ2!BV465,'Étape 1 - à remplir'!$C$31:$C$400,CE$3)),IF(CE$2="Âge",IF(CE$3="Tous",SUMIFS('Étape 1 - à remplir'!$F$31:$F$400,'Étape 1 - à remplir'!$E$31:$E$400,MASQ2!BV465,'Étape 1 - à remplir'!$G$31:$G$400,"lots"),SUMIFS('Étape 1 - à remplir'!$F$31:$F$400,'Étape 1 - à remplir'!$E$31:$E$400,MASQ2!BV465,'Étape 1 - à remplir'!$P$31:$P$400,CE$3,'Étape 1 - à remplir'!$G$31:$G$400,"lots")),IF(CE$2="Atelier",IF(CE$3="Tous",SUMIFS('Étape 1 - à remplir'!$F$31:$F$400,'Étape 1 - à remplir'!$E$31:$E$400,MASQ2!BV465,'Étape 1 - à remplir'!$G$31:$G$400,"lots"),SUMIFS('Étape 1 - à remplir'!$F$31:$F$400,'Étape 1 - à remplir'!$E$31:$E$400,MASQ2!BV465,'Étape 1 - à remplir'!$O$31:$O$400,CE$3,'Étape 1 - à remplir'!$G$31:$G$400,"lots")),IF(CE$2="Espèce",IF(CE$3="Toutes",SUMIFS('Étape 1 - à remplir'!$F$31:$F$400,'Étape 1 - à remplir'!$E$31:$E$400,MASQ2!BV465,'Étape 1 - à remplir'!$G$31:$G$400,"lots"),SUMIFS('Étape 1 - à remplir'!$F$31:$F$400,'Étape 1 - à remplir'!$E$31:$E$400,MASQ2!BV465,'Étape 1 - à remplir'!$N$31:$N$400,CE$3,'Étape 1 - à remplir'!$G$31:$G$400,"lots")))))))</f>
        <v>#N/A</v>
      </c>
      <c r="BX465">
        <f t="shared" si="308"/>
        <v>0</v>
      </c>
      <c r="BY465" t="str">
        <f t="shared" si="292"/>
        <v>Sulfadiméthoxine</v>
      </c>
      <c r="BZ465" t="str">
        <f t="shared" si="293"/>
        <v/>
      </c>
      <c r="CA465" t="str">
        <f t="shared" si="294"/>
        <v/>
      </c>
      <c r="CB465" t="str">
        <f t="shared" si="295"/>
        <v>Sulfamides</v>
      </c>
      <c r="CC465" t="str">
        <f t="shared" si="296"/>
        <v/>
      </c>
      <c r="CD465" s="63" t="str">
        <f t="shared" si="297"/>
        <v/>
      </c>
      <c r="CG465" s="42">
        <v>462</v>
      </c>
      <c r="CH465" s="42" t="e">
        <f t="shared" si="288"/>
        <v>#N/A</v>
      </c>
      <c r="CI465" s="63" t="e">
        <f t="shared" si="289"/>
        <v>#N/A</v>
      </c>
      <c r="DM465" s="63"/>
      <c r="EA465" s="194" t="str">
        <f t="shared" ca="1" si="298"/>
        <v/>
      </c>
      <c r="EB465" s="226" t="str">
        <f>IFERROR(IF(ED465=0,"",COUNTIF(ED$4:ED$600,"&gt;"&amp;ED465)+COUNTIF(ED$4:ED465,ED465)),"")</f>
        <v/>
      </c>
      <c r="EC465" t="str">
        <f t="shared" si="299"/>
        <v>SULFALON</v>
      </c>
      <c r="ED465" t="e">
        <f>IF(IF(EL$2="Catégorie",IF(EL$3="Toutes",SUMIFS('Étape 1 - à remplir'!$F$31:$F$400,'Étape 1 - à remplir'!$E$31:$E$400,MASQ2!EC465,'Étape 1 - à remplir'!$G$31:$G$400,"kg"),SUMIFS('Étape 1 - à remplir'!$F$31:$F$400,'Étape 1 - à remplir'!$E$31:$E$400,MASQ2!EC465,'Étape 1 - à remplir'!$C$31:$C$400,EL$3)),IF(EL$2="Âge",IF(EL$3="Tous",SUMIFS('Étape 1 - à remplir'!$F$31:$F$400,'Étape 1 - à remplir'!$E$31:$E$400,MASQ2!EC465,'Étape 1 - à remplir'!$G$31:$G$400,"kg"),SUMIFS('Étape 1 - à remplir'!$F$31:$F$400,'Étape 1 - à remplir'!$E$31:$E$400,MASQ2!EC465,'Étape 1 - à remplir'!$P$31:$P$400,EL$3,'Étape 1 - à remplir'!$G$31:$G$400,"kg")),IF(EL$2="Atelier",IF(EL$3="Tous",SUMIFS('Étape 1 - à remplir'!$F$31:$F$400,'Étape 1 - à remplir'!$E$31:$E$400,MASQ2!EC465,'Étape 1 - à remplir'!$G$31:$G$400,"kg"),SUMIFS('Étape 1 - à remplir'!$F$31:$F$400,'Étape 1 - à remplir'!$E$31:$E$400,MASQ2!EC465,'Étape 1 - à remplir'!$O$31:$O$400,EL$3,'Étape 1 - à remplir'!$G$31:$G$400,"kg")),IF(EL$2="Espèce",IF(EL$3="Toutes",SUMIFS('Étape 1 - à remplir'!$F$31:$F$400,'Étape 1 - à remplir'!$E$31:$E$400,MASQ2!EC465,'Étape 1 - à remplir'!$G$31:$G$400,"kg"),SUMIFS('Étape 1 - à remplir'!$F$31:$F$400,'Étape 1 - à remplir'!$E$31:$E$400,MASQ2!EC465,'Étape 1 - à remplir'!$N$31:$N$400,EL$3,'Étape 1 - à remplir'!$G$31:$G$400,"kg"))))))=0,NA(),IF(EL$2="Catégorie",IF(EL$3="Toutes",SUMIFS('Étape 1 - à remplir'!$F$31:$F$400,'Étape 1 - à remplir'!$E$31:$E$400,MASQ2!EC465,'Étape 1 - à remplir'!$G$31:$G$400,"kg"),SUMIFS('Étape 1 - à remplir'!$F$31:$F$400,'Étape 1 - à remplir'!$E$31:$E$400,MASQ2!EC465,'Étape 1 - à remplir'!$C$31:$C$400,EL$3)),IF(EL$2="Âge",IF(EL$3="Tous",SUMIFS('Étape 1 - à remplir'!$F$31:$F$400,'Étape 1 - à remplir'!$E$31:$E$400,MASQ2!EC465,'Étape 1 - à remplir'!$G$31:$G$400,"kg"),SUMIFS('Étape 1 - à remplir'!$F$31:$F$400,'Étape 1 - à remplir'!$E$31:$E$400,MASQ2!EC465,'Étape 1 - à remplir'!$P$31:$P$400,EL$3,'Étape 1 - à remplir'!$G$31:$G$400,"kg")),IF(EL$2="Atelier",IF(EL$3="Tous",SUMIFS('Étape 1 - à remplir'!$F$31:$F$400,'Étape 1 - à remplir'!$E$31:$E$400,MASQ2!EC465,'Étape 1 - à remplir'!$G$31:$G$400,"kg"),SUMIFS('Étape 1 - à remplir'!$F$31:$F$400,'Étape 1 - à remplir'!$E$31:$E$400,MASQ2!EC465,'Étape 1 - à remplir'!$O$31:$O$400,EL$3,'Étape 1 - à remplir'!$G$31:$G$400,"kg")),IF(EL$2="Espèce",IF(EL$3="Toutes",SUMIFS('Étape 1 - à remplir'!$F$31:$F$400,'Étape 1 - à remplir'!$E$31:$E$400,MASQ2!EC465,'Étape 1 - à remplir'!$G$31:$G$400,"kg"),SUMIFS('Étape 1 - à remplir'!$F$31:$F$400,'Étape 1 - à remplir'!$E$31:$E$400,MASQ2!EC465,'Étape 1 - à remplir'!$N$31:$N$400,EL$3,'Étape 1 - à remplir'!$G$31:$G$400,"kg")))))))</f>
        <v>#N/A</v>
      </c>
      <c r="EE465" s="76">
        <f t="shared" si="309"/>
        <v>0</v>
      </c>
      <c r="EF465" t="str">
        <f t="shared" si="300"/>
        <v>Sulfadiméthoxine</v>
      </c>
      <c r="EG465" t="str">
        <f t="shared" si="301"/>
        <v/>
      </c>
      <c r="EH465" t="str">
        <f t="shared" si="302"/>
        <v/>
      </c>
      <c r="EI465" t="str">
        <f t="shared" si="303"/>
        <v>Sulfamides</v>
      </c>
      <c r="EJ465" t="str">
        <f t="shared" si="304"/>
        <v/>
      </c>
      <c r="EK465" s="63" t="str">
        <f t="shared" si="305"/>
        <v/>
      </c>
      <c r="EN465" s="42">
        <v>462</v>
      </c>
      <c r="EO465" t="e">
        <f t="shared" si="311"/>
        <v>#N/A</v>
      </c>
      <c r="EP465" s="63" t="e">
        <f t="shared" si="312"/>
        <v>#N/A</v>
      </c>
      <c r="FT465" s="63"/>
    </row>
    <row r="466" spans="2:176" x14ac:dyDescent="0.3">
      <c r="B466" s="42"/>
      <c r="M466" s="194" t="str">
        <f ca="1">INDEX(Données_ATB!BD:BU,MATCH(MASQ2!O466,Données_ATB!BD:BD,0),18)</f>
        <v/>
      </c>
      <c r="N466" s="14" t="str">
        <f>IFERROR(IF(Q466=0,"",COUNTIF(Q$4:Q$600,"&gt;"&amp;Q466)+COUNTIF(Q$4:Q466,Q466)),"")</f>
        <v/>
      </c>
      <c r="O466" t="str">
        <f>Données_ATB!BD465</f>
        <v>SULFALUTYL</v>
      </c>
      <c r="P466" t="e">
        <f>IF(IF(X$2="Catégorie",IF(X$3="Toutes",SUMIFS('Étape 1 - à remplir'!$F$31:$F$400,'Étape 1 - à remplir'!$E$31:$E$400,MASQ2!O466,'Étape 1 - à remplir'!$G$31:$G$400,"animaux"),SUMIFS('Étape 1 - à remplir'!$F$31:$F$400,'Étape 1 - à remplir'!$E$31:$E$400,MASQ2!O466,'Étape 1 - à remplir'!$C$31:$C$400,X$3)),IF(X$2="Âge",IF(X$3="Tous",SUMIFS('Étape 1 - à remplir'!$F$31:$F$400,'Étape 1 - à remplir'!$E$31:$E$400,MASQ2!O466,'Étape 1 - à remplir'!$G$31:$G$400,"animaux"),SUMIFS('Étape 1 - à remplir'!$F$31:$F$400,'Étape 1 - à remplir'!$E$31:$E$400,MASQ2!O466,'Étape 1 - à remplir'!$P$31:$P$400,X$3)),IF(X$2="Atelier",IF(X$3="Tous",SUMIFS('Étape 1 - à remplir'!$F$31:$F$400,'Étape 1 - à remplir'!$E$31:$E$400,MASQ2!O466,'Étape 1 - à remplir'!$G$31:$G$400,"animaux"),SUMIFS('Étape 1 - à remplir'!$F$31:$F$400,'Étape 1 - à remplir'!$E$31:$E$400,MASQ2!O466,'Étape 1 - à remplir'!$O$31:$O$400,X$3)),IF(X$2="Espèce",IF(X$3="Toutes",SUMIFS('Étape 1 - à remplir'!$F$31:$F$400,'Étape 1 - à remplir'!$E$31:$E$400,MASQ2!O466,'Étape 1 - à remplir'!$G$31:$G$400,"animaux"),SUMIFS('Étape 1 - à remplir'!$F$31:$F$400,'Étape 1 - à remplir'!$E$31:$E$400,MASQ2!O466,'Étape 1 - à remplir'!$N$31:$N$400,X$3))))))=0,NA(),IF(X$2="Catégorie",IF(X$3="Toutes",SUMIFS('Étape 1 - à remplir'!$F$31:$F$400,'Étape 1 - à remplir'!$E$31:$E$400,MASQ2!O466,'Étape 1 - à remplir'!$G$31:$G$400,"animaux"),SUMIFS('Étape 1 - à remplir'!$F$31:$F$400,'Étape 1 - à remplir'!$E$31:$E$400,MASQ2!O466,'Étape 1 - à remplir'!$C$31:$C$400,X$3)),IF(X$2="Âge",IF(X$3="Tous",SUMIFS('Étape 1 - à remplir'!$F$31:$F$400,'Étape 1 - à remplir'!$E$31:$E$400,MASQ2!O466,'Étape 1 - à remplir'!$G$31:$G$400,"animaux"),SUMIFS('Étape 1 - à remplir'!$F$31:$F$400,'Étape 1 - à remplir'!$E$31:$E$400,MASQ2!O466,'Étape 1 - à remplir'!$P$31:$P$400,X$3)),IF(X$2="Atelier",IF(X$3="Tous",SUMIFS('Étape 1 - à remplir'!$F$31:$F$400,'Étape 1 - à remplir'!$E$31:$E$400,MASQ2!O466,'Étape 1 - à remplir'!$G$31:$G$400,"animaux"),SUMIFS('Étape 1 - à remplir'!$F$31:$F$400,'Étape 1 - à remplir'!$E$31:$E$400,MASQ2!O466,'Étape 1 - à remplir'!$O$31:$O$400,X$3)),IF(X$2="Espèce",IF(X$3="Toutes",SUMIFS('Étape 1 - à remplir'!$F$31:$F$400,'Étape 1 - à remplir'!$E$31:$E$400,MASQ2!O466,'Étape 1 - à remplir'!$G$31:$G$400,"animaux"),SUMIFS('Étape 1 - à remplir'!$F$31:$F$400,'Étape 1 - à remplir'!$E$31:$E$400,MASQ2!O466,'Étape 1 - à remplir'!$N$31:$N$400,X$3)))))))</f>
        <v>#N/A</v>
      </c>
      <c r="Q466" s="63">
        <f t="shared" si="310"/>
        <v>0</v>
      </c>
      <c r="R466" t="str">
        <f>Données_ATB!BM465</f>
        <v>Sulfaguanidine</v>
      </c>
      <c r="S466" t="str">
        <f>Données_ATB!BN465</f>
        <v>Sulfadimidine</v>
      </c>
      <c r="T466" s="63" t="str">
        <f>Données_ATB!BO465</f>
        <v/>
      </c>
      <c r="U466" s="42" t="str">
        <f>Données_ATB!BQ465</f>
        <v>Sulfamides</v>
      </c>
      <c r="V466" t="str">
        <f>Données_ATB!BR465</f>
        <v>Sulfamides</v>
      </c>
      <c r="W466" s="63" t="str">
        <f>Données_ATB!BS465</f>
        <v/>
      </c>
      <c r="Z466" s="42">
        <v>463</v>
      </c>
      <c r="AA466" t="e">
        <f t="shared" si="306"/>
        <v>#N/A</v>
      </c>
      <c r="AB466" s="63" t="e">
        <f t="shared" si="307"/>
        <v>#N/A</v>
      </c>
      <c r="BF466" s="63"/>
      <c r="BT466" s="194" t="str">
        <f t="shared" ca="1" si="290"/>
        <v/>
      </c>
      <c r="BU466" s="219" t="str">
        <f>IFERROR(IF(BX466=0,"",COUNTIF(BX$4:BX$600,"&gt;"&amp;BX466)+COUNTIF(BX$4:BX466,BX466)),"")</f>
        <v/>
      </c>
      <c r="BV466" s="42" t="str">
        <f t="shared" si="291"/>
        <v>SULFALUTYL</v>
      </c>
      <c r="BW466" t="e">
        <f>IF(IF(CE$2="Catégorie",IF(CE$3="Toutes",SUMIFS('Étape 1 - à remplir'!$F$31:$F$400,'Étape 1 - à remplir'!$E$31:$E$400,MASQ2!BV466,'Étape 1 - à remplir'!$G$31:$G$400,"lots"),SUMIFS('Étape 1 - à remplir'!$F$31:$F$400,'Étape 1 - à remplir'!$E$31:$E$400,MASQ2!BV466,'Étape 1 - à remplir'!$C$31:$C$400,CE$3)),IF(CE$2="Âge",IF(CE$3="Tous",SUMIFS('Étape 1 - à remplir'!$F$31:$F$400,'Étape 1 - à remplir'!$E$31:$E$400,MASQ2!BV466,'Étape 1 - à remplir'!$G$31:$G$400,"lots"),SUMIFS('Étape 1 - à remplir'!$F$31:$F$400,'Étape 1 - à remplir'!$E$31:$E$400,MASQ2!BV466,'Étape 1 - à remplir'!$P$31:$P$400,CE$3,'Étape 1 - à remplir'!$G$31:$G$400,"lots")),IF(CE$2="Atelier",IF(CE$3="Tous",SUMIFS('Étape 1 - à remplir'!$F$31:$F$400,'Étape 1 - à remplir'!$E$31:$E$400,MASQ2!BV466,'Étape 1 - à remplir'!$G$31:$G$400,"lots"),SUMIFS('Étape 1 - à remplir'!$F$31:$F$400,'Étape 1 - à remplir'!$E$31:$E$400,MASQ2!BV466,'Étape 1 - à remplir'!$O$31:$O$400,CE$3,'Étape 1 - à remplir'!$G$31:$G$400,"lots")),IF(CE$2="Espèce",IF(CE$3="Toutes",SUMIFS('Étape 1 - à remplir'!$F$31:$F$400,'Étape 1 - à remplir'!$E$31:$E$400,MASQ2!BV466,'Étape 1 - à remplir'!$G$31:$G$400,"lots"),SUMIFS('Étape 1 - à remplir'!$F$31:$F$400,'Étape 1 - à remplir'!$E$31:$E$400,MASQ2!BV466,'Étape 1 - à remplir'!$N$31:$N$400,CE$3,'Étape 1 - à remplir'!$G$31:$G$400,"lots"))))))=0,NA(),IF(CE$2="Catégorie",IF(CE$3="Toutes",SUMIFS('Étape 1 - à remplir'!$F$31:$F$400,'Étape 1 - à remplir'!$E$31:$E$400,MASQ2!BV466,'Étape 1 - à remplir'!$G$31:$G$400,"lots"),SUMIFS('Étape 1 - à remplir'!$F$31:$F$400,'Étape 1 - à remplir'!$E$31:$E$400,MASQ2!BV466,'Étape 1 - à remplir'!$C$31:$C$400,CE$3)),IF(CE$2="Âge",IF(CE$3="Tous",SUMIFS('Étape 1 - à remplir'!$F$31:$F$400,'Étape 1 - à remplir'!$E$31:$E$400,MASQ2!BV466,'Étape 1 - à remplir'!$G$31:$G$400,"lots"),SUMIFS('Étape 1 - à remplir'!$F$31:$F$400,'Étape 1 - à remplir'!$E$31:$E$400,MASQ2!BV466,'Étape 1 - à remplir'!$P$31:$P$400,CE$3,'Étape 1 - à remplir'!$G$31:$G$400,"lots")),IF(CE$2="Atelier",IF(CE$3="Tous",SUMIFS('Étape 1 - à remplir'!$F$31:$F$400,'Étape 1 - à remplir'!$E$31:$E$400,MASQ2!BV466,'Étape 1 - à remplir'!$G$31:$G$400,"lots"),SUMIFS('Étape 1 - à remplir'!$F$31:$F$400,'Étape 1 - à remplir'!$E$31:$E$400,MASQ2!BV466,'Étape 1 - à remplir'!$O$31:$O$400,CE$3,'Étape 1 - à remplir'!$G$31:$G$400,"lots")),IF(CE$2="Espèce",IF(CE$3="Toutes",SUMIFS('Étape 1 - à remplir'!$F$31:$F$400,'Étape 1 - à remplir'!$E$31:$E$400,MASQ2!BV466,'Étape 1 - à remplir'!$G$31:$G$400,"lots"),SUMIFS('Étape 1 - à remplir'!$F$31:$F$400,'Étape 1 - à remplir'!$E$31:$E$400,MASQ2!BV466,'Étape 1 - à remplir'!$N$31:$N$400,CE$3,'Étape 1 - à remplir'!$G$31:$G$400,"lots")))))))</f>
        <v>#N/A</v>
      </c>
      <c r="BX466">
        <f t="shared" si="308"/>
        <v>0</v>
      </c>
      <c r="BY466" t="str">
        <f t="shared" si="292"/>
        <v>Sulfaguanidine</v>
      </c>
      <c r="BZ466" t="str">
        <f t="shared" si="293"/>
        <v>Sulfadimidine</v>
      </c>
      <c r="CA466" t="str">
        <f t="shared" si="294"/>
        <v/>
      </c>
      <c r="CB466" t="str">
        <f t="shared" si="295"/>
        <v>Sulfamides</v>
      </c>
      <c r="CC466" t="str">
        <f t="shared" si="296"/>
        <v>Sulfamides</v>
      </c>
      <c r="CD466" s="63" t="str">
        <f t="shared" si="297"/>
        <v/>
      </c>
      <c r="CG466" s="42">
        <v>463</v>
      </c>
      <c r="CH466" s="42" t="e">
        <f t="shared" ref="CH466:CH529" si="313">INDEX(BU$3:BX$600,MATCH(CG466,BU$3:BU$600,0),2)</f>
        <v>#N/A</v>
      </c>
      <c r="CI466" s="63" t="e">
        <f t="shared" ref="CI466:CI529" si="314">INDEX(BU$3:BX$600,MATCH(CG466,BU$3:BU$600,0),3)</f>
        <v>#N/A</v>
      </c>
      <c r="DM466" s="63"/>
      <c r="EA466" s="194" t="str">
        <f t="shared" ca="1" si="298"/>
        <v/>
      </c>
      <c r="EB466" s="226" t="str">
        <f>IFERROR(IF(ED466=0,"",COUNTIF(ED$4:ED$600,"&gt;"&amp;ED466)+COUNTIF(ED$4:ED466,ED466)),"")</f>
        <v/>
      </c>
      <c r="EC466" t="str">
        <f t="shared" si="299"/>
        <v>SULFALUTYL</v>
      </c>
      <c r="ED466" t="e">
        <f>IF(IF(EL$2="Catégorie",IF(EL$3="Toutes",SUMIFS('Étape 1 - à remplir'!$F$31:$F$400,'Étape 1 - à remplir'!$E$31:$E$400,MASQ2!EC466,'Étape 1 - à remplir'!$G$31:$G$400,"kg"),SUMIFS('Étape 1 - à remplir'!$F$31:$F$400,'Étape 1 - à remplir'!$E$31:$E$400,MASQ2!EC466,'Étape 1 - à remplir'!$C$31:$C$400,EL$3)),IF(EL$2="Âge",IF(EL$3="Tous",SUMIFS('Étape 1 - à remplir'!$F$31:$F$400,'Étape 1 - à remplir'!$E$31:$E$400,MASQ2!EC466,'Étape 1 - à remplir'!$G$31:$G$400,"kg"),SUMIFS('Étape 1 - à remplir'!$F$31:$F$400,'Étape 1 - à remplir'!$E$31:$E$400,MASQ2!EC466,'Étape 1 - à remplir'!$P$31:$P$400,EL$3,'Étape 1 - à remplir'!$G$31:$G$400,"kg")),IF(EL$2="Atelier",IF(EL$3="Tous",SUMIFS('Étape 1 - à remplir'!$F$31:$F$400,'Étape 1 - à remplir'!$E$31:$E$400,MASQ2!EC466,'Étape 1 - à remplir'!$G$31:$G$400,"kg"),SUMIFS('Étape 1 - à remplir'!$F$31:$F$400,'Étape 1 - à remplir'!$E$31:$E$400,MASQ2!EC466,'Étape 1 - à remplir'!$O$31:$O$400,EL$3,'Étape 1 - à remplir'!$G$31:$G$400,"kg")),IF(EL$2="Espèce",IF(EL$3="Toutes",SUMIFS('Étape 1 - à remplir'!$F$31:$F$400,'Étape 1 - à remplir'!$E$31:$E$400,MASQ2!EC466,'Étape 1 - à remplir'!$G$31:$G$400,"kg"),SUMIFS('Étape 1 - à remplir'!$F$31:$F$400,'Étape 1 - à remplir'!$E$31:$E$400,MASQ2!EC466,'Étape 1 - à remplir'!$N$31:$N$400,EL$3,'Étape 1 - à remplir'!$G$31:$G$400,"kg"))))))=0,NA(),IF(EL$2="Catégorie",IF(EL$3="Toutes",SUMIFS('Étape 1 - à remplir'!$F$31:$F$400,'Étape 1 - à remplir'!$E$31:$E$400,MASQ2!EC466,'Étape 1 - à remplir'!$G$31:$G$400,"kg"),SUMIFS('Étape 1 - à remplir'!$F$31:$F$400,'Étape 1 - à remplir'!$E$31:$E$400,MASQ2!EC466,'Étape 1 - à remplir'!$C$31:$C$400,EL$3)),IF(EL$2="Âge",IF(EL$3="Tous",SUMIFS('Étape 1 - à remplir'!$F$31:$F$400,'Étape 1 - à remplir'!$E$31:$E$400,MASQ2!EC466,'Étape 1 - à remplir'!$G$31:$G$400,"kg"),SUMIFS('Étape 1 - à remplir'!$F$31:$F$400,'Étape 1 - à remplir'!$E$31:$E$400,MASQ2!EC466,'Étape 1 - à remplir'!$P$31:$P$400,EL$3,'Étape 1 - à remplir'!$G$31:$G$400,"kg")),IF(EL$2="Atelier",IF(EL$3="Tous",SUMIFS('Étape 1 - à remplir'!$F$31:$F$400,'Étape 1 - à remplir'!$E$31:$E$400,MASQ2!EC466,'Étape 1 - à remplir'!$G$31:$G$400,"kg"),SUMIFS('Étape 1 - à remplir'!$F$31:$F$400,'Étape 1 - à remplir'!$E$31:$E$400,MASQ2!EC466,'Étape 1 - à remplir'!$O$31:$O$400,EL$3,'Étape 1 - à remplir'!$G$31:$G$400,"kg")),IF(EL$2="Espèce",IF(EL$3="Toutes",SUMIFS('Étape 1 - à remplir'!$F$31:$F$400,'Étape 1 - à remplir'!$E$31:$E$400,MASQ2!EC466,'Étape 1 - à remplir'!$G$31:$G$400,"kg"),SUMIFS('Étape 1 - à remplir'!$F$31:$F$400,'Étape 1 - à remplir'!$E$31:$E$400,MASQ2!EC466,'Étape 1 - à remplir'!$N$31:$N$400,EL$3,'Étape 1 - à remplir'!$G$31:$G$400,"kg")))))))</f>
        <v>#N/A</v>
      </c>
      <c r="EE466" s="76">
        <f t="shared" si="309"/>
        <v>0</v>
      </c>
      <c r="EF466" t="str">
        <f t="shared" si="300"/>
        <v>Sulfaguanidine</v>
      </c>
      <c r="EG466" t="str">
        <f t="shared" si="301"/>
        <v>Sulfadimidine</v>
      </c>
      <c r="EH466" t="str">
        <f t="shared" si="302"/>
        <v/>
      </c>
      <c r="EI466" t="str">
        <f t="shared" si="303"/>
        <v>Sulfamides</v>
      </c>
      <c r="EJ466" t="str">
        <f t="shared" si="304"/>
        <v>Sulfamides</v>
      </c>
      <c r="EK466" s="63" t="str">
        <f t="shared" si="305"/>
        <v/>
      </c>
      <c r="EN466" s="42">
        <v>463</v>
      </c>
      <c r="EO466" t="e">
        <f t="shared" si="311"/>
        <v>#N/A</v>
      </c>
      <c r="EP466" s="63" t="e">
        <f t="shared" si="312"/>
        <v>#N/A</v>
      </c>
      <c r="FT466" s="63"/>
    </row>
    <row r="467" spans="2:176" x14ac:dyDescent="0.3">
      <c r="B467" s="42"/>
      <c r="M467" s="194" t="str">
        <f ca="1">INDEX(Données_ATB!BD:BU,MATCH(MASQ2!O467,Données_ATB!BD:BD,0),18)</f>
        <v/>
      </c>
      <c r="N467" s="14" t="str">
        <f>IFERROR(IF(Q467=0,"",COUNTIF(Q$4:Q$600,"&gt;"&amp;Q467)+COUNTIF(Q$4:Q467,Q467)),"")</f>
        <v/>
      </c>
      <c r="O467" t="str">
        <f>Données_ATB!BD466</f>
        <v>SULFAMETHOX</v>
      </c>
      <c r="P467" t="e">
        <f>IF(IF(X$2="Catégorie",IF(X$3="Toutes",SUMIFS('Étape 1 - à remplir'!$F$31:$F$400,'Étape 1 - à remplir'!$E$31:$E$400,MASQ2!O467,'Étape 1 - à remplir'!$G$31:$G$400,"animaux"),SUMIFS('Étape 1 - à remplir'!$F$31:$F$400,'Étape 1 - à remplir'!$E$31:$E$400,MASQ2!O467,'Étape 1 - à remplir'!$C$31:$C$400,X$3)),IF(X$2="Âge",IF(X$3="Tous",SUMIFS('Étape 1 - à remplir'!$F$31:$F$400,'Étape 1 - à remplir'!$E$31:$E$400,MASQ2!O467,'Étape 1 - à remplir'!$G$31:$G$400,"animaux"),SUMIFS('Étape 1 - à remplir'!$F$31:$F$400,'Étape 1 - à remplir'!$E$31:$E$400,MASQ2!O467,'Étape 1 - à remplir'!$P$31:$P$400,X$3)),IF(X$2="Atelier",IF(X$3="Tous",SUMIFS('Étape 1 - à remplir'!$F$31:$F$400,'Étape 1 - à remplir'!$E$31:$E$400,MASQ2!O467,'Étape 1 - à remplir'!$G$31:$G$400,"animaux"),SUMIFS('Étape 1 - à remplir'!$F$31:$F$400,'Étape 1 - à remplir'!$E$31:$E$400,MASQ2!O467,'Étape 1 - à remplir'!$O$31:$O$400,X$3)),IF(X$2="Espèce",IF(X$3="Toutes",SUMIFS('Étape 1 - à remplir'!$F$31:$F$400,'Étape 1 - à remplir'!$E$31:$E$400,MASQ2!O467,'Étape 1 - à remplir'!$G$31:$G$400,"animaux"),SUMIFS('Étape 1 - à remplir'!$F$31:$F$400,'Étape 1 - à remplir'!$E$31:$E$400,MASQ2!O467,'Étape 1 - à remplir'!$N$31:$N$400,X$3))))))=0,NA(),IF(X$2="Catégorie",IF(X$3="Toutes",SUMIFS('Étape 1 - à remplir'!$F$31:$F$400,'Étape 1 - à remplir'!$E$31:$E$400,MASQ2!O467,'Étape 1 - à remplir'!$G$31:$G$400,"animaux"),SUMIFS('Étape 1 - à remplir'!$F$31:$F$400,'Étape 1 - à remplir'!$E$31:$E$400,MASQ2!O467,'Étape 1 - à remplir'!$C$31:$C$400,X$3)),IF(X$2="Âge",IF(X$3="Tous",SUMIFS('Étape 1 - à remplir'!$F$31:$F$400,'Étape 1 - à remplir'!$E$31:$E$400,MASQ2!O467,'Étape 1 - à remplir'!$G$31:$G$400,"animaux"),SUMIFS('Étape 1 - à remplir'!$F$31:$F$400,'Étape 1 - à remplir'!$E$31:$E$400,MASQ2!O467,'Étape 1 - à remplir'!$P$31:$P$400,X$3)),IF(X$2="Atelier",IF(X$3="Tous",SUMIFS('Étape 1 - à remplir'!$F$31:$F$400,'Étape 1 - à remplir'!$E$31:$E$400,MASQ2!O467,'Étape 1 - à remplir'!$G$31:$G$400,"animaux"),SUMIFS('Étape 1 - à remplir'!$F$31:$F$400,'Étape 1 - à remplir'!$E$31:$E$400,MASQ2!O467,'Étape 1 - à remplir'!$O$31:$O$400,X$3)),IF(X$2="Espèce",IF(X$3="Toutes",SUMIFS('Étape 1 - à remplir'!$F$31:$F$400,'Étape 1 - à remplir'!$E$31:$E$400,MASQ2!O467,'Étape 1 - à remplir'!$G$31:$G$400,"animaux"),SUMIFS('Étape 1 - à remplir'!$F$31:$F$400,'Étape 1 - à remplir'!$E$31:$E$400,MASQ2!O467,'Étape 1 - à remplir'!$N$31:$N$400,X$3)))))))</f>
        <v>#N/A</v>
      </c>
      <c r="Q467" s="63">
        <f t="shared" si="310"/>
        <v>0</v>
      </c>
      <c r="R467" t="str">
        <f>Données_ATB!BM466</f>
        <v>Sulfaméthoxypyridazine</v>
      </c>
      <c r="S467" t="str">
        <f>Données_ATB!BN466</f>
        <v/>
      </c>
      <c r="T467" s="63" t="str">
        <f>Données_ATB!BO466</f>
        <v/>
      </c>
      <c r="U467" s="42" t="str">
        <f>Données_ATB!BQ466</f>
        <v>Sulfamides</v>
      </c>
      <c r="V467" t="str">
        <f>Données_ATB!BR466</f>
        <v/>
      </c>
      <c r="W467" s="63" t="str">
        <f>Données_ATB!BS466</f>
        <v/>
      </c>
      <c r="Z467" s="42">
        <v>464</v>
      </c>
      <c r="AA467" t="e">
        <f t="shared" si="306"/>
        <v>#N/A</v>
      </c>
      <c r="AB467" s="63" t="e">
        <f t="shared" si="307"/>
        <v>#N/A</v>
      </c>
      <c r="BF467" s="63"/>
      <c r="BT467" s="194" t="str">
        <f t="shared" ca="1" si="290"/>
        <v/>
      </c>
      <c r="BU467" s="219" t="str">
        <f>IFERROR(IF(BX467=0,"",COUNTIF(BX$4:BX$600,"&gt;"&amp;BX467)+COUNTIF(BX$4:BX467,BX467)),"")</f>
        <v/>
      </c>
      <c r="BV467" s="42" t="str">
        <f t="shared" si="291"/>
        <v>SULFAMETHOX</v>
      </c>
      <c r="BW467" t="e">
        <f>IF(IF(CE$2="Catégorie",IF(CE$3="Toutes",SUMIFS('Étape 1 - à remplir'!$F$31:$F$400,'Étape 1 - à remplir'!$E$31:$E$400,MASQ2!BV467,'Étape 1 - à remplir'!$G$31:$G$400,"lots"),SUMIFS('Étape 1 - à remplir'!$F$31:$F$400,'Étape 1 - à remplir'!$E$31:$E$400,MASQ2!BV467,'Étape 1 - à remplir'!$C$31:$C$400,CE$3)),IF(CE$2="Âge",IF(CE$3="Tous",SUMIFS('Étape 1 - à remplir'!$F$31:$F$400,'Étape 1 - à remplir'!$E$31:$E$400,MASQ2!BV467,'Étape 1 - à remplir'!$G$31:$G$400,"lots"),SUMIFS('Étape 1 - à remplir'!$F$31:$F$400,'Étape 1 - à remplir'!$E$31:$E$400,MASQ2!BV467,'Étape 1 - à remplir'!$P$31:$P$400,CE$3,'Étape 1 - à remplir'!$G$31:$G$400,"lots")),IF(CE$2="Atelier",IF(CE$3="Tous",SUMIFS('Étape 1 - à remplir'!$F$31:$F$400,'Étape 1 - à remplir'!$E$31:$E$400,MASQ2!BV467,'Étape 1 - à remplir'!$G$31:$G$400,"lots"),SUMIFS('Étape 1 - à remplir'!$F$31:$F$400,'Étape 1 - à remplir'!$E$31:$E$400,MASQ2!BV467,'Étape 1 - à remplir'!$O$31:$O$400,CE$3,'Étape 1 - à remplir'!$G$31:$G$400,"lots")),IF(CE$2="Espèce",IF(CE$3="Toutes",SUMIFS('Étape 1 - à remplir'!$F$31:$F$400,'Étape 1 - à remplir'!$E$31:$E$400,MASQ2!BV467,'Étape 1 - à remplir'!$G$31:$G$400,"lots"),SUMIFS('Étape 1 - à remplir'!$F$31:$F$400,'Étape 1 - à remplir'!$E$31:$E$400,MASQ2!BV467,'Étape 1 - à remplir'!$N$31:$N$400,CE$3,'Étape 1 - à remplir'!$G$31:$G$400,"lots"))))))=0,NA(),IF(CE$2="Catégorie",IF(CE$3="Toutes",SUMIFS('Étape 1 - à remplir'!$F$31:$F$400,'Étape 1 - à remplir'!$E$31:$E$400,MASQ2!BV467,'Étape 1 - à remplir'!$G$31:$G$400,"lots"),SUMIFS('Étape 1 - à remplir'!$F$31:$F$400,'Étape 1 - à remplir'!$E$31:$E$400,MASQ2!BV467,'Étape 1 - à remplir'!$C$31:$C$400,CE$3)),IF(CE$2="Âge",IF(CE$3="Tous",SUMIFS('Étape 1 - à remplir'!$F$31:$F$400,'Étape 1 - à remplir'!$E$31:$E$400,MASQ2!BV467,'Étape 1 - à remplir'!$G$31:$G$400,"lots"),SUMIFS('Étape 1 - à remplir'!$F$31:$F$400,'Étape 1 - à remplir'!$E$31:$E$400,MASQ2!BV467,'Étape 1 - à remplir'!$P$31:$P$400,CE$3,'Étape 1 - à remplir'!$G$31:$G$400,"lots")),IF(CE$2="Atelier",IF(CE$3="Tous",SUMIFS('Étape 1 - à remplir'!$F$31:$F$400,'Étape 1 - à remplir'!$E$31:$E$400,MASQ2!BV467,'Étape 1 - à remplir'!$G$31:$G$400,"lots"),SUMIFS('Étape 1 - à remplir'!$F$31:$F$400,'Étape 1 - à remplir'!$E$31:$E$400,MASQ2!BV467,'Étape 1 - à remplir'!$O$31:$O$400,CE$3,'Étape 1 - à remplir'!$G$31:$G$400,"lots")),IF(CE$2="Espèce",IF(CE$3="Toutes",SUMIFS('Étape 1 - à remplir'!$F$31:$F$400,'Étape 1 - à remplir'!$E$31:$E$400,MASQ2!BV467,'Étape 1 - à remplir'!$G$31:$G$400,"lots"),SUMIFS('Étape 1 - à remplir'!$F$31:$F$400,'Étape 1 - à remplir'!$E$31:$E$400,MASQ2!BV467,'Étape 1 - à remplir'!$N$31:$N$400,CE$3,'Étape 1 - à remplir'!$G$31:$G$400,"lots")))))))</f>
        <v>#N/A</v>
      </c>
      <c r="BX467">
        <f t="shared" si="308"/>
        <v>0</v>
      </c>
      <c r="BY467" t="str">
        <f t="shared" si="292"/>
        <v>Sulfaméthoxypyridazine</v>
      </c>
      <c r="BZ467" t="str">
        <f t="shared" si="293"/>
        <v/>
      </c>
      <c r="CA467" t="str">
        <f t="shared" si="294"/>
        <v/>
      </c>
      <c r="CB467" t="str">
        <f t="shared" si="295"/>
        <v>Sulfamides</v>
      </c>
      <c r="CC467" t="str">
        <f t="shared" si="296"/>
        <v/>
      </c>
      <c r="CD467" s="63" t="str">
        <f t="shared" si="297"/>
        <v/>
      </c>
      <c r="CG467" s="42">
        <v>464</v>
      </c>
      <c r="CH467" s="42" t="e">
        <f t="shared" si="313"/>
        <v>#N/A</v>
      </c>
      <c r="CI467" s="63" t="e">
        <f t="shared" si="314"/>
        <v>#N/A</v>
      </c>
      <c r="DM467" s="63"/>
      <c r="EA467" s="194" t="str">
        <f t="shared" ca="1" si="298"/>
        <v/>
      </c>
      <c r="EB467" s="226" t="str">
        <f>IFERROR(IF(ED467=0,"",COUNTIF(ED$4:ED$600,"&gt;"&amp;ED467)+COUNTIF(ED$4:ED467,ED467)),"")</f>
        <v/>
      </c>
      <c r="EC467" t="str">
        <f t="shared" si="299"/>
        <v>SULFAMETHOX</v>
      </c>
      <c r="ED467" t="e">
        <f>IF(IF(EL$2="Catégorie",IF(EL$3="Toutes",SUMIFS('Étape 1 - à remplir'!$F$31:$F$400,'Étape 1 - à remplir'!$E$31:$E$400,MASQ2!EC467,'Étape 1 - à remplir'!$G$31:$G$400,"kg"),SUMIFS('Étape 1 - à remplir'!$F$31:$F$400,'Étape 1 - à remplir'!$E$31:$E$400,MASQ2!EC467,'Étape 1 - à remplir'!$C$31:$C$400,EL$3)),IF(EL$2="Âge",IF(EL$3="Tous",SUMIFS('Étape 1 - à remplir'!$F$31:$F$400,'Étape 1 - à remplir'!$E$31:$E$400,MASQ2!EC467,'Étape 1 - à remplir'!$G$31:$G$400,"kg"),SUMIFS('Étape 1 - à remplir'!$F$31:$F$400,'Étape 1 - à remplir'!$E$31:$E$400,MASQ2!EC467,'Étape 1 - à remplir'!$P$31:$P$400,EL$3,'Étape 1 - à remplir'!$G$31:$G$400,"kg")),IF(EL$2="Atelier",IF(EL$3="Tous",SUMIFS('Étape 1 - à remplir'!$F$31:$F$400,'Étape 1 - à remplir'!$E$31:$E$400,MASQ2!EC467,'Étape 1 - à remplir'!$G$31:$G$400,"kg"),SUMIFS('Étape 1 - à remplir'!$F$31:$F$400,'Étape 1 - à remplir'!$E$31:$E$400,MASQ2!EC467,'Étape 1 - à remplir'!$O$31:$O$400,EL$3,'Étape 1 - à remplir'!$G$31:$G$400,"kg")),IF(EL$2="Espèce",IF(EL$3="Toutes",SUMIFS('Étape 1 - à remplir'!$F$31:$F$400,'Étape 1 - à remplir'!$E$31:$E$400,MASQ2!EC467,'Étape 1 - à remplir'!$G$31:$G$400,"kg"),SUMIFS('Étape 1 - à remplir'!$F$31:$F$400,'Étape 1 - à remplir'!$E$31:$E$400,MASQ2!EC467,'Étape 1 - à remplir'!$N$31:$N$400,EL$3,'Étape 1 - à remplir'!$G$31:$G$400,"kg"))))))=0,NA(),IF(EL$2="Catégorie",IF(EL$3="Toutes",SUMIFS('Étape 1 - à remplir'!$F$31:$F$400,'Étape 1 - à remplir'!$E$31:$E$400,MASQ2!EC467,'Étape 1 - à remplir'!$G$31:$G$400,"kg"),SUMIFS('Étape 1 - à remplir'!$F$31:$F$400,'Étape 1 - à remplir'!$E$31:$E$400,MASQ2!EC467,'Étape 1 - à remplir'!$C$31:$C$400,EL$3)),IF(EL$2="Âge",IF(EL$3="Tous",SUMIFS('Étape 1 - à remplir'!$F$31:$F$400,'Étape 1 - à remplir'!$E$31:$E$400,MASQ2!EC467,'Étape 1 - à remplir'!$G$31:$G$400,"kg"),SUMIFS('Étape 1 - à remplir'!$F$31:$F$400,'Étape 1 - à remplir'!$E$31:$E$400,MASQ2!EC467,'Étape 1 - à remplir'!$P$31:$P$400,EL$3,'Étape 1 - à remplir'!$G$31:$G$400,"kg")),IF(EL$2="Atelier",IF(EL$3="Tous",SUMIFS('Étape 1 - à remplir'!$F$31:$F$400,'Étape 1 - à remplir'!$E$31:$E$400,MASQ2!EC467,'Étape 1 - à remplir'!$G$31:$G$400,"kg"),SUMIFS('Étape 1 - à remplir'!$F$31:$F$400,'Étape 1 - à remplir'!$E$31:$E$400,MASQ2!EC467,'Étape 1 - à remplir'!$O$31:$O$400,EL$3,'Étape 1 - à remplir'!$G$31:$G$400,"kg")),IF(EL$2="Espèce",IF(EL$3="Toutes",SUMIFS('Étape 1 - à remplir'!$F$31:$F$400,'Étape 1 - à remplir'!$E$31:$E$400,MASQ2!EC467,'Étape 1 - à remplir'!$G$31:$G$400,"kg"),SUMIFS('Étape 1 - à remplir'!$F$31:$F$400,'Étape 1 - à remplir'!$E$31:$E$400,MASQ2!EC467,'Étape 1 - à remplir'!$N$31:$N$400,EL$3,'Étape 1 - à remplir'!$G$31:$G$400,"kg")))))))</f>
        <v>#N/A</v>
      </c>
      <c r="EE467" s="76">
        <f t="shared" si="309"/>
        <v>0</v>
      </c>
      <c r="EF467" t="str">
        <f t="shared" si="300"/>
        <v>Sulfaméthoxypyridazine</v>
      </c>
      <c r="EG467" t="str">
        <f t="shared" si="301"/>
        <v/>
      </c>
      <c r="EH467" t="str">
        <f t="shared" si="302"/>
        <v/>
      </c>
      <c r="EI467" t="str">
        <f t="shared" si="303"/>
        <v>Sulfamides</v>
      </c>
      <c r="EJ467" t="str">
        <f t="shared" si="304"/>
        <v/>
      </c>
      <c r="EK467" s="63" t="str">
        <f t="shared" si="305"/>
        <v/>
      </c>
      <c r="EN467" s="42">
        <v>464</v>
      </c>
      <c r="EO467" t="e">
        <f t="shared" si="311"/>
        <v>#N/A</v>
      </c>
      <c r="EP467" s="63" t="e">
        <f t="shared" si="312"/>
        <v>#N/A</v>
      </c>
      <c r="FT467" s="63"/>
    </row>
    <row r="468" spans="2:176" x14ac:dyDescent="0.3">
      <c r="B468" s="42"/>
      <c r="M468" s="194" t="str">
        <f ca="1">INDEX(Données_ATB!BD:BU,MATCH(MASQ2!O468,Données_ATB!BD:BD,0),18)</f>
        <v/>
      </c>
      <c r="N468" s="14" t="str">
        <f>IFERROR(IF(Q468=0,"",COUNTIF(Q$4:Q$600,"&gt;"&amp;Q468)+COUNTIF(Q$4:Q468,Q468)),"")</f>
        <v/>
      </c>
      <c r="O468" t="str">
        <f>Données_ATB!BD467</f>
        <v>SULTRIVAL TRIMETHOPRIME/SULFADIAZINE 20/92 PORC</v>
      </c>
      <c r="P468" t="e">
        <f>IF(IF(X$2="Catégorie",IF(X$3="Toutes",SUMIFS('Étape 1 - à remplir'!$F$31:$F$400,'Étape 1 - à remplir'!$E$31:$E$400,MASQ2!O468,'Étape 1 - à remplir'!$G$31:$G$400,"animaux"),SUMIFS('Étape 1 - à remplir'!$F$31:$F$400,'Étape 1 - à remplir'!$E$31:$E$400,MASQ2!O468,'Étape 1 - à remplir'!$C$31:$C$400,X$3)),IF(X$2="Âge",IF(X$3="Tous",SUMIFS('Étape 1 - à remplir'!$F$31:$F$400,'Étape 1 - à remplir'!$E$31:$E$400,MASQ2!O468,'Étape 1 - à remplir'!$G$31:$G$400,"animaux"),SUMIFS('Étape 1 - à remplir'!$F$31:$F$400,'Étape 1 - à remplir'!$E$31:$E$400,MASQ2!O468,'Étape 1 - à remplir'!$P$31:$P$400,X$3)),IF(X$2="Atelier",IF(X$3="Tous",SUMIFS('Étape 1 - à remplir'!$F$31:$F$400,'Étape 1 - à remplir'!$E$31:$E$400,MASQ2!O468,'Étape 1 - à remplir'!$G$31:$G$400,"animaux"),SUMIFS('Étape 1 - à remplir'!$F$31:$F$400,'Étape 1 - à remplir'!$E$31:$E$400,MASQ2!O468,'Étape 1 - à remplir'!$O$31:$O$400,X$3)),IF(X$2="Espèce",IF(X$3="Toutes",SUMIFS('Étape 1 - à remplir'!$F$31:$F$400,'Étape 1 - à remplir'!$E$31:$E$400,MASQ2!O468,'Étape 1 - à remplir'!$G$31:$G$400,"animaux"),SUMIFS('Étape 1 - à remplir'!$F$31:$F$400,'Étape 1 - à remplir'!$E$31:$E$400,MASQ2!O468,'Étape 1 - à remplir'!$N$31:$N$400,X$3))))))=0,NA(),IF(X$2="Catégorie",IF(X$3="Toutes",SUMIFS('Étape 1 - à remplir'!$F$31:$F$400,'Étape 1 - à remplir'!$E$31:$E$400,MASQ2!O468,'Étape 1 - à remplir'!$G$31:$G$400,"animaux"),SUMIFS('Étape 1 - à remplir'!$F$31:$F$400,'Étape 1 - à remplir'!$E$31:$E$400,MASQ2!O468,'Étape 1 - à remplir'!$C$31:$C$400,X$3)),IF(X$2="Âge",IF(X$3="Tous",SUMIFS('Étape 1 - à remplir'!$F$31:$F$400,'Étape 1 - à remplir'!$E$31:$E$400,MASQ2!O468,'Étape 1 - à remplir'!$G$31:$G$400,"animaux"),SUMIFS('Étape 1 - à remplir'!$F$31:$F$400,'Étape 1 - à remplir'!$E$31:$E$400,MASQ2!O468,'Étape 1 - à remplir'!$P$31:$P$400,X$3)),IF(X$2="Atelier",IF(X$3="Tous",SUMIFS('Étape 1 - à remplir'!$F$31:$F$400,'Étape 1 - à remplir'!$E$31:$E$400,MASQ2!O468,'Étape 1 - à remplir'!$G$31:$G$400,"animaux"),SUMIFS('Étape 1 - à remplir'!$F$31:$F$400,'Étape 1 - à remplir'!$E$31:$E$400,MASQ2!O468,'Étape 1 - à remplir'!$O$31:$O$400,X$3)),IF(X$2="Espèce",IF(X$3="Toutes",SUMIFS('Étape 1 - à remplir'!$F$31:$F$400,'Étape 1 - à remplir'!$E$31:$E$400,MASQ2!O468,'Étape 1 - à remplir'!$G$31:$G$400,"animaux"),SUMIFS('Étape 1 - à remplir'!$F$31:$F$400,'Étape 1 - à remplir'!$E$31:$E$400,MASQ2!O468,'Étape 1 - à remplir'!$N$31:$N$400,X$3)))))))</f>
        <v>#N/A</v>
      </c>
      <c r="Q468" s="63">
        <f t="shared" si="310"/>
        <v>0</v>
      </c>
      <c r="R468" t="str">
        <f>Données_ATB!BM467</f>
        <v>Sulfadiazine</v>
      </c>
      <c r="S468" t="str">
        <f>Données_ATB!BN467</f>
        <v>Triméthoprime</v>
      </c>
      <c r="T468" s="63" t="str">
        <f>Données_ATB!BO467</f>
        <v/>
      </c>
      <c r="U468" s="42" t="str">
        <f>Données_ATB!BQ467</f>
        <v>Sulfamides</v>
      </c>
      <c r="V468" t="str">
        <f>Données_ATB!BR467</f>
        <v>Trimethoprime</v>
      </c>
      <c r="W468" s="63" t="str">
        <f>Données_ATB!BS467</f>
        <v/>
      </c>
      <c r="Z468" s="42">
        <v>465</v>
      </c>
      <c r="AA468" t="e">
        <f t="shared" si="306"/>
        <v>#N/A</v>
      </c>
      <c r="AB468" s="63" t="e">
        <f t="shared" si="307"/>
        <v>#N/A</v>
      </c>
      <c r="BF468" s="63"/>
      <c r="BT468" s="194" t="str">
        <f t="shared" ca="1" si="290"/>
        <v/>
      </c>
      <c r="BU468" s="219" t="str">
        <f>IFERROR(IF(BX468=0,"",COUNTIF(BX$4:BX$600,"&gt;"&amp;BX468)+COUNTIF(BX$4:BX468,BX468)),"")</f>
        <v/>
      </c>
      <c r="BV468" s="42" t="str">
        <f t="shared" si="291"/>
        <v>SULTRIVAL TRIMETHOPRIME/SULFADIAZINE 20/92 PORC</v>
      </c>
      <c r="BW468" t="e">
        <f>IF(IF(CE$2="Catégorie",IF(CE$3="Toutes",SUMIFS('Étape 1 - à remplir'!$F$31:$F$400,'Étape 1 - à remplir'!$E$31:$E$400,MASQ2!BV468,'Étape 1 - à remplir'!$G$31:$G$400,"lots"),SUMIFS('Étape 1 - à remplir'!$F$31:$F$400,'Étape 1 - à remplir'!$E$31:$E$400,MASQ2!BV468,'Étape 1 - à remplir'!$C$31:$C$400,CE$3)),IF(CE$2="Âge",IF(CE$3="Tous",SUMIFS('Étape 1 - à remplir'!$F$31:$F$400,'Étape 1 - à remplir'!$E$31:$E$400,MASQ2!BV468,'Étape 1 - à remplir'!$G$31:$G$400,"lots"),SUMIFS('Étape 1 - à remplir'!$F$31:$F$400,'Étape 1 - à remplir'!$E$31:$E$400,MASQ2!BV468,'Étape 1 - à remplir'!$P$31:$P$400,CE$3,'Étape 1 - à remplir'!$G$31:$G$400,"lots")),IF(CE$2="Atelier",IF(CE$3="Tous",SUMIFS('Étape 1 - à remplir'!$F$31:$F$400,'Étape 1 - à remplir'!$E$31:$E$400,MASQ2!BV468,'Étape 1 - à remplir'!$G$31:$G$400,"lots"),SUMIFS('Étape 1 - à remplir'!$F$31:$F$400,'Étape 1 - à remplir'!$E$31:$E$400,MASQ2!BV468,'Étape 1 - à remplir'!$O$31:$O$400,CE$3,'Étape 1 - à remplir'!$G$31:$G$400,"lots")),IF(CE$2="Espèce",IF(CE$3="Toutes",SUMIFS('Étape 1 - à remplir'!$F$31:$F$400,'Étape 1 - à remplir'!$E$31:$E$400,MASQ2!BV468,'Étape 1 - à remplir'!$G$31:$G$400,"lots"),SUMIFS('Étape 1 - à remplir'!$F$31:$F$400,'Étape 1 - à remplir'!$E$31:$E$400,MASQ2!BV468,'Étape 1 - à remplir'!$N$31:$N$400,CE$3,'Étape 1 - à remplir'!$G$31:$G$400,"lots"))))))=0,NA(),IF(CE$2="Catégorie",IF(CE$3="Toutes",SUMIFS('Étape 1 - à remplir'!$F$31:$F$400,'Étape 1 - à remplir'!$E$31:$E$400,MASQ2!BV468,'Étape 1 - à remplir'!$G$31:$G$400,"lots"),SUMIFS('Étape 1 - à remplir'!$F$31:$F$400,'Étape 1 - à remplir'!$E$31:$E$400,MASQ2!BV468,'Étape 1 - à remplir'!$C$31:$C$400,CE$3)),IF(CE$2="Âge",IF(CE$3="Tous",SUMIFS('Étape 1 - à remplir'!$F$31:$F$400,'Étape 1 - à remplir'!$E$31:$E$400,MASQ2!BV468,'Étape 1 - à remplir'!$G$31:$G$400,"lots"),SUMIFS('Étape 1 - à remplir'!$F$31:$F$400,'Étape 1 - à remplir'!$E$31:$E$400,MASQ2!BV468,'Étape 1 - à remplir'!$P$31:$P$400,CE$3,'Étape 1 - à remplir'!$G$31:$G$400,"lots")),IF(CE$2="Atelier",IF(CE$3="Tous",SUMIFS('Étape 1 - à remplir'!$F$31:$F$400,'Étape 1 - à remplir'!$E$31:$E$400,MASQ2!BV468,'Étape 1 - à remplir'!$G$31:$G$400,"lots"),SUMIFS('Étape 1 - à remplir'!$F$31:$F$400,'Étape 1 - à remplir'!$E$31:$E$400,MASQ2!BV468,'Étape 1 - à remplir'!$O$31:$O$400,CE$3,'Étape 1 - à remplir'!$G$31:$G$400,"lots")),IF(CE$2="Espèce",IF(CE$3="Toutes",SUMIFS('Étape 1 - à remplir'!$F$31:$F$400,'Étape 1 - à remplir'!$E$31:$E$400,MASQ2!BV468,'Étape 1 - à remplir'!$G$31:$G$400,"lots"),SUMIFS('Étape 1 - à remplir'!$F$31:$F$400,'Étape 1 - à remplir'!$E$31:$E$400,MASQ2!BV468,'Étape 1 - à remplir'!$N$31:$N$400,CE$3,'Étape 1 - à remplir'!$G$31:$G$400,"lots")))))))</f>
        <v>#N/A</v>
      </c>
      <c r="BX468">
        <f t="shared" si="308"/>
        <v>0</v>
      </c>
      <c r="BY468" t="str">
        <f t="shared" si="292"/>
        <v>Sulfadiazine</v>
      </c>
      <c r="BZ468" t="str">
        <f t="shared" si="293"/>
        <v>Triméthoprime</v>
      </c>
      <c r="CA468" t="str">
        <f t="shared" si="294"/>
        <v/>
      </c>
      <c r="CB468" t="str">
        <f t="shared" si="295"/>
        <v>Sulfamides</v>
      </c>
      <c r="CC468" t="str">
        <f t="shared" si="296"/>
        <v>Trimethoprime</v>
      </c>
      <c r="CD468" s="63" t="str">
        <f t="shared" si="297"/>
        <v/>
      </c>
      <c r="CG468" s="42">
        <v>465</v>
      </c>
      <c r="CH468" s="42" t="e">
        <f t="shared" si="313"/>
        <v>#N/A</v>
      </c>
      <c r="CI468" s="63" t="e">
        <f t="shared" si="314"/>
        <v>#N/A</v>
      </c>
      <c r="DM468" s="63"/>
      <c r="EA468" s="194" t="str">
        <f t="shared" ca="1" si="298"/>
        <v/>
      </c>
      <c r="EB468" s="226" t="str">
        <f>IFERROR(IF(ED468=0,"",COUNTIF(ED$4:ED$600,"&gt;"&amp;ED468)+COUNTIF(ED$4:ED468,ED468)),"")</f>
        <v/>
      </c>
      <c r="EC468" t="str">
        <f t="shared" si="299"/>
        <v>SULTRIVAL TRIMETHOPRIME/SULFADIAZINE 20/92 PORC</v>
      </c>
      <c r="ED468" t="e">
        <f>IF(IF(EL$2="Catégorie",IF(EL$3="Toutes",SUMIFS('Étape 1 - à remplir'!$F$31:$F$400,'Étape 1 - à remplir'!$E$31:$E$400,MASQ2!EC468,'Étape 1 - à remplir'!$G$31:$G$400,"kg"),SUMIFS('Étape 1 - à remplir'!$F$31:$F$400,'Étape 1 - à remplir'!$E$31:$E$400,MASQ2!EC468,'Étape 1 - à remplir'!$C$31:$C$400,EL$3)),IF(EL$2="Âge",IF(EL$3="Tous",SUMIFS('Étape 1 - à remplir'!$F$31:$F$400,'Étape 1 - à remplir'!$E$31:$E$400,MASQ2!EC468,'Étape 1 - à remplir'!$G$31:$G$400,"kg"),SUMIFS('Étape 1 - à remplir'!$F$31:$F$400,'Étape 1 - à remplir'!$E$31:$E$400,MASQ2!EC468,'Étape 1 - à remplir'!$P$31:$P$400,EL$3,'Étape 1 - à remplir'!$G$31:$G$400,"kg")),IF(EL$2="Atelier",IF(EL$3="Tous",SUMIFS('Étape 1 - à remplir'!$F$31:$F$400,'Étape 1 - à remplir'!$E$31:$E$400,MASQ2!EC468,'Étape 1 - à remplir'!$G$31:$G$400,"kg"),SUMIFS('Étape 1 - à remplir'!$F$31:$F$400,'Étape 1 - à remplir'!$E$31:$E$400,MASQ2!EC468,'Étape 1 - à remplir'!$O$31:$O$400,EL$3,'Étape 1 - à remplir'!$G$31:$G$400,"kg")),IF(EL$2="Espèce",IF(EL$3="Toutes",SUMIFS('Étape 1 - à remplir'!$F$31:$F$400,'Étape 1 - à remplir'!$E$31:$E$400,MASQ2!EC468,'Étape 1 - à remplir'!$G$31:$G$400,"kg"),SUMIFS('Étape 1 - à remplir'!$F$31:$F$400,'Étape 1 - à remplir'!$E$31:$E$400,MASQ2!EC468,'Étape 1 - à remplir'!$N$31:$N$400,EL$3,'Étape 1 - à remplir'!$G$31:$G$400,"kg"))))))=0,NA(),IF(EL$2="Catégorie",IF(EL$3="Toutes",SUMIFS('Étape 1 - à remplir'!$F$31:$F$400,'Étape 1 - à remplir'!$E$31:$E$400,MASQ2!EC468,'Étape 1 - à remplir'!$G$31:$G$400,"kg"),SUMIFS('Étape 1 - à remplir'!$F$31:$F$400,'Étape 1 - à remplir'!$E$31:$E$400,MASQ2!EC468,'Étape 1 - à remplir'!$C$31:$C$400,EL$3)),IF(EL$2="Âge",IF(EL$3="Tous",SUMIFS('Étape 1 - à remplir'!$F$31:$F$400,'Étape 1 - à remplir'!$E$31:$E$400,MASQ2!EC468,'Étape 1 - à remplir'!$G$31:$G$400,"kg"),SUMIFS('Étape 1 - à remplir'!$F$31:$F$400,'Étape 1 - à remplir'!$E$31:$E$400,MASQ2!EC468,'Étape 1 - à remplir'!$P$31:$P$400,EL$3,'Étape 1 - à remplir'!$G$31:$G$400,"kg")),IF(EL$2="Atelier",IF(EL$3="Tous",SUMIFS('Étape 1 - à remplir'!$F$31:$F$400,'Étape 1 - à remplir'!$E$31:$E$400,MASQ2!EC468,'Étape 1 - à remplir'!$G$31:$G$400,"kg"),SUMIFS('Étape 1 - à remplir'!$F$31:$F$400,'Étape 1 - à remplir'!$E$31:$E$400,MASQ2!EC468,'Étape 1 - à remplir'!$O$31:$O$400,EL$3,'Étape 1 - à remplir'!$G$31:$G$400,"kg")),IF(EL$2="Espèce",IF(EL$3="Toutes",SUMIFS('Étape 1 - à remplir'!$F$31:$F$400,'Étape 1 - à remplir'!$E$31:$E$400,MASQ2!EC468,'Étape 1 - à remplir'!$G$31:$G$400,"kg"),SUMIFS('Étape 1 - à remplir'!$F$31:$F$400,'Étape 1 - à remplir'!$E$31:$E$400,MASQ2!EC468,'Étape 1 - à remplir'!$N$31:$N$400,EL$3,'Étape 1 - à remplir'!$G$31:$G$400,"kg")))))))</f>
        <v>#N/A</v>
      </c>
      <c r="EE468" s="76">
        <f t="shared" si="309"/>
        <v>0</v>
      </c>
      <c r="EF468" t="str">
        <f t="shared" si="300"/>
        <v>Sulfadiazine</v>
      </c>
      <c r="EG468" t="str">
        <f t="shared" si="301"/>
        <v>Triméthoprime</v>
      </c>
      <c r="EH468" t="str">
        <f t="shared" si="302"/>
        <v/>
      </c>
      <c r="EI468" t="str">
        <f t="shared" si="303"/>
        <v>Sulfamides</v>
      </c>
      <c r="EJ468" t="str">
        <f t="shared" si="304"/>
        <v>Trimethoprime</v>
      </c>
      <c r="EK468" s="63" t="str">
        <f t="shared" si="305"/>
        <v/>
      </c>
      <c r="EN468" s="42">
        <v>465</v>
      </c>
      <c r="EO468" t="e">
        <f t="shared" si="311"/>
        <v>#N/A</v>
      </c>
      <c r="EP468" s="63" t="e">
        <f t="shared" si="312"/>
        <v>#N/A</v>
      </c>
      <c r="FT468" s="63"/>
    </row>
    <row r="469" spans="2:176" x14ac:dyDescent="0.3">
      <c r="B469" s="42"/>
      <c r="M469" s="194" t="str">
        <f ca="1">INDEX(Données_ATB!BD:BU,MATCH(MASQ2!O469,Données_ATB!BD:BD,0),18)</f>
        <v/>
      </c>
      <c r="N469" s="14" t="str">
        <f>IFERROR(IF(Q469=0,"",COUNTIF(Q$4:Q$600,"&gt;"&amp;Q469)+COUNTIF(Q$4:Q469,Q469)),"")</f>
        <v/>
      </c>
      <c r="O469" t="str">
        <f>Données_ATB!BD468</f>
        <v>SUNIX AC POUDRE</v>
      </c>
      <c r="P469" t="e">
        <f>IF(IF(X$2="Catégorie",IF(X$3="Toutes",SUMIFS('Étape 1 - à remplir'!$F$31:$F$400,'Étape 1 - à remplir'!$E$31:$E$400,MASQ2!O469,'Étape 1 - à remplir'!$G$31:$G$400,"animaux"),SUMIFS('Étape 1 - à remplir'!$F$31:$F$400,'Étape 1 - à remplir'!$E$31:$E$400,MASQ2!O469,'Étape 1 - à remplir'!$C$31:$C$400,X$3)),IF(X$2="Âge",IF(X$3="Tous",SUMIFS('Étape 1 - à remplir'!$F$31:$F$400,'Étape 1 - à remplir'!$E$31:$E$400,MASQ2!O469,'Étape 1 - à remplir'!$G$31:$G$400,"animaux"),SUMIFS('Étape 1 - à remplir'!$F$31:$F$400,'Étape 1 - à remplir'!$E$31:$E$400,MASQ2!O469,'Étape 1 - à remplir'!$P$31:$P$400,X$3)),IF(X$2="Atelier",IF(X$3="Tous",SUMIFS('Étape 1 - à remplir'!$F$31:$F$400,'Étape 1 - à remplir'!$E$31:$E$400,MASQ2!O469,'Étape 1 - à remplir'!$G$31:$G$400,"animaux"),SUMIFS('Étape 1 - à remplir'!$F$31:$F$400,'Étape 1 - à remplir'!$E$31:$E$400,MASQ2!O469,'Étape 1 - à remplir'!$O$31:$O$400,X$3)),IF(X$2="Espèce",IF(X$3="Toutes",SUMIFS('Étape 1 - à remplir'!$F$31:$F$400,'Étape 1 - à remplir'!$E$31:$E$400,MASQ2!O469,'Étape 1 - à remplir'!$G$31:$G$400,"animaux"),SUMIFS('Étape 1 - à remplir'!$F$31:$F$400,'Étape 1 - à remplir'!$E$31:$E$400,MASQ2!O469,'Étape 1 - à remplir'!$N$31:$N$400,X$3))))))=0,NA(),IF(X$2="Catégorie",IF(X$3="Toutes",SUMIFS('Étape 1 - à remplir'!$F$31:$F$400,'Étape 1 - à remplir'!$E$31:$E$400,MASQ2!O469,'Étape 1 - à remplir'!$G$31:$G$400,"animaux"),SUMIFS('Étape 1 - à remplir'!$F$31:$F$400,'Étape 1 - à remplir'!$E$31:$E$400,MASQ2!O469,'Étape 1 - à remplir'!$C$31:$C$400,X$3)),IF(X$2="Âge",IF(X$3="Tous",SUMIFS('Étape 1 - à remplir'!$F$31:$F$400,'Étape 1 - à remplir'!$E$31:$E$400,MASQ2!O469,'Étape 1 - à remplir'!$G$31:$G$400,"animaux"),SUMIFS('Étape 1 - à remplir'!$F$31:$F$400,'Étape 1 - à remplir'!$E$31:$E$400,MASQ2!O469,'Étape 1 - à remplir'!$P$31:$P$400,X$3)),IF(X$2="Atelier",IF(X$3="Tous",SUMIFS('Étape 1 - à remplir'!$F$31:$F$400,'Étape 1 - à remplir'!$E$31:$E$400,MASQ2!O469,'Étape 1 - à remplir'!$G$31:$G$400,"animaux"),SUMIFS('Étape 1 - à remplir'!$F$31:$F$400,'Étape 1 - à remplir'!$E$31:$E$400,MASQ2!O469,'Étape 1 - à remplir'!$O$31:$O$400,X$3)),IF(X$2="Espèce",IF(X$3="Toutes",SUMIFS('Étape 1 - à remplir'!$F$31:$F$400,'Étape 1 - à remplir'!$E$31:$E$400,MASQ2!O469,'Étape 1 - à remplir'!$G$31:$G$400,"animaux"),SUMIFS('Étape 1 - à remplir'!$F$31:$F$400,'Étape 1 - à remplir'!$E$31:$E$400,MASQ2!O469,'Étape 1 - à remplir'!$N$31:$N$400,X$3)))))))</f>
        <v>#N/A</v>
      </c>
      <c r="Q469" s="63">
        <f t="shared" si="310"/>
        <v>0</v>
      </c>
      <c r="R469" t="str">
        <f>Données_ATB!BM468</f>
        <v>Sulfadiméthoxine</v>
      </c>
      <c r="S469" t="str">
        <f>Données_ATB!BN468</f>
        <v/>
      </c>
      <c r="T469" s="63" t="str">
        <f>Données_ATB!BO468</f>
        <v/>
      </c>
      <c r="U469" s="42" t="str">
        <f>Données_ATB!BQ468</f>
        <v>Sulfamides</v>
      </c>
      <c r="V469" t="str">
        <f>Données_ATB!BR468</f>
        <v/>
      </c>
      <c r="W469" s="63" t="str">
        <f>Données_ATB!BS468</f>
        <v/>
      </c>
      <c r="Z469" s="42">
        <v>466</v>
      </c>
      <c r="AA469" t="e">
        <f t="shared" si="306"/>
        <v>#N/A</v>
      </c>
      <c r="AB469" s="63" t="e">
        <f t="shared" si="307"/>
        <v>#N/A</v>
      </c>
      <c r="BF469" s="63"/>
      <c r="BT469" s="194" t="str">
        <f t="shared" ca="1" si="290"/>
        <v/>
      </c>
      <c r="BU469" s="219" t="str">
        <f>IFERROR(IF(BX469=0,"",COUNTIF(BX$4:BX$600,"&gt;"&amp;BX469)+COUNTIF(BX$4:BX469,BX469)),"")</f>
        <v/>
      </c>
      <c r="BV469" s="42" t="str">
        <f t="shared" si="291"/>
        <v>SUNIX AC POUDRE</v>
      </c>
      <c r="BW469" t="e">
        <f>IF(IF(CE$2="Catégorie",IF(CE$3="Toutes",SUMIFS('Étape 1 - à remplir'!$F$31:$F$400,'Étape 1 - à remplir'!$E$31:$E$400,MASQ2!BV469,'Étape 1 - à remplir'!$G$31:$G$400,"lots"),SUMIFS('Étape 1 - à remplir'!$F$31:$F$400,'Étape 1 - à remplir'!$E$31:$E$400,MASQ2!BV469,'Étape 1 - à remplir'!$C$31:$C$400,CE$3)),IF(CE$2="Âge",IF(CE$3="Tous",SUMIFS('Étape 1 - à remplir'!$F$31:$F$400,'Étape 1 - à remplir'!$E$31:$E$400,MASQ2!BV469,'Étape 1 - à remplir'!$G$31:$G$400,"lots"),SUMIFS('Étape 1 - à remplir'!$F$31:$F$400,'Étape 1 - à remplir'!$E$31:$E$400,MASQ2!BV469,'Étape 1 - à remplir'!$P$31:$P$400,CE$3,'Étape 1 - à remplir'!$G$31:$G$400,"lots")),IF(CE$2="Atelier",IF(CE$3="Tous",SUMIFS('Étape 1 - à remplir'!$F$31:$F$400,'Étape 1 - à remplir'!$E$31:$E$400,MASQ2!BV469,'Étape 1 - à remplir'!$G$31:$G$400,"lots"),SUMIFS('Étape 1 - à remplir'!$F$31:$F$400,'Étape 1 - à remplir'!$E$31:$E$400,MASQ2!BV469,'Étape 1 - à remplir'!$O$31:$O$400,CE$3,'Étape 1 - à remplir'!$G$31:$G$400,"lots")),IF(CE$2="Espèce",IF(CE$3="Toutes",SUMIFS('Étape 1 - à remplir'!$F$31:$F$400,'Étape 1 - à remplir'!$E$31:$E$400,MASQ2!BV469,'Étape 1 - à remplir'!$G$31:$G$400,"lots"),SUMIFS('Étape 1 - à remplir'!$F$31:$F$400,'Étape 1 - à remplir'!$E$31:$E$400,MASQ2!BV469,'Étape 1 - à remplir'!$N$31:$N$400,CE$3,'Étape 1 - à remplir'!$G$31:$G$400,"lots"))))))=0,NA(),IF(CE$2="Catégorie",IF(CE$3="Toutes",SUMIFS('Étape 1 - à remplir'!$F$31:$F$400,'Étape 1 - à remplir'!$E$31:$E$400,MASQ2!BV469,'Étape 1 - à remplir'!$G$31:$G$400,"lots"),SUMIFS('Étape 1 - à remplir'!$F$31:$F$400,'Étape 1 - à remplir'!$E$31:$E$400,MASQ2!BV469,'Étape 1 - à remplir'!$C$31:$C$400,CE$3)),IF(CE$2="Âge",IF(CE$3="Tous",SUMIFS('Étape 1 - à remplir'!$F$31:$F$400,'Étape 1 - à remplir'!$E$31:$E$400,MASQ2!BV469,'Étape 1 - à remplir'!$G$31:$G$400,"lots"),SUMIFS('Étape 1 - à remplir'!$F$31:$F$400,'Étape 1 - à remplir'!$E$31:$E$400,MASQ2!BV469,'Étape 1 - à remplir'!$P$31:$P$400,CE$3,'Étape 1 - à remplir'!$G$31:$G$400,"lots")),IF(CE$2="Atelier",IF(CE$3="Tous",SUMIFS('Étape 1 - à remplir'!$F$31:$F$400,'Étape 1 - à remplir'!$E$31:$E$400,MASQ2!BV469,'Étape 1 - à remplir'!$G$31:$G$400,"lots"),SUMIFS('Étape 1 - à remplir'!$F$31:$F$400,'Étape 1 - à remplir'!$E$31:$E$400,MASQ2!BV469,'Étape 1 - à remplir'!$O$31:$O$400,CE$3,'Étape 1 - à remplir'!$G$31:$G$400,"lots")),IF(CE$2="Espèce",IF(CE$3="Toutes",SUMIFS('Étape 1 - à remplir'!$F$31:$F$400,'Étape 1 - à remplir'!$E$31:$E$400,MASQ2!BV469,'Étape 1 - à remplir'!$G$31:$G$400,"lots"),SUMIFS('Étape 1 - à remplir'!$F$31:$F$400,'Étape 1 - à remplir'!$E$31:$E$400,MASQ2!BV469,'Étape 1 - à remplir'!$N$31:$N$400,CE$3,'Étape 1 - à remplir'!$G$31:$G$400,"lots")))))))</f>
        <v>#N/A</v>
      </c>
      <c r="BX469">
        <f t="shared" si="308"/>
        <v>0</v>
      </c>
      <c r="BY469" t="str">
        <f t="shared" si="292"/>
        <v>Sulfadiméthoxine</v>
      </c>
      <c r="BZ469" t="str">
        <f t="shared" si="293"/>
        <v/>
      </c>
      <c r="CA469" t="str">
        <f t="shared" si="294"/>
        <v/>
      </c>
      <c r="CB469" t="str">
        <f t="shared" si="295"/>
        <v>Sulfamides</v>
      </c>
      <c r="CC469" t="str">
        <f t="shared" si="296"/>
        <v/>
      </c>
      <c r="CD469" s="63" t="str">
        <f t="shared" si="297"/>
        <v/>
      </c>
      <c r="CG469" s="42">
        <v>466</v>
      </c>
      <c r="CH469" s="42" t="e">
        <f t="shared" si="313"/>
        <v>#N/A</v>
      </c>
      <c r="CI469" s="63" t="e">
        <f t="shared" si="314"/>
        <v>#N/A</v>
      </c>
      <c r="DM469" s="63"/>
      <c r="EA469" s="194" t="str">
        <f t="shared" ca="1" si="298"/>
        <v/>
      </c>
      <c r="EB469" s="226" t="str">
        <f>IFERROR(IF(ED469=0,"",COUNTIF(ED$4:ED$600,"&gt;"&amp;ED469)+COUNTIF(ED$4:ED469,ED469)),"")</f>
        <v/>
      </c>
      <c r="EC469" t="str">
        <f t="shared" si="299"/>
        <v>SUNIX AC POUDRE</v>
      </c>
      <c r="ED469" t="e">
        <f>IF(IF(EL$2="Catégorie",IF(EL$3="Toutes",SUMIFS('Étape 1 - à remplir'!$F$31:$F$400,'Étape 1 - à remplir'!$E$31:$E$400,MASQ2!EC469,'Étape 1 - à remplir'!$G$31:$G$400,"kg"),SUMIFS('Étape 1 - à remplir'!$F$31:$F$400,'Étape 1 - à remplir'!$E$31:$E$400,MASQ2!EC469,'Étape 1 - à remplir'!$C$31:$C$400,EL$3)),IF(EL$2="Âge",IF(EL$3="Tous",SUMIFS('Étape 1 - à remplir'!$F$31:$F$400,'Étape 1 - à remplir'!$E$31:$E$400,MASQ2!EC469,'Étape 1 - à remplir'!$G$31:$G$400,"kg"),SUMIFS('Étape 1 - à remplir'!$F$31:$F$400,'Étape 1 - à remplir'!$E$31:$E$400,MASQ2!EC469,'Étape 1 - à remplir'!$P$31:$P$400,EL$3,'Étape 1 - à remplir'!$G$31:$G$400,"kg")),IF(EL$2="Atelier",IF(EL$3="Tous",SUMIFS('Étape 1 - à remplir'!$F$31:$F$400,'Étape 1 - à remplir'!$E$31:$E$400,MASQ2!EC469,'Étape 1 - à remplir'!$G$31:$G$400,"kg"),SUMIFS('Étape 1 - à remplir'!$F$31:$F$400,'Étape 1 - à remplir'!$E$31:$E$400,MASQ2!EC469,'Étape 1 - à remplir'!$O$31:$O$400,EL$3,'Étape 1 - à remplir'!$G$31:$G$400,"kg")),IF(EL$2="Espèce",IF(EL$3="Toutes",SUMIFS('Étape 1 - à remplir'!$F$31:$F$400,'Étape 1 - à remplir'!$E$31:$E$400,MASQ2!EC469,'Étape 1 - à remplir'!$G$31:$G$400,"kg"),SUMIFS('Étape 1 - à remplir'!$F$31:$F$400,'Étape 1 - à remplir'!$E$31:$E$400,MASQ2!EC469,'Étape 1 - à remplir'!$N$31:$N$400,EL$3,'Étape 1 - à remplir'!$G$31:$G$400,"kg"))))))=0,NA(),IF(EL$2="Catégorie",IF(EL$3="Toutes",SUMIFS('Étape 1 - à remplir'!$F$31:$F$400,'Étape 1 - à remplir'!$E$31:$E$400,MASQ2!EC469,'Étape 1 - à remplir'!$G$31:$G$400,"kg"),SUMIFS('Étape 1 - à remplir'!$F$31:$F$400,'Étape 1 - à remplir'!$E$31:$E$400,MASQ2!EC469,'Étape 1 - à remplir'!$C$31:$C$400,EL$3)),IF(EL$2="Âge",IF(EL$3="Tous",SUMIFS('Étape 1 - à remplir'!$F$31:$F$400,'Étape 1 - à remplir'!$E$31:$E$400,MASQ2!EC469,'Étape 1 - à remplir'!$G$31:$G$400,"kg"),SUMIFS('Étape 1 - à remplir'!$F$31:$F$400,'Étape 1 - à remplir'!$E$31:$E$400,MASQ2!EC469,'Étape 1 - à remplir'!$P$31:$P$400,EL$3,'Étape 1 - à remplir'!$G$31:$G$400,"kg")),IF(EL$2="Atelier",IF(EL$3="Tous",SUMIFS('Étape 1 - à remplir'!$F$31:$F$400,'Étape 1 - à remplir'!$E$31:$E$400,MASQ2!EC469,'Étape 1 - à remplir'!$G$31:$G$400,"kg"),SUMIFS('Étape 1 - à remplir'!$F$31:$F$400,'Étape 1 - à remplir'!$E$31:$E$400,MASQ2!EC469,'Étape 1 - à remplir'!$O$31:$O$400,EL$3,'Étape 1 - à remplir'!$G$31:$G$400,"kg")),IF(EL$2="Espèce",IF(EL$3="Toutes",SUMIFS('Étape 1 - à remplir'!$F$31:$F$400,'Étape 1 - à remplir'!$E$31:$E$400,MASQ2!EC469,'Étape 1 - à remplir'!$G$31:$G$400,"kg"),SUMIFS('Étape 1 - à remplir'!$F$31:$F$400,'Étape 1 - à remplir'!$E$31:$E$400,MASQ2!EC469,'Étape 1 - à remplir'!$N$31:$N$400,EL$3,'Étape 1 - à remplir'!$G$31:$G$400,"kg")))))))</f>
        <v>#N/A</v>
      </c>
      <c r="EE469" s="76">
        <f t="shared" si="309"/>
        <v>0</v>
      </c>
      <c r="EF469" t="str">
        <f t="shared" si="300"/>
        <v>Sulfadiméthoxine</v>
      </c>
      <c r="EG469" t="str">
        <f t="shared" si="301"/>
        <v/>
      </c>
      <c r="EH469" t="str">
        <f t="shared" si="302"/>
        <v/>
      </c>
      <c r="EI469" t="str">
        <f t="shared" si="303"/>
        <v>Sulfamides</v>
      </c>
      <c r="EJ469" t="str">
        <f t="shared" si="304"/>
        <v/>
      </c>
      <c r="EK469" s="63" t="str">
        <f t="shared" si="305"/>
        <v/>
      </c>
      <c r="EN469" s="42">
        <v>466</v>
      </c>
      <c r="EO469" t="e">
        <f t="shared" si="311"/>
        <v>#N/A</v>
      </c>
      <c r="EP469" s="63" t="e">
        <f t="shared" si="312"/>
        <v>#N/A</v>
      </c>
      <c r="FT469" s="63"/>
    </row>
    <row r="470" spans="2:176" x14ac:dyDescent="0.3">
      <c r="B470" s="42"/>
      <c r="M470" s="194" t="str">
        <f ca="1">INDEX(Données_ATB!BD:BU,MATCH(MASQ2!O470,Données_ATB!BD:BD,0),18)</f>
        <v/>
      </c>
      <c r="N470" s="14" t="str">
        <f>IFERROR(IF(Q470=0,"",COUNTIF(Q$4:Q$600,"&gt;"&amp;Q470)+COUNTIF(Q$4:Q470,Q470)),"")</f>
        <v/>
      </c>
      <c r="O470" t="str">
        <f>Données_ATB!BD469</f>
        <v>SUNIX LIQUIDE</v>
      </c>
      <c r="P470" t="e">
        <f>IF(IF(X$2="Catégorie",IF(X$3="Toutes",SUMIFS('Étape 1 - à remplir'!$F$31:$F$400,'Étape 1 - à remplir'!$E$31:$E$400,MASQ2!O470,'Étape 1 - à remplir'!$G$31:$G$400,"animaux"),SUMIFS('Étape 1 - à remplir'!$F$31:$F$400,'Étape 1 - à remplir'!$E$31:$E$400,MASQ2!O470,'Étape 1 - à remplir'!$C$31:$C$400,X$3)),IF(X$2="Âge",IF(X$3="Tous",SUMIFS('Étape 1 - à remplir'!$F$31:$F$400,'Étape 1 - à remplir'!$E$31:$E$400,MASQ2!O470,'Étape 1 - à remplir'!$G$31:$G$400,"animaux"),SUMIFS('Étape 1 - à remplir'!$F$31:$F$400,'Étape 1 - à remplir'!$E$31:$E$400,MASQ2!O470,'Étape 1 - à remplir'!$P$31:$P$400,X$3)),IF(X$2="Atelier",IF(X$3="Tous",SUMIFS('Étape 1 - à remplir'!$F$31:$F$400,'Étape 1 - à remplir'!$E$31:$E$400,MASQ2!O470,'Étape 1 - à remplir'!$G$31:$G$400,"animaux"),SUMIFS('Étape 1 - à remplir'!$F$31:$F$400,'Étape 1 - à remplir'!$E$31:$E$400,MASQ2!O470,'Étape 1 - à remplir'!$O$31:$O$400,X$3)),IF(X$2="Espèce",IF(X$3="Toutes",SUMIFS('Étape 1 - à remplir'!$F$31:$F$400,'Étape 1 - à remplir'!$E$31:$E$400,MASQ2!O470,'Étape 1 - à remplir'!$G$31:$G$400,"animaux"),SUMIFS('Étape 1 - à remplir'!$F$31:$F$400,'Étape 1 - à remplir'!$E$31:$E$400,MASQ2!O470,'Étape 1 - à remplir'!$N$31:$N$400,X$3))))))=0,NA(),IF(X$2="Catégorie",IF(X$3="Toutes",SUMIFS('Étape 1 - à remplir'!$F$31:$F$400,'Étape 1 - à remplir'!$E$31:$E$400,MASQ2!O470,'Étape 1 - à remplir'!$G$31:$G$400,"animaux"),SUMIFS('Étape 1 - à remplir'!$F$31:$F$400,'Étape 1 - à remplir'!$E$31:$E$400,MASQ2!O470,'Étape 1 - à remplir'!$C$31:$C$400,X$3)),IF(X$2="Âge",IF(X$3="Tous",SUMIFS('Étape 1 - à remplir'!$F$31:$F$400,'Étape 1 - à remplir'!$E$31:$E$400,MASQ2!O470,'Étape 1 - à remplir'!$G$31:$G$400,"animaux"),SUMIFS('Étape 1 - à remplir'!$F$31:$F$400,'Étape 1 - à remplir'!$E$31:$E$400,MASQ2!O470,'Étape 1 - à remplir'!$P$31:$P$400,X$3)),IF(X$2="Atelier",IF(X$3="Tous",SUMIFS('Étape 1 - à remplir'!$F$31:$F$400,'Étape 1 - à remplir'!$E$31:$E$400,MASQ2!O470,'Étape 1 - à remplir'!$G$31:$G$400,"animaux"),SUMIFS('Étape 1 - à remplir'!$F$31:$F$400,'Étape 1 - à remplir'!$E$31:$E$400,MASQ2!O470,'Étape 1 - à remplir'!$O$31:$O$400,X$3)),IF(X$2="Espèce",IF(X$3="Toutes",SUMIFS('Étape 1 - à remplir'!$F$31:$F$400,'Étape 1 - à remplir'!$E$31:$E$400,MASQ2!O470,'Étape 1 - à remplir'!$G$31:$G$400,"animaux"),SUMIFS('Étape 1 - à remplir'!$F$31:$F$400,'Étape 1 - à remplir'!$E$31:$E$400,MASQ2!O470,'Étape 1 - à remplir'!$N$31:$N$400,X$3)))))))</f>
        <v>#N/A</v>
      </c>
      <c r="Q470" s="63">
        <f t="shared" si="310"/>
        <v>0</v>
      </c>
      <c r="R470" t="str">
        <f>Données_ATB!BM469</f>
        <v>Sulfadiméthoxine</v>
      </c>
      <c r="S470" t="str">
        <f>Données_ATB!BN469</f>
        <v/>
      </c>
      <c r="T470" s="63" t="str">
        <f>Données_ATB!BO469</f>
        <v/>
      </c>
      <c r="U470" s="42" t="str">
        <f>Données_ATB!BQ469</f>
        <v>Sulfamides</v>
      </c>
      <c r="V470" t="str">
        <f>Données_ATB!BR469</f>
        <v/>
      </c>
      <c r="W470" s="63" t="str">
        <f>Données_ATB!BS469</f>
        <v/>
      </c>
      <c r="Z470" s="42">
        <v>467</v>
      </c>
      <c r="AA470" t="e">
        <f t="shared" si="306"/>
        <v>#N/A</v>
      </c>
      <c r="AB470" s="63" t="e">
        <f t="shared" si="307"/>
        <v>#N/A</v>
      </c>
      <c r="BF470" s="63"/>
      <c r="BT470" s="194" t="str">
        <f t="shared" ca="1" si="290"/>
        <v/>
      </c>
      <c r="BU470" s="219" t="str">
        <f>IFERROR(IF(BX470=0,"",COUNTIF(BX$4:BX$600,"&gt;"&amp;BX470)+COUNTIF(BX$4:BX470,BX470)),"")</f>
        <v/>
      </c>
      <c r="BV470" s="42" t="str">
        <f t="shared" si="291"/>
        <v>SUNIX LIQUIDE</v>
      </c>
      <c r="BW470" t="e">
        <f>IF(IF(CE$2="Catégorie",IF(CE$3="Toutes",SUMIFS('Étape 1 - à remplir'!$F$31:$F$400,'Étape 1 - à remplir'!$E$31:$E$400,MASQ2!BV470,'Étape 1 - à remplir'!$G$31:$G$400,"lots"),SUMIFS('Étape 1 - à remplir'!$F$31:$F$400,'Étape 1 - à remplir'!$E$31:$E$400,MASQ2!BV470,'Étape 1 - à remplir'!$C$31:$C$400,CE$3)),IF(CE$2="Âge",IF(CE$3="Tous",SUMIFS('Étape 1 - à remplir'!$F$31:$F$400,'Étape 1 - à remplir'!$E$31:$E$400,MASQ2!BV470,'Étape 1 - à remplir'!$G$31:$G$400,"lots"),SUMIFS('Étape 1 - à remplir'!$F$31:$F$400,'Étape 1 - à remplir'!$E$31:$E$400,MASQ2!BV470,'Étape 1 - à remplir'!$P$31:$P$400,CE$3,'Étape 1 - à remplir'!$G$31:$G$400,"lots")),IF(CE$2="Atelier",IF(CE$3="Tous",SUMIFS('Étape 1 - à remplir'!$F$31:$F$400,'Étape 1 - à remplir'!$E$31:$E$400,MASQ2!BV470,'Étape 1 - à remplir'!$G$31:$G$400,"lots"),SUMIFS('Étape 1 - à remplir'!$F$31:$F$400,'Étape 1 - à remplir'!$E$31:$E$400,MASQ2!BV470,'Étape 1 - à remplir'!$O$31:$O$400,CE$3,'Étape 1 - à remplir'!$G$31:$G$400,"lots")),IF(CE$2="Espèce",IF(CE$3="Toutes",SUMIFS('Étape 1 - à remplir'!$F$31:$F$400,'Étape 1 - à remplir'!$E$31:$E$400,MASQ2!BV470,'Étape 1 - à remplir'!$G$31:$G$400,"lots"),SUMIFS('Étape 1 - à remplir'!$F$31:$F$400,'Étape 1 - à remplir'!$E$31:$E$400,MASQ2!BV470,'Étape 1 - à remplir'!$N$31:$N$400,CE$3,'Étape 1 - à remplir'!$G$31:$G$400,"lots"))))))=0,NA(),IF(CE$2="Catégorie",IF(CE$3="Toutes",SUMIFS('Étape 1 - à remplir'!$F$31:$F$400,'Étape 1 - à remplir'!$E$31:$E$400,MASQ2!BV470,'Étape 1 - à remplir'!$G$31:$G$400,"lots"),SUMIFS('Étape 1 - à remplir'!$F$31:$F$400,'Étape 1 - à remplir'!$E$31:$E$400,MASQ2!BV470,'Étape 1 - à remplir'!$C$31:$C$400,CE$3)),IF(CE$2="Âge",IF(CE$3="Tous",SUMIFS('Étape 1 - à remplir'!$F$31:$F$400,'Étape 1 - à remplir'!$E$31:$E$400,MASQ2!BV470,'Étape 1 - à remplir'!$G$31:$G$400,"lots"),SUMIFS('Étape 1 - à remplir'!$F$31:$F$400,'Étape 1 - à remplir'!$E$31:$E$400,MASQ2!BV470,'Étape 1 - à remplir'!$P$31:$P$400,CE$3,'Étape 1 - à remplir'!$G$31:$G$400,"lots")),IF(CE$2="Atelier",IF(CE$3="Tous",SUMIFS('Étape 1 - à remplir'!$F$31:$F$400,'Étape 1 - à remplir'!$E$31:$E$400,MASQ2!BV470,'Étape 1 - à remplir'!$G$31:$G$400,"lots"),SUMIFS('Étape 1 - à remplir'!$F$31:$F$400,'Étape 1 - à remplir'!$E$31:$E$400,MASQ2!BV470,'Étape 1 - à remplir'!$O$31:$O$400,CE$3,'Étape 1 - à remplir'!$G$31:$G$400,"lots")),IF(CE$2="Espèce",IF(CE$3="Toutes",SUMIFS('Étape 1 - à remplir'!$F$31:$F$400,'Étape 1 - à remplir'!$E$31:$E$400,MASQ2!BV470,'Étape 1 - à remplir'!$G$31:$G$400,"lots"),SUMIFS('Étape 1 - à remplir'!$F$31:$F$400,'Étape 1 - à remplir'!$E$31:$E$400,MASQ2!BV470,'Étape 1 - à remplir'!$N$31:$N$400,CE$3,'Étape 1 - à remplir'!$G$31:$G$400,"lots")))))))</f>
        <v>#N/A</v>
      </c>
      <c r="BX470">
        <f t="shared" si="308"/>
        <v>0</v>
      </c>
      <c r="BY470" t="str">
        <f t="shared" si="292"/>
        <v>Sulfadiméthoxine</v>
      </c>
      <c r="BZ470" t="str">
        <f t="shared" si="293"/>
        <v/>
      </c>
      <c r="CA470" t="str">
        <f t="shared" si="294"/>
        <v/>
      </c>
      <c r="CB470" t="str">
        <f t="shared" si="295"/>
        <v>Sulfamides</v>
      </c>
      <c r="CC470" t="str">
        <f t="shared" si="296"/>
        <v/>
      </c>
      <c r="CD470" s="63" t="str">
        <f t="shared" si="297"/>
        <v/>
      </c>
      <c r="CG470" s="42">
        <v>467</v>
      </c>
      <c r="CH470" s="42" t="e">
        <f t="shared" si="313"/>
        <v>#N/A</v>
      </c>
      <c r="CI470" s="63" t="e">
        <f t="shared" si="314"/>
        <v>#N/A</v>
      </c>
      <c r="DM470" s="63"/>
      <c r="EA470" s="194" t="str">
        <f t="shared" ca="1" si="298"/>
        <v/>
      </c>
      <c r="EB470" s="226" t="str">
        <f>IFERROR(IF(ED470=0,"",COUNTIF(ED$4:ED$600,"&gt;"&amp;ED470)+COUNTIF(ED$4:ED470,ED470)),"")</f>
        <v/>
      </c>
      <c r="EC470" t="str">
        <f t="shared" si="299"/>
        <v>SUNIX LIQUIDE</v>
      </c>
      <c r="ED470" t="e">
        <f>IF(IF(EL$2="Catégorie",IF(EL$3="Toutes",SUMIFS('Étape 1 - à remplir'!$F$31:$F$400,'Étape 1 - à remplir'!$E$31:$E$400,MASQ2!EC470,'Étape 1 - à remplir'!$G$31:$G$400,"kg"),SUMIFS('Étape 1 - à remplir'!$F$31:$F$400,'Étape 1 - à remplir'!$E$31:$E$400,MASQ2!EC470,'Étape 1 - à remplir'!$C$31:$C$400,EL$3)),IF(EL$2="Âge",IF(EL$3="Tous",SUMIFS('Étape 1 - à remplir'!$F$31:$F$400,'Étape 1 - à remplir'!$E$31:$E$400,MASQ2!EC470,'Étape 1 - à remplir'!$G$31:$G$400,"kg"),SUMIFS('Étape 1 - à remplir'!$F$31:$F$400,'Étape 1 - à remplir'!$E$31:$E$400,MASQ2!EC470,'Étape 1 - à remplir'!$P$31:$P$400,EL$3,'Étape 1 - à remplir'!$G$31:$G$400,"kg")),IF(EL$2="Atelier",IF(EL$3="Tous",SUMIFS('Étape 1 - à remplir'!$F$31:$F$400,'Étape 1 - à remplir'!$E$31:$E$400,MASQ2!EC470,'Étape 1 - à remplir'!$G$31:$G$400,"kg"),SUMIFS('Étape 1 - à remplir'!$F$31:$F$400,'Étape 1 - à remplir'!$E$31:$E$400,MASQ2!EC470,'Étape 1 - à remplir'!$O$31:$O$400,EL$3,'Étape 1 - à remplir'!$G$31:$G$400,"kg")),IF(EL$2="Espèce",IF(EL$3="Toutes",SUMIFS('Étape 1 - à remplir'!$F$31:$F$400,'Étape 1 - à remplir'!$E$31:$E$400,MASQ2!EC470,'Étape 1 - à remplir'!$G$31:$G$400,"kg"),SUMIFS('Étape 1 - à remplir'!$F$31:$F$400,'Étape 1 - à remplir'!$E$31:$E$400,MASQ2!EC470,'Étape 1 - à remplir'!$N$31:$N$400,EL$3,'Étape 1 - à remplir'!$G$31:$G$400,"kg"))))))=0,NA(),IF(EL$2="Catégorie",IF(EL$3="Toutes",SUMIFS('Étape 1 - à remplir'!$F$31:$F$400,'Étape 1 - à remplir'!$E$31:$E$400,MASQ2!EC470,'Étape 1 - à remplir'!$G$31:$G$400,"kg"),SUMIFS('Étape 1 - à remplir'!$F$31:$F$400,'Étape 1 - à remplir'!$E$31:$E$400,MASQ2!EC470,'Étape 1 - à remplir'!$C$31:$C$400,EL$3)),IF(EL$2="Âge",IF(EL$3="Tous",SUMIFS('Étape 1 - à remplir'!$F$31:$F$400,'Étape 1 - à remplir'!$E$31:$E$400,MASQ2!EC470,'Étape 1 - à remplir'!$G$31:$G$400,"kg"),SUMIFS('Étape 1 - à remplir'!$F$31:$F$400,'Étape 1 - à remplir'!$E$31:$E$400,MASQ2!EC470,'Étape 1 - à remplir'!$P$31:$P$400,EL$3,'Étape 1 - à remplir'!$G$31:$G$400,"kg")),IF(EL$2="Atelier",IF(EL$3="Tous",SUMIFS('Étape 1 - à remplir'!$F$31:$F$400,'Étape 1 - à remplir'!$E$31:$E$400,MASQ2!EC470,'Étape 1 - à remplir'!$G$31:$G$400,"kg"),SUMIFS('Étape 1 - à remplir'!$F$31:$F$400,'Étape 1 - à remplir'!$E$31:$E$400,MASQ2!EC470,'Étape 1 - à remplir'!$O$31:$O$400,EL$3,'Étape 1 - à remplir'!$G$31:$G$400,"kg")),IF(EL$2="Espèce",IF(EL$3="Toutes",SUMIFS('Étape 1 - à remplir'!$F$31:$F$400,'Étape 1 - à remplir'!$E$31:$E$400,MASQ2!EC470,'Étape 1 - à remplir'!$G$31:$G$400,"kg"),SUMIFS('Étape 1 - à remplir'!$F$31:$F$400,'Étape 1 - à remplir'!$E$31:$E$400,MASQ2!EC470,'Étape 1 - à remplir'!$N$31:$N$400,EL$3,'Étape 1 - à remplir'!$G$31:$G$400,"kg")))))))</f>
        <v>#N/A</v>
      </c>
      <c r="EE470" s="76">
        <f t="shared" si="309"/>
        <v>0</v>
      </c>
      <c r="EF470" t="str">
        <f t="shared" si="300"/>
        <v>Sulfadiméthoxine</v>
      </c>
      <c r="EG470" t="str">
        <f t="shared" si="301"/>
        <v/>
      </c>
      <c r="EH470" t="str">
        <f t="shared" si="302"/>
        <v/>
      </c>
      <c r="EI470" t="str">
        <f t="shared" si="303"/>
        <v>Sulfamides</v>
      </c>
      <c r="EJ470" t="str">
        <f t="shared" si="304"/>
        <v/>
      </c>
      <c r="EK470" s="63" t="str">
        <f t="shared" si="305"/>
        <v/>
      </c>
      <c r="EN470" s="42">
        <v>467</v>
      </c>
      <c r="EO470" t="e">
        <f t="shared" si="311"/>
        <v>#N/A</v>
      </c>
      <c r="EP470" s="63" t="e">
        <f t="shared" si="312"/>
        <v>#N/A</v>
      </c>
      <c r="FT470" s="63"/>
    </row>
    <row r="471" spans="2:176" x14ac:dyDescent="0.3">
      <c r="B471" s="42"/>
      <c r="M471" s="194" t="str">
        <f ca="1">INDEX(Données_ATB!BD:BU,MATCH(MASQ2!O471,Données_ATB!BD:BD,0),18)</f>
        <v/>
      </c>
      <c r="N471" s="14" t="str">
        <f>IFERROR(IF(Q471=0,"",COUNTIF(Q$4:Q$600,"&gt;"&amp;Q471)+COUNTIF(Q$4:Q471,Q471)),"")</f>
        <v/>
      </c>
      <c r="O471" t="str">
        <f>Données_ATB!BD470</f>
        <v>SURAMOX 10 POUDRE ORALE</v>
      </c>
      <c r="P471" t="e">
        <f>IF(IF(X$2="Catégorie",IF(X$3="Toutes",SUMIFS('Étape 1 - à remplir'!$F$31:$F$400,'Étape 1 - à remplir'!$E$31:$E$400,MASQ2!O471,'Étape 1 - à remplir'!$G$31:$G$400,"animaux"),SUMIFS('Étape 1 - à remplir'!$F$31:$F$400,'Étape 1 - à remplir'!$E$31:$E$400,MASQ2!O471,'Étape 1 - à remplir'!$C$31:$C$400,X$3)),IF(X$2="Âge",IF(X$3="Tous",SUMIFS('Étape 1 - à remplir'!$F$31:$F$400,'Étape 1 - à remplir'!$E$31:$E$400,MASQ2!O471,'Étape 1 - à remplir'!$G$31:$G$400,"animaux"),SUMIFS('Étape 1 - à remplir'!$F$31:$F$400,'Étape 1 - à remplir'!$E$31:$E$400,MASQ2!O471,'Étape 1 - à remplir'!$P$31:$P$400,X$3)),IF(X$2="Atelier",IF(X$3="Tous",SUMIFS('Étape 1 - à remplir'!$F$31:$F$400,'Étape 1 - à remplir'!$E$31:$E$400,MASQ2!O471,'Étape 1 - à remplir'!$G$31:$G$400,"animaux"),SUMIFS('Étape 1 - à remplir'!$F$31:$F$400,'Étape 1 - à remplir'!$E$31:$E$400,MASQ2!O471,'Étape 1 - à remplir'!$O$31:$O$400,X$3)),IF(X$2="Espèce",IF(X$3="Toutes",SUMIFS('Étape 1 - à remplir'!$F$31:$F$400,'Étape 1 - à remplir'!$E$31:$E$400,MASQ2!O471,'Étape 1 - à remplir'!$G$31:$G$400,"animaux"),SUMIFS('Étape 1 - à remplir'!$F$31:$F$400,'Étape 1 - à remplir'!$E$31:$E$400,MASQ2!O471,'Étape 1 - à remplir'!$N$31:$N$400,X$3))))))=0,NA(),IF(X$2="Catégorie",IF(X$3="Toutes",SUMIFS('Étape 1 - à remplir'!$F$31:$F$400,'Étape 1 - à remplir'!$E$31:$E$400,MASQ2!O471,'Étape 1 - à remplir'!$G$31:$G$400,"animaux"),SUMIFS('Étape 1 - à remplir'!$F$31:$F$400,'Étape 1 - à remplir'!$E$31:$E$400,MASQ2!O471,'Étape 1 - à remplir'!$C$31:$C$400,X$3)),IF(X$2="Âge",IF(X$3="Tous",SUMIFS('Étape 1 - à remplir'!$F$31:$F$400,'Étape 1 - à remplir'!$E$31:$E$400,MASQ2!O471,'Étape 1 - à remplir'!$G$31:$G$400,"animaux"),SUMIFS('Étape 1 - à remplir'!$F$31:$F$400,'Étape 1 - à remplir'!$E$31:$E$400,MASQ2!O471,'Étape 1 - à remplir'!$P$31:$P$400,X$3)),IF(X$2="Atelier",IF(X$3="Tous",SUMIFS('Étape 1 - à remplir'!$F$31:$F$400,'Étape 1 - à remplir'!$E$31:$E$400,MASQ2!O471,'Étape 1 - à remplir'!$G$31:$G$400,"animaux"),SUMIFS('Étape 1 - à remplir'!$F$31:$F$400,'Étape 1 - à remplir'!$E$31:$E$400,MASQ2!O471,'Étape 1 - à remplir'!$O$31:$O$400,X$3)),IF(X$2="Espèce",IF(X$3="Toutes",SUMIFS('Étape 1 - à remplir'!$F$31:$F$400,'Étape 1 - à remplir'!$E$31:$E$400,MASQ2!O471,'Étape 1 - à remplir'!$G$31:$G$400,"animaux"),SUMIFS('Étape 1 - à remplir'!$F$31:$F$400,'Étape 1 - à remplir'!$E$31:$E$400,MASQ2!O471,'Étape 1 - à remplir'!$N$31:$N$400,X$3)))))))</f>
        <v>#N/A</v>
      </c>
      <c r="Q471" s="63">
        <f t="shared" si="310"/>
        <v>0</v>
      </c>
      <c r="R471" t="str">
        <f>Données_ATB!BM470</f>
        <v>Amoxicilline</v>
      </c>
      <c r="S471" t="str">
        <f>Données_ATB!BN470</f>
        <v/>
      </c>
      <c r="T471" s="63" t="str">
        <f>Données_ATB!BO470</f>
        <v/>
      </c>
      <c r="U471" s="42" t="str">
        <f>Données_ATB!BQ470</f>
        <v>Penicillines</v>
      </c>
      <c r="V471" t="str">
        <f>Données_ATB!BR470</f>
        <v/>
      </c>
      <c r="W471" s="63" t="str">
        <f>Données_ATB!BS470</f>
        <v/>
      </c>
      <c r="Z471" s="42">
        <v>468</v>
      </c>
      <c r="AA471" t="e">
        <f t="shared" si="306"/>
        <v>#N/A</v>
      </c>
      <c r="AB471" s="63" t="e">
        <f t="shared" si="307"/>
        <v>#N/A</v>
      </c>
      <c r="BF471" s="63"/>
      <c r="BT471" s="194" t="str">
        <f t="shared" ca="1" si="290"/>
        <v/>
      </c>
      <c r="BU471" s="219" t="str">
        <f>IFERROR(IF(BX471=0,"",COUNTIF(BX$4:BX$600,"&gt;"&amp;BX471)+COUNTIF(BX$4:BX471,BX471)),"")</f>
        <v/>
      </c>
      <c r="BV471" s="42" t="str">
        <f t="shared" si="291"/>
        <v>SURAMOX 10 POUDRE ORALE</v>
      </c>
      <c r="BW471" t="e">
        <f>IF(IF(CE$2="Catégorie",IF(CE$3="Toutes",SUMIFS('Étape 1 - à remplir'!$F$31:$F$400,'Étape 1 - à remplir'!$E$31:$E$400,MASQ2!BV471,'Étape 1 - à remplir'!$G$31:$G$400,"lots"),SUMIFS('Étape 1 - à remplir'!$F$31:$F$400,'Étape 1 - à remplir'!$E$31:$E$400,MASQ2!BV471,'Étape 1 - à remplir'!$C$31:$C$400,CE$3)),IF(CE$2="Âge",IF(CE$3="Tous",SUMIFS('Étape 1 - à remplir'!$F$31:$F$400,'Étape 1 - à remplir'!$E$31:$E$400,MASQ2!BV471,'Étape 1 - à remplir'!$G$31:$G$400,"lots"),SUMIFS('Étape 1 - à remplir'!$F$31:$F$400,'Étape 1 - à remplir'!$E$31:$E$400,MASQ2!BV471,'Étape 1 - à remplir'!$P$31:$P$400,CE$3,'Étape 1 - à remplir'!$G$31:$G$400,"lots")),IF(CE$2="Atelier",IF(CE$3="Tous",SUMIFS('Étape 1 - à remplir'!$F$31:$F$400,'Étape 1 - à remplir'!$E$31:$E$400,MASQ2!BV471,'Étape 1 - à remplir'!$G$31:$G$400,"lots"),SUMIFS('Étape 1 - à remplir'!$F$31:$F$400,'Étape 1 - à remplir'!$E$31:$E$400,MASQ2!BV471,'Étape 1 - à remplir'!$O$31:$O$400,CE$3,'Étape 1 - à remplir'!$G$31:$G$400,"lots")),IF(CE$2="Espèce",IF(CE$3="Toutes",SUMIFS('Étape 1 - à remplir'!$F$31:$F$400,'Étape 1 - à remplir'!$E$31:$E$400,MASQ2!BV471,'Étape 1 - à remplir'!$G$31:$G$400,"lots"),SUMIFS('Étape 1 - à remplir'!$F$31:$F$400,'Étape 1 - à remplir'!$E$31:$E$400,MASQ2!BV471,'Étape 1 - à remplir'!$N$31:$N$400,CE$3,'Étape 1 - à remplir'!$G$31:$G$400,"lots"))))))=0,NA(),IF(CE$2="Catégorie",IF(CE$3="Toutes",SUMIFS('Étape 1 - à remplir'!$F$31:$F$400,'Étape 1 - à remplir'!$E$31:$E$400,MASQ2!BV471,'Étape 1 - à remplir'!$G$31:$G$400,"lots"),SUMIFS('Étape 1 - à remplir'!$F$31:$F$400,'Étape 1 - à remplir'!$E$31:$E$400,MASQ2!BV471,'Étape 1 - à remplir'!$C$31:$C$400,CE$3)),IF(CE$2="Âge",IF(CE$3="Tous",SUMIFS('Étape 1 - à remplir'!$F$31:$F$400,'Étape 1 - à remplir'!$E$31:$E$400,MASQ2!BV471,'Étape 1 - à remplir'!$G$31:$G$400,"lots"),SUMIFS('Étape 1 - à remplir'!$F$31:$F$400,'Étape 1 - à remplir'!$E$31:$E$400,MASQ2!BV471,'Étape 1 - à remplir'!$P$31:$P$400,CE$3,'Étape 1 - à remplir'!$G$31:$G$400,"lots")),IF(CE$2="Atelier",IF(CE$3="Tous",SUMIFS('Étape 1 - à remplir'!$F$31:$F$400,'Étape 1 - à remplir'!$E$31:$E$400,MASQ2!BV471,'Étape 1 - à remplir'!$G$31:$G$400,"lots"),SUMIFS('Étape 1 - à remplir'!$F$31:$F$400,'Étape 1 - à remplir'!$E$31:$E$400,MASQ2!BV471,'Étape 1 - à remplir'!$O$31:$O$400,CE$3,'Étape 1 - à remplir'!$G$31:$G$400,"lots")),IF(CE$2="Espèce",IF(CE$3="Toutes",SUMIFS('Étape 1 - à remplir'!$F$31:$F$400,'Étape 1 - à remplir'!$E$31:$E$400,MASQ2!BV471,'Étape 1 - à remplir'!$G$31:$G$400,"lots"),SUMIFS('Étape 1 - à remplir'!$F$31:$F$400,'Étape 1 - à remplir'!$E$31:$E$400,MASQ2!BV471,'Étape 1 - à remplir'!$N$31:$N$400,CE$3,'Étape 1 - à remplir'!$G$31:$G$400,"lots")))))))</f>
        <v>#N/A</v>
      </c>
      <c r="BX471">
        <f t="shared" si="308"/>
        <v>0</v>
      </c>
      <c r="BY471" t="str">
        <f t="shared" si="292"/>
        <v>Amoxicilline</v>
      </c>
      <c r="BZ471" t="str">
        <f t="shared" si="293"/>
        <v/>
      </c>
      <c r="CA471" t="str">
        <f t="shared" si="294"/>
        <v/>
      </c>
      <c r="CB471" t="str">
        <f t="shared" si="295"/>
        <v>Penicillines</v>
      </c>
      <c r="CC471" t="str">
        <f t="shared" si="296"/>
        <v/>
      </c>
      <c r="CD471" s="63" t="str">
        <f t="shared" si="297"/>
        <v/>
      </c>
      <c r="CG471" s="42">
        <v>468</v>
      </c>
      <c r="CH471" s="42" t="e">
        <f t="shared" si="313"/>
        <v>#N/A</v>
      </c>
      <c r="CI471" s="63" t="e">
        <f t="shared" si="314"/>
        <v>#N/A</v>
      </c>
      <c r="DM471" s="63"/>
      <c r="EA471" s="194" t="str">
        <f t="shared" ca="1" si="298"/>
        <v/>
      </c>
      <c r="EB471" s="226" t="str">
        <f>IFERROR(IF(ED471=0,"",COUNTIF(ED$4:ED$600,"&gt;"&amp;ED471)+COUNTIF(ED$4:ED471,ED471)),"")</f>
        <v/>
      </c>
      <c r="EC471" t="str">
        <f t="shared" si="299"/>
        <v>SURAMOX 10 POUDRE ORALE</v>
      </c>
      <c r="ED471" t="e">
        <f>IF(IF(EL$2="Catégorie",IF(EL$3="Toutes",SUMIFS('Étape 1 - à remplir'!$F$31:$F$400,'Étape 1 - à remplir'!$E$31:$E$400,MASQ2!EC471,'Étape 1 - à remplir'!$G$31:$G$400,"kg"),SUMIFS('Étape 1 - à remplir'!$F$31:$F$400,'Étape 1 - à remplir'!$E$31:$E$400,MASQ2!EC471,'Étape 1 - à remplir'!$C$31:$C$400,EL$3)),IF(EL$2="Âge",IF(EL$3="Tous",SUMIFS('Étape 1 - à remplir'!$F$31:$F$400,'Étape 1 - à remplir'!$E$31:$E$400,MASQ2!EC471,'Étape 1 - à remplir'!$G$31:$G$400,"kg"),SUMIFS('Étape 1 - à remplir'!$F$31:$F$400,'Étape 1 - à remplir'!$E$31:$E$400,MASQ2!EC471,'Étape 1 - à remplir'!$P$31:$P$400,EL$3,'Étape 1 - à remplir'!$G$31:$G$400,"kg")),IF(EL$2="Atelier",IF(EL$3="Tous",SUMIFS('Étape 1 - à remplir'!$F$31:$F$400,'Étape 1 - à remplir'!$E$31:$E$400,MASQ2!EC471,'Étape 1 - à remplir'!$G$31:$G$400,"kg"),SUMIFS('Étape 1 - à remplir'!$F$31:$F$400,'Étape 1 - à remplir'!$E$31:$E$400,MASQ2!EC471,'Étape 1 - à remplir'!$O$31:$O$400,EL$3,'Étape 1 - à remplir'!$G$31:$G$400,"kg")),IF(EL$2="Espèce",IF(EL$3="Toutes",SUMIFS('Étape 1 - à remplir'!$F$31:$F$400,'Étape 1 - à remplir'!$E$31:$E$400,MASQ2!EC471,'Étape 1 - à remplir'!$G$31:$G$400,"kg"),SUMIFS('Étape 1 - à remplir'!$F$31:$F$400,'Étape 1 - à remplir'!$E$31:$E$400,MASQ2!EC471,'Étape 1 - à remplir'!$N$31:$N$400,EL$3,'Étape 1 - à remplir'!$G$31:$G$400,"kg"))))))=0,NA(),IF(EL$2="Catégorie",IF(EL$3="Toutes",SUMIFS('Étape 1 - à remplir'!$F$31:$F$400,'Étape 1 - à remplir'!$E$31:$E$400,MASQ2!EC471,'Étape 1 - à remplir'!$G$31:$G$400,"kg"),SUMIFS('Étape 1 - à remplir'!$F$31:$F$400,'Étape 1 - à remplir'!$E$31:$E$400,MASQ2!EC471,'Étape 1 - à remplir'!$C$31:$C$400,EL$3)),IF(EL$2="Âge",IF(EL$3="Tous",SUMIFS('Étape 1 - à remplir'!$F$31:$F$400,'Étape 1 - à remplir'!$E$31:$E$400,MASQ2!EC471,'Étape 1 - à remplir'!$G$31:$G$400,"kg"),SUMIFS('Étape 1 - à remplir'!$F$31:$F$400,'Étape 1 - à remplir'!$E$31:$E$400,MASQ2!EC471,'Étape 1 - à remplir'!$P$31:$P$400,EL$3,'Étape 1 - à remplir'!$G$31:$G$400,"kg")),IF(EL$2="Atelier",IF(EL$3="Tous",SUMIFS('Étape 1 - à remplir'!$F$31:$F$400,'Étape 1 - à remplir'!$E$31:$E$400,MASQ2!EC471,'Étape 1 - à remplir'!$G$31:$G$400,"kg"),SUMIFS('Étape 1 - à remplir'!$F$31:$F$400,'Étape 1 - à remplir'!$E$31:$E$400,MASQ2!EC471,'Étape 1 - à remplir'!$O$31:$O$400,EL$3,'Étape 1 - à remplir'!$G$31:$G$400,"kg")),IF(EL$2="Espèce",IF(EL$3="Toutes",SUMIFS('Étape 1 - à remplir'!$F$31:$F$400,'Étape 1 - à remplir'!$E$31:$E$400,MASQ2!EC471,'Étape 1 - à remplir'!$G$31:$G$400,"kg"),SUMIFS('Étape 1 - à remplir'!$F$31:$F$400,'Étape 1 - à remplir'!$E$31:$E$400,MASQ2!EC471,'Étape 1 - à remplir'!$N$31:$N$400,EL$3,'Étape 1 - à remplir'!$G$31:$G$400,"kg")))))))</f>
        <v>#N/A</v>
      </c>
      <c r="EE471" s="76">
        <f t="shared" si="309"/>
        <v>0</v>
      </c>
      <c r="EF471" t="str">
        <f t="shared" si="300"/>
        <v>Amoxicilline</v>
      </c>
      <c r="EG471" t="str">
        <f t="shared" si="301"/>
        <v/>
      </c>
      <c r="EH471" t="str">
        <f t="shared" si="302"/>
        <v/>
      </c>
      <c r="EI471" t="str">
        <f t="shared" si="303"/>
        <v>Penicillines</v>
      </c>
      <c r="EJ471" t="str">
        <f t="shared" si="304"/>
        <v/>
      </c>
      <c r="EK471" s="63" t="str">
        <f t="shared" si="305"/>
        <v/>
      </c>
      <c r="EN471" s="42">
        <v>468</v>
      </c>
      <c r="EO471" t="e">
        <f t="shared" si="311"/>
        <v>#N/A</v>
      </c>
      <c r="EP471" s="63" t="e">
        <f t="shared" si="312"/>
        <v>#N/A</v>
      </c>
      <c r="FT471" s="63"/>
    </row>
    <row r="472" spans="2:176" x14ac:dyDescent="0.3">
      <c r="B472" s="42"/>
      <c r="M472" s="194" t="str">
        <f ca="1">INDEX(Données_ATB!BD:BU,MATCH(MASQ2!O472,Données_ATB!BD:BD,0),18)</f>
        <v/>
      </c>
      <c r="N472" s="14" t="str">
        <f>IFERROR(IF(Q472=0,"",COUNTIF(Q$4:Q$600,"&gt;"&amp;Q472)+COUNTIF(Q$4:Q472,Q472)),"")</f>
        <v/>
      </c>
      <c r="O472" t="str">
        <f>Données_ATB!BD471</f>
        <v>SURAMOX 10 SUSPENSION INJECTABLE</v>
      </c>
      <c r="P472" t="e">
        <f>IF(IF(X$2="Catégorie",IF(X$3="Toutes",SUMIFS('Étape 1 - à remplir'!$F$31:$F$400,'Étape 1 - à remplir'!$E$31:$E$400,MASQ2!O472,'Étape 1 - à remplir'!$G$31:$G$400,"animaux"),SUMIFS('Étape 1 - à remplir'!$F$31:$F$400,'Étape 1 - à remplir'!$E$31:$E$400,MASQ2!O472,'Étape 1 - à remplir'!$C$31:$C$400,X$3)),IF(X$2="Âge",IF(X$3="Tous",SUMIFS('Étape 1 - à remplir'!$F$31:$F$400,'Étape 1 - à remplir'!$E$31:$E$400,MASQ2!O472,'Étape 1 - à remplir'!$G$31:$G$400,"animaux"),SUMIFS('Étape 1 - à remplir'!$F$31:$F$400,'Étape 1 - à remplir'!$E$31:$E$400,MASQ2!O472,'Étape 1 - à remplir'!$P$31:$P$400,X$3)),IF(X$2="Atelier",IF(X$3="Tous",SUMIFS('Étape 1 - à remplir'!$F$31:$F$400,'Étape 1 - à remplir'!$E$31:$E$400,MASQ2!O472,'Étape 1 - à remplir'!$G$31:$G$400,"animaux"),SUMIFS('Étape 1 - à remplir'!$F$31:$F$400,'Étape 1 - à remplir'!$E$31:$E$400,MASQ2!O472,'Étape 1 - à remplir'!$O$31:$O$400,X$3)),IF(X$2="Espèce",IF(X$3="Toutes",SUMIFS('Étape 1 - à remplir'!$F$31:$F$400,'Étape 1 - à remplir'!$E$31:$E$400,MASQ2!O472,'Étape 1 - à remplir'!$G$31:$G$400,"animaux"),SUMIFS('Étape 1 - à remplir'!$F$31:$F$400,'Étape 1 - à remplir'!$E$31:$E$400,MASQ2!O472,'Étape 1 - à remplir'!$N$31:$N$400,X$3))))))=0,NA(),IF(X$2="Catégorie",IF(X$3="Toutes",SUMIFS('Étape 1 - à remplir'!$F$31:$F$400,'Étape 1 - à remplir'!$E$31:$E$400,MASQ2!O472,'Étape 1 - à remplir'!$G$31:$G$400,"animaux"),SUMIFS('Étape 1 - à remplir'!$F$31:$F$400,'Étape 1 - à remplir'!$E$31:$E$400,MASQ2!O472,'Étape 1 - à remplir'!$C$31:$C$400,X$3)),IF(X$2="Âge",IF(X$3="Tous",SUMIFS('Étape 1 - à remplir'!$F$31:$F$400,'Étape 1 - à remplir'!$E$31:$E$400,MASQ2!O472,'Étape 1 - à remplir'!$G$31:$G$400,"animaux"),SUMIFS('Étape 1 - à remplir'!$F$31:$F$400,'Étape 1 - à remplir'!$E$31:$E$400,MASQ2!O472,'Étape 1 - à remplir'!$P$31:$P$400,X$3)),IF(X$2="Atelier",IF(X$3="Tous",SUMIFS('Étape 1 - à remplir'!$F$31:$F$400,'Étape 1 - à remplir'!$E$31:$E$400,MASQ2!O472,'Étape 1 - à remplir'!$G$31:$G$400,"animaux"),SUMIFS('Étape 1 - à remplir'!$F$31:$F$400,'Étape 1 - à remplir'!$E$31:$E$400,MASQ2!O472,'Étape 1 - à remplir'!$O$31:$O$400,X$3)),IF(X$2="Espèce",IF(X$3="Toutes",SUMIFS('Étape 1 - à remplir'!$F$31:$F$400,'Étape 1 - à remplir'!$E$31:$E$400,MASQ2!O472,'Étape 1 - à remplir'!$G$31:$G$400,"animaux"),SUMIFS('Étape 1 - à remplir'!$F$31:$F$400,'Étape 1 - à remplir'!$E$31:$E$400,MASQ2!O472,'Étape 1 - à remplir'!$N$31:$N$400,X$3)))))))</f>
        <v>#N/A</v>
      </c>
      <c r="Q472" s="63">
        <f t="shared" si="310"/>
        <v>0</v>
      </c>
      <c r="R472" t="str">
        <f>Données_ATB!BM471</f>
        <v>Amoxicilline</v>
      </c>
      <c r="S472" t="str">
        <f>Données_ATB!BN471</f>
        <v/>
      </c>
      <c r="T472" s="63" t="str">
        <f>Données_ATB!BO471</f>
        <v/>
      </c>
      <c r="U472" s="42" t="str">
        <f>Données_ATB!BQ471</f>
        <v>Penicillines</v>
      </c>
      <c r="V472" t="str">
        <f>Données_ATB!BR471</f>
        <v/>
      </c>
      <c r="W472" s="63" t="str">
        <f>Données_ATB!BS471</f>
        <v/>
      </c>
      <c r="Z472" s="42">
        <v>469</v>
      </c>
      <c r="AA472" t="e">
        <f t="shared" si="306"/>
        <v>#N/A</v>
      </c>
      <c r="AB472" s="63" t="e">
        <f t="shared" si="307"/>
        <v>#N/A</v>
      </c>
      <c r="BF472" s="63"/>
      <c r="BT472" s="194" t="str">
        <f t="shared" ca="1" si="290"/>
        <v/>
      </c>
      <c r="BU472" s="219" t="str">
        <f>IFERROR(IF(BX472=0,"",COUNTIF(BX$4:BX$600,"&gt;"&amp;BX472)+COUNTIF(BX$4:BX472,BX472)),"")</f>
        <v/>
      </c>
      <c r="BV472" s="42" t="str">
        <f t="shared" si="291"/>
        <v>SURAMOX 10 SUSPENSION INJECTABLE</v>
      </c>
      <c r="BW472" t="e">
        <f>IF(IF(CE$2="Catégorie",IF(CE$3="Toutes",SUMIFS('Étape 1 - à remplir'!$F$31:$F$400,'Étape 1 - à remplir'!$E$31:$E$400,MASQ2!BV472,'Étape 1 - à remplir'!$G$31:$G$400,"lots"),SUMIFS('Étape 1 - à remplir'!$F$31:$F$400,'Étape 1 - à remplir'!$E$31:$E$400,MASQ2!BV472,'Étape 1 - à remplir'!$C$31:$C$400,CE$3)),IF(CE$2="Âge",IF(CE$3="Tous",SUMIFS('Étape 1 - à remplir'!$F$31:$F$400,'Étape 1 - à remplir'!$E$31:$E$400,MASQ2!BV472,'Étape 1 - à remplir'!$G$31:$G$400,"lots"),SUMIFS('Étape 1 - à remplir'!$F$31:$F$400,'Étape 1 - à remplir'!$E$31:$E$400,MASQ2!BV472,'Étape 1 - à remplir'!$P$31:$P$400,CE$3,'Étape 1 - à remplir'!$G$31:$G$400,"lots")),IF(CE$2="Atelier",IF(CE$3="Tous",SUMIFS('Étape 1 - à remplir'!$F$31:$F$400,'Étape 1 - à remplir'!$E$31:$E$400,MASQ2!BV472,'Étape 1 - à remplir'!$G$31:$G$400,"lots"),SUMIFS('Étape 1 - à remplir'!$F$31:$F$400,'Étape 1 - à remplir'!$E$31:$E$400,MASQ2!BV472,'Étape 1 - à remplir'!$O$31:$O$400,CE$3,'Étape 1 - à remplir'!$G$31:$G$400,"lots")),IF(CE$2="Espèce",IF(CE$3="Toutes",SUMIFS('Étape 1 - à remplir'!$F$31:$F$400,'Étape 1 - à remplir'!$E$31:$E$400,MASQ2!BV472,'Étape 1 - à remplir'!$G$31:$G$400,"lots"),SUMIFS('Étape 1 - à remplir'!$F$31:$F$400,'Étape 1 - à remplir'!$E$31:$E$400,MASQ2!BV472,'Étape 1 - à remplir'!$N$31:$N$400,CE$3,'Étape 1 - à remplir'!$G$31:$G$400,"lots"))))))=0,NA(),IF(CE$2="Catégorie",IF(CE$3="Toutes",SUMIFS('Étape 1 - à remplir'!$F$31:$F$400,'Étape 1 - à remplir'!$E$31:$E$400,MASQ2!BV472,'Étape 1 - à remplir'!$G$31:$G$400,"lots"),SUMIFS('Étape 1 - à remplir'!$F$31:$F$400,'Étape 1 - à remplir'!$E$31:$E$400,MASQ2!BV472,'Étape 1 - à remplir'!$C$31:$C$400,CE$3)),IF(CE$2="Âge",IF(CE$3="Tous",SUMIFS('Étape 1 - à remplir'!$F$31:$F$400,'Étape 1 - à remplir'!$E$31:$E$400,MASQ2!BV472,'Étape 1 - à remplir'!$G$31:$G$400,"lots"),SUMIFS('Étape 1 - à remplir'!$F$31:$F$400,'Étape 1 - à remplir'!$E$31:$E$400,MASQ2!BV472,'Étape 1 - à remplir'!$P$31:$P$400,CE$3,'Étape 1 - à remplir'!$G$31:$G$400,"lots")),IF(CE$2="Atelier",IF(CE$3="Tous",SUMIFS('Étape 1 - à remplir'!$F$31:$F$400,'Étape 1 - à remplir'!$E$31:$E$400,MASQ2!BV472,'Étape 1 - à remplir'!$G$31:$G$400,"lots"),SUMIFS('Étape 1 - à remplir'!$F$31:$F$400,'Étape 1 - à remplir'!$E$31:$E$400,MASQ2!BV472,'Étape 1 - à remplir'!$O$31:$O$400,CE$3,'Étape 1 - à remplir'!$G$31:$G$400,"lots")),IF(CE$2="Espèce",IF(CE$3="Toutes",SUMIFS('Étape 1 - à remplir'!$F$31:$F$400,'Étape 1 - à remplir'!$E$31:$E$400,MASQ2!BV472,'Étape 1 - à remplir'!$G$31:$G$400,"lots"),SUMIFS('Étape 1 - à remplir'!$F$31:$F$400,'Étape 1 - à remplir'!$E$31:$E$400,MASQ2!BV472,'Étape 1 - à remplir'!$N$31:$N$400,CE$3,'Étape 1 - à remplir'!$G$31:$G$400,"lots")))))))</f>
        <v>#N/A</v>
      </c>
      <c r="BX472">
        <f t="shared" si="308"/>
        <v>0</v>
      </c>
      <c r="BY472" t="str">
        <f t="shared" si="292"/>
        <v>Amoxicilline</v>
      </c>
      <c r="BZ472" t="str">
        <f t="shared" si="293"/>
        <v/>
      </c>
      <c r="CA472" t="str">
        <f t="shared" si="294"/>
        <v/>
      </c>
      <c r="CB472" t="str">
        <f t="shared" si="295"/>
        <v>Penicillines</v>
      </c>
      <c r="CC472" t="str">
        <f t="shared" si="296"/>
        <v/>
      </c>
      <c r="CD472" s="63" t="str">
        <f t="shared" si="297"/>
        <v/>
      </c>
      <c r="CG472" s="42">
        <v>469</v>
      </c>
      <c r="CH472" s="42" t="e">
        <f t="shared" si="313"/>
        <v>#N/A</v>
      </c>
      <c r="CI472" s="63" t="e">
        <f t="shared" si="314"/>
        <v>#N/A</v>
      </c>
      <c r="DM472" s="63"/>
      <c r="EA472" s="194" t="str">
        <f t="shared" ca="1" si="298"/>
        <v/>
      </c>
      <c r="EB472" s="226" t="str">
        <f>IFERROR(IF(ED472=0,"",COUNTIF(ED$4:ED$600,"&gt;"&amp;ED472)+COUNTIF(ED$4:ED472,ED472)),"")</f>
        <v/>
      </c>
      <c r="EC472" t="str">
        <f t="shared" si="299"/>
        <v>SURAMOX 10 SUSPENSION INJECTABLE</v>
      </c>
      <c r="ED472" t="e">
        <f>IF(IF(EL$2="Catégorie",IF(EL$3="Toutes",SUMIFS('Étape 1 - à remplir'!$F$31:$F$400,'Étape 1 - à remplir'!$E$31:$E$400,MASQ2!EC472,'Étape 1 - à remplir'!$G$31:$G$400,"kg"),SUMIFS('Étape 1 - à remplir'!$F$31:$F$400,'Étape 1 - à remplir'!$E$31:$E$400,MASQ2!EC472,'Étape 1 - à remplir'!$C$31:$C$400,EL$3)),IF(EL$2="Âge",IF(EL$3="Tous",SUMIFS('Étape 1 - à remplir'!$F$31:$F$400,'Étape 1 - à remplir'!$E$31:$E$400,MASQ2!EC472,'Étape 1 - à remplir'!$G$31:$G$400,"kg"),SUMIFS('Étape 1 - à remplir'!$F$31:$F$400,'Étape 1 - à remplir'!$E$31:$E$400,MASQ2!EC472,'Étape 1 - à remplir'!$P$31:$P$400,EL$3,'Étape 1 - à remplir'!$G$31:$G$400,"kg")),IF(EL$2="Atelier",IF(EL$3="Tous",SUMIFS('Étape 1 - à remplir'!$F$31:$F$400,'Étape 1 - à remplir'!$E$31:$E$400,MASQ2!EC472,'Étape 1 - à remplir'!$G$31:$G$400,"kg"),SUMIFS('Étape 1 - à remplir'!$F$31:$F$400,'Étape 1 - à remplir'!$E$31:$E$400,MASQ2!EC472,'Étape 1 - à remplir'!$O$31:$O$400,EL$3,'Étape 1 - à remplir'!$G$31:$G$400,"kg")),IF(EL$2="Espèce",IF(EL$3="Toutes",SUMIFS('Étape 1 - à remplir'!$F$31:$F$400,'Étape 1 - à remplir'!$E$31:$E$400,MASQ2!EC472,'Étape 1 - à remplir'!$G$31:$G$400,"kg"),SUMIFS('Étape 1 - à remplir'!$F$31:$F$400,'Étape 1 - à remplir'!$E$31:$E$400,MASQ2!EC472,'Étape 1 - à remplir'!$N$31:$N$400,EL$3,'Étape 1 - à remplir'!$G$31:$G$400,"kg"))))))=0,NA(),IF(EL$2="Catégorie",IF(EL$3="Toutes",SUMIFS('Étape 1 - à remplir'!$F$31:$F$400,'Étape 1 - à remplir'!$E$31:$E$400,MASQ2!EC472,'Étape 1 - à remplir'!$G$31:$G$400,"kg"),SUMIFS('Étape 1 - à remplir'!$F$31:$F$400,'Étape 1 - à remplir'!$E$31:$E$400,MASQ2!EC472,'Étape 1 - à remplir'!$C$31:$C$400,EL$3)),IF(EL$2="Âge",IF(EL$3="Tous",SUMIFS('Étape 1 - à remplir'!$F$31:$F$400,'Étape 1 - à remplir'!$E$31:$E$400,MASQ2!EC472,'Étape 1 - à remplir'!$G$31:$G$400,"kg"),SUMIFS('Étape 1 - à remplir'!$F$31:$F$400,'Étape 1 - à remplir'!$E$31:$E$400,MASQ2!EC472,'Étape 1 - à remplir'!$P$31:$P$400,EL$3,'Étape 1 - à remplir'!$G$31:$G$400,"kg")),IF(EL$2="Atelier",IF(EL$3="Tous",SUMIFS('Étape 1 - à remplir'!$F$31:$F$400,'Étape 1 - à remplir'!$E$31:$E$400,MASQ2!EC472,'Étape 1 - à remplir'!$G$31:$G$400,"kg"),SUMIFS('Étape 1 - à remplir'!$F$31:$F$400,'Étape 1 - à remplir'!$E$31:$E$400,MASQ2!EC472,'Étape 1 - à remplir'!$O$31:$O$400,EL$3,'Étape 1 - à remplir'!$G$31:$G$400,"kg")),IF(EL$2="Espèce",IF(EL$3="Toutes",SUMIFS('Étape 1 - à remplir'!$F$31:$F$400,'Étape 1 - à remplir'!$E$31:$E$400,MASQ2!EC472,'Étape 1 - à remplir'!$G$31:$G$400,"kg"),SUMIFS('Étape 1 - à remplir'!$F$31:$F$400,'Étape 1 - à remplir'!$E$31:$E$400,MASQ2!EC472,'Étape 1 - à remplir'!$N$31:$N$400,EL$3,'Étape 1 - à remplir'!$G$31:$G$400,"kg")))))))</f>
        <v>#N/A</v>
      </c>
      <c r="EE472" s="76">
        <f t="shared" si="309"/>
        <v>0</v>
      </c>
      <c r="EF472" t="str">
        <f t="shared" si="300"/>
        <v>Amoxicilline</v>
      </c>
      <c r="EG472" t="str">
        <f t="shared" si="301"/>
        <v/>
      </c>
      <c r="EH472" t="str">
        <f t="shared" si="302"/>
        <v/>
      </c>
      <c r="EI472" t="str">
        <f t="shared" si="303"/>
        <v>Penicillines</v>
      </c>
      <c r="EJ472" t="str">
        <f t="shared" si="304"/>
        <v/>
      </c>
      <c r="EK472" s="63" t="str">
        <f t="shared" si="305"/>
        <v/>
      </c>
      <c r="EN472" s="42">
        <v>469</v>
      </c>
      <c r="EO472" t="e">
        <f t="shared" si="311"/>
        <v>#N/A</v>
      </c>
      <c r="EP472" s="63" t="e">
        <f t="shared" si="312"/>
        <v>#N/A</v>
      </c>
      <c r="FT472" s="63"/>
    </row>
    <row r="473" spans="2:176" x14ac:dyDescent="0.3">
      <c r="B473" s="42"/>
      <c r="M473" s="194" t="str">
        <f ca="1">INDEX(Données_ATB!BD:BU,MATCH(MASQ2!O473,Données_ATB!BD:BD,0),18)</f>
        <v/>
      </c>
      <c r="N473" s="14" t="str">
        <f>IFERROR(IF(Q473=0,"",COUNTIF(Q$4:Q$600,"&gt;"&amp;Q473)+COUNTIF(Q$4:Q473,Q473)),"")</f>
        <v/>
      </c>
      <c r="O473" t="str">
        <f>Données_ATB!BD472</f>
        <v>SURAMOX 15 % LA</v>
      </c>
      <c r="P473" t="e">
        <f>IF(IF(X$2="Catégorie",IF(X$3="Toutes",SUMIFS('Étape 1 - à remplir'!$F$31:$F$400,'Étape 1 - à remplir'!$E$31:$E$400,MASQ2!O473,'Étape 1 - à remplir'!$G$31:$G$400,"animaux"),SUMIFS('Étape 1 - à remplir'!$F$31:$F$400,'Étape 1 - à remplir'!$E$31:$E$400,MASQ2!O473,'Étape 1 - à remplir'!$C$31:$C$400,X$3)),IF(X$2="Âge",IF(X$3="Tous",SUMIFS('Étape 1 - à remplir'!$F$31:$F$400,'Étape 1 - à remplir'!$E$31:$E$400,MASQ2!O473,'Étape 1 - à remplir'!$G$31:$G$400,"animaux"),SUMIFS('Étape 1 - à remplir'!$F$31:$F$400,'Étape 1 - à remplir'!$E$31:$E$400,MASQ2!O473,'Étape 1 - à remplir'!$P$31:$P$400,X$3)),IF(X$2="Atelier",IF(X$3="Tous",SUMIFS('Étape 1 - à remplir'!$F$31:$F$400,'Étape 1 - à remplir'!$E$31:$E$400,MASQ2!O473,'Étape 1 - à remplir'!$G$31:$G$400,"animaux"),SUMIFS('Étape 1 - à remplir'!$F$31:$F$400,'Étape 1 - à remplir'!$E$31:$E$400,MASQ2!O473,'Étape 1 - à remplir'!$O$31:$O$400,X$3)),IF(X$2="Espèce",IF(X$3="Toutes",SUMIFS('Étape 1 - à remplir'!$F$31:$F$400,'Étape 1 - à remplir'!$E$31:$E$400,MASQ2!O473,'Étape 1 - à remplir'!$G$31:$G$400,"animaux"),SUMIFS('Étape 1 - à remplir'!$F$31:$F$400,'Étape 1 - à remplir'!$E$31:$E$400,MASQ2!O473,'Étape 1 - à remplir'!$N$31:$N$400,X$3))))))=0,NA(),IF(X$2="Catégorie",IF(X$3="Toutes",SUMIFS('Étape 1 - à remplir'!$F$31:$F$400,'Étape 1 - à remplir'!$E$31:$E$400,MASQ2!O473,'Étape 1 - à remplir'!$G$31:$G$400,"animaux"),SUMIFS('Étape 1 - à remplir'!$F$31:$F$400,'Étape 1 - à remplir'!$E$31:$E$400,MASQ2!O473,'Étape 1 - à remplir'!$C$31:$C$400,X$3)),IF(X$2="Âge",IF(X$3="Tous",SUMIFS('Étape 1 - à remplir'!$F$31:$F$400,'Étape 1 - à remplir'!$E$31:$E$400,MASQ2!O473,'Étape 1 - à remplir'!$G$31:$G$400,"animaux"),SUMIFS('Étape 1 - à remplir'!$F$31:$F$400,'Étape 1 - à remplir'!$E$31:$E$400,MASQ2!O473,'Étape 1 - à remplir'!$P$31:$P$400,X$3)),IF(X$2="Atelier",IF(X$3="Tous",SUMIFS('Étape 1 - à remplir'!$F$31:$F$400,'Étape 1 - à remplir'!$E$31:$E$400,MASQ2!O473,'Étape 1 - à remplir'!$G$31:$G$400,"animaux"),SUMIFS('Étape 1 - à remplir'!$F$31:$F$400,'Étape 1 - à remplir'!$E$31:$E$400,MASQ2!O473,'Étape 1 - à remplir'!$O$31:$O$400,X$3)),IF(X$2="Espèce",IF(X$3="Toutes",SUMIFS('Étape 1 - à remplir'!$F$31:$F$400,'Étape 1 - à remplir'!$E$31:$E$400,MASQ2!O473,'Étape 1 - à remplir'!$G$31:$G$400,"animaux"),SUMIFS('Étape 1 - à remplir'!$F$31:$F$400,'Étape 1 - à remplir'!$E$31:$E$400,MASQ2!O473,'Étape 1 - à remplir'!$N$31:$N$400,X$3)))))))</f>
        <v>#N/A</v>
      </c>
      <c r="Q473" s="63">
        <f t="shared" si="310"/>
        <v>0</v>
      </c>
      <c r="R473" t="str">
        <f>Données_ATB!BM472</f>
        <v>Amoxicilline</v>
      </c>
      <c r="S473" t="str">
        <f>Données_ATB!BN472</f>
        <v/>
      </c>
      <c r="T473" s="63" t="str">
        <f>Données_ATB!BO472</f>
        <v/>
      </c>
      <c r="U473" s="42" t="str">
        <f>Données_ATB!BQ472</f>
        <v>Penicillines</v>
      </c>
      <c r="V473" t="str">
        <f>Données_ATB!BR472</f>
        <v/>
      </c>
      <c r="W473" s="63" t="str">
        <f>Données_ATB!BS472</f>
        <v/>
      </c>
      <c r="Z473" s="42">
        <v>470</v>
      </c>
      <c r="AA473" t="e">
        <f t="shared" si="306"/>
        <v>#N/A</v>
      </c>
      <c r="AB473" s="63" t="e">
        <f t="shared" si="307"/>
        <v>#N/A</v>
      </c>
      <c r="BF473" s="63"/>
      <c r="BT473" s="194" t="str">
        <f t="shared" ca="1" si="290"/>
        <v/>
      </c>
      <c r="BU473" s="219" t="str">
        <f>IFERROR(IF(BX473=0,"",COUNTIF(BX$4:BX$600,"&gt;"&amp;BX473)+COUNTIF(BX$4:BX473,BX473)),"")</f>
        <v/>
      </c>
      <c r="BV473" s="42" t="str">
        <f t="shared" si="291"/>
        <v>SURAMOX 15 % LA</v>
      </c>
      <c r="BW473" t="e">
        <f>IF(IF(CE$2="Catégorie",IF(CE$3="Toutes",SUMIFS('Étape 1 - à remplir'!$F$31:$F$400,'Étape 1 - à remplir'!$E$31:$E$400,MASQ2!BV473,'Étape 1 - à remplir'!$G$31:$G$400,"lots"),SUMIFS('Étape 1 - à remplir'!$F$31:$F$400,'Étape 1 - à remplir'!$E$31:$E$400,MASQ2!BV473,'Étape 1 - à remplir'!$C$31:$C$400,CE$3)),IF(CE$2="Âge",IF(CE$3="Tous",SUMIFS('Étape 1 - à remplir'!$F$31:$F$400,'Étape 1 - à remplir'!$E$31:$E$400,MASQ2!BV473,'Étape 1 - à remplir'!$G$31:$G$400,"lots"),SUMIFS('Étape 1 - à remplir'!$F$31:$F$400,'Étape 1 - à remplir'!$E$31:$E$400,MASQ2!BV473,'Étape 1 - à remplir'!$P$31:$P$400,CE$3,'Étape 1 - à remplir'!$G$31:$G$400,"lots")),IF(CE$2="Atelier",IF(CE$3="Tous",SUMIFS('Étape 1 - à remplir'!$F$31:$F$400,'Étape 1 - à remplir'!$E$31:$E$400,MASQ2!BV473,'Étape 1 - à remplir'!$G$31:$G$400,"lots"),SUMIFS('Étape 1 - à remplir'!$F$31:$F$400,'Étape 1 - à remplir'!$E$31:$E$400,MASQ2!BV473,'Étape 1 - à remplir'!$O$31:$O$400,CE$3,'Étape 1 - à remplir'!$G$31:$G$400,"lots")),IF(CE$2="Espèce",IF(CE$3="Toutes",SUMIFS('Étape 1 - à remplir'!$F$31:$F$400,'Étape 1 - à remplir'!$E$31:$E$400,MASQ2!BV473,'Étape 1 - à remplir'!$G$31:$G$400,"lots"),SUMIFS('Étape 1 - à remplir'!$F$31:$F$400,'Étape 1 - à remplir'!$E$31:$E$400,MASQ2!BV473,'Étape 1 - à remplir'!$N$31:$N$400,CE$3,'Étape 1 - à remplir'!$G$31:$G$400,"lots"))))))=0,NA(),IF(CE$2="Catégorie",IF(CE$3="Toutes",SUMIFS('Étape 1 - à remplir'!$F$31:$F$400,'Étape 1 - à remplir'!$E$31:$E$400,MASQ2!BV473,'Étape 1 - à remplir'!$G$31:$G$400,"lots"),SUMIFS('Étape 1 - à remplir'!$F$31:$F$400,'Étape 1 - à remplir'!$E$31:$E$400,MASQ2!BV473,'Étape 1 - à remplir'!$C$31:$C$400,CE$3)),IF(CE$2="Âge",IF(CE$3="Tous",SUMIFS('Étape 1 - à remplir'!$F$31:$F$400,'Étape 1 - à remplir'!$E$31:$E$400,MASQ2!BV473,'Étape 1 - à remplir'!$G$31:$G$400,"lots"),SUMIFS('Étape 1 - à remplir'!$F$31:$F$400,'Étape 1 - à remplir'!$E$31:$E$400,MASQ2!BV473,'Étape 1 - à remplir'!$P$31:$P$400,CE$3,'Étape 1 - à remplir'!$G$31:$G$400,"lots")),IF(CE$2="Atelier",IF(CE$3="Tous",SUMIFS('Étape 1 - à remplir'!$F$31:$F$400,'Étape 1 - à remplir'!$E$31:$E$400,MASQ2!BV473,'Étape 1 - à remplir'!$G$31:$G$400,"lots"),SUMIFS('Étape 1 - à remplir'!$F$31:$F$400,'Étape 1 - à remplir'!$E$31:$E$400,MASQ2!BV473,'Étape 1 - à remplir'!$O$31:$O$400,CE$3,'Étape 1 - à remplir'!$G$31:$G$400,"lots")),IF(CE$2="Espèce",IF(CE$3="Toutes",SUMIFS('Étape 1 - à remplir'!$F$31:$F$400,'Étape 1 - à remplir'!$E$31:$E$400,MASQ2!BV473,'Étape 1 - à remplir'!$G$31:$G$400,"lots"),SUMIFS('Étape 1 - à remplir'!$F$31:$F$400,'Étape 1 - à remplir'!$E$31:$E$400,MASQ2!BV473,'Étape 1 - à remplir'!$N$31:$N$400,CE$3,'Étape 1 - à remplir'!$G$31:$G$400,"lots")))))))</f>
        <v>#N/A</v>
      </c>
      <c r="BX473">
        <f t="shared" si="308"/>
        <v>0</v>
      </c>
      <c r="BY473" t="str">
        <f t="shared" si="292"/>
        <v>Amoxicilline</v>
      </c>
      <c r="BZ473" t="str">
        <f t="shared" si="293"/>
        <v/>
      </c>
      <c r="CA473" t="str">
        <f t="shared" si="294"/>
        <v/>
      </c>
      <c r="CB473" t="str">
        <f t="shared" si="295"/>
        <v>Penicillines</v>
      </c>
      <c r="CC473" t="str">
        <f t="shared" si="296"/>
        <v/>
      </c>
      <c r="CD473" s="63" t="str">
        <f t="shared" si="297"/>
        <v/>
      </c>
      <c r="CG473" s="42">
        <v>470</v>
      </c>
      <c r="CH473" s="42" t="e">
        <f t="shared" si="313"/>
        <v>#N/A</v>
      </c>
      <c r="CI473" s="63" t="e">
        <f t="shared" si="314"/>
        <v>#N/A</v>
      </c>
      <c r="DM473" s="63"/>
      <c r="EA473" s="194" t="str">
        <f t="shared" ca="1" si="298"/>
        <v/>
      </c>
      <c r="EB473" s="226" t="str">
        <f>IFERROR(IF(ED473=0,"",COUNTIF(ED$4:ED$600,"&gt;"&amp;ED473)+COUNTIF(ED$4:ED473,ED473)),"")</f>
        <v/>
      </c>
      <c r="EC473" t="str">
        <f t="shared" si="299"/>
        <v>SURAMOX 15 % LA</v>
      </c>
      <c r="ED473" t="e">
        <f>IF(IF(EL$2="Catégorie",IF(EL$3="Toutes",SUMIFS('Étape 1 - à remplir'!$F$31:$F$400,'Étape 1 - à remplir'!$E$31:$E$400,MASQ2!EC473,'Étape 1 - à remplir'!$G$31:$G$400,"kg"),SUMIFS('Étape 1 - à remplir'!$F$31:$F$400,'Étape 1 - à remplir'!$E$31:$E$400,MASQ2!EC473,'Étape 1 - à remplir'!$C$31:$C$400,EL$3)),IF(EL$2="Âge",IF(EL$3="Tous",SUMIFS('Étape 1 - à remplir'!$F$31:$F$400,'Étape 1 - à remplir'!$E$31:$E$400,MASQ2!EC473,'Étape 1 - à remplir'!$G$31:$G$400,"kg"),SUMIFS('Étape 1 - à remplir'!$F$31:$F$400,'Étape 1 - à remplir'!$E$31:$E$400,MASQ2!EC473,'Étape 1 - à remplir'!$P$31:$P$400,EL$3,'Étape 1 - à remplir'!$G$31:$G$400,"kg")),IF(EL$2="Atelier",IF(EL$3="Tous",SUMIFS('Étape 1 - à remplir'!$F$31:$F$400,'Étape 1 - à remplir'!$E$31:$E$400,MASQ2!EC473,'Étape 1 - à remplir'!$G$31:$G$400,"kg"),SUMIFS('Étape 1 - à remplir'!$F$31:$F$400,'Étape 1 - à remplir'!$E$31:$E$400,MASQ2!EC473,'Étape 1 - à remplir'!$O$31:$O$400,EL$3,'Étape 1 - à remplir'!$G$31:$G$400,"kg")),IF(EL$2="Espèce",IF(EL$3="Toutes",SUMIFS('Étape 1 - à remplir'!$F$31:$F$400,'Étape 1 - à remplir'!$E$31:$E$400,MASQ2!EC473,'Étape 1 - à remplir'!$G$31:$G$400,"kg"),SUMIFS('Étape 1 - à remplir'!$F$31:$F$400,'Étape 1 - à remplir'!$E$31:$E$400,MASQ2!EC473,'Étape 1 - à remplir'!$N$31:$N$400,EL$3,'Étape 1 - à remplir'!$G$31:$G$400,"kg"))))))=0,NA(),IF(EL$2="Catégorie",IF(EL$3="Toutes",SUMIFS('Étape 1 - à remplir'!$F$31:$F$400,'Étape 1 - à remplir'!$E$31:$E$400,MASQ2!EC473,'Étape 1 - à remplir'!$G$31:$G$400,"kg"),SUMIFS('Étape 1 - à remplir'!$F$31:$F$400,'Étape 1 - à remplir'!$E$31:$E$400,MASQ2!EC473,'Étape 1 - à remplir'!$C$31:$C$400,EL$3)),IF(EL$2="Âge",IF(EL$3="Tous",SUMIFS('Étape 1 - à remplir'!$F$31:$F$400,'Étape 1 - à remplir'!$E$31:$E$400,MASQ2!EC473,'Étape 1 - à remplir'!$G$31:$G$400,"kg"),SUMIFS('Étape 1 - à remplir'!$F$31:$F$400,'Étape 1 - à remplir'!$E$31:$E$400,MASQ2!EC473,'Étape 1 - à remplir'!$P$31:$P$400,EL$3,'Étape 1 - à remplir'!$G$31:$G$400,"kg")),IF(EL$2="Atelier",IF(EL$3="Tous",SUMIFS('Étape 1 - à remplir'!$F$31:$F$400,'Étape 1 - à remplir'!$E$31:$E$400,MASQ2!EC473,'Étape 1 - à remplir'!$G$31:$G$400,"kg"),SUMIFS('Étape 1 - à remplir'!$F$31:$F$400,'Étape 1 - à remplir'!$E$31:$E$400,MASQ2!EC473,'Étape 1 - à remplir'!$O$31:$O$400,EL$3,'Étape 1 - à remplir'!$G$31:$G$400,"kg")),IF(EL$2="Espèce",IF(EL$3="Toutes",SUMIFS('Étape 1 - à remplir'!$F$31:$F$400,'Étape 1 - à remplir'!$E$31:$E$400,MASQ2!EC473,'Étape 1 - à remplir'!$G$31:$G$400,"kg"),SUMIFS('Étape 1 - à remplir'!$F$31:$F$400,'Étape 1 - à remplir'!$E$31:$E$400,MASQ2!EC473,'Étape 1 - à remplir'!$N$31:$N$400,EL$3,'Étape 1 - à remplir'!$G$31:$G$400,"kg")))))))</f>
        <v>#N/A</v>
      </c>
      <c r="EE473" s="76">
        <f t="shared" si="309"/>
        <v>0</v>
      </c>
      <c r="EF473" t="str">
        <f t="shared" si="300"/>
        <v>Amoxicilline</v>
      </c>
      <c r="EG473" t="str">
        <f t="shared" si="301"/>
        <v/>
      </c>
      <c r="EH473" t="str">
        <f t="shared" si="302"/>
        <v/>
      </c>
      <c r="EI473" t="str">
        <f t="shared" si="303"/>
        <v>Penicillines</v>
      </c>
      <c r="EJ473" t="str">
        <f t="shared" si="304"/>
        <v/>
      </c>
      <c r="EK473" s="63" t="str">
        <f t="shared" si="305"/>
        <v/>
      </c>
      <c r="EN473" s="42">
        <v>470</v>
      </c>
      <c r="EO473" t="e">
        <f t="shared" si="311"/>
        <v>#N/A</v>
      </c>
      <c r="EP473" s="63" t="e">
        <f t="shared" si="312"/>
        <v>#N/A</v>
      </c>
      <c r="FT473" s="63"/>
    </row>
    <row r="474" spans="2:176" x14ac:dyDescent="0.3">
      <c r="B474" s="42"/>
      <c r="M474" s="194" t="str">
        <f ca="1">INDEX(Données_ATB!BD:BU,MATCH(MASQ2!O474,Données_ATB!BD:BD,0),18)</f>
        <v/>
      </c>
      <c r="N474" s="14" t="str">
        <f>IFERROR(IF(Q474=0,"",COUNTIF(Q$4:Q$600,"&gt;"&amp;Q474)+COUNTIF(Q$4:Q474,Q474)),"")</f>
        <v/>
      </c>
      <c r="O474" t="str">
        <f>Données_ATB!BD473</f>
        <v>SURAMOX 50 POUDRE ORALE PORC</v>
      </c>
      <c r="P474" t="e">
        <f>IF(IF(X$2="Catégorie",IF(X$3="Toutes",SUMIFS('Étape 1 - à remplir'!$F$31:$F$400,'Étape 1 - à remplir'!$E$31:$E$400,MASQ2!O474,'Étape 1 - à remplir'!$G$31:$G$400,"animaux"),SUMIFS('Étape 1 - à remplir'!$F$31:$F$400,'Étape 1 - à remplir'!$E$31:$E$400,MASQ2!O474,'Étape 1 - à remplir'!$C$31:$C$400,X$3)),IF(X$2="Âge",IF(X$3="Tous",SUMIFS('Étape 1 - à remplir'!$F$31:$F$400,'Étape 1 - à remplir'!$E$31:$E$400,MASQ2!O474,'Étape 1 - à remplir'!$G$31:$G$400,"animaux"),SUMIFS('Étape 1 - à remplir'!$F$31:$F$400,'Étape 1 - à remplir'!$E$31:$E$400,MASQ2!O474,'Étape 1 - à remplir'!$P$31:$P$400,X$3)),IF(X$2="Atelier",IF(X$3="Tous",SUMIFS('Étape 1 - à remplir'!$F$31:$F$400,'Étape 1 - à remplir'!$E$31:$E$400,MASQ2!O474,'Étape 1 - à remplir'!$G$31:$G$400,"animaux"),SUMIFS('Étape 1 - à remplir'!$F$31:$F$400,'Étape 1 - à remplir'!$E$31:$E$400,MASQ2!O474,'Étape 1 - à remplir'!$O$31:$O$400,X$3)),IF(X$2="Espèce",IF(X$3="Toutes",SUMIFS('Étape 1 - à remplir'!$F$31:$F$400,'Étape 1 - à remplir'!$E$31:$E$400,MASQ2!O474,'Étape 1 - à remplir'!$G$31:$G$400,"animaux"),SUMIFS('Étape 1 - à remplir'!$F$31:$F$400,'Étape 1 - à remplir'!$E$31:$E$400,MASQ2!O474,'Étape 1 - à remplir'!$N$31:$N$400,X$3))))))=0,NA(),IF(X$2="Catégorie",IF(X$3="Toutes",SUMIFS('Étape 1 - à remplir'!$F$31:$F$400,'Étape 1 - à remplir'!$E$31:$E$400,MASQ2!O474,'Étape 1 - à remplir'!$G$31:$G$400,"animaux"),SUMIFS('Étape 1 - à remplir'!$F$31:$F$400,'Étape 1 - à remplir'!$E$31:$E$400,MASQ2!O474,'Étape 1 - à remplir'!$C$31:$C$400,X$3)),IF(X$2="Âge",IF(X$3="Tous",SUMIFS('Étape 1 - à remplir'!$F$31:$F$400,'Étape 1 - à remplir'!$E$31:$E$400,MASQ2!O474,'Étape 1 - à remplir'!$G$31:$G$400,"animaux"),SUMIFS('Étape 1 - à remplir'!$F$31:$F$400,'Étape 1 - à remplir'!$E$31:$E$400,MASQ2!O474,'Étape 1 - à remplir'!$P$31:$P$400,X$3)),IF(X$2="Atelier",IF(X$3="Tous",SUMIFS('Étape 1 - à remplir'!$F$31:$F$400,'Étape 1 - à remplir'!$E$31:$E$400,MASQ2!O474,'Étape 1 - à remplir'!$G$31:$G$400,"animaux"),SUMIFS('Étape 1 - à remplir'!$F$31:$F$400,'Étape 1 - à remplir'!$E$31:$E$400,MASQ2!O474,'Étape 1 - à remplir'!$O$31:$O$400,X$3)),IF(X$2="Espèce",IF(X$3="Toutes",SUMIFS('Étape 1 - à remplir'!$F$31:$F$400,'Étape 1 - à remplir'!$E$31:$E$400,MASQ2!O474,'Étape 1 - à remplir'!$G$31:$G$400,"animaux"),SUMIFS('Étape 1 - à remplir'!$F$31:$F$400,'Étape 1 - à remplir'!$E$31:$E$400,MASQ2!O474,'Étape 1 - à remplir'!$N$31:$N$400,X$3)))))))</f>
        <v>#N/A</v>
      </c>
      <c r="Q474" s="63">
        <f t="shared" si="310"/>
        <v>0</v>
      </c>
      <c r="R474" t="str">
        <f>Données_ATB!BM473</f>
        <v>Amoxicilline</v>
      </c>
      <c r="S474" t="str">
        <f>Données_ATB!BN473</f>
        <v/>
      </c>
      <c r="T474" s="63" t="str">
        <f>Données_ATB!BO473</f>
        <v/>
      </c>
      <c r="U474" s="42" t="str">
        <f>Données_ATB!BQ473</f>
        <v>Penicillines</v>
      </c>
      <c r="V474" t="str">
        <f>Données_ATB!BR473</f>
        <v/>
      </c>
      <c r="W474" s="63" t="str">
        <f>Données_ATB!BS473</f>
        <v/>
      </c>
      <c r="Z474" s="42">
        <v>471</v>
      </c>
      <c r="AA474" t="e">
        <f t="shared" si="306"/>
        <v>#N/A</v>
      </c>
      <c r="AB474" s="63" t="e">
        <f t="shared" si="307"/>
        <v>#N/A</v>
      </c>
      <c r="BF474" s="63"/>
      <c r="BT474" s="194" t="str">
        <f t="shared" ca="1" si="290"/>
        <v/>
      </c>
      <c r="BU474" s="219" t="str">
        <f>IFERROR(IF(BX474=0,"",COUNTIF(BX$4:BX$600,"&gt;"&amp;BX474)+COUNTIF(BX$4:BX474,BX474)),"")</f>
        <v/>
      </c>
      <c r="BV474" s="42" t="str">
        <f t="shared" si="291"/>
        <v>SURAMOX 50 POUDRE ORALE PORC</v>
      </c>
      <c r="BW474" t="e">
        <f>IF(IF(CE$2="Catégorie",IF(CE$3="Toutes",SUMIFS('Étape 1 - à remplir'!$F$31:$F$400,'Étape 1 - à remplir'!$E$31:$E$400,MASQ2!BV474,'Étape 1 - à remplir'!$G$31:$G$400,"lots"),SUMIFS('Étape 1 - à remplir'!$F$31:$F$400,'Étape 1 - à remplir'!$E$31:$E$400,MASQ2!BV474,'Étape 1 - à remplir'!$C$31:$C$400,CE$3)),IF(CE$2="Âge",IF(CE$3="Tous",SUMIFS('Étape 1 - à remplir'!$F$31:$F$400,'Étape 1 - à remplir'!$E$31:$E$400,MASQ2!BV474,'Étape 1 - à remplir'!$G$31:$G$400,"lots"),SUMIFS('Étape 1 - à remplir'!$F$31:$F$400,'Étape 1 - à remplir'!$E$31:$E$400,MASQ2!BV474,'Étape 1 - à remplir'!$P$31:$P$400,CE$3,'Étape 1 - à remplir'!$G$31:$G$400,"lots")),IF(CE$2="Atelier",IF(CE$3="Tous",SUMIFS('Étape 1 - à remplir'!$F$31:$F$400,'Étape 1 - à remplir'!$E$31:$E$400,MASQ2!BV474,'Étape 1 - à remplir'!$G$31:$G$400,"lots"),SUMIFS('Étape 1 - à remplir'!$F$31:$F$400,'Étape 1 - à remplir'!$E$31:$E$400,MASQ2!BV474,'Étape 1 - à remplir'!$O$31:$O$400,CE$3,'Étape 1 - à remplir'!$G$31:$G$400,"lots")),IF(CE$2="Espèce",IF(CE$3="Toutes",SUMIFS('Étape 1 - à remplir'!$F$31:$F$400,'Étape 1 - à remplir'!$E$31:$E$400,MASQ2!BV474,'Étape 1 - à remplir'!$G$31:$G$400,"lots"),SUMIFS('Étape 1 - à remplir'!$F$31:$F$400,'Étape 1 - à remplir'!$E$31:$E$400,MASQ2!BV474,'Étape 1 - à remplir'!$N$31:$N$400,CE$3,'Étape 1 - à remplir'!$G$31:$G$400,"lots"))))))=0,NA(),IF(CE$2="Catégorie",IF(CE$3="Toutes",SUMIFS('Étape 1 - à remplir'!$F$31:$F$400,'Étape 1 - à remplir'!$E$31:$E$400,MASQ2!BV474,'Étape 1 - à remplir'!$G$31:$G$400,"lots"),SUMIFS('Étape 1 - à remplir'!$F$31:$F$400,'Étape 1 - à remplir'!$E$31:$E$400,MASQ2!BV474,'Étape 1 - à remplir'!$C$31:$C$400,CE$3)),IF(CE$2="Âge",IF(CE$3="Tous",SUMIFS('Étape 1 - à remplir'!$F$31:$F$400,'Étape 1 - à remplir'!$E$31:$E$400,MASQ2!BV474,'Étape 1 - à remplir'!$G$31:$G$400,"lots"),SUMIFS('Étape 1 - à remplir'!$F$31:$F$400,'Étape 1 - à remplir'!$E$31:$E$400,MASQ2!BV474,'Étape 1 - à remplir'!$P$31:$P$400,CE$3,'Étape 1 - à remplir'!$G$31:$G$400,"lots")),IF(CE$2="Atelier",IF(CE$3="Tous",SUMIFS('Étape 1 - à remplir'!$F$31:$F$400,'Étape 1 - à remplir'!$E$31:$E$400,MASQ2!BV474,'Étape 1 - à remplir'!$G$31:$G$400,"lots"),SUMIFS('Étape 1 - à remplir'!$F$31:$F$400,'Étape 1 - à remplir'!$E$31:$E$400,MASQ2!BV474,'Étape 1 - à remplir'!$O$31:$O$400,CE$3,'Étape 1 - à remplir'!$G$31:$G$400,"lots")),IF(CE$2="Espèce",IF(CE$3="Toutes",SUMIFS('Étape 1 - à remplir'!$F$31:$F$400,'Étape 1 - à remplir'!$E$31:$E$400,MASQ2!BV474,'Étape 1 - à remplir'!$G$31:$G$400,"lots"),SUMIFS('Étape 1 - à remplir'!$F$31:$F$400,'Étape 1 - à remplir'!$E$31:$E$400,MASQ2!BV474,'Étape 1 - à remplir'!$N$31:$N$400,CE$3,'Étape 1 - à remplir'!$G$31:$G$400,"lots")))))))</f>
        <v>#N/A</v>
      </c>
      <c r="BX474">
        <f t="shared" si="308"/>
        <v>0</v>
      </c>
      <c r="BY474" t="str">
        <f t="shared" si="292"/>
        <v>Amoxicilline</v>
      </c>
      <c r="BZ474" t="str">
        <f t="shared" si="293"/>
        <v/>
      </c>
      <c r="CA474" t="str">
        <f t="shared" si="294"/>
        <v/>
      </c>
      <c r="CB474" t="str">
        <f t="shared" si="295"/>
        <v>Penicillines</v>
      </c>
      <c r="CC474" t="str">
        <f t="shared" si="296"/>
        <v/>
      </c>
      <c r="CD474" s="63" t="str">
        <f t="shared" si="297"/>
        <v/>
      </c>
      <c r="CG474" s="42">
        <v>471</v>
      </c>
      <c r="CH474" s="42" t="e">
        <f t="shared" si="313"/>
        <v>#N/A</v>
      </c>
      <c r="CI474" s="63" t="e">
        <f t="shared" si="314"/>
        <v>#N/A</v>
      </c>
      <c r="DM474" s="63"/>
      <c r="EA474" s="194" t="str">
        <f t="shared" ca="1" si="298"/>
        <v/>
      </c>
      <c r="EB474" s="226" t="str">
        <f>IFERROR(IF(ED474=0,"",COUNTIF(ED$4:ED$600,"&gt;"&amp;ED474)+COUNTIF(ED$4:ED474,ED474)),"")</f>
        <v/>
      </c>
      <c r="EC474" t="str">
        <f t="shared" si="299"/>
        <v>SURAMOX 50 POUDRE ORALE PORC</v>
      </c>
      <c r="ED474" t="e">
        <f>IF(IF(EL$2="Catégorie",IF(EL$3="Toutes",SUMIFS('Étape 1 - à remplir'!$F$31:$F$400,'Étape 1 - à remplir'!$E$31:$E$400,MASQ2!EC474,'Étape 1 - à remplir'!$G$31:$G$400,"kg"),SUMIFS('Étape 1 - à remplir'!$F$31:$F$400,'Étape 1 - à remplir'!$E$31:$E$400,MASQ2!EC474,'Étape 1 - à remplir'!$C$31:$C$400,EL$3)),IF(EL$2="Âge",IF(EL$3="Tous",SUMIFS('Étape 1 - à remplir'!$F$31:$F$400,'Étape 1 - à remplir'!$E$31:$E$400,MASQ2!EC474,'Étape 1 - à remplir'!$G$31:$G$400,"kg"),SUMIFS('Étape 1 - à remplir'!$F$31:$F$400,'Étape 1 - à remplir'!$E$31:$E$400,MASQ2!EC474,'Étape 1 - à remplir'!$P$31:$P$400,EL$3,'Étape 1 - à remplir'!$G$31:$G$400,"kg")),IF(EL$2="Atelier",IF(EL$3="Tous",SUMIFS('Étape 1 - à remplir'!$F$31:$F$400,'Étape 1 - à remplir'!$E$31:$E$400,MASQ2!EC474,'Étape 1 - à remplir'!$G$31:$G$400,"kg"),SUMIFS('Étape 1 - à remplir'!$F$31:$F$400,'Étape 1 - à remplir'!$E$31:$E$400,MASQ2!EC474,'Étape 1 - à remplir'!$O$31:$O$400,EL$3,'Étape 1 - à remplir'!$G$31:$G$400,"kg")),IF(EL$2="Espèce",IF(EL$3="Toutes",SUMIFS('Étape 1 - à remplir'!$F$31:$F$400,'Étape 1 - à remplir'!$E$31:$E$400,MASQ2!EC474,'Étape 1 - à remplir'!$G$31:$G$400,"kg"),SUMIFS('Étape 1 - à remplir'!$F$31:$F$400,'Étape 1 - à remplir'!$E$31:$E$400,MASQ2!EC474,'Étape 1 - à remplir'!$N$31:$N$400,EL$3,'Étape 1 - à remplir'!$G$31:$G$400,"kg"))))))=0,NA(),IF(EL$2="Catégorie",IF(EL$3="Toutes",SUMIFS('Étape 1 - à remplir'!$F$31:$F$400,'Étape 1 - à remplir'!$E$31:$E$400,MASQ2!EC474,'Étape 1 - à remplir'!$G$31:$G$400,"kg"),SUMIFS('Étape 1 - à remplir'!$F$31:$F$400,'Étape 1 - à remplir'!$E$31:$E$400,MASQ2!EC474,'Étape 1 - à remplir'!$C$31:$C$400,EL$3)),IF(EL$2="Âge",IF(EL$3="Tous",SUMIFS('Étape 1 - à remplir'!$F$31:$F$400,'Étape 1 - à remplir'!$E$31:$E$400,MASQ2!EC474,'Étape 1 - à remplir'!$G$31:$G$400,"kg"),SUMIFS('Étape 1 - à remplir'!$F$31:$F$400,'Étape 1 - à remplir'!$E$31:$E$400,MASQ2!EC474,'Étape 1 - à remplir'!$P$31:$P$400,EL$3,'Étape 1 - à remplir'!$G$31:$G$400,"kg")),IF(EL$2="Atelier",IF(EL$3="Tous",SUMIFS('Étape 1 - à remplir'!$F$31:$F$400,'Étape 1 - à remplir'!$E$31:$E$400,MASQ2!EC474,'Étape 1 - à remplir'!$G$31:$G$400,"kg"),SUMIFS('Étape 1 - à remplir'!$F$31:$F$400,'Étape 1 - à remplir'!$E$31:$E$400,MASQ2!EC474,'Étape 1 - à remplir'!$O$31:$O$400,EL$3,'Étape 1 - à remplir'!$G$31:$G$400,"kg")),IF(EL$2="Espèce",IF(EL$3="Toutes",SUMIFS('Étape 1 - à remplir'!$F$31:$F$400,'Étape 1 - à remplir'!$E$31:$E$400,MASQ2!EC474,'Étape 1 - à remplir'!$G$31:$G$400,"kg"),SUMIFS('Étape 1 - à remplir'!$F$31:$F$400,'Étape 1 - à remplir'!$E$31:$E$400,MASQ2!EC474,'Étape 1 - à remplir'!$N$31:$N$400,EL$3,'Étape 1 - à remplir'!$G$31:$G$400,"kg")))))))</f>
        <v>#N/A</v>
      </c>
      <c r="EE474" s="76">
        <f t="shared" si="309"/>
        <v>0</v>
      </c>
      <c r="EF474" t="str">
        <f t="shared" si="300"/>
        <v>Amoxicilline</v>
      </c>
      <c r="EG474" t="str">
        <f t="shared" si="301"/>
        <v/>
      </c>
      <c r="EH474" t="str">
        <f t="shared" si="302"/>
        <v/>
      </c>
      <c r="EI474" t="str">
        <f t="shared" si="303"/>
        <v>Penicillines</v>
      </c>
      <c r="EJ474" t="str">
        <f t="shared" si="304"/>
        <v/>
      </c>
      <c r="EK474" s="63" t="str">
        <f t="shared" si="305"/>
        <v/>
      </c>
      <c r="EN474" s="42">
        <v>471</v>
      </c>
      <c r="EO474" t="e">
        <f t="shared" si="311"/>
        <v>#N/A</v>
      </c>
      <c r="EP474" s="63" t="e">
        <f t="shared" si="312"/>
        <v>#N/A</v>
      </c>
      <c r="FT474" s="63"/>
    </row>
    <row r="475" spans="2:176" x14ac:dyDescent="0.3">
      <c r="B475" s="42"/>
      <c r="M475" s="194" t="str">
        <f ca="1">INDEX(Données_ATB!BD:BU,MATCH(MASQ2!O475,Données_ATB!BD:BD,0),18)</f>
        <v/>
      </c>
      <c r="N475" s="14" t="str">
        <f>IFERROR(IF(Q475=0,"",COUNTIF(Q$4:Q$600,"&gt;"&amp;Q475)+COUNTIF(Q$4:Q475,Q475)),"")</f>
        <v/>
      </c>
      <c r="O475" t="str">
        <f>Données_ATB!BD474</f>
        <v>SURAMOX 50 POUDRE ORALE VOLAILLE</v>
      </c>
      <c r="P475" t="e">
        <f>IF(IF(X$2="Catégorie",IF(X$3="Toutes",SUMIFS('Étape 1 - à remplir'!$F$31:$F$400,'Étape 1 - à remplir'!$E$31:$E$400,MASQ2!O475,'Étape 1 - à remplir'!$G$31:$G$400,"animaux"),SUMIFS('Étape 1 - à remplir'!$F$31:$F$400,'Étape 1 - à remplir'!$E$31:$E$400,MASQ2!O475,'Étape 1 - à remplir'!$C$31:$C$400,X$3)),IF(X$2="Âge",IF(X$3="Tous",SUMIFS('Étape 1 - à remplir'!$F$31:$F$400,'Étape 1 - à remplir'!$E$31:$E$400,MASQ2!O475,'Étape 1 - à remplir'!$G$31:$G$400,"animaux"),SUMIFS('Étape 1 - à remplir'!$F$31:$F$400,'Étape 1 - à remplir'!$E$31:$E$400,MASQ2!O475,'Étape 1 - à remplir'!$P$31:$P$400,X$3)),IF(X$2="Atelier",IF(X$3="Tous",SUMIFS('Étape 1 - à remplir'!$F$31:$F$400,'Étape 1 - à remplir'!$E$31:$E$400,MASQ2!O475,'Étape 1 - à remplir'!$G$31:$G$400,"animaux"),SUMIFS('Étape 1 - à remplir'!$F$31:$F$400,'Étape 1 - à remplir'!$E$31:$E$400,MASQ2!O475,'Étape 1 - à remplir'!$O$31:$O$400,X$3)),IF(X$2="Espèce",IF(X$3="Toutes",SUMIFS('Étape 1 - à remplir'!$F$31:$F$400,'Étape 1 - à remplir'!$E$31:$E$400,MASQ2!O475,'Étape 1 - à remplir'!$G$31:$G$400,"animaux"),SUMIFS('Étape 1 - à remplir'!$F$31:$F$400,'Étape 1 - à remplir'!$E$31:$E$400,MASQ2!O475,'Étape 1 - à remplir'!$N$31:$N$400,X$3))))))=0,NA(),IF(X$2="Catégorie",IF(X$3="Toutes",SUMIFS('Étape 1 - à remplir'!$F$31:$F$400,'Étape 1 - à remplir'!$E$31:$E$400,MASQ2!O475,'Étape 1 - à remplir'!$G$31:$G$400,"animaux"),SUMIFS('Étape 1 - à remplir'!$F$31:$F$400,'Étape 1 - à remplir'!$E$31:$E$400,MASQ2!O475,'Étape 1 - à remplir'!$C$31:$C$400,X$3)),IF(X$2="Âge",IF(X$3="Tous",SUMIFS('Étape 1 - à remplir'!$F$31:$F$400,'Étape 1 - à remplir'!$E$31:$E$400,MASQ2!O475,'Étape 1 - à remplir'!$G$31:$G$400,"animaux"),SUMIFS('Étape 1 - à remplir'!$F$31:$F$400,'Étape 1 - à remplir'!$E$31:$E$400,MASQ2!O475,'Étape 1 - à remplir'!$P$31:$P$400,X$3)),IF(X$2="Atelier",IF(X$3="Tous",SUMIFS('Étape 1 - à remplir'!$F$31:$F$400,'Étape 1 - à remplir'!$E$31:$E$400,MASQ2!O475,'Étape 1 - à remplir'!$G$31:$G$400,"animaux"),SUMIFS('Étape 1 - à remplir'!$F$31:$F$400,'Étape 1 - à remplir'!$E$31:$E$400,MASQ2!O475,'Étape 1 - à remplir'!$O$31:$O$400,X$3)),IF(X$2="Espèce",IF(X$3="Toutes",SUMIFS('Étape 1 - à remplir'!$F$31:$F$400,'Étape 1 - à remplir'!$E$31:$E$400,MASQ2!O475,'Étape 1 - à remplir'!$G$31:$G$400,"animaux"),SUMIFS('Étape 1 - à remplir'!$F$31:$F$400,'Étape 1 - à remplir'!$E$31:$E$400,MASQ2!O475,'Étape 1 - à remplir'!$N$31:$N$400,X$3)))))))</f>
        <v>#N/A</v>
      </c>
      <c r="Q475" s="63">
        <f t="shared" si="310"/>
        <v>0</v>
      </c>
      <c r="R475" t="str">
        <f>Données_ATB!BM474</f>
        <v>Amoxicilline</v>
      </c>
      <c r="S475" t="str">
        <f>Données_ATB!BN474</f>
        <v/>
      </c>
      <c r="T475" s="63" t="str">
        <f>Données_ATB!BO474</f>
        <v/>
      </c>
      <c r="U475" s="42" t="str">
        <f>Données_ATB!BQ474</f>
        <v>Penicillines</v>
      </c>
      <c r="V475" t="str">
        <f>Données_ATB!BR474</f>
        <v/>
      </c>
      <c r="W475" s="63" t="str">
        <f>Données_ATB!BS474</f>
        <v/>
      </c>
      <c r="Z475" s="42">
        <v>472</v>
      </c>
      <c r="AA475" t="e">
        <f t="shared" si="306"/>
        <v>#N/A</v>
      </c>
      <c r="AB475" s="63" t="e">
        <f t="shared" si="307"/>
        <v>#N/A</v>
      </c>
      <c r="BF475" s="63"/>
      <c r="BT475" s="194" t="str">
        <f t="shared" ca="1" si="290"/>
        <v/>
      </c>
      <c r="BU475" s="219" t="str">
        <f>IFERROR(IF(BX475=0,"",COUNTIF(BX$4:BX$600,"&gt;"&amp;BX475)+COUNTIF(BX$4:BX475,BX475)),"")</f>
        <v/>
      </c>
      <c r="BV475" s="42" t="str">
        <f t="shared" si="291"/>
        <v>SURAMOX 50 POUDRE ORALE VOLAILLE</v>
      </c>
      <c r="BW475" t="e">
        <f>IF(IF(CE$2="Catégorie",IF(CE$3="Toutes",SUMIFS('Étape 1 - à remplir'!$F$31:$F$400,'Étape 1 - à remplir'!$E$31:$E$400,MASQ2!BV475,'Étape 1 - à remplir'!$G$31:$G$400,"lots"),SUMIFS('Étape 1 - à remplir'!$F$31:$F$400,'Étape 1 - à remplir'!$E$31:$E$400,MASQ2!BV475,'Étape 1 - à remplir'!$C$31:$C$400,CE$3)),IF(CE$2="Âge",IF(CE$3="Tous",SUMIFS('Étape 1 - à remplir'!$F$31:$F$400,'Étape 1 - à remplir'!$E$31:$E$400,MASQ2!BV475,'Étape 1 - à remplir'!$G$31:$G$400,"lots"),SUMIFS('Étape 1 - à remplir'!$F$31:$F$400,'Étape 1 - à remplir'!$E$31:$E$400,MASQ2!BV475,'Étape 1 - à remplir'!$P$31:$P$400,CE$3,'Étape 1 - à remplir'!$G$31:$G$400,"lots")),IF(CE$2="Atelier",IF(CE$3="Tous",SUMIFS('Étape 1 - à remplir'!$F$31:$F$400,'Étape 1 - à remplir'!$E$31:$E$400,MASQ2!BV475,'Étape 1 - à remplir'!$G$31:$G$400,"lots"),SUMIFS('Étape 1 - à remplir'!$F$31:$F$400,'Étape 1 - à remplir'!$E$31:$E$400,MASQ2!BV475,'Étape 1 - à remplir'!$O$31:$O$400,CE$3,'Étape 1 - à remplir'!$G$31:$G$400,"lots")),IF(CE$2="Espèce",IF(CE$3="Toutes",SUMIFS('Étape 1 - à remplir'!$F$31:$F$400,'Étape 1 - à remplir'!$E$31:$E$400,MASQ2!BV475,'Étape 1 - à remplir'!$G$31:$G$400,"lots"),SUMIFS('Étape 1 - à remplir'!$F$31:$F$400,'Étape 1 - à remplir'!$E$31:$E$400,MASQ2!BV475,'Étape 1 - à remplir'!$N$31:$N$400,CE$3,'Étape 1 - à remplir'!$G$31:$G$400,"lots"))))))=0,NA(),IF(CE$2="Catégorie",IF(CE$3="Toutes",SUMIFS('Étape 1 - à remplir'!$F$31:$F$400,'Étape 1 - à remplir'!$E$31:$E$400,MASQ2!BV475,'Étape 1 - à remplir'!$G$31:$G$400,"lots"),SUMIFS('Étape 1 - à remplir'!$F$31:$F$400,'Étape 1 - à remplir'!$E$31:$E$400,MASQ2!BV475,'Étape 1 - à remplir'!$C$31:$C$400,CE$3)),IF(CE$2="Âge",IF(CE$3="Tous",SUMIFS('Étape 1 - à remplir'!$F$31:$F$400,'Étape 1 - à remplir'!$E$31:$E$400,MASQ2!BV475,'Étape 1 - à remplir'!$G$31:$G$400,"lots"),SUMIFS('Étape 1 - à remplir'!$F$31:$F$400,'Étape 1 - à remplir'!$E$31:$E$400,MASQ2!BV475,'Étape 1 - à remplir'!$P$31:$P$400,CE$3,'Étape 1 - à remplir'!$G$31:$G$400,"lots")),IF(CE$2="Atelier",IF(CE$3="Tous",SUMIFS('Étape 1 - à remplir'!$F$31:$F$400,'Étape 1 - à remplir'!$E$31:$E$400,MASQ2!BV475,'Étape 1 - à remplir'!$G$31:$G$400,"lots"),SUMIFS('Étape 1 - à remplir'!$F$31:$F$400,'Étape 1 - à remplir'!$E$31:$E$400,MASQ2!BV475,'Étape 1 - à remplir'!$O$31:$O$400,CE$3,'Étape 1 - à remplir'!$G$31:$G$400,"lots")),IF(CE$2="Espèce",IF(CE$3="Toutes",SUMIFS('Étape 1 - à remplir'!$F$31:$F$400,'Étape 1 - à remplir'!$E$31:$E$400,MASQ2!BV475,'Étape 1 - à remplir'!$G$31:$G$400,"lots"),SUMIFS('Étape 1 - à remplir'!$F$31:$F$400,'Étape 1 - à remplir'!$E$31:$E$400,MASQ2!BV475,'Étape 1 - à remplir'!$N$31:$N$400,CE$3,'Étape 1 - à remplir'!$G$31:$G$400,"lots")))))))</f>
        <v>#N/A</v>
      </c>
      <c r="BX475">
        <f t="shared" si="308"/>
        <v>0</v>
      </c>
      <c r="BY475" t="str">
        <f t="shared" si="292"/>
        <v>Amoxicilline</v>
      </c>
      <c r="BZ475" t="str">
        <f t="shared" si="293"/>
        <v/>
      </c>
      <c r="CA475" t="str">
        <f t="shared" si="294"/>
        <v/>
      </c>
      <c r="CB475" t="str">
        <f t="shared" si="295"/>
        <v>Penicillines</v>
      </c>
      <c r="CC475" t="str">
        <f t="shared" si="296"/>
        <v/>
      </c>
      <c r="CD475" s="63" t="str">
        <f t="shared" si="297"/>
        <v/>
      </c>
      <c r="CG475" s="42">
        <v>472</v>
      </c>
      <c r="CH475" s="42" t="e">
        <f t="shared" si="313"/>
        <v>#N/A</v>
      </c>
      <c r="CI475" s="63" t="e">
        <f t="shared" si="314"/>
        <v>#N/A</v>
      </c>
      <c r="DM475" s="63"/>
      <c r="EA475" s="194" t="str">
        <f t="shared" ca="1" si="298"/>
        <v/>
      </c>
      <c r="EB475" s="226" t="str">
        <f>IFERROR(IF(ED475=0,"",COUNTIF(ED$4:ED$600,"&gt;"&amp;ED475)+COUNTIF(ED$4:ED475,ED475)),"")</f>
        <v/>
      </c>
      <c r="EC475" t="str">
        <f t="shared" si="299"/>
        <v>SURAMOX 50 POUDRE ORALE VOLAILLE</v>
      </c>
      <c r="ED475" t="e">
        <f>IF(IF(EL$2="Catégorie",IF(EL$3="Toutes",SUMIFS('Étape 1 - à remplir'!$F$31:$F$400,'Étape 1 - à remplir'!$E$31:$E$400,MASQ2!EC475,'Étape 1 - à remplir'!$G$31:$G$400,"kg"),SUMIFS('Étape 1 - à remplir'!$F$31:$F$400,'Étape 1 - à remplir'!$E$31:$E$400,MASQ2!EC475,'Étape 1 - à remplir'!$C$31:$C$400,EL$3)),IF(EL$2="Âge",IF(EL$3="Tous",SUMIFS('Étape 1 - à remplir'!$F$31:$F$400,'Étape 1 - à remplir'!$E$31:$E$400,MASQ2!EC475,'Étape 1 - à remplir'!$G$31:$G$400,"kg"),SUMIFS('Étape 1 - à remplir'!$F$31:$F$400,'Étape 1 - à remplir'!$E$31:$E$400,MASQ2!EC475,'Étape 1 - à remplir'!$P$31:$P$400,EL$3,'Étape 1 - à remplir'!$G$31:$G$400,"kg")),IF(EL$2="Atelier",IF(EL$3="Tous",SUMIFS('Étape 1 - à remplir'!$F$31:$F$400,'Étape 1 - à remplir'!$E$31:$E$400,MASQ2!EC475,'Étape 1 - à remplir'!$G$31:$G$400,"kg"),SUMIFS('Étape 1 - à remplir'!$F$31:$F$400,'Étape 1 - à remplir'!$E$31:$E$400,MASQ2!EC475,'Étape 1 - à remplir'!$O$31:$O$400,EL$3,'Étape 1 - à remplir'!$G$31:$G$400,"kg")),IF(EL$2="Espèce",IF(EL$3="Toutes",SUMIFS('Étape 1 - à remplir'!$F$31:$F$400,'Étape 1 - à remplir'!$E$31:$E$400,MASQ2!EC475,'Étape 1 - à remplir'!$G$31:$G$400,"kg"),SUMIFS('Étape 1 - à remplir'!$F$31:$F$400,'Étape 1 - à remplir'!$E$31:$E$400,MASQ2!EC475,'Étape 1 - à remplir'!$N$31:$N$400,EL$3,'Étape 1 - à remplir'!$G$31:$G$400,"kg"))))))=0,NA(),IF(EL$2="Catégorie",IF(EL$3="Toutes",SUMIFS('Étape 1 - à remplir'!$F$31:$F$400,'Étape 1 - à remplir'!$E$31:$E$400,MASQ2!EC475,'Étape 1 - à remplir'!$G$31:$G$400,"kg"),SUMIFS('Étape 1 - à remplir'!$F$31:$F$400,'Étape 1 - à remplir'!$E$31:$E$400,MASQ2!EC475,'Étape 1 - à remplir'!$C$31:$C$400,EL$3)),IF(EL$2="Âge",IF(EL$3="Tous",SUMIFS('Étape 1 - à remplir'!$F$31:$F$400,'Étape 1 - à remplir'!$E$31:$E$400,MASQ2!EC475,'Étape 1 - à remplir'!$G$31:$G$400,"kg"),SUMIFS('Étape 1 - à remplir'!$F$31:$F$400,'Étape 1 - à remplir'!$E$31:$E$400,MASQ2!EC475,'Étape 1 - à remplir'!$P$31:$P$400,EL$3,'Étape 1 - à remplir'!$G$31:$G$400,"kg")),IF(EL$2="Atelier",IF(EL$3="Tous",SUMIFS('Étape 1 - à remplir'!$F$31:$F$400,'Étape 1 - à remplir'!$E$31:$E$400,MASQ2!EC475,'Étape 1 - à remplir'!$G$31:$G$400,"kg"),SUMIFS('Étape 1 - à remplir'!$F$31:$F$400,'Étape 1 - à remplir'!$E$31:$E$400,MASQ2!EC475,'Étape 1 - à remplir'!$O$31:$O$400,EL$3,'Étape 1 - à remplir'!$G$31:$G$400,"kg")),IF(EL$2="Espèce",IF(EL$3="Toutes",SUMIFS('Étape 1 - à remplir'!$F$31:$F$400,'Étape 1 - à remplir'!$E$31:$E$400,MASQ2!EC475,'Étape 1 - à remplir'!$G$31:$G$400,"kg"),SUMIFS('Étape 1 - à remplir'!$F$31:$F$400,'Étape 1 - à remplir'!$E$31:$E$400,MASQ2!EC475,'Étape 1 - à remplir'!$N$31:$N$400,EL$3,'Étape 1 - à remplir'!$G$31:$G$400,"kg")))))))</f>
        <v>#N/A</v>
      </c>
      <c r="EE475" s="76">
        <f t="shared" si="309"/>
        <v>0</v>
      </c>
      <c r="EF475" t="str">
        <f t="shared" si="300"/>
        <v>Amoxicilline</v>
      </c>
      <c r="EG475" t="str">
        <f t="shared" si="301"/>
        <v/>
      </c>
      <c r="EH475" t="str">
        <f t="shared" si="302"/>
        <v/>
      </c>
      <c r="EI475" t="str">
        <f t="shared" si="303"/>
        <v>Penicillines</v>
      </c>
      <c r="EJ475" t="str">
        <f t="shared" si="304"/>
        <v/>
      </c>
      <c r="EK475" s="63" t="str">
        <f t="shared" si="305"/>
        <v/>
      </c>
      <c r="EN475" s="42">
        <v>472</v>
      </c>
      <c r="EO475" t="e">
        <f t="shared" si="311"/>
        <v>#N/A</v>
      </c>
      <c r="EP475" s="63" t="e">
        <f t="shared" si="312"/>
        <v>#N/A</v>
      </c>
      <c r="FT475" s="63"/>
    </row>
    <row r="476" spans="2:176" x14ac:dyDescent="0.3">
      <c r="B476" s="42"/>
      <c r="M476" s="194" t="str">
        <f ca="1">INDEX(Données_ATB!BD:BU,MATCH(MASQ2!O476,Données_ATB!BD:BD,0),18)</f>
        <v/>
      </c>
      <c r="N476" s="14" t="str">
        <f>IFERROR(IF(Q476=0,"",COUNTIF(Q$4:Q$600,"&gt;"&amp;Q476)+COUNTIF(Q$4:Q476,Q476)),"")</f>
        <v/>
      </c>
      <c r="O476" t="str">
        <f>Données_ATB!BD475</f>
        <v>SURAMOX 50 PREMELANGE MEDICAMENTEUX</v>
      </c>
      <c r="P476" t="e">
        <f>IF(IF(X$2="Catégorie",IF(X$3="Toutes",SUMIFS('Étape 1 - à remplir'!$F$31:$F$400,'Étape 1 - à remplir'!$E$31:$E$400,MASQ2!O476,'Étape 1 - à remplir'!$G$31:$G$400,"animaux"),SUMIFS('Étape 1 - à remplir'!$F$31:$F$400,'Étape 1 - à remplir'!$E$31:$E$400,MASQ2!O476,'Étape 1 - à remplir'!$C$31:$C$400,X$3)),IF(X$2="Âge",IF(X$3="Tous",SUMIFS('Étape 1 - à remplir'!$F$31:$F$400,'Étape 1 - à remplir'!$E$31:$E$400,MASQ2!O476,'Étape 1 - à remplir'!$G$31:$G$400,"animaux"),SUMIFS('Étape 1 - à remplir'!$F$31:$F$400,'Étape 1 - à remplir'!$E$31:$E$400,MASQ2!O476,'Étape 1 - à remplir'!$P$31:$P$400,X$3)),IF(X$2="Atelier",IF(X$3="Tous",SUMIFS('Étape 1 - à remplir'!$F$31:$F$400,'Étape 1 - à remplir'!$E$31:$E$400,MASQ2!O476,'Étape 1 - à remplir'!$G$31:$G$400,"animaux"),SUMIFS('Étape 1 - à remplir'!$F$31:$F$400,'Étape 1 - à remplir'!$E$31:$E$400,MASQ2!O476,'Étape 1 - à remplir'!$O$31:$O$400,X$3)),IF(X$2="Espèce",IF(X$3="Toutes",SUMIFS('Étape 1 - à remplir'!$F$31:$F$400,'Étape 1 - à remplir'!$E$31:$E$400,MASQ2!O476,'Étape 1 - à remplir'!$G$31:$G$400,"animaux"),SUMIFS('Étape 1 - à remplir'!$F$31:$F$400,'Étape 1 - à remplir'!$E$31:$E$400,MASQ2!O476,'Étape 1 - à remplir'!$N$31:$N$400,X$3))))))=0,NA(),IF(X$2="Catégorie",IF(X$3="Toutes",SUMIFS('Étape 1 - à remplir'!$F$31:$F$400,'Étape 1 - à remplir'!$E$31:$E$400,MASQ2!O476,'Étape 1 - à remplir'!$G$31:$G$400,"animaux"),SUMIFS('Étape 1 - à remplir'!$F$31:$F$400,'Étape 1 - à remplir'!$E$31:$E$400,MASQ2!O476,'Étape 1 - à remplir'!$C$31:$C$400,X$3)),IF(X$2="Âge",IF(X$3="Tous",SUMIFS('Étape 1 - à remplir'!$F$31:$F$400,'Étape 1 - à remplir'!$E$31:$E$400,MASQ2!O476,'Étape 1 - à remplir'!$G$31:$G$400,"animaux"),SUMIFS('Étape 1 - à remplir'!$F$31:$F$400,'Étape 1 - à remplir'!$E$31:$E$400,MASQ2!O476,'Étape 1 - à remplir'!$P$31:$P$400,X$3)),IF(X$2="Atelier",IF(X$3="Tous",SUMIFS('Étape 1 - à remplir'!$F$31:$F$400,'Étape 1 - à remplir'!$E$31:$E$400,MASQ2!O476,'Étape 1 - à remplir'!$G$31:$G$400,"animaux"),SUMIFS('Étape 1 - à remplir'!$F$31:$F$400,'Étape 1 - à remplir'!$E$31:$E$400,MASQ2!O476,'Étape 1 - à remplir'!$O$31:$O$400,X$3)),IF(X$2="Espèce",IF(X$3="Toutes",SUMIFS('Étape 1 - à remplir'!$F$31:$F$400,'Étape 1 - à remplir'!$E$31:$E$400,MASQ2!O476,'Étape 1 - à remplir'!$G$31:$G$400,"animaux"),SUMIFS('Étape 1 - à remplir'!$F$31:$F$400,'Étape 1 - à remplir'!$E$31:$E$400,MASQ2!O476,'Étape 1 - à remplir'!$N$31:$N$400,X$3)))))))</f>
        <v>#N/A</v>
      </c>
      <c r="Q476" s="63">
        <f t="shared" si="310"/>
        <v>0</v>
      </c>
      <c r="R476" t="str">
        <f>Données_ATB!BM475</f>
        <v>Amoxicilline</v>
      </c>
      <c r="S476" t="str">
        <f>Données_ATB!BN475</f>
        <v/>
      </c>
      <c r="T476" s="63" t="str">
        <f>Données_ATB!BO475</f>
        <v/>
      </c>
      <c r="U476" s="42" t="str">
        <f>Données_ATB!BQ475</f>
        <v>Penicillines</v>
      </c>
      <c r="V476" t="str">
        <f>Données_ATB!BR475</f>
        <v/>
      </c>
      <c r="W476" s="63" t="str">
        <f>Données_ATB!BS475</f>
        <v/>
      </c>
      <c r="Z476" s="42">
        <v>473</v>
      </c>
      <c r="AA476" t="e">
        <f t="shared" si="306"/>
        <v>#N/A</v>
      </c>
      <c r="AB476" s="63" t="e">
        <f t="shared" si="307"/>
        <v>#N/A</v>
      </c>
      <c r="BF476" s="63"/>
      <c r="BT476" s="194" t="str">
        <f t="shared" ca="1" si="290"/>
        <v/>
      </c>
      <c r="BU476" s="219" t="str">
        <f>IFERROR(IF(BX476=0,"",COUNTIF(BX$4:BX$600,"&gt;"&amp;BX476)+COUNTIF(BX$4:BX476,BX476)),"")</f>
        <v/>
      </c>
      <c r="BV476" s="42" t="str">
        <f t="shared" si="291"/>
        <v>SURAMOX 50 PREMELANGE MEDICAMENTEUX</v>
      </c>
      <c r="BW476" t="e">
        <f>IF(IF(CE$2="Catégorie",IF(CE$3="Toutes",SUMIFS('Étape 1 - à remplir'!$F$31:$F$400,'Étape 1 - à remplir'!$E$31:$E$400,MASQ2!BV476,'Étape 1 - à remplir'!$G$31:$G$400,"lots"),SUMIFS('Étape 1 - à remplir'!$F$31:$F$400,'Étape 1 - à remplir'!$E$31:$E$400,MASQ2!BV476,'Étape 1 - à remplir'!$C$31:$C$400,CE$3)),IF(CE$2="Âge",IF(CE$3="Tous",SUMIFS('Étape 1 - à remplir'!$F$31:$F$400,'Étape 1 - à remplir'!$E$31:$E$400,MASQ2!BV476,'Étape 1 - à remplir'!$G$31:$G$400,"lots"),SUMIFS('Étape 1 - à remplir'!$F$31:$F$400,'Étape 1 - à remplir'!$E$31:$E$400,MASQ2!BV476,'Étape 1 - à remplir'!$P$31:$P$400,CE$3,'Étape 1 - à remplir'!$G$31:$G$400,"lots")),IF(CE$2="Atelier",IF(CE$3="Tous",SUMIFS('Étape 1 - à remplir'!$F$31:$F$400,'Étape 1 - à remplir'!$E$31:$E$400,MASQ2!BV476,'Étape 1 - à remplir'!$G$31:$G$400,"lots"),SUMIFS('Étape 1 - à remplir'!$F$31:$F$400,'Étape 1 - à remplir'!$E$31:$E$400,MASQ2!BV476,'Étape 1 - à remplir'!$O$31:$O$400,CE$3,'Étape 1 - à remplir'!$G$31:$G$400,"lots")),IF(CE$2="Espèce",IF(CE$3="Toutes",SUMIFS('Étape 1 - à remplir'!$F$31:$F$400,'Étape 1 - à remplir'!$E$31:$E$400,MASQ2!BV476,'Étape 1 - à remplir'!$G$31:$G$400,"lots"),SUMIFS('Étape 1 - à remplir'!$F$31:$F$400,'Étape 1 - à remplir'!$E$31:$E$400,MASQ2!BV476,'Étape 1 - à remplir'!$N$31:$N$400,CE$3,'Étape 1 - à remplir'!$G$31:$G$400,"lots"))))))=0,NA(),IF(CE$2="Catégorie",IF(CE$3="Toutes",SUMIFS('Étape 1 - à remplir'!$F$31:$F$400,'Étape 1 - à remplir'!$E$31:$E$400,MASQ2!BV476,'Étape 1 - à remplir'!$G$31:$G$400,"lots"),SUMIFS('Étape 1 - à remplir'!$F$31:$F$400,'Étape 1 - à remplir'!$E$31:$E$400,MASQ2!BV476,'Étape 1 - à remplir'!$C$31:$C$400,CE$3)),IF(CE$2="Âge",IF(CE$3="Tous",SUMIFS('Étape 1 - à remplir'!$F$31:$F$400,'Étape 1 - à remplir'!$E$31:$E$400,MASQ2!BV476,'Étape 1 - à remplir'!$G$31:$G$400,"lots"),SUMIFS('Étape 1 - à remplir'!$F$31:$F$400,'Étape 1 - à remplir'!$E$31:$E$400,MASQ2!BV476,'Étape 1 - à remplir'!$P$31:$P$400,CE$3,'Étape 1 - à remplir'!$G$31:$G$400,"lots")),IF(CE$2="Atelier",IF(CE$3="Tous",SUMIFS('Étape 1 - à remplir'!$F$31:$F$400,'Étape 1 - à remplir'!$E$31:$E$400,MASQ2!BV476,'Étape 1 - à remplir'!$G$31:$G$400,"lots"),SUMIFS('Étape 1 - à remplir'!$F$31:$F$400,'Étape 1 - à remplir'!$E$31:$E$400,MASQ2!BV476,'Étape 1 - à remplir'!$O$31:$O$400,CE$3,'Étape 1 - à remplir'!$G$31:$G$400,"lots")),IF(CE$2="Espèce",IF(CE$3="Toutes",SUMIFS('Étape 1 - à remplir'!$F$31:$F$400,'Étape 1 - à remplir'!$E$31:$E$400,MASQ2!BV476,'Étape 1 - à remplir'!$G$31:$G$400,"lots"),SUMIFS('Étape 1 - à remplir'!$F$31:$F$400,'Étape 1 - à remplir'!$E$31:$E$400,MASQ2!BV476,'Étape 1 - à remplir'!$N$31:$N$400,CE$3,'Étape 1 - à remplir'!$G$31:$G$400,"lots")))))))</f>
        <v>#N/A</v>
      </c>
      <c r="BX476">
        <f t="shared" si="308"/>
        <v>0</v>
      </c>
      <c r="BY476" t="str">
        <f t="shared" si="292"/>
        <v>Amoxicilline</v>
      </c>
      <c r="BZ476" t="str">
        <f t="shared" si="293"/>
        <v/>
      </c>
      <c r="CA476" t="str">
        <f t="shared" si="294"/>
        <v/>
      </c>
      <c r="CB476" t="str">
        <f t="shared" si="295"/>
        <v>Penicillines</v>
      </c>
      <c r="CC476" t="str">
        <f t="shared" si="296"/>
        <v/>
      </c>
      <c r="CD476" s="63" t="str">
        <f t="shared" si="297"/>
        <v/>
      </c>
      <c r="CG476" s="42">
        <v>473</v>
      </c>
      <c r="CH476" s="42" t="e">
        <f t="shared" si="313"/>
        <v>#N/A</v>
      </c>
      <c r="CI476" s="63" t="e">
        <f t="shared" si="314"/>
        <v>#N/A</v>
      </c>
      <c r="DM476" s="63"/>
      <c r="EA476" s="194" t="str">
        <f t="shared" ca="1" si="298"/>
        <v/>
      </c>
      <c r="EB476" s="226" t="str">
        <f>IFERROR(IF(ED476=0,"",COUNTIF(ED$4:ED$600,"&gt;"&amp;ED476)+COUNTIF(ED$4:ED476,ED476)),"")</f>
        <v/>
      </c>
      <c r="EC476" t="str">
        <f t="shared" si="299"/>
        <v>SURAMOX 50 PREMELANGE MEDICAMENTEUX</v>
      </c>
      <c r="ED476" t="e">
        <f>IF(IF(EL$2="Catégorie",IF(EL$3="Toutes",SUMIFS('Étape 1 - à remplir'!$F$31:$F$400,'Étape 1 - à remplir'!$E$31:$E$400,MASQ2!EC476,'Étape 1 - à remplir'!$G$31:$G$400,"kg"),SUMIFS('Étape 1 - à remplir'!$F$31:$F$400,'Étape 1 - à remplir'!$E$31:$E$400,MASQ2!EC476,'Étape 1 - à remplir'!$C$31:$C$400,EL$3)),IF(EL$2="Âge",IF(EL$3="Tous",SUMIFS('Étape 1 - à remplir'!$F$31:$F$400,'Étape 1 - à remplir'!$E$31:$E$400,MASQ2!EC476,'Étape 1 - à remplir'!$G$31:$G$400,"kg"),SUMIFS('Étape 1 - à remplir'!$F$31:$F$400,'Étape 1 - à remplir'!$E$31:$E$400,MASQ2!EC476,'Étape 1 - à remplir'!$P$31:$P$400,EL$3,'Étape 1 - à remplir'!$G$31:$G$400,"kg")),IF(EL$2="Atelier",IF(EL$3="Tous",SUMIFS('Étape 1 - à remplir'!$F$31:$F$400,'Étape 1 - à remplir'!$E$31:$E$400,MASQ2!EC476,'Étape 1 - à remplir'!$G$31:$G$400,"kg"),SUMIFS('Étape 1 - à remplir'!$F$31:$F$400,'Étape 1 - à remplir'!$E$31:$E$400,MASQ2!EC476,'Étape 1 - à remplir'!$O$31:$O$400,EL$3,'Étape 1 - à remplir'!$G$31:$G$400,"kg")),IF(EL$2="Espèce",IF(EL$3="Toutes",SUMIFS('Étape 1 - à remplir'!$F$31:$F$400,'Étape 1 - à remplir'!$E$31:$E$400,MASQ2!EC476,'Étape 1 - à remplir'!$G$31:$G$400,"kg"),SUMIFS('Étape 1 - à remplir'!$F$31:$F$400,'Étape 1 - à remplir'!$E$31:$E$400,MASQ2!EC476,'Étape 1 - à remplir'!$N$31:$N$400,EL$3,'Étape 1 - à remplir'!$G$31:$G$400,"kg"))))))=0,NA(),IF(EL$2="Catégorie",IF(EL$3="Toutes",SUMIFS('Étape 1 - à remplir'!$F$31:$F$400,'Étape 1 - à remplir'!$E$31:$E$400,MASQ2!EC476,'Étape 1 - à remplir'!$G$31:$G$400,"kg"),SUMIFS('Étape 1 - à remplir'!$F$31:$F$400,'Étape 1 - à remplir'!$E$31:$E$400,MASQ2!EC476,'Étape 1 - à remplir'!$C$31:$C$400,EL$3)),IF(EL$2="Âge",IF(EL$3="Tous",SUMIFS('Étape 1 - à remplir'!$F$31:$F$400,'Étape 1 - à remplir'!$E$31:$E$400,MASQ2!EC476,'Étape 1 - à remplir'!$G$31:$G$400,"kg"),SUMIFS('Étape 1 - à remplir'!$F$31:$F$400,'Étape 1 - à remplir'!$E$31:$E$400,MASQ2!EC476,'Étape 1 - à remplir'!$P$31:$P$400,EL$3,'Étape 1 - à remplir'!$G$31:$G$400,"kg")),IF(EL$2="Atelier",IF(EL$3="Tous",SUMIFS('Étape 1 - à remplir'!$F$31:$F$400,'Étape 1 - à remplir'!$E$31:$E$400,MASQ2!EC476,'Étape 1 - à remplir'!$G$31:$G$400,"kg"),SUMIFS('Étape 1 - à remplir'!$F$31:$F$400,'Étape 1 - à remplir'!$E$31:$E$400,MASQ2!EC476,'Étape 1 - à remplir'!$O$31:$O$400,EL$3,'Étape 1 - à remplir'!$G$31:$G$400,"kg")),IF(EL$2="Espèce",IF(EL$3="Toutes",SUMIFS('Étape 1 - à remplir'!$F$31:$F$400,'Étape 1 - à remplir'!$E$31:$E$400,MASQ2!EC476,'Étape 1 - à remplir'!$G$31:$G$400,"kg"),SUMIFS('Étape 1 - à remplir'!$F$31:$F$400,'Étape 1 - à remplir'!$E$31:$E$400,MASQ2!EC476,'Étape 1 - à remplir'!$N$31:$N$400,EL$3,'Étape 1 - à remplir'!$G$31:$G$400,"kg")))))))</f>
        <v>#N/A</v>
      </c>
      <c r="EE476" s="76">
        <f t="shared" si="309"/>
        <v>0</v>
      </c>
      <c r="EF476" t="str">
        <f t="shared" si="300"/>
        <v>Amoxicilline</v>
      </c>
      <c r="EG476" t="str">
        <f t="shared" si="301"/>
        <v/>
      </c>
      <c r="EH476" t="str">
        <f t="shared" si="302"/>
        <v/>
      </c>
      <c r="EI476" t="str">
        <f t="shared" si="303"/>
        <v>Penicillines</v>
      </c>
      <c r="EJ476" t="str">
        <f t="shared" si="304"/>
        <v/>
      </c>
      <c r="EK476" s="63" t="str">
        <f t="shared" si="305"/>
        <v/>
      </c>
      <c r="EN476" s="42">
        <v>473</v>
      </c>
      <c r="EO476" t="e">
        <f t="shared" si="311"/>
        <v>#N/A</v>
      </c>
      <c r="EP476" s="63" t="e">
        <f t="shared" si="312"/>
        <v>#N/A</v>
      </c>
      <c r="FT476" s="63"/>
    </row>
    <row r="477" spans="2:176" x14ac:dyDescent="0.3">
      <c r="B477" s="42"/>
      <c r="M477" s="194" t="str">
        <f ca="1">INDEX(Données_ATB!BD:BU,MATCH(MASQ2!O477,Données_ATB!BD:BD,0),18)</f>
        <v/>
      </c>
      <c r="N477" s="14" t="str">
        <f>IFERROR(IF(Q477=0,"",COUNTIF(Q$4:Q$600,"&gt;"&amp;Q477)+COUNTIF(Q$4:Q477,Q477)),"")</f>
        <v/>
      </c>
      <c r="O477" t="str">
        <f>Données_ATB!BD476</f>
        <v>SYNULOX 500 MG OGIVETTES</v>
      </c>
      <c r="P477" t="e">
        <f>IF(IF(X$2="Catégorie",IF(X$3="Toutes",SUMIFS('Étape 1 - à remplir'!$F$31:$F$400,'Étape 1 - à remplir'!$E$31:$E$400,MASQ2!O477,'Étape 1 - à remplir'!$G$31:$G$400,"animaux"),SUMIFS('Étape 1 - à remplir'!$F$31:$F$400,'Étape 1 - à remplir'!$E$31:$E$400,MASQ2!O477,'Étape 1 - à remplir'!$C$31:$C$400,X$3)),IF(X$2="Âge",IF(X$3="Tous",SUMIFS('Étape 1 - à remplir'!$F$31:$F$400,'Étape 1 - à remplir'!$E$31:$E$400,MASQ2!O477,'Étape 1 - à remplir'!$G$31:$G$400,"animaux"),SUMIFS('Étape 1 - à remplir'!$F$31:$F$400,'Étape 1 - à remplir'!$E$31:$E$400,MASQ2!O477,'Étape 1 - à remplir'!$P$31:$P$400,X$3)),IF(X$2="Atelier",IF(X$3="Tous",SUMIFS('Étape 1 - à remplir'!$F$31:$F$400,'Étape 1 - à remplir'!$E$31:$E$400,MASQ2!O477,'Étape 1 - à remplir'!$G$31:$G$400,"animaux"),SUMIFS('Étape 1 - à remplir'!$F$31:$F$400,'Étape 1 - à remplir'!$E$31:$E$400,MASQ2!O477,'Étape 1 - à remplir'!$O$31:$O$400,X$3)),IF(X$2="Espèce",IF(X$3="Toutes",SUMIFS('Étape 1 - à remplir'!$F$31:$F$400,'Étape 1 - à remplir'!$E$31:$E$400,MASQ2!O477,'Étape 1 - à remplir'!$G$31:$G$400,"animaux"),SUMIFS('Étape 1 - à remplir'!$F$31:$F$400,'Étape 1 - à remplir'!$E$31:$E$400,MASQ2!O477,'Étape 1 - à remplir'!$N$31:$N$400,X$3))))))=0,NA(),IF(X$2="Catégorie",IF(X$3="Toutes",SUMIFS('Étape 1 - à remplir'!$F$31:$F$400,'Étape 1 - à remplir'!$E$31:$E$400,MASQ2!O477,'Étape 1 - à remplir'!$G$31:$G$400,"animaux"),SUMIFS('Étape 1 - à remplir'!$F$31:$F$400,'Étape 1 - à remplir'!$E$31:$E$400,MASQ2!O477,'Étape 1 - à remplir'!$C$31:$C$400,X$3)),IF(X$2="Âge",IF(X$3="Tous",SUMIFS('Étape 1 - à remplir'!$F$31:$F$400,'Étape 1 - à remplir'!$E$31:$E$400,MASQ2!O477,'Étape 1 - à remplir'!$G$31:$G$400,"animaux"),SUMIFS('Étape 1 - à remplir'!$F$31:$F$400,'Étape 1 - à remplir'!$E$31:$E$400,MASQ2!O477,'Étape 1 - à remplir'!$P$31:$P$400,X$3)),IF(X$2="Atelier",IF(X$3="Tous",SUMIFS('Étape 1 - à remplir'!$F$31:$F$400,'Étape 1 - à remplir'!$E$31:$E$400,MASQ2!O477,'Étape 1 - à remplir'!$G$31:$G$400,"animaux"),SUMIFS('Étape 1 - à remplir'!$F$31:$F$400,'Étape 1 - à remplir'!$E$31:$E$400,MASQ2!O477,'Étape 1 - à remplir'!$O$31:$O$400,X$3)),IF(X$2="Espèce",IF(X$3="Toutes",SUMIFS('Étape 1 - à remplir'!$F$31:$F$400,'Étape 1 - à remplir'!$E$31:$E$400,MASQ2!O477,'Étape 1 - à remplir'!$G$31:$G$400,"animaux"),SUMIFS('Étape 1 - à remplir'!$F$31:$F$400,'Étape 1 - à remplir'!$E$31:$E$400,MASQ2!O477,'Étape 1 - à remplir'!$N$31:$N$400,X$3)))))))</f>
        <v>#N/A</v>
      </c>
      <c r="Q477" s="63">
        <f t="shared" si="310"/>
        <v>0</v>
      </c>
      <c r="R477" t="str">
        <f>Données_ATB!BM476</f>
        <v>Amoxicilline</v>
      </c>
      <c r="S477" t="str">
        <f>Données_ATB!BN476</f>
        <v>Acide clavulanique</v>
      </c>
      <c r="T477" s="63" t="str">
        <f>Données_ATB!BO476</f>
        <v/>
      </c>
      <c r="U477" s="42" t="str">
        <f>Données_ATB!BQ476</f>
        <v>Penicillines</v>
      </c>
      <c r="V477" t="str">
        <f>Données_ATB!BR476</f>
        <v>Acide clavulanique</v>
      </c>
      <c r="W477" s="63" t="str">
        <f>Données_ATB!BS476</f>
        <v/>
      </c>
      <c r="Z477" s="42">
        <v>474</v>
      </c>
      <c r="AA477" t="e">
        <f t="shared" si="306"/>
        <v>#N/A</v>
      </c>
      <c r="AB477" s="63" t="e">
        <f t="shared" si="307"/>
        <v>#N/A</v>
      </c>
      <c r="BF477" s="63"/>
      <c r="BT477" s="194" t="str">
        <f t="shared" ca="1" si="290"/>
        <v/>
      </c>
      <c r="BU477" s="219" t="str">
        <f>IFERROR(IF(BX477=0,"",COUNTIF(BX$4:BX$600,"&gt;"&amp;BX477)+COUNTIF(BX$4:BX477,BX477)),"")</f>
        <v/>
      </c>
      <c r="BV477" s="42" t="str">
        <f t="shared" si="291"/>
        <v>SYNULOX 500 MG OGIVETTES</v>
      </c>
      <c r="BW477" t="e">
        <f>IF(IF(CE$2="Catégorie",IF(CE$3="Toutes",SUMIFS('Étape 1 - à remplir'!$F$31:$F$400,'Étape 1 - à remplir'!$E$31:$E$400,MASQ2!BV477,'Étape 1 - à remplir'!$G$31:$G$400,"lots"),SUMIFS('Étape 1 - à remplir'!$F$31:$F$400,'Étape 1 - à remplir'!$E$31:$E$400,MASQ2!BV477,'Étape 1 - à remplir'!$C$31:$C$400,CE$3)),IF(CE$2="Âge",IF(CE$3="Tous",SUMIFS('Étape 1 - à remplir'!$F$31:$F$400,'Étape 1 - à remplir'!$E$31:$E$400,MASQ2!BV477,'Étape 1 - à remplir'!$G$31:$G$400,"lots"),SUMIFS('Étape 1 - à remplir'!$F$31:$F$400,'Étape 1 - à remplir'!$E$31:$E$400,MASQ2!BV477,'Étape 1 - à remplir'!$P$31:$P$400,CE$3,'Étape 1 - à remplir'!$G$31:$G$400,"lots")),IF(CE$2="Atelier",IF(CE$3="Tous",SUMIFS('Étape 1 - à remplir'!$F$31:$F$400,'Étape 1 - à remplir'!$E$31:$E$400,MASQ2!BV477,'Étape 1 - à remplir'!$G$31:$G$400,"lots"),SUMIFS('Étape 1 - à remplir'!$F$31:$F$400,'Étape 1 - à remplir'!$E$31:$E$400,MASQ2!BV477,'Étape 1 - à remplir'!$O$31:$O$400,CE$3,'Étape 1 - à remplir'!$G$31:$G$400,"lots")),IF(CE$2="Espèce",IF(CE$3="Toutes",SUMIFS('Étape 1 - à remplir'!$F$31:$F$400,'Étape 1 - à remplir'!$E$31:$E$400,MASQ2!BV477,'Étape 1 - à remplir'!$G$31:$G$400,"lots"),SUMIFS('Étape 1 - à remplir'!$F$31:$F$400,'Étape 1 - à remplir'!$E$31:$E$400,MASQ2!BV477,'Étape 1 - à remplir'!$N$31:$N$400,CE$3,'Étape 1 - à remplir'!$G$31:$G$400,"lots"))))))=0,NA(),IF(CE$2="Catégorie",IF(CE$3="Toutes",SUMIFS('Étape 1 - à remplir'!$F$31:$F$400,'Étape 1 - à remplir'!$E$31:$E$400,MASQ2!BV477,'Étape 1 - à remplir'!$G$31:$G$400,"lots"),SUMIFS('Étape 1 - à remplir'!$F$31:$F$400,'Étape 1 - à remplir'!$E$31:$E$400,MASQ2!BV477,'Étape 1 - à remplir'!$C$31:$C$400,CE$3)),IF(CE$2="Âge",IF(CE$3="Tous",SUMIFS('Étape 1 - à remplir'!$F$31:$F$400,'Étape 1 - à remplir'!$E$31:$E$400,MASQ2!BV477,'Étape 1 - à remplir'!$G$31:$G$400,"lots"),SUMIFS('Étape 1 - à remplir'!$F$31:$F$400,'Étape 1 - à remplir'!$E$31:$E$400,MASQ2!BV477,'Étape 1 - à remplir'!$P$31:$P$400,CE$3,'Étape 1 - à remplir'!$G$31:$G$400,"lots")),IF(CE$2="Atelier",IF(CE$3="Tous",SUMIFS('Étape 1 - à remplir'!$F$31:$F$400,'Étape 1 - à remplir'!$E$31:$E$400,MASQ2!BV477,'Étape 1 - à remplir'!$G$31:$G$400,"lots"),SUMIFS('Étape 1 - à remplir'!$F$31:$F$400,'Étape 1 - à remplir'!$E$31:$E$400,MASQ2!BV477,'Étape 1 - à remplir'!$O$31:$O$400,CE$3,'Étape 1 - à remplir'!$G$31:$G$400,"lots")),IF(CE$2="Espèce",IF(CE$3="Toutes",SUMIFS('Étape 1 - à remplir'!$F$31:$F$400,'Étape 1 - à remplir'!$E$31:$E$400,MASQ2!BV477,'Étape 1 - à remplir'!$G$31:$G$400,"lots"),SUMIFS('Étape 1 - à remplir'!$F$31:$F$400,'Étape 1 - à remplir'!$E$31:$E$400,MASQ2!BV477,'Étape 1 - à remplir'!$N$31:$N$400,CE$3,'Étape 1 - à remplir'!$G$31:$G$400,"lots")))))))</f>
        <v>#N/A</v>
      </c>
      <c r="BX477">
        <f t="shared" si="308"/>
        <v>0</v>
      </c>
      <c r="BY477" t="str">
        <f t="shared" si="292"/>
        <v>Amoxicilline</v>
      </c>
      <c r="BZ477" t="str">
        <f t="shared" si="293"/>
        <v>Acide clavulanique</v>
      </c>
      <c r="CA477" t="str">
        <f t="shared" si="294"/>
        <v/>
      </c>
      <c r="CB477" t="str">
        <f t="shared" si="295"/>
        <v>Penicillines</v>
      </c>
      <c r="CC477" t="str">
        <f t="shared" si="296"/>
        <v>Acide clavulanique</v>
      </c>
      <c r="CD477" s="63" t="str">
        <f t="shared" si="297"/>
        <v/>
      </c>
      <c r="CG477" s="42">
        <v>474</v>
      </c>
      <c r="CH477" s="42" t="e">
        <f t="shared" si="313"/>
        <v>#N/A</v>
      </c>
      <c r="CI477" s="63" t="e">
        <f t="shared" si="314"/>
        <v>#N/A</v>
      </c>
      <c r="DM477" s="63"/>
      <c r="EA477" s="194" t="str">
        <f t="shared" ca="1" si="298"/>
        <v/>
      </c>
      <c r="EB477" s="226" t="str">
        <f>IFERROR(IF(ED477=0,"",COUNTIF(ED$4:ED$600,"&gt;"&amp;ED477)+COUNTIF(ED$4:ED477,ED477)),"")</f>
        <v/>
      </c>
      <c r="EC477" t="str">
        <f t="shared" si="299"/>
        <v>SYNULOX 500 MG OGIVETTES</v>
      </c>
      <c r="ED477" t="e">
        <f>IF(IF(EL$2="Catégorie",IF(EL$3="Toutes",SUMIFS('Étape 1 - à remplir'!$F$31:$F$400,'Étape 1 - à remplir'!$E$31:$E$400,MASQ2!EC477,'Étape 1 - à remplir'!$G$31:$G$400,"kg"),SUMIFS('Étape 1 - à remplir'!$F$31:$F$400,'Étape 1 - à remplir'!$E$31:$E$400,MASQ2!EC477,'Étape 1 - à remplir'!$C$31:$C$400,EL$3)),IF(EL$2="Âge",IF(EL$3="Tous",SUMIFS('Étape 1 - à remplir'!$F$31:$F$400,'Étape 1 - à remplir'!$E$31:$E$400,MASQ2!EC477,'Étape 1 - à remplir'!$G$31:$G$400,"kg"),SUMIFS('Étape 1 - à remplir'!$F$31:$F$400,'Étape 1 - à remplir'!$E$31:$E$400,MASQ2!EC477,'Étape 1 - à remplir'!$P$31:$P$400,EL$3,'Étape 1 - à remplir'!$G$31:$G$400,"kg")),IF(EL$2="Atelier",IF(EL$3="Tous",SUMIFS('Étape 1 - à remplir'!$F$31:$F$400,'Étape 1 - à remplir'!$E$31:$E$400,MASQ2!EC477,'Étape 1 - à remplir'!$G$31:$G$400,"kg"),SUMIFS('Étape 1 - à remplir'!$F$31:$F$400,'Étape 1 - à remplir'!$E$31:$E$400,MASQ2!EC477,'Étape 1 - à remplir'!$O$31:$O$400,EL$3,'Étape 1 - à remplir'!$G$31:$G$400,"kg")),IF(EL$2="Espèce",IF(EL$3="Toutes",SUMIFS('Étape 1 - à remplir'!$F$31:$F$400,'Étape 1 - à remplir'!$E$31:$E$400,MASQ2!EC477,'Étape 1 - à remplir'!$G$31:$G$400,"kg"),SUMIFS('Étape 1 - à remplir'!$F$31:$F$400,'Étape 1 - à remplir'!$E$31:$E$400,MASQ2!EC477,'Étape 1 - à remplir'!$N$31:$N$400,EL$3,'Étape 1 - à remplir'!$G$31:$G$400,"kg"))))))=0,NA(),IF(EL$2="Catégorie",IF(EL$3="Toutes",SUMIFS('Étape 1 - à remplir'!$F$31:$F$400,'Étape 1 - à remplir'!$E$31:$E$400,MASQ2!EC477,'Étape 1 - à remplir'!$G$31:$G$400,"kg"),SUMIFS('Étape 1 - à remplir'!$F$31:$F$400,'Étape 1 - à remplir'!$E$31:$E$400,MASQ2!EC477,'Étape 1 - à remplir'!$C$31:$C$400,EL$3)),IF(EL$2="Âge",IF(EL$3="Tous",SUMIFS('Étape 1 - à remplir'!$F$31:$F$400,'Étape 1 - à remplir'!$E$31:$E$400,MASQ2!EC477,'Étape 1 - à remplir'!$G$31:$G$400,"kg"),SUMIFS('Étape 1 - à remplir'!$F$31:$F$400,'Étape 1 - à remplir'!$E$31:$E$400,MASQ2!EC477,'Étape 1 - à remplir'!$P$31:$P$400,EL$3,'Étape 1 - à remplir'!$G$31:$G$400,"kg")),IF(EL$2="Atelier",IF(EL$3="Tous",SUMIFS('Étape 1 - à remplir'!$F$31:$F$400,'Étape 1 - à remplir'!$E$31:$E$400,MASQ2!EC477,'Étape 1 - à remplir'!$G$31:$G$400,"kg"),SUMIFS('Étape 1 - à remplir'!$F$31:$F$400,'Étape 1 - à remplir'!$E$31:$E$400,MASQ2!EC477,'Étape 1 - à remplir'!$O$31:$O$400,EL$3,'Étape 1 - à remplir'!$G$31:$G$400,"kg")),IF(EL$2="Espèce",IF(EL$3="Toutes",SUMIFS('Étape 1 - à remplir'!$F$31:$F$400,'Étape 1 - à remplir'!$E$31:$E$400,MASQ2!EC477,'Étape 1 - à remplir'!$G$31:$G$400,"kg"),SUMIFS('Étape 1 - à remplir'!$F$31:$F$400,'Étape 1 - à remplir'!$E$31:$E$400,MASQ2!EC477,'Étape 1 - à remplir'!$N$31:$N$400,EL$3,'Étape 1 - à remplir'!$G$31:$G$400,"kg")))))))</f>
        <v>#N/A</v>
      </c>
      <c r="EE477" s="76">
        <f t="shared" si="309"/>
        <v>0</v>
      </c>
      <c r="EF477" t="str">
        <f t="shared" si="300"/>
        <v>Amoxicilline</v>
      </c>
      <c r="EG477" t="str">
        <f t="shared" si="301"/>
        <v>Acide clavulanique</v>
      </c>
      <c r="EH477" t="str">
        <f t="shared" si="302"/>
        <v/>
      </c>
      <c r="EI477" t="str">
        <f t="shared" si="303"/>
        <v>Penicillines</v>
      </c>
      <c r="EJ477" t="str">
        <f t="shared" si="304"/>
        <v>Acide clavulanique</v>
      </c>
      <c r="EK477" s="63" t="str">
        <f t="shared" si="305"/>
        <v/>
      </c>
      <c r="EN477" s="42">
        <v>474</v>
      </c>
      <c r="EO477" t="e">
        <f t="shared" si="311"/>
        <v>#N/A</v>
      </c>
      <c r="EP477" s="63" t="e">
        <f t="shared" si="312"/>
        <v>#N/A</v>
      </c>
      <c r="FT477" s="63"/>
    </row>
    <row r="478" spans="2:176" x14ac:dyDescent="0.3">
      <c r="B478" s="42"/>
      <c r="M478" s="194" t="str">
        <f ca="1">INDEX(Données_ATB!BD:BU,MATCH(MASQ2!O478,Données_ATB!BD:BD,0),18)</f>
        <v/>
      </c>
      <c r="N478" s="14" t="str">
        <f>IFERROR(IF(Q478=0,"",COUNTIF(Q$4:Q$600,"&gt;"&amp;Q478)+COUNTIF(Q$4:Q478,Q478)),"")</f>
        <v/>
      </c>
      <c r="O478" t="str">
        <f>Données_ATB!BD477</f>
        <v>SYNULOX INTRAMAMMAIRE</v>
      </c>
      <c r="P478" t="e">
        <f>IF(IF(X$2="Catégorie",IF(X$3="Toutes",SUMIFS('Étape 1 - à remplir'!$F$31:$F$400,'Étape 1 - à remplir'!$E$31:$E$400,MASQ2!O478,'Étape 1 - à remplir'!$G$31:$G$400,"animaux"),SUMIFS('Étape 1 - à remplir'!$F$31:$F$400,'Étape 1 - à remplir'!$E$31:$E$400,MASQ2!O478,'Étape 1 - à remplir'!$C$31:$C$400,X$3)),IF(X$2="Âge",IF(X$3="Tous",SUMIFS('Étape 1 - à remplir'!$F$31:$F$400,'Étape 1 - à remplir'!$E$31:$E$400,MASQ2!O478,'Étape 1 - à remplir'!$G$31:$G$400,"animaux"),SUMIFS('Étape 1 - à remplir'!$F$31:$F$400,'Étape 1 - à remplir'!$E$31:$E$400,MASQ2!O478,'Étape 1 - à remplir'!$P$31:$P$400,X$3)),IF(X$2="Atelier",IF(X$3="Tous",SUMIFS('Étape 1 - à remplir'!$F$31:$F$400,'Étape 1 - à remplir'!$E$31:$E$400,MASQ2!O478,'Étape 1 - à remplir'!$G$31:$G$400,"animaux"),SUMIFS('Étape 1 - à remplir'!$F$31:$F$400,'Étape 1 - à remplir'!$E$31:$E$400,MASQ2!O478,'Étape 1 - à remplir'!$O$31:$O$400,X$3)),IF(X$2="Espèce",IF(X$3="Toutes",SUMIFS('Étape 1 - à remplir'!$F$31:$F$400,'Étape 1 - à remplir'!$E$31:$E$400,MASQ2!O478,'Étape 1 - à remplir'!$G$31:$G$400,"animaux"),SUMIFS('Étape 1 - à remplir'!$F$31:$F$400,'Étape 1 - à remplir'!$E$31:$E$400,MASQ2!O478,'Étape 1 - à remplir'!$N$31:$N$400,X$3))))))=0,NA(),IF(X$2="Catégorie",IF(X$3="Toutes",SUMIFS('Étape 1 - à remplir'!$F$31:$F$400,'Étape 1 - à remplir'!$E$31:$E$400,MASQ2!O478,'Étape 1 - à remplir'!$G$31:$G$400,"animaux"),SUMIFS('Étape 1 - à remplir'!$F$31:$F$400,'Étape 1 - à remplir'!$E$31:$E$400,MASQ2!O478,'Étape 1 - à remplir'!$C$31:$C$400,X$3)),IF(X$2="Âge",IF(X$3="Tous",SUMIFS('Étape 1 - à remplir'!$F$31:$F$400,'Étape 1 - à remplir'!$E$31:$E$400,MASQ2!O478,'Étape 1 - à remplir'!$G$31:$G$400,"animaux"),SUMIFS('Étape 1 - à remplir'!$F$31:$F$400,'Étape 1 - à remplir'!$E$31:$E$400,MASQ2!O478,'Étape 1 - à remplir'!$P$31:$P$400,X$3)),IF(X$2="Atelier",IF(X$3="Tous",SUMIFS('Étape 1 - à remplir'!$F$31:$F$400,'Étape 1 - à remplir'!$E$31:$E$400,MASQ2!O478,'Étape 1 - à remplir'!$G$31:$G$400,"animaux"),SUMIFS('Étape 1 - à remplir'!$F$31:$F$400,'Étape 1 - à remplir'!$E$31:$E$400,MASQ2!O478,'Étape 1 - à remplir'!$O$31:$O$400,X$3)),IF(X$2="Espèce",IF(X$3="Toutes",SUMIFS('Étape 1 - à remplir'!$F$31:$F$400,'Étape 1 - à remplir'!$E$31:$E$400,MASQ2!O478,'Étape 1 - à remplir'!$G$31:$G$400,"animaux"),SUMIFS('Étape 1 - à remplir'!$F$31:$F$400,'Étape 1 - à remplir'!$E$31:$E$400,MASQ2!O478,'Étape 1 - à remplir'!$N$31:$N$400,X$3)))))))</f>
        <v>#N/A</v>
      </c>
      <c r="Q478" s="63">
        <f t="shared" si="310"/>
        <v>0</v>
      </c>
      <c r="R478" t="str">
        <f>Données_ATB!BM477</f>
        <v>Amoxicilline</v>
      </c>
      <c r="S478" t="str">
        <f>Données_ATB!BN477</f>
        <v>Acide clavulanique</v>
      </c>
      <c r="T478" s="63" t="str">
        <f>Données_ATB!BO477</f>
        <v/>
      </c>
      <c r="U478" s="42" t="str">
        <f>Données_ATB!BQ477</f>
        <v>Penicillines</v>
      </c>
      <c r="V478" t="str">
        <f>Données_ATB!BR477</f>
        <v>Acide clavulanique</v>
      </c>
      <c r="W478" s="63" t="str">
        <f>Données_ATB!BS477</f>
        <v/>
      </c>
      <c r="Z478" s="42">
        <v>475</v>
      </c>
      <c r="AA478" t="e">
        <f t="shared" si="306"/>
        <v>#N/A</v>
      </c>
      <c r="AB478" s="63" t="e">
        <f t="shared" si="307"/>
        <v>#N/A</v>
      </c>
      <c r="BF478" s="63"/>
      <c r="BT478" s="194" t="str">
        <f t="shared" ca="1" si="290"/>
        <v/>
      </c>
      <c r="BU478" s="219" t="str">
        <f>IFERROR(IF(BX478=0,"",COUNTIF(BX$4:BX$600,"&gt;"&amp;BX478)+COUNTIF(BX$4:BX478,BX478)),"")</f>
        <v/>
      </c>
      <c r="BV478" s="42" t="str">
        <f t="shared" si="291"/>
        <v>SYNULOX INTRAMAMMAIRE</v>
      </c>
      <c r="BW478" t="e">
        <f>IF(IF(CE$2="Catégorie",IF(CE$3="Toutes",SUMIFS('Étape 1 - à remplir'!$F$31:$F$400,'Étape 1 - à remplir'!$E$31:$E$400,MASQ2!BV478,'Étape 1 - à remplir'!$G$31:$G$400,"lots"),SUMIFS('Étape 1 - à remplir'!$F$31:$F$400,'Étape 1 - à remplir'!$E$31:$E$400,MASQ2!BV478,'Étape 1 - à remplir'!$C$31:$C$400,CE$3)),IF(CE$2="Âge",IF(CE$3="Tous",SUMIFS('Étape 1 - à remplir'!$F$31:$F$400,'Étape 1 - à remplir'!$E$31:$E$400,MASQ2!BV478,'Étape 1 - à remplir'!$G$31:$G$400,"lots"),SUMIFS('Étape 1 - à remplir'!$F$31:$F$400,'Étape 1 - à remplir'!$E$31:$E$400,MASQ2!BV478,'Étape 1 - à remplir'!$P$31:$P$400,CE$3,'Étape 1 - à remplir'!$G$31:$G$400,"lots")),IF(CE$2="Atelier",IF(CE$3="Tous",SUMIFS('Étape 1 - à remplir'!$F$31:$F$400,'Étape 1 - à remplir'!$E$31:$E$400,MASQ2!BV478,'Étape 1 - à remplir'!$G$31:$G$400,"lots"),SUMIFS('Étape 1 - à remplir'!$F$31:$F$400,'Étape 1 - à remplir'!$E$31:$E$400,MASQ2!BV478,'Étape 1 - à remplir'!$O$31:$O$400,CE$3,'Étape 1 - à remplir'!$G$31:$G$400,"lots")),IF(CE$2="Espèce",IF(CE$3="Toutes",SUMIFS('Étape 1 - à remplir'!$F$31:$F$400,'Étape 1 - à remplir'!$E$31:$E$400,MASQ2!BV478,'Étape 1 - à remplir'!$G$31:$G$400,"lots"),SUMIFS('Étape 1 - à remplir'!$F$31:$F$400,'Étape 1 - à remplir'!$E$31:$E$400,MASQ2!BV478,'Étape 1 - à remplir'!$N$31:$N$400,CE$3,'Étape 1 - à remplir'!$G$31:$G$400,"lots"))))))=0,NA(),IF(CE$2="Catégorie",IF(CE$3="Toutes",SUMIFS('Étape 1 - à remplir'!$F$31:$F$400,'Étape 1 - à remplir'!$E$31:$E$400,MASQ2!BV478,'Étape 1 - à remplir'!$G$31:$G$400,"lots"),SUMIFS('Étape 1 - à remplir'!$F$31:$F$400,'Étape 1 - à remplir'!$E$31:$E$400,MASQ2!BV478,'Étape 1 - à remplir'!$C$31:$C$400,CE$3)),IF(CE$2="Âge",IF(CE$3="Tous",SUMIFS('Étape 1 - à remplir'!$F$31:$F$400,'Étape 1 - à remplir'!$E$31:$E$400,MASQ2!BV478,'Étape 1 - à remplir'!$G$31:$G$400,"lots"),SUMIFS('Étape 1 - à remplir'!$F$31:$F$400,'Étape 1 - à remplir'!$E$31:$E$400,MASQ2!BV478,'Étape 1 - à remplir'!$P$31:$P$400,CE$3,'Étape 1 - à remplir'!$G$31:$G$400,"lots")),IF(CE$2="Atelier",IF(CE$3="Tous",SUMIFS('Étape 1 - à remplir'!$F$31:$F$400,'Étape 1 - à remplir'!$E$31:$E$400,MASQ2!BV478,'Étape 1 - à remplir'!$G$31:$G$400,"lots"),SUMIFS('Étape 1 - à remplir'!$F$31:$F$400,'Étape 1 - à remplir'!$E$31:$E$400,MASQ2!BV478,'Étape 1 - à remplir'!$O$31:$O$400,CE$3,'Étape 1 - à remplir'!$G$31:$G$400,"lots")),IF(CE$2="Espèce",IF(CE$3="Toutes",SUMIFS('Étape 1 - à remplir'!$F$31:$F$400,'Étape 1 - à remplir'!$E$31:$E$400,MASQ2!BV478,'Étape 1 - à remplir'!$G$31:$G$400,"lots"),SUMIFS('Étape 1 - à remplir'!$F$31:$F$400,'Étape 1 - à remplir'!$E$31:$E$400,MASQ2!BV478,'Étape 1 - à remplir'!$N$31:$N$400,CE$3,'Étape 1 - à remplir'!$G$31:$G$400,"lots")))))))</f>
        <v>#N/A</v>
      </c>
      <c r="BX478">
        <f t="shared" si="308"/>
        <v>0</v>
      </c>
      <c r="BY478" t="str">
        <f t="shared" si="292"/>
        <v>Amoxicilline</v>
      </c>
      <c r="BZ478" t="str">
        <f t="shared" si="293"/>
        <v>Acide clavulanique</v>
      </c>
      <c r="CA478" t="str">
        <f t="shared" si="294"/>
        <v/>
      </c>
      <c r="CB478" t="str">
        <f t="shared" si="295"/>
        <v>Penicillines</v>
      </c>
      <c r="CC478" t="str">
        <f t="shared" si="296"/>
        <v>Acide clavulanique</v>
      </c>
      <c r="CD478" s="63" t="str">
        <f t="shared" si="297"/>
        <v/>
      </c>
      <c r="CG478" s="42">
        <v>475</v>
      </c>
      <c r="CH478" s="42" t="e">
        <f t="shared" si="313"/>
        <v>#N/A</v>
      </c>
      <c r="CI478" s="63" t="e">
        <f t="shared" si="314"/>
        <v>#N/A</v>
      </c>
      <c r="DM478" s="63"/>
      <c r="EA478" s="194" t="str">
        <f t="shared" ca="1" si="298"/>
        <v/>
      </c>
      <c r="EB478" s="226" t="str">
        <f>IFERROR(IF(ED478=0,"",COUNTIF(ED$4:ED$600,"&gt;"&amp;ED478)+COUNTIF(ED$4:ED478,ED478)),"")</f>
        <v/>
      </c>
      <c r="EC478" t="str">
        <f t="shared" si="299"/>
        <v>SYNULOX INTRAMAMMAIRE</v>
      </c>
      <c r="ED478" t="e">
        <f>IF(IF(EL$2="Catégorie",IF(EL$3="Toutes",SUMIFS('Étape 1 - à remplir'!$F$31:$F$400,'Étape 1 - à remplir'!$E$31:$E$400,MASQ2!EC478,'Étape 1 - à remplir'!$G$31:$G$400,"kg"),SUMIFS('Étape 1 - à remplir'!$F$31:$F$400,'Étape 1 - à remplir'!$E$31:$E$400,MASQ2!EC478,'Étape 1 - à remplir'!$C$31:$C$400,EL$3)),IF(EL$2="Âge",IF(EL$3="Tous",SUMIFS('Étape 1 - à remplir'!$F$31:$F$400,'Étape 1 - à remplir'!$E$31:$E$400,MASQ2!EC478,'Étape 1 - à remplir'!$G$31:$G$400,"kg"),SUMIFS('Étape 1 - à remplir'!$F$31:$F$400,'Étape 1 - à remplir'!$E$31:$E$400,MASQ2!EC478,'Étape 1 - à remplir'!$P$31:$P$400,EL$3,'Étape 1 - à remplir'!$G$31:$G$400,"kg")),IF(EL$2="Atelier",IF(EL$3="Tous",SUMIFS('Étape 1 - à remplir'!$F$31:$F$400,'Étape 1 - à remplir'!$E$31:$E$400,MASQ2!EC478,'Étape 1 - à remplir'!$G$31:$G$400,"kg"),SUMIFS('Étape 1 - à remplir'!$F$31:$F$400,'Étape 1 - à remplir'!$E$31:$E$400,MASQ2!EC478,'Étape 1 - à remplir'!$O$31:$O$400,EL$3,'Étape 1 - à remplir'!$G$31:$G$400,"kg")),IF(EL$2="Espèce",IF(EL$3="Toutes",SUMIFS('Étape 1 - à remplir'!$F$31:$F$400,'Étape 1 - à remplir'!$E$31:$E$400,MASQ2!EC478,'Étape 1 - à remplir'!$G$31:$G$400,"kg"),SUMIFS('Étape 1 - à remplir'!$F$31:$F$400,'Étape 1 - à remplir'!$E$31:$E$400,MASQ2!EC478,'Étape 1 - à remplir'!$N$31:$N$400,EL$3,'Étape 1 - à remplir'!$G$31:$G$400,"kg"))))))=0,NA(),IF(EL$2="Catégorie",IF(EL$3="Toutes",SUMIFS('Étape 1 - à remplir'!$F$31:$F$400,'Étape 1 - à remplir'!$E$31:$E$400,MASQ2!EC478,'Étape 1 - à remplir'!$G$31:$G$400,"kg"),SUMIFS('Étape 1 - à remplir'!$F$31:$F$400,'Étape 1 - à remplir'!$E$31:$E$400,MASQ2!EC478,'Étape 1 - à remplir'!$C$31:$C$400,EL$3)),IF(EL$2="Âge",IF(EL$3="Tous",SUMIFS('Étape 1 - à remplir'!$F$31:$F$400,'Étape 1 - à remplir'!$E$31:$E$400,MASQ2!EC478,'Étape 1 - à remplir'!$G$31:$G$400,"kg"),SUMIFS('Étape 1 - à remplir'!$F$31:$F$400,'Étape 1 - à remplir'!$E$31:$E$400,MASQ2!EC478,'Étape 1 - à remplir'!$P$31:$P$400,EL$3,'Étape 1 - à remplir'!$G$31:$G$400,"kg")),IF(EL$2="Atelier",IF(EL$3="Tous",SUMIFS('Étape 1 - à remplir'!$F$31:$F$400,'Étape 1 - à remplir'!$E$31:$E$400,MASQ2!EC478,'Étape 1 - à remplir'!$G$31:$G$400,"kg"),SUMIFS('Étape 1 - à remplir'!$F$31:$F$400,'Étape 1 - à remplir'!$E$31:$E$400,MASQ2!EC478,'Étape 1 - à remplir'!$O$31:$O$400,EL$3,'Étape 1 - à remplir'!$G$31:$G$400,"kg")),IF(EL$2="Espèce",IF(EL$3="Toutes",SUMIFS('Étape 1 - à remplir'!$F$31:$F$400,'Étape 1 - à remplir'!$E$31:$E$400,MASQ2!EC478,'Étape 1 - à remplir'!$G$31:$G$400,"kg"),SUMIFS('Étape 1 - à remplir'!$F$31:$F$400,'Étape 1 - à remplir'!$E$31:$E$400,MASQ2!EC478,'Étape 1 - à remplir'!$N$31:$N$400,EL$3,'Étape 1 - à remplir'!$G$31:$G$400,"kg")))))))</f>
        <v>#N/A</v>
      </c>
      <c r="EE478" s="76">
        <f t="shared" si="309"/>
        <v>0</v>
      </c>
      <c r="EF478" t="str">
        <f t="shared" si="300"/>
        <v>Amoxicilline</v>
      </c>
      <c r="EG478" t="str">
        <f t="shared" si="301"/>
        <v>Acide clavulanique</v>
      </c>
      <c r="EH478" t="str">
        <f t="shared" si="302"/>
        <v/>
      </c>
      <c r="EI478" t="str">
        <f t="shared" si="303"/>
        <v>Penicillines</v>
      </c>
      <c r="EJ478" t="str">
        <f t="shared" si="304"/>
        <v>Acide clavulanique</v>
      </c>
      <c r="EK478" s="63" t="str">
        <f t="shared" si="305"/>
        <v/>
      </c>
      <c r="EN478" s="42">
        <v>475</v>
      </c>
      <c r="EO478" t="e">
        <f t="shared" si="311"/>
        <v>#N/A</v>
      </c>
      <c r="EP478" s="63" t="e">
        <f t="shared" si="312"/>
        <v>#N/A</v>
      </c>
      <c r="FT478" s="63"/>
    </row>
    <row r="479" spans="2:176" x14ac:dyDescent="0.3">
      <c r="B479" s="42"/>
      <c r="M479" s="194" t="str">
        <f ca="1">INDEX(Données_ATB!BD:BU,MATCH(MASQ2!O479,Données_ATB!BD:BD,0),18)</f>
        <v/>
      </c>
      <c r="N479" s="14" t="str">
        <f>IFERROR(IF(Q479=0,"",COUNTIF(Q$4:Q$600,"&gt;"&amp;Q479)+COUNTIF(Q$4:Q479,Q479)),"")</f>
        <v/>
      </c>
      <c r="O479" t="str">
        <f>Données_ATB!BD478</f>
        <v>SYNULOX SUSPENSION</v>
      </c>
      <c r="P479" t="e">
        <f>IF(IF(X$2="Catégorie",IF(X$3="Toutes",SUMIFS('Étape 1 - à remplir'!$F$31:$F$400,'Étape 1 - à remplir'!$E$31:$E$400,MASQ2!O479,'Étape 1 - à remplir'!$G$31:$G$400,"animaux"),SUMIFS('Étape 1 - à remplir'!$F$31:$F$400,'Étape 1 - à remplir'!$E$31:$E$400,MASQ2!O479,'Étape 1 - à remplir'!$C$31:$C$400,X$3)),IF(X$2="Âge",IF(X$3="Tous",SUMIFS('Étape 1 - à remplir'!$F$31:$F$400,'Étape 1 - à remplir'!$E$31:$E$400,MASQ2!O479,'Étape 1 - à remplir'!$G$31:$G$400,"animaux"),SUMIFS('Étape 1 - à remplir'!$F$31:$F$400,'Étape 1 - à remplir'!$E$31:$E$400,MASQ2!O479,'Étape 1 - à remplir'!$P$31:$P$400,X$3)),IF(X$2="Atelier",IF(X$3="Tous",SUMIFS('Étape 1 - à remplir'!$F$31:$F$400,'Étape 1 - à remplir'!$E$31:$E$400,MASQ2!O479,'Étape 1 - à remplir'!$G$31:$G$400,"animaux"),SUMIFS('Étape 1 - à remplir'!$F$31:$F$400,'Étape 1 - à remplir'!$E$31:$E$400,MASQ2!O479,'Étape 1 - à remplir'!$O$31:$O$400,X$3)),IF(X$2="Espèce",IF(X$3="Toutes",SUMIFS('Étape 1 - à remplir'!$F$31:$F$400,'Étape 1 - à remplir'!$E$31:$E$400,MASQ2!O479,'Étape 1 - à remplir'!$G$31:$G$400,"animaux"),SUMIFS('Étape 1 - à remplir'!$F$31:$F$400,'Étape 1 - à remplir'!$E$31:$E$400,MASQ2!O479,'Étape 1 - à remplir'!$N$31:$N$400,X$3))))))=0,NA(),IF(X$2="Catégorie",IF(X$3="Toutes",SUMIFS('Étape 1 - à remplir'!$F$31:$F$400,'Étape 1 - à remplir'!$E$31:$E$400,MASQ2!O479,'Étape 1 - à remplir'!$G$31:$G$400,"animaux"),SUMIFS('Étape 1 - à remplir'!$F$31:$F$400,'Étape 1 - à remplir'!$E$31:$E$400,MASQ2!O479,'Étape 1 - à remplir'!$C$31:$C$400,X$3)),IF(X$2="Âge",IF(X$3="Tous",SUMIFS('Étape 1 - à remplir'!$F$31:$F$400,'Étape 1 - à remplir'!$E$31:$E$400,MASQ2!O479,'Étape 1 - à remplir'!$G$31:$G$400,"animaux"),SUMIFS('Étape 1 - à remplir'!$F$31:$F$400,'Étape 1 - à remplir'!$E$31:$E$400,MASQ2!O479,'Étape 1 - à remplir'!$P$31:$P$400,X$3)),IF(X$2="Atelier",IF(X$3="Tous",SUMIFS('Étape 1 - à remplir'!$F$31:$F$400,'Étape 1 - à remplir'!$E$31:$E$400,MASQ2!O479,'Étape 1 - à remplir'!$G$31:$G$400,"animaux"),SUMIFS('Étape 1 - à remplir'!$F$31:$F$400,'Étape 1 - à remplir'!$E$31:$E$400,MASQ2!O479,'Étape 1 - à remplir'!$O$31:$O$400,X$3)),IF(X$2="Espèce",IF(X$3="Toutes",SUMIFS('Étape 1 - à remplir'!$F$31:$F$400,'Étape 1 - à remplir'!$E$31:$E$400,MASQ2!O479,'Étape 1 - à remplir'!$G$31:$G$400,"animaux"),SUMIFS('Étape 1 - à remplir'!$F$31:$F$400,'Étape 1 - à remplir'!$E$31:$E$400,MASQ2!O479,'Étape 1 - à remplir'!$N$31:$N$400,X$3)))))))</f>
        <v>#N/A</v>
      </c>
      <c r="Q479" s="63">
        <f t="shared" si="310"/>
        <v>0</v>
      </c>
      <c r="R479" t="str">
        <f>Données_ATB!BM478</f>
        <v>Amoxicilline</v>
      </c>
      <c r="S479" t="str">
        <f>Données_ATB!BN478</f>
        <v>Acide clavulanique</v>
      </c>
      <c r="T479" s="63" t="str">
        <f>Données_ATB!BO478</f>
        <v/>
      </c>
      <c r="U479" s="42" t="str">
        <f>Données_ATB!BQ478</f>
        <v>Penicillines</v>
      </c>
      <c r="V479" t="str">
        <f>Données_ATB!BR478</f>
        <v>Acide clavulanique</v>
      </c>
      <c r="W479" s="63" t="str">
        <f>Données_ATB!BS478</f>
        <v/>
      </c>
      <c r="Z479" s="42">
        <v>476</v>
      </c>
      <c r="AA479" t="e">
        <f t="shared" si="306"/>
        <v>#N/A</v>
      </c>
      <c r="AB479" s="63" t="e">
        <f t="shared" si="307"/>
        <v>#N/A</v>
      </c>
      <c r="BF479" s="63"/>
      <c r="BT479" s="194" t="str">
        <f t="shared" ca="1" si="290"/>
        <v/>
      </c>
      <c r="BU479" s="219" t="str">
        <f>IFERROR(IF(BX479=0,"",COUNTIF(BX$4:BX$600,"&gt;"&amp;BX479)+COUNTIF(BX$4:BX479,BX479)),"")</f>
        <v/>
      </c>
      <c r="BV479" s="42" t="str">
        <f t="shared" si="291"/>
        <v>SYNULOX SUSPENSION</v>
      </c>
      <c r="BW479" t="e">
        <f>IF(IF(CE$2="Catégorie",IF(CE$3="Toutes",SUMIFS('Étape 1 - à remplir'!$F$31:$F$400,'Étape 1 - à remplir'!$E$31:$E$400,MASQ2!BV479,'Étape 1 - à remplir'!$G$31:$G$400,"lots"),SUMIFS('Étape 1 - à remplir'!$F$31:$F$400,'Étape 1 - à remplir'!$E$31:$E$400,MASQ2!BV479,'Étape 1 - à remplir'!$C$31:$C$400,CE$3)),IF(CE$2="Âge",IF(CE$3="Tous",SUMIFS('Étape 1 - à remplir'!$F$31:$F$400,'Étape 1 - à remplir'!$E$31:$E$400,MASQ2!BV479,'Étape 1 - à remplir'!$G$31:$G$400,"lots"),SUMIFS('Étape 1 - à remplir'!$F$31:$F$400,'Étape 1 - à remplir'!$E$31:$E$400,MASQ2!BV479,'Étape 1 - à remplir'!$P$31:$P$400,CE$3,'Étape 1 - à remplir'!$G$31:$G$400,"lots")),IF(CE$2="Atelier",IF(CE$3="Tous",SUMIFS('Étape 1 - à remplir'!$F$31:$F$400,'Étape 1 - à remplir'!$E$31:$E$400,MASQ2!BV479,'Étape 1 - à remplir'!$G$31:$G$400,"lots"),SUMIFS('Étape 1 - à remplir'!$F$31:$F$400,'Étape 1 - à remplir'!$E$31:$E$400,MASQ2!BV479,'Étape 1 - à remplir'!$O$31:$O$400,CE$3,'Étape 1 - à remplir'!$G$31:$G$400,"lots")),IF(CE$2="Espèce",IF(CE$3="Toutes",SUMIFS('Étape 1 - à remplir'!$F$31:$F$400,'Étape 1 - à remplir'!$E$31:$E$400,MASQ2!BV479,'Étape 1 - à remplir'!$G$31:$G$400,"lots"),SUMIFS('Étape 1 - à remplir'!$F$31:$F$400,'Étape 1 - à remplir'!$E$31:$E$400,MASQ2!BV479,'Étape 1 - à remplir'!$N$31:$N$400,CE$3,'Étape 1 - à remplir'!$G$31:$G$400,"lots"))))))=0,NA(),IF(CE$2="Catégorie",IF(CE$3="Toutes",SUMIFS('Étape 1 - à remplir'!$F$31:$F$400,'Étape 1 - à remplir'!$E$31:$E$400,MASQ2!BV479,'Étape 1 - à remplir'!$G$31:$G$400,"lots"),SUMIFS('Étape 1 - à remplir'!$F$31:$F$400,'Étape 1 - à remplir'!$E$31:$E$400,MASQ2!BV479,'Étape 1 - à remplir'!$C$31:$C$400,CE$3)),IF(CE$2="Âge",IF(CE$3="Tous",SUMIFS('Étape 1 - à remplir'!$F$31:$F$400,'Étape 1 - à remplir'!$E$31:$E$400,MASQ2!BV479,'Étape 1 - à remplir'!$G$31:$G$400,"lots"),SUMIFS('Étape 1 - à remplir'!$F$31:$F$400,'Étape 1 - à remplir'!$E$31:$E$400,MASQ2!BV479,'Étape 1 - à remplir'!$P$31:$P$400,CE$3,'Étape 1 - à remplir'!$G$31:$G$400,"lots")),IF(CE$2="Atelier",IF(CE$3="Tous",SUMIFS('Étape 1 - à remplir'!$F$31:$F$400,'Étape 1 - à remplir'!$E$31:$E$400,MASQ2!BV479,'Étape 1 - à remplir'!$G$31:$G$400,"lots"),SUMIFS('Étape 1 - à remplir'!$F$31:$F$400,'Étape 1 - à remplir'!$E$31:$E$400,MASQ2!BV479,'Étape 1 - à remplir'!$O$31:$O$400,CE$3,'Étape 1 - à remplir'!$G$31:$G$400,"lots")),IF(CE$2="Espèce",IF(CE$3="Toutes",SUMIFS('Étape 1 - à remplir'!$F$31:$F$400,'Étape 1 - à remplir'!$E$31:$E$400,MASQ2!BV479,'Étape 1 - à remplir'!$G$31:$G$400,"lots"),SUMIFS('Étape 1 - à remplir'!$F$31:$F$400,'Étape 1 - à remplir'!$E$31:$E$400,MASQ2!BV479,'Étape 1 - à remplir'!$N$31:$N$400,CE$3,'Étape 1 - à remplir'!$G$31:$G$400,"lots")))))))</f>
        <v>#N/A</v>
      </c>
      <c r="BX479">
        <f t="shared" si="308"/>
        <v>0</v>
      </c>
      <c r="BY479" t="str">
        <f t="shared" si="292"/>
        <v>Amoxicilline</v>
      </c>
      <c r="BZ479" t="str">
        <f t="shared" si="293"/>
        <v>Acide clavulanique</v>
      </c>
      <c r="CA479" t="str">
        <f t="shared" si="294"/>
        <v/>
      </c>
      <c r="CB479" t="str">
        <f t="shared" si="295"/>
        <v>Penicillines</v>
      </c>
      <c r="CC479" t="str">
        <f t="shared" si="296"/>
        <v>Acide clavulanique</v>
      </c>
      <c r="CD479" s="63" t="str">
        <f t="shared" si="297"/>
        <v/>
      </c>
      <c r="CG479" s="42">
        <v>476</v>
      </c>
      <c r="CH479" s="42" t="e">
        <f t="shared" si="313"/>
        <v>#N/A</v>
      </c>
      <c r="CI479" s="63" t="e">
        <f t="shared" si="314"/>
        <v>#N/A</v>
      </c>
      <c r="DM479" s="63"/>
      <c r="EA479" s="194" t="str">
        <f t="shared" ca="1" si="298"/>
        <v/>
      </c>
      <c r="EB479" s="226" t="str">
        <f>IFERROR(IF(ED479=0,"",COUNTIF(ED$4:ED$600,"&gt;"&amp;ED479)+COUNTIF(ED$4:ED479,ED479)),"")</f>
        <v/>
      </c>
      <c r="EC479" t="str">
        <f t="shared" si="299"/>
        <v>SYNULOX SUSPENSION</v>
      </c>
      <c r="ED479" t="e">
        <f>IF(IF(EL$2="Catégorie",IF(EL$3="Toutes",SUMIFS('Étape 1 - à remplir'!$F$31:$F$400,'Étape 1 - à remplir'!$E$31:$E$400,MASQ2!EC479,'Étape 1 - à remplir'!$G$31:$G$400,"kg"),SUMIFS('Étape 1 - à remplir'!$F$31:$F$400,'Étape 1 - à remplir'!$E$31:$E$400,MASQ2!EC479,'Étape 1 - à remplir'!$C$31:$C$400,EL$3)),IF(EL$2="Âge",IF(EL$3="Tous",SUMIFS('Étape 1 - à remplir'!$F$31:$F$400,'Étape 1 - à remplir'!$E$31:$E$400,MASQ2!EC479,'Étape 1 - à remplir'!$G$31:$G$400,"kg"),SUMIFS('Étape 1 - à remplir'!$F$31:$F$400,'Étape 1 - à remplir'!$E$31:$E$400,MASQ2!EC479,'Étape 1 - à remplir'!$P$31:$P$400,EL$3,'Étape 1 - à remplir'!$G$31:$G$400,"kg")),IF(EL$2="Atelier",IF(EL$3="Tous",SUMIFS('Étape 1 - à remplir'!$F$31:$F$400,'Étape 1 - à remplir'!$E$31:$E$400,MASQ2!EC479,'Étape 1 - à remplir'!$G$31:$G$400,"kg"),SUMIFS('Étape 1 - à remplir'!$F$31:$F$400,'Étape 1 - à remplir'!$E$31:$E$400,MASQ2!EC479,'Étape 1 - à remplir'!$O$31:$O$400,EL$3,'Étape 1 - à remplir'!$G$31:$G$400,"kg")),IF(EL$2="Espèce",IF(EL$3="Toutes",SUMIFS('Étape 1 - à remplir'!$F$31:$F$400,'Étape 1 - à remplir'!$E$31:$E$400,MASQ2!EC479,'Étape 1 - à remplir'!$G$31:$G$400,"kg"),SUMIFS('Étape 1 - à remplir'!$F$31:$F$400,'Étape 1 - à remplir'!$E$31:$E$400,MASQ2!EC479,'Étape 1 - à remplir'!$N$31:$N$400,EL$3,'Étape 1 - à remplir'!$G$31:$G$400,"kg"))))))=0,NA(),IF(EL$2="Catégorie",IF(EL$3="Toutes",SUMIFS('Étape 1 - à remplir'!$F$31:$F$400,'Étape 1 - à remplir'!$E$31:$E$400,MASQ2!EC479,'Étape 1 - à remplir'!$G$31:$G$400,"kg"),SUMIFS('Étape 1 - à remplir'!$F$31:$F$400,'Étape 1 - à remplir'!$E$31:$E$400,MASQ2!EC479,'Étape 1 - à remplir'!$C$31:$C$400,EL$3)),IF(EL$2="Âge",IF(EL$3="Tous",SUMIFS('Étape 1 - à remplir'!$F$31:$F$400,'Étape 1 - à remplir'!$E$31:$E$400,MASQ2!EC479,'Étape 1 - à remplir'!$G$31:$G$400,"kg"),SUMIFS('Étape 1 - à remplir'!$F$31:$F$400,'Étape 1 - à remplir'!$E$31:$E$400,MASQ2!EC479,'Étape 1 - à remplir'!$P$31:$P$400,EL$3,'Étape 1 - à remplir'!$G$31:$G$400,"kg")),IF(EL$2="Atelier",IF(EL$3="Tous",SUMIFS('Étape 1 - à remplir'!$F$31:$F$400,'Étape 1 - à remplir'!$E$31:$E$400,MASQ2!EC479,'Étape 1 - à remplir'!$G$31:$G$400,"kg"),SUMIFS('Étape 1 - à remplir'!$F$31:$F$400,'Étape 1 - à remplir'!$E$31:$E$400,MASQ2!EC479,'Étape 1 - à remplir'!$O$31:$O$400,EL$3,'Étape 1 - à remplir'!$G$31:$G$400,"kg")),IF(EL$2="Espèce",IF(EL$3="Toutes",SUMIFS('Étape 1 - à remplir'!$F$31:$F$400,'Étape 1 - à remplir'!$E$31:$E$400,MASQ2!EC479,'Étape 1 - à remplir'!$G$31:$G$400,"kg"),SUMIFS('Étape 1 - à remplir'!$F$31:$F$400,'Étape 1 - à remplir'!$E$31:$E$400,MASQ2!EC479,'Étape 1 - à remplir'!$N$31:$N$400,EL$3,'Étape 1 - à remplir'!$G$31:$G$400,"kg")))))))</f>
        <v>#N/A</v>
      </c>
      <c r="EE479" s="76">
        <f t="shared" si="309"/>
        <v>0</v>
      </c>
      <c r="EF479" t="str">
        <f t="shared" si="300"/>
        <v>Amoxicilline</v>
      </c>
      <c r="EG479" t="str">
        <f t="shared" si="301"/>
        <v>Acide clavulanique</v>
      </c>
      <c r="EH479" t="str">
        <f t="shared" si="302"/>
        <v/>
      </c>
      <c r="EI479" t="str">
        <f t="shared" si="303"/>
        <v>Penicillines</v>
      </c>
      <c r="EJ479" t="str">
        <f t="shared" si="304"/>
        <v>Acide clavulanique</v>
      </c>
      <c r="EK479" s="63" t="str">
        <f t="shared" si="305"/>
        <v/>
      </c>
      <c r="EN479" s="42">
        <v>476</v>
      </c>
      <c r="EO479" t="e">
        <f t="shared" si="311"/>
        <v>#N/A</v>
      </c>
      <c r="EP479" s="63" t="e">
        <f t="shared" si="312"/>
        <v>#N/A</v>
      </c>
      <c r="FT479" s="63"/>
    </row>
    <row r="480" spans="2:176" x14ac:dyDescent="0.3">
      <c r="B480" s="42"/>
      <c r="M480" s="194" t="str">
        <f ca="1">INDEX(Données_ATB!BD:BU,MATCH(MASQ2!O480,Données_ATB!BD:BD,0),18)</f>
        <v/>
      </c>
      <c r="N480" s="14" t="str">
        <f>IFERROR(IF(Q480=0,"",COUNTIF(Q$4:Q$600,"&gt;"&amp;Q480)+COUNTIF(Q$4:Q480,Q480)),"")</f>
        <v/>
      </c>
      <c r="O480" t="str">
        <f>Données_ATB!BD479</f>
        <v>T.S.-SOL 20/100 MG/ML SOLUTION POUR ADMINISTRATION DANS L'EAU DE BOISSON POUR PORCS ET POULETS</v>
      </c>
      <c r="P480" t="e">
        <f>IF(IF(X$2="Catégorie",IF(X$3="Toutes",SUMIFS('Étape 1 - à remplir'!$F$31:$F$400,'Étape 1 - à remplir'!$E$31:$E$400,MASQ2!O480,'Étape 1 - à remplir'!$G$31:$G$400,"animaux"),SUMIFS('Étape 1 - à remplir'!$F$31:$F$400,'Étape 1 - à remplir'!$E$31:$E$400,MASQ2!O480,'Étape 1 - à remplir'!$C$31:$C$400,X$3)),IF(X$2="Âge",IF(X$3="Tous",SUMIFS('Étape 1 - à remplir'!$F$31:$F$400,'Étape 1 - à remplir'!$E$31:$E$400,MASQ2!O480,'Étape 1 - à remplir'!$G$31:$G$400,"animaux"),SUMIFS('Étape 1 - à remplir'!$F$31:$F$400,'Étape 1 - à remplir'!$E$31:$E$400,MASQ2!O480,'Étape 1 - à remplir'!$P$31:$P$400,X$3)),IF(X$2="Atelier",IF(X$3="Tous",SUMIFS('Étape 1 - à remplir'!$F$31:$F$400,'Étape 1 - à remplir'!$E$31:$E$400,MASQ2!O480,'Étape 1 - à remplir'!$G$31:$G$400,"animaux"),SUMIFS('Étape 1 - à remplir'!$F$31:$F$400,'Étape 1 - à remplir'!$E$31:$E$400,MASQ2!O480,'Étape 1 - à remplir'!$O$31:$O$400,X$3)),IF(X$2="Espèce",IF(X$3="Toutes",SUMIFS('Étape 1 - à remplir'!$F$31:$F$400,'Étape 1 - à remplir'!$E$31:$E$400,MASQ2!O480,'Étape 1 - à remplir'!$G$31:$G$400,"animaux"),SUMIFS('Étape 1 - à remplir'!$F$31:$F$400,'Étape 1 - à remplir'!$E$31:$E$400,MASQ2!O480,'Étape 1 - à remplir'!$N$31:$N$400,X$3))))))=0,NA(),IF(X$2="Catégorie",IF(X$3="Toutes",SUMIFS('Étape 1 - à remplir'!$F$31:$F$400,'Étape 1 - à remplir'!$E$31:$E$400,MASQ2!O480,'Étape 1 - à remplir'!$G$31:$G$400,"animaux"),SUMIFS('Étape 1 - à remplir'!$F$31:$F$400,'Étape 1 - à remplir'!$E$31:$E$400,MASQ2!O480,'Étape 1 - à remplir'!$C$31:$C$400,X$3)),IF(X$2="Âge",IF(X$3="Tous",SUMIFS('Étape 1 - à remplir'!$F$31:$F$400,'Étape 1 - à remplir'!$E$31:$E$400,MASQ2!O480,'Étape 1 - à remplir'!$G$31:$G$400,"animaux"),SUMIFS('Étape 1 - à remplir'!$F$31:$F$400,'Étape 1 - à remplir'!$E$31:$E$400,MASQ2!O480,'Étape 1 - à remplir'!$P$31:$P$400,X$3)),IF(X$2="Atelier",IF(X$3="Tous",SUMIFS('Étape 1 - à remplir'!$F$31:$F$400,'Étape 1 - à remplir'!$E$31:$E$400,MASQ2!O480,'Étape 1 - à remplir'!$G$31:$G$400,"animaux"),SUMIFS('Étape 1 - à remplir'!$F$31:$F$400,'Étape 1 - à remplir'!$E$31:$E$400,MASQ2!O480,'Étape 1 - à remplir'!$O$31:$O$400,X$3)),IF(X$2="Espèce",IF(X$3="Toutes",SUMIFS('Étape 1 - à remplir'!$F$31:$F$400,'Étape 1 - à remplir'!$E$31:$E$400,MASQ2!O480,'Étape 1 - à remplir'!$G$31:$G$400,"animaux"),SUMIFS('Étape 1 - à remplir'!$F$31:$F$400,'Étape 1 - à remplir'!$E$31:$E$400,MASQ2!O480,'Étape 1 - à remplir'!$N$31:$N$400,X$3)))))))</f>
        <v>#N/A</v>
      </c>
      <c r="Q480" s="63">
        <f t="shared" si="310"/>
        <v>0</v>
      </c>
      <c r="R480" t="str">
        <f>Données_ATB!BM479</f>
        <v>Sulfaméthoxazole</v>
      </c>
      <c r="S480" t="str">
        <f>Données_ATB!BN479</f>
        <v>Triméthoprime</v>
      </c>
      <c r="T480" s="63" t="str">
        <f>Données_ATB!BO479</f>
        <v/>
      </c>
      <c r="U480" s="42" t="str">
        <f>Données_ATB!BQ479</f>
        <v>Sulfamides</v>
      </c>
      <c r="V480" t="str">
        <f>Données_ATB!BR479</f>
        <v>Trimethoprime</v>
      </c>
      <c r="W480" s="63" t="str">
        <f>Données_ATB!BS479</f>
        <v/>
      </c>
      <c r="Z480" s="42">
        <v>477</v>
      </c>
      <c r="AA480" t="e">
        <f t="shared" si="306"/>
        <v>#N/A</v>
      </c>
      <c r="AB480" s="63" t="e">
        <f t="shared" si="307"/>
        <v>#N/A</v>
      </c>
      <c r="BF480" s="63"/>
      <c r="BT480" s="194" t="str">
        <f t="shared" ca="1" si="290"/>
        <v/>
      </c>
      <c r="BU480" s="219" t="str">
        <f>IFERROR(IF(BX480=0,"",COUNTIF(BX$4:BX$600,"&gt;"&amp;BX480)+COUNTIF(BX$4:BX480,BX480)),"")</f>
        <v/>
      </c>
      <c r="BV480" s="42" t="str">
        <f t="shared" si="291"/>
        <v>T.S.-SOL 20/100 MG/ML SOLUTION POUR ADMINISTRATION DANS L'EAU DE BOISSON POUR PORCS ET POULETS</v>
      </c>
      <c r="BW480" t="e">
        <f>IF(IF(CE$2="Catégorie",IF(CE$3="Toutes",SUMIFS('Étape 1 - à remplir'!$F$31:$F$400,'Étape 1 - à remplir'!$E$31:$E$400,MASQ2!BV480,'Étape 1 - à remplir'!$G$31:$G$400,"lots"),SUMIFS('Étape 1 - à remplir'!$F$31:$F$400,'Étape 1 - à remplir'!$E$31:$E$400,MASQ2!BV480,'Étape 1 - à remplir'!$C$31:$C$400,CE$3)),IF(CE$2="Âge",IF(CE$3="Tous",SUMIFS('Étape 1 - à remplir'!$F$31:$F$400,'Étape 1 - à remplir'!$E$31:$E$400,MASQ2!BV480,'Étape 1 - à remplir'!$G$31:$G$400,"lots"),SUMIFS('Étape 1 - à remplir'!$F$31:$F$400,'Étape 1 - à remplir'!$E$31:$E$400,MASQ2!BV480,'Étape 1 - à remplir'!$P$31:$P$400,CE$3,'Étape 1 - à remplir'!$G$31:$G$400,"lots")),IF(CE$2="Atelier",IF(CE$3="Tous",SUMIFS('Étape 1 - à remplir'!$F$31:$F$400,'Étape 1 - à remplir'!$E$31:$E$400,MASQ2!BV480,'Étape 1 - à remplir'!$G$31:$G$400,"lots"),SUMIFS('Étape 1 - à remplir'!$F$31:$F$400,'Étape 1 - à remplir'!$E$31:$E$400,MASQ2!BV480,'Étape 1 - à remplir'!$O$31:$O$400,CE$3,'Étape 1 - à remplir'!$G$31:$G$400,"lots")),IF(CE$2="Espèce",IF(CE$3="Toutes",SUMIFS('Étape 1 - à remplir'!$F$31:$F$400,'Étape 1 - à remplir'!$E$31:$E$400,MASQ2!BV480,'Étape 1 - à remplir'!$G$31:$G$400,"lots"),SUMIFS('Étape 1 - à remplir'!$F$31:$F$400,'Étape 1 - à remplir'!$E$31:$E$400,MASQ2!BV480,'Étape 1 - à remplir'!$N$31:$N$400,CE$3,'Étape 1 - à remplir'!$G$31:$G$400,"lots"))))))=0,NA(),IF(CE$2="Catégorie",IF(CE$3="Toutes",SUMIFS('Étape 1 - à remplir'!$F$31:$F$400,'Étape 1 - à remplir'!$E$31:$E$400,MASQ2!BV480,'Étape 1 - à remplir'!$G$31:$G$400,"lots"),SUMIFS('Étape 1 - à remplir'!$F$31:$F$400,'Étape 1 - à remplir'!$E$31:$E$400,MASQ2!BV480,'Étape 1 - à remplir'!$C$31:$C$400,CE$3)),IF(CE$2="Âge",IF(CE$3="Tous",SUMIFS('Étape 1 - à remplir'!$F$31:$F$400,'Étape 1 - à remplir'!$E$31:$E$400,MASQ2!BV480,'Étape 1 - à remplir'!$G$31:$G$400,"lots"),SUMIFS('Étape 1 - à remplir'!$F$31:$F$400,'Étape 1 - à remplir'!$E$31:$E$400,MASQ2!BV480,'Étape 1 - à remplir'!$P$31:$P$400,CE$3,'Étape 1 - à remplir'!$G$31:$G$400,"lots")),IF(CE$2="Atelier",IF(CE$3="Tous",SUMIFS('Étape 1 - à remplir'!$F$31:$F$400,'Étape 1 - à remplir'!$E$31:$E$400,MASQ2!BV480,'Étape 1 - à remplir'!$G$31:$G$400,"lots"),SUMIFS('Étape 1 - à remplir'!$F$31:$F$400,'Étape 1 - à remplir'!$E$31:$E$400,MASQ2!BV480,'Étape 1 - à remplir'!$O$31:$O$400,CE$3,'Étape 1 - à remplir'!$G$31:$G$400,"lots")),IF(CE$2="Espèce",IF(CE$3="Toutes",SUMIFS('Étape 1 - à remplir'!$F$31:$F$400,'Étape 1 - à remplir'!$E$31:$E$400,MASQ2!BV480,'Étape 1 - à remplir'!$G$31:$G$400,"lots"),SUMIFS('Étape 1 - à remplir'!$F$31:$F$400,'Étape 1 - à remplir'!$E$31:$E$400,MASQ2!BV480,'Étape 1 - à remplir'!$N$31:$N$400,CE$3,'Étape 1 - à remplir'!$G$31:$G$400,"lots")))))))</f>
        <v>#N/A</v>
      </c>
      <c r="BX480">
        <f t="shared" si="308"/>
        <v>0</v>
      </c>
      <c r="BY480" t="str">
        <f t="shared" si="292"/>
        <v>Sulfaméthoxazole</v>
      </c>
      <c r="BZ480" t="str">
        <f t="shared" si="293"/>
        <v>Triméthoprime</v>
      </c>
      <c r="CA480" t="str">
        <f t="shared" si="294"/>
        <v/>
      </c>
      <c r="CB480" t="str">
        <f t="shared" si="295"/>
        <v>Sulfamides</v>
      </c>
      <c r="CC480" t="str">
        <f t="shared" si="296"/>
        <v>Trimethoprime</v>
      </c>
      <c r="CD480" s="63" t="str">
        <f t="shared" si="297"/>
        <v/>
      </c>
      <c r="CG480" s="42">
        <v>477</v>
      </c>
      <c r="CH480" s="42" t="e">
        <f t="shared" si="313"/>
        <v>#N/A</v>
      </c>
      <c r="CI480" s="63" t="e">
        <f t="shared" si="314"/>
        <v>#N/A</v>
      </c>
      <c r="DM480" s="63"/>
      <c r="EA480" s="194" t="str">
        <f t="shared" ca="1" si="298"/>
        <v/>
      </c>
      <c r="EB480" s="226" t="str">
        <f>IFERROR(IF(ED480=0,"",COUNTIF(ED$4:ED$600,"&gt;"&amp;ED480)+COUNTIF(ED$4:ED480,ED480)),"")</f>
        <v/>
      </c>
      <c r="EC480" t="str">
        <f t="shared" si="299"/>
        <v>T.S.-SOL 20/100 MG/ML SOLUTION POUR ADMINISTRATION DANS L'EAU DE BOISSON POUR PORCS ET POULETS</v>
      </c>
      <c r="ED480" t="e">
        <f>IF(IF(EL$2="Catégorie",IF(EL$3="Toutes",SUMIFS('Étape 1 - à remplir'!$F$31:$F$400,'Étape 1 - à remplir'!$E$31:$E$400,MASQ2!EC480,'Étape 1 - à remplir'!$G$31:$G$400,"kg"),SUMIFS('Étape 1 - à remplir'!$F$31:$F$400,'Étape 1 - à remplir'!$E$31:$E$400,MASQ2!EC480,'Étape 1 - à remplir'!$C$31:$C$400,EL$3)),IF(EL$2="Âge",IF(EL$3="Tous",SUMIFS('Étape 1 - à remplir'!$F$31:$F$400,'Étape 1 - à remplir'!$E$31:$E$400,MASQ2!EC480,'Étape 1 - à remplir'!$G$31:$G$400,"kg"),SUMIFS('Étape 1 - à remplir'!$F$31:$F$400,'Étape 1 - à remplir'!$E$31:$E$400,MASQ2!EC480,'Étape 1 - à remplir'!$P$31:$P$400,EL$3,'Étape 1 - à remplir'!$G$31:$G$400,"kg")),IF(EL$2="Atelier",IF(EL$3="Tous",SUMIFS('Étape 1 - à remplir'!$F$31:$F$400,'Étape 1 - à remplir'!$E$31:$E$400,MASQ2!EC480,'Étape 1 - à remplir'!$G$31:$G$400,"kg"),SUMIFS('Étape 1 - à remplir'!$F$31:$F$400,'Étape 1 - à remplir'!$E$31:$E$400,MASQ2!EC480,'Étape 1 - à remplir'!$O$31:$O$400,EL$3,'Étape 1 - à remplir'!$G$31:$G$400,"kg")),IF(EL$2="Espèce",IF(EL$3="Toutes",SUMIFS('Étape 1 - à remplir'!$F$31:$F$400,'Étape 1 - à remplir'!$E$31:$E$400,MASQ2!EC480,'Étape 1 - à remplir'!$G$31:$G$400,"kg"),SUMIFS('Étape 1 - à remplir'!$F$31:$F$400,'Étape 1 - à remplir'!$E$31:$E$400,MASQ2!EC480,'Étape 1 - à remplir'!$N$31:$N$400,EL$3,'Étape 1 - à remplir'!$G$31:$G$400,"kg"))))))=0,NA(),IF(EL$2="Catégorie",IF(EL$3="Toutes",SUMIFS('Étape 1 - à remplir'!$F$31:$F$400,'Étape 1 - à remplir'!$E$31:$E$400,MASQ2!EC480,'Étape 1 - à remplir'!$G$31:$G$400,"kg"),SUMIFS('Étape 1 - à remplir'!$F$31:$F$400,'Étape 1 - à remplir'!$E$31:$E$400,MASQ2!EC480,'Étape 1 - à remplir'!$C$31:$C$400,EL$3)),IF(EL$2="Âge",IF(EL$3="Tous",SUMIFS('Étape 1 - à remplir'!$F$31:$F$400,'Étape 1 - à remplir'!$E$31:$E$400,MASQ2!EC480,'Étape 1 - à remplir'!$G$31:$G$400,"kg"),SUMIFS('Étape 1 - à remplir'!$F$31:$F$400,'Étape 1 - à remplir'!$E$31:$E$400,MASQ2!EC480,'Étape 1 - à remplir'!$P$31:$P$400,EL$3,'Étape 1 - à remplir'!$G$31:$G$400,"kg")),IF(EL$2="Atelier",IF(EL$3="Tous",SUMIFS('Étape 1 - à remplir'!$F$31:$F$400,'Étape 1 - à remplir'!$E$31:$E$400,MASQ2!EC480,'Étape 1 - à remplir'!$G$31:$G$400,"kg"),SUMIFS('Étape 1 - à remplir'!$F$31:$F$400,'Étape 1 - à remplir'!$E$31:$E$400,MASQ2!EC480,'Étape 1 - à remplir'!$O$31:$O$400,EL$3,'Étape 1 - à remplir'!$G$31:$G$400,"kg")),IF(EL$2="Espèce",IF(EL$3="Toutes",SUMIFS('Étape 1 - à remplir'!$F$31:$F$400,'Étape 1 - à remplir'!$E$31:$E$400,MASQ2!EC480,'Étape 1 - à remplir'!$G$31:$G$400,"kg"),SUMIFS('Étape 1 - à remplir'!$F$31:$F$400,'Étape 1 - à remplir'!$E$31:$E$400,MASQ2!EC480,'Étape 1 - à remplir'!$N$31:$N$400,EL$3,'Étape 1 - à remplir'!$G$31:$G$400,"kg")))))))</f>
        <v>#N/A</v>
      </c>
      <c r="EE480" s="76">
        <f t="shared" si="309"/>
        <v>0</v>
      </c>
      <c r="EF480" t="str">
        <f t="shared" si="300"/>
        <v>Sulfaméthoxazole</v>
      </c>
      <c r="EG480" t="str">
        <f t="shared" si="301"/>
        <v>Triméthoprime</v>
      </c>
      <c r="EH480" t="str">
        <f t="shared" si="302"/>
        <v/>
      </c>
      <c r="EI480" t="str">
        <f t="shared" si="303"/>
        <v>Sulfamides</v>
      </c>
      <c r="EJ480" t="str">
        <f t="shared" si="304"/>
        <v>Trimethoprime</v>
      </c>
      <c r="EK480" s="63" t="str">
        <f t="shared" si="305"/>
        <v/>
      </c>
      <c r="EN480" s="42">
        <v>477</v>
      </c>
      <c r="EO480" t="e">
        <f t="shared" si="311"/>
        <v>#N/A</v>
      </c>
      <c r="EP480" s="63" t="e">
        <f t="shared" si="312"/>
        <v>#N/A</v>
      </c>
      <c r="FT480" s="63"/>
    </row>
    <row r="481" spans="2:176" x14ac:dyDescent="0.3">
      <c r="B481" s="42"/>
      <c r="M481" s="194" t="str">
        <f ca="1">INDEX(Données_ATB!BD:BU,MATCH(MASQ2!O481,Données_ATB!BD:BD,0),18)</f>
        <v/>
      </c>
      <c r="N481" s="14" t="str">
        <f>IFERROR(IF(Q481=0,"",COUNTIF(Q$4:Q$600,"&gt;"&amp;Q481)+COUNTIF(Q$4:Q481,Q481)),"")</f>
        <v/>
      </c>
      <c r="O481" t="str">
        <f>Données_ATB!BD480</f>
        <v>TAF SPRAY 28,5 MG/G SOLUTION POUR PULVERISATION CUTANEE</v>
      </c>
      <c r="P481" t="e">
        <f>IF(IF(X$2="Catégorie",IF(X$3="Toutes",SUMIFS('Étape 1 - à remplir'!$F$31:$F$400,'Étape 1 - à remplir'!$E$31:$E$400,MASQ2!O481,'Étape 1 - à remplir'!$G$31:$G$400,"animaux"),SUMIFS('Étape 1 - à remplir'!$F$31:$F$400,'Étape 1 - à remplir'!$E$31:$E$400,MASQ2!O481,'Étape 1 - à remplir'!$C$31:$C$400,X$3)),IF(X$2="Âge",IF(X$3="Tous",SUMIFS('Étape 1 - à remplir'!$F$31:$F$400,'Étape 1 - à remplir'!$E$31:$E$400,MASQ2!O481,'Étape 1 - à remplir'!$G$31:$G$400,"animaux"),SUMIFS('Étape 1 - à remplir'!$F$31:$F$400,'Étape 1 - à remplir'!$E$31:$E$400,MASQ2!O481,'Étape 1 - à remplir'!$P$31:$P$400,X$3)),IF(X$2="Atelier",IF(X$3="Tous",SUMIFS('Étape 1 - à remplir'!$F$31:$F$400,'Étape 1 - à remplir'!$E$31:$E$400,MASQ2!O481,'Étape 1 - à remplir'!$G$31:$G$400,"animaux"),SUMIFS('Étape 1 - à remplir'!$F$31:$F$400,'Étape 1 - à remplir'!$E$31:$E$400,MASQ2!O481,'Étape 1 - à remplir'!$O$31:$O$400,X$3)),IF(X$2="Espèce",IF(X$3="Toutes",SUMIFS('Étape 1 - à remplir'!$F$31:$F$400,'Étape 1 - à remplir'!$E$31:$E$400,MASQ2!O481,'Étape 1 - à remplir'!$G$31:$G$400,"animaux"),SUMIFS('Étape 1 - à remplir'!$F$31:$F$400,'Étape 1 - à remplir'!$E$31:$E$400,MASQ2!O481,'Étape 1 - à remplir'!$N$31:$N$400,X$3))))))=0,NA(),IF(X$2="Catégorie",IF(X$3="Toutes",SUMIFS('Étape 1 - à remplir'!$F$31:$F$400,'Étape 1 - à remplir'!$E$31:$E$400,MASQ2!O481,'Étape 1 - à remplir'!$G$31:$G$400,"animaux"),SUMIFS('Étape 1 - à remplir'!$F$31:$F$400,'Étape 1 - à remplir'!$E$31:$E$400,MASQ2!O481,'Étape 1 - à remplir'!$C$31:$C$400,X$3)),IF(X$2="Âge",IF(X$3="Tous",SUMIFS('Étape 1 - à remplir'!$F$31:$F$400,'Étape 1 - à remplir'!$E$31:$E$400,MASQ2!O481,'Étape 1 - à remplir'!$G$31:$G$400,"animaux"),SUMIFS('Étape 1 - à remplir'!$F$31:$F$400,'Étape 1 - à remplir'!$E$31:$E$400,MASQ2!O481,'Étape 1 - à remplir'!$P$31:$P$400,X$3)),IF(X$2="Atelier",IF(X$3="Tous",SUMIFS('Étape 1 - à remplir'!$F$31:$F$400,'Étape 1 - à remplir'!$E$31:$E$400,MASQ2!O481,'Étape 1 - à remplir'!$G$31:$G$400,"animaux"),SUMIFS('Étape 1 - à remplir'!$F$31:$F$400,'Étape 1 - à remplir'!$E$31:$E$400,MASQ2!O481,'Étape 1 - à remplir'!$O$31:$O$400,X$3)),IF(X$2="Espèce",IF(X$3="Toutes",SUMIFS('Étape 1 - à remplir'!$F$31:$F$400,'Étape 1 - à remplir'!$E$31:$E$400,MASQ2!O481,'Étape 1 - à remplir'!$G$31:$G$400,"animaux"),SUMIFS('Étape 1 - à remplir'!$F$31:$F$400,'Étape 1 - à remplir'!$E$31:$E$400,MASQ2!O481,'Étape 1 - à remplir'!$N$31:$N$400,X$3)))))))</f>
        <v>#N/A</v>
      </c>
      <c r="Q481" s="63">
        <f t="shared" si="310"/>
        <v>0</v>
      </c>
      <c r="R481" t="str">
        <f>Données_ATB!BM480</f>
        <v>Thiamphénicol</v>
      </c>
      <c r="S481" t="str">
        <f>Données_ATB!BN480</f>
        <v/>
      </c>
      <c r="T481" s="63" t="str">
        <f>Données_ATB!BO480</f>
        <v/>
      </c>
      <c r="U481" s="42" t="str">
        <f>Données_ATB!BQ480</f>
        <v>Phenicoles</v>
      </c>
      <c r="V481" t="str">
        <f>Données_ATB!BR480</f>
        <v/>
      </c>
      <c r="W481" s="63" t="str">
        <f>Données_ATB!BS480</f>
        <v/>
      </c>
      <c r="Z481" s="42">
        <v>478</v>
      </c>
      <c r="AA481" t="e">
        <f t="shared" si="306"/>
        <v>#N/A</v>
      </c>
      <c r="AB481" s="63" t="e">
        <f t="shared" si="307"/>
        <v>#N/A</v>
      </c>
      <c r="BF481" s="63"/>
      <c r="BT481" s="194" t="str">
        <f t="shared" ca="1" si="290"/>
        <v/>
      </c>
      <c r="BU481" s="219" t="str">
        <f>IFERROR(IF(BX481=0,"",COUNTIF(BX$4:BX$600,"&gt;"&amp;BX481)+COUNTIF(BX$4:BX481,BX481)),"")</f>
        <v/>
      </c>
      <c r="BV481" s="42" t="str">
        <f t="shared" si="291"/>
        <v>TAF SPRAY 28,5 MG/G SOLUTION POUR PULVERISATION CUTANEE</v>
      </c>
      <c r="BW481" t="e">
        <f>IF(IF(CE$2="Catégorie",IF(CE$3="Toutes",SUMIFS('Étape 1 - à remplir'!$F$31:$F$400,'Étape 1 - à remplir'!$E$31:$E$400,MASQ2!BV481,'Étape 1 - à remplir'!$G$31:$G$400,"lots"),SUMIFS('Étape 1 - à remplir'!$F$31:$F$400,'Étape 1 - à remplir'!$E$31:$E$400,MASQ2!BV481,'Étape 1 - à remplir'!$C$31:$C$400,CE$3)),IF(CE$2="Âge",IF(CE$3="Tous",SUMIFS('Étape 1 - à remplir'!$F$31:$F$400,'Étape 1 - à remplir'!$E$31:$E$400,MASQ2!BV481,'Étape 1 - à remplir'!$G$31:$G$400,"lots"),SUMIFS('Étape 1 - à remplir'!$F$31:$F$400,'Étape 1 - à remplir'!$E$31:$E$400,MASQ2!BV481,'Étape 1 - à remplir'!$P$31:$P$400,CE$3,'Étape 1 - à remplir'!$G$31:$G$400,"lots")),IF(CE$2="Atelier",IF(CE$3="Tous",SUMIFS('Étape 1 - à remplir'!$F$31:$F$400,'Étape 1 - à remplir'!$E$31:$E$400,MASQ2!BV481,'Étape 1 - à remplir'!$G$31:$G$400,"lots"),SUMIFS('Étape 1 - à remplir'!$F$31:$F$400,'Étape 1 - à remplir'!$E$31:$E$400,MASQ2!BV481,'Étape 1 - à remplir'!$O$31:$O$400,CE$3,'Étape 1 - à remplir'!$G$31:$G$400,"lots")),IF(CE$2="Espèce",IF(CE$3="Toutes",SUMIFS('Étape 1 - à remplir'!$F$31:$F$400,'Étape 1 - à remplir'!$E$31:$E$400,MASQ2!BV481,'Étape 1 - à remplir'!$G$31:$G$400,"lots"),SUMIFS('Étape 1 - à remplir'!$F$31:$F$400,'Étape 1 - à remplir'!$E$31:$E$400,MASQ2!BV481,'Étape 1 - à remplir'!$N$31:$N$400,CE$3,'Étape 1 - à remplir'!$G$31:$G$400,"lots"))))))=0,NA(),IF(CE$2="Catégorie",IF(CE$3="Toutes",SUMIFS('Étape 1 - à remplir'!$F$31:$F$400,'Étape 1 - à remplir'!$E$31:$E$400,MASQ2!BV481,'Étape 1 - à remplir'!$G$31:$G$400,"lots"),SUMIFS('Étape 1 - à remplir'!$F$31:$F$400,'Étape 1 - à remplir'!$E$31:$E$400,MASQ2!BV481,'Étape 1 - à remplir'!$C$31:$C$400,CE$3)),IF(CE$2="Âge",IF(CE$3="Tous",SUMIFS('Étape 1 - à remplir'!$F$31:$F$400,'Étape 1 - à remplir'!$E$31:$E$400,MASQ2!BV481,'Étape 1 - à remplir'!$G$31:$G$400,"lots"),SUMIFS('Étape 1 - à remplir'!$F$31:$F$400,'Étape 1 - à remplir'!$E$31:$E$400,MASQ2!BV481,'Étape 1 - à remplir'!$P$31:$P$400,CE$3,'Étape 1 - à remplir'!$G$31:$G$400,"lots")),IF(CE$2="Atelier",IF(CE$3="Tous",SUMIFS('Étape 1 - à remplir'!$F$31:$F$400,'Étape 1 - à remplir'!$E$31:$E$400,MASQ2!BV481,'Étape 1 - à remplir'!$G$31:$G$400,"lots"),SUMIFS('Étape 1 - à remplir'!$F$31:$F$400,'Étape 1 - à remplir'!$E$31:$E$400,MASQ2!BV481,'Étape 1 - à remplir'!$O$31:$O$400,CE$3,'Étape 1 - à remplir'!$G$31:$G$400,"lots")),IF(CE$2="Espèce",IF(CE$3="Toutes",SUMIFS('Étape 1 - à remplir'!$F$31:$F$400,'Étape 1 - à remplir'!$E$31:$E$400,MASQ2!BV481,'Étape 1 - à remplir'!$G$31:$G$400,"lots"),SUMIFS('Étape 1 - à remplir'!$F$31:$F$400,'Étape 1 - à remplir'!$E$31:$E$400,MASQ2!BV481,'Étape 1 - à remplir'!$N$31:$N$400,CE$3,'Étape 1 - à remplir'!$G$31:$G$400,"lots")))))))</f>
        <v>#N/A</v>
      </c>
      <c r="BX481">
        <f t="shared" si="308"/>
        <v>0</v>
      </c>
      <c r="BY481" t="str">
        <f t="shared" si="292"/>
        <v>Thiamphénicol</v>
      </c>
      <c r="BZ481" t="str">
        <f t="shared" si="293"/>
        <v/>
      </c>
      <c r="CA481" t="str">
        <f t="shared" si="294"/>
        <v/>
      </c>
      <c r="CB481" t="str">
        <f t="shared" si="295"/>
        <v>Phenicoles</v>
      </c>
      <c r="CC481" t="str">
        <f t="shared" si="296"/>
        <v/>
      </c>
      <c r="CD481" s="63" t="str">
        <f t="shared" si="297"/>
        <v/>
      </c>
      <c r="CG481" s="42">
        <v>478</v>
      </c>
      <c r="CH481" s="42" t="e">
        <f t="shared" si="313"/>
        <v>#N/A</v>
      </c>
      <c r="CI481" s="63" t="e">
        <f t="shared" si="314"/>
        <v>#N/A</v>
      </c>
      <c r="DM481" s="63"/>
      <c r="EA481" s="194" t="str">
        <f t="shared" ca="1" si="298"/>
        <v/>
      </c>
      <c r="EB481" s="226" t="str">
        <f>IFERROR(IF(ED481=0,"",COUNTIF(ED$4:ED$600,"&gt;"&amp;ED481)+COUNTIF(ED$4:ED481,ED481)),"")</f>
        <v/>
      </c>
      <c r="EC481" t="str">
        <f t="shared" si="299"/>
        <v>TAF SPRAY 28,5 MG/G SOLUTION POUR PULVERISATION CUTANEE</v>
      </c>
      <c r="ED481" t="e">
        <f>IF(IF(EL$2="Catégorie",IF(EL$3="Toutes",SUMIFS('Étape 1 - à remplir'!$F$31:$F$400,'Étape 1 - à remplir'!$E$31:$E$400,MASQ2!EC481,'Étape 1 - à remplir'!$G$31:$G$400,"kg"),SUMIFS('Étape 1 - à remplir'!$F$31:$F$400,'Étape 1 - à remplir'!$E$31:$E$400,MASQ2!EC481,'Étape 1 - à remplir'!$C$31:$C$400,EL$3)),IF(EL$2="Âge",IF(EL$3="Tous",SUMIFS('Étape 1 - à remplir'!$F$31:$F$400,'Étape 1 - à remplir'!$E$31:$E$400,MASQ2!EC481,'Étape 1 - à remplir'!$G$31:$G$400,"kg"),SUMIFS('Étape 1 - à remplir'!$F$31:$F$400,'Étape 1 - à remplir'!$E$31:$E$400,MASQ2!EC481,'Étape 1 - à remplir'!$P$31:$P$400,EL$3,'Étape 1 - à remplir'!$G$31:$G$400,"kg")),IF(EL$2="Atelier",IF(EL$3="Tous",SUMIFS('Étape 1 - à remplir'!$F$31:$F$400,'Étape 1 - à remplir'!$E$31:$E$400,MASQ2!EC481,'Étape 1 - à remplir'!$G$31:$G$400,"kg"),SUMIFS('Étape 1 - à remplir'!$F$31:$F$400,'Étape 1 - à remplir'!$E$31:$E$400,MASQ2!EC481,'Étape 1 - à remplir'!$O$31:$O$400,EL$3,'Étape 1 - à remplir'!$G$31:$G$400,"kg")),IF(EL$2="Espèce",IF(EL$3="Toutes",SUMIFS('Étape 1 - à remplir'!$F$31:$F$400,'Étape 1 - à remplir'!$E$31:$E$400,MASQ2!EC481,'Étape 1 - à remplir'!$G$31:$G$400,"kg"),SUMIFS('Étape 1 - à remplir'!$F$31:$F$400,'Étape 1 - à remplir'!$E$31:$E$400,MASQ2!EC481,'Étape 1 - à remplir'!$N$31:$N$400,EL$3,'Étape 1 - à remplir'!$G$31:$G$400,"kg"))))))=0,NA(),IF(EL$2="Catégorie",IF(EL$3="Toutes",SUMIFS('Étape 1 - à remplir'!$F$31:$F$400,'Étape 1 - à remplir'!$E$31:$E$400,MASQ2!EC481,'Étape 1 - à remplir'!$G$31:$G$400,"kg"),SUMIFS('Étape 1 - à remplir'!$F$31:$F$400,'Étape 1 - à remplir'!$E$31:$E$400,MASQ2!EC481,'Étape 1 - à remplir'!$C$31:$C$400,EL$3)),IF(EL$2="Âge",IF(EL$3="Tous",SUMIFS('Étape 1 - à remplir'!$F$31:$F$400,'Étape 1 - à remplir'!$E$31:$E$400,MASQ2!EC481,'Étape 1 - à remplir'!$G$31:$G$400,"kg"),SUMIFS('Étape 1 - à remplir'!$F$31:$F$400,'Étape 1 - à remplir'!$E$31:$E$400,MASQ2!EC481,'Étape 1 - à remplir'!$P$31:$P$400,EL$3,'Étape 1 - à remplir'!$G$31:$G$400,"kg")),IF(EL$2="Atelier",IF(EL$3="Tous",SUMIFS('Étape 1 - à remplir'!$F$31:$F$400,'Étape 1 - à remplir'!$E$31:$E$400,MASQ2!EC481,'Étape 1 - à remplir'!$G$31:$G$400,"kg"),SUMIFS('Étape 1 - à remplir'!$F$31:$F$400,'Étape 1 - à remplir'!$E$31:$E$400,MASQ2!EC481,'Étape 1 - à remplir'!$O$31:$O$400,EL$3,'Étape 1 - à remplir'!$G$31:$G$400,"kg")),IF(EL$2="Espèce",IF(EL$3="Toutes",SUMIFS('Étape 1 - à remplir'!$F$31:$F$400,'Étape 1 - à remplir'!$E$31:$E$400,MASQ2!EC481,'Étape 1 - à remplir'!$G$31:$G$400,"kg"),SUMIFS('Étape 1 - à remplir'!$F$31:$F$400,'Étape 1 - à remplir'!$E$31:$E$400,MASQ2!EC481,'Étape 1 - à remplir'!$N$31:$N$400,EL$3,'Étape 1 - à remplir'!$G$31:$G$400,"kg")))))))</f>
        <v>#N/A</v>
      </c>
      <c r="EE481" s="76">
        <f t="shared" si="309"/>
        <v>0</v>
      </c>
      <c r="EF481" t="str">
        <f t="shared" si="300"/>
        <v>Thiamphénicol</v>
      </c>
      <c r="EG481" t="str">
        <f t="shared" si="301"/>
        <v/>
      </c>
      <c r="EH481" t="str">
        <f t="shared" si="302"/>
        <v/>
      </c>
      <c r="EI481" t="str">
        <f t="shared" si="303"/>
        <v>Phenicoles</v>
      </c>
      <c r="EJ481" t="str">
        <f t="shared" si="304"/>
        <v/>
      </c>
      <c r="EK481" s="63" t="str">
        <f t="shared" si="305"/>
        <v/>
      </c>
      <c r="EN481" s="42">
        <v>478</v>
      </c>
      <c r="EO481" t="e">
        <f t="shared" si="311"/>
        <v>#N/A</v>
      </c>
      <c r="EP481" s="63" t="e">
        <f t="shared" si="312"/>
        <v>#N/A</v>
      </c>
      <c r="FT481" s="63"/>
    </row>
    <row r="482" spans="2:176" x14ac:dyDescent="0.3">
      <c r="B482" s="42"/>
      <c r="M482" s="194" t="str">
        <f ca="1">INDEX(Données_ATB!BD:BU,MATCH(MASQ2!O482,Données_ATB!BD:BD,0),18)</f>
        <v/>
      </c>
      <c r="N482" s="14" t="str">
        <f>IFERROR(IF(Q482=0,"",COUNTIF(Q$4:Q$600,"&gt;"&amp;Q482)+COUNTIF(Q$4:Q482,Q482)),"")</f>
        <v/>
      </c>
      <c r="O482" t="str">
        <f>Données_ATB!BD481</f>
        <v>TARIGERMEL</v>
      </c>
      <c r="P482" t="e">
        <f>IF(IF(X$2="Catégorie",IF(X$3="Toutes",SUMIFS('Étape 1 - à remplir'!$F$31:$F$400,'Étape 1 - à remplir'!$E$31:$E$400,MASQ2!O482,'Étape 1 - à remplir'!$G$31:$G$400,"animaux"),SUMIFS('Étape 1 - à remplir'!$F$31:$F$400,'Étape 1 - à remplir'!$E$31:$E$400,MASQ2!O482,'Étape 1 - à remplir'!$C$31:$C$400,X$3)),IF(X$2="Âge",IF(X$3="Tous",SUMIFS('Étape 1 - à remplir'!$F$31:$F$400,'Étape 1 - à remplir'!$E$31:$E$400,MASQ2!O482,'Étape 1 - à remplir'!$G$31:$G$400,"animaux"),SUMIFS('Étape 1 - à remplir'!$F$31:$F$400,'Étape 1 - à remplir'!$E$31:$E$400,MASQ2!O482,'Étape 1 - à remplir'!$P$31:$P$400,X$3)),IF(X$2="Atelier",IF(X$3="Tous",SUMIFS('Étape 1 - à remplir'!$F$31:$F$400,'Étape 1 - à remplir'!$E$31:$E$400,MASQ2!O482,'Étape 1 - à remplir'!$G$31:$G$400,"animaux"),SUMIFS('Étape 1 - à remplir'!$F$31:$F$400,'Étape 1 - à remplir'!$E$31:$E$400,MASQ2!O482,'Étape 1 - à remplir'!$O$31:$O$400,X$3)),IF(X$2="Espèce",IF(X$3="Toutes",SUMIFS('Étape 1 - à remplir'!$F$31:$F$400,'Étape 1 - à remplir'!$E$31:$E$400,MASQ2!O482,'Étape 1 - à remplir'!$G$31:$G$400,"animaux"),SUMIFS('Étape 1 - à remplir'!$F$31:$F$400,'Étape 1 - à remplir'!$E$31:$E$400,MASQ2!O482,'Étape 1 - à remplir'!$N$31:$N$400,X$3))))))=0,NA(),IF(X$2="Catégorie",IF(X$3="Toutes",SUMIFS('Étape 1 - à remplir'!$F$31:$F$400,'Étape 1 - à remplir'!$E$31:$E$400,MASQ2!O482,'Étape 1 - à remplir'!$G$31:$G$400,"animaux"),SUMIFS('Étape 1 - à remplir'!$F$31:$F$400,'Étape 1 - à remplir'!$E$31:$E$400,MASQ2!O482,'Étape 1 - à remplir'!$C$31:$C$400,X$3)),IF(X$2="Âge",IF(X$3="Tous",SUMIFS('Étape 1 - à remplir'!$F$31:$F$400,'Étape 1 - à remplir'!$E$31:$E$400,MASQ2!O482,'Étape 1 - à remplir'!$G$31:$G$400,"animaux"),SUMIFS('Étape 1 - à remplir'!$F$31:$F$400,'Étape 1 - à remplir'!$E$31:$E$400,MASQ2!O482,'Étape 1 - à remplir'!$P$31:$P$400,X$3)),IF(X$2="Atelier",IF(X$3="Tous",SUMIFS('Étape 1 - à remplir'!$F$31:$F$400,'Étape 1 - à remplir'!$E$31:$E$400,MASQ2!O482,'Étape 1 - à remplir'!$G$31:$G$400,"animaux"),SUMIFS('Étape 1 - à remplir'!$F$31:$F$400,'Étape 1 - à remplir'!$E$31:$E$400,MASQ2!O482,'Étape 1 - à remplir'!$O$31:$O$400,X$3)),IF(X$2="Espèce",IF(X$3="Toutes",SUMIFS('Étape 1 - à remplir'!$F$31:$F$400,'Étape 1 - à remplir'!$E$31:$E$400,MASQ2!O482,'Étape 1 - à remplir'!$G$31:$G$400,"animaux"),SUMIFS('Étape 1 - à remplir'!$F$31:$F$400,'Étape 1 - à remplir'!$E$31:$E$400,MASQ2!O482,'Étape 1 - à remplir'!$N$31:$N$400,X$3)))))))</f>
        <v>#N/A</v>
      </c>
      <c r="Q482" s="63">
        <f t="shared" si="310"/>
        <v>0</v>
      </c>
      <c r="R482" t="str">
        <f>Données_ATB!BM481</f>
        <v>Cloxacilline</v>
      </c>
      <c r="S482" t="str">
        <f>Données_ATB!BN481</f>
        <v/>
      </c>
      <c r="T482" s="63" t="str">
        <f>Données_ATB!BO481</f>
        <v/>
      </c>
      <c r="U482" s="42" t="str">
        <f>Données_ATB!BQ481</f>
        <v>Penicillines</v>
      </c>
      <c r="V482" t="str">
        <f>Données_ATB!BR481</f>
        <v/>
      </c>
      <c r="W482" s="63" t="str">
        <f>Données_ATB!BS481</f>
        <v/>
      </c>
      <c r="Z482" s="42">
        <v>479</v>
      </c>
      <c r="AA482" t="e">
        <f t="shared" si="306"/>
        <v>#N/A</v>
      </c>
      <c r="AB482" s="63" t="e">
        <f t="shared" si="307"/>
        <v>#N/A</v>
      </c>
      <c r="BF482" s="63"/>
      <c r="BT482" s="194" t="str">
        <f t="shared" ca="1" si="290"/>
        <v/>
      </c>
      <c r="BU482" s="219" t="str">
        <f>IFERROR(IF(BX482=0,"",COUNTIF(BX$4:BX$600,"&gt;"&amp;BX482)+COUNTIF(BX$4:BX482,BX482)),"")</f>
        <v/>
      </c>
      <c r="BV482" s="42" t="str">
        <f t="shared" si="291"/>
        <v>TARIGERMEL</v>
      </c>
      <c r="BW482" t="e">
        <f>IF(IF(CE$2="Catégorie",IF(CE$3="Toutes",SUMIFS('Étape 1 - à remplir'!$F$31:$F$400,'Étape 1 - à remplir'!$E$31:$E$400,MASQ2!BV482,'Étape 1 - à remplir'!$G$31:$G$400,"lots"),SUMIFS('Étape 1 - à remplir'!$F$31:$F$400,'Étape 1 - à remplir'!$E$31:$E$400,MASQ2!BV482,'Étape 1 - à remplir'!$C$31:$C$400,CE$3)),IF(CE$2="Âge",IF(CE$3="Tous",SUMIFS('Étape 1 - à remplir'!$F$31:$F$400,'Étape 1 - à remplir'!$E$31:$E$400,MASQ2!BV482,'Étape 1 - à remplir'!$G$31:$G$400,"lots"),SUMIFS('Étape 1 - à remplir'!$F$31:$F$400,'Étape 1 - à remplir'!$E$31:$E$400,MASQ2!BV482,'Étape 1 - à remplir'!$P$31:$P$400,CE$3,'Étape 1 - à remplir'!$G$31:$G$400,"lots")),IF(CE$2="Atelier",IF(CE$3="Tous",SUMIFS('Étape 1 - à remplir'!$F$31:$F$400,'Étape 1 - à remplir'!$E$31:$E$400,MASQ2!BV482,'Étape 1 - à remplir'!$G$31:$G$400,"lots"),SUMIFS('Étape 1 - à remplir'!$F$31:$F$400,'Étape 1 - à remplir'!$E$31:$E$400,MASQ2!BV482,'Étape 1 - à remplir'!$O$31:$O$400,CE$3,'Étape 1 - à remplir'!$G$31:$G$400,"lots")),IF(CE$2="Espèce",IF(CE$3="Toutes",SUMIFS('Étape 1 - à remplir'!$F$31:$F$400,'Étape 1 - à remplir'!$E$31:$E$400,MASQ2!BV482,'Étape 1 - à remplir'!$G$31:$G$400,"lots"),SUMIFS('Étape 1 - à remplir'!$F$31:$F$400,'Étape 1 - à remplir'!$E$31:$E$400,MASQ2!BV482,'Étape 1 - à remplir'!$N$31:$N$400,CE$3,'Étape 1 - à remplir'!$G$31:$G$400,"lots"))))))=0,NA(),IF(CE$2="Catégorie",IF(CE$3="Toutes",SUMIFS('Étape 1 - à remplir'!$F$31:$F$400,'Étape 1 - à remplir'!$E$31:$E$400,MASQ2!BV482,'Étape 1 - à remplir'!$G$31:$G$400,"lots"),SUMIFS('Étape 1 - à remplir'!$F$31:$F$400,'Étape 1 - à remplir'!$E$31:$E$400,MASQ2!BV482,'Étape 1 - à remplir'!$C$31:$C$400,CE$3)),IF(CE$2="Âge",IF(CE$3="Tous",SUMIFS('Étape 1 - à remplir'!$F$31:$F$400,'Étape 1 - à remplir'!$E$31:$E$400,MASQ2!BV482,'Étape 1 - à remplir'!$G$31:$G$400,"lots"),SUMIFS('Étape 1 - à remplir'!$F$31:$F$400,'Étape 1 - à remplir'!$E$31:$E$400,MASQ2!BV482,'Étape 1 - à remplir'!$P$31:$P$400,CE$3,'Étape 1 - à remplir'!$G$31:$G$400,"lots")),IF(CE$2="Atelier",IF(CE$3="Tous",SUMIFS('Étape 1 - à remplir'!$F$31:$F$400,'Étape 1 - à remplir'!$E$31:$E$400,MASQ2!BV482,'Étape 1 - à remplir'!$G$31:$G$400,"lots"),SUMIFS('Étape 1 - à remplir'!$F$31:$F$400,'Étape 1 - à remplir'!$E$31:$E$400,MASQ2!BV482,'Étape 1 - à remplir'!$O$31:$O$400,CE$3,'Étape 1 - à remplir'!$G$31:$G$400,"lots")),IF(CE$2="Espèce",IF(CE$3="Toutes",SUMIFS('Étape 1 - à remplir'!$F$31:$F$400,'Étape 1 - à remplir'!$E$31:$E$400,MASQ2!BV482,'Étape 1 - à remplir'!$G$31:$G$400,"lots"),SUMIFS('Étape 1 - à remplir'!$F$31:$F$400,'Étape 1 - à remplir'!$E$31:$E$400,MASQ2!BV482,'Étape 1 - à remplir'!$N$31:$N$400,CE$3,'Étape 1 - à remplir'!$G$31:$G$400,"lots")))))))</f>
        <v>#N/A</v>
      </c>
      <c r="BX482">
        <f t="shared" si="308"/>
        <v>0</v>
      </c>
      <c r="BY482" t="str">
        <f t="shared" si="292"/>
        <v>Cloxacilline</v>
      </c>
      <c r="BZ482" t="str">
        <f t="shared" si="293"/>
        <v/>
      </c>
      <c r="CA482" t="str">
        <f t="shared" si="294"/>
        <v/>
      </c>
      <c r="CB482" t="str">
        <f t="shared" si="295"/>
        <v>Penicillines</v>
      </c>
      <c r="CC482" t="str">
        <f t="shared" si="296"/>
        <v/>
      </c>
      <c r="CD482" s="63" t="str">
        <f t="shared" si="297"/>
        <v/>
      </c>
      <c r="CG482" s="42">
        <v>479</v>
      </c>
      <c r="CH482" s="42" t="e">
        <f t="shared" si="313"/>
        <v>#N/A</v>
      </c>
      <c r="CI482" s="63" t="e">
        <f t="shared" si="314"/>
        <v>#N/A</v>
      </c>
      <c r="DM482" s="63"/>
      <c r="EA482" s="194" t="str">
        <f t="shared" ca="1" si="298"/>
        <v/>
      </c>
      <c r="EB482" s="226" t="str">
        <f>IFERROR(IF(ED482=0,"",COUNTIF(ED$4:ED$600,"&gt;"&amp;ED482)+COUNTIF(ED$4:ED482,ED482)),"")</f>
        <v/>
      </c>
      <c r="EC482" t="str">
        <f t="shared" si="299"/>
        <v>TARIGERMEL</v>
      </c>
      <c r="ED482" t="e">
        <f>IF(IF(EL$2="Catégorie",IF(EL$3="Toutes",SUMIFS('Étape 1 - à remplir'!$F$31:$F$400,'Étape 1 - à remplir'!$E$31:$E$400,MASQ2!EC482,'Étape 1 - à remplir'!$G$31:$G$400,"kg"),SUMIFS('Étape 1 - à remplir'!$F$31:$F$400,'Étape 1 - à remplir'!$E$31:$E$400,MASQ2!EC482,'Étape 1 - à remplir'!$C$31:$C$400,EL$3)),IF(EL$2="Âge",IF(EL$3="Tous",SUMIFS('Étape 1 - à remplir'!$F$31:$F$400,'Étape 1 - à remplir'!$E$31:$E$400,MASQ2!EC482,'Étape 1 - à remplir'!$G$31:$G$400,"kg"),SUMIFS('Étape 1 - à remplir'!$F$31:$F$400,'Étape 1 - à remplir'!$E$31:$E$400,MASQ2!EC482,'Étape 1 - à remplir'!$P$31:$P$400,EL$3,'Étape 1 - à remplir'!$G$31:$G$400,"kg")),IF(EL$2="Atelier",IF(EL$3="Tous",SUMIFS('Étape 1 - à remplir'!$F$31:$F$400,'Étape 1 - à remplir'!$E$31:$E$400,MASQ2!EC482,'Étape 1 - à remplir'!$G$31:$G$400,"kg"),SUMIFS('Étape 1 - à remplir'!$F$31:$F$400,'Étape 1 - à remplir'!$E$31:$E$400,MASQ2!EC482,'Étape 1 - à remplir'!$O$31:$O$400,EL$3,'Étape 1 - à remplir'!$G$31:$G$400,"kg")),IF(EL$2="Espèce",IF(EL$3="Toutes",SUMIFS('Étape 1 - à remplir'!$F$31:$F$400,'Étape 1 - à remplir'!$E$31:$E$400,MASQ2!EC482,'Étape 1 - à remplir'!$G$31:$G$400,"kg"),SUMIFS('Étape 1 - à remplir'!$F$31:$F$400,'Étape 1 - à remplir'!$E$31:$E$400,MASQ2!EC482,'Étape 1 - à remplir'!$N$31:$N$400,EL$3,'Étape 1 - à remplir'!$G$31:$G$400,"kg"))))))=0,NA(),IF(EL$2="Catégorie",IF(EL$3="Toutes",SUMIFS('Étape 1 - à remplir'!$F$31:$F$400,'Étape 1 - à remplir'!$E$31:$E$400,MASQ2!EC482,'Étape 1 - à remplir'!$G$31:$G$400,"kg"),SUMIFS('Étape 1 - à remplir'!$F$31:$F$400,'Étape 1 - à remplir'!$E$31:$E$400,MASQ2!EC482,'Étape 1 - à remplir'!$C$31:$C$400,EL$3)),IF(EL$2="Âge",IF(EL$3="Tous",SUMIFS('Étape 1 - à remplir'!$F$31:$F$400,'Étape 1 - à remplir'!$E$31:$E$400,MASQ2!EC482,'Étape 1 - à remplir'!$G$31:$G$400,"kg"),SUMIFS('Étape 1 - à remplir'!$F$31:$F$400,'Étape 1 - à remplir'!$E$31:$E$400,MASQ2!EC482,'Étape 1 - à remplir'!$P$31:$P$400,EL$3,'Étape 1 - à remplir'!$G$31:$G$400,"kg")),IF(EL$2="Atelier",IF(EL$3="Tous",SUMIFS('Étape 1 - à remplir'!$F$31:$F$400,'Étape 1 - à remplir'!$E$31:$E$400,MASQ2!EC482,'Étape 1 - à remplir'!$G$31:$G$400,"kg"),SUMIFS('Étape 1 - à remplir'!$F$31:$F$400,'Étape 1 - à remplir'!$E$31:$E$400,MASQ2!EC482,'Étape 1 - à remplir'!$O$31:$O$400,EL$3,'Étape 1 - à remplir'!$G$31:$G$400,"kg")),IF(EL$2="Espèce",IF(EL$3="Toutes",SUMIFS('Étape 1 - à remplir'!$F$31:$F$400,'Étape 1 - à remplir'!$E$31:$E$400,MASQ2!EC482,'Étape 1 - à remplir'!$G$31:$G$400,"kg"),SUMIFS('Étape 1 - à remplir'!$F$31:$F$400,'Étape 1 - à remplir'!$E$31:$E$400,MASQ2!EC482,'Étape 1 - à remplir'!$N$31:$N$400,EL$3,'Étape 1 - à remplir'!$G$31:$G$400,"kg")))))))</f>
        <v>#N/A</v>
      </c>
      <c r="EE482" s="76">
        <f t="shared" si="309"/>
        <v>0</v>
      </c>
      <c r="EF482" t="str">
        <f t="shared" si="300"/>
        <v>Cloxacilline</v>
      </c>
      <c r="EG482" t="str">
        <f t="shared" si="301"/>
        <v/>
      </c>
      <c r="EH482" t="str">
        <f t="shared" si="302"/>
        <v/>
      </c>
      <c r="EI482" t="str">
        <f t="shared" si="303"/>
        <v>Penicillines</v>
      </c>
      <c r="EJ482" t="str">
        <f t="shared" si="304"/>
        <v/>
      </c>
      <c r="EK482" s="63" t="str">
        <f t="shared" si="305"/>
        <v/>
      </c>
      <c r="EN482" s="42">
        <v>479</v>
      </c>
      <c r="EO482" t="e">
        <f t="shared" si="311"/>
        <v>#N/A</v>
      </c>
      <c r="EP482" s="63" t="e">
        <f t="shared" si="312"/>
        <v>#N/A</v>
      </c>
      <c r="FT482" s="63"/>
    </row>
    <row r="483" spans="2:176" x14ac:dyDescent="0.3">
      <c r="B483" s="42"/>
      <c r="M483" s="194" t="str">
        <f ca="1">INDEX(Données_ATB!BD:BU,MATCH(MASQ2!O483,Données_ATB!BD:BD,0),18)</f>
        <v/>
      </c>
      <c r="N483" s="14" t="str">
        <f>IFERROR(IF(Q483=0,"",COUNTIF(Q$4:Q$600,"&gt;"&amp;Q483)+COUNTIF(Q$4:Q483,Q483)),"")</f>
        <v/>
      </c>
      <c r="O483" t="str">
        <f>Données_ATB!BD482</f>
        <v>TENALINE L.A.</v>
      </c>
      <c r="P483" t="e">
        <f>IF(IF(X$2="Catégorie",IF(X$3="Toutes",SUMIFS('Étape 1 - à remplir'!$F$31:$F$400,'Étape 1 - à remplir'!$E$31:$E$400,MASQ2!O483,'Étape 1 - à remplir'!$G$31:$G$400,"animaux"),SUMIFS('Étape 1 - à remplir'!$F$31:$F$400,'Étape 1 - à remplir'!$E$31:$E$400,MASQ2!O483,'Étape 1 - à remplir'!$C$31:$C$400,X$3)),IF(X$2="Âge",IF(X$3="Tous",SUMIFS('Étape 1 - à remplir'!$F$31:$F$400,'Étape 1 - à remplir'!$E$31:$E$400,MASQ2!O483,'Étape 1 - à remplir'!$G$31:$G$400,"animaux"),SUMIFS('Étape 1 - à remplir'!$F$31:$F$400,'Étape 1 - à remplir'!$E$31:$E$400,MASQ2!O483,'Étape 1 - à remplir'!$P$31:$P$400,X$3)),IF(X$2="Atelier",IF(X$3="Tous",SUMIFS('Étape 1 - à remplir'!$F$31:$F$400,'Étape 1 - à remplir'!$E$31:$E$400,MASQ2!O483,'Étape 1 - à remplir'!$G$31:$G$400,"animaux"),SUMIFS('Étape 1 - à remplir'!$F$31:$F$400,'Étape 1 - à remplir'!$E$31:$E$400,MASQ2!O483,'Étape 1 - à remplir'!$O$31:$O$400,X$3)),IF(X$2="Espèce",IF(X$3="Toutes",SUMIFS('Étape 1 - à remplir'!$F$31:$F$400,'Étape 1 - à remplir'!$E$31:$E$400,MASQ2!O483,'Étape 1 - à remplir'!$G$31:$G$400,"animaux"),SUMIFS('Étape 1 - à remplir'!$F$31:$F$400,'Étape 1 - à remplir'!$E$31:$E$400,MASQ2!O483,'Étape 1 - à remplir'!$N$31:$N$400,X$3))))))=0,NA(),IF(X$2="Catégorie",IF(X$3="Toutes",SUMIFS('Étape 1 - à remplir'!$F$31:$F$400,'Étape 1 - à remplir'!$E$31:$E$400,MASQ2!O483,'Étape 1 - à remplir'!$G$31:$G$400,"animaux"),SUMIFS('Étape 1 - à remplir'!$F$31:$F$400,'Étape 1 - à remplir'!$E$31:$E$400,MASQ2!O483,'Étape 1 - à remplir'!$C$31:$C$400,X$3)),IF(X$2="Âge",IF(X$3="Tous",SUMIFS('Étape 1 - à remplir'!$F$31:$F$400,'Étape 1 - à remplir'!$E$31:$E$400,MASQ2!O483,'Étape 1 - à remplir'!$G$31:$G$400,"animaux"),SUMIFS('Étape 1 - à remplir'!$F$31:$F$400,'Étape 1 - à remplir'!$E$31:$E$400,MASQ2!O483,'Étape 1 - à remplir'!$P$31:$P$400,X$3)),IF(X$2="Atelier",IF(X$3="Tous",SUMIFS('Étape 1 - à remplir'!$F$31:$F$400,'Étape 1 - à remplir'!$E$31:$E$400,MASQ2!O483,'Étape 1 - à remplir'!$G$31:$G$400,"animaux"),SUMIFS('Étape 1 - à remplir'!$F$31:$F$400,'Étape 1 - à remplir'!$E$31:$E$400,MASQ2!O483,'Étape 1 - à remplir'!$O$31:$O$400,X$3)),IF(X$2="Espèce",IF(X$3="Toutes",SUMIFS('Étape 1 - à remplir'!$F$31:$F$400,'Étape 1 - à remplir'!$E$31:$E$400,MASQ2!O483,'Étape 1 - à remplir'!$G$31:$G$400,"animaux"),SUMIFS('Étape 1 - à remplir'!$F$31:$F$400,'Étape 1 - à remplir'!$E$31:$E$400,MASQ2!O483,'Étape 1 - à remplir'!$N$31:$N$400,X$3)))))))</f>
        <v>#N/A</v>
      </c>
      <c r="Q483" s="63">
        <f t="shared" si="310"/>
        <v>0</v>
      </c>
      <c r="R483" t="str">
        <f>Données_ATB!BM482</f>
        <v>Oxytétracycline</v>
      </c>
      <c r="S483" t="str">
        <f>Données_ATB!BN482</f>
        <v/>
      </c>
      <c r="T483" s="63" t="str">
        <f>Données_ATB!BO482</f>
        <v/>
      </c>
      <c r="U483" s="42" t="str">
        <f>Données_ATB!BQ482</f>
        <v>Tetracyclines</v>
      </c>
      <c r="V483" t="str">
        <f>Données_ATB!BR482</f>
        <v/>
      </c>
      <c r="W483" s="63" t="str">
        <f>Données_ATB!BS482</f>
        <v/>
      </c>
      <c r="Z483" s="42">
        <v>480</v>
      </c>
      <c r="AA483" t="e">
        <f t="shared" si="306"/>
        <v>#N/A</v>
      </c>
      <c r="AB483" s="63" t="e">
        <f t="shared" si="307"/>
        <v>#N/A</v>
      </c>
      <c r="BF483" s="63"/>
      <c r="BT483" s="194" t="str">
        <f t="shared" ca="1" si="290"/>
        <v/>
      </c>
      <c r="BU483" s="219" t="str">
        <f>IFERROR(IF(BX483=0,"",COUNTIF(BX$4:BX$600,"&gt;"&amp;BX483)+COUNTIF(BX$4:BX483,BX483)),"")</f>
        <v/>
      </c>
      <c r="BV483" s="42" t="str">
        <f t="shared" si="291"/>
        <v>TENALINE L.A.</v>
      </c>
      <c r="BW483" t="e">
        <f>IF(IF(CE$2="Catégorie",IF(CE$3="Toutes",SUMIFS('Étape 1 - à remplir'!$F$31:$F$400,'Étape 1 - à remplir'!$E$31:$E$400,MASQ2!BV483,'Étape 1 - à remplir'!$G$31:$G$400,"lots"),SUMIFS('Étape 1 - à remplir'!$F$31:$F$400,'Étape 1 - à remplir'!$E$31:$E$400,MASQ2!BV483,'Étape 1 - à remplir'!$C$31:$C$400,CE$3)),IF(CE$2="Âge",IF(CE$3="Tous",SUMIFS('Étape 1 - à remplir'!$F$31:$F$400,'Étape 1 - à remplir'!$E$31:$E$400,MASQ2!BV483,'Étape 1 - à remplir'!$G$31:$G$400,"lots"),SUMIFS('Étape 1 - à remplir'!$F$31:$F$400,'Étape 1 - à remplir'!$E$31:$E$400,MASQ2!BV483,'Étape 1 - à remplir'!$P$31:$P$400,CE$3,'Étape 1 - à remplir'!$G$31:$G$400,"lots")),IF(CE$2="Atelier",IF(CE$3="Tous",SUMIFS('Étape 1 - à remplir'!$F$31:$F$400,'Étape 1 - à remplir'!$E$31:$E$400,MASQ2!BV483,'Étape 1 - à remplir'!$G$31:$G$400,"lots"),SUMIFS('Étape 1 - à remplir'!$F$31:$F$400,'Étape 1 - à remplir'!$E$31:$E$400,MASQ2!BV483,'Étape 1 - à remplir'!$O$31:$O$400,CE$3,'Étape 1 - à remplir'!$G$31:$G$400,"lots")),IF(CE$2="Espèce",IF(CE$3="Toutes",SUMIFS('Étape 1 - à remplir'!$F$31:$F$400,'Étape 1 - à remplir'!$E$31:$E$400,MASQ2!BV483,'Étape 1 - à remplir'!$G$31:$G$400,"lots"),SUMIFS('Étape 1 - à remplir'!$F$31:$F$400,'Étape 1 - à remplir'!$E$31:$E$400,MASQ2!BV483,'Étape 1 - à remplir'!$N$31:$N$400,CE$3,'Étape 1 - à remplir'!$G$31:$G$400,"lots"))))))=0,NA(),IF(CE$2="Catégorie",IF(CE$3="Toutes",SUMIFS('Étape 1 - à remplir'!$F$31:$F$400,'Étape 1 - à remplir'!$E$31:$E$400,MASQ2!BV483,'Étape 1 - à remplir'!$G$31:$G$400,"lots"),SUMIFS('Étape 1 - à remplir'!$F$31:$F$400,'Étape 1 - à remplir'!$E$31:$E$400,MASQ2!BV483,'Étape 1 - à remplir'!$C$31:$C$400,CE$3)),IF(CE$2="Âge",IF(CE$3="Tous",SUMIFS('Étape 1 - à remplir'!$F$31:$F$400,'Étape 1 - à remplir'!$E$31:$E$400,MASQ2!BV483,'Étape 1 - à remplir'!$G$31:$G$400,"lots"),SUMIFS('Étape 1 - à remplir'!$F$31:$F$400,'Étape 1 - à remplir'!$E$31:$E$400,MASQ2!BV483,'Étape 1 - à remplir'!$P$31:$P$400,CE$3,'Étape 1 - à remplir'!$G$31:$G$400,"lots")),IF(CE$2="Atelier",IF(CE$3="Tous",SUMIFS('Étape 1 - à remplir'!$F$31:$F$400,'Étape 1 - à remplir'!$E$31:$E$400,MASQ2!BV483,'Étape 1 - à remplir'!$G$31:$G$400,"lots"),SUMIFS('Étape 1 - à remplir'!$F$31:$F$400,'Étape 1 - à remplir'!$E$31:$E$400,MASQ2!BV483,'Étape 1 - à remplir'!$O$31:$O$400,CE$3,'Étape 1 - à remplir'!$G$31:$G$400,"lots")),IF(CE$2="Espèce",IF(CE$3="Toutes",SUMIFS('Étape 1 - à remplir'!$F$31:$F$400,'Étape 1 - à remplir'!$E$31:$E$400,MASQ2!BV483,'Étape 1 - à remplir'!$G$31:$G$400,"lots"),SUMIFS('Étape 1 - à remplir'!$F$31:$F$400,'Étape 1 - à remplir'!$E$31:$E$400,MASQ2!BV483,'Étape 1 - à remplir'!$N$31:$N$400,CE$3,'Étape 1 - à remplir'!$G$31:$G$400,"lots")))))))</f>
        <v>#N/A</v>
      </c>
      <c r="BX483">
        <f t="shared" si="308"/>
        <v>0</v>
      </c>
      <c r="BY483" t="str">
        <f t="shared" si="292"/>
        <v>Oxytétracycline</v>
      </c>
      <c r="BZ483" t="str">
        <f t="shared" si="293"/>
        <v/>
      </c>
      <c r="CA483" t="str">
        <f t="shared" si="294"/>
        <v/>
      </c>
      <c r="CB483" t="str">
        <f t="shared" si="295"/>
        <v>Tetracyclines</v>
      </c>
      <c r="CC483" t="str">
        <f t="shared" si="296"/>
        <v/>
      </c>
      <c r="CD483" s="63" t="str">
        <f t="shared" si="297"/>
        <v/>
      </c>
      <c r="CG483" s="42">
        <v>480</v>
      </c>
      <c r="CH483" s="42" t="e">
        <f t="shared" si="313"/>
        <v>#N/A</v>
      </c>
      <c r="CI483" s="63" t="e">
        <f t="shared" si="314"/>
        <v>#N/A</v>
      </c>
      <c r="DM483" s="63"/>
      <c r="EA483" s="194" t="str">
        <f t="shared" ca="1" si="298"/>
        <v/>
      </c>
      <c r="EB483" s="226" t="str">
        <f>IFERROR(IF(ED483=0,"",COUNTIF(ED$4:ED$600,"&gt;"&amp;ED483)+COUNTIF(ED$4:ED483,ED483)),"")</f>
        <v/>
      </c>
      <c r="EC483" t="str">
        <f t="shared" si="299"/>
        <v>TENALINE L.A.</v>
      </c>
      <c r="ED483" t="e">
        <f>IF(IF(EL$2="Catégorie",IF(EL$3="Toutes",SUMIFS('Étape 1 - à remplir'!$F$31:$F$400,'Étape 1 - à remplir'!$E$31:$E$400,MASQ2!EC483,'Étape 1 - à remplir'!$G$31:$G$400,"kg"),SUMIFS('Étape 1 - à remplir'!$F$31:$F$400,'Étape 1 - à remplir'!$E$31:$E$400,MASQ2!EC483,'Étape 1 - à remplir'!$C$31:$C$400,EL$3)),IF(EL$2="Âge",IF(EL$3="Tous",SUMIFS('Étape 1 - à remplir'!$F$31:$F$400,'Étape 1 - à remplir'!$E$31:$E$400,MASQ2!EC483,'Étape 1 - à remplir'!$G$31:$G$400,"kg"),SUMIFS('Étape 1 - à remplir'!$F$31:$F$400,'Étape 1 - à remplir'!$E$31:$E$400,MASQ2!EC483,'Étape 1 - à remplir'!$P$31:$P$400,EL$3,'Étape 1 - à remplir'!$G$31:$G$400,"kg")),IF(EL$2="Atelier",IF(EL$3="Tous",SUMIFS('Étape 1 - à remplir'!$F$31:$F$400,'Étape 1 - à remplir'!$E$31:$E$400,MASQ2!EC483,'Étape 1 - à remplir'!$G$31:$G$400,"kg"),SUMIFS('Étape 1 - à remplir'!$F$31:$F$400,'Étape 1 - à remplir'!$E$31:$E$400,MASQ2!EC483,'Étape 1 - à remplir'!$O$31:$O$400,EL$3,'Étape 1 - à remplir'!$G$31:$G$400,"kg")),IF(EL$2="Espèce",IF(EL$3="Toutes",SUMIFS('Étape 1 - à remplir'!$F$31:$F$400,'Étape 1 - à remplir'!$E$31:$E$400,MASQ2!EC483,'Étape 1 - à remplir'!$G$31:$G$400,"kg"),SUMIFS('Étape 1 - à remplir'!$F$31:$F$400,'Étape 1 - à remplir'!$E$31:$E$400,MASQ2!EC483,'Étape 1 - à remplir'!$N$31:$N$400,EL$3,'Étape 1 - à remplir'!$G$31:$G$400,"kg"))))))=0,NA(),IF(EL$2="Catégorie",IF(EL$3="Toutes",SUMIFS('Étape 1 - à remplir'!$F$31:$F$400,'Étape 1 - à remplir'!$E$31:$E$400,MASQ2!EC483,'Étape 1 - à remplir'!$G$31:$G$400,"kg"),SUMIFS('Étape 1 - à remplir'!$F$31:$F$400,'Étape 1 - à remplir'!$E$31:$E$400,MASQ2!EC483,'Étape 1 - à remplir'!$C$31:$C$400,EL$3)),IF(EL$2="Âge",IF(EL$3="Tous",SUMIFS('Étape 1 - à remplir'!$F$31:$F$400,'Étape 1 - à remplir'!$E$31:$E$400,MASQ2!EC483,'Étape 1 - à remplir'!$G$31:$G$400,"kg"),SUMIFS('Étape 1 - à remplir'!$F$31:$F$400,'Étape 1 - à remplir'!$E$31:$E$400,MASQ2!EC483,'Étape 1 - à remplir'!$P$31:$P$400,EL$3,'Étape 1 - à remplir'!$G$31:$G$400,"kg")),IF(EL$2="Atelier",IF(EL$3="Tous",SUMIFS('Étape 1 - à remplir'!$F$31:$F$400,'Étape 1 - à remplir'!$E$31:$E$400,MASQ2!EC483,'Étape 1 - à remplir'!$G$31:$G$400,"kg"),SUMIFS('Étape 1 - à remplir'!$F$31:$F$400,'Étape 1 - à remplir'!$E$31:$E$400,MASQ2!EC483,'Étape 1 - à remplir'!$O$31:$O$400,EL$3,'Étape 1 - à remplir'!$G$31:$G$400,"kg")),IF(EL$2="Espèce",IF(EL$3="Toutes",SUMIFS('Étape 1 - à remplir'!$F$31:$F$400,'Étape 1 - à remplir'!$E$31:$E$400,MASQ2!EC483,'Étape 1 - à remplir'!$G$31:$G$400,"kg"),SUMIFS('Étape 1 - à remplir'!$F$31:$F$400,'Étape 1 - à remplir'!$E$31:$E$400,MASQ2!EC483,'Étape 1 - à remplir'!$N$31:$N$400,EL$3,'Étape 1 - à remplir'!$G$31:$G$400,"kg")))))))</f>
        <v>#N/A</v>
      </c>
      <c r="EE483" s="76">
        <f t="shared" si="309"/>
        <v>0</v>
      </c>
      <c r="EF483" t="str">
        <f t="shared" si="300"/>
        <v>Oxytétracycline</v>
      </c>
      <c r="EG483" t="str">
        <f t="shared" si="301"/>
        <v/>
      </c>
      <c r="EH483" t="str">
        <f t="shared" si="302"/>
        <v/>
      </c>
      <c r="EI483" t="str">
        <f t="shared" si="303"/>
        <v>Tetracyclines</v>
      </c>
      <c r="EJ483" t="str">
        <f t="shared" si="304"/>
        <v/>
      </c>
      <c r="EK483" s="63" t="str">
        <f t="shared" si="305"/>
        <v/>
      </c>
      <c r="EN483" s="42">
        <v>480</v>
      </c>
      <c r="EO483" t="e">
        <f t="shared" si="311"/>
        <v>#N/A</v>
      </c>
      <c r="EP483" s="63" t="e">
        <f t="shared" si="312"/>
        <v>#N/A</v>
      </c>
      <c r="FT483" s="63"/>
    </row>
    <row r="484" spans="2:176" x14ac:dyDescent="0.3">
      <c r="B484" s="42"/>
      <c r="M484" s="194" t="str">
        <f ca="1">INDEX(Données_ATB!BD:BU,MATCH(MASQ2!O484,Données_ATB!BD:BD,0),18)</f>
        <v>x</v>
      </c>
      <c r="N484" s="14" t="str">
        <f>IFERROR(IF(Q484=0,"",COUNTIF(Q$4:Q$600,"&gt;"&amp;Q484)+COUNTIF(Q$4:Q484,Q484)),"")</f>
        <v/>
      </c>
      <c r="O484" t="str">
        <f>Données_ATB!BD483</f>
        <v>TENOTRYL 10 % SOLUTION BUVABLE</v>
      </c>
      <c r="P484" t="e">
        <f>IF(IF(X$2="Catégorie",IF(X$3="Toutes",SUMIFS('Étape 1 - à remplir'!$F$31:$F$400,'Étape 1 - à remplir'!$E$31:$E$400,MASQ2!O484,'Étape 1 - à remplir'!$G$31:$G$400,"animaux"),SUMIFS('Étape 1 - à remplir'!$F$31:$F$400,'Étape 1 - à remplir'!$E$31:$E$400,MASQ2!O484,'Étape 1 - à remplir'!$C$31:$C$400,X$3)),IF(X$2="Âge",IF(X$3="Tous",SUMIFS('Étape 1 - à remplir'!$F$31:$F$400,'Étape 1 - à remplir'!$E$31:$E$400,MASQ2!O484,'Étape 1 - à remplir'!$G$31:$G$400,"animaux"),SUMIFS('Étape 1 - à remplir'!$F$31:$F$400,'Étape 1 - à remplir'!$E$31:$E$400,MASQ2!O484,'Étape 1 - à remplir'!$P$31:$P$400,X$3)),IF(X$2="Atelier",IF(X$3="Tous",SUMIFS('Étape 1 - à remplir'!$F$31:$F$400,'Étape 1 - à remplir'!$E$31:$E$400,MASQ2!O484,'Étape 1 - à remplir'!$G$31:$G$400,"animaux"),SUMIFS('Étape 1 - à remplir'!$F$31:$F$400,'Étape 1 - à remplir'!$E$31:$E$400,MASQ2!O484,'Étape 1 - à remplir'!$O$31:$O$400,X$3)),IF(X$2="Espèce",IF(X$3="Toutes",SUMIFS('Étape 1 - à remplir'!$F$31:$F$400,'Étape 1 - à remplir'!$E$31:$E$400,MASQ2!O484,'Étape 1 - à remplir'!$G$31:$G$400,"animaux"),SUMIFS('Étape 1 - à remplir'!$F$31:$F$400,'Étape 1 - à remplir'!$E$31:$E$400,MASQ2!O484,'Étape 1 - à remplir'!$N$31:$N$400,X$3))))))=0,NA(),IF(X$2="Catégorie",IF(X$3="Toutes",SUMIFS('Étape 1 - à remplir'!$F$31:$F$400,'Étape 1 - à remplir'!$E$31:$E$400,MASQ2!O484,'Étape 1 - à remplir'!$G$31:$G$400,"animaux"),SUMIFS('Étape 1 - à remplir'!$F$31:$F$400,'Étape 1 - à remplir'!$E$31:$E$400,MASQ2!O484,'Étape 1 - à remplir'!$C$31:$C$400,X$3)),IF(X$2="Âge",IF(X$3="Tous",SUMIFS('Étape 1 - à remplir'!$F$31:$F$400,'Étape 1 - à remplir'!$E$31:$E$400,MASQ2!O484,'Étape 1 - à remplir'!$G$31:$G$400,"animaux"),SUMIFS('Étape 1 - à remplir'!$F$31:$F$400,'Étape 1 - à remplir'!$E$31:$E$400,MASQ2!O484,'Étape 1 - à remplir'!$P$31:$P$400,X$3)),IF(X$2="Atelier",IF(X$3="Tous",SUMIFS('Étape 1 - à remplir'!$F$31:$F$400,'Étape 1 - à remplir'!$E$31:$E$400,MASQ2!O484,'Étape 1 - à remplir'!$G$31:$G$400,"animaux"),SUMIFS('Étape 1 - à remplir'!$F$31:$F$400,'Étape 1 - à remplir'!$E$31:$E$400,MASQ2!O484,'Étape 1 - à remplir'!$O$31:$O$400,X$3)),IF(X$2="Espèce",IF(X$3="Toutes",SUMIFS('Étape 1 - à remplir'!$F$31:$F$400,'Étape 1 - à remplir'!$E$31:$E$400,MASQ2!O484,'Étape 1 - à remplir'!$G$31:$G$400,"animaux"),SUMIFS('Étape 1 - à remplir'!$F$31:$F$400,'Étape 1 - à remplir'!$E$31:$E$400,MASQ2!O484,'Étape 1 - à remplir'!$N$31:$N$400,X$3)))))))</f>
        <v>#N/A</v>
      </c>
      <c r="Q484" s="63">
        <f t="shared" si="310"/>
        <v>0</v>
      </c>
      <c r="R484" t="str">
        <f>Données_ATB!BM483</f>
        <v>Enrofloxacine</v>
      </c>
      <c r="S484" t="str">
        <f>Données_ATB!BN483</f>
        <v/>
      </c>
      <c r="T484" s="63" t="str">
        <f>Données_ATB!BO483</f>
        <v/>
      </c>
      <c r="U484" s="42" t="str">
        <f>Données_ATB!BQ483</f>
        <v>Fluoroquinolones</v>
      </c>
      <c r="V484" t="str">
        <f>Données_ATB!BR483</f>
        <v/>
      </c>
      <c r="W484" s="63" t="str">
        <f>Données_ATB!BS483</f>
        <v/>
      </c>
      <c r="Z484" s="42">
        <v>481</v>
      </c>
      <c r="AA484" t="e">
        <f t="shared" si="306"/>
        <v>#N/A</v>
      </c>
      <c r="AB484" s="63" t="e">
        <f t="shared" si="307"/>
        <v>#N/A</v>
      </c>
      <c r="BF484" s="63"/>
      <c r="BT484" s="194" t="str">
        <f t="shared" ca="1" si="290"/>
        <v>x</v>
      </c>
      <c r="BU484" s="219" t="str">
        <f>IFERROR(IF(BX484=0,"",COUNTIF(BX$4:BX$600,"&gt;"&amp;BX484)+COUNTIF(BX$4:BX484,BX484)),"")</f>
        <v/>
      </c>
      <c r="BV484" s="42" t="str">
        <f t="shared" si="291"/>
        <v>TENOTRYL 10 % SOLUTION BUVABLE</v>
      </c>
      <c r="BW484" t="e">
        <f>IF(IF(CE$2="Catégorie",IF(CE$3="Toutes",SUMIFS('Étape 1 - à remplir'!$F$31:$F$400,'Étape 1 - à remplir'!$E$31:$E$400,MASQ2!BV484,'Étape 1 - à remplir'!$G$31:$G$400,"lots"),SUMIFS('Étape 1 - à remplir'!$F$31:$F$400,'Étape 1 - à remplir'!$E$31:$E$400,MASQ2!BV484,'Étape 1 - à remplir'!$C$31:$C$400,CE$3)),IF(CE$2="Âge",IF(CE$3="Tous",SUMIFS('Étape 1 - à remplir'!$F$31:$F$400,'Étape 1 - à remplir'!$E$31:$E$400,MASQ2!BV484,'Étape 1 - à remplir'!$G$31:$G$400,"lots"),SUMIFS('Étape 1 - à remplir'!$F$31:$F$400,'Étape 1 - à remplir'!$E$31:$E$400,MASQ2!BV484,'Étape 1 - à remplir'!$P$31:$P$400,CE$3,'Étape 1 - à remplir'!$G$31:$G$400,"lots")),IF(CE$2="Atelier",IF(CE$3="Tous",SUMIFS('Étape 1 - à remplir'!$F$31:$F$400,'Étape 1 - à remplir'!$E$31:$E$400,MASQ2!BV484,'Étape 1 - à remplir'!$G$31:$G$400,"lots"),SUMIFS('Étape 1 - à remplir'!$F$31:$F$400,'Étape 1 - à remplir'!$E$31:$E$400,MASQ2!BV484,'Étape 1 - à remplir'!$O$31:$O$400,CE$3,'Étape 1 - à remplir'!$G$31:$G$400,"lots")),IF(CE$2="Espèce",IF(CE$3="Toutes",SUMIFS('Étape 1 - à remplir'!$F$31:$F$400,'Étape 1 - à remplir'!$E$31:$E$400,MASQ2!BV484,'Étape 1 - à remplir'!$G$31:$G$400,"lots"),SUMIFS('Étape 1 - à remplir'!$F$31:$F$400,'Étape 1 - à remplir'!$E$31:$E$400,MASQ2!BV484,'Étape 1 - à remplir'!$N$31:$N$400,CE$3,'Étape 1 - à remplir'!$G$31:$G$400,"lots"))))))=0,NA(),IF(CE$2="Catégorie",IF(CE$3="Toutes",SUMIFS('Étape 1 - à remplir'!$F$31:$F$400,'Étape 1 - à remplir'!$E$31:$E$400,MASQ2!BV484,'Étape 1 - à remplir'!$G$31:$G$400,"lots"),SUMIFS('Étape 1 - à remplir'!$F$31:$F$400,'Étape 1 - à remplir'!$E$31:$E$400,MASQ2!BV484,'Étape 1 - à remplir'!$C$31:$C$400,CE$3)),IF(CE$2="Âge",IF(CE$3="Tous",SUMIFS('Étape 1 - à remplir'!$F$31:$F$400,'Étape 1 - à remplir'!$E$31:$E$400,MASQ2!BV484,'Étape 1 - à remplir'!$G$31:$G$400,"lots"),SUMIFS('Étape 1 - à remplir'!$F$31:$F$400,'Étape 1 - à remplir'!$E$31:$E$400,MASQ2!BV484,'Étape 1 - à remplir'!$P$31:$P$400,CE$3,'Étape 1 - à remplir'!$G$31:$G$400,"lots")),IF(CE$2="Atelier",IF(CE$3="Tous",SUMIFS('Étape 1 - à remplir'!$F$31:$F$400,'Étape 1 - à remplir'!$E$31:$E$400,MASQ2!BV484,'Étape 1 - à remplir'!$G$31:$G$400,"lots"),SUMIFS('Étape 1 - à remplir'!$F$31:$F$400,'Étape 1 - à remplir'!$E$31:$E$400,MASQ2!BV484,'Étape 1 - à remplir'!$O$31:$O$400,CE$3,'Étape 1 - à remplir'!$G$31:$G$400,"lots")),IF(CE$2="Espèce",IF(CE$3="Toutes",SUMIFS('Étape 1 - à remplir'!$F$31:$F$400,'Étape 1 - à remplir'!$E$31:$E$400,MASQ2!BV484,'Étape 1 - à remplir'!$G$31:$G$400,"lots"),SUMIFS('Étape 1 - à remplir'!$F$31:$F$400,'Étape 1 - à remplir'!$E$31:$E$400,MASQ2!BV484,'Étape 1 - à remplir'!$N$31:$N$400,CE$3,'Étape 1 - à remplir'!$G$31:$G$400,"lots")))))))</f>
        <v>#N/A</v>
      </c>
      <c r="BX484">
        <f t="shared" si="308"/>
        <v>0</v>
      </c>
      <c r="BY484" t="str">
        <f t="shared" si="292"/>
        <v>Enrofloxacine</v>
      </c>
      <c r="BZ484" t="str">
        <f t="shared" si="293"/>
        <v/>
      </c>
      <c r="CA484" t="str">
        <f t="shared" si="294"/>
        <v/>
      </c>
      <c r="CB484" t="str">
        <f t="shared" si="295"/>
        <v>Fluoroquinolones</v>
      </c>
      <c r="CC484" t="str">
        <f t="shared" si="296"/>
        <v/>
      </c>
      <c r="CD484" s="63" t="str">
        <f t="shared" si="297"/>
        <v/>
      </c>
      <c r="CG484" s="42">
        <v>481</v>
      </c>
      <c r="CH484" s="42" t="e">
        <f t="shared" si="313"/>
        <v>#N/A</v>
      </c>
      <c r="CI484" s="63" t="e">
        <f t="shared" si="314"/>
        <v>#N/A</v>
      </c>
      <c r="DM484" s="63"/>
      <c r="EA484" s="194" t="str">
        <f t="shared" ca="1" si="298"/>
        <v>x</v>
      </c>
      <c r="EB484" s="226" t="str">
        <f>IFERROR(IF(ED484=0,"",COUNTIF(ED$4:ED$600,"&gt;"&amp;ED484)+COUNTIF(ED$4:ED484,ED484)),"")</f>
        <v/>
      </c>
      <c r="EC484" t="str">
        <f t="shared" si="299"/>
        <v>TENOTRYL 10 % SOLUTION BUVABLE</v>
      </c>
      <c r="ED484" t="e">
        <f>IF(IF(EL$2="Catégorie",IF(EL$3="Toutes",SUMIFS('Étape 1 - à remplir'!$F$31:$F$400,'Étape 1 - à remplir'!$E$31:$E$400,MASQ2!EC484,'Étape 1 - à remplir'!$G$31:$G$400,"kg"),SUMIFS('Étape 1 - à remplir'!$F$31:$F$400,'Étape 1 - à remplir'!$E$31:$E$400,MASQ2!EC484,'Étape 1 - à remplir'!$C$31:$C$400,EL$3)),IF(EL$2="Âge",IF(EL$3="Tous",SUMIFS('Étape 1 - à remplir'!$F$31:$F$400,'Étape 1 - à remplir'!$E$31:$E$400,MASQ2!EC484,'Étape 1 - à remplir'!$G$31:$G$400,"kg"),SUMIFS('Étape 1 - à remplir'!$F$31:$F$400,'Étape 1 - à remplir'!$E$31:$E$400,MASQ2!EC484,'Étape 1 - à remplir'!$P$31:$P$400,EL$3,'Étape 1 - à remplir'!$G$31:$G$400,"kg")),IF(EL$2="Atelier",IF(EL$3="Tous",SUMIFS('Étape 1 - à remplir'!$F$31:$F$400,'Étape 1 - à remplir'!$E$31:$E$400,MASQ2!EC484,'Étape 1 - à remplir'!$G$31:$G$400,"kg"),SUMIFS('Étape 1 - à remplir'!$F$31:$F$400,'Étape 1 - à remplir'!$E$31:$E$400,MASQ2!EC484,'Étape 1 - à remplir'!$O$31:$O$400,EL$3,'Étape 1 - à remplir'!$G$31:$G$400,"kg")),IF(EL$2="Espèce",IF(EL$3="Toutes",SUMIFS('Étape 1 - à remplir'!$F$31:$F$400,'Étape 1 - à remplir'!$E$31:$E$400,MASQ2!EC484,'Étape 1 - à remplir'!$G$31:$G$400,"kg"),SUMIFS('Étape 1 - à remplir'!$F$31:$F$400,'Étape 1 - à remplir'!$E$31:$E$400,MASQ2!EC484,'Étape 1 - à remplir'!$N$31:$N$400,EL$3,'Étape 1 - à remplir'!$G$31:$G$400,"kg"))))))=0,NA(),IF(EL$2="Catégorie",IF(EL$3="Toutes",SUMIFS('Étape 1 - à remplir'!$F$31:$F$400,'Étape 1 - à remplir'!$E$31:$E$400,MASQ2!EC484,'Étape 1 - à remplir'!$G$31:$G$400,"kg"),SUMIFS('Étape 1 - à remplir'!$F$31:$F$400,'Étape 1 - à remplir'!$E$31:$E$400,MASQ2!EC484,'Étape 1 - à remplir'!$C$31:$C$400,EL$3)),IF(EL$2="Âge",IF(EL$3="Tous",SUMIFS('Étape 1 - à remplir'!$F$31:$F$400,'Étape 1 - à remplir'!$E$31:$E$400,MASQ2!EC484,'Étape 1 - à remplir'!$G$31:$G$400,"kg"),SUMIFS('Étape 1 - à remplir'!$F$31:$F$400,'Étape 1 - à remplir'!$E$31:$E$400,MASQ2!EC484,'Étape 1 - à remplir'!$P$31:$P$400,EL$3,'Étape 1 - à remplir'!$G$31:$G$400,"kg")),IF(EL$2="Atelier",IF(EL$3="Tous",SUMIFS('Étape 1 - à remplir'!$F$31:$F$400,'Étape 1 - à remplir'!$E$31:$E$400,MASQ2!EC484,'Étape 1 - à remplir'!$G$31:$G$400,"kg"),SUMIFS('Étape 1 - à remplir'!$F$31:$F$400,'Étape 1 - à remplir'!$E$31:$E$400,MASQ2!EC484,'Étape 1 - à remplir'!$O$31:$O$400,EL$3,'Étape 1 - à remplir'!$G$31:$G$400,"kg")),IF(EL$2="Espèce",IF(EL$3="Toutes",SUMIFS('Étape 1 - à remplir'!$F$31:$F$400,'Étape 1 - à remplir'!$E$31:$E$400,MASQ2!EC484,'Étape 1 - à remplir'!$G$31:$G$400,"kg"),SUMIFS('Étape 1 - à remplir'!$F$31:$F$400,'Étape 1 - à remplir'!$E$31:$E$400,MASQ2!EC484,'Étape 1 - à remplir'!$N$31:$N$400,EL$3,'Étape 1 - à remplir'!$G$31:$G$400,"kg")))))))</f>
        <v>#N/A</v>
      </c>
      <c r="EE484" s="76">
        <f t="shared" si="309"/>
        <v>0</v>
      </c>
      <c r="EF484" t="str">
        <f t="shared" si="300"/>
        <v>Enrofloxacine</v>
      </c>
      <c r="EG484" t="str">
        <f t="shared" si="301"/>
        <v/>
      </c>
      <c r="EH484" t="str">
        <f t="shared" si="302"/>
        <v/>
      </c>
      <c r="EI484" t="str">
        <f t="shared" si="303"/>
        <v>Fluoroquinolones</v>
      </c>
      <c r="EJ484" t="str">
        <f t="shared" si="304"/>
        <v/>
      </c>
      <c r="EK484" s="63" t="str">
        <f t="shared" si="305"/>
        <v/>
      </c>
      <c r="EN484" s="42">
        <v>481</v>
      </c>
      <c r="EO484" t="e">
        <f t="shared" si="311"/>
        <v>#N/A</v>
      </c>
      <c r="EP484" s="63" t="e">
        <f t="shared" si="312"/>
        <v>#N/A</v>
      </c>
      <c r="FT484" s="63"/>
    </row>
    <row r="485" spans="2:176" x14ac:dyDescent="0.3">
      <c r="B485" s="42"/>
      <c r="M485" s="194" t="str">
        <f ca="1">INDEX(Données_ATB!BD:BU,MATCH(MASQ2!O485,Données_ATB!BD:BD,0),18)</f>
        <v/>
      </c>
      <c r="N485" s="14" t="str">
        <f>IFERROR(IF(Q485=0,"",COUNTIF(Q$4:Q$600,"&gt;"&amp;Q485)+COUNTIF(Q$4:Q485,Q485)),"")</f>
        <v/>
      </c>
      <c r="O485" t="str">
        <f>Données_ATB!BD484</f>
        <v>TERRALON 20 % LA</v>
      </c>
      <c r="P485" t="e">
        <f>IF(IF(X$2="Catégorie",IF(X$3="Toutes",SUMIFS('Étape 1 - à remplir'!$F$31:$F$400,'Étape 1 - à remplir'!$E$31:$E$400,MASQ2!O485,'Étape 1 - à remplir'!$G$31:$G$400,"animaux"),SUMIFS('Étape 1 - à remplir'!$F$31:$F$400,'Étape 1 - à remplir'!$E$31:$E$400,MASQ2!O485,'Étape 1 - à remplir'!$C$31:$C$400,X$3)),IF(X$2="Âge",IF(X$3="Tous",SUMIFS('Étape 1 - à remplir'!$F$31:$F$400,'Étape 1 - à remplir'!$E$31:$E$400,MASQ2!O485,'Étape 1 - à remplir'!$G$31:$G$400,"animaux"),SUMIFS('Étape 1 - à remplir'!$F$31:$F$400,'Étape 1 - à remplir'!$E$31:$E$400,MASQ2!O485,'Étape 1 - à remplir'!$P$31:$P$400,X$3)),IF(X$2="Atelier",IF(X$3="Tous",SUMIFS('Étape 1 - à remplir'!$F$31:$F$400,'Étape 1 - à remplir'!$E$31:$E$400,MASQ2!O485,'Étape 1 - à remplir'!$G$31:$G$400,"animaux"),SUMIFS('Étape 1 - à remplir'!$F$31:$F$400,'Étape 1 - à remplir'!$E$31:$E$400,MASQ2!O485,'Étape 1 - à remplir'!$O$31:$O$400,X$3)),IF(X$2="Espèce",IF(X$3="Toutes",SUMIFS('Étape 1 - à remplir'!$F$31:$F$400,'Étape 1 - à remplir'!$E$31:$E$400,MASQ2!O485,'Étape 1 - à remplir'!$G$31:$G$400,"animaux"),SUMIFS('Étape 1 - à remplir'!$F$31:$F$400,'Étape 1 - à remplir'!$E$31:$E$400,MASQ2!O485,'Étape 1 - à remplir'!$N$31:$N$400,X$3))))))=0,NA(),IF(X$2="Catégorie",IF(X$3="Toutes",SUMIFS('Étape 1 - à remplir'!$F$31:$F$400,'Étape 1 - à remplir'!$E$31:$E$400,MASQ2!O485,'Étape 1 - à remplir'!$G$31:$G$400,"animaux"),SUMIFS('Étape 1 - à remplir'!$F$31:$F$400,'Étape 1 - à remplir'!$E$31:$E$400,MASQ2!O485,'Étape 1 - à remplir'!$C$31:$C$400,X$3)),IF(X$2="Âge",IF(X$3="Tous",SUMIFS('Étape 1 - à remplir'!$F$31:$F$400,'Étape 1 - à remplir'!$E$31:$E$400,MASQ2!O485,'Étape 1 - à remplir'!$G$31:$G$400,"animaux"),SUMIFS('Étape 1 - à remplir'!$F$31:$F$400,'Étape 1 - à remplir'!$E$31:$E$400,MASQ2!O485,'Étape 1 - à remplir'!$P$31:$P$400,X$3)),IF(X$2="Atelier",IF(X$3="Tous",SUMIFS('Étape 1 - à remplir'!$F$31:$F$400,'Étape 1 - à remplir'!$E$31:$E$400,MASQ2!O485,'Étape 1 - à remplir'!$G$31:$G$400,"animaux"),SUMIFS('Étape 1 - à remplir'!$F$31:$F$400,'Étape 1 - à remplir'!$E$31:$E$400,MASQ2!O485,'Étape 1 - à remplir'!$O$31:$O$400,X$3)),IF(X$2="Espèce",IF(X$3="Toutes",SUMIFS('Étape 1 - à remplir'!$F$31:$F$400,'Étape 1 - à remplir'!$E$31:$E$400,MASQ2!O485,'Étape 1 - à remplir'!$G$31:$G$400,"animaux"),SUMIFS('Étape 1 - à remplir'!$F$31:$F$400,'Étape 1 - à remplir'!$E$31:$E$400,MASQ2!O485,'Étape 1 - à remplir'!$N$31:$N$400,X$3)))))))</f>
        <v>#N/A</v>
      </c>
      <c r="Q485" s="63">
        <f t="shared" si="310"/>
        <v>0</v>
      </c>
      <c r="R485" t="str">
        <f>Données_ATB!BM484</f>
        <v>Oxytétracycline</v>
      </c>
      <c r="S485" t="str">
        <f>Données_ATB!BN484</f>
        <v/>
      </c>
      <c r="T485" s="63" t="str">
        <f>Données_ATB!BO484</f>
        <v/>
      </c>
      <c r="U485" s="42" t="str">
        <f>Données_ATB!BQ484</f>
        <v>Tetracyclines</v>
      </c>
      <c r="V485" t="str">
        <f>Données_ATB!BR484</f>
        <v/>
      </c>
      <c r="W485" s="63" t="str">
        <f>Données_ATB!BS484</f>
        <v/>
      </c>
      <c r="Z485" s="42">
        <v>482</v>
      </c>
      <c r="AA485" t="e">
        <f t="shared" si="306"/>
        <v>#N/A</v>
      </c>
      <c r="AB485" s="63" t="e">
        <f t="shared" si="307"/>
        <v>#N/A</v>
      </c>
      <c r="BF485" s="63"/>
      <c r="BT485" s="194" t="str">
        <f t="shared" ca="1" si="290"/>
        <v/>
      </c>
      <c r="BU485" s="219" t="str">
        <f>IFERROR(IF(BX485=0,"",COUNTIF(BX$4:BX$600,"&gt;"&amp;BX485)+COUNTIF(BX$4:BX485,BX485)),"")</f>
        <v/>
      </c>
      <c r="BV485" s="42" t="str">
        <f t="shared" si="291"/>
        <v>TERRALON 20 % LA</v>
      </c>
      <c r="BW485" t="e">
        <f>IF(IF(CE$2="Catégorie",IF(CE$3="Toutes",SUMIFS('Étape 1 - à remplir'!$F$31:$F$400,'Étape 1 - à remplir'!$E$31:$E$400,MASQ2!BV485,'Étape 1 - à remplir'!$G$31:$G$400,"lots"),SUMIFS('Étape 1 - à remplir'!$F$31:$F$400,'Étape 1 - à remplir'!$E$31:$E$400,MASQ2!BV485,'Étape 1 - à remplir'!$C$31:$C$400,CE$3)),IF(CE$2="Âge",IF(CE$3="Tous",SUMIFS('Étape 1 - à remplir'!$F$31:$F$400,'Étape 1 - à remplir'!$E$31:$E$400,MASQ2!BV485,'Étape 1 - à remplir'!$G$31:$G$400,"lots"),SUMIFS('Étape 1 - à remplir'!$F$31:$F$400,'Étape 1 - à remplir'!$E$31:$E$400,MASQ2!BV485,'Étape 1 - à remplir'!$P$31:$P$400,CE$3,'Étape 1 - à remplir'!$G$31:$G$400,"lots")),IF(CE$2="Atelier",IF(CE$3="Tous",SUMIFS('Étape 1 - à remplir'!$F$31:$F$400,'Étape 1 - à remplir'!$E$31:$E$400,MASQ2!BV485,'Étape 1 - à remplir'!$G$31:$G$400,"lots"),SUMIFS('Étape 1 - à remplir'!$F$31:$F$400,'Étape 1 - à remplir'!$E$31:$E$400,MASQ2!BV485,'Étape 1 - à remplir'!$O$31:$O$400,CE$3,'Étape 1 - à remplir'!$G$31:$G$400,"lots")),IF(CE$2="Espèce",IF(CE$3="Toutes",SUMIFS('Étape 1 - à remplir'!$F$31:$F$400,'Étape 1 - à remplir'!$E$31:$E$400,MASQ2!BV485,'Étape 1 - à remplir'!$G$31:$G$400,"lots"),SUMIFS('Étape 1 - à remplir'!$F$31:$F$400,'Étape 1 - à remplir'!$E$31:$E$400,MASQ2!BV485,'Étape 1 - à remplir'!$N$31:$N$400,CE$3,'Étape 1 - à remplir'!$G$31:$G$400,"lots"))))))=0,NA(),IF(CE$2="Catégorie",IF(CE$3="Toutes",SUMIFS('Étape 1 - à remplir'!$F$31:$F$400,'Étape 1 - à remplir'!$E$31:$E$400,MASQ2!BV485,'Étape 1 - à remplir'!$G$31:$G$400,"lots"),SUMIFS('Étape 1 - à remplir'!$F$31:$F$400,'Étape 1 - à remplir'!$E$31:$E$400,MASQ2!BV485,'Étape 1 - à remplir'!$C$31:$C$400,CE$3)),IF(CE$2="Âge",IF(CE$3="Tous",SUMIFS('Étape 1 - à remplir'!$F$31:$F$400,'Étape 1 - à remplir'!$E$31:$E$400,MASQ2!BV485,'Étape 1 - à remplir'!$G$31:$G$400,"lots"),SUMIFS('Étape 1 - à remplir'!$F$31:$F$400,'Étape 1 - à remplir'!$E$31:$E$400,MASQ2!BV485,'Étape 1 - à remplir'!$P$31:$P$400,CE$3,'Étape 1 - à remplir'!$G$31:$G$400,"lots")),IF(CE$2="Atelier",IF(CE$3="Tous",SUMIFS('Étape 1 - à remplir'!$F$31:$F$400,'Étape 1 - à remplir'!$E$31:$E$400,MASQ2!BV485,'Étape 1 - à remplir'!$G$31:$G$400,"lots"),SUMIFS('Étape 1 - à remplir'!$F$31:$F$400,'Étape 1 - à remplir'!$E$31:$E$400,MASQ2!BV485,'Étape 1 - à remplir'!$O$31:$O$400,CE$3,'Étape 1 - à remplir'!$G$31:$G$400,"lots")),IF(CE$2="Espèce",IF(CE$3="Toutes",SUMIFS('Étape 1 - à remplir'!$F$31:$F$400,'Étape 1 - à remplir'!$E$31:$E$400,MASQ2!BV485,'Étape 1 - à remplir'!$G$31:$G$400,"lots"),SUMIFS('Étape 1 - à remplir'!$F$31:$F$400,'Étape 1 - à remplir'!$E$31:$E$400,MASQ2!BV485,'Étape 1 - à remplir'!$N$31:$N$400,CE$3,'Étape 1 - à remplir'!$G$31:$G$400,"lots")))))))</f>
        <v>#N/A</v>
      </c>
      <c r="BX485">
        <f t="shared" si="308"/>
        <v>0</v>
      </c>
      <c r="BY485" t="str">
        <f t="shared" si="292"/>
        <v>Oxytétracycline</v>
      </c>
      <c r="BZ485" t="str">
        <f t="shared" si="293"/>
        <v/>
      </c>
      <c r="CA485" t="str">
        <f t="shared" si="294"/>
        <v/>
      </c>
      <c r="CB485" t="str">
        <f t="shared" si="295"/>
        <v>Tetracyclines</v>
      </c>
      <c r="CC485" t="str">
        <f t="shared" si="296"/>
        <v/>
      </c>
      <c r="CD485" s="63" t="str">
        <f t="shared" si="297"/>
        <v/>
      </c>
      <c r="CG485" s="42">
        <v>482</v>
      </c>
      <c r="CH485" s="42" t="e">
        <f t="shared" si="313"/>
        <v>#N/A</v>
      </c>
      <c r="CI485" s="63" t="e">
        <f t="shared" si="314"/>
        <v>#N/A</v>
      </c>
      <c r="DM485" s="63"/>
      <c r="EA485" s="194" t="str">
        <f t="shared" ca="1" si="298"/>
        <v/>
      </c>
      <c r="EB485" s="226" t="str">
        <f>IFERROR(IF(ED485=0,"",COUNTIF(ED$4:ED$600,"&gt;"&amp;ED485)+COUNTIF(ED$4:ED485,ED485)),"")</f>
        <v/>
      </c>
      <c r="EC485" t="str">
        <f t="shared" si="299"/>
        <v>TERRALON 20 % LA</v>
      </c>
      <c r="ED485" t="e">
        <f>IF(IF(EL$2="Catégorie",IF(EL$3="Toutes",SUMIFS('Étape 1 - à remplir'!$F$31:$F$400,'Étape 1 - à remplir'!$E$31:$E$400,MASQ2!EC485,'Étape 1 - à remplir'!$G$31:$G$400,"kg"),SUMIFS('Étape 1 - à remplir'!$F$31:$F$400,'Étape 1 - à remplir'!$E$31:$E$400,MASQ2!EC485,'Étape 1 - à remplir'!$C$31:$C$400,EL$3)),IF(EL$2="Âge",IF(EL$3="Tous",SUMIFS('Étape 1 - à remplir'!$F$31:$F$400,'Étape 1 - à remplir'!$E$31:$E$400,MASQ2!EC485,'Étape 1 - à remplir'!$G$31:$G$400,"kg"),SUMIFS('Étape 1 - à remplir'!$F$31:$F$400,'Étape 1 - à remplir'!$E$31:$E$400,MASQ2!EC485,'Étape 1 - à remplir'!$P$31:$P$400,EL$3,'Étape 1 - à remplir'!$G$31:$G$400,"kg")),IF(EL$2="Atelier",IF(EL$3="Tous",SUMIFS('Étape 1 - à remplir'!$F$31:$F$400,'Étape 1 - à remplir'!$E$31:$E$400,MASQ2!EC485,'Étape 1 - à remplir'!$G$31:$G$400,"kg"),SUMIFS('Étape 1 - à remplir'!$F$31:$F$400,'Étape 1 - à remplir'!$E$31:$E$400,MASQ2!EC485,'Étape 1 - à remplir'!$O$31:$O$400,EL$3,'Étape 1 - à remplir'!$G$31:$G$400,"kg")),IF(EL$2="Espèce",IF(EL$3="Toutes",SUMIFS('Étape 1 - à remplir'!$F$31:$F$400,'Étape 1 - à remplir'!$E$31:$E$400,MASQ2!EC485,'Étape 1 - à remplir'!$G$31:$G$400,"kg"),SUMIFS('Étape 1 - à remplir'!$F$31:$F$400,'Étape 1 - à remplir'!$E$31:$E$400,MASQ2!EC485,'Étape 1 - à remplir'!$N$31:$N$400,EL$3,'Étape 1 - à remplir'!$G$31:$G$400,"kg"))))))=0,NA(),IF(EL$2="Catégorie",IF(EL$3="Toutes",SUMIFS('Étape 1 - à remplir'!$F$31:$F$400,'Étape 1 - à remplir'!$E$31:$E$400,MASQ2!EC485,'Étape 1 - à remplir'!$G$31:$G$400,"kg"),SUMIFS('Étape 1 - à remplir'!$F$31:$F$400,'Étape 1 - à remplir'!$E$31:$E$400,MASQ2!EC485,'Étape 1 - à remplir'!$C$31:$C$400,EL$3)),IF(EL$2="Âge",IF(EL$3="Tous",SUMIFS('Étape 1 - à remplir'!$F$31:$F$400,'Étape 1 - à remplir'!$E$31:$E$400,MASQ2!EC485,'Étape 1 - à remplir'!$G$31:$G$400,"kg"),SUMIFS('Étape 1 - à remplir'!$F$31:$F$400,'Étape 1 - à remplir'!$E$31:$E$400,MASQ2!EC485,'Étape 1 - à remplir'!$P$31:$P$400,EL$3,'Étape 1 - à remplir'!$G$31:$G$400,"kg")),IF(EL$2="Atelier",IF(EL$3="Tous",SUMIFS('Étape 1 - à remplir'!$F$31:$F$400,'Étape 1 - à remplir'!$E$31:$E$400,MASQ2!EC485,'Étape 1 - à remplir'!$G$31:$G$400,"kg"),SUMIFS('Étape 1 - à remplir'!$F$31:$F$400,'Étape 1 - à remplir'!$E$31:$E$400,MASQ2!EC485,'Étape 1 - à remplir'!$O$31:$O$400,EL$3,'Étape 1 - à remplir'!$G$31:$G$400,"kg")),IF(EL$2="Espèce",IF(EL$3="Toutes",SUMIFS('Étape 1 - à remplir'!$F$31:$F$400,'Étape 1 - à remplir'!$E$31:$E$400,MASQ2!EC485,'Étape 1 - à remplir'!$G$31:$G$400,"kg"),SUMIFS('Étape 1 - à remplir'!$F$31:$F$400,'Étape 1 - à remplir'!$E$31:$E$400,MASQ2!EC485,'Étape 1 - à remplir'!$N$31:$N$400,EL$3,'Étape 1 - à remplir'!$G$31:$G$400,"kg")))))))</f>
        <v>#N/A</v>
      </c>
      <c r="EE485" s="76">
        <f t="shared" si="309"/>
        <v>0</v>
      </c>
      <c r="EF485" t="str">
        <f t="shared" si="300"/>
        <v>Oxytétracycline</v>
      </c>
      <c r="EG485" t="str">
        <f t="shared" si="301"/>
        <v/>
      </c>
      <c r="EH485" t="str">
        <f t="shared" si="302"/>
        <v/>
      </c>
      <c r="EI485" t="str">
        <f t="shared" si="303"/>
        <v>Tetracyclines</v>
      </c>
      <c r="EJ485" t="str">
        <f t="shared" si="304"/>
        <v/>
      </c>
      <c r="EK485" s="63" t="str">
        <f t="shared" si="305"/>
        <v/>
      </c>
      <c r="EN485" s="42">
        <v>482</v>
      </c>
      <c r="EO485" t="e">
        <f t="shared" si="311"/>
        <v>#N/A</v>
      </c>
      <c r="EP485" s="63" t="e">
        <f t="shared" si="312"/>
        <v>#N/A</v>
      </c>
      <c r="FT485" s="63"/>
    </row>
    <row r="486" spans="2:176" x14ac:dyDescent="0.3">
      <c r="B486" s="42"/>
      <c r="M486" s="194" t="str">
        <f ca="1">INDEX(Données_ATB!BD:BU,MATCH(MASQ2!O486,Données_ATB!BD:BD,0),18)</f>
        <v/>
      </c>
      <c r="N486" s="14" t="str">
        <f>IFERROR(IF(Q486=0,"",COUNTIF(Q$4:Q$600,"&gt;"&amp;Q486)+COUNTIF(Q$4:Q486,Q486)),"")</f>
        <v/>
      </c>
      <c r="O486" t="str">
        <f>Données_ATB!BD485</f>
        <v>TERRAMYCINE LONGUE ACTION</v>
      </c>
      <c r="P486" t="e">
        <f>IF(IF(X$2="Catégorie",IF(X$3="Toutes",SUMIFS('Étape 1 - à remplir'!$F$31:$F$400,'Étape 1 - à remplir'!$E$31:$E$400,MASQ2!O486,'Étape 1 - à remplir'!$G$31:$G$400,"animaux"),SUMIFS('Étape 1 - à remplir'!$F$31:$F$400,'Étape 1 - à remplir'!$E$31:$E$400,MASQ2!O486,'Étape 1 - à remplir'!$C$31:$C$400,X$3)),IF(X$2="Âge",IF(X$3="Tous",SUMIFS('Étape 1 - à remplir'!$F$31:$F$400,'Étape 1 - à remplir'!$E$31:$E$400,MASQ2!O486,'Étape 1 - à remplir'!$G$31:$G$400,"animaux"),SUMIFS('Étape 1 - à remplir'!$F$31:$F$400,'Étape 1 - à remplir'!$E$31:$E$400,MASQ2!O486,'Étape 1 - à remplir'!$P$31:$P$400,X$3)),IF(X$2="Atelier",IF(X$3="Tous",SUMIFS('Étape 1 - à remplir'!$F$31:$F$400,'Étape 1 - à remplir'!$E$31:$E$400,MASQ2!O486,'Étape 1 - à remplir'!$G$31:$G$400,"animaux"),SUMIFS('Étape 1 - à remplir'!$F$31:$F$400,'Étape 1 - à remplir'!$E$31:$E$400,MASQ2!O486,'Étape 1 - à remplir'!$O$31:$O$400,X$3)),IF(X$2="Espèce",IF(X$3="Toutes",SUMIFS('Étape 1 - à remplir'!$F$31:$F$400,'Étape 1 - à remplir'!$E$31:$E$400,MASQ2!O486,'Étape 1 - à remplir'!$G$31:$G$400,"animaux"),SUMIFS('Étape 1 - à remplir'!$F$31:$F$400,'Étape 1 - à remplir'!$E$31:$E$400,MASQ2!O486,'Étape 1 - à remplir'!$N$31:$N$400,X$3))))))=0,NA(),IF(X$2="Catégorie",IF(X$3="Toutes",SUMIFS('Étape 1 - à remplir'!$F$31:$F$400,'Étape 1 - à remplir'!$E$31:$E$400,MASQ2!O486,'Étape 1 - à remplir'!$G$31:$G$400,"animaux"),SUMIFS('Étape 1 - à remplir'!$F$31:$F$400,'Étape 1 - à remplir'!$E$31:$E$400,MASQ2!O486,'Étape 1 - à remplir'!$C$31:$C$400,X$3)),IF(X$2="Âge",IF(X$3="Tous",SUMIFS('Étape 1 - à remplir'!$F$31:$F$400,'Étape 1 - à remplir'!$E$31:$E$400,MASQ2!O486,'Étape 1 - à remplir'!$G$31:$G$400,"animaux"),SUMIFS('Étape 1 - à remplir'!$F$31:$F$400,'Étape 1 - à remplir'!$E$31:$E$400,MASQ2!O486,'Étape 1 - à remplir'!$P$31:$P$400,X$3)),IF(X$2="Atelier",IF(X$3="Tous",SUMIFS('Étape 1 - à remplir'!$F$31:$F$400,'Étape 1 - à remplir'!$E$31:$E$400,MASQ2!O486,'Étape 1 - à remplir'!$G$31:$G$400,"animaux"),SUMIFS('Étape 1 - à remplir'!$F$31:$F$400,'Étape 1 - à remplir'!$E$31:$E$400,MASQ2!O486,'Étape 1 - à remplir'!$O$31:$O$400,X$3)),IF(X$2="Espèce",IF(X$3="Toutes",SUMIFS('Étape 1 - à remplir'!$F$31:$F$400,'Étape 1 - à remplir'!$E$31:$E$400,MASQ2!O486,'Étape 1 - à remplir'!$G$31:$G$400,"animaux"),SUMIFS('Étape 1 - à remplir'!$F$31:$F$400,'Étape 1 - à remplir'!$E$31:$E$400,MASQ2!O486,'Étape 1 - à remplir'!$N$31:$N$400,X$3)))))))</f>
        <v>#N/A</v>
      </c>
      <c r="Q486" s="63">
        <f t="shared" si="310"/>
        <v>0</v>
      </c>
      <c r="R486" t="str">
        <f>Données_ATB!BM485</f>
        <v>Oxytétracycline</v>
      </c>
      <c r="S486" t="str">
        <f>Données_ATB!BN485</f>
        <v/>
      </c>
      <c r="T486" s="63" t="str">
        <f>Données_ATB!BO485</f>
        <v/>
      </c>
      <c r="U486" s="42" t="str">
        <f>Données_ATB!BQ485</f>
        <v>Tetracyclines</v>
      </c>
      <c r="V486" t="str">
        <f>Données_ATB!BR485</f>
        <v/>
      </c>
      <c r="W486" s="63" t="str">
        <f>Données_ATB!BS485</f>
        <v/>
      </c>
      <c r="Z486" s="42">
        <v>483</v>
      </c>
      <c r="AA486" t="e">
        <f t="shared" si="306"/>
        <v>#N/A</v>
      </c>
      <c r="AB486" s="63" t="e">
        <f t="shared" si="307"/>
        <v>#N/A</v>
      </c>
      <c r="BF486" s="63"/>
      <c r="BT486" s="194" t="str">
        <f t="shared" ca="1" si="290"/>
        <v/>
      </c>
      <c r="BU486" s="219" t="str">
        <f>IFERROR(IF(BX486=0,"",COUNTIF(BX$4:BX$600,"&gt;"&amp;BX486)+COUNTIF(BX$4:BX486,BX486)),"")</f>
        <v/>
      </c>
      <c r="BV486" s="42" t="str">
        <f t="shared" si="291"/>
        <v>TERRAMYCINE LONGUE ACTION</v>
      </c>
      <c r="BW486" t="e">
        <f>IF(IF(CE$2="Catégorie",IF(CE$3="Toutes",SUMIFS('Étape 1 - à remplir'!$F$31:$F$400,'Étape 1 - à remplir'!$E$31:$E$400,MASQ2!BV486,'Étape 1 - à remplir'!$G$31:$G$400,"lots"),SUMIFS('Étape 1 - à remplir'!$F$31:$F$400,'Étape 1 - à remplir'!$E$31:$E$400,MASQ2!BV486,'Étape 1 - à remplir'!$C$31:$C$400,CE$3)),IF(CE$2="Âge",IF(CE$3="Tous",SUMIFS('Étape 1 - à remplir'!$F$31:$F$400,'Étape 1 - à remplir'!$E$31:$E$400,MASQ2!BV486,'Étape 1 - à remplir'!$G$31:$G$400,"lots"),SUMIFS('Étape 1 - à remplir'!$F$31:$F$400,'Étape 1 - à remplir'!$E$31:$E$400,MASQ2!BV486,'Étape 1 - à remplir'!$P$31:$P$400,CE$3,'Étape 1 - à remplir'!$G$31:$G$400,"lots")),IF(CE$2="Atelier",IF(CE$3="Tous",SUMIFS('Étape 1 - à remplir'!$F$31:$F$400,'Étape 1 - à remplir'!$E$31:$E$400,MASQ2!BV486,'Étape 1 - à remplir'!$G$31:$G$400,"lots"),SUMIFS('Étape 1 - à remplir'!$F$31:$F$400,'Étape 1 - à remplir'!$E$31:$E$400,MASQ2!BV486,'Étape 1 - à remplir'!$O$31:$O$400,CE$3,'Étape 1 - à remplir'!$G$31:$G$400,"lots")),IF(CE$2="Espèce",IF(CE$3="Toutes",SUMIFS('Étape 1 - à remplir'!$F$31:$F$400,'Étape 1 - à remplir'!$E$31:$E$400,MASQ2!BV486,'Étape 1 - à remplir'!$G$31:$G$400,"lots"),SUMIFS('Étape 1 - à remplir'!$F$31:$F$400,'Étape 1 - à remplir'!$E$31:$E$400,MASQ2!BV486,'Étape 1 - à remplir'!$N$31:$N$400,CE$3,'Étape 1 - à remplir'!$G$31:$G$400,"lots"))))))=0,NA(),IF(CE$2="Catégorie",IF(CE$3="Toutes",SUMIFS('Étape 1 - à remplir'!$F$31:$F$400,'Étape 1 - à remplir'!$E$31:$E$400,MASQ2!BV486,'Étape 1 - à remplir'!$G$31:$G$400,"lots"),SUMIFS('Étape 1 - à remplir'!$F$31:$F$400,'Étape 1 - à remplir'!$E$31:$E$400,MASQ2!BV486,'Étape 1 - à remplir'!$C$31:$C$400,CE$3)),IF(CE$2="Âge",IF(CE$3="Tous",SUMIFS('Étape 1 - à remplir'!$F$31:$F$400,'Étape 1 - à remplir'!$E$31:$E$400,MASQ2!BV486,'Étape 1 - à remplir'!$G$31:$G$400,"lots"),SUMIFS('Étape 1 - à remplir'!$F$31:$F$400,'Étape 1 - à remplir'!$E$31:$E$400,MASQ2!BV486,'Étape 1 - à remplir'!$P$31:$P$400,CE$3,'Étape 1 - à remplir'!$G$31:$G$400,"lots")),IF(CE$2="Atelier",IF(CE$3="Tous",SUMIFS('Étape 1 - à remplir'!$F$31:$F$400,'Étape 1 - à remplir'!$E$31:$E$400,MASQ2!BV486,'Étape 1 - à remplir'!$G$31:$G$400,"lots"),SUMIFS('Étape 1 - à remplir'!$F$31:$F$400,'Étape 1 - à remplir'!$E$31:$E$400,MASQ2!BV486,'Étape 1 - à remplir'!$O$31:$O$400,CE$3,'Étape 1 - à remplir'!$G$31:$G$400,"lots")),IF(CE$2="Espèce",IF(CE$3="Toutes",SUMIFS('Étape 1 - à remplir'!$F$31:$F$400,'Étape 1 - à remplir'!$E$31:$E$400,MASQ2!BV486,'Étape 1 - à remplir'!$G$31:$G$400,"lots"),SUMIFS('Étape 1 - à remplir'!$F$31:$F$400,'Étape 1 - à remplir'!$E$31:$E$400,MASQ2!BV486,'Étape 1 - à remplir'!$N$31:$N$400,CE$3,'Étape 1 - à remplir'!$G$31:$G$400,"lots")))))))</f>
        <v>#N/A</v>
      </c>
      <c r="BX486">
        <f t="shared" si="308"/>
        <v>0</v>
      </c>
      <c r="BY486" t="str">
        <f t="shared" si="292"/>
        <v>Oxytétracycline</v>
      </c>
      <c r="BZ486" t="str">
        <f t="shared" si="293"/>
        <v/>
      </c>
      <c r="CA486" t="str">
        <f t="shared" si="294"/>
        <v/>
      </c>
      <c r="CB486" t="str">
        <f t="shared" si="295"/>
        <v>Tetracyclines</v>
      </c>
      <c r="CC486" t="str">
        <f t="shared" si="296"/>
        <v/>
      </c>
      <c r="CD486" s="63" t="str">
        <f t="shared" si="297"/>
        <v/>
      </c>
      <c r="CG486" s="42">
        <v>483</v>
      </c>
      <c r="CH486" s="42" t="e">
        <f t="shared" si="313"/>
        <v>#N/A</v>
      </c>
      <c r="CI486" s="63" t="e">
        <f t="shared" si="314"/>
        <v>#N/A</v>
      </c>
      <c r="DM486" s="63"/>
      <c r="EA486" s="194" t="str">
        <f t="shared" ca="1" si="298"/>
        <v/>
      </c>
      <c r="EB486" s="226" t="str">
        <f>IFERROR(IF(ED486=0,"",COUNTIF(ED$4:ED$600,"&gt;"&amp;ED486)+COUNTIF(ED$4:ED486,ED486)),"")</f>
        <v/>
      </c>
      <c r="EC486" t="str">
        <f t="shared" si="299"/>
        <v>TERRAMYCINE LONGUE ACTION</v>
      </c>
      <c r="ED486" t="e">
        <f>IF(IF(EL$2="Catégorie",IF(EL$3="Toutes",SUMIFS('Étape 1 - à remplir'!$F$31:$F$400,'Étape 1 - à remplir'!$E$31:$E$400,MASQ2!EC486,'Étape 1 - à remplir'!$G$31:$G$400,"kg"),SUMIFS('Étape 1 - à remplir'!$F$31:$F$400,'Étape 1 - à remplir'!$E$31:$E$400,MASQ2!EC486,'Étape 1 - à remplir'!$C$31:$C$400,EL$3)),IF(EL$2="Âge",IF(EL$3="Tous",SUMIFS('Étape 1 - à remplir'!$F$31:$F$400,'Étape 1 - à remplir'!$E$31:$E$400,MASQ2!EC486,'Étape 1 - à remplir'!$G$31:$G$400,"kg"),SUMIFS('Étape 1 - à remplir'!$F$31:$F$400,'Étape 1 - à remplir'!$E$31:$E$400,MASQ2!EC486,'Étape 1 - à remplir'!$P$31:$P$400,EL$3,'Étape 1 - à remplir'!$G$31:$G$400,"kg")),IF(EL$2="Atelier",IF(EL$3="Tous",SUMIFS('Étape 1 - à remplir'!$F$31:$F$400,'Étape 1 - à remplir'!$E$31:$E$400,MASQ2!EC486,'Étape 1 - à remplir'!$G$31:$G$400,"kg"),SUMIFS('Étape 1 - à remplir'!$F$31:$F$400,'Étape 1 - à remplir'!$E$31:$E$400,MASQ2!EC486,'Étape 1 - à remplir'!$O$31:$O$400,EL$3,'Étape 1 - à remplir'!$G$31:$G$400,"kg")),IF(EL$2="Espèce",IF(EL$3="Toutes",SUMIFS('Étape 1 - à remplir'!$F$31:$F$400,'Étape 1 - à remplir'!$E$31:$E$400,MASQ2!EC486,'Étape 1 - à remplir'!$G$31:$G$400,"kg"),SUMIFS('Étape 1 - à remplir'!$F$31:$F$400,'Étape 1 - à remplir'!$E$31:$E$400,MASQ2!EC486,'Étape 1 - à remplir'!$N$31:$N$400,EL$3,'Étape 1 - à remplir'!$G$31:$G$400,"kg"))))))=0,NA(),IF(EL$2="Catégorie",IF(EL$3="Toutes",SUMIFS('Étape 1 - à remplir'!$F$31:$F$400,'Étape 1 - à remplir'!$E$31:$E$400,MASQ2!EC486,'Étape 1 - à remplir'!$G$31:$G$400,"kg"),SUMIFS('Étape 1 - à remplir'!$F$31:$F$400,'Étape 1 - à remplir'!$E$31:$E$400,MASQ2!EC486,'Étape 1 - à remplir'!$C$31:$C$400,EL$3)),IF(EL$2="Âge",IF(EL$3="Tous",SUMIFS('Étape 1 - à remplir'!$F$31:$F$400,'Étape 1 - à remplir'!$E$31:$E$400,MASQ2!EC486,'Étape 1 - à remplir'!$G$31:$G$400,"kg"),SUMIFS('Étape 1 - à remplir'!$F$31:$F$400,'Étape 1 - à remplir'!$E$31:$E$400,MASQ2!EC486,'Étape 1 - à remplir'!$P$31:$P$400,EL$3,'Étape 1 - à remplir'!$G$31:$G$400,"kg")),IF(EL$2="Atelier",IF(EL$3="Tous",SUMIFS('Étape 1 - à remplir'!$F$31:$F$400,'Étape 1 - à remplir'!$E$31:$E$400,MASQ2!EC486,'Étape 1 - à remplir'!$G$31:$G$400,"kg"),SUMIFS('Étape 1 - à remplir'!$F$31:$F$400,'Étape 1 - à remplir'!$E$31:$E$400,MASQ2!EC486,'Étape 1 - à remplir'!$O$31:$O$400,EL$3,'Étape 1 - à remplir'!$G$31:$G$400,"kg")),IF(EL$2="Espèce",IF(EL$3="Toutes",SUMIFS('Étape 1 - à remplir'!$F$31:$F$400,'Étape 1 - à remplir'!$E$31:$E$400,MASQ2!EC486,'Étape 1 - à remplir'!$G$31:$G$400,"kg"),SUMIFS('Étape 1 - à remplir'!$F$31:$F$400,'Étape 1 - à remplir'!$E$31:$E$400,MASQ2!EC486,'Étape 1 - à remplir'!$N$31:$N$400,EL$3,'Étape 1 - à remplir'!$G$31:$G$400,"kg")))))))</f>
        <v>#N/A</v>
      </c>
      <c r="EE486" s="76">
        <f t="shared" si="309"/>
        <v>0</v>
      </c>
      <c r="EF486" t="str">
        <f t="shared" si="300"/>
        <v>Oxytétracycline</v>
      </c>
      <c r="EG486" t="str">
        <f t="shared" si="301"/>
        <v/>
      </c>
      <c r="EH486" t="str">
        <f t="shared" si="302"/>
        <v/>
      </c>
      <c r="EI486" t="str">
        <f t="shared" si="303"/>
        <v>Tetracyclines</v>
      </c>
      <c r="EJ486" t="str">
        <f t="shared" si="304"/>
        <v/>
      </c>
      <c r="EK486" s="63" t="str">
        <f t="shared" si="305"/>
        <v/>
      </c>
      <c r="EN486" s="42">
        <v>483</v>
      </c>
      <c r="EO486" t="e">
        <f t="shared" si="311"/>
        <v>#N/A</v>
      </c>
      <c r="EP486" s="63" t="e">
        <f t="shared" si="312"/>
        <v>#N/A</v>
      </c>
      <c r="FT486" s="63"/>
    </row>
    <row r="487" spans="2:176" x14ac:dyDescent="0.3">
      <c r="B487" s="42"/>
      <c r="M487" s="194" t="str">
        <f ca="1">INDEX(Données_ATB!BD:BU,MATCH(MASQ2!O487,Données_ATB!BD:BD,0),18)</f>
        <v/>
      </c>
      <c r="N487" s="14" t="str">
        <f>IFERROR(IF(Q487=0,"",COUNTIF(Q$4:Q$600,"&gt;"&amp;Q487)+COUNTIF(Q$4:Q487,Q487)),"")</f>
        <v/>
      </c>
      <c r="O487" t="str">
        <f>Données_ATB!BD486</f>
        <v>TERRAMYCINE SOLUTION INJECTABLE</v>
      </c>
      <c r="P487" t="e">
        <f>IF(IF(X$2="Catégorie",IF(X$3="Toutes",SUMIFS('Étape 1 - à remplir'!$F$31:$F$400,'Étape 1 - à remplir'!$E$31:$E$400,MASQ2!O487,'Étape 1 - à remplir'!$G$31:$G$400,"animaux"),SUMIFS('Étape 1 - à remplir'!$F$31:$F$400,'Étape 1 - à remplir'!$E$31:$E$400,MASQ2!O487,'Étape 1 - à remplir'!$C$31:$C$400,X$3)),IF(X$2="Âge",IF(X$3="Tous",SUMIFS('Étape 1 - à remplir'!$F$31:$F$400,'Étape 1 - à remplir'!$E$31:$E$400,MASQ2!O487,'Étape 1 - à remplir'!$G$31:$G$400,"animaux"),SUMIFS('Étape 1 - à remplir'!$F$31:$F$400,'Étape 1 - à remplir'!$E$31:$E$400,MASQ2!O487,'Étape 1 - à remplir'!$P$31:$P$400,X$3)),IF(X$2="Atelier",IF(X$3="Tous",SUMIFS('Étape 1 - à remplir'!$F$31:$F$400,'Étape 1 - à remplir'!$E$31:$E$400,MASQ2!O487,'Étape 1 - à remplir'!$G$31:$G$400,"animaux"),SUMIFS('Étape 1 - à remplir'!$F$31:$F$400,'Étape 1 - à remplir'!$E$31:$E$400,MASQ2!O487,'Étape 1 - à remplir'!$O$31:$O$400,X$3)),IF(X$2="Espèce",IF(X$3="Toutes",SUMIFS('Étape 1 - à remplir'!$F$31:$F$400,'Étape 1 - à remplir'!$E$31:$E$400,MASQ2!O487,'Étape 1 - à remplir'!$G$31:$G$400,"animaux"),SUMIFS('Étape 1 - à remplir'!$F$31:$F$400,'Étape 1 - à remplir'!$E$31:$E$400,MASQ2!O487,'Étape 1 - à remplir'!$N$31:$N$400,X$3))))))=0,NA(),IF(X$2="Catégorie",IF(X$3="Toutes",SUMIFS('Étape 1 - à remplir'!$F$31:$F$400,'Étape 1 - à remplir'!$E$31:$E$400,MASQ2!O487,'Étape 1 - à remplir'!$G$31:$G$400,"animaux"),SUMIFS('Étape 1 - à remplir'!$F$31:$F$400,'Étape 1 - à remplir'!$E$31:$E$400,MASQ2!O487,'Étape 1 - à remplir'!$C$31:$C$400,X$3)),IF(X$2="Âge",IF(X$3="Tous",SUMIFS('Étape 1 - à remplir'!$F$31:$F$400,'Étape 1 - à remplir'!$E$31:$E$400,MASQ2!O487,'Étape 1 - à remplir'!$G$31:$G$400,"animaux"),SUMIFS('Étape 1 - à remplir'!$F$31:$F$400,'Étape 1 - à remplir'!$E$31:$E$400,MASQ2!O487,'Étape 1 - à remplir'!$P$31:$P$400,X$3)),IF(X$2="Atelier",IF(X$3="Tous",SUMIFS('Étape 1 - à remplir'!$F$31:$F$400,'Étape 1 - à remplir'!$E$31:$E$400,MASQ2!O487,'Étape 1 - à remplir'!$G$31:$G$400,"animaux"),SUMIFS('Étape 1 - à remplir'!$F$31:$F$400,'Étape 1 - à remplir'!$E$31:$E$400,MASQ2!O487,'Étape 1 - à remplir'!$O$31:$O$400,X$3)),IF(X$2="Espèce",IF(X$3="Toutes",SUMIFS('Étape 1 - à remplir'!$F$31:$F$400,'Étape 1 - à remplir'!$E$31:$E$400,MASQ2!O487,'Étape 1 - à remplir'!$G$31:$G$400,"animaux"),SUMIFS('Étape 1 - à remplir'!$F$31:$F$400,'Étape 1 - à remplir'!$E$31:$E$400,MASQ2!O487,'Étape 1 - à remplir'!$N$31:$N$400,X$3)))))))</f>
        <v>#N/A</v>
      </c>
      <c r="Q487" s="63">
        <f t="shared" si="310"/>
        <v>0</v>
      </c>
      <c r="R487" t="str">
        <f>Données_ATB!BM486</f>
        <v>Oxytétracycline</v>
      </c>
      <c r="S487" t="str">
        <f>Données_ATB!BN486</f>
        <v/>
      </c>
      <c r="T487" s="63" t="str">
        <f>Données_ATB!BO486</f>
        <v/>
      </c>
      <c r="U487" s="42" t="str">
        <f>Données_ATB!BQ486</f>
        <v>Tetracyclines</v>
      </c>
      <c r="V487" t="str">
        <f>Données_ATB!BR486</f>
        <v/>
      </c>
      <c r="W487" s="63" t="str">
        <f>Données_ATB!BS486</f>
        <v/>
      </c>
      <c r="Z487" s="42">
        <v>484</v>
      </c>
      <c r="AA487" t="e">
        <f t="shared" si="306"/>
        <v>#N/A</v>
      </c>
      <c r="AB487" s="63" t="e">
        <f t="shared" si="307"/>
        <v>#N/A</v>
      </c>
      <c r="BF487" s="63"/>
      <c r="BT487" s="194" t="str">
        <f t="shared" ca="1" si="290"/>
        <v/>
      </c>
      <c r="BU487" s="219" t="str">
        <f>IFERROR(IF(BX487=0,"",COUNTIF(BX$4:BX$600,"&gt;"&amp;BX487)+COUNTIF(BX$4:BX487,BX487)),"")</f>
        <v/>
      </c>
      <c r="BV487" s="42" t="str">
        <f t="shared" si="291"/>
        <v>TERRAMYCINE SOLUTION INJECTABLE</v>
      </c>
      <c r="BW487" t="e">
        <f>IF(IF(CE$2="Catégorie",IF(CE$3="Toutes",SUMIFS('Étape 1 - à remplir'!$F$31:$F$400,'Étape 1 - à remplir'!$E$31:$E$400,MASQ2!BV487,'Étape 1 - à remplir'!$G$31:$G$400,"lots"),SUMIFS('Étape 1 - à remplir'!$F$31:$F$400,'Étape 1 - à remplir'!$E$31:$E$400,MASQ2!BV487,'Étape 1 - à remplir'!$C$31:$C$400,CE$3)),IF(CE$2="Âge",IF(CE$3="Tous",SUMIFS('Étape 1 - à remplir'!$F$31:$F$400,'Étape 1 - à remplir'!$E$31:$E$400,MASQ2!BV487,'Étape 1 - à remplir'!$G$31:$G$400,"lots"),SUMIFS('Étape 1 - à remplir'!$F$31:$F$400,'Étape 1 - à remplir'!$E$31:$E$400,MASQ2!BV487,'Étape 1 - à remplir'!$P$31:$P$400,CE$3,'Étape 1 - à remplir'!$G$31:$G$400,"lots")),IF(CE$2="Atelier",IF(CE$3="Tous",SUMIFS('Étape 1 - à remplir'!$F$31:$F$400,'Étape 1 - à remplir'!$E$31:$E$400,MASQ2!BV487,'Étape 1 - à remplir'!$G$31:$G$400,"lots"),SUMIFS('Étape 1 - à remplir'!$F$31:$F$400,'Étape 1 - à remplir'!$E$31:$E$400,MASQ2!BV487,'Étape 1 - à remplir'!$O$31:$O$400,CE$3,'Étape 1 - à remplir'!$G$31:$G$400,"lots")),IF(CE$2="Espèce",IF(CE$3="Toutes",SUMIFS('Étape 1 - à remplir'!$F$31:$F$400,'Étape 1 - à remplir'!$E$31:$E$400,MASQ2!BV487,'Étape 1 - à remplir'!$G$31:$G$400,"lots"),SUMIFS('Étape 1 - à remplir'!$F$31:$F$400,'Étape 1 - à remplir'!$E$31:$E$400,MASQ2!BV487,'Étape 1 - à remplir'!$N$31:$N$400,CE$3,'Étape 1 - à remplir'!$G$31:$G$400,"lots"))))))=0,NA(),IF(CE$2="Catégorie",IF(CE$3="Toutes",SUMIFS('Étape 1 - à remplir'!$F$31:$F$400,'Étape 1 - à remplir'!$E$31:$E$400,MASQ2!BV487,'Étape 1 - à remplir'!$G$31:$G$400,"lots"),SUMIFS('Étape 1 - à remplir'!$F$31:$F$400,'Étape 1 - à remplir'!$E$31:$E$400,MASQ2!BV487,'Étape 1 - à remplir'!$C$31:$C$400,CE$3)),IF(CE$2="Âge",IF(CE$3="Tous",SUMIFS('Étape 1 - à remplir'!$F$31:$F$400,'Étape 1 - à remplir'!$E$31:$E$400,MASQ2!BV487,'Étape 1 - à remplir'!$G$31:$G$400,"lots"),SUMIFS('Étape 1 - à remplir'!$F$31:$F$400,'Étape 1 - à remplir'!$E$31:$E$400,MASQ2!BV487,'Étape 1 - à remplir'!$P$31:$P$400,CE$3,'Étape 1 - à remplir'!$G$31:$G$400,"lots")),IF(CE$2="Atelier",IF(CE$3="Tous",SUMIFS('Étape 1 - à remplir'!$F$31:$F$400,'Étape 1 - à remplir'!$E$31:$E$400,MASQ2!BV487,'Étape 1 - à remplir'!$G$31:$G$400,"lots"),SUMIFS('Étape 1 - à remplir'!$F$31:$F$400,'Étape 1 - à remplir'!$E$31:$E$400,MASQ2!BV487,'Étape 1 - à remplir'!$O$31:$O$400,CE$3,'Étape 1 - à remplir'!$G$31:$G$400,"lots")),IF(CE$2="Espèce",IF(CE$3="Toutes",SUMIFS('Étape 1 - à remplir'!$F$31:$F$400,'Étape 1 - à remplir'!$E$31:$E$400,MASQ2!BV487,'Étape 1 - à remplir'!$G$31:$G$400,"lots"),SUMIFS('Étape 1 - à remplir'!$F$31:$F$400,'Étape 1 - à remplir'!$E$31:$E$400,MASQ2!BV487,'Étape 1 - à remplir'!$N$31:$N$400,CE$3,'Étape 1 - à remplir'!$G$31:$G$400,"lots")))))))</f>
        <v>#N/A</v>
      </c>
      <c r="BX487">
        <f t="shared" si="308"/>
        <v>0</v>
      </c>
      <c r="BY487" t="str">
        <f t="shared" si="292"/>
        <v>Oxytétracycline</v>
      </c>
      <c r="BZ487" t="str">
        <f t="shared" si="293"/>
        <v/>
      </c>
      <c r="CA487" t="str">
        <f t="shared" si="294"/>
        <v/>
      </c>
      <c r="CB487" t="str">
        <f t="shared" si="295"/>
        <v>Tetracyclines</v>
      </c>
      <c r="CC487" t="str">
        <f t="shared" si="296"/>
        <v/>
      </c>
      <c r="CD487" s="63" t="str">
        <f t="shared" si="297"/>
        <v/>
      </c>
      <c r="CG487" s="42">
        <v>484</v>
      </c>
      <c r="CH487" s="42" t="e">
        <f t="shared" si="313"/>
        <v>#N/A</v>
      </c>
      <c r="CI487" s="63" t="e">
        <f t="shared" si="314"/>
        <v>#N/A</v>
      </c>
      <c r="DM487" s="63"/>
      <c r="EA487" s="194" t="str">
        <f t="shared" ca="1" si="298"/>
        <v/>
      </c>
      <c r="EB487" s="226" t="str">
        <f>IFERROR(IF(ED487=0,"",COUNTIF(ED$4:ED$600,"&gt;"&amp;ED487)+COUNTIF(ED$4:ED487,ED487)),"")</f>
        <v/>
      </c>
      <c r="EC487" t="str">
        <f t="shared" si="299"/>
        <v>TERRAMYCINE SOLUTION INJECTABLE</v>
      </c>
      <c r="ED487" t="e">
        <f>IF(IF(EL$2="Catégorie",IF(EL$3="Toutes",SUMIFS('Étape 1 - à remplir'!$F$31:$F$400,'Étape 1 - à remplir'!$E$31:$E$400,MASQ2!EC487,'Étape 1 - à remplir'!$G$31:$G$400,"kg"),SUMIFS('Étape 1 - à remplir'!$F$31:$F$400,'Étape 1 - à remplir'!$E$31:$E$400,MASQ2!EC487,'Étape 1 - à remplir'!$C$31:$C$400,EL$3)),IF(EL$2="Âge",IF(EL$3="Tous",SUMIFS('Étape 1 - à remplir'!$F$31:$F$400,'Étape 1 - à remplir'!$E$31:$E$400,MASQ2!EC487,'Étape 1 - à remplir'!$G$31:$G$400,"kg"),SUMIFS('Étape 1 - à remplir'!$F$31:$F$400,'Étape 1 - à remplir'!$E$31:$E$400,MASQ2!EC487,'Étape 1 - à remplir'!$P$31:$P$400,EL$3,'Étape 1 - à remplir'!$G$31:$G$400,"kg")),IF(EL$2="Atelier",IF(EL$3="Tous",SUMIFS('Étape 1 - à remplir'!$F$31:$F$400,'Étape 1 - à remplir'!$E$31:$E$400,MASQ2!EC487,'Étape 1 - à remplir'!$G$31:$G$400,"kg"),SUMIFS('Étape 1 - à remplir'!$F$31:$F$400,'Étape 1 - à remplir'!$E$31:$E$400,MASQ2!EC487,'Étape 1 - à remplir'!$O$31:$O$400,EL$3,'Étape 1 - à remplir'!$G$31:$G$400,"kg")),IF(EL$2="Espèce",IF(EL$3="Toutes",SUMIFS('Étape 1 - à remplir'!$F$31:$F$400,'Étape 1 - à remplir'!$E$31:$E$400,MASQ2!EC487,'Étape 1 - à remplir'!$G$31:$G$400,"kg"),SUMIFS('Étape 1 - à remplir'!$F$31:$F$400,'Étape 1 - à remplir'!$E$31:$E$400,MASQ2!EC487,'Étape 1 - à remplir'!$N$31:$N$400,EL$3,'Étape 1 - à remplir'!$G$31:$G$400,"kg"))))))=0,NA(),IF(EL$2="Catégorie",IF(EL$3="Toutes",SUMIFS('Étape 1 - à remplir'!$F$31:$F$400,'Étape 1 - à remplir'!$E$31:$E$400,MASQ2!EC487,'Étape 1 - à remplir'!$G$31:$G$400,"kg"),SUMIFS('Étape 1 - à remplir'!$F$31:$F$400,'Étape 1 - à remplir'!$E$31:$E$400,MASQ2!EC487,'Étape 1 - à remplir'!$C$31:$C$400,EL$3)),IF(EL$2="Âge",IF(EL$3="Tous",SUMIFS('Étape 1 - à remplir'!$F$31:$F$400,'Étape 1 - à remplir'!$E$31:$E$400,MASQ2!EC487,'Étape 1 - à remplir'!$G$31:$G$400,"kg"),SUMIFS('Étape 1 - à remplir'!$F$31:$F$400,'Étape 1 - à remplir'!$E$31:$E$400,MASQ2!EC487,'Étape 1 - à remplir'!$P$31:$P$400,EL$3,'Étape 1 - à remplir'!$G$31:$G$400,"kg")),IF(EL$2="Atelier",IF(EL$3="Tous",SUMIFS('Étape 1 - à remplir'!$F$31:$F$400,'Étape 1 - à remplir'!$E$31:$E$400,MASQ2!EC487,'Étape 1 - à remplir'!$G$31:$G$400,"kg"),SUMIFS('Étape 1 - à remplir'!$F$31:$F$400,'Étape 1 - à remplir'!$E$31:$E$400,MASQ2!EC487,'Étape 1 - à remplir'!$O$31:$O$400,EL$3,'Étape 1 - à remplir'!$G$31:$G$400,"kg")),IF(EL$2="Espèce",IF(EL$3="Toutes",SUMIFS('Étape 1 - à remplir'!$F$31:$F$400,'Étape 1 - à remplir'!$E$31:$E$400,MASQ2!EC487,'Étape 1 - à remplir'!$G$31:$G$400,"kg"),SUMIFS('Étape 1 - à remplir'!$F$31:$F$400,'Étape 1 - à remplir'!$E$31:$E$400,MASQ2!EC487,'Étape 1 - à remplir'!$N$31:$N$400,EL$3,'Étape 1 - à remplir'!$G$31:$G$400,"kg")))))))</f>
        <v>#N/A</v>
      </c>
      <c r="EE487" s="76">
        <f t="shared" si="309"/>
        <v>0</v>
      </c>
      <c r="EF487" t="str">
        <f t="shared" si="300"/>
        <v>Oxytétracycline</v>
      </c>
      <c r="EG487" t="str">
        <f t="shared" si="301"/>
        <v/>
      </c>
      <c r="EH487" t="str">
        <f t="shared" si="302"/>
        <v/>
      </c>
      <c r="EI487" t="str">
        <f t="shared" si="303"/>
        <v>Tetracyclines</v>
      </c>
      <c r="EJ487" t="str">
        <f t="shared" si="304"/>
        <v/>
      </c>
      <c r="EK487" s="63" t="str">
        <f t="shared" si="305"/>
        <v/>
      </c>
      <c r="EN487" s="42">
        <v>484</v>
      </c>
      <c r="EO487" t="e">
        <f t="shared" si="311"/>
        <v>#N/A</v>
      </c>
      <c r="EP487" s="63" t="e">
        <f t="shared" si="312"/>
        <v>#N/A</v>
      </c>
      <c r="FT487" s="63"/>
    </row>
    <row r="488" spans="2:176" x14ac:dyDescent="0.3">
      <c r="B488" s="42"/>
      <c r="M488" s="194" t="str">
        <f ca="1">INDEX(Données_ATB!BD:BU,MATCH(MASQ2!O488,Données_ATB!BD:BD,0),18)</f>
        <v/>
      </c>
      <c r="N488" s="14" t="str">
        <f>IFERROR(IF(Q488=0,"",COUNTIF(Q$4:Q$600,"&gt;"&amp;Q488)+COUNTIF(Q$4:Q488,Q488)),"")</f>
        <v/>
      </c>
      <c r="O488" t="str">
        <f>Données_ATB!BD487</f>
        <v>TETRACYCLINE 50 COOPHAVET</v>
      </c>
      <c r="P488" t="e">
        <f>IF(IF(X$2="Catégorie",IF(X$3="Toutes",SUMIFS('Étape 1 - à remplir'!$F$31:$F$400,'Étape 1 - à remplir'!$E$31:$E$400,MASQ2!O488,'Étape 1 - à remplir'!$G$31:$G$400,"animaux"),SUMIFS('Étape 1 - à remplir'!$F$31:$F$400,'Étape 1 - à remplir'!$E$31:$E$400,MASQ2!O488,'Étape 1 - à remplir'!$C$31:$C$400,X$3)),IF(X$2="Âge",IF(X$3="Tous",SUMIFS('Étape 1 - à remplir'!$F$31:$F$400,'Étape 1 - à remplir'!$E$31:$E$400,MASQ2!O488,'Étape 1 - à remplir'!$G$31:$G$400,"animaux"),SUMIFS('Étape 1 - à remplir'!$F$31:$F$400,'Étape 1 - à remplir'!$E$31:$E$400,MASQ2!O488,'Étape 1 - à remplir'!$P$31:$P$400,X$3)),IF(X$2="Atelier",IF(X$3="Tous",SUMIFS('Étape 1 - à remplir'!$F$31:$F$400,'Étape 1 - à remplir'!$E$31:$E$400,MASQ2!O488,'Étape 1 - à remplir'!$G$31:$G$400,"animaux"),SUMIFS('Étape 1 - à remplir'!$F$31:$F$400,'Étape 1 - à remplir'!$E$31:$E$400,MASQ2!O488,'Étape 1 - à remplir'!$O$31:$O$400,X$3)),IF(X$2="Espèce",IF(X$3="Toutes",SUMIFS('Étape 1 - à remplir'!$F$31:$F$400,'Étape 1 - à remplir'!$E$31:$E$400,MASQ2!O488,'Étape 1 - à remplir'!$G$31:$G$400,"animaux"),SUMIFS('Étape 1 - à remplir'!$F$31:$F$400,'Étape 1 - à remplir'!$E$31:$E$400,MASQ2!O488,'Étape 1 - à remplir'!$N$31:$N$400,X$3))))))=0,NA(),IF(X$2="Catégorie",IF(X$3="Toutes",SUMIFS('Étape 1 - à remplir'!$F$31:$F$400,'Étape 1 - à remplir'!$E$31:$E$400,MASQ2!O488,'Étape 1 - à remplir'!$G$31:$G$400,"animaux"),SUMIFS('Étape 1 - à remplir'!$F$31:$F$400,'Étape 1 - à remplir'!$E$31:$E$400,MASQ2!O488,'Étape 1 - à remplir'!$C$31:$C$400,X$3)),IF(X$2="Âge",IF(X$3="Tous",SUMIFS('Étape 1 - à remplir'!$F$31:$F$400,'Étape 1 - à remplir'!$E$31:$E$400,MASQ2!O488,'Étape 1 - à remplir'!$G$31:$G$400,"animaux"),SUMIFS('Étape 1 - à remplir'!$F$31:$F$400,'Étape 1 - à remplir'!$E$31:$E$400,MASQ2!O488,'Étape 1 - à remplir'!$P$31:$P$400,X$3)),IF(X$2="Atelier",IF(X$3="Tous",SUMIFS('Étape 1 - à remplir'!$F$31:$F$400,'Étape 1 - à remplir'!$E$31:$E$400,MASQ2!O488,'Étape 1 - à remplir'!$G$31:$G$400,"animaux"),SUMIFS('Étape 1 - à remplir'!$F$31:$F$400,'Étape 1 - à remplir'!$E$31:$E$400,MASQ2!O488,'Étape 1 - à remplir'!$O$31:$O$400,X$3)),IF(X$2="Espèce",IF(X$3="Toutes",SUMIFS('Étape 1 - à remplir'!$F$31:$F$400,'Étape 1 - à remplir'!$E$31:$E$400,MASQ2!O488,'Étape 1 - à remplir'!$G$31:$G$400,"animaux"),SUMIFS('Étape 1 - à remplir'!$F$31:$F$400,'Étape 1 - à remplir'!$E$31:$E$400,MASQ2!O488,'Étape 1 - à remplir'!$N$31:$N$400,X$3)))))))</f>
        <v>#N/A</v>
      </c>
      <c r="Q488" s="63">
        <f t="shared" si="310"/>
        <v>0</v>
      </c>
      <c r="R488" t="str">
        <f>Données_ATB!BM487</f>
        <v>Tétracycline</v>
      </c>
      <c r="S488" t="str">
        <f>Données_ATB!BN487</f>
        <v/>
      </c>
      <c r="T488" s="63" t="str">
        <f>Données_ATB!BO487</f>
        <v/>
      </c>
      <c r="U488" s="42" t="str">
        <f>Données_ATB!BQ487</f>
        <v>Tetracyclines</v>
      </c>
      <c r="V488" t="str">
        <f>Données_ATB!BR487</f>
        <v/>
      </c>
      <c r="W488" s="63" t="str">
        <f>Données_ATB!BS487</f>
        <v/>
      </c>
      <c r="Z488" s="42">
        <v>485</v>
      </c>
      <c r="AA488" t="e">
        <f t="shared" si="306"/>
        <v>#N/A</v>
      </c>
      <c r="AB488" s="63" t="e">
        <f t="shared" si="307"/>
        <v>#N/A</v>
      </c>
      <c r="BF488" s="63"/>
      <c r="BT488" s="194" t="str">
        <f t="shared" ca="1" si="290"/>
        <v/>
      </c>
      <c r="BU488" s="219" t="str">
        <f>IFERROR(IF(BX488=0,"",COUNTIF(BX$4:BX$600,"&gt;"&amp;BX488)+COUNTIF(BX$4:BX488,BX488)),"")</f>
        <v/>
      </c>
      <c r="BV488" s="42" t="str">
        <f t="shared" si="291"/>
        <v>TETRACYCLINE 50 COOPHAVET</v>
      </c>
      <c r="BW488" t="e">
        <f>IF(IF(CE$2="Catégorie",IF(CE$3="Toutes",SUMIFS('Étape 1 - à remplir'!$F$31:$F$400,'Étape 1 - à remplir'!$E$31:$E$400,MASQ2!BV488,'Étape 1 - à remplir'!$G$31:$G$400,"lots"),SUMIFS('Étape 1 - à remplir'!$F$31:$F$400,'Étape 1 - à remplir'!$E$31:$E$400,MASQ2!BV488,'Étape 1 - à remplir'!$C$31:$C$400,CE$3)),IF(CE$2="Âge",IF(CE$3="Tous",SUMIFS('Étape 1 - à remplir'!$F$31:$F$400,'Étape 1 - à remplir'!$E$31:$E$400,MASQ2!BV488,'Étape 1 - à remplir'!$G$31:$G$400,"lots"),SUMIFS('Étape 1 - à remplir'!$F$31:$F$400,'Étape 1 - à remplir'!$E$31:$E$400,MASQ2!BV488,'Étape 1 - à remplir'!$P$31:$P$400,CE$3,'Étape 1 - à remplir'!$G$31:$G$400,"lots")),IF(CE$2="Atelier",IF(CE$3="Tous",SUMIFS('Étape 1 - à remplir'!$F$31:$F$400,'Étape 1 - à remplir'!$E$31:$E$400,MASQ2!BV488,'Étape 1 - à remplir'!$G$31:$G$400,"lots"),SUMIFS('Étape 1 - à remplir'!$F$31:$F$400,'Étape 1 - à remplir'!$E$31:$E$400,MASQ2!BV488,'Étape 1 - à remplir'!$O$31:$O$400,CE$3,'Étape 1 - à remplir'!$G$31:$G$400,"lots")),IF(CE$2="Espèce",IF(CE$3="Toutes",SUMIFS('Étape 1 - à remplir'!$F$31:$F$400,'Étape 1 - à remplir'!$E$31:$E$400,MASQ2!BV488,'Étape 1 - à remplir'!$G$31:$G$400,"lots"),SUMIFS('Étape 1 - à remplir'!$F$31:$F$400,'Étape 1 - à remplir'!$E$31:$E$400,MASQ2!BV488,'Étape 1 - à remplir'!$N$31:$N$400,CE$3,'Étape 1 - à remplir'!$G$31:$G$400,"lots"))))))=0,NA(),IF(CE$2="Catégorie",IF(CE$3="Toutes",SUMIFS('Étape 1 - à remplir'!$F$31:$F$400,'Étape 1 - à remplir'!$E$31:$E$400,MASQ2!BV488,'Étape 1 - à remplir'!$G$31:$G$400,"lots"),SUMIFS('Étape 1 - à remplir'!$F$31:$F$400,'Étape 1 - à remplir'!$E$31:$E$400,MASQ2!BV488,'Étape 1 - à remplir'!$C$31:$C$400,CE$3)),IF(CE$2="Âge",IF(CE$3="Tous",SUMIFS('Étape 1 - à remplir'!$F$31:$F$400,'Étape 1 - à remplir'!$E$31:$E$400,MASQ2!BV488,'Étape 1 - à remplir'!$G$31:$G$400,"lots"),SUMIFS('Étape 1 - à remplir'!$F$31:$F$400,'Étape 1 - à remplir'!$E$31:$E$400,MASQ2!BV488,'Étape 1 - à remplir'!$P$31:$P$400,CE$3,'Étape 1 - à remplir'!$G$31:$G$400,"lots")),IF(CE$2="Atelier",IF(CE$3="Tous",SUMIFS('Étape 1 - à remplir'!$F$31:$F$400,'Étape 1 - à remplir'!$E$31:$E$400,MASQ2!BV488,'Étape 1 - à remplir'!$G$31:$G$400,"lots"),SUMIFS('Étape 1 - à remplir'!$F$31:$F$400,'Étape 1 - à remplir'!$E$31:$E$400,MASQ2!BV488,'Étape 1 - à remplir'!$O$31:$O$400,CE$3,'Étape 1 - à remplir'!$G$31:$G$400,"lots")),IF(CE$2="Espèce",IF(CE$3="Toutes",SUMIFS('Étape 1 - à remplir'!$F$31:$F$400,'Étape 1 - à remplir'!$E$31:$E$400,MASQ2!BV488,'Étape 1 - à remplir'!$G$31:$G$400,"lots"),SUMIFS('Étape 1 - à remplir'!$F$31:$F$400,'Étape 1 - à remplir'!$E$31:$E$400,MASQ2!BV488,'Étape 1 - à remplir'!$N$31:$N$400,CE$3,'Étape 1 - à remplir'!$G$31:$G$400,"lots")))))))</f>
        <v>#N/A</v>
      </c>
      <c r="BX488">
        <f t="shared" si="308"/>
        <v>0</v>
      </c>
      <c r="BY488" t="str">
        <f t="shared" si="292"/>
        <v>Tétracycline</v>
      </c>
      <c r="BZ488" t="str">
        <f t="shared" si="293"/>
        <v/>
      </c>
      <c r="CA488" t="str">
        <f t="shared" si="294"/>
        <v/>
      </c>
      <c r="CB488" t="str">
        <f t="shared" si="295"/>
        <v>Tetracyclines</v>
      </c>
      <c r="CC488" t="str">
        <f t="shared" si="296"/>
        <v/>
      </c>
      <c r="CD488" s="63" t="str">
        <f t="shared" si="297"/>
        <v/>
      </c>
      <c r="CG488" s="42">
        <v>485</v>
      </c>
      <c r="CH488" s="42" t="e">
        <f t="shared" si="313"/>
        <v>#N/A</v>
      </c>
      <c r="CI488" s="63" t="e">
        <f t="shared" si="314"/>
        <v>#N/A</v>
      </c>
      <c r="DM488" s="63"/>
      <c r="EA488" s="194" t="str">
        <f t="shared" ca="1" si="298"/>
        <v/>
      </c>
      <c r="EB488" s="226" t="str">
        <f>IFERROR(IF(ED488=0,"",COUNTIF(ED$4:ED$600,"&gt;"&amp;ED488)+COUNTIF(ED$4:ED488,ED488)),"")</f>
        <v/>
      </c>
      <c r="EC488" t="str">
        <f t="shared" si="299"/>
        <v>TETRACYCLINE 50 COOPHAVET</v>
      </c>
      <c r="ED488" t="e">
        <f>IF(IF(EL$2="Catégorie",IF(EL$3="Toutes",SUMIFS('Étape 1 - à remplir'!$F$31:$F$400,'Étape 1 - à remplir'!$E$31:$E$400,MASQ2!EC488,'Étape 1 - à remplir'!$G$31:$G$400,"kg"),SUMIFS('Étape 1 - à remplir'!$F$31:$F$400,'Étape 1 - à remplir'!$E$31:$E$400,MASQ2!EC488,'Étape 1 - à remplir'!$C$31:$C$400,EL$3)),IF(EL$2="Âge",IF(EL$3="Tous",SUMIFS('Étape 1 - à remplir'!$F$31:$F$400,'Étape 1 - à remplir'!$E$31:$E$400,MASQ2!EC488,'Étape 1 - à remplir'!$G$31:$G$400,"kg"),SUMIFS('Étape 1 - à remplir'!$F$31:$F$400,'Étape 1 - à remplir'!$E$31:$E$400,MASQ2!EC488,'Étape 1 - à remplir'!$P$31:$P$400,EL$3,'Étape 1 - à remplir'!$G$31:$G$400,"kg")),IF(EL$2="Atelier",IF(EL$3="Tous",SUMIFS('Étape 1 - à remplir'!$F$31:$F$400,'Étape 1 - à remplir'!$E$31:$E$400,MASQ2!EC488,'Étape 1 - à remplir'!$G$31:$G$400,"kg"),SUMIFS('Étape 1 - à remplir'!$F$31:$F$400,'Étape 1 - à remplir'!$E$31:$E$400,MASQ2!EC488,'Étape 1 - à remplir'!$O$31:$O$400,EL$3,'Étape 1 - à remplir'!$G$31:$G$400,"kg")),IF(EL$2="Espèce",IF(EL$3="Toutes",SUMIFS('Étape 1 - à remplir'!$F$31:$F$400,'Étape 1 - à remplir'!$E$31:$E$400,MASQ2!EC488,'Étape 1 - à remplir'!$G$31:$G$400,"kg"),SUMIFS('Étape 1 - à remplir'!$F$31:$F$400,'Étape 1 - à remplir'!$E$31:$E$400,MASQ2!EC488,'Étape 1 - à remplir'!$N$31:$N$400,EL$3,'Étape 1 - à remplir'!$G$31:$G$400,"kg"))))))=0,NA(),IF(EL$2="Catégorie",IF(EL$3="Toutes",SUMIFS('Étape 1 - à remplir'!$F$31:$F$400,'Étape 1 - à remplir'!$E$31:$E$400,MASQ2!EC488,'Étape 1 - à remplir'!$G$31:$G$400,"kg"),SUMIFS('Étape 1 - à remplir'!$F$31:$F$400,'Étape 1 - à remplir'!$E$31:$E$400,MASQ2!EC488,'Étape 1 - à remplir'!$C$31:$C$400,EL$3)),IF(EL$2="Âge",IF(EL$3="Tous",SUMIFS('Étape 1 - à remplir'!$F$31:$F$400,'Étape 1 - à remplir'!$E$31:$E$400,MASQ2!EC488,'Étape 1 - à remplir'!$G$31:$G$400,"kg"),SUMIFS('Étape 1 - à remplir'!$F$31:$F$400,'Étape 1 - à remplir'!$E$31:$E$400,MASQ2!EC488,'Étape 1 - à remplir'!$P$31:$P$400,EL$3,'Étape 1 - à remplir'!$G$31:$G$400,"kg")),IF(EL$2="Atelier",IF(EL$3="Tous",SUMIFS('Étape 1 - à remplir'!$F$31:$F$400,'Étape 1 - à remplir'!$E$31:$E$400,MASQ2!EC488,'Étape 1 - à remplir'!$G$31:$G$400,"kg"),SUMIFS('Étape 1 - à remplir'!$F$31:$F$400,'Étape 1 - à remplir'!$E$31:$E$400,MASQ2!EC488,'Étape 1 - à remplir'!$O$31:$O$400,EL$3,'Étape 1 - à remplir'!$G$31:$G$400,"kg")),IF(EL$2="Espèce",IF(EL$3="Toutes",SUMIFS('Étape 1 - à remplir'!$F$31:$F$400,'Étape 1 - à remplir'!$E$31:$E$400,MASQ2!EC488,'Étape 1 - à remplir'!$G$31:$G$400,"kg"),SUMIFS('Étape 1 - à remplir'!$F$31:$F$400,'Étape 1 - à remplir'!$E$31:$E$400,MASQ2!EC488,'Étape 1 - à remplir'!$N$31:$N$400,EL$3,'Étape 1 - à remplir'!$G$31:$G$400,"kg")))))))</f>
        <v>#N/A</v>
      </c>
      <c r="EE488" s="76">
        <f t="shared" si="309"/>
        <v>0</v>
      </c>
      <c r="EF488" t="str">
        <f t="shared" si="300"/>
        <v>Tétracycline</v>
      </c>
      <c r="EG488" t="str">
        <f t="shared" si="301"/>
        <v/>
      </c>
      <c r="EH488" t="str">
        <f t="shared" si="302"/>
        <v/>
      </c>
      <c r="EI488" t="str">
        <f t="shared" si="303"/>
        <v>Tetracyclines</v>
      </c>
      <c r="EJ488" t="str">
        <f t="shared" si="304"/>
        <v/>
      </c>
      <c r="EK488" s="63" t="str">
        <f t="shared" si="305"/>
        <v/>
      </c>
      <c r="EN488" s="42">
        <v>485</v>
      </c>
      <c r="EO488" t="e">
        <f t="shared" si="311"/>
        <v>#N/A</v>
      </c>
      <c r="EP488" s="63" t="e">
        <f t="shared" si="312"/>
        <v>#N/A</v>
      </c>
      <c r="FT488" s="63"/>
    </row>
    <row r="489" spans="2:176" x14ac:dyDescent="0.3">
      <c r="B489" s="42"/>
      <c r="M489" s="194" t="str">
        <f ca="1">INDEX(Données_ATB!BD:BU,MATCH(MASQ2!O489,Données_ATB!BD:BD,0),18)</f>
        <v/>
      </c>
      <c r="N489" s="14" t="str">
        <f>IFERROR(IF(Q489=0,"",COUNTIF(Q$4:Q$600,"&gt;"&amp;Q489)+COUNTIF(Q$4:Q489,Q489)),"")</f>
        <v/>
      </c>
      <c r="O489" t="str">
        <f>Données_ATB!BD488</f>
        <v>TETRASOLUB</v>
      </c>
      <c r="P489" t="e">
        <f>IF(IF(X$2="Catégorie",IF(X$3="Toutes",SUMIFS('Étape 1 - à remplir'!$F$31:$F$400,'Étape 1 - à remplir'!$E$31:$E$400,MASQ2!O489,'Étape 1 - à remplir'!$G$31:$G$400,"animaux"),SUMIFS('Étape 1 - à remplir'!$F$31:$F$400,'Étape 1 - à remplir'!$E$31:$E$400,MASQ2!O489,'Étape 1 - à remplir'!$C$31:$C$400,X$3)),IF(X$2="Âge",IF(X$3="Tous",SUMIFS('Étape 1 - à remplir'!$F$31:$F$400,'Étape 1 - à remplir'!$E$31:$E$400,MASQ2!O489,'Étape 1 - à remplir'!$G$31:$G$400,"animaux"),SUMIFS('Étape 1 - à remplir'!$F$31:$F$400,'Étape 1 - à remplir'!$E$31:$E$400,MASQ2!O489,'Étape 1 - à remplir'!$P$31:$P$400,X$3)),IF(X$2="Atelier",IF(X$3="Tous",SUMIFS('Étape 1 - à remplir'!$F$31:$F$400,'Étape 1 - à remplir'!$E$31:$E$400,MASQ2!O489,'Étape 1 - à remplir'!$G$31:$G$400,"animaux"),SUMIFS('Étape 1 - à remplir'!$F$31:$F$400,'Étape 1 - à remplir'!$E$31:$E$400,MASQ2!O489,'Étape 1 - à remplir'!$O$31:$O$400,X$3)),IF(X$2="Espèce",IF(X$3="Toutes",SUMIFS('Étape 1 - à remplir'!$F$31:$F$400,'Étape 1 - à remplir'!$E$31:$E$400,MASQ2!O489,'Étape 1 - à remplir'!$G$31:$G$400,"animaux"),SUMIFS('Étape 1 - à remplir'!$F$31:$F$400,'Étape 1 - à remplir'!$E$31:$E$400,MASQ2!O489,'Étape 1 - à remplir'!$N$31:$N$400,X$3))))))=0,NA(),IF(X$2="Catégorie",IF(X$3="Toutes",SUMIFS('Étape 1 - à remplir'!$F$31:$F$400,'Étape 1 - à remplir'!$E$31:$E$400,MASQ2!O489,'Étape 1 - à remplir'!$G$31:$G$400,"animaux"),SUMIFS('Étape 1 - à remplir'!$F$31:$F$400,'Étape 1 - à remplir'!$E$31:$E$400,MASQ2!O489,'Étape 1 - à remplir'!$C$31:$C$400,X$3)),IF(X$2="Âge",IF(X$3="Tous",SUMIFS('Étape 1 - à remplir'!$F$31:$F$400,'Étape 1 - à remplir'!$E$31:$E$400,MASQ2!O489,'Étape 1 - à remplir'!$G$31:$G$400,"animaux"),SUMIFS('Étape 1 - à remplir'!$F$31:$F$400,'Étape 1 - à remplir'!$E$31:$E$400,MASQ2!O489,'Étape 1 - à remplir'!$P$31:$P$400,X$3)),IF(X$2="Atelier",IF(X$3="Tous",SUMIFS('Étape 1 - à remplir'!$F$31:$F$400,'Étape 1 - à remplir'!$E$31:$E$400,MASQ2!O489,'Étape 1 - à remplir'!$G$31:$G$400,"animaux"),SUMIFS('Étape 1 - à remplir'!$F$31:$F$400,'Étape 1 - à remplir'!$E$31:$E$400,MASQ2!O489,'Étape 1 - à remplir'!$O$31:$O$400,X$3)),IF(X$2="Espèce",IF(X$3="Toutes",SUMIFS('Étape 1 - à remplir'!$F$31:$F$400,'Étape 1 - à remplir'!$E$31:$E$400,MASQ2!O489,'Étape 1 - à remplir'!$G$31:$G$400,"animaux"),SUMIFS('Étape 1 - à remplir'!$F$31:$F$400,'Étape 1 - à remplir'!$E$31:$E$400,MASQ2!O489,'Étape 1 - à remplir'!$N$31:$N$400,X$3)))))))</f>
        <v>#N/A</v>
      </c>
      <c r="Q489" s="63">
        <f t="shared" si="310"/>
        <v>0</v>
      </c>
      <c r="R489" t="str">
        <f>Données_ATB!BM488</f>
        <v>Oxytétracycline</v>
      </c>
      <c r="S489" t="str">
        <f>Données_ATB!BN488</f>
        <v/>
      </c>
      <c r="T489" s="63" t="str">
        <f>Données_ATB!BO488</f>
        <v/>
      </c>
      <c r="U489" s="42" t="str">
        <f>Données_ATB!BQ488</f>
        <v>Tetracyclines</v>
      </c>
      <c r="V489" t="str">
        <f>Données_ATB!BR488</f>
        <v/>
      </c>
      <c r="W489" s="63" t="str">
        <f>Données_ATB!BS488</f>
        <v/>
      </c>
      <c r="Z489" s="42">
        <v>486</v>
      </c>
      <c r="AA489" t="e">
        <f t="shared" si="306"/>
        <v>#N/A</v>
      </c>
      <c r="AB489" s="63" t="e">
        <f t="shared" si="307"/>
        <v>#N/A</v>
      </c>
      <c r="BF489" s="63"/>
      <c r="BT489" s="194" t="str">
        <f t="shared" ca="1" si="290"/>
        <v/>
      </c>
      <c r="BU489" s="219" t="str">
        <f>IFERROR(IF(BX489=0,"",COUNTIF(BX$4:BX$600,"&gt;"&amp;BX489)+COUNTIF(BX$4:BX489,BX489)),"")</f>
        <v/>
      </c>
      <c r="BV489" s="42" t="str">
        <f t="shared" si="291"/>
        <v>TETRASOLUB</v>
      </c>
      <c r="BW489" t="e">
        <f>IF(IF(CE$2="Catégorie",IF(CE$3="Toutes",SUMIFS('Étape 1 - à remplir'!$F$31:$F$400,'Étape 1 - à remplir'!$E$31:$E$400,MASQ2!BV489,'Étape 1 - à remplir'!$G$31:$G$400,"lots"),SUMIFS('Étape 1 - à remplir'!$F$31:$F$400,'Étape 1 - à remplir'!$E$31:$E$400,MASQ2!BV489,'Étape 1 - à remplir'!$C$31:$C$400,CE$3)),IF(CE$2="Âge",IF(CE$3="Tous",SUMIFS('Étape 1 - à remplir'!$F$31:$F$400,'Étape 1 - à remplir'!$E$31:$E$400,MASQ2!BV489,'Étape 1 - à remplir'!$G$31:$G$400,"lots"),SUMIFS('Étape 1 - à remplir'!$F$31:$F$400,'Étape 1 - à remplir'!$E$31:$E$400,MASQ2!BV489,'Étape 1 - à remplir'!$P$31:$P$400,CE$3,'Étape 1 - à remplir'!$G$31:$G$400,"lots")),IF(CE$2="Atelier",IF(CE$3="Tous",SUMIFS('Étape 1 - à remplir'!$F$31:$F$400,'Étape 1 - à remplir'!$E$31:$E$400,MASQ2!BV489,'Étape 1 - à remplir'!$G$31:$G$400,"lots"),SUMIFS('Étape 1 - à remplir'!$F$31:$F$400,'Étape 1 - à remplir'!$E$31:$E$400,MASQ2!BV489,'Étape 1 - à remplir'!$O$31:$O$400,CE$3,'Étape 1 - à remplir'!$G$31:$G$400,"lots")),IF(CE$2="Espèce",IF(CE$3="Toutes",SUMIFS('Étape 1 - à remplir'!$F$31:$F$400,'Étape 1 - à remplir'!$E$31:$E$400,MASQ2!BV489,'Étape 1 - à remplir'!$G$31:$G$400,"lots"),SUMIFS('Étape 1 - à remplir'!$F$31:$F$400,'Étape 1 - à remplir'!$E$31:$E$400,MASQ2!BV489,'Étape 1 - à remplir'!$N$31:$N$400,CE$3,'Étape 1 - à remplir'!$G$31:$G$400,"lots"))))))=0,NA(),IF(CE$2="Catégorie",IF(CE$3="Toutes",SUMIFS('Étape 1 - à remplir'!$F$31:$F$400,'Étape 1 - à remplir'!$E$31:$E$400,MASQ2!BV489,'Étape 1 - à remplir'!$G$31:$G$400,"lots"),SUMIFS('Étape 1 - à remplir'!$F$31:$F$400,'Étape 1 - à remplir'!$E$31:$E$400,MASQ2!BV489,'Étape 1 - à remplir'!$C$31:$C$400,CE$3)),IF(CE$2="Âge",IF(CE$3="Tous",SUMIFS('Étape 1 - à remplir'!$F$31:$F$400,'Étape 1 - à remplir'!$E$31:$E$400,MASQ2!BV489,'Étape 1 - à remplir'!$G$31:$G$400,"lots"),SUMIFS('Étape 1 - à remplir'!$F$31:$F$400,'Étape 1 - à remplir'!$E$31:$E$400,MASQ2!BV489,'Étape 1 - à remplir'!$P$31:$P$400,CE$3,'Étape 1 - à remplir'!$G$31:$G$400,"lots")),IF(CE$2="Atelier",IF(CE$3="Tous",SUMIFS('Étape 1 - à remplir'!$F$31:$F$400,'Étape 1 - à remplir'!$E$31:$E$400,MASQ2!BV489,'Étape 1 - à remplir'!$G$31:$G$400,"lots"),SUMIFS('Étape 1 - à remplir'!$F$31:$F$400,'Étape 1 - à remplir'!$E$31:$E$400,MASQ2!BV489,'Étape 1 - à remplir'!$O$31:$O$400,CE$3,'Étape 1 - à remplir'!$G$31:$G$400,"lots")),IF(CE$2="Espèce",IF(CE$3="Toutes",SUMIFS('Étape 1 - à remplir'!$F$31:$F$400,'Étape 1 - à remplir'!$E$31:$E$400,MASQ2!BV489,'Étape 1 - à remplir'!$G$31:$G$400,"lots"),SUMIFS('Étape 1 - à remplir'!$F$31:$F$400,'Étape 1 - à remplir'!$E$31:$E$400,MASQ2!BV489,'Étape 1 - à remplir'!$N$31:$N$400,CE$3,'Étape 1 - à remplir'!$G$31:$G$400,"lots")))))))</f>
        <v>#N/A</v>
      </c>
      <c r="BX489">
        <f t="shared" si="308"/>
        <v>0</v>
      </c>
      <c r="BY489" t="str">
        <f t="shared" si="292"/>
        <v>Oxytétracycline</v>
      </c>
      <c r="BZ489" t="str">
        <f t="shared" si="293"/>
        <v/>
      </c>
      <c r="CA489" t="str">
        <f t="shared" si="294"/>
        <v/>
      </c>
      <c r="CB489" t="str">
        <f t="shared" si="295"/>
        <v>Tetracyclines</v>
      </c>
      <c r="CC489" t="str">
        <f t="shared" si="296"/>
        <v/>
      </c>
      <c r="CD489" s="63" t="str">
        <f t="shared" si="297"/>
        <v/>
      </c>
      <c r="CG489" s="42">
        <v>486</v>
      </c>
      <c r="CH489" s="42" t="e">
        <f t="shared" si="313"/>
        <v>#N/A</v>
      </c>
      <c r="CI489" s="63" t="e">
        <f t="shared" si="314"/>
        <v>#N/A</v>
      </c>
      <c r="DM489" s="63"/>
      <c r="EA489" s="194" t="str">
        <f t="shared" ca="1" si="298"/>
        <v/>
      </c>
      <c r="EB489" s="226" t="str">
        <f>IFERROR(IF(ED489=0,"",COUNTIF(ED$4:ED$600,"&gt;"&amp;ED489)+COUNTIF(ED$4:ED489,ED489)),"")</f>
        <v/>
      </c>
      <c r="EC489" t="str">
        <f t="shared" si="299"/>
        <v>TETRASOLUB</v>
      </c>
      <c r="ED489" t="e">
        <f>IF(IF(EL$2="Catégorie",IF(EL$3="Toutes",SUMIFS('Étape 1 - à remplir'!$F$31:$F$400,'Étape 1 - à remplir'!$E$31:$E$400,MASQ2!EC489,'Étape 1 - à remplir'!$G$31:$G$400,"kg"),SUMIFS('Étape 1 - à remplir'!$F$31:$F$400,'Étape 1 - à remplir'!$E$31:$E$400,MASQ2!EC489,'Étape 1 - à remplir'!$C$31:$C$400,EL$3)),IF(EL$2="Âge",IF(EL$3="Tous",SUMIFS('Étape 1 - à remplir'!$F$31:$F$400,'Étape 1 - à remplir'!$E$31:$E$400,MASQ2!EC489,'Étape 1 - à remplir'!$G$31:$G$400,"kg"),SUMIFS('Étape 1 - à remplir'!$F$31:$F$400,'Étape 1 - à remplir'!$E$31:$E$400,MASQ2!EC489,'Étape 1 - à remplir'!$P$31:$P$400,EL$3,'Étape 1 - à remplir'!$G$31:$G$400,"kg")),IF(EL$2="Atelier",IF(EL$3="Tous",SUMIFS('Étape 1 - à remplir'!$F$31:$F$400,'Étape 1 - à remplir'!$E$31:$E$400,MASQ2!EC489,'Étape 1 - à remplir'!$G$31:$G$400,"kg"),SUMIFS('Étape 1 - à remplir'!$F$31:$F$400,'Étape 1 - à remplir'!$E$31:$E$400,MASQ2!EC489,'Étape 1 - à remplir'!$O$31:$O$400,EL$3,'Étape 1 - à remplir'!$G$31:$G$400,"kg")),IF(EL$2="Espèce",IF(EL$3="Toutes",SUMIFS('Étape 1 - à remplir'!$F$31:$F$400,'Étape 1 - à remplir'!$E$31:$E$400,MASQ2!EC489,'Étape 1 - à remplir'!$G$31:$G$400,"kg"),SUMIFS('Étape 1 - à remplir'!$F$31:$F$400,'Étape 1 - à remplir'!$E$31:$E$400,MASQ2!EC489,'Étape 1 - à remplir'!$N$31:$N$400,EL$3,'Étape 1 - à remplir'!$G$31:$G$400,"kg"))))))=0,NA(),IF(EL$2="Catégorie",IF(EL$3="Toutes",SUMIFS('Étape 1 - à remplir'!$F$31:$F$400,'Étape 1 - à remplir'!$E$31:$E$400,MASQ2!EC489,'Étape 1 - à remplir'!$G$31:$G$400,"kg"),SUMIFS('Étape 1 - à remplir'!$F$31:$F$400,'Étape 1 - à remplir'!$E$31:$E$400,MASQ2!EC489,'Étape 1 - à remplir'!$C$31:$C$400,EL$3)),IF(EL$2="Âge",IF(EL$3="Tous",SUMIFS('Étape 1 - à remplir'!$F$31:$F$400,'Étape 1 - à remplir'!$E$31:$E$400,MASQ2!EC489,'Étape 1 - à remplir'!$G$31:$G$400,"kg"),SUMIFS('Étape 1 - à remplir'!$F$31:$F$400,'Étape 1 - à remplir'!$E$31:$E$400,MASQ2!EC489,'Étape 1 - à remplir'!$P$31:$P$400,EL$3,'Étape 1 - à remplir'!$G$31:$G$400,"kg")),IF(EL$2="Atelier",IF(EL$3="Tous",SUMIFS('Étape 1 - à remplir'!$F$31:$F$400,'Étape 1 - à remplir'!$E$31:$E$400,MASQ2!EC489,'Étape 1 - à remplir'!$G$31:$G$400,"kg"),SUMIFS('Étape 1 - à remplir'!$F$31:$F$400,'Étape 1 - à remplir'!$E$31:$E$400,MASQ2!EC489,'Étape 1 - à remplir'!$O$31:$O$400,EL$3,'Étape 1 - à remplir'!$G$31:$G$400,"kg")),IF(EL$2="Espèce",IF(EL$3="Toutes",SUMIFS('Étape 1 - à remplir'!$F$31:$F$400,'Étape 1 - à remplir'!$E$31:$E$400,MASQ2!EC489,'Étape 1 - à remplir'!$G$31:$G$400,"kg"),SUMIFS('Étape 1 - à remplir'!$F$31:$F$400,'Étape 1 - à remplir'!$E$31:$E$400,MASQ2!EC489,'Étape 1 - à remplir'!$N$31:$N$400,EL$3,'Étape 1 - à remplir'!$G$31:$G$400,"kg")))))))</f>
        <v>#N/A</v>
      </c>
      <c r="EE489" s="76">
        <f t="shared" si="309"/>
        <v>0</v>
      </c>
      <c r="EF489" t="str">
        <f t="shared" si="300"/>
        <v>Oxytétracycline</v>
      </c>
      <c r="EG489" t="str">
        <f t="shared" si="301"/>
        <v/>
      </c>
      <c r="EH489" t="str">
        <f t="shared" si="302"/>
        <v/>
      </c>
      <c r="EI489" t="str">
        <f t="shared" si="303"/>
        <v>Tetracyclines</v>
      </c>
      <c r="EJ489" t="str">
        <f t="shared" si="304"/>
        <v/>
      </c>
      <c r="EK489" s="63" t="str">
        <f t="shared" si="305"/>
        <v/>
      </c>
      <c r="EN489" s="42">
        <v>486</v>
      </c>
      <c r="EO489" t="e">
        <f t="shared" si="311"/>
        <v>#N/A</v>
      </c>
      <c r="EP489" s="63" t="e">
        <f t="shared" si="312"/>
        <v>#N/A</v>
      </c>
      <c r="FT489" s="63"/>
    </row>
    <row r="490" spans="2:176" x14ac:dyDescent="0.3">
      <c r="B490" s="42"/>
      <c r="M490" s="194" t="str">
        <f ca="1">INDEX(Données_ATB!BD:BU,MATCH(MASQ2!O490,Données_ATB!BD:BD,0),18)</f>
        <v/>
      </c>
      <c r="N490" s="14" t="str">
        <f>IFERROR(IF(Q490=0,"",COUNTIF(Q$4:Q$600,"&gt;"&amp;Q490)+COUNTIF(Q$4:Q490,Q490)),"")</f>
        <v/>
      </c>
      <c r="O490" t="str">
        <f>Données_ATB!BD489</f>
        <v>TETRATIME</v>
      </c>
      <c r="P490" t="e">
        <f>IF(IF(X$2="Catégorie",IF(X$3="Toutes",SUMIFS('Étape 1 - à remplir'!$F$31:$F$400,'Étape 1 - à remplir'!$E$31:$E$400,MASQ2!O490,'Étape 1 - à remplir'!$G$31:$G$400,"animaux"),SUMIFS('Étape 1 - à remplir'!$F$31:$F$400,'Étape 1 - à remplir'!$E$31:$E$400,MASQ2!O490,'Étape 1 - à remplir'!$C$31:$C$400,X$3)),IF(X$2="Âge",IF(X$3="Tous",SUMIFS('Étape 1 - à remplir'!$F$31:$F$400,'Étape 1 - à remplir'!$E$31:$E$400,MASQ2!O490,'Étape 1 - à remplir'!$G$31:$G$400,"animaux"),SUMIFS('Étape 1 - à remplir'!$F$31:$F$400,'Étape 1 - à remplir'!$E$31:$E$400,MASQ2!O490,'Étape 1 - à remplir'!$P$31:$P$400,X$3)),IF(X$2="Atelier",IF(X$3="Tous",SUMIFS('Étape 1 - à remplir'!$F$31:$F$400,'Étape 1 - à remplir'!$E$31:$E$400,MASQ2!O490,'Étape 1 - à remplir'!$G$31:$G$400,"animaux"),SUMIFS('Étape 1 - à remplir'!$F$31:$F$400,'Étape 1 - à remplir'!$E$31:$E$400,MASQ2!O490,'Étape 1 - à remplir'!$O$31:$O$400,X$3)),IF(X$2="Espèce",IF(X$3="Toutes",SUMIFS('Étape 1 - à remplir'!$F$31:$F$400,'Étape 1 - à remplir'!$E$31:$E$400,MASQ2!O490,'Étape 1 - à remplir'!$G$31:$G$400,"animaux"),SUMIFS('Étape 1 - à remplir'!$F$31:$F$400,'Étape 1 - à remplir'!$E$31:$E$400,MASQ2!O490,'Étape 1 - à remplir'!$N$31:$N$400,X$3))))))=0,NA(),IF(X$2="Catégorie",IF(X$3="Toutes",SUMIFS('Étape 1 - à remplir'!$F$31:$F$400,'Étape 1 - à remplir'!$E$31:$E$400,MASQ2!O490,'Étape 1 - à remplir'!$G$31:$G$400,"animaux"),SUMIFS('Étape 1 - à remplir'!$F$31:$F$400,'Étape 1 - à remplir'!$E$31:$E$400,MASQ2!O490,'Étape 1 - à remplir'!$C$31:$C$400,X$3)),IF(X$2="Âge",IF(X$3="Tous",SUMIFS('Étape 1 - à remplir'!$F$31:$F$400,'Étape 1 - à remplir'!$E$31:$E$400,MASQ2!O490,'Étape 1 - à remplir'!$G$31:$G$400,"animaux"),SUMIFS('Étape 1 - à remplir'!$F$31:$F$400,'Étape 1 - à remplir'!$E$31:$E$400,MASQ2!O490,'Étape 1 - à remplir'!$P$31:$P$400,X$3)),IF(X$2="Atelier",IF(X$3="Tous",SUMIFS('Étape 1 - à remplir'!$F$31:$F$400,'Étape 1 - à remplir'!$E$31:$E$400,MASQ2!O490,'Étape 1 - à remplir'!$G$31:$G$400,"animaux"),SUMIFS('Étape 1 - à remplir'!$F$31:$F$400,'Étape 1 - à remplir'!$E$31:$E$400,MASQ2!O490,'Étape 1 - à remplir'!$O$31:$O$400,X$3)),IF(X$2="Espèce",IF(X$3="Toutes",SUMIFS('Étape 1 - à remplir'!$F$31:$F$400,'Étape 1 - à remplir'!$E$31:$E$400,MASQ2!O490,'Étape 1 - à remplir'!$G$31:$G$400,"animaux"),SUMIFS('Étape 1 - à remplir'!$F$31:$F$400,'Étape 1 - à remplir'!$E$31:$E$400,MASQ2!O490,'Étape 1 - à remplir'!$N$31:$N$400,X$3)))))))</f>
        <v>#N/A</v>
      </c>
      <c r="Q490" s="63">
        <f t="shared" si="310"/>
        <v>0</v>
      </c>
      <c r="R490" t="str">
        <f>Données_ATB!BM489</f>
        <v>Oxytétracycline</v>
      </c>
      <c r="S490" t="str">
        <f>Données_ATB!BN489</f>
        <v/>
      </c>
      <c r="T490" s="63" t="str">
        <f>Données_ATB!BO489</f>
        <v/>
      </c>
      <c r="U490" s="42" t="str">
        <f>Données_ATB!BQ489</f>
        <v>Tetracyclines</v>
      </c>
      <c r="V490" t="str">
        <f>Données_ATB!BR489</f>
        <v/>
      </c>
      <c r="W490" s="63" t="str">
        <f>Données_ATB!BS489</f>
        <v/>
      </c>
      <c r="Z490" s="42">
        <v>487</v>
      </c>
      <c r="AA490" t="e">
        <f t="shared" si="306"/>
        <v>#N/A</v>
      </c>
      <c r="AB490" s="63" t="e">
        <f t="shared" si="307"/>
        <v>#N/A</v>
      </c>
      <c r="BF490" s="63"/>
      <c r="BT490" s="194" t="str">
        <f t="shared" ca="1" si="290"/>
        <v/>
      </c>
      <c r="BU490" s="219" t="str">
        <f>IFERROR(IF(BX490=0,"",COUNTIF(BX$4:BX$600,"&gt;"&amp;BX490)+COUNTIF(BX$4:BX490,BX490)),"")</f>
        <v/>
      </c>
      <c r="BV490" s="42" t="str">
        <f t="shared" si="291"/>
        <v>TETRATIME</v>
      </c>
      <c r="BW490" t="e">
        <f>IF(IF(CE$2="Catégorie",IF(CE$3="Toutes",SUMIFS('Étape 1 - à remplir'!$F$31:$F$400,'Étape 1 - à remplir'!$E$31:$E$400,MASQ2!BV490,'Étape 1 - à remplir'!$G$31:$G$400,"lots"),SUMIFS('Étape 1 - à remplir'!$F$31:$F$400,'Étape 1 - à remplir'!$E$31:$E$400,MASQ2!BV490,'Étape 1 - à remplir'!$C$31:$C$400,CE$3)),IF(CE$2="Âge",IF(CE$3="Tous",SUMIFS('Étape 1 - à remplir'!$F$31:$F$400,'Étape 1 - à remplir'!$E$31:$E$400,MASQ2!BV490,'Étape 1 - à remplir'!$G$31:$G$400,"lots"),SUMIFS('Étape 1 - à remplir'!$F$31:$F$400,'Étape 1 - à remplir'!$E$31:$E$400,MASQ2!BV490,'Étape 1 - à remplir'!$P$31:$P$400,CE$3,'Étape 1 - à remplir'!$G$31:$G$400,"lots")),IF(CE$2="Atelier",IF(CE$3="Tous",SUMIFS('Étape 1 - à remplir'!$F$31:$F$400,'Étape 1 - à remplir'!$E$31:$E$400,MASQ2!BV490,'Étape 1 - à remplir'!$G$31:$G$400,"lots"),SUMIFS('Étape 1 - à remplir'!$F$31:$F$400,'Étape 1 - à remplir'!$E$31:$E$400,MASQ2!BV490,'Étape 1 - à remplir'!$O$31:$O$400,CE$3,'Étape 1 - à remplir'!$G$31:$G$400,"lots")),IF(CE$2="Espèce",IF(CE$3="Toutes",SUMIFS('Étape 1 - à remplir'!$F$31:$F$400,'Étape 1 - à remplir'!$E$31:$E$400,MASQ2!BV490,'Étape 1 - à remplir'!$G$31:$G$400,"lots"),SUMIFS('Étape 1 - à remplir'!$F$31:$F$400,'Étape 1 - à remplir'!$E$31:$E$400,MASQ2!BV490,'Étape 1 - à remplir'!$N$31:$N$400,CE$3,'Étape 1 - à remplir'!$G$31:$G$400,"lots"))))))=0,NA(),IF(CE$2="Catégorie",IF(CE$3="Toutes",SUMIFS('Étape 1 - à remplir'!$F$31:$F$400,'Étape 1 - à remplir'!$E$31:$E$400,MASQ2!BV490,'Étape 1 - à remplir'!$G$31:$G$400,"lots"),SUMIFS('Étape 1 - à remplir'!$F$31:$F$400,'Étape 1 - à remplir'!$E$31:$E$400,MASQ2!BV490,'Étape 1 - à remplir'!$C$31:$C$400,CE$3)),IF(CE$2="Âge",IF(CE$3="Tous",SUMIFS('Étape 1 - à remplir'!$F$31:$F$400,'Étape 1 - à remplir'!$E$31:$E$400,MASQ2!BV490,'Étape 1 - à remplir'!$G$31:$G$400,"lots"),SUMIFS('Étape 1 - à remplir'!$F$31:$F$400,'Étape 1 - à remplir'!$E$31:$E$400,MASQ2!BV490,'Étape 1 - à remplir'!$P$31:$P$400,CE$3,'Étape 1 - à remplir'!$G$31:$G$400,"lots")),IF(CE$2="Atelier",IF(CE$3="Tous",SUMIFS('Étape 1 - à remplir'!$F$31:$F$400,'Étape 1 - à remplir'!$E$31:$E$400,MASQ2!BV490,'Étape 1 - à remplir'!$G$31:$G$400,"lots"),SUMIFS('Étape 1 - à remplir'!$F$31:$F$400,'Étape 1 - à remplir'!$E$31:$E$400,MASQ2!BV490,'Étape 1 - à remplir'!$O$31:$O$400,CE$3,'Étape 1 - à remplir'!$G$31:$G$400,"lots")),IF(CE$2="Espèce",IF(CE$3="Toutes",SUMIFS('Étape 1 - à remplir'!$F$31:$F$400,'Étape 1 - à remplir'!$E$31:$E$400,MASQ2!BV490,'Étape 1 - à remplir'!$G$31:$G$400,"lots"),SUMIFS('Étape 1 - à remplir'!$F$31:$F$400,'Étape 1 - à remplir'!$E$31:$E$400,MASQ2!BV490,'Étape 1 - à remplir'!$N$31:$N$400,CE$3,'Étape 1 - à remplir'!$G$31:$G$400,"lots")))))))</f>
        <v>#N/A</v>
      </c>
      <c r="BX490">
        <f t="shared" si="308"/>
        <v>0</v>
      </c>
      <c r="BY490" t="str">
        <f t="shared" si="292"/>
        <v>Oxytétracycline</v>
      </c>
      <c r="BZ490" t="str">
        <f t="shared" si="293"/>
        <v/>
      </c>
      <c r="CA490" t="str">
        <f t="shared" si="294"/>
        <v/>
      </c>
      <c r="CB490" t="str">
        <f t="shared" si="295"/>
        <v>Tetracyclines</v>
      </c>
      <c r="CC490" t="str">
        <f t="shared" si="296"/>
        <v/>
      </c>
      <c r="CD490" s="63" t="str">
        <f t="shared" si="297"/>
        <v/>
      </c>
      <c r="CG490" s="42">
        <v>487</v>
      </c>
      <c r="CH490" s="42" t="e">
        <f t="shared" si="313"/>
        <v>#N/A</v>
      </c>
      <c r="CI490" s="63" t="e">
        <f t="shared" si="314"/>
        <v>#N/A</v>
      </c>
      <c r="DM490" s="63"/>
      <c r="EA490" s="194" t="str">
        <f t="shared" ca="1" si="298"/>
        <v/>
      </c>
      <c r="EB490" s="226" t="str">
        <f>IFERROR(IF(ED490=0,"",COUNTIF(ED$4:ED$600,"&gt;"&amp;ED490)+COUNTIF(ED$4:ED490,ED490)),"")</f>
        <v/>
      </c>
      <c r="EC490" t="str">
        <f t="shared" si="299"/>
        <v>TETRATIME</v>
      </c>
      <c r="ED490" t="e">
        <f>IF(IF(EL$2="Catégorie",IF(EL$3="Toutes",SUMIFS('Étape 1 - à remplir'!$F$31:$F$400,'Étape 1 - à remplir'!$E$31:$E$400,MASQ2!EC490,'Étape 1 - à remplir'!$G$31:$G$400,"kg"),SUMIFS('Étape 1 - à remplir'!$F$31:$F$400,'Étape 1 - à remplir'!$E$31:$E$400,MASQ2!EC490,'Étape 1 - à remplir'!$C$31:$C$400,EL$3)),IF(EL$2="Âge",IF(EL$3="Tous",SUMIFS('Étape 1 - à remplir'!$F$31:$F$400,'Étape 1 - à remplir'!$E$31:$E$400,MASQ2!EC490,'Étape 1 - à remplir'!$G$31:$G$400,"kg"),SUMIFS('Étape 1 - à remplir'!$F$31:$F$400,'Étape 1 - à remplir'!$E$31:$E$400,MASQ2!EC490,'Étape 1 - à remplir'!$P$31:$P$400,EL$3,'Étape 1 - à remplir'!$G$31:$G$400,"kg")),IF(EL$2="Atelier",IF(EL$3="Tous",SUMIFS('Étape 1 - à remplir'!$F$31:$F$400,'Étape 1 - à remplir'!$E$31:$E$400,MASQ2!EC490,'Étape 1 - à remplir'!$G$31:$G$400,"kg"),SUMIFS('Étape 1 - à remplir'!$F$31:$F$400,'Étape 1 - à remplir'!$E$31:$E$400,MASQ2!EC490,'Étape 1 - à remplir'!$O$31:$O$400,EL$3,'Étape 1 - à remplir'!$G$31:$G$400,"kg")),IF(EL$2="Espèce",IF(EL$3="Toutes",SUMIFS('Étape 1 - à remplir'!$F$31:$F$400,'Étape 1 - à remplir'!$E$31:$E$400,MASQ2!EC490,'Étape 1 - à remplir'!$G$31:$G$400,"kg"),SUMIFS('Étape 1 - à remplir'!$F$31:$F$400,'Étape 1 - à remplir'!$E$31:$E$400,MASQ2!EC490,'Étape 1 - à remplir'!$N$31:$N$400,EL$3,'Étape 1 - à remplir'!$G$31:$G$400,"kg"))))))=0,NA(),IF(EL$2="Catégorie",IF(EL$3="Toutes",SUMIFS('Étape 1 - à remplir'!$F$31:$F$400,'Étape 1 - à remplir'!$E$31:$E$400,MASQ2!EC490,'Étape 1 - à remplir'!$G$31:$G$400,"kg"),SUMIFS('Étape 1 - à remplir'!$F$31:$F$400,'Étape 1 - à remplir'!$E$31:$E$400,MASQ2!EC490,'Étape 1 - à remplir'!$C$31:$C$400,EL$3)),IF(EL$2="Âge",IF(EL$3="Tous",SUMIFS('Étape 1 - à remplir'!$F$31:$F$400,'Étape 1 - à remplir'!$E$31:$E$400,MASQ2!EC490,'Étape 1 - à remplir'!$G$31:$G$400,"kg"),SUMIFS('Étape 1 - à remplir'!$F$31:$F$400,'Étape 1 - à remplir'!$E$31:$E$400,MASQ2!EC490,'Étape 1 - à remplir'!$P$31:$P$400,EL$3,'Étape 1 - à remplir'!$G$31:$G$400,"kg")),IF(EL$2="Atelier",IF(EL$3="Tous",SUMIFS('Étape 1 - à remplir'!$F$31:$F$400,'Étape 1 - à remplir'!$E$31:$E$400,MASQ2!EC490,'Étape 1 - à remplir'!$G$31:$G$400,"kg"),SUMIFS('Étape 1 - à remplir'!$F$31:$F$400,'Étape 1 - à remplir'!$E$31:$E$400,MASQ2!EC490,'Étape 1 - à remplir'!$O$31:$O$400,EL$3,'Étape 1 - à remplir'!$G$31:$G$400,"kg")),IF(EL$2="Espèce",IF(EL$3="Toutes",SUMIFS('Étape 1 - à remplir'!$F$31:$F$400,'Étape 1 - à remplir'!$E$31:$E$400,MASQ2!EC490,'Étape 1 - à remplir'!$G$31:$G$400,"kg"),SUMIFS('Étape 1 - à remplir'!$F$31:$F$400,'Étape 1 - à remplir'!$E$31:$E$400,MASQ2!EC490,'Étape 1 - à remplir'!$N$31:$N$400,EL$3,'Étape 1 - à remplir'!$G$31:$G$400,"kg")))))))</f>
        <v>#N/A</v>
      </c>
      <c r="EE490" s="76">
        <f t="shared" si="309"/>
        <v>0</v>
      </c>
      <c r="EF490" t="str">
        <f t="shared" si="300"/>
        <v>Oxytétracycline</v>
      </c>
      <c r="EG490" t="str">
        <f t="shared" si="301"/>
        <v/>
      </c>
      <c r="EH490" t="str">
        <f t="shared" si="302"/>
        <v/>
      </c>
      <c r="EI490" t="str">
        <f t="shared" si="303"/>
        <v>Tetracyclines</v>
      </c>
      <c r="EJ490" t="str">
        <f t="shared" si="304"/>
        <v/>
      </c>
      <c r="EK490" s="63" t="str">
        <f t="shared" si="305"/>
        <v/>
      </c>
      <c r="EN490" s="42">
        <v>487</v>
      </c>
      <c r="EO490" t="e">
        <f t="shared" si="311"/>
        <v>#N/A</v>
      </c>
      <c r="EP490" s="63" t="e">
        <f t="shared" si="312"/>
        <v>#N/A</v>
      </c>
      <c r="FT490" s="63"/>
    </row>
    <row r="491" spans="2:176" x14ac:dyDescent="0.3">
      <c r="B491" s="42"/>
      <c r="M491" s="194" t="str">
        <f ca="1">INDEX(Données_ATB!BD:BU,MATCH(MASQ2!O491,Données_ATB!BD:BD,0),18)</f>
        <v/>
      </c>
      <c r="N491" s="14" t="str">
        <f>IFERROR(IF(Q491=0,"",COUNTIF(Q$4:Q$600,"&gt;"&amp;Q491)+COUNTIF(Q$4:Q491,Q491)),"")</f>
        <v/>
      </c>
      <c r="O491" t="str">
        <f>Données_ATB!BD490</f>
        <v>TETRAVAL 50 % POUDRE POUR SOLUTION BUVABLE POUR VEAUX PORCINS ET VOLAILLES</v>
      </c>
      <c r="P491" t="e">
        <f>IF(IF(X$2="Catégorie",IF(X$3="Toutes",SUMIFS('Étape 1 - à remplir'!$F$31:$F$400,'Étape 1 - à remplir'!$E$31:$E$400,MASQ2!O491,'Étape 1 - à remplir'!$G$31:$G$400,"animaux"),SUMIFS('Étape 1 - à remplir'!$F$31:$F$400,'Étape 1 - à remplir'!$E$31:$E$400,MASQ2!O491,'Étape 1 - à remplir'!$C$31:$C$400,X$3)),IF(X$2="Âge",IF(X$3="Tous",SUMIFS('Étape 1 - à remplir'!$F$31:$F$400,'Étape 1 - à remplir'!$E$31:$E$400,MASQ2!O491,'Étape 1 - à remplir'!$G$31:$G$400,"animaux"),SUMIFS('Étape 1 - à remplir'!$F$31:$F$400,'Étape 1 - à remplir'!$E$31:$E$400,MASQ2!O491,'Étape 1 - à remplir'!$P$31:$P$400,X$3)),IF(X$2="Atelier",IF(X$3="Tous",SUMIFS('Étape 1 - à remplir'!$F$31:$F$400,'Étape 1 - à remplir'!$E$31:$E$400,MASQ2!O491,'Étape 1 - à remplir'!$G$31:$G$400,"animaux"),SUMIFS('Étape 1 - à remplir'!$F$31:$F$400,'Étape 1 - à remplir'!$E$31:$E$400,MASQ2!O491,'Étape 1 - à remplir'!$O$31:$O$400,X$3)),IF(X$2="Espèce",IF(X$3="Toutes",SUMIFS('Étape 1 - à remplir'!$F$31:$F$400,'Étape 1 - à remplir'!$E$31:$E$400,MASQ2!O491,'Étape 1 - à remplir'!$G$31:$G$400,"animaux"),SUMIFS('Étape 1 - à remplir'!$F$31:$F$400,'Étape 1 - à remplir'!$E$31:$E$400,MASQ2!O491,'Étape 1 - à remplir'!$N$31:$N$400,X$3))))))=0,NA(),IF(X$2="Catégorie",IF(X$3="Toutes",SUMIFS('Étape 1 - à remplir'!$F$31:$F$400,'Étape 1 - à remplir'!$E$31:$E$400,MASQ2!O491,'Étape 1 - à remplir'!$G$31:$G$400,"animaux"),SUMIFS('Étape 1 - à remplir'!$F$31:$F$400,'Étape 1 - à remplir'!$E$31:$E$400,MASQ2!O491,'Étape 1 - à remplir'!$C$31:$C$400,X$3)),IF(X$2="Âge",IF(X$3="Tous",SUMIFS('Étape 1 - à remplir'!$F$31:$F$400,'Étape 1 - à remplir'!$E$31:$E$400,MASQ2!O491,'Étape 1 - à remplir'!$G$31:$G$400,"animaux"),SUMIFS('Étape 1 - à remplir'!$F$31:$F$400,'Étape 1 - à remplir'!$E$31:$E$400,MASQ2!O491,'Étape 1 - à remplir'!$P$31:$P$400,X$3)),IF(X$2="Atelier",IF(X$3="Tous",SUMIFS('Étape 1 - à remplir'!$F$31:$F$400,'Étape 1 - à remplir'!$E$31:$E$400,MASQ2!O491,'Étape 1 - à remplir'!$G$31:$G$400,"animaux"),SUMIFS('Étape 1 - à remplir'!$F$31:$F$400,'Étape 1 - à remplir'!$E$31:$E$400,MASQ2!O491,'Étape 1 - à remplir'!$O$31:$O$400,X$3)),IF(X$2="Espèce",IF(X$3="Toutes",SUMIFS('Étape 1 - à remplir'!$F$31:$F$400,'Étape 1 - à remplir'!$E$31:$E$400,MASQ2!O491,'Étape 1 - à remplir'!$G$31:$G$400,"animaux"),SUMIFS('Étape 1 - à remplir'!$F$31:$F$400,'Étape 1 - à remplir'!$E$31:$E$400,MASQ2!O491,'Étape 1 - à remplir'!$N$31:$N$400,X$3)))))))</f>
        <v>#N/A</v>
      </c>
      <c r="Q491" s="63">
        <f t="shared" si="310"/>
        <v>0</v>
      </c>
      <c r="R491" t="str">
        <f>Données_ATB!BM490</f>
        <v>Oxytétracycline</v>
      </c>
      <c r="S491" t="str">
        <f>Données_ATB!BN490</f>
        <v/>
      </c>
      <c r="T491" s="63" t="str">
        <f>Données_ATB!BO490</f>
        <v/>
      </c>
      <c r="U491" s="42" t="str">
        <f>Données_ATB!BQ490</f>
        <v>Tetracyclines</v>
      </c>
      <c r="V491" t="str">
        <f>Données_ATB!BR490</f>
        <v/>
      </c>
      <c r="W491" s="63" t="str">
        <f>Données_ATB!BS490</f>
        <v/>
      </c>
      <c r="Z491" s="42">
        <v>488</v>
      </c>
      <c r="AA491" t="e">
        <f t="shared" si="306"/>
        <v>#N/A</v>
      </c>
      <c r="AB491" s="63" t="e">
        <f t="shared" si="307"/>
        <v>#N/A</v>
      </c>
      <c r="BF491" s="63"/>
      <c r="BT491" s="194" t="str">
        <f t="shared" ca="1" si="290"/>
        <v/>
      </c>
      <c r="BU491" s="219" t="str">
        <f>IFERROR(IF(BX491=0,"",COUNTIF(BX$4:BX$600,"&gt;"&amp;BX491)+COUNTIF(BX$4:BX491,BX491)),"")</f>
        <v/>
      </c>
      <c r="BV491" s="42" t="str">
        <f t="shared" si="291"/>
        <v>TETRAVAL 50 % POUDRE POUR SOLUTION BUVABLE POUR VEAUX PORCINS ET VOLAILLES</v>
      </c>
      <c r="BW491" t="e">
        <f>IF(IF(CE$2="Catégorie",IF(CE$3="Toutes",SUMIFS('Étape 1 - à remplir'!$F$31:$F$400,'Étape 1 - à remplir'!$E$31:$E$400,MASQ2!BV491,'Étape 1 - à remplir'!$G$31:$G$400,"lots"),SUMIFS('Étape 1 - à remplir'!$F$31:$F$400,'Étape 1 - à remplir'!$E$31:$E$400,MASQ2!BV491,'Étape 1 - à remplir'!$C$31:$C$400,CE$3)),IF(CE$2="Âge",IF(CE$3="Tous",SUMIFS('Étape 1 - à remplir'!$F$31:$F$400,'Étape 1 - à remplir'!$E$31:$E$400,MASQ2!BV491,'Étape 1 - à remplir'!$G$31:$G$400,"lots"),SUMIFS('Étape 1 - à remplir'!$F$31:$F$400,'Étape 1 - à remplir'!$E$31:$E$400,MASQ2!BV491,'Étape 1 - à remplir'!$P$31:$P$400,CE$3,'Étape 1 - à remplir'!$G$31:$G$400,"lots")),IF(CE$2="Atelier",IF(CE$3="Tous",SUMIFS('Étape 1 - à remplir'!$F$31:$F$400,'Étape 1 - à remplir'!$E$31:$E$400,MASQ2!BV491,'Étape 1 - à remplir'!$G$31:$G$400,"lots"),SUMIFS('Étape 1 - à remplir'!$F$31:$F$400,'Étape 1 - à remplir'!$E$31:$E$400,MASQ2!BV491,'Étape 1 - à remplir'!$O$31:$O$400,CE$3,'Étape 1 - à remplir'!$G$31:$G$400,"lots")),IF(CE$2="Espèce",IF(CE$3="Toutes",SUMIFS('Étape 1 - à remplir'!$F$31:$F$400,'Étape 1 - à remplir'!$E$31:$E$400,MASQ2!BV491,'Étape 1 - à remplir'!$G$31:$G$400,"lots"),SUMIFS('Étape 1 - à remplir'!$F$31:$F$400,'Étape 1 - à remplir'!$E$31:$E$400,MASQ2!BV491,'Étape 1 - à remplir'!$N$31:$N$400,CE$3,'Étape 1 - à remplir'!$G$31:$G$400,"lots"))))))=0,NA(),IF(CE$2="Catégorie",IF(CE$3="Toutes",SUMIFS('Étape 1 - à remplir'!$F$31:$F$400,'Étape 1 - à remplir'!$E$31:$E$400,MASQ2!BV491,'Étape 1 - à remplir'!$G$31:$G$400,"lots"),SUMIFS('Étape 1 - à remplir'!$F$31:$F$400,'Étape 1 - à remplir'!$E$31:$E$400,MASQ2!BV491,'Étape 1 - à remplir'!$C$31:$C$400,CE$3)),IF(CE$2="Âge",IF(CE$3="Tous",SUMIFS('Étape 1 - à remplir'!$F$31:$F$400,'Étape 1 - à remplir'!$E$31:$E$400,MASQ2!BV491,'Étape 1 - à remplir'!$G$31:$G$400,"lots"),SUMIFS('Étape 1 - à remplir'!$F$31:$F$400,'Étape 1 - à remplir'!$E$31:$E$400,MASQ2!BV491,'Étape 1 - à remplir'!$P$31:$P$400,CE$3,'Étape 1 - à remplir'!$G$31:$G$400,"lots")),IF(CE$2="Atelier",IF(CE$3="Tous",SUMIFS('Étape 1 - à remplir'!$F$31:$F$400,'Étape 1 - à remplir'!$E$31:$E$400,MASQ2!BV491,'Étape 1 - à remplir'!$G$31:$G$400,"lots"),SUMIFS('Étape 1 - à remplir'!$F$31:$F$400,'Étape 1 - à remplir'!$E$31:$E$400,MASQ2!BV491,'Étape 1 - à remplir'!$O$31:$O$400,CE$3,'Étape 1 - à remplir'!$G$31:$G$400,"lots")),IF(CE$2="Espèce",IF(CE$3="Toutes",SUMIFS('Étape 1 - à remplir'!$F$31:$F$400,'Étape 1 - à remplir'!$E$31:$E$400,MASQ2!BV491,'Étape 1 - à remplir'!$G$31:$G$400,"lots"),SUMIFS('Étape 1 - à remplir'!$F$31:$F$400,'Étape 1 - à remplir'!$E$31:$E$400,MASQ2!BV491,'Étape 1 - à remplir'!$N$31:$N$400,CE$3,'Étape 1 - à remplir'!$G$31:$G$400,"lots")))))))</f>
        <v>#N/A</v>
      </c>
      <c r="BX491">
        <f t="shared" si="308"/>
        <v>0</v>
      </c>
      <c r="BY491" t="str">
        <f t="shared" si="292"/>
        <v>Oxytétracycline</v>
      </c>
      <c r="BZ491" t="str">
        <f t="shared" si="293"/>
        <v/>
      </c>
      <c r="CA491" t="str">
        <f t="shared" si="294"/>
        <v/>
      </c>
      <c r="CB491" t="str">
        <f t="shared" si="295"/>
        <v>Tetracyclines</v>
      </c>
      <c r="CC491" t="str">
        <f t="shared" si="296"/>
        <v/>
      </c>
      <c r="CD491" s="63" t="str">
        <f t="shared" si="297"/>
        <v/>
      </c>
      <c r="CG491" s="42">
        <v>488</v>
      </c>
      <c r="CH491" s="42" t="e">
        <f t="shared" si="313"/>
        <v>#N/A</v>
      </c>
      <c r="CI491" s="63" t="e">
        <f t="shared" si="314"/>
        <v>#N/A</v>
      </c>
      <c r="DM491" s="63"/>
      <c r="EA491" s="194" t="str">
        <f t="shared" ca="1" si="298"/>
        <v/>
      </c>
      <c r="EB491" s="226" t="str">
        <f>IFERROR(IF(ED491=0,"",COUNTIF(ED$4:ED$600,"&gt;"&amp;ED491)+COUNTIF(ED$4:ED491,ED491)),"")</f>
        <v/>
      </c>
      <c r="EC491" t="str">
        <f t="shared" si="299"/>
        <v>TETRAVAL 50 % POUDRE POUR SOLUTION BUVABLE POUR VEAUX PORCINS ET VOLAILLES</v>
      </c>
      <c r="ED491" t="e">
        <f>IF(IF(EL$2="Catégorie",IF(EL$3="Toutes",SUMIFS('Étape 1 - à remplir'!$F$31:$F$400,'Étape 1 - à remplir'!$E$31:$E$400,MASQ2!EC491,'Étape 1 - à remplir'!$G$31:$G$400,"kg"),SUMIFS('Étape 1 - à remplir'!$F$31:$F$400,'Étape 1 - à remplir'!$E$31:$E$400,MASQ2!EC491,'Étape 1 - à remplir'!$C$31:$C$400,EL$3)),IF(EL$2="Âge",IF(EL$3="Tous",SUMIFS('Étape 1 - à remplir'!$F$31:$F$400,'Étape 1 - à remplir'!$E$31:$E$400,MASQ2!EC491,'Étape 1 - à remplir'!$G$31:$G$400,"kg"),SUMIFS('Étape 1 - à remplir'!$F$31:$F$400,'Étape 1 - à remplir'!$E$31:$E$400,MASQ2!EC491,'Étape 1 - à remplir'!$P$31:$P$400,EL$3,'Étape 1 - à remplir'!$G$31:$G$400,"kg")),IF(EL$2="Atelier",IF(EL$3="Tous",SUMIFS('Étape 1 - à remplir'!$F$31:$F$400,'Étape 1 - à remplir'!$E$31:$E$400,MASQ2!EC491,'Étape 1 - à remplir'!$G$31:$G$400,"kg"),SUMIFS('Étape 1 - à remplir'!$F$31:$F$400,'Étape 1 - à remplir'!$E$31:$E$400,MASQ2!EC491,'Étape 1 - à remplir'!$O$31:$O$400,EL$3,'Étape 1 - à remplir'!$G$31:$G$400,"kg")),IF(EL$2="Espèce",IF(EL$3="Toutes",SUMIFS('Étape 1 - à remplir'!$F$31:$F$400,'Étape 1 - à remplir'!$E$31:$E$400,MASQ2!EC491,'Étape 1 - à remplir'!$G$31:$G$400,"kg"),SUMIFS('Étape 1 - à remplir'!$F$31:$F$400,'Étape 1 - à remplir'!$E$31:$E$400,MASQ2!EC491,'Étape 1 - à remplir'!$N$31:$N$400,EL$3,'Étape 1 - à remplir'!$G$31:$G$400,"kg"))))))=0,NA(),IF(EL$2="Catégorie",IF(EL$3="Toutes",SUMIFS('Étape 1 - à remplir'!$F$31:$F$400,'Étape 1 - à remplir'!$E$31:$E$400,MASQ2!EC491,'Étape 1 - à remplir'!$G$31:$G$400,"kg"),SUMIFS('Étape 1 - à remplir'!$F$31:$F$400,'Étape 1 - à remplir'!$E$31:$E$400,MASQ2!EC491,'Étape 1 - à remplir'!$C$31:$C$400,EL$3)),IF(EL$2="Âge",IF(EL$3="Tous",SUMIFS('Étape 1 - à remplir'!$F$31:$F$400,'Étape 1 - à remplir'!$E$31:$E$400,MASQ2!EC491,'Étape 1 - à remplir'!$G$31:$G$400,"kg"),SUMIFS('Étape 1 - à remplir'!$F$31:$F$400,'Étape 1 - à remplir'!$E$31:$E$400,MASQ2!EC491,'Étape 1 - à remplir'!$P$31:$P$400,EL$3,'Étape 1 - à remplir'!$G$31:$G$400,"kg")),IF(EL$2="Atelier",IF(EL$3="Tous",SUMIFS('Étape 1 - à remplir'!$F$31:$F$400,'Étape 1 - à remplir'!$E$31:$E$400,MASQ2!EC491,'Étape 1 - à remplir'!$G$31:$G$400,"kg"),SUMIFS('Étape 1 - à remplir'!$F$31:$F$400,'Étape 1 - à remplir'!$E$31:$E$400,MASQ2!EC491,'Étape 1 - à remplir'!$O$31:$O$400,EL$3,'Étape 1 - à remplir'!$G$31:$G$400,"kg")),IF(EL$2="Espèce",IF(EL$3="Toutes",SUMIFS('Étape 1 - à remplir'!$F$31:$F$400,'Étape 1 - à remplir'!$E$31:$E$400,MASQ2!EC491,'Étape 1 - à remplir'!$G$31:$G$400,"kg"),SUMIFS('Étape 1 - à remplir'!$F$31:$F$400,'Étape 1 - à remplir'!$E$31:$E$400,MASQ2!EC491,'Étape 1 - à remplir'!$N$31:$N$400,EL$3,'Étape 1 - à remplir'!$G$31:$G$400,"kg")))))))</f>
        <v>#N/A</v>
      </c>
      <c r="EE491" s="76">
        <f t="shared" si="309"/>
        <v>0</v>
      </c>
      <c r="EF491" t="str">
        <f t="shared" si="300"/>
        <v>Oxytétracycline</v>
      </c>
      <c r="EG491" t="str">
        <f t="shared" si="301"/>
        <v/>
      </c>
      <c r="EH491" t="str">
        <f t="shared" si="302"/>
        <v/>
      </c>
      <c r="EI491" t="str">
        <f t="shared" si="303"/>
        <v>Tetracyclines</v>
      </c>
      <c r="EJ491" t="str">
        <f t="shared" si="304"/>
        <v/>
      </c>
      <c r="EK491" s="63" t="str">
        <f t="shared" si="305"/>
        <v/>
      </c>
      <c r="EN491" s="42">
        <v>488</v>
      </c>
      <c r="EO491" t="e">
        <f t="shared" si="311"/>
        <v>#N/A</v>
      </c>
      <c r="EP491" s="63" t="e">
        <f t="shared" si="312"/>
        <v>#N/A</v>
      </c>
      <c r="FT491" s="63"/>
    </row>
    <row r="492" spans="2:176" x14ac:dyDescent="0.3">
      <c r="B492" s="42"/>
      <c r="M492" s="194" t="str">
        <f ca="1">INDEX(Données_ATB!BD:BU,MATCH(MASQ2!O492,Données_ATB!BD:BD,0),18)</f>
        <v/>
      </c>
      <c r="N492" s="14" t="str">
        <f>IFERROR(IF(Q492=0,"",COUNTIF(Q$4:Q$600,"&gt;"&amp;Q492)+COUNTIF(Q$4:Q492,Q492)),"")</f>
        <v/>
      </c>
      <c r="O492" t="str">
        <f>Données_ATB!BD491</f>
        <v>TETRAVETO</v>
      </c>
      <c r="P492" t="e">
        <f>IF(IF(X$2="Catégorie",IF(X$3="Toutes",SUMIFS('Étape 1 - à remplir'!$F$31:$F$400,'Étape 1 - à remplir'!$E$31:$E$400,MASQ2!O492,'Étape 1 - à remplir'!$G$31:$G$400,"animaux"),SUMIFS('Étape 1 - à remplir'!$F$31:$F$400,'Étape 1 - à remplir'!$E$31:$E$400,MASQ2!O492,'Étape 1 - à remplir'!$C$31:$C$400,X$3)),IF(X$2="Âge",IF(X$3="Tous",SUMIFS('Étape 1 - à remplir'!$F$31:$F$400,'Étape 1 - à remplir'!$E$31:$E$400,MASQ2!O492,'Étape 1 - à remplir'!$G$31:$G$400,"animaux"),SUMIFS('Étape 1 - à remplir'!$F$31:$F$400,'Étape 1 - à remplir'!$E$31:$E$400,MASQ2!O492,'Étape 1 - à remplir'!$P$31:$P$400,X$3)),IF(X$2="Atelier",IF(X$3="Tous",SUMIFS('Étape 1 - à remplir'!$F$31:$F$400,'Étape 1 - à remplir'!$E$31:$E$400,MASQ2!O492,'Étape 1 - à remplir'!$G$31:$G$400,"animaux"),SUMIFS('Étape 1 - à remplir'!$F$31:$F$400,'Étape 1 - à remplir'!$E$31:$E$400,MASQ2!O492,'Étape 1 - à remplir'!$O$31:$O$400,X$3)),IF(X$2="Espèce",IF(X$3="Toutes",SUMIFS('Étape 1 - à remplir'!$F$31:$F$400,'Étape 1 - à remplir'!$E$31:$E$400,MASQ2!O492,'Étape 1 - à remplir'!$G$31:$G$400,"animaux"),SUMIFS('Étape 1 - à remplir'!$F$31:$F$400,'Étape 1 - à remplir'!$E$31:$E$400,MASQ2!O492,'Étape 1 - à remplir'!$N$31:$N$400,X$3))))))=0,NA(),IF(X$2="Catégorie",IF(X$3="Toutes",SUMIFS('Étape 1 - à remplir'!$F$31:$F$400,'Étape 1 - à remplir'!$E$31:$E$400,MASQ2!O492,'Étape 1 - à remplir'!$G$31:$G$400,"animaux"),SUMIFS('Étape 1 - à remplir'!$F$31:$F$400,'Étape 1 - à remplir'!$E$31:$E$400,MASQ2!O492,'Étape 1 - à remplir'!$C$31:$C$400,X$3)),IF(X$2="Âge",IF(X$3="Tous",SUMIFS('Étape 1 - à remplir'!$F$31:$F$400,'Étape 1 - à remplir'!$E$31:$E$400,MASQ2!O492,'Étape 1 - à remplir'!$G$31:$G$400,"animaux"),SUMIFS('Étape 1 - à remplir'!$F$31:$F$400,'Étape 1 - à remplir'!$E$31:$E$400,MASQ2!O492,'Étape 1 - à remplir'!$P$31:$P$400,X$3)),IF(X$2="Atelier",IF(X$3="Tous",SUMIFS('Étape 1 - à remplir'!$F$31:$F$400,'Étape 1 - à remplir'!$E$31:$E$400,MASQ2!O492,'Étape 1 - à remplir'!$G$31:$G$400,"animaux"),SUMIFS('Étape 1 - à remplir'!$F$31:$F$400,'Étape 1 - à remplir'!$E$31:$E$400,MASQ2!O492,'Étape 1 - à remplir'!$O$31:$O$400,X$3)),IF(X$2="Espèce",IF(X$3="Toutes",SUMIFS('Étape 1 - à remplir'!$F$31:$F$400,'Étape 1 - à remplir'!$E$31:$E$400,MASQ2!O492,'Étape 1 - à remplir'!$G$31:$G$400,"animaux"),SUMIFS('Étape 1 - à remplir'!$F$31:$F$400,'Étape 1 - à remplir'!$E$31:$E$400,MASQ2!O492,'Étape 1 - à remplir'!$N$31:$N$400,X$3)))))))</f>
        <v>#N/A</v>
      </c>
      <c r="Q492" s="63">
        <f t="shared" si="310"/>
        <v>0</v>
      </c>
      <c r="R492" t="str">
        <f>Données_ATB!BM491</f>
        <v>Oxytétracycline</v>
      </c>
      <c r="S492" t="str">
        <f>Données_ATB!BN491</f>
        <v/>
      </c>
      <c r="T492" s="63" t="str">
        <f>Données_ATB!BO491</f>
        <v/>
      </c>
      <c r="U492" s="42" t="str">
        <f>Données_ATB!BQ491</f>
        <v>Tetracyclines</v>
      </c>
      <c r="V492" t="str">
        <f>Données_ATB!BR491</f>
        <v/>
      </c>
      <c r="W492" s="63" t="str">
        <f>Données_ATB!BS491</f>
        <v/>
      </c>
      <c r="Z492" s="42">
        <v>489</v>
      </c>
      <c r="AA492" t="e">
        <f t="shared" si="306"/>
        <v>#N/A</v>
      </c>
      <c r="AB492" s="63" t="e">
        <f t="shared" si="307"/>
        <v>#N/A</v>
      </c>
      <c r="BF492" s="63"/>
      <c r="BT492" s="194" t="str">
        <f t="shared" ca="1" si="290"/>
        <v/>
      </c>
      <c r="BU492" s="219" t="str">
        <f>IFERROR(IF(BX492=0,"",COUNTIF(BX$4:BX$600,"&gt;"&amp;BX492)+COUNTIF(BX$4:BX492,BX492)),"")</f>
        <v/>
      </c>
      <c r="BV492" s="42" t="str">
        <f t="shared" si="291"/>
        <v>TETRAVETO</v>
      </c>
      <c r="BW492" t="e">
        <f>IF(IF(CE$2="Catégorie",IF(CE$3="Toutes",SUMIFS('Étape 1 - à remplir'!$F$31:$F$400,'Étape 1 - à remplir'!$E$31:$E$400,MASQ2!BV492,'Étape 1 - à remplir'!$G$31:$G$400,"lots"),SUMIFS('Étape 1 - à remplir'!$F$31:$F$400,'Étape 1 - à remplir'!$E$31:$E$400,MASQ2!BV492,'Étape 1 - à remplir'!$C$31:$C$400,CE$3)),IF(CE$2="Âge",IF(CE$3="Tous",SUMIFS('Étape 1 - à remplir'!$F$31:$F$400,'Étape 1 - à remplir'!$E$31:$E$400,MASQ2!BV492,'Étape 1 - à remplir'!$G$31:$G$400,"lots"),SUMIFS('Étape 1 - à remplir'!$F$31:$F$400,'Étape 1 - à remplir'!$E$31:$E$400,MASQ2!BV492,'Étape 1 - à remplir'!$P$31:$P$400,CE$3,'Étape 1 - à remplir'!$G$31:$G$400,"lots")),IF(CE$2="Atelier",IF(CE$3="Tous",SUMIFS('Étape 1 - à remplir'!$F$31:$F$400,'Étape 1 - à remplir'!$E$31:$E$400,MASQ2!BV492,'Étape 1 - à remplir'!$G$31:$G$400,"lots"),SUMIFS('Étape 1 - à remplir'!$F$31:$F$400,'Étape 1 - à remplir'!$E$31:$E$400,MASQ2!BV492,'Étape 1 - à remplir'!$O$31:$O$400,CE$3,'Étape 1 - à remplir'!$G$31:$G$400,"lots")),IF(CE$2="Espèce",IF(CE$3="Toutes",SUMIFS('Étape 1 - à remplir'!$F$31:$F$400,'Étape 1 - à remplir'!$E$31:$E$400,MASQ2!BV492,'Étape 1 - à remplir'!$G$31:$G$400,"lots"),SUMIFS('Étape 1 - à remplir'!$F$31:$F$400,'Étape 1 - à remplir'!$E$31:$E$400,MASQ2!BV492,'Étape 1 - à remplir'!$N$31:$N$400,CE$3,'Étape 1 - à remplir'!$G$31:$G$400,"lots"))))))=0,NA(),IF(CE$2="Catégorie",IF(CE$3="Toutes",SUMIFS('Étape 1 - à remplir'!$F$31:$F$400,'Étape 1 - à remplir'!$E$31:$E$400,MASQ2!BV492,'Étape 1 - à remplir'!$G$31:$G$400,"lots"),SUMIFS('Étape 1 - à remplir'!$F$31:$F$400,'Étape 1 - à remplir'!$E$31:$E$400,MASQ2!BV492,'Étape 1 - à remplir'!$C$31:$C$400,CE$3)),IF(CE$2="Âge",IF(CE$3="Tous",SUMIFS('Étape 1 - à remplir'!$F$31:$F$400,'Étape 1 - à remplir'!$E$31:$E$400,MASQ2!BV492,'Étape 1 - à remplir'!$G$31:$G$400,"lots"),SUMIFS('Étape 1 - à remplir'!$F$31:$F$400,'Étape 1 - à remplir'!$E$31:$E$400,MASQ2!BV492,'Étape 1 - à remplir'!$P$31:$P$400,CE$3,'Étape 1 - à remplir'!$G$31:$G$400,"lots")),IF(CE$2="Atelier",IF(CE$3="Tous",SUMIFS('Étape 1 - à remplir'!$F$31:$F$400,'Étape 1 - à remplir'!$E$31:$E$400,MASQ2!BV492,'Étape 1 - à remplir'!$G$31:$G$400,"lots"),SUMIFS('Étape 1 - à remplir'!$F$31:$F$400,'Étape 1 - à remplir'!$E$31:$E$400,MASQ2!BV492,'Étape 1 - à remplir'!$O$31:$O$400,CE$3,'Étape 1 - à remplir'!$G$31:$G$400,"lots")),IF(CE$2="Espèce",IF(CE$3="Toutes",SUMIFS('Étape 1 - à remplir'!$F$31:$F$400,'Étape 1 - à remplir'!$E$31:$E$400,MASQ2!BV492,'Étape 1 - à remplir'!$G$31:$G$400,"lots"),SUMIFS('Étape 1 - à remplir'!$F$31:$F$400,'Étape 1 - à remplir'!$E$31:$E$400,MASQ2!BV492,'Étape 1 - à remplir'!$N$31:$N$400,CE$3,'Étape 1 - à remplir'!$G$31:$G$400,"lots")))))))</f>
        <v>#N/A</v>
      </c>
      <c r="BX492">
        <f t="shared" si="308"/>
        <v>0</v>
      </c>
      <c r="BY492" t="str">
        <f t="shared" si="292"/>
        <v>Oxytétracycline</v>
      </c>
      <c r="BZ492" t="str">
        <f t="shared" si="293"/>
        <v/>
      </c>
      <c r="CA492" t="str">
        <f t="shared" si="294"/>
        <v/>
      </c>
      <c r="CB492" t="str">
        <f t="shared" si="295"/>
        <v>Tetracyclines</v>
      </c>
      <c r="CC492" t="str">
        <f t="shared" si="296"/>
        <v/>
      </c>
      <c r="CD492" s="63" t="str">
        <f t="shared" si="297"/>
        <v/>
      </c>
      <c r="CG492" s="42">
        <v>489</v>
      </c>
      <c r="CH492" s="42" t="e">
        <f t="shared" si="313"/>
        <v>#N/A</v>
      </c>
      <c r="CI492" s="63" t="e">
        <f t="shared" si="314"/>
        <v>#N/A</v>
      </c>
      <c r="DM492" s="63"/>
      <c r="EA492" s="194" t="str">
        <f t="shared" ca="1" si="298"/>
        <v/>
      </c>
      <c r="EB492" s="226" t="str">
        <f>IFERROR(IF(ED492=0,"",COUNTIF(ED$4:ED$600,"&gt;"&amp;ED492)+COUNTIF(ED$4:ED492,ED492)),"")</f>
        <v/>
      </c>
      <c r="EC492" t="str">
        <f t="shared" si="299"/>
        <v>TETRAVETO</v>
      </c>
      <c r="ED492" t="e">
        <f>IF(IF(EL$2="Catégorie",IF(EL$3="Toutes",SUMIFS('Étape 1 - à remplir'!$F$31:$F$400,'Étape 1 - à remplir'!$E$31:$E$400,MASQ2!EC492,'Étape 1 - à remplir'!$G$31:$G$400,"kg"),SUMIFS('Étape 1 - à remplir'!$F$31:$F$400,'Étape 1 - à remplir'!$E$31:$E$400,MASQ2!EC492,'Étape 1 - à remplir'!$C$31:$C$400,EL$3)),IF(EL$2="Âge",IF(EL$3="Tous",SUMIFS('Étape 1 - à remplir'!$F$31:$F$400,'Étape 1 - à remplir'!$E$31:$E$400,MASQ2!EC492,'Étape 1 - à remplir'!$G$31:$G$400,"kg"),SUMIFS('Étape 1 - à remplir'!$F$31:$F$400,'Étape 1 - à remplir'!$E$31:$E$400,MASQ2!EC492,'Étape 1 - à remplir'!$P$31:$P$400,EL$3,'Étape 1 - à remplir'!$G$31:$G$400,"kg")),IF(EL$2="Atelier",IF(EL$3="Tous",SUMIFS('Étape 1 - à remplir'!$F$31:$F$400,'Étape 1 - à remplir'!$E$31:$E$400,MASQ2!EC492,'Étape 1 - à remplir'!$G$31:$G$400,"kg"),SUMIFS('Étape 1 - à remplir'!$F$31:$F$400,'Étape 1 - à remplir'!$E$31:$E$400,MASQ2!EC492,'Étape 1 - à remplir'!$O$31:$O$400,EL$3,'Étape 1 - à remplir'!$G$31:$G$400,"kg")),IF(EL$2="Espèce",IF(EL$3="Toutes",SUMIFS('Étape 1 - à remplir'!$F$31:$F$400,'Étape 1 - à remplir'!$E$31:$E$400,MASQ2!EC492,'Étape 1 - à remplir'!$G$31:$G$400,"kg"),SUMIFS('Étape 1 - à remplir'!$F$31:$F$400,'Étape 1 - à remplir'!$E$31:$E$400,MASQ2!EC492,'Étape 1 - à remplir'!$N$31:$N$400,EL$3,'Étape 1 - à remplir'!$G$31:$G$400,"kg"))))))=0,NA(),IF(EL$2="Catégorie",IF(EL$3="Toutes",SUMIFS('Étape 1 - à remplir'!$F$31:$F$400,'Étape 1 - à remplir'!$E$31:$E$400,MASQ2!EC492,'Étape 1 - à remplir'!$G$31:$G$400,"kg"),SUMIFS('Étape 1 - à remplir'!$F$31:$F$400,'Étape 1 - à remplir'!$E$31:$E$400,MASQ2!EC492,'Étape 1 - à remplir'!$C$31:$C$400,EL$3)),IF(EL$2="Âge",IF(EL$3="Tous",SUMIFS('Étape 1 - à remplir'!$F$31:$F$400,'Étape 1 - à remplir'!$E$31:$E$400,MASQ2!EC492,'Étape 1 - à remplir'!$G$31:$G$400,"kg"),SUMIFS('Étape 1 - à remplir'!$F$31:$F$400,'Étape 1 - à remplir'!$E$31:$E$400,MASQ2!EC492,'Étape 1 - à remplir'!$P$31:$P$400,EL$3,'Étape 1 - à remplir'!$G$31:$G$400,"kg")),IF(EL$2="Atelier",IF(EL$3="Tous",SUMIFS('Étape 1 - à remplir'!$F$31:$F$400,'Étape 1 - à remplir'!$E$31:$E$400,MASQ2!EC492,'Étape 1 - à remplir'!$G$31:$G$400,"kg"),SUMIFS('Étape 1 - à remplir'!$F$31:$F$400,'Étape 1 - à remplir'!$E$31:$E$400,MASQ2!EC492,'Étape 1 - à remplir'!$O$31:$O$400,EL$3,'Étape 1 - à remplir'!$G$31:$G$400,"kg")),IF(EL$2="Espèce",IF(EL$3="Toutes",SUMIFS('Étape 1 - à remplir'!$F$31:$F$400,'Étape 1 - à remplir'!$E$31:$E$400,MASQ2!EC492,'Étape 1 - à remplir'!$G$31:$G$400,"kg"),SUMIFS('Étape 1 - à remplir'!$F$31:$F$400,'Étape 1 - à remplir'!$E$31:$E$400,MASQ2!EC492,'Étape 1 - à remplir'!$N$31:$N$400,EL$3,'Étape 1 - à remplir'!$G$31:$G$400,"kg")))))))</f>
        <v>#N/A</v>
      </c>
      <c r="EE492" s="76">
        <f t="shared" si="309"/>
        <v>0</v>
      </c>
      <c r="EF492" t="str">
        <f t="shared" si="300"/>
        <v>Oxytétracycline</v>
      </c>
      <c r="EG492" t="str">
        <f t="shared" si="301"/>
        <v/>
      </c>
      <c r="EH492" t="str">
        <f t="shared" si="302"/>
        <v/>
      </c>
      <c r="EI492" t="str">
        <f t="shared" si="303"/>
        <v>Tetracyclines</v>
      </c>
      <c r="EJ492" t="str">
        <f t="shared" si="304"/>
        <v/>
      </c>
      <c r="EK492" s="63" t="str">
        <f t="shared" si="305"/>
        <v/>
      </c>
      <c r="EN492" s="42">
        <v>489</v>
      </c>
      <c r="EO492" t="e">
        <f t="shared" si="311"/>
        <v>#N/A</v>
      </c>
      <c r="EP492" s="63" t="e">
        <f t="shared" si="312"/>
        <v>#N/A</v>
      </c>
      <c r="FT492" s="63"/>
    </row>
    <row r="493" spans="2:176" x14ac:dyDescent="0.3">
      <c r="B493" s="42"/>
      <c r="M493" s="194" t="str">
        <f ca="1">INDEX(Données_ATB!BD:BU,MATCH(MASQ2!O493,Données_ATB!BD:BD,0),18)</f>
        <v/>
      </c>
      <c r="N493" s="14" t="str">
        <f>IFERROR(IF(Q493=0,"",COUNTIF(Q$4:Q$600,"&gt;"&amp;Q493)+COUNTIF(Q$4:Q493,Q493)),"")</f>
        <v/>
      </c>
      <c r="O493" t="str">
        <f>Données_ATB!BD492</f>
        <v>TETROXY VET 200 MG/ML SOLUTION INJECTABLE POUR BOVINS OVINS ET PORCINS</v>
      </c>
      <c r="P493" t="e">
        <f>IF(IF(X$2="Catégorie",IF(X$3="Toutes",SUMIFS('Étape 1 - à remplir'!$F$31:$F$400,'Étape 1 - à remplir'!$E$31:$E$400,MASQ2!O493,'Étape 1 - à remplir'!$G$31:$G$400,"animaux"),SUMIFS('Étape 1 - à remplir'!$F$31:$F$400,'Étape 1 - à remplir'!$E$31:$E$400,MASQ2!O493,'Étape 1 - à remplir'!$C$31:$C$400,X$3)),IF(X$2="Âge",IF(X$3="Tous",SUMIFS('Étape 1 - à remplir'!$F$31:$F$400,'Étape 1 - à remplir'!$E$31:$E$400,MASQ2!O493,'Étape 1 - à remplir'!$G$31:$G$400,"animaux"),SUMIFS('Étape 1 - à remplir'!$F$31:$F$400,'Étape 1 - à remplir'!$E$31:$E$400,MASQ2!O493,'Étape 1 - à remplir'!$P$31:$P$400,X$3)),IF(X$2="Atelier",IF(X$3="Tous",SUMIFS('Étape 1 - à remplir'!$F$31:$F$400,'Étape 1 - à remplir'!$E$31:$E$400,MASQ2!O493,'Étape 1 - à remplir'!$G$31:$G$400,"animaux"),SUMIFS('Étape 1 - à remplir'!$F$31:$F$400,'Étape 1 - à remplir'!$E$31:$E$400,MASQ2!O493,'Étape 1 - à remplir'!$O$31:$O$400,X$3)),IF(X$2="Espèce",IF(X$3="Toutes",SUMIFS('Étape 1 - à remplir'!$F$31:$F$400,'Étape 1 - à remplir'!$E$31:$E$400,MASQ2!O493,'Étape 1 - à remplir'!$G$31:$G$400,"animaux"),SUMIFS('Étape 1 - à remplir'!$F$31:$F$400,'Étape 1 - à remplir'!$E$31:$E$400,MASQ2!O493,'Étape 1 - à remplir'!$N$31:$N$400,X$3))))))=0,NA(),IF(X$2="Catégorie",IF(X$3="Toutes",SUMIFS('Étape 1 - à remplir'!$F$31:$F$400,'Étape 1 - à remplir'!$E$31:$E$400,MASQ2!O493,'Étape 1 - à remplir'!$G$31:$G$400,"animaux"),SUMIFS('Étape 1 - à remplir'!$F$31:$F$400,'Étape 1 - à remplir'!$E$31:$E$400,MASQ2!O493,'Étape 1 - à remplir'!$C$31:$C$400,X$3)),IF(X$2="Âge",IF(X$3="Tous",SUMIFS('Étape 1 - à remplir'!$F$31:$F$400,'Étape 1 - à remplir'!$E$31:$E$400,MASQ2!O493,'Étape 1 - à remplir'!$G$31:$G$400,"animaux"),SUMIFS('Étape 1 - à remplir'!$F$31:$F$400,'Étape 1 - à remplir'!$E$31:$E$400,MASQ2!O493,'Étape 1 - à remplir'!$P$31:$P$400,X$3)),IF(X$2="Atelier",IF(X$3="Tous",SUMIFS('Étape 1 - à remplir'!$F$31:$F$400,'Étape 1 - à remplir'!$E$31:$E$400,MASQ2!O493,'Étape 1 - à remplir'!$G$31:$G$400,"animaux"),SUMIFS('Étape 1 - à remplir'!$F$31:$F$400,'Étape 1 - à remplir'!$E$31:$E$400,MASQ2!O493,'Étape 1 - à remplir'!$O$31:$O$400,X$3)),IF(X$2="Espèce",IF(X$3="Toutes",SUMIFS('Étape 1 - à remplir'!$F$31:$F$400,'Étape 1 - à remplir'!$E$31:$E$400,MASQ2!O493,'Étape 1 - à remplir'!$G$31:$G$400,"animaux"),SUMIFS('Étape 1 - à remplir'!$F$31:$F$400,'Étape 1 - à remplir'!$E$31:$E$400,MASQ2!O493,'Étape 1 - à remplir'!$N$31:$N$400,X$3)))))))</f>
        <v>#N/A</v>
      </c>
      <c r="Q493" s="63">
        <f t="shared" si="310"/>
        <v>0</v>
      </c>
      <c r="R493" t="str">
        <f>Données_ATB!BM492</f>
        <v>Oxytétracycline</v>
      </c>
      <c r="S493" t="str">
        <f>Données_ATB!BN492</f>
        <v/>
      </c>
      <c r="T493" s="63" t="str">
        <f>Données_ATB!BO492</f>
        <v/>
      </c>
      <c r="U493" s="42" t="str">
        <f>Données_ATB!BQ492</f>
        <v>Tetracyclines</v>
      </c>
      <c r="V493" t="str">
        <f>Données_ATB!BR492</f>
        <v/>
      </c>
      <c r="W493" s="63" t="str">
        <f>Données_ATB!BS492</f>
        <v/>
      </c>
      <c r="Z493" s="42">
        <v>490</v>
      </c>
      <c r="AA493" t="e">
        <f t="shared" si="306"/>
        <v>#N/A</v>
      </c>
      <c r="AB493" s="63" t="e">
        <f t="shared" si="307"/>
        <v>#N/A</v>
      </c>
      <c r="BF493" s="63"/>
      <c r="BT493" s="194" t="str">
        <f t="shared" ca="1" si="290"/>
        <v/>
      </c>
      <c r="BU493" s="219" t="str">
        <f>IFERROR(IF(BX493=0,"",COUNTIF(BX$4:BX$600,"&gt;"&amp;BX493)+COUNTIF(BX$4:BX493,BX493)),"")</f>
        <v/>
      </c>
      <c r="BV493" s="42" t="str">
        <f t="shared" si="291"/>
        <v>TETROXY VET 200 MG/ML SOLUTION INJECTABLE POUR BOVINS OVINS ET PORCINS</v>
      </c>
      <c r="BW493" t="e">
        <f>IF(IF(CE$2="Catégorie",IF(CE$3="Toutes",SUMIFS('Étape 1 - à remplir'!$F$31:$F$400,'Étape 1 - à remplir'!$E$31:$E$400,MASQ2!BV493,'Étape 1 - à remplir'!$G$31:$G$400,"lots"),SUMIFS('Étape 1 - à remplir'!$F$31:$F$400,'Étape 1 - à remplir'!$E$31:$E$400,MASQ2!BV493,'Étape 1 - à remplir'!$C$31:$C$400,CE$3)),IF(CE$2="Âge",IF(CE$3="Tous",SUMIFS('Étape 1 - à remplir'!$F$31:$F$400,'Étape 1 - à remplir'!$E$31:$E$400,MASQ2!BV493,'Étape 1 - à remplir'!$G$31:$G$400,"lots"),SUMIFS('Étape 1 - à remplir'!$F$31:$F$400,'Étape 1 - à remplir'!$E$31:$E$400,MASQ2!BV493,'Étape 1 - à remplir'!$P$31:$P$400,CE$3,'Étape 1 - à remplir'!$G$31:$G$400,"lots")),IF(CE$2="Atelier",IF(CE$3="Tous",SUMIFS('Étape 1 - à remplir'!$F$31:$F$400,'Étape 1 - à remplir'!$E$31:$E$400,MASQ2!BV493,'Étape 1 - à remplir'!$G$31:$G$400,"lots"),SUMIFS('Étape 1 - à remplir'!$F$31:$F$400,'Étape 1 - à remplir'!$E$31:$E$400,MASQ2!BV493,'Étape 1 - à remplir'!$O$31:$O$400,CE$3,'Étape 1 - à remplir'!$G$31:$G$400,"lots")),IF(CE$2="Espèce",IF(CE$3="Toutes",SUMIFS('Étape 1 - à remplir'!$F$31:$F$400,'Étape 1 - à remplir'!$E$31:$E$400,MASQ2!BV493,'Étape 1 - à remplir'!$G$31:$G$400,"lots"),SUMIFS('Étape 1 - à remplir'!$F$31:$F$400,'Étape 1 - à remplir'!$E$31:$E$400,MASQ2!BV493,'Étape 1 - à remplir'!$N$31:$N$400,CE$3,'Étape 1 - à remplir'!$G$31:$G$400,"lots"))))))=0,NA(),IF(CE$2="Catégorie",IF(CE$3="Toutes",SUMIFS('Étape 1 - à remplir'!$F$31:$F$400,'Étape 1 - à remplir'!$E$31:$E$400,MASQ2!BV493,'Étape 1 - à remplir'!$G$31:$G$400,"lots"),SUMIFS('Étape 1 - à remplir'!$F$31:$F$400,'Étape 1 - à remplir'!$E$31:$E$400,MASQ2!BV493,'Étape 1 - à remplir'!$C$31:$C$400,CE$3)),IF(CE$2="Âge",IF(CE$3="Tous",SUMIFS('Étape 1 - à remplir'!$F$31:$F$400,'Étape 1 - à remplir'!$E$31:$E$400,MASQ2!BV493,'Étape 1 - à remplir'!$G$31:$G$400,"lots"),SUMIFS('Étape 1 - à remplir'!$F$31:$F$400,'Étape 1 - à remplir'!$E$31:$E$400,MASQ2!BV493,'Étape 1 - à remplir'!$P$31:$P$400,CE$3,'Étape 1 - à remplir'!$G$31:$G$400,"lots")),IF(CE$2="Atelier",IF(CE$3="Tous",SUMIFS('Étape 1 - à remplir'!$F$31:$F$400,'Étape 1 - à remplir'!$E$31:$E$400,MASQ2!BV493,'Étape 1 - à remplir'!$G$31:$G$400,"lots"),SUMIFS('Étape 1 - à remplir'!$F$31:$F$400,'Étape 1 - à remplir'!$E$31:$E$400,MASQ2!BV493,'Étape 1 - à remplir'!$O$31:$O$400,CE$3,'Étape 1 - à remplir'!$G$31:$G$400,"lots")),IF(CE$2="Espèce",IF(CE$3="Toutes",SUMIFS('Étape 1 - à remplir'!$F$31:$F$400,'Étape 1 - à remplir'!$E$31:$E$400,MASQ2!BV493,'Étape 1 - à remplir'!$G$31:$G$400,"lots"),SUMIFS('Étape 1 - à remplir'!$F$31:$F$400,'Étape 1 - à remplir'!$E$31:$E$400,MASQ2!BV493,'Étape 1 - à remplir'!$N$31:$N$400,CE$3,'Étape 1 - à remplir'!$G$31:$G$400,"lots")))))))</f>
        <v>#N/A</v>
      </c>
      <c r="BX493">
        <f t="shared" si="308"/>
        <v>0</v>
      </c>
      <c r="BY493" t="str">
        <f t="shared" si="292"/>
        <v>Oxytétracycline</v>
      </c>
      <c r="BZ493" t="str">
        <f t="shared" si="293"/>
        <v/>
      </c>
      <c r="CA493" t="str">
        <f t="shared" si="294"/>
        <v/>
      </c>
      <c r="CB493" t="str">
        <f t="shared" si="295"/>
        <v>Tetracyclines</v>
      </c>
      <c r="CC493" t="str">
        <f t="shared" si="296"/>
        <v/>
      </c>
      <c r="CD493" s="63" t="str">
        <f t="shared" si="297"/>
        <v/>
      </c>
      <c r="CG493" s="42">
        <v>490</v>
      </c>
      <c r="CH493" s="42" t="e">
        <f t="shared" si="313"/>
        <v>#N/A</v>
      </c>
      <c r="CI493" s="63" t="e">
        <f t="shared" si="314"/>
        <v>#N/A</v>
      </c>
      <c r="DM493" s="63"/>
      <c r="EA493" s="194" t="str">
        <f t="shared" ca="1" si="298"/>
        <v/>
      </c>
      <c r="EB493" s="226" t="str">
        <f>IFERROR(IF(ED493=0,"",COUNTIF(ED$4:ED$600,"&gt;"&amp;ED493)+COUNTIF(ED$4:ED493,ED493)),"")</f>
        <v/>
      </c>
      <c r="EC493" t="str">
        <f t="shared" si="299"/>
        <v>TETROXY VET 200 MG/ML SOLUTION INJECTABLE POUR BOVINS OVINS ET PORCINS</v>
      </c>
      <c r="ED493" t="e">
        <f>IF(IF(EL$2="Catégorie",IF(EL$3="Toutes",SUMIFS('Étape 1 - à remplir'!$F$31:$F$400,'Étape 1 - à remplir'!$E$31:$E$400,MASQ2!EC493,'Étape 1 - à remplir'!$G$31:$G$400,"kg"),SUMIFS('Étape 1 - à remplir'!$F$31:$F$400,'Étape 1 - à remplir'!$E$31:$E$400,MASQ2!EC493,'Étape 1 - à remplir'!$C$31:$C$400,EL$3)),IF(EL$2="Âge",IF(EL$3="Tous",SUMIFS('Étape 1 - à remplir'!$F$31:$F$400,'Étape 1 - à remplir'!$E$31:$E$400,MASQ2!EC493,'Étape 1 - à remplir'!$G$31:$G$400,"kg"),SUMIFS('Étape 1 - à remplir'!$F$31:$F$400,'Étape 1 - à remplir'!$E$31:$E$400,MASQ2!EC493,'Étape 1 - à remplir'!$P$31:$P$400,EL$3,'Étape 1 - à remplir'!$G$31:$G$400,"kg")),IF(EL$2="Atelier",IF(EL$3="Tous",SUMIFS('Étape 1 - à remplir'!$F$31:$F$400,'Étape 1 - à remplir'!$E$31:$E$400,MASQ2!EC493,'Étape 1 - à remplir'!$G$31:$G$400,"kg"),SUMIFS('Étape 1 - à remplir'!$F$31:$F$400,'Étape 1 - à remplir'!$E$31:$E$400,MASQ2!EC493,'Étape 1 - à remplir'!$O$31:$O$400,EL$3,'Étape 1 - à remplir'!$G$31:$G$400,"kg")),IF(EL$2="Espèce",IF(EL$3="Toutes",SUMIFS('Étape 1 - à remplir'!$F$31:$F$400,'Étape 1 - à remplir'!$E$31:$E$400,MASQ2!EC493,'Étape 1 - à remplir'!$G$31:$G$400,"kg"),SUMIFS('Étape 1 - à remplir'!$F$31:$F$400,'Étape 1 - à remplir'!$E$31:$E$400,MASQ2!EC493,'Étape 1 - à remplir'!$N$31:$N$400,EL$3,'Étape 1 - à remplir'!$G$31:$G$400,"kg"))))))=0,NA(),IF(EL$2="Catégorie",IF(EL$3="Toutes",SUMIFS('Étape 1 - à remplir'!$F$31:$F$400,'Étape 1 - à remplir'!$E$31:$E$400,MASQ2!EC493,'Étape 1 - à remplir'!$G$31:$G$400,"kg"),SUMIFS('Étape 1 - à remplir'!$F$31:$F$400,'Étape 1 - à remplir'!$E$31:$E$400,MASQ2!EC493,'Étape 1 - à remplir'!$C$31:$C$400,EL$3)),IF(EL$2="Âge",IF(EL$3="Tous",SUMIFS('Étape 1 - à remplir'!$F$31:$F$400,'Étape 1 - à remplir'!$E$31:$E$400,MASQ2!EC493,'Étape 1 - à remplir'!$G$31:$G$400,"kg"),SUMIFS('Étape 1 - à remplir'!$F$31:$F$400,'Étape 1 - à remplir'!$E$31:$E$400,MASQ2!EC493,'Étape 1 - à remplir'!$P$31:$P$400,EL$3,'Étape 1 - à remplir'!$G$31:$G$400,"kg")),IF(EL$2="Atelier",IF(EL$3="Tous",SUMIFS('Étape 1 - à remplir'!$F$31:$F$400,'Étape 1 - à remplir'!$E$31:$E$400,MASQ2!EC493,'Étape 1 - à remplir'!$G$31:$G$400,"kg"),SUMIFS('Étape 1 - à remplir'!$F$31:$F$400,'Étape 1 - à remplir'!$E$31:$E$400,MASQ2!EC493,'Étape 1 - à remplir'!$O$31:$O$400,EL$3,'Étape 1 - à remplir'!$G$31:$G$400,"kg")),IF(EL$2="Espèce",IF(EL$3="Toutes",SUMIFS('Étape 1 - à remplir'!$F$31:$F$400,'Étape 1 - à remplir'!$E$31:$E$400,MASQ2!EC493,'Étape 1 - à remplir'!$G$31:$G$400,"kg"),SUMIFS('Étape 1 - à remplir'!$F$31:$F$400,'Étape 1 - à remplir'!$E$31:$E$400,MASQ2!EC493,'Étape 1 - à remplir'!$N$31:$N$400,EL$3,'Étape 1 - à remplir'!$G$31:$G$400,"kg")))))))</f>
        <v>#N/A</v>
      </c>
      <c r="EE493" s="76">
        <f t="shared" si="309"/>
        <v>0</v>
      </c>
      <c r="EF493" t="str">
        <f t="shared" si="300"/>
        <v>Oxytétracycline</v>
      </c>
      <c r="EG493" t="str">
        <f t="shared" si="301"/>
        <v/>
      </c>
      <c r="EH493" t="str">
        <f t="shared" si="302"/>
        <v/>
      </c>
      <c r="EI493" t="str">
        <f t="shared" si="303"/>
        <v>Tetracyclines</v>
      </c>
      <c r="EJ493" t="str">
        <f t="shared" si="304"/>
        <v/>
      </c>
      <c r="EK493" s="63" t="str">
        <f t="shared" si="305"/>
        <v/>
      </c>
      <c r="EN493" s="42">
        <v>490</v>
      </c>
      <c r="EO493" t="e">
        <f t="shared" si="311"/>
        <v>#N/A</v>
      </c>
      <c r="EP493" s="63" t="e">
        <f t="shared" si="312"/>
        <v>#N/A</v>
      </c>
      <c r="FT493" s="63"/>
    </row>
    <row r="494" spans="2:176" x14ac:dyDescent="0.3">
      <c r="B494" s="42"/>
      <c r="M494" s="194" t="str">
        <f ca="1">INDEX(Données_ATB!BD:BU,MATCH(MASQ2!O494,Données_ATB!BD:BD,0),18)</f>
        <v/>
      </c>
      <c r="N494" s="14" t="str">
        <f>IFERROR(IF(Q494=0,"",COUNTIF(Q$4:Q$600,"&gt;"&amp;Q494)+COUNTIF(Q$4:Q494,Q494)),"")</f>
        <v/>
      </c>
      <c r="O494" t="str">
        <f>Données_ATB!BD493</f>
        <v>TIALIN 101,2 MG/ML SOLUTION POUR ADMINISTRATION DANS L'EAU DE BOISSON DES PORCINS, DES POULETS ET DES DINDES</v>
      </c>
      <c r="P494" t="e">
        <f>IF(IF(X$2="Catégorie",IF(X$3="Toutes",SUMIFS('Étape 1 - à remplir'!$F$31:$F$400,'Étape 1 - à remplir'!$E$31:$E$400,MASQ2!O494,'Étape 1 - à remplir'!$G$31:$G$400,"animaux"),SUMIFS('Étape 1 - à remplir'!$F$31:$F$400,'Étape 1 - à remplir'!$E$31:$E$400,MASQ2!O494,'Étape 1 - à remplir'!$C$31:$C$400,X$3)),IF(X$2="Âge",IF(X$3="Tous",SUMIFS('Étape 1 - à remplir'!$F$31:$F$400,'Étape 1 - à remplir'!$E$31:$E$400,MASQ2!O494,'Étape 1 - à remplir'!$G$31:$G$400,"animaux"),SUMIFS('Étape 1 - à remplir'!$F$31:$F$400,'Étape 1 - à remplir'!$E$31:$E$400,MASQ2!O494,'Étape 1 - à remplir'!$P$31:$P$400,X$3)),IF(X$2="Atelier",IF(X$3="Tous",SUMIFS('Étape 1 - à remplir'!$F$31:$F$400,'Étape 1 - à remplir'!$E$31:$E$400,MASQ2!O494,'Étape 1 - à remplir'!$G$31:$G$400,"animaux"),SUMIFS('Étape 1 - à remplir'!$F$31:$F$400,'Étape 1 - à remplir'!$E$31:$E$400,MASQ2!O494,'Étape 1 - à remplir'!$O$31:$O$400,X$3)),IF(X$2="Espèce",IF(X$3="Toutes",SUMIFS('Étape 1 - à remplir'!$F$31:$F$400,'Étape 1 - à remplir'!$E$31:$E$400,MASQ2!O494,'Étape 1 - à remplir'!$G$31:$G$400,"animaux"),SUMIFS('Étape 1 - à remplir'!$F$31:$F$400,'Étape 1 - à remplir'!$E$31:$E$400,MASQ2!O494,'Étape 1 - à remplir'!$N$31:$N$400,X$3))))))=0,NA(),IF(X$2="Catégorie",IF(X$3="Toutes",SUMIFS('Étape 1 - à remplir'!$F$31:$F$400,'Étape 1 - à remplir'!$E$31:$E$400,MASQ2!O494,'Étape 1 - à remplir'!$G$31:$G$400,"animaux"),SUMIFS('Étape 1 - à remplir'!$F$31:$F$400,'Étape 1 - à remplir'!$E$31:$E$400,MASQ2!O494,'Étape 1 - à remplir'!$C$31:$C$400,X$3)),IF(X$2="Âge",IF(X$3="Tous",SUMIFS('Étape 1 - à remplir'!$F$31:$F$400,'Étape 1 - à remplir'!$E$31:$E$400,MASQ2!O494,'Étape 1 - à remplir'!$G$31:$G$400,"animaux"),SUMIFS('Étape 1 - à remplir'!$F$31:$F$400,'Étape 1 - à remplir'!$E$31:$E$400,MASQ2!O494,'Étape 1 - à remplir'!$P$31:$P$400,X$3)),IF(X$2="Atelier",IF(X$3="Tous",SUMIFS('Étape 1 - à remplir'!$F$31:$F$400,'Étape 1 - à remplir'!$E$31:$E$400,MASQ2!O494,'Étape 1 - à remplir'!$G$31:$G$400,"animaux"),SUMIFS('Étape 1 - à remplir'!$F$31:$F$400,'Étape 1 - à remplir'!$E$31:$E$400,MASQ2!O494,'Étape 1 - à remplir'!$O$31:$O$400,X$3)),IF(X$2="Espèce",IF(X$3="Toutes",SUMIFS('Étape 1 - à remplir'!$F$31:$F$400,'Étape 1 - à remplir'!$E$31:$E$400,MASQ2!O494,'Étape 1 - à remplir'!$G$31:$G$400,"animaux"),SUMIFS('Étape 1 - à remplir'!$F$31:$F$400,'Étape 1 - à remplir'!$E$31:$E$400,MASQ2!O494,'Étape 1 - à remplir'!$N$31:$N$400,X$3)))))))</f>
        <v>#N/A</v>
      </c>
      <c r="Q494" s="63">
        <f t="shared" si="310"/>
        <v>0</v>
      </c>
      <c r="R494" t="str">
        <f>Données_ATB!BM493</f>
        <v>Tiamuline</v>
      </c>
      <c r="S494" t="str">
        <f>Données_ATB!BN493</f>
        <v/>
      </c>
      <c r="T494" s="63" t="str">
        <f>Données_ATB!BO493</f>
        <v/>
      </c>
      <c r="U494" s="42" t="str">
        <f>Données_ATB!BQ493</f>
        <v>Pleuromutilines</v>
      </c>
      <c r="V494" t="str">
        <f>Données_ATB!BR493</f>
        <v/>
      </c>
      <c r="W494" s="63" t="str">
        <f>Données_ATB!BS493</f>
        <v/>
      </c>
      <c r="Z494" s="42">
        <v>491</v>
      </c>
      <c r="AA494" t="e">
        <f t="shared" si="306"/>
        <v>#N/A</v>
      </c>
      <c r="AB494" s="63" t="e">
        <f t="shared" si="307"/>
        <v>#N/A</v>
      </c>
      <c r="BF494" s="63"/>
      <c r="BT494" s="194" t="str">
        <f t="shared" ca="1" si="290"/>
        <v/>
      </c>
      <c r="BU494" s="219" t="str">
        <f>IFERROR(IF(BX494=0,"",COUNTIF(BX$4:BX$600,"&gt;"&amp;BX494)+COUNTIF(BX$4:BX494,BX494)),"")</f>
        <v/>
      </c>
      <c r="BV494" s="42" t="str">
        <f t="shared" si="291"/>
        <v>TIALIN 101,2 MG/ML SOLUTION POUR ADMINISTRATION DANS L'EAU DE BOISSON DES PORCINS, DES POULETS ET DES DINDES</v>
      </c>
      <c r="BW494" t="e">
        <f>IF(IF(CE$2="Catégorie",IF(CE$3="Toutes",SUMIFS('Étape 1 - à remplir'!$F$31:$F$400,'Étape 1 - à remplir'!$E$31:$E$400,MASQ2!BV494,'Étape 1 - à remplir'!$G$31:$G$400,"lots"),SUMIFS('Étape 1 - à remplir'!$F$31:$F$400,'Étape 1 - à remplir'!$E$31:$E$400,MASQ2!BV494,'Étape 1 - à remplir'!$C$31:$C$400,CE$3)),IF(CE$2="Âge",IF(CE$3="Tous",SUMIFS('Étape 1 - à remplir'!$F$31:$F$400,'Étape 1 - à remplir'!$E$31:$E$400,MASQ2!BV494,'Étape 1 - à remplir'!$G$31:$G$400,"lots"),SUMIFS('Étape 1 - à remplir'!$F$31:$F$400,'Étape 1 - à remplir'!$E$31:$E$400,MASQ2!BV494,'Étape 1 - à remplir'!$P$31:$P$400,CE$3,'Étape 1 - à remplir'!$G$31:$G$400,"lots")),IF(CE$2="Atelier",IF(CE$3="Tous",SUMIFS('Étape 1 - à remplir'!$F$31:$F$400,'Étape 1 - à remplir'!$E$31:$E$400,MASQ2!BV494,'Étape 1 - à remplir'!$G$31:$G$400,"lots"),SUMIFS('Étape 1 - à remplir'!$F$31:$F$400,'Étape 1 - à remplir'!$E$31:$E$400,MASQ2!BV494,'Étape 1 - à remplir'!$O$31:$O$400,CE$3,'Étape 1 - à remplir'!$G$31:$G$400,"lots")),IF(CE$2="Espèce",IF(CE$3="Toutes",SUMIFS('Étape 1 - à remplir'!$F$31:$F$400,'Étape 1 - à remplir'!$E$31:$E$400,MASQ2!BV494,'Étape 1 - à remplir'!$G$31:$G$400,"lots"),SUMIFS('Étape 1 - à remplir'!$F$31:$F$400,'Étape 1 - à remplir'!$E$31:$E$400,MASQ2!BV494,'Étape 1 - à remplir'!$N$31:$N$400,CE$3,'Étape 1 - à remplir'!$G$31:$G$400,"lots"))))))=0,NA(),IF(CE$2="Catégorie",IF(CE$3="Toutes",SUMIFS('Étape 1 - à remplir'!$F$31:$F$400,'Étape 1 - à remplir'!$E$31:$E$400,MASQ2!BV494,'Étape 1 - à remplir'!$G$31:$G$400,"lots"),SUMIFS('Étape 1 - à remplir'!$F$31:$F$400,'Étape 1 - à remplir'!$E$31:$E$400,MASQ2!BV494,'Étape 1 - à remplir'!$C$31:$C$400,CE$3)),IF(CE$2="Âge",IF(CE$3="Tous",SUMIFS('Étape 1 - à remplir'!$F$31:$F$400,'Étape 1 - à remplir'!$E$31:$E$400,MASQ2!BV494,'Étape 1 - à remplir'!$G$31:$G$400,"lots"),SUMIFS('Étape 1 - à remplir'!$F$31:$F$400,'Étape 1 - à remplir'!$E$31:$E$400,MASQ2!BV494,'Étape 1 - à remplir'!$P$31:$P$400,CE$3,'Étape 1 - à remplir'!$G$31:$G$400,"lots")),IF(CE$2="Atelier",IF(CE$3="Tous",SUMIFS('Étape 1 - à remplir'!$F$31:$F$400,'Étape 1 - à remplir'!$E$31:$E$400,MASQ2!BV494,'Étape 1 - à remplir'!$G$31:$G$400,"lots"),SUMIFS('Étape 1 - à remplir'!$F$31:$F$400,'Étape 1 - à remplir'!$E$31:$E$400,MASQ2!BV494,'Étape 1 - à remplir'!$O$31:$O$400,CE$3,'Étape 1 - à remplir'!$G$31:$G$400,"lots")),IF(CE$2="Espèce",IF(CE$3="Toutes",SUMIFS('Étape 1 - à remplir'!$F$31:$F$400,'Étape 1 - à remplir'!$E$31:$E$400,MASQ2!BV494,'Étape 1 - à remplir'!$G$31:$G$400,"lots"),SUMIFS('Étape 1 - à remplir'!$F$31:$F$400,'Étape 1 - à remplir'!$E$31:$E$400,MASQ2!BV494,'Étape 1 - à remplir'!$N$31:$N$400,CE$3,'Étape 1 - à remplir'!$G$31:$G$400,"lots")))))))</f>
        <v>#N/A</v>
      </c>
      <c r="BX494">
        <f t="shared" si="308"/>
        <v>0</v>
      </c>
      <c r="BY494" t="str">
        <f t="shared" si="292"/>
        <v>Tiamuline</v>
      </c>
      <c r="BZ494" t="str">
        <f t="shared" si="293"/>
        <v/>
      </c>
      <c r="CA494" t="str">
        <f t="shared" si="294"/>
        <v/>
      </c>
      <c r="CB494" t="str">
        <f t="shared" si="295"/>
        <v>Pleuromutilines</v>
      </c>
      <c r="CC494" t="str">
        <f t="shared" si="296"/>
        <v/>
      </c>
      <c r="CD494" s="63" t="str">
        <f t="shared" si="297"/>
        <v/>
      </c>
      <c r="CG494" s="42">
        <v>491</v>
      </c>
      <c r="CH494" s="42" t="e">
        <f t="shared" si="313"/>
        <v>#N/A</v>
      </c>
      <c r="CI494" s="63" t="e">
        <f t="shared" si="314"/>
        <v>#N/A</v>
      </c>
      <c r="DM494" s="63"/>
      <c r="EA494" s="194" t="str">
        <f t="shared" ca="1" si="298"/>
        <v/>
      </c>
      <c r="EB494" s="226" t="str">
        <f>IFERROR(IF(ED494=0,"",COUNTIF(ED$4:ED$600,"&gt;"&amp;ED494)+COUNTIF(ED$4:ED494,ED494)),"")</f>
        <v/>
      </c>
      <c r="EC494" t="str">
        <f t="shared" si="299"/>
        <v>TIALIN 101,2 MG/ML SOLUTION POUR ADMINISTRATION DANS L'EAU DE BOISSON DES PORCINS, DES POULETS ET DES DINDES</v>
      </c>
      <c r="ED494" t="e">
        <f>IF(IF(EL$2="Catégorie",IF(EL$3="Toutes",SUMIFS('Étape 1 - à remplir'!$F$31:$F$400,'Étape 1 - à remplir'!$E$31:$E$400,MASQ2!EC494,'Étape 1 - à remplir'!$G$31:$G$400,"kg"),SUMIFS('Étape 1 - à remplir'!$F$31:$F$400,'Étape 1 - à remplir'!$E$31:$E$400,MASQ2!EC494,'Étape 1 - à remplir'!$C$31:$C$400,EL$3)),IF(EL$2="Âge",IF(EL$3="Tous",SUMIFS('Étape 1 - à remplir'!$F$31:$F$400,'Étape 1 - à remplir'!$E$31:$E$400,MASQ2!EC494,'Étape 1 - à remplir'!$G$31:$G$400,"kg"),SUMIFS('Étape 1 - à remplir'!$F$31:$F$400,'Étape 1 - à remplir'!$E$31:$E$400,MASQ2!EC494,'Étape 1 - à remplir'!$P$31:$P$400,EL$3,'Étape 1 - à remplir'!$G$31:$G$400,"kg")),IF(EL$2="Atelier",IF(EL$3="Tous",SUMIFS('Étape 1 - à remplir'!$F$31:$F$400,'Étape 1 - à remplir'!$E$31:$E$400,MASQ2!EC494,'Étape 1 - à remplir'!$G$31:$G$400,"kg"),SUMIFS('Étape 1 - à remplir'!$F$31:$F$400,'Étape 1 - à remplir'!$E$31:$E$400,MASQ2!EC494,'Étape 1 - à remplir'!$O$31:$O$400,EL$3,'Étape 1 - à remplir'!$G$31:$G$400,"kg")),IF(EL$2="Espèce",IF(EL$3="Toutes",SUMIFS('Étape 1 - à remplir'!$F$31:$F$400,'Étape 1 - à remplir'!$E$31:$E$400,MASQ2!EC494,'Étape 1 - à remplir'!$G$31:$G$400,"kg"),SUMIFS('Étape 1 - à remplir'!$F$31:$F$400,'Étape 1 - à remplir'!$E$31:$E$400,MASQ2!EC494,'Étape 1 - à remplir'!$N$31:$N$400,EL$3,'Étape 1 - à remplir'!$G$31:$G$400,"kg"))))))=0,NA(),IF(EL$2="Catégorie",IF(EL$3="Toutes",SUMIFS('Étape 1 - à remplir'!$F$31:$F$400,'Étape 1 - à remplir'!$E$31:$E$400,MASQ2!EC494,'Étape 1 - à remplir'!$G$31:$G$400,"kg"),SUMIFS('Étape 1 - à remplir'!$F$31:$F$400,'Étape 1 - à remplir'!$E$31:$E$400,MASQ2!EC494,'Étape 1 - à remplir'!$C$31:$C$400,EL$3)),IF(EL$2="Âge",IF(EL$3="Tous",SUMIFS('Étape 1 - à remplir'!$F$31:$F$400,'Étape 1 - à remplir'!$E$31:$E$400,MASQ2!EC494,'Étape 1 - à remplir'!$G$31:$G$400,"kg"),SUMIFS('Étape 1 - à remplir'!$F$31:$F$400,'Étape 1 - à remplir'!$E$31:$E$400,MASQ2!EC494,'Étape 1 - à remplir'!$P$31:$P$400,EL$3,'Étape 1 - à remplir'!$G$31:$G$400,"kg")),IF(EL$2="Atelier",IF(EL$3="Tous",SUMIFS('Étape 1 - à remplir'!$F$31:$F$400,'Étape 1 - à remplir'!$E$31:$E$400,MASQ2!EC494,'Étape 1 - à remplir'!$G$31:$G$400,"kg"),SUMIFS('Étape 1 - à remplir'!$F$31:$F$400,'Étape 1 - à remplir'!$E$31:$E$400,MASQ2!EC494,'Étape 1 - à remplir'!$O$31:$O$400,EL$3,'Étape 1 - à remplir'!$G$31:$G$400,"kg")),IF(EL$2="Espèce",IF(EL$3="Toutes",SUMIFS('Étape 1 - à remplir'!$F$31:$F$400,'Étape 1 - à remplir'!$E$31:$E$400,MASQ2!EC494,'Étape 1 - à remplir'!$G$31:$G$400,"kg"),SUMIFS('Étape 1 - à remplir'!$F$31:$F$400,'Étape 1 - à remplir'!$E$31:$E$400,MASQ2!EC494,'Étape 1 - à remplir'!$N$31:$N$400,EL$3,'Étape 1 - à remplir'!$G$31:$G$400,"kg")))))))</f>
        <v>#N/A</v>
      </c>
      <c r="EE494" s="76">
        <f t="shared" si="309"/>
        <v>0</v>
      </c>
      <c r="EF494" t="str">
        <f t="shared" si="300"/>
        <v>Tiamuline</v>
      </c>
      <c r="EG494" t="str">
        <f t="shared" si="301"/>
        <v/>
      </c>
      <c r="EH494" t="str">
        <f t="shared" si="302"/>
        <v/>
      </c>
      <c r="EI494" t="str">
        <f t="shared" si="303"/>
        <v>Pleuromutilines</v>
      </c>
      <c r="EJ494" t="str">
        <f t="shared" si="304"/>
        <v/>
      </c>
      <c r="EK494" s="63" t="str">
        <f t="shared" si="305"/>
        <v/>
      </c>
      <c r="EN494" s="42">
        <v>491</v>
      </c>
      <c r="EO494" t="e">
        <f t="shared" si="311"/>
        <v>#N/A</v>
      </c>
      <c r="EP494" s="63" t="e">
        <f t="shared" si="312"/>
        <v>#N/A</v>
      </c>
      <c r="FT494" s="63"/>
    </row>
    <row r="495" spans="2:176" x14ac:dyDescent="0.3">
      <c r="B495" s="42"/>
      <c r="M495" s="194" t="str">
        <f ca="1">INDEX(Données_ATB!BD:BU,MATCH(MASQ2!O495,Données_ATB!BD:BD,0),18)</f>
        <v/>
      </c>
      <c r="N495" s="14" t="str">
        <f>IFERROR(IF(Q495=0,"",COUNTIF(Q$4:Q$600,"&gt;"&amp;Q495)+COUNTIF(Q$4:Q495,Q495)),"")</f>
        <v/>
      </c>
      <c r="O495" t="str">
        <f>Données_ATB!BD494</f>
        <v>TIALIN 202,4 MG/ML SOLUTION POUR ADMINISTRATION DANS L'EAU DE BOISSON DES PORCINS, DES POULETS ET DES DINDES</v>
      </c>
      <c r="P495" t="e">
        <f>IF(IF(X$2="Catégorie",IF(X$3="Toutes",SUMIFS('Étape 1 - à remplir'!$F$31:$F$400,'Étape 1 - à remplir'!$E$31:$E$400,MASQ2!O495,'Étape 1 - à remplir'!$G$31:$G$400,"animaux"),SUMIFS('Étape 1 - à remplir'!$F$31:$F$400,'Étape 1 - à remplir'!$E$31:$E$400,MASQ2!O495,'Étape 1 - à remplir'!$C$31:$C$400,X$3)),IF(X$2="Âge",IF(X$3="Tous",SUMIFS('Étape 1 - à remplir'!$F$31:$F$400,'Étape 1 - à remplir'!$E$31:$E$400,MASQ2!O495,'Étape 1 - à remplir'!$G$31:$G$400,"animaux"),SUMIFS('Étape 1 - à remplir'!$F$31:$F$400,'Étape 1 - à remplir'!$E$31:$E$400,MASQ2!O495,'Étape 1 - à remplir'!$P$31:$P$400,X$3)),IF(X$2="Atelier",IF(X$3="Tous",SUMIFS('Étape 1 - à remplir'!$F$31:$F$400,'Étape 1 - à remplir'!$E$31:$E$400,MASQ2!O495,'Étape 1 - à remplir'!$G$31:$G$400,"animaux"),SUMIFS('Étape 1 - à remplir'!$F$31:$F$400,'Étape 1 - à remplir'!$E$31:$E$400,MASQ2!O495,'Étape 1 - à remplir'!$O$31:$O$400,X$3)),IF(X$2="Espèce",IF(X$3="Toutes",SUMIFS('Étape 1 - à remplir'!$F$31:$F$400,'Étape 1 - à remplir'!$E$31:$E$400,MASQ2!O495,'Étape 1 - à remplir'!$G$31:$G$400,"animaux"),SUMIFS('Étape 1 - à remplir'!$F$31:$F$400,'Étape 1 - à remplir'!$E$31:$E$400,MASQ2!O495,'Étape 1 - à remplir'!$N$31:$N$400,X$3))))))=0,NA(),IF(X$2="Catégorie",IF(X$3="Toutes",SUMIFS('Étape 1 - à remplir'!$F$31:$F$400,'Étape 1 - à remplir'!$E$31:$E$400,MASQ2!O495,'Étape 1 - à remplir'!$G$31:$G$400,"animaux"),SUMIFS('Étape 1 - à remplir'!$F$31:$F$400,'Étape 1 - à remplir'!$E$31:$E$400,MASQ2!O495,'Étape 1 - à remplir'!$C$31:$C$400,X$3)),IF(X$2="Âge",IF(X$3="Tous",SUMIFS('Étape 1 - à remplir'!$F$31:$F$400,'Étape 1 - à remplir'!$E$31:$E$400,MASQ2!O495,'Étape 1 - à remplir'!$G$31:$G$400,"animaux"),SUMIFS('Étape 1 - à remplir'!$F$31:$F$400,'Étape 1 - à remplir'!$E$31:$E$400,MASQ2!O495,'Étape 1 - à remplir'!$P$31:$P$400,X$3)),IF(X$2="Atelier",IF(X$3="Tous",SUMIFS('Étape 1 - à remplir'!$F$31:$F$400,'Étape 1 - à remplir'!$E$31:$E$400,MASQ2!O495,'Étape 1 - à remplir'!$G$31:$G$400,"animaux"),SUMIFS('Étape 1 - à remplir'!$F$31:$F$400,'Étape 1 - à remplir'!$E$31:$E$400,MASQ2!O495,'Étape 1 - à remplir'!$O$31:$O$400,X$3)),IF(X$2="Espèce",IF(X$3="Toutes",SUMIFS('Étape 1 - à remplir'!$F$31:$F$400,'Étape 1 - à remplir'!$E$31:$E$400,MASQ2!O495,'Étape 1 - à remplir'!$G$31:$G$400,"animaux"),SUMIFS('Étape 1 - à remplir'!$F$31:$F$400,'Étape 1 - à remplir'!$E$31:$E$400,MASQ2!O495,'Étape 1 - à remplir'!$N$31:$N$400,X$3)))))))</f>
        <v>#N/A</v>
      </c>
      <c r="Q495" s="63">
        <f t="shared" si="310"/>
        <v>0</v>
      </c>
      <c r="R495" t="str">
        <f>Données_ATB!BM494</f>
        <v>Tiamuline</v>
      </c>
      <c r="S495" t="str">
        <f>Données_ATB!BN494</f>
        <v/>
      </c>
      <c r="T495" s="63" t="str">
        <f>Données_ATB!BO494</f>
        <v/>
      </c>
      <c r="U495" s="42" t="str">
        <f>Données_ATB!BQ494</f>
        <v>Pleuromutilines</v>
      </c>
      <c r="V495" t="str">
        <f>Données_ATB!BR494</f>
        <v/>
      </c>
      <c r="W495" s="63" t="str">
        <f>Données_ATB!BS494</f>
        <v/>
      </c>
      <c r="Z495" s="42">
        <v>492</v>
      </c>
      <c r="AA495" t="e">
        <f t="shared" si="306"/>
        <v>#N/A</v>
      </c>
      <c r="AB495" s="63" t="e">
        <f t="shared" si="307"/>
        <v>#N/A</v>
      </c>
      <c r="BF495" s="63"/>
      <c r="BT495" s="194" t="str">
        <f t="shared" ca="1" si="290"/>
        <v/>
      </c>
      <c r="BU495" s="219" t="str">
        <f>IFERROR(IF(BX495=0,"",COUNTIF(BX$4:BX$600,"&gt;"&amp;BX495)+COUNTIF(BX$4:BX495,BX495)),"")</f>
        <v/>
      </c>
      <c r="BV495" s="42" t="str">
        <f t="shared" si="291"/>
        <v>TIALIN 202,4 MG/ML SOLUTION POUR ADMINISTRATION DANS L'EAU DE BOISSON DES PORCINS, DES POULETS ET DES DINDES</v>
      </c>
      <c r="BW495" t="e">
        <f>IF(IF(CE$2="Catégorie",IF(CE$3="Toutes",SUMIFS('Étape 1 - à remplir'!$F$31:$F$400,'Étape 1 - à remplir'!$E$31:$E$400,MASQ2!BV495,'Étape 1 - à remplir'!$G$31:$G$400,"lots"),SUMIFS('Étape 1 - à remplir'!$F$31:$F$400,'Étape 1 - à remplir'!$E$31:$E$400,MASQ2!BV495,'Étape 1 - à remplir'!$C$31:$C$400,CE$3)),IF(CE$2="Âge",IF(CE$3="Tous",SUMIFS('Étape 1 - à remplir'!$F$31:$F$400,'Étape 1 - à remplir'!$E$31:$E$400,MASQ2!BV495,'Étape 1 - à remplir'!$G$31:$G$400,"lots"),SUMIFS('Étape 1 - à remplir'!$F$31:$F$400,'Étape 1 - à remplir'!$E$31:$E$400,MASQ2!BV495,'Étape 1 - à remplir'!$P$31:$P$400,CE$3,'Étape 1 - à remplir'!$G$31:$G$400,"lots")),IF(CE$2="Atelier",IF(CE$3="Tous",SUMIFS('Étape 1 - à remplir'!$F$31:$F$400,'Étape 1 - à remplir'!$E$31:$E$400,MASQ2!BV495,'Étape 1 - à remplir'!$G$31:$G$400,"lots"),SUMIFS('Étape 1 - à remplir'!$F$31:$F$400,'Étape 1 - à remplir'!$E$31:$E$400,MASQ2!BV495,'Étape 1 - à remplir'!$O$31:$O$400,CE$3,'Étape 1 - à remplir'!$G$31:$G$400,"lots")),IF(CE$2="Espèce",IF(CE$3="Toutes",SUMIFS('Étape 1 - à remplir'!$F$31:$F$400,'Étape 1 - à remplir'!$E$31:$E$400,MASQ2!BV495,'Étape 1 - à remplir'!$G$31:$G$400,"lots"),SUMIFS('Étape 1 - à remplir'!$F$31:$F$400,'Étape 1 - à remplir'!$E$31:$E$400,MASQ2!BV495,'Étape 1 - à remplir'!$N$31:$N$400,CE$3,'Étape 1 - à remplir'!$G$31:$G$400,"lots"))))))=0,NA(),IF(CE$2="Catégorie",IF(CE$3="Toutes",SUMIFS('Étape 1 - à remplir'!$F$31:$F$400,'Étape 1 - à remplir'!$E$31:$E$400,MASQ2!BV495,'Étape 1 - à remplir'!$G$31:$G$400,"lots"),SUMIFS('Étape 1 - à remplir'!$F$31:$F$400,'Étape 1 - à remplir'!$E$31:$E$400,MASQ2!BV495,'Étape 1 - à remplir'!$C$31:$C$400,CE$3)),IF(CE$2="Âge",IF(CE$3="Tous",SUMIFS('Étape 1 - à remplir'!$F$31:$F$400,'Étape 1 - à remplir'!$E$31:$E$400,MASQ2!BV495,'Étape 1 - à remplir'!$G$31:$G$400,"lots"),SUMIFS('Étape 1 - à remplir'!$F$31:$F$400,'Étape 1 - à remplir'!$E$31:$E$400,MASQ2!BV495,'Étape 1 - à remplir'!$P$31:$P$400,CE$3,'Étape 1 - à remplir'!$G$31:$G$400,"lots")),IF(CE$2="Atelier",IF(CE$3="Tous",SUMIFS('Étape 1 - à remplir'!$F$31:$F$400,'Étape 1 - à remplir'!$E$31:$E$400,MASQ2!BV495,'Étape 1 - à remplir'!$G$31:$G$400,"lots"),SUMIFS('Étape 1 - à remplir'!$F$31:$F$400,'Étape 1 - à remplir'!$E$31:$E$400,MASQ2!BV495,'Étape 1 - à remplir'!$O$31:$O$400,CE$3,'Étape 1 - à remplir'!$G$31:$G$400,"lots")),IF(CE$2="Espèce",IF(CE$3="Toutes",SUMIFS('Étape 1 - à remplir'!$F$31:$F$400,'Étape 1 - à remplir'!$E$31:$E$400,MASQ2!BV495,'Étape 1 - à remplir'!$G$31:$G$400,"lots"),SUMIFS('Étape 1 - à remplir'!$F$31:$F$400,'Étape 1 - à remplir'!$E$31:$E$400,MASQ2!BV495,'Étape 1 - à remplir'!$N$31:$N$400,CE$3,'Étape 1 - à remplir'!$G$31:$G$400,"lots")))))))</f>
        <v>#N/A</v>
      </c>
      <c r="BX495">
        <f t="shared" si="308"/>
        <v>0</v>
      </c>
      <c r="BY495" t="str">
        <f t="shared" si="292"/>
        <v>Tiamuline</v>
      </c>
      <c r="BZ495" t="str">
        <f t="shared" si="293"/>
        <v/>
      </c>
      <c r="CA495" t="str">
        <f t="shared" si="294"/>
        <v/>
      </c>
      <c r="CB495" t="str">
        <f t="shared" si="295"/>
        <v>Pleuromutilines</v>
      </c>
      <c r="CC495" t="str">
        <f t="shared" si="296"/>
        <v/>
      </c>
      <c r="CD495" s="63" t="str">
        <f t="shared" si="297"/>
        <v/>
      </c>
      <c r="CG495" s="42">
        <v>492</v>
      </c>
      <c r="CH495" s="42" t="e">
        <f t="shared" si="313"/>
        <v>#N/A</v>
      </c>
      <c r="CI495" s="63" t="e">
        <f t="shared" si="314"/>
        <v>#N/A</v>
      </c>
      <c r="DM495" s="63"/>
      <c r="EA495" s="194" t="str">
        <f t="shared" ca="1" si="298"/>
        <v/>
      </c>
      <c r="EB495" s="226" t="str">
        <f>IFERROR(IF(ED495=0,"",COUNTIF(ED$4:ED$600,"&gt;"&amp;ED495)+COUNTIF(ED$4:ED495,ED495)),"")</f>
        <v/>
      </c>
      <c r="EC495" t="str">
        <f t="shared" si="299"/>
        <v>TIALIN 202,4 MG/ML SOLUTION POUR ADMINISTRATION DANS L'EAU DE BOISSON DES PORCINS, DES POULETS ET DES DINDES</v>
      </c>
      <c r="ED495" t="e">
        <f>IF(IF(EL$2="Catégorie",IF(EL$3="Toutes",SUMIFS('Étape 1 - à remplir'!$F$31:$F$400,'Étape 1 - à remplir'!$E$31:$E$400,MASQ2!EC495,'Étape 1 - à remplir'!$G$31:$G$400,"kg"),SUMIFS('Étape 1 - à remplir'!$F$31:$F$400,'Étape 1 - à remplir'!$E$31:$E$400,MASQ2!EC495,'Étape 1 - à remplir'!$C$31:$C$400,EL$3)),IF(EL$2="Âge",IF(EL$3="Tous",SUMIFS('Étape 1 - à remplir'!$F$31:$F$400,'Étape 1 - à remplir'!$E$31:$E$400,MASQ2!EC495,'Étape 1 - à remplir'!$G$31:$G$400,"kg"),SUMIFS('Étape 1 - à remplir'!$F$31:$F$400,'Étape 1 - à remplir'!$E$31:$E$400,MASQ2!EC495,'Étape 1 - à remplir'!$P$31:$P$400,EL$3,'Étape 1 - à remplir'!$G$31:$G$400,"kg")),IF(EL$2="Atelier",IF(EL$3="Tous",SUMIFS('Étape 1 - à remplir'!$F$31:$F$400,'Étape 1 - à remplir'!$E$31:$E$400,MASQ2!EC495,'Étape 1 - à remplir'!$G$31:$G$400,"kg"),SUMIFS('Étape 1 - à remplir'!$F$31:$F$400,'Étape 1 - à remplir'!$E$31:$E$400,MASQ2!EC495,'Étape 1 - à remplir'!$O$31:$O$400,EL$3,'Étape 1 - à remplir'!$G$31:$G$400,"kg")),IF(EL$2="Espèce",IF(EL$3="Toutes",SUMIFS('Étape 1 - à remplir'!$F$31:$F$400,'Étape 1 - à remplir'!$E$31:$E$400,MASQ2!EC495,'Étape 1 - à remplir'!$G$31:$G$400,"kg"),SUMIFS('Étape 1 - à remplir'!$F$31:$F$400,'Étape 1 - à remplir'!$E$31:$E$400,MASQ2!EC495,'Étape 1 - à remplir'!$N$31:$N$400,EL$3,'Étape 1 - à remplir'!$G$31:$G$400,"kg"))))))=0,NA(),IF(EL$2="Catégorie",IF(EL$3="Toutes",SUMIFS('Étape 1 - à remplir'!$F$31:$F$400,'Étape 1 - à remplir'!$E$31:$E$400,MASQ2!EC495,'Étape 1 - à remplir'!$G$31:$G$400,"kg"),SUMIFS('Étape 1 - à remplir'!$F$31:$F$400,'Étape 1 - à remplir'!$E$31:$E$400,MASQ2!EC495,'Étape 1 - à remplir'!$C$31:$C$400,EL$3)),IF(EL$2="Âge",IF(EL$3="Tous",SUMIFS('Étape 1 - à remplir'!$F$31:$F$400,'Étape 1 - à remplir'!$E$31:$E$400,MASQ2!EC495,'Étape 1 - à remplir'!$G$31:$G$400,"kg"),SUMIFS('Étape 1 - à remplir'!$F$31:$F$400,'Étape 1 - à remplir'!$E$31:$E$400,MASQ2!EC495,'Étape 1 - à remplir'!$P$31:$P$400,EL$3,'Étape 1 - à remplir'!$G$31:$G$400,"kg")),IF(EL$2="Atelier",IF(EL$3="Tous",SUMIFS('Étape 1 - à remplir'!$F$31:$F$400,'Étape 1 - à remplir'!$E$31:$E$400,MASQ2!EC495,'Étape 1 - à remplir'!$G$31:$G$400,"kg"),SUMIFS('Étape 1 - à remplir'!$F$31:$F$400,'Étape 1 - à remplir'!$E$31:$E$400,MASQ2!EC495,'Étape 1 - à remplir'!$O$31:$O$400,EL$3,'Étape 1 - à remplir'!$G$31:$G$400,"kg")),IF(EL$2="Espèce",IF(EL$3="Toutes",SUMIFS('Étape 1 - à remplir'!$F$31:$F$400,'Étape 1 - à remplir'!$E$31:$E$400,MASQ2!EC495,'Étape 1 - à remplir'!$G$31:$G$400,"kg"),SUMIFS('Étape 1 - à remplir'!$F$31:$F$400,'Étape 1 - à remplir'!$E$31:$E$400,MASQ2!EC495,'Étape 1 - à remplir'!$N$31:$N$400,EL$3,'Étape 1 - à remplir'!$G$31:$G$400,"kg")))))))</f>
        <v>#N/A</v>
      </c>
      <c r="EE495" s="76">
        <f t="shared" si="309"/>
        <v>0</v>
      </c>
      <c r="EF495" t="str">
        <f t="shared" si="300"/>
        <v>Tiamuline</v>
      </c>
      <c r="EG495" t="str">
        <f t="shared" si="301"/>
        <v/>
      </c>
      <c r="EH495" t="str">
        <f t="shared" si="302"/>
        <v/>
      </c>
      <c r="EI495" t="str">
        <f t="shared" si="303"/>
        <v>Pleuromutilines</v>
      </c>
      <c r="EJ495" t="str">
        <f t="shared" si="304"/>
        <v/>
      </c>
      <c r="EK495" s="63" t="str">
        <f t="shared" si="305"/>
        <v/>
      </c>
      <c r="EN495" s="42">
        <v>492</v>
      </c>
      <c r="EO495" t="e">
        <f t="shared" si="311"/>
        <v>#N/A</v>
      </c>
      <c r="EP495" s="63" t="e">
        <f t="shared" si="312"/>
        <v>#N/A</v>
      </c>
      <c r="FT495" s="63"/>
    </row>
    <row r="496" spans="2:176" x14ac:dyDescent="0.3">
      <c r="B496" s="42"/>
      <c r="M496" s="194" t="str">
        <f ca="1">INDEX(Données_ATB!BD:BU,MATCH(MASQ2!O496,Données_ATB!BD:BD,0),18)</f>
        <v/>
      </c>
      <c r="N496" s="14" t="str">
        <f>IFERROR(IF(Q496=0,"",COUNTIF(Q$4:Q$600,"&gt;"&amp;Q496)+COUNTIF(Q$4:Q496,Q496)),"")</f>
        <v/>
      </c>
      <c r="O496" t="str">
        <f>Données_ATB!BD495</f>
        <v>TIAMULINE 16,2 PNEUMONIE VOLAILLE PORC FRANVET</v>
      </c>
      <c r="P496" t="e">
        <f>IF(IF(X$2="Catégorie",IF(X$3="Toutes",SUMIFS('Étape 1 - à remplir'!$F$31:$F$400,'Étape 1 - à remplir'!$E$31:$E$400,MASQ2!O496,'Étape 1 - à remplir'!$G$31:$G$400,"animaux"),SUMIFS('Étape 1 - à remplir'!$F$31:$F$400,'Étape 1 - à remplir'!$E$31:$E$400,MASQ2!O496,'Étape 1 - à remplir'!$C$31:$C$400,X$3)),IF(X$2="Âge",IF(X$3="Tous",SUMIFS('Étape 1 - à remplir'!$F$31:$F$400,'Étape 1 - à remplir'!$E$31:$E$400,MASQ2!O496,'Étape 1 - à remplir'!$G$31:$G$400,"animaux"),SUMIFS('Étape 1 - à remplir'!$F$31:$F$400,'Étape 1 - à remplir'!$E$31:$E$400,MASQ2!O496,'Étape 1 - à remplir'!$P$31:$P$400,X$3)),IF(X$2="Atelier",IF(X$3="Tous",SUMIFS('Étape 1 - à remplir'!$F$31:$F$400,'Étape 1 - à remplir'!$E$31:$E$400,MASQ2!O496,'Étape 1 - à remplir'!$G$31:$G$400,"animaux"),SUMIFS('Étape 1 - à remplir'!$F$31:$F$400,'Étape 1 - à remplir'!$E$31:$E$400,MASQ2!O496,'Étape 1 - à remplir'!$O$31:$O$400,X$3)),IF(X$2="Espèce",IF(X$3="Toutes",SUMIFS('Étape 1 - à remplir'!$F$31:$F$400,'Étape 1 - à remplir'!$E$31:$E$400,MASQ2!O496,'Étape 1 - à remplir'!$G$31:$G$400,"animaux"),SUMIFS('Étape 1 - à remplir'!$F$31:$F$400,'Étape 1 - à remplir'!$E$31:$E$400,MASQ2!O496,'Étape 1 - à remplir'!$N$31:$N$400,X$3))))))=0,NA(),IF(X$2="Catégorie",IF(X$3="Toutes",SUMIFS('Étape 1 - à remplir'!$F$31:$F$400,'Étape 1 - à remplir'!$E$31:$E$400,MASQ2!O496,'Étape 1 - à remplir'!$G$31:$G$400,"animaux"),SUMIFS('Étape 1 - à remplir'!$F$31:$F$400,'Étape 1 - à remplir'!$E$31:$E$400,MASQ2!O496,'Étape 1 - à remplir'!$C$31:$C$400,X$3)),IF(X$2="Âge",IF(X$3="Tous",SUMIFS('Étape 1 - à remplir'!$F$31:$F$400,'Étape 1 - à remplir'!$E$31:$E$400,MASQ2!O496,'Étape 1 - à remplir'!$G$31:$G$400,"animaux"),SUMIFS('Étape 1 - à remplir'!$F$31:$F$400,'Étape 1 - à remplir'!$E$31:$E$400,MASQ2!O496,'Étape 1 - à remplir'!$P$31:$P$400,X$3)),IF(X$2="Atelier",IF(X$3="Tous",SUMIFS('Étape 1 - à remplir'!$F$31:$F$400,'Étape 1 - à remplir'!$E$31:$E$400,MASQ2!O496,'Étape 1 - à remplir'!$G$31:$G$400,"animaux"),SUMIFS('Étape 1 - à remplir'!$F$31:$F$400,'Étape 1 - à remplir'!$E$31:$E$400,MASQ2!O496,'Étape 1 - à remplir'!$O$31:$O$400,X$3)),IF(X$2="Espèce",IF(X$3="Toutes",SUMIFS('Étape 1 - à remplir'!$F$31:$F$400,'Étape 1 - à remplir'!$E$31:$E$400,MASQ2!O496,'Étape 1 - à remplir'!$G$31:$G$400,"animaux"),SUMIFS('Étape 1 - à remplir'!$F$31:$F$400,'Étape 1 - à remplir'!$E$31:$E$400,MASQ2!O496,'Étape 1 - à remplir'!$N$31:$N$400,X$3)))))))</f>
        <v>#N/A</v>
      </c>
      <c r="Q496" s="63">
        <f t="shared" si="310"/>
        <v>0</v>
      </c>
      <c r="R496" t="str">
        <f>Données_ATB!BM495</f>
        <v>Tiamuline</v>
      </c>
      <c r="S496" t="str">
        <f>Données_ATB!BN495</f>
        <v/>
      </c>
      <c r="T496" s="63" t="str">
        <f>Données_ATB!BO495</f>
        <v/>
      </c>
      <c r="U496" s="42" t="str">
        <f>Données_ATB!BQ495</f>
        <v>Pleuromutilines</v>
      </c>
      <c r="V496" t="str">
        <f>Données_ATB!BR495</f>
        <v/>
      </c>
      <c r="W496" s="63" t="str">
        <f>Données_ATB!BS495</f>
        <v/>
      </c>
      <c r="Z496" s="42">
        <v>493</v>
      </c>
      <c r="AA496" t="e">
        <f t="shared" si="306"/>
        <v>#N/A</v>
      </c>
      <c r="AB496" s="63" t="e">
        <f t="shared" si="307"/>
        <v>#N/A</v>
      </c>
      <c r="BF496" s="63"/>
      <c r="BT496" s="194" t="str">
        <f t="shared" ca="1" si="290"/>
        <v/>
      </c>
      <c r="BU496" s="219" t="str">
        <f>IFERROR(IF(BX496=0,"",COUNTIF(BX$4:BX$600,"&gt;"&amp;BX496)+COUNTIF(BX$4:BX496,BX496)),"")</f>
        <v/>
      </c>
      <c r="BV496" s="42" t="str">
        <f t="shared" si="291"/>
        <v>TIAMULINE 16,2 PNEUMONIE VOLAILLE PORC FRANVET</v>
      </c>
      <c r="BW496" t="e">
        <f>IF(IF(CE$2="Catégorie",IF(CE$3="Toutes",SUMIFS('Étape 1 - à remplir'!$F$31:$F$400,'Étape 1 - à remplir'!$E$31:$E$400,MASQ2!BV496,'Étape 1 - à remplir'!$G$31:$G$400,"lots"),SUMIFS('Étape 1 - à remplir'!$F$31:$F$400,'Étape 1 - à remplir'!$E$31:$E$400,MASQ2!BV496,'Étape 1 - à remplir'!$C$31:$C$400,CE$3)),IF(CE$2="Âge",IF(CE$3="Tous",SUMIFS('Étape 1 - à remplir'!$F$31:$F$400,'Étape 1 - à remplir'!$E$31:$E$400,MASQ2!BV496,'Étape 1 - à remplir'!$G$31:$G$400,"lots"),SUMIFS('Étape 1 - à remplir'!$F$31:$F$400,'Étape 1 - à remplir'!$E$31:$E$400,MASQ2!BV496,'Étape 1 - à remplir'!$P$31:$P$400,CE$3,'Étape 1 - à remplir'!$G$31:$G$400,"lots")),IF(CE$2="Atelier",IF(CE$3="Tous",SUMIFS('Étape 1 - à remplir'!$F$31:$F$400,'Étape 1 - à remplir'!$E$31:$E$400,MASQ2!BV496,'Étape 1 - à remplir'!$G$31:$G$400,"lots"),SUMIFS('Étape 1 - à remplir'!$F$31:$F$400,'Étape 1 - à remplir'!$E$31:$E$400,MASQ2!BV496,'Étape 1 - à remplir'!$O$31:$O$400,CE$3,'Étape 1 - à remplir'!$G$31:$G$400,"lots")),IF(CE$2="Espèce",IF(CE$3="Toutes",SUMIFS('Étape 1 - à remplir'!$F$31:$F$400,'Étape 1 - à remplir'!$E$31:$E$400,MASQ2!BV496,'Étape 1 - à remplir'!$G$31:$G$400,"lots"),SUMIFS('Étape 1 - à remplir'!$F$31:$F$400,'Étape 1 - à remplir'!$E$31:$E$400,MASQ2!BV496,'Étape 1 - à remplir'!$N$31:$N$400,CE$3,'Étape 1 - à remplir'!$G$31:$G$400,"lots"))))))=0,NA(),IF(CE$2="Catégorie",IF(CE$3="Toutes",SUMIFS('Étape 1 - à remplir'!$F$31:$F$400,'Étape 1 - à remplir'!$E$31:$E$400,MASQ2!BV496,'Étape 1 - à remplir'!$G$31:$G$400,"lots"),SUMIFS('Étape 1 - à remplir'!$F$31:$F$400,'Étape 1 - à remplir'!$E$31:$E$400,MASQ2!BV496,'Étape 1 - à remplir'!$C$31:$C$400,CE$3)),IF(CE$2="Âge",IF(CE$3="Tous",SUMIFS('Étape 1 - à remplir'!$F$31:$F$400,'Étape 1 - à remplir'!$E$31:$E$400,MASQ2!BV496,'Étape 1 - à remplir'!$G$31:$G$400,"lots"),SUMIFS('Étape 1 - à remplir'!$F$31:$F$400,'Étape 1 - à remplir'!$E$31:$E$400,MASQ2!BV496,'Étape 1 - à remplir'!$P$31:$P$400,CE$3,'Étape 1 - à remplir'!$G$31:$G$400,"lots")),IF(CE$2="Atelier",IF(CE$3="Tous",SUMIFS('Étape 1 - à remplir'!$F$31:$F$400,'Étape 1 - à remplir'!$E$31:$E$400,MASQ2!BV496,'Étape 1 - à remplir'!$G$31:$G$400,"lots"),SUMIFS('Étape 1 - à remplir'!$F$31:$F$400,'Étape 1 - à remplir'!$E$31:$E$400,MASQ2!BV496,'Étape 1 - à remplir'!$O$31:$O$400,CE$3,'Étape 1 - à remplir'!$G$31:$G$400,"lots")),IF(CE$2="Espèce",IF(CE$3="Toutes",SUMIFS('Étape 1 - à remplir'!$F$31:$F$400,'Étape 1 - à remplir'!$E$31:$E$400,MASQ2!BV496,'Étape 1 - à remplir'!$G$31:$G$400,"lots"),SUMIFS('Étape 1 - à remplir'!$F$31:$F$400,'Étape 1 - à remplir'!$E$31:$E$400,MASQ2!BV496,'Étape 1 - à remplir'!$N$31:$N$400,CE$3,'Étape 1 - à remplir'!$G$31:$G$400,"lots")))))))</f>
        <v>#N/A</v>
      </c>
      <c r="BX496">
        <f t="shared" si="308"/>
        <v>0</v>
      </c>
      <c r="BY496" t="str">
        <f t="shared" si="292"/>
        <v>Tiamuline</v>
      </c>
      <c r="BZ496" t="str">
        <f t="shared" si="293"/>
        <v/>
      </c>
      <c r="CA496" t="str">
        <f t="shared" si="294"/>
        <v/>
      </c>
      <c r="CB496" t="str">
        <f t="shared" si="295"/>
        <v>Pleuromutilines</v>
      </c>
      <c r="CC496" t="str">
        <f t="shared" si="296"/>
        <v/>
      </c>
      <c r="CD496" s="63" t="str">
        <f t="shared" si="297"/>
        <v/>
      </c>
      <c r="CG496" s="42">
        <v>493</v>
      </c>
      <c r="CH496" s="42" t="e">
        <f t="shared" si="313"/>
        <v>#N/A</v>
      </c>
      <c r="CI496" s="63" t="e">
        <f t="shared" si="314"/>
        <v>#N/A</v>
      </c>
      <c r="DM496" s="63"/>
      <c r="EA496" s="194" t="str">
        <f t="shared" ca="1" si="298"/>
        <v/>
      </c>
      <c r="EB496" s="226" t="str">
        <f>IFERROR(IF(ED496=0,"",COUNTIF(ED$4:ED$600,"&gt;"&amp;ED496)+COUNTIF(ED$4:ED496,ED496)),"")</f>
        <v/>
      </c>
      <c r="EC496" t="str">
        <f t="shared" si="299"/>
        <v>TIAMULINE 16,2 PNEUMONIE VOLAILLE PORC FRANVET</v>
      </c>
      <c r="ED496" t="e">
        <f>IF(IF(EL$2="Catégorie",IF(EL$3="Toutes",SUMIFS('Étape 1 - à remplir'!$F$31:$F$400,'Étape 1 - à remplir'!$E$31:$E$400,MASQ2!EC496,'Étape 1 - à remplir'!$G$31:$G$400,"kg"),SUMIFS('Étape 1 - à remplir'!$F$31:$F$400,'Étape 1 - à remplir'!$E$31:$E$400,MASQ2!EC496,'Étape 1 - à remplir'!$C$31:$C$400,EL$3)),IF(EL$2="Âge",IF(EL$3="Tous",SUMIFS('Étape 1 - à remplir'!$F$31:$F$400,'Étape 1 - à remplir'!$E$31:$E$400,MASQ2!EC496,'Étape 1 - à remplir'!$G$31:$G$400,"kg"),SUMIFS('Étape 1 - à remplir'!$F$31:$F$400,'Étape 1 - à remplir'!$E$31:$E$400,MASQ2!EC496,'Étape 1 - à remplir'!$P$31:$P$400,EL$3,'Étape 1 - à remplir'!$G$31:$G$400,"kg")),IF(EL$2="Atelier",IF(EL$3="Tous",SUMIFS('Étape 1 - à remplir'!$F$31:$F$400,'Étape 1 - à remplir'!$E$31:$E$400,MASQ2!EC496,'Étape 1 - à remplir'!$G$31:$G$400,"kg"),SUMIFS('Étape 1 - à remplir'!$F$31:$F$400,'Étape 1 - à remplir'!$E$31:$E$400,MASQ2!EC496,'Étape 1 - à remplir'!$O$31:$O$400,EL$3,'Étape 1 - à remplir'!$G$31:$G$400,"kg")),IF(EL$2="Espèce",IF(EL$3="Toutes",SUMIFS('Étape 1 - à remplir'!$F$31:$F$400,'Étape 1 - à remplir'!$E$31:$E$400,MASQ2!EC496,'Étape 1 - à remplir'!$G$31:$G$400,"kg"),SUMIFS('Étape 1 - à remplir'!$F$31:$F$400,'Étape 1 - à remplir'!$E$31:$E$400,MASQ2!EC496,'Étape 1 - à remplir'!$N$31:$N$400,EL$3,'Étape 1 - à remplir'!$G$31:$G$400,"kg"))))))=0,NA(),IF(EL$2="Catégorie",IF(EL$3="Toutes",SUMIFS('Étape 1 - à remplir'!$F$31:$F$400,'Étape 1 - à remplir'!$E$31:$E$400,MASQ2!EC496,'Étape 1 - à remplir'!$G$31:$G$400,"kg"),SUMIFS('Étape 1 - à remplir'!$F$31:$F$400,'Étape 1 - à remplir'!$E$31:$E$400,MASQ2!EC496,'Étape 1 - à remplir'!$C$31:$C$400,EL$3)),IF(EL$2="Âge",IF(EL$3="Tous",SUMIFS('Étape 1 - à remplir'!$F$31:$F$400,'Étape 1 - à remplir'!$E$31:$E$400,MASQ2!EC496,'Étape 1 - à remplir'!$G$31:$G$400,"kg"),SUMIFS('Étape 1 - à remplir'!$F$31:$F$400,'Étape 1 - à remplir'!$E$31:$E$400,MASQ2!EC496,'Étape 1 - à remplir'!$P$31:$P$400,EL$3,'Étape 1 - à remplir'!$G$31:$G$400,"kg")),IF(EL$2="Atelier",IF(EL$3="Tous",SUMIFS('Étape 1 - à remplir'!$F$31:$F$400,'Étape 1 - à remplir'!$E$31:$E$400,MASQ2!EC496,'Étape 1 - à remplir'!$G$31:$G$400,"kg"),SUMIFS('Étape 1 - à remplir'!$F$31:$F$400,'Étape 1 - à remplir'!$E$31:$E$400,MASQ2!EC496,'Étape 1 - à remplir'!$O$31:$O$400,EL$3,'Étape 1 - à remplir'!$G$31:$G$400,"kg")),IF(EL$2="Espèce",IF(EL$3="Toutes",SUMIFS('Étape 1 - à remplir'!$F$31:$F$400,'Étape 1 - à remplir'!$E$31:$E$400,MASQ2!EC496,'Étape 1 - à remplir'!$G$31:$G$400,"kg"),SUMIFS('Étape 1 - à remplir'!$F$31:$F$400,'Étape 1 - à remplir'!$E$31:$E$400,MASQ2!EC496,'Étape 1 - à remplir'!$N$31:$N$400,EL$3,'Étape 1 - à remplir'!$G$31:$G$400,"kg")))))))</f>
        <v>#N/A</v>
      </c>
      <c r="EE496" s="76">
        <f t="shared" si="309"/>
        <v>0</v>
      </c>
      <c r="EF496" t="str">
        <f t="shared" si="300"/>
        <v>Tiamuline</v>
      </c>
      <c r="EG496" t="str">
        <f t="shared" si="301"/>
        <v/>
      </c>
      <c r="EH496" t="str">
        <f t="shared" si="302"/>
        <v/>
      </c>
      <c r="EI496" t="str">
        <f t="shared" si="303"/>
        <v>Pleuromutilines</v>
      </c>
      <c r="EJ496" t="str">
        <f t="shared" si="304"/>
        <v/>
      </c>
      <c r="EK496" s="63" t="str">
        <f t="shared" si="305"/>
        <v/>
      </c>
      <c r="EN496" s="42">
        <v>493</v>
      </c>
      <c r="EO496" t="e">
        <f t="shared" si="311"/>
        <v>#N/A</v>
      </c>
      <c r="EP496" s="63" t="e">
        <f t="shared" si="312"/>
        <v>#N/A</v>
      </c>
      <c r="FT496" s="63"/>
    </row>
    <row r="497" spans="2:176" x14ac:dyDescent="0.3">
      <c r="B497" s="42"/>
      <c r="M497" s="194" t="str">
        <f ca="1">INDEX(Données_ATB!BD:BU,MATCH(MASQ2!O497,Données_ATB!BD:BD,0),18)</f>
        <v/>
      </c>
      <c r="N497" s="14" t="str">
        <f>IFERROR(IF(Q497=0,"",COUNTIF(Q$4:Q$600,"&gt;"&amp;Q497)+COUNTIF(Q$4:Q497,Q497)),"")</f>
        <v/>
      </c>
      <c r="O497" t="str">
        <f>Données_ATB!BD496</f>
        <v>TIAMULINE 6,5 ENTERITE PORC ENTEROCOLITE LAPIN FRANVET</v>
      </c>
      <c r="P497" t="e">
        <f>IF(IF(X$2="Catégorie",IF(X$3="Toutes",SUMIFS('Étape 1 - à remplir'!$F$31:$F$400,'Étape 1 - à remplir'!$E$31:$E$400,MASQ2!O497,'Étape 1 - à remplir'!$G$31:$G$400,"animaux"),SUMIFS('Étape 1 - à remplir'!$F$31:$F$400,'Étape 1 - à remplir'!$E$31:$E$400,MASQ2!O497,'Étape 1 - à remplir'!$C$31:$C$400,X$3)),IF(X$2="Âge",IF(X$3="Tous",SUMIFS('Étape 1 - à remplir'!$F$31:$F$400,'Étape 1 - à remplir'!$E$31:$E$400,MASQ2!O497,'Étape 1 - à remplir'!$G$31:$G$400,"animaux"),SUMIFS('Étape 1 - à remplir'!$F$31:$F$400,'Étape 1 - à remplir'!$E$31:$E$400,MASQ2!O497,'Étape 1 - à remplir'!$P$31:$P$400,X$3)),IF(X$2="Atelier",IF(X$3="Tous",SUMIFS('Étape 1 - à remplir'!$F$31:$F$400,'Étape 1 - à remplir'!$E$31:$E$400,MASQ2!O497,'Étape 1 - à remplir'!$G$31:$G$400,"animaux"),SUMIFS('Étape 1 - à remplir'!$F$31:$F$400,'Étape 1 - à remplir'!$E$31:$E$400,MASQ2!O497,'Étape 1 - à remplir'!$O$31:$O$400,X$3)),IF(X$2="Espèce",IF(X$3="Toutes",SUMIFS('Étape 1 - à remplir'!$F$31:$F$400,'Étape 1 - à remplir'!$E$31:$E$400,MASQ2!O497,'Étape 1 - à remplir'!$G$31:$G$400,"animaux"),SUMIFS('Étape 1 - à remplir'!$F$31:$F$400,'Étape 1 - à remplir'!$E$31:$E$400,MASQ2!O497,'Étape 1 - à remplir'!$N$31:$N$400,X$3))))))=0,NA(),IF(X$2="Catégorie",IF(X$3="Toutes",SUMIFS('Étape 1 - à remplir'!$F$31:$F$400,'Étape 1 - à remplir'!$E$31:$E$400,MASQ2!O497,'Étape 1 - à remplir'!$G$31:$G$400,"animaux"),SUMIFS('Étape 1 - à remplir'!$F$31:$F$400,'Étape 1 - à remplir'!$E$31:$E$400,MASQ2!O497,'Étape 1 - à remplir'!$C$31:$C$400,X$3)),IF(X$2="Âge",IF(X$3="Tous",SUMIFS('Étape 1 - à remplir'!$F$31:$F$400,'Étape 1 - à remplir'!$E$31:$E$400,MASQ2!O497,'Étape 1 - à remplir'!$G$31:$G$400,"animaux"),SUMIFS('Étape 1 - à remplir'!$F$31:$F$400,'Étape 1 - à remplir'!$E$31:$E$400,MASQ2!O497,'Étape 1 - à remplir'!$P$31:$P$400,X$3)),IF(X$2="Atelier",IF(X$3="Tous",SUMIFS('Étape 1 - à remplir'!$F$31:$F$400,'Étape 1 - à remplir'!$E$31:$E$400,MASQ2!O497,'Étape 1 - à remplir'!$G$31:$G$400,"animaux"),SUMIFS('Étape 1 - à remplir'!$F$31:$F$400,'Étape 1 - à remplir'!$E$31:$E$400,MASQ2!O497,'Étape 1 - à remplir'!$O$31:$O$400,X$3)),IF(X$2="Espèce",IF(X$3="Toutes",SUMIFS('Étape 1 - à remplir'!$F$31:$F$400,'Étape 1 - à remplir'!$E$31:$E$400,MASQ2!O497,'Étape 1 - à remplir'!$G$31:$G$400,"animaux"),SUMIFS('Étape 1 - à remplir'!$F$31:$F$400,'Étape 1 - à remplir'!$E$31:$E$400,MASQ2!O497,'Étape 1 - à remplir'!$N$31:$N$400,X$3)))))))</f>
        <v>#N/A</v>
      </c>
      <c r="Q497" s="63">
        <f t="shared" si="310"/>
        <v>0</v>
      </c>
      <c r="R497" t="str">
        <f>Données_ATB!BM496</f>
        <v>Tiamuline</v>
      </c>
      <c r="S497" t="str">
        <f>Données_ATB!BN496</f>
        <v/>
      </c>
      <c r="T497" s="63" t="str">
        <f>Données_ATB!BO496</f>
        <v/>
      </c>
      <c r="U497" s="42" t="str">
        <f>Données_ATB!BQ496</f>
        <v>Pleuromutilines</v>
      </c>
      <c r="V497" t="str">
        <f>Données_ATB!BR496</f>
        <v/>
      </c>
      <c r="W497" s="63" t="str">
        <f>Données_ATB!BS496</f>
        <v/>
      </c>
      <c r="Z497" s="42">
        <v>494</v>
      </c>
      <c r="AA497" t="e">
        <f t="shared" si="306"/>
        <v>#N/A</v>
      </c>
      <c r="AB497" s="63" t="e">
        <f t="shared" si="307"/>
        <v>#N/A</v>
      </c>
      <c r="BF497" s="63"/>
      <c r="BT497" s="194" t="str">
        <f t="shared" ca="1" si="290"/>
        <v/>
      </c>
      <c r="BU497" s="219" t="str">
        <f>IFERROR(IF(BX497=0,"",COUNTIF(BX$4:BX$600,"&gt;"&amp;BX497)+COUNTIF(BX$4:BX497,BX497)),"")</f>
        <v/>
      </c>
      <c r="BV497" s="42" t="str">
        <f t="shared" si="291"/>
        <v>TIAMULINE 6,5 ENTERITE PORC ENTEROCOLITE LAPIN FRANVET</v>
      </c>
      <c r="BW497" t="e">
        <f>IF(IF(CE$2="Catégorie",IF(CE$3="Toutes",SUMIFS('Étape 1 - à remplir'!$F$31:$F$400,'Étape 1 - à remplir'!$E$31:$E$400,MASQ2!BV497,'Étape 1 - à remplir'!$G$31:$G$400,"lots"),SUMIFS('Étape 1 - à remplir'!$F$31:$F$400,'Étape 1 - à remplir'!$E$31:$E$400,MASQ2!BV497,'Étape 1 - à remplir'!$C$31:$C$400,CE$3)),IF(CE$2="Âge",IF(CE$3="Tous",SUMIFS('Étape 1 - à remplir'!$F$31:$F$400,'Étape 1 - à remplir'!$E$31:$E$400,MASQ2!BV497,'Étape 1 - à remplir'!$G$31:$G$400,"lots"),SUMIFS('Étape 1 - à remplir'!$F$31:$F$400,'Étape 1 - à remplir'!$E$31:$E$400,MASQ2!BV497,'Étape 1 - à remplir'!$P$31:$P$400,CE$3,'Étape 1 - à remplir'!$G$31:$G$400,"lots")),IF(CE$2="Atelier",IF(CE$3="Tous",SUMIFS('Étape 1 - à remplir'!$F$31:$F$400,'Étape 1 - à remplir'!$E$31:$E$400,MASQ2!BV497,'Étape 1 - à remplir'!$G$31:$G$400,"lots"),SUMIFS('Étape 1 - à remplir'!$F$31:$F$400,'Étape 1 - à remplir'!$E$31:$E$400,MASQ2!BV497,'Étape 1 - à remplir'!$O$31:$O$400,CE$3,'Étape 1 - à remplir'!$G$31:$G$400,"lots")),IF(CE$2="Espèce",IF(CE$3="Toutes",SUMIFS('Étape 1 - à remplir'!$F$31:$F$400,'Étape 1 - à remplir'!$E$31:$E$400,MASQ2!BV497,'Étape 1 - à remplir'!$G$31:$G$400,"lots"),SUMIFS('Étape 1 - à remplir'!$F$31:$F$400,'Étape 1 - à remplir'!$E$31:$E$400,MASQ2!BV497,'Étape 1 - à remplir'!$N$31:$N$400,CE$3,'Étape 1 - à remplir'!$G$31:$G$400,"lots"))))))=0,NA(),IF(CE$2="Catégorie",IF(CE$3="Toutes",SUMIFS('Étape 1 - à remplir'!$F$31:$F$400,'Étape 1 - à remplir'!$E$31:$E$400,MASQ2!BV497,'Étape 1 - à remplir'!$G$31:$G$400,"lots"),SUMIFS('Étape 1 - à remplir'!$F$31:$F$400,'Étape 1 - à remplir'!$E$31:$E$400,MASQ2!BV497,'Étape 1 - à remplir'!$C$31:$C$400,CE$3)),IF(CE$2="Âge",IF(CE$3="Tous",SUMIFS('Étape 1 - à remplir'!$F$31:$F$400,'Étape 1 - à remplir'!$E$31:$E$400,MASQ2!BV497,'Étape 1 - à remplir'!$G$31:$G$400,"lots"),SUMIFS('Étape 1 - à remplir'!$F$31:$F$400,'Étape 1 - à remplir'!$E$31:$E$400,MASQ2!BV497,'Étape 1 - à remplir'!$P$31:$P$400,CE$3,'Étape 1 - à remplir'!$G$31:$G$400,"lots")),IF(CE$2="Atelier",IF(CE$3="Tous",SUMIFS('Étape 1 - à remplir'!$F$31:$F$400,'Étape 1 - à remplir'!$E$31:$E$400,MASQ2!BV497,'Étape 1 - à remplir'!$G$31:$G$400,"lots"),SUMIFS('Étape 1 - à remplir'!$F$31:$F$400,'Étape 1 - à remplir'!$E$31:$E$400,MASQ2!BV497,'Étape 1 - à remplir'!$O$31:$O$400,CE$3,'Étape 1 - à remplir'!$G$31:$G$400,"lots")),IF(CE$2="Espèce",IF(CE$3="Toutes",SUMIFS('Étape 1 - à remplir'!$F$31:$F$400,'Étape 1 - à remplir'!$E$31:$E$400,MASQ2!BV497,'Étape 1 - à remplir'!$G$31:$G$400,"lots"),SUMIFS('Étape 1 - à remplir'!$F$31:$F$400,'Étape 1 - à remplir'!$E$31:$E$400,MASQ2!BV497,'Étape 1 - à remplir'!$N$31:$N$400,CE$3,'Étape 1 - à remplir'!$G$31:$G$400,"lots")))))))</f>
        <v>#N/A</v>
      </c>
      <c r="BX497">
        <f t="shared" si="308"/>
        <v>0</v>
      </c>
      <c r="BY497" t="str">
        <f t="shared" si="292"/>
        <v>Tiamuline</v>
      </c>
      <c r="BZ497" t="str">
        <f t="shared" si="293"/>
        <v/>
      </c>
      <c r="CA497" t="str">
        <f t="shared" si="294"/>
        <v/>
      </c>
      <c r="CB497" t="str">
        <f t="shared" si="295"/>
        <v>Pleuromutilines</v>
      </c>
      <c r="CC497" t="str">
        <f t="shared" si="296"/>
        <v/>
      </c>
      <c r="CD497" s="63" t="str">
        <f t="shared" si="297"/>
        <v/>
      </c>
      <c r="CG497" s="42">
        <v>494</v>
      </c>
      <c r="CH497" s="42" t="e">
        <f t="shared" si="313"/>
        <v>#N/A</v>
      </c>
      <c r="CI497" s="63" t="e">
        <f t="shared" si="314"/>
        <v>#N/A</v>
      </c>
      <c r="DM497" s="63"/>
      <c r="EA497" s="194" t="str">
        <f t="shared" ca="1" si="298"/>
        <v/>
      </c>
      <c r="EB497" s="226" t="str">
        <f>IFERROR(IF(ED497=0,"",COUNTIF(ED$4:ED$600,"&gt;"&amp;ED497)+COUNTIF(ED$4:ED497,ED497)),"")</f>
        <v/>
      </c>
      <c r="EC497" t="str">
        <f t="shared" si="299"/>
        <v>TIAMULINE 6,5 ENTERITE PORC ENTEROCOLITE LAPIN FRANVET</v>
      </c>
      <c r="ED497" t="e">
        <f>IF(IF(EL$2="Catégorie",IF(EL$3="Toutes",SUMIFS('Étape 1 - à remplir'!$F$31:$F$400,'Étape 1 - à remplir'!$E$31:$E$400,MASQ2!EC497,'Étape 1 - à remplir'!$G$31:$G$400,"kg"),SUMIFS('Étape 1 - à remplir'!$F$31:$F$400,'Étape 1 - à remplir'!$E$31:$E$400,MASQ2!EC497,'Étape 1 - à remplir'!$C$31:$C$400,EL$3)),IF(EL$2="Âge",IF(EL$3="Tous",SUMIFS('Étape 1 - à remplir'!$F$31:$F$400,'Étape 1 - à remplir'!$E$31:$E$400,MASQ2!EC497,'Étape 1 - à remplir'!$G$31:$G$400,"kg"),SUMIFS('Étape 1 - à remplir'!$F$31:$F$400,'Étape 1 - à remplir'!$E$31:$E$400,MASQ2!EC497,'Étape 1 - à remplir'!$P$31:$P$400,EL$3,'Étape 1 - à remplir'!$G$31:$G$400,"kg")),IF(EL$2="Atelier",IF(EL$3="Tous",SUMIFS('Étape 1 - à remplir'!$F$31:$F$400,'Étape 1 - à remplir'!$E$31:$E$400,MASQ2!EC497,'Étape 1 - à remplir'!$G$31:$G$400,"kg"),SUMIFS('Étape 1 - à remplir'!$F$31:$F$400,'Étape 1 - à remplir'!$E$31:$E$400,MASQ2!EC497,'Étape 1 - à remplir'!$O$31:$O$400,EL$3,'Étape 1 - à remplir'!$G$31:$G$400,"kg")),IF(EL$2="Espèce",IF(EL$3="Toutes",SUMIFS('Étape 1 - à remplir'!$F$31:$F$400,'Étape 1 - à remplir'!$E$31:$E$400,MASQ2!EC497,'Étape 1 - à remplir'!$G$31:$G$400,"kg"),SUMIFS('Étape 1 - à remplir'!$F$31:$F$400,'Étape 1 - à remplir'!$E$31:$E$400,MASQ2!EC497,'Étape 1 - à remplir'!$N$31:$N$400,EL$3,'Étape 1 - à remplir'!$G$31:$G$400,"kg"))))))=0,NA(),IF(EL$2="Catégorie",IF(EL$3="Toutes",SUMIFS('Étape 1 - à remplir'!$F$31:$F$400,'Étape 1 - à remplir'!$E$31:$E$400,MASQ2!EC497,'Étape 1 - à remplir'!$G$31:$G$400,"kg"),SUMIFS('Étape 1 - à remplir'!$F$31:$F$400,'Étape 1 - à remplir'!$E$31:$E$400,MASQ2!EC497,'Étape 1 - à remplir'!$C$31:$C$400,EL$3)),IF(EL$2="Âge",IF(EL$3="Tous",SUMIFS('Étape 1 - à remplir'!$F$31:$F$400,'Étape 1 - à remplir'!$E$31:$E$400,MASQ2!EC497,'Étape 1 - à remplir'!$G$31:$G$400,"kg"),SUMIFS('Étape 1 - à remplir'!$F$31:$F$400,'Étape 1 - à remplir'!$E$31:$E$400,MASQ2!EC497,'Étape 1 - à remplir'!$P$31:$P$400,EL$3,'Étape 1 - à remplir'!$G$31:$G$400,"kg")),IF(EL$2="Atelier",IF(EL$3="Tous",SUMIFS('Étape 1 - à remplir'!$F$31:$F$400,'Étape 1 - à remplir'!$E$31:$E$400,MASQ2!EC497,'Étape 1 - à remplir'!$G$31:$G$400,"kg"),SUMIFS('Étape 1 - à remplir'!$F$31:$F$400,'Étape 1 - à remplir'!$E$31:$E$400,MASQ2!EC497,'Étape 1 - à remplir'!$O$31:$O$400,EL$3,'Étape 1 - à remplir'!$G$31:$G$400,"kg")),IF(EL$2="Espèce",IF(EL$3="Toutes",SUMIFS('Étape 1 - à remplir'!$F$31:$F$400,'Étape 1 - à remplir'!$E$31:$E$400,MASQ2!EC497,'Étape 1 - à remplir'!$G$31:$G$400,"kg"),SUMIFS('Étape 1 - à remplir'!$F$31:$F$400,'Étape 1 - à remplir'!$E$31:$E$400,MASQ2!EC497,'Étape 1 - à remplir'!$N$31:$N$400,EL$3,'Étape 1 - à remplir'!$G$31:$G$400,"kg")))))))</f>
        <v>#N/A</v>
      </c>
      <c r="EE497" s="76">
        <f t="shared" si="309"/>
        <v>0</v>
      </c>
      <c r="EF497" t="str">
        <f t="shared" si="300"/>
        <v>Tiamuline</v>
      </c>
      <c r="EG497" t="str">
        <f t="shared" si="301"/>
        <v/>
      </c>
      <c r="EH497" t="str">
        <f t="shared" si="302"/>
        <v/>
      </c>
      <c r="EI497" t="str">
        <f t="shared" si="303"/>
        <v>Pleuromutilines</v>
      </c>
      <c r="EJ497" t="str">
        <f t="shared" si="304"/>
        <v/>
      </c>
      <c r="EK497" s="63" t="str">
        <f t="shared" si="305"/>
        <v/>
      </c>
      <c r="EN497" s="42">
        <v>494</v>
      </c>
      <c r="EO497" t="e">
        <f t="shared" si="311"/>
        <v>#N/A</v>
      </c>
      <c r="EP497" s="63" t="e">
        <f t="shared" si="312"/>
        <v>#N/A</v>
      </c>
      <c r="FT497" s="63"/>
    </row>
    <row r="498" spans="2:176" x14ac:dyDescent="0.3">
      <c r="B498" s="42"/>
      <c r="M498" s="194" t="str">
        <f ca="1">INDEX(Données_ATB!BD:BU,MATCH(MASQ2!O498,Données_ATB!BD:BD,0),18)</f>
        <v/>
      </c>
      <c r="N498" s="14" t="str">
        <f>IFERROR(IF(Q498=0,"",COUNTIF(Q$4:Q$600,"&gt;"&amp;Q498)+COUNTIF(Q$4:Q498,Q498)),"")</f>
        <v/>
      </c>
      <c r="O498" t="str">
        <f>Données_ATB!BD497</f>
        <v>TIAMUVAL PREMELANGE MEDICAMENTEUX TIAMULINE 16,2 PNEUMONIE VOLAILLE-PORC</v>
      </c>
      <c r="P498" t="e">
        <f>IF(IF(X$2="Catégorie",IF(X$3="Toutes",SUMIFS('Étape 1 - à remplir'!$F$31:$F$400,'Étape 1 - à remplir'!$E$31:$E$400,MASQ2!O498,'Étape 1 - à remplir'!$G$31:$G$400,"animaux"),SUMIFS('Étape 1 - à remplir'!$F$31:$F$400,'Étape 1 - à remplir'!$E$31:$E$400,MASQ2!O498,'Étape 1 - à remplir'!$C$31:$C$400,X$3)),IF(X$2="Âge",IF(X$3="Tous",SUMIFS('Étape 1 - à remplir'!$F$31:$F$400,'Étape 1 - à remplir'!$E$31:$E$400,MASQ2!O498,'Étape 1 - à remplir'!$G$31:$G$400,"animaux"),SUMIFS('Étape 1 - à remplir'!$F$31:$F$400,'Étape 1 - à remplir'!$E$31:$E$400,MASQ2!O498,'Étape 1 - à remplir'!$P$31:$P$400,X$3)),IF(X$2="Atelier",IF(X$3="Tous",SUMIFS('Étape 1 - à remplir'!$F$31:$F$400,'Étape 1 - à remplir'!$E$31:$E$400,MASQ2!O498,'Étape 1 - à remplir'!$G$31:$G$400,"animaux"),SUMIFS('Étape 1 - à remplir'!$F$31:$F$400,'Étape 1 - à remplir'!$E$31:$E$400,MASQ2!O498,'Étape 1 - à remplir'!$O$31:$O$400,X$3)),IF(X$2="Espèce",IF(X$3="Toutes",SUMIFS('Étape 1 - à remplir'!$F$31:$F$400,'Étape 1 - à remplir'!$E$31:$E$400,MASQ2!O498,'Étape 1 - à remplir'!$G$31:$G$400,"animaux"),SUMIFS('Étape 1 - à remplir'!$F$31:$F$400,'Étape 1 - à remplir'!$E$31:$E$400,MASQ2!O498,'Étape 1 - à remplir'!$N$31:$N$400,X$3))))))=0,NA(),IF(X$2="Catégorie",IF(X$3="Toutes",SUMIFS('Étape 1 - à remplir'!$F$31:$F$400,'Étape 1 - à remplir'!$E$31:$E$400,MASQ2!O498,'Étape 1 - à remplir'!$G$31:$G$400,"animaux"),SUMIFS('Étape 1 - à remplir'!$F$31:$F$400,'Étape 1 - à remplir'!$E$31:$E$400,MASQ2!O498,'Étape 1 - à remplir'!$C$31:$C$400,X$3)),IF(X$2="Âge",IF(X$3="Tous",SUMIFS('Étape 1 - à remplir'!$F$31:$F$400,'Étape 1 - à remplir'!$E$31:$E$400,MASQ2!O498,'Étape 1 - à remplir'!$G$31:$G$400,"animaux"),SUMIFS('Étape 1 - à remplir'!$F$31:$F$400,'Étape 1 - à remplir'!$E$31:$E$400,MASQ2!O498,'Étape 1 - à remplir'!$P$31:$P$400,X$3)),IF(X$2="Atelier",IF(X$3="Tous",SUMIFS('Étape 1 - à remplir'!$F$31:$F$400,'Étape 1 - à remplir'!$E$31:$E$400,MASQ2!O498,'Étape 1 - à remplir'!$G$31:$G$400,"animaux"),SUMIFS('Étape 1 - à remplir'!$F$31:$F$400,'Étape 1 - à remplir'!$E$31:$E$400,MASQ2!O498,'Étape 1 - à remplir'!$O$31:$O$400,X$3)),IF(X$2="Espèce",IF(X$3="Toutes",SUMIFS('Étape 1 - à remplir'!$F$31:$F$400,'Étape 1 - à remplir'!$E$31:$E$400,MASQ2!O498,'Étape 1 - à remplir'!$G$31:$G$400,"animaux"),SUMIFS('Étape 1 - à remplir'!$F$31:$F$400,'Étape 1 - à remplir'!$E$31:$E$400,MASQ2!O498,'Étape 1 - à remplir'!$N$31:$N$400,X$3)))))))</f>
        <v>#N/A</v>
      </c>
      <c r="Q498" s="63">
        <f t="shared" si="310"/>
        <v>0</v>
      </c>
      <c r="R498" t="str">
        <f>Données_ATB!BM497</f>
        <v>Tiamuline</v>
      </c>
      <c r="S498" t="str">
        <f>Données_ATB!BN497</f>
        <v/>
      </c>
      <c r="T498" s="63" t="str">
        <f>Données_ATB!BO497</f>
        <v/>
      </c>
      <c r="U498" s="42" t="str">
        <f>Données_ATB!BQ497</f>
        <v>Pleuromutilines</v>
      </c>
      <c r="V498" t="str">
        <f>Données_ATB!BR497</f>
        <v/>
      </c>
      <c r="W498" s="63" t="str">
        <f>Données_ATB!BS497</f>
        <v/>
      </c>
      <c r="Z498" s="42">
        <v>495</v>
      </c>
      <c r="AA498" t="e">
        <f t="shared" si="306"/>
        <v>#N/A</v>
      </c>
      <c r="AB498" s="63" t="e">
        <f t="shared" si="307"/>
        <v>#N/A</v>
      </c>
      <c r="BF498" s="63"/>
      <c r="BT498" s="194" t="str">
        <f t="shared" ca="1" si="290"/>
        <v/>
      </c>
      <c r="BU498" s="219" t="str">
        <f>IFERROR(IF(BX498=0,"",COUNTIF(BX$4:BX$600,"&gt;"&amp;BX498)+COUNTIF(BX$4:BX498,BX498)),"")</f>
        <v/>
      </c>
      <c r="BV498" s="42" t="str">
        <f t="shared" si="291"/>
        <v>TIAMUVAL PREMELANGE MEDICAMENTEUX TIAMULINE 16,2 PNEUMONIE VOLAILLE-PORC</v>
      </c>
      <c r="BW498" t="e">
        <f>IF(IF(CE$2="Catégorie",IF(CE$3="Toutes",SUMIFS('Étape 1 - à remplir'!$F$31:$F$400,'Étape 1 - à remplir'!$E$31:$E$400,MASQ2!BV498,'Étape 1 - à remplir'!$G$31:$G$400,"lots"),SUMIFS('Étape 1 - à remplir'!$F$31:$F$400,'Étape 1 - à remplir'!$E$31:$E$400,MASQ2!BV498,'Étape 1 - à remplir'!$C$31:$C$400,CE$3)),IF(CE$2="Âge",IF(CE$3="Tous",SUMIFS('Étape 1 - à remplir'!$F$31:$F$400,'Étape 1 - à remplir'!$E$31:$E$400,MASQ2!BV498,'Étape 1 - à remplir'!$G$31:$G$400,"lots"),SUMIFS('Étape 1 - à remplir'!$F$31:$F$400,'Étape 1 - à remplir'!$E$31:$E$400,MASQ2!BV498,'Étape 1 - à remplir'!$P$31:$P$400,CE$3,'Étape 1 - à remplir'!$G$31:$G$400,"lots")),IF(CE$2="Atelier",IF(CE$3="Tous",SUMIFS('Étape 1 - à remplir'!$F$31:$F$400,'Étape 1 - à remplir'!$E$31:$E$400,MASQ2!BV498,'Étape 1 - à remplir'!$G$31:$G$400,"lots"),SUMIFS('Étape 1 - à remplir'!$F$31:$F$400,'Étape 1 - à remplir'!$E$31:$E$400,MASQ2!BV498,'Étape 1 - à remplir'!$O$31:$O$400,CE$3,'Étape 1 - à remplir'!$G$31:$G$400,"lots")),IF(CE$2="Espèce",IF(CE$3="Toutes",SUMIFS('Étape 1 - à remplir'!$F$31:$F$400,'Étape 1 - à remplir'!$E$31:$E$400,MASQ2!BV498,'Étape 1 - à remplir'!$G$31:$G$400,"lots"),SUMIFS('Étape 1 - à remplir'!$F$31:$F$400,'Étape 1 - à remplir'!$E$31:$E$400,MASQ2!BV498,'Étape 1 - à remplir'!$N$31:$N$400,CE$3,'Étape 1 - à remplir'!$G$31:$G$400,"lots"))))))=0,NA(),IF(CE$2="Catégorie",IF(CE$3="Toutes",SUMIFS('Étape 1 - à remplir'!$F$31:$F$400,'Étape 1 - à remplir'!$E$31:$E$400,MASQ2!BV498,'Étape 1 - à remplir'!$G$31:$G$400,"lots"),SUMIFS('Étape 1 - à remplir'!$F$31:$F$400,'Étape 1 - à remplir'!$E$31:$E$400,MASQ2!BV498,'Étape 1 - à remplir'!$C$31:$C$400,CE$3)),IF(CE$2="Âge",IF(CE$3="Tous",SUMIFS('Étape 1 - à remplir'!$F$31:$F$400,'Étape 1 - à remplir'!$E$31:$E$400,MASQ2!BV498,'Étape 1 - à remplir'!$G$31:$G$400,"lots"),SUMIFS('Étape 1 - à remplir'!$F$31:$F$400,'Étape 1 - à remplir'!$E$31:$E$400,MASQ2!BV498,'Étape 1 - à remplir'!$P$31:$P$400,CE$3,'Étape 1 - à remplir'!$G$31:$G$400,"lots")),IF(CE$2="Atelier",IF(CE$3="Tous",SUMIFS('Étape 1 - à remplir'!$F$31:$F$400,'Étape 1 - à remplir'!$E$31:$E$400,MASQ2!BV498,'Étape 1 - à remplir'!$G$31:$G$400,"lots"),SUMIFS('Étape 1 - à remplir'!$F$31:$F$400,'Étape 1 - à remplir'!$E$31:$E$400,MASQ2!BV498,'Étape 1 - à remplir'!$O$31:$O$400,CE$3,'Étape 1 - à remplir'!$G$31:$G$400,"lots")),IF(CE$2="Espèce",IF(CE$3="Toutes",SUMIFS('Étape 1 - à remplir'!$F$31:$F$400,'Étape 1 - à remplir'!$E$31:$E$400,MASQ2!BV498,'Étape 1 - à remplir'!$G$31:$G$400,"lots"),SUMIFS('Étape 1 - à remplir'!$F$31:$F$400,'Étape 1 - à remplir'!$E$31:$E$400,MASQ2!BV498,'Étape 1 - à remplir'!$N$31:$N$400,CE$3,'Étape 1 - à remplir'!$G$31:$G$400,"lots")))))))</f>
        <v>#N/A</v>
      </c>
      <c r="BX498">
        <f t="shared" si="308"/>
        <v>0</v>
      </c>
      <c r="BY498" t="str">
        <f t="shared" si="292"/>
        <v>Tiamuline</v>
      </c>
      <c r="BZ498" t="str">
        <f t="shared" si="293"/>
        <v/>
      </c>
      <c r="CA498" t="str">
        <f t="shared" si="294"/>
        <v/>
      </c>
      <c r="CB498" t="str">
        <f t="shared" si="295"/>
        <v>Pleuromutilines</v>
      </c>
      <c r="CC498" t="str">
        <f t="shared" si="296"/>
        <v/>
      </c>
      <c r="CD498" s="63" t="str">
        <f t="shared" si="297"/>
        <v/>
      </c>
      <c r="CG498" s="42">
        <v>495</v>
      </c>
      <c r="CH498" s="42" t="e">
        <f t="shared" si="313"/>
        <v>#N/A</v>
      </c>
      <c r="CI498" s="63" t="e">
        <f t="shared" si="314"/>
        <v>#N/A</v>
      </c>
      <c r="DM498" s="63"/>
      <c r="EA498" s="194" t="str">
        <f t="shared" ca="1" si="298"/>
        <v/>
      </c>
      <c r="EB498" s="226" t="str">
        <f>IFERROR(IF(ED498=0,"",COUNTIF(ED$4:ED$600,"&gt;"&amp;ED498)+COUNTIF(ED$4:ED498,ED498)),"")</f>
        <v/>
      </c>
      <c r="EC498" t="str">
        <f t="shared" si="299"/>
        <v>TIAMUVAL PREMELANGE MEDICAMENTEUX TIAMULINE 16,2 PNEUMONIE VOLAILLE-PORC</v>
      </c>
      <c r="ED498" t="e">
        <f>IF(IF(EL$2="Catégorie",IF(EL$3="Toutes",SUMIFS('Étape 1 - à remplir'!$F$31:$F$400,'Étape 1 - à remplir'!$E$31:$E$400,MASQ2!EC498,'Étape 1 - à remplir'!$G$31:$G$400,"kg"),SUMIFS('Étape 1 - à remplir'!$F$31:$F$400,'Étape 1 - à remplir'!$E$31:$E$400,MASQ2!EC498,'Étape 1 - à remplir'!$C$31:$C$400,EL$3)),IF(EL$2="Âge",IF(EL$3="Tous",SUMIFS('Étape 1 - à remplir'!$F$31:$F$400,'Étape 1 - à remplir'!$E$31:$E$400,MASQ2!EC498,'Étape 1 - à remplir'!$G$31:$G$400,"kg"),SUMIFS('Étape 1 - à remplir'!$F$31:$F$400,'Étape 1 - à remplir'!$E$31:$E$400,MASQ2!EC498,'Étape 1 - à remplir'!$P$31:$P$400,EL$3,'Étape 1 - à remplir'!$G$31:$G$400,"kg")),IF(EL$2="Atelier",IF(EL$3="Tous",SUMIFS('Étape 1 - à remplir'!$F$31:$F$400,'Étape 1 - à remplir'!$E$31:$E$400,MASQ2!EC498,'Étape 1 - à remplir'!$G$31:$G$400,"kg"),SUMIFS('Étape 1 - à remplir'!$F$31:$F$400,'Étape 1 - à remplir'!$E$31:$E$400,MASQ2!EC498,'Étape 1 - à remplir'!$O$31:$O$400,EL$3,'Étape 1 - à remplir'!$G$31:$G$400,"kg")),IF(EL$2="Espèce",IF(EL$3="Toutes",SUMIFS('Étape 1 - à remplir'!$F$31:$F$400,'Étape 1 - à remplir'!$E$31:$E$400,MASQ2!EC498,'Étape 1 - à remplir'!$G$31:$G$400,"kg"),SUMIFS('Étape 1 - à remplir'!$F$31:$F$400,'Étape 1 - à remplir'!$E$31:$E$400,MASQ2!EC498,'Étape 1 - à remplir'!$N$31:$N$400,EL$3,'Étape 1 - à remplir'!$G$31:$G$400,"kg"))))))=0,NA(),IF(EL$2="Catégorie",IF(EL$3="Toutes",SUMIFS('Étape 1 - à remplir'!$F$31:$F$400,'Étape 1 - à remplir'!$E$31:$E$400,MASQ2!EC498,'Étape 1 - à remplir'!$G$31:$G$400,"kg"),SUMIFS('Étape 1 - à remplir'!$F$31:$F$400,'Étape 1 - à remplir'!$E$31:$E$400,MASQ2!EC498,'Étape 1 - à remplir'!$C$31:$C$400,EL$3)),IF(EL$2="Âge",IF(EL$3="Tous",SUMIFS('Étape 1 - à remplir'!$F$31:$F$400,'Étape 1 - à remplir'!$E$31:$E$400,MASQ2!EC498,'Étape 1 - à remplir'!$G$31:$G$400,"kg"),SUMIFS('Étape 1 - à remplir'!$F$31:$F$400,'Étape 1 - à remplir'!$E$31:$E$400,MASQ2!EC498,'Étape 1 - à remplir'!$P$31:$P$400,EL$3,'Étape 1 - à remplir'!$G$31:$G$400,"kg")),IF(EL$2="Atelier",IF(EL$3="Tous",SUMIFS('Étape 1 - à remplir'!$F$31:$F$400,'Étape 1 - à remplir'!$E$31:$E$400,MASQ2!EC498,'Étape 1 - à remplir'!$G$31:$G$400,"kg"),SUMIFS('Étape 1 - à remplir'!$F$31:$F$400,'Étape 1 - à remplir'!$E$31:$E$400,MASQ2!EC498,'Étape 1 - à remplir'!$O$31:$O$400,EL$3,'Étape 1 - à remplir'!$G$31:$G$400,"kg")),IF(EL$2="Espèce",IF(EL$3="Toutes",SUMIFS('Étape 1 - à remplir'!$F$31:$F$400,'Étape 1 - à remplir'!$E$31:$E$400,MASQ2!EC498,'Étape 1 - à remplir'!$G$31:$G$400,"kg"),SUMIFS('Étape 1 - à remplir'!$F$31:$F$400,'Étape 1 - à remplir'!$E$31:$E$400,MASQ2!EC498,'Étape 1 - à remplir'!$N$31:$N$400,EL$3,'Étape 1 - à remplir'!$G$31:$G$400,"kg")))))))</f>
        <v>#N/A</v>
      </c>
      <c r="EE498" s="76">
        <f t="shared" si="309"/>
        <v>0</v>
      </c>
      <c r="EF498" t="str">
        <f t="shared" si="300"/>
        <v>Tiamuline</v>
      </c>
      <c r="EG498" t="str">
        <f t="shared" si="301"/>
        <v/>
      </c>
      <c r="EH498" t="str">
        <f t="shared" si="302"/>
        <v/>
      </c>
      <c r="EI498" t="str">
        <f t="shared" si="303"/>
        <v>Pleuromutilines</v>
      </c>
      <c r="EJ498" t="str">
        <f t="shared" si="304"/>
        <v/>
      </c>
      <c r="EK498" s="63" t="str">
        <f t="shared" si="305"/>
        <v/>
      </c>
      <c r="EN498" s="42">
        <v>495</v>
      </c>
      <c r="EO498" t="e">
        <f t="shared" si="311"/>
        <v>#N/A</v>
      </c>
      <c r="EP498" s="63" t="e">
        <f t="shared" si="312"/>
        <v>#N/A</v>
      </c>
      <c r="FT498" s="63"/>
    </row>
    <row r="499" spans="2:176" x14ac:dyDescent="0.3">
      <c r="B499" s="42"/>
      <c r="M499" s="194" t="str">
        <f ca="1">INDEX(Données_ATB!BD:BU,MATCH(MASQ2!O499,Données_ATB!BD:BD,0),18)</f>
        <v/>
      </c>
      <c r="N499" s="14" t="str">
        <f>IFERROR(IF(Q499=0,"",COUNTIF(Q$4:Q$600,"&gt;"&amp;Q499)+COUNTIF(Q$4:Q499,Q499)),"")</f>
        <v/>
      </c>
      <c r="O499" t="str">
        <f>Données_ATB!BD498</f>
        <v>TIAMUVAL PREMELANGE MEDICAMENTEUX TIAMULINE 6,5 ENTERITE PORC ENTEROCOLITE LAPIN</v>
      </c>
      <c r="P499" t="e">
        <f>IF(IF(X$2="Catégorie",IF(X$3="Toutes",SUMIFS('Étape 1 - à remplir'!$F$31:$F$400,'Étape 1 - à remplir'!$E$31:$E$400,MASQ2!O499,'Étape 1 - à remplir'!$G$31:$G$400,"animaux"),SUMIFS('Étape 1 - à remplir'!$F$31:$F$400,'Étape 1 - à remplir'!$E$31:$E$400,MASQ2!O499,'Étape 1 - à remplir'!$C$31:$C$400,X$3)),IF(X$2="Âge",IF(X$3="Tous",SUMIFS('Étape 1 - à remplir'!$F$31:$F$400,'Étape 1 - à remplir'!$E$31:$E$400,MASQ2!O499,'Étape 1 - à remplir'!$G$31:$G$400,"animaux"),SUMIFS('Étape 1 - à remplir'!$F$31:$F$400,'Étape 1 - à remplir'!$E$31:$E$400,MASQ2!O499,'Étape 1 - à remplir'!$P$31:$P$400,X$3)),IF(X$2="Atelier",IF(X$3="Tous",SUMIFS('Étape 1 - à remplir'!$F$31:$F$400,'Étape 1 - à remplir'!$E$31:$E$400,MASQ2!O499,'Étape 1 - à remplir'!$G$31:$G$400,"animaux"),SUMIFS('Étape 1 - à remplir'!$F$31:$F$400,'Étape 1 - à remplir'!$E$31:$E$400,MASQ2!O499,'Étape 1 - à remplir'!$O$31:$O$400,X$3)),IF(X$2="Espèce",IF(X$3="Toutes",SUMIFS('Étape 1 - à remplir'!$F$31:$F$400,'Étape 1 - à remplir'!$E$31:$E$400,MASQ2!O499,'Étape 1 - à remplir'!$G$31:$G$400,"animaux"),SUMIFS('Étape 1 - à remplir'!$F$31:$F$400,'Étape 1 - à remplir'!$E$31:$E$400,MASQ2!O499,'Étape 1 - à remplir'!$N$31:$N$400,X$3))))))=0,NA(),IF(X$2="Catégorie",IF(X$3="Toutes",SUMIFS('Étape 1 - à remplir'!$F$31:$F$400,'Étape 1 - à remplir'!$E$31:$E$400,MASQ2!O499,'Étape 1 - à remplir'!$G$31:$G$400,"animaux"),SUMIFS('Étape 1 - à remplir'!$F$31:$F$400,'Étape 1 - à remplir'!$E$31:$E$400,MASQ2!O499,'Étape 1 - à remplir'!$C$31:$C$400,X$3)),IF(X$2="Âge",IF(X$3="Tous",SUMIFS('Étape 1 - à remplir'!$F$31:$F$400,'Étape 1 - à remplir'!$E$31:$E$400,MASQ2!O499,'Étape 1 - à remplir'!$G$31:$G$400,"animaux"),SUMIFS('Étape 1 - à remplir'!$F$31:$F$400,'Étape 1 - à remplir'!$E$31:$E$400,MASQ2!O499,'Étape 1 - à remplir'!$P$31:$P$400,X$3)),IF(X$2="Atelier",IF(X$3="Tous",SUMIFS('Étape 1 - à remplir'!$F$31:$F$400,'Étape 1 - à remplir'!$E$31:$E$400,MASQ2!O499,'Étape 1 - à remplir'!$G$31:$G$400,"animaux"),SUMIFS('Étape 1 - à remplir'!$F$31:$F$400,'Étape 1 - à remplir'!$E$31:$E$400,MASQ2!O499,'Étape 1 - à remplir'!$O$31:$O$400,X$3)),IF(X$2="Espèce",IF(X$3="Toutes",SUMIFS('Étape 1 - à remplir'!$F$31:$F$400,'Étape 1 - à remplir'!$E$31:$E$400,MASQ2!O499,'Étape 1 - à remplir'!$G$31:$G$400,"animaux"),SUMIFS('Étape 1 - à remplir'!$F$31:$F$400,'Étape 1 - à remplir'!$E$31:$E$400,MASQ2!O499,'Étape 1 - à remplir'!$N$31:$N$400,X$3)))))))</f>
        <v>#N/A</v>
      </c>
      <c r="Q499" s="63">
        <f t="shared" si="310"/>
        <v>0</v>
      </c>
      <c r="R499" t="str">
        <f>Données_ATB!BM498</f>
        <v>Tiamuline</v>
      </c>
      <c r="S499" t="str">
        <f>Données_ATB!BN498</f>
        <v/>
      </c>
      <c r="T499" s="63" t="str">
        <f>Données_ATB!BO498</f>
        <v/>
      </c>
      <c r="U499" s="42" t="str">
        <f>Données_ATB!BQ498</f>
        <v>Pleuromutilines</v>
      </c>
      <c r="V499" t="str">
        <f>Données_ATB!BR498</f>
        <v/>
      </c>
      <c r="W499" s="63" t="str">
        <f>Données_ATB!BS498</f>
        <v/>
      </c>
      <c r="Z499" s="42">
        <v>496</v>
      </c>
      <c r="AA499" t="e">
        <f t="shared" si="306"/>
        <v>#N/A</v>
      </c>
      <c r="AB499" s="63" t="e">
        <f t="shared" si="307"/>
        <v>#N/A</v>
      </c>
      <c r="BF499" s="63"/>
      <c r="BT499" s="194" t="str">
        <f t="shared" ca="1" si="290"/>
        <v/>
      </c>
      <c r="BU499" s="219" t="str">
        <f>IFERROR(IF(BX499=0,"",COUNTIF(BX$4:BX$600,"&gt;"&amp;BX499)+COUNTIF(BX$4:BX499,BX499)),"")</f>
        <v/>
      </c>
      <c r="BV499" s="42" t="str">
        <f t="shared" si="291"/>
        <v>TIAMUVAL PREMELANGE MEDICAMENTEUX TIAMULINE 6,5 ENTERITE PORC ENTEROCOLITE LAPIN</v>
      </c>
      <c r="BW499" t="e">
        <f>IF(IF(CE$2="Catégorie",IF(CE$3="Toutes",SUMIFS('Étape 1 - à remplir'!$F$31:$F$400,'Étape 1 - à remplir'!$E$31:$E$400,MASQ2!BV499,'Étape 1 - à remplir'!$G$31:$G$400,"lots"),SUMIFS('Étape 1 - à remplir'!$F$31:$F$400,'Étape 1 - à remplir'!$E$31:$E$400,MASQ2!BV499,'Étape 1 - à remplir'!$C$31:$C$400,CE$3)),IF(CE$2="Âge",IF(CE$3="Tous",SUMIFS('Étape 1 - à remplir'!$F$31:$F$400,'Étape 1 - à remplir'!$E$31:$E$400,MASQ2!BV499,'Étape 1 - à remplir'!$G$31:$G$400,"lots"),SUMIFS('Étape 1 - à remplir'!$F$31:$F$400,'Étape 1 - à remplir'!$E$31:$E$400,MASQ2!BV499,'Étape 1 - à remplir'!$P$31:$P$400,CE$3,'Étape 1 - à remplir'!$G$31:$G$400,"lots")),IF(CE$2="Atelier",IF(CE$3="Tous",SUMIFS('Étape 1 - à remplir'!$F$31:$F$400,'Étape 1 - à remplir'!$E$31:$E$400,MASQ2!BV499,'Étape 1 - à remplir'!$G$31:$G$400,"lots"),SUMIFS('Étape 1 - à remplir'!$F$31:$F$400,'Étape 1 - à remplir'!$E$31:$E$400,MASQ2!BV499,'Étape 1 - à remplir'!$O$31:$O$400,CE$3,'Étape 1 - à remplir'!$G$31:$G$400,"lots")),IF(CE$2="Espèce",IF(CE$3="Toutes",SUMIFS('Étape 1 - à remplir'!$F$31:$F$400,'Étape 1 - à remplir'!$E$31:$E$400,MASQ2!BV499,'Étape 1 - à remplir'!$G$31:$G$400,"lots"),SUMIFS('Étape 1 - à remplir'!$F$31:$F$400,'Étape 1 - à remplir'!$E$31:$E$400,MASQ2!BV499,'Étape 1 - à remplir'!$N$31:$N$400,CE$3,'Étape 1 - à remplir'!$G$31:$G$400,"lots"))))))=0,NA(),IF(CE$2="Catégorie",IF(CE$3="Toutes",SUMIFS('Étape 1 - à remplir'!$F$31:$F$400,'Étape 1 - à remplir'!$E$31:$E$400,MASQ2!BV499,'Étape 1 - à remplir'!$G$31:$G$400,"lots"),SUMIFS('Étape 1 - à remplir'!$F$31:$F$400,'Étape 1 - à remplir'!$E$31:$E$400,MASQ2!BV499,'Étape 1 - à remplir'!$C$31:$C$400,CE$3)),IF(CE$2="Âge",IF(CE$3="Tous",SUMIFS('Étape 1 - à remplir'!$F$31:$F$400,'Étape 1 - à remplir'!$E$31:$E$400,MASQ2!BV499,'Étape 1 - à remplir'!$G$31:$G$400,"lots"),SUMIFS('Étape 1 - à remplir'!$F$31:$F$400,'Étape 1 - à remplir'!$E$31:$E$400,MASQ2!BV499,'Étape 1 - à remplir'!$P$31:$P$400,CE$3,'Étape 1 - à remplir'!$G$31:$G$400,"lots")),IF(CE$2="Atelier",IF(CE$3="Tous",SUMIFS('Étape 1 - à remplir'!$F$31:$F$400,'Étape 1 - à remplir'!$E$31:$E$400,MASQ2!BV499,'Étape 1 - à remplir'!$G$31:$G$400,"lots"),SUMIFS('Étape 1 - à remplir'!$F$31:$F$400,'Étape 1 - à remplir'!$E$31:$E$400,MASQ2!BV499,'Étape 1 - à remplir'!$O$31:$O$400,CE$3,'Étape 1 - à remplir'!$G$31:$G$400,"lots")),IF(CE$2="Espèce",IF(CE$3="Toutes",SUMIFS('Étape 1 - à remplir'!$F$31:$F$400,'Étape 1 - à remplir'!$E$31:$E$400,MASQ2!BV499,'Étape 1 - à remplir'!$G$31:$G$400,"lots"),SUMIFS('Étape 1 - à remplir'!$F$31:$F$400,'Étape 1 - à remplir'!$E$31:$E$400,MASQ2!BV499,'Étape 1 - à remplir'!$N$31:$N$400,CE$3,'Étape 1 - à remplir'!$G$31:$G$400,"lots")))))))</f>
        <v>#N/A</v>
      </c>
      <c r="BX499">
        <f t="shared" si="308"/>
        <v>0</v>
      </c>
      <c r="BY499" t="str">
        <f t="shared" si="292"/>
        <v>Tiamuline</v>
      </c>
      <c r="BZ499" t="str">
        <f t="shared" si="293"/>
        <v/>
      </c>
      <c r="CA499" t="str">
        <f t="shared" si="294"/>
        <v/>
      </c>
      <c r="CB499" t="str">
        <f t="shared" si="295"/>
        <v>Pleuromutilines</v>
      </c>
      <c r="CC499" t="str">
        <f t="shared" si="296"/>
        <v/>
      </c>
      <c r="CD499" s="63" t="str">
        <f t="shared" si="297"/>
        <v/>
      </c>
      <c r="CG499" s="42">
        <v>496</v>
      </c>
      <c r="CH499" s="42" t="e">
        <f t="shared" si="313"/>
        <v>#N/A</v>
      </c>
      <c r="CI499" s="63" t="e">
        <f t="shared" si="314"/>
        <v>#N/A</v>
      </c>
      <c r="DM499" s="63"/>
      <c r="EA499" s="194" t="str">
        <f t="shared" ca="1" si="298"/>
        <v/>
      </c>
      <c r="EB499" s="226" t="str">
        <f>IFERROR(IF(ED499=0,"",COUNTIF(ED$4:ED$600,"&gt;"&amp;ED499)+COUNTIF(ED$4:ED499,ED499)),"")</f>
        <v/>
      </c>
      <c r="EC499" t="str">
        <f t="shared" si="299"/>
        <v>TIAMUVAL PREMELANGE MEDICAMENTEUX TIAMULINE 6,5 ENTERITE PORC ENTEROCOLITE LAPIN</v>
      </c>
      <c r="ED499" t="e">
        <f>IF(IF(EL$2="Catégorie",IF(EL$3="Toutes",SUMIFS('Étape 1 - à remplir'!$F$31:$F$400,'Étape 1 - à remplir'!$E$31:$E$400,MASQ2!EC499,'Étape 1 - à remplir'!$G$31:$G$400,"kg"),SUMIFS('Étape 1 - à remplir'!$F$31:$F$400,'Étape 1 - à remplir'!$E$31:$E$400,MASQ2!EC499,'Étape 1 - à remplir'!$C$31:$C$400,EL$3)),IF(EL$2="Âge",IF(EL$3="Tous",SUMIFS('Étape 1 - à remplir'!$F$31:$F$400,'Étape 1 - à remplir'!$E$31:$E$400,MASQ2!EC499,'Étape 1 - à remplir'!$G$31:$G$400,"kg"),SUMIFS('Étape 1 - à remplir'!$F$31:$F$400,'Étape 1 - à remplir'!$E$31:$E$400,MASQ2!EC499,'Étape 1 - à remplir'!$P$31:$P$400,EL$3,'Étape 1 - à remplir'!$G$31:$G$400,"kg")),IF(EL$2="Atelier",IF(EL$3="Tous",SUMIFS('Étape 1 - à remplir'!$F$31:$F$400,'Étape 1 - à remplir'!$E$31:$E$400,MASQ2!EC499,'Étape 1 - à remplir'!$G$31:$G$400,"kg"),SUMIFS('Étape 1 - à remplir'!$F$31:$F$400,'Étape 1 - à remplir'!$E$31:$E$400,MASQ2!EC499,'Étape 1 - à remplir'!$O$31:$O$400,EL$3,'Étape 1 - à remplir'!$G$31:$G$400,"kg")),IF(EL$2="Espèce",IF(EL$3="Toutes",SUMIFS('Étape 1 - à remplir'!$F$31:$F$400,'Étape 1 - à remplir'!$E$31:$E$400,MASQ2!EC499,'Étape 1 - à remplir'!$G$31:$G$400,"kg"),SUMIFS('Étape 1 - à remplir'!$F$31:$F$400,'Étape 1 - à remplir'!$E$31:$E$400,MASQ2!EC499,'Étape 1 - à remplir'!$N$31:$N$400,EL$3,'Étape 1 - à remplir'!$G$31:$G$400,"kg"))))))=0,NA(),IF(EL$2="Catégorie",IF(EL$3="Toutes",SUMIFS('Étape 1 - à remplir'!$F$31:$F$400,'Étape 1 - à remplir'!$E$31:$E$400,MASQ2!EC499,'Étape 1 - à remplir'!$G$31:$G$400,"kg"),SUMIFS('Étape 1 - à remplir'!$F$31:$F$400,'Étape 1 - à remplir'!$E$31:$E$400,MASQ2!EC499,'Étape 1 - à remplir'!$C$31:$C$400,EL$3)),IF(EL$2="Âge",IF(EL$3="Tous",SUMIFS('Étape 1 - à remplir'!$F$31:$F$400,'Étape 1 - à remplir'!$E$31:$E$400,MASQ2!EC499,'Étape 1 - à remplir'!$G$31:$G$400,"kg"),SUMIFS('Étape 1 - à remplir'!$F$31:$F$400,'Étape 1 - à remplir'!$E$31:$E$400,MASQ2!EC499,'Étape 1 - à remplir'!$P$31:$P$400,EL$3,'Étape 1 - à remplir'!$G$31:$G$400,"kg")),IF(EL$2="Atelier",IF(EL$3="Tous",SUMIFS('Étape 1 - à remplir'!$F$31:$F$400,'Étape 1 - à remplir'!$E$31:$E$400,MASQ2!EC499,'Étape 1 - à remplir'!$G$31:$G$400,"kg"),SUMIFS('Étape 1 - à remplir'!$F$31:$F$400,'Étape 1 - à remplir'!$E$31:$E$400,MASQ2!EC499,'Étape 1 - à remplir'!$O$31:$O$400,EL$3,'Étape 1 - à remplir'!$G$31:$G$400,"kg")),IF(EL$2="Espèce",IF(EL$3="Toutes",SUMIFS('Étape 1 - à remplir'!$F$31:$F$400,'Étape 1 - à remplir'!$E$31:$E$400,MASQ2!EC499,'Étape 1 - à remplir'!$G$31:$G$400,"kg"),SUMIFS('Étape 1 - à remplir'!$F$31:$F$400,'Étape 1 - à remplir'!$E$31:$E$400,MASQ2!EC499,'Étape 1 - à remplir'!$N$31:$N$400,EL$3,'Étape 1 - à remplir'!$G$31:$G$400,"kg")))))))</f>
        <v>#N/A</v>
      </c>
      <c r="EE499" s="76">
        <f t="shared" si="309"/>
        <v>0</v>
      </c>
      <c r="EF499" t="str">
        <f t="shared" si="300"/>
        <v>Tiamuline</v>
      </c>
      <c r="EG499" t="str">
        <f t="shared" si="301"/>
        <v/>
      </c>
      <c r="EH499" t="str">
        <f t="shared" si="302"/>
        <v/>
      </c>
      <c r="EI499" t="str">
        <f t="shared" si="303"/>
        <v>Pleuromutilines</v>
      </c>
      <c r="EJ499" t="str">
        <f t="shared" si="304"/>
        <v/>
      </c>
      <c r="EK499" s="63" t="str">
        <f t="shared" si="305"/>
        <v/>
      </c>
      <c r="EN499" s="42">
        <v>496</v>
      </c>
      <c r="EO499" t="e">
        <f t="shared" si="311"/>
        <v>#N/A</v>
      </c>
      <c r="EP499" s="63" t="e">
        <f t="shared" si="312"/>
        <v>#N/A</v>
      </c>
      <c r="FT499" s="63"/>
    </row>
    <row r="500" spans="2:176" ht="15" thickBot="1" x14ac:dyDescent="0.35">
      <c r="B500" s="74"/>
      <c r="C500" s="64"/>
      <c r="D500" s="64"/>
      <c r="E500" s="64"/>
      <c r="F500" s="64"/>
      <c r="G500" s="64"/>
      <c r="H500" s="64"/>
      <c r="I500" s="64"/>
      <c r="J500" s="64"/>
      <c r="K500" s="64"/>
      <c r="M500" s="194" t="str">
        <f ca="1">INDEX(Données_ATB!BD:BU,MATCH(MASQ2!O500,Données_ATB!BD:BD,0),18)</f>
        <v/>
      </c>
      <c r="N500" s="14" t="str">
        <f>IFERROR(IF(Q500=0,"",COUNTIF(Q$4:Q$600,"&gt;"&amp;Q500)+COUNTIF(Q$4:Q500,Q500)),"")</f>
        <v/>
      </c>
      <c r="O500" t="str">
        <f>Données_ATB!BD499</f>
        <v>TIAMVET SOLUTION</v>
      </c>
      <c r="P500" t="e">
        <f>IF(IF(X$2="Catégorie",IF(X$3="Toutes",SUMIFS('Étape 1 - à remplir'!$F$31:$F$400,'Étape 1 - à remplir'!$E$31:$E$400,MASQ2!O500,'Étape 1 - à remplir'!$G$31:$G$400,"animaux"),SUMIFS('Étape 1 - à remplir'!$F$31:$F$400,'Étape 1 - à remplir'!$E$31:$E$400,MASQ2!O500,'Étape 1 - à remplir'!$C$31:$C$400,X$3)),IF(X$2="Âge",IF(X$3="Tous",SUMIFS('Étape 1 - à remplir'!$F$31:$F$400,'Étape 1 - à remplir'!$E$31:$E$400,MASQ2!O500,'Étape 1 - à remplir'!$G$31:$G$400,"animaux"),SUMIFS('Étape 1 - à remplir'!$F$31:$F$400,'Étape 1 - à remplir'!$E$31:$E$400,MASQ2!O500,'Étape 1 - à remplir'!$P$31:$P$400,X$3)),IF(X$2="Atelier",IF(X$3="Tous",SUMIFS('Étape 1 - à remplir'!$F$31:$F$400,'Étape 1 - à remplir'!$E$31:$E$400,MASQ2!O500,'Étape 1 - à remplir'!$G$31:$G$400,"animaux"),SUMIFS('Étape 1 - à remplir'!$F$31:$F$400,'Étape 1 - à remplir'!$E$31:$E$400,MASQ2!O500,'Étape 1 - à remplir'!$O$31:$O$400,X$3)),IF(X$2="Espèce",IF(X$3="Toutes",SUMIFS('Étape 1 - à remplir'!$F$31:$F$400,'Étape 1 - à remplir'!$E$31:$E$400,MASQ2!O500,'Étape 1 - à remplir'!$G$31:$G$400,"animaux"),SUMIFS('Étape 1 - à remplir'!$F$31:$F$400,'Étape 1 - à remplir'!$E$31:$E$400,MASQ2!O500,'Étape 1 - à remplir'!$N$31:$N$400,X$3))))))=0,NA(),IF(X$2="Catégorie",IF(X$3="Toutes",SUMIFS('Étape 1 - à remplir'!$F$31:$F$400,'Étape 1 - à remplir'!$E$31:$E$400,MASQ2!O500,'Étape 1 - à remplir'!$G$31:$G$400,"animaux"),SUMIFS('Étape 1 - à remplir'!$F$31:$F$400,'Étape 1 - à remplir'!$E$31:$E$400,MASQ2!O500,'Étape 1 - à remplir'!$C$31:$C$400,X$3)),IF(X$2="Âge",IF(X$3="Tous",SUMIFS('Étape 1 - à remplir'!$F$31:$F$400,'Étape 1 - à remplir'!$E$31:$E$400,MASQ2!O500,'Étape 1 - à remplir'!$G$31:$G$400,"animaux"),SUMIFS('Étape 1 - à remplir'!$F$31:$F$400,'Étape 1 - à remplir'!$E$31:$E$400,MASQ2!O500,'Étape 1 - à remplir'!$P$31:$P$400,X$3)),IF(X$2="Atelier",IF(X$3="Tous",SUMIFS('Étape 1 - à remplir'!$F$31:$F$400,'Étape 1 - à remplir'!$E$31:$E$400,MASQ2!O500,'Étape 1 - à remplir'!$G$31:$G$400,"animaux"),SUMIFS('Étape 1 - à remplir'!$F$31:$F$400,'Étape 1 - à remplir'!$E$31:$E$400,MASQ2!O500,'Étape 1 - à remplir'!$O$31:$O$400,X$3)),IF(X$2="Espèce",IF(X$3="Toutes",SUMIFS('Étape 1 - à remplir'!$F$31:$F$400,'Étape 1 - à remplir'!$E$31:$E$400,MASQ2!O500,'Étape 1 - à remplir'!$G$31:$G$400,"animaux"),SUMIFS('Étape 1 - à remplir'!$F$31:$F$400,'Étape 1 - à remplir'!$E$31:$E$400,MASQ2!O500,'Étape 1 - à remplir'!$N$31:$N$400,X$3)))))))</f>
        <v>#N/A</v>
      </c>
      <c r="Q500" s="63">
        <f t="shared" si="310"/>
        <v>0</v>
      </c>
      <c r="R500" t="str">
        <f>Données_ATB!BM499</f>
        <v>Tiamuline</v>
      </c>
      <c r="S500" t="str">
        <f>Données_ATB!BN499</f>
        <v/>
      </c>
      <c r="T500" s="63" t="str">
        <f>Données_ATB!BO499</f>
        <v/>
      </c>
      <c r="U500" s="42" t="str">
        <f>Données_ATB!BQ499</f>
        <v>Pleuromutilines</v>
      </c>
      <c r="V500" t="str">
        <f>Données_ATB!BR499</f>
        <v/>
      </c>
      <c r="W500" s="63" t="str">
        <f>Données_ATB!BS499</f>
        <v/>
      </c>
      <c r="Z500" s="42">
        <v>497</v>
      </c>
      <c r="AA500" t="e">
        <f t="shared" si="306"/>
        <v>#N/A</v>
      </c>
      <c r="AB500" s="63" t="e">
        <f t="shared" si="307"/>
        <v>#N/A</v>
      </c>
      <c r="AD500" s="75"/>
      <c r="AE500" s="75"/>
      <c r="AF500" s="64"/>
      <c r="AG500" s="64"/>
      <c r="AH500" s="64"/>
      <c r="AI500" s="64"/>
      <c r="AJ500" s="64"/>
      <c r="AK500" s="64"/>
      <c r="AL500" s="75"/>
      <c r="AM500" s="75"/>
      <c r="AN500" s="64"/>
      <c r="AO500" s="64"/>
      <c r="AP500" s="64"/>
      <c r="AQ500" s="64"/>
      <c r="AR500" s="64"/>
      <c r="AS500" s="64"/>
      <c r="AT500" s="64"/>
      <c r="AU500" s="64"/>
      <c r="AV500" s="64"/>
      <c r="AW500" s="64"/>
      <c r="AX500" s="64"/>
      <c r="AY500" s="64"/>
      <c r="AZ500" s="64"/>
      <c r="BA500" s="64"/>
      <c r="BB500" s="64"/>
      <c r="BC500" s="64"/>
      <c r="BD500" s="64"/>
      <c r="BE500" s="64"/>
      <c r="BF500" s="65"/>
      <c r="BL500" s="64"/>
      <c r="BM500" s="64"/>
      <c r="BN500" s="64"/>
      <c r="BO500" s="64"/>
      <c r="BP500" s="64"/>
      <c r="BQ500" s="64"/>
      <c r="BR500" s="64"/>
      <c r="BT500" s="194" t="str">
        <f t="shared" ca="1" si="290"/>
        <v/>
      </c>
      <c r="BU500" s="219" t="str">
        <f>IFERROR(IF(BX500=0,"",COUNTIF(BX$4:BX$600,"&gt;"&amp;BX500)+COUNTIF(BX$4:BX500,BX500)),"")</f>
        <v/>
      </c>
      <c r="BV500" s="42" t="str">
        <f t="shared" si="291"/>
        <v>TIAMVET SOLUTION</v>
      </c>
      <c r="BW500" t="e">
        <f>IF(IF(CE$2="Catégorie",IF(CE$3="Toutes",SUMIFS('Étape 1 - à remplir'!$F$31:$F$400,'Étape 1 - à remplir'!$E$31:$E$400,MASQ2!BV500,'Étape 1 - à remplir'!$G$31:$G$400,"lots"),SUMIFS('Étape 1 - à remplir'!$F$31:$F$400,'Étape 1 - à remplir'!$E$31:$E$400,MASQ2!BV500,'Étape 1 - à remplir'!$C$31:$C$400,CE$3)),IF(CE$2="Âge",IF(CE$3="Tous",SUMIFS('Étape 1 - à remplir'!$F$31:$F$400,'Étape 1 - à remplir'!$E$31:$E$400,MASQ2!BV500,'Étape 1 - à remplir'!$G$31:$G$400,"lots"),SUMIFS('Étape 1 - à remplir'!$F$31:$F$400,'Étape 1 - à remplir'!$E$31:$E$400,MASQ2!BV500,'Étape 1 - à remplir'!$P$31:$P$400,CE$3,'Étape 1 - à remplir'!$G$31:$G$400,"lots")),IF(CE$2="Atelier",IF(CE$3="Tous",SUMIFS('Étape 1 - à remplir'!$F$31:$F$400,'Étape 1 - à remplir'!$E$31:$E$400,MASQ2!BV500,'Étape 1 - à remplir'!$G$31:$G$400,"lots"),SUMIFS('Étape 1 - à remplir'!$F$31:$F$400,'Étape 1 - à remplir'!$E$31:$E$400,MASQ2!BV500,'Étape 1 - à remplir'!$O$31:$O$400,CE$3,'Étape 1 - à remplir'!$G$31:$G$400,"lots")),IF(CE$2="Espèce",IF(CE$3="Toutes",SUMIFS('Étape 1 - à remplir'!$F$31:$F$400,'Étape 1 - à remplir'!$E$31:$E$400,MASQ2!BV500,'Étape 1 - à remplir'!$G$31:$G$400,"lots"),SUMIFS('Étape 1 - à remplir'!$F$31:$F$400,'Étape 1 - à remplir'!$E$31:$E$400,MASQ2!BV500,'Étape 1 - à remplir'!$N$31:$N$400,CE$3,'Étape 1 - à remplir'!$G$31:$G$400,"lots"))))))=0,NA(),IF(CE$2="Catégorie",IF(CE$3="Toutes",SUMIFS('Étape 1 - à remplir'!$F$31:$F$400,'Étape 1 - à remplir'!$E$31:$E$400,MASQ2!BV500,'Étape 1 - à remplir'!$G$31:$G$400,"lots"),SUMIFS('Étape 1 - à remplir'!$F$31:$F$400,'Étape 1 - à remplir'!$E$31:$E$400,MASQ2!BV500,'Étape 1 - à remplir'!$C$31:$C$400,CE$3)),IF(CE$2="Âge",IF(CE$3="Tous",SUMIFS('Étape 1 - à remplir'!$F$31:$F$400,'Étape 1 - à remplir'!$E$31:$E$400,MASQ2!BV500,'Étape 1 - à remplir'!$G$31:$G$400,"lots"),SUMIFS('Étape 1 - à remplir'!$F$31:$F$400,'Étape 1 - à remplir'!$E$31:$E$400,MASQ2!BV500,'Étape 1 - à remplir'!$P$31:$P$400,CE$3,'Étape 1 - à remplir'!$G$31:$G$400,"lots")),IF(CE$2="Atelier",IF(CE$3="Tous",SUMIFS('Étape 1 - à remplir'!$F$31:$F$400,'Étape 1 - à remplir'!$E$31:$E$400,MASQ2!BV500,'Étape 1 - à remplir'!$G$31:$G$400,"lots"),SUMIFS('Étape 1 - à remplir'!$F$31:$F$400,'Étape 1 - à remplir'!$E$31:$E$400,MASQ2!BV500,'Étape 1 - à remplir'!$O$31:$O$400,CE$3,'Étape 1 - à remplir'!$G$31:$G$400,"lots")),IF(CE$2="Espèce",IF(CE$3="Toutes",SUMIFS('Étape 1 - à remplir'!$F$31:$F$400,'Étape 1 - à remplir'!$E$31:$E$400,MASQ2!BV500,'Étape 1 - à remplir'!$G$31:$G$400,"lots"),SUMIFS('Étape 1 - à remplir'!$F$31:$F$400,'Étape 1 - à remplir'!$E$31:$E$400,MASQ2!BV500,'Étape 1 - à remplir'!$N$31:$N$400,CE$3,'Étape 1 - à remplir'!$G$31:$G$400,"lots")))))))</f>
        <v>#N/A</v>
      </c>
      <c r="BX500">
        <f t="shared" si="308"/>
        <v>0</v>
      </c>
      <c r="BY500" t="str">
        <f t="shared" si="292"/>
        <v>Tiamuline</v>
      </c>
      <c r="BZ500" t="str">
        <f t="shared" si="293"/>
        <v/>
      </c>
      <c r="CA500" t="str">
        <f t="shared" si="294"/>
        <v/>
      </c>
      <c r="CB500" t="str">
        <f t="shared" si="295"/>
        <v>Pleuromutilines</v>
      </c>
      <c r="CC500" t="str">
        <f t="shared" si="296"/>
        <v/>
      </c>
      <c r="CD500" s="63" t="str">
        <f t="shared" si="297"/>
        <v/>
      </c>
      <c r="CE500" s="64"/>
      <c r="CF500" s="64"/>
      <c r="CG500" s="42">
        <v>497</v>
      </c>
      <c r="CH500" s="42" t="e">
        <f t="shared" si="313"/>
        <v>#N/A</v>
      </c>
      <c r="CI500" s="63" t="e">
        <f t="shared" si="314"/>
        <v>#N/A</v>
      </c>
      <c r="CK500" s="75"/>
      <c r="CL500" s="75"/>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5"/>
      <c r="DP500" s="64"/>
      <c r="DQ500" s="64"/>
      <c r="DR500" s="64"/>
      <c r="DS500" s="64"/>
      <c r="DT500" s="64"/>
      <c r="DU500" s="64"/>
      <c r="DV500" s="64"/>
      <c r="DW500" s="64"/>
      <c r="DX500" s="64"/>
      <c r="DY500" s="64"/>
      <c r="EA500" s="194" t="str">
        <f t="shared" ca="1" si="298"/>
        <v/>
      </c>
      <c r="EB500" s="226" t="str">
        <f>IFERROR(IF(ED500=0,"",COUNTIF(ED$4:ED$600,"&gt;"&amp;ED500)+COUNTIF(ED$4:ED500,ED500)),"")</f>
        <v/>
      </c>
      <c r="EC500" t="str">
        <f t="shared" si="299"/>
        <v>TIAMVET SOLUTION</v>
      </c>
      <c r="ED500" t="e">
        <f>IF(IF(EL$2="Catégorie",IF(EL$3="Toutes",SUMIFS('Étape 1 - à remplir'!$F$31:$F$400,'Étape 1 - à remplir'!$E$31:$E$400,MASQ2!EC500,'Étape 1 - à remplir'!$G$31:$G$400,"kg"),SUMIFS('Étape 1 - à remplir'!$F$31:$F$400,'Étape 1 - à remplir'!$E$31:$E$400,MASQ2!EC500,'Étape 1 - à remplir'!$C$31:$C$400,EL$3)),IF(EL$2="Âge",IF(EL$3="Tous",SUMIFS('Étape 1 - à remplir'!$F$31:$F$400,'Étape 1 - à remplir'!$E$31:$E$400,MASQ2!EC500,'Étape 1 - à remplir'!$G$31:$G$400,"kg"),SUMIFS('Étape 1 - à remplir'!$F$31:$F$400,'Étape 1 - à remplir'!$E$31:$E$400,MASQ2!EC500,'Étape 1 - à remplir'!$P$31:$P$400,EL$3,'Étape 1 - à remplir'!$G$31:$G$400,"kg")),IF(EL$2="Atelier",IF(EL$3="Tous",SUMIFS('Étape 1 - à remplir'!$F$31:$F$400,'Étape 1 - à remplir'!$E$31:$E$400,MASQ2!EC500,'Étape 1 - à remplir'!$G$31:$G$400,"kg"),SUMIFS('Étape 1 - à remplir'!$F$31:$F$400,'Étape 1 - à remplir'!$E$31:$E$400,MASQ2!EC500,'Étape 1 - à remplir'!$O$31:$O$400,EL$3,'Étape 1 - à remplir'!$G$31:$G$400,"kg")),IF(EL$2="Espèce",IF(EL$3="Toutes",SUMIFS('Étape 1 - à remplir'!$F$31:$F$400,'Étape 1 - à remplir'!$E$31:$E$400,MASQ2!EC500,'Étape 1 - à remplir'!$G$31:$G$400,"kg"),SUMIFS('Étape 1 - à remplir'!$F$31:$F$400,'Étape 1 - à remplir'!$E$31:$E$400,MASQ2!EC500,'Étape 1 - à remplir'!$N$31:$N$400,EL$3,'Étape 1 - à remplir'!$G$31:$G$400,"kg"))))))=0,NA(),IF(EL$2="Catégorie",IF(EL$3="Toutes",SUMIFS('Étape 1 - à remplir'!$F$31:$F$400,'Étape 1 - à remplir'!$E$31:$E$400,MASQ2!EC500,'Étape 1 - à remplir'!$G$31:$G$400,"kg"),SUMIFS('Étape 1 - à remplir'!$F$31:$F$400,'Étape 1 - à remplir'!$E$31:$E$400,MASQ2!EC500,'Étape 1 - à remplir'!$C$31:$C$400,EL$3)),IF(EL$2="Âge",IF(EL$3="Tous",SUMIFS('Étape 1 - à remplir'!$F$31:$F$400,'Étape 1 - à remplir'!$E$31:$E$400,MASQ2!EC500,'Étape 1 - à remplir'!$G$31:$G$400,"kg"),SUMIFS('Étape 1 - à remplir'!$F$31:$F$400,'Étape 1 - à remplir'!$E$31:$E$400,MASQ2!EC500,'Étape 1 - à remplir'!$P$31:$P$400,EL$3,'Étape 1 - à remplir'!$G$31:$G$400,"kg")),IF(EL$2="Atelier",IF(EL$3="Tous",SUMIFS('Étape 1 - à remplir'!$F$31:$F$400,'Étape 1 - à remplir'!$E$31:$E$400,MASQ2!EC500,'Étape 1 - à remplir'!$G$31:$G$400,"kg"),SUMIFS('Étape 1 - à remplir'!$F$31:$F$400,'Étape 1 - à remplir'!$E$31:$E$400,MASQ2!EC500,'Étape 1 - à remplir'!$O$31:$O$400,EL$3,'Étape 1 - à remplir'!$G$31:$G$400,"kg")),IF(EL$2="Espèce",IF(EL$3="Toutes",SUMIFS('Étape 1 - à remplir'!$F$31:$F$400,'Étape 1 - à remplir'!$E$31:$E$400,MASQ2!EC500,'Étape 1 - à remplir'!$G$31:$G$400,"kg"),SUMIFS('Étape 1 - à remplir'!$F$31:$F$400,'Étape 1 - à remplir'!$E$31:$E$400,MASQ2!EC500,'Étape 1 - à remplir'!$N$31:$N$400,EL$3,'Étape 1 - à remplir'!$G$31:$G$400,"kg")))))))</f>
        <v>#N/A</v>
      </c>
      <c r="EE500" s="76">
        <f t="shared" si="309"/>
        <v>0</v>
      </c>
      <c r="EF500" t="str">
        <f t="shared" si="300"/>
        <v>Tiamuline</v>
      </c>
      <c r="EG500" t="str">
        <f t="shared" si="301"/>
        <v/>
      </c>
      <c r="EH500" t="str">
        <f t="shared" si="302"/>
        <v/>
      </c>
      <c r="EI500" t="str">
        <f t="shared" si="303"/>
        <v>Pleuromutilines</v>
      </c>
      <c r="EJ500" t="str">
        <f t="shared" si="304"/>
        <v/>
      </c>
      <c r="EK500" s="63" t="str">
        <f t="shared" si="305"/>
        <v/>
      </c>
      <c r="EL500" s="64"/>
      <c r="EM500" s="64"/>
      <c r="EN500" s="42">
        <v>497</v>
      </c>
      <c r="EO500" t="e">
        <f t="shared" si="311"/>
        <v>#N/A</v>
      </c>
      <c r="EP500" s="63" t="e">
        <f t="shared" si="312"/>
        <v>#N/A</v>
      </c>
      <c r="ER500" s="75"/>
      <c r="ES500" s="75"/>
      <c r="ET500" s="64"/>
      <c r="EU500" s="64"/>
      <c r="EV500" s="64"/>
      <c r="EW500" s="64"/>
      <c r="EX500" s="64"/>
      <c r="EY500" s="64"/>
      <c r="EZ500" s="64"/>
      <c r="FA500" s="64"/>
      <c r="FB500" s="64"/>
      <c r="FC500" s="64"/>
      <c r="FD500" s="64"/>
      <c r="FE500" s="64"/>
      <c r="FF500" s="64"/>
      <c r="FG500" s="64"/>
      <c r="FH500" s="64"/>
      <c r="FI500" s="64"/>
      <c r="FJ500" s="64"/>
      <c r="FK500" s="64"/>
      <c r="FL500" s="64"/>
      <c r="FM500" s="64"/>
      <c r="FN500" s="64"/>
      <c r="FO500" s="64"/>
      <c r="FP500" s="64"/>
      <c r="FQ500" s="64"/>
      <c r="FR500" s="64"/>
      <c r="FS500" s="64"/>
      <c r="FT500" s="65"/>
    </row>
    <row r="501" spans="2:176" x14ac:dyDescent="0.3">
      <c r="M501" s="194" t="str">
        <f ca="1">INDEX(Données_ATB!BD:BU,MATCH(MASQ2!O501,Données_ATB!BD:BD,0),18)</f>
        <v/>
      </c>
      <c r="N501" s="14" t="str">
        <f>IFERROR(IF(Q501=0,"",COUNTIF(Q$4:Q$600,"&gt;"&amp;Q501)+COUNTIF(Q$4:Q501,Q501)),"")</f>
        <v/>
      </c>
      <c r="O501" t="str">
        <f>Données_ATB!BD500</f>
        <v>TILDOSIN 250 MG/ML SOLUTION POUR ADMINISTRATION DANS L'EAU DE BOISSON OU LAIT DE REMPLACEMENT POUR BOVINS, PORCINS, POULETS ET DINDES</v>
      </c>
      <c r="P501" t="e">
        <f>IF(IF(X$2="Catégorie",IF(X$3="Toutes",SUMIFS('Étape 1 - à remplir'!$F$31:$F$400,'Étape 1 - à remplir'!$E$31:$E$400,MASQ2!O501,'Étape 1 - à remplir'!$G$31:$G$400,"animaux"),SUMIFS('Étape 1 - à remplir'!$F$31:$F$400,'Étape 1 - à remplir'!$E$31:$E$400,MASQ2!O501,'Étape 1 - à remplir'!$C$31:$C$400,X$3)),IF(X$2="Âge",IF(X$3="Tous",SUMIFS('Étape 1 - à remplir'!$F$31:$F$400,'Étape 1 - à remplir'!$E$31:$E$400,MASQ2!O501,'Étape 1 - à remplir'!$G$31:$G$400,"animaux"),SUMIFS('Étape 1 - à remplir'!$F$31:$F$400,'Étape 1 - à remplir'!$E$31:$E$400,MASQ2!O501,'Étape 1 - à remplir'!$P$31:$P$400,X$3)),IF(X$2="Atelier",IF(X$3="Tous",SUMIFS('Étape 1 - à remplir'!$F$31:$F$400,'Étape 1 - à remplir'!$E$31:$E$400,MASQ2!O501,'Étape 1 - à remplir'!$G$31:$G$400,"animaux"),SUMIFS('Étape 1 - à remplir'!$F$31:$F$400,'Étape 1 - à remplir'!$E$31:$E$400,MASQ2!O501,'Étape 1 - à remplir'!$O$31:$O$400,X$3)),IF(X$2="Espèce",IF(X$3="Toutes",SUMIFS('Étape 1 - à remplir'!$F$31:$F$400,'Étape 1 - à remplir'!$E$31:$E$400,MASQ2!O501,'Étape 1 - à remplir'!$G$31:$G$400,"animaux"),SUMIFS('Étape 1 - à remplir'!$F$31:$F$400,'Étape 1 - à remplir'!$E$31:$E$400,MASQ2!O501,'Étape 1 - à remplir'!$N$31:$N$400,X$3))))))=0,NA(),IF(X$2="Catégorie",IF(X$3="Toutes",SUMIFS('Étape 1 - à remplir'!$F$31:$F$400,'Étape 1 - à remplir'!$E$31:$E$400,MASQ2!O501,'Étape 1 - à remplir'!$G$31:$G$400,"animaux"),SUMIFS('Étape 1 - à remplir'!$F$31:$F$400,'Étape 1 - à remplir'!$E$31:$E$400,MASQ2!O501,'Étape 1 - à remplir'!$C$31:$C$400,X$3)),IF(X$2="Âge",IF(X$3="Tous",SUMIFS('Étape 1 - à remplir'!$F$31:$F$400,'Étape 1 - à remplir'!$E$31:$E$400,MASQ2!O501,'Étape 1 - à remplir'!$G$31:$G$400,"animaux"),SUMIFS('Étape 1 - à remplir'!$F$31:$F$400,'Étape 1 - à remplir'!$E$31:$E$400,MASQ2!O501,'Étape 1 - à remplir'!$P$31:$P$400,X$3)),IF(X$2="Atelier",IF(X$3="Tous",SUMIFS('Étape 1 - à remplir'!$F$31:$F$400,'Étape 1 - à remplir'!$E$31:$E$400,MASQ2!O501,'Étape 1 - à remplir'!$G$31:$G$400,"animaux"),SUMIFS('Étape 1 - à remplir'!$F$31:$F$400,'Étape 1 - à remplir'!$E$31:$E$400,MASQ2!O501,'Étape 1 - à remplir'!$O$31:$O$400,X$3)),IF(X$2="Espèce",IF(X$3="Toutes",SUMIFS('Étape 1 - à remplir'!$F$31:$F$400,'Étape 1 - à remplir'!$E$31:$E$400,MASQ2!O501,'Étape 1 - à remplir'!$G$31:$G$400,"animaux"),SUMIFS('Étape 1 - à remplir'!$F$31:$F$400,'Étape 1 - à remplir'!$E$31:$E$400,MASQ2!O501,'Étape 1 - à remplir'!$N$31:$N$400,X$3)))))))</f>
        <v>#N/A</v>
      </c>
      <c r="Q501" s="63">
        <f t="shared" si="310"/>
        <v>0</v>
      </c>
      <c r="R501" t="str">
        <f>Données_ATB!BM500</f>
        <v>Tilmicosine</v>
      </c>
      <c r="S501" t="str">
        <f>Données_ATB!BN500</f>
        <v/>
      </c>
      <c r="T501" s="63" t="str">
        <f>Données_ATB!BO500</f>
        <v/>
      </c>
      <c r="U501" s="42" t="str">
        <f>Données_ATB!BQ500</f>
        <v>Macrolides</v>
      </c>
      <c r="V501" t="str">
        <f>Données_ATB!BR500</f>
        <v/>
      </c>
      <c r="W501" s="63" t="str">
        <f>Données_ATB!BS500</f>
        <v/>
      </c>
      <c r="Z501" s="42">
        <v>498</v>
      </c>
      <c r="AA501" t="e">
        <f t="shared" si="306"/>
        <v>#N/A</v>
      </c>
      <c r="AB501" s="63" t="e">
        <f t="shared" si="307"/>
        <v>#N/A</v>
      </c>
      <c r="BT501" s="194" t="str">
        <f t="shared" ca="1" si="290"/>
        <v/>
      </c>
      <c r="BU501" s="219" t="str">
        <f>IFERROR(IF(BX501=0,"",COUNTIF(BX$4:BX$600,"&gt;"&amp;BX501)+COUNTIF(BX$4:BX501,BX501)),"")</f>
        <v/>
      </c>
      <c r="BV501" s="42" t="str">
        <f t="shared" si="291"/>
        <v>TILDOSIN 250 MG/ML SOLUTION POUR ADMINISTRATION DANS L'EAU DE BOISSON OU LAIT DE REMPLACEMENT POUR BOVINS, PORCINS, POULETS ET DINDES</v>
      </c>
      <c r="BW501" t="e">
        <f>IF(IF(CE$2="Catégorie",IF(CE$3="Toutes",SUMIFS('Étape 1 - à remplir'!$F$31:$F$400,'Étape 1 - à remplir'!$E$31:$E$400,MASQ2!BV501,'Étape 1 - à remplir'!$G$31:$G$400,"lots"),SUMIFS('Étape 1 - à remplir'!$F$31:$F$400,'Étape 1 - à remplir'!$E$31:$E$400,MASQ2!BV501,'Étape 1 - à remplir'!$C$31:$C$400,CE$3)),IF(CE$2="Âge",IF(CE$3="Tous",SUMIFS('Étape 1 - à remplir'!$F$31:$F$400,'Étape 1 - à remplir'!$E$31:$E$400,MASQ2!BV501,'Étape 1 - à remplir'!$G$31:$G$400,"lots"),SUMIFS('Étape 1 - à remplir'!$F$31:$F$400,'Étape 1 - à remplir'!$E$31:$E$400,MASQ2!BV501,'Étape 1 - à remplir'!$P$31:$P$400,CE$3,'Étape 1 - à remplir'!$G$31:$G$400,"lots")),IF(CE$2="Atelier",IF(CE$3="Tous",SUMIFS('Étape 1 - à remplir'!$F$31:$F$400,'Étape 1 - à remplir'!$E$31:$E$400,MASQ2!BV501,'Étape 1 - à remplir'!$G$31:$G$400,"lots"),SUMIFS('Étape 1 - à remplir'!$F$31:$F$400,'Étape 1 - à remplir'!$E$31:$E$400,MASQ2!BV501,'Étape 1 - à remplir'!$O$31:$O$400,CE$3,'Étape 1 - à remplir'!$G$31:$G$400,"lots")),IF(CE$2="Espèce",IF(CE$3="Toutes",SUMIFS('Étape 1 - à remplir'!$F$31:$F$400,'Étape 1 - à remplir'!$E$31:$E$400,MASQ2!BV501,'Étape 1 - à remplir'!$G$31:$G$400,"lots"),SUMIFS('Étape 1 - à remplir'!$F$31:$F$400,'Étape 1 - à remplir'!$E$31:$E$400,MASQ2!BV501,'Étape 1 - à remplir'!$N$31:$N$400,CE$3,'Étape 1 - à remplir'!$G$31:$G$400,"lots"))))))=0,NA(),IF(CE$2="Catégorie",IF(CE$3="Toutes",SUMIFS('Étape 1 - à remplir'!$F$31:$F$400,'Étape 1 - à remplir'!$E$31:$E$400,MASQ2!BV501,'Étape 1 - à remplir'!$G$31:$G$400,"lots"),SUMIFS('Étape 1 - à remplir'!$F$31:$F$400,'Étape 1 - à remplir'!$E$31:$E$400,MASQ2!BV501,'Étape 1 - à remplir'!$C$31:$C$400,CE$3)),IF(CE$2="Âge",IF(CE$3="Tous",SUMIFS('Étape 1 - à remplir'!$F$31:$F$400,'Étape 1 - à remplir'!$E$31:$E$400,MASQ2!BV501,'Étape 1 - à remplir'!$G$31:$G$400,"lots"),SUMIFS('Étape 1 - à remplir'!$F$31:$F$400,'Étape 1 - à remplir'!$E$31:$E$400,MASQ2!BV501,'Étape 1 - à remplir'!$P$31:$P$400,CE$3,'Étape 1 - à remplir'!$G$31:$G$400,"lots")),IF(CE$2="Atelier",IF(CE$3="Tous",SUMIFS('Étape 1 - à remplir'!$F$31:$F$400,'Étape 1 - à remplir'!$E$31:$E$400,MASQ2!BV501,'Étape 1 - à remplir'!$G$31:$G$400,"lots"),SUMIFS('Étape 1 - à remplir'!$F$31:$F$400,'Étape 1 - à remplir'!$E$31:$E$400,MASQ2!BV501,'Étape 1 - à remplir'!$O$31:$O$400,CE$3,'Étape 1 - à remplir'!$G$31:$G$400,"lots")),IF(CE$2="Espèce",IF(CE$3="Toutes",SUMIFS('Étape 1 - à remplir'!$F$31:$F$400,'Étape 1 - à remplir'!$E$31:$E$400,MASQ2!BV501,'Étape 1 - à remplir'!$G$31:$G$400,"lots"),SUMIFS('Étape 1 - à remplir'!$F$31:$F$400,'Étape 1 - à remplir'!$E$31:$E$400,MASQ2!BV501,'Étape 1 - à remplir'!$N$31:$N$400,CE$3,'Étape 1 - à remplir'!$G$31:$G$400,"lots")))))))</f>
        <v>#N/A</v>
      </c>
      <c r="BX501">
        <f t="shared" si="308"/>
        <v>0</v>
      </c>
      <c r="BY501" t="str">
        <f t="shared" si="292"/>
        <v>Tilmicosine</v>
      </c>
      <c r="BZ501" t="str">
        <f t="shared" si="293"/>
        <v/>
      </c>
      <c r="CA501" t="str">
        <f t="shared" si="294"/>
        <v/>
      </c>
      <c r="CB501" t="str">
        <f t="shared" si="295"/>
        <v>Macrolides</v>
      </c>
      <c r="CC501" t="str">
        <f t="shared" si="296"/>
        <v/>
      </c>
      <c r="CD501" s="63" t="str">
        <f t="shared" si="297"/>
        <v/>
      </c>
      <c r="CG501" s="42">
        <v>498</v>
      </c>
      <c r="CH501" s="42" t="e">
        <f t="shared" si="313"/>
        <v>#N/A</v>
      </c>
      <c r="CI501" s="63" t="e">
        <f t="shared" si="314"/>
        <v>#N/A</v>
      </c>
      <c r="EA501" s="194" t="str">
        <f t="shared" ca="1" si="298"/>
        <v/>
      </c>
      <c r="EB501" s="226" t="str">
        <f>IFERROR(IF(ED501=0,"",COUNTIF(ED$4:ED$600,"&gt;"&amp;ED501)+COUNTIF(ED$4:ED501,ED501)),"")</f>
        <v/>
      </c>
      <c r="EC501" t="str">
        <f t="shared" si="299"/>
        <v>TILDOSIN 250 MG/ML SOLUTION POUR ADMINISTRATION DANS L'EAU DE BOISSON OU LAIT DE REMPLACEMENT POUR BOVINS, PORCINS, POULETS ET DINDES</v>
      </c>
      <c r="ED501" t="e">
        <f>IF(IF(EL$2="Catégorie",IF(EL$3="Toutes",SUMIFS('Étape 1 - à remplir'!$F$31:$F$400,'Étape 1 - à remplir'!$E$31:$E$400,MASQ2!EC501,'Étape 1 - à remplir'!$G$31:$G$400,"kg"),SUMIFS('Étape 1 - à remplir'!$F$31:$F$400,'Étape 1 - à remplir'!$E$31:$E$400,MASQ2!EC501,'Étape 1 - à remplir'!$C$31:$C$400,EL$3)),IF(EL$2="Âge",IF(EL$3="Tous",SUMIFS('Étape 1 - à remplir'!$F$31:$F$400,'Étape 1 - à remplir'!$E$31:$E$400,MASQ2!EC501,'Étape 1 - à remplir'!$G$31:$G$400,"kg"),SUMIFS('Étape 1 - à remplir'!$F$31:$F$400,'Étape 1 - à remplir'!$E$31:$E$400,MASQ2!EC501,'Étape 1 - à remplir'!$P$31:$P$400,EL$3,'Étape 1 - à remplir'!$G$31:$G$400,"kg")),IF(EL$2="Atelier",IF(EL$3="Tous",SUMIFS('Étape 1 - à remplir'!$F$31:$F$400,'Étape 1 - à remplir'!$E$31:$E$400,MASQ2!EC501,'Étape 1 - à remplir'!$G$31:$G$400,"kg"),SUMIFS('Étape 1 - à remplir'!$F$31:$F$400,'Étape 1 - à remplir'!$E$31:$E$400,MASQ2!EC501,'Étape 1 - à remplir'!$O$31:$O$400,EL$3,'Étape 1 - à remplir'!$G$31:$G$400,"kg")),IF(EL$2="Espèce",IF(EL$3="Toutes",SUMIFS('Étape 1 - à remplir'!$F$31:$F$400,'Étape 1 - à remplir'!$E$31:$E$400,MASQ2!EC501,'Étape 1 - à remplir'!$G$31:$G$400,"kg"),SUMIFS('Étape 1 - à remplir'!$F$31:$F$400,'Étape 1 - à remplir'!$E$31:$E$400,MASQ2!EC501,'Étape 1 - à remplir'!$N$31:$N$400,EL$3,'Étape 1 - à remplir'!$G$31:$G$400,"kg"))))))=0,NA(),IF(EL$2="Catégorie",IF(EL$3="Toutes",SUMIFS('Étape 1 - à remplir'!$F$31:$F$400,'Étape 1 - à remplir'!$E$31:$E$400,MASQ2!EC501,'Étape 1 - à remplir'!$G$31:$G$400,"kg"),SUMIFS('Étape 1 - à remplir'!$F$31:$F$400,'Étape 1 - à remplir'!$E$31:$E$400,MASQ2!EC501,'Étape 1 - à remplir'!$C$31:$C$400,EL$3)),IF(EL$2="Âge",IF(EL$3="Tous",SUMIFS('Étape 1 - à remplir'!$F$31:$F$400,'Étape 1 - à remplir'!$E$31:$E$400,MASQ2!EC501,'Étape 1 - à remplir'!$G$31:$G$400,"kg"),SUMIFS('Étape 1 - à remplir'!$F$31:$F$400,'Étape 1 - à remplir'!$E$31:$E$400,MASQ2!EC501,'Étape 1 - à remplir'!$P$31:$P$400,EL$3,'Étape 1 - à remplir'!$G$31:$G$400,"kg")),IF(EL$2="Atelier",IF(EL$3="Tous",SUMIFS('Étape 1 - à remplir'!$F$31:$F$400,'Étape 1 - à remplir'!$E$31:$E$400,MASQ2!EC501,'Étape 1 - à remplir'!$G$31:$G$400,"kg"),SUMIFS('Étape 1 - à remplir'!$F$31:$F$400,'Étape 1 - à remplir'!$E$31:$E$400,MASQ2!EC501,'Étape 1 - à remplir'!$O$31:$O$400,EL$3,'Étape 1 - à remplir'!$G$31:$G$400,"kg")),IF(EL$2="Espèce",IF(EL$3="Toutes",SUMIFS('Étape 1 - à remplir'!$F$31:$F$400,'Étape 1 - à remplir'!$E$31:$E$400,MASQ2!EC501,'Étape 1 - à remplir'!$G$31:$G$400,"kg"),SUMIFS('Étape 1 - à remplir'!$F$31:$F$400,'Étape 1 - à remplir'!$E$31:$E$400,MASQ2!EC501,'Étape 1 - à remplir'!$N$31:$N$400,EL$3,'Étape 1 - à remplir'!$G$31:$G$400,"kg")))))))</f>
        <v>#N/A</v>
      </c>
      <c r="EE501" s="76">
        <f t="shared" si="309"/>
        <v>0</v>
      </c>
      <c r="EF501" t="str">
        <f t="shared" si="300"/>
        <v>Tilmicosine</v>
      </c>
      <c r="EG501" t="str">
        <f t="shared" si="301"/>
        <v/>
      </c>
      <c r="EH501" t="str">
        <f t="shared" si="302"/>
        <v/>
      </c>
      <c r="EI501" t="str">
        <f t="shared" si="303"/>
        <v>Macrolides</v>
      </c>
      <c r="EJ501" t="str">
        <f t="shared" si="304"/>
        <v/>
      </c>
      <c r="EK501" s="63" t="str">
        <f t="shared" si="305"/>
        <v/>
      </c>
      <c r="EN501" s="42">
        <v>498</v>
      </c>
      <c r="EO501" t="e">
        <f t="shared" si="311"/>
        <v>#N/A</v>
      </c>
      <c r="EP501" s="63" t="e">
        <f t="shared" si="312"/>
        <v>#N/A</v>
      </c>
    </row>
    <row r="502" spans="2:176" x14ac:dyDescent="0.3">
      <c r="M502" s="194" t="str">
        <f ca="1">INDEX(Données_ATB!BD:BU,MATCH(MASQ2!O502,Données_ATB!BD:BD,0),18)</f>
        <v/>
      </c>
      <c r="N502" s="14" t="str">
        <f>IFERROR(IF(Q502=0,"",COUNTIF(Q$4:Q$600,"&gt;"&amp;Q502)+COUNTIF(Q$4:Q502,Q502)),"")</f>
        <v/>
      </c>
      <c r="O502" t="str">
        <f>Données_ATB!BD501</f>
        <v>TILMOPRO 250 MG/ML SOLUTION BUVABLE POUR UTILISATION DANS L'EAU DE BOISSON / LAIT</v>
      </c>
      <c r="P502" t="e">
        <f>IF(IF(X$2="Catégorie",IF(X$3="Toutes",SUMIFS('Étape 1 - à remplir'!$F$31:$F$400,'Étape 1 - à remplir'!$E$31:$E$400,MASQ2!O502,'Étape 1 - à remplir'!$G$31:$G$400,"animaux"),SUMIFS('Étape 1 - à remplir'!$F$31:$F$400,'Étape 1 - à remplir'!$E$31:$E$400,MASQ2!O502,'Étape 1 - à remplir'!$C$31:$C$400,X$3)),IF(X$2="Âge",IF(X$3="Tous",SUMIFS('Étape 1 - à remplir'!$F$31:$F$400,'Étape 1 - à remplir'!$E$31:$E$400,MASQ2!O502,'Étape 1 - à remplir'!$G$31:$G$400,"animaux"),SUMIFS('Étape 1 - à remplir'!$F$31:$F$400,'Étape 1 - à remplir'!$E$31:$E$400,MASQ2!O502,'Étape 1 - à remplir'!$P$31:$P$400,X$3)),IF(X$2="Atelier",IF(X$3="Tous",SUMIFS('Étape 1 - à remplir'!$F$31:$F$400,'Étape 1 - à remplir'!$E$31:$E$400,MASQ2!O502,'Étape 1 - à remplir'!$G$31:$G$400,"animaux"),SUMIFS('Étape 1 - à remplir'!$F$31:$F$400,'Étape 1 - à remplir'!$E$31:$E$400,MASQ2!O502,'Étape 1 - à remplir'!$O$31:$O$400,X$3)),IF(X$2="Espèce",IF(X$3="Toutes",SUMIFS('Étape 1 - à remplir'!$F$31:$F$400,'Étape 1 - à remplir'!$E$31:$E$400,MASQ2!O502,'Étape 1 - à remplir'!$G$31:$G$400,"animaux"),SUMIFS('Étape 1 - à remplir'!$F$31:$F$400,'Étape 1 - à remplir'!$E$31:$E$400,MASQ2!O502,'Étape 1 - à remplir'!$N$31:$N$400,X$3))))))=0,NA(),IF(X$2="Catégorie",IF(X$3="Toutes",SUMIFS('Étape 1 - à remplir'!$F$31:$F$400,'Étape 1 - à remplir'!$E$31:$E$400,MASQ2!O502,'Étape 1 - à remplir'!$G$31:$G$400,"animaux"),SUMIFS('Étape 1 - à remplir'!$F$31:$F$400,'Étape 1 - à remplir'!$E$31:$E$400,MASQ2!O502,'Étape 1 - à remplir'!$C$31:$C$400,X$3)),IF(X$2="Âge",IF(X$3="Tous",SUMIFS('Étape 1 - à remplir'!$F$31:$F$400,'Étape 1 - à remplir'!$E$31:$E$400,MASQ2!O502,'Étape 1 - à remplir'!$G$31:$G$400,"animaux"),SUMIFS('Étape 1 - à remplir'!$F$31:$F$400,'Étape 1 - à remplir'!$E$31:$E$400,MASQ2!O502,'Étape 1 - à remplir'!$P$31:$P$400,X$3)),IF(X$2="Atelier",IF(X$3="Tous",SUMIFS('Étape 1 - à remplir'!$F$31:$F$400,'Étape 1 - à remplir'!$E$31:$E$400,MASQ2!O502,'Étape 1 - à remplir'!$G$31:$G$400,"animaux"),SUMIFS('Étape 1 - à remplir'!$F$31:$F$400,'Étape 1 - à remplir'!$E$31:$E$400,MASQ2!O502,'Étape 1 - à remplir'!$O$31:$O$400,X$3)),IF(X$2="Espèce",IF(X$3="Toutes",SUMIFS('Étape 1 - à remplir'!$F$31:$F$400,'Étape 1 - à remplir'!$E$31:$E$400,MASQ2!O502,'Étape 1 - à remplir'!$G$31:$G$400,"animaux"),SUMIFS('Étape 1 - à remplir'!$F$31:$F$400,'Étape 1 - à remplir'!$E$31:$E$400,MASQ2!O502,'Étape 1 - à remplir'!$N$31:$N$400,X$3)))))))</f>
        <v>#N/A</v>
      </c>
      <c r="Q502" s="63">
        <f t="shared" si="310"/>
        <v>0</v>
      </c>
      <c r="R502" t="str">
        <f>Données_ATB!BM501</f>
        <v>Tilmicosine</v>
      </c>
      <c r="S502" t="str">
        <f>Données_ATB!BN501</f>
        <v/>
      </c>
      <c r="T502" s="63" t="str">
        <f>Données_ATB!BO501</f>
        <v/>
      </c>
      <c r="U502" s="42" t="str">
        <f>Données_ATB!BQ501</f>
        <v>Macrolides</v>
      </c>
      <c r="V502" t="str">
        <f>Données_ATB!BR501</f>
        <v/>
      </c>
      <c r="W502" s="63" t="str">
        <f>Données_ATB!BS501</f>
        <v/>
      </c>
      <c r="Z502" s="42">
        <v>499</v>
      </c>
      <c r="AA502" t="e">
        <f t="shared" si="306"/>
        <v>#N/A</v>
      </c>
      <c r="AB502" s="63" t="e">
        <f t="shared" si="307"/>
        <v>#N/A</v>
      </c>
      <c r="BT502" s="194" t="str">
        <f t="shared" ca="1" si="290"/>
        <v/>
      </c>
      <c r="BU502" s="219" t="str">
        <f>IFERROR(IF(BX502=0,"",COUNTIF(BX$4:BX$600,"&gt;"&amp;BX502)+COUNTIF(BX$4:BX502,BX502)),"")</f>
        <v/>
      </c>
      <c r="BV502" s="42" t="str">
        <f t="shared" si="291"/>
        <v>TILMOPRO 250 MG/ML SOLUTION BUVABLE POUR UTILISATION DANS L'EAU DE BOISSON / LAIT</v>
      </c>
      <c r="BW502" t="e">
        <f>IF(IF(CE$2="Catégorie",IF(CE$3="Toutes",SUMIFS('Étape 1 - à remplir'!$F$31:$F$400,'Étape 1 - à remplir'!$E$31:$E$400,MASQ2!BV502,'Étape 1 - à remplir'!$G$31:$G$400,"lots"),SUMIFS('Étape 1 - à remplir'!$F$31:$F$400,'Étape 1 - à remplir'!$E$31:$E$400,MASQ2!BV502,'Étape 1 - à remplir'!$C$31:$C$400,CE$3)),IF(CE$2="Âge",IF(CE$3="Tous",SUMIFS('Étape 1 - à remplir'!$F$31:$F$400,'Étape 1 - à remplir'!$E$31:$E$400,MASQ2!BV502,'Étape 1 - à remplir'!$G$31:$G$400,"lots"),SUMIFS('Étape 1 - à remplir'!$F$31:$F$400,'Étape 1 - à remplir'!$E$31:$E$400,MASQ2!BV502,'Étape 1 - à remplir'!$P$31:$P$400,CE$3,'Étape 1 - à remplir'!$G$31:$G$400,"lots")),IF(CE$2="Atelier",IF(CE$3="Tous",SUMIFS('Étape 1 - à remplir'!$F$31:$F$400,'Étape 1 - à remplir'!$E$31:$E$400,MASQ2!BV502,'Étape 1 - à remplir'!$G$31:$G$400,"lots"),SUMIFS('Étape 1 - à remplir'!$F$31:$F$400,'Étape 1 - à remplir'!$E$31:$E$400,MASQ2!BV502,'Étape 1 - à remplir'!$O$31:$O$400,CE$3,'Étape 1 - à remplir'!$G$31:$G$400,"lots")),IF(CE$2="Espèce",IF(CE$3="Toutes",SUMIFS('Étape 1 - à remplir'!$F$31:$F$400,'Étape 1 - à remplir'!$E$31:$E$400,MASQ2!BV502,'Étape 1 - à remplir'!$G$31:$G$400,"lots"),SUMIFS('Étape 1 - à remplir'!$F$31:$F$400,'Étape 1 - à remplir'!$E$31:$E$400,MASQ2!BV502,'Étape 1 - à remplir'!$N$31:$N$400,CE$3,'Étape 1 - à remplir'!$G$31:$G$400,"lots"))))))=0,NA(),IF(CE$2="Catégorie",IF(CE$3="Toutes",SUMIFS('Étape 1 - à remplir'!$F$31:$F$400,'Étape 1 - à remplir'!$E$31:$E$400,MASQ2!BV502,'Étape 1 - à remplir'!$G$31:$G$400,"lots"),SUMIFS('Étape 1 - à remplir'!$F$31:$F$400,'Étape 1 - à remplir'!$E$31:$E$400,MASQ2!BV502,'Étape 1 - à remplir'!$C$31:$C$400,CE$3)),IF(CE$2="Âge",IF(CE$3="Tous",SUMIFS('Étape 1 - à remplir'!$F$31:$F$400,'Étape 1 - à remplir'!$E$31:$E$400,MASQ2!BV502,'Étape 1 - à remplir'!$G$31:$G$400,"lots"),SUMIFS('Étape 1 - à remplir'!$F$31:$F$400,'Étape 1 - à remplir'!$E$31:$E$400,MASQ2!BV502,'Étape 1 - à remplir'!$P$31:$P$400,CE$3,'Étape 1 - à remplir'!$G$31:$G$400,"lots")),IF(CE$2="Atelier",IF(CE$3="Tous",SUMIFS('Étape 1 - à remplir'!$F$31:$F$400,'Étape 1 - à remplir'!$E$31:$E$400,MASQ2!BV502,'Étape 1 - à remplir'!$G$31:$G$400,"lots"),SUMIFS('Étape 1 - à remplir'!$F$31:$F$400,'Étape 1 - à remplir'!$E$31:$E$400,MASQ2!BV502,'Étape 1 - à remplir'!$O$31:$O$400,CE$3,'Étape 1 - à remplir'!$G$31:$G$400,"lots")),IF(CE$2="Espèce",IF(CE$3="Toutes",SUMIFS('Étape 1 - à remplir'!$F$31:$F$400,'Étape 1 - à remplir'!$E$31:$E$400,MASQ2!BV502,'Étape 1 - à remplir'!$G$31:$G$400,"lots"),SUMIFS('Étape 1 - à remplir'!$F$31:$F$400,'Étape 1 - à remplir'!$E$31:$E$400,MASQ2!BV502,'Étape 1 - à remplir'!$N$31:$N$400,CE$3,'Étape 1 - à remplir'!$G$31:$G$400,"lots")))))))</f>
        <v>#N/A</v>
      </c>
      <c r="BX502">
        <f t="shared" si="308"/>
        <v>0</v>
      </c>
      <c r="BY502" t="str">
        <f t="shared" si="292"/>
        <v>Tilmicosine</v>
      </c>
      <c r="BZ502" t="str">
        <f t="shared" si="293"/>
        <v/>
      </c>
      <c r="CA502" t="str">
        <f t="shared" si="294"/>
        <v/>
      </c>
      <c r="CB502" t="str">
        <f t="shared" si="295"/>
        <v>Macrolides</v>
      </c>
      <c r="CC502" t="str">
        <f t="shared" si="296"/>
        <v/>
      </c>
      <c r="CD502" s="63" t="str">
        <f t="shared" si="297"/>
        <v/>
      </c>
      <c r="CG502" s="42">
        <v>499</v>
      </c>
      <c r="CH502" s="42" t="e">
        <f t="shared" si="313"/>
        <v>#N/A</v>
      </c>
      <c r="CI502" s="63" t="e">
        <f t="shared" si="314"/>
        <v>#N/A</v>
      </c>
      <c r="EA502" s="194" t="str">
        <f t="shared" ca="1" si="298"/>
        <v/>
      </c>
      <c r="EB502" s="226" t="str">
        <f>IFERROR(IF(ED502=0,"",COUNTIF(ED$4:ED$600,"&gt;"&amp;ED502)+COUNTIF(ED$4:ED502,ED502)),"")</f>
        <v/>
      </c>
      <c r="EC502" t="str">
        <f t="shared" si="299"/>
        <v>TILMOPRO 250 MG/ML SOLUTION BUVABLE POUR UTILISATION DANS L'EAU DE BOISSON / LAIT</v>
      </c>
      <c r="ED502" t="e">
        <f>IF(IF(EL$2="Catégorie",IF(EL$3="Toutes",SUMIFS('Étape 1 - à remplir'!$F$31:$F$400,'Étape 1 - à remplir'!$E$31:$E$400,MASQ2!EC502,'Étape 1 - à remplir'!$G$31:$G$400,"kg"),SUMIFS('Étape 1 - à remplir'!$F$31:$F$400,'Étape 1 - à remplir'!$E$31:$E$400,MASQ2!EC502,'Étape 1 - à remplir'!$C$31:$C$400,EL$3)),IF(EL$2="Âge",IF(EL$3="Tous",SUMIFS('Étape 1 - à remplir'!$F$31:$F$400,'Étape 1 - à remplir'!$E$31:$E$400,MASQ2!EC502,'Étape 1 - à remplir'!$G$31:$G$400,"kg"),SUMIFS('Étape 1 - à remplir'!$F$31:$F$400,'Étape 1 - à remplir'!$E$31:$E$400,MASQ2!EC502,'Étape 1 - à remplir'!$P$31:$P$400,EL$3,'Étape 1 - à remplir'!$G$31:$G$400,"kg")),IF(EL$2="Atelier",IF(EL$3="Tous",SUMIFS('Étape 1 - à remplir'!$F$31:$F$400,'Étape 1 - à remplir'!$E$31:$E$400,MASQ2!EC502,'Étape 1 - à remplir'!$G$31:$G$400,"kg"),SUMIFS('Étape 1 - à remplir'!$F$31:$F$400,'Étape 1 - à remplir'!$E$31:$E$400,MASQ2!EC502,'Étape 1 - à remplir'!$O$31:$O$400,EL$3,'Étape 1 - à remplir'!$G$31:$G$400,"kg")),IF(EL$2="Espèce",IF(EL$3="Toutes",SUMIFS('Étape 1 - à remplir'!$F$31:$F$400,'Étape 1 - à remplir'!$E$31:$E$400,MASQ2!EC502,'Étape 1 - à remplir'!$G$31:$G$400,"kg"),SUMIFS('Étape 1 - à remplir'!$F$31:$F$400,'Étape 1 - à remplir'!$E$31:$E$400,MASQ2!EC502,'Étape 1 - à remplir'!$N$31:$N$400,EL$3,'Étape 1 - à remplir'!$G$31:$G$400,"kg"))))))=0,NA(),IF(EL$2="Catégorie",IF(EL$3="Toutes",SUMIFS('Étape 1 - à remplir'!$F$31:$F$400,'Étape 1 - à remplir'!$E$31:$E$400,MASQ2!EC502,'Étape 1 - à remplir'!$G$31:$G$400,"kg"),SUMIFS('Étape 1 - à remplir'!$F$31:$F$400,'Étape 1 - à remplir'!$E$31:$E$400,MASQ2!EC502,'Étape 1 - à remplir'!$C$31:$C$400,EL$3)),IF(EL$2="Âge",IF(EL$3="Tous",SUMIFS('Étape 1 - à remplir'!$F$31:$F$400,'Étape 1 - à remplir'!$E$31:$E$400,MASQ2!EC502,'Étape 1 - à remplir'!$G$31:$G$400,"kg"),SUMIFS('Étape 1 - à remplir'!$F$31:$F$400,'Étape 1 - à remplir'!$E$31:$E$400,MASQ2!EC502,'Étape 1 - à remplir'!$P$31:$P$400,EL$3,'Étape 1 - à remplir'!$G$31:$G$400,"kg")),IF(EL$2="Atelier",IF(EL$3="Tous",SUMIFS('Étape 1 - à remplir'!$F$31:$F$400,'Étape 1 - à remplir'!$E$31:$E$400,MASQ2!EC502,'Étape 1 - à remplir'!$G$31:$G$400,"kg"),SUMIFS('Étape 1 - à remplir'!$F$31:$F$400,'Étape 1 - à remplir'!$E$31:$E$400,MASQ2!EC502,'Étape 1 - à remplir'!$O$31:$O$400,EL$3,'Étape 1 - à remplir'!$G$31:$G$400,"kg")),IF(EL$2="Espèce",IF(EL$3="Toutes",SUMIFS('Étape 1 - à remplir'!$F$31:$F$400,'Étape 1 - à remplir'!$E$31:$E$400,MASQ2!EC502,'Étape 1 - à remplir'!$G$31:$G$400,"kg"),SUMIFS('Étape 1 - à remplir'!$F$31:$F$400,'Étape 1 - à remplir'!$E$31:$E$400,MASQ2!EC502,'Étape 1 - à remplir'!$N$31:$N$400,EL$3,'Étape 1 - à remplir'!$G$31:$G$400,"kg")))))))</f>
        <v>#N/A</v>
      </c>
      <c r="EE502" s="76">
        <f t="shared" si="309"/>
        <v>0</v>
      </c>
      <c r="EF502" t="str">
        <f t="shared" si="300"/>
        <v>Tilmicosine</v>
      </c>
      <c r="EG502" t="str">
        <f t="shared" si="301"/>
        <v/>
      </c>
      <c r="EH502" t="str">
        <f t="shared" si="302"/>
        <v/>
      </c>
      <c r="EI502" t="str">
        <f t="shared" si="303"/>
        <v>Macrolides</v>
      </c>
      <c r="EJ502" t="str">
        <f t="shared" si="304"/>
        <v/>
      </c>
      <c r="EK502" s="63" t="str">
        <f t="shared" si="305"/>
        <v/>
      </c>
      <c r="EN502" s="42">
        <v>499</v>
      </c>
      <c r="EO502" t="e">
        <f t="shared" si="311"/>
        <v>#N/A</v>
      </c>
      <c r="EP502" s="63" t="e">
        <f t="shared" si="312"/>
        <v>#N/A</v>
      </c>
    </row>
    <row r="503" spans="2:176" x14ac:dyDescent="0.3">
      <c r="M503" s="194" t="str">
        <f ca="1">INDEX(Données_ATB!BD:BU,MATCH(MASQ2!O503,Données_ATB!BD:BD,0),18)</f>
        <v/>
      </c>
      <c r="N503" s="14" t="str">
        <f>IFERROR(IF(Q503=0,"",COUNTIF(Q$4:Q$600,"&gt;"&amp;Q503)+COUNTIF(Q$4:Q503,Q503)),"")</f>
        <v/>
      </c>
      <c r="O503" t="str">
        <f>Données_ATB!BD502</f>
        <v>TILMOVET 250 MG/ML SOLUTION BUVABLE</v>
      </c>
      <c r="P503" t="e">
        <f>IF(IF(X$2="Catégorie",IF(X$3="Toutes",SUMIFS('Étape 1 - à remplir'!$F$31:$F$400,'Étape 1 - à remplir'!$E$31:$E$400,MASQ2!O503,'Étape 1 - à remplir'!$G$31:$G$400,"animaux"),SUMIFS('Étape 1 - à remplir'!$F$31:$F$400,'Étape 1 - à remplir'!$E$31:$E$400,MASQ2!O503,'Étape 1 - à remplir'!$C$31:$C$400,X$3)),IF(X$2="Âge",IF(X$3="Tous",SUMIFS('Étape 1 - à remplir'!$F$31:$F$400,'Étape 1 - à remplir'!$E$31:$E$400,MASQ2!O503,'Étape 1 - à remplir'!$G$31:$G$400,"animaux"),SUMIFS('Étape 1 - à remplir'!$F$31:$F$400,'Étape 1 - à remplir'!$E$31:$E$400,MASQ2!O503,'Étape 1 - à remplir'!$P$31:$P$400,X$3)),IF(X$2="Atelier",IF(X$3="Tous",SUMIFS('Étape 1 - à remplir'!$F$31:$F$400,'Étape 1 - à remplir'!$E$31:$E$400,MASQ2!O503,'Étape 1 - à remplir'!$G$31:$G$400,"animaux"),SUMIFS('Étape 1 - à remplir'!$F$31:$F$400,'Étape 1 - à remplir'!$E$31:$E$400,MASQ2!O503,'Étape 1 - à remplir'!$O$31:$O$400,X$3)),IF(X$2="Espèce",IF(X$3="Toutes",SUMIFS('Étape 1 - à remplir'!$F$31:$F$400,'Étape 1 - à remplir'!$E$31:$E$400,MASQ2!O503,'Étape 1 - à remplir'!$G$31:$G$400,"animaux"),SUMIFS('Étape 1 - à remplir'!$F$31:$F$400,'Étape 1 - à remplir'!$E$31:$E$400,MASQ2!O503,'Étape 1 - à remplir'!$N$31:$N$400,X$3))))))=0,NA(),IF(X$2="Catégorie",IF(X$3="Toutes",SUMIFS('Étape 1 - à remplir'!$F$31:$F$400,'Étape 1 - à remplir'!$E$31:$E$400,MASQ2!O503,'Étape 1 - à remplir'!$G$31:$G$400,"animaux"),SUMIFS('Étape 1 - à remplir'!$F$31:$F$400,'Étape 1 - à remplir'!$E$31:$E$400,MASQ2!O503,'Étape 1 - à remplir'!$C$31:$C$400,X$3)),IF(X$2="Âge",IF(X$3="Tous",SUMIFS('Étape 1 - à remplir'!$F$31:$F$400,'Étape 1 - à remplir'!$E$31:$E$400,MASQ2!O503,'Étape 1 - à remplir'!$G$31:$G$400,"animaux"),SUMIFS('Étape 1 - à remplir'!$F$31:$F$400,'Étape 1 - à remplir'!$E$31:$E$400,MASQ2!O503,'Étape 1 - à remplir'!$P$31:$P$400,X$3)),IF(X$2="Atelier",IF(X$3="Tous",SUMIFS('Étape 1 - à remplir'!$F$31:$F$400,'Étape 1 - à remplir'!$E$31:$E$400,MASQ2!O503,'Étape 1 - à remplir'!$G$31:$G$400,"animaux"),SUMIFS('Étape 1 - à remplir'!$F$31:$F$400,'Étape 1 - à remplir'!$E$31:$E$400,MASQ2!O503,'Étape 1 - à remplir'!$O$31:$O$400,X$3)),IF(X$2="Espèce",IF(X$3="Toutes",SUMIFS('Étape 1 - à remplir'!$F$31:$F$400,'Étape 1 - à remplir'!$E$31:$E$400,MASQ2!O503,'Étape 1 - à remplir'!$G$31:$G$400,"animaux"),SUMIFS('Étape 1 - à remplir'!$F$31:$F$400,'Étape 1 - à remplir'!$E$31:$E$400,MASQ2!O503,'Étape 1 - à remplir'!$N$31:$N$400,X$3)))))))</f>
        <v>#N/A</v>
      </c>
      <c r="Q503" s="63">
        <f t="shared" si="310"/>
        <v>0</v>
      </c>
      <c r="R503" t="str">
        <f>Données_ATB!BM502</f>
        <v>Tilmicosine</v>
      </c>
      <c r="S503" t="str">
        <f>Données_ATB!BN502</f>
        <v/>
      </c>
      <c r="T503" s="63" t="str">
        <f>Données_ATB!BO502</f>
        <v/>
      </c>
      <c r="U503" s="42" t="str">
        <f>Données_ATB!BQ502</f>
        <v>Macrolides</v>
      </c>
      <c r="V503" t="str">
        <f>Données_ATB!BR502</f>
        <v/>
      </c>
      <c r="W503" s="63" t="str">
        <f>Données_ATB!BS502</f>
        <v/>
      </c>
      <c r="Z503" s="42">
        <v>500</v>
      </c>
      <c r="AA503" t="e">
        <f t="shared" si="306"/>
        <v>#N/A</v>
      </c>
      <c r="AB503" s="63" t="e">
        <f t="shared" si="307"/>
        <v>#N/A</v>
      </c>
      <c r="BT503" s="194" t="str">
        <f t="shared" ca="1" si="290"/>
        <v/>
      </c>
      <c r="BU503" s="219" t="str">
        <f>IFERROR(IF(BX503=0,"",COUNTIF(BX$4:BX$600,"&gt;"&amp;BX503)+COUNTIF(BX$4:BX503,BX503)),"")</f>
        <v/>
      </c>
      <c r="BV503" s="42" t="str">
        <f t="shared" si="291"/>
        <v>TILMOVET 250 MG/ML SOLUTION BUVABLE</v>
      </c>
      <c r="BW503" t="e">
        <f>IF(IF(CE$2="Catégorie",IF(CE$3="Toutes",SUMIFS('Étape 1 - à remplir'!$F$31:$F$400,'Étape 1 - à remplir'!$E$31:$E$400,MASQ2!BV503,'Étape 1 - à remplir'!$G$31:$G$400,"lots"),SUMIFS('Étape 1 - à remplir'!$F$31:$F$400,'Étape 1 - à remplir'!$E$31:$E$400,MASQ2!BV503,'Étape 1 - à remplir'!$C$31:$C$400,CE$3)),IF(CE$2="Âge",IF(CE$3="Tous",SUMIFS('Étape 1 - à remplir'!$F$31:$F$400,'Étape 1 - à remplir'!$E$31:$E$400,MASQ2!BV503,'Étape 1 - à remplir'!$G$31:$G$400,"lots"),SUMIFS('Étape 1 - à remplir'!$F$31:$F$400,'Étape 1 - à remplir'!$E$31:$E$400,MASQ2!BV503,'Étape 1 - à remplir'!$P$31:$P$400,CE$3,'Étape 1 - à remplir'!$G$31:$G$400,"lots")),IF(CE$2="Atelier",IF(CE$3="Tous",SUMIFS('Étape 1 - à remplir'!$F$31:$F$400,'Étape 1 - à remplir'!$E$31:$E$400,MASQ2!BV503,'Étape 1 - à remplir'!$G$31:$G$400,"lots"),SUMIFS('Étape 1 - à remplir'!$F$31:$F$400,'Étape 1 - à remplir'!$E$31:$E$400,MASQ2!BV503,'Étape 1 - à remplir'!$O$31:$O$400,CE$3,'Étape 1 - à remplir'!$G$31:$G$400,"lots")),IF(CE$2="Espèce",IF(CE$3="Toutes",SUMIFS('Étape 1 - à remplir'!$F$31:$F$400,'Étape 1 - à remplir'!$E$31:$E$400,MASQ2!BV503,'Étape 1 - à remplir'!$G$31:$G$400,"lots"),SUMIFS('Étape 1 - à remplir'!$F$31:$F$400,'Étape 1 - à remplir'!$E$31:$E$400,MASQ2!BV503,'Étape 1 - à remplir'!$N$31:$N$400,CE$3,'Étape 1 - à remplir'!$G$31:$G$400,"lots"))))))=0,NA(),IF(CE$2="Catégorie",IF(CE$3="Toutes",SUMIFS('Étape 1 - à remplir'!$F$31:$F$400,'Étape 1 - à remplir'!$E$31:$E$400,MASQ2!BV503,'Étape 1 - à remplir'!$G$31:$G$400,"lots"),SUMIFS('Étape 1 - à remplir'!$F$31:$F$400,'Étape 1 - à remplir'!$E$31:$E$400,MASQ2!BV503,'Étape 1 - à remplir'!$C$31:$C$400,CE$3)),IF(CE$2="Âge",IF(CE$3="Tous",SUMIFS('Étape 1 - à remplir'!$F$31:$F$400,'Étape 1 - à remplir'!$E$31:$E$400,MASQ2!BV503,'Étape 1 - à remplir'!$G$31:$G$400,"lots"),SUMIFS('Étape 1 - à remplir'!$F$31:$F$400,'Étape 1 - à remplir'!$E$31:$E$400,MASQ2!BV503,'Étape 1 - à remplir'!$P$31:$P$400,CE$3,'Étape 1 - à remplir'!$G$31:$G$400,"lots")),IF(CE$2="Atelier",IF(CE$3="Tous",SUMIFS('Étape 1 - à remplir'!$F$31:$F$400,'Étape 1 - à remplir'!$E$31:$E$400,MASQ2!BV503,'Étape 1 - à remplir'!$G$31:$G$400,"lots"),SUMIFS('Étape 1 - à remplir'!$F$31:$F$400,'Étape 1 - à remplir'!$E$31:$E$400,MASQ2!BV503,'Étape 1 - à remplir'!$O$31:$O$400,CE$3,'Étape 1 - à remplir'!$G$31:$G$400,"lots")),IF(CE$2="Espèce",IF(CE$3="Toutes",SUMIFS('Étape 1 - à remplir'!$F$31:$F$400,'Étape 1 - à remplir'!$E$31:$E$400,MASQ2!BV503,'Étape 1 - à remplir'!$G$31:$G$400,"lots"),SUMIFS('Étape 1 - à remplir'!$F$31:$F$400,'Étape 1 - à remplir'!$E$31:$E$400,MASQ2!BV503,'Étape 1 - à remplir'!$N$31:$N$400,CE$3,'Étape 1 - à remplir'!$G$31:$G$400,"lots")))))))</f>
        <v>#N/A</v>
      </c>
      <c r="BX503">
        <f t="shared" si="308"/>
        <v>0</v>
      </c>
      <c r="BY503" t="str">
        <f t="shared" si="292"/>
        <v>Tilmicosine</v>
      </c>
      <c r="BZ503" t="str">
        <f t="shared" si="293"/>
        <v/>
      </c>
      <c r="CA503" t="str">
        <f t="shared" si="294"/>
        <v/>
      </c>
      <c r="CB503" t="str">
        <f t="shared" si="295"/>
        <v>Macrolides</v>
      </c>
      <c r="CC503" t="str">
        <f t="shared" si="296"/>
        <v/>
      </c>
      <c r="CD503" s="63" t="str">
        <f t="shared" si="297"/>
        <v/>
      </c>
      <c r="CG503" s="42">
        <v>500</v>
      </c>
      <c r="CH503" s="42" t="e">
        <f t="shared" si="313"/>
        <v>#N/A</v>
      </c>
      <c r="CI503" s="63" t="e">
        <f t="shared" si="314"/>
        <v>#N/A</v>
      </c>
      <c r="EA503" s="194" t="str">
        <f t="shared" ca="1" si="298"/>
        <v/>
      </c>
      <c r="EB503" s="226" t="str">
        <f>IFERROR(IF(ED503=0,"",COUNTIF(ED$4:ED$600,"&gt;"&amp;ED503)+COUNTIF(ED$4:ED503,ED503)),"")</f>
        <v/>
      </c>
      <c r="EC503" t="str">
        <f t="shared" si="299"/>
        <v>TILMOVET 250 MG/ML SOLUTION BUVABLE</v>
      </c>
      <c r="ED503" t="e">
        <f>IF(IF(EL$2="Catégorie",IF(EL$3="Toutes",SUMIFS('Étape 1 - à remplir'!$F$31:$F$400,'Étape 1 - à remplir'!$E$31:$E$400,MASQ2!EC503,'Étape 1 - à remplir'!$G$31:$G$400,"kg"),SUMIFS('Étape 1 - à remplir'!$F$31:$F$400,'Étape 1 - à remplir'!$E$31:$E$400,MASQ2!EC503,'Étape 1 - à remplir'!$C$31:$C$400,EL$3)),IF(EL$2="Âge",IF(EL$3="Tous",SUMIFS('Étape 1 - à remplir'!$F$31:$F$400,'Étape 1 - à remplir'!$E$31:$E$400,MASQ2!EC503,'Étape 1 - à remplir'!$G$31:$G$400,"kg"),SUMIFS('Étape 1 - à remplir'!$F$31:$F$400,'Étape 1 - à remplir'!$E$31:$E$400,MASQ2!EC503,'Étape 1 - à remplir'!$P$31:$P$400,EL$3,'Étape 1 - à remplir'!$G$31:$G$400,"kg")),IF(EL$2="Atelier",IF(EL$3="Tous",SUMIFS('Étape 1 - à remplir'!$F$31:$F$400,'Étape 1 - à remplir'!$E$31:$E$400,MASQ2!EC503,'Étape 1 - à remplir'!$G$31:$G$400,"kg"),SUMIFS('Étape 1 - à remplir'!$F$31:$F$400,'Étape 1 - à remplir'!$E$31:$E$400,MASQ2!EC503,'Étape 1 - à remplir'!$O$31:$O$400,EL$3,'Étape 1 - à remplir'!$G$31:$G$400,"kg")),IF(EL$2="Espèce",IF(EL$3="Toutes",SUMIFS('Étape 1 - à remplir'!$F$31:$F$400,'Étape 1 - à remplir'!$E$31:$E$400,MASQ2!EC503,'Étape 1 - à remplir'!$G$31:$G$400,"kg"),SUMIFS('Étape 1 - à remplir'!$F$31:$F$400,'Étape 1 - à remplir'!$E$31:$E$400,MASQ2!EC503,'Étape 1 - à remplir'!$N$31:$N$400,EL$3,'Étape 1 - à remplir'!$G$31:$G$400,"kg"))))))=0,NA(),IF(EL$2="Catégorie",IF(EL$3="Toutes",SUMIFS('Étape 1 - à remplir'!$F$31:$F$400,'Étape 1 - à remplir'!$E$31:$E$400,MASQ2!EC503,'Étape 1 - à remplir'!$G$31:$G$400,"kg"),SUMIFS('Étape 1 - à remplir'!$F$31:$F$400,'Étape 1 - à remplir'!$E$31:$E$400,MASQ2!EC503,'Étape 1 - à remplir'!$C$31:$C$400,EL$3)),IF(EL$2="Âge",IF(EL$3="Tous",SUMIFS('Étape 1 - à remplir'!$F$31:$F$400,'Étape 1 - à remplir'!$E$31:$E$400,MASQ2!EC503,'Étape 1 - à remplir'!$G$31:$G$400,"kg"),SUMIFS('Étape 1 - à remplir'!$F$31:$F$400,'Étape 1 - à remplir'!$E$31:$E$400,MASQ2!EC503,'Étape 1 - à remplir'!$P$31:$P$400,EL$3,'Étape 1 - à remplir'!$G$31:$G$400,"kg")),IF(EL$2="Atelier",IF(EL$3="Tous",SUMIFS('Étape 1 - à remplir'!$F$31:$F$400,'Étape 1 - à remplir'!$E$31:$E$400,MASQ2!EC503,'Étape 1 - à remplir'!$G$31:$G$400,"kg"),SUMIFS('Étape 1 - à remplir'!$F$31:$F$400,'Étape 1 - à remplir'!$E$31:$E$400,MASQ2!EC503,'Étape 1 - à remplir'!$O$31:$O$400,EL$3,'Étape 1 - à remplir'!$G$31:$G$400,"kg")),IF(EL$2="Espèce",IF(EL$3="Toutes",SUMIFS('Étape 1 - à remplir'!$F$31:$F$400,'Étape 1 - à remplir'!$E$31:$E$400,MASQ2!EC503,'Étape 1 - à remplir'!$G$31:$G$400,"kg"),SUMIFS('Étape 1 - à remplir'!$F$31:$F$400,'Étape 1 - à remplir'!$E$31:$E$400,MASQ2!EC503,'Étape 1 - à remplir'!$N$31:$N$400,EL$3,'Étape 1 - à remplir'!$G$31:$G$400,"kg")))))))</f>
        <v>#N/A</v>
      </c>
      <c r="EE503" s="76">
        <f t="shared" si="309"/>
        <v>0</v>
      </c>
      <c r="EF503" t="str">
        <f t="shared" si="300"/>
        <v>Tilmicosine</v>
      </c>
      <c r="EG503" t="str">
        <f t="shared" si="301"/>
        <v/>
      </c>
      <c r="EH503" t="str">
        <f t="shared" si="302"/>
        <v/>
      </c>
      <c r="EI503" t="str">
        <f t="shared" si="303"/>
        <v>Macrolides</v>
      </c>
      <c r="EJ503" t="str">
        <f t="shared" si="304"/>
        <v/>
      </c>
      <c r="EK503" s="63" t="str">
        <f t="shared" si="305"/>
        <v/>
      </c>
      <c r="EN503" s="42">
        <v>500</v>
      </c>
      <c r="EO503" t="e">
        <f t="shared" si="311"/>
        <v>#N/A</v>
      </c>
      <c r="EP503" s="63" t="e">
        <f t="shared" si="312"/>
        <v>#N/A</v>
      </c>
    </row>
    <row r="504" spans="2:176" x14ac:dyDescent="0.3">
      <c r="M504" s="194" t="str">
        <f ca="1">INDEX(Données_ATB!BD:BU,MATCH(MASQ2!O504,Données_ATB!BD:BD,0),18)</f>
        <v/>
      </c>
      <c r="N504" s="14" t="str">
        <f>IFERROR(IF(Q504=0,"",COUNTIF(Q$4:Q$600,"&gt;"&amp;Q504)+COUNTIF(Q$4:Q504,Q504)),"")</f>
        <v/>
      </c>
      <c r="O504" t="str">
        <f>Données_ATB!BD503</f>
        <v>TILMOVET 300 MG/ML SOLUTION INJECTABLE POUR BOVINS ET OVINS</v>
      </c>
      <c r="P504" t="e">
        <f>IF(IF(X$2="Catégorie",IF(X$3="Toutes",SUMIFS('Étape 1 - à remplir'!$F$31:$F$400,'Étape 1 - à remplir'!$E$31:$E$400,MASQ2!O504,'Étape 1 - à remplir'!$G$31:$G$400,"animaux"),SUMIFS('Étape 1 - à remplir'!$F$31:$F$400,'Étape 1 - à remplir'!$E$31:$E$400,MASQ2!O504,'Étape 1 - à remplir'!$C$31:$C$400,X$3)),IF(X$2="Âge",IF(X$3="Tous",SUMIFS('Étape 1 - à remplir'!$F$31:$F$400,'Étape 1 - à remplir'!$E$31:$E$400,MASQ2!O504,'Étape 1 - à remplir'!$G$31:$G$400,"animaux"),SUMIFS('Étape 1 - à remplir'!$F$31:$F$400,'Étape 1 - à remplir'!$E$31:$E$400,MASQ2!O504,'Étape 1 - à remplir'!$P$31:$P$400,X$3)),IF(X$2="Atelier",IF(X$3="Tous",SUMIFS('Étape 1 - à remplir'!$F$31:$F$400,'Étape 1 - à remplir'!$E$31:$E$400,MASQ2!O504,'Étape 1 - à remplir'!$G$31:$G$400,"animaux"),SUMIFS('Étape 1 - à remplir'!$F$31:$F$400,'Étape 1 - à remplir'!$E$31:$E$400,MASQ2!O504,'Étape 1 - à remplir'!$O$31:$O$400,X$3)),IF(X$2="Espèce",IF(X$3="Toutes",SUMIFS('Étape 1 - à remplir'!$F$31:$F$400,'Étape 1 - à remplir'!$E$31:$E$400,MASQ2!O504,'Étape 1 - à remplir'!$G$31:$G$400,"animaux"),SUMIFS('Étape 1 - à remplir'!$F$31:$F$400,'Étape 1 - à remplir'!$E$31:$E$400,MASQ2!O504,'Étape 1 - à remplir'!$N$31:$N$400,X$3))))))=0,NA(),IF(X$2="Catégorie",IF(X$3="Toutes",SUMIFS('Étape 1 - à remplir'!$F$31:$F$400,'Étape 1 - à remplir'!$E$31:$E$400,MASQ2!O504,'Étape 1 - à remplir'!$G$31:$G$400,"animaux"),SUMIFS('Étape 1 - à remplir'!$F$31:$F$400,'Étape 1 - à remplir'!$E$31:$E$400,MASQ2!O504,'Étape 1 - à remplir'!$C$31:$C$400,X$3)),IF(X$2="Âge",IF(X$3="Tous",SUMIFS('Étape 1 - à remplir'!$F$31:$F$400,'Étape 1 - à remplir'!$E$31:$E$400,MASQ2!O504,'Étape 1 - à remplir'!$G$31:$G$400,"animaux"),SUMIFS('Étape 1 - à remplir'!$F$31:$F$400,'Étape 1 - à remplir'!$E$31:$E$400,MASQ2!O504,'Étape 1 - à remplir'!$P$31:$P$400,X$3)),IF(X$2="Atelier",IF(X$3="Tous",SUMIFS('Étape 1 - à remplir'!$F$31:$F$400,'Étape 1 - à remplir'!$E$31:$E$400,MASQ2!O504,'Étape 1 - à remplir'!$G$31:$G$400,"animaux"),SUMIFS('Étape 1 - à remplir'!$F$31:$F$400,'Étape 1 - à remplir'!$E$31:$E$400,MASQ2!O504,'Étape 1 - à remplir'!$O$31:$O$400,X$3)),IF(X$2="Espèce",IF(X$3="Toutes",SUMIFS('Étape 1 - à remplir'!$F$31:$F$400,'Étape 1 - à remplir'!$E$31:$E$400,MASQ2!O504,'Étape 1 - à remplir'!$G$31:$G$400,"animaux"),SUMIFS('Étape 1 - à remplir'!$F$31:$F$400,'Étape 1 - à remplir'!$E$31:$E$400,MASQ2!O504,'Étape 1 - à remplir'!$N$31:$N$400,X$3)))))))</f>
        <v>#N/A</v>
      </c>
      <c r="Q504" s="63">
        <f t="shared" si="310"/>
        <v>0</v>
      </c>
      <c r="R504" t="str">
        <f>Données_ATB!BM503</f>
        <v>Tilmicosine</v>
      </c>
      <c r="S504" t="str">
        <f>Données_ATB!BN503</f>
        <v/>
      </c>
      <c r="T504" s="63" t="str">
        <f>Données_ATB!BO503</f>
        <v/>
      </c>
      <c r="U504" s="42" t="str">
        <f>Données_ATB!BQ503</f>
        <v>Macrolides</v>
      </c>
      <c r="V504" t="str">
        <f>Données_ATB!BR503</f>
        <v/>
      </c>
      <c r="W504" s="63" t="str">
        <f>Données_ATB!BS503</f>
        <v/>
      </c>
      <c r="Z504" s="42">
        <v>501</v>
      </c>
      <c r="AA504" t="e">
        <f t="shared" si="306"/>
        <v>#N/A</v>
      </c>
      <c r="AB504" s="63" t="e">
        <f t="shared" si="307"/>
        <v>#N/A</v>
      </c>
      <c r="BT504" s="194" t="str">
        <f t="shared" ca="1" si="290"/>
        <v/>
      </c>
      <c r="BU504" s="219" t="str">
        <f>IFERROR(IF(BX504=0,"",COUNTIF(BX$4:BX$600,"&gt;"&amp;BX504)+COUNTIF(BX$4:BX504,BX504)),"")</f>
        <v/>
      </c>
      <c r="BV504" s="42" t="str">
        <f t="shared" si="291"/>
        <v>TILMOVET 300 MG/ML SOLUTION INJECTABLE POUR BOVINS ET OVINS</v>
      </c>
      <c r="BW504" t="e">
        <f>IF(IF(CE$2="Catégorie",IF(CE$3="Toutes",SUMIFS('Étape 1 - à remplir'!$F$31:$F$400,'Étape 1 - à remplir'!$E$31:$E$400,MASQ2!BV504,'Étape 1 - à remplir'!$G$31:$G$400,"lots"),SUMIFS('Étape 1 - à remplir'!$F$31:$F$400,'Étape 1 - à remplir'!$E$31:$E$400,MASQ2!BV504,'Étape 1 - à remplir'!$C$31:$C$400,CE$3)),IF(CE$2="Âge",IF(CE$3="Tous",SUMIFS('Étape 1 - à remplir'!$F$31:$F$400,'Étape 1 - à remplir'!$E$31:$E$400,MASQ2!BV504,'Étape 1 - à remplir'!$G$31:$G$400,"lots"),SUMIFS('Étape 1 - à remplir'!$F$31:$F$400,'Étape 1 - à remplir'!$E$31:$E$400,MASQ2!BV504,'Étape 1 - à remplir'!$P$31:$P$400,CE$3,'Étape 1 - à remplir'!$G$31:$G$400,"lots")),IF(CE$2="Atelier",IF(CE$3="Tous",SUMIFS('Étape 1 - à remplir'!$F$31:$F$400,'Étape 1 - à remplir'!$E$31:$E$400,MASQ2!BV504,'Étape 1 - à remplir'!$G$31:$G$400,"lots"),SUMIFS('Étape 1 - à remplir'!$F$31:$F$400,'Étape 1 - à remplir'!$E$31:$E$400,MASQ2!BV504,'Étape 1 - à remplir'!$O$31:$O$400,CE$3,'Étape 1 - à remplir'!$G$31:$G$400,"lots")),IF(CE$2="Espèce",IF(CE$3="Toutes",SUMIFS('Étape 1 - à remplir'!$F$31:$F$400,'Étape 1 - à remplir'!$E$31:$E$400,MASQ2!BV504,'Étape 1 - à remplir'!$G$31:$G$400,"lots"),SUMIFS('Étape 1 - à remplir'!$F$31:$F$400,'Étape 1 - à remplir'!$E$31:$E$400,MASQ2!BV504,'Étape 1 - à remplir'!$N$31:$N$400,CE$3,'Étape 1 - à remplir'!$G$31:$G$400,"lots"))))))=0,NA(),IF(CE$2="Catégorie",IF(CE$3="Toutes",SUMIFS('Étape 1 - à remplir'!$F$31:$F$400,'Étape 1 - à remplir'!$E$31:$E$400,MASQ2!BV504,'Étape 1 - à remplir'!$G$31:$G$400,"lots"),SUMIFS('Étape 1 - à remplir'!$F$31:$F$400,'Étape 1 - à remplir'!$E$31:$E$400,MASQ2!BV504,'Étape 1 - à remplir'!$C$31:$C$400,CE$3)),IF(CE$2="Âge",IF(CE$3="Tous",SUMIFS('Étape 1 - à remplir'!$F$31:$F$400,'Étape 1 - à remplir'!$E$31:$E$400,MASQ2!BV504,'Étape 1 - à remplir'!$G$31:$G$400,"lots"),SUMIFS('Étape 1 - à remplir'!$F$31:$F$400,'Étape 1 - à remplir'!$E$31:$E$400,MASQ2!BV504,'Étape 1 - à remplir'!$P$31:$P$400,CE$3,'Étape 1 - à remplir'!$G$31:$G$400,"lots")),IF(CE$2="Atelier",IF(CE$3="Tous",SUMIFS('Étape 1 - à remplir'!$F$31:$F$400,'Étape 1 - à remplir'!$E$31:$E$400,MASQ2!BV504,'Étape 1 - à remplir'!$G$31:$G$400,"lots"),SUMIFS('Étape 1 - à remplir'!$F$31:$F$400,'Étape 1 - à remplir'!$E$31:$E$400,MASQ2!BV504,'Étape 1 - à remplir'!$O$31:$O$400,CE$3,'Étape 1 - à remplir'!$G$31:$G$400,"lots")),IF(CE$2="Espèce",IF(CE$3="Toutes",SUMIFS('Étape 1 - à remplir'!$F$31:$F$400,'Étape 1 - à remplir'!$E$31:$E$400,MASQ2!BV504,'Étape 1 - à remplir'!$G$31:$G$400,"lots"),SUMIFS('Étape 1 - à remplir'!$F$31:$F$400,'Étape 1 - à remplir'!$E$31:$E$400,MASQ2!BV504,'Étape 1 - à remplir'!$N$31:$N$400,CE$3,'Étape 1 - à remplir'!$G$31:$G$400,"lots")))))))</f>
        <v>#N/A</v>
      </c>
      <c r="BX504">
        <f t="shared" si="308"/>
        <v>0</v>
      </c>
      <c r="BY504" t="str">
        <f t="shared" si="292"/>
        <v>Tilmicosine</v>
      </c>
      <c r="BZ504" t="str">
        <f t="shared" si="293"/>
        <v/>
      </c>
      <c r="CA504" t="str">
        <f t="shared" si="294"/>
        <v/>
      </c>
      <c r="CB504" t="str">
        <f t="shared" si="295"/>
        <v>Macrolides</v>
      </c>
      <c r="CC504" t="str">
        <f t="shared" si="296"/>
        <v/>
      </c>
      <c r="CD504" s="63" t="str">
        <f t="shared" si="297"/>
        <v/>
      </c>
      <c r="CG504" s="42">
        <v>501</v>
      </c>
      <c r="CH504" s="42" t="e">
        <f t="shared" si="313"/>
        <v>#N/A</v>
      </c>
      <c r="CI504" s="63" t="e">
        <f t="shared" si="314"/>
        <v>#N/A</v>
      </c>
      <c r="EA504" s="194" t="str">
        <f t="shared" ca="1" si="298"/>
        <v/>
      </c>
      <c r="EB504" s="226" t="str">
        <f>IFERROR(IF(ED504=0,"",COUNTIF(ED$4:ED$600,"&gt;"&amp;ED504)+COUNTIF(ED$4:ED504,ED504)),"")</f>
        <v/>
      </c>
      <c r="EC504" t="str">
        <f t="shared" si="299"/>
        <v>TILMOVET 300 MG/ML SOLUTION INJECTABLE POUR BOVINS ET OVINS</v>
      </c>
      <c r="ED504" t="e">
        <f>IF(IF(EL$2="Catégorie",IF(EL$3="Toutes",SUMIFS('Étape 1 - à remplir'!$F$31:$F$400,'Étape 1 - à remplir'!$E$31:$E$400,MASQ2!EC504,'Étape 1 - à remplir'!$G$31:$G$400,"kg"),SUMIFS('Étape 1 - à remplir'!$F$31:$F$400,'Étape 1 - à remplir'!$E$31:$E$400,MASQ2!EC504,'Étape 1 - à remplir'!$C$31:$C$400,EL$3)),IF(EL$2="Âge",IF(EL$3="Tous",SUMIFS('Étape 1 - à remplir'!$F$31:$F$400,'Étape 1 - à remplir'!$E$31:$E$400,MASQ2!EC504,'Étape 1 - à remplir'!$G$31:$G$400,"kg"),SUMIFS('Étape 1 - à remplir'!$F$31:$F$400,'Étape 1 - à remplir'!$E$31:$E$400,MASQ2!EC504,'Étape 1 - à remplir'!$P$31:$P$400,EL$3,'Étape 1 - à remplir'!$G$31:$G$400,"kg")),IF(EL$2="Atelier",IF(EL$3="Tous",SUMIFS('Étape 1 - à remplir'!$F$31:$F$400,'Étape 1 - à remplir'!$E$31:$E$400,MASQ2!EC504,'Étape 1 - à remplir'!$G$31:$G$400,"kg"),SUMIFS('Étape 1 - à remplir'!$F$31:$F$400,'Étape 1 - à remplir'!$E$31:$E$400,MASQ2!EC504,'Étape 1 - à remplir'!$O$31:$O$400,EL$3,'Étape 1 - à remplir'!$G$31:$G$400,"kg")),IF(EL$2="Espèce",IF(EL$3="Toutes",SUMIFS('Étape 1 - à remplir'!$F$31:$F$400,'Étape 1 - à remplir'!$E$31:$E$400,MASQ2!EC504,'Étape 1 - à remplir'!$G$31:$G$400,"kg"),SUMIFS('Étape 1 - à remplir'!$F$31:$F$400,'Étape 1 - à remplir'!$E$31:$E$400,MASQ2!EC504,'Étape 1 - à remplir'!$N$31:$N$400,EL$3,'Étape 1 - à remplir'!$G$31:$G$400,"kg"))))))=0,NA(),IF(EL$2="Catégorie",IF(EL$3="Toutes",SUMIFS('Étape 1 - à remplir'!$F$31:$F$400,'Étape 1 - à remplir'!$E$31:$E$400,MASQ2!EC504,'Étape 1 - à remplir'!$G$31:$G$400,"kg"),SUMIFS('Étape 1 - à remplir'!$F$31:$F$400,'Étape 1 - à remplir'!$E$31:$E$400,MASQ2!EC504,'Étape 1 - à remplir'!$C$31:$C$400,EL$3)),IF(EL$2="Âge",IF(EL$3="Tous",SUMIFS('Étape 1 - à remplir'!$F$31:$F$400,'Étape 1 - à remplir'!$E$31:$E$400,MASQ2!EC504,'Étape 1 - à remplir'!$G$31:$G$400,"kg"),SUMIFS('Étape 1 - à remplir'!$F$31:$F$400,'Étape 1 - à remplir'!$E$31:$E$400,MASQ2!EC504,'Étape 1 - à remplir'!$P$31:$P$400,EL$3,'Étape 1 - à remplir'!$G$31:$G$400,"kg")),IF(EL$2="Atelier",IF(EL$3="Tous",SUMIFS('Étape 1 - à remplir'!$F$31:$F$400,'Étape 1 - à remplir'!$E$31:$E$400,MASQ2!EC504,'Étape 1 - à remplir'!$G$31:$G$400,"kg"),SUMIFS('Étape 1 - à remplir'!$F$31:$F$400,'Étape 1 - à remplir'!$E$31:$E$400,MASQ2!EC504,'Étape 1 - à remplir'!$O$31:$O$400,EL$3,'Étape 1 - à remplir'!$G$31:$G$400,"kg")),IF(EL$2="Espèce",IF(EL$3="Toutes",SUMIFS('Étape 1 - à remplir'!$F$31:$F$400,'Étape 1 - à remplir'!$E$31:$E$400,MASQ2!EC504,'Étape 1 - à remplir'!$G$31:$G$400,"kg"),SUMIFS('Étape 1 - à remplir'!$F$31:$F$400,'Étape 1 - à remplir'!$E$31:$E$400,MASQ2!EC504,'Étape 1 - à remplir'!$N$31:$N$400,EL$3,'Étape 1 - à remplir'!$G$31:$G$400,"kg")))))))</f>
        <v>#N/A</v>
      </c>
      <c r="EE504" s="76">
        <f t="shared" si="309"/>
        <v>0</v>
      </c>
      <c r="EF504" t="str">
        <f t="shared" si="300"/>
        <v>Tilmicosine</v>
      </c>
      <c r="EG504" t="str">
        <f t="shared" si="301"/>
        <v/>
      </c>
      <c r="EH504" t="str">
        <f t="shared" si="302"/>
        <v/>
      </c>
      <c r="EI504" t="str">
        <f t="shared" si="303"/>
        <v>Macrolides</v>
      </c>
      <c r="EJ504" t="str">
        <f t="shared" si="304"/>
        <v/>
      </c>
      <c r="EK504" s="63" t="str">
        <f t="shared" si="305"/>
        <v/>
      </c>
      <c r="EN504" s="42">
        <v>501</v>
      </c>
      <c r="EO504" t="e">
        <f t="shared" si="311"/>
        <v>#N/A</v>
      </c>
      <c r="EP504" s="63" t="e">
        <f t="shared" si="312"/>
        <v>#N/A</v>
      </c>
    </row>
    <row r="505" spans="2:176" x14ac:dyDescent="0.3">
      <c r="M505" s="194" t="str">
        <f ca="1">INDEX(Données_ATB!BD:BU,MATCH(MASQ2!O505,Données_ATB!BD:BD,0),18)</f>
        <v/>
      </c>
      <c r="N505" s="14" t="str">
        <f>IFERROR(IF(Q505=0,"",COUNTIF(Q$4:Q$600,"&gt;"&amp;Q505)+COUNTIF(Q$4:Q505,Q505)),"")</f>
        <v/>
      </c>
      <c r="O505" t="str">
        <f>Données_ATB!BD504</f>
        <v>TILMOVET 40 G/KG PREMELANGE MEDICAMENTEUX POUR PORCS ET LAPINS</v>
      </c>
      <c r="P505" t="e">
        <f>IF(IF(X$2="Catégorie",IF(X$3="Toutes",SUMIFS('Étape 1 - à remplir'!$F$31:$F$400,'Étape 1 - à remplir'!$E$31:$E$400,MASQ2!O505,'Étape 1 - à remplir'!$G$31:$G$400,"animaux"),SUMIFS('Étape 1 - à remplir'!$F$31:$F$400,'Étape 1 - à remplir'!$E$31:$E$400,MASQ2!O505,'Étape 1 - à remplir'!$C$31:$C$400,X$3)),IF(X$2="Âge",IF(X$3="Tous",SUMIFS('Étape 1 - à remplir'!$F$31:$F$400,'Étape 1 - à remplir'!$E$31:$E$400,MASQ2!O505,'Étape 1 - à remplir'!$G$31:$G$400,"animaux"),SUMIFS('Étape 1 - à remplir'!$F$31:$F$400,'Étape 1 - à remplir'!$E$31:$E$400,MASQ2!O505,'Étape 1 - à remplir'!$P$31:$P$400,X$3)),IF(X$2="Atelier",IF(X$3="Tous",SUMIFS('Étape 1 - à remplir'!$F$31:$F$400,'Étape 1 - à remplir'!$E$31:$E$400,MASQ2!O505,'Étape 1 - à remplir'!$G$31:$G$400,"animaux"),SUMIFS('Étape 1 - à remplir'!$F$31:$F$400,'Étape 1 - à remplir'!$E$31:$E$400,MASQ2!O505,'Étape 1 - à remplir'!$O$31:$O$400,X$3)),IF(X$2="Espèce",IF(X$3="Toutes",SUMIFS('Étape 1 - à remplir'!$F$31:$F$400,'Étape 1 - à remplir'!$E$31:$E$400,MASQ2!O505,'Étape 1 - à remplir'!$G$31:$G$400,"animaux"),SUMIFS('Étape 1 - à remplir'!$F$31:$F$400,'Étape 1 - à remplir'!$E$31:$E$400,MASQ2!O505,'Étape 1 - à remplir'!$N$31:$N$400,X$3))))))=0,NA(),IF(X$2="Catégorie",IF(X$3="Toutes",SUMIFS('Étape 1 - à remplir'!$F$31:$F$400,'Étape 1 - à remplir'!$E$31:$E$400,MASQ2!O505,'Étape 1 - à remplir'!$G$31:$G$400,"animaux"),SUMIFS('Étape 1 - à remplir'!$F$31:$F$400,'Étape 1 - à remplir'!$E$31:$E$400,MASQ2!O505,'Étape 1 - à remplir'!$C$31:$C$400,X$3)),IF(X$2="Âge",IF(X$3="Tous",SUMIFS('Étape 1 - à remplir'!$F$31:$F$400,'Étape 1 - à remplir'!$E$31:$E$400,MASQ2!O505,'Étape 1 - à remplir'!$G$31:$G$400,"animaux"),SUMIFS('Étape 1 - à remplir'!$F$31:$F$400,'Étape 1 - à remplir'!$E$31:$E$400,MASQ2!O505,'Étape 1 - à remplir'!$P$31:$P$400,X$3)),IF(X$2="Atelier",IF(X$3="Tous",SUMIFS('Étape 1 - à remplir'!$F$31:$F$400,'Étape 1 - à remplir'!$E$31:$E$400,MASQ2!O505,'Étape 1 - à remplir'!$G$31:$G$400,"animaux"),SUMIFS('Étape 1 - à remplir'!$F$31:$F$400,'Étape 1 - à remplir'!$E$31:$E$400,MASQ2!O505,'Étape 1 - à remplir'!$O$31:$O$400,X$3)),IF(X$2="Espèce",IF(X$3="Toutes",SUMIFS('Étape 1 - à remplir'!$F$31:$F$400,'Étape 1 - à remplir'!$E$31:$E$400,MASQ2!O505,'Étape 1 - à remplir'!$G$31:$G$400,"animaux"),SUMIFS('Étape 1 - à remplir'!$F$31:$F$400,'Étape 1 - à remplir'!$E$31:$E$400,MASQ2!O505,'Étape 1 - à remplir'!$N$31:$N$400,X$3)))))))</f>
        <v>#N/A</v>
      </c>
      <c r="Q505" s="63">
        <f t="shared" si="310"/>
        <v>0</v>
      </c>
      <c r="R505" t="str">
        <f>Données_ATB!BM504</f>
        <v>Tilmicosine</v>
      </c>
      <c r="S505" t="str">
        <f>Données_ATB!BN504</f>
        <v/>
      </c>
      <c r="T505" s="63" t="str">
        <f>Données_ATB!BO504</f>
        <v/>
      </c>
      <c r="U505" s="42" t="str">
        <f>Données_ATB!BQ504</f>
        <v>Macrolides</v>
      </c>
      <c r="V505" t="str">
        <f>Données_ATB!BR504</f>
        <v/>
      </c>
      <c r="W505" s="63" t="str">
        <f>Données_ATB!BS504</f>
        <v/>
      </c>
      <c r="Z505" s="42">
        <v>502</v>
      </c>
      <c r="AA505" t="e">
        <f t="shared" si="306"/>
        <v>#N/A</v>
      </c>
      <c r="AB505" s="63" t="e">
        <f t="shared" si="307"/>
        <v>#N/A</v>
      </c>
      <c r="BT505" s="194" t="str">
        <f t="shared" ca="1" si="290"/>
        <v/>
      </c>
      <c r="BU505" s="219" t="str">
        <f>IFERROR(IF(BX505=0,"",COUNTIF(BX$4:BX$600,"&gt;"&amp;BX505)+COUNTIF(BX$4:BX505,BX505)),"")</f>
        <v/>
      </c>
      <c r="BV505" s="42" t="str">
        <f t="shared" si="291"/>
        <v>TILMOVET 40 G/KG PREMELANGE MEDICAMENTEUX POUR PORCS ET LAPINS</v>
      </c>
      <c r="BW505" t="e">
        <f>IF(IF(CE$2="Catégorie",IF(CE$3="Toutes",SUMIFS('Étape 1 - à remplir'!$F$31:$F$400,'Étape 1 - à remplir'!$E$31:$E$400,MASQ2!BV505,'Étape 1 - à remplir'!$G$31:$G$400,"lots"),SUMIFS('Étape 1 - à remplir'!$F$31:$F$400,'Étape 1 - à remplir'!$E$31:$E$400,MASQ2!BV505,'Étape 1 - à remplir'!$C$31:$C$400,CE$3)),IF(CE$2="Âge",IF(CE$3="Tous",SUMIFS('Étape 1 - à remplir'!$F$31:$F$400,'Étape 1 - à remplir'!$E$31:$E$400,MASQ2!BV505,'Étape 1 - à remplir'!$G$31:$G$400,"lots"),SUMIFS('Étape 1 - à remplir'!$F$31:$F$400,'Étape 1 - à remplir'!$E$31:$E$400,MASQ2!BV505,'Étape 1 - à remplir'!$P$31:$P$400,CE$3,'Étape 1 - à remplir'!$G$31:$G$400,"lots")),IF(CE$2="Atelier",IF(CE$3="Tous",SUMIFS('Étape 1 - à remplir'!$F$31:$F$400,'Étape 1 - à remplir'!$E$31:$E$400,MASQ2!BV505,'Étape 1 - à remplir'!$G$31:$G$400,"lots"),SUMIFS('Étape 1 - à remplir'!$F$31:$F$400,'Étape 1 - à remplir'!$E$31:$E$400,MASQ2!BV505,'Étape 1 - à remplir'!$O$31:$O$400,CE$3,'Étape 1 - à remplir'!$G$31:$G$400,"lots")),IF(CE$2="Espèce",IF(CE$3="Toutes",SUMIFS('Étape 1 - à remplir'!$F$31:$F$400,'Étape 1 - à remplir'!$E$31:$E$400,MASQ2!BV505,'Étape 1 - à remplir'!$G$31:$G$400,"lots"),SUMIFS('Étape 1 - à remplir'!$F$31:$F$400,'Étape 1 - à remplir'!$E$31:$E$400,MASQ2!BV505,'Étape 1 - à remplir'!$N$31:$N$400,CE$3,'Étape 1 - à remplir'!$G$31:$G$400,"lots"))))))=0,NA(),IF(CE$2="Catégorie",IF(CE$3="Toutes",SUMIFS('Étape 1 - à remplir'!$F$31:$F$400,'Étape 1 - à remplir'!$E$31:$E$400,MASQ2!BV505,'Étape 1 - à remplir'!$G$31:$G$400,"lots"),SUMIFS('Étape 1 - à remplir'!$F$31:$F$400,'Étape 1 - à remplir'!$E$31:$E$400,MASQ2!BV505,'Étape 1 - à remplir'!$C$31:$C$400,CE$3)),IF(CE$2="Âge",IF(CE$3="Tous",SUMIFS('Étape 1 - à remplir'!$F$31:$F$400,'Étape 1 - à remplir'!$E$31:$E$400,MASQ2!BV505,'Étape 1 - à remplir'!$G$31:$G$400,"lots"),SUMIFS('Étape 1 - à remplir'!$F$31:$F$400,'Étape 1 - à remplir'!$E$31:$E$400,MASQ2!BV505,'Étape 1 - à remplir'!$P$31:$P$400,CE$3,'Étape 1 - à remplir'!$G$31:$G$400,"lots")),IF(CE$2="Atelier",IF(CE$3="Tous",SUMIFS('Étape 1 - à remplir'!$F$31:$F$400,'Étape 1 - à remplir'!$E$31:$E$400,MASQ2!BV505,'Étape 1 - à remplir'!$G$31:$G$400,"lots"),SUMIFS('Étape 1 - à remplir'!$F$31:$F$400,'Étape 1 - à remplir'!$E$31:$E$400,MASQ2!BV505,'Étape 1 - à remplir'!$O$31:$O$400,CE$3,'Étape 1 - à remplir'!$G$31:$G$400,"lots")),IF(CE$2="Espèce",IF(CE$3="Toutes",SUMIFS('Étape 1 - à remplir'!$F$31:$F$400,'Étape 1 - à remplir'!$E$31:$E$400,MASQ2!BV505,'Étape 1 - à remplir'!$G$31:$G$400,"lots"),SUMIFS('Étape 1 - à remplir'!$F$31:$F$400,'Étape 1 - à remplir'!$E$31:$E$400,MASQ2!BV505,'Étape 1 - à remplir'!$N$31:$N$400,CE$3,'Étape 1 - à remplir'!$G$31:$G$400,"lots")))))))</f>
        <v>#N/A</v>
      </c>
      <c r="BX505">
        <f t="shared" si="308"/>
        <v>0</v>
      </c>
      <c r="BY505" t="str">
        <f t="shared" si="292"/>
        <v>Tilmicosine</v>
      </c>
      <c r="BZ505" t="str">
        <f t="shared" si="293"/>
        <v/>
      </c>
      <c r="CA505" t="str">
        <f t="shared" si="294"/>
        <v/>
      </c>
      <c r="CB505" t="str">
        <f t="shared" si="295"/>
        <v>Macrolides</v>
      </c>
      <c r="CC505" t="str">
        <f t="shared" si="296"/>
        <v/>
      </c>
      <c r="CD505" s="63" t="str">
        <f t="shared" si="297"/>
        <v/>
      </c>
      <c r="CG505" s="42">
        <v>502</v>
      </c>
      <c r="CH505" s="42" t="e">
        <f t="shared" si="313"/>
        <v>#N/A</v>
      </c>
      <c r="CI505" s="63" t="e">
        <f t="shared" si="314"/>
        <v>#N/A</v>
      </c>
      <c r="EA505" s="194" t="str">
        <f t="shared" ca="1" si="298"/>
        <v/>
      </c>
      <c r="EB505" s="226" t="str">
        <f>IFERROR(IF(ED505=0,"",COUNTIF(ED$4:ED$600,"&gt;"&amp;ED505)+COUNTIF(ED$4:ED505,ED505)),"")</f>
        <v/>
      </c>
      <c r="EC505" t="str">
        <f t="shared" si="299"/>
        <v>TILMOVET 40 G/KG PREMELANGE MEDICAMENTEUX POUR PORCS ET LAPINS</v>
      </c>
      <c r="ED505" t="e">
        <f>IF(IF(EL$2="Catégorie",IF(EL$3="Toutes",SUMIFS('Étape 1 - à remplir'!$F$31:$F$400,'Étape 1 - à remplir'!$E$31:$E$400,MASQ2!EC505,'Étape 1 - à remplir'!$G$31:$G$400,"kg"),SUMIFS('Étape 1 - à remplir'!$F$31:$F$400,'Étape 1 - à remplir'!$E$31:$E$400,MASQ2!EC505,'Étape 1 - à remplir'!$C$31:$C$400,EL$3)),IF(EL$2="Âge",IF(EL$3="Tous",SUMIFS('Étape 1 - à remplir'!$F$31:$F$400,'Étape 1 - à remplir'!$E$31:$E$400,MASQ2!EC505,'Étape 1 - à remplir'!$G$31:$G$400,"kg"),SUMIFS('Étape 1 - à remplir'!$F$31:$F$400,'Étape 1 - à remplir'!$E$31:$E$400,MASQ2!EC505,'Étape 1 - à remplir'!$P$31:$P$400,EL$3,'Étape 1 - à remplir'!$G$31:$G$400,"kg")),IF(EL$2="Atelier",IF(EL$3="Tous",SUMIFS('Étape 1 - à remplir'!$F$31:$F$400,'Étape 1 - à remplir'!$E$31:$E$400,MASQ2!EC505,'Étape 1 - à remplir'!$G$31:$G$400,"kg"),SUMIFS('Étape 1 - à remplir'!$F$31:$F$400,'Étape 1 - à remplir'!$E$31:$E$400,MASQ2!EC505,'Étape 1 - à remplir'!$O$31:$O$400,EL$3,'Étape 1 - à remplir'!$G$31:$G$400,"kg")),IF(EL$2="Espèce",IF(EL$3="Toutes",SUMIFS('Étape 1 - à remplir'!$F$31:$F$400,'Étape 1 - à remplir'!$E$31:$E$400,MASQ2!EC505,'Étape 1 - à remplir'!$G$31:$G$400,"kg"),SUMIFS('Étape 1 - à remplir'!$F$31:$F$400,'Étape 1 - à remplir'!$E$31:$E$400,MASQ2!EC505,'Étape 1 - à remplir'!$N$31:$N$400,EL$3,'Étape 1 - à remplir'!$G$31:$G$400,"kg"))))))=0,NA(),IF(EL$2="Catégorie",IF(EL$3="Toutes",SUMIFS('Étape 1 - à remplir'!$F$31:$F$400,'Étape 1 - à remplir'!$E$31:$E$400,MASQ2!EC505,'Étape 1 - à remplir'!$G$31:$G$400,"kg"),SUMIFS('Étape 1 - à remplir'!$F$31:$F$400,'Étape 1 - à remplir'!$E$31:$E$400,MASQ2!EC505,'Étape 1 - à remplir'!$C$31:$C$400,EL$3)),IF(EL$2="Âge",IF(EL$3="Tous",SUMIFS('Étape 1 - à remplir'!$F$31:$F$400,'Étape 1 - à remplir'!$E$31:$E$400,MASQ2!EC505,'Étape 1 - à remplir'!$G$31:$G$400,"kg"),SUMIFS('Étape 1 - à remplir'!$F$31:$F$400,'Étape 1 - à remplir'!$E$31:$E$400,MASQ2!EC505,'Étape 1 - à remplir'!$P$31:$P$400,EL$3,'Étape 1 - à remplir'!$G$31:$G$400,"kg")),IF(EL$2="Atelier",IF(EL$3="Tous",SUMIFS('Étape 1 - à remplir'!$F$31:$F$400,'Étape 1 - à remplir'!$E$31:$E$400,MASQ2!EC505,'Étape 1 - à remplir'!$G$31:$G$400,"kg"),SUMIFS('Étape 1 - à remplir'!$F$31:$F$400,'Étape 1 - à remplir'!$E$31:$E$400,MASQ2!EC505,'Étape 1 - à remplir'!$O$31:$O$400,EL$3,'Étape 1 - à remplir'!$G$31:$G$400,"kg")),IF(EL$2="Espèce",IF(EL$3="Toutes",SUMIFS('Étape 1 - à remplir'!$F$31:$F$400,'Étape 1 - à remplir'!$E$31:$E$400,MASQ2!EC505,'Étape 1 - à remplir'!$G$31:$G$400,"kg"),SUMIFS('Étape 1 - à remplir'!$F$31:$F$400,'Étape 1 - à remplir'!$E$31:$E$400,MASQ2!EC505,'Étape 1 - à remplir'!$N$31:$N$400,EL$3,'Étape 1 - à remplir'!$G$31:$G$400,"kg")))))))</f>
        <v>#N/A</v>
      </c>
      <c r="EE505" s="76">
        <f t="shared" si="309"/>
        <v>0</v>
      </c>
      <c r="EF505" t="str">
        <f t="shared" si="300"/>
        <v>Tilmicosine</v>
      </c>
      <c r="EG505" t="str">
        <f t="shared" si="301"/>
        <v/>
      </c>
      <c r="EH505" t="str">
        <f t="shared" si="302"/>
        <v/>
      </c>
      <c r="EI505" t="str">
        <f t="shared" si="303"/>
        <v>Macrolides</v>
      </c>
      <c r="EJ505" t="str">
        <f t="shared" si="304"/>
        <v/>
      </c>
      <c r="EK505" s="63" t="str">
        <f t="shared" si="305"/>
        <v/>
      </c>
      <c r="EN505" s="42">
        <v>502</v>
      </c>
      <c r="EO505" t="e">
        <f t="shared" si="311"/>
        <v>#N/A</v>
      </c>
      <c r="EP505" s="63" t="e">
        <f t="shared" si="312"/>
        <v>#N/A</v>
      </c>
    </row>
    <row r="506" spans="2:176" x14ac:dyDescent="0.3">
      <c r="M506" s="194" t="str">
        <f ca="1">INDEX(Données_ATB!BD:BU,MATCH(MASQ2!O506,Données_ATB!BD:BD,0),18)</f>
        <v/>
      </c>
      <c r="N506" s="14" t="str">
        <f>IFERROR(IF(Q506=0,"",COUNTIF(Q$4:Q$600,"&gt;"&amp;Q506)+COUNTIF(Q$4:Q506,Q506)),"")</f>
        <v/>
      </c>
      <c r="O506" t="str">
        <f>Données_ATB!BD505</f>
        <v>TRANSGRAM ORAL</v>
      </c>
      <c r="P506" t="e">
        <f>IF(IF(X$2="Catégorie",IF(X$3="Toutes",SUMIFS('Étape 1 - à remplir'!$F$31:$F$400,'Étape 1 - à remplir'!$E$31:$E$400,MASQ2!O506,'Étape 1 - à remplir'!$G$31:$G$400,"animaux"),SUMIFS('Étape 1 - à remplir'!$F$31:$F$400,'Étape 1 - à remplir'!$E$31:$E$400,MASQ2!O506,'Étape 1 - à remplir'!$C$31:$C$400,X$3)),IF(X$2="Âge",IF(X$3="Tous",SUMIFS('Étape 1 - à remplir'!$F$31:$F$400,'Étape 1 - à remplir'!$E$31:$E$400,MASQ2!O506,'Étape 1 - à remplir'!$G$31:$G$400,"animaux"),SUMIFS('Étape 1 - à remplir'!$F$31:$F$400,'Étape 1 - à remplir'!$E$31:$E$400,MASQ2!O506,'Étape 1 - à remplir'!$P$31:$P$400,X$3)),IF(X$2="Atelier",IF(X$3="Tous",SUMIFS('Étape 1 - à remplir'!$F$31:$F$400,'Étape 1 - à remplir'!$E$31:$E$400,MASQ2!O506,'Étape 1 - à remplir'!$G$31:$G$400,"animaux"),SUMIFS('Étape 1 - à remplir'!$F$31:$F$400,'Étape 1 - à remplir'!$E$31:$E$400,MASQ2!O506,'Étape 1 - à remplir'!$O$31:$O$400,X$3)),IF(X$2="Espèce",IF(X$3="Toutes",SUMIFS('Étape 1 - à remplir'!$F$31:$F$400,'Étape 1 - à remplir'!$E$31:$E$400,MASQ2!O506,'Étape 1 - à remplir'!$G$31:$G$400,"animaux"),SUMIFS('Étape 1 - à remplir'!$F$31:$F$400,'Étape 1 - à remplir'!$E$31:$E$400,MASQ2!O506,'Étape 1 - à remplir'!$N$31:$N$400,X$3))))))=0,NA(),IF(X$2="Catégorie",IF(X$3="Toutes",SUMIFS('Étape 1 - à remplir'!$F$31:$F$400,'Étape 1 - à remplir'!$E$31:$E$400,MASQ2!O506,'Étape 1 - à remplir'!$G$31:$G$400,"animaux"),SUMIFS('Étape 1 - à remplir'!$F$31:$F$400,'Étape 1 - à remplir'!$E$31:$E$400,MASQ2!O506,'Étape 1 - à remplir'!$C$31:$C$400,X$3)),IF(X$2="Âge",IF(X$3="Tous",SUMIFS('Étape 1 - à remplir'!$F$31:$F$400,'Étape 1 - à remplir'!$E$31:$E$400,MASQ2!O506,'Étape 1 - à remplir'!$G$31:$G$400,"animaux"),SUMIFS('Étape 1 - à remplir'!$F$31:$F$400,'Étape 1 - à remplir'!$E$31:$E$400,MASQ2!O506,'Étape 1 - à remplir'!$P$31:$P$400,X$3)),IF(X$2="Atelier",IF(X$3="Tous",SUMIFS('Étape 1 - à remplir'!$F$31:$F$400,'Étape 1 - à remplir'!$E$31:$E$400,MASQ2!O506,'Étape 1 - à remplir'!$G$31:$G$400,"animaux"),SUMIFS('Étape 1 - à remplir'!$F$31:$F$400,'Étape 1 - à remplir'!$E$31:$E$400,MASQ2!O506,'Étape 1 - à remplir'!$O$31:$O$400,X$3)),IF(X$2="Espèce",IF(X$3="Toutes",SUMIFS('Étape 1 - à remplir'!$F$31:$F$400,'Étape 1 - à remplir'!$E$31:$E$400,MASQ2!O506,'Étape 1 - à remplir'!$G$31:$G$400,"animaux"),SUMIFS('Étape 1 - à remplir'!$F$31:$F$400,'Étape 1 - à remplir'!$E$31:$E$400,MASQ2!O506,'Étape 1 - à remplir'!$N$31:$N$400,X$3)))))))</f>
        <v>#N/A</v>
      </c>
      <c r="Q506" s="63">
        <f t="shared" si="310"/>
        <v>0</v>
      </c>
      <c r="R506" t="str">
        <f>Données_ATB!BM505</f>
        <v>Gentamicine</v>
      </c>
      <c r="S506" t="str">
        <f>Données_ATB!BN505</f>
        <v/>
      </c>
      <c r="T506" s="63" t="str">
        <f>Données_ATB!BO505</f>
        <v/>
      </c>
      <c r="U506" s="42" t="str">
        <f>Données_ATB!BQ505</f>
        <v>Aminoglycosides</v>
      </c>
      <c r="V506" t="str">
        <f>Données_ATB!BR505</f>
        <v/>
      </c>
      <c r="W506" s="63" t="str">
        <f>Données_ATB!BS505</f>
        <v/>
      </c>
      <c r="Z506" s="42">
        <v>503</v>
      </c>
      <c r="AA506" t="e">
        <f t="shared" si="306"/>
        <v>#N/A</v>
      </c>
      <c r="AB506" s="63" t="e">
        <f t="shared" si="307"/>
        <v>#N/A</v>
      </c>
      <c r="BT506" s="194" t="str">
        <f t="shared" ca="1" si="290"/>
        <v/>
      </c>
      <c r="BU506" s="219" t="str">
        <f>IFERROR(IF(BX506=0,"",COUNTIF(BX$4:BX$600,"&gt;"&amp;BX506)+COUNTIF(BX$4:BX506,BX506)),"")</f>
        <v/>
      </c>
      <c r="BV506" s="42" t="str">
        <f t="shared" si="291"/>
        <v>TRANSGRAM ORAL</v>
      </c>
      <c r="BW506" t="e">
        <f>IF(IF(CE$2="Catégorie",IF(CE$3="Toutes",SUMIFS('Étape 1 - à remplir'!$F$31:$F$400,'Étape 1 - à remplir'!$E$31:$E$400,MASQ2!BV506,'Étape 1 - à remplir'!$G$31:$G$400,"lots"),SUMIFS('Étape 1 - à remplir'!$F$31:$F$400,'Étape 1 - à remplir'!$E$31:$E$400,MASQ2!BV506,'Étape 1 - à remplir'!$C$31:$C$400,CE$3)),IF(CE$2="Âge",IF(CE$3="Tous",SUMIFS('Étape 1 - à remplir'!$F$31:$F$400,'Étape 1 - à remplir'!$E$31:$E$400,MASQ2!BV506,'Étape 1 - à remplir'!$G$31:$G$400,"lots"),SUMIFS('Étape 1 - à remplir'!$F$31:$F$400,'Étape 1 - à remplir'!$E$31:$E$400,MASQ2!BV506,'Étape 1 - à remplir'!$P$31:$P$400,CE$3,'Étape 1 - à remplir'!$G$31:$G$400,"lots")),IF(CE$2="Atelier",IF(CE$3="Tous",SUMIFS('Étape 1 - à remplir'!$F$31:$F$400,'Étape 1 - à remplir'!$E$31:$E$400,MASQ2!BV506,'Étape 1 - à remplir'!$G$31:$G$400,"lots"),SUMIFS('Étape 1 - à remplir'!$F$31:$F$400,'Étape 1 - à remplir'!$E$31:$E$400,MASQ2!BV506,'Étape 1 - à remplir'!$O$31:$O$400,CE$3,'Étape 1 - à remplir'!$G$31:$G$400,"lots")),IF(CE$2="Espèce",IF(CE$3="Toutes",SUMIFS('Étape 1 - à remplir'!$F$31:$F$400,'Étape 1 - à remplir'!$E$31:$E$400,MASQ2!BV506,'Étape 1 - à remplir'!$G$31:$G$400,"lots"),SUMIFS('Étape 1 - à remplir'!$F$31:$F$400,'Étape 1 - à remplir'!$E$31:$E$400,MASQ2!BV506,'Étape 1 - à remplir'!$N$31:$N$400,CE$3,'Étape 1 - à remplir'!$G$31:$G$400,"lots"))))))=0,NA(),IF(CE$2="Catégorie",IF(CE$3="Toutes",SUMIFS('Étape 1 - à remplir'!$F$31:$F$400,'Étape 1 - à remplir'!$E$31:$E$400,MASQ2!BV506,'Étape 1 - à remplir'!$G$31:$G$400,"lots"),SUMIFS('Étape 1 - à remplir'!$F$31:$F$400,'Étape 1 - à remplir'!$E$31:$E$400,MASQ2!BV506,'Étape 1 - à remplir'!$C$31:$C$400,CE$3)),IF(CE$2="Âge",IF(CE$3="Tous",SUMIFS('Étape 1 - à remplir'!$F$31:$F$400,'Étape 1 - à remplir'!$E$31:$E$400,MASQ2!BV506,'Étape 1 - à remplir'!$G$31:$G$400,"lots"),SUMIFS('Étape 1 - à remplir'!$F$31:$F$400,'Étape 1 - à remplir'!$E$31:$E$400,MASQ2!BV506,'Étape 1 - à remplir'!$P$31:$P$400,CE$3,'Étape 1 - à remplir'!$G$31:$G$400,"lots")),IF(CE$2="Atelier",IF(CE$3="Tous",SUMIFS('Étape 1 - à remplir'!$F$31:$F$400,'Étape 1 - à remplir'!$E$31:$E$400,MASQ2!BV506,'Étape 1 - à remplir'!$G$31:$G$400,"lots"),SUMIFS('Étape 1 - à remplir'!$F$31:$F$400,'Étape 1 - à remplir'!$E$31:$E$400,MASQ2!BV506,'Étape 1 - à remplir'!$O$31:$O$400,CE$3,'Étape 1 - à remplir'!$G$31:$G$400,"lots")),IF(CE$2="Espèce",IF(CE$3="Toutes",SUMIFS('Étape 1 - à remplir'!$F$31:$F$400,'Étape 1 - à remplir'!$E$31:$E$400,MASQ2!BV506,'Étape 1 - à remplir'!$G$31:$G$400,"lots"),SUMIFS('Étape 1 - à remplir'!$F$31:$F$400,'Étape 1 - à remplir'!$E$31:$E$400,MASQ2!BV506,'Étape 1 - à remplir'!$N$31:$N$400,CE$3,'Étape 1 - à remplir'!$G$31:$G$400,"lots")))))))</f>
        <v>#N/A</v>
      </c>
      <c r="BX506">
        <f t="shared" si="308"/>
        <v>0</v>
      </c>
      <c r="BY506" t="str">
        <f t="shared" si="292"/>
        <v>Gentamicine</v>
      </c>
      <c r="BZ506" t="str">
        <f t="shared" si="293"/>
        <v/>
      </c>
      <c r="CA506" t="str">
        <f t="shared" si="294"/>
        <v/>
      </c>
      <c r="CB506" t="str">
        <f t="shared" si="295"/>
        <v>Aminoglycosides</v>
      </c>
      <c r="CC506" t="str">
        <f t="shared" si="296"/>
        <v/>
      </c>
      <c r="CD506" s="63" t="str">
        <f t="shared" si="297"/>
        <v/>
      </c>
      <c r="CG506" s="42">
        <v>503</v>
      </c>
      <c r="CH506" s="42" t="e">
        <f t="shared" si="313"/>
        <v>#N/A</v>
      </c>
      <c r="CI506" s="63" t="e">
        <f t="shared" si="314"/>
        <v>#N/A</v>
      </c>
      <c r="EA506" s="194" t="str">
        <f t="shared" ca="1" si="298"/>
        <v/>
      </c>
      <c r="EB506" s="226" t="str">
        <f>IFERROR(IF(ED506=0,"",COUNTIF(ED$4:ED$600,"&gt;"&amp;ED506)+COUNTIF(ED$4:ED506,ED506)),"")</f>
        <v/>
      </c>
      <c r="EC506" t="str">
        <f t="shared" si="299"/>
        <v>TRANSGRAM ORAL</v>
      </c>
      <c r="ED506" t="e">
        <f>IF(IF(EL$2="Catégorie",IF(EL$3="Toutes",SUMIFS('Étape 1 - à remplir'!$F$31:$F$400,'Étape 1 - à remplir'!$E$31:$E$400,MASQ2!EC506,'Étape 1 - à remplir'!$G$31:$G$400,"kg"),SUMIFS('Étape 1 - à remplir'!$F$31:$F$400,'Étape 1 - à remplir'!$E$31:$E$400,MASQ2!EC506,'Étape 1 - à remplir'!$C$31:$C$400,EL$3)),IF(EL$2="Âge",IF(EL$3="Tous",SUMIFS('Étape 1 - à remplir'!$F$31:$F$400,'Étape 1 - à remplir'!$E$31:$E$400,MASQ2!EC506,'Étape 1 - à remplir'!$G$31:$G$400,"kg"),SUMIFS('Étape 1 - à remplir'!$F$31:$F$400,'Étape 1 - à remplir'!$E$31:$E$400,MASQ2!EC506,'Étape 1 - à remplir'!$P$31:$P$400,EL$3,'Étape 1 - à remplir'!$G$31:$G$400,"kg")),IF(EL$2="Atelier",IF(EL$3="Tous",SUMIFS('Étape 1 - à remplir'!$F$31:$F$400,'Étape 1 - à remplir'!$E$31:$E$400,MASQ2!EC506,'Étape 1 - à remplir'!$G$31:$G$400,"kg"),SUMIFS('Étape 1 - à remplir'!$F$31:$F$400,'Étape 1 - à remplir'!$E$31:$E$400,MASQ2!EC506,'Étape 1 - à remplir'!$O$31:$O$400,EL$3,'Étape 1 - à remplir'!$G$31:$G$400,"kg")),IF(EL$2="Espèce",IF(EL$3="Toutes",SUMIFS('Étape 1 - à remplir'!$F$31:$F$400,'Étape 1 - à remplir'!$E$31:$E$400,MASQ2!EC506,'Étape 1 - à remplir'!$G$31:$G$400,"kg"),SUMIFS('Étape 1 - à remplir'!$F$31:$F$400,'Étape 1 - à remplir'!$E$31:$E$400,MASQ2!EC506,'Étape 1 - à remplir'!$N$31:$N$400,EL$3,'Étape 1 - à remplir'!$G$31:$G$400,"kg"))))))=0,NA(),IF(EL$2="Catégorie",IF(EL$3="Toutes",SUMIFS('Étape 1 - à remplir'!$F$31:$F$400,'Étape 1 - à remplir'!$E$31:$E$400,MASQ2!EC506,'Étape 1 - à remplir'!$G$31:$G$400,"kg"),SUMIFS('Étape 1 - à remplir'!$F$31:$F$400,'Étape 1 - à remplir'!$E$31:$E$400,MASQ2!EC506,'Étape 1 - à remplir'!$C$31:$C$400,EL$3)),IF(EL$2="Âge",IF(EL$3="Tous",SUMIFS('Étape 1 - à remplir'!$F$31:$F$400,'Étape 1 - à remplir'!$E$31:$E$400,MASQ2!EC506,'Étape 1 - à remplir'!$G$31:$G$400,"kg"),SUMIFS('Étape 1 - à remplir'!$F$31:$F$400,'Étape 1 - à remplir'!$E$31:$E$400,MASQ2!EC506,'Étape 1 - à remplir'!$P$31:$P$400,EL$3,'Étape 1 - à remplir'!$G$31:$G$400,"kg")),IF(EL$2="Atelier",IF(EL$3="Tous",SUMIFS('Étape 1 - à remplir'!$F$31:$F$400,'Étape 1 - à remplir'!$E$31:$E$400,MASQ2!EC506,'Étape 1 - à remplir'!$G$31:$G$400,"kg"),SUMIFS('Étape 1 - à remplir'!$F$31:$F$400,'Étape 1 - à remplir'!$E$31:$E$400,MASQ2!EC506,'Étape 1 - à remplir'!$O$31:$O$400,EL$3,'Étape 1 - à remplir'!$G$31:$G$400,"kg")),IF(EL$2="Espèce",IF(EL$3="Toutes",SUMIFS('Étape 1 - à remplir'!$F$31:$F$400,'Étape 1 - à remplir'!$E$31:$E$400,MASQ2!EC506,'Étape 1 - à remplir'!$G$31:$G$400,"kg"),SUMIFS('Étape 1 - à remplir'!$F$31:$F$400,'Étape 1 - à remplir'!$E$31:$E$400,MASQ2!EC506,'Étape 1 - à remplir'!$N$31:$N$400,EL$3,'Étape 1 - à remplir'!$G$31:$G$400,"kg")))))))</f>
        <v>#N/A</v>
      </c>
      <c r="EE506" s="76">
        <f t="shared" si="309"/>
        <v>0</v>
      </c>
      <c r="EF506" t="str">
        <f t="shared" si="300"/>
        <v>Gentamicine</v>
      </c>
      <c r="EG506" t="str">
        <f t="shared" si="301"/>
        <v/>
      </c>
      <c r="EH506" t="str">
        <f t="shared" si="302"/>
        <v/>
      </c>
      <c r="EI506" t="str">
        <f t="shared" si="303"/>
        <v>Aminoglycosides</v>
      </c>
      <c r="EJ506" t="str">
        <f t="shared" si="304"/>
        <v/>
      </c>
      <c r="EK506" s="63" t="str">
        <f t="shared" si="305"/>
        <v/>
      </c>
      <c r="EN506" s="42">
        <v>503</v>
      </c>
      <c r="EO506" t="e">
        <f t="shared" si="311"/>
        <v>#N/A</v>
      </c>
      <c r="EP506" s="63" t="e">
        <f t="shared" si="312"/>
        <v>#N/A</v>
      </c>
    </row>
    <row r="507" spans="2:176" x14ac:dyDescent="0.3">
      <c r="M507" s="194" t="str">
        <f ca="1">INDEX(Données_ATB!BD:BU,MATCH(MASQ2!O507,Données_ATB!BD:BD,0),18)</f>
        <v/>
      </c>
      <c r="N507" s="14" t="str">
        <f>IFERROR(IF(Q507=0,"",COUNTIF(Q$4:Q$600,"&gt;"&amp;Q507)+COUNTIF(Q$4:Q507,Q507)),"")</f>
        <v/>
      </c>
      <c r="O507" t="str">
        <f>Données_ATB!BD506</f>
        <v>TRIBRISSEN INJECTABLE</v>
      </c>
      <c r="P507" t="e">
        <f>IF(IF(X$2="Catégorie",IF(X$3="Toutes",SUMIFS('Étape 1 - à remplir'!$F$31:$F$400,'Étape 1 - à remplir'!$E$31:$E$400,MASQ2!O507,'Étape 1 - à remplir'!$G$31:$G$400,"animaux"),SUMIFS('Étape 1 - à remplir'!$F$31:$F$400,'Étape 1 - à remplir'!$E$31:$E$400,MASQ2!O507,'Étape 1 - à remplir'!$C$31:$C$400,X$3)),IF(X$2="Âge",IF(X$3="Tous",SUMIFS('Étape 1 - à remplir'!$F$31:$F$400,'Étape 1 - à remplir'!$E$31:$E$400,MASQ2!O507,'Étape 1 - à remplir'!$G$31:$G$400,"animaux"),SUMIFS('Étape 1 - à remplir'!$F$31:$F$400,'Étape 1 - à remplir'!$E$31:$E$400,MASQ2!O507,'Étape 1 - à remplir'!$P$31:$P$400,X$3)),IF(X$2="Atelier",IF(X$3="Tous",SUMIFS('Étape 1 - à remplir'!$F$31:$F$400,'Étape 1 - à remplir'!$E$31:$E$400,MASQ2!O507,'Étape 1 - à remplir'!$G$31:$G$400,"animaux"),SUMIFS('Étape 1 - à remplir'!$F$31:$F$400,'Étape 1 - à remplir'!$E$31:$E$400,MASQ2!O507,'Étape 1 - à remplir'!$O$31:$O$400,X$3)),IF(X$2="Espèce",IF(X$3="Toutes",SUMIFS('Étape 1 - à remplir'!$F$31:$F$400,'Étape 1 - à remplir'!$E$31:$E$400,MASQ2!O507,'Étape 1 - à remplir'!$G$31:$G$400,"animaux"),SUMIFS('Étape 1 - à remplir'!$F$31:$F$400,'Étape 1 - à remplir'!$E$31:$E$400,MASQ2!O507,'Étape 1 - à remplir'!$N$31:$N$400,X$3))))))=0,NA(),IF(X$2="Catégorie",IF(X$3="Toutes",SUMIFS('Étape 1 - à remplir'!$F$31:$F$400,'Étape 1 - à remplir'!$E$31:$E$400,MASQ2!O507,'Étape 1 - à remplir'!$G$31:$G$400,"animaux"),SUMIFS('Étape 1 - à remplir'!$F$31:$F$400,'Étape 1 - à remplir'!$E$31:$E$400,MASQ2!O507,'Étape 1 - à remplir'!$C$31:$C$400,X$3)),IF(X$2="Âge",IF(X$3="Tous",SUMIFS('Étape 1 - à remplir'!$F$31:$F$400,'Étape 1 - à remplir'!$E$31:$E$400,MASQ2!O507,'Étape 1 - à remplir'!$G$31:$G$400,"animaux"),SUMIFS('Étape 1 - à remplir'!$F$31:$F$400,'Étape 1 - à remplir'!$E$31:$E$400,MASQ2!O507,'Étape 1 - à remplir'!$P$31:$P$400,X$3)),IF(X$2="Atelier",IF(X$3="Tous",SUMIFS('Étape 1 - à remplir'!$F$31:$F$400,'Étape 1 - à remplir'!$E$31:$E$400,MASQ2!O507,'Étape 1 - à remplir'!$G$31:$G$400,"animaux"),SUMIFS('Étape 1 - à remplir'!$F$31:$F$400,'Étape 1 - à remplir'!$E$31:$E$400,MASQ2!O507,'Étape 1 - à remplir'!$O$31:$O$400,X$3)),IF(X$2="Espèce",IF(X$3="Toutes",SUMIFS('Étape 1 - à remplir'!$F$31:$F$400,'Étape 1 - à remplir'!$E$31:$E$400,MASQ2!O507,'Étape 1 - à remplir'!$G$31:$G$400,"animaux"),SUMIFS('Étape 1 - à remplir'!$F$31:$F$400,'Étape 1 - à remplir'!$E$31:$E$400,MASQ2!O507,'Étape 1 - à remplir'!$N$31:$N$400,X$3)))))))</f>
        <v>#N/A</v>
      </c>
      <c r="Q507" s="63">
        <f t="shared" si="310"/>
        <v>0</v>
      </c>
      <c r="R507" t="str">
        <f>Données_ATB!BM506</f>
        <v>Sulfadiazine</v>
      </c>
      <c r="S507" t="str">
        <f>Données_ATB!BN506</f>
        <v>Triméthoprime</v>
      </c>
      <c r="T507" s="63" t="str">
        <f>Données_ATB!BO506</f>
        <v/>
      </c>
      <c r="U507" s="42" t="str">
        <f>Données_ATB!BQ506</f>
        <v>Sulfamides</v>
      </c>
      <c r="V507" t="str">
        <f>Données_ATB!BR506</f>
        <v>Trimethoprime</v>
      </c>
      <c r="W507" s="63" t="str">
        <f>Données_ATB!BS506</f>
        <v/>
      </c>
      <c r="Z507" s="42">
        <v>504</v>
      </c>
      <c r="AA507" t="e">
        <f t="shared" si="306"/>
        <v>#N/A</v>
      </c>
      <c r="AB507" s="63" t="e">
        <f t="shared" si="307"/>
        <v>#N/A</v>
      </c>
      <c r="BT507" s="194" t="str">
        <f t="shared" ca="1" si="290"/>
        <v/>
      </c>
      <c r="BU507" s="219" t="str">
        <f>IFERROR(IF(BX507=0,"",COUNTIF(BX$4:BX$600,"&gt;"&amp;BX507)+COUNTIF(BX$4:BX507,BX507)),"")</f>
        <v/>
      </c>
      <c r="BV507" s="42" t="str">
        <f t="shared" si="291"/>
        <v>TRIBRISSEN INJECTABLE</v>
      </c>
      <c r="BW507" t="e">
        <f>IF(IF(CE$2="Catégorie",IF(CE$3="Toutes",SUMIFS('Étape 1 - à remplir'!$F$31:$F$400,'Étape 1 - à remplir'!$E$31:$E$400,MASQ2!BV507,'Étape 1 - à remplir'!$G$31:$G$400,"lots"),SUMIFS('Étape 1 - à remplir'!$F$31:$F$400,'Étape 1 - à remplir'!$E$31:$E$400,MASQ2!BV507,'Étape 1 - à remplir'!$C$31:$C$400,CE$3)),IF(CE$2="Âge",IF(CE$3="Tous",SUMIFS('Étape 1 - à remplir'!$F$31:$F$400,'Étape 1 - à remplir'!$E$31:$E$400,MASQ2!BV507,'Étape 1 - à remplir'!$G$31:$G$400,"lots"),SUMIFS('Étape 1 - à remplir'!$F$31:$F$400,'Étape 1 - à remplir'!$E$31:$E$400,MASQ2!BV507,'Étape 1 - à remplir'!$P$31:$P$400,CE$3,'Étape 1 - à remplir'!$G$31:$G$400,"lots")),IF(CE$2="Atelier",IF(CE$3="Tous",SUMIFS('Étape 1 - à remplir'!$F$31:$F$400,'Étape 1 - à remplir'!$E$31:$E$400,MASQ2!BV507,'Étape 1 - à remplir'!$G$31:$G$400,"lots"),SUMIFS('Étape 1 - à remplir'!$F$31:$F$400,'Étape 1 - à remplir'!$E$31:$E$400,MASQ2!BV507,'Étape 1 - à remplir'!$O$31:$O$400,CE$3,'Étape 1 - à remplir'!$G$31:$G$400,"lots")),IF(CE$2="Espèce",IF(CE$3="Toutes",SUMIFS('Étape 1 - à remplir'!$F$31:$F$400,'Étape 1 - à remplir'!$E$31:$E$400,MASQ2!BV507,'Étape 1 - à remplir'!$G$31:$G$400,"lots"),SUMIFS('Étape 1 - à remplir'!$F$31:$F$400,'Étape 1 - à remplir'!$E$31:$E$400,MASQ2!BV507,'Étape 1 - à remplir'!$N$31:$N$400,CE$3,'Étape 1 - à remplir'!$G$31:$G$400,"lots"))))))=0,NA(),IF(CE$2="Catégorie",IF(CE$3="Toutes",SUMIFS('Étape 1 - à remplir'!$F$31:$F$400,'Étape 1 - à remplir'!$E$31:$E$400,MASQ2!BV507,'Étape 1 - à remplir'!$G$31:$G$400,"lots"),SUMIFS('Étape 1 - à remplir'!$F$31:$F$400,'Étape 1 - à remplir'!$E$31:$E$400,MASQ2!BV507,'Étape 1 - à remplir'!$C$31:$C$400,CE$3)),IF(CE$2="Âge",IF(CE$3="Tous",SUMIFS('Étape 1 - à remplir'!$F$31:$F$400,'Étape 1 - à remplir'!$E$31:$E$400,MASQ2!BV507,'Étape 1 - à remplir'!$G$31:$G$400,"lots"),SUMIFS('Étape 1 - à remplir'!$F$31:$F$400,'Étape 1 - à remplir'!$E$31:$E$400,MASQ2!BV507,'Étape 1 - à remplir'!$P$31:$P$400,CE$3,'Étape 1 - à remplir'!$G$31:$G$400,"lots")),IF(CE$2="Atelier",IF(CE$3="Tous",SUMIFS('Étape 1 - à remplir'!$F$31:$F$400,'Étape 1 - à remplir'!$E$31:$E$400,MASQ2!BV507,'Étape 1 - à remplir'!$G$31:$G$400,"lots"),SUMIFS('Étape 1 - à remplir'!$F$31:$F$400,'Étape 1 - à remplir'!$E$31:$E$400,MASQ2!BV507,'Étape 1 - à remplir'!$O$31:$O$400,CE$3,'Étape 1 - à remplir'!$G$31:$G$400,"lots")),IF(CE$2="Espèce",IF(CE$3="Toutes",SUMIFS('Étape 1 - à remplir'!$F$31:$F$400,'Étape 1 - à remplir'!$E$31:$E$400,MASQ2!BV507,'Étape 1 - à remplir'!$G$31:$G$400,"lots"),SUMIFS('Étape 1 - à remplir'!$F$31:$F$400,'Étape 1 - à remplir'!$E$31:$E$400,MASQ2!BV507,'Étape 1 - à remplir'!$N$31:$N$400,CE$3,'Étape 1 - à remplir'!$G$31:$G$400,"lots")))))))</f>
        <v>#N/A</v>
      </c>
      <c r="BX507">
        <f t="shared" si="308"/>
        <v>0</v>
      </c>
      <c r="BY507" t="str">
        <f t="shared" si="292"/>
        <v>Sulfadiazine</v>
      </c>
      <c r="BZ507" t="str">
        <f t="shared" si="293"/>
        <v>Triméthoprime</v>
      </c>
      <c r="CA507" t="str">
        <f t="shared" si="294"/>
        <v/>
      </c>
      <c r="CB507" t="str">
        <f t="shared" si="295"/>
        <v>Sulfamides</v>
      </c>
      <c r="CC507" t="str">
        <f t="shared" si="296"/>
        <v>Trimethoprime</v>
      </c>
      <c r="CD507" s="63" t="str">
        <f t="shared" si="297"/>
        <v/>
      </c>
      <c r="CG507" s="42">
        <v>504</v>
      </c>
      <c r="CH507" s="42" t="e">
        <f t="shared" si="313"/>
        <v>#N/A</v>
      </c>
      <c r="CI507" s="63" t="e">
        <f t="shared" si="314"/>
        <v>#N/A</v>
      </c>
      <c r="EA507" s="194" t="str">
        <f t="shared" ca="1" si="298"/>
        <v/>
      </c>
      <c r="EB507" s="226" t="str">
        <f>IFERROR(IF(ED507=0,"",COUNTIF(ED$4:ED$600,"&gt;"&amp;ED507)+COUNTIF(ED$4:ED507,ED507)),"")</f>
        <v/>
      </c>
      <c r="EC507" t="str">
        <f t="shared" si="299"/>
        <v>TRIBRISSEN INJECTABLE</v>
      </c>
      <c r="ED507" t="e">
        <f>IF(IF(EL$2="Catégorie",IF(EL$3="Toutes",SUMIFS('Étape 1 - à remplir'!$F$31:$F$400,'Étape 1 - à remplir'!$E$31:$E$400,MASQ2!EC507,'Étape 1 - à remplir'!$G$31:$G$400,"kg"),SUMIFS('Étape 1 - à remplir'!$F$31:$F$400,'Étape 1 - à remplir'!$E$31:$E$400,MASQ2!EC507,'Étape 1 - à remplir'!$C$31:$C$400,EL$3)),IF(EL$2="Âge",IF(EL$3="Tous",SUMIFS('Étape 1 - à remplir'!$F$31:$F$400,'Étape 1 - à remplir'!$E$31:$E$400,MASQ2!EC507,'Étape 1 - à remplir'!$G$31:$G$400,"kg"),SUMIFS('Étape 1 - à remplir'!$F$31:$F$400,'Étape 1 - à remplir'!$E$31:$E$400,MASQ2!EC507,'Étape 1 - à remplir'!$P$31:$P$400,EL$3,'Étape 1 - à remplir'!$G$31:$G$400,"kg")),IF(EL$2="Atelier",IF(EL$3="Tous",SUMIFS('Étape 1 - à remplir'!$F$31:$F$400,'Étape 1 - à remplir'!$E$31:$E$400,MASQ2!EC507,'Étape 1 - à remplir'!$G$31:$G$400,"kg"),SUMIFS('Étape 1 - à remplir'!$F$31:$F$400,'Étape 1 - à remplir'!$E$31:$E$400,MASQ2!EC507,'Étape 1 - à remplir'!$O$31:$O$400,EL$3,'Étape 1 - à remplir'!$G$31:$G$400,"kg")),IF(EL$2="Espèce",IF(EL$3="Toutes",SUMIFS('Étape 1 - à remplir'!$F$31:$F$400,'Étape 1 - à remplir'!$E$31:$E$400,MASQ2!EC507,'Étape 1 - à remplir'!$G$31:$G$400,"kg"),SUMIFS('Étape 1 - à remplir'!$F$31:$F$400,'Étape 1 - à remplir'!$E$31:$E$400,MASQ2!EC507,'Étape 1 - à remplir'!$N$31:$N$400,EL$3,'Étape 1 - à remplir'!$G$31:$G$400,"kg"))))))=0,NA(),IF(EL$2="Catégorie",IF(EL$3="Toutes",SUMIFS('Étape 1 - à remplir'!$F$31:$F$400,'Étape 1 - à remplir'!$E$31:$E$400,MASQ2!EC507,'Étape 1 - à remplir'!$G$31:$G$400,"kg"),SUMIFS('Étape 1 - à remplir'!$F$31:$F$400,'Étape 1 - à remplir'!$E$31:$E$400,MASQ2!EC507,'Étape 1 - à remplir'!$C$31:$C$400,EL$3)),IF(EL$2="Âge",IF(EL$3="Tous",SUMIFS('Étape 1 - à remplir'!$F$31:$F$400,'Étape 1 - à remplir'!$E$31:$E$400,MASQ2!EC507,'Étape 1 - à remplir'!$G$31:$G$400,"kg"),SUMIFS('Étape 1 - à remplir'!$F$31:$F$400,'Étape 1 - à remplir'!$E$31:$E$400,MASQ2!EC507,'Étape 1 - à remplir'!$P$31:$P$400,EL$3,'Étape 1 - à remplir'!$G$31:$G$400,"kg")),IF(EL$2="Atelier",IF(EL$3="Tous",SUMIFS('Étape 1 - à remplir'!$F$31:$F$400,'Étape 1 - à remplir'!$E$31:$E$400,MASQ2!EC507,'Étape 1 - à remplir'!$G$31:$G$400,"kg"),SUMIFS('Étape 1 - à remplir'!$F$31:$F$400,'Étape 1 - à remplir'!$E$31:$E$400,MASQ2!EC507,'Étape 1 - à remplir'!$O$31:$O$400,EL$3,'Étape 1 - à remplir'!$G$31:$G$400,"kg")),IF(EL$2="Espèce",IF(EL$3="Toutes",SUMIFS('Étape 1 - à remplir'!$F$31:$F$400,'Étape 1 - à remplir'!$E$31:$E$400,MASQ2!EC507,'Étape 1 - à remplir'!$G$31:$G$400,"kg"),SUMIFS('Étape 1 - à remplir'!$F$31:$F$400,'Étape 1 - à remplir'!$E$31:$E$400,MASQ2!EC507,'Étape 1 - à remplir'!$N$31:$N$400,EL$3,'Étape 1 - à remplir'!$G$31:$G$400,"kg")))))))</f>
        <v>#N/A</v>
      </c>
      <c r="EE507" s="76">
        <f t="shared" si="309"/>
        <v>0</v>
      </c>
      <c r="EF507" t="str">
        <f t="shared" si="300"/>
        <v>Sulfadiazine</v>
      </c>
      <c r="EG507" t="str">
        <f t="shared" si="301"/>
        <v>Triméthoprime</v>
      </c>
      <c r="EH507" t="str">
        <f t="shared" si="302"/>
        <v/>
      </c>
      <c r="EI507" t="str">
        <f t="shared" si="303"/>
        <v>Sulfamides</v>
      </c>
      <c r="EJ507" t="str">
        <f t="shared" si="304"/>
        <v>Trimethoprime</v>
      </c>
      <c r="EK507" s="63" t="str">
        <f t="shared" si="305"/>
        <v/>
      </c>
      <c r="EN507" s="42">
        <v>504</v>
      </c>
      <c r="EO507" t="e">
        <f t="shared" si="311"/>
        <v>#N/A</v>
      </c>
      <c r="EP507" s="63" t="e">
        <f t="shared" si="312"/>
        <v>#N/A</v>
      </c>
    </row>
    <row r="508" spans="2:176" x14ac:dyDescent="0.3">
      <c r="M508" s="194" t="str">
        <f ca="1">INDEX(Données_ATB!BD:BU,MATCH(MASQ2!O508,Données_ATB!BD:BD,0),18)</f>
        <v/>
      </c>
      <c r="N508" s="14" t="str">
        <f>IFERROR(IF(Q508=0,"",COUNTIF(Q$4:Q$600,"&gt;"&amp;Q508)+COUNTIF(Q$4:Q508,Q508)),"")</f>
        <v/>
      </c>
      <c r="O508" t="str">
        <f>Données_ATB!BD507</f>
        <v>TRIBRISSEN POISSONS</v>
      </c>
      <c r="P508" t="e">
        <f>IF(IF(X$2="Catégorie",IF(X$3="Toutes",SUMIFS('Étape 1 - à remplir'!$F$31:$F$400,'Étape 1 - à remplir'!$E$31:$E$400,MASQ2!O508,'Étape 1 - à remplir'!$G$31:$G$400,"animaux"),SUMIFS('Étape 1 - à remplir'!$F$31:$F$400,'Étape 1 - à remplir'!$E$31:$E$400,MASQ2!O508,'Étape 1 - à remplir'!$C$31:$C$400,X$3)),IF(X$2="Âge",IF(X$3="Tous",SUMIFS('Étape 1 - à remplir'!$F$31:$F$400,'Étape 1 - à remplir'!$E$31:$E$400,MASQ2!O508,'Étape 1 - à remplir'!$G$31:$G$400,"animaux"),SUMIFS('Étape 1 - à remplir'!$F$31:$F$400,'Étape 1 - à remplir'!$E$31:$E$400,MASQ2!O508,'Étape 1 - à remplir'!$P$31:$P$400,X$3)),IF(X$2="Atelier",IF(X$3="Tous",SUMIFS('Étape 1 - à remplir'!$F$31:$F$400,'Étape 1 - à remplir'!$E$31:$E$400,MASQ2!O508,'Étape 1 - à remplir'!$G$31:$G$400,"animaux"),SUMIFS('Étape 1 - à remplir'!$F$31:$F$400,'Étape 1 - à remplir'!$E$31:$E$400,MASQ2!O508,'Étape 1 - à remplir'!$O$31:$O$400,X$3)),IF(X$2="Espèce",IF(X$3="Toutes",SUMIFS('Étape 1 - à remplir'!$F$31:$F$400,'Étape 1 - à remplir'!$E$31:$E$400,MASQ2!O508,'Étape 1 - à remplir'!$G$31:$G$400,"animaux"),SUMIFS('Étape 1 - à remplir'!$F$31:$F$400,'Étape 1 - à remplir'!$E$31:$E$400,MASQ2!O508,'Étape 1 - à remplir'!$N$31:$N$400,X$3))))))=0,NA(),IF(X$2="Catégorie",IF(X$3="Toutes",SUMIFS('Étape 1 - à remplir'!$F$31:$F$400,'Étape 1 - à remplir'!$E$31:$E$400,MASQ2!O508,'Étape 1 - à remplir'!$G$31:$G$400,"animaux"),SUMIFS('Étape 1 - à remplir'!$F$31:$F$400,'Étape 1 - à remplir'!$E$31:$E$400,MASQ2!O508,'Étape 1 - à remplir'!$C$31:$C$400,X$3)),IF(X$2="Âge",IF(X$3="Tous",SUMIFS('Étape 1 - à remplir'!$F$31:$F$400,'Étape 1 - à remplir'!$E$31:$E$400,MASQ2!O508,'Étape 1 - à remplir'!$G$31:$G$400,"animaux"),SUMIFS('Étape 1 - à remplir'!$F$31:$F$400,'Étape 1 - à remplir'!$E$31:$E$400,MASQ2!O508,'Étape 1 - à remplir'!$P$31:$P$400,X$3)),IF(X$2="Atelier",IF(X$3="Tous",SUMIFS('Étape 1 - à remplir'!$F$31:$F$400,'Étape 1 - à remplir'!$E$31:$E$400,MASQ2!O508,'Étape 1 - à remplir'!$G$31:$G$400,"animaux"),SUMIFS('Étape 1 - à remplir'!$F$31:$F$400,'Étape 1 - à remplir'!$E$31:$E$400,MASQ2!O508,'Étape 1 - à remplir'!$O$31:$O$400,X$3)),IF(X$2="Espèce",IF(X$3="Toutes",SUMIFS('Étape 1 - à remplir'!$F$31:$F$400,'Étape 1 - à remplir'!$E$31:$E$400,MASQ2!O508,'Étape 1 - à remplir'!$G$31:$G$400,"animaux"),SUMIFS('Étape 1 - à remplir'!$F$31:$F$400,'Étape 1 - à remplir'!$E$31:$E$400,MASQ2!O508,'Étape 1 - à remplir'!$N$31:$N$400,X$3)))))))</f>
        <v>#N/A</v>
      </c>
      <c r="Q508" s="63">
        <f t="shared" si="310"/>
        <v>0</v>
      </c>
      <c r="R508" t="str">
        <f>Données_ATB!BM507</f>
        <v>Sulfadiazine</v>
      </c>
      <c r="S508" t="str">
        <f>Données_ATB!BN507</f>
        <v>Triméthoprime</v>
      </c>
      <c r="T508" s="63" t="str">
        <f>Données_ATB!BO507</f>
        <v/>
      </c>
      <c r="U508" s="42" t="str">
        <f>Données_ATB!BQ507</f>
        <v>Sulfamides</v>
      </c>
      <c r="V508" t="str">
        <f>Données_ATB!BR507</f>
        <v>Trimethoprime</v>
      </c>
      <c r="W508" s="63" t="str">
        <f>Données_ATB!BS507</f>
        <v/>
      </c>
      <c r="Z508" s="42">
        <v>505</v>
      </c>
      <c r="AA508" t="e">
        <f t="shared" si="306"/>
        <v>#N/A</v>
      </c>
      <c r="AB508" s="63" t="e">
        <f t="shared" si="307"/>
        <v>#N/A</v>
      </c>
      <c r="BT508" s="194" t="str">
        <f t="shared" ca="1" si="290"/>
        <v/>
      </c>
      <c r="BU508" s="219" t="str">
        <f>IFERROR(IF(BX508=0,"",COUNTIF(BX$4:BX$600,"&gt;"&amp;BX508)+COUNTIF(BX$4:BX508,BX508)),"")</f>
        <v/>
      </c>
      <c r="BV508" s="42" t="str">
        <f t="shared" si="291"/>
        <v>TRIBRISSEN POISSONS</v>
      </c>
      <c r="BW508" t="e">
        <f>IF(IF(CE$2="Catégorie",IF(CE$3="Toutes",SUMIFS('Étape 1 - à remplir'!$F$31:$F$400,'Étape 1 - à remplir'!$E$31:$E$400,MASQ2!BV508,'Étape 1 - à remplir'!$G$31:$G$400,"lots"),SUMIFS('Étape 1 - à remplir'!$F$31:$F$400,'Étape 1 - à remplir'!$E$31:$E$400,MASQ2!BV508,'Étape 1 - à remplir'!$C$31:$C$400,CE$3)),IF(CE$2="Âge",IF(CE$3="Tous",SUMIFS('Étape 1 - à remplir'!$F$31:$F$400,'Étape 1 - à remplir'!$E$31:$E$400,MASQ2!BV508,'Étape 1 - à remplir'!$G$31:$G$400,"lots"),SUMIFS('Étape 1 - à remplir'!$F$31:$F$400,'Étape 1 - à remplir'!$E$31:$E$400,MASQ2!BV508,'Étape 1 - à remplir'!$P$31:$P$400,CE$3,'Étape 1 - à remplir'!$G$31:$G$400,"lots")),IF(CE$2="Atelier",IF(CE$3="Tous",SUMIFS('Étape 1 - à remplir'!$F$31:$F$400,'Étape 1 - à remplir'!$E$31:$E$400,MASQ2!BV508,'Étape 1 - à remplir'!$G$31:$G$400,"lots"),SUMIFS('Étape 1 - à remplir'!$F$31:$F$400,'Étape 1 - à remplir'!$E$31:$E$400,MASQ2!BV508,'Étape 1 - à remplir'!$O$31:$O$400,CE$3,'Étape 1 - à remplir'!$G$31:$G$400,"lots")),IF(CE$2="Espèce",IF(CE$3="Toutes",SUMIFS('Étape 1 - à remplir'!$F$31:$F$400,'Étape 1 - à remplir'!$E$31:$E$400,MASQ2!BV508,'Étape 1 - à remplir'!$G$31:$G$400,"lots"),SUMIFS('Étape 1 - à remplir'!$F$31:$F$400,'Étape 1 - à remplir'!$E$31:$E$400,MASQ2!BV508,'Étape 1 - à remplir'!$N$31:$N$400,CE$3,'Étape 1 - à remplir'!$G$31:$G$400,"lots"))))))=0,NA(),IF(CE$2="Catégorie",IF(CE$3="Toutes",SUMIFS('Étape 1 - à remplir'!$F$31:$F$400,'Étape 1 - à remplir'!$E$31:$E$400,MASQ2!BV508,'Étape 1 - à remplir'!$G$31:$G$400,"lots"),SUMIFS('Étape 1 - à remplir'!$F$31:$F$400,'Étape 1 - à remplir'!$E$31:$E$400,MASQ2!BV508,'Étape 1 - à remplir'!$C$31:$C$400,CE$3)),IF(CE$2="Âge",IF(CE$3="Tous",SUMIFS('Étape 1 - à remplir'!$F$31:$F$400,'Étape 1 - à remplir'!$E$31:$E$400,MASQ2!BV508,'Étape 1 - à remplir'!$G$31:$G$400,"lots"),SUMIFS('Étape 1 - à remplir'!$F$31:$F$400,'Étape 1 - à remplir'!$E$31:$E$400,MASQ2!BV508,'Étape 1 - à remplir'!$P$31:$P$400,CE$3,'Étape 1 - à remplir'!$G$31:$G$400,"lots")),IF(CE$2="Atelier",IF(CE$3="Tous",SUMIFS('Étape 1 - à remplir'!$F$31:$F$400,'Étape 1 - à remplir'!$E$31:$E$400,MASQ2!BV508,'Étape 1 - à remplir'!$G$31:$G$400,"lots"),SUMIFS('Étape 1 - à remplir'!$F$31:$F$400,'Étape 1 - à remplir'!$E$31:$E$400,MASQ2!BV508,'Étape 1 - à remplir'!$O$31:$O$400,CE$3,'Étape 1 - à remplir'!$G$31:$G$400,"lots")),IF(CE$2="Espèce",IF(CE$3="Toutes",SUMIFS('Étape 1 - à remplir'!$F$31:$F$400,'Étape 1 - à remplir'!$E$31:$E$400,MASQ2!BV508,'Étape 1 - à remplir'!$G$31:$G$400,"lots"),SUMIFS('Étape 1 - à remplir'!$F$31:$F$400,'Étape 1 - à remplir'!$E$31:$E$400,MASQ2!BV508,'Étape 1 - à remplir'!$N$31:$N$400,CE$3,'Étape 1 - à remplir'!$G$31:$G$400,"lots")))))))</f>
        <v>#N/A</v>
      </c>
      <c r="BX508">
        <f t="shared" si="308"/>
        <v>0</v>
      </c>
      <c r="BY508" t="str">
        <f t="shared" si="292"/>
        <v>Sulfadiazine</v>
      </c>
      <c r="BZ508" t="str">
        <f t="shared" si="293"/>
        <v>Triméthoprime</v>
      </c>
      <c r="CA508" t="str">
        <f t="shared" si="294"/>
        <v/>
      </c>
      <c r="CB508" t="str">
        <f t="shared" si="295"/>
        <v>Sulfamides</v>
      </c>
      <c r="CC508" t="str">
        <f t="shared" si="296"/>
        <v>Trimethoprime</v>
      </c>
      <c r="CD508" s="63" t="str">
        <f t="shared" si="297"/>
        <v/>
      </c>
      <c r="CG508" s="42">
        <v>505</v>
      </c>
      <c r="CH508" s="42" t="e">
        <f t="shared" si="313"/>
        <v>#N/A</v>
      </c>
      <c r="CI508" s="63" t="e">
        <f t="shared" si="314"/>
        <v>#N/A</v>
      </c>
      <c r="EA508" s="194" t="str">
        <f t="shared" ca="1" si="298"/>
        <v/>
      </c>
      <c r="EB508" s="226" t="str">
        <f>IFERROR(IF(ED508=0,"",COUNTIF(ED$4:ED$600,"&gt;"&amp;ED508)+COUNTIF(ED$4:ED508,ED508)),"")</f>
        <v/>
      </c>
      <c r="EC508" t="str">
        <f t="shared" si="299"/>
        <v>TRIBRISSEN POISSONS</v>
      </c>
      <c r="ED508" t="e">
        <f>IF(IF(EL$2="Catégorie",IF(EL$3="Toutes",SUMIFS('Étape 1 - à remplir'!$F$31:$F$400,'Étape 1 - à remplir'!$E$31:$E$400,MASQ2!EC508,'Étape 1 - à remplir'!$G$31:$G$400,"kg"),SUMIFS('Étape 1 - à remplir'!$F$31:$F$400,'Étape 1 - à remplir'!$E$31:$E$400,MASQ2!EC508,'Étape 1 - à remplir'!$C$31:$C$400,EL$3)),IF(EL$2="Âge",IF(EL$3="Tous",SUMIFS('Étape 1 - à remplir'!$F$31:$F$400,'Étape 1 - à remplir'!$E$31:$E$400,MASQ2!EC508,'Étape 1 - à remplir'!$G$31:$G$400,"kg"),SUMIFS('Étape 1 - à remplir'!$F$31:$F$400,'Étape 1 - à remplir'!$E$31:$E$400,MASQ2!EC508,'Étape 1 - à remplir'!$P$31:$P$400,EL$3,'Étape 1 - à remplir'!$G$31:$G$400,"kg")),IF(EL$2="Atelier",IF(EL$3="Tous",SUMIFS('Étape 1 - à remplir'!$F$31:$F$400,'Étape 1 - à remplir'!$E$31:$E$400,MASQ2!EC508,'Étape 1 - à remplir'!$G$31:$G$400,"kg"),SUMIFS('Étape 1 - à remplir'!$F$31:$F$400,'Étape 1 - à remplir'!$E$31:$E$400,MASQ2!EC508,'Étape 1 - à remplir'!$O$31:$O$400,EL$3,'Étape 1 - à remplir'!$G$31:$G$400,"kg")),IF(EL$2="Espèce",IF(EL$3="Toutes",SUMIFS('Étape 1 - à remplir'!$F$31:$F$400,'Étape 1 - à remplir'!$E$31:$E$400,MASQ2!EC508,'Étape 1 - à remplir'!$G$31:$G$400,"kg"),SUMIFS('Étape 1 - à remplir'!$F$31:$F$400,'Étape 1 - à remplir'!$E$31:$E$400,MASQ2!EC508,'Étape 1 - à remplir'!$N$31:$N$400,EL$3,'Étape 1 - à remplir'!$G$31:$G$400,"kg"))))))=0,NA(),IF(EL$2="Catégorie",IF(EL$3="Toutes",SUMIFS('Étape 1 - à remplir'!$F$31:$F$400,'Étape 1 - à remplir'!$E$31:$E$400,MASQ2!EC508,'Étape 1 - à remplir'!$G$31:$G$400,"kg"),SUMIFS('Étape 1 - à remplir'!$F$31:$F$400,'Étape 1 - à remplir'!$E$31:$E$400,MASQ2!EC508,'Étape 1 - à remplir'!$C$31:$C$400,EL$3)),IF(EL$2="Âge",IF(EL$3="Tous",SUMIFS('Étape 1 - à remplir'!$F$31:$F$400,'Étape 1 - à remplir'!$E$31:$E$400,MASQ2!EC508,'Étape 1 - à remplir'!$G$31:$G$400,"kg"),SUMIFS('Étape 1 - à remplir'!$F$31:$F$400,'Étape 1 - à remplir'!$E$31:$E$400,MASQ2!EC508,'Étape 1 - à remplir'!$P$31:$P$400,EL$3,'Étape 1 - à remplir'!$G$31:$G$400,"kg")),IF(EL$2="Atelier",IF(EL$3="Tous",SUMIFS('Étape 1 - à remplir'!$F$31:$F$400,'Étape 1 - à remplir'!$E$31:$E$400,MASQ2!EC508,'Étape 1 - à remplir'!$G$31:$G$400,"kg"),SUMIFS('Étape 1 - à remplir'!$F$31:$F$400,'Étape 1 - à remplir'!$E$31:$E$400,MASQ2!EC508,'Étape 1 - à remplir'!$O$31:$O$400,EL$3,'Étape 1 - à remplir'!$G$31:$G$400,"kg")),IF(EL$2="Espèce",IF(EL$3="Toutes",SUMIFS('Étape 1 - à remplir'!$F$31:$F$400,'Étape 1 - à remplir'!$E$31:$E$400,MASQ2!EC508,'Étape 1 - à remplir'!$G$31:$G$400,"kg"),SUMIFS('Étape 1 - à remplir'!$F$31:$F$400,'Étape 1 - à remplir'!$E$31:$E$400,MASQ2!EC508,'Étape 1 - à remplir'!$N$31:$N$400,EL$3,'Étape 1 - à remplir'!$G$31:$G$400,"kg")))))))</f>
        <v>#N/A</v>
      </c>
      <c r="EE508" s="76">
        <f t="shared" si="309"/>
        <v>0</v>
      </c>
      <c r="EF508" t="str">
        <f t="shared" si="300"/>
        <v>Sulfadiazine</v>
      </c>
      <c r="EG508" t="str">
        <f t="shared" si="301"/>
        <v>Triméthoprime</v>
      </c>
      <c r="EH508" t="str">
        <f t="shared" si="302"/>
        <v/>
      </c>
      <c r="EI508" t="str">
        <f t="shared" si="303"/>
        <v>Sulfamides</v>
      </c>
      <c r="EJ508" t="str">
        <f t="shared" si="304"/>
        <v>Trimethoprime</v>
      </c>
      <c r="EK508" s="63" t="str">
        <f t="shared" si="305"/>
        <v/>
      </c>
      <c r="EN508" s="42">
        <v>505</v>
      </c>
      <c r="EO508" t="e">
        <f t="shared" si="311"/>
        <v>#N/A</v>
      </c>
      <c r="EP508" s="63" t="e">
        <f t="shared" si="312"/>
        <v>#N/A</v>
      </c>
    </row>
    <row r="509" spans="2:176" x14ac:dyDescent="0.3">
      <c r="M509" s="194" t="str">
        <f ca="1">INDEX(Données_ATB!BD:BU,MATCH(MASQ2!O509,Données_ATB!BD:BD,0),18)</f>
        <v/>
      </c>
      <c r="N509" s="14" t="str">
        <f>IFERROR(IF(Q509=0,"",COUNTIF(Q$4:Q$600,"&gt;"&amp;Q509)+COUNTIF(Q$4:Q509,Q509)),"")</f>
        <v/>
      </c>
      <c r="O509" t="str">
        <f>Données_ATB!BD508</f>
        <v>TRIMEDOXYNE ORALE</v>
      </c>
      <c r="P509" t="e">
        <f>IF(IF(X$2="Catégorie",IF(X$3="Toutes",SUMIFS('Étape 1 - à remplir'!$F$31:$F$400,'Étape 1 - à remplir'!$E$31:$E$400,MASQ2!O509,'Étape 1 - à remplir'!$G$31:$G$400,"animaux"),SUMIFS('Étape 1 - à remplir'!$F$31:$F$400,'Étape 1 - à remplir'!$E$31:$E$400,MASQ2!O509,'Étape 1 - à remplir'!$C$31:$C$400,X$3)),IF(X$2="Âge",IF(X$3="Tous",SUMIFS('Étape 1 - à remplir'!$F$31:$F$400,'Étape 1 - à remplir'!$E$31:$E$400,MASQ2!O509,'Étape 1 - à remplir'!$G$31:$G$400,"animaux"),SUMIFS('Étape 1 - à remplir'!$F$31:$F$400,'Étape 1 - à remplir'!$E$31:$E$400,MASQ2!O509,'Étape 1 - à remplir'!$P$31:$P$400,X$3)),IF(X$2="Atelier",IF(X$3="Tous",SUMIFS('Étape 1 - à remplir'!$F$31:$F$400,'Étape 1 - à remplir'!$E$31:$E$400,MASQ2!O509,'Étape 1 - à remplir'!$G$31:$G$400,"animaux"),SUMIFS('Étape 1 - à remplir'!$F$31:$F$400,'Étape 1 - à remplir'!$E$31:$E$400,MASQ2!O509,'Étape 1 - à remplir'!$O$31:$O$400,X$3)),IF(X$2="Espèce",IF(X$3="Toutes",SUMIFS('Étape 1 - à remplir'!$F$31:$F$400,'Étape 1 - à remplir'!$E$31:$E$400,MASQ2!O509,'Étape 1 - à remplir'!$G$31:$G$400,"animaux"),SUMIFS('Étape 1 - à remplir'!$F$31:$F$400,'Étape 1 - à remplir'!$E$31:$E$400,MASQ2!O509,'Étape 1 - à remplir'!$N$31:$N$400,X$3))))))=0,NA(),IF(X$2="Catégorie",IF(X$3="Toutes",SUMIFS('Étape 1 - à remplir'!$F$31:$F$400,'Étape 1 - à remplir'!$E$31:$E$400,MASQ2!O509,'Étape 1 - à remplir'!$G$31:$G$400,"animaux"),SUMIFS('Étape 1 - à remplir'!$F$31:$F$400,'Étape 1 - à remplir'!$E$31:$E$400,MASQ2!O509,'Étape 1 - à remplir'!$C$31:$C$400,X$3)),IF(X$2="Âge",IF(X$3="Tous",SUMIFS('Étape 1 - à remplir'!$F$31:$F$400,'Étape 1 - à remplir'!$E$31:$E$400,MASQ2!O509,'Étape 1 - à remplir'!$G$31:$G$400,"animaux"),SUMIFS('Étape 1 - à remplir'!$F$31:$F$400,'Étape 1 - à remplir'!$E$31:$E$400,MASQ2!O509,'Étape 1 - à remplir'!$P$31:$P$400,X$3)),IF(X$2="Atelier",IF(X$3="Tous",SUMIFS('Étape 1 - à remplir'!$F$31:$F$400,'Étape 1 - à remplir'!$E$31:$E$400,MASQ2!O509,'Étape 1 - à remplir'!$G$31:$G$400,"animaux"),SUMIFS('Étape 1 - à remplir'!$F$31:$F$400,'Étape 1 - à remplir'!$E$31:$E$400,MASQ2!O509,'Étape 1 - à remplir'!$O$31:$O$400,X$3)),IF(X$2="Espèce",IF(X$3="Toutes",SUMIFS('Étape 1 - à remplir'!$F$31:$F$400,'Étape 1 - à remplir'!$E$31:$E$400,MASQ2!O509,'Étape 1 - à remplir'!$G$31:$G$400,"animaux"),SUMIFS('Étape 1 - à remplir'!$F$31:$F$400,'Étape 1 - à remplir'!$E$31:$E$400,MASQ2!O509,'Étape 1 - à remplir'!$N$31:$N$400,X$3)))))))</f>
        <v>#N/A</v>
      </c>
      <c r="Q509" s="63">
        <f t="shared" si="310"/>
        <v>0</v>
      </c>
      <c r="R509" t="str">
        <f>Données_ATB!BM508</f>
        <v>Sulfadiméthoxine</v>
      </c>
      <c r="S509" t="str">
        <f>Données_ATB!BN508</f>
        <v>Triméthoprime</v>
      </c>
      <c r="T509" s="63" t="str">
        <f>Données_ATB!BO508</f>
        <v/>
      </c>
      <c r="U509" s="42" t="str">
        <f>Données_ATB!BQ508</f>
        <v>Sulfamides</v>
      </c>
      <c r="V509" t="str">
        <f>Données_ATB!BR508</f>
        <v>Trimethoprime</v>
      </c>
      <c r="W509" s="63" t="str">
        <f>Données_ATB!BS508</f>
        <v/>
      </c>
      <c r="Z509" s="42">
        <v>506</v>
      </c>
      <c r="AA509" t="e">
        <f t="shared" si="306"/>
        <v>#N/A</v>
      </c>
      <c r="AB509" s="63" t="e">
        <f t="shared" si="307"/>
        <v>#N/A</v>
      </c>
      <c r="BT509" s="194" t="str">
        <f t="shared" ca="1" si="290"/>
        <v/>
      </c>
      <c r="BU509" s="219" t="str">
        <f>IFERROR(IF(BX509=0,"",COUNTIF(BX$4:BX$600,"&gt;"&amp;BX509)+COUNTIF(BX$4:BX509,BX509)),"")</f>
        <v/>
      </c>
      <c r="BV509" s="42" t="str">
        <f t="shared" si="291"/>
        <v>TRIMEDOXYNE ORALE</v>
      </c>
      <c r="BW509" t="e">
        <f>IF(IF(CE$2="Catégorie",IF(CE$3="Toutes",SUMIFS('Étape 1 - à remplir'!$F$31:$F$400,'Étape 1 - à remplir'!$E$31:$E$400,MASQ2!BV509,'Étape 1 - à remplir'!$G$31:$G$400,"lots"),SUMIFS('Étape 1 - à remplir'!$F$31:$F$400,'Étape 1 - à remplir'!$E$31:$E$400,MASQ2!BV509,'Étape 1 - à remplir'!$C$31:$C$400,CE$3)),IF(CE$2="Âge",IF(CE$3="Tous",SUMIFS('Étape 1 - à remplir'!$F$31:$F$400,'Étape 1 - à remplir'!$E$31:$E$400,MASQ2!BV509,'Étape 1 - à remplir'!$G$31:$G$400,"lots"),SUMIFS('Étape 1 - à remplir'!$F$31:$F$400,'Étape 1 - à remplir'!$E$31:$E$400,MASQ2!BV509,'Étape 1 - à remplir'!$P$31:$P$400,CE$3,'Étape 1 - à remplir'!$G$31:$G$400,"lots")),IF(CE$2="Atelier",IF(CE$3="Tous",SUMIFS('Étape 1 - à remplir'!$F$31:$F$400,'Étape 1 - à remplir'!$E$31:$E$400,MASQ2!BV509,'Étape 1 - à remplir'!$G$31:$G$400,"lots"),SUMIFS('Étape 1 - à remplir'!$F$31:$F$400,'Étape 1 - à remplir'!$E$31:$E$400,MASQ2!BV509,'Étape 1 - à remplir'!$O$31:$O$400,CE$3,'Étape 1 - à remplir'!$G$31:$G$400,"lots")),IF(CE$2="Espèce",IF(CE$3="Toutes",SUMIFS('Étape 1 - à remplir'!$F$31:$F$400,'Étape 1 - à remplir'!$E$31:$E$400,MASQ2!BV509,'Étape 1 - à remplir'!$G$31:$G$400,"lots"),SUMIFS('Étape 1 - à remplir'!$F$31:$F$400,'Étape 1 - à remplir'!$E$31:$E$400,MASQ2!BV509,'Étape 1 - à remplir'!$N$31:$N$400,CE$3,'Étape 1 - à remplir'!$G$31:$G$400,"lots"))))))=0,NA(),IF(CE$2="Catégorie",IF(CE$3="Toutes",SUMIFS('Étape 1 - à remplir'!$F$31:$F$400,'Étape 1 - à remplir'!$E$31:$E$400,MASQ2!BV509,'Étape 1 - à remplir'!$G$31:$G$400,"lots"),SUMIFS('Étape 1 - à remplir'!$F$31:$F$400,'Étape 1 - à remplir'!$E$31:$E$400,MASQ2!BV509,'Étape 1 - à remplir'!$C$31:$C$400,CE$3)),IF(CE$2="Âge",IF(CE$3="Tous",SUMIFS('Étape 1 - à remplir'!$F$31:$F$400,'Étape 1 - à remplir'!$E$31:$E$400,MASQ2!BV509,'Étape 1 - à remplir'!$G$31:$G$400,"lots"),SUMIFS('Étape 1 - à remplir'!$F$31:$F$400,'Étape 1 - à remplir'!$E$31:$E$400,MASQ2!BV509,'Étape 1 - à remplir'!$P$31:$P$400,CE$3,'Étape 1 - à remplir'!$G$31:$G$400,"lots")),IF(CE$2="Atelier",IF(CE$3="Tous",SUMIFS('Étape 1 - à remplir'!$F$31:$F$400,'Étape 1 - à remplir'!$E$31:$E$400,MASQ2!BV509,'Étape 1 - à remplir'!$G$31:$G$400,"lots"),SUMIFS('Étape 1 - à remplir'!$F$31:$F$400,'Étape 1 - à remplir'!$E$31:$E$400,MASQ2!BV509,'Étape 1 - à remplir'!$O$31:$O$400,CE$3,'Étape 1 - à remplir'!$G$31:$G$400,"lots")),IF(CE$2="Espèce",IF(CE$3="Toutes",SUMIFS('Étape 1 - à remplir'!$F$31:$F$400,'Étape 1 - à remplir'!$E$31:$E$400,MASQ2!BV509,'Étape 1 - à remplir'!$G$31:$G$400,"lots"),SUMIFS('Étape 1 - à remplir'!$F$31:$F$400,'Étape 1 - à remplir'!$E$31:$E$400,MASQ2!BV509,'Étape 1 - à remplir'!$N$31:$N$400,CE$3,'Étape 1 - à remplir'!$G$31:$G$400,"lots")))))))</f>
        <v>#N/A</v>
      </c>
      <c r="BX509">
        <f t="shared" si="308"/>
        <v>0</v>
      </c>
      <c r="BY509" t="str">
        <f t="shared" si="292"/>
        <v>Sulfadiméthoxine</v>
      </c>
      <c r="BZ509" t="str">
        <f t="shared" si="293"/>
        <v>Triméthoprime</v>
      </c>
      <c r="CA509" t="str">
        <f t="shared" si="294"/>
        <v/>
      </c>
      <c r="CB509" t="str">
        <f t="shared" si="295"/>
        <v>Sulfamides</v>
      </c>
      <c r="CC509" t="str">
        <f t="shared" si="296"/>
        <v>Trimethoprime</v>
      </c>
      <c r="CD509" s="63" t="str">
        <f t="shared" si="297"/>
        <v/>
      </c>
      <c r="CG509" s="42">
        <v>506</v>
      </c>
      <c r="CH509" s="42" t="e">
        <f t="shared" si="313"/>
        <v>#N/A</v>
      </c>
      <c r="CI509" s="63" t="e">
        <f t="shared" si="314"/>
        <v>#N/A</v>
      </c>
      <c r="EA509" s="194" t="str">
        <f t="shared" ca="1" si="298"/>
        <v/>
      </c>
      <c r="EB509" s="226" t="str">
        <f>IFERROR(IF(ED509=0,"",COUNTIF(ED$4:ED$600,"&gt;"&amp;ED509)+COUNTIF(ED$4:ED509,ED509)),"")</f>
        <v/>
      </c>
      <c r="EC509" t="str">
        <f t="shared" si="299"/>
        <v>TRIMEDOXYNE ORALE</v>
      </c>
      <c r="ED509" t="e">
        <f>IF(IF(EL$2="Catégorie",IF(EL$3="Toutes",SUMIFS('Étape 1 - à remplir'!$F$31:$F$400,'Étape 1 - à remplir'!$E$31:$E$400,MASQ2!EC509,'Étape 1 - à remplir'!$G$31:$G$400,"kg"),SUMIFS('Étape 1 - à remplir'!$F$31:$F$400,'Étape 1 - à remplir'!$E$31:$E$400,MASQ2!EC509,'Étape 1 - à remplir'!$C$31:$C$400,EL$3)),IF(EL$2="Âge",IF(EL$3="Tous",SUMIFS('Étape 1 - à remplir'!$F$31:$F$400,'Étape 1 - à remplir'!$E$31:$E$400,MASQ2!EC509,'Étape 1 - à remplir'!$G$31:$G$400,"kg"),SUMIFS('Étape 1 - à remplir'!$F$31:$F$400,'Étape 1 - à remplir'!$E$31:$E$400,MASQ2!EC509,'Étape 1 - à remplir'!$P$31:$P$400,EL$3,'Étape 1 - à remplir'!$G$31:$G$400,"kg")),IF(EL$2="Atelier",IF(EL$3="Tous",SUMIFS('Étape 1 - à remplir'!$F$31:$F$400,'Étape 1 - à remplir'!$E$31:$E$400,MASQ2!EC509,'Étape 1 - à remplir'!$G$31:$G$400,"kg"),SUMIFS('Étape 1 - à remplir'!$F$31:$F$400,'Étape 1 - à remplir'!$E$31:$E$400,MASQ2!EC509,'Étape 1 - à remplir'!$O$31:$O$400,EL$3,'Étape 1 - à remplir'!$G$31:$G$400,"kg")),IF(EL$2="Espèce",IF(EL$3="Toutes",SUMIFS('Étape 1 - à remplir'!$F$31:$F$400,'Étape 1 - à remplir'!$E$31:$E$400,MASQ2!EC509,'Étape 1 - à remplir'!$G$31:$G$400,"kg"),SUMIFS('Étape 1 - à remplir'!$F$31:$F$400,'Étape 1 - à remplir'!$E$31:$E$400,MASQ2!EC509,'Étape 1 - à remplir'!$N$31:$N$400,EL$3,'Étape 1 - à remplir'!$G$31:$G$400,"kg"))))))=0,NA(),IF(EL$2="Catégorie",IF(EL$3="Toutes",SUMIFS('Étape 1 - à remplir'!$F$31:$F$400,'Étape 1 - à remplir'!$E$31:$E$400,MASQ2!EC509,'Étape 1 - à remplir'!$G$31:$G$400,"kg"),SUMIFS('Étape 1 - à remplir'!$F$31:$F$400,'Étape 1 - à remplir'!$E$31:$E$400,MASQ2!EC509,'Étape 1 - à remplir'!$C$31:$C$400,EL$3)),IF(EL$2="Âge",IF(EL$3="Tous",SUMIFS('Étape 1 - à remplir'!$F$31:$F$400,'Étape 1 - à remplir'!$E$31:$E$400,MASQ2!EC509,'Étape 1 - à remplir'!$G$31:$G$400,"kg"),SUMIFS('Étape 1 - à remplir'!$F$31:$F$400,'Étape 1 - à remplir'!$E$31:$E$400,MASQ2!EC509,'Étape 1 - à remplir'!$P$31:$P$400,EL$3,'Étape 1 - à remplir'!$G$31:$G$400,"kg")),IF(EL$2="Atelier",IF(EL$3="Tous",SUMIFS('Étape 1 - à remplir'!$F$31:$F$400,'Étape 1 - à remplir'!$E$31:$E$400,MASQ2!EC509,'Étape 1 - à remplir'!$G$31:$G$400,"kg"),SUMIFS('Étape 1 - à remplir'!$F$31:$F$400,'Étape 1 - à remplir'!$E$31:$E$400,MASQ2!EC509,'Étape 1 - à remplir'!$O$31:$O$400,EL$3,'Étape 1 - à remplir'!$G$31:$G$400,"kg")),IF(EL$2="Espèce",IF(EL$3="Toutes",SUMIFS('Étape 1 - à remplir'!$F$31:$F$400,'Étape 1 - à remplir'!$E$31:$E$400,MASQ2!EC509,'Étape 1 - à remplir'!$G$31:$G$400,"kg"),SUMIFS('Étape 1 - à remplir'!$F$31:$F$400,'Étape 1 - à remplir'!$E$31:$E$400,MASQ2!EC509,'Étape 1 - à remplir'!$N$31:$N$400,EL$3,'Étape 1 - à remplir'!$G$31:$G$400,"kg")))))))</f>
        <v>#N/A</v>
      </c>
      <c r="EE509" s="76">
        <f t="shared" si="309"/>
        <v>0</v>
      </c>
      <c r="EF509" t="str">
        <f t="shared" si="300"/>
        <v>Sulfadiméthoxine</v>
      </c>
      <c r="EG509" t="str">
        <f t="shared" si="301"/>
        <v>Triméthoprime</v>
      </c>
      <c r="EH509" t="str">
        <f t="shared" si="302"/>
        <v/>
      </c>
      <c r="EI509" t="str">
        <f t="shared" si="303"/>
        <v>Sulfamides</v>
      </c>
      <c r="EJ509" t="str">
        <f t="shared" si="304"/>
        <v>Trimethoprime</v>
      </c>
      <c r="EK509" s="63" t="str">
        <f t="shared" si="305"/>
        <v/>
      </c>
      <c r="EN509" s="42">
        <v>506</v>
      </c>
      <c r="EO509" t="e">
        <f t="shared" si="311"/>
        <v>#N/A</v>
      </c>
      <c r="EP509" s="63" t="e">
        <f t="shared" si="312"/>
        <v>#N/A</v>
      </c>
    </row>
    <row r="510" spans="2:176" x14ac:dyDescent="0.3">
      <c r="M510" s="194" t="str">
        <f ca="1">INDEX(Données_ATB!BD:BU,MATCH(MASQ2!O510,Données_ATB!BD:BD,0),18)</f>
        <v/>
      </c>
      <c r="N510" s="14" t="str">
        <f>IFERROR(IF(Q510=0,"",COUNTIF(Q$4:Q$600,"&gt;"&amp;Q510)+COUNTIF(Q$4:Q510,Q510)),"")</f>
        <v/>
      </c>
      <c r="O510" t="str">
        <f>Données_ATB!BD509</f>
        <v>TRIMETHOSULFA V</v>
      </c>
      <c r="P510" t="e">
        <f>IF(IF(X$2="Catégorie",IF(X$3="Toutes",SUMIFS('Étape 1 - à remplir'!$F$31:$F$400,'Étape 1 - à remplir'!$E$31:$E$400,MASQ2!O510,'Étape 1 - à remplir'!$G$31:$G$400,"animaux"),SUMIFS('Étape 1 - à remplir'!$F$31:$F$400,'Étape 1 - à remplir'!$E$31:$E$400,MASQ2!O510,'Étape 1 - à remplir'!$C$31:$C$400,X$3)),IF(X$2="Âge",IF(X$3="Tous",SUMIFS('Étape 1 - à remplir'!$F$31:$F$400,'Étape 1 - à remplir'!$E$31:$E$400,MASQ2!O510,'Étape 1 - à remplir'!$G$31:$G$400,"animaux"),SUMIFS('Étape 1 - à remplir'!$F$31:$F$400,'Étape 1 - à remplir'!$E$31:$E$400,MASQ2!O510,'Étape 1 - à remplir'!$P$31:$P$400,X$3)),IF(X$2="Atelier",IF(X$3="Tous",SUMIFS('Étape 1 - à remplir'!$F$31:$F$400,'Étape 1 - à remplir'!$E$31:$E$400,MASQ2!O510,'Étape 1 - à remplir'!$G$31:$G$400,"animaux"),SUMIFS('Étape 1 - à remplir'!$F$31:$F$400,'Étape 1 - à remplir'!$E$31:$E$400,MASQ2!O510,'Étape 1 - à remplir'!$O$31:$O$400,X$3)),IF(X$2="Espèce",IF(X$3="Toutes",SUMIFS('Étape 1 - à remplir'!$F$31:$F$400,'Étape 1 - à remplir'!$E$31:$E$400,MASQ2!O510,'Étape 1 - à remplir'!$G$31:$G$400,"animaux"),SUMIFS('Étape 1 - à remplir'!$F$31:$F$400,'Étape 1 - à remplir'!$E$31:$E$400,MASQ2!O510,'Étape 1 - à remplir'!$N$31:$N$400,X$3))))))=0,NA(),IF(X$2="Catégorie",IF(X$3="Toutes",SUMIFS('Étape 1 - à remplir'!$F$31:$F$400,'Étape 1 - à remplir'!$E$31:$E$400,MASQ2!O510,'Étape 1 - à remplir'!$G$31:$G$400,"animaux"),SUMIFS('Étape 1 - à remplir'!$F$31:$F$400,'Étape 1 - à remplir'!$E$31:$E$400,MASQ2!O510,'Étape 1 - à remplir'!$C$31:$C$400,X$3)),IF(X$2="Âge",IF(X$3="Tous",SUMIFS('Étape 1 - à remplir'!$F$31:$F$400,'Étape 1 - à remplir'!$E$31:$E$400,MASQ2!O510,'Étape 1 - à remplir'!$G$31:$G$400,"animaux"),SUMIFS('Étape 1 - à remplir'!$F$31:$F$400,'Étape 1 - à remplir'!$E$31:$E$400,MASQ2!O510,'Étape 1 - à remplir'!$P$31:$P$400,X$3)),IF(X$2="Atelier",IF(X$3="Tous",SUMIFS('Étape 1 - à remplir'!$F$31:$F$400,'Étape 1 - à remplir'!$E$31:$E$400,MASQ2!O510,'Étape 1 - à remplir'!$G$31:$G$400,"animaux"),SUMIFS('Étape 1 - à remplir'!$F$31:$F$400,'Étape 1 - à remplir'!$E$31:$E$400,MASQ2!O510,'Étape 1 - à remplir'!$O$31:$O$400,X$3)),IF(X$2="Espèce",IF(X$3="Toutes",SUMIFS('Étape 1 - à remplir'!$F$31:$F$400,'Étape 1 - à remplir'!$E$31:$E$400,MASQ2!O510,'Étape 1 - à remplir'!$G$31:$G$400,"animaux"),SUMIFS('Étape 1 - à remplir'!$F$31:$F$400,'Étape 1 - à remplir'!$E$31:$E$400,MASQ2!O510,'Étape 1 - à remplir'!$N$31:$N$400,X$3)))))))</f>
        <v>#N/A</v>
      </c>
      <c r="Q510" s="63">
        <f t="shared" si="310"/>
        <v>0</v>
      </c>
      <c r="R510" t="str">
        <f>Données_ATB!BM509</f>
        <v>Sulfadiméthoxine</v>
      </c>
      <c r="S510" t="str">
        <f>Données_ATB!BN509</f>
        <v>Triméthoprime</v>
      </c>
      <c r="T510" s="63" t="str">
        <f>Données_ATB!BO509</f>
        <v/>
      </c>
      <c r="U510" s="42" t="str">
        <f>Données_ATB!BQ509</f>
        <v>Sulfamides</v>
      </c>
      <c r="V510" t="str">
        <f>Données_ATB!BR509</f>
        <v>Trimethoprime</v>
      </c>
      <c r="W510" s="63" t="str">
        <f>Données_ATB!BS509</f>
        <v/>
      </c>
      <c r="Z510" s="42">
        <v>507</v>
      </c>
      <c r="AA510" t="e">
        <f t="shared" si="306"/>
        <v>#N/A</v>
      </c>
      <c r="AB510" s="63" t="e">
        <f t="shared" si="307"/>
        <v>#N/A</v>
      </c>
      <c r="BT510" s="194" t="str">
        <f t="shared" ca="1" si="290"/>
        <v/>
      </c>
      <c r="BU510" s="219" t="str">
        <f>IFERROR(IF(BX510=0,"",COUNTIF(BX$4:BX$600,"&gt;"&amp;BX510)+COUNTIF(BX$4:BX510,BX510)),"")</f>
        <v/>
      </c>
      <c r="BV510" s="42" t="str">
        <f t="shared" si="291"/>
        <v>TRIMETHOSULFA V</v>
      </c>
      <c r="BW510" t="e">
        <f>IF(IF(CE$2="Catégorie",IF(CE$3="Toutes",SUMIFS('Étape 1 - à remplir'!$F$31:$F$400,'Étape 1 - à remplir'!$E$31:$E$400,MASQ2!BV510,'Étape 1 - à remplir'!$G$31:$G$400,"lots"),SUMIFS('Étape 1 - à remplir'!$F$31:$F$400,'Étape 1 - à remplir'!$E$31:$E$400,MASQ2!BV510,'Étape 1 - à remplir'!$C$31:$C$400,CE$3)),IF(CE$2="Âge",IF(CE$3="Tous",SUMIFS('Étape 1 - à remplir'!$F$31:$F$400,'Étape 1 - à remplir'!$E$31:$E$400,MASQ2!BV510,'Étape 1 - à remplir'!$G$31:$G$400,"lots"),SUMIFS('Étape 1 - à remplir'!$F$31:$F$400,'Étape 1 - à remplir'!$E$31:$E$400,MASQ2!BV510,'Étape 1 - à remplir'!$P$31:$P$400,CE$3,'Étape 1 - à remplir'!$G$31:$G$400,"lots")),IF(CE$2="Atelier",IF(CE$3="Tous",SUMIFS('Étape 1 - à remplir'!$F$31:$F$400,'Étape 1 - à remplir'!$E$31:$E$400,MASQ2!BV510,'Étape 1 - à remplir'!$G$31:$G$400,"lots"),SUMIFS('Étape 1 - à remplir'!$F$31:$F$400,'Étape 1 - à remplir'!$E$31:$E$400,MASQ2!BV510,'Étape 1 - à remplir'!$O$31:$O$400,CE$3,'Étape 1 - à remplir'!$G$31:$G$400,"lots")),IF(CE$2="Espèce",IF(CE$3="Toutes",SUMIFS('Étape 1 - à remplir'!$F$31:$F$400,'Étape 1 - à remplir'!$E$31:$E$400,MASQ2!BV510,'Étape 1 - à remplir'!$G$31:$G$400,"lots"),SUMIFS('Étape 1 - à remplir'!$F$31:$F$400,'Étape 1 - à remplir'!$E$31:$E$400,MASQ2!BV510,'Étape 1 - à remplir'!$N$31:$N$400,CE$3,'Étape 1 - à remplir'!$G$31:$G$400,"lots"))))))=0,NA(),IF(CE$2="Catégorie",IF(CE$3="Toutes",SUMIFS('Étape 1 - à remplir'!$F$31:$F$400,'Étape 1 - à remplir'!$E$31:$E$400,MASQ2!BV510,'Étape 1 - à remplir'!$G$31:$G$400,"lots"),SUMIFS('Étape 1 - à remplir'!$F$31:$F$400,'Étape 1 - à remplir'!$E$31:$E$400,MASQ2!BV510,'Étape 1 - à remplir'!$C$31:$C$400,CE$3)),IF(CE$2="Âge",IF(CE$3="Tous",SUMIFS('Étape 1 - à remplir'!$F$31:$F$400,'Étape 1 - à remplir'!$E$31:$E$400,MASQ2!BV510,'Étape 1 - à remplir'!$G$31:$G$400,"lots"),SUMIFS('Étape 1 - à remplir'!$F$31:$F$400,'Étape 1 - à remplir'!$E$31:$E$400,MASQ2!BV510,'Étape 1 - à remplir'!$P$31:$P$400,CE$3,'Étape 1 - à remplir'!$G$31:$G$400,"lots")),IF(CE$2="Atelier",IF(CE$3="Tous",SUMIFS('Étape 1 - à remplir'!$F$31:$F$400,'Étape 1 - à remplir'!$E$31:$E$400,MASQ2!BV510,'Étape 1 - à remplir'!$G$31:$G$400,"lots"),SUMIFS('Étape 1 - à remplir'!$F$31:$F$400,'Étape 1 - à remplir'!$E$31:$E$400,MASQ2!BV510,'Étape 1 - à remplir'!$O$31:$O$400,CE$3,'Étape 1 - à remplir'!$G$31:$G$400,"lots")),IF(CE$2="Espèce",IF(CE$3="Toutes",SUMIFS('Étape 1 - à remplir'!$F$31:$F$400,'Étape 1 - à remplir'!$E$31:$E$400,MASQ2!BV510,'Étape 1 - à remplir'!$G$31:$G$400,"lots"),SUMIFS('Étape 1 - à remplir'!$F$31:$F$400,'Étape 1 - à remplir'!$E$31:$E$400,MASQ2!BV510,'Étape 1 - à remplir'!$N$31:$N$400,CE$3,'Étape 1 - à remplir'!$G$31:$G$400,"lots")))))))</f>
        <v>#N/A</v>
      </c>
      <c r="BX510">
        <f t="shared" si="308"/>
        <v>0</v>
      </c>
      <c r="BY510" t="str">
        <f t="shared" si="292"/>
        <v>Sulfadiméthoxine</v>
      </c>
      <c r="BZ510" t="str">
        <f t="shared" si="293"/>
        <v>Triméthoprime</v>
      </c>
      <c r="CA510" t="str">
        <f t="shared" si="294"/>
        <v/>
      </c>
      <c r="CB510" t="str">
        <f t="shared" si="295"/>
        <v>Sulfamides</v>
      </c>
      <c r="CC510" t="str">
        <f t="shared" si="296"/>
        <v>Trimethoprime</v>
      </c>
      <c r="CD510" s="63" t="str">
        <f t="shared" si="297"/>
        <v/>
      </c>
      <c r="CG510" s="42">
        <v>507</v>
      </c>
      <c r="CH510" s="42" t="e">
        <f t="shared" si="313"/>
        <v>#N/A</v>
      </c>
      <c r="CI510" s="63" t="e">
        <f t="shared" si="314"/>
        <v>#N/A</v>
      </c>
      <c r="EA510" s="194" t="str">
        <f t="shared" ca="1" si="298"/>
        <v/>
      </c>
      <c r="EB510" s="226" t="str">
        <f>IFERROR(IF(ED510=0,"",COUNTIF(ED$4:ED$600,"&gt;"&amp;ED510)+COUNTIF(ED$4:ED510,ED510)),"")</f>
        <v/>
      </c>
      <c r="EC510" t="str">
        <f t="shared" si="299"/>
        <v>TRIMETHOSULFA V</v>
      </c>
      <c r="ED510" t="e">
        <f>IF(IF(EL$2="Catégorie",IF(EL$3="Toutes",SUMIFS('Étape 1 - à remplir'!$F$31:$F$400,'Étape 1 - à remplir'!$E$31:$E$400,MASQ2!EC510,'Étape 1 - à remplir'!$G$31:$G$400,"kg"),SUMIFS('Étape 1 - à remplir'!$F$31:$F$400,'Étape 1 - à remplir'!$E$31:$E$400,MASQ2!EC510,'Étape 1 - à remplir'!$C$31:$C$400,EL$3)),IF(EL$2="Âge",IF(EL$3="Tous",SUMIFS('Étape 1 - à remplir'!$F$31:$F$400,'Étape 1 - à remplir'!$E$31:$E$400,MASQ2!EC510,'Étape 1 - à remplir'!$G$31:$G$400,"kg"),SUMIFS('Étape 1 - à remplir'!$F$31:$F$400,'Étape 1 - à remplir'!$E$31:$E$400,MASQ2!EC510,'Étape 1 - à remplir'!$P$31:$P$400,EL$3,'Étape 1 - à remplir'!$G$31:$G$400,"kg")),IF(EL$2="Atelier",IF(EL$3="Tous",SUMIFS('Étape 1 - à remplir'!$F$31:$F$400,'Étape 1 - à remplir'!$E$31:$E$400,MASQ2!EC510,'Étape 1 - à remplir'!$G$31:$G$400,"kg"),SUMIFS('Étape 1 - à remplir'!$F$31:$F$400,'Étape 1 - à remplir'!$E$31:$E$400,MASQ2!EC510,'Étape 1 - à remplir'!$O$31:$O$400,EL$3,'Étape 1 - à remplir'!$G$31:$G$400,"kg")),IF(EL$2="Espèce",IF(EL$3="Toutes",SUMIFS('Étape 1 - à remplir'!$F$31:$F$400,'Étape 1 - à remplir'!$E$31:$E$400,MASQ2!EC510,'Étape 1 - à remplir'!$G$31:$G$400,"kg"),SUMIFS('Étape 1 - à remplir'!$F$31:$F$400,'Étape 1 - à remplir'!$E$31:$E$400,MASQ2!EC510,'Étape 1 - à remplir'!$N$31:$N$400,EL$3,'Étape 1 - à remplir'!$G$31:$G$400,"kg"))))))=0,NA(),IF(EL$2="Catégorie",IF(EL$3="Toutes",SUMIFS('Étape 1 - à remplir'!$F$31:$F$400,'Étape 1 - à remplir'!$E$31:$E$400,MASQ2!EC510,'Étape 1 - à remplir'!$G$31:$G$400,"kg"),SUMIFS('Étape 1 - à remplir'!$F$31:$F$400,'Étape 1 - à remplir'!$E$31:$E$400,MASQ2!EC510,'Étape 1 - à remplir'!$C$31:$C$400,EL$3)),IF(EL$2="Âge",IF(EL$3="Tous",SUMIFS('Étape 1 - à remplir'!$F$31:$F$400,'Étape 1 - à remplir'!$E$31:$E$400,MASQ2!EC510,'Étape 1 - à remplir'!$G$31:$G$400,"kg"),SUMIFS('Étape 1 - à remplir'!$F$31:$F$400,'Étape 1 - à remplir'!$E$31:$E$400,MASQ2!EC510,'Étape 1 - à remplir'!$P$31:$P$400,EL$3,'Étape 1 - à remplir'!$G$31:$G$400,"kg")),IF(EL$2="Atelier",IF(EL$3="Tous",SUMIFS('Étape 1 - à remplir'!$F$31:$F$400,'Étape 1 - à remplir'!$E$31:$E$400,MASQ2!EC510,'Étape 1 - à remplir'!$G$31:$G$400,"kg"),SUMIFS('Étape 1 - à remplir'!$F$31:$F$400,'Étape 1 - à remplir'!$E$31:$E$400,MASQ2!EC510,'Étape 1 - à remplir'!$O$31:$O$400,EL$3,'Étape 1 - à remplir'!$G$31:$G$400,"kg")),IF(EL$2="Espèce",IF(EL$3="Toutes",SUMIFS('Étape 1 - à remplir'!$F$31:$F$400,'Étape 1 - à remplir'!$E$31:$E$400,MASQ2!EC510,'Étape 1 - à remplir'!$G$31:$G$400,"kg"),SUMIFS('Étape 1 - à remplir'!$F$31:$F$400,'Étape 1 - à remplir'!$E$31:$E$400,MASQ2!EC510,'Étape 1 - à remplir'!$N$31:$N$400,EL$3,'Étape 1 - à remplir'!$G$31:$G$400,"kg")))))))</f>
        <v>#N/A</v>
      </c>
      <c r="EE510" s="76">
        <f t="shared" si="309"/>
        <v>0</v>
      </c>
      <c r="EF510" t="str">
        <f t="shared" si="300"/>
        <v>Sulfadiméthoxine</v>
      </c>
      <c r="EG510" t="str">
        <f t="shared" si="301"/>
        <v>Triméthoprime</v>
      </c>
      <c r="EH510" t="str">
        <f t="shared" si="302"/>
        <v/>
      </c>
      <c r="EI510" t="str">
        <f t="shared" si="303"/>
        <v>Sulfamides</v>
      </c>
      <c r="EJ510" t="str">
        <f t="shared" si="304"/>
        <v>Trimethoprime</v>
      </c>
      <c r="EK510" s="63" t="str">
        <f t="shared" si="305"/>
        <v/>
      </c>
      <c r="EN510" s="42">
        <v>507</v>
      </c>
      <c r="EO510" t="e">
        <f t="shared" si="311"/>
        <v>#N/A</v>
      </c>
      <c r="EP510" s="63" t="e">
        <f t="shared" si="312"/>
        <v>#N/A</v>
      </c>
    </row>
    <row r="511" spans="2:176" x14ac:dyDescent="0.3">
      <c r="M511" s="194" t="str">
        <f ca="1">INDEX(Données_ATB!BD:BU,MATCH(MASQ2!O511,Données_ATB!BD:BD,0),18)</f>
        <v/>
      </c>
      <c r="N511" s="14" t="str">
        <f>IFERROR(IF(Q511=0,"",COUNTIF(Q$4:Q$600,"&gt;"&amp;Q511)+COUNTIF(Q$4:Q511,Q511)),"")</f>
        <v/>
      </c>
      <c r="O511" t="str">
        <f>Données_ATB!BD510</f>
        <v>TRIMETHOX</v>
      </c>
      <c r="P511" t="e">
        <f>IF(IF(X$2="Catégorie",IF(X$3="Toutes",SUMIFS('Étape 1 - à remplir'!$F$31:$F$400,'Étape 1 - à remplir'!$E$31:$E$400,MASQ2!O511,'Étape 1 - à remplir'!$G$31:$G$400,"animaux"),SUMIFS('Étape 1 - à remplir'!$F$31:$F$400,'Étape 1 - à remplir'!$E$31:$E$400,MASQ2!O511,'Étape 1 - à remplir'!$C$31:$C$400,X$3)),IF(X$2="Âge",IF(X$3="Tous",SUMIFS('Étape 1 - à remplir'!$F$31:$F$400,'Étape 1 - à remplir'!$E$31:$E$400,MASQ2!O511,'Étape 1 - à remplir'!$G$31:$G$400,"animaux"),SUMIFS('Étape 1 - à remplir'!$F$31:$F$400,'Étape 1 - à remplir'!$E$31:$E$400,MASQ2!O511,'Étape 1 - à remplir'!$P$31:$P$400,X$3)),IF(X$2="Atelier",IF(X$3="Tous",SUMIFS('Étape 1 - à remplir'!$F$31:$F$400,'Étape 1 - à remplir'!$E$31:$E$400,MASQ2!O511,'Étape 1 - à remplir'!$G$31:$G$400,"animaux"),SUMIFS('Étape 1 - à remplir'!$F$31:$F$400,'Étape 1 - à remplir'!$E$31:$E$400,MASQ2!O511,'Étape 1 - à remplir'!$O$31:$O$400,X$3)),IF(X$2="Espèce",IF(X$3="Toutes",SUMIFS('Étape 1 - à remplir'!$F$31:$F$400,'Étape 1 - à remplir'!$E$31:$E$400,MASQ2!O511,'Étape 1 - à remplir'!$G$31:$G$400,"animaux"),SUMIFS('Étape 1 - à remplir'!$F$31:$F$400,'Étape 1 - à remplir'!$E$31:$E$400,MASQ2!O511,'Étape 1 - à remplir'!$N$31:$N$400,X$3))))))=0,NA(),IF(X$2="Catégorie",IF(X$3="Toutes",SUMIFS('Étape 1 - à remplir'!$F$31:$F$400,'Étape 1 - à remplir'!$E$31:$E$400,MASQ2!O511,'Étape 1 - à remplir'!$G$31:$G$400,"animaux"),SUMIFS('Étape 1 - à remplir'!$F$31:$F$400,'Étape 1 - à remplir'!$E$31:$E$400,MASQ2!O511,'Étape 1 - à remplir'!$C$31:$C$400,X$3)),IF(X$2="Âge",IF(X$3="Tous",SUMIFS('Étape 1 - à remplir'!$F$31:$F$400,'Étape 1 - à remplir'!$E$31:$E$400,MASQ2!O511,'Étape 1 - à remplir'!$G$31:$G$400,"animaux"),SUMIFS('Étape 1 - à remplir'!$F$31:$F$400,'Étape 1 - à remplir'!$E$31:$E$400,MASQ2!O511,'Étape 1 - à remplir'!$P$31:$P$400,X$3)),IF(X$2="Atelier",IF(X$3="Tous",SUMIFS('Étape 1 - à remplir'!$F$31:$F$400,'Étape 1 - à remplir'!$E$31:$E$400,MASQ2!O511,'Étape 1 - à remplir'!$G$31:$G$400,"animaux"),SUMIFS('Étape 1 - à remplir'!$F$31:$F$400,'Étape 1 - à remplir'!$E$31:$E$400,MASQ2!O511,'Étape 1 - à remplir'!$O$31:$O$400,X$3)),IF(X$2="Espèce",IF(X$3="Toutes",SUMIFS('Étape 1 - à remplir'!$F$31:$F$400,'Étape 1 - à remplir'!$E$31:$E$400,MASQ2!O511,'Étape 1 - à remplir'!$G$31:$G$400,"animaux"),SUMIFS('Étape 1 - à remplir'!$F$31:$F$400,'Étape 1 - à remplir'!$E$31:$E$400,MASQ2!O511,'Étape 1 - à remplir'!$N$31:$N$400,X$3)))))))</f>
        <v>#N/A</v>
      </c>
      <c r="Q511" s="63">
        <f t="shared" si="310"/>
        <v>0</v>
      </c>
      <c r="R511" t="str">
        <f>Données_ATB!BM510</f>
        <v>Sulfadiméthoxine</v>
      </c>
      <c r="S511" t="str">
        <f>Données_ATB!BN510</f>
        <v>Triméthoprime</v>
      </c>
      <c r="T511" s="63" t="str">
        <f>Données_ATB!BO510</f>
        <v/>
      </c>
      <c r="U511" s="42" t="str">
        <f>Données_ATB!BQ510</f>
        <v>Sulfamides</v>
      </c>
      <c r="V511" t="str">
        <f>Données_ATB!BR510</f>
        <v>Trimethoprime</v>
      </c>
      <c r="W511" s="63" t="str">
        <f>Données_ATB!BS510</f>
        <v/>
      </c>
      <c r="Z511" s="42">
        <v>508</v>
      </c>
      <c r="AA511" t="e">
        <f t="shared" si="306"/>
        <v>#N/A</v>
      </c>
      <c r="AB511" s="63" t="e">
        <f t="shared" si="307"/>
        <v>#N/A</v>
      </c>
      <c r="BT511" s="194" t="str">
        <f t="shared" ca="1" si="290"/>
        <v/>
      </c>
      <c r="BU511" s="219" t="str">
        <f>IFERROR(IF(BX511=0,"",COUNTIF(BX$4:BX$600,"&gt;"&amp;BX511)+COUNTIF(BX$4:BX511,BX511)),"")</f>
        <v/>
      </c>
      <c r="BV511" s="42" t="str">
        <f t="shared" si="291"/>
        <v>TRIMETHOX</v>
      </c>
      <c r="BW511" t="e">
        <f>IF(IF(CE$2="Catégorie",IF(CE$3="Toutes",SUMIFS('Étape 1 - à remplir'!$F$31:$F$400,'Étape 1 - à remplir'!$E$31:$E$400,MASQ2!BV511,'Étape 1 - à remplir'!$G$31:$G$400,"lots"),SUMIFS('Étape 1 - à remplir'!$F$31:$F$400,'Étape 1 - à remplir'!$E$31:$E$400,MASQ2!BV511,'Étape 1 - à remplir'!$C$31:$C$400,CE$3)),IF(CE$2="Âge",IF(CE$3="Tous",SUMIFS('Étape 1 - à remplir'!$F$31:$F$400,'Étape 1 - à remplir'!$E$31:$E$400,MASQ2!BV511,'Étape 1 - à remplir'!$G$31:$G$400,"lots"),SUMIFS('Étape 1 - à remplir'!$F$31:$F$400,'Étape 1 - à remplir'!$E$31:$E$400,MASQ2!BV511,'Étape 1 - à remplir'!$P$31:$P$400,CE$3,'Étape 1 - à remplir'!$G$31:$G$400,"lots")),IF(CE$2="Atelier",IF(CE$3="Tous",SUMIFS('Étape 1 - à remplir'!$F$31:$F$400,'Étape 1 - à remplir'!$E$31:$E$400,MASQ2!BV511,'Étape 1 - à remplir'!$G$31:$G$400,"lots"),SUMIFS('Étape 1 - à remplir'!$F$31:$F$400,'Étape 1 - à remplir'!$E$31:$E$400,MASQ2!BV511,'Étape 1 - à remplir'!$O$31:$O$400,CE$3,'Étape 1 - à remplir'!$G$31:$G$400,"lots")),IF(CE$2="Espèce",IF(CE$3="Toutes",SUMIFS('Étape 1 - à remplir'!$F$31:$F$400,'Étape 1 - à remplir'!$E$31:$E$400,MASQ2!BV511,'Étape 1 - à remplir'!$G$31:$G$400,"lots"),SUMIFS('Étape 1 - à remplir'!$F$31:$F$400,'Étape 1 - à remplir'!$E$31:$E$400,MASQ2!BV511,'Étape 1 - à remplir'!$N$31:$N$400,CE$3,'Étape 1 - à remplir'!$G$31:$G$400,"lots"))))))=0,NA(),IF(CE$2="Catégorie",IF(CE$3="Toutes",SUMIFS('Étape 1 - à remplir'!$F$31:$F$400,'Étape 1 - à remplir'!$E$31:$E$400,MASQ2!BV511,'Étape 1 - à remplir'!$G$31:$G$400,"lots"),SUMIFS('Étape 1 - à remplir'!$F$31:$F$400,'Étape 1 - à remplir'!$E$31:$E$400,MASQ2!BV511,'Étape 1 - à remplir'!$C$31:$C$400,CE$3)),IF(CE$2="Âge",IF(CE$3="Tous",SUMIFS('Étape 1 - à remplir'!$F$31:$F$400,'Étape 1 - à remplir'!$E$31:$E$400,MASQ2!BV511,'Étape 1 - à remplir'!$G$31:$G$400,"lots"),SUMIFS('Étape 1 - à remplir'!$F$31:$F$400,'Étape 1 - à remplir'!$E$31:$E$400,MASQ2!BV511,'Étape 1 - à remplir'!$P$31:$P$400,CE$3,'Étape 1 - à remplir'!$G$31:$G$400,"lots")),IF(CE$2="Atelier",IF(CE$3="Tous",SUMIFS('Étape 1 - à remplir'!$F$31:$F$400,'Étape 1 - à remplir'!$E$31:$E$400,MASQ2!BV511,'Étape 1 - à remplir'!$G$31:$G$400,"lots"),SUMIFS('Étape 1 - à remplir'!$F$31:$F$400,'Étape 1 - à remplir'!$E$31:$E$400,MASQ2!BV511,'Étape 1 - à remplir'!$O$31:$O$400,CE$3,'Étape 1 - à remplir'!$G$31:$G$400,"lots")),IF(CE$2="Espèce",IF(CE$3="Toutes",SUMIFS('Étape 1 - à remplir'!$F$31:$F$400,'Étape 1 - à remplir'!$E$31:$E$400,MASQ2!BV511,'Étape 1 - à remplir'!$G$31:$G$400,"lots"),SUMIFS('Étape 1 - à remplir'!$F$31:$F$400,'Étape 1 - à remplir'!$E$31:$E$400,MASQ2!BV511,'Étape 1 - à remplir'!$N$31:$N$400,CE$3,'Étape 1 - à remplir'!$G$31:$G$400,"lots")))))))</f>
        <v>#N/A</v>
      </c>
      <c r="BX511">
        <f t="shared" si="308"/>
        <v>0</v>
      </c>
      <c r="BY511" t="str">
        <f t="shared" si="292"/>
        <v>Sulfadiméthoxine</v>
      </c>
      <c r="BZ511" t="str">
        <f t="shared" si="293"/>
        <v>Triméthoprime</v>
      </c>
      <c r="CA511" t="str">
        <f t="shared" si="294"/>
        <v/>
      </c>
      <c r="CB511" t="str">
        <f t="shared" si="295"/>
        <v>Sulfamides</v>
      </c>
      <c r="CC511" t="str">
        <f t="shared" si="296"/>
        <v>Trimethoprime</v>
      </c>
      <c r="CD511" s="63" t="str">
        <f t="shared" si="297"/>
        <v/>
      </c>
      <c r="CG511" s="42">
        <v>508</v>
      </c>
      <c r="CH511" s="42" t="e">
        <f t="shared" si="313"/>
        <v>#N/A</v>
      </c>
      <c r="CI511" s="63" t="e">
        <f t="shared" si="314"/>
        <v>#N/A</v>
      </c>
      <c r="EA511" s="194" t="str">
        <f t="shared" ca="1" si="298"/>
        <v/>
      </c>
      <c r="EB511" s="226" t="str">
        <f>IFERROR(IF(ED511=0,"",COUNTIF(ED$4:ED$600,"&gt;"&amp;ED511)+COUNTIF(ED$4:ED511,ED511)),"")</f>
        <v/>
      </c>
      <c r="EC511" t="str">
        <f t="shared" si="299"/>
        <v>TRIMETHOX</v>
      </c>
      <c r="ED511" t="e">
        <f>IF(IF(EL$2="Catégorie",IF(EL$3="Toutes",SUMIFS('Étape 1 - à remplir'!$F$31:$F$400,'Étape 1 - à remplir'!$E$31:$E$400,MASQ2!EC511,'Étape 1 - à remplir'!$G$31:$G$400,"kg"),SUMIFS('Étape 1 - à remplir'!$F$31:$F$400,'Étape 1 - à remplir'!$E$31:$E$400,MASQ2!EC511,'Étape 1 - à remplir'!$C$31:$C$400,EL$3)),IF(EL$2="Âge",IF(EL$3="Tous",SUMIFS('Étape 1 - à remplir'!$F$31:$F$400,'Étape 1 - à remplir'!$E$31:$E$400,MASQ2!EC511,'Étape 1 - à remplir'!$G$31:$G$400,"kg"),SUMIFS('Étape 1 - à remplir'!$F$31:$F$400,'Étape 1 - à remplir'!$E$31:$E$400,MASQ2!EC511,'Étape 1 - à remplir'!$P$31:$P$400,EL$3,'Étape 1 - à remplir'!$G$31:$G$400,"kg")),IF(EL$2="Atelier",IF(EL$3="Tous",SUMIFS('Étape 1 - à remplir'!$F$31:$F$400,'Étape 1 - à remplir'!$E$31:$E$400,MASQ2!EC511,'Étape 1 - à remplir'!$G$31:$G$400,"kg"),SUMIFS('Étape 1 - à remplir'!$F$31:$F$400,'Étape 1 - à remplir'!$E$31:$E$400,MASQ2!EC511,'Étape 1 - à remplir'!$O$31:$O$400,EL$3,'Étape 1 - à remplir'!$G$31:$G$400,"kg")),IF(EL$2="Espèce",IF(EL$3="Toutes",SUMIFS('Étape 1 - à remplir'!$F$31:$F$400,'Étape 1 - à remplir'!$E$31:$E$400,MASQ2!EC511,'Étape 1 - à remplir'!$G$31:$G$400,"kg"),SUMIFS('Étape 1 - à remplir'!$F$31:$F$400,'Étape 1 - à remplir'!$E$31:$E$400,MASQ2!EC511,'Étape 1 - à remplir'!$N$31:$N$400,EL$3,'Étape 1 - à remplir'!$G$31:$G$400,"kg"))))))=0,NA(),IF(EL$2="Catégorie",IF(EL$3="Toutes",SUMIFS('Étape 1 - à remplir'!$F$31:$F$400,'Étape 1 - à remplir'!$E$31:$E$400,MASQ2!EC511,'Étape 1 - à remplir'!$G$31:$G$400,"kg"),SUMIFS('Étape 1 - à remplir'!$F$31:$F$400,'Étape 1 - à remplir'!$E$31:$E$400,MASQ2!EC511,'Étape 1 - à remplir'!$C$31:$C$400,EL$3)),IF(EL$2="Âge",IF(EL$3="Tous",SUMIFS('Étape 1 - à remplir'!$F$31:$F$400,'Étape 1 - à remplir'!$E$31:$E$400,MASQ2!EC511,'Étape 1 - à remplir'!$G$31:$G$400,"kg"),SUMIFS('Étape 1 - à remplir'!$F$31:$F$400,'Étape 1 - à remplir'!$E$31:$E$400,MASQ2!EC511,'Étape 1 - à remplir'!$P$31:$P$400,EL$3,'Étape 1 - à remplir'!$G$31:$G$400,"kg")),IF(EL$2="Atelier",IF(EL$3="Tous",SUMIFS('Étape 1 - à remplir'!$F$31:$F$400,'Étape 1 - à remplir'!$E$31:$E$400,MASQ2!EC511,'Étape 1 - à remplir'!$G$31:$G$400,"kg"),SUMIFS('Étape 1 - à remplir'!$F$31:$F$400,'Étape 1 - à remplir'!$E$31:$E$400,MASQ2!EC511,'Étape 1 - à remplir'!$O$31:$O$400,EL$3,'Étape 1 - à remplir'!$G$31:$G$400,"kg")),IF(EL$2="Espèce",IF(EL$3="Toutes",SUMIFS('Étape 1 - à remplir'!$F$31:$F$400,'Étape 1 - à remplir'!$E$31:$E$400,MASQ2!EC511,'Étape 1 - à remplir'!$G$31:$G$400,"kg"),SUMIFS('Étape 1 - à remplir'!$F$31:$F$400,'Étape 1 - à remplir'!$E$31:$E$400,MASQ2!EC511,'Étape 1 - à remplir'!$N$31:$N$400,EL$3,'Étape 1 - à remplir'!$G$31:$G$400,"kg")))))))</f>
        <v>#N/A</v>
      </c>
      <c r="EE511" s="76">
        <f t="shared" si="309"/>
        <v>0</v>
      </c>
      <c r="EF511" t="str">
        <f t="shared" si="300"/>
        <v>Sulfadiméthoxine</v>
      </c>
      <c r="EG511" t="str">
        <f t="shared" si="301"/>
        <v>Triméthoprime</v>
      </c>
      <c r="EH511" t="str">
        <f t="shared" si="302"/>
        <v/>
      </c>
      <c r="EI511" t="str">
        <f t="shared" si="303"/>
        <v>Sulfamides</v>
      </c>
      <c r="EJ511" t="str">
        <f t="shared" si="304"/>
        <v>Trimethoprime</v>
      </c>
      <c r="EK511" s="63" t="str">
        <f t="shared" si="305"/>
        <v/>
      </c>
      <c r="EN511" s="42">
        <v>508</v>
      </c>
      <c r="EO511" t="e">
        <f t="shared" si="311"/>
        <v>#N/A</v>
      </c>
      <c r="EP511" s="63" t="e">
        <f t="shared" si="312"/>
        <v>#N/A</v>
      </c>
    </row>
    <row r="512" spans="2:176" x14ac:dyDescent="0.3">
      <c r="M512" s="194" t="str">
        <f ca="1">INDEX(Données_ATB!BD:BU,MATCH(MASQ2!O512,Données_ATB!BD:BD,0),18)</f>
        <v/>
      </c>
      <c r="N512" s="14" t="str">
        <f>IFERROR(IF(Q512=0,"",COUNTIF(Q$4:Q$600,"&gt;"&amp;Q512)+COUNTIF(Q$4:Q512,Q512)),"")</f>
        <v/>
      </c>
      <c r="O512" t="str">
        <f>Données_ATB!BD511</f>
        <v>TRISULMIX INJECTABLE</v>
      </c>
      <c r="P512" t="e">
        <f>IF(IF(X$2="Catégorie",IF(X$3="Toutes",SUMIFS('Étape 1 - à remplir'!$F$31:$F$400,'Étape 1 - à remplir'!$E$31:$E$400,MASQ2!O512,'Étape 1 - à remplir'!$G$31:$G$400,"animaux"),SUMIFS('Étape 1 - à remplir'!$F$31:$F$400,'Étape 1 - à remplir'!$E$31:$E$400,MASQ2!O512,'Étape 1 - à remplir'!$C$31:$C$400,X$3)),IF(X$2="Âge",IF(X$3="Tous",SUMIFS('Étape 1 - à remplir'!$F$31:$F$400,'Étape 1 - à remplir'!$E$31:$E$400,MASQ2!O512,'Étape 1 - à remplir'!$G$31:$G$400,"animaux"),SUMIFS('Étape 1 - à remplir'!$F$31:$F$400,'Étape 1 - à remplir'!$E$31:$E$400,MASQ2!O512,'Étape 1 - à remplir'!$P$31:$P$400,X$3)),IF(X$2="Atelier",IF(X$3="Tous",SUMIFS('Étape 1 - à remplir'!$F$31:$F$400,'Étape 1 - à remplir'!$E$31:$E$400,MASQ2!O512,'Étape 1 - à remplir'!$G$31:$G$400,"animaux"),SUMIFS('Étape 1 - à remplir'!$F$31:$F$400,'Étape 1 - à remplir'!$E$31:$E$400,MASQ2!O512,'Étape 1 - à remplir'!$O$31:$O$400,X$3)),IF(X$2="Espèce",IF(X$3="Toutes",SUMIFS('Étape 1 - à remplir'!$F$31:$F$400,'Étape 1 - à remplir'!$E$31:$E$400,MASQ2!O512,'Étape 1 - à remplir'!$G$31:$G$400,"animaux"),SUMIFS('Étape 1 - à remplir'!$F$31:$F$400,'Étape 1 - à remplir'!$E$31:$E$400,MASQ2!O512,'Étape 1 - à remplir'!$N$31:$N$400,X$3))))))=0,NA(),IF(X$2="Catégorie",IF(X$3="Toutes",SUMIFS('Étape 1 - à remplir'!$F$31:$F$400,'Étape 1 - à remplir'!$E$31:$E$400,MASQ2!O512,'Étape 1 - à remplir'!$G$31:$G$400,"animaux"),SUMIFS('Étape 1 - à remplir'!$F$31:$F$400,'Étape 1 - à remplir'!$E$31:$E$400,MASQ2!O512,'Étape 1 - à remplir'!$C$31:$C$400,X$3)),IF(X$2="Âge",IF(X$3="Tous",SUMIFS('Étape 1 - à remplir'!$F$31:$F$400,'Étape 1 - à remplir'!$E$31:$E$400,MASQ2!O512,'Étape 1 - à remplir'!$G$31:$G$400,"animaux"),SUMIFS('Étape 1 - à remplir'!$F$31:$F$400,'Étape 1 - à remplir'!$E$31:$E$400,MASQ2!O512,'Étape 1 - à remplir'!$P$31:$P$400,X$3)),IF(X$2="Atelier",IF(X$3="Tous",SUMIFS('Étape 1 - à remplir'!$F$31:$F$400,'Étape 1 - à remplir'!$E$31:$E$400,MASQ2!O512,'Étape 1 - à remplir'!$G$31:$G$400,"animaux"),SUMIFS('Étape 1 - à remplir'!$F$31:$F$400,'Étape 1 - à remplir'!$E$31:$E$400,MASQ2!O512,'Étape 1 - à remplir'!$O$31:$O$400,X$3)),IF(X$2="Espèce",IF(X$3="Toutes",SUMIFS('Étape 1 - à remplir'!$F$31:$F$400,'Étape 1 - à remplir'!$E$31:$E$400,MASQ2!O512,'Étape 1 - à remplir'!$G$31:$G$400,"animaux"),SUMIFS('Étape 1 - à remplir'!$F$31:$F$400,'Étape 1 - à remplir'!$E$31:$E$400,MASQ2!O512,'Étape 1 - à remplir'!$N$31:$N$400,X$3)))))))</f>
        <v>#N/A</v>
      </c>
      <c r="Q512" s="63">
        <f t="shared" si="310"/>
        <v>0</v>
      </c>
      <c r="R512" t="str">
        <f>Données_ATB!BM511</f>
        <v>Sulfadiméthoxine</v>
      </c>
      <c r="S512" t="str">
        <f>Données_ATB!BN511</f>
        <v>Triméthoprime</v>
      </c>
      <c r="T512" s="63" t="str">
        <f>Données_ATB!BO511</f>
        <v/>
      </c>
      <c r="U512" s="42" t="str">
        <f>Données_ATB!BQ511</f>
        <v>Sulfamides</v>
      </c>
      <c r="V512" t="str">
        <f>Données_ATB!BR511</f>
        <v>Trimethoprime</v>
      </c>
      <c r="W512" s="63" t="str">
        <f>Données_ATB!BS511</f>
        <v/>
      </c>
      <c r="Z512" s="42">
        <v>509</v>
      </c>
      <c r="AA512" t="e">
        <f t="shared" si="306"/>
        <v>#N/A</v>
      </c>
      <c r="AB512" s="63" t="e">
        <f t="shared" si="307"/>
        <v>#N/A</v>
      </c>
      <c r="BT512" s="194" t="str">
        <f t="shared" ca="1" si="290"/>
        <v/>
      </c>
      <c r="BU512" s="219" t="str">
        <f>IFERROR(IF(BX512=0,"",COUNTIF(BX$4:BX$600,"&gt;"&amp;BX512)+COUNTIF(BX$4:BX512,BX512)),"")</f>
        <v/>
      </c>
      <c r="BV512" s="42" t="str">
        <f t="shared" si="291"/>
        <v>TRISULMIX INJECTABLE</v>
      </c>
      <c r="BW512" t="e">
        <f>IF(IF(CE$2="Catégorie",IF(CE$3="Toutes",SUMIFS('Étape 1 - à remplir'!$F$31:$F$400,'Étape 1 - à remplir'!$E$31:$E$400,MASQ2!BV512,'Étape 1 - à remplir'!$G$31:$G$400,"lots"),SUMIFS('Étape 1 - à remplir'!$F$31:$F$400,'Étape 1 - à remplir'!$E$31:$E$400,MASQ2!BV512,'Étape 1 - à remplir'!$C$31:$C$400,CE$3)),IF(CE$2="Âge",IF(CE$3="Tous",SUMIFS('Étape 1 - à remplir'!$F$31:$F$400,'Étape 1 - à remplir'!$E$31:$E$400,MASQ2!BV512,'Étape 1 - à remplir'!$G$31:$G$400,"lots"),SUMIFS('Étape 1 - à remplir'!$F$31:$F$400,'Étape 1 - à remplir'!$E$31:$E$400,MASQ2!BV512,'Étape 1 - à remplir'!$P$31:$P$400,CE$3,'Étape 1 - à remplir'!$G$31:$G$400,"lots")),IF(CE$2="Atelier",IF(CE$3="Tous",SUMIFS('Étape 1 - à remplir'!$F$31:$F$400,'Étape 1 - à remplir'!$E$31:$E$400,MASQ2!BV512,'Étape 1 - à remplir'!$G$31:$G$400,"lots"),SUMIFS('Étape 1 - à remplir'!$F$31:$F$400,'Étape 1 - à remplir'!$E$31:$E$400,MASQ2!BV512,'Étape 1 - à remplir'!$O$31:$O$400,CE$3,'Étape 1 - à remplir'!$G$31:$G$400,"lots")),IF(CE$2="Espèce",IF(CE$3="Toutes",SUMIFS('Étape 1 - à remplir'!$F$31:$F$400,'Étape 1 - à remplir'!$E$31:$E$400,MASQ2!BV512,'Étape 1 - à remplir'!$G$31:$G$400,"lots"),SUMIFS('Étape 1 - à remplir'!$F$31:$F$400,'Étape 1 - à remplir'!$E$31:$E$400,MASQ2!BV512,'Étape 1 - à remplir'!$N$31:$N$400,CE$3,'Étape 1 - à remplir'!$G$31:$G$400,"lots"))))))=0,NA(),IF(CE$2="Catégorie",IF(CE$3="Toutes",SUMIFS('Étape 1 - à remplir'!$F$31:$F$400,'Étape 1 - à remplir'!$E$31:$E$400,MASQ2!BV512,'Étape 1 - à remplir'!$G$31:$G$400,"lots"),SUMIFS('Étape 1 - à remplir'!$F$31:$F$400,'Étape 1 - à remplir'!$E$31:$E$400,MASQ2!BV512,'Étape 1 - à remplir'!$C$31:$C$400,CE$3)),IF(CE$2="Âge",IF(CE$3="Tous",SUMIFS('Étape 1 - à remplir'!$F$31:$F$400,'Étape 1 - à remplir'!$E$31:$E$400,MASQ2!BV512,'Étape 1 - à remplir'!$G$31:$G$400,"lots"),SUMIFS('Étape 1 - à remplir'!$F$31:$F$400,'Étape 1 - à remplir'!$E$31:$E$400,MASQ2!BV512,'Étape 1 - à remplir'!$P$31:$P$400,CE$3,'Étape 1 - à remplir'!$G$31:$G$400,"lots")),IF(CE$2="Atelier",IF(CE$3="Tous",SUMIFS('Étape 1 - à remplir'!$F$31:$F$400,'Étape 1 - à remplir'!$E$31:$E$400,MASQ2!BV512,'Étape 1 - à remplir'!$G$31:$G$400,"lots"),SUMIFS('Étape 1 - à remplir'!$F$31:$F$400,'Étape 1 - à remplir'!$E$31:$E$400,MASQ2!BV512,'Étape 1 - à remplir'!$O$31:$O$400,CE$3,'Étape 1 - à remplir'!$G$31:$G$400,"lots")),IF(CE$2="Espèce",IF(CE$3="Toutes",SUMIFS('Étape 1 - à remplir'!$F$31:$F$400,'Étape 1 - à remplir'!$E$31:$E$400,MASQ2!BV512,'Étape 1 - à remplir'!$G$31:$G$400,"lots"),SUMIFS('Étape 1 - à remplir'!$F$31:$F$400,'Étape 1 - à remplir'!$E$31:$E$400,MASQ2!BV512,'Étape 1 - à remplir'!$N$31:$N$400,CE$3,'Étape 1 - à remplir'!$G$31:$G$400,"lots")))))))</f>
        <v>#N/A</v>
      </c>
      <c r="BX512">
        <f t="shared" si="308"/>
        <v>0</v>
      </c>
      <c r="BY512" t="str">
        <f t="shared" si="292"/>
        <v>Sulfadiméthoxine</v>
      </c>
      <c r="BZ512" t="str">
        <f t="shared" si="293"/>
        <v>Triméthoprime</v>
      </c>
      <c r="CA512" t="str">
        <f t="shared" si="294"/>
        <v/>
      </c>
      <c r="CB512" t="str">
        <f t="shared" si="295"/>
        <v>Sulfamides</v>
      </c>
      <c r="CC512" t="str">
        <f t="shared" si="296"/>
        <v>Trimethoprime</v>
      </c>
      <c r="CD512" s="63" t="str">
        <f t="shared" si="297"/>
        <v/>
      </c>
      <c r="CG512" s="42">
        <v>509</v>
      </c>
      <c r="CH512" s="42" t="e">
        <f t="shared" si="313"/>
        <v>#N/A</v>
      </c>
      <c r="CI512" s="63" t="e">
        <f t="shared" si="314"/>
        <v>#N/A</v>
      </c>
      <c r="EA512" s="194" t="str">
        <f t="shared" ca="1" si="298"/>
        <v/>
      </c>
      <c r="EB512" s="226" t="str">
        <f>IFERROR(IF(ED512=0,"",COUNTIF(ED$4:ED$600,"&gt;"&amp;ED512)+COUNTIF(ED$4:ED512,ED512)),"")</f>
        <v/>
      </c>
      <c r="EC512" t="str">
        <f t="shared" si="299"/>
        <v>TRISULMIX INJECTABLE</v>
      </c>
      <c r="ED512" t="e">
        <f>IF(IF(EL$2="Catégorie",IF(EL$3="Toutes",SUMIFS('Étape 1 - à remplir'!$F$31:$F$400,'Étape 1 - à remplir'!$E$31:$E$400,MASQ2!EC512,'Étape 1 - à remplir'!$G$31:$G$400,"kg"),SUMIFS('Étape 1 - à remplir'!$F$31:$F$400,'Étape 1 - à remplir'!$E$31:$E$400,MASQ2!EC512,'Étape 1 - à remplir'!$C$31:$C$400,EL$3)),IF(EL$2="Âge",IF(EL$3="Tous",SUMIFS('Étape 1 - à remplir'!$F$31:$F$400,'Étape 1 - à remplir'!$E$31:$E$400,MASQ2!EC512,'Étape 1 - à remplir'!$G$31:$G$400,"kg"),SUMIFS('Étape 1 - à remplir'!$F$31:$F$400,'Étape 1 - à remplir'!$E$31:$E$400,MASQ2!EC512,'Étape 1 - à remplir'!$P$31:$P$400,EL$3,'Étape 1 - à remplir'!$G$31:$G$400,"kg")),IF(EL$2="Atelier",IF(EL$3="Tous",SUMIFS('Étape 1 - à remplir'!$F$31:$F$400,'Étape 1 - à remplir'!$E$31:$E$400,MASQ2!EC512,'Étape 1 - à remplir'!$G$31:$G$400,"kg"),SUMIFS('Étape 1 - à remplir'!$F$31:$F$400,'Étape 1 - à remplir'!$E$31:$E$400,MASQ2!EC512,'Étape 1 - à remplir'!$O$31:$O$400,EL$3,'Étape 1 - à remplir'!$G$31:$G$400,"kg")),IF(EL$2="Espèce",IF(EL$3="Toutes",SUMIFS('Étape 1 - à remplir'!$F$31:$F$400,'Étape 1 - à remplir'!$E$31:$E$400,MASQ2!EC512,'Étape 1 - à remplir'!$G$31:$G$400,"kg"),SUMIFS('Étape 1 - à remplir'!$F$31:$F$400,'Étape 1 - à remplir'!$E$31:$E$400,MASQ2!EC512,'Étape 1 - à remplir'!$N$31:$N$400,EL$3,'Étape 1 - à remplir'!$G$31:$G$400,"kg"))))))=0,NA(),IF(EL$2="Catégorie",IF(EL$3="Toutes",SUMIFS('Étape 1 - à remplir'!$F$31:$F$400,'Étape 1 - à remplir'!$E$31:$E$400,MASQ2!EC512,'Étape 1 - à remplir'!$G$31:$G$400,"kg"),SUMIFS('Étape 1 - à remplir'!$F$31:$F$400,'Étape 1 - à remplir'!$E$31:$E$400,MASQ2!EC512,'Étape 1 - à remplir'!$C$31:$C$400,EL$3)),IF(EL$2="Âge",IF(EL$3="Tous",SUMIFS('Étape 1 - à remplir'!$F$31:$F$400,'Étape 1 - à remplir'!$E$31:$E$400,MASQ2!EC512,'Étape 1 - à remplir'!$G$31:$G$400,"kg"),SUMIFS('Étape 1 - à remplir'!$F$31:$F$400,'Étape 1 - à remplir'!$E$31:$E$400,MASQ2!EC512,'Étape 1 - à remplir'!$P$31:$P$400,EL$3,'Étape 1 - à remplir'!$G$31:$G$400,"kg")),IF(EL$2="Atelier",IF(EL$3="Tous",SUMIFS('Étape 1 - à remplir'!$F$31:$F$400,'Étape 1 - à remplir'!$E$31:$E$400,MASQ2!EC512,'Étape 1 - à remplir'!$G$31:$G$400,"kg"),SUMIFS('Étape 1 - à remplir'!$F$31:$F$400,'Étape 1 - à remplir'!$E$31:$E$400,MASQ2!EC512,'Étape 1 - à remplir'!$O$31:$O$400,EL$3,'Étape 1 - à remplir'!$G$31:$G$400,"kg")),IF(EL$2="Espèce",IF(EL$3="Toutes",SUMIFS('Étape 1 - à remplir'!$F$31:$F$400,'Étape 1 - à remplir'!$E$31:$E$400,MASQ2!EC512,'Étape 1 - à remplir'!$G$31:$G$400,"kg"),SUMIFS('Étape 1 - à remplir'!$F$31:$F$400,'Étape 1 - à remplir'!$E$31:$E$400,MASQ2!EC512,'Étape 1 - à remplir'!$N$31:$N$400,EL$3,'Étape 1 - à remplir'!$G$31:$G$400,"kg")))))))</f>
        <v>#N/A</v>
      </c>
      <c r="EE512" s="76">
        <f t="shared" si="309"/>
        <v>0</v>
      </c>
      <c r="EF512" t="str">
        <f t="shared" si="300"/>
        <v>Sulfadiméthoxine</v>
      </c>
      <c r="EG512" t="str">
        <f t="shared" si="301"/>
        <v>Triméthoprime</v>
      </c>
      <c r="EH512" t="str">
        <f t="shared" si="302"/>
        <v/>
      </c>
      <c r="EI512" t="str">
        <f t="shared" si="303"/>
        <v>Sulfamides</v>
      </c>
      <c r="EJ512" t="str">
        <f t="shared" si="304"/>
        <v>Trimethoprime</v>
      </c>
      <c r="EK512" s="63" t="str">
        <f t="shared" si="305"/>
        <v/>
      </c>
      <c r="EN512" s="42">
        <v>509</v>
      </c>
      <c r="EO512" t="e">
        <f t="shared" si="311"/>
        <v>#N/A</v>
      </c>
      <c r="EP512" s="63" t="e">
        <f t="shared" si="312"/>
        <v>#N/A</v>
      </c>
    </row>
    <row r="513" spans="13:146" x14ac:dyDescent="0.3">
      <c r="M513" s="194" t="str">
        <f ca="1">INDEX(Données_ATB!BD:BU,MATCH(MASQ2!O513,Données_ATB!BD:BD,0),18)</f>
        <v/>
      </c>
      <c r="N513" s="14" t="str">
        <f>IFERROR(IF(Q513=0,"",COUNTIF(Q$4:Q$600,"&gt;"&amp;Q513)+COUNTIF(Q$4:Q513,Q513)),"")</f>
        <v/>
      </c>
      <c r="O513" t="str">
        <f>Données_ATB!BD512</f>
        <v>TRISULMIX LIQUIDE</v>
      </c>
      <c r="P513" t="e">
        <f>IF(IF(X$2="Catégorie",IF(X$3="Toutes",SUMIFS('Étape 1 - à remplir'!$F$31:$F$400,'Étape 1 - à remplir'!$E$31:$E$400,MASQ2!O513,'Étape 1 - à remplir'!$G$31:$G$400,"animaux"),SUMIFS('Étape 1 - à remplir'!$F$31:$F$400,'Étape 1 - à remplir'!$E$31:$E$400,MASQ2!O513,'Étape 1 - à remplir'!$C$31:$C$400,X$3)),IF(X$2="Âge",IF(X$3="Tous",SUMIFS('Étape 1 - à remplir'!$F$31:$F$400,'Étape 1 - à remplir'!$E$31:$E$400,MASQ2!O513,'Étape 1 - à remplir'!$G$31:$G$400,"animaux"),SUMIFS('Étape 1 - à remplir'!$F$31:$F$400,'Étape 1 - à remplir'!$E$31:$E$400,MASQ2!O513,'Étape 1 - à remplir'!$P$31:$P$400,X$3)),IF(X$2="Atelier",IF(X$3="Tous",SUMIFS('Étape 1 - à remplir'!$F$31:$F$400,'Étape 1 - à remplir'!$E$31:$E$400,MASQ2!O513,'Étape 1 - à remplir'!$G$31:$G$400,"animaux"),SUMIFS('Étape 1 - à remplir'!$F$31:$F$400,'Étape 1 - à remplir'!$E$31:$E$400,MASQ2!O513,'Étape 1 - à remplir'!$O$31:$O$400,X$3)),IF(X$2="Espèce",IF(X$3="Toutes",SUMIFS('Étape 1 - à remplir'!$F$31:$F$400,'Étape 1 - à remplir'!$E$31:$E$400,MASQ2!O513,'Étape 1 - à remplir'!$G$31:$G$400,"animaux"),SUMIFS('Étape 1 - à remplir'!$F$31:$F$400,'Étape 1 - à remplir'!$E$31:$E$400,MASQ2!O513,'Étape 1 - à remplir'!$N$31:$N$400,X$3))))))=0,NA(),IF(X$2="Catégorie",IF(X$3="Toutes",SUMIFS('Étape 1 - à remplir'!$F$31:$F$400,'Étape 1 - à remplir'!$E$31:$E$400,MASQ2!O513,'Étape 1 - à remplir'!$G$31:$G$400,"animaux"),SUMIFS('Étape 1 - à remplir'!$F$31:$F$400,'Étape 1 - à remplir'!$E$31:$E$400,MASQ2!O513,'Étape 1 - à remplir'!$C$31:$C$400,X$3)),IF(X$2="Âge",IF(X$3="Tous",SUMIFS('Étape 1 - à remplir'!$F$31:$F$400,'Étape 1 - à remplir'!$E$31:$E$400,MASQ2!O513,'Étape 1 - à remplir'!$G$31:$G$400,"animaux"),SUMIFS('Étape 1 - à remplir'!$F$31:$F$400,'Étape 1 - à remplir'!$E$31:$E$400,MASQ2!O513,'Étape 1 - à remplir'!$P$31:$P$400,X$3)),IF(X$2="Atelier",IF(X$3="Tous",SUMIFS('Étape 1 - à remplir'!$F$31:$F$400,'Étape 1 - à remplir'!$E$31:$E$400,MASQ2!O513,'Étape 1 - à remplir'!$G$31:$G$400,"animaux"),SUMIFS('Étape 1 - à remplir'!$F$31:$F$400,'Étape 1 - à remplir'!$E$31:$E$400,MASQ2!O513,'Étape 1 - à remplir'!$O$31:$O$400,X$3)),IF(X$2="Espèce",IF(X$3="Toutes",SUMIFS('Étape 1 - à remplir'!$F$31:$F$400,'Étape 1 - à remplir'!$E$31:$E$400,MASQ2!O513,'Étape 1 - à remplir'!$G$31:$G$400,"animaux"),SUMIFS('Étape 1 - à remplir'!$F$31:$F$400,'Étape 1 - à remplir'!$E$31:$E$400,MASQ2!O513,'Étape 1 - à remplir'!$N$31:$N$400,X$3)))))))</f>
        <v>#N/A</v>
      </c>
      <c r="Q513" s="63">
        <f t="shared" si="310"/>
        <v>0</v>
      </c>
      <c r="R513" t="str">
        <f>Données_ATB!BM512</f>
        <v>Sulfadiméthoxine</v>
      </c>
      <c r="S513" t="str">
        <f>Données_ATB!BN512</f>
        <v>Triméthoprime</v>
      </c>
      <c r="T513" s="63" t="str">
        <f>Données_ATB!BO512</f>
        <v/>
      </c>
      <c r="U513" s="42" t="str">
        <f>Données_ATB!BQ512</f>
        <v>Sulfamides</v>
      </c>
      <c r="V513" t="str">
        <f>Données_ATB!BR512</f>
        <v>Trimethoprime</v>
      </c>
      <c r="W513" s="63" t="str">
        <f>Données_ATB!BS512</f>
        <v/>
      </c>
      <c r="Z513" s="42">
        <v>510</v>
      </c>
      <c r="AA513" t="e">
        <f t="shared" si="306"/>
        <v>#N/A</v>
      </c>
      <c r="AB513" s="63" t="e">
        <f t="shared" si="307"/>
        <v>#N/A</v>
      </c>
      <c r="BT513" s="194" t="str">
        <f t="shared" ca="1" si="290"/>
        <v/>
      </c>
      <c r="BU513" s="219" t="str">
        <f>IFERROR(IF(BX513=0,"",COUNTIF(BX$4:BX$600,"&gt;"&amp;BX513)+COUNTIF(BX$4:BX513,BX513)),"")</f>
        <v/>
      </c>
      <c r="BV513" s="42" t="str">
        <f t="shared" si="291"/>
        <v>TRISULMIX LIQUIDE</v>
      </c>
      <c r="BW513" t="e">
        <f>IF(IF(CE$2="Catégorie",IF(CE$3="Toutes",SUMIFS('Étape 1 - à remplir'!$F$31:$F$400,'Étape 1 - à remplir'!$E$31:$E$400,MASQ2!BV513,'Étape 1 - à remplir'!$G$31:$G$400,"lots"),SUMIFS('Étape 1 - à remplir'!$F$31:$F$400,'Étape 1 - à remplir'!$E$31:$E$400,MASQ2!BV513,'Étape 1 - à remplir'!$C$31:$C$400,CE$3)),IF(CE$2="Âge",IF(CE$3="Tous",SUMIFS('Étape 1 - à remplir'!$F$31:$F$400,'Étape 1 - à remplir'!$E$31:$E$400,MASQ2!BV513,'Étape 1 - à remplir'!$G$31:$G$400,"lots"),SUMIFS('Étape 1 - à remplir'!$F$31:$F$400,'Étape 1 - à remplir'!$E$31:$E$400,MASQ2!BV513,'Étape 1 - à remplir'!$P$31:$P$400,CE$3,'Étape 1 - à remplir'!$G$31:$G$400,"lots")),IF(CE$2="Atelier",IF(CE$3="Tous",SUMIFS('Étape 1 - à remplir'!$F$31:$F$400,'Étape 1 - à remplir'!$E$31:$E$400,MASQ2!BV513,'Étape 1 - à remplir'!$G$31:$G$400,"lots"),SUMIFS('Étape 1 - à remplir'!$F$31:$F$400,'Étape 1 - à remplir'!$E$31:$E$400,MASQ2!BV513,'Étape 1 - à remplir'!$O$31:$O$400,CE$3,'Étape 1 - à remplir'!$G$31:$G$400,"lots")),IF(CE$2="Espèce",IF(CE$3="Toutes",SUMIFS('Étape 1 - à remplir'!$F$31:$F$400,'Étape 1 - à remplir'!$E$31:$E$400,MASQ2!BV513,'Étape 1 - à remplir'!$G$31:$G$400,"lots"),SUMIFS('Étape 1 - à remplir'!$F$31:$F$400,'Étape 1 - à remplir'!$E$31:$E$400,MASQ2!BV513,'Étape 1 - à remplir'!$N$31:$N$400,CE$3,'Étape 1 - à remplir'!$G$31:$G$400,"lots"))))))=0,NA(),IF(CE$2="Catégorie",IF(CE$3="Toutes",SUMIFS('Étape 1 - à remplir'!$F$31:$F$400,'Étape 1 - à remplir'!$E$31:$E$400,MASQ2!BV513,'Étape 1 - à remplir'!$G$31:$G$400,"lots"),SUMIFS('Étape 1 - à remplir'!$F$31:$F$400,'Étape 1 - à remplir'!$E$31:$E$400,MASQ2!BV513,'Étape 1 - à remplir'!$C$31:$C$400,CE$3)),IF(CE$2="Âge",IF(CE$3="Tous",SUMIFS('Étape 1 - à remplir'!$F$31:$F$400,'Étape 1 - à remplir'!$E$31:$E$400,MASQ2!BV513,'Étape 1 - à remplir'!$G$31:$G$400,"lots"),SUMIFS('Étape 1 - à remplir'!$F$31:$F$400,'Étape 1 - à remplir'!$E$31:$E$400,MASQ2!BV513,'Étape 1 - à remplir'!$P$31:$P$400,CE$3,'Étape 1 - à remplir'!$G$31:$G$400,"lots")),IF(CE$2="Atelier",IF(CE$3="Tous",SUMIFS('Étape 1 - à remplir'!$F$31:$F$400,'Étape 1 - à remplir'!$E$31:$E$400,MASQ2!BV513,'Étape 1 - à remplir'!$G$31:$G$400,"lots"),SUMIFS('Étape 1 - à remplir'!$F$31:$F$400,'Étape 1 - à remplir'!$E$31:$E$400,MASQ2!BV513,'Étape 1 - à remplir'!$O$31:$O$400,CE$3,'Étape 1 - à remplir'!$G$31:$G$400,"lots")),IF(CE$2="Espèce",IF(CE$3="Toutes",SUMIFS('Étape 1 - à remplir'!$F$31:$F$400,'Étape 1 - à remplir'!$E$31:$E$400,MASQ2!BV513,'Étape 1 - à remplir'!$G$31:$G$400,"lots"),SUMIFS('Étape 1 - à remplir'!$F$31:$F$400,'Étape 1 - à remplir'!$E$31:$E$400,MASQ2!BV513,'Étape 1 - à remplir'!$N$31:$N$400,CE$3,'Étape 1 - à remplir'!$G$31:$G$400,"lots")))))))</f>
        <v>#N/A</v>
      </c>
      <c r="BX513">
        <f t="shared" si="308"/>
        <v>0</v>
      </c>
      <c r="BY513" t="str">
        <f t="shared" si="292"/>
        <v>Sulfadiméthoxine</v>
      </c>
      <c r="BZ513" t="str">
        <f t="shared" si="293"/>
        <v>Triméthoprime</v>
      </c>
      <c r="CA513" t="str">
        <f t="shared" si="294"/>
        <v/>
      </c>
      <c r="CB513" t="str">
        <f t="shared" si="295"/>
        <v>Sulfamides</v>
      </c>
      <c r="CC513" t="str">
        <f t="shared" si="296"/>
        <v>Trimethoprime</v>
      </c>
      <c r="CD513" s="63" t="str">
        <f t="shared" si="297"/>
        <v/>
      </c>
      <c r="CG513" s="42">
        <v>510</v>
      </c>
      <c r="CH513" s="42" t="e">
        <f t="shared" si="313"/>
        <v>#N/A</v>
      </c>
      <c r="CI513" s="63" t="e">
        <f t="shared" si="314"/>
        <v>#N/A</v>
      </c>
      <c r="EA513" s="194" t="str">
        <f t="shared" ca="1" si="298"/>
        <v/>
      </c>
      <c r="EB513" s="226" t="str">
        <f>IFERROR(IF(ED513=0,"",COUNTIF(ED$4:ED$600,"&gt;"&amp;ED513)+COUNTIF(ED$4:ED513,ED513)),"")</f>
        <v/>
      </c>
      <c r="EC513" t="str">
        <f t="shared" si="299"/>
        <v>TRISULMIX LIQUIDE</v>
      </c>
      <c r="ED513" t="e">
        <f>IF(IF(EL$2="Catégorie",IF(EL$3="Toutes",SUMIFS('Étape 1 - à remplir'!$F$31:$F$400,'Étape 1 - à remplir'!$E$31:$E$400,MASQ2!EC513,'Étape 1 - à remplir'!$G$31:$G$400,"kg"),SUMIFS('Étape 1 - à remplir'!$F$31:$F$400,'Étape 1 - à remplir'!$E$31:$E$400,MASQ2!EC513,'Étape 1 - à remplir'!$C$31:$C$400,EL$3)),IF(EL$2="Âge",IF(EL$3="Tous",SUMIFS('Étape 1 - à remplir'!$F$31:$F$400,'Étape 1 - à remplir'!$E$31:$E$400,MASQ2!EC513,'Étape 1 - à remplir'!$G$31:$G$400,"kg"),SUMIFS('Étape 1 - à remplir'!$F$31:$F$400,'Étape 1 - à remplir'!$E$31:$E$400,MASQ2!EC513,'Étape 1 - à remplir'!$P$31:$P$400,EL$3,'Étape 1 - à remplir'!$G$31:$G$400,"kg")),IF(EL$2="Atelier",IF(EL$3="Tous",SUMIFS('Étape 1 - à remplir'!$F$31:$F$400,'Étape 1 - à remplir'!$E$31:$E$400,MASQ2!EC513,'Étape 1 - à remplir'!$G$31:$G$400,"kg"),SUMIFS('Étape 1 - à remplir'!$F$31:$F$400,'Étape 1 - à remplir'!$E$31:$E$400,MASQ2!EC513,'Étape 1 - à remplir'!$O$31:$O$400,EL$3,'Étape 1 - à remplir'!$G$31:$G$400,"kg")),IF(EL$2="Espèce",IF(EL$3="Toutes",SUMIFS('Étape 1 - à remplir'!$F$31:$F$400,'Étape 1 - à remplir'!$E$31:$E$400,MASQ2!EC513,'Étape 1 - à remplir'!$G$31:$G$400,"kg"),SUMIFS('Étape 1 - à remplir'!$F$31:$F$400,'Étape 1 - à remplir'!$E$31:$E$400,MASQ2!EC513,'Étape 1 - à remplir'!$N$31:$N$400,EL$3,'Étape 1 - à remplir'!$G$31:$G$400,"kg"))))))=0,NA(),IF(EL$2="Catégorie",IF(EL$3="Toutes",SUMIFS('Étape 1 - à remplir'!$F$31:$F$400,'Étape 1 - à remplir'!$E$31:$E$400,MASQ2!EC513,'Étape 1 - à remplir'!$G$31:$G$400,"kg"),SUMIFS('Étape 1 - à remplir'!$F$31:$F$400,'Étape 1 - à remplir'!$E$31:$E$400,MASQ2!EC513,'Étape 1 - à remplir'!$C$31:$C$400,EL$3)),IF(EL$2="Âge",IF(EL$3="Tous",SUMIFS('Étape 1 - à remplir'!$F$31:$F$400,'Étape 1 - à remplir'!$E$31:$E$400,MASQ2!EC513,'Étape 1 - à remplir'!$G$31:$G$400,"kg"),SUMIFS('Étape 1 - à remplir'!$F$31:$F$400,'Étape 1 - à remplir'!$E$31:$E$400,MASQ2!EC513,'Étape 1 - à remplir'!$P$31:$P$400,EL$3,'Étape 1 - à remplir'!$G$31:$G$400,"kg")),IF(EL$2="Atelier",IF(EL$3="Tous",SUMIFS('Étape 1 - à remplir'!$F$31:$F$400,'Étape 1 - à remplir'!$E$31:$E$400,MASQ2!EC513,'Étape 1 - à remplir'!$G$31:$G$400,"kg"),SUMIFS('Étape 1 - à remplir'!$F$31:$F$400,'Étape 1 - à remplir'!$E$31:$E$400,MASQ2!EC513,'Étape 1 - à remplir'!$O$31:$O$400,EL$3,'Étape 1 - à remplir'!$G$31:$G$400,"kg")),IF(EL$2="Espèce",IF(EL$3="Toutes",SUMIFS('Étape 1 - à remplir'!$F$31:$F$400,'Étape 1 - à remplir'!$E$31:$E$400,MASQ2!EC513,'Étape 1 - à remplir'!$G$31:$G$400,"kg"),SUMIFS('Étape 1 - à remplir'!$F$31:$F$400,'Étape 1 - à remplir'!$E$31:$E$400,MASQ2!EC513,'Étape 1 - à remplir'!$N$31:$N$400,EL$3,'Étape 1 - à remplir'!$G$31:$G$400,"kg")))))))</f>
        <v>#N/A</v>
      </c>
      <c r="EE513" s="76">
        <f t="shared" si="309"/>
        <v>0</v>
      </c>
      <c r="EF513" t="str">
        <f t="shared" si="300"/>
        <v>Sulfadiméthoxine</v>
      </c>
      <c r="EG513" t="str">
        <f t="shared" si="301"/>
        <v>Triméthoprime</v>
      </c>
      <c r="EH513" t="str">
        <f t="shared" si="302"/>
        <v/>
      </c>
      <c r="EI513" t="str">
        <f t="shared" si="303"/>
        <v>Sulfamides</v>
      </c>
      <c r="EJ513" t="str">
        <f t="shared" si="304"/>
        <v>Trimethoprime</v>
      </c>
      <c r="EK513" s="63" t="str">
        <f t="shared" si="305"/>
        <v/>
      </c>
      <c r="EN513" s="42">
        <v>510</v>
      </c>
      <c r="EO513" t="e">
        <f t="shared" si="311"/>
        <v>#N/A</v>
      </c>
      <c r="EP513" s="63" t="e">
        <f t="shared" si="312"/>
        <v>#N/A</v>
      </c>
    </row>
    <row r="514" spans="13:146" x14ac:dyDescent="0.3">
      <c r="M514" s="194" t="str">
        <f ca="1">INDEX(Données_ATB!BD:BU,MATCH(MASQ2!O514,Données_ATB!BD:BD,0),18)</f>
        <v/>
      </c>
      <c r="N514" s="14" t="str">
        <f>IFERROR(IF(Q514=0,"",COUNTIF(Q$4:Q$600,"&gt;"&amp;Q514)+COUNTIF(Q$4:Q514,Q514)),"")</f>
        <v/>
      </c>
      <c r="O514" t="str">
        <f>Données_ATB!BD513</f>
        <v>TRISULMIX POUDRE</v>
      </c>
      <c r="P514" t="e">
        <f>IF(IF(X$2="Catégorie",IF(X$3="Toutes",SUMIFS('Étape 1 - à remplir'!$F$31:$F$400,'Étape 1 - à remplir'!$E$31:$E$400,MASQ2!O514,'Étape 1 - à remplir'!$G$31:$G$400,"animaux"),SUMIFS('Étape 1 - à remplir'!$F$31:$F$400,'Étape 1 - à remplir'!$E$31:$E$400,MASQ2!O514,'Étape 1 - à remplir'!$C$31:$C$400,X$3)),IF(X$2="Âge",IF(X$3="Tous",SUMIFS('Étape 1 - à remplir'!$F$31:$F$400,'Étape 1 - à remplir'!$E$31:$E$400,MASQ2!O514,'Étape 1 - à remplir'!$G$31:$G$400,"animaux"),SUMIFS('Étape 1 - à remplir'!$F$31:$F$400,'Étape 1 - à remplir'!$E$31:$E$400,MASQ2!O514,'Étape 1 - à remplir'!$P$31:$P$400,X$3)),IF(X$2="Atelier",IF(X$3="Tous",SUMIFS('Étape 1 - à remplir'!$F$31:$F$400,'Étape 1 - à remplir'!$E$31:$E$400,MASQ2!O514,'Étape 1 - à remplir'!$G$31:$G$400,"animaux"),SUMIFS('Étape 1 - à remplir'!$F$31:$F$400,'Étape 1 - à remplir'!$E$31:$E$400,MASQ2!O514,'Étape 1 - à remplir'!$O$31:$O$400,X$3)),IF(X$2="Espèce",IF(X$3="Toutes",SUMIFS('Étape 1 - à remplir'!$F$31:$F$400,'Étape 1 - à remplir'!$E$31:$E$400,MASQ2!O514,'Étape 1 - à remplir'!$G$31:$G$400,"animaux"),SUMIFS('Étape 1 - à remplir'!$F$31:$F$400,'Étape 1 - à remplir'!$E$31:$E$400,MASQ2!O514,'Étape 1 - à remplir'!$N$31:$N$400,X$3))))))=0,NA(),IF(X$2="Catégorie",IF(X$3="Toutes",SUMIFS('Étape 1 - à remplir'!$F$31:$F$400,'Étape 1 - à remplir'!$E$31:$E$400,MASQ2!O514,'Étape 1 - à remplir'!$G$31:$G$400,"animaux"),SUMIFS('Étape 1 - à remplir'!$F$31:$F$400,'Étape 1 - à remplir'!$E$31:$E$400,MASQ2!O514,'Étape 1 - à remplir'!$C$31:$C$400,X$3)),IF(X$2="Âge",IF(X$3="Tous",SUMIFS('Étape 1 - à remplir'!$F$31:$F$400,'Étape 1 - à remplir'!$E$31:$E$400,MASQ2!O514,'Étape 1 - à remplir'!$G$31:$G$400,"animaux"),SUMIFS('Étape 1 - à remplir'!$F$31:$F$400,'Étape 1 - à remplir'!$E$31:$E$400,MASQ2!O514,'Étape 1 - à remplir'!$P$31:$P$400,X$3)),IF(X$2="Atelier",IF(X$3="Tous",SUMIFS('Étape 1 - à remplir'!$F$31:$F$400,'Étape 1 - à remplir'!$E$31:$E$400,MASQ2!O514,'Étape 1 - à remplir'!$G$31:$G$400,"animaux"),SUMIFS('Étape 1 - à remplir'!$F$31:$F$400,'Étape 1 - à remplir'!$E$31:$E$400,MASQ2!O514,'Étape 1 - à remplir'!$O$31:$O$400,X$3)),IF(X$2="Espèce",IF(X$3="Toutes",SUMIFS('Étape 1 - à remplir'!$F$31:$F$400,'Étape 1 - à remplir'!$E$31:$E$400,MASQ2!O514,'Étape 1 - à remplir'!$G$31:$G$400,"animaux"),SUMIFS('Étape 1 - à remplir'!$F$31:$F$400,'Étape 1 - à remplir'!$E$31:$E$400,MASQ2!O514,'Étape 1 - à remplir'!$N$31:$N$400,X$3)))))))</f>
        <v>#N/A</v>
      </c>
      <c r="Q514" s="63">
        <f t="shared" si="310"/>
        <v>0</v>
      </c>
      <c r="R514" t="str">
        <f>Données_ATB!BM513</f>
        <v>Sulfadiméthoxine</v>
      </c>
      <c r="S514" t="str">
        <f>Données_ATB!BN513</f>
        <v>Triméthoprime</v>
      </c>
      <c r="T514" s="63" t="str">
        <f>Données_ATB!BO513</f>
        <v/>
      </c>
      <c r="U514" s="42" t="str">
        <f>Données_ATB!BQ513</f>
        <v>Sulfamides</v>
      </c>
      <c r="V514" t="str">
        <f>Données_ATB!BR513</f>
        <v>Trimethoprime</v>
      </c>
      <c r="W514" s="63" t="str">
        <f>Données_ATB!BS513</f>
        <v/>
      </c>
      <c r="Z514" s="42">
        <v>511</v>
      </c>
      <c r="AA514" t="e">
        <f t="shared" si="306"/>
        <v>#N/A</v>
      </c>
      <c r="AB514" s="63" t="e">
        <f t="shared" si="307"/>
        <v>#N/A</v>
      </c>
      <c r="BT514" s="194" t="str">
        <f t="shared" ca="1" si="290"/>
        <v/>
      </c>
      <c r="BU514" s="219" t="str">
        <f>IFERROR(IF(BX514=0,"",COUNTIF(BX$4:BX$600,"&gt;"&amp;BX514)+COUNTIF(BX$4:BX514,BX514)),"")</f>
        <v/>
      </c>
      <c r="BV514" s="42" t="str">
        <f t="shared" si="291"/>
        <v>TRISULMIX POUDRE</v>
      </c>
      <c r="BW514" t="e">
        <f>IF(IF(CE$2="Catégorie",IF(CE$3="Toutes",SUMIFS('Étape 1 - à remplir'!$F$31:$F$400,'Étape 1 - à remplir'!$E$31:$E$400,MASQ2!BV514,'Étape 1 - à remplir'!$G$31:$G$400,"lots"),SUMIFS('Étape 1 - à remplir'!$F$31:$F$400,'Étape 1 - à remplir'!$E$31:$E$400,MASQ2!BV514,'Étape 1 - à remplir'!$C$31:$C$400,CE$3)),IF(CE$2="Âge",IF(CE$3="Tous",SUMIFS('Étape 1 - à remplir'!$F$31:$F$400,'Étape 1 - à remplir'!$E$31:$E$400,MASQ2!BV514,'Étape 1 - à remplir'!$G$31:$G$400,"lots"),SUMIFS('Étape 1 - à remplir'!$F$31:$F$400,'Étape 1 - à remplir'!$E$31:$E$400,MASQ2!BV514,'Étape 1 - à remplir'!$P$31:$P$400,CE$3,'Étape 1 - à remplir'!$G$31:$G$400,"lots")),IF(CE$2="Atelier",IF(CE$3="Tous",SUMIFS('Étape 1 - à remplir'!$F$31:$F$400,'Étape 1 - à remplir'!$E$31:$E$400,MASQ2!BV514,'Étape 1 - à remplir'!$G$31:$G$400,"lots"),SUMIFS('Étape 1 - à remplir'!$F$31:$F$400,'Étape 1 - à remplir'!$E$31:$E$400,MASQ2!BV514,'Étape 1 - à remplir'!$O$31:$O$400,CE$3,'Étape 1 - à remplir'!$G$31:$G$400,"lots")),IF(CE$2="Espèce",IF(CE$3="Toutes",SUMIFS('Étape 1 - à remplir'!$F$31:$F$400,'Étape 1 - à remplir'!$E$31:$E$400,MASQ2!BV514,'Étape 1 - à remplir'!$G$31:$G$400,"lots"),SUMIFS('Étape 1 - à remplir'!$F$31:$F$400,'Étape 1 - à remplir'!$E$31:$E$400,MASQ2!BV514,'Étape 1 - à remplir'!$N$31:$N$400,CE$3,'Étape 1 - à remplir'!$G$31:$G$400,"lots"))))))=0,NA(),IF(CE$2="Catégorie",IF(CE$3="Toutes",SUMIFS('Étape 1 - à remplir'!$F$31:$F$400,'Étape 1 - à remplir'!$E$31:$E$400,MASQ2!BV514,'Étape 1 - à remplir'!$G$31:$G$400,"lots"),SUMIFS('Étape 1 - à remplir'!$F$31:$F$400,'Étape 1 - à remplir'!$E$31:$E$400,MASQ2!BV514,'Étape 1 - à remplir'!$C$31:$C$400,CE$3)),IF(CE$2="Âge",IF(CE$3="Tous",SUMIFS('Étape 1 - à remplir'!$F$31:$F$400,'Étape 1 - à remplir'!$E$31:$E$400,MASQ2!BV514,'Étape 1 - à remplir'!$G$31:$G$400,"lots"),SUMIFS('Étape 1 - à remplir'!$F$31:$F$400,'Étape 1 - à remplir'!$E$31:$E$400,MASQ2!BV514,'Étape 1 - à remplir'!$P$31:$P$400,CE$3,'Étape 1 - à remplir'!$G$31:$G$400,"lots")),IF(CE$2="Atelier",IF(CE$3="Tous",SUMIFS('Étape 1 - à remplir'!$F$31:$F$400,'Étape 1 - à remplir'!$E$31:$E$400,MASQ2!BV514,'Étape 1 - à remplir'!$G$31:$G$400,"lots"),SUMIFS('Étape 1 - à remplir'!$F$31:$F$400,'Étape 1 - à remplir'!$E$31:$E$400,MASQ2!BV514,'Étape 1 - à remplir'!$O$31:$O$400,CE$3,'Étape 1 - à remplir'!$G$31:$G$400,"lots")),IF(CE$2="Espèce",IF(CE$3="Toutes",SUMIFS('Étape 1 - à remplir'!$F$31:$F$400,'Étape 1 - à remplir'!$E$31:$E$400,MASQ2!BV514,'Étape 1 - à remplir'!$G$31:$G$400,"lots"),SUMIFS('Étape 1 - à remplir'!$F$31:$F$400,'Étape 1 - à remplir'!$E$31:$E$400,MASQ2!BV514,'Étape 1 - à remplir'!$N$31:$N$400,CE$3,'Étape 1 - à remplir'!$G$31:$G$400,"lots")))))))</f>
        <v>#N/A</v>
      </c>
      <c r="BX514">
        <f t="shared" si="308"/>
        <v>0</v>
      </c>
      <c r="BY514" t="str">
        <f t="shared" si="292"/>
        <v>Sulfadiméthoxine</v>
      </c>
      <c r="BZ514" t="str">
        <f t="shared" si="293"/>
        <v>Triméthoprime</v>
      </c>
      <c r="CA514" t="str">
        <f t="shared" si="294"/>
        <v/>
      </c>
      <c r="CB514" t="str">
        <f t="shared" si="295"/>
        <v>Sulfamides</v>
      </c>
      <c r="CC514" t="str">
        <f t="shared" si="296"/>
        <v>Trimethoprime</v>
      </c>
      <c r="CD514" s="63" t="str">
        <f t="shared" si="297"/>
        <v/>
      </c>
      <c r="CG514" s="42">
        <v>511</v>
      </c>
      <c r="CH514" s="42" t="e">
        <f t="shared" si="313"/>
        <v>#N/A</v>
      </c>
      <c r="CI514" s="63" t="e">
        <f t="shared" si="314"/>
        <v>#N/A</v>
      </c>
      <c r="EA514" s="194" t="str">
        <f t="shared" ca="1" si="298"/>
        <v/>
      </c>
      <c r="EB514" s="226" t="str">
        <f>IFERROR(IF(ED514=0,"",COUNTIF(ED$4:ED$600,"&gt;"&amp;ED514)+COUNTIF(ED$4:ED514,ED514)),"")</f>
        <v/>
      </c>
      <c r="EC514" t="str">
        <f t="shared" si="299"/>
        <v>TRISULMIX POUDRE</v>
      </c>
      <c r="ED514" t="e">
        <f>IF(IF(EL$2="Catégorie",IF(EL$3="Toutes",SUMIFS('Étape 1 - à remplir'!$F$31:$F$400,'Étape 1 - à remplir'!$E$31:$E$400,MASQ2!EC514,'Étape 1 - à remplir'!$G$31:$G$400,"kg"),SUMIFS('Étape 1 - à remplir'!$F$31:$F$400,'Étape 1 - à remplir'!$E$31:$E$400,MASQ2!EC514,'Étape 1 - à remplir'!$C$31:$C$400,EL$3)),IF(EL$2="Âge",IF(EL$3="Tous",SUMIFS('Étape 1 - à remplir'!$F$31:$F$400,'Étape 1 - à remplir'!$E$31:$E$400,MASQ2!EC514,'Étape 1 - à remplir'!$G$31:$G$400,"kg"),SUMIFS('Étape 1 - à remplir'!$F$31:$F$400,'Étape 1 - à remplir'!$E$31:$E$400,MASQ2!EC514,'Étape 1 - à remplir'!$P$31:$P$400,EL$3,'Étape 1 - à remplir'!$G$31:$G$400,"kg")),IF(EL$2="Atelier",IF(EL$3="Tous",SUMIFS('Étape 1 - à remplir'!$F$31:$F$400,'Étape 1 - à remplir'!$E$31:$E$400,MASQ2!EC514,'Étape 1 - à remplir'!$G$31:$G$400,"kg"),SUMIFS('Étape 1 - à remplir'!$F$31:$F$400,'Étape 1 - à remplir'!$E$31:$E$400,MASQ2!EC514,'Étape 1 - à remplir'!$O$31:$O$400,EL$3,'Étape 1 - à remplir'!$G$31:$G$400,"kg")),IF(EL$2="Espèce",IF(EL$3="Toutes",SUMIFS('Étape 1 - à remplir'!$F$31:$F$400,'Étape 1 - à remplir'!$E$31:$E$400,MASQ2!EC514,'Étape 1 - à remplir'!$G$31:$G$400,"kg"),SUMIFS('Étape 1 - à remplir'!$F$31:$F$400,'Étape 1 - à remplir'!$E$31:$E$400,MASQ2!EC514,'Étape 1 - à remplir'!$N$31:$N$400,EL$3,'Étape 1 - à remplir'!$G$31:$G$400,"kg"))))))=0,NA(),IF(EL$2="Catégorie",IF(EL$3="Toutes",SUMIFS('Étape 1 - à remplir'!$F$31:$F$400,'Étape 1 - à remplir'!$E$31:$E$400,MASQ2!EC514,'Étape 1 - à remplir'!$G$31:$G$400,"kg"),SUMIFS('Étape 1 - à remplir'!$F$31:$F$400,'Étape 1 - à remplir'!$E$31:$E$400,MASQ2!EC514,'Étape 1 - à remplir'!$C$31:$C$400,EL$3)),IF(EL$2="Âge",IF(EL$3="Tous",SUMIFS('Étape 1 - à remplir'!$F$31:$F$400,'Étape 1 - à remplir'!$E$31:$E$400,MASQ2!EC514,'Étape 1 - à remplir'!$G$31:$G$400,"kg"),SUMIFS('Étape 1 - à remplir'!$F$31:$F$400,'Étape 1 - à remplir'!$E$31:$E$400,MASQ2!EC514,'Étape 1 - à remplir'!$P$31:$P$400,EL$3,'Étape 1 - à remplir'!$G$31:$G$400,"kg")),IF(EL$2="Atelier",IF(EL$3="Tous",SUMIFS('Étape 1 - à remplir'!$F$31:$F$400,'Étape 1 - à remplir'!$E$31:$E$400,MASQ2!EC514,'Étape 1 - à remplir'!$G$31:$G$400,"kg"),SUMIFS('Étape 1 - à remplir'!$F$31:$F$400,'Étape 1 - à remplir'!$E$31:$E$400,MASQ2!EC514,'Étape 1 - à remplir'!$O$31:$O$400,EL$3,'Étape 1 - à remplir'!$G$31:$G$400,"kg")),IF(EL$2="Espèce",IF(EL$3="Toutes",SUMIFS('Étape 1 - à remplir'!$F$31:$F$400,'Étape 1 - à remplir'!$E$31:$E$400,MASQ2!EC514,'Étape 1 - à remplir'!$G$31:$G$400,"kg"),SUMIFS('Étape 1 - à remplir'!$F$31:$F$400,'Étape 1 - à remplir'!$E$31:$E$400,MASQ2!EC514,'Étape 1 - à remplir'!$N$31:$N$400,EL$3,'Étape 1 - à remplir'!$G$31:$G$400,"kg")))))))</f>
        <v>#N/A</v>
      </c>
      <c r="EE514" s="76">
        <f t="shared" si="309"/>
        <v>0</v>
      </c>
      <c r="EF514" t="str">
        <f t="shared" si="300"/>
        <v>Sulfadiméthoxine</v>
      </c>
      <c r="EG514" t="str">
        <f t="shared" si="301"/>
        <v>Triméthoprime</v>
      </c>
      <c r="EH514" t="str">
        <f t="shared" si="302"/>
        <v/>
      </c>
      <c r="EI514" t="str">
        <f t="shared" si="303"/>
        <v>Sulfamides</v>
      </c>
      <c r="EJ514" t="str">
        <f t="shared" si="304"/>
        <v>Trimethoprime</v>
      </c>
      <c r="EK514" s="63" t="str">
        <f t="shared" si="305"/>
        <v/>
      </c>
      <c r="EN514" s="42">
        <v>511</v>
      </c>
      <c r="EO514" t="e">
        <f t="shared" si="311"/>
        <v>#N/A</v>
      </c>
      <c r="EP514" s="63" t="e">
        <f t="shared" si="312"/>
        <v>#N/A</v>
      </c>
    </row>
    <row r="515" spans="13:146" x14ac:dyDescent="0.3">
      <c r="M515" s="194" t="str">
        <f ca="1">INDEX(Données_ATB!BD:BU,MATCH(MASQ2!O515,Données_ATB!BD:BD,0),18)</f>
        <v>x</v>
      </c>
      <c r="N515" s="14" t="str">
        <f>IFERROR(IF(Q515=0,"",COUNTIF(Q$4:Q$600,"&gt;"&amp;Q515)+COUNTIF(Q$4:Q515,Q515)),"")</f>
        <v/>
      </c>
      <c r="O515" t="str">
        <f>Données_ATB!BD514</f>
        <v>TRULEVA FLOW 50 MG/ML SUSPENSION INJECTABLE POUR PORCINS ET BOVINS</v>
      </c>
      <c r="P515" t="e">
        <f>IF(IF(X$2="Catégorie",IF(X$3="Toutes",SUMIFS('Étape 1 - à remplir'!$F$31:$F$400,'Étape 1 - à remplir'!$E$31:$E$400,MASQ2!O515,'Étape 1 - à remplir'!$G$31:$G$400,"animaux"),SUMIFS('Étape 1 - à remplir'!$F$31:$F$400,'Étape 1 - à remplir'!$E$31:$E$400,MASQ2!O515,'Étape 1 - à remplir'!$C$31:$C$400,X$3)),IF(X$2="Âge",IF(X$3="Tous",SUMIFS('Étape 1 - à remplir'!$F$31:$F$400,'Étape 1 - à remplir'!$E$31:$E$400,MASQ2!O515,'Étape 1 - à remplir'!$G$31:$G$400,"animaux"),SUMIFS('Étape 1 - à remplir'!$F$31:$F$400,'Étape 1 - à remplir'!$E$31:$E$400,MASQ2!O515,'Étape 1 - à remplir'!$P$31:$P$400,X$3)),IF(X$2="Atelier",IF(X$3="Tous",SUMIFS('Étape 1 - à remplir'!$F$31:$F$400,'Étape 1 - à remplir'!$E$31:$E$400,MASQ2!O515,'Étape 1 - à remplir'!$G$31:$G$400,"animaux"),SUMIFS('Étape 1 - à remplir'!$F$31:$F$400,'Étape 1 - à remplir'!$E$31:$E$400,MASQ2!O515,'Étape 1 - à remplir'!$O$31:$O$400,X$3)),IF(X$2="Espèce",IF(X$3="Toutes",SUMIFS('Étape 1 - à remplir'!$F$31:$F$400,'Étape 1 - à remplir'!$E$31:$E$400,MASQ2!O515,'Étape 1 - à remplir'!$G$31:$G$400,"animaux"),SUMIFS('Étape 1 - à remplir'!$F$31:$F$400,'Étape 1 - à remplir'!$E$31:$E$400,MASQ2!O515,'Étape 1 - à remplir'!$N$31:$N$400,X$3))))))=0,NA(),IF(X$2="Catégorie",IF(X$3="Toutes",SUMIFS('Étape 1 - à remplir'!$F$31:$F$400,'Étape 1 - à remplir'!$E$31:$E$400,MASQ2!O515,'Étape 1 - à remplir'!$G$31:$G$400,"animaux"),SUMIFS('Étape 1 - à remplir'!$F$31:$F$400,'Étape 1 - à remplir'!$E$31:$E$400,MASQ2!O515,'Étape 1 - à remplir'!$C$31:$C$400,X$3)),IF(X$2="Âge",IF(X$3="Tous",SUMIFS('Étape 1 - à remplir'!$F$31:$F$400,'Étape 1 - à remplir'!$E$31:$E$400,MASQ2!O515,'Étape 1 - à remplir'!$G$31:$G$400,"animaux"),SUMIFS('Étape 1 - à remplir'!$F$31:$F$400,'Étape 1 - à remplir'!$E$31:$E$400,MASQ2!O515,'Étape 1 - à remplir'!$P$31:$P$400,X$3)),IF(X$2="Atelier",IF(X$3="Tous",SUMIFS('Étape 1 - à remplir'!$F$31:$F$400,'Étape 1 - à remplir'!$E$31:$E$400,MASQ2!O515,'Étape 1 - à remplir'!$G$31:$G$400,"animaux"),SUMIFS('Étape 1 - à remplir'!$F$31:$F$400,'Étape 1 - à remplir'!$E$31:$E$400,MASQ2!O515,'Étape 1 - à remplir'!$O$31:$O$400,X$3)),IF(X$2="Espèce",IF(X$3="Toutes",SUMIFS('Étape 1 - à remplir'!$F$31:$F$400,'Étape 1 - à remplir'!$E$31:$E$400,MASQ2!O515,'Étape 1 - à remplir'!$G$31:$G$400,"animaux"),SUMIFS('Étape 1 - à remplir'!$F$31:$F$400,'Étape 1 - à remplir'!$E$31:$E$400,MASQ2!O515,'Étape 1 - à remplir'!$N$31:$N$400,X$3)))))))</f>
        <v>#N/A</v>
      </c>
      <c r="Q515" s="63">
        <f t="shared" si="310"/>
        <v>0</v>
      </c>
      <c r="R515" t="str">
        <f>Données_ATB!BM514</f>
        <v>Ceftiofur</v>
      </c>
      <c r="S515" t="str">
        <f>Données_ATB!BN514</f>
        <v/>
      </c>
      <c r="T515" s="63" t="str">
        <f>Données_ATB!BO514</f>
        <v/>
      </c>
      <c r="U515" s="42" t="str">
        <f>Données_ATB!BQ514</f>
        <v>Cephalosporines 3&amp;4G</v>
      </c>
      <c r="V515" t="str">
        <f>Données_ATB!BR514</f>
        <v/>
      </c>
      <c r="W515" s="63" t="str">
        <f>Données_ATB!BS514</f>
        <v/>
      </c>
      <c r="Z515" s="42">
        <v>512</v>
      </c>
      <c r="AA515" t="e">
        <f t="shared" si="306"/>
        <v>#N/A</v>
      </c>
      <c r="AB515" s="63" t="e">
        <f t="shared" si="307"/>
        <v>#N/A</v>
      </c>
      <c r="BT515" s="194" t="str">
        <f t="shared" ca="1" si="290"/>
        <v>x</v>
      </c>
      <c r="BU515" s="219" t="str">
        <f>IFERROR(IF(BX515=0,"",COUNTIF(BX$4:BX$600,"&gt;"&amp;BX515)+COUNTIF(BX$4:BX515,BX515)),"")</f>
        <v/>
      </c>
      <c r="BV515" s="42" t="str">
        <f t="shared" si="291"/>
        <v>TRULEVA FLOW 50 MG/ML SUSPENSION INJECTABLE POUR PORCINS ET BOVINS</v>
      </c>
      <c r="BW515" t="e">
        <f>IF(IF(CE$2="Catégorie",IF(CE$3="Toutes",SUMIFS('Étape 1 - à remplir'!$F$31:$F$400,'Étape 1 - à remplir'!$E$31:$E$400,MASQ2!BV515,'Étape 1 - à remplir'!$G$31:$G$400,"lots"),SUMIFS('Étape 1 - à remplir'!$F$31:$F$400,'Étape 1 - à remplir'!$E$31:$E$400,MASQ2!BV515,'Étape 1 - à remplir'!$C$31:$C$400,CE$3)),IF(CE$2="Âge",IF(CE$3="Tous",SUMIFS('Étape 1 - à remplir'!$F$31:$F$400,'Étape 1 - à remplir'!$E$31:$E$400,MASQ2!BV515,'Étape 1 - à remplir'!$G$31:$G$400,"lots"),SUMIFS('Étape 1 - à remplir'!$F$31:$F$400,'Étape 1 - à remplir'!$E$31:$E$400,MASQ2!BV515,'Étape 1 - à remplir'!$P$31:$P$400,CE$3,'Étape 1 - à remplir'!$G$31:$G$400,"lots")),IF(CE$2="Atelier",IF(CE$3="Tous",SUMIFS('Étape 1 - à remplir'!$F$31:$F$400,'Étape 1 - à remplir'!$E$31:$E$400,MASQ2!BV515,'Étape 1 - à remplir'!$G$31:$G$400,"lots"),SUMIFS('Étape 1 - à remplir'!$F$31:$F$400,'Étape 1 - à remplir'!$E$31:$E$400,MASQ2!BV515,'Étape 1 - à remplir'!$O$31:$O$400,CE$3,'Étape 1 - à remplir'!$G$31:$G$400,"lots")),IF(CE$2="Espèce",IF(CE$3="Toutes",SUMIFS('Étape 1 - à remplir'!$F$31:$F$400,'Étape 1 - à remplir'!$E$31:$E$400,MASQ2!BV515,'Étape 1 - à remplir'!$G$31:$G$400,"lots"),SUMIFS('Étape 1 - à remplir'!$F$31:$F$400,'Étape 1 - à remplir'!$E$31:$E$400,MASQ2!BV515,'Étape 1 - à remplir'!$N$31:$N$400,CE$3,'Étape 1 - à remplir'!$G$31:$G$400,"lots"))))))=0,NA(),IF(CE$2="Catégorie",IF(CE$3="Toutes",SUMIFS('Étape 1 - à remplir'!$F$31:$F$400,'Étape 1 - à remplir'!$E$31:$E$400,MASQ2!BV515,'Étape 1 - à remplir'!$G$31:$G$400,"lots"),SUMIFS('Étape 1 - à remplir'!$F$31:$F$400,'Étape 1 - à remplir'!$E$31:$E$400,MASQ2!BV515,'Étape 1 - à remplir'!$C$31:$C$400,CE$3)),IF(CE$2="Âge",IF(CE$3="Tous",SUMIFS('Étape 1 - à remplir'!$F$31:$F$400,'Étape 1 - à remplir'!$E$31:$E$400,MASQ2!BV515,'Étape 1 - à remplir'!$G$31:$G$400,"lots"),SUMIFS('Étape 1 - à remplir'!$F$31:$F$400,'Étape 1 - à remplir'!$E$31:$E$400,MASQ2!BV515,'Étape 1 - à remplir'!$P$31:$P$400,CE$3,'Étape 1 - à remplir'!$G$31:$G$400,"lots")),IF(CE$2="Atelier",IF(CE$3="Tous",SUMIFS('Étape 1 - à remplir'!$F$31:$F$400,'Étape 1 - à remplir'!$E$31:$E$400,MASQ2!BV515,'Étape 1 - à remplir'!$G$31:$G$400,"lots"),SUMIFS('Étape 1 - à remplir'!$F$31:$F$400,'Étape 1 - à remplir'!$E$31:$E$400,MASQ2!BV515,'Étape 1 - à remplir'!$O$31:$O$400,CE$3,'Étape 1 - à remplir'!$G$31:$G$400,"lots")),IF(CE$2="Espèce",IF(CE$3="Toutes",SUMIFS('Étape 1 - à remplir'!$F$31:$F$400,'Étape 1 - à remplir'!$E$31:$E$400,MASQ2!BV515,'Étape 1 - à remplir'!$G$31:$G$400,"lots"),SUMIFS('Étape 1 - à remplir'!$F$31:$F$400,'Étape 1 - à remplir'!$E$31:$E$400,MASQ2!BV515,'Étape 1 - à remplir'!$N$31:$N$400,CE$3,'Étape 1 - à remplir'!$G$31:$G$400,"lots")))))))</f>
        <v>#N/A</v>
      </c>
      <c r="BX515">
        <f t="shared" si="308"/>
        <v>0</v>
      </c>
      <c r="BY515" t="str">
        <f t="shared" si="292"/>
        <v>Ceftiofur</v>
      </c>
      <c r="BZ515" t="str">
        <f t="shared" si="293"/>
        <v/>
      </c>
      <c r="CA515" t="str">
        <f t="shared" si="294"/>
        <v/>
      </c>
      <c r="CB515" t="str">
        <f t="shared" si="295"/>
        <v>Cephalosporines 3&amp;4G</v>
      </c>
      <c r="CC515" t="str">
        <f t="shared" si="296"/>
        <v/>
      </c>
      <c r="CD515" s="63" t="str">
        <f t="shared" si="297"/>
        <v/>
      </c>
      <c r="CG515" s="42">
        <v>512</v>
      </c>
      <c r="CH515" s="42" t="e">
        <f t="shared" si="313"/>
        <v>#N/A</v>
      </c>
      <c r="CI515" s="63" t="e">
        <f t="shared" si="314"/>
        <v>#N/A</v>
      </c>
      <c r="EA515" s="194" t="str">
        <f t="shared" ca="1" si="298"/>
        <v>x</v>
      </c>
      <c r="EB515" s="226" t="str">
        <f>IFERROR(IF(ED515=0,"",COUNTIF(ED$4:ED$600,"&gt;"&amp;ED515)+COUNTIF(ED$4:ED515,ED515)),"")</f>
        <v/>
      </c>
      <c r="EC515" t="str">
        <f t="shared" si="299"/>
        <v>TRULEVA FLOW 50 MG/ML SUSPENSION INJECTABLE POUR PORCINS ET BOVINS</v>
      </c>
      <c r="ED515" t="e">
        <f>IF(IF(EL$2="Catégorie",IF(EL$3="Toutes",SUMIFS('Étape 1 - à remplir'!$F$31:$F$400,'Étape 1 - à remplir'!$E$31:$E$400,MASQ2!EC515,'Étape 1 - à remplir'!$G$31:$G$400,"kg"),SUMIFS('Étape 1 - à remplir'!$F$31:$F$400,'Étape 1 - à remplir'!$E$31:$E$400,MASQ2!EC515,'Étape 1 - à remplir'!$C$31:$C$400,EL$3)),IF(EL$2="Âge",IF(EL$3="Tous",SUMIFS('Étape 1 - à remplir'!$F$31:$F$400,'Étape 1 - à remplir'!$E$31:$E$400,MASQ2!EC515,'Étape 1 - à remplir'!$G$31:$G$400,"kg"),SUMIFS('Étape 1 - à remplir'!$F$31:$F$400,'Étape 1 - à remplir'!$E$31:$E$400,MASQ2!EC515,'Étape 1 - à remplir'!$P$31:$P$400,EL$3,'Étape 1 - à remplir'!$G$31:$G$400,"kg")),IF(EL$2="Atelier",IF(EL$3="Tous",SUMIFS('Étape 1 - à remplir'!$F$31:$F$400,'Étape 1 - à remplir'!$E$31:$E$400,MASQ2!EC515,'Étape 1 - à remplir'!$G$31:$G$400,"kg"),SUMIFS('Étape 1 - à remplir'!$F$31:$F$400,'Étape 1 - à remplir'!$E$31:$E$400,MASQ2!EC515,'Étape 1 - à remplir'!$O$31:$O$400,EL$3,'Étape 1 - à remplir'!$G$31:$G$400,"kg")),IF(EL$2="Espèce",IF(EL$3="Toutes",SUMIFS('Étape 1 - à remplir'!$F$31:$F$400,'Étape 1 - à remplir'!$E$31:$E$400,MASQ2!EC515,'Étape 1 - à remplir'!$G$31:$G$400,"kg"),SUMIFS('Étape 1 - à remplir'!$F$31:$F$400,'Étape 1 - à remplir'!$E$31:$E$400,MASQ2!EC515,'Étape 1 - à remplir'!$N$31:$N$400,EL$3,'Étape 1 - à remplir'!$G$31:$G$400,"kg"))))))=0,NA(),IF(EL$2="Catégorie",IF(EL$3="Toutes",SUMIFS('Étape 1 - à remplir'!$F$31:$F$400,'Étape 1 - à remplir'!$E$31:$E$400,MASQ2!EC515,'Étape 1 - à remplir'!$G$31:$G$400,"kg"),SUMIFS('Étape 1 - à remplir'!$F$31:$F$400,'Étape 1 - à remplir'!$E$31:$E$400,MASQ2!EC515,'Étape 1 - à remplir'!$C$31:$C$400,EL$3)),IF(EL$2="Âge",IF(EL$3="Tous",SUMIFS('Étape 1 - à remplir'!$F$31:$F$400,'Étape 1 - à remplir'!$E$31:$E$400,MASQ2!EC515,'Étape 1 - à remplir'!$G$31:$G$400,"kg"),SUMIFS('Étape 1 - à remplir'!$F$31:$F$400,'Étape 1 - à remplir'!$E$31:$E$400,MASQ2!EC515,'Étape 1 - à remplir'!$P$31:$P$400,EL$3,'Étape 1 - à remplir'!$G$31:$G$400,"kg")),IF(EL$2="Atelier",IF(EL$3="Tous",SUMIFS('Étape 1 - à remplir'!$F$31:$F$400,'Étape 1 - à remplir'!$E$31:$E$400,MASQ2!EC515,'Étape 1 - à remplir'!$G$31:$G$400,"kg"),SUMIFS('Étape 1 - à remplir'!$F$31:$F$400,'Étape 1 - à remplir'!$E$31:$E$400,MASQ2!EC515,'Étape 1 - à remplir'!$O$31:$O$400,EL$3,'Étape 1 - à remplir'!$G$31:$G$400,"kg")),IF(EL$2="Espèce",IF(EL$3="Toutes",SUMIFS('Étape 1 - à remplir'!$F$31:$F$400,'Étape 1 - à remplir'!$E$31:$E$400,MASQ2!EC515,'Étape 1 - à remplir'!$G$31:$G$400,"kg"),SUMIFS('Étape 1 - à remplir'!$F$31:$F$400,'Étape 1 - à remplir'!$E$31:$E$400,MASQ2!EC515,'Étape 1 - à remplir'!$N$31:$N$400,EL$3,'Étape 1 - à remplir'!$G$31:$G$400,"kg")))))))</f>
        <v>#N/A</v>
      </c>
      <c r="EE515" s="76">
        <f t="shared" si="309"/>
        <v>0</v>
      </c>
      <c r="EF515" t="str">
        <f t="shared" si="300"/>
        <v>Ceftiofur</v>
      </c>
      <c r="EG515" t="str">
        <f t="shared" si="301"/>
        <v/>
      </c>
      <c r="EH515" t="str">
        <f t="shared" si="302"/>
        <v/>
      </c>
      <c r="EI515" t="str">
        <f t="shared" si="303"/>
        <v>Cephalosporines 3&amp;4G</v>
      </c>
      <c r="EJ515" t="str">
        <f t="shared" si="304"/>
        <v/>
      </c>
      <c r="EK515" s="63" t="str">
        <f t="shared" si="305"/>
        <v/>
      </c>
      <c r="EN515" s="42">
        <v>512</v>
      </c>
      <c r="EO515" t="e">
        <f t="shared" si="311"/>
        <v>#N/A</v>
      </c>
      <c r="EP515" s="63" t="e">
        <f t="shared" si="312"/>
        <v>#N/A</v>
      </c>
    </row>
    <row r="516" spans="13:146" x14ac:dyDescent="0.3">
      <c r="M516" s="194" t="str">
        <f ca="1">INDEX(Données_ATB!BD:BU,MATCH(MASQ2!O516,Données_ATB!BD:BD,0),18)</f>
        <v/>
      </c>
      <c r="N516" s="14" t="str">
        <f>IFERROR(IF(Q516=0,"",COUNTIF(Q$4:Q$600,"&gt;"&amp;Q516)+COUNTIF(Q$4:Q516,Q516)),"")</f>
        <v/>
      </c>
      <c r="O516" t="str">
        <f>Données_ATB!BD515</f>
        <v>TRYMOX LA 150 MG/ML SUSPENSION INJECTABLE POUR BOVINS OVINS PORCINS CHIENS ET CHATS</v>
      </c>
      <c r="P516" t="e">
        <f>IF(IF(X$2="Catégorie",IF(X$3="Toutes",SUMIFS('Étape 1 - à remplir'!$F$31:$F$400,'Étape 1 - à remplir'!$E$31:$E$400,MASQ2!O516,'Étape 1 - à remplir'!$G$31:$G$400,"animaux"),SUMIFS('Étape 1 - à remplir'!$F$31:$F$400,'Étape 1 - à remplir'!$E$31:$E$400,MASQ2!O516,'Étape 1 - à remplir'!$C$31:$C$400,X$3)),IF(X$2="Âge",IF(X$3="Tous",SUMIFS('Étape 1 - à remplir'!$F$31:$F$400,'Étape 1 - à remplir'!$E$31:$E$400,MASQ2!O516,'Étape 1 - à remplir'!$G$31:$G$400,"animaux"),SUMIFS('Étape 1 - à remplir'!$F$31:$F$400,'Étape 1 - à remplir'!$E$31:$E$400,MASQ2!O516,'Étape 1 - à remplir'!$P$31:$P$400,X$3)),IF(X$2="Atelier",IF(X$3="Tous",SUMIFS('Étape 1 - à remplir'!$F$31:$F$400,'Étape 1 - à remplir'!$E$31:$E$400,MASQ2!O516,'Étape 1 - à remplir'!$G$31:$G$400,"animaux"),SUMIFS('Étape 1 - à remplir'!$F$31:$F$400,'Étape 1 - à remplir'!$E$31:$E$400,MASQ2!O516,'Étape 1 - à remplir'!$O$31:$O$400,X$3)),IF(X$2="Espèce",IF(X$3="Toutes",SUMIFS('Étape 1 - à remplir'!$F$31:$F$400,'Étape 1 - à remplir'!$E$31:$E$400,MASQ2!O516,'Étape 1 - à remplir'!$G$31:$G$400,"animaux"),SUMIFS('Étape 1 - à remplir'!$F$31:$F$400,'Étape 1 - à remplir'!$E$31:$E$400,MASQ2!O516,'Étape 1 - à remplir'!$N$31:$N$400,X$3))))))=0,NA(),IF(X$2="Catégorie",IF(X$3="Toutes",SUMIFS('Étape 1 - à remplir'!$F$31:$F$400,'Étape 1 - à remplir'!$E$31:$E$400,MASQ2!O516,'Étape 1 - à remplir'!$G$31:$G$400,"animaux"),SUMIFS('Étape 1 - à remplir'!$F$31:$F$400,'Étape 1 - à remplir'!$E$31:$E$400,MASQ2!O516,'Étape 1 - à remplir'!$C$31:$C$400,X$3)),IF(X$2="Âge",IF(X$3="Tous",SUMIFS('Étape 1 - à remplir'!$F$31:$F$400,'Étape 1 - à remplir'!$E$31:$E$400,MASQ2!O516,'Étape 1 - à remplir'!$G$31:$G$400,"animaux"),SUMIFS('Étape 1 - à remplir'!$F$31:$F$400,'Étape 1 - à remplir'!$E$31:$E$400,MASQ2!O516,'Étape 1 - à remplir'!$P$31:$P$400,X$3)),IF(X$2="Atelier",IF(X$3="Tous",SUMIFS('Étape 1 - à remplir'!$F$31:$F$400,'Étape 1 - à remplir'!$E$31:$E$400,MASQ2!O516,'Étape 1 - à remplir'!$G$31:$G$400,"animaux"),SUMIFS('Étape 1 - à remplir'!$F$31:$F$400,'Étape 1 - à remplir'!$E$31:$E$400,MASQ2!O516,'Étape 1 - à remplir'!$O$31:$O$400,X$3)),IF(X$2="Espèce",IF(X$3="Toutes",SUMIFS('Étape 1 - à remplir'!$F$31:$F$400,'Étape 1 - à remplir'!$E$31:$E$400,MASQ2!O516,'Étape 1 - à remplir'!$G$31:$G$400,"animaux"),SUMIFS('Étape 1 - à remplir'!$F$31:$F$400,'Étape 1 - à remplir'!$E$31:$E$400,MASQ2!O516,'Étape 1 - à remplir'!$N$31:$N$400,X$3)))))))</f>
        <v>#N/A</v>
      </c>
      <c r="Q516" s="63">
        <f t="shared" si="310"/>
        <v>0</v>
      </c>
      <c r="R516" t="str">
        <f>Données_ATB!BM515</f>
        <v>Amoxicilline</v>
      </c>
      <c r="S516" t="str">
        <f>Données_ATB!BN515</f>
        <v/>
      </c>
      <c r="T516" s="63" t="str">
        <f>Données_ATB!BO515</f>
        <v/>
      </c>
      <c r="U516" s="42" t="str">
        <f>Données_ATB!BQ515</f>
        <v>Penicillines</v>
      </c>
      <c r="V516" t="str">
        <f>Données_ATB!BR515</f>
        <v/>
      </c>
      <c r="W516" s="63" t="str">
        <f>Données_ATB!BS515</f>
        <v/>
      </c>
      <c r="Z516" s="42">
        <v>513</v>
      </c>
      <c r="AA516" t="e">
        <f t="shared" si="306"/>
        <v>#N/A</v>
      </c>
      <c r="AB516" s="63" t="e">
        <f t="shared" si="307"/>
        <v>#N/A</v>
      </c>
      <c r="BT516" s="194" t="str">
        <f t="shared" ref="BT516:BT579" ca="1" si="315">M516</f>
        <v/>
      </c>
      <c r="BU516" s="219" t="str">
        <f>IFERROR(IF(BX516=0,"",COUNTIF(BX$4:BX$600,"&gt;"&amp;BX516)+COUNTIF(BX$4:BX516,BX516)),"")</f>
        <v/>
      </c>
      <c r="BV516" s="42" t="str">
        <f t="shared" ref="BV516:BV579" si="316">O516</f>
        <v>TRYMOX LA 150 MG/ML SUSPENSION INJECTABLE POUR BOVINS OVINS PORCINS CHIENS ET CHATS</v>
      </c>
      <c r="BW516" t="e">
        <f>IF(IF(CE$2="Catégorie",IF(CE$3="Toutes",SUMIFS('Étape 1 - à remplir'!$F$31:$F$400,'Étape 1 - à remplir'!$E$31:$E$400,MASQ2!BV516,'Étape 1 - à remplir'!$G$31:$G$400,"lots"),SUMIFS('Étape 1 - à remplir'!$F$31:$F$400,'Étape 1 - à remplir'!$E$31:$E$400,MASQ2!BV516,'Étape 1 - à remplir'!$C$31:$C$400,CE$3)),IF(CE$2="Âge",IF(CE$3="Tous",SUMIFS('Étape 1 - à remplir'!$F$31:$F$400,'Étape 1 - à remplir'!$E$31:$E$400,MASQ2!BV516,'Étape 1 - à remplir'!$G$31:$G$400,"lots"),SUMIFS('Étape 1 - à remplir'!$F$31:$F$400,'Étape 1 - à remplir'!$E$31:$E$400,MASQ2!BV516,'Étape 1 - à remplir'!$P$31:$P$400,CE$3,'Étape 1 - à remplir'!$G$31:$G$400,"lots")),IF(CE$2="Atelier",IF(CE$3="Tous",SUMIFS('Étape 1 - à remplir'!$F$31:$F$400,'Étape 1 - à remplir'!$E$31:$E$400,MASQ2!BV516,'Étape 1 - à remplir'!$G$31:$G$400,"lots"),SUMIFS('Étape 1 - à remplir'!$F$31:$F$400,'Étape 1 - à remplir'!$E$31:$E$400,MASQ2!BV516,'Étape 1 - à remplir'!$O$31:$O$400,CE$3,'Étape 1 - à remplir'!$G$31:$G$400,"lots")),IF(CE$2="Espèce",IF(CE$3="Toutes",SUMIFS('Étape 1 - à remplir'!$F$31:$F$400,'Étape 1 - à remplir'!$E$31:$E$400,MASQ2!BV516,'Étape 1 - à remplir'!$G$31:$G$400,"lots"),SUMIFS('Étape 1 - à remplir'!$F$31:$F$400,'Étape 1 - à remplir'!$E$31:$E$400,MASQ2!BV516,'Étape 1 - à remplir'!$N$31:$N$400,CE$3,'Étape 1 - à remplir'!$G$31:$G$400,"lots"))))))=0,NA(),IF(CE$2="Catégorie",IF(CE$3="Toutes",SUMIFS('Étape 1 - à remplir'!$F$31:$F$400,'Étape 1 - à remplir'!$E$31:$E$400,MASQ2!BV516,'Étape 1 - à remplir'!$G$31:$G$400,"lots"),SUMIFS('Étape 1 - à remplir'!$F$31:$F$400,'Étape 1 - à remplir'!$E$31:$E$400,MASQ2!BV516,'Étape 1 - à remplir'!$C$31:$C$400,CE$3)),IF(CE$2="Âge",IF(CE$3="Tous",SUMIFS('Étape 1 - à remplir'!$F$31:$F$400,'Étape 1 - à remplir'!$E$31:$E$400,MASQ2!BV516,'Étape 1 - à remplir'!$G$31:$G$400,"lots"),SUMIFS('Étape 1 - à remplir'!$F$31:$F$400,'Étape 1 - à remplir'!$E$31:$E$400,MASQ2!BV516,'Étape 1 - à remplir'!$P$31:$P$400,CE$3,'Étape 1 - à remplir'!$G$31:$G$400,"lots")),IF(CE$2="Atelier",IF(CE$3="Tous",SUMIFS('Étape 1 - à remplir'!$F$31:$F$400,'Étape 1 - à remplir'!$E$31:$E$400,MASQ2!BV516,'Étape 1 - à remplir'!$G$31:$G$400,"lots"),SUMIFS('Étape 1 - à remplir'!$F$31:$F$400,'Étape 1 - à remplir'!$E$31:$E$400,MASQ2!BV516,'Étape 1 - à remplir'!$O$31:$O$400,CE$3,'Étape 1 - à remplir'!$G$31:$G$400,"lots")),IF(CE$2="Espèce",IF(CE$3="Toutes",SUMIFS('Étape 1 - à remplir'!$F$31:$F$400,'Étape 1 - à remplir'!$E$31:$E$400,MASQ2!BV516,'Étape 1 - à remplir'!$G$31:$G$400,"lots"),SUMIFS('Étape 1 - à remplir'!$F$31:$F$400,'Étape 1 - à remplir'!$E$31:$E$400,MASQ2!BV516,'Étape 1 - à remplir'!$N$31:$N$400,CE$3,'Étape 1 - à remplir'!$G$31:$G$400,"lots")))))))</f>
        <v>#N/A</v>
      </c>
      <c r="BX516">
        <f t="shared" si="308"/>
        <v>0</v>
      </c>
      <c r="BY516" t="str">
        <f t="shared" ref="BY516:BY579" si="317">R516</f>
        <v>Amoxicilline</v>
      </c>
      <c r="BZ516" t="str">
        <f t="shared" ref="BZ516:BZ579" si="318">S516</f>
        <v/>
      </c>
      <c r="CA516" t="str">
        <f t="shared" ref="CA516:CA579" si="319">T516</f>
        <v/>
      </c>
      <c r="CB516" t="str">
        <f t="shared" ref="CB516:CB579" si="320">U516</f>
        <v>Penicillines</v>
      </c>
      <c r="CC516" t="str">
        <f t="shared" ref="CC516:CC579" si="321">V516</f>
        <v/>
      </c>
      <c r="CD516" s="63" t="str">
        <f t="shared" ref="CD516:CD579" si="322">W516</f>
        <v/>
      </c>
      <c r="CG516" s="42">
        <v>513</v>
      </c>
      <c r="CH516" s="42" t="e">
        <f t="shared" si="313"/>
        <v>#N/A</v>
      </c>
      <c r="CI516" s="63" t="e">
        <f t="shared" si="314"/>
        <v>#N/A</v>
      </c>
      <c r="EA516" s="194" t="str">
        <f t="shared" ref="EA516:EA579" ca="1" si="323">M516</f>
        <v/>
      </c>
      <c r="EB516" s="226" t="str">
        <f>IFERROR(IF(ED516=0,"",COUNTIF(ED$4:ED$600,"&gt;"&amp;ED516)+COUNTIF(ED$4:ED516,ED516)),"")</f>
        <v/>
      </c>
      <c r="EC516" t="str">
        <f t="shared" ref="EC516:EC579" si="324">O516</f>
        <v>TRYMOX LA 150 MG/ML SUSPENSION INJECTABLE POUR BOVINS OVINS PORCINS CHIENS ET CHATS</v>
      </c>
      <c r="ED516" t="e">
        <f>IF(IF(EL$2="Catégorie",IF(EL$3="Toutes",SUMIFS('Étape 1 - à remplir'!$F$31:$F$400,'Étape 1 - à remplir'!$E$31:$E$400,MASQ2!EC516,'Étape 1 - à remplir'!$G$31:$G$400,"kg"),SUMIFS('Étape 1 - à remplir'!$F$31:$F$400,'Étape 1 - à remplir'!$E$31:$E$400,MASQ2!EC516,'Étape 1 - à remplir'!$C$31:$C$400,EL$3)),IF(EL$2="Âge",IF(EL$3="Tous",SUMIFS('Étape 1 - à remplir'!$F$31:$F$400,'Étape 1 - à remplir'!$E$31:$E$400,MASQ2!EC516,'Étape 1 - à remplir'!$G$31:$G$400,"kg"),SUMIFS('Étape 1 - à remplir'!$F$31:$F$400,'Étape 1 - à remplir'!$E$31:$E$400,MASQ2!EC516,'Étape 1 - à remplir'!$P$31:$P$400,EL$3,'Étape 1 - à remplir'!$G$31:$G$400,"kg")),IF(EL$2="Atelier",IF(EL$3="Tous",SUMIFS('Étape 1 - à remplir'!$F$31:$F$400,'Étape 1 - à remplir'!$E$31:$E$400,MASQ2!EC516,'Étape 1 - à remplir'!$G$31:$G$400,"kg"),SUMIFS('Étape 1 - à remplir'!$F$31:$F$400,'Étape 1 - à remplir'!$E$31:$E$400,MASQ2!EC516,'Étape 1 - à remplir'!$O$31:$O$400,EL$3,'Étape 1 - à remplir'!$G$31:$G$400,"kg")),IF(EL$2="Espèce",IF(EL$3="Toutes",SUMIFS('Étape 1 - à remplir'!$F$31:$F$400,'Étape 1 - à remplir'!$E$31:$E$400,MASQ2!EC516,'Étape 1 - à remplir'!$G$31:$G$400,"kg"),SUMIFS('Étape 1 - à remplir'!$F$31:$F$400,'Étape 1 - à remplir'!$E$31:$E$400,MASQ2!EC516,'Étape 1 - à remplir'!$N$31:$N$400,EL$3,'Étape 1 - à remplir'!$G$31:$G$400,"kg"))))))=0,NA(),IF(EL$2="Catégorie",IF(EL$3="Toutes",SUMIFS('Étape 1 - à remplir'!$F$31:$F$400,'Étape 1 - à remplir'!$E$31:$E$400,MASQ2!EC516,'Étape 1 - à remplir'!$G$31:$G$400,"kg"),SUMIFS('Étape 1 - à remplir'!$F$31:$F$400,'Étape 1 - à remplir'!$E$31:$E$400,MASQ2!EC516,'Étape 1 - à remplir'!$C$31:$C$400,EL$3)),IF(EL$2="Âge",IF(EL$3="Tous",SUMIFS('Étape 1 - à remplir'!$F$31:$F$400,'Étape 1 - à remplir'!$E$31:$E$400,MASQ2!EC516,'Étape 1 - à remplir'!$G$31:$G$400,"kg"),SUMIFS('Étape 1 - à remplir'!$F$31:$F$400,'Étape 1 - à remplir'!$E$31:$E$400,MASQ2!EC516,'Étape 1 - à remplir'!$P$31:$P$400,EL$3,'Étape 1 - à remplir'!$G$31:$G$400,"kg")),IF(EL$2="Atelier",IF(EL$3="Tous",SUMIFS('Étape 1 - à remplir'!$F$31:$F$400,'Étape 1 - à remplir'!$E$31:$E$400,MASQ2!EC516,'Étape 1 - à remplir'!$G$31:$G$400,"kg"),SUMIFS('Étape 1 - à remplir'!$F$31:$F$400,'Étape 1 - à remplir'!$E$31:$E$400,MASQ2!EC516,'Étape 1 - à remplir'!$O$31:$O$400,EL$3,'Étape 1 - à remplir'!$G$31:$G$400,"kg")),IF(EL$2="Espèce",IF(EL$3="Toutes",SUMIFS('Étape 1 - à remplir'!$F$31:$F$400,'Étape 1 - à remplir'!$E$31:$E$400,MASQ2!EC516,'Étape 1 - à remplir'!$G$31:$G$400,"kg"),SUMIFS('Étape 1 - à remplir'!$F$31:$F$400,'Étape 1 - à remplir'!$E$31:$E$400,MASQ2!EC516,'Étape 1 - à remplir'!$N$31:$N$400,EL$3,'Étape 1 - à remplir'!$G$31:$G$400,"kg")))))))</f>
        <v>#N/A</v>
      </c>
      <c r="EE516" s="76">
        <f t="shared" si="309"/>
        <v>0</v>
      </c>
      <c r="EF516" t="str">
        <f t="shared" ref="EF516:EF579" si="325">R516</f>
        <v>Amoxicilline</v>
      </c>
      <c r="EG516" t="str">
        <f t="shared" ref="EG516:EG579" si="326">S516</f>
        <v/>
      </c>
      <c r="EH516" t="str">
        <f t="shared" ref="EH516:EH579" si="327">T516</f>
        <v/>
      </c>
      <c r="EI516" t="str">
        <f t="shared" ref="EI516:EI579" si="328">U516</f>
        <v>Penicillines</v>
      </c>
      <c r="EJ516" t="str">
        <f t="shared" ref="EJ516:EJ579" si="329">V516</f>
        <v/>
      </c>
      <c r="EK516" s="63" t="str">
        <f t="shared" ref="EK516:EK579" si="330">W516</f>
        <v/>
      </c>
      <c r="EN516" s="42">
        <v>513</v>
      </c>
      <c r="EO516" t="e">
        <f t="shared" si="311"/>
        <v>#N/A</v>
      </c>
      <c r="EP516" s="63" t="e">
        <f t="shared" si="312"/>
        <v>#N/A</v>
      </c>
    </row>
    <row r="517" spans="13:146" x14ac:dyDescent="0.3">
      <c r="M517" s="194" t="str">
        <f ca="1">INDEX(Données_ATB!BD:BU,MATCH(MASQ2!O517,Données_ATB!BD:BD,0),18)</f>
        <v/>
      </c>
      <c r="N517" s="14" t="str">
        <f>IFERROR(IF(Q517=0,"",COUNTIF(Q$4:Q$600,"&gt;"&amp;Q517)+COUNTIF(Q$4:Q517,Q517)),"")</f>
        <v/>
      </c>
      <c r="O517" t="str">
        <f>Données_ATB!BD516</f>
        <v>TULAPRO 100 MG/ML SOLUTION INJECTABLE POUR BOVINS, PORCINS ET OVINS</v>
      </c>
      <c r="P517" t="e">
        <f>IF(IF(X$2="Catégorie",IF(X$3="Toutes",SUMIFS('Étape 1 - à remplir'!$F$31:$F$400,'Étape 1 - à remplir'!$E$31:$E$400,MASQ2!O517,'Étape 1 - à remplir'!$G$31:$G$400,"animaux"),SUMIFS('Étape 1 - à remplir'!$F$31:$F$400,'Étape 1 - à remplir'!$E$31:$E$400,MASQ2!O517,'Étape 1 - à remplir'!$C$31:$C$400,X$3)),IF(X$2="Âge",IF(X$3="Tous",SUMIFS('Étape 1 - à remplir'!$F$31:$F$400,'Étape 1 - à remplir'!$E$31:$E$400,MASQ2!O517,'Étape 1 - à remplir'!$G$31:$G$400,"animaux"),SUMIFS('Étape 1 - à remplir'!$F$31:$F$400,'Étape 1 - à remplir'!$E$31:$E$400,MASQ2!O517,'Étape 1 - à remplir'!$P$31:$P$400,X$3)),IF(X$2="Atelier",IF(X$3="Tous",SUMIFS('Étape 1 - à remplir'!$F$31:$F$400,'Étape 1 - à remplir'!$E$31:$E$400,MASQ2!O517,'Étape 1 - à remplir'!$G$31:$G$400,"animaux"),SUMIFS('Étape 1 - à remplir'!$F$31:$F$400,'Étape 1 - à remplir'!$E$31:$E$400,MASQ2!O517,'Étape 1 - à remplir'!$O$31:$O$400,X$3)),IF(X$2="Espèce",IF(X$3="Toutes",SUMIFS('Étape 1 - à remplir'!$F$31:$F$400,'Étape 1 - à remplir'!$E$31:$E$400,MASQ2!O517,'Étape 1 - à remplir'!$G$31:$G$400,"animaux"),SUMIFS('Étape 1 - à remplir'!$F$31:$F$400,'Étape 1 - à remplir'!$E$31:$E$400,MASQ2!O517,'Étape 1 - à remplir'!$N$31:$N$400,X$3))))))=0,NA(),IF(X$2="Catégorie",IF(X$3="Toutes",SUMIFS('Étape 1 - à remplir'!$F$31:$F$400,'Étape 1 - à remplir'!$E$31:$E$400,MASQ2!O517,'Étape 1 - à remplir'!$G$31:$G$400,"animaux"),SUMIFS('Étape 1 - à remplir'!$F$31:$F$400,'Étape 1 - à remplir'!$E$31:$E$400,MASQ2!O517,'Étape 1 - à remplir'!$C$31:$C$400,X$3)),IF(X$2="Âge",IF(X$3="Tous",SUMIFS('Étape 1 - à remplir'!$F$31:$F$400,'Étape 1 - à remplir'!$E$31:$E$400,MASQ2!O517,'Étape 1 - à remplir'!$G$31:$G$400,"animaux"),SUMIFS('Étape 1 - à remplir'!$F$31:$F$400,'Étape 1 - à remplir'!$E$31:$E$400,MASQ2!O517,'Étape 1 - à remplir'!$P$31:$P$400,X$3)),IF(X$2="Atelier",IF(X$3="Tous",SUMIFS('Étape 1 - à remplir'!$F$31:$F$400,'Étape 1 - à remplir'!$E$31:$E$400,MASQ2!O517,'Étape 1 - à remplir'!$G$31:$G$400,"animaux"),SUMIFS('Étape 1 - à remplir'!$F$31:$F$400,'Étape 1 - à remplir'!$E$31:$E$400,MASQ2!O517,'Étape 1 - à remplir'!$O$31:$O$400,X$3)),IF(X$2="Espèce",IF(X$3="Toutes",SUMIFS('Étape 1 - à remplir'!$F$31:$F$400,'Étape 1 - à remplir'!$E$31:$E$400,MASQ2!O517,'Étape 1 - à remplir'!$G$31:$G$400,"animaux"),SUMIFS('Étape 1 - à remplir'!$F$31:$F$400,'Étape 1 - à remplir'!$E$31:$E$400,MASQ2!O517,'Étape 1 - à remplir'!$N$31:$N$400,X$3)))))))</f>
        <v>#N/A</v>
      </c>
      <c r="Q517" s="63">
        <f t="shared" si="310"/>
        <v>0</v>
      </c>
      <c r="R517" t="str">
        <f>Données_ATB!BM516</f>
        <v>Tulathromycine</v>
      </c>
      <c r="S517" t="str">
        <f>Données_ATB!BN516</f>
        <v/>
      </c>
      <c r="T517" s="63" t="str">
        <f>Données_ATB!BO516</f>
        <v/>
      </c>
      <c r="U517" s="42" t="str">
        <f>Données_ATB!BQ516</f>
        <v>Macrolides</v>
      </c>
      <c r="V517" t="str">
        <f>Données_ATB!BR516</f>
        <v/>
      </c>
      <c r="W517" s="63" t="str">
        <f>Données_ATB!BS516</f>
        <v/>
      </c>
      <c r="Z517" s="42">
        <v>514</v>
      </c>
      <c r="AA517" t="e">
        <f t="shared" ref="AA517:AA580" si="331">INDEX(N$3:Q$600,MATCH(Z517,N$3:N$600,0),2)</f>
        <v>#N/A</v>
      </c>
      <c r="AB517" s="63" t="e">
        <f t="shared" ref="AB517:AB580" si="332">INDEX(N$3:Q$600,MATCH(Z517,N$3:N$600,0),4)</f>
        <v>#N/A</v>
      </c>
      <c r="BT517" s="194" t="str">
        <f t="shared" ca="1" si="315"/>
        <v/>
      </c>
      <c r="BU517" s="219" t="str">
        <f>IFERROR(IF(BX517=0,"",COUNTIF(BX$4:BX$600,"&gt;"&amp;BX517)+COUNTIF(BX$4:BX517,BX517)),"")</f>
        <v/>
      </c>
      <c r="BV517" s="42" t="str">
        <f t="shared" si="316"/>
        <v>TULAPRO 100 MG/ML SOLUTION INJECTABLE POUR BOVINS, PORCINS ET OVINS</v>
      </c>
      <c r="BW517" t="e">
        <f>IF(IF(CE$2="Catégorie",IF(CE$3="Toutes",SUMIFS('Étape 1 - à remplir'!$F$31:$F$400,'Étape 1 - à remplir'!$E$31:$E$400,MASQ2!BV517,'Étape 1 - à remplir'!$G$31:$G$400,"lots"),SUMIFS('Étape 1 - à remplir'!$F$31:$F$400,'Étape 1 - à remplir'!$E$31:$E$400,MASQ2!BV517,'Étape 1 - à remplir'!$C$31:$C$400,CE$3)),IF(CE$2="Âge",IF(CE$3="Tous",SUMIFS('Étape 1 - à remplir'!$F$31:$F$400,'Étape 1 - à remplir'!$E$31:$E$400,MASQ2!BV517,'Étape 1 - à remplir'!$G$31:$G$400,"lots"),SUMIFS('Étape 1 - à remplir'!$F$31:$F$400,'Étape 1 - à remplir'!$E$31:$E$400,MASQ2!BV517,'Étape 1 - à remplir'!$P$31:$P$400,CE$3,'Étape 1 - à remplir'!$G$31:$G$400,"lots")),IF(CE$2="Atelier",IF(CE$3="Tous",SUMIFS('Étape 1 - à remplir'!$F$31:$F$400,'Étape 1 - à remplir'!$E$31:$E$400,MASQ2!BV517,'Étape 1 - à remplir'!$G$31:$G$400,"lots"),SUMIFS('Étape 1 - à remplir'!$F$31:$F$400,'Étape 1 - à remplir'!$E$31:$E$400,MASQ2!BV517,'Étape 1 - à remplir'!$O$31:$O$400,CE$3,'Étape 1 - à remplir'!$G$31:$G$400,"lots")),IF(CE$2="Espèce",IF(CE$3="Toutes",SUMIFS('Étape 1 - à remplir'!$F$31:$F$400,'Étape 1 - à remplir'!$E$31:$E$400,MASQ2!BV517,'Étape 1 - à remplir'!$G$31:$G$400,"lots"),SUMIFS('Étape 1 - à remplir'!$F$31:$F$400,'Étape 1 - à remplir'!$E$31:$E$400,MASQ2!BV517,'Étape 1 - à remplir'!$N$31:$N$400,CE$3,'Étape 1 - à remplir'!$G$31:$G$400,"lots"))))))=0,NA(),IF(CE$2="Catégorie",IF(CE$3="Toutes",SUMIFS('Étape 1 - à remplir'!$F$31:$F$400,'Étape 1 - à remplir'!$E$31:$E$400,MASQ2!BV517,'Étape 1 - à remplir'!$G$31:$G$400,"lots"),SUMIFS('Étape 1 - à remplir'!$F$31:$F$400,'Étape 1 - à remplir'!$E$31:$E$400,MASQ2!BV517,'Étape 1 - à remplir'!$C$31:$C$400,CE$3)),IF(CE$2="Âge",IF(CE$3="Tous",SUMIFS('Étape 1 - à remplir'!$F$31:$F$400,'Étape 1 - à remplir'!$E$31:$E$400,MASQ2!BV517,'Étape 1 - à remplir'!$G$31:$G$400,"lots"),SUMIFS('Étape 1 - à remplir'!$F$31:$F$400,'Étape 1 - à remplir'!$E$31:$E$400,MASQ2!BV517,'Étape 1 - à remplir'!$P$31:$P$400,CE$3,'Étape 1 - à remplir'!$G$31:$G$400,"lots")),IF(CE$2="Atelier",IF(CE$3="Tous",SUMIFS('Étape 1 - à remplir'!$F$31:$F$400,'Étape 1 - à remplir'!$E$31:$E$400,MASQ2!BV517,'Étape 1 - à remplir'!$G$31:$G$400,"lots"),SUMIFS('Étape 1 - à remplir'!$F$31:$F$400,'Étape 1 - à remplir'!$E$31:$E$400,MASQ2!BV517,'Étape 1 - à remplir'!$O$31:$O$400,CE$3,'Étape 1 - à remplir'!$G$31:$G$400,"lots")),IF(CE$2="Espèce",IF(CE$3="Toutes",SUMIFS('Étape 1 - à remplir'!$F$31:$F$400,'Étape 1 - à remplir'!$E$31:$E$400,MASQ2!BV517,'Étape 1 - à remplir'!$G$31:$G$400,"lots"),SUMIFS('Étape 1 - à remplir'!$F$31:$F$400,'Étape 1 - à remplir'!$E$31:$E$400,MASQ2!BV517,'Étape 1 - à remplir'!$N$31:$N$400,CE$3,'Étape 1 - à remplir'!$G$31:$G$400,"lots")))))))</f>
        <v>#N/A</v>
      </c>
      <c r="BX517">
        <f t="shared" ref="BX517:BX580" si="333">IFERROR(BW517,0)</f>
        <v>0</v>
      </c>
      <c r="BY517" t="str">
        <f t="shared" si="317"/>
        <v>Tulathromycine</v>
      </c>
      <c r="BZ517" t="str">
        <f t="shared" si="318"/>
        <v/>
      </c>
      <c r="CA517" t="str">
        <f t="shared" si="319"/>
        <v/>
      </c>
      <c r="CB517" t="str">
        <f t="shared" si="320"/>
        <v>Macrolides</v>
      </c>
      <c r="CC517" t="str">
        <f t="shared" si="321"/>
        <v/>
      </c>
      <c r="CD517" s="63" t="str">
        <f t="shared" si="322"/>
        <v/>
      </c>
      <c r="CG517" s="42">
        <v>514</v>
      </c>
      <c r="CH517" s="42" t="e">
        <f t="shared" si="313"/>
        <v>#N/A</v>
      </c>
      <c r="CI517" s="63" t="e">
        <f t="shared" si="314"/>
        <v>#N/A</v>
      </c>
      <c r="EA517" s="194" t="str">
        <f t="shared" ca="1" si="323"/>
        <v/>
      </c>
      <c r="EB517" s="226" t="str">
        <f>IFERROR(IF(ED517=0,"",COUNTIF(ED$4:ED$600,"&gt;"&amp;ED517)+COUNTIF(ED$4:ED517,ED517)),"")</f>
        <v/>
      </c>
      <c r="EC517" t="str">
        <f t="shared" si="324"/>
        <v>TULAPRO 100 MG/ML SOLUTION INJECTABLE POUR BOVINS, PORCINS ET OVINS</v>
      </c>
      <c r="ED517" t="e">
        <f>IF(IF(EL$2="Catégorie",IF(EL$3="Toutes",SUMIFS('Étape 1 - à remplir'!$F$31:$F$400,'Étape 1 - à remplir'!$E$31:$E$400,MASQ2!EC517,'Étape 1 - à remplir'!$G$31:$G$400,"kg"),SUMIFS('Étape 1 - à remplir'!$F$31:$F$400,'Étape 1 - à remplir'!$E$31:$E$400,MASQ2!EC517,'Étape 1 - à remplir'!$C$31:$C$400,EL$3)),IF(EL$2="Âge",IF(EL$3="Tous",SUMIFS('Étape 1 - à remplir'!$F$31:$F$400,'Étape 1 - à remplir'!$E$31:$E$400,MASQ2!EC517,'Étape 1 - à remplir'!$G$31:$G$400,"kg"),SUMIFS('Étape 1 - à remplir'!$F$31:$F$400,'Étape 1 - à remplir'!$E$31:$E$400,MASQ2!EC517,'Étape 1 - à remplir'!$P$31:$P$400,EL$3,'Étape 1 - à remplir'!$G$31:$G$400,"kg")),IF(EL$2="Atelier",IF(EL$3="Tous",SUMIFS('Étape 1 - à remplir'!$F$31:$F$400,'Étape 1 - à remplir'!$E$31:$E$400,MASQ2!EC517,'Étape 1 - à remplir'!$G$31:$G$400,"kg"),SUMIFS('Étape 1 - à remplir'!$F$31:$F$400,'Étape 1 - à remplir'!$E$31:$E$400,MASQ2!EC517,'Étape 1 - à remplir'!$O$31:$O$400,EL$3,'Étape 1 - à remplir'!$G$31:$G$400,"kg")),IF(EL$2="Espèce",IF(EL$3="Toutes",SUMIFS('Étape 1 - à remplir'!$F$31:$F$400,'Étape 1 - à remplir'!$E$31:$E$400,MASQ2!EC517,'Étape 1 - à remplir'!$G$31:$G$400,"kg"),SUMIFS('Étape 1 - à remplir'!$F$31:$F$400,'Étape 1 - à remplir'!$E$31:$E$400,MASQ2!EC517,'Étape 1 - à remplir'!$N$31:$N$400,EL$3,'Étape 1 - à remplir'!$G$31:$G$400,"kg"))))))=0,NA(),IF(EL$2="Catégorie",IF(EL$3="Toutes",SUMIFS('Étape 1 - à remplir'!$F$31:$F$400,'Étape 1 - à remplir'!$E$31:$E$400,MASQ2!EC517,'Étape 1 - à remplir'!$G$31:$G$400,"kg"),SUMIFS('Étape 1 - à remplir'!$F$31:$F$400,'Étape 1 - à remplir'!$E$31:$E$400,MASQ2!EC517,'Étape 1 - à remplir'!$C$31:$C$400,EL$3)),IF(EL$2="Âge",IF(EL$3="Tous",SUMIFS('Étape 1 - à remplir'!$F$31:$F$400,'Étape 1 - à remplir'!$E$31:$E$400,MASQ2!EC517,'Étape 1 - à remplir'!$G$31:$G$400,"kg"),SUMIFS('Étape 1 - à remplir'!$F$31:$F$400,'Étape 1 - à remplir'!$E$31:$E$400,MASQ2!EC517,'Étape 1 - à remplir'!$P$31:$P$400,EL$3,'Étape 1 - à remplir'!$G$31:$G$400,"kg")),IF(EL$2="Atelier",IF(EL$3="Tous",SUMIFS('Étape 1 - à remplir'!$F$31:$F$400,'Étape 1 - à remplir'!$E$31:$E$400,MASQ2!EC517,'Étape 1 - à remplir'!$G$31:$G$400,"kg"),SUMIFS('Étape 1 - à remplir'!$F$31:$F$400,'Étape 1 - à remplir'!$E$31:$E$400,MASQ2!EC517,'Étape 1 - à remplir'!$O$31:$O$400,EL$3,'Étape 1 - à remplir'!$G$31:$G$400,"kg")),IF(EL$2="Espèce",IF(EL$3="Toutes",SUMIFS('Étape 1 - à remplir'!$F$31:$F$400,'Étape 1 - à remplir'!$E$31:$E$400,MASQ2!EC517,'Étape 1 - à remplir'!$G$31:$G$400,"kg"),SUMIFS('Étape 1 - à remplir'!$F$31:$F$400,'Étape 1 - à remplir'!$E$31:$E$400,MASQ2!EC517,'Étape 1 - à remplir'!$N$31:$N$400,EL$3,'Étape 1 - à remplir'!$G$31:$G$400,"kg")))))))</f>
        <v>#N/A</v>
      </c>
      <c r="EE517" s="76">
        <f t="shared" ref="EE517:EE580" si="334">IFERROR(ED517,0)</f>
        <v>0</v>
      </c>
      <c r="EF517" t="str">
        <f t="shared" si="325"/>
        <v>Tulathromycine</v>
      </c>
      <c r="EG517" t="str">
        <f t="shared" si="326"/>
        <v/>
      </c>
      <c r="EH517" t="str">
        <f t="shared" si="327"/>
        <v/>
      </c>
      <c r="EI517" t="str">
        <f t="shared" si="328"/>
        <v>Macrolides</v>
      </c>
      <c r="EJ517" t="str">
        <f t="shared" si="329"/>
        <v/>
      </c>
      <c r="EK517" s="63" t="str">
        <f t="shared" si="330"/>
        <v/>
      </c>
      <c r="EN517" s="42">
        <v>514</v>
      </c>
      <c r="EO517" t="e">
        <f t="shared" si="311"/>
        <v>#N/A</v>
      </c>
      <c r="EP517" s="63" t="e">
        <f t="shared" si="312"/>
        <v>#N/A</v>
      </c>
    </row>
    <row r="518" spans="13:146" x14ac:dyDescent="0.3">
      <c r="M518" s="194" t="str">
        <f ca="1">INDEX(Données_ATB!BD:BU,MATCH(MASQ2!O518,Données_ATB!BD:BD,0),18)</f>
        <v/>
      </c>
      <c r="N518" s="14" t="str">
        <f>IFERROR(IF(Q518=0,"",COUNTIF(Q$4:Q$600,"&gt;"&amp;Q518)+COUNTIF(Q$4:Q518,Q518)),"")</f>
        <v/>
      </c>
      <c r="O518" t="str">
        <f>Données_ATB!BD517</f>
        <v>TULAPRO 25 MG/ML SOLUTION INJECTABLE POUR PORCINS</v>
      </c>
      <c r="P518" t="e">
        <f>IF(IF(X$2="Catégorie",IF(X$3="Toutes",SUMIFS('Étape 1 - à remplir'!$F$31:$F$400,'Étape 1 - à remplir'!$E$31:$E$400,MASQ2!O518,'Étape 1 - à remplir'!$G$31:$G$400,"animaux"),SUMIFS('Étape 1 - à remplir'!$F$31:$F$400,'Étape 1 - à remplir'!$E$31:$E$400,MASQ2!O518,'Étape 1 - à remplir'!$C$31:$C$400,X$3)),IF(X$2="Âge",IF(X$3="Tous",SUMIFS('Étape 1 - à remplir'!$F$31:$F$400,'Étape 1 - à remplir'!$E$31:$E$400,MASQ2!O518,'Étape 1 - à remplir'!$G$31:$G$400,"animaux"),SUMIFS('Étape 1 - à remplir'!$F$31:$F$400,'Étape 1 - à remplir'!$E$31:$E$400,MASQ2!O518,'Étape 1 - à remplir'!$P$31:$P$400,X$3)),IF(X$2="Atelier",IF(X$3="Tous",SUMIFS('Étape 1 - à remplir'!$F$31:$F$400,'Étape 1 - à remplir'!$E$31:$E$400,MASQ2!O518,'Étape 1 - à remplir'!$G$31:$G$400,"animaux"),SUMIFS('Étape 1 - à remplir'!$F$31:$F$400,'Étape 1 - à remplir'!$E$31:$E$400,MASQ2!O518,'Étape 1 - à remplir'!$O$31:$O$400,X$3)),IF(X$2="Espèce",IF(X$3="Toutes",SUMIFS('Étape 1 - à remplir'!$F$31:$F$400,'Étape 1 - à remplir'!$E$31:$E$400,MASQ2!O518,'Étape 1 - à remplir'!$G$31:$G$400,"animaux"),SUMIFS('Étape 1 - à remplir'!$F$31:$F$400,'Étape 1 - à remplir'!$E$31:$E$400,MASQ2!O518,'Étape 1 - à remplir'!$N$31:$N$400,X$3))))))=0,NA(),IF(X$2="Catégorie",IF(X$3="Toutes",SUMIFS('Étape 1 - à remplir'!$F$31:$F$400,'Étape 1 - à remplir'!$E$31:$E$400,MASQ2!O518,'Étape 1 - à remplir'!$G$31:$G$400,"animaux"),SUMIFS('Étape 1 - à remplir'!$F$31:$F$400,'Étape 1 - à remplir'!$E$31:$E$400,MASQ2!O518,'Étape 1 - à remplir'!$C$31:$C$400,X$3)),IF(X$2="Âge",IF(X$3="Tous",SUMIFS('Étape 1 - à remplir'!$F$31:$F$400,'Étape 1 - à remplir'!$E$31:$E$400,MASQ2!O518,'Étape 1 - à remplir'!$G$31:$G$400,"animaux"),SUMIFS('Étape 1 - à remplir'!$F$31:$F$400,'Étape 1 - à remplir'!$E$31:$E$400,MASQ2!O518,'Étape 1 - à remplir'!$P$31:$P$400,X$3)),IF(X$2="Atelier",IF(X$3="Tous",SUMIFS('Étape 1 - à remplir'!$F$31:$F$400,'Étape 1 - à remplir'!$E$31:$E$400,MASQ2!O518,'Étape 1 - à remplir'!$G$31:$G$400,"animaux"),SUMIFS('Étape 1 - à remplir'!$F$31:$F$400,'Étape 1 - à remplir'!$E$31:$E$400,MASQ2!O518,'Étape 1 - à remplir'!$O$31:$O$400,X$3)),IF(X$2="Espèce",IF(X$3="Toutes",SUMIFS('Étape 1 - à remplir'!$F$31:$F$400,'Étape 1 - à remplir'!$E$31:$E$400,MASQ2!O518,'Étape 1 - à remplir'!$G$31:$G$400,"animaux"),SUMIFS('Étape 1 - à remplir'!$F$31:$F$400,'Étape 1 - à remplir'!$E$31:$E$400,MASQ2!O518,'Étape 1 - à remplir'!$N$31:$N$400,X$3)))))))</f>
        <v>#N/A</v>
      </c>
      <c r="Q518" s="63">
        <f t="shared" ref="Q518:Q581" si="335">IFERROR(P518,0)</f>
        <v>0</v>
      </c>
      <c r="R518" t="str">
        <f>Données_ATB!BM517</f>
        <v>Tulathromycine</v>
      </c>
      <c r="S518" t="str">
        <f>Données_ATB!BN517</f>
        <v/>
      </c>
      <c r="T518" s="63" t="str">
        <f>Données_ATB!BO517</f>
        <v/>
      </c>
      <c r="U518" s="42" t="str">
        <f>Données_ATB!BQ517</f>
        <v>Macrolides</v>
      </c>
      <c r="V518" t="str">
        <f>Données_ATB!BR517</f>
        <v/>
      </c>
      <c r="W518" s="63" t="str">
        <f>Données_ATB!BS517</f>
        <v/>
      </c>
      <c r="Z518" s="42">
        <v>515</v>
      </c>
      <c r="AA518" t="e">
        <f t="shared" si="331"/>
        <v>#N/A</v>
      </c>
      <c r="AB518" s="63" t="e">
        <f t="shared" si="332"/>
        <v>#N/A</v>
      </c>
      <c r="BT518" s="194" t="str">
        <f t="shared" ca="1" si="315"/>
        <v/>
      </c>
      <c r="BU518" s="219" t="str">
        <f>IFERROR(IF(BX518=0,"",COUNTIF(BX$4:BX$600,"&gt;"&amp;BX518)+COUNTIF(BX$4:BX518,BX518)),"")</f>
        <v/>
      </c>
      <c r="BV518" s="42" t="str">
        <f t="shared" si="316"/>
        <v>TULAPRO 25 MG/ML SOLUTION INJECTABLE POUR PORCINS</v>
      </c>
      <c r="BW518" t="e">
        <f>IF(IF(CE$2="Catégorie",IF(CE$3="Toutes",SUMIFS('Étape 1 - à remplir'!$F$31:$F$400,'Étape 1 - à remplir'!$E$31:$E$400,MASQ2!BV518,'Étape 1 - à remplir'!$G$31:$G$400,"lots"),SUMIFS('Étape 1 - à remplir'!$F$31:$F$400,'Étape 1 - à remplir'!$E$31:$E$400,MASQ2!BV518,'Étape 1 - à remplir'!$C$31:$C$400,CE$3)),IF(CE$2="Âge",IF(CE$3="Tous",SUMIFS('Étape 1 - à remplir'!$F$31:$F$400,'Étape 1 - à remplir'!$E$31:$E$400,MASQ2!BV518,'Étape 1 - à remplir'!$G$31:$G$400,"lots"),SUMIFS('Étape 1 - à remplir'!$F$31:$F$400,'Étape 1 - à remplir'!$E$31:$E$400,MASQ2!BV518,'Étape 1 - à remplir'!$P$31:$P$400,CE$3,'Étape 1 - à remplir'!$G$31:$G$400,"lots")),IF(CE$2="Atelier",IF(CE$3="Tous",SUMIFS('Étape 1 - à remplir'!$F$31:$F$400,'Étape 1 - à remplir'!$E$31:$E$400,MASQ2!BV518,'Étape 1 - à remplir'!$G$31:$G$400,"lots"),SUMIFS('Étape 1 - à remplir'!$F$31:$F$400,'Étape 1 - à remplir'!$E$31:$E$400,MASQ2!BV518,'Étape 1 - à remplir'!$O$31:$O$400,CE$3,'Étape 1 - à remplir'!$G$31:$G$400,"lots")),IF(CE$2="Espèce",IF(CE$3="Toutes",SUMIFS('Étape 1 - à remplir'!$F$31:$F$400,'Étape 1 - à remplir'!$E$31:$E$400,MASQ2!BV518,'Étape 1 - à remplir'!$G$31:$G$400,"lots"),SUMIFS('Étape 1 - à remplir'!$F$31:$F$400,'Étape 1 - à remplir'!$E$31:$E$400,MASQ2!BV518,'Étape 1 - à remplir'!$N$31:$N$400,CE$3,'Étape 1 - à remplir'!$G$31:$G$400,"lots"))))))=0,NA(),IF(CE$2="Catégorie",IF(CE$3="Toutes",SUMIFS('Étape 1 - à remplir'!$F$31:$F$400,'Étape 1 - à remplir'!$E$31:$E$400,MASQ2!BV518,'Étape 1 - à remplir'!$G$31:$G$400,"lots"),SUMIFS('Étape 1 - à remplir'!$F$31:$F$400,'Étape 1 - à remplir'!$E$31:$E$400,MASQ2!BV518,'Étape 1 - à remplir'!$C$31:$C$400,CE$3)),IF(CE$2="Âge",IF(CE$3="Tous",SUMIFS('Étape 1 - à remplir'!$F$31:$F$400,'Étape 1 - à remplir'!$E$31:$E$400,MASQ2!BV518,'Étape 1 - à remplir'!$G$31:$G$400,"lots"),SUMIFS('Étape 1 - à remplir'!$F$31:$F$400,'Étape 1 - à remplir'!$E$31:$E$400,MASQ2!BV518,'Étape 1 - à remplir'!$P$31:$P$400,CE$3,'Étape 1 - à remplir'!$G$31:$G$400,"lots")),IF(CE$2="Atelier",IF(CE$3="Tous",SUMIFS('Étape 1 - à remplir'!$F$31:$F$400,'Étape 1 - à remplir'!$E$31:$E$400,MASQ2!BV518,'Étape 1 - à remplir'!$G$31:$G$400,"lots"),SUMIFS('Étape 1 - à remplir'!$F$31:$F$400,'Étape 1 - à remplir'!$E$31:$E$400,MASQ2!BV518,'Étape 1 - à remplir'!$O$31:$O$400,CE$3,'Étape 1 - à remplir'!$G$31:$G$400,"lots")),IF(CE$2="Espèce",IF(CE$3="Toutes",SUMIFS('Étape 1 - à remplir'!$F$31:$F$400,'Étape 1 - à remplir'!$E$31:$E$400,MASQ2!BV518,'Étape 1 - à remplir'!$G$31:$G$400,"lots"),SUMIFS('Étape 1 - à remplir'!$F$31:$F$400,'Étape 1 - à remplir'!$E$31:$E$400,MASQ2!BV518,'Étape 1 - à remplir'!$N$31:$N$400,CE$3,'Étape 1 - à remplir'!$G$31:$G$400,"lots")))))))</f>
        <v>#N/A</v>
      </c>
      <c r="BX518">
        <f t="shared" si="333"/>
        <v>0</v>
      </c>
      <c r="BY518" t="str">
        <f t="shared" si="317"/>
        <v>Tulathromycine</v>
      </c>
      <c r="BZ518" t="str">
        <f t="shared" si="318"/>
        <v/>
      </c>
      <c r="CA518" t="str">
        <f t="shared" si="319"/>
        <v/>
      </c>
      <c r="CB518" t="str">
        <f t="shared" si="320"/>
        <v>Macrolides</v>
      </c>
      <c r="CC518" t="str">
        <f t="shared" si="321"/>
        <v/>
      </c>
      <c r="CD518" s="63" t="str">
        <f t="shared" si="322"/>
        <v/>
      </c>
      <c r="CG518" s="42">
        <v>515</v>
      </c>
      <c r="CH518" s="42" t="e">
        <f t="shared" si="313"/>
        <v>#N/A</v>
      </c>
      <c r="CI518" s="63" t="e">
        <f t="shared" si="314"/>
        <v>#N/A</v>
      </c>
      <c r="EA518" s="194" t="str">
        <f t="shared" ca="1" si="323"/>
        <v/>
      </c>
      <c r="EB518" s="226" t="str">
        <f>IFERROR(IF(ED518=0,"",COUNTIF(ED$4:ED$600,"&gt;"&amp;ED518)+COUNTIF(ED$4:ED518,ED518)),"")</f>
        <v/>
      </c>
      <c r="EC518" t="str">
        <f t="shared" si="324"/>
        <v>TULAPRO 25 MG/ML SOLUTION INJECTABLE POUR PORCINS</v>
      </c>
      <c r="ED518" t="e">
        <f>IF(IF(EL$2="Catégorie",IF(EL$3="Toutes",SUMIFS('Étape 1 - à remplir'!$F$31:$F$400,'Étape 1 - à remplir'!$E$31:$E$400,MASQ2!EC518,'Étape 1 - à remplir'!$G$31:$G$400,"kg"),SUMIFS('Étape 1 - à remplir'!$F$31:$F$400,'Étape 1 - à remplir'!$E$31:$E$400,MASQ2!EC518,'Étape 1 - à remplir'!$C$31:$C$400,EL$3)),IF(EL$2="Âge",IF(EL$3="Tous",SUMIFS('Étape 1 - à remplir'!$F$31:$F$400,'Étape 1 - à remplir'!$E$31:$E$400,MASQ2!EC518,'Étape 1 - à remplir'!$G$31:$G$400,"kg"),SUMIFS('Étape 1 - à remplir'!$F$31:$F$400,'Étape 1 - à remplir'!$E$31:$E$400,MASQ2!EC518,'Étape 1 - à remplir'!$P$31:$P$400,EL$3,'Étape 1 - à remplir'!$G$31:$G$400,"kg")),IF(EL$2="Atelier",IF(EL$3="Tous",SUMIFS('Étape 1 - à remplir'!$F$31:$F$400,'Étape 1 - à remplir'!$E$31:$E$400,MASQ2!EC518,'Étape 1 - à remplir'!$G$31:$G$400,"kg"),SUMIFS('Étape 1 - à remplir'!$F$31:$F$400,'Étape 1 - à remplir'!$E$31:$E$400,MASQ2!EC518,'Étape 1 - à remplir'!$O$31:$O$400,EL$3,'Étape 1 - à remplir'!$G$31:$G$400,"kg")),IF(EL$2="Espèce",IF(EL$3="Toutes",SUMIFS('Étape 1 - à remplir'!$F$31:$F$400,'Étape 1 - à remplir'!$E$31:$E$400,MASQ2!EC518,'Étape 1 - à remplir'!$G$31:$G$400,"kg"),SUMIFS('Étape 1 - à remplir'!$F$31:$F$400,'Étape 1 - à remplir'!$E$31:$E$400,MASQ2!EC518,'Étape 1 - à remplir'!$N$31:$N$400,EL$3,'Étape 1 - à remplir'!$G$31:$G$400,"kg"))))))=0,NA(),IF(EL$2="Catégorie",IF(EL$3="Toutes",SUMIFS('Étape 1 - à remplir'!$F$31:$F$400,'Étape 1 - à remplir'!$E$31:$E$400,MASQ2!EC518,'Étape 1 - à remplir'!$G$31:$G$400,"kg"),SUMIFS('Étape 1 - à remplir'!$F$31:$F$400,'Étape 1 - à remplir'!$E$31:$E$400,MASQ2!EC518,'Étape 1 - à remplir'!$C$31:$C$400,EL$3)),IF(EL$2="Âge",IF(EL$3="Tous",SUMIFS('Étape 1 - à remplir'!$F$31:$F$400,'Étape 1 - à remplir'!$E$31:$E$400,MASQ2!EC518,'Étape 1 - à remplir'!$G$31:$G$400,"kg"),SUMIFS('Étape 1 - à remplir'!$F$31:$F$400,'Étape 1 - à remplir'!$E$31:$E$400,MASQ2!EC518,'Étape 1 - à remplir'!$P$31:$P$400,EL$3,'Étape 1 - à remplir'!$G$31:$G$400,"kg")),IF(EL$2="Atelier",IF(EL$3="Tous",SUMIFS('Étape 1 - à remplir'!$F$31:$F$400,'Étape 1 - à remplir'!$E$31:$E$400,MASQ2!EC518,'Étape 1 - à remplir'!$G$31:$G$400,"kg"),SUMIFS('Étape 1 - à remplir'!$F$31:$F$400,'Étape 1 - à remplir'!$E$31:$E$400,MASQ2!EC518,'Étape 1 - à remplir'!$O$31:$O$400,EL$3,'Étape 1 - à remplir'!$G$31:$G$400,"kg")),IF(EL$2="Espèce",IF(EL$3="Toutes",SUMIFS('Étape 1 - à remplir'!$F$31:$F$400,'Étape 1 - à remplir'!$E$31:$E$400,MASQ2!EC518,'Étape 1 - à remplir'!$G$31:$G$400,"kg"),SUMIFS('Étape 1 - à remplir'!$F$31:$F$400,'Étape 1 - à remplir'!$E$31:$E$400,MASQ2!EC518,'Étape 1 - à remplir'!$N$31:$N$400,EL$3,'Étape 1 - à remplir'!$G$31:$G$400,"kg")))))))</f>
        <v>#N/A</v>
      </c>
      <c r="EE518" s="76">
        <f t="shared" si="334"/>
        <v>0</v>
      </c>
      <c r="EF518" t="str">
        <f t="shared" si="325"/>
        <v>Tulathromycine</v>
      </c>
      <c r="EG518" t="str">
        <f t="shared" si="326"/>
        <v/>
      </c>
      <c r="EH518" t="str">
        <f t="shared" si="327"/>
        <v/>
      </c>
      <c r="EI518" t="str">
        <f t="shared" si="328"/>
        <v>Macrolides</v>
      </c>
      <c r="EJ518" t="str">
        <f t="shared" si="329"/>
        <v/>
      </c>
      <c r="EK518" s="63" t="str">
        <f t="shared" si="330"/>
        <v/>
      </c>
      <c r="EN518" s="42">
        <v>515</v>
      </c>
      <c r="EO518" t="e">
        <f t="shared" si="311"/>
        <v>#N/A</v>
      </c>
      <c r="EP518" s="63" t="e">
        <f t="shared" si="312"/>
        <v>#N/A</v>
      </c>
    </row>
    <row r="519" spans="13:146" x14ac:dyDescent="0.3">
      <c r="M519" s="194" t="str">
        <f ca="1">INDEX(Données_ATB!BD:BU,MATCH(MASQ2!O519,Données_ATB!BD:BD,0),18)</f>
        <v/>
      </c>
      <c r="N519" s="14" t="str">
        <f>IFERROR(IF(Q519=0,"",COUNTIF(Q$4:Q$600,"&gt;"&amp;Q519)+COUNTIF(Q$4:Q519,Q519)),"")</f>
        <v/>
      </c>
      <c r="O519" t="str">
        <f>Données_ATB!BD518</f>
        <v>TULAVEN 100 MG/ML SOLUTION INJECTABLE POUR BOVINS PORCINS ET OVINS</v>
      </c>
      <c r="P519" t="e">
        <f>IF(IF(X$2="Catégorie",IF(X$3="Toutes",SUMIFS('Étape 1 - à remplir'!$F$31:$F$400,'Étape 1 - à remplir'!$E$31:$E$400,MASQ2!O519,'Étape 1 - à remplir'!$G$31:$G$400,"animaux"),SUMIFS('Étape 1 - à remplir'!$F$31:$F$400,'Étape 1 - à remplir'!$E$31:$E$400,MASQ2!O519,'Étape 1 - à remplir'!$C$31:$C$400,X$3)),IF(X$2="Âge",IF(X$3="Tous",SUMIFS('Étape 1 - à remplir'!$F$31:$F$400,'Étape 1 - à remplir'!$E$31:$E$400,MASQ2!O519,'Étape 1 - à remplir'!$G$31:$G$400,"animaux"),SUMIFS('Étape 1 - à remplir'!$F$31:$F$400,'Étape 1 - à remplir'!$E$31:$E$400,MASQ2!O519,'Étape 1 - à remplir'!$P$31:$P$400,X$3)),IF(X$2="Atelier",IF(X$3="Tous",SUMIFS('Étape 1 - à remplir'!$F$31:$F$400,'Étape 1 - à remplir'!$E$31:$E$400,MASQ2!O519,'Étape 1 - à remplir'!$G$31:$G$400,"animaux"),SUMIFS('Étape 1 - à remplir'!$F$31:$F$400,'Étape 1 - à remplir'!$E$31:$E$400,MASQ2!O519,'Étape 1 - à remplir'!$O$31:$O$400,X$3)),IF(X$2="Espèce",IF(X$3="Toutes",SUMIFS('Étape 1 - à remplir'!$F$31:$F$400,'Étape 1 - à remplir'!$E$31:$E$400,MASQ2!O519,'Étape 1 - à remplir'!$G$31:$G$400,"animaux"),SUMIFS('Étape 1 - à remplir'!$F$31:$F$400,'Étape 1 - à remplir'!$E$31:$E$400,MASQ2!O519,'Étape 1 - à remplir'!$N$31:$N$400,X$3))))))=0,NA(),IF(X$2="Catégorie",IF(X$3="Toutes",SUMIFS('Étape 1 - à remplir'!$F$31:$F$400,'Étape 1 - à remplir'!$E$31:$E$400,MASQ2!O519,'Étape 1 - à remplir'!$G$31:$G$400,"animaux"),SUMIFS('Étape 1 - à remplir'!$F$31:$F$400,'Étape 1 - à remplir'!$E$31:$E$400,MASQ2!O519,'Étape 1 - à remplir'!$C$31:$C$400,X$3)),IF(X$2="Âge",IF(X$3="Tous",SUMIFS('Étape 1 - à remplir'!$F$31:$F$400,'Étape 1 - à remplir'!$E$31:$E$400,MASQ2!O519,'Étape 1 - à remplir'!$G$31:$G$400,"animaux"),SUMIFS('Étape 1 - à remplir'!$F$31:$F$400,'Étape 1 - à remplir'!$E$31:$E$400,MASQ2!O519,'Étape 1 - à remplir'!$P$31:$P$400,X$3)),IF(X$2="Atelier",IF(X$3="Tous",SUMIFS('Étape 1 - à remplir'!$F$31:$F$400,'Étape 1 - à remplir'!$E$31:$E$400,MASQ2!O519,'Étape 1 - à remplir'!$G$31:$G$400,"animaux"),SUMIFS('Étape 1 - à remplir'!$F$31:$F$400,'Étape 1 - à remplir'!$E$31:$E$400,MASQ2!O519,'Étape 1 - à remplir'!$O$31:$O$400,X$3)),IF(X$2="Espèce",IF(X$3="Toutes",SUMIFS('Étape 1 - à remplir'!$F$31:$F$400,'Étape 1 - à remplir'!$E$31:$E$400,MASQ2!O519,'Étape 1 - à remplir'!$G$31:$G$400,"animaux"),SUMIFS('Étape 1 - à remplir'!$F$31:$F$400,'Étape 1 - à remplir'!$E$31:$E$400,MASQ2!O519,'Étape 1 - à remplir'!$N$31:$N$400,X$3)))))))</f>
        <v>#N/A</v>
      </c>
      <c r="Q519" s="63">
        <f t="shared" si="335"/>
        <v>0</v>
      </c>
      <c r="R519" t="str">
        <f>Données_ATB!BM518</f>
        <v>Tulathromycine</v>
      </c>
      <c r="S519" t="str">
        <f>Données_ATB!BN518</f>
        <v/>
      </c>
      <c r="T519" s="63" t="str">
        <f>Données_ATB!BO518</f>
        <v/>
      </c>
      <c r="U519" s="42" t="str">
        <f>Données_ATB!BQ518</f>
        <v>Macrolides</v>
      </c>
      <c r="V519" t="str">
        <f>Données_ATB!BR518</f>
        <v/>
      </c>
      <c r="W519" s="63" t="str">
        <f>Données_ATB!BS518</f>
        <v/>
      </c>
      <c r="Z519" s="42">
        <v>516</v>
      </c>
      <c r="AA519" t="e">
        <f t="shared" si="331"/>
        <v>#N/A</v>
      </c>
      <c r="AB519" s="63" t="e">
        <f t="shared" si="332"/>
        <v>#N/A</v>
      </c>
      <c r="BT519" s="194" t="str">
        <f t="shared" ca="1" si="315"/>
        <v/>
      </c>
      <c r="BU519" s="219" t="str">
        <f>IFERROR(IF(BX519=0,"",COUNTIF(BX$4:BX$600,"&gt;"&amp;BX519)+COUNTIF(BX$4:BX519,BX519)),"")</f>
        <v/>
      </c>
      <c r="BV519" s="42" t="str">
        <f t="shared" si="316"/>
        <v>TULAVEN 100 MG/ML SOLUTION INJECTABLE POUR BOVINS PORCINS ET OVINS</v>
      </c>
      <c r="BW519" t="e">
        <f>IF(IF(CE$2="Catégorie",IF(CE$3="Toutes",SUMIFS('Étape 1 - à remplir'!$F$31:$F$400,'Étape 1 - à remplir'!$E$31:$E$400,MASQ2!BV519,'Étape 1 - à remplir'!$G$31:$G$400,"lots"),SUMIFS('Étape 1 - à remplir'!$F$31:$F$400,'Étape 1 - à remplir'!$E$31:$E$400,MASQ2!BV519,'Étape 1 - à remplir'!$C$31:$C$400,CE$3)),IF(CE$2="Âge",IF(CE$3="Tous",SUMIFS('Étape 1 - à remplir'!$F$31:$F$400,'Étape 1 - à remplir'!$E$31:$E$400,MASQ2!BV519,'Étape 1 - à remplir'!$G$31:$G$400,"lots"),SUMIFS('Étape 1 - à remplir'!$F$31:$F$400,'Étape 1 - à remplir'!$E$31:$E$400,MASQ2!BV519,'Étape 1 - à remplir'!$P$31:$P$400,CE$3,'Étape 1 - à remplir'!$G$31:$G$400,"lots")),IF(CE$2="Atelier",IF(CE$3="Tous",SUMIFS('Étape 1 - à remplir'!$F$31:$F$400,'Étape 1 - à remplir'!$E$31:$E$400,MASQ2!BV519,'Étape 1 - à remplir'!$G$31:$G$400,"lots"),SUMIFS('Étape 1 - à remplir'!$F$31:$F$400,'Étape 1 - à remplir'!$E$31:$E$400,MASQ2!BV519,'Étape 1 - à remplir'!$O$31:$O$400,CE$3,'Étape 1 - à remplir'!$G$31:$G$400,"lots")),IF(CE$2="Espèce",IF(CE$3="Toutes",SUMIFS('Étape 1 - à remplir'!$F$31:$F$400,'Étape 1 - à remplir'!$E$31:$E$400,MASQ2!BV519,'Étape 1 - à remplir'!$G$31:$G$400,"lots"),SUMIFS('Étape 1 - à remplir'!$F$31:$F$400,'Étape 1 - à remplir'!$E$31:$E$400,MASQ2!BV519,'Étape 1 - à remplir'!$N$31:$N$400,CE$3,'Étape 1 - à remplir'!$G$31:$G$400,"lots"))))))=0,NA(),IF(CE$2="Catégorie",IF(CE$3="Toutes",SUMIFS('Étape 1 - à remplir'!$F$31:$F$400,'Étape 1 - à remplir'!$E$31:$E$400,MASQ2!BV519,'Étape 1 - à remplir'!$G$31:$G$400,"lots"),SUMIFS('Étape 1 - à remplir'!$F$31:$F$400,'Étape 1 - à remplir'!$E$31:$E$400,MASQ2!BV519,'Étape 1 - à remplir'!$C$31:$C$400,CE$3)),IF(CE$2="Âge",IF(CE$3="Tous",SUMIFS('Étape 1 - à remplir'!$F$31:$F$400,'Étape 1 - à remplir'!$E$31:$E$400,MASQ2!BV519,'Étape 1 - à remplir'!$G$31:$G$400,"lots"),SUMIFS('Étape 1 - à remplir'!$F$31:$F$400,'Étape 1 - à remplir'!$E$31:$E$400,MASQ2!BV519,'Étape 1 - à remplir'!$P$31:$P$400,CE$3,'Étape 1 - à remplir'!$G$31:$G$400,"lots")),IF(CE$2="Atelier",IF(CE$3="Tous",SUMIFS('Étape 1 - à remplir'!$F$31:$F$400,'Étape 1 - à remplir'!$E$31:$E$400,MASQ2!BV519,'Étape 1 - à remplir'!$G$31:$G$400,"lots"),SUMIFS('Étape 1 - à remplir'!$F$31:$F$400,'Étape 1 - à remplir'!$E$31:$E$400,MASQ2!BV519,'Étape 1 - à remplir'!$O$31:$O$400,CE$3,'Étape 1 - à remplir'!$G$31:$G$400,"lots")),IF(CE$2="Espèce",IF(CE$3="Toutes",SUMIFS('Étape 1 - à remplir'!$F$31:$F$400,'Étape 1 - à remplir'!$E$31:$E$400,MASQ2!BV519,'Étape 1 - à remplir'!$G$31:$G$400,"lots"),SUMIFS('Étape 1 - à remplir'!$F$31:$F$400,'Étape 1 - à remplir'!$E$31:$E$400,MASQ2!BV519,'Étape 1 - à remplir'!$N$31:$N$400,CE$3,'Étape 1 - à remplir'!$G$31:$G$400,"lots")))))))</f>
        <v>#N/A</v>
      </c>
      <c r="BX519">
        <f t="shared" si="333"/>
        <v>0</v>
      </c>
      <c r="BY519" t="str">
        <f t="shared" si="317"/>
        <v>Tulathromycine</v>
      </c>
      <c r="BZ519" t="str">
        <f t="shared" si="318"/>
        <v/>
      </c>
      <c r="CA519" t="str">
        <f t="shared" si="319"/>
        <v/>
      </c>
      <c r="CB519" t="str">
        <f t="shared" si="320"/>
        <v>Macrolides</v>
      </c>
      <c r="CC519" t="str">
        <f t="shared" si="321"/>
        <v/>
      </c>
      <c r="CD519" s="63" t="str">
        <f t="shared" si="322"/>
        <v/>
      </c>
      <c r="CG519" s="42">
        <v>516</v>
      </c>
      <c r="CH519" s="42" t="e">
        <f t="shared" si="313"/>
        <v>#N/A</v>
      </c>
      <c r="CI519" s="63" t="e">
        <f t="shared" si="314"/>
        <v>#N/A</v>
      </c>
      <c r="EA519" s="194" t="str">
        <f t="shared" ca="1" si="323"/>
        <v/>
      </c>
      <c r="EB519" s="226" t="str">
        <f>IFERROR(IF(ED519=0,"",COUNTIF(ED$4:ED$600,"&gt;"&amp;ED519)+COUNTIF(ED$4:ED519,ED519)),"")</f>
        <v/>
      </c>
      <c r="EC519" t="str">
        <f t="shared" si="324"/>
        <v>TULAVEN 100 MG/ML SOLUTION INJECTABLE POUR BOVINS PORCINS ET OVINS</v>
      </c>
      <c r="ED519" t="e">
        <f>IF(IF(EL$2="Catégorie",IF(EL$3="Toutes",SUMIFS('Étape 1 - à remplir'!$F$31:$F$400,'Étape 1 - à remplir'!$E$31:$E$400,MASQ2!EC519,'Étape 1 - à remplir'!$G$31:$G$400,"kg"),SUMIFS('Étape 1 - à remplir'!$F$31:$F$400,'Étape 1 - à remplir'!$E$31:$E$400,MASQ2!EC519,'Étape 1 - à remplir'!$C$31:$C$400,EL$3)),IF(EL$2="Âge",IF(EL$3="Tous",SUMIFS('Étape 1 - à remplir'!$F$31:$F$400,'Étape 1 - à remplir'!$E$31:$E$400,MASQ2!EC519,'Étape 1 - à remplir'!$G$31:$G$400,"kg"),SUMIFS('Étape 1 - à remplir'!$F$31:$F$400,'Étape 1 - à remplir'!$E$31:$E$400,MASQ2!EC519,'Étape 1 - à remplir'!$P$31:$P$400,EL$3,'Étape 1 - à remplir'!$G$31:$G$400,"kg")),IF(EL$2="Atelier",IF(EL$3="Tous",SUMIFS('Étape 1 - à remplir'!$F$31:$F$400,'Étape 1 - à remplir'!$E$31:$E$400,MASQ2!EC519,'Étape 1 - à remplir'!$G$31:$G$400,"kg"),SUMIFS('Étape 1 - à remplir'!$F$31:$F$400,'Étape 1 - à remplir'!$E$31:$E$400,MASQ2!EC519,'Étape 1 - à remplir'!$O$31:$O$400,EL$3,'Étape 1 - à remplir'!$G$31:$G$400,"kg")),IF(EL$2="Espèce",IF(EL$3="Toutes",SUMIFS('Étape 1 - à remplir'!$F$31:$F$400,'Étape 1 - à remplir'!$E$31:$E$400,MASQ2!EC519,'Étape 1 - à remplir'!$G$31:$G$400,"kg"),SUMIFS('Étape 1 - à remplir'!$F$31:$F$400,'Étape 1 - à remplir'!$E$31:$E$400,MASQ2!EC519,'Étape 1 - à remplir'!$N$31:$N$400,EL$3,'Étape 1 - à remplir'!$G$31:$G$400,"kg"))))))=0,NA(),IF(EL$2="Catégorie",IF(EL$3="Toutes",SUMIFS('Étape 1 - à remplir'!$F$31:$F$400,'Étape 1 - à remplir'!$E$31:$E$400,MASQ2!EC519,'Étape 1 - à remplir'!$G$31:$G$400,"kg"),SUMIFS('Étape 1 - à remplir'!$F$31:$F$400,'Étape 1 - à remplir'!$E$31:$E$400,MASQ2!EC519,'Étape 1 - à remplir'!$C$31:$C$400,EL$3)),IF(EL$2="Âge",IF(EL$3="Tous",SUMIFS('Étape 1 - à remplir'!$F$31:$F$400,'Étape 1 - à remplir'!$E$31:$E$400,MASQ2!EC519,'Étape 1 - à remplir'!$G$31:$G$400,"kg"),SUMIFS('Étape 1 - à remplir'!$F$31:$F$400,'Étape 1 - à remplir'!$E$31:$E$400,MASQ2!EC519,'Étape 1 - à remplir'!$P$31:$P$400,EL$3,'Étape 1 - à remplir'!$G$31:$G$400,"kg")),IF(EL$2="Atelier",IF(EL$3="Tous",SUMIFS('Étape 1 - à remplir'!$F$31:$F$400,'Étape 1 - à remplir'!$E$31:$E$400,MASQ2!EC519,'Étape 1 - à remplir'!$G$31:$G$400,"kg"),SUMIFS('Étape 1 - à remplir'!$F$31:$F$400,'Étape 1 - à remplir'!$E$31:$E$400,MASQ2!EC519,'Étape 1 - à remplir'!$O$31:$O$400,EL$3,'Étape 1 - à remplir'!$G$31:$G$400,"kg")),IF(EL$2="Espèce",IF(EL$3="Toutes",SUMIFS('Étape 1 - à remplir'!$F$31:$F$400,'Étape 1 - à remplir'!$E$31:$E$400,MASQ2!EC519,'Étape 1 - à remplir'!$G$31:$G$400,"kg"),SUMIFS('Étape 1 - à remplir'!$F$31:$F$400,'Étape 1 - à remplir'!$E$31:$E$400,MASQ2!EC519,'Étape 1 - à remplir'!$N$31:$N$400,EL$3,'Étape 1 - à remplir'!$G$31:$G$400,"kg")))))))</f>
        <v>#N/A</v>
      </c>
      <c r="EE519" s="76">
        <f t="shared" si="334"/>
        <v>0</v>
      </c>
      <c r="EF519" t="str">
        <f t="shared" si="325"/>
        <v>Tulathromycine</v>
      </c>
      <c r="EG519" t="str">
        <f t="shared" si="326"/>
        <v/>
      </c>
      <c r="EH519" t="str">
        <f t="shared" si="327"/>
        <v/>
      </c>
      <c r="EI519" t="str">
        <f t="shared" si="328"/>
        <v>Macrolides</v>
      </c>
      <c r="EJ519" t="str">
        <f t="shared" si="329"/>
        <v/>
      </c>
      <c r="EK519" s="63" t="str">
        <f t="shared" si="330"/>
        <v/>
      </c>
      <c r="EN519" s="42">
        <v>516</v>
      </c>
      <c r="EO519" t="e">
        <f t="shared" si="311"/>
        <v>#N/A</v>
      </c>
      <c r="EP519" s="63" t="e">
        <f t="shared" si="312"/>
        <v>#N/A</v>
      </c>
    </row>
    <row r="520" spans="13:146" x14ac:dyDescent="0.3">
      <c r="M520" s="194" t="str">
        <f ca="1">INDEX(Données_ATB!BD:BU,MATCH(MASQ2!O520,Données_ATB!BD:BD,0),18)</f>
        <v/>
      </c>
      <c r="N520" s="14" t="str">
        <f>IFERROR(IF(Q520=0,"",COUNTIF(Q$4:Q$600,"&gt;"&amp;Q520)+COUNTIF(Q$4:Q520,Q520)),"")</f>
        <v/>
      </c>
      <c r="O520" t="str">
        <f>Données_ATB!BD519</f>
        <v>TULAVEN 25 MG/ML SOLUTION INJECTABLE POUR PORCINS</v>
      </c>
      <c r="P520" t="e">
        <f>IF(IF(X$2="Catégorie",IF(X$3="Toutes",SUMIFS('Étape 1 - à remplir'!$F$31:$F$400,'Étape 1 - à remplir'!$E$31:$E$400,MASQ2!O520,'Étape 1 - à remplir'!$G$31:$G$400,"animaux"),SUMIFS('Étape 1 - à remplir'!$F$31:$F$400,'Étape 1 - à remplir'!$E$31:$E$400,MASQ2!O520,'Étape 1 - à remplir'!$C$31:$C$400,X$3)),IF(X$2="Âge",IF(X$3="Tous",SUMIFS('Étape 1 - à remplir'!$F$31:$F$400,'Étape 1 - à remplir'!$E$31:$E$400,MASQ2!O520,'Étape 1 - à remplir'!$G$31:$G$400,"animaux"),SUMIFS('Étape 1 - à remplir'!$F$31:$F$400,'Étape 1 - à remplir'!$E$31:$E$400,MASQ2!O520,'Étape 1 - à remplir'!$P$31:$P$400,X$3)),IF(X$2="Atelier",IF(X$3="Tous",SUMIFS('Étape 1 - à remplir'!$F$31:$F$400,'Étape 1 - à remplir'!$E$31:$E$400,MASQ2!O520,'Étape 1 - à remplir'!$G$31:$G$400,"animaux"),SUMIFS('Étape 1 - à remplir'!$F$31:$F$400,'Étape 1 - à remplir'!$E$31:$E$400,MASQ2!O520,'Étape 1 - à remplir'!$O$31:$O$400,X$3)),IF(X$2="Espèce",IF(X$3="Toutes",SUMIFS('Étape 1 - à remplir'!$F$31:$F$400,'Étape 1 - à remplir'!$E$31:$E$400,MASQ2!O520,'Étape 1 - à remplir'!$G$31:$G$400,"animaux"),SUMIFS('Étape 1 - à remplir'!$F$31:$F$400,'Étape 1 - à remplir'!$E$31:$E$400,MASQ2!O520,'Étape 1 - à remplir'!$N$31:$N$400,X$3))))))=0,NA(),IF(X$2="Catégorie",IF(X$3="Toutes",SUMIFS('Étape 1 - à remplir'!$F$31:$F$400,'Étape 1 - à remplir'!$E$31:$E$400,MASQ2!O520,'Étape 1 - à remplir'!$G$31:$G$400,"animaux"),SUMIFS('Étape 1 - à remplir'!$F$31:$F$400,'Étape 1 - à remplir'!$E$31:$E$400,MASQ2!O520,'Étape 1 - à remplir'!$C$31:$C$400,X$3)),IF(X$2="Âge",IF(X$3="Tous",SUMIFS('Étape 1 - à remplir'!$F$31:$F$400,'Étape 1 - à remplir'!$E$31:$E$400,MASQ2!O520,'Étape 1 - à remplir'!$G$31:$G$400,"animaux"),SUMIFS('Étape 1 - à remplir'!$F$31:$F$400,'Étape 1 - à remplir'!$E$31:$E$400,MASQ2!O520,'Étape 1 - à remplir'!$P$31:$P$400,X$3)),IF(X$2="Atelier",IF(X$3="Tous",SUMIFS('Étape 1 - à remplir'!$F$31:$F$400,'Étape 1 - à remplir'!$E$31:$E$400,MASQ2!O520,'Étape 1 - à remplir'!$G$31:$G$400,"animaux"),SUMIFS('Étape 1 - à remplir'!$F$31:$F$400,'Étape 1 - à remplir'!$E$31:$E$400,MASQ2!O520,'Étape 1 - à remplir'!$O$31:$O$400,X$3)),IF(X$2="Espèce",IF(X$3="Toutes",SUMIFS('Étape 1 - à remplir'!$F$31:$F$400,'Étape 1 - à remplir'!$E$31:$E$400,MASQ2!O520,'Étape 1 - à remplir'!$G$31:$G$400,"animaux"),SUMIFS('Étape 1 - à remplir'!$F$31:$F$400,'Étape 1 - à remplir'!$E$31:$E$400,MASQ2!O520,'Étape 1 - à remplir'!$N$31:$N$400,X$3)))))))</f>
        <v>#N/A</v>
      </c>
      <c r="Q520" s="63">
        <f t="shared" si="335"/>
        <v>0</v>
      </c>
      <c r="R520" t="str">
        <f>Données_ATB!BM519</f>
        <v>Tulathromycine</v>
      </c>
      <c r="S520" t="str">
        <f>Données_ATB!BN519</f>
        <v/>
      </c>
      <c r="T520" s="63" t="str">
        <f>Données_ATB!BO519</f>
        <v/>
      </c>
      <c r="U520" s="42" t="str">
        <f>Données_ATB!BQ519</f>
        <v>Macrolides</v>
      </c>
      <c r="V520" t="str">
        <f>Données_ATB!BR519</f>
        <v/>
      </c>
      <c r="W520" s="63" t="str">
        <f>Données_ATB!BS519</f>
        <v/>
      </c>
      <c r="Z520" s="42">
        <v>517</v>
      </c>
      <c r="AA520" t="e">
        <f t="shared" si="331"/>
        <v>#N/A</v>
      </c>
      <c r="AB520" s="63" t="e">
        <f t="shared" si="332"/>
        <v>#N/A</v>
      </c>
      <c r="BT520" s="194" t="str">
        <f t="shared" ca="1" si="315"/>
        <v/>
      </c>
      <c r="BU520" s="219" t="str">
        <f>IFERROR(IF(BX520=0,"",COUNTIF(BX$4:BX$600,"&gt;"&amp;BX520)+COUNTIF(BX$4:BX520,BX520)),"")</f>
        <v/>
      </c>
      <c r="BV520" s="42" t="str">
        <f t="shared" si="316"/>
        <v>TULAVEN 25 MG/ML SOLUTION INJECTABLE POUR PORCINS</v>
      </c>
      <c r="BW520" t="e">
        <f>IF(IF(CE$2="Catégorie",IF(CE$3="Toutes",SUMIFS('Étape 1 - à remplir'!$F$31:$F$400,'Étape 1 - à remplir'!$E$31:$E$400,MASQ2!BV520,'Étape 1 - à remplir'!$G$31:$G$400,"lots"),SUMIFS('Étape 1 - à remplir'!$F$31:$F$400,'Étape 1 - à remplir'!$E$31:$E$400,MASQ2!BV520,'Étape 1 - à remplir'!$C$31:$C$400,CE$3)),IF(CE$2="Âge",IF(CE$3="Tous",SUMIFS('Étape 1 - à remplir'!$F$31:$F$400,'Étape 1 - à remplir'!$E$31:$E$400,MASQ2!BV520,'Étape 1 - à remplir'!$G$31:$G$400,"lots"),SUMIFS('Étape 1 - à remplir'!$F$31:$F$400,'Étape 1 - à remplir'!$E$31:$E$400,MASQ2!BV520,'Étape 1 - à remplir'!$P$31:$P$400,CE$3,'Étape 1 - à remplir'!$G$31:$G$400,"lots")),IF(CE$2="Atelier",IF(CE$3="Tous",SUMIFS('Étape 1 - à remplir'!$F$31:$F$400,'Étape 1 - à remplir'!$E$31:$E$400,MASQ2!BV520,'Étape 1 - à remplir'!$G$31:$G$400,"lots"),SUMIFS('Étape 1 - à remplir'!$F$31:$F$400,'Étape 1 - à remplir'!$E$31:$E$400,MASQ2!BV520,'Étape 1 - à remplir'!$O$31:$O$400,CE$3,'Étape 1 - à remplir'!$G$31:$G$400,"lots")),IF(CE$2="Espèce",IF(CE$3="Toutes",SUMIFS('Étape 1 - à remplir'!$F$31:$F$400,'Étape 1 - à remplir'!$E$31:$E$400,MASQ2!BV520,'Étape 1 - à remplir'!$G$31:$G$400,"lots"),SUMIFS('Étape 1 - à remplir'!$F$31:$F$400,'Étape 1 - à remplir'!$E$31:$E$400,MASQ2!BV520,'Étape 1 - à remplir'!$N$31:$N$400,CE$3,'Étape 1 - à remplir'!$G$31:$G$400,"lots"))))))=0,NA(),IF(CE$2="Catégorie",IF(CE$3="Toutes",SUMIFS('Étape 1 - à remplir'!$F$31:$F$400,'Étape 1 - à remplir'!$E$31:$E$400,MASQ2!BV520,'Étape 1 - à remplir'!$G$31:$G$400,"lots"),SUMIFS('Étape 1 - à remplir'!$F$31:$F$400,'Étape 1 - à remplir'!$E$31:$E$400,MASQ2!BV520,'Étape 1 - à remplir'!$C$31:$C$400,CE$3)),IF(CE$2="Âge",IF(CE$3="Tous",SUMIFS('Étape 1 - à remplir'!$F$31:$F$400,'Étape 1 - à remplir'!$E$31:$E$400,MASQ2!BV520,'Étape 1 - à remplir'!$G$31:$G$400,"lots"),SUMIFS('Étape 1 - à remplir'!$F$31:$F$400,'Étape 1 - à remplir'!$E$31:$E$400,MASQ2!BV520,'Étape 1 - à remplir'!$P$31:$P$400,CE$3,'Étape 1 - à remplir'!$G$31:$G$400,"lots")),IF(CE$2="Atelier",IF(CE$3="Tous",SUMIFS('Étape 1 - à remplir'!$F$31:$F$400,'Étape 1 - à remplir'!$E$31:$E$400,MASQ2!BV520,'Étape 1 - à remplir'!$G$31:$G$400,"lots"),SUMIFS('Étape 1 - à remplir'!$F$31:$F$400,'Étape 1 - à remplir'!$E$31:$E$400,MASQ2!BV520,'Étape 1 - à remplir'!$O$31:$O$400,CE$3,'Étape 1 - à remplir'!$G$31:$G$400,"lots")),IF(CE$2="Espèce",IF(CE$3="Toutes",SUMIFS('Étape 1 - à remplir'!$F$31:$F$400,'Étape 1 - à remplir'!$E$31:$E$400,MASQ2!BV520,'Étape 1 - à remplir'!$G$31:$G$400,"lots"),SUMIFS('Étape 1 - à remplir'!$F$31:$F$400,'Étape 1 - à remplir'!$E$31:$E$400,MASQ2!BV520,'Étape 1 - à remplir'!$N$31:$N$400,CE$3,'Étape 1 - à remplir'!$G$31:$G$400,"lots")))))))</f>
        <v>#N/A</v>
      </c>
      <c r="BX520">
        <f t="shared" si="333"/>
        <v>0</v>
      </c>
      <c r="BY520" t="str">
        <f t="shared" si="317"/>
        <v>Tulathromycine</v>
      </c>
      <c r="BZ520" t="str">
        <f t="shared" si="318"/>
        <v/>
      </c>
      <c r="CA520" t="str">
        <f t="shared" si="319"/>
        <v/>
      </c>
      <c r="CB520" t="str">
        <f t="shared" si="320"/>
        <v>Macrolides</v>
      </c>
      <c r="CC520" t="str">
        <f t="shared" si="321"/>
        <v/>
      </c>
      <c r="CD520" s="63" t="str">
        <f t="shared" si="322"/>
        <v/>
      </c>
      <c r="CG520" s="42">
        <v>517</v>
      </c>
      <c r="CH520" s="42" t="e">
        <f t="shared" si="313"/>
        <v>#N/A</v>
      </c>
      <c r="CI520" s="63" t="e">
        <f t="shared" si="314"/>
        <v>#N/A</v>
      </c>
      <c r="EA520" s="194" t="str">
        <f t="shared" ca="1" si="323"/>
        <v/>
      </c>
      <c r="EB520" s="226" t="str">
        <f>IFERROR(IF(ED520=0,"",COUNTIF(ED$4:ED$600,"&gt;"&amp;ED520)+COUNTIF(ED$4:ED520,ED520)),"")</f>
        <v/>
      </c>
      <c r="EC520" t="str">
        <f t="shared" si="324"/>
        <v>TULAVEN 25 MG/ML SOLUTION INJECTABLE POUR PORCINS</v>
      </c>
      <c r="ED520" t="e">
        <f>IF(IF(EL$2="Catégorie",IF(EL$3="Toutes",SUMIFS('Étape 1 - à remplir'!$F$31:$F$400,'Étape 1 - à remplir'!$E$31:$E$400,MASQ2!EC520,'Étape 1 - à remplir'!$G$31:$G$400,"kg"),SUMIFS('Étape 1 - à remplir'!$F$31:$F$400,'Étape 1 - à remplir'!$E$31:$E$400,MASQ2!EC520,'Étape 1 - à remplir'!$C$31:$C$400,EL$3)),IF(EL$2="Âge",IF(EL$3="Tous",SUMIFS('Étape 1 - à remplir'!$F$31:$F$400,'Étape 1 - à remplir'!$E$31:$E$400,MASQ2!EC520,'Étape 1 - à remplir'!$G$31:$G$400,"kg"),SUMIFS('Étape 1 - à remplir'!$F$31:$F$400,'Étape 1 - à remplir'!$E$31:$E$400,MASQ2!EC520,'Étape 1 - à remplir'!$P$31:$P$400,EL$3,'Étape 1 - à remplir'!$G$31:$G$400,"kg")),IF(EL$2="Atelier",IF(EL$3="Tous",SUMIFS('Étape 1 - à remplir'!$F$31:$F$400,'Étape 1 - à remplir'!$E$31:$E$400,MASQ2!EC520,'Étape 1 - à remplir'!$G$31:$G$400,"kg"),SUMIFS('Étape 1 - à remplir'!$F$31:$F$400,'Étape 1 - à remplir'!$E$31:$E$400,MASQ2!EC520,'Étape 1 - à remplir'!$O$31:$O$400,EL$3,'Étape 1 - à remplir'!$G$31:$G$400,"kg")),IF(EL$2="Espèce",IF(EL$3="Toutes",SUMIFS('Étape 1 - à remplir'!$F$31:$F$400,'Étape 1 - à remplir'!$E$31:$E$400,MASQ2!EC520,'Étape 1 - à remplir'!$G$31:$G$400,"kg"),SUMIFS('Étape 1 - à remplir'!$F$31:$F$400,'Étape 1 - à remplir'!$E$31:$E$400,MASQ2!EC520,'Étape 1 - à remplir'!$N$31:$N$400,EL$3,'Étape 1 - à remplir'!$G$31:$G$400,"kg"))))))=0,NA(),IF(EL$2="Catégorie",IF(EL$3="Toutes",SUMIFS('Étape 1 - à remplir'!$F$31:$F$400,'Étape 1 - à remplir'!$E$31:$E$400,MASQ2!EC520,'Étape 1 - à remplir'!$G$31:$G$400,"kg"),SUMIFS('Étape 1 - à remplir'!$F$31:$F$400,'Étape 1 - à remplir'!$E$31:$E$400,MASQ2!EC520,'Étape 1 - à remplir'!$C$31:$C$400,EL$3)),IF(EL$2="Âge",IF(EL$3="Tous",SUMIFS('Étape 1 - à remplir'!$F$31:$F$400,'Étape 1 - à remplir'!$E$31:$E$400,MASQ2!EC520,'Étape 1 - à remplir'!$G$31:$G$400,"kg"),SUMIFS('Étape 1 - à remplir'!$F$31:$F$400,'Étape 1 - à remplir'!$E$31:$E$400,MASQ2!EC520,'Étape 1 - à remplir'!$P$31:$P$400,EL$3,'Étape 1 - à remplir'!$G$31:$G$400,"kg")),IF(EL$2="Atelier",IF(EL$3="Tous",SUMIFS('Étape 1 - à remplir'!$F$31:$F$400,'Étape 1 - à remplir'!$E$31:$E$400,MASQ2!EC520,'Étape 1 - à remplir'!$G$31:$G$400,"kg"),SUMIFS('Étape 1 - à remplir'!$F$31:$F$400,'Étape 1 - à remplir'!$E$31:$E$400,MASQ2!EC520,'Étape 1 - à remplir'!$O$31:$O$400,EL$3,'Étape 1 - à remplir'!$G$31:$G$400,"kg")),IF(EL$2="Espèce",IF(EL$3="Toutes",SUMIFS('Étape 1 - à remplir'!$F$31:$F$400,'Étape 1 - à remplir'!$E$31:$E$400,MASQ2!EC520,'Étape 1 - à remplir'!$G$31:$G$400,"kg"),SUMIFS('Étape 1 - à remplir'!$F$31:$F$400,'Étape 1 - à remplir'!$E$31:$E$400,MASQ2!EC520,'Étape 1 - à remplir'!$N$31:$N$400,EL$3,'Étape 1 - à remplir'!$G$31:$G$400,"kg")))))))</f>
        <v>#N/A</v>
      </c>
      <c r="EE520" s="76">
        <f t="shared" si="334"/>
        <v>0</v>
      </c>
      <c r="EF520" t="str">
        <f t="shared" si="325"/>
        <v>Tulathromycine</v>
      </c>
      <c r="EG520" t="str">
        <f t="shared" si="326"/>
        <v/>
      </c>
      <c r="EH520" t="str">
        <f t="shared" si="327"/>
        <v/>
      </c>
      <c r="EI520" t="str">
        <f t="shared" si="328"/>
        <v>Macrolides</v>
      </c>
      <c r="EJ520" t="str">
        <f t="shared" si="329"/>
        <v/>
      </c>
      <c r="EK520" s="63" t="str">
        <f t="shared" si="330"/>
        <v/>
      </c>
      <c r="EN520" s="42">
        <v>517</v>
      </c>
      <c r="EO520" t="e">
        <f t="shared" si="311"/>
        <v>#N/A</v>
      </c>
      <c r="EP520" s="63" t="e">
        <f t="shared" si="312"/>
        <v>#N/A</v>
      </c>
    </row>
    <row r="521" spans="13:146" x14ac:dyDescent="0.3">
      <c r="M521" s="194" t="str">
        <f ca="1">INDEX(Données_ATB!BD:BU,MATCH(MASQ2!O521,Données_ATB!BD:BD,0),18)</f>
        <v/>
      </c>
      <c r="N521" s="14" t="str">
        <f>IFERROR(IF(Q521=0,"",COUNTIF(Q$4:Q$600,"&gt;"&amp;Q521)+COUNTIF(Q$4:Q521,Q521)),"")</f>
        <v/>
      </c>
      <c r="O521" t="str">
        <f>Données_ATB!BD520</f>
        <v>TULINOVET 100 MG/ML SOLUTION INJECTABLE POUR BOVINS PORCINS ET OVINS</v>
      </c>
      <c r="P521" t="e">
        <f>IF(IF(X$2="Catégorie",IF(X$3="Toutes",SUMIFS('Étape 1 - à remplir'!$F$31:$F$400,'Étape 1 - à remplir'!$E$31:$E$400,MASQ2!O521,'Étape 1 - à remplir'!$G$31:$G$400,"animaux"),SUMIFS('Étape 1 - à remplir'!$F$31:$F$400,'Étape 1 - à remplir'!$E$31:$E$400,MASQ2!O521,'Étape 1 - à remplir'!$C$31:$C$400,X$3)),IF(X$2="Âge",IF(X$3="Tous",SUMIFS('Étape 1 - à remplir'!$F$31:$F$400,'Étape 1 - à remplir'!$E$31:$E$400,MASQ2!O521,'Étape 1 - à remplir'!$G$31:$G$400,"animaux"),SUMIFS('Étape 1 - à remplir'!$F$31:$F$400,'Étape 1 - à remplir'!$E$31:$E$400,MASQ2!O521,'Étape 1 - à remplir'!$P$31:$P$400,X$3)),IF(X$2="Atelier",IF(X$3="Tous",SUMIFS('Étape 1 - à remplir'!$F$31:$F$400,'Étape 1 - à remplir'!$E$31:$E$400,MASQ2!O521,'Étape 1 - à remplir'!$G$31:$G$400,"animaux"),SUMIFS('Étape 1 - à remplir'!$F$31:$F$400,'Étape 1 - à remplir'!$E$31:$E$400,MASQ2!O521,'Étape 1 - à remplir'!$O$31:$O$400,X$3)),IF(X$2="Espèce",IF(X$3="Toutes",SUMIFS('Étape 1 - à remplir'!$F$31:$F$400,'Étape 1 - à remplir'!$E$31:$E$400,MASQ2!O521,'Étape 1 - à remplir'!$G$31:$G$400,"animaux"),SUMIFS('Étape 1 - à remplir'!$F$31:$F$400,'Étape 1 - à remplir'!$E$31:$E$400,MASQ2!O521,'Étape 1 - à remplir'!$N$31:$N$400,X$3))))))=0,NA(),IF(X$2="Catégorie",IF(X$3="Toutes",SUMIFS('Étape 1 - à remplir'!$F$31:$F$400,'Étape 1 - à remplir'!$E$31:$E$400,MASQ2!O521,'Étape 1 - à remplir'!$G$31:$G$400,"animaux"),SUMIFS('Étape 1 - à remplir'!$F$31:$F$400,'Étape 1 - à remplir'!$E$31:$E$400,MASQ2!O521,'Étape 1 - à remplir'!$C$31:$C$400,X$3)),IF(X$2="Âge",IF(X$3="Tous",SUMIFS('Étape 1 - à remplir'!$F$31:$F$400,'Étape 1 - à remplir'!$E$31:$E$400,MASQ2!O521,'Étape 1 - à remplir'!$G$31:$G$400,"animaux"),SUMIFS('Étape 1 - à remplir'!$F$31:$F$400,'Étape 1 - à remplir'!$E$31:$E$400,MASQ2!O521,'Étape 1 - à remplir'!$P$31:$P$400,X$3)),IF(X$2="Atelier",IF(X$3="Tous",SUMIFS('Étape 1 - à remplir'!$F$31:$F$400,'Étape 1 - à remplir'!$E$31:$E$400,MASQ2!O521,'Étape 1 - à remplir'!$G$31:$G$400,"animaux"),SUMIFS('Étape 1 - à remplir'!$F$31:$F$400,'Étape 1 - à remplir'!$E$31:$E$400,MASQ2!O521,'Étape 1 - à remplir'!$O$31:$O$400,X$3)),IF(X$2="Espèce",IF(X$3="Toutes",SUMIFS('Étape 1 - à remplir'!$F$31:$F$400,'Étape 1 - à remplir'!$E$31:$E$400,MASQ2!O521,'Étape 1 - à remplir'!$G$31:$G$400,"animaux"),SUMIFS('Étape 1 - à remplir'!$F$31:$F$400,'Étape 1 - à remplir'!$E$31:$E$400,MASQ2!O521,'Étape 1 - à remplir'!$N$31:$N$400,X$3)))))))</f>
        <v>#N/A</v>
      </c>
      <c r="Q521" s="63">
        <f t="shared" si="335"/>
        <v>0</v>
      </c>
      <c r="R521" t="str">
        <f>Données_ATB!BM520</f>
        <v>Tulathromycine</v>
      </c>
      <c r="S521" t="str">
        <f>Données_ATB!BN520</f>
        <v/>
      </c>
      <c r="T521" s="63" t="str">
        <f>Données_ATB!BO520</f>
        <v/>
      </c>
      <c r="U521" s="42" t="str">
        <f>Données_ATB!BQ520</f>
        <v>Macrolides</v>
      </c>
      <c r="V521" t="str">
        <f>Données_ATB!BR520</f>
        <v/>
      </c>
      <c r="W521" s="63" t="str">
        <f>Données_ATB!BS520</f>
        <v/>
      </c>
      <c r="Z521" s="42">
        <v>518</v>
      </c>
      <c r="AA521" t="e">
        <f t="shared" si="331"/>
        <v>#N/A</v>
      </c>
      <c r="AB521" s="63" t="e">
        <f t="shared" si="332"/>
        <v>#N/A</v>
      </c>
      <c r="BT521" s="194" t="str">
        <f t="shared" ca="1" si="315"/>
        <v/>
      </c>
      <c r="BU521" s="219" t="str">
        <f>IFERROR(IF(BX521=0,"",COUNTIF(BX$4:BX$600,"&gt;"&amp;BX521)+COUNTIF(BX$4:BX521,BX521)),"")</f>
        <v/>
      </c>
      <c r="BV521" s="42" t="str">
        <f t="shared" si="316"/>
        <v>TULINOVET 100 MG/ML SOLUTION INJECTABLE POUR BOVINS PORCINS ET OVINS</v>
      </c>
      <c r="BW521" t="e">
        <f>IF(IF(CE$2="Catégorie",IF(CE$3="Toutes",SUMIFS('Étape 1 - à remplir'!$F$31:$F$400,'Étape 1 - à remplir'!$E$31:$E$400,MASQ2!BV521,'Étape 1 - à remplir'!$G$31:$G$400,"lots"),SUMIFS('Étape 1 - à remplir'!$F$31:$F$400,'Étape 1 - à remplir'!$E$31:$E$400,MASQ2!BV521,'Étape 1 - à remplir'!$C$31:$C$400,CE$3)),IF(CE$2="Âge",IF(CE$3="Tous",SUMIFS('Étape 1 - à remplir'!$F$31:$F$400,'Étape 1 - à remplir'!$E$31:$E$400,MASQ2!BV521,'Étape 1 - à remplir'!$G$31:$G$400,"lots"),SUMIFS('Étape 1 - à remplir'!$F$31:$F$400,'Étape 1 - à remplir'!$E$31:$E$400,MASQ2!BV521,'Étape 1 - à remplir'!$P$31:$P$400,CE$3,'Étape 1 - à remplir'!$G$31:$G$400,"lots")),IF(CE$2="Atelier",IF(CE$3="Tous",SUMIFS('Étape 1 - à remplir'!$F$31:$F$400,'Étape 1 - à remplir'!$E$31:$E$400,MASQ2!BV521,'Étape 1 - à remplir'!$G$31:$G$400,"lots"),SUMIFS('Étape 1 - à remplir'!$F$31:$F$400,'Étape 1 - à remplir'!$E$31:$E$400,MASQ2!BV521,'Étape 1 - à remplir'!$O$31:$O$400,CE$3,'Étape 1 - à remplir'!$G$31:$G$400,"lots")),IF(CE$2="Espèce",IF(CE$3="Toutes",SUMIFS('Étape 1 - à remplir'!$F$31:$F$400,'Étape 1 - à remplir'!$E$31:$E$400,MASQ2!BV521,'Étape 1 - à remplir'!$G$31:$G$400,"lots"),SUMIFS('Étape 1 - à remplir'!$F$31:$F$400,'Étape 1 - à remplir'!$E$31:$E$400,MASQ2!BV521,'Étape 1 - à remplir'!$N$31:$N$400,CE$3,'Étape 1 - à remplir'!$G$31:$G$400,"lots"))))))=0,NA(),IF(CE$2="Catégorie",IF(CE$3="Toutes",SUMIFS('Étape 1 - à remplir'!$F$31:$F$400,'Étape 1 - à remplir'!$E$31:$E$400,MASQ2!BV521,'Étape 1 - à remplir'!$G$31:$G$400,"lots"),SUMIFS('Étape 1 - à remplir'!$F$31:$F$400,'Étape 1 - à remplir'!$E$31:$E$400,MASQ2!BV521,'Étape 1 - à remplir'!$C$31:$C$400,CE$3)),IF(CE$2="Âge",IF(CE$3="Tous",SUMIFS('Étape 1 - à remplir'!$F$31:$F$400,'Étape 1 - à remplir'!$E$31:$E$400,MASQ2!BV521,'Étape 1 - à remplir'!$G$31:$G$400,"lots"),SUMIFS('Étape 1 - à remplir'!$F$31:$F$400,'Étape 1 - à remplir'!$E$31:$E$400,MASQ2!BV521,'Étape 1 - à remplir'!$P$31:$P$400,CE$3,'Étape 1 - à remplir'!$G$31:$G$400,"lots")),IF(CE$2="Atelier",IF(CE$3="Tous",SUMIFS('Étape 1 - à remplir'!$F$31:$F$400,'Étape 1 - à remplir'!$E$31:$E$400,MASQ2!BV521,'Étape 1 - à remplir'!$G$31:$G$400,"lots"),SUMIFS('Étape 1 - à remplir'!$F$31:$F$400,'Étape 1 - à remplir'!$E$31:$E$400,MASQ2!BV521,'Étape 1 - à remplir'!$O$31:$O$400,CE$3,'Étape 1 - à remplir'!$G$31:$G$400,"lots")),IF(CE$2="Espèce",IF(CE$3="Toutes",SUMIFS('Étape 1 - à remplir'!$F$31:$F$400,'Étape 1 - à remplir'!$E$31:$E$400,MASQ2!BV521,'Étape 1 - à remplir'!$G$31:$G$400,"lots"),SUMIFS('Étape 1 - à remplir'!$F$31:$F$400,'Étape 1 - à remplir'!$E$31:$E$400,MASQ2!BV521,'Étape 1 - à remplir'!$N$31:$N$400,CE$3,'Étape 1 - à remplir'!$G$31:$G$400,"lots")))))))</f>
        <v>#N/A</v>
      </c>
      <c r="BX521">
        <f t="shared" si="333"/>
        <v>0</v>
      </c>
      <c r="BY521" t="str">
        <f t="shared" si="317"/>
        <v>Tulathromycine</v>
      </c>
      <c r="BZ521" t="str">
        <f t="shared" si="318"/>
        <v/>
      </c>
      <c r="CA521" t="str">
        <f t="shared" si="319"/>
        <v/>
      </c>
      <c r="CB521" t="str">
        <f t="shared" si="320"/>
        <v>Macrolides</v>
      </c>
      <c r="CC521" t="str">
        <f t="shared" si="321"/>
        <v/>
      </c>
      <c r="CD521" s="63" t="str">
        <f t="shared" si="322"/>
        <v/>
      </c>
      <c r="CG521" s="42">
        <v>518</v>
      </c>
      <c r="CH521" s="42" t="e">
        <f t="shared" si="313"/>
        <v>#N/A</v>
      </c>
      <c r="CI521" s="63" t="e">
        <f t="shared" si="314"/>
        <v>#N/A</v>
      </c>
      <c r="EA521" s="194" t="str">
        <f t="shared" ca="1" si="323"/>
        <v/>
      </c>
      <c r="EB521" s="226" t="str">
        <f>IFERROR(IF(ED521=0,"",COUNTIF(ED$4:ED$600,"&gt;"&amp;ED521)+COUNTIF(ED$4:ED521,ED521)),"")</f>
        <v/>
      </c>
      <c r="EC521" t="str">
        <f t="shared" si="324"/>
        <v>TULINOVET 100 MG/ML SOLUTION INJECTABLE POUR BOVINS PORCINS ET OVINS</v>
      </c>
      <c r="ED521" t="e">
        <f>IF(IF(EL$2="Catégorie",IF(EL$3="Toutes",SUMIFS('Étape 1 - à remplir'!$F$31:$F$400,'Étape 1 - à remplir'!$E$31:$E$400,MASQ2!EC521,'Étape 1 - à remplir'!$G$31:$G$400,"kg"),SUMIFS('Étape 1 - à remplir'!$F$31:$F$400,'Étape 1 - à remplir'!$E$31:$E$400,MASQ2!EC521,'Étape 1 - à remplir'!$C$31:$C$400,EL$3)),IF(EL$2="Âge",IF(EL$3="Tous",SUMIFS('Étape 1 - à remplir'!$F$31:$F$400,'Étape 1 - à remplir'!$E$31:$E$400,MASQ2!EC521,'Étape 1 - à remplir'!$G$31:$G$400,"kg"),SUMIFS('Étape 1 - à remplir'!$F$31:$F$400,'Étape 1 - à remplir'!$E$31:$E$400,MASQ2!EC521,'Étape 1 - à remplir'!$P$31:$P$400,EL$3,'Étape 1 - à remplir'!$G$31:$G$400,"kg")),IF(EL$2="Atelier",IF(EL$3="Tous",SUMIFS('Étape 1 - à remplir'!$F$31:$F$400,'Étape 1 - à remplir'!$E$31:$E$400,MASQ2!EC521,'Étape 1 - à remplir'!$G$31:$G$400,"kg"),SUMIFS('Étape 1 - à remplir'!$F$31:$F$400,'Étape 1 - à remplir'!$E$31:$E$400,MASQ2!EC521,'Étape 1 - à remplir'!$O$31:$O$400,EL$3,'Étape 1 - à remplir'!$G$31:$G$400,"kg")),IF(EL$2="Espèce",IF(EL$3="Toutes",SUMIFS('Étape 1 - à remplir'!$F$31:$F$400,'Étape 1 - à remplir'!$E$31:$E$400,MASQ2!EC521,'Étape 1 - à remplir'!$G$31:$G$400,"kg"),SUMIFS('Étape 1 - à remplir'!$F$31:$F$400,'Étape 1 - à remplir'!$E$31:$E$400,MASQ2!EC521,'Étape 1 - à remplir'!$N$31:$N$400,EL$3,'Étape 1 - à remplir'!$G$31:$G$400,"kg"))))))=0,NA(),IF(EL$2="Catégorie",IF(EL$3="Toutes",SUMIFS('Étape 1 - à remplir'!$F$31:$F$400,'Étape 1 - à remplir'!$E$31:$E$400,MASQ2!EC521,'Étape 1 - à remplir'!$G$31:$G$400,"kg"),SUMIFS('Étape 1 - à remplir'!$F$31:$F$400,'Étape 1 - à remplir'!$E$31:$E$400,MASQ2!EC521,'Étape 1 - à remplir'!$C$31:$C$400,EL$3)),IF(EL$2="Âge",IF(EL$3="Tous",SUMIFS('Étape 1 - à remplir'!$F$31:$F$400,'Étape 1 - à remplir'!$E$31:$E$400,MASQ2!EC521,'Étape 1 - à remplir'!$G$31:$G$400,"kg"),SUMIFS('Étape 1 - à remplir'!$F$31:$F$400,'Étape 1 - à remplir'!$E$31:$E$400,MASQ2!EC521,'Étape 1 - à remplir'!$P$31:$P$400,EL$3,'Étape 1 - à remplir'!$G$31:$G$400,"kg")),IF(EL$2="Atelier",IF(EL$3="Tous",SUMIFS('Étape 1 - à remplir'!$F$31:$F$400,'Étape 1 - à remplir'!$E$31:$E$400,MASQ2!EC521,'Étape 1 - à remplir'!$G$31:$G$400,"kg"),SUMIFS('Étape 1 - à remplir'!$F$31:$F$400,'Étape 1 - à remplir'!$E$31:$E$400,MASQ2!EC521,'Étape 1 - à remplir'!$O$31:$O$400,EL$3,'Étape 1 - à remplir'!$G$31:$G$400,"kg")),IF(EL$2="Espèce",IF(EL$3="Toutes",SUMIFS('Étape 1 - à remplir'!$F$31:$F$400,'Étape 1 - à remplir'!$E$31:$E$400,MASQ2!EC521,'Étape 1 - à remplir'!$G$31:$G$400,"kg"),SUMIFS('Étape 1 - à remplir'!$F$31:$F$400,'Étape 1 - à remplir'!$E$31:$E$400,MASQ2!EC521,'Étape 1 - à remplir'!$N$31:$N$400,EL$3,'Étape 1 - à remplir'!$G$31:$G$400,"kg")))))))</f>
        <v>#N/A</v>
      </c>
      <c r="EE521" s="76">
        <f t="shared" si="334"/>
        <v>0</v>
      </c>
      <c r="EF521" t="str">
        <f t="shared" si="325"/>
        <v>Tulathromycine</v>
      </c>
      <c r="EG521" t="str">
        <f t="shared" si="326"/>
        <v/>
      </c>
      <c r="EH521" t="str">
        <f t="shared" si="327"/>
        <v/>
      </c>
      <c r="EI521" t="str">
        <f t="shared" si="328"/>
        <v>Macrolides</v>
      </c>
      <c r="EJ521" t="str">
        <f t="shared" si="329"/>
        <v/>
      </c>
      <c r="EK521" s="63" t="str">
        <f t="shared" si="330"/>
        <v/>
      </c>
      <c r="EN521" s="42">
        <v>518</v>
      </c>
      <c r="EO521" t="e">
        <f t="shared" si="311"/>
        <v>#N/A</v>
      </c>
      <c r="EP521" s="63" t="e">
        <f t="shared" si="312"/>
        <v>#N/A</v>
      </c>
    </row>
    <row r="522" spans="13:146" x14ac:dyDescent="0.3">
      <c r="M522" s="194" t="str">
        <f ca="1">INDEX(Données_ATB!BD:BU,MATCH(MASQ2!O522,Données_ATB!BD:BD,0),18)</f>
        <v/>
      </c>
      <c r="N522" s="14" t="str">
        <f>IFERROR(IF(Q522=0,"",COUNTIF(Q$4:Q$600,"&gt;"&amp;Q522)+COUNTIF(Q$4:Q522,Q522)),"")</f>
        <v/>
      </c>
      <c r="O522" t="str">
        <f>Données_ATB!BD521</f>
        <v>TULISSIN 100 MG/ML SOLUTION INJECTABLE POUR BOVINS PORCINS ET OVINS</v>
      </c>
      <c r="P522" t="e">
        <f>IF(IF(X$2="Catégorie",IF(X$3="Toutes",SUMIFS('Étape 1 - à remplir'!$F$31:$F$400,'Étape 1 - à remplir'!$E$31:$E$400,MASQ2!O522,'Étape 1 - à remplir'!$G$31:$G$400,"animaux"),SUMIFS('Étape 1 - à remplir'!$F$31:$F$400,'Étape 1 - à remplir'!$E$31:$E$400,MASQ2!O522,'Étape 1 - à remplir'!$C$31:$C$400,X$3)),IF(X$2="Âge",IF(X$3="Tous",SUMIFS('Étape 1 - à remplir'!$F$31:$F$400,'Étape 1 - à remplir'!$E$31:$E$400,MASQ2!O522,'Étape 1 - à remplir'!$G$31:$G$400,"animaux"),SUMIFS('Étape 1 - à remplir'!$F$31:$F$400,'Étape 1 - à remplir'!$E$31:$E$400,MASQ2!O522,'Étape 1 - à remplir'!$P$31:$P$400,X$3)),IF(X$2="Atelier",IF(X$3="Tous",SUMIFS('Étape 1 - à remplir'!$F$31:$F$400,'Étape 1 - à remplir'!$E$31:$E$400,MASQ2!O522,'Étape 1 - à remplir'!$G$31:$G$400,"animaux"),SUMIFS('Étape 1 - à remplir'!$F$31:$F$400,'Étape 1 - à remplir'!$E$31:$E$400,MASQ2!O522,'Étape 1 - à remplir'!$O$31:$O$400,X$3)),IF(X$2="Espèce",IF(X$3="Toutes",SUMIFS('Étape 1 - à remplir'!$F$31:$F$400,'Étape 1 - à remplir'!$E$31:$E$400,MASQ2!O522,'Étape 1 - à remplir'!$G$31:$G$400,"animaux"),SUMIFS('Étape 1 - à remplir'!$F$31:$F$400,'Étape 1 - à remplir'!$E$31:$E$400,MASQ2!O522,'Étape 1 - à remplir'!$N$31:$N$400,X$3))))))=0,NA(),IF(X$2="Catégorie",IF(X$3="Toutes",SUMIFS('Étape 1 - à remplir'!$F$31:$F$400,'Étape 1 - à remplir'!$E$31:$E$400,MASQ2!O522,'Étape 1 - à remplir'!$G$31:$G$400,"animaux"),SUMIFS('Étape 1 - à remplir'!$F$31:$F$400,'Étape 1 - à remplir'!$E$31:$E$400,MASQ2!O522,'Étape 1 - à remplir'!$C$31:$C$400,X$3)),IF(X$2="Âge",IF(X$3="Tous",SUMIFS('Étape 1 - à remplir'!$F$31:$F$400,'Étape 1 - à remplir'!$E$31:$E$400,MASQ2!O522,'Étape 1 - à remplir'!$G$31:$G$400,"animaux"),SUMIFS('Étape 1 - à remplir'!$F$31:$F$400,'Étape 1 - à remplir'!$E$31:$E$400,MASQ2!O522,'Étape 1 - à remplir'!$P$31:$P$400,X$3)),IF(X$2="Atelier",IF(X$3="Tous",SUMIFS('Étape 1 - à remplir'!$F$31:$F$400,'Étape 1 - à remplir'!$E$31:$E$400,MASQ2!O522,'Étape 1 - à remplir'!$G$31:$G$400,"animaux"),SUMIFS('Étape 1 - à remplir'!$F$31:$F$400,'Étape 1 - à remplir'!$E$31:$E$400,MASQ2!O522,'Étape 1 - à remplir'!$O$31:$O$400,X$3)),IF(X$2="Espèce",IF(X$3="Toutes",SUMIFS('Étape 1 - à remplir'!$F$31:$F$400,'Étape 1 - à remplir'!$E$31:$E$400,MASQ2!O522,'Étape 1 - à remplir'!$G$31:$G$400,"animaux"),SUMIFS('Étape 1 - à remplir'!$F$31:$F$400,'Étape 1 - à remplir'!$E$31:$E$400,MASQ2!O522,'Étape 1 - à remplir'!$N$31:$N$400,X$3)))))))</f>
        <v>#N/A</v>
      </c>
      <c r="Q522" s="63">
        <f t="shared" si="335"/>
        <v>0</v>
      </c>
      <c r="R522" t="str">
        <f>Données_ATB!BM521</f>
        <v>Tulathromycine</v>
      </c>
      <c r="S522" t="str">
        <f>Données_ATB!BN521</f>
        <v/>
      </c>
      <c r="T522" s="63" t="str">
        <f>Données_ATB!BO521</f>
        <v/>
      </c>
      <c r="U522" s="42" t="str">
        <f>Données_ATB!BQ521</f>
        <v>Macrolides</v>
      </c>
      <c r="V522" t="str">
        <f>Données_ATB!BR521</f>
        <v/>
      </c>
      <c r="W522" s="63" t="str">
        <f>Données_ATB!BS521</f>
        <v/>
      </c>
      <c r="Z522" s="42">
        <v>519</v>
      </c>
      <c r="AA522" t="e">
        <f t="shared" si="331"/>
        <v>#N/A</v>
      </c>
      <c r="AB522" s="63" t="e">
        <f t="shared" si="332"/>
        <v>#N/A</v>
      </c>
      <c r="BT522" s="194" t="str">
        <f t="shared" ca="1" si="315"/>
        <v/>
      </c>
      <c r="BU522" s="219" t="str">
        <f>IFERROR(IF(BX522=0,"",COUNTIF(BX$4:BX$600,"&gt;"&amp;BX522)+COUNTIF(BX$4:BX522,BX522)),"")</f>
        <v/>
      </c>
      <c r="BV522" s="42" t="str">
        <f t="shared" si="316"/>
        <v>TULISSIN 100 MG/ML SOLUTION INJECTABLE POUR BOVINS PORCINS ET OVINS</v>
      </c>
      <c r="BW522" t="e">
        <f>IF(IF(CE$2="Catégorie",IF(CE$3="Toutes",SUMIFS('Étape 1 - à remplir'!$F$31:$F$400,'Étape 1 - à remplir'!$E$31:$E$400,MASQ2!BV522,'Étape 1 - à remplir'!$G$31:$G$400,"lots"),SUMIFS('Étape 1 - à remplir'!$F$31:$F$400,'Étape 1 - à remplir'!$E$31:$E$400,MASQ2!BV522,'Étape 1 - à remplir'!$C$31:$C$400,CE$3)),IF(CE$2="Âge",IF(CE$3="Tous",SUMIFS('Étape 1 - à remplir'!$F$31:$F$400,'Étape 1 - à remplir'!$E$31:$E$400,MASQ2!BV522,'Étape 1 - à remplir'!$G$31:$G$400,"lots"),SUMIFS('Étape 1 - à remplir'!$F$31:$F$400,'Étape 1 - à remplir'!$E$31:$E$400,MASQ2!BV522,'Étape 1 - à remplir'!$P$31:$P$400,CE$3,'Étape 1 - à remplir'!$G$31:$G$400,"lots")),IF(CE$2="Atelier",IF(CE$3="Tous",SUMIFS('Étape 1 - à remplir'!$F$31:$F$400,'Étape 1 - à remplir'!$E$31:$E$400,MASQ2!BV522,'Étape 1 - à remplir'!$G$31:$G$400,"lots"),SUMIFS('Étape 1 - à remplir'!$F$31:$F$400,'Étape 1 - à remplir'!$E$31:$E$400,MASQ2!BV522,'Étape 1 - à remplir'!$O$31:$O$400,CE$3,'Étape 1 - à remplir'!$G$31:$G$400,"lots")),IF(CE$2="Espèce",IF(CE$3="Toutes",SUMIFS('Étape 1 - à remplir'!$F$31:$F$400,'Étape 1 - à remplir'!$E$31:$E$400,MASQ2!BV522,'Étape 1 - à remplir'!$G$31:$G$400,"lots"),SUMIFS('Étape 1 - à remplir'!$F$31:$F$400,'Étape 1 - à remplir'!$E$31:$E$400,MASQ2!BV522,'Étape 1 - à remplir'!$N$31:$N$400,CE$3,'Étape 1 - à remplir'!$G$31:$G$400,"lots"))))))=0,NA(),IF(CE$2="Catégorie",IF(CE$3="Toutes",SUMIFS('Étape 1 - à remplir'!$F$31:$F$400,'Étape 1 - à remplir'!$E$31:$E$400,MASQ2!BV522,'Étape 1 - à remplir'!$G$31:$G$400,"lots"),SUMIFS('Étape 1 - à remplir'!$F$31:$F$400,'Étape 1 - à remplir'!$E$31:$E$400,MASQ2!BV522,'Étape 1 - à remplir'!$C$31:$C$400,CE$3)),IF(CE$2="Âge",IF(CE$3="Tous",SUMIFS('Étape 1 - à remplir'!$F$31:$F$400,'Étape 1 - à remplir'!$E$31:$E$400,MASQ2!BV522,'Étape 1 - à remplir'!$G$31:$G$400,"lots"),SUMIFS('Étape 1 - à remplir'!$F$31:$F$400,'Étape 1 - à remplir'!$E$31:$E$400,MASQ2!BV522,'Étape 1 - à remplir'!$P$31:$P$400,CE$3,'Étape 1 - à remplir'!$G$31:$G$400,"lots")),IF(CE$2="Atelier",IF(CE$3="Tous",SUMIFS('Étape 1 - à remplir'!$F$31:$F$400,'Étape 1 - à remplir'!$E$31:$E$400,MASQ2!BV522,'Étape 1 - à remplir'!$G$31:$G$400,"lots"),SUMIFS('Étape 1 - à remplir'!$F$31:$F$400,'Étape 1 - à remplir'!$E$31:$E$400,MASQ2!BV522,'Étape 1 - à remplir'!$O$31:$O$400,CE$3,'Étape 1 - à remplir'!$G$31:$G$400,"lots")),IF(CE$2="Espèce",IF(CE$3="Toutes",SUMIFS('Étape 1 - à remplir'!$F$31:$F$400,'Étape 1 - à remplir'!$E$31:$E$400,MASQ2!BV522,'Étape 1 - à remplir'!$G$31:$G$400,"lots"),SUMIFS('Étape 1 - à remplir'!$F$31:$F$400,'Étape 1 - à remplir'!$E$31:$E$400,MASQ2!BV522,'Étape 1 - à remplir'!$N$31:$N$400,CE$3,'Étape 1 - à remplir'!$G$31:$G$400,"lots")))))))</f>
        <v>#N/A</v>
      </c>
      <c r="BX522">
        <f t="shared" si="333"/>
        <v>0</v>
      </c>
      <c r="BY522" t="str">
        <f t="shared" si="317"/>
        <v>Tulathromycine</v>
      </c>
      <c r="BZ522" t="str">
        <f t="shared" si="318"/>
        <v/>
      </c>
      <c r="CA522" t="str">
        <f t="shared" si="319"/>
        <v/>
      </c>
      <c r="CB522" t="str">
        <f t="shared" si="320"/>
        <v>Macrolides</v>
      </c>
      <c r="CC522" t="str">
        <f t="shared" si="321"/>
        <v/>
      </c>
      <c r="CD522" s="63" t="str">
        <f t="shared" si="322"/>
        <v/>
      </c>
      <c r="CG522" s="42">
        <v>519</v>
      </c>
      <c r="CH522" s="42" t="e">
        <f t="shared" si="313"/>
        <v>#N/A</v>
      </c>
      <c r="CI522" s="63" t="e">
        <f t="shared" si="314"/>
        <v>#N/A</v>
      </c>
      <c r="EA522" s="194" t="str">
        <f t="shared" ca="1" si="323"/>
        <v/>
      </c>
      <c r="EB522" s="226" t="str">
        <f>IFERROR(IF(ED522=0,"",COUNTIF(ED$4:ED$600,"&gt;"&amp;ED522)+COUNTIF(ED$4:ED522,ED522)),"")</f>
        <v/>
      </c>
      <c r="EC522" t="str">
        <f t="shared" si="324"/>
        <v>TULISSIN 100 MG/ML SOLUTION INJECTABLE POUR BOVINS PORCINS ET OVINS</v>
      </c>
      <c r="ED522" t="e">
        <f>IF(IF(EL$2="Catégorie",IF(EL$3="Toutes",SUMIFS('Étape 1 - à remplir'!$F$31:$F$400,'Étape 1 - à remplir'!$E$31:$E$400,MASQ2!EC522,'Étape 1 - à remplir'!$G$31:$G$400,"kg"),SUMIFS('Étape 1 - à remplir'!$F$31:$F$400,'Étape 1 - à remplir'!$E$31:$E$400,MASQ2!EC522,'Étape 1 - à remplir'!$C$31:$C$400,EL$3)),IF(EL$2="Âge",IF(EL$3="Tous",SUMIFS('Étape 1 - à remplir'!$F$31:$F$400,'Étape 1 - à remplir'!$E$31:$E$400,MASQ2!EC522,'Étape 1 - à remplir'!$G$31:$G$400,"kg"),SUMIFS('Étape 1 - à remplir'!$F$31:$F$400,'Étape 1 - à remplir'!$E$31:$E$400,MASQ2!EC522,'Étape 1 - à remplir'!$P$31:$P$400,EL$3,'Étape 1 - à remplir'!$G$31:$G$400,"kg")),IF(EL$2="Atelier",IF(EL$3="Tous",SUMIFS('Étape 1 - à remplir'!$F$31:$F$400,'Étape 1 - à remplir'!$E$31:$E$400,MASQ2!EC522,'Étape 1 - à remplir'!$G$31:$G$400,"kg"),SUMIFS('Étape 1 - à remplir'!$F$31:$F$400,'Étape 1 - à remplir'!$E$31:$E$400,MASQ2!EC522,'Étape 1 - à remplir'!$O$31:$O$400,EL$3,'Étape 1 - à remplir'!$G$31:$G$400,"kg")),IF(EL$2="Espèce",IF(EL$3="Toutes",SUMIFS('Étape 1 - à remplir'!$F$31:$F$400,'Étape 1 - à remplir'!$E$31:$E$400,MASQ2!EC522,'Étape 1 - à remplir'!$G$31:$G$400,"kg"),SUMIFS('Étape 1 - à remplir'!$F$31:$F$400,'Étape 1 - à remplir'!$E$31:$E$400,MASQ2!EC522,'Étape 1 - à remplir'!$N$31:$N$400,EL$3,'Étape 1 - à remplir'!$G$31:$G$400,"kg"))))))=0,NA(),IF(EL$2="Catégorie",IF(EL$3="Toutes",SUMIFS('Étape 1 - à remplir'!$F$31:$F$400,'Étape 1 - à remplir'!$E$31:$E$400,MASQ2!EC522,'Étape 1 - à remplir'!$G$31:$G$400,"kg"),SUMIFS('Étape 1 - à remplir'!$F$31:$F$400,'Étape 1 - à remplir'!$E$31:$E$400,MASQ2!EC522,'Étape 1 - à remplir'!$C$31:$C$400,EL$3)),IF(EL$2="Âge",IF(EL$3="Tous",SUMIFS('Étape 1 - à remplir'!$F$31:$F$400,'Étape 1 - à remplir'!$E$31:$E$400,MASQ2!EC522,'Étape 1 - à remplir'!$G$31:$G$400,"kg"),SUMIFS('Étape 1 - à remplir'!$F$31:$F$400,'Étape 1 - à remplir'!$E$31:$E$400,MASQ2!EC522,'Étape 1 - à remplir'!$P$31:$P$400,EL$3,'Étape 1 - à remplir'!$G$31:$G$400,"kg")),IF(EL$2="Atelier",IF(EL$3="Tous",SUMIFS('Étape 1 - à remplir'!$F$31:$F$400,'Étape 1 - à remplir'!$E$31:$E$400,MASQ2!EC522,'Étape 1 - à remplir'!$G$31:$G$400,"kg"),SUMIFS('Étape 1 - à remplir'!$F$31:$F$400,'Étape 1 - à remplir'!$E$31:$E$400,MASQ2!EC522,'Étape 1 - à remplir'!$O$31:$O$400,EL$3,'Étape 1 - à remplir'!$G$31:$G$400,"kg")),IF(EL$2="Espèce",IF(EL$3="Toutes",SUMIFS('Étape 1 - à remplir'!$F$31:$F$400,'Étape 1 - à remplir'!$E$31:$E$400,MASQ2!EC522,'Étape 1 - à remplir'!$G$31:$G$400,"kg"),SUMIFS('Étape 1 - à remplir'!$F$31:$F$400,'Étape 1 - à remplir'!$E$31:$E$400,MASQ2!EC522,'Étape 1 - à remplir'!$N$31:$N$400,EL$3,'Étape 1 - à remplir'!$G$31:$G$400,"kg")))))))</f>
        <v>#N/A</v>
      </c>
      <c r="EE522" s="76">
        <f t="shared" si="334"/>
        <v>0</v>
      </c>
      <c r="EF522" t="str">
        <f t="shared" si="325"/>
        <v>Tulathromycine</v>
      </c>
      <c r="EG522" t="str">
        <f t="shared" si="326"/>
        <v/>
      </c>
      <c r="EH522" t="str">
        <f t="shared" si="327"/>
        <v/>
      </c>
      <c r="EI522" t="str">
        <f t="shared" si="328"/>
        <v>Macrolides</v>
      </c>
      <c r="EJ522" t="str">
        <f t="shared" si="329"/>
        <v/>
      </c>
      <c r="EK522" s="63" t="str">
        <f t="shared" si="330"/>
        <v/>
      </c>
      <c r="EN522" s="42">
        <v>519</v>
      </c>
      <c r="EO522" t="e">
        <f t="shared" ref="EO522:EO585" si="336">INDEX(EB$3:EE$600,MATCH(EN522,EB$3:EB$600,0),2)</f>
        <v>#N/A</v>
      </c>
      <c r="EP522" s="63" t="e">
        <f t="shared" ref="EP522:EP585" si="337">INDEX(EB$3:EE$600,MATCH(EN522,EB$3:EB$600,0),3)</f>
        <v>#N/A</v>
      </c>
    </row>
    <row r="523" spans="13:146" x14ac:dyDescent="0.3">
      <c r="M523" s="194" t="str">
        <f ca="1">INDEX(Données_ATB!BD:BU,MATCH(MASQ2!O523,Données_ATB!BD:BD,0),18)</f>
        <v/>
      </c>
      <c r="N523" s="14" t="str">
        <f>IFERROR(IF(Q523=0,"",COUNTIF(Q$4:Q$600,"&gt;"&amp;Q523)+COUNTIF(Q$4:Q523,Q523)),"")</f>
        <v/>
      </c>
      <c r="O523" t="str">
        <f>Données_ATB!BD522</f>
        <v>TULISSIN 25 MG/ML SOLUTION INJECTABLE POUR PORCINS</v>
      </c>
      <c r="P523" t="e">
        <f>IF(IF(X$2="Catégorie",IF(X$3="Toutes",SUMIFS('Étape 1 - à remplir'!$F$31:$F$400,'Étape 1 - à remplir'!$E$31:$E$400,MASQ2!O523,'Étape 1 - à remplir'!$G$31:$G$400,"animaux"),SUMIFS('Étape 1 - à remplir'!$F$31:$F$400,'Étape 1 - à remplir'!$E$31:$E$400,MASQ2!O523,'Étape 1 - à remplir'!$C$31:$C$400,X$3)),IF(X$2="Âge",IF(X$3="Tous",SUMIFS('Étape 1 - à remplir'!$F$31:$F$400,'Étape 1 - à remplir'!$E$31:$E$400,MASQ2!O523,'Étape 1 - à remplir'!$G$31:$G$400,"animaux"),SUMIFS('Étape 1 - à remplir'!$F$31:$F$400,'Étape 1 - à remplir'!$E$31:$E$400,MASQ2!O523,'Étape 1 - à remplir'!$P$31:$P$400,X$3)),IF(X$2="Atelier",IF(X$3="Tous",SUMIFS('Étape 1 - à remplir'!$F$31:$F$400,'Étape 1 - à remplir'!$E$31:$E$400,MASQ2!O523,'Étape 1 - à remplir'!$G$31:$G$400,"animaux"),SUMIFS('Étape 1 - à remplir'!$F$31:$F$400,'Étape 1 - à remplir'!$E$31:$E$400,MASQ2!O523,'Étape 1 - à remplir'!$O$31:$O$400,X$3)),IF(X$2="Espèce",IF(X$3="Toutes",SUMIFS('Étape 1 - à remplir'!$F$31:$F$400,'Étape 1 - à remplir'!$E$31:$E$400,MASQ2!O523,'Étape 1 - à remplir'!$G$31:$G$400,"animaux"),SUMIFS('Étape 1 - à remplir'!$F$31:$F$400,'Étape 1 - à remplir'!$E$31:$E$400,MASQ2!O523,'Étape 1 - à remplir'!$N$31:$N$400,X$3))))))=0,NA(),IF(X$2="Catégorie",IF(X$3="Toutes",SUMIFS('Étape 1 - à remplir'!$F$31:$F$400,'Étape 1 - à remplir'!$E$31:$E$400,MASQ2!O523,'Étape 1 - à remplir'!$G$31:$G$400,"animaux"),SUMIFS('Étape 1 - à remplir'!$F$31:$F$400,'Étape 1 - à remplir'!$E$31:$E$400,MASQ2!O523,'Étape 1 - à remplir'!$C$31:$C$400,X$3)),IF(X$2="Âge",IF(X$3="Tous",SUMIFS('Étape 1 - à remplir'!$F$31:$F$400,'Étape 1 - à remplir'!$E$31:$E$400,MASQ2!O523,'Étape 1 - à remplir'!$G$31:$G$400,"animaux"),SUMIFS('Étape 1 - à remplir'!$F$31:$F$400,'Étape 1 - à remplir'!$E$31:$E$400,MASQ2!O523,'Étape 1 - à remplir'!$P$31:$P$400,X$3)),IF(X$2="Atelier",IF(X$3="Tous",SUMIFS('Étape 1 - à remplir'!$F$31:$F$400,'Étape 1 - à remplir'!$E$31:$E$400,MASQ2!O523,'Étape 1 - à remplir'!$G$31:$G$400,"animaux"),SUMIFS('Étape 1 - à remplir'!$F$31:$F$400,'Étape 1 - à remplir'!$E$31:$E$400,MASQ2!O523,'Étape 1 - à remplir'!$O$31:$O$400,X$3)),IF(X$2="Espèce",IF(X$3="Toutes",SUMIFS('Étape 1 - à remplir'!$F$31:$F$400,'Étape 1 - à remplir'!$E$31:$E$400,MASQ2!O523,'Étape 1 - à remplir'!$G$31:$G$400,"animaux"),SUMIFS('Étape 1 - à remplir'!$F$31:$F$400,'Étape 1 - à remplir'!$E$31:$E$400,MASQ2!O523,'Étape 1 - à remplir'!$N$31:$N$400,X$3)))))))</f>
        <v>#N/A</v>
      </c>
      <c r="Q523" s="63">
        <f t="shared" si="335"/>
        <v>0</v>
      </c>
      <c r="R523" t="str">
        <f>Données_ATB!BM522</f>
        <v>Tulathromycine</v>
      </c>
      <c r="S523" t="str">
        <f>Données_ATB!BN522</f>
        <v/>
      </c>
      <c r="T523" s="63" t="str">
        <f>Données_ATB!BO522</f>
        <v/>
      </c>
      <c r="U523" s="42" t="str">
        <f>Données_ATB!BQ522</f>
        <v>Macrolides</v>
      </c>
      <c r="V523" t="str">
        <f>Données_ATB!BR522</f>
        <v/>
      </c>
      <c r="W523" s="63" t="str">
        <f>Données_ATB!BS522</f>
        <v/>
      </c>
      <c r="Z523" s="42">
        <v>520</v>
      </c>
      <c r="AA523" t="e">
        <f t="shared" si="331"/>
        <v>#N/A</v>
      </c>
      <c r="AB523" s="63" t="e">
        <f t="shared" si="332"/>
        <v>#N/A</v>
      </c>
      <c r="BT523" s="194" t="str">
        <f t="shared" ca="1" si="315"/>
        <v/>
      </c>
      <c r="BU523" s="219" t="str">
        <f>IFERROR(IF(BX523=0,"",COUNTIF(BX$4:BX$600,"&gt;"&amp;BX523)+COUNTIF(BX$4:BX523,BX523)),"")</f>
        <v/>
      </c>
      <c r="BV523" s="42" t="str">
        <f t="shared" si="316"/>
        <v>TULISSIN 25 MG/ML SOLUTION INJECTABLE POUR PORCINS</v>
      </c>
      <c r="BW523" t="e">
        <f>IF(IF(CE$2="Catégorie",IF(CE$3="Toutes",SUMIFS('Étape 1 - à remplir'!$F$31:$F$400,'Étape 1 - à remplir'!$E$31:$E$400,MASQ2!BV523,'Étape 1 - à remplir'!$G$31:$G$400,"lots"),SUMIFS('Étape 1 - à remplir'!$F$31:$F$400,'Étape 1 - à remplir'!$E$31:$E$400,MASQ2!BV523,'Étape 1 - à remplir'!$C$31:$C$400,CE$3)),IF(CE$2="Âge",IF(CE$3="Tous",SUMIFS('Étape 1 - à remplir'!$F$31:$F$400,'Étape 1 - à remplir'!$E$31:$E$400,MASQ2!BV523,'Étape 1 - à remplir'!$G$31:$G$400,"lots"),SUMIFS('Étape 1 - à remplir'!$F$31:$F$400,'Étape 1 - à remplir'!$E$31:$E$400,MASQ2!BV523,'Étape 1 - à remplir'!$P$31:$P$400,CE$3,'Étape 1 - à remplir'!$G$31:$G$400,"lots")),IF(CE$2="Atelier",IF(CE$3="Tous",SUMIFS('Étape 1 - à remplir'!$F$31:$F$400,'Étape 1 - à remplir'!$E$31:$E$400,MASQ2!BV523,'Étape 1 - à remplir'!$G$31:$G$400,"lots"),SUMIFS('Étape 1 - à remplir'!$F$31:$F$400,'Étape 1 - à remplir'!$E$31:$E$400,MASQ2!BV523,'Étape 1 - à remplir'!$O$31:$O$400,CE$3,'Étape 1 - à remplir'!$G$31:$G$400,"lots")),IF(CE$2="Espèce",IF(CE$3="Toutes",SUMIFS('Étape 1 - à remplir'!$F$31:$F$400,'Étape 1 - à remplir'!$E$31:$E$400,MASQ2!BV523,'Étape 1 - à remplir'!$G$31:$G$400,"lots"),SUMIFS('Étape 1 - à remplir'!$F$31:$F$400,'Étape 1 - à remplir'!$E$31:$E$400,MASQ2!BV523,'Étape 1 - à remplir'!$N$31:$N$400,CE$3,'Étape 1 - à remplir'!$G$31:$G$400,"lots"))))))=0,NA(),IF(CE$2="Catégorie",IF(CE$3="Toutes",SUMIFS('Étape 1 - à remplir'!$F$31:$F$400,'Étape 1 - à remplir'!$E$31:$E$400,MASQ2!BV523,'Étape 1 - à remplir'!$G$31:$G$400,"lots"),SUMIFS('Étape 1 - à remplir'!$F$31:$F$400,'Étape 1 - à remplir'!$E$31:$E$400,MASQ2!BV523,'Étape 1 - à remplir'!$C$31:$C$400,CE$3)),IF(CE$2="Âge",IF(CE$3="Tous",SUMIFS('Étape 1 - à remplir'!$F$31:$F$400,'Étape 1 - à remplir'!$E$31:$E$400,MASQ2!BV523,'Étape 1 - à remplir'!$G$31:$G$400,"lots"),SUMIFS('Étape 1 - à remplir'!$F$31:$F$400,'Étape 1 - à remplir'!$E$31:$E$400,MASQ2!BV523,'Étape 1 - à remplir'!$P$31:$P$400,CE$3,'Étape 1 - à remplir'!$G$31:$G$400,"lots")),IF(CE$2="Atelier",IF(CE$3="Tous",SUMIFS('Étape 1 - à remplir'!$F$31:$F$400,'Étape 1 - à remplir'!$E$31:$E$400,MASQ2!BV523,'Étape 1 - à remplir'!$G$31:$G$400,"lots"),SUMIFS('Étape 1 - à remplir'!$F$31:$F$400,'Étape 1 - à remplir'!$E$31:$E$400,MASQ2!BV523,'Étape 1 - à remplir'!$O$31:$O$400,CE$3,'Étape 1 - à remplir'!$G$31:$G$400,"lots")),IF(CE$2="Espèce",IF(CE$3="Toutes",SUMIFS('Étape 1 - à remplir'!$F$31:$F$400,'Étape 1 - à remplir'!$E$31:$E$400,MASQ2!BV523,'Étape 1 - à remplir'!$G$31:$G$400,"lots"),SUMIFS('Étape 1 - à remplir'!$F$31:$F$400,'Étape 1 - à remplir'!$E$31:$E$400,MASQ2!BV523,'Étape 1 - à remplir'!$N$31:$N$400,CE$3,'Étape 1 - à remplir'!$G$31:$G$400,"lots")))))))</f>
        <v>#N/A</v>
      </c>
      <c r="BX523">
        <f t="shared" si="333"/>
        <v>0</v>
      </c>
      <c r="BY523" t="str">
        <f t="shared" si="317"/>
        <v>Tulathromycine</v>
      </c>
      <c r="BZ523" t="str">
        <f t="shared" si="318"/>
        <v/>
      </c>
      <c r="CA523" t="str">
        <f t="shared" si="319"/>
        <v/>
      </c>
      <c r="CB523" t="str">
        <f t="shared" si="320"/>
        <v>Macrolides</v>
      </c>
      <c r="CC523" t="str">
        <f t="shared" si="321"/>
        <v/>
      </c>
      <c r="CD523" s="63" t="str">
        <f t="shared" si="322"/>
        <v/>
      </c>
      <c r="CG523" s="42">
        <v>520</v>
      </c>
      <c r="CH523" s="42" t="e">
        <f t="shared" si="313"/>
        <v>#N/A</v>
      </c>
      <c r="CI523" s="63" t="e">
        <f t="shared" si="314"/>
        <v>#N/A</v>
      </c>
      <c r="EA523" s="194" t="str">
        <f t="shared" ca="1" si="323"/>
        <v/>
      </c>
      <c r="EB523" s="226" t="str">
        <f>IFERROR(IF(ED523=0,"",COUNTIF(ED$4:ED$600,"&gt;"&amp;ED523)+COUNTIF(ED$4:ED523,ED523)),"")</f>
        <v/>
      </c>
      <c r="EC523" t="str">
        <f t="shared" si="324"/>
        <v>TULISSIN 25 MG/ML SOLUTION INJECTABLE POUR PORCINS</v>
      </c>
      <c r="ED523" t="e">
        <f>IF(IF(EL$2="Catégorie",IF(EL$3="Toutes",SUMIFS('Étape 1 - à remplir'!$F$31:$F$400,'Étape 1 - à remplir'!$E$31:$E$400,MASQ2!EC523,'Étape 1 - à remplir'!$G$31:$G$400,"kg"),SUMIFS('Étape 1 - à remplir'!$F$31:$F$400,'Étape 1 - à remplir'!$E$31:$E$400,MASQ2!EC523,'Étape 1 - à remplir'!$C$31:$C$400,EL$3)),IF(EL$2="Âge",IF(EL$3="Tous",SUMIFS('Étape 1 - à remplir'!$F$31:$F$400,'Étape 1 - à remplir'!$E$31:$E$400,MASQ2!EC523,'Étape 1 - à remplir'!$G$31:$G$400,"kg"),SUMIFS('Étape 1 - à remplir'!$F$31:$F$400,'Étape 1 - à remplir'!$E$31:$E$400,MASQ2!EC523,'Étape 1 - à remplir'!$P$31:$P$400,EL$3,'Étape 1 - à remplir'!$G$31:$G$400,"kg")),IF(EL$2="Atelier",IF(EL$3="Tous",SUMIFS('Étape 1 - à remplir'!$F$31:$F$400,'Étape 1 - à remplir'!$E$31:$E$400,MASQ2!EC523,'Étape 1 - à remplir'!$G$31:$G$400,"kg"),SUMIFS('Étape 1 - à remplir'!$F$31:$F$400,'Étape 1 - à remplir'!$E$31:$E$400,MASQ2!EC523,'Étape 1 - à remplir'!$O$31:$O$400,EL$3,'Étape 1 - à remplir'!$G$31:$G$400,"kg")),IF(EL$2="Espèce",IF(EL$3="Toutes",SUMIFS('Étape 1 - à remplir'!$F$31:$F$400,'Étape 1 - à remplir'!$E$31:$E$400,MASQ2!EC523,'Étape 1 - à remplir'!$G$31:$G$400,"kg"),SUMIFS('Étape 1 - à remplir'!$F$31:$F$400,'Étape 1 - à remplir'!$E$31:$E$400,MASQ2!EC523,'Étape 1 - à remplir'!$N$31:$N$400,EL$3,'Étape 1 - à remplir'!$G$31:$G$400,"kg"))))))=0,NA(),IF(EL$2="Catégorie",IF(EL$3="Toutes",SUMIFS('Étape 1 - à remplir'!$F$31:$F$400,'Étape 1 - à remplir'!$E$31:$E$400,MASQ2!EC523,'Étape 1 - à remplir'!$G$31:$G$400,"kg"),SUMIFS('Étape 1 - à remplir'!$F$31:$F$400,'Étape 1 - à remplir'!$E$31:$E$400,MASQ2!EC523,'Étape 1 - à remplir'!$C$31:$C$400,EL$3)),IF(EL$2="Âge",IF(EL$3="Tous",SUMIFS('Étape 1 - à remplir'!$F$31:$F$400,'Étape 1 - à remplir'!$E$31:$E$400,MASQ2!EC523,'Étape 1 - à remplir'!$G$31:$G$400,"kg"),SUMIFS('Étape 1 - à remplir'!$F$31:$F$400,'Étape 1 - à remplir'!$E$31:$E$400,MASQ2!EC523,'Étape 1 - à remplir'!$P$31:$P$400,EL$3,'Étape 1 - à remplir'!$G$31:$G$400,"kg")),IF(EL$2="Atelier",IF(EL$3="Tous",SUMIFS('Étape 1 - à remplir'!$F$31:$F$400,'Étape 1 - à remplir'!$E$31:$E$400,MASQ2!EC523,'Étape 1 - à remplir'!$G$31:$G$400,"kg"),SUMIFS('Étape 1 - à remplir'!$F$31:$F$400,'Étape 1 - à remplir'!$E$31:$E$400,MASQ2!EC523,'Étape 1 - à remplir'!$O$31:$O$400,EL$3,'Étape 1 - à remplir'!$G$31:$G$400,"kg")),IF(EL$2="Espèce",IF(EL$3="Toutes",SUMIFS('Étape 1 - à remplir'!$F$31:$F$400,'Étape 1 - à remplir'!$E$31:$E$400,MASQ2!EC523,'Étape 1 - à remplir'!$G$31:$G$400,"kg"),SUMIFS('Étape 1 - à remplir'!$F$31:$F$400,'Étape 1 - à remplir'!$E$31:$E$400,MASQ2!EC523,'Étape 1 - à remplir'!$N$31:$N$400,EL$3,'Étape 1 - à remplir'!$G$31:$G$400,"kg")))))))</f>
        <v>#N/A</v>
      </c>
      <c r="EE523" s="76">
        <f t="shared" si="334"/>
        <v>0</v>
      </c>
      <c r="EF523" t="str">
        <f t="shared" si="325"/>
        <v>Tulathromycine</v>
      </c>
      <c r="EG523" t="str">
        <f t="shared" si="326"/>
        <v/>
      </c>
      <c r="EH523" t="str">
        <f t="shared" si="327"/>
        <v/>
      </c>
      <c r="EI523" t="str">
        <f t="shared" si="328"/>
        <v>Macrolides</v>
      </c>
      <c r="EJ523" t="str">
        <f t="shared" si="329"/>
        <v/>
      </c>
      <c r="EK523" s="63" t="str">
        <f t="shared" si="330"/>
        <v/>
      </c>
      <c r="EN523" s="42">
        <v>520</v>
      </c>
      <c r="EO523" t="e">
        <f t="shared" si="336"/>
        <v>#N/A</v>
      </c>
      <c r="EP523" s="63" t="e">
        <f t="shared" si="337"/>
        <v>#N/A</v>
      </c>
    </row>
    <row r="524" spans="13:146" x14ac:dyDescent="0.3">
      <c r="M524" s="194" t="str">
        <f ca="1">INDEX(Données_ATB!BD:BU,MATCH(MASQ2!O524,Données_ATB!BD:BD,0),18)</f>
        <v/>
      </c>
      <c r="N524" s="14" t="str">
        <f>IFERROR(IF(Q524=0,"",COUNTIF(Q$4:Q$600,"&gt;"&amp;Q524)+COUNTIF(Q$4:Q524,Q524)),"")</f>
        <v/>
      </c>
      <c r="O524" t="str">
        <f>Données_ATB!BD523</f>
        <v>TULOXXIN 100 MG/ML SOLUTION INJECTABLE POUR BOVINS PORCINS ET OVINS</v>
      </c>
      <c r="P524" t="e">
        <f>IF(IF(X$2="Catégorie",IF(X$3="Toutes",SUMIFS('Étape 1 - à remplir'!$F$31:$F$400,'Étape 1 - à remplir'!$E$31:$E$400,MASQ2!O524,'Étape 1 - à remplir'!$G$31:$G$400,"animaux"),SUMIFS('Étape 1 - à remplir'!$F$31:$F$400,'Étape 1 - à remplir'!$E$31:$E$400,MASQ2!O524,'Étape 1 - à remplir'!$C$31:$C$400,X$3)),IF(X$2="Âge",IF(X$3="Tous",SUMIFS('Étape 1 - à remplir'!$F$31:$F$400,'Étape 1 - à remplir'!$E$31:$E$400,MASQ2!O524,'Étape 1 - à remplir'!$G$31:$G$400,"animaux"),SUMIFS('Étape 1 - à remplir'!$F$31:$F$400,'Étape 1 - à remplir'!$E$31:$E$400,MASQ2!O524,'Étape 1 - à remplir'!$P$31:$P$400,X$3)),IF(X$2="Atelier",IF(X$3="Tous",SUMIFS('Étape 1 - à remplir'!$F$31:$F$400,'Étape 1 - à remplir'!$E$31:$E$400,MASQ2!O524,'Étape 1 - à remplir'!$G$31:$G$400,"animaux"),SUMIFS('Étape 1 - à remplir'!$F$31:$F$400,'Étape 1 - à remplir'!$E$31:$E$400,MASQ2!O524,'Étape 1 - à remplir'!$O$31:$O$400,X$3)),IF(X$2="Espèce",IF(X$3="Toutes",SUMIFS('Étape 1 - à remplir'!$F$31:$F$400,'Étape 1 - à remplir'!$E$31:$E$400,MASQ2!O524,'Étape 1 - à remplir'!$G$31:$G$400,"animaux"),SUMIFS('Étape 1 - à remplir'!$F$31:$F$400,'Étape 1 - à remplir'!$E$31:$E$400,MASQ2!O524,'Étape 1 - à remplir'!$N$31:$N$400,X$3))))))=0,NA(),IF(X$2="Catégorie",IF(X$3="Toutes",SUMIFS('Étape 1 - à remplir'!$F$31:$F$400,'Étape 1 - à remplir'!$E$31:$E$400,MASQ2!O524,'Étape 1 - à remplir'!$G$31:$G$400,"animaux"),SUMIFS('Étape 1 - à remplir'!$F$31:$F$400,'Étape 1 - à remplir'!$E$31:$E$400,MASQ2!O524,'Étape 1 - à remplir'!$C$31:$C$400,X$3)),IF(X$2="Âge",IF(X$3="Tous",SUMIFS('Étape 1 - à remplir'!$F$31:$F$400,'Étape 1 - à remplir'!$E$31:$E$400,MASQ2!O524,'Étape 1 - à remplir'!$G$31:$G$400,"animaux"),SUMIFS('Étape 1 - à remplir'!$F$31:$F$400,'Étape 1 - à remplir'!$E$31:$E$400,MASQ2!O524,'Étape 1 - à remplir'!$P$31:$P$400,X$3)),IF(X$2="Atelier",IF(X$3="Tous",SUMIFS('Étape 1 - à remplir'!$F$31:$F$400,'Étape 1 - à remplir'!$E$31:$E$400,MASQ2!O524,'Étape 1 - à remplir'!$G$31:$G$400,"animaux"),SUMIFS('Étape 1 - à remplir'!$F$31:$F$400,'Étape 1 - à remplir'!$E$31:$E$400,MASQ2!O524,'Étape 1 - à remplir'!$O$31:$O$400,X$3)),IF(X$2="Espèce",IF(X$3="Toutes",SUMIFS('Étape 1 - à remplir'!$F$31:$F$400,'Étape 1 - à remplir'!$E$31:$E$400,MASQ2!O524,'Étape 1 - à remplir'!$G$31:$G$400,"animaux"),SUMIFS('Étape 1 - à remplir'!$F$31:$F$400,'Étape 1 - à remplir'!$E$31:$E$400,MASQ2!O524,'Étape 1 - à remplir'!$N$31:$N$400,X$3)))))))</f>
        <v>#N/A</v>
      </c>
      <c r="Q524" s="63">
        <f t="shared" si="335"/>
        <v>0</v>
      </c>
      <c r="R524" t="str">
        <f>Données_ATB!BM523</f>
        <v>Tulathromycine</v>
      </c>
      <c r="S524" t="str">
        <f>Données_ATB!BN523</f>
        <v/>
      </c>
      <c r="T524" s="63" t="str">
        <f>Données_ATB!BO523</f>
        <v/>
      </c>
      <c r="U524" s="42" t="str">
        <f>Données_ATB!BQ523</f>
        <v>Macrolides</v>
      </c>
      <c r="V524" t="str">
        <f>Données_ATB!BR523</f>
        <v/>
      </c>
      <c r="W524" s="63" t="str">
        <f>Données_ATB!BS523</f>
        <v/>
      </c>
      <c r="Z524" s="42">
        <v>521</v>
      </c>
      <c r="AA524" t="e">
        <f t="shared" si="331"/>
        <v>#N/A</v>
      </c>
      <c r="AB524" s="63" t="e">
        <f t="shared" si="332"/>
        <v>#N/A</v>
      </c>
      <c r="BT524" s="194" t="str">
        <f t="shared" ca="1" si="315"/>
        <v/>
      </c>
      <c r="BU524" s="219" t="str">
        <f>IFERROR(IF(BX524=0,"",COUNTIF(BX$4:BX$600,"&gt;"&amp;BX524)+COUNTIF(BX$4:BX524,BX524)),"")</f>
        <v/>
      </c>
      <c r="BV524" s="42" t="str">
        <f t="shared" si="316"/>
        <v>TULOXXIN 100 MG/ML SOLUTION INJECTABLE POUR BOVINS PORCINS ET OVINS</v>
      </c>
      <c r="BW524" t="e">
        <f>IF(IF(CE$2="Catégorie",IF(CE$3="Toutes",SUMIFS('Étape 1 - à remplir'!$F$31:$F$400,'Étape 1 - à remplir'!$E$31:$E$400,MASQ2!BV524,'Étape 1 - à remplir'!$G$31:$G$400,"lots"),SUMIFS('Étape 1 - à remplir'!$F$31:$F$400,'Étape 1 - à remplir'!$E$31:$E$400,MASQ2!BV524,'Étape 1 - à remplir'!$C$31:$C$400,CE$3)),IF(CE$2="Âge",IF(CE$3="Tous",SUMIFS('Étape 1 - à remplir'!$F$31:$F$400,'Étape 1 - à remplir'!$E$31:$E$400,MASQ2!BV524,'Étape 1 - à remplir'!$G$31:$G$400,"lots"),SUMIFS('Étape 1 - à remplir'!$F$31:$F$400,'Étape 1 - à remplir'!$E$31:$E$400,MASQ2!BV524,'Étape 1 - à remplir'!$P$31:$P$400,CE$3,'Étape 1 - à remplir'!$G$31:$G$400,"lots")),IF(CE$2="Atelier",IF(CE$3="Tous",SUMIFS('Étape 1 - à remplir'!$F$31:$F$400,'Étape 1 - à remplir'!$E$31:$E$400,MASQ2!BV524,'Étape 1 - à remplir'!$G$31:$G$400,"lots"),SUMIFS('Étape 1 - à remplir'!$F$31:$F$400,'Étape 1 - à remplir'!$E$31:$E$400,MASQ2!BV524,'Étape 1 - à remplir'!$O$31:$O$400,CE$3,'Étape 1 - à remplir'!$G$31:$G$400,"lots")),IF(CE$2="Espèce",IF(CE$3="Toutes",SUMIFS('Étape 1 - à remplir'!$F$31:$F$400,'Étape 1 - à remplir'!$E$31:$E$400,MASQ2!BV524,'Étape 1 - à remplir'!$G$31:$G$400,"lots"),SUMIFS('Étape 1 - à remplir'!$F$31:$F$400,'Étape 1 - à remplir'!$E$31:$E$400,MASQ2!BV524,'Étape 1 - à remplir'!$N$31:$N$400,CE$3,'Étape 1 - à remplir'!$G$31:$G$400,"lots"))))))=0,NA(),IF(CE$2="Catégorie",IF(CE$3="Toutes",SUMIFS('Étape 1 - à remplir'!$F$31:$F$400,'Étape 1 - à remplir'!$E$31:$E$400,MASQ2!BV524,'Étape 1 - à remplir'!$G$31:$G$400,"lots"),SUMIFS('Étape 1 - à remplir'!$F$31:$F$400,'Étape 1 - à remplir'!$E$31:$E$400,MASQ2!BV524,'Étape 1 - à remplir'!$C$31:$C$400,CE$3)),IF(CE$2="Âge",IF(CE$3="Tous",SUMIFS('Étape 1 - à remplir'!$F$31:$F$400,'Étape 1 - à remplir'!$E$31:$E$400,MASQ2!BV524,'Étape 1 - à remplir'!$G$31:$G$400,"lots"),SUMIFS('Étape 1 - à remplir'!$F$31:$F$400,'Étape 1 - à remplir'!$E$31:$E$400,MASQ2!BV524,'Étape 1 - à remplir'!$P$31:$P$400,CE$3,'Étape 1 - à remplir'!$G$31:$G$400,"lots")),IF(CE$2="Atelier",IF(CE$3="Tous",SUMIFS('Étape 1 - à remplir'!$F$31:$F$400,'Étape 1 - à remplir'!$E$31:$E$400,MASQ2!BV524,'Étape 1 - à remplir'!$G$31:$G$400,"lots"),SUMIFS('Étape 1 - à remplir'!$F$31:$F$400,'Étape 1 - à remplir'!$E$31:$E$400,MASQ2!BV524,'Étape 1 - à remplir'!$O$31:$O$400,CE$3,'Étape 1 - à remplir'!$G$31:$G$400,"lots")),IF(CE$2="Espèce",IF(CE$3="Toutes",SUMIFS('Étape 1 - à remplir'!$F$31:$F$400,'Étape 1 - à remplir'!$E$31:$E$400,MASQ2!BV524,'Étape 1 - à remplir'!$G$31:$G$400,"lots"),SUMIFS('Étape 1 - à remplir'!$F$31:$F$400,'Étape 1 - à remplir'!$E$31:$E$400,MASQ2!BV524,'Étape 1 - à remplir'!$N$31:$N$400,CE$3,'Étape 1 - à remplir'!$G$31:$G$400,"lots")))))))</f>
        <v>#N/A</v>
      </c>
      <c r="BX524">
        <f t="shared" si="333"/>
        <v>0</v>
      </c>
      <c r="BY524" t="str">
        <f t="shared" si="317"/>
        <v>Tulathromycine</v>
      </c>
      <c r="BZ524" t="str">
        <f t="shared" si="318"/>
        <v/>
      </c>
      <c r="CA524" t="str">
        <f t="shared" si="319"/>
        <v/>
      </c>
      <c r="CB524" t="str">
        <f t="shared" si="320"/>
        <v>Macrolides</v>
      </c>
      <c r="CC524" t="str">
        <f t="shared" si="321"/>
        <v/>
      </c>
      <c r="CD524" s="63" t="str">
        <f t="shared" si="322"/>
        <v/>
      </c>
      <c r="CG524" s="42">
        <v>521</v>
      </c>
      <c r="CH524" s="42" t="e">
        <f t="shared" si="313"/>
        <v>#N/A</v>
      </c>
      <c r="CI524" s="63" t="e">
        <f t="shared" si="314"/>
        <v>#N/A</v>
      </c>
      <c r="EA524" s="194" t="str">
        <f t="shared" ca="1" si="323"/>
        <v/>
      </c>
      <c r="EB524" s="226" t="str">
        <f>IFERROR(IF(ED524=0,"",COUNTIF(ED$4:ED$600,"&gt;"&amp;ED524)+COUNTIF(ED$4:ED524,ED524)),"")</f>
        <v/>
      </c>
      <c r="EC524" t="str">
        <f t="shared" si="324"/>
        <v>TULOXXIN 100 MG/ML SOLUTION INJECTABLE POUR BOVINS PORCINS ET OVINS</v>
      </c>
      <c r="ED524" t="e">
        <f>IF(IF(EL$2="Catégorie",IF(EL$3="Toutes",SUMIFS('Étape 1 - à remplir'!$F$31:$F$400,'Étape 1 - à remplir'!$E$31:$E$400,MASQ2!EC524,'Étape 1 - à remplir'!$G$31:$G$400,"kg"),SUMIFS('Étape 1 - à remplir'!$F$31:$F$400,'Étape 1 - à remplir'!$E$31:$E$400,MASQ2!EC524,'Étape 1 - à remplir'!$C$31:$C$400,EL$3)),IF(EL$2="Âge",IF(EL$3="Tous",SUMIFS('Étape 1 - à remplir'!$F$31:$F$400,'Étape 1 - à remplir'!$E$31:$E$400,MASQ2!EC524,'Étape 1 - à remplir'!$G$31:$G$400,"kg"),SUMIFS('Étape 1 - à remplir'!$F$31:$F$400,'Étape 1 - à remplir'!$E$31:$E$400,MASQ2!EC524,'Étape 1 - à remplir'!$P$31:$P$400,EL$3,'Étape 1 - à remplir'!$G$31:$G$400,"kg")),IF(EL$2="Atelier",IF(EL$3="Tous",SUMIFS('Étape 1 - à remplir'!$F$31:$F$400,'Étape 1 - à remplir'!$E$31:$E$400,MASQ2!EC524,'Étape 1 - à remplir'!$G$31:$G$400,"kg"),SUMIFS('Étape 1 - à remplir'!$F$31:$F$400,'Étape 1 - à remplir'!$E$31:$E$400,MASQ2!EC524,'Étape 1 - à remplir'!$O$31:$O$400,EL$3,'Étape 1 - à remplir'!$G$31:$G$400,"kg")),IF(EL$2="Espèce",IF(EL$3="Toutes",SUMIFS('Étape 1 - à remplir'!$F$31:$F$400,'Étape 1 - à remplir'!$E$31:$E$400,MASQ2!EC524,'Étape 1 - à remplir'!$G$31:$G$400,"kg"),SUMIFS('Étape 1 - à remplir'!$F$31:$F$400,'Étape 1 - à remplir'!$E$31:$E$400,MASQ2!EC524,'Étape 1 - à remplir'!$N$31:$N$400,EL$3,'Étape 1 - à remplir'!$G$31:$G$400,"kg"))))))=0,NA(),IF(EL$2="Catégorie",IF(EL$3="Toutes",SUMIFS('Étape 1 - à remplir'!$F$31:$F$400,'Étape 1 - à remplir'!$E$31:$E$400,MASQ2!EC524,'Étape 1 - à remplir'!$G$31:$G$400,"kg"),SUMIFS('Étape 1 - à remplir'!$F$31:$F$400,'Étape 1 - à remplir'!$E$31:$E$400,MASQ2!EC524,'Étape 1 - à remplir'!$C$31:$C$400,EL$3)),IF(EL$2="Âge",IF(EL$3="Tous",SUMIFS('Étape 1 - à remplir'!$F$31:$F$400,'Étape 1 - à remplir'!$E$31:$E$400,MASQ2!EC524,'Étape 1 - à remplir'!$G$31:$G$400,"kg"),SUMIFS('Étape 1 - à remplir'!$F$31:$F$400,'Étape 1 - à remplir'!$E$31:$E$400,MASQ2!EC524,'Étape 1 - à remplir'!$P$31:$P$400,EL$3,'Étape 1 - à remplir'!$G$31:$G$400,"kg")),IF(EL$2="Atelier",IF(EL$3="Tous",SUMIFS('Étape 1 - à remplir'!$F$31:$F$400,'Étape 1 - à remplir'!$E$31:$E$400,MASQ2!EC524,'Étape 1 - à remplir'!$G$31:$G$400,"kg"),SUMIFS('Étape 1 - à remplir'!$F$31:$F$400,'Étape 1 - à remplir'!$E$31:$E$400,MASQ2!EC524,'Étape 1 - à remplir'!$O$31:$O$400,EL$3,'Étape 1 - à remplir'!$G$31:$G$400,"kg")),IF(EL$2="Espèce",IF(EL$3="Toutes",SUMIFS('Étape 1 - à remplir'!$F$31:$F$400,'Étape 1 - à remplir'!$E$31:$E$400,MASQ2!EC524,'Étape 1 - à remplir'!$G$31:$G$400,"kg"),SUMIFS('Étape 1 - à remplir'!$F$31:$F$400,'Étape 1 - à remplir'!$E$31:$E$400,MASQ2!EC524,'Étape 1 - à remplir'!$N$31:$N$400,EL$3,'Étape 1 - à remplir'!$G$31:$G$400,"kg")))))))</f>
        <v>#N/A</v>
      </c>
      <c r="EE524" s="76">
        <f t="shared" si="334"/>
        <v>0</v>
      </c>
      <c r="EF524" t="str">
        <f t="shared" si="325"/>
        <v>Tulathromycine</v>
      </c>
      <c r="EG524" t="str">
        <f t="shared" si="326"/>
        <v/>
      </c>
      <c r="EH524" t="str">
        <f t="shared" si="327"/>
        <v/>
      </c>
      <c r="EI524" t="str">
        <f t="shared" si="328"/>
        <v>Macrolides</v>
      </c>
      <c r="EJ524" t="str">
        <f t="shared" si="329"/>
        <v/>
      </c>
      <c r="EK524" s="63" t="str">
        <f t="shared" si="330"/>
        <v/>
      </c>
      <c r="EN524" s="42">
        <v>521</v>
      </c>
      <c r="EO524" t="e">
        <f t="shared" si="336"/>
        <v>#N/A</v>
      </c>
      <c r="EP524" s="63" t="e">
        <f t="shared" si="337"/>
        <v>#N/A</v>
      </c>
    </row>
    <row r="525" spans="13:146" x14ac:dyDescent="0.3">
      <c r="M525" s="194" t="str">
        <f ca="1">INDEX(Données_ATB!BD:BU,MATCH(MASQ2!O525,Données_ATB!BD:BD,0),18)</f>
        <v/>
      </c>
      <c r="N525" s="14" t="str">
        <f>IFERROR(IF(Q525=0,"",COUNTIF(Q$4:Q$600,"&gt;"&amp;Q525)+COUNTIF(Q$4:Q525,Q525)),"")</f>
        <v/>
      </c>
      <c r="O525" t="str">
        <f>Données_ATB!BD524</f>
        <v>TYLAN 100 PREMIX</v>
      </c>
      <c r="P525" t="e">
        <f>IF(IF(X$2="Catégorie",IF(X$3="Toutes",SUMIFS('Étape 1 - à remplir'!$F$31:$F$400,'Étape 1 - à remplir'!$E$31:$E$400,MASQ2!O525,'Étape 1 - à remplir'!$G$31:$G$400,"animaux"),SUMIFS('Étape 1 - à remplir'!$F$31:$F$400,'Étape 1 - à remplir'!$E$31:$E$400,MASQ2!O525,'Étape 1 - à remplir'!$C$31:$C$400,X$3)),IF(X$2="Âge",IF(X$3="Tous",SUMIFS('Étape 1 - à remplir'!$F$31:$F$400,'Étape 1 - à remplir'!$E$31:$E$400,MASQ2!O525,'Étape 1 - à remplir'!$G$31:$G$400,"animaux"),SUMIFS('Étape 1 - à remplir'!$F$31:$F$400,'Étape 1 - à remplir'!$E$31:$E$400,MASQ2!O525,'Étape 1 - à remplir'!$P$31:$P$400,X$3)),IF(X$2="Atelier",IF(X$3="Tous",SUMIFS('Étape 1 - à remplir'!$F$31:$F$400,'Étape 1 - à remplir'!$E$31:$E$400,MASQ2!O525,'Étape 1 - à remplir'!$G$31:$G$400,"animaux"),SUMIFS('Étape 1 - à remplir'!$F$31:$F$400,'Étape 1 - à remplir'!$E$31:$E$400,MASQ2!O525,'Étape 1 - à remplir'!$O$31:$O$400,X$3)),IF(X$2="Espèce",IF(X$3="Toutes",SUMIFS('Étape 1 - à remplir'!$F$31:$F$400,'Étape 1 - à remplir'!$E$31:$E$400,MASQ2!O525,'Étape 1 - à remplir'!$G$31:$G$400,"animaux"),SUMIFS('Étape 1 - à remplir'!$F$31:$F$400,'Étape 1 - à remplir'!$E$31:$E$400,MASQ2!O525,'Étape 1 - à remplir'!$N$31:$N$400,X$3))))))=0,NA(),IF(X$2="Catégorie",IF(X$3="Toutes",SUMIFS('Étape 1 - à remplir'!$F$31:$F$400,'Étape 1 - à remplir'!$E$31:$E$400,MASQ2!O525,'Étape 1 - à remplir'!$G$31:$G$400,"animaux"),SUMIFS('Étape 1 - à remplir'!$F$31:$F$400,'Étape 1 - à remplir'!$E$31:$E$400,MASQ2!O525,'Étape 1 - à remplir'!$C$31:$C$400,X$3)),IF(X$2="Âge",IF(X$3="Tous",SUMIFS('Étape 1 - à remplir'!$F$31:$F$400,'Étape 1 - à remplir'!$E$31:$E$400,MASQ2!O525,'Étape 1 - à remplir'!$G$31:$G$400,"animaux"),SUMIFS('Étape 1 - à remplir'!$F$31:$F$400,'Étape 1 - à remplir'!$E$31:$E$400,MASQ2!O525,'Étape 1 - à remplir'!$P$31:$P$400,X$3)),IF(X$2="Atelier",IF(X$3="Tous",SUMIFS('Étape 1 - à remplir'!$F$31:$F$400,'Étape 1 - à remplir'!$E$31:$E$400,MASQ2!O525,'Étape 1 - à remplir'!$G$31:$G$400,"animaux"),SUMIFS('Étape 1 - à remplir'!$F$31:$F$400,'Étape 1 - à remplir'!$E$31:$E$400,MASQ2!O525,'Étape 1 - à remplir'!$O$31:$O$400,X$3)),IF(X$2="Espèce",IF(X$3="Toutes",SUMIFS('Étape 1 - à remplir'!$F$31:$F$400,'Étape 1 - à remplir'!$E$31:$E$400,MASQ2!O525,'Étape 1 - à remplir'!$G$31:$G$400,"animaux"),SUMIFS('Étape 1 - à remplir'!$F$31:$F$400,'Étape 1 - à remplir'!$E$31:$E$400,MASQ2!O525,'Étape 1 - à remplir'!$N$31:$N$400,X$3)))))))</f>
        <v>#N/A</v>
      </c>
      <c r="Q525" s="63">
        <f t="shared" si="335"/>
        <v>0</v>
      </c>
      <c r="R525" t="str">
        <f>Données_ATB!BM524</f>
        <v>Tylosine</v>
      </c>
      <c r="S525" t="str">
        <f>Données_ATB!BN524</f>
        <v/>
      </c>
      <c r="T525" s="63" t="str">
        <f>Données_ATB!BO524</f>
        <v/>
      </c>
      <c r="U525" s="42" t="str">
        <f>Données_ATB!BQ524</f>
        <v>Macrolides</v>
      </c>
      <c r="V525" t="str">
        <f>Données_ATB!BR524</f>
        <v/>
      </c>
      <c r="W525" s="63" t="str">
        <f>Données_ATB!BS524</f>
        <v/>
      </c>
      <c r="Z525" s="42">
        <v>522</v>
      </c>
      <c r="AA525" t="e">
        <f t="shared" si="331"/>
        <v>#N/A</v>
      </c>
      <c r="AB525" s="63" t="e">
        <f t="shared" si="332"/>
        <v>#N/A</v>
      </c>
      <c r="BT525" s="194" t="str">
        <f t="shared" ca="1" si="315"/>
        <v/>
      </c>
      <c r="BU525" s="219" t="str">
        <f>IFERROR(IF(BX525=0,"",COUNTIF(BX$4:BX$600,"&gt;"&amp;BX525)+COUNTIF(BX$4:BX525,BX525)),"")</f>
        <v/>
      </c>
      <c r="BV525" s="42" t="str">
        <f t="shared" si="316"/>
        <v>TYLAN 100 PREMIX</v>
      </c>
      <c r="BW525" t="e">
        <f>IF(IF(CE$2="Catégorie",IF(CE$3="Toutes",SUMIFS('Étape 1 - à remplir'!$F$31:$F$400,'Étape 1 - à remplir'!$E$31:$E$400,MASQ2!BV525,'Étape 1 - à remplir'!$G$31:$G$400,"lots"),SUMIFS('Étape 1 - à remplir'!$F$31:$F$400,'Étape 1 - à remplir'!$E$31:$E$400,MASQ2!BV525,'Étape 1 - à remplir'!$C$31:$C$400,CE$3)),IF(CE$2="Âge",IF(CE$3="Tous",SUMIFS('Étape 1 - à remplir'!$F$31:$F$400,'Étape 1 - à remplir'!$E$31:$E$400,MASQ2!BV525,'Étape 1 - à remplir'!$G$31:$G$400,"lots"),SUMIFS('Étape 1 - à remplir'!$F$31:$F$400,'Étape 1 - à remplir'!$E$31:$E$400,MASQ2!BV525,'Étape 1 - à remplir'!$P$31:$P$400,CE$3,'Étape 1 - à remplir'!$G$31:$G$400,"lots")),IF(CE$2="Atelier",IF(CE$3="Tous",SUMIFS('Étape 1 - à remplir'!$F$31:$F$400,'Étape 1 - à remplir'!$E$31:$E$400,MASQ2!BV525,'Étape 1 - à remplir'!$G$31:$G$400,"lots"),SUMIFS('Étape 1 - à remplir'!$F$31:$F$400,'Étape 1 - à remplir'!$E$31:$E$400,MASQ2!BV525,'Étape 1 - à remplir'!$O$31:$O$400,CE$3,'Étape 1 - à remplir'!$G$31:$G$400,"lots")),IF(CE$2="Espèce",IF(CE$3="Toutes",SUMIFS('Étape 1 - à remplir'!$F$31:$F$400,'Étape 1 - à remplir'!$E$31:$E$400,MASQ2!BV525,'Étape 1 - à remplir'!$G$31:$G$400,"lots"),SUMIFS('Étape 1 - à remplir'!$F$31:$F$400,'Étape 1 - à remplir'!$E$31:$E$400,MASQ2!BV525,'Étape 1 - à remplir'!$N$31:$N$400,CE$3,'Étape 1 - à remplir'!$G$31:$G$400,"lots"))))))=0,NA(),IF(CE$2="Catégorie",IF(CE$3="Toutes",SUMIFS('Étape 1 - à remplir'!$F$31:$F$400,'Étape 1 - à remplir'!$E$31:$E$400,MASQ2!BV525,'Étape 1 - à remplir'!$G$31:$G$400,"lots"),SUMIFS('Étape 1 - à remplir'!$F$31:$F$400,'Étape 1 - à remplir'!$E$31:$E$400,MASQ2!BV525,'Étape 1 - à remplir'!$C$31:$C$400,CE$3)),IF(CE$2="Âge",IF(CE$3="Tous",SUMIFS('Étape 1 - à remplir'!$F$31:$F$400,'Étape 1 - à remplir'!$E$31:$E$400,MASQ2!BV525,'Étape 1 - à remplir'!$G$31:$G$400,"lots"),SUMIFS('Étape 1 - à remplir'!$F$31:$F$400,'Étape 1 - à remplir'!$E$31:$E$400,MASQ2!BV525,'Étape 1 - à remplir'!$P$31:$P$400,CE$3,'Étape 1 - à remplir'!$G$31:$G$400,"lots")),IF(CE$2="Atelier",IF(CE$3="Tous",SUMIFS('Étape 1 - à remplir'!$F$31:$F$400,'Étape 1 - à remplir'!$E$31:$E$400,MASQ2!BV525,'Étape 1 - à remplir'!$G$31:$G$400,"lots"),SUMIFS('Étape 1 - à remplir'!$F$31:$F$400,'Étape 1 - à remplir'!$E$31:$E$400,MASQ2!BV525,'Étape 1 - à remplir'!$O$31:$O$400,CE$3,'Étape 1 - à remplir'!$G$31:$G$400,"lots")),IF(CE$2="Espèce",IF(CE$3="Toutes",SUMIFS('Étape 1 - à remplir'!$F$31:$F$400,'Étape 1 - à remplir'!$E$31:$E$400,MASQ2!BV525,'Étape 1 - à remplir'!$G$31:$G$400,"lots"),SUMIFS('Étape 1 - à remplir'!$F$31:$F$400,'Étape 1 - à remplir'!$E$31:$E$400,MASQ2!BV525,'Étape 1 - à remplir'!$N$31:$N$400,CE$3,'Étape 1 - à remplir'!$G$31:$G$400,"lots")))))))</f>
        <v>#N/A</v>
      </c>
      <c r="BX525">
        <f t="shared" si="333"/>
        <v>0</v>
      </c>
      <c r="BY525" t="str">
        <f t="shared" si="317"/>
        <v>Tylosine</v>
      </c>
      <c r="BZ525" t="str">
        <f t="shared" si="318"/>
        <v/>
      </c>
      <c r="CA525" t="str">
        <f t="shared" si="319"/>
        <v/>
      </c>
      <c r="CB525" t="str">
        <f t="shared" si="320"/>
        <v>Macrolides</v>
      </c>
      <c r="CC525" t="str">
        <f t="shared" si="321"/>
        <v/>
      </c>
      <c r="CD525" s="63" t="str">
        <f t="shared" si="322"/>
        <v/>
      </c>
      <c r="CG525" s="42">
        <v>522</v>
      </c>
      <c r="CH525" s="42" t="e">
        <f t="shared" si="313"/>
        <v>#N/A</v>
      </c>
      <c r="CI525" s="63" t="e">
        <f t="shared" si="314"/>
        <v>#N/A</v>
      </c>
      <c r="EA525" s="194" t="str">
        <f t="shared" ca="1" si="323"/>
        <v/>
      </c>
      <c r="EB525" s="226" t="str">
        <f>IFERROR(IF(ED525=0,"",COUNTIF(ED$4:ED$600,"&gt;"&amp;ED525)+COUNTIF(ED$4:ED525,ED525)),"")</f>
        <v/>
      </c>
      <c r="EC525" t="str">
        <f t="shared" si="324"/>
        <v>TYLAN 100 PREMIX</v>
      </c>
      <c r="ED525" t="e">
        <f>IF(IF(EL$2="Catégorie",IF(EL$3="Toutes",SUMIFS('Étape 1 - à remplir'!$F$31:$F$400,'Étape 1 - à remplir'!$E$31:$E$400,MASQ2!EC525,'Étape 1 - à remplir'!$G$31:$G$400,"kg"),SUMIFS('Étape 1 - à remplir'!$F$31:$F$400,'Étape 1 - à remplir'!$E$31:$E$400,MASQ2!EC525,'Étape 1 - à remplir'!$C$31:$C$400,EL$3)),IF(EL$2="Âge",IF(EL$3="Tous",SUMIFS('Étape 1 - à remplir'!$F$31:$F$400,'Étape 1 - à remplir'!$E$31:$E$400,MASQ2!EC525,'Étape 1 - à remplir'!$G$31:$G$400,"kg"),SUMIFS('Étape 1 - à remplir'!$F$31:$F$400,'Étape 1 - à remplir'!$E$31:$E$400,MASQ2!EC525,'Étape 1 - à remplir'!$P$31:$P$400,EL$3,'Étape 1 - à remplir'!$G$31:$G$400,"kg")),IF(EL$2="Atelier",IF(EL$3="Tous",SUMIFS('Étape 1 - à remplir'!$F$31:$F$400,'Étape 1 - à remplir'!$E$31:$E$400,MASQ2!EC525,'Étape 1 - à remplir'!$G$31:$G$400,"kg"),SUMIFS('Étape 1 - à remplir'!$F$31:$F$400,'Étape 1 - à remplir'!$E$31:$E$400,MASQ2!EC525,'Étape 1 - à remplir'!$O$31:$O$400,EL$3,'Étape 1 - à remplir'!$G$31:$G$400,"kg")),IF(EL$2="Espèce",IF(EL$3="Toutes",SUMIFS('Étape 1 - à remplir'!$F$31:$F$400,'Étape 1 - à remplir'!$E$31:$E$400,MASQ2!EC525,'Étape 1 - à remplir'!$G$31:$G$400,"kg"),SUMIFS('Étape 1 - à remplir'!$F$31:$F$400,'Étape 1 - à remplir'!$E$31:$E$400,MASQ2!EC525,'Étape 1 - à remplir'!$N$31:$N$400,EL$3,'Étape 1 - à remplir'!$G$31:$G$400,"kg"))))))=0,NA(),IF(EL$2="Catégorie",IF(EL$3="Toutes",SUMIFS('Étape 1 - à remplir'!$F$31:$F$400,'Étape 1 - à remplir'!$E$31:$E$400,MASQ2!EC525,'Étape 1 - à remplir'!$G$31:$G$400,"kg"),SUMIFS('Étape 1 - à remplir'!$F$31:$F$400,'Étape 1 - à remplir'!$E$31:$E$400,MASQ2!EC525,'Étape 1 - à remplir'!$C$31:$C$400,EL$3)),IF(EL$2="Âge",IF(EL$3="Tous",SUMIFS('Étape 1 - à remplir'!$F$31:$F$400,'Étape 1 - à remplir'!$E$31:$E$400,MASQ2!EC525,'Étape 1 - à remplir'!$G$31:$G$400,"kg"),SUMIFS('Étape 1 - à remplir'!$F$31:$F$400,'Étape 1 - à remplir'!$E$31:$E$400,MASQ2!EC525,'Étape 1 - à remplir'!$P$31:$P$400,EL$3,'Étape 1 - à remplir'!$G$31:$G$400,"kg")),IF(EL$2="Atelier",IF(EL$3="Tous",SUMIFS('Étape 1 - à remplir'!$F$31:$F$400,'Étape 1 - à remplir'!$E$31:$E$400,MASQ2!EC525,'Étape 1 - à remplir'!$G$31:$G$400,"kg"),SUMIFS('Étape 1 - à remplir'!$F$31:$F$400,'Étape 1 - à remplir'!$E$31:$E$400,MASQ2!EC525,'Étape 1 - à remplir'!$O$31:$O$400,EL$3,'Étape 1 - à remplir'!$G$31:$G$400,"kg")),IF(EL$2="Espèce",IF(EL$3="Toutes",SUMIFS('Étape 1 - à remplir'!$F$31:$F$400,'Étape 1 - à remplir'!$E$31:$E$400,MASQ2!EC525,'Étape 1 - à remplir'!$G$31:$G$400,"kg"),SUMIFS('Étape 1 - à remplir'!$F$31:$F$400,'Étape 1 - à remplir'!$E$31:$E$400,MASQ2!EC525,'Étape 1 - à remplir'!$N$31:$N$400,EL$3,'Étape 1 - à remplir'!$G$31:$G$400,"kg")))))))</f>
        <v>#N/A</v>
      </c>
      <c r="EE525" s="76">
        <f t="shared" si="334"/>
        <v>0</v>
      </c>
      <c r="EF525" t="str">
        <f t="shared" si="325"/>
        <v>Tylosine</v>
      </c>
      <c r="EG525" t="str">
        <f t="shared" si="326"/>
        <v/>
      </c>
      <c r="EH525" t="str">
        <f t="shared" si="327"/>
        <v/>
      </c>
      <c r="EI525" t="str">
        <f t="shared" si="328"/>
        <v>Macrolides</v>
      </c>
      <c r="EJ525" t="str">
        <f t="shared" si="329"/>
        <v/>
      </c>
      <c r="EK525" s="63" t="str">
        <f t="shared" si="330"/>
        <v/>
      </c>
      <c r="EN525" s="42">
        <v>522</v>
      </c>
      <c r="EO525" t="e">
        <f t="shared" si="336"/>
        <v>#N/A</v>
      </c>
      <c r="EP525" s="63" t="e">
        <f t="shared" si="337"/>
        <v>#N/A</v>
      </c>
    </row>
    <row r="526" spans="13:146" x14ac:dyDescent="0.3">
      <c r="M526" s="194" t="str">
        <f ca="1">INDEX(Données_ATB!BD:BU,MATCH(MASQ2!O526,Données_ATB!BD:BD,0),18)</f>
        <v/>
      </c>
      <c r="N526" s="14" t="str">
        <f>IFERROR(IF(Q526=0,"",COUNTIF(Q$4:Q$600,"&gt;"&amp;Q526)+COUNTIF(Q$4:Q526,Q526)),"")</f>
        <v/>
      </c>
      <c r="O526" t="str">
        <f>Données_ATB!BD525</f>
        <v>TYLAN 20 PREMIX</v>
      </c>
      <c r="P526" t="e">
        <f>IF(IF(X$2="Catégorie",IF(X$3="Toutes",SUMIFS('Étape 1 - à remplir'!$F$31:$F$400,'Étape 1 - à remplir'!$E$31:$E$400,MASQ2!O526,'Étape 1 - à remplir'!$G$31:$G$400,"animaux"),SUMIFS('Étape 1 - à remplir'!$F$31:$F$400,'Étape 1 - à remplir'!$E$31:$E$400,MASQ2!O526,'Étape 1 - à remplir'!$C$31:$C$400,X$3)),IF(X$2="Âge",IF(X$3="Tous",SUMIFS('Étape 1 - à remplir'!$F$31:$F$400,'Étape 1 - à remplir'!$E$31:$E$400,MASQ2!O526,'Étape 1 - à remplir'!$G$31:$G$400,"animaux"),SUMIFS('Étape 1 - à remplir'!$F$31:$F$400,'Étape 1 - à remplir'!$E$31:$E$400,MASQ2!O526,'Étape 1 - à remplir'!$P$31:$P$400,X$3)),IF(X$2="Atelier",IF(X$3="Tous",SUMIFS('Étape 1 - à remplir'!$F$31:$F$400,'Étape 1 - à remplir'!$E$31:$E$400,MASQ2!O526,'Étape 1 - à remplir'!$G$31:$G$400,"animaux"),SUMIFS('Étape 1 - à remplir'!$F$31:$F$400,'Étape 1 - à remplir'!$E$31:$E$400,MASQ2!O526,'Étape 1 - à remplir'!$O$31:$O$400,X$3)),IF(X$2="Espèce",IF(X$3="Toutes",SUMIFS('Étape 1 - à remplir'!$F$31:$F$400,'Étape 1 - à remplir'!$E$31:$E$400,MASQ2!O526,'Étape 1 - à remplir'!$G$31:$G$400,"animaux"),SUMIFS('Étape 1 - à remplir'!$F$31:$F$400,'Étape 1 - à remplir'!$E$31:$E$400,MASQ2!O526,'Étape 1 - à remplir'!$N$31:$N$400,X$3))))))=0,NA(),IF(X$2="Catégorie",IF(X$3="Toutes",SUMIFS('Étape 1 - à remplir'!$F$31:$F$400,'Étape 1 - à remplir'!$E$31:$E$400,MASQ2!O526,'Étape 1 - à remplir'!$G$31:$G$400,"animaux"),SUMIFS('Étape 1 - à remplir'!$F$31:$F$400,'Étape 1 - à remplir'!$E$31:$E$400,MASQ2!O526,'Étape 1 - à remplir'!$C$31:$C$400,X$3)),IF(X$2="Âge",IF(X$3="Tous",SUMIFS('Étape 1 - à remplir'!$F$31:$F$400,'Étape 1 - à remplir'!$E$31:$E$400,MASQ2!O526,'Étape 1 - à remplir'!$G$31:$G$400,"animaux"),SUMIFS('Étape 1 - à remplir'!$F$31:$F$400,'Étape 1 - à remplir'!$E$31:$E$400,MASQ2!O526,'Étape 1 - à remplir'!$P$31:$P$400,X$3)),IF(X$2="Atelier",IF(X$3="Tous",SUMIFS('Étape 1 - à remplir'!$F$31:$F$400,'Étape 1 - à remplir'!$E$31:$E$400,MASQ2!O526,'Étape 1 - à remplir'!$G$31:$G$400,"animaux"),SUMIFS('Étape 1 - à remplir'!$F$31:$F$400,'Étape 1 - à remplir'!$E$31:$E$400,MASQ2!O526,'Étape 1 - à remplir'!$O$31:$O$400,X$3)),IF(X$2="Espèce",IF(X$3="Toutes",SUMIFS('Étape 1 - à remplir'!$F$31:$F$400,'Étape 1 - à remplir'!$E$31:$E$400,MASQ2!O526,'Étape 1 - à remplir'!$G$31:$G$400,"animaux"),SUMIFS('Étape 1 - à remplir'!$F$31:$F$400,'Étape 1 - à remplir'!$E$31:$E$400,MASQ2!O526,'Étape 1 - à remplir'!$N$31:$N$400,X$3)))))))</f>
        <v>#N/A</v>
      </c>
      <c r="Q526" s="63">
        <f t="shared" si="335"/>
        <v>0</v>
      </c>
      <c r="R526" t="str">
        <f>Données_ATB!BM525</f>
        <v>Tylosine</v>
      </c>
      <c r="S526" t="str">
        <f>Données_ATB!BN525</f>
        <v/>
      </c>
      <c r="T526" s="63" t="str">
        <f>Données_ATB!BO525</f>
        <v/>
      </c>
      <c r="U526" s="42" t="str">
        <f>Données_ATB!BQ525</f>
        <v>Macrolides</v>
      </c>
      <c r="V526" t="str">
        <f>Données_ATB!BR525</f>
        <v/>
      </c>
      <c r="W526" s="63" t="str">
        <f>Données_ATB!BS525</f>
        <v/>
      </c>
      <c r="Z526" s="42">
        <v>523</v>
      </c>
      <c r="AA526" t="e">
        <f t="shared" si="331"/>
        <v>#N/A</v>
      </c>
      <c r="AB526" s="63" t="e">
        <f t="shared" si="332"/>
        <v>#N/A</v>
      </c>
      <c r="BT526" s="194" t="str">
        <f t="shared" ca="1" si="315"/>
        <v/>
      </c>
      <c r="BU526" s="219" t="str">
        <f>IFERROR(IF(BX526=0,"",COUNTIF(BX$4:BX$600,"&gt;"&amp;BX526)+COUNTIF(BX$4:BX526,BX526)),"")</f>
        <v/>
      </c>
      <c r="BV526" s="42" t="str">
        <f t="shared" si="316"/>
        <v>TYLAN 20 PREMIX</v>
      </c>
      <c r="BW526" t="e">
        <f>IF(IF(CE$2="Catégorie",IF(CE$3="Toutes",SUMIFS('Étape 1 - à remplir'!$F$31:$F$400,'Étape 1 - à remplir'!$E$31:$E$400,MASQ2!BV526,'Étape 1 - à remplir'!$G$31:$G$400,"lots"),SUMIFS('Étape 1 - à remplir'!$F$31:$F$400,'Étape 1 - à remplir'!$E$31:$E$400,MASQ2!BV526,'Étape 1 - à remplir'!$C$31:$C$400,CE$3)),IF(CE$2="Âge",IF(CE$3="Tous",SUMIFS('Étape 1 - à remplir'!$F$31:$F$400,'Étape 1 - à remplir'!$E$31:$E$400,MASQ2!BV526,'Étape 1 - à remplir'!$G$31:$G$400,"lots"),SUMIFS('Étape 1 - à remplir'!$F$31:$F$400,'Étape 1 - à remplir'!$E$31:$E$400,MASQ2!BV526,'Étape 1 - à remplir'!$P$31:$P$400,CE$3,'Étape 1 - à remplir'!$G$31:$G$400,"lots")),IF(CE$2="Atelier",IF(CE$3="Tous",SUMIFS('Étape 1 - à remplir'!$F$31:$F$400,'Étape 1 - à remplir'!$E$31:$E$400,MASQ2!BV526,'Étape 1 - à remplir'!$G$31:$G$400,"lots"),SUMIFS('Étape 1 - à remplir'!$F$31:$F$400,'Étape 1 - à remplir'!$E$31:$E$400,MASQ2!BV526,'Étape 1 - à remplir'!$O$31:$O$400,CE$3,'Étape 1 - à remplir'!$G$31:$G$400,"lots")),IF(CE$2="Espèce",IF(CE$3="Toutes",SUMIFS('Étape 1 - à remplir'!$F$31:$F$400,'Étape 1 - à remplir'!$E$31:$E$400,MASQ2!BV526,'Étape 1 - à remplir'!$G$31:$G$400,"lots"),SUMIFS('Étape 1 - à remplir'!$F$31:$F$400,'Étape 1 - à remplir'!$E$31:$E$400,MASQ2!BV526,'Étape 1 - à remplir'!$N$31:$N$400,CE$3,'Étape 1 - à remplir'!$G$31:$G$400,"lots"))))))=0,NA(),IF(CE$2="Catégorie",IF(CE$3="Toutes",SUMIFS('Étape 1 - à remplir'!$F$31:$F$400,'Étape 1 - à remplir'!$E$31:$E$400,MASQ2!BV526,'Étape 1 - à remplir'!$G$31:$G$400,"lots"),SUMIFS('Étape 1 - à remplir'!$F$31:$F$400,'Étape 1 - à remplir'!$E$31:$E$400,MASQ2!BV526,'Étape 1 - à remplir'!$C$31:$C$400,CE$3)),IF(CE$2="Âge",IF(CE$3="Tous",SUMIFS('Étape 1 - à remplir'!$F$31:$F$400,'Étape 1 - à remplir'!$E$31:$E$400,MASQ2!BV526,'Étape 1 - à remplir'!$G$31:$G$400,"lots"),SUMIFS('Étape 1 - à remplir'!$F$31:$F$400,'Étape 1 - à remplir'!$E$31:$E$400,MASQ2!BV526,'Étape 1 - à remplir'!$P$31:$P$400,CE$3,'Étape 1 - à remplir'!$G$31:$G$400,"lots")),IF(CE$2="Atelier",IF(CE$3="Tous",SUMIFS('Étape 1 - à remplir'!$F$31:$F$400,'Étape 1 - à remplir'!$E$31:$E$400,MASQ2!BV526,'Étape 1 - à remplir'!$G$31:$G$400,"lots"),SUMIFS('Étape 1 - à remplir'!$F$31:$F$400,'Étape 1 - à remplir'!$E$31:$E$400,MASQ2!BV526,'Étape 1 - à remplir'!$O$31:$O$400,CE$3,'Étape 1 - à remplir'!$G$31:$G$400,"lots")),IF(CE$2="Espèce",IF(CE$3="Toutes",SUMIFS('Étape 1 - à remplir'!$F$31:$F$400,'Étape 1 - à remplir'!$E$31:$E$400,MASQ2!BV526,'Étape 1 - à remplir'!$G$31:$G$400,"lots"),SUMIFS('Étape 1 - à remplir'!$F$31:$F$400,'Étape 1 - à remplir'!$E$31:$E$400,MASQ2!BV526,'Étape 1 - à remplir'!$N$31:$N$400,CE$3,'Étape 1 - à remplir'!$G$31:$G$400,"lots")))))))</f>
        <v>#N/A</v>
      </c>
      <c r="BX526">
        <f t="shared" si="333"/>
        <v>0</v>
      </c>
      <c r="BY526" t="str">
        <f t="shared" si="317"/>
        <v>Tylosine</v>
      </c>
      <c r="BZ526" t="str">
        <f t="shared" si="318"/>
        <v/>
      </c>
      <c r="CA526" t="str">
        <f t="shared" si="319"/>
        <v/>
      </c>
      <c r="CB526" t="str">
        <f t="shared" si="320"/>
        <v>Macrolides</v>
      </c>
      <c r="CC526" t="str">
        <f t="shared" si="321"/>
        <v/>
      </c>
      <c r="CD526" s="63" t="str">
        <f t="shared" si="322"/>
        <v/>
      </c>
      <c r="CG526" s="42">
        <v>523</v>
      </c>
      <c r="CH526" s="42" t="e">
        <f t="shared" si="313"/>
        <v>#N/A</v>
      </c>
      <c r="CI526" s="63" t="e">
        <f t="shared" si="314"/>
        <v>#N/A</v>
      </c>
      <c r="EA526" s="194" t="str">
        <f t="shared" ca="1" si="323"/>
        <v/>
      </c>
      <c r="EB526" s="226" t="str">
        <f>IFERROR(IF(ED526=0,"",COUNTIF(ED$4:ED$600,"&gt;"&amp;ED526)+COUNTIF(ED$4:ED526,ED526)),"")</f>
        <v/>
      </c>
      <c r="EC526" t="str">
        <f t="shared" si="324"/>
        <v>TYLAN 20 PREMIX</v>
      </c>
      <c r="ED526" t="e">
        <f>IF(IF(EL$2="Catégorie",IF(EL$3="Toutes",SUMIFS('Étape 1 - à remplir'!$F$31:$F$400,'Étape 1 - à remplir'!$E$31:$E$400,MASQ2!EC526,'Étape 1 - à remplir'!$G$31:$G$400,"kg"),SUMIFS('Étape 1 - à remplir'!$F$31:$F$400,'Étape 1 - à remplir'!$E$31:$E$400,MASQ2!EC526,'Étape 1 - à remplir'!$C$31:$C$400,EL$3)),IF(EL$2="Âge",IF(EL$3="Tous",SUMIFS('Étape 1 - à remplir'!$F$31:$F$400,'Étape 1 - à remplir'!$E$31:$E$400,MASQ2!EC526,'Étape 1 - à remplir'!$G$31:$G$400,"kg"),SUMIFS('Étape 1 - à remplir'!$F$31:$F$400,'Étape 1 - à remplir'!$E$31:$E$400,MASQ2!EC526,'Étape 1 - à remplir'!$P$31:$P$400,EL$3,'Étape 1 - à remplir'!$G$31:$G$400,"kg")),IF(EL$2="Atelier",IF(EL$3="Tous",SUMIFS('Étape 1 - à remplir'!$F$31:$F$400,'Étape 1 - à remplir'!$E$31:$E$400,MASQ2!EC526,'Étape 1 - à remplir'!$G$31:$G$400,"kg"),SUMIFS('Étape 1 - à remplir'!$F$31:$F$400,'Étape 1 - à remplir'!$E$31:$E$400,MASQ2!EC526,'Étape 1 - à remplir'!$O$31:$O$400,EL$3,'Étape 1 - à remplir'!$G$31:$G$400,"kg")),IF(EL$2="Espèce",IF(EL$3="Toutes",SUMIFS('Étape 1 - à remplir'!$F$31:$F$400,'Étape 1 - à remplir'!$E$31:$E$400,MASQ2!EC526,'Étape 1 - à remplir'!$G$31:$G$400,"kg"),SUMIFS('Étape 1 - à remplir'!$F$31:$F$400,'Étape 1 - à remplir'!$E$31:$E$400,MASQ2!EC526,'Étape 1 - à remplir'!$N$31:$N$400,EL$3,'Étape 1 - à remplir'!$G$31:$G$400,"kg"))))))=0,NA(),IF(EL$2="Catégorie",IF(EL$3="Toutes",SUMIFS('Étape 1 - à remplir'!$F$31:$F$400,'Étape 1 - à remplir'!$E$31:$E$400,MASQ2!EC526,'Étape 1 - à remplir'!$G$31:$G$400,"kg"),SUMIFS('Étape 1 - à remplir'!$F$31:$F$400,'Étape 1 - à remplir'!$E$31:$E$400,MASQ2!EC526,'Étape 1 - à remplir'!$C$31:$C$400,EL$3)),IF(EL$2="Âge",IF(EL$3="Tous",SUMIFS('Étape 1 - à remplir'!$F$31:$F$400,'Étape 1 - à remplir'!$E$31:$E$400,MASQ2!EC526,'Étape 1 - à remplir'!$G$31:$G$400,"kg"),SUMIFS('Étape 1 - à remplir'!$F$31:$F$400,'Étape 1 - à remplir'!$E$31:$E$400,MASQ2!EC526,'Étape 1 - à remplir'!$P$31:$P$400,EL$3,'Étape 1 - à remplir'!$G$31:$G$400,"kg")),IF(EL$2="Atelier",IF(EL$3="Tous",SUMIFS('Étape 1 - à remplir'!$F$31:$F$400,'Étape 1 - à remplir'!$E$31:$E$400,MASQ2!EC526,'Étape 1 - à remplir'!$G$31:$G$400,"kg"),SUMIFS('Étape 1 - à remplir'!$F$31:$F$400,'Étape 1 - à remplir'!$E$31:$E$400,MASQ2!EC526,'Étape 1 - à remplir'!$O$31:$O$400,EL$3,'Étape 1 - à remplir'!$G$31:$G$400,"kg")),IF(EL$2="Espèce",IF(EL$3="Toutes",SUMIFS('Étape 1 - à remplir'!$F$31:$F$400,'Étape 1 - à remplir'!$E$31:$E$400,MASQ2!EC526,'Étape 1 - à remplir'!$G$31:$G$400,"kg"),SUMIFS('Étape 1 - à remplir'!$F$31:$F$400,'Étape 1 - à remplir'!$E$31:$E$400,MASQ2!EC526,'Étape 1 - à remplir'!$N$31:$N$400,EL$3,'Étape 1 - à remplir'!$G$31:$G$400,"kg")))))))</f>
        <v>#N/A</v>
      </c>
      <c r="EE526" s="76">
        <f t="shared" si="334"/>
        <v>0</v>
      </c>
      <c r="EF526" t="str">
        <f t="shared" si="325"/>
        <v>Tylosine</v>
      </c>
      <c r="EG526" t="str">
        <f t="shared" si="326"/>
        <v/>
      </c>
      <c r="EH526" t="str">
        <f t="shared" si="327"/>
        <v/>
      </c>
      <c r="EI526" t="str">
        <f t="shared" si="328"/>
        <v>Macrolides</v>
      </c>
      <c r="EJ526" t="str">
        <f t="shared" si="329"/>
        <v/>
      </c>
      <c r="EK526" s="63" t="str">
        <f t="shared" si="330"/>
        <v/>
      </c>
      <c r="EN526" s="42">
        <v>523</v>
      </c>
      <c r="EO526" t="e">
        <f t="shared" si="336"/>
        <v>#N/A</v>
      </c>
      <c r="EP526" s="63" t="e">
        <f t="shared" si="337"/>
        <v>#N/A</v>
      </c>
    </row>
    <row r="527" spans="13:146" x14ac:dyDescent="0.3">
      <c r="M527" s="194" t="str">
        <f ca="1">INDEX(Données_ATB!BD:BU,MATCH(MASQ2!O527,Données_ATB!BD:BD,0),18)</f>
        <v/>
      </c>
      <c r="N527" s="14" t="str">
        <f>IFERROR(IF(Q527=0,"",COUNTIF(Q$4:Q$600,"&gt;"&amp;Q527)+COUNTIF(Q$4:Q527,Q527)),"")</f>
        <v/>
      </c>
      <c r="O527" t="str">
        <f>Données_ATB!BD526</f>
        <v>TYLAN 200 000 UI/ML SOLUTION INJECTABLE</v>
      </c>
      <c r="P527" t="e">
        <f>IF(IF(X$2="Catégorie",IF(X$3="Toutes",SUMIFS('Étape 1 - à remplir'!$F$31:$F$400,'Étape 1 - à remplir'!$E$31:$E$400,MASQ2!O527,'Étape 1 - à remplir'!$G$31:$G$400,"animaux"),SUMIFS('Étape 1 - à remplir'!$F$31:$F$400,'Étape 1 - à remplir'!$E$31:$E$400,MASQ2!O527,'Étape 1 - à remplir'!$C$31:$C$400,X$3)),IF(X$2="Âge",IF(X$3="Tous",SUMIFS('Étape 1 - à remplir'!$F$31:$F$400,'Étape 1 - à remplir'!$E$31:$E$400,MASQ2!O527,'Étape 1 - à remplir'!$G$31:$G$400,"animaux"),SUMIFS('Étape 1 - à remplir'!$F$31:$F$400,'Étape 1 - à remplir'!$E$31:$E$400,MASQ2!O527,'Étape 1 - à remplir'!$P$31:$P$400,X$3)),IF(X$2="Atelier",IF(X$3="Tous",SUMIFS('Étape 1 - à remplir'!$F$31:$F$400,'Étape 1 - à remplir'!$E$31:$E$400,MASQ2!O527,'Étape 1 - à remplir'!$G$31:$G$400,"animaux"),SUMIFS('Étape 1 - à remplir'!$F$31:$F$400,'Étape 1 - à remplir'!$E$31:$E$400,MASQ2!O527,'Étape 1 - à remplir'!$O$31:$O$400,X$3)),IF(X$2="Espèce",IF(X$3="Toutes",SUMIFS('Étape 1 - à remplir'!$F$31:$F$400,'Étape 1 - à remplir'!$E$31:$E$400,MASQ2!O527,'Étape 1 - à remplir'!$G$31:$G$400,"animaux"),SUMIFS('Étape 1 - à remplir'!$F$31:$F$400,'Étape 1 - à remplir'!$E$31:$E$400,MASQ2!O527,'Étape 1 - à remplir'!$N$31:$N$400,X$3))))))=0,NA(),IF(X$2="Catégorie",IF(X$3="Toutes",SUMIFS('Étape 1 - à remplir'!$F$31:$F$400,'Étape 1 - à remplir'!$E$31:$E$400,MASQ2!O527,'Étape 1 - à remplir'!$G$31:$G$400,"animaux"),SUMIFS('Étape 1 - à remplir'!$F$31:$F$400,'Étape 1 - à remplir'!$E$31:$E$400,MASQ2!O527,'Étape 1 - à remplir'!$C$31:$C$400,X$3)),IF(X$2="Âge",IF(X$3="Tous",SUMIFS('Étape 1 - à remplir'!$F$31:$F$400,'Étape 1 - à remplir'!$E$31:$E$400,MASQ2!O527,'Étape 1 - à remplir'!$G$31:$G$400,"animaux"),SUMIFS('Étape 1 - à remplir'!$F$31:$F$400,'Étape 1 - à remplir'!$E$31:$E$400,MASQ2!O527,'Étape 1 - à remplir'!$P$31:$P$400,X$3)),IF(X$2="Atelier",IF(X$3="Tous",SUMIFS('Étape 1 - à remplir'!$F$31:$F$400,'Étape 1 - à remplir'!$E$31:$E$400,MASQ2!O527,'Étape 1 - à remplir'!$G$31:$G$400,"animaux"),SUMIFS('Étape 1 - à remplir'!$F$31:$F$400,'Étape 1 - à remplir'!$E$31:$E$400,MASQ2!O527,'Étape 1 - à remplir'!$O$31:$O$400,X$3)),IF(X$2="Espèce",IF(X$3="Toutes",SUMIFS('Étape 1 - à remplir'!$F$31:$F$400,'Étape 1 - à remplir'!$E$31:$E$400,MASQ2!O527,'Étape 1 - à remplir'!$G$31:$G$400,"animaux"),SUMIFS('Étape 1 - à remplir'!$F$31:$F$400,'Étape 1 - à remplir'!$E$31:$E$400,MASQ2!O527,'Étape 1 - à remplir'!$N$31:$N$400,X$3)))))))</f>
        <v>#N/A</v>
      </c>
      <c r="Q527" s="63">
        <f t="shared" si="335"/>
        <v>0</v>
      </c>
      <c r="R527" t="str">
        <f>Données_ATB!BM526</f>
        <v>Tylosine</v>
      </c>
      <c r="S527" t="str">
        <f>Données_ATB!BN526</f>
        <v/>
      </c>
      <c r="T527" s="63" t="str">
        <f>Données_ATB!BO526</f>
        <v/>
      </c>
      <c r="U527" s="42" t="str">
        <f>Données_ATB!BQ526</f>
        <v>Macrolides</v>
      </c>
      <c r="V527" t="str">
        <f>Données_ATB!BR526</f>
        <v/>
      </c>
      <c r="W527" s="63" t="str">
        <f>Données_ATB!BS526</f>
        <v/>
      </c>
      <c r="Z527" s="42">
        <v>524</v>
      </c>
      <c r="AA527" t="e">
        <f t="shared" si="331"/>
        <v>#N/A</v>
      </c>
      <c r="AB527" s="63" t="e">
        <f t="shared" si="332"/>
        <v>#N/A</v>
      </c>
      <c r="BT527" s="194" t="str">
        <f t="shared" ca="1" si="315"/>
        <v/>
      </c>
      <c r="BU527" s="219" t="str">
        <f>IFERROR(IF(BX527=0,"",COUNTIF(BX$4:BX$600,"&gt;"&amp;BX527)+COUNTIF(BX$4:BX527,BX527)),"")</f>
        <v/>
      </c>
      <c r="BV527" s="42" t="str">
        <f t="shared" si="316"/>
        <v>TYLAN 200 000 UI/ML SOLUTION INJECTABLE</v>
      </c>
      <c r="BW527" t="e">
        <f>IF(IF(CE$2="Catégorie",IF(CE$3="Toutes",SUMIFS('Étape 1 - à remplir'!$F$31:$F$400,'Étape 1 - à remplir'!$E$31:$E$400,MASQ2!BV527,'Étape 1 - à remplir'!$G$31:$G$400,"lots"),SUMIFS('Étape 1 - à remplir'!$F$31:$F$400,'Étape 1 - à remplir'!$E$31:$E$400,MASQ2!BV527,'Étape 1 - à remplir'!$C$31:$C$400,CE$3)),IF(CE$2="Âge",IF(CE$3="Tous",SUMIFS('Étape 1 - à remplir'!$F$31:$F$400,'Étape 1 - à remplir'!$E$31:$E$400,MASQ2!BV527,'Étape 1 - à remplir'!$G$31:$G$400,"lots"),SUMIFS('Étape 1 - à remplir'!$F$31:$F$400,'Étape 1 - à remplir'!$E$31:$E$400,MASQ2!BV527,'Étape 1 - à remplir'!$P$31:$P$400,CE$3,'Étape 1 - à remplir'!$G$31:$G$400,"lots")),IF(CE$2="Atelier",IF(CE$3="Tous",SUMIFS('Étape 1 - à remplir'!$F$31:$F$400,'Étape 1 - à remplir'!$E$31:$E$400,MASQ2!BV527,'Étape 1 - à remplir'!$G$31:$G$400,"lots"),SUMIFS('Étape 1 - à remplir'!$F$31:$F$400,'Étape 1 - à remplir'!$E$31:$E$400,MASQ2!BV527,'Étape 1 - à remplir'!$O$31:$O$400,CE$3,'Étape 1 - à remplir'!$G$31:$G$400,"lots")),IF(CE$2="Espèce",IF(CE$3="Toutes",SUMIFS('Étape 1 - à remplir'!$F$31:$F$400,'Étape 1 - à remplir'!$E$31:$E$400,MASQ2!BV527,'Étape 1 - à remplir'!$G$31:$G$400,"lots"),SUMIFS('Étape 1 - à remplir'!$F$31:$F$400,'Étape 1 - à remplir'!$E$31:$E$400,MASQ2!BV527,'Étape 1 - à remplir'!$N$31:$N$400,CE$3,'Étape 1 - à remplir'!$G$31:$G$400,"lots"))))))=0,NA(),IF(CE$2="Catégorie",IF(CE$3="Toutes",SUMIFS('Étape 1 - à remplir'!$F$31:$F$400,'Étape 1 - à remplir'!$E$31:$E$400,MASQ2!BV527,'Étape 1 - à remplir'!$G$31:$G$400,"lots"),SUMIFS('Étape 1 - à remplir'!$F$31:$F$400,'Étape 1 - à remplir'!$E$31:$E$400,MASQ2!BV527,'Étape 1 - à remplir'!$C$31:$C$400,CE$3)),IF(CE$2="Âge",IF(CE$3="Tous",SUMIFS('Étape 1 - à remplir'!$F$31:$F$400,'Étape 1 - à remplir'!$E$31:$E$400,MASQ2!BV527,'Étape 1 - à remplir'!$G$31:$G$400,"lots"),SUMIFS('Étape 1 - à remplir'!$F$31:$F$400,'Étape 1 - à remplir'!$E$31:$E$400,MASQ2!BV527,'Étape 1 - à remplir'!$P$31:$P$400,CE$3,'Étape 1 - à remplir'!$G$31:$G$400,"lots")),IF(CE$2="Atelier",IF(CE$3="Tous",SUMIFS('Étape 1 - à remplir'!$F$31:$F$400,'Étape 1 - à remplir'!$E$31:$E$400,MASQ2!BV527,'Étape 1 - à remplir'!$G$31:$G$400,"lots"),SUMIFS('Étape 1 - à remplir'!$F$31:$F$400,'Étape 1 - à remplir'!$E$31:$E$400,MASQ2!BV527,'Étape 1 - à remplir'!$O$31:$O$400,CE$3,'Étape 1 - à remplir'!$G$31:$G$400,"lots")),IF(CE$2="Espèce",IF(CE$3="Toutes",SUMIFS('Étape 1 - à remplir'!$F$31:$F$400,'Étape 1 - à remplir'!$E$31:$E$400,MASQ2!BV527,'Étape 1 - à remplir'!$G$31:$G$400,"lots"),SUMIFS('Étape 1 - à remplir'!$F$31:$F$400,'Étape 1 - à remplir'!$E$31:$E$400,MASQ2!BV527,'Étape 1 - à remplir'!$N$31:$N$400,CE$3,'Étape 1 - à remplir'!$G$31:$G$400,"lots")))))))</f>
        <v>#N/A</v>
      </c>
      <c r="BX527">
        <f t="shared" si="333"/>
        <v>0</v>
      </c>
      <c r="BY527" t="str">
        <f t="shared" si="317"/>
        <v>Tylosine</v>
      </c>
      <c r="BZ527" t="str">
        <f t="shared" si="318"/>
        <v/>
      </c>
      <c r="CA527" t="str">
        <f t="shared" si="319"/>
        <v/>
      </c>
      <c r="CB527" t="str">
        <f t="shared" si="320"/>
        <v>Macrolides</v>
      </c>
      <c r="CC527" t="str">
        <f t="shared" si="321"/>
        <v/>
      </c>
      <c r="CD527" s="63" t="str">
        <f t="shared" si="322"/>
        <v/>
      </c>
      <c r="CG527" s="42">
        <v>524</v>
      </c>
      <c r="CH527" s="42" t="e">
        <f t="shared" si="313"/>
        <v>#N/A</v>
      </c>
      <c r="CI527" s="63" t="e">
        <f t="shared" si="314"/>
        <v>#N/A</v>
      </c>
      <c r="EA527" s="194" t="str">
        <f t="shared" ca="1" si="323"/>
        <v/>
      </c>
      <c r="EB527" s="226" t="str">
        <f>IFERROR(IF(ED527=0,"",COUNTIF(ED$4:ED$600,"&gt;"&amp;ED527)+COUNTIF(ED$4:ED527,ED527)),"")</f>
        <v/>
      </c>
      <c r="EC527" t="str">
        <f t="shared" si="324"/>
        <v>TYLAN 200 000 UI/ML SOLUTION INJECTABLE</v>
      </c>
      <c r="ED527" t="e">
        <f>IF(IF(EL$2="Catégorie",IF(EL$3="Toutes",SUMIFS('Étape 1 - à remplir'!$F$31:$F$400,'Étape 1 - à remplir'!$E$31:$E$400,MASQ2!EC527,'Étape 1 - à remplir'!$G$31:$G$400,"kg"),SUMIFS('Étape 1 - à remplir'!$F$31:$F$400,'Étape 1 - à remplir'!$E$31:$E$400,MASQ2!EC527,'Étape 1 - à remplir'!$C$31:$C$400,EL$3)),IF(EL$2="Âge",IF(EL$3="Tous",SUMIFS('Étape 1 - à remplir'!$F$31:$F$400,'Étape 1 - à remplir'!$E$31:$E$400,MASQ2!EC527,'Étape 1 - à remplir'!$G$31:$G$400,"kg"),SUMIFS('Étape 1 - à remplir'!$F$31:$F$400,'Étape 1 - à remplir'!$E$31:$E$400,MASQ2!EC527,'Étape 1 - à remplir'!$P$31:$P$400,EL$3,'Étape 1 - à remplir'!$G$31:$G$400,"kg")),IF(EL$2="Atelier",IF(EL$3="Tous",SUMIFS('Étape 1 - à remplir'!$F$31:$F$400,'Étape 1 - à remplir'!$E$31:$E$400,MASQ2!EC527,'Étape 1 - à remplir'!$G$31:$G$400,"kg"),SUMIFS('Étape 1 - à remplir'!$F$31:$F$400,'Étape 1 - à remplir'!$E$31:$E$400,MASQ2!EC527,'Étape 1 - à remplir'!$O$31:$O$400,EL$3,'Étape 1 - à remplir'!$G$31:$G$400,"kg")),IF(EL$2="Espèce",IF(EL$3="Toutes",SUMIFS('Étape 1 - à remplir'!$F$31:$F$400,'Étape 1 - à remplir'!$E$31:$E$400,MASQ2!EC527,'Étape 1 - à remplir'!$G$31:$G$400,"kg"),SUMIFS('Étape 1 - à remplir'!$F$31:$F$400,'Étape 1 - à remplir'!$E$31:$E$400,MASQ2!EC527,'Étape 1 - à remplir'!$N$31:$N$400,EL$3,'Étape 1 - à remplir'!$G$31:$G$400,"kg"))))))=0,NA(),IF(EL$2="Catégorie",IF(EL$3="Toutes",SUMIFS('Étape 1 - à remplir'!$F$31:$F$400,'Étape 1 - à remplir'!$E$31:$E$400,MASQ2!EC527,'Étape 1 - à remplir'!$G$31:$G$400,"kg"),SUMIFS('Étape 1 - à remplir'!$F$31:$F$400,'Étape 1 - à remplir'!$E$31:$E$400,MASQ2!EC527,'Étape 1 - à remplir'!$C$31:$C$400,EL$3)),IF(EL$2="Âge",IF(EL$3="Tous",SUMIFS('Étape 1 - à remplir'!$F$31:$F$400,'Étape 1 - à remplir'!$E$31:$E$400,MASQ2!EC527,'Étape 1 - à remplir'!$G$31:$G$400,"kg"),SUMIFS('Étape 1 - à remplir'!$F$31:$F$400,'Étape 1 - à remplir'!$E$31:$E$400,MASQ2!EC527,'Étape 1 - à remplir'!$P$31:$P$400,EL$3,'Étape 1 - à remplir'!$G$31:$G$400,"kg")),IF(EL$2="Atelier",IF(EL$3="Tous",SUMIFS('Étape 1 - à remplir'!$F$31:$F$400,'Étape 1 - à remplir'!$E$31:$E$400,MASQ2!EC527,'Étape 1 - à remplir'!$G$31:$G$400,"kg"),SUMIFS('Étape 1 - à remplir'!$F$31:$F$400,'Étape 1 - à remplir'!$E$31:$E$400,MASQ2!EC527,'Étape 1 - à remplir'!$O$31:$O$400,EL$3,'Étape 1 - à remplir'!$G$31:$G$400,"kg")),IF(EL$2="Espèce",IF(EL$3="Toutes",SUMIFS('Étape 1 - à remplir'!$F$31:$F$400,'Étape 1 - à remplir'!$E$31:$E$400,MASQ2!EC527,'Étape 1 - à remplir'!$G$31:$G$400,"kg"),SUMIFS('Étape 1 - à remplir'!$F$31:$F$400,'Étape 1 - à remplir'!$E$31:$E$400,MASQ2!EC527,'Étape 1 - à remplir'!$N$31:$N$400,EL$3,'Étape 1 - à remplir'!$G$31:$G$400,"kg")))))))</f>
        <v>#N/A</v>
      </c>
      <c r="EE527" s="76">
        <f t="shared" si="334"/>
        <v>0</v>
      </c>
      <c r="EF527" t="str">
        <f t="shared" si="325"/>
        <v>Tylosine</v>
      </c>
      <c r="EG527" t="str">
        <f t="shared" si="326"/>
        <v/>
      </c>
      <c r="EH527" t="str">
        <f t="shared" si="327"/>
        <v/>
      </c>
      <c r="EI527" t="str">
        <f t="shared" si="328"/>
        <v>Macrolides</v>
      </c>
      <c r="EJ527" t="str">
        <f t="shared" si="329"/>
        <v/>
      </c>
      <c r="EK527" s="63" t="str">
        <f t="shared" si="330"/>
        <v/>
      </c>
      <c r="EN527" s="42">
        <v>524</v>
      </c>
      <c r="EO527" t="e">
        <f t="shared" si="336"/>
        <v>#N/A</v>
      </c>
      <c r="EP527" s="63" t="e">
        <f t="shared" si="337"/>
        <v>#N/A</v>
      </c>
    </row>
    <row r="528" spans="13:146" x14ac:dyDescent="0.3">
      <c r="M528" s="194" t="str">
        <f ca="1">INDEX(Données_ATB!BD:BU,MATCH(MASQ2!O528,Données_ATB!BD:BD,0),18)</f>
        <v/>
      </c>
      <c r="N528" s="14" t="str">
        <f>IFERROR(IF(Q528=0,"",COUNTIF(Q$4:Q$600,"&gt;"&amp;Q528)+COUNTIF(Q$4:Q528,Q528)),"")</f>
        <v/>
      </c>
      <c r="O528" t="str">
        <f>Données_ATB!BD527</f>
        <v>TYLAN SOLUBLE 100 %</v>
      </c>
      <c r="P528" t="e">
        <f>IF(IF(X$2="Catégorie",IF(X$3="Toutes",SUMIFS('Étape 1 - à remplir'!$F$31:$F$400,'Étape 1 - à remplir'!$E$31:$E$400,MASQ2!O528,'Étape 1 - à remplir'!$G$31:$G$400,"animaux"),SUMIFS('Étape 1 - à remplir'!$F$31:$F$400,'Étape 1 - à remplir'!$E$31:$E$400,MASQ2!O528,'Étape 1 - à remplir'!$C$31:$C$400,X$3)),IF(X$2="Âge",IF(X$3="Tous",SUMIFS('Étape 1 - à remplir'!$F$31:$F$400,'Étape 1 - à remplir'!$E$31:$E$400,MASQ2!O528,'Étape 1 - à remplir'!$G$31:$G$400,"animaux"),SUMIFS('Étape 1 - à remplir'!$F$31:$F$400,'Étape 1 - à remplir'!$E$31:$E$400,MASQ2!O528,'Étape 1 - à remplir'!$P$31:$P$400,X$3)),IF(X$2="Atelier",IF(X$3="Tous",SUMIFS('Étape 1 - à remplir'!$F$31:$F$400,'Étape 1 - à remplir'!$E$31:$E$400,MASQ2!O528,'Étape 1 - à remplir'!$G$31:$G$400,"animaux"),SUMIFS('Étape 1 - à remplir'!$F$31:$F$400,'Étape 1 - à remplir'!$E$31:$E$400,MASQ2!O528,'Étape 1 - à remplir'!$O$31:$O$400,X$3)),IF(X$2="Espèce",IF(X$3="Toutes",SUMIFS('Étape 1 - à remplir'!$F$31:$F$400,'Étape 1 - à remplir'!$E$31:$E$400,MASQ2!O528,'Étape 1 - à remplir'!$G$31:$G$400,"animaux"),SUMIFS('Étape 1 - à remplir'!$F$31:$F$400,'Étape 1 - à remplir'!$E$31:$E$400,MASQ2!O528,'Étape 1 - à remplir'!$N$31:$N$400,X$3))))))=0,NA(),IF(X$2="Catégorie",IF(X$3="Toutes",SUMIFS('Étape 1 - à remplir'!$F$31:$F$400,'Étape 1 - à remplir'!$E$31:$E$400,MASQ2!O528,'Étape 1 - à remplir'!$G$31:$G$400,"animaux"),SUMIFS('Étape 1 - à remplir'!$F$31:$F$400,'Étape 1 - à remplir'!$E$31:$E$400,MASQ2!O528,'Étape 1 - à remplir'!$C$31:$C$400,X$3)),IF(X$2="Âge",IF(X$3="Tous",SUMIFS('Étape 1 - à remplir'!$F$31:$F$400,'Étape 1 - à remplir'!$E$31:$E$400,MASQ2!O528,'Étape 1 - à remplir'!$G$31:$G$400,"animaux"),SUMIFS('Étape 1 - à remplir'!$F$31:$F$400,'Étape 1 - à remplir'!$E$31:$E$400,MASQ2!O528,'Étape 1 - à remplir'!$P$31:$P$400,X$3)),IF(X$2="Atelier",IF(X$3="Tous",SUMIFS('Étape 1 - à remplir'!$F$31:$F$400,'Étape 1 - à remplir'!$E$31:$E$400,MASQ2!O528,'Étape 1 - à remplir'!$G$31:$G$400,"animaux"),SUMIFS('Étape 1 - à remplir'!$F$31:$F$400,'Étape 1 - à remplir'!$E$31:$E$400,MASQ2!O528,'Étape 1 - à remplir'!$O$31:$O$400,X$3)),IF(X$2="Espèce",IF(X$3="Toutes",SUMIFS('Étape 1 - à remplir'!$F$31:$F$400,'Étape 1 - à remplir'!$E$31:$E$400,MASQ2!O528,'Étape 1 - à remplir'!$G$31:$G$400,"animaux"),SUMIFS('Étape 1 - à remplir'!$F$31:$F$400,'Étape 1 - à remplir'!$E$31:$E$400,MASQ2!O528,'Étape 1 - à remplir'!$N$31:$N$400,X$3)))))))</f>
        <v>#N/A</v>
      </c>
      <c r="Q528" s="63">
        <f t="shared" si="335"/>
        <v>0</v>
      </c>
      <c r="R528" t="str">
        <f>Données_ATB!BM527</f>
        <v>Tylosine</v>
      </c>
      <c r="S528" t="str">
        <f>Données_ATB!BN527</f>
        <v/>
      </c>
      <c r="T528" s="63" t="str">
        <f>Données_ATB!BO527</f>
        <v/>
      </c>
      <c r="U528" s="42" t="str">
        <f>Données_ATB!BQ527</f>
        <v>Macrolides</v>
      </c>
      <c r="V528" t="str">
        <f>Données_ATB!BR527</f>
        <v/>
      </c>
      <c r="W528" s="63" t="str">
        <f>Données_ATB!BS527</f>
        <v/>
      </c>
      <c r="Z528" s="42">
        <v>525</v>
      </c>
      <c r="AA528" t="e">
        <f t="shared" si="331"/>
        <v>#N/A</v>
      </c>
      <c r="AB528" s="63" t="e">
        <f t="shared" si="332"/>
        <v>#N/A</v>
      </c>
      <c r="BT528" s="194" t="str">
        <f t="shared" ca="1" si="315"/>
        <v/>
      </c>
      <c r="BU528" s="219" t="str">
        <f>IFERROR(IF(BX528=0,"",COUNTIF(BX$4:BX$600,"&gt;"&amp;BX528)+COUNTIF(BX$4:BX528,BX528)),"")</f>
        <v/>
      </c>
      <c r="BV528" s="42" t="str">
        <f t="shared" si="316"/>
        <v>TYLAN SOLUBLE 100 %</v>
      </c>
      <c r="BW528" t="e">
        <f>IF(IF(CE$2="Catégorie",IF(CE$3="Toutes",SUMIFS('Étape 1 - à remplir'!$F$31:$F$400,'Étape 1 - à remplir'!$E$31:$E$400,MASQ2!BV528,'Étape 1 - à remplir'!$G$31:$G$400,"lots"),SUMIFS('Étape 1 - à remplir'!$F$31:$F$400,'Étape 1 - à remplir'!$E$31:$E$400,MASQ2!BV528,'Étape 1 - à remplir'!$C$31:$C$400,CE$3)),IF(CE$2="Âge",IF(CE$3="Tous",SUMIFS('Étape 1 - à remplir'!$F$31:$F$400,'Étape 1 - à remplir'!$E$31:$E$400,MASQ2!BV528,'Étape 1 - à remplir'!$G$31:$G$400,"lots"),SUMIFS('Étape 1 - à remplir'!$F$31:$F$400,'Étape 1 - à remplir'!$E$31:$E$400,MASQ2!BV528,'Étape 1 - à remplir'!$P$31:$P$400,CE$3,'Étape 1 - à remplir'!$G$31:$G$400,"lots")),IF(CE$2="Atelier",IF(CE$3="Tous",SUMIFS('Étape 1 - à remplir'!$F$31:$F$400,'Étape 1 - à remplir'!$E$31:$E$400,MASQ2!BV528,'Étape 1 - à remplir'!$G$31:$G$400,"lots"),SUMIFS('Étape 1 - à remplir'!$F$31:$F$400,'Étape 1 - à remplir'!$E$31:$E$400,MASQ2!BV528,'Étape 1 - à remplir'!$O$31:$O$400,CE$3,'Étape 1 - à remplir'!$G$31:$G$400,"lots")),IF(CE$2="Espèce",IF(CE$3="Toutes",SUMIFS('Étape 1 - à remplir'!$F$31:$F$400,'Étape 1 - à remplir'!$E$31:$E$400,MASQ2!BV528,'Étape 1 - à remplir'!$G$31:$G$400,"lots"),SUMIFS('Étape 1 - à remplir'!$F$31:$F$400,'Étape 1 - à remplir'!$E$31:$E$400,MASQ2!BV528,'Étape 1 - à remplir'!$N$31:$N$400,CE$3,'Étape 1 - à remplir'!$G$31:$G$400,"lots"))))))=0,NA(),IF(CE$2="Catégorie",IF(CE$3="Toutes",SUMIFS('Étape 1 - à remplir'!$F$31:$F$400,'Étape 1 - à remplir'!$E$31:$E$400,MASQ2!BV528,'Étape 1 - à remplir'!$G$31:$G$400,"lots"),SUMIFS('Étape 1 - à remplir'!$F$31:$F$400,'Étape 1 - à remplir'!$E$31:$E$400,MASQ2!BV528,'Étape 1 - à remplir'!$C$31:$C$400,CE$3)),IF(CE$2="Âge",IF(CE$3="Tous",SUMIFS('Étape 1 - à remplir'!$F$31:$F$400,'Étape 1 - à remplir'!$E$31:$E$400,MASQ2!BV528,'Étape 1 - à remplir'!$G$31:$G$400,"lots"),SUMIFS('Étape 1 - à remplir'!$F$31:$F$400,'Étape 1 - à remplir'!$E$31:$E$400,MASQ2!BV528,'Étape 1 - à remplir'!$P$31:$P$400,CE$3,'Étape 1 - à remplir'!$G$31:$G$400,"lots")),IF(CE$2="Atelier",IF(CE$3="Tous",SUMIFS('Étape 1 - à remplir'!$F$31:$F$400,'Étape 1 - à remplir'!$E$31:$E$400,MASQ2!BV528,'Étape 1 - à remplir'!$G$31:$G$400,"lots"),SUMIFS('Étape 1 - à remplir'!$F$31:$F$400,'Étape 1 - à remplir'!$E$31:$E$400,MASQ2!BV528,'Étape 1 - à remplir'!$O$31:$O$400,CE$3,'Étape 1 - à remplir'!$G$31:$G$400,"lots")),IF(CE$2="Espèce",IF(CE$3="Toutes",SUMIFS('Étape 1 - à remplir'!$F$31:$F$400,'Étape 1 - à remplir'!$E$31:$E$400,MASQ2!BV528,'Étape 1 - à remplir'!$G$31:$G$400,"lots"),SUMIFS('Étape 1 - à remplir'!$F$31:$F$400,'Étape 1 - à remplir'!$E$31:$E$400,MASQ2!BV528,'Étape 1 - à remplir'!$N$31:$N$400,CE$3,'Étape 1 - à remplir'!$G$31:$G$400,"lots")))))))</f>
        <v>#N/A</v>
      </c>
      <c r="BX528">
        <f t="shared" si="333"/>
        <v>0</v>
      </c>
      <c r="BY528" t="str">
        <f t="shared" si="317"/>
        <v>Tylosine</v>
      </c>
      <c r="BZ528" t="str">
        <f t="shared" si="318"/>
        <v/>
      </c>
      <c r="CA528" t="str">
        <f t="shared" si="319"/>
        <v/>
      </c>
      <c r="CB528" t="str">
        <f t="shared" si="320"/>
        <v>Macrolides</v>
      </c>
      <c r="CC528" t="str">
        <f t="shared" si="321"/>
        <v/>
      </c>
      <c r="CD528" s="63" t="str">
        <f t="shared" si="322"/>
        <v/>
      </c>
      <c r="CG528" s="42">
        <v>525</v>
      </c>
      <c r="CH528" s="42" t="e">
        <f t="shared" si="313"/>
        <v>#N/A</v>
      </c>
      <c r="CI528" s="63" t="e">
        <f t="shared" si="314"/>
        <v>#N/A</v>
      </c>
      <c r="EA528" s="194" t="str">
        <f t="shared" ca="1" si="323"/>
        <v/>
      </c>
      <c r="EB528" s="226" t="str">
        <f>IFERROR(IF(ED528=0,"",COUNTIF(ED$4:ED$600,"&gt;"&amp;ED528)+COUNTIF(ED$4:ED528,ED528)),"")</f>
        <v/>
      </c>
      <c r="EC528" t="str">
        <f t="shared" si="324"/>
        <v>TYLAN SOLUBLE 100 %</v>
      </c>
      <c r="ED528" t="e">
        <f>IF(IF(EL$2="Catégorie",IF(EL$3="Toutes",SUMIFS('Étape 1 - à remplir'!$F$31:$F$400,'Étape 1 - à remplir'!$E$31:$E$400,MASQ2!EC528,'Étape 1 - à remplir'!$G$31:$G$400,"kg"),SUMIFS('Étape 1 - à remplir'!$F$31:$F$400,'Étape 1 - à remplir'!$E$31:$E$400,MASQ2!EC528,'Étape 1 - à remplir'!$C$31:$C$400,EL$3)),IF(EL$2="Âge",IF(EL$3="Tous",SUMIFS('Étape 1 - à remplir'!$F$31:$F$400,'Étape 1 - à remplir'!$E$31:$E$400,MASQ2!EC528,'Étape 1 - à remplir'!$G$31:$G$400,"kg"),SUMIFS('Étape 1 - à remplir'!$F$31:$F$400,'Étape 1 - à remplir'!$E$31:$E$400,MASQ2!EC528,'Étape 1 - à remplir'!$P$31:$P$400,EL$3,'Étape 1 - à remplir'!$G$31:$G$400,"kg")),IF(EL$2="Atelier",IF(EL$3="Tous",SUMIFS('Étape 1 - à remplir'!$F$31:$F$400,'Étape 1 - à remplir'!$E$31:$E$400,MASQ2!EC528,'Étape 1 - à remplir'!$G$31:$G$400,"kg"),SUMIFS('Étape 1 - à remplir'!$F$31:$F$400,'Étape 1 - à remplir'!$E$31:$E$400,MASQ2!EC528,'Étape 1 - à remplir'!$O$31:$O$400,EL$3,'Étape 1 - à remplir'!$G$31:$G$400,"kg")),IF(EL$2="Espèce",IF(EL$3="Toutes",SUMIFS('Étape 1 - à remplir'!$F$31:$F$400,'Étape 1 - à remplir'!$E$31:$E$400,MASQ2!EC528,'Étape 1 - à remplir'!$G$31:$G$400,"kg"),SUMIFS('Étape 1 - à remplir'!$F$31:$F$400,'Étape 1 - à remplir'!$E$31:$E$400,MASQ2!EC528,'Étape 1 - à remplir'!$N$31:$N$400,EL$3,'Étape 1 - à remplir'!$G$31:$G$400,"kg"))))))=0,NA(),IF(EL$2="Catégorie",IF(EL$3="Toutes",SUMIFS('Étape 1 - à remplir'!$F$31:$F$400,'Étape 1 - à remplir'!$E$31:$E$400,MASQ2!EC528,'Étape 1 - à remplir'!$G$31:$G$400,"kg"),SUMIFS('Étape 1 - à remplir'!$F$31:$F$400,'Étape 1 - à remplir'!$E$31:$E$400,MASQ2!EC528,'Étape 1 - à remplir'!$C$31:$C$400,EL$3)),IF(EL$2="Âge",IF(EL$3="Tous",SUMIFS('Étape 1 - à remplir'!$F$31:$F$400,'Étape 1 - à remplir'!$E$31:$E$400,MASQ2!EC528,'Étape 1 - à remplir'!$G$31:$G$400,"kg"),SUMIFS('Étape 1 - à remplir'!$F$31:$F$400,'Étape 1 - à remplir'!$E$31:$E$400,MASQ2!EC528,'Étape 1 - à remplir'!$P$31:$P$400,EL$3,'Étape 1 - à remplir'!$G$31:$G$400,"kg")),IF(EL$2="Atelier",IF(EL$3="Tous",SUMIFS('Étape 1 - à remplir'!$F$31:$F$400,'Étape 1 - à remplir'!$E$31:$E$400,MASQ2!EC528,'Étape 1 - à remplir'!$G$31:$G$400,"kg"),SUMIFS('Étape 1 - à remplir'!$F$31:$F$400,'Étape 1 - à remplir'!$E$31:$E$400,MASQ2!EC528,'Étape 1 - à remplir'!$O$31:$O$400,EL$3,'Étape 1 - à remplir'!$G$31:$G$400,"kg")),IF(EL$2="Espèce",IF(EL$3="Toutes",SUMIFS('Étape 1 - à remplir'!$F$31:$F$400,'Étape 1 - à remplir'!$E$31:$E$400,MASQ2!EC528,'Étape 1 - à remplir'!$G$31:$G$400,"kg"),SUMIFS('Étape 1 - à remplir'!$F$31:$F$400,'Étape 1 - à remplir'!$E$31:$E$400,MASQ2!EC528,'Étape 1 - à remplir'!$N$31:$N$400,EL$3,'Étape 1 - à remplir'!$G$31:$G$400,"kg")))))))</f>
        <v>#N/A</v>
      </c>
      <c r="EE528" s="76">
        <f t="shared" si="334"/>
        <v>0</v>
      </c>
      <c r="EF528" t="str">
        <f t="shared" si="325"/>
        <v>Tylosine</v>
      </c>
      <c r="EG528" t="str">
        <f t="shared" si="326"/>
        <v/>
      </c>
      <c r="EH528" t="str">
        <f t="shared" si="327"/>
        <v/>
      </c>
      <c r="EI528" t="str">
        <f t="shared" si="328"/>
        <v>Macrolides</v>
      </c>
      <c r="EJ528" t="str">
        <f t="shared" si="329"/>
        <v/>
      </c>
      <c r="EK528" s="63" t="str">
        <f t="shared" si="330"/>
        <v/>
      </c>
      <c r="EN528" s="42">
        <v>525</v>
      </c>
      <c r="EO528" t="e">
        <f t="shared" si="336"/>
        <v>#N/A</v>
      </c>
      <c r="EP528" s="63" t="e">
        <f t="shared" si="337"/>
        <v>#N/A</v>
      </c>
    </row>
    <row r="529" spans="13:146" x14ac:dyDescent="0.3">
      <c r="M529" s="194" t="str">
        <f ca="1">INDEX(Données_ATB!BD:BU,MATCH(MASQ2!O529,Données_ATB!BD:BD,0),18)</f>
        <v/>
      </c>
      <c r="N529" s="14" t="str">
        <f>IFERROR(IF(Q529=0,"",COUNTIF(Q$4:Q$600,"&gt;"&amp;Q529)+COUNTIF(Q$4:Q529,Q529)),"")</f>
        <v/>
      </c>
      <c r="O529" t="str">
        <f>Données_ATB!BD528</f>
        <v>TYLMASIN</v>
      </c>
      <c r="P529" t="e">
        <f>IF(IF(X$2="Catégorie",IF(X$3="Toutes",SUMIFS('Étape 1 - à remplir'!$F$31:$F$400,'Étape 1 - à remplir'!$E$31:$E$400,MASQ2!O529,'Étape 1 - à remplir'!$G$31:$G$400,"animaux"),SUMIFS('Étape 1 - à remplir'!$F$31:$F$400,'Étape 1 - à remplir'!$E$31:$E$400,MASQ2!O529,'Étape 1 - à remplir'!$C$31:$C$400,X$3)),IF(X$2="Âge",IF(X$3="Tous",SUMIFS('Étape 1 - à remplir'!$F$31:$F$400,'Étape 1 - à remplir'!$E$31:$E$400,MASQ2!O529,'Étape 1 - à remplir'!$G$31:$G$400,"animaux"),SUMIFS('Étape 1 - à remplir'!$F$31:$F$400,'Étape 1 - à remplir'!$E$31:$E$400,MASQ2!O529,'Étape 1 - à remplir'!$P$31:$P$400,X$3)),IF(X$2="Atelier",IF(X$3="Tous",SUMIFS('Étape 1 - à remplir'!$F$31:$F$400,'Étape 1 - à remplir'!$E$31:$E$400,MASQ2!O529,'Étape 1 - à remplir'!$G$31:$G$400,"animaux"),SUMIFS('Étape 1 - à remplir'!$F$31:$F$400,'Étape 1 - à remplir'!$E$31:$E$400,MASQ2!O529,'Étape 1 - à remplir'!$O$31:$O$400,X$3)),IF(X$2="Espèce",IF(X$3="Toutes",SUMIFS('Étape 1 - à remplir'!$F$31:$F$400,'Étape 1 - à remplir'!$E$31:$E$400,MASQ2!O529,'Étape 1 - à remplir'!$G$31:$G$400,"animaux"),SUMIFS('Étape 1 - à remplir'!$F$31:$F$400,'Étape 1 - à remplir'!$E$31:$E$400,MASQ2!O529,'Étape 1 - à remplir'!$N$31:$N$400,X$3))))))=0,NA(),IF(X$2="Catégorie",IF(X$3="Toutes",SUMIFS('Étape 1 - à remplir'!$F$31:$F$400,'Étape 1 - à remplir'!$E$31:$E$400,MASQ2!O529,'Étape 1 - à remplir'!$G$31:$G$400,"animaux"),SUMIFS('Étape 1 - à remplir'!$F$31:$F$400,'Étape 1 - à remplir'!$E$31:$E$400,MASQ2!O529,'Étape 1 - à remplir'!$C$31:$C$400,X$3)),IF(X$2="Âge",IF(X$3="Tous",SUMIFS('Étape 1 - à remplir'!$F$31:$F$400,'Étape 1 - à remplir'!$E$31:$E$400,MASQ2!O529,'Étape 1 - à remplir'!$G$31:$G$400,"animaux"),SUMIFS('Étape 1 - à remplir'!$F$31:$F$400,'Étape 1 - à remplir'!$E$31:$E$400,MASQ2!O529,'Étape 1 - à remplir'!$P$31:$P$400,X$3)),IF(X$2="Atelier",IF(X$3="Tous",SUMIFS('Étape 1 - à remplir'!$F$31:$F$400,'Étape 1 - à remplir'!$E$31:$E$400,MASQ2!O529,'Étape 1 - à remplir'!$G$31:$G$400,"animaux"),SUMIFS('Étape 1 - à remplir'!$F$31:$F$400,'Étape 1 - à remplir'!$E$31:$E$400,MASQ2!O529,'Étape 1 - à remplir'!$O$31:$O$400,X$3)),IF(X$2="Espèce",IF(X$3="Toutes",SUMIFS('Étape 1 - à remplir'!$F$31:$F$400,'Étape 1 - à remplir'!$E$31:$E$400,MASQ2!O529,'Étape 1 - à remplir'!$G$31:$G$400,"animaux"),SUMIFS('Étape 1 - à remplir'!$F$31:$F$400,'Étape 1 - à remplir'!$E$31:$E$400,MASQ2!O529,'Étape 1 - à remplir'!$N$31:$N$400,X$3)))))))</f>
        <v>#N/A</v>
      </c>
      <c r="Q529" s="63">
        <f t="shared" si="335"/>
        <v>0</v>
      </c>
      <c r="R529" t="str">
        <f>Données_ATB!BM528</f>
        <v>Tylosine</v>
      </c>
      <c r="S529" t="str">
        <f>Données_ATB!BN528</f>
        <v/>
      </c>
      <c r="T529" s="63" t="str">
        <f>Données_ATB!BO528</f>
        <v/>
      </c>
      <c r="U529" s="42" t="str">
        <f>Données_ATB!BQ528</f>
        <v>Macrolides</v>
      </c>
      <c r="V529" t="str">
        <f>Données_ATB!BR528</f>
        <v/>
      </c>
      <c r="W529" s="63" t="str">
        <f>Données_ATB!BS528</f>
        <v/>
      </c>
      <c r="Z529" s="42">
        <v>526</v>
      </c>
      <c r="AA529" t="e">
        <f t="shared" si="331"/>
        <v>#N/A</v>
      </c>
      <c r="AB529" s="63" t="e">
        <f t="shared" si="332"/>
        <v>#N/A</v>
      </c>
      <c r="BT529" s="194" t="str">
        <f t="shared" ca="1" si="315"/>
        <v/>
      </c>
      <c r="BU529" s="219" t="str">
        <f>IFERROR(IF(BX529=0,"",COUNTIF(BX$4:BX$600,"&gt;"&amp;BX529)+COUNTIF(BX$4:BX529,BX529)),"")</f>
        <v/>
      </c>
      <c r="BV529" s="42" t="str">
        <f t="shared" si="316"/>
        <v>TYLMASIN</v>
      </c>
      <c r="BW529" t="e">
        <f>IF(IF(CE$2="Catégorie",IF(CE$3="Toutes",SUMIFS('Étape 1 - à remplir'!$F$31:$F$400,'Étape 1 - à remplir'!$E$31:$E$400,MASQ2!BV529,'Étape 1 - à remplir'!$G$31:$G$400,"lots"),SUMIFS('Étape 1 - à remplir'!$F$31:$F$400,'Étape 1 - à remplir'!$E$31:$E$400,MASQ2!BV529,'Étape 1 - à remplir'!$C$31:$C$400,CE$3)),IF(CE$2="Âge",IF(CE$3="Tous",SUMIFS('Étape 1 - à remplir'!$F$31:$F$400,'Étape 1 - à remplir'!$E$31:$E$400,MASQ2!BV529,'Étape 1 - à remplir'!$G$31:$G$400,"lots"),SUMIFS('Étape 1 - à remplir'!$F$31:$F$400,'Étape 1 - à remplir'!$E$31:$E$400,MASQ2!BV529,'Étape 1 - à remplir'!$P$31:$P$400,CE$3,'Étape 1 - à remplir'!$G$31:$G$400,"lots")),IF(CE$2="Atelier",IF(CE$3="Tous",SUMIFS('Étape 1 - à remplir'!$F$31:$F$400,'Étape 1 - à remplir'!$E$31:$E$400,MASQ2!BV529,'Étape 1 - à remplir'!$G$31:$G$400,"lots"),SUMIFS('Étape 1 - à remplir'!$F$31:$F$400,'Étape 1 - à remplir'!$E$31:$E$400,MASQ2!BV529,'Étape 1 - à remplir'!$O$31:$O$400,CE$3,'Étape 1 - à remplir'!$G$31:$G$400,"lots")),IF(CE$2="Espèce",IF(CE$3="Toutes",SUMIFS('Étape 1 - à remplir'!$F$31:$F$400,'Étape 1 - à remplir'!$E$31:$E$400,MASQ2!BV529,'Étape 1 - à remplir'!$G$31:$G$400,"lots"),SUMIFS('Étape 1 - à remplir'!$F$31:$F$400,'Étape 1 - à remplir'!$E$31:$E$400,MASQ2!BV529,'Étape 1 - à remplir'!$N$31:$N$400,CE$3,'Étape 1 - à remplir'!$G$31:$G$400,"lots"))))))=0,NA(),IF(CE$2="Catégorie",IF(CE$3="Toutes",SUMIFS('Étape 1 - à remplir'!$F$31:$F$400,'Étape 1 - à remplir'!$E$31:$E$400,MASQ2!BV529,'Étape 1 - à remplir'!$G$31:$G$400,"lots"),SUMIFS('Étape 1 - à remplir'!$F$31:$F$400,'Étape 1 - à remplir'!$E$31:$E$400,MASQ2!BV529,'Étape 1 - à remplir'!$C$31:$C$400,CE$3)),IF(CE$2="Âge",IF(CE$3="Tous",SUMIFS('Étape 1 - à remplir'!$F$31:$F$400,'Étape 1 - à remplir'!$E$31:$E$400,MASQ2!BV529,'Étape 1 - à remplir'!$G$31:$G$400,"lots"),SUMIFS('Étape 1 - à remplir'!$F$31:$F$400,'Étape 1 - à remplir'!$E$31:$E$400,MASQ2!BV529,'Étape 1 - à remplir'!$P$31:$P$400,CE$3,'Étape 1 - à remplir'!$G$31:$G$400,"lots")),IF(CE$2="Atelier",IF(CE$3="Tous",SUMIFS('Étape 1 - à remplir'!$F$31:$F$400,'Étape 1 - à remplir'!$E$31:$E$400,MASQ2!BV529,'Étape 1 - à remplir'!$G$31:$G$400,"lots"),SUMIFS('Étape 1 - à remplir'!$F$31:$F$400,'Étape 1 - à remplir'!$E$31:$E$400,MASQ2!BV529,'Étape 1 - à remplir'!$O$31:$O$400,CE$3,'Étape 1 - à remplir'!$G$31:$G$400,"lots")),IF(CE$2="Espèce",IF(CE$3="Toutes",SUMIFS('Étape 1 - à remplir'!$F$31:$F$400,'Étape 1 - à remplir'!$E$31:$E$400,MASQ2!BV529,'Étape 1 - à remplir'!$G$31:$G$400,"lots"),SUMIFS('Étape 1 - à remplir'!$F$31:$F$400,'Étape 1 - à remplir'!$E$31:$E$400,MASQ2!BV529,'Étape 1 - à remplir'!$N$31:$N$400,CE$3,'Étape 1 - à remplir'!$G$31:$G$400,"lots")))))))</f>
        <v>#N/A</v>
      </c>
      <c r="BX529">
        <f t="shared" si="333"/>
        <v>0</v>
      </c>
      <c r="BY529" t="str">
        <f t="shared" si="317"/>
        <v>Tylosine</v>
      </c>
      <c r="BZ529" t="str">
        <f t="shared" si="318"/>
        <v/>
      </c>
      <c r="CA529" t="str">
        <f t="shared" si="319"/>
        <v/>
      </c>
      <c r="CB529" t="str">
        <f t="shared" si="320"/>
        <v>Macrolides</v>
      </c>
      <c r="CC529" t="str">
        <f t="shared" si="321"/>
        <v/>
      </c>
      <c r="CD529" s="63" t="str">
        <f t="shared" si="322"/>
        <v/>
      </c>
      <c r="CG529" s="42">
        <v>526</v>
      </c>
      <c r="CH529" s="42" t="e">
        <f t="shared" si="313"/>
        <v>#N/A</v>
      </c>
      <c r="CI529" s="63" t="e">
        <f t="shared" si="314"/>
        <v>#N/A</v>
      </c>
      <c r="EA529" s="194" t="str">
        <f t="shared" ca="1" si="323"/>
        <v/>
      </c>
      <c r="EB529" s="226" t="str">
        <f>IFERROR(IF(ED529=0,"",COUNTIF(ED$4:ED$600,"&gt;"&amp;ED529)+COUNTIF(ED$4:ED529,ED529)),"")</f>
        <v/>
      </c>
      <c r="EC529" t="str">
        <f t="shared" si="324"/>
        <v>TYLMASIN</v>
      </c>
      <c r="ED529" t="e">
        <f>IF(IF(EL$2="Catégorie",IF(EL$3="Toutes",SUMIFS('Étape 1 - à remplir'!$F$31:$F$400,'Étape 1 - à remplir'!$E$31:$E$400,MASQ2!EC529,'Étape 1 - à remplir'!$G$31:$G$400,"kg"),SUMIFS('Étape 1 - à remplir'!$F$31:$F$400,'Étape 1 - à remplir'!$E$31:$E$400,MASQ2!EC529,'Étape 1 - à remplir'!$C$31:$C$400,EL$3)),IF(EL$2="Âge",IF(EL$3="Tous",SUMIFS('Étape 1 - à remplir'!$F$31:$F$400,'Étape 1 - à remplir'!$E$31:$E$400,MASQ2!EC529,'Étape 1 - à remplir'!$G$31:$G$400,"kg"),SUMIFS('Étape 1 - à remplir'!$F$31:$F$400,'Étape 1 - à remplir'!$E$31:$E$400,MASQ2!EC529,'Étape 1 - à remplir'!$P$31:$P$400,EL$3,'Étape 1 - à remplir'!$G$31:$G$400,"kg")),IF(EL$2="Atelier",IF(EL$3="Tous",SUMIFS('Étape 1 - à remplir'!$F$31:$F$400,'Étape 1 - à remplir'!$E$31:$E$400,MASQ2!EC529,'Étape 1 - à remplir'!$G$31:$G$400,"kg"),SUMIFS('Étape 1 - à remplir'!$F$31:$F$400,'Étape 1 - à remplir'!$E$31:$E$400,MASQ2!EC529,'Étape 1 - à remplir'!$O$31:$O$400,EL$3,'Étape 1 - à remplir'!$G$31:$G$400,"kg")),IF(EL$2="Espèce",IF(EL$3="Toutes",SUMIFS('Étape 1 - à remplir'!$F$31:$F$400,'Étape 1 - à remplir'!$E$31:$E$400,MASQ2!EC529,'Étape 1 - à remplir'!$G$31:$G$400,"kg"),SUMIFS('Étape 1 - à remplir'!$F$31:$F$400,'Étape 1 - à remplir'!$E$31:$E$400,MASQ2!EC529,'Étape 1 - à remplir'!$N$31:$N$400,EL$3,'Étape 1 - à remplir'!$G$31:$G$400,"kg"))))))=0,NA(),IF(EL$2="Catégorie",IF(EL$3="Toutes",SUMIFS('Étape 1 - à remplir'!$F$31:$F$400,'Étape 1 - à remplir'!$E$31:$E$400,MASQ2!EC529,'Étape 1 - à remplir'!$G$31:$G$400,"kg"),SUMIFS('Étape 1 - à remplir'!$F$31:$F$400,'Étape 1 - à remplir'!$E$31:$E$400,MASQ2!EC529,'Étape 1 - à remplir'!$C$31:$C$400,EL$3)),IF(EL$2="Âge",IF(EL$3="Tous",SUMIFS('Étape 1 - à remplir'!$F$31:$F$400,'Étape 1 - à remplir'!$E$31:$E$400,MASQ2!EC529,'Étape 1 - à remplir'!$G$31:$G$400,"kg"),SUMIFS('Étape 1 - à remplir'!$F$31:$F$400,'Étape 1 - à remplir'!$E$31:$E$400,MASQ2!EC529,'Étape 1 - à remplir'!$P$31:$P$400,EL$3,'Étape 1 - à remplir'!$G$31:$G$400,"kg")),IF(EL$2="Atelier",IF(EL$3="Tous",SUMIFS('Étape 1 - à remplir'!$F$31:$F$400,'Étape 1 - à remplir'!$E$31:$E$400,MASQ2!EC529,'Étape 1 - à remplir'!$G$31:$G$400,"kg"),SUMIFS('Étape 1 - à remplir'!$F$31:$F$400,'Étape 1 - à remplir'!$E$31:$E$400,MASQ2!EC529,'Étape 1 - à remplir'!$O$31:$O$400,EL$3,'Étape 1 - à remplir'!$G$31:$G$400,"kg")),IF(EL$2="Espèce",IF(EL$3="Toutes",SUMIFS('Étape 1 - à remplir'!$F$31:$F$400,'Étape 1 - à remplir'!$E$31:$E$400,MASQ2!EC529,'Étape 1 - à remplir'!$G$31:$G$400,"kg"),SUMIFS('Étape 1 - à remplir'!$F$31:$F$400,'Étape 1 - à remplir'!$E$31:$E$400,MASQ2!EC529,'Étape 1 - à remplir'!$N$31:$N$400,EL$3,'Étape 1 - à remplir'!$G$31:$G$400,"kg")))))))</f>
        <v>#N/A</v>
      </c>
      <c r="EE529" s="76">
        <f t="shared" si="334"/>
        <v>0</v>
      </c>
      <c r="EF529" t="str">
        <f t="shared" si="325"/>
        <v>Tylosine</v>
      </c>
      <c r="EG529" t="str">
        <f t="shared" si="326"/>
        <v/>
      </c>
      <c r="EH529" t="str">
        <f t="shared" si="327"/>
        <v/>
      </c>
      <c r="EI529" t="str">
        <f t="shared" si="328"/>
        <v>Macrolides</v>
      </c>
      <c r="EJ529" t="str">
        <f t="shared" si="329"/>
        <v/>
      </c>
      <c r="EK529" s="63" t="str">
        <f t="shared" si="330"/>
        <v/>
      </c>
      <c r="EN529" s="42">
        <v>526</v>
      </c>
      <c r="EO529" t="e">
        <f t="shared" si="336"/>
        <v>#N/A</v>
      </c>
      <c r="EP529" s="63" t="e">
        <f t="shared" si="337"/>
        <v>#N/A</v>
      </c>
    </row>
    <row r="530" spans="13:146" x14ac:dyDescent="0.3">
      <c r="M530" s="194" t="str">
        <f ca="1">INDEX(Données_ATB!BD:BU,MATCH(MASQ2!O530,Données_ATB!BD:BD,0),18)</f>
        <v/>
      </c>
      <c r="N530" s="14" t="str">
        <f>IFERROR(IF(Q530=0,"",COUNTIF(Q$4:Q$600,"&gt;"&amp;Q530)+COUNTIF(Q$4:Q530,Q530)),"")</f>
        <v/>
      </c>
      <c r="O530" t="str">
        <f>Données_ATB!BD529</f>
        <v>TYLOGRAN 100 %</v>
      </c>
      <c r="P530" t="e">
        <f>IF(IF(X$2="Catégorie",IF(X$3="Toutes",SUMIFS('Étape 1 - à remplir'!$F$31:$F$400,'Étape 1 - à remplir'!$E$31:$E$400,MASQ2!O530,'Étape 1 - à remplir'!$G$31:$G$400,"animaux"),SUMIFS('Étape 1 - à remplir'!$F$31:$F$400,'Étape 1 - à remplir'!$E$31:$E$400,MASQ2!O530,'Étape 1 - à remplir'!$C$31:$C$400,X$3)),IF(X$2="Âge",IF(X$3="Tous",SUMIFS('Étape 1 - à remplir'!$F$31:$F$400,'Étape 1 - à remplir'!$E$31:$E$400,MASQ2!O530,'Étape 1 - à remplir'!$G$31:$G$400,"animaux"),SUMIFS('Étape 1 - à remplir'!$F$31:$F$400,'Étape 1 - à remplir'!$E$31:$E$400,MASQ2!O530,'Étape 1 - à remplir'!$P$31:$P$400,X$3)),IF(X$2="Atelier",IF(X$3="Tous",SUMIFS('Étape 1 - à remplir'!$F$31:$F$400,'Étape 1 - à remplir'!$E$31:$E$400,MASQ2!O530,'Étape 1 - à remplir'!$G$31:$G$400,"animaux"),SUMIFS('Étape 1 - à remplir'!$F$31:$F$400,'Étape 1 - à remplir'!$E$31:$E$400,MASQ2!O530,'Étape 1 - à remplir'!$O$31:$O$400,X$3)),IF(X$2="Espèce",IF(X$3="Toutes",SUMIFS('Étape 1 - à remplir'!$F$31:$F$400,'Étape 1 - à remplir'!$E$31:$E$400,MASQ2!O530,'Étape 1 - à remplir'!$G$31:$G$400,"animaux"),SUMIFS('Étape 1 - à remplir'!$F$31:$F$400,'Étape 1 - à remplir'!$E$31:$E$400,MASQ2!O530,'Étape 1 - à remplir'!$N$31:$N$400,X$3))))))=0,NA(),IF(X$2="Catégorie",IF(X$3="Toutes",SUMIFS('Étape 1 - à remplir'!$F$31:$F$400,'Étape 1 - à remplir'!$E$31:$E$400,MASQ2!O530,'Étape 1 - à remplir'!$G$31:$G$400,"animaux"),SUMIFS('Étape 1 - à remplir'!$F$31:$F$400,'Étape 1 - à remplir'!$E$31:$E$400,MASQ2!O530,'Étape 1 - à remplir'!$C$31:$C$400,X$3)),IF(X$2="Âge",IF(X$3="Tous",SUMIFS('Étape 1 - à remplir'!$F$31:$F$400,'Étape 1 - à remplir'!$E$31:$E$400,MASQ2!O530,'Étape 1 - à remplir'!$G$31:$G$400,"animaux"),SUMIFS('Étape 1 - à remplir'!$F$31:$F$400,'Étape 1 - à remplir'!$E$31:$E$400,MASQ2!O530,'Étape 1 - à remplir'!$P$31:$P$400,X$3)),IF(X$2="Atelier",IF(X$3="Tous",SUMIFS('Étape 1 - à remplir'!$F$31:$F$400,'Étape 1 - à remplir'!$E$31:$E$400,MASQ2!O530,'Étape 1 - à remplir'!$G$31:$G$400,"animaux"),SUMIFS('Étape 1 - à remplir'!$F$31:$F$400,'Étape 1 - à remplir'!$E$31:$E$400,MASQ2!O530,'Étape 1 - à remplir'!$O$31:$O$400,X$3)),IF(X$2="Espèce",IF(X$3="Toutes",SUMIFS('Étape 1 - à remplir'!$F$31:$F$400,'Étape 1 - à remplir'!$E$31:$E$400,MASQ2!O530,'Étape 1 - à remplir'!$G$31:$G$400,"animaux"),SUMIFS('Étape 1 - à remplir'!$F$31:$F$400,'Étape 1 - à remplir'!$E$31:$E$400,MASQ2!O530,'Étape 1 - à remplir'!$N$31:$N$400,X$3)))))))</f>
        <v>#N/A</v>
      </c>
      <c r="Q530" s="63">
        <f t="shared" si="335"/>
        <v>0</v>
      </c>
      <c r="R530" t="str">
        <f>Données_ATB!BM529</f>
        <v>Tylosine</v>
      </c>
      <c r="S530" t="str">
        <f>Données_ATB!BN529</f>
        <v/>
      </c>
      <c r="T530" s="63" t="str">
        <f>Données_ATB!BO529</f>
        <v/>
      </c>
      <c r="U530" s="42" t="str">
        <f>Données_ATB!BQ529</f>
        <v>Macrolides</v>
      </c>
      <c r="V530" t="str">
        <f>Données_ATB!BR529</f>
        <v/>
      </c>
      <c r="W530" s="63" t="str">
        <f>Données_ATB!BS529</f>
        <v/>
      </c>
      <c r="Z530" s="42">
        <v>527</v>
      </c>
      <c r="AA530" t="e">
        <f t="shared" si="331"/>
        <v>#N/A</v>
      </c>
      <c r="AB530" s="63" t="e">
        <f t="shared" si="332"/>
        <v>#N/A</v>
      </c>
      <c r="BT530" s="194" t="str">
        <f t="shared" ca="1" si="315"/>
        <v/>
      </c>
      <c r="BU530" s="219" t="str">
        <f>IFERROR(IF(BX530=0,"",COUNTIF(BX$4:BX$600,"&gt;"&amp;BX530)+COUNTIF(BX$4:BX530,BX530)),"")</f>
        <v/>
      </c>
      <c r="BV530" s="42" t="str">
        <f t="shared" si="316"/>
        <v>TYLOGRAN 100 %</v>
      </c>
      <c r="BW530" t="e">
        <f>IF(IF(CE$2="Catégorie",IF(CE$3="Toutes",SUMIFS('Étape 1 - à remplir'!$F$31:$F$400,'Étape 1 - à remplir'!$E$31:$E$400,MASQ2!BV530,'Étape 1 - à remplir'!$G$31:$G$400,"lots"),SUMIFS('Étape 1 - à remplir'!$F$31:$F$400,'Étape 1 - à remplir'!$E$31:$E$400,MASQ2!BV530,'Étape 1 - à remplir'!$C$31:$C$400,CE$3)),IF(CE$2="Âge",IF(CE$3="Tous",SUMIFS('Étape 1 - à remplir'!$F$31:$F$400,'Étape 1 - à remplir'!$E$31:$E$400,MASQ2!BV530,'Étape 1 - à remplir'!$G$31:$G$400,"lots"),SUMIFS('Étape 1 - à remplir'!$F$31:$F$400,'Étape 1 - à remplir'!$E$31:$E$400,MASQ2!BV530,'Étape 1 - à remplir'!$P$31:$P$400,CE$3,'Étape 1 - à remplir'!$G$31:$G$400,"lots")),IF(CE$2="Atelier",IF(CE$3="Tous",SUMIFS('Étape 1 - à remplir'!$F$31:$F$400,'Étape 1 - à remplir'!$E$31:$E$400,MASQ2!BV530,'Étape 1 - à remplir'!$G$31:$G$400,"lots"),SUMIFS('Étape 1 - à remplir'!$F$31:$F$400,'Étape 1 - à remplir'!$E$31:$E$400,MASQ2!BV530,'Étape 1 - à remplir'!$O$31:$O$400,CE$3,'Étape 1 - à remplir'!$G$31:$G$400,"lots")),IF(CE$2="Espèce",IF(CE$3="Toutes",SUMIFS('Étape 1 - à remplir'!$F$31:$F$400,'Étape 1 - à remplir'!$E$31:$E$400,MASQ2!BV530,'Étape 1 - à remplir'!$G$31:$G$400,"lots"),SUMIFS('Étape 1 - à remplir'!$F$31:$F$400,'Étape 1 - à remplir'!$E$31:$E$400,MASQ2!BV530,'Étape 1 - à remplir'!$N$31:$N$400,CE$3,'Étape 1 - à remplir'!$G$31:$G$400,"lots"))))))=0,NA(),IF(CE$2="Catégorie",IF(CE$3="Toutes",SUMIFS('Étape 1 - à remplir'!$F$31:$F$400,'Étape 1 - à remplir'!$E$31:$E$400,MASQ2!BV530,'Étape 1 - à remplir'!$G$31:$G$400,"lots"),SUMIFS('Étape 1 - à remplir'!$F$31:$F$400,'Étape 1 - à remplir'!$E$31:$E$400,MASQ2!BV530,'Étape 1 - à remplir'!$C$31:$C$400,CE$3)),IF(CE$2="Âge",IF(CE$3="Tous",SUMIFS('Étape 1 - à remplir'!$F$31:$F$400,'Étape 1 - à remplir'!$E$31:$E$400,MASQ2!BV530,'Étape 1 - à remplir'!$G$31:$G$400,"lots"),SUMIFS('Étape 1 - à remplir'!$F$31:$F$400,'Étape 1 - à remplir'!$E$31:$E$400,MASQ2!BV530,'Étape 1 - à remplir'!$P$31:$P$400,CE$3,'Étape 1 - à remplir'!$G$31:$G$400,"lots")),IF(CE$2="Atelier",IF(CE$3="Tous",SUMIFS('Étape 1 - à remplir'!$F$31:$F$400,'Étape 1 - à remplir'!$E$31:$E$400,MASQ2!BV530,'Étape 1 - à remplir'!$G$31:$G$400,"lots"),SUMIFS('Étape 1 - à remplir'!$F$31:$F$400,'Étape 1 - à remplir'!$E$31:$E$400,MASQ2!BV530,'Étape 1 - à remplir'!$O$31:$O$400,CE$3,'Étape 1 - à remplir'!$G$31:$G$400,"lots")),IF(CE$2="Espèce",IF(CE$3="Toutes",SUMIFS('Étape 1 - à remplir'!$F$31:$F$400,'Étape 1 - à remplir'!$E$31:$E$400,MASQ2!BV530,'Étape 1 - à remplir'!$G$31:$G$400,"lots"),SUMIFS('Étape 1 - à remplir'!$F$31:$F$400,'Étape 1 - à remplir'!$E$31:$E$400,MASQ2!BV530,'Étape 1 - à remplir'!$N$31:$N$400,CE$3,'Étape 1 - à remplir'!$G$31:$G$400,"lots")))))))</f>
        <v>#N/A</v>
      </c>
      <c r="BX530">
        <f t="shared" si="333"/>
        <v>0</v>
      </c>
      <c r="BY530" t="str">
        <f t="shared" si="317"/>
        <v>Tylosine</v>
      </c>
      <c r="BZ530" t="str">
        <f t="shared" si="318"/>
        <v/>
      </c>
      <c r="CA530" t="str">
        <f t="shared" si="319"/>
        <v/>
      </c>
      <c r="CB530" t="str">
        <f t="shared" si="320"/>
        <v>Macrolides</v>
      </c>
      <c r="CC530" t="str">
        <f t="shared" si="321"/>
        <v/>
      </c>
      <c r="CD530" s="63" t="str">
        <f t="shared" si="322"/>
        <v/>
      </c>
      <c r="CG530" s="42">
        <v>527</v>
      </c>
      <c r="CH530" s="42" t="e">
        <f t="shared" ref="CH530:CH593" si="338">INDEX(BU$3:BX$600,MATCH(CG530,BU$3:BU$600,0),2)</f>
        <v>#N/A</v>
      </c>
      <c r="CI530" s="63" t="e">
        <f t="shared" ref="CI530:CI593" si="339">INDEX(BU$3:BX$600,MATCH(CG530,BU$3:BU$600,0),3)</f>
        <v>#N/A</v>
      </c>
      <c r="EA530" s="194" t="str">
        <f t="shared" ca="1" si="323"/>
        <v/>
      </c>
      <c r="EB530" s="226" t="str">
        <f>IFERROR(IF(ED530=0,"",COUNTIF(ED$4:ED$600,"&gt;"&amp;ED530)+COUNTIF(ED$4:ED530,ED530)),"")</f>
        <v/>
      </c>
      <c r="EC530" t="str">
        <f t="shared" si="324"/>
        <v>TYLOGRAN 100 %</v>
      </c>
      <c r="ED530" t="e">
        <f>IF(IF(EL$2="Catégorie",IF(EL$3="Toutes",SUMIFS('Étape 1 - à remplir'!$F$31:$F$400,'Étape 1 - à remplir'!$E$31:$E$400,MASQ2!EC530,'Étape 1 - à remplir'!$G$31:$G$400,"kg"),SUMIFS('Étape 1 - à remplir'!$F$31:$F$400,'Étape 1 - à remplir'!$E$31:$E$400,MASQ2!EC530,'Étape 1 - à remplir'!$C$31:$C$400,EL$3)),IF(EL$2="Âge",IF(EL$3="Tous",SUMIFS('Étape 1 - à remplir'!$F$31:$F$400,'Étape 1 - à remplir'!$E$31:$E$400,MASQ2!EC530,'Étape 1 - à remplir'!$G$31:$G$400,"kg"),SUMIFS('Étape 1 - à remplir'!$F$31:$F$400,'Étape 1 - à remplir'!$E$31:$E$400,MASQ2!EC530,'Étape 1 - à remplir'!$P$31:$P$400,EL$3,'Étape 1 - à remplir'!$G$31:$G$400,"kg")),IF(EL$2="Atelier",IF(EL$3="Tous",SUMIFS('Étape 1 - à remplir'!$F$31:$F$400,'Étape 1 - à remplir'!$E$31:$E$400,MASQ2!EC530,'Étape 1 - à remplir'!$G$31:$G$400,"kg"),SUMIFS('Étape 1 - à remplir'!$F$31:$F$400,'Étape 1 - à remplir'!$E$31:$E$400,MASQ2!EC530,'Étape 1 - à remplir'!$O$31:$O$400,EL$3,'Étape 1 - à remplir'!$G$31:$G$400,"kg")),IF(EL$2="Espèce",IF(EL$3="Toutes",SUMIFS('Étape 1 - à remplir'!$F$31:$F$400,'Étape 1 - à remplir'!$E$31:$E$400,MASQ2!EC530,'Étape 1 - à remplir'!$G$31:$G$400,"kg"),SUMIFS('Étape 1 - à remplir'!$F$31:$F$400,'Étape 1 - à remplir'!$E$31:$E$400,MASQ2!EC530,'Étape 1 - à remplir'!$N$31:$N$400,EL$3,'Étape 1 - à remplir'!$G$31:$G$400,"kg"))))))=0,NA(),IF(EL$2="Catégorie",IF(EL$3="Toutes",SUMIFS('Étape 1 - à remplir'!$F$31:$F$400,'Étape 1 - à remplir'!$E$31:$E$400,MASQ2!EC530,'Étape 1 - à remplir'!$G$31:$G$400,"kg"),SUMIFS('Étape 1 - à remplir'!$F$31:$F$400,'Étape 1 - à remplir'!$E$31:$E$400,MASQ2!EC530,'Étape 1 - à remplir'!$C$31:$C$400,EL$3)),IF(EL$2="Âge",IF(EL$3="Tous",SUMIFS('Étape 1 - à remplir'!$F$31:$F$400,'Étape 1 - à remplir'!$E$31:$E$400,MASQ2!EC530,'Étape 1 - à remplir'!$G$31:$G$400,"kg"),SUMIFS('Étape 1 - à remplir'!$F$31:$F$400,'Étape 1 - à remplir'!$E$31:$E$400,MASQ2!EC530,'Étape 1 - à remplir'!$P$31:$P$400,EL$3,'Étape 1 - à remplir'!$G$31:$G$400,"kg")),IF(EL$2="Atelier",IF(EL$3="Tous",SUMIFS('Étape 1 - à remplir'!$F$31:$F$400,'Étape 1 - à remplir'!$E$31:$E$400,MASQ2!EC530,'Étape 1 - à remplir'!$G$31:$G$400,"kg"),SUMIFS('Étape 1 - à remplir'!$F$31:$F$400,'Étape 1 - à remplir'!$E$31:$E$400,MASQ2!EC530,'Étape 1 - à remplir'!$O$31:$O$400,EL$3,'Étape 1 - à remplir'!$G$31:$G$400,"kg")),IF(EL$2="Espèce",IF(EL$3="Toutes",SUMIFS('Étape 1 - à remplir'!$F$31:$F$400,'Étape 1 - à remplir'!$E$31:$E$400,MASQ2!EC530,'Étape 1 - à remplir'!$G$31:$G$400,"kg"),SUMIFS('Étape 1 - à remplir'!$F$31:$F$400,'Étape 1 - à remplir'!$E$31:$E$400,MASQ2!EC530,'Étape 1 - à remplir'!$N$31:$N$400,EL$3,'Étape 1 - à remplir'!$G$31:$G$400,"kg")))))))</f>
        <v>#N/A</v>
      </c>
      <c r="EE530" s="76">
        <f t="shared" si="334"/>
        <v>0</v>
      </c>
      <c r="EF530" t="str">
        <f t="shared" si="325"/>
        <v>Tylosine</v>
      </c>
      <c r="EG530" t="str">
        <f t="shared" si="326"/>
        <v/>
      </c>
      <c r="EH530" t="str">
        <f t="shared" si="327"/>
        <v/>
      </c>
      <c r="EI530" t="str">
        <f t="shared" si="328"/>
        <v>Macrolides</v>
      </c>
      <c r="EJ530" t="str">
        <f t="shared" si="329"/>
        <v/>
      </c>
      <c r="EK530" s="63" t="str">
        <f t="shared" si="330"/>
        <v/>
      </c>
      <c r="EN530" s="42">
        <v>527</v>
      </c>
      <c r="EO530" t="e">
        <f t="shared" si="336"/>
        <v>#N/A</v>
      </c>
      <c r="EP530" s="63" t="e">
        <f t="shared" si="337"/>
        <v>#N/A</v>
      </c>
    </row>
    <row r="531" spans="13:146" x14ac:dyDescent="0.3">
      <c r="M531" s="194" t="str">
        <f ca="1">INDEX(Données_ATB!BD:BU,MATCH(MASQ2!O531,Données_ATB!BD:BD,0),18)</f>
        <v/>
      </c>
      <c r="N531" s="14" t="str">
        <f>IFERROR(IF(Q531=0,"",COUNTIF(Q$4:Q$600,"&gt;"&amp;Q531)+COUNTIF(Q$4:Q531,Q531)),"")</f>
        <v/>
      </c>
      <c r="O531" t="str">
        <f>Données_ATB!BD530</f>
        <v>TYLOLIDE</v>
      </c>
      <c r="P531" t="e">
        <f>IF(IF(X$2="Catégorie",IF(X$3="Toutes",SUMIFS('Étape 1 - à remplir'!$F$31:$F$400,'Étape 1 - à remplir'!$E$31:$E$400,MASQ2!O531,'Étape 1 - à remplir'!$G$31:$G$400,"animaux"),SUMIFS('Étape 1 - à remplir'!$F$31:$F$400,'Étape 1 - à remplir'!$E$31:$E$400,MASQ2!O531,'Étape 1 - à remplir'!$C$31:$C$400,X$3)),IF(X$2="Âge",IF(X$3="Tous",SUMIFS('Étape 1 - à remplir'!$F$31:$F$400,'Étape 1 - à remplir'!$E$31:$E$400,MASQ2!O531,'Étape 1 - à remplir'!$G$31:$G$400,"animaux"),SUMIFS('Étape 1 - à remplir'!$F$31:$F$400,'Étape 1 - à remplir'!$E$31:$E$400,MASQ2!O531,'Étape 1 - à remplir'!$P$31:$P$400,X$3)),IF(X$2="Atelier",IF(X$3="Tous",SUMIFS('Étape 1 - à remplir'!$F$31:$F$400,'Étape 1 - à remplir'!$E$31:$E$400,MASQ2!O531,'Étape 1 - à remplir'!$G$31:$G$400,"animaux"),SUMIFS('Étape 1 - à remplir'!$F$31:$F$400,'Étape 1 - à remplir'!$E$31:$E$400,MASQ2!O531,'Étape 1 - à remplir'!$O$31:$O$400,X$3)),IF(X$2="Espèce",IF(X$3="Toutes",SUMIFS('Étape 1 - à remplir'!$F$31:$F$400,'Étape 1 - à remplir'!$E$31:$E$400,MASQ2!O531,'Étape 1 - à remplir'!$G$31:$G$400,"animaux"),SUMIFS('Étape 1 - à remplir'!$F$31:$F$400,'Étape 1 - à remplir'!$E$31:$E$400,MASQ2!O531,'Étape 1 - à remplir'!$N$31:$N$400,X$3))))))=0,NA(),IF(X$2="Catégorie",IF(X$3="Toutes",SUMIFS('Étape 1 - à remplir'!$F$31:$F$400,'Étape 1 - à remplir'!$E$31:$E$400,MASQ2!O531,'Étape 1 - à remplir'!$G$31:$G$400,"animaux"),SUMIFS('Étape 1 - à remplir'!$F$31:$F$400,'Étape 1 - à remplir'!$E$31:$E$400,MASQ2!O531,'Étape 1 - à remplir'!$C$31:$C$400,X$3)),IF(X$2="Âge",IF(X$3="Tous",SUMIFS('Étape 1 - à remplir'!$F$31:$F$400,'Étape 1 - à remplir'!$E$31:$E$400,MASQ2!O531,'Étape 1 - à remplir'!$G$31:$G$400,"animaux"),SUMIFS('Étape 1 - à remplir'!$F$31:$F$400,'Étape 1 - à remplir'!$E$31:$E$400,MASQ2!O531,'Étape 1 - à remplir'!$P$31:$P$400,X$3)),IF(X$2="Atelier",IF(X$3="Tous",SUMIFS('Étape 1 - à remplir'!$F$31:$F$400,'Étape 1 - à remplir'!$E$31:$E$400,MASQ2!O531,'Étape 1 - à remplir'!$G$31:$G$400,"animaux"),SUMIFS('Étape 1 - à remplir'!$F$31:$F$400,'Étape 1 - à remplir'!$E$31:$E$400,MASQ2!O531,'Étape 1 - à remplir'!$O$31:$O$400,X$3)),IF(X$2="Espèce",IF(X$3="Toutes",SUMIFS('Étape 1 - à remplir'!$F$31:$F$400,'Étape 1 - à remplir'!$E$31:$E$400,MASQ2!O531,'Étape 1 - à remplir'!$G$31:$G$400,"animaux"),SUMIFS('Étape 1 - à remplir'!$F$31:$F$400,'Étape 1 - à remplir'!$E$31:$E$400,MASQ2!O531,'Étape 1 - à remplir'!$N$31:$N$400,X$3)))))))</f>
        <v>#N/A</v>
      </c>
      <c r="Q531" s="63">
        <f t="shared" si="335"/>
        <v>0</v>
      </c>
      <c r="R531" t="str">
        <f>Données_ATB!BM530</f>
        <v>Tylosine</v>
      </c>
      <c r="S531" t="str">
        <f>Données_ATB!BN530</f>
        <v/>
      </c>
      <c r="T531" s="63" t="str">
        <f>Données_ATB!BO530</f>
        <v/>
      </c>
      <c r="U531" s="42" t="str">
        <f>Données_ATB!BQ530</f>
        <v>Macrolides</v>
      </c>
      <c r="V531" t="str">
        <f>Données_ATB!BR530</f>
        <v/>
      </c>
      <c r="W531" s="63" t="str">
        <f>Données_ATB!BS530</f>
        <v/>
      </c>
      <c r="Z531" s="42">
        <v>528</v>
      </c>
      <c r="AA531" t="e">
        <f t="shared" si="331"/>
        <v>#N/A</v>
      </c>
      <c r="AB531" s="63" t="e">
        <f t="shared" si="332"/>
        <v>#N/A</v>
      </c>
      <c r="BT531" s="194" t="str">
        <f t="shared" ca="1" si="315"/>
        <v/>
      </c>
      <c r="BU531" s="219" t="str">
        <f>IFERROR(IF(BX531=0,"",COUNTIF(BX$4:BX$600,"&gt;"&amp;BX531)+COUNTIF(BX$4:BX531,BX531)),"")</f>
        <v/>
      </c>
      <c r="BV531" s="42" t="str">
        <f t="shared" si="316"/>
        <v>TYLOLIDE</v>
      </c>
      <c r="BW531" t="e">
        <f>IF(IF(CE$2="Catégorie",IF(CE$3="Toutes",SUMIFS('Étape 1 - à remplir'!$F$31:$F$400,'Étape 1 - à remplir'!$E$31:$E$400,MASQ2!BV531,'Étape 1 - à remplir'!$G$31:$G$400,"lots"),SUMIFS('Étape 1 - à remplir'!$F$31:$F$400,'Étape 1 - à remplir'!$E$31:$E$400,MASQ2!BV531,'Étape 1 - à remplir'!$C$31:$C$400,CE$3)),IF(CE$2="Âge",IF(CE$3="Tous",SUMIFS('Étape 1 - à remplir'!$F$31:$F$400,'Étape 1 - à remplir'!$E$31:$E$400,MASQ2!BV531,'Étape 1 - à remplir'!$G$31:$G$400,"lots"),SUMIFS('Étape 1 - à remplir'!$F$31:$F$400,'Étape 1 - à remplir'!$E$31:$E$400,MASQ2!BV531,'Étape 1 - à remplir'!$P$31:$P$400,CE$3,'Étape 1 - à remplir'!$G$31:$G$400,"lots")),IF(CE$2="Atelier",IF(CE$3="Tous",SUMIFS('Étape 1 - à remplir'!$F$31:$F$400,'Étape 1 - à remplir'!$E$31:$E$400,MASQ2!BV531,'Étape 1 - à remplir'!$G$31:$G$400,"lots"),SUMIFS('Étape 1 - à remplir'!$F$31:$F$400,'Étape 1 - à remplir'!$E$31:$E$400,MASQ2!BV531,'Étape 1 - à remplir'!$O$31:$O$400,CE$3,'Étape 1 - à remplir'!$G$31:$G$400,"lots")),IF(CE$2="Espèce",IF(CE$3="Toutes",SUMIFS('Étape 1 - à remplir'!$F$31:$F$400,'Étape 1 - à remplir'!$E$31:$E$400,MASQ2!BV531,'Étape 1 - à remplir'!$G$31:$G$400,"lots"),SUMIFS('Étape 1 - à remplir'!$F$31:$F$400,'Étape 1 - à remplir'!$E$31:$E$400,MASQ2!BV531,'Étape 1 - à remplir'!$N$31:$N$400,CE$3,'Étape 1 - à remplir'!$G$31:$G$400,"lots"))))))=0,NA(),IF(CE$2="Catégorie",IF(CE$3="Toutes",SUMIFS('Étape 1 - à remplir'!$F$31:$F$400,'Étape 1 - à remplir'!$E$31:$E$400,MASQ2!BV531,'Étape 1 - à remplir'!$G$31:$G$400,"lots"),SUMIFS('Étape 1 - à remplir'!$F$31:$F$400,'Étape 1 - à remplir'!$E$31:$E$400,MASQ2!BV531,'Étape 1 - à remplir'!$C$31:$C$400,CE$3)),IF(CE$2="Âge",IF(CE$3="Tous",SUMIFS('Étape 1 - à remplir'!$F$31:$F$400,'Étape 1 - à remplir'!$E$31:$E$400,MASQ2!BV531,'Étape 1 - à remplir'!$G$31:$G$400,"lots"),SUMIFS('Étape 1 - à remplir'!$F$31:$F$400,'Étape 1 - à remplir'!$E$31:$E$400,MASQ2!BV531,'Étape 1 - à remplir'!$P$31:$P$400,CE$3,'Étape 1 - à remplir'!$G$31:$G$400,"lots")),IF(CE$2="Atelier",IF(CE$3="Tous",SUMIFS('Étape 1 - à remplir'!$F$31:$F$400,'Étape 1 - à remplir'!$E$31:$E$400,MASQ2!BV531,'Étape 1 - à remplir'!$G$31:$G$400,"lots"),SUMIFS('Étape 1 - à remplir'!$F$31:$F$400,'Étape 1 - à remplir'!$E$31:$E$400,MASQ2!BV531,'Étape 1 - à remplir'!$O$31:$O$400,CE$3,'Étape 1 - à remplir'!$G$31:$G$400,"lots")),IF(CE$2="Espèce",IF(CE$3="Toutes",SUMIFS('Étape 1 - à remplir'!$F$31:$F$400,'Étape 1 - à remplir'!$E$31:$E$400,MASQ2!BV531,'Étape 1 - à remplir'!$G$31:$G$400,"lots"),SUMIFS('Étape 1 - à remplir'!$F$31:$F$400,'Étape 1 - à remplir'!$E$31:$E$400,MASQ2!BV531,'Étape 1 - à remplir'!$N$31:$N$400,CE$3,'Étape 1 - à remplir'!$G$31:$G$400,"lots")))))))</f>
        <v>#N/A</v>
      </c>
      <c r="BX531">
        <f t="shared" si="333"/>
        <v>0</v>
      </c>
      <c r="BY531" t="str">
        <f t="shared" si="317"/>
        <v>Tylosine</v>
      </c>
      <c r="BZ531" t="str">
        <f t="shared" si="318"/>
        <v/>
      </c>
      <c r="CA531" t="str">
        <f t="shared" si="319"/>
        <v/>
      </c>
      <c r="CB531" t="str">
        <f t="shared" si="320"/>
        <v>Macrolides</v>
      </c>
      <c r="CC531" t="str">
        <f t="shared" si="321"/>
        <v/>
      </c>
      <c r="CD531" s="63" t="str">
        <f t="shared" si="322"/>
        <v/>
      </c>
      <c r="CG531" s="42">
        <v>528</v>
      </c>
      <c r="CH531" s="42" t="e">
        <f t="shared" si="338"/>
        <v>#N/A</v>
      </c>
      <c r="CI531" s="63" t="e">
        <f t="shared" si="339"/>
        <v>#N/A</v>
      </c>
      <c r="EA531" s="194" t="str">
        <f t="shared" ca="1" si="323"/>
        <v/>
      </c>
      <c r="EB531" s="226" t="str">
        <f>IFERROR(IF(ED531=0,"",COUNTIF(ED$4:ED$600,"&gt;"&amp;ED531)+COUNTIF(ED$4:ED531,ED531)),"")</f>
        <v/>
      </c>
      <c r="EC531" t="str">
        <f t="shared" si="324"/>
        <v>TYLOLIDE</v>
      </c>
      <c r="ED531" t="e">
        <f>IF(IF(EL$2="Catégorie",IF(EL$3="Toutes",SUMIFS('Étape 1 - à remplir'!$F$31:$F$400,'Étape 1 - à remplir'!$E$31:$E$400,MASQ2!EC531,'Étape 1 - à remplir'!$G$31:$G$400,"kg"),SUMIFS('Étape 1 - à remplir'!$F$31:$F$400,'Étape 1 - à remplir'!$E$31:$E$400,MASQ2!EC531,'Étape 1 - à remplir'!$C$31:$C$400,EL$3)),IF(EL$2="Âge",IF(EL$3="Tous",SUMIFS('Étape 1 - à remplir'!$F$31:$F$400,'Étape 1 - à remplir'!$E$31:$E$400,MASQ2!EC531,'Étape 1 - à remplir'!$G$31:$G$400,"kg"),SUMIFS('Étape 1 - à remplir'!$F$31:$F$400,'Étape 1 - à remplir'!$E$31:$E$400,MASQ2!EC531,'Étape 1 - à remplir'!$P$31:$P$400,EL$3,'Étape 1 - à remplir'!$G$31:$G$400,"kg")),IF(EL$2="Atelier",IF(EL$3="Tous",SUMIFS('Étape 1 - à remplir'!$F$31:$F$400,'Étape 1 - à remplir'!$E$31:$E$400,MASQ2!EC531,'Étape 1 - à remplir'!$G$31:$G$400,"kg"),SUMIFS('Étape 1 - à remplir'!$F$31:$F$400,'Étape 1 - à remplir'!$E$31:$E$400,MASQ2!EC531,'Étape 1 - à remplir'!$O$31:$O$400,EL$3,'Étape 1 - à remplir'!$G$31:$G$400,"kg")),IF(EL$2="Espèce",IF(EL$3="Toutes",SUMIFS('Étape 1 - à remplir'!$F$31:$F$400,'Étape 1 - à remplir'!$E$31:$E$400,MASQ2!EC531,'Étape 1 - à remplir'!$G$31:$G$400,"kg"),SUMIFS('Étape 1 - à remplir'!$F$31:$F$400,'Étape 1 - à remplir'!$E$31:$E$400,MASQ2!EC531,'Étape 1 - à remplir'!$N$31:$N$400,EL$3,'Étape 1 - à remplir'!$G$31:$G$400,"kg"))))))=0,NA(),IF(EL$2="Catégorie",IF(EL$3="Toutes",SUMIFS('Étape 1 - à remplir'!$F$31:$F$400,'Étape 1 - à remplir'!$E$31:$E$400,MASQ2!EC531,'Étape 1 - à remplir'!$G$31:$G$400,"kg"),SUMIFS('Étape 1 - à remplir'!$F$31:$F$400,'Étape 1 - à remplir'!$E$31:$E$400,MASQ2!EC531,'Étape 1 - à remplir'!$C$31:$C$400,EL$3)),IF(EL$2="Âge",IF(EL$3="Tous",SUMIFS('Étape 1 - à remplir'!$F$31:$F$400,'Étape 1 - à remplir'!$E$31:$E$400,MASQ2!EC531,'Étape 1 - à remplir'!$G$31:$G$400,"kg"),SUMIFS('Étape 1 - à remplir'!$F$31:$F$400,'Étape 1 - à remplir'!$E$31:$E$400,MASQ2!EC531,'Étape 1 - à remplir'!$P$31:$P$400,EL$3,'Étape 1 - à remplir'!$G$31:$G$400,"kg")),IF(EL$2="Atelier",IF(EL$3="Tous",SUMIFS('Étape 1 - à remplir'!$F$31:$F$400,'Étape 1 - à remplir'!$E$31:$E$400,MASQ2!EC531,'Étape 1 - à remplir'!$G$31:$G$400,"kg"),SUMIFS('Étape 1 - à remplir'!$F$31:$F$400,'Étape 1 - à remplir'!$E$31:$E$400,MASQ2!EC531,'Étape 1 - à remplir'!$O$31:$O$400,EL$3,'Étape 1 - à remplir'!$G$31:$G$400,"kg")),IF(EL$2="Espèce",IF(EL$3="Toutes",SUMIFS('Étape 1 - à remplir'!$F$31:$F$400,'Étape 1 - à remplir'!$E$31:$E$400,MASQ2!EC531,'Étape 1 - à remplir'!$G$31:$G$400,"kg"),SUMIFS('Étape 1 - à remplir'!$F$31:$F$400,'Étape 1 - à remplir'!$E$31:$E$400,MASQ2!EC531,'Étape 1 - à remplir'!$N$31:$N$400,EL$3,'Étape 1 - à remplir'!$G$31:$G$400,"kg")))))))</f>
        <v>#N/A</v>
      </c>
      <c r="EE531" s="76">
        <f t="shared" si="334"/>
        <v>0</v>
      </c>
      <c r="EF531" t="str">
        <f t="shared" si="325"/>
        <v>Tylosine</v>
      </c>
      <c r="EG531" t="str">
        <f t="shared" si="326"/>
        <v/>
      </c>
      <c r="EH531" t="str">
        <f t="shared" si="327"/>
        <v/>
      </c>
      <c r="EI531" t="str">
        <f t="shared" si="328"/>
        <v>Macrolides</v>
      </c>
      <c r="EJ531" t="str">
        <f t="shared" si="329"/>
        <v/>
      </c>
      <c r="EK531" s="63" t="str">
        <f t="shared" si="330"/>
        <v/>
      </c>
      <c r="EN531" s="42">
        <v>528</v>
      </c>
      <c r="EO531" t="e">
        <f t="shared" si="336"/>
        <v>#N/A</v>
      </c>
      <c r="EP531" s="63" t="e">
        <f t="shared" si="337"/>
        <v>#N/A</v>
      </c>
    </row>
    <row r="532" spans="13:146" x14ac:dyDescent="0.3">
      <c r="M532" s="194" t="str">
        <f ca="1">INDEX(Données_ATB!BD:BU,MATCH(MASQ2!O532,Données_ATB!BD:BD,0),18)</f>
        <v/>
      </c>
      <c r="N532" s="14" t="str">
        <f>IFERROR(IF(Q532=0,"",COUNTIF(Q$4:Q$600,"&gt;"&amp;Q532)+COUNTIF(Q$4:Q532,Q532)),"")</f>
        <v/>
      </c>
      <c r="O532" t="str">
        <f>Données_ATB!BD531</f>
        <v>TYLORAL</v>
      </c>
      <c r="P532" t="e">
        <f>IF(IF(X$2="Catégorie",IF(X$3="Toutes",SUMIFS('Étape 1 - à remplir'!$F$31:$F$400,'Étape 1 - à remplir'!$E$31:$E$400,MASQ2!O532,'Étape 1 - à remplir'!$G$31:$G$400,"animaux"),SUMIFS('Étape 1 - à remplir'!$F$31:$F$400,'Étape 1 - à remplir'!$E$31:$E$400,MASQ2!O532,'Étape 1 - à remplir'!$C$31:$C$400,X$3)),IF(X$2="Âge",IF(X$3="Tous",SUMIFS('Étape 1 - à remplir'!$F$31:$F$400,'Étape 1 - à remplir'!$E$31:$E$400,MASQ2!O532,'Étape 1 - à remplir'!$G$31:$G$400,"animaux"),SUMIFS('Étape 1 - à remplir'!$F$31:$F$400,'Étape 1 - à remplir'!$E$31:$E$400,MASQ2!O532,'Étape 1 - à remplir'!$P$31:$P$400,X$3)),IF(X$2="Atelier",IF(X$3="Tous",SUMIFS('Étape 1 - à remplir'!$F$31:$F$400,'Étape 1 - à remplir'!$E$31:$E$400,MASQ2!O532,'Étape 1 - à remplir'!$G$31:$G$400,"animaux"),SUMIFS('Étape 1 - à remplir'!$F$31:$F$400,'Étape 1 - à remplir'!$E$31:$E$400,MASQ2!O532,'Étape 1 - à remplir'!$O$31:$O$400,X$3)),IF(X$2="Espèce",IF(X$3="Toutes",SUMIFS('Étape 1 - à remplir'!$F$31:$F$400,'Étape 1 - à remplir'!$E$31:$E$400,MASQ2!O532,'Étape 1 - à remplir'!$G$31:$G$400,"animaux"),SUMIFS('Étape 1 - à remplir'!$F$31:$F$400,'Étape 1 - à remplir'!$E$31:$E$400,MASQ2!O532,'Étape 1 - à remplir'!$N$31:$N$400,X$3))))))=0,NA(),IF(X$2="Catégorie",IF(X$3="Toutes",SUMIFS('Étape 1 - à remplir'!$F$31:$F$400,'Étape 1 - à remplir'!$E$31:$E$400,MASQ2!O532,'Étape 1 - à remplir'!$G$31:$G$400,"animaux"),SUMIFS('Étape 1 - à remplir'!$F$31:$F$400,'Étape 1 - à remplir'!$E$31:$E$400,MASQ2!O532,'Étape 1 - à remplir'!$C$31:$C$400,X$3)),IF(X$2="Âge",IF(X$3="Tous",SUMIFS('Étape 1 - à remplir'!$F$31:$F$400,'Étape 1 - à remplir'!$E$31:$E$400,MASQ2!O532,'Étape 1 - à remplir'!$G$31:$G$400,"animaux"),SUMIFS('Étape 1 - à remplir'!$F$31:$F$400,'Étape 1 - à remplir'!$E$31:$E$400,MASQ2!O532,'Étape 1 - à remplir'!$P$31:$P$400,X$3)),IF(X$2="Atelier",IF(X$3="Tous",SUMIFS('Étape 1 - à remplir'!$F$31:$F$400,'Étape 1 - à remplir'!$E$31:$E$400,MASQ2!O532,'Étape 1 - à remplir'!$G$31:$G$400,"animaux"),SUMIFS('Étape 1 - à remplir'!$F$31:$F$400,'Étape 1 - à remplir'!$E$31:$E$400,MASQ2!O532,'Étape 1 - à remplir'!$O$31:$O$400,X$3)),IF(X$2="Espèce",IF(X$3="Toutes",SUMIFS('Étape 1 - à remplir'!$F$31:$F$400,'Étape 1 - à remplir'!$E$31:$E$400,MASQ2!O532,'Étape 1 - à remplir'!$G$31:$G$400,"animaux"),SUMIFS('Étape 1 - à remplir'!$F$31:$F$400,'Étape 1 - à remplir'!$E$31:$E$400,MASQ2!O532,'Étape 1 - à remplir'!$N$31:$N$400,X$3)))))))</f>
        <v>#N/A</v>
      </c>
      <c r="Q532" s="63">
        <f t="shared" si="335"/>
        <v>0</v>
      </c>
      <c r="R532" t="str">
        <f>Données_ATB!BM531</f>
        <v>Tylosine</v>
      </c>
      <c r="S532" t="str">
        <f>Données_ATB!BN531</f>
        <v/>
      </c>
      <c r="T532" s="63" t="str">
        <f>Données_ATB!BO531</f>
        <v/>
      </c>
      <c r="U532" s="42" t="str">
        <f>Données_ATB!BQ531</f>
        <v>Macrolides</v>
      </c>
      <c r="V532" t="str">
        <f>Données_ATB!BR531</f>
        <v/>
      </c>
      <c r="W532" s="63" t="str">
        <f>Données_ATB!BS531</f>
        <v/>
      </c>
      <c r="Z532" s="42">
        <v>529</v>
      </c>
      <c r="AA532" t="e">
        <f t="shared" si="331"/>
        <v>#N/A</v>
      </c>
      <c r="AB532" s="63" t="e">
        <f t="shared" si="332"/>
        <v>#N/A</v>
      </c>
      <c r="BT532" s="194" t="str">
        <f t="shared" ca="1" si="315"/>
        <v/>
      </c>
      <c r="BU532" s="219" t="str">
        <f>IFERROR(IF(BX532=0,"",COUNTIF(BX$4:BX$600,"&gt;"&amp;BX532)+COUNTIF(BX$4:BX532,BX532)),"")</f>
        <v/>
      </c>
      <c r="BV532" s="42" t="str">
        <f t="shared" si="316"/>
        <v>TYLORAL</v>
      </c>
      <c r="BW532" t="e">
        <f>IF(IF(CE$2="Catégorie",IF(CE$3="Toutes",SUMIFS('Étape 1 - à remplir'!$F$31:$F$400,'Étape 1 - à remplir'!$E$31:$E$400,MASQ2!BV532,'Étape 1 - à remplir'!$G$31:$G$400,"lots"),SUMIFS('Étape 1 - à remplir'!$F$31:$F$400,'Étape 1 - à remplir'!$E$31:$E$400,MASQ2!BV532,'Étape 1 - à remplir'!$C$31:$C$400,CE$3)),IF(CE$2="Âge",IF(CE$3="Tous",SUMIFS('Étape 1 - à remplir'!$F$31:$F$400,'Étape 1 - à remplir'!$E$31:$E$400,MASQ2!BV532,'Étape 1 - à remplir'!$G$31:$G$400,"lots"),SUMIFS('Étape 1 - à remplir'!$F$31:$F$400,'Étape 1 - à remplir'!$E$31:$E$400,MASQ2!BV532,'Étape 1 - à remplir'!$P$31:$P$400,CE$3,'Étape 1 - à remplir'!$G$31:$G$400,"lots")),IF(CE$2="Atelier",IF(CE$3="Tous",SUMIFS('Étape 1 - à remplir'!$F$31:$F$400,'Étape 1 - à remplir'!$E$31:$E$400,MASQ2!BV532,'Étape 1 - à remplir'!$G$31:$G$400,"lots"),SUMIFS('Étape 1 - à remplir'!$F$31:$F$400,'Étape 1 - à remplir'!$E$31:$E$400,MASQ2!BV532,'Étape 1 - à remplir'!$O$31:$O$400,CE$3,'Étape 1 - à remplir'!$G$31:$G$400,"lots")),IF(CE$2="Espèce",IF(CE$3="Toutes",SUMIFS('Étape 1 - à remplir'!$F$31:$F$400,'Étape 1 - à remplir'!$E$31:$E$400,MASQ2!BV532,'Étape 1 - à remplir'!$G$31:$G$400,"lots"),SUMIFS('Étape 1 - à remplir'!$F$31:$F$400,'Étape 1 - à remplir'!$E$31:$E$400,MASQ2!BV532,'Étape 1 - à remplir'!$N$31:$N$400,CE$3,'Étape 1 - à remplir'!$G$31:$G$400,"lots"))))))=0,NA(),IF(CE$2="Catégorie",IF(CE$3="Toutes",SUMIFS('Étape 1 - à remplir'!$F$31:$F$400,'Étape 1 - à remplir'!$E$31:$E$400,MASQ2!BV532,'Étape 1 - à remplir'!$G$31:$G$400,"lots"),SUMIFS('Étape 1 - à remplir'!$F$31:$F$400,'Étape 1 - à remplir'!$E$31:$E$400,MASQ2!BV532,'Étape 1 - à remplir'!$C$31:$C$400,CE$3)),IF(CE$2="Âge",IF(CE$3="Tous",SUMIFS('Étape 1 - à remplir'!$F$31:$F$400,'Étape 1 - à remplir'!$E$31:$E$400,MASQ2!BV532,'Étape 1 - à remplir'!$G$31:$G$400,"lots"),SUMIFS('Étape 1 - à remplir'!$F$31:$F$400,'Étape 1 - à remplir'!$E$31:$E$400,MASQ2!BV532,'Étape 1 - à remplir'!$P$31:$P$400,CE$3,'Étape 1 - à remplir'!$G$31:$G$400,"lots")),IF(CE$2="Atelier",IF(CE$3="Tous",SUMIFS('Étape 1 - à remplir'!$F$31:$F$400,'Étape 1 - à remplir'!$E$31:$E$400,MASQ2!BV532,'Étape 1 - à remplir'!$G$31:$G$400,"lots"),SUMIFS('Étape 1 - à remplir'!$F$31:$F$400,'Étape 1 - à remplir'!$E$31:$E$400,MASQ2!BV532,'Étape 1 - à remplir'!$O$31:$O$400,CE$3,'Étape 1 - à remplir'!$G$31:$G$400,"lots")),IF(CE$2="Espèce",IF(CE$3="Toutes",SUMIFS('Étape 1 - à remplir'!$F$31:$F$400,'Étape 1 - à remplir'!$E$31:$E$400,MASQ2!BV532,'Étape 1 - à remplir'!$G$31:$G$400,"lots"),SUMIFS('Étape 1 - à remplir'!$F$31:$F$400,'Étape 1 - à remplir'!$E$31:$E$400,MASQ2!BV532,'Étape 1 - à remplir'!$N$31:$N$400,CE$3,'Étape 1 - à remplir'!$G$31:$G$400,"lots")))))))</f>
        <v>#N/A</v>
      </c>
      <c r="BX532">
        <f t="shared" si="333"/>
        <v>0</v>
      </c>
      <c r="BY532" t="str">
        <f t="shared" si="317"/>
        <v>Tylosine</v>
      </c>
      <c r="BZ532" t="str">
        <f t="shared" si="318"/>
        <v/>
      </c>
      <c r="CA532" t="str">
        <f t="shared" si="319"/>
        <v/>
      </c>
      <c r="CB532" t="str">
        <f t="shared" si="320"/>
        <v>Macrolides</v>
      </c>
      <c r="CC532" t="str">
        <f t="shared" si="321"/>
        <v/>
      </c>
      <c r="CD532" s="63" t="str">
        <f t="shared" si="322"/>
        <v/>
      </c>
      <c r="CG532" s="42">
        <v>529</v>
      </c>
      <c r="CH532" s="42" t="e">
        <f t="shared" si="338"/>
        <v>#N/A</v>
      </c>
      <c r="CI532" s="63" t="e">
        <f t="shared" si="339"/>
        <v>#N/A</v>
      </c>
      <c r="EA532" s="194" t="str">
        <f t="shared" ca="1" si="323"/>
        <v/>
      </c>
      <c r="EB532" s="226" t="str">
        <f>IFERROR(IF(ED532=0,"",COUNTIF(ED$4:ED$600,"&gt;"&amp;ED532)+COUNTIF(ED$4:ED532,ED532)),"")</f>
        <v/>
      </c>
      <c r="EC532" t="str">
        <f t="shared" si="324"/>
        <v>TYLORAL</v>
      </c>
      <c r="ED532" t="e">
        <f>IF(IF(EL$2="Catégorie",IF(EL$3="Toutes",SUMIFS('Étape 1 - à remplir'!$F$31:$F$400,'Étape 1 - à remplir'!$E$31:$E$400,MASQ2!EC532,'Étape 1 - à remplir'!$G$31:$G$400,"kg"),SUMIFS('Étape 1 - à remplir'!$F$31:$F$400,'Étape 1 - à remplir'!$E$31:$E$400,MASQ2!EC532,'Étape 1 - à remplir'!$C$31:$C$400,EL$3)),IF(EL$2="Âge",IF(EL$3="Tous",SUMIFS('Étape 1 - à remplir'!$F$31:$F$400,'Étape 1 - à remplir'!$E$31:$E$400,MASQ2!EC532,'Étape 1 - à remplir'!$G$31:$G$400,"kg"),SUMIFS('Étape 1 - à remplir'!$F$31:$F$400,'Étape 1 - à remplir'!$E$31:$E$400,MASQ2!EC532,'Étape 1 - à remplir'!$P$31:$P$400,EL$3,'Étape 1 - à remplir'!$G$31:$G$400,"kg")),IF(EL$2="Atelier",IF(EL$3="Tous",SUMIFS('Étape 1 - à remplir'!$F$31:$F$400,'Étape 1 - à remplir'!$E$31:$E$400,MASQ2!EC532,'Étape 1 - à remplir'!$G$31:$G$400,"kg"),SUMIFS('Étape 1 - à remplir'!$F$31:$F$400,'Étape 1 - à remplir'!$E$31:$E$400,MASQ2!EC532,'Étape 1 - à remplir'!$O$31:$O$400,EL$3,'Étape 1 - à remplir'!$G$31:$G$400,"kg")),IF(EL$2="Espèce",IF(EL$3="Toutes",SUMIFS('Étape 1 - à remplir'!$F$31:$F$400,'Étape 1 - à remplir'!$E$31:$E$400,MASQ2!EC532,'Étape 1 - à remplir'!$G$31:$G$400,"kg"),SUMIFS('Étape 1 - à remplir'!$F$31:$F$400,'Étape 1 - à remplir'!$E$31:$E$400,MASQ2!EC532,'Étape 1 - à remplir'!$N$31:$N$400,EL$3,'Étape 1 - à remplir'!$G$31:$G$400,"kg"))))))=0,NA(),IF(EL$2="Catégorie",IF(EL$3="Toutes",SUMIFS('Étape 1 - à remplir'!$F$31:$F$400,'Étape 1 - à remplir'!$E$31:$E$400,MASQ2!EC532,'Étape 1 - à remplir'!$G$31:$G$400,"kg"),SUMIFS('Étape 1 - à remplir'!$F$31:$F$400,'Étape 1 - à remplir'!$E$31:$E$400,MASQ2!EC532,'Étape 1 - à remplir'!$C$31:$C$400,EL$3)),IF(EL$2="Âge",IF(EL$3="Tous",SUMIFS('Étape 1 - à remplir'!$F$31:$F$400,'Étape 1 - à remplir'!$E$31:$E$400,MASQ2!EC532,'Étape 1 - à remplir'!$G$31:$G$400,"kg"),SUMIFS('Étape 1 - à remplir'!$F$31:$F$400,'Étape 1 - à remplir'!$E$31:$E$400,MASQ2!EC532,'Étape 1 - à remplir'!$P$31:$P$400,EL$3,'Étape 1 - à remplir'!$G$31:$G$400,"kg")),IF(EL$2="Atelier",IF(EL$3="Tous",SUMIFS('Étape 1 - à remplir'!$F$31:$F$400,'Étape 1 - à remplir'!$E$31:$E$400,MASQ2!EC532,'Étape 1 - à remplir'!$G$31:$G$400,"kg"),SUMIFS('Étape 1 - à remplir'!$F$31:$F$400,'Étape 1 - à remplir'!$E$31:$E$400,MASQ2!EC532,'Étape 1 - à remplir'!$O$31:$O$400,EL$3,'Étape 1 - à remplir'!$G$31:$G$400,"kg")),IF(EL$2="Espèce",IF(EL$3="Toutes",SUMIFS('Étape 1 - à remplir'!$F$31:$F$400,'Étape 1 - à remplir'!$E$31:$E$400,MASQ2!EC532,'Étape 1 - à remplir'!$G$31:$G$400,"kg"),SUMIFS('Étape 1 - à remplir'!$F$31:$F$400,'Étape 1 - à remplir'!$E$31:$E$400,MASQ2!EC532,'Étape 1 - à remplir'!$N$31:$N$400,EL$3,'Étape 1 - à remplir'!$G$31:$G$400,"kg")))))))</f>
        <v>#N/A</v>
      </c>
      <c r="EE532" s="76">
        <f t="shared" si="334"/>
        <v>0</v>
      </c>
      <c r="EF532" t="str">
        <f t="shared" si="325"/>
        <v>Tylosine</v>
      </c>
      <c r="EG532" t="str">
        <f t="shared" si="326"/>
        <v/>
      </c>
      <c r="EH532" t="str">
        <f t="shared" si="327"/>
        <v/>
      </c>
      <c r="EI532" t="str">
        <f t="shared" si="328"/>
        <v>Macrolides</v>
      </c>
      <c r="EJ532" t="str">
        <f t="shared" si="329"/>
        <v/>
      </c>
      <c r="EK532" s="63" t="str">
        <f t="shared" si="330"/>
        <v/>
      </c>
      <c r="EN532" s="42">
        <v>529</v>
      </c>
      <c r="EO532" t="e">
        <f t="shared" si="336"/>
        <v>#N/A</v>
      </c>
      <c r="EP532" s="63" t="e">
        <f t="shared" si="337"/>
        <v>#N/A</v>
      </c>
    </row>
    <row r="533" spans="13:146" x14ac:dyDescent="0.3">
      <c r="M533" s="194" t="str">
        <f ca="1">INDEX(Données_ATB!BD:BU,MATCH(MASQ2!O533,Données_ATB!BD:BD,0),18)</f>
        <v/>
      </c>
      <c r="N533" s="14" t="str">
        <f>IFERROR(IF(Q533=0,"",COUNTIF(Q$4:Q$600,"&gt;"&amp;Q533)+COUNTIF(Q$4:Q533,Q533)),"")</f>
        <v/>
      </c>
      <c r="O533" t="str">
        <f>Données_ATB!BD532</f>
        <v>TYLOSOL 9,2</v>
      </c>
      <c r="P533" t="e">
        <f>IF(IF(X$2="Catégorie",IF(X$3="Toutes",SUMIFS('Étape 1 - à remplir'!$F$31:$F$400,'Étape 1 - à remplir'!$E$31:$E$400,MASQ2!O533,'Étape 1 - à remplir'!$G$31:$G$400,"animaux"),SUMIFS('Étape 1 - à remplir'!$F$31:$F$400,'Étape 1 - à remplir'!$E$31:$E$400,MASQ2!O533,'Étape 1 - à remplir'!$C$31:$C$400,X$3)),IF(X$2="Âge",IF(X$3="Tous",SUMIFS('Étape 1 - à remplir'!$F$31:$F$400,'Étape 1 - à remplir'!$E$31:$E$400,MASQ2!O533,'Étape 1 - à remplir'!$G$31:$G$400,"animaux"),SUMIFS('Étape 1 - à remplir'!$F$31:$F$400,'Étape 1 - à remplir'!$E$31:$E$400,MASQ2!O533,'Étape 1 - à remplir'!$P$31:$P$400,X$3)),IF(X$2="Atelier",IF(X$3="Tous",SUMIFS('Étape 1 - à remplir'!$F$31:$F$400,'Étape 1 - à remplir'!$E$31:$E$400,MASQ2!O533,'Étape 1 - à remplir'!$G$31:$G$400,"animaux"),SUMIFS('Étape 1 - à remplir'!$F$31:$F$400,'Étape 1 - à remplir'!$E$31:$E$400,MASQ2!O533,'Étape 1 - à remplir'!$O$31:$O$400,X$3)),IF(X$2="Espèce",IF(X$3="Toutes",SUMIFS('Étape 1 - à remplir'!$F$31:$F$400,'Étape 1 - à remplir'!$E$31:$E$400,MASQ2!O533,'Étape 1 - à remplir'!$G$31:$G$400,"animaux"),SUMIFS('Étape 1 - à remplir'!$F$31:$F$400,'Étape 1 - à remplir'!$E$31:$E$400,MASQ2!O533,'Étape 1 - à remplir'!$N$31:$N$400,X$3))))))=0,NA(),IF(X$2="Catégorie",IF(X$3="Toutes",SUMIFS('Étape 1 - à remplir'!$F$31:$F$400,'Étape 1 - à remplir'!$E$31:$E$400,MASQ2!O533,'Étape 1 - à remplir'!$G$31:$G$400,"animaux"),SUMIFS('Étape 1 - à remplir'!$F$31:$F$400,'Étape 1 - à remplir'!$E$31:$E$400,MASQ2!O533,'Étape 1 - à remplir'!$C$31:$C$400,X$3)),IF(X$2="Âge",IF(X$3="Tous",SUMIFS('Étape 1 - à remplir'!$F$31:$F$400,'Étape 1 - à remplir'!$E$31:$E$400,MASQ2!O533,'Étape 1 - à remplir'!$G$31:$G$400,"animaux"),SUMIFS('Étape 1 - à remplir'!$F$31:$F$400,'Étape 1 - à remplir'!$E$31:$E$400,MASQ2!O533,'Étape 1 - à remplir'!$P$31:$P$400,X$3)),IF(X$2="Atelier",IF(X$3="Tous",SUMIFS('Étape 1 - à remplir'!$F$31:$F$400,'Étape 1 - à remplir'!$E$31:$E$400,MASQ2!O533,'Étape 1 - à remplir'!$G$31:$G$400,"animaux"),SUMIFS('Étape 1 - à remplir'!$F$31:$F$400,'Étape 1 - à remplir'!$E$31:$E$400,MASQ2!O533,'Étape 1 - à remplir'!$O$31:$O$400,X$3)),IF(X$2="Espèce",IF(X$3="Toutes",SUMIFS('Étape 1 - à remplir'!$F$31:$F$400,'Étape 1 - à remplir'!$E$31:$E$400,MASQ2!O533,'Étape 1 - à remplir'!$G$31:$G$400,"animaux"),SUMIFS('Étape 1 - à remplir'!$F$31:$F$400,'Étape 1 - à remplir'!$E$31:$E$400,MASQ2!O533,'Étape 1 - à remplir'!$N$31:$N$400,X$3)))))))</f>
        <v>#N/A</v>
      </c>
      <c r="Q533" s="63">
        <f t="shared" si="335"/>
        <v>0</v>
      </c>
      <c r="R533" t="str">
        <f>Données_ATB!BM532</f>
        <v>Tylosine</v>
      </c>
      <c r="S533" t="str">
        <f>Données_ATB!BN532</f>
        <v/>
      </c>
      <c r="T533" s="63" t="str">
        <f>Données_ATB!BO532</f>
        <v/>
      </c>
      <c r="U533" s="42" t="str">
        <f>Données_ATB!BQ532</f>
        <v>Macrolides</v>
      </c>
      <c r="V533" t="str">
        <f>Données_ATB!BR532</f>
        <v/>
      </c>
      <c r="W533" s="63" t="str">
        <f>Données_ATB!BS532</f>
        <v/>
      </c>
      <c r="Z533" s="42">
        <v>530</v>
      </c>
      <c r="AA533" t="e">
        <f t="shared" si="331"/>
        <v>#N/A</v>
      </c>
      <c r="AB533" s="63" t="e">
        <f t="shared" si="332"/>
        <v>#N/A</v>
      </c>
      <c r="BT533" s="194" t="str">
        <f t="shared" ca="1" si="315"/>
        <v/>
      </c>
      <c r="BU533" s="219" t="str">
        <f>IFERROR(IF(BX533=0,"",COUNTIF(BX$4:BX$600,"&gt;"&amp;BX533)+COUNTIF(BX$4:BX533,BX533)),"")</f>
        <v/>
      </c>
      <c r="BV533" s="42" t="str">
        <f t="shared" si="316"/>
        <v>TYLOSOL 9,2</v>
      </c>
      <c r="BW533" t="e">
        <f>IF(IF(CE$2="Catégorie",IF(CE$3="Toutes",SUMIFS('Étape 1 - à remplir'!$F$31:$F$400,'Étape 1 - à remplir'!$E$31:$E$400,MASQ2!BV533,'Étape 1 - à remplir'!$G$31:$G$400,"lots"),SUMIFS('Étape 1 - à remplir'!$F$31:$F$400,'Étape 1 - à remplir'!$E$31:$E$400,MASQ2!BV533,'Étape 1 - à remplir'!$C$31:$C$400,CE$3)),IF(CE$2="Âge",IF(CE$3="Tous",SUMIFS('Étape 1 - à remplir'!$F$31:$F$400,'Étape 1 - à remplir'!$E$31:$E$400,MASQ2!BV533,'Étape 1 - à remplir'!$G$31:$G$400,"lots"),SUMIFS('Étape 1 - à remplir'!$F$31:$F$400,'Étape 1 - à remplir'!$E$31:$E$400,MASQ2!BV533,'Étape 1 - à remplir'!$P$31:$P$400,CE$3,'Étape 1 - à remplir'!$G$31:$G$400,"lots")),IF(CE$2="Atelier",IF(CE$3="Tous",SUMIFS('Étape 1 - à remplir'!$F$31:$F$400,'Étape 1 - à remplir'!$E$31:$E$400,MASQ2!BV533,'Étape 1 - à remplir'!$G$31:$G$400,"lots"),SUMIFS('Étape 1 - à remplir'!$F$31:$F$400,'Étape 1 - à remplir'!$E$31:$E$400,MASQ2!BV533,'Étape 1 - à remplir'!$O$31:$O$400,CE$3,'Étape 1 - à remplir'!$G$31:$G$400,"lots")),IF(CE$2="Espèce",IF(CE$3="Toutes",SUMIFS('Étape 1 - à remplir'!$F$31:$F$400,'Étape 1 - à remplir'!$E$31:$E$400,MASQ2!BV533,'Étape 1 - à remplir'!$G$31:$G$400,"lots"),SUMIFS('Étape 1 - à remplir'!$F$31:$F$400,'Étape 1 - à remplir'!$E$31:$E$400,MASQ2!BV533,'Étape 1 - à remplir'!$N$31:$N$400,CE$3,'Étape 1 - à remplir'!$G$31:$G$400,"lots"))))))=0,NA(),IF(CE$2="Catégorie",IF(CE$3="Toutes",SUMIFS('Étape 1 - à remplir'!$F$31:$F$400,'Étape 1 - à remplir'!$E$31:$E$400,MASQ2!BV533,'Étape 1 - à remplir'!$G$31:$G$400,"lots"),SUMIFS('Étape 1 - à remplir'!$F$31:$F$400,'Étape 1 - à remplir'!$E$31:$E$400,MASQ2!BV533,'Étape 1 - à remplir'!$C$31:$C$400,CE$3)),IF(CE$2="Âge",IF(CE$3="Tous",SUMIFS('Étape 1 - à remplir'!$F$31:$F$400,'Étape 1 - à remplir'!$E$31:$E$400,MASQ2!BV533,'Étape 1 - à remplir'!$G$31:$G$400,"lots"),SUMIFS('Étape 1 - à remplir'!$F$31:$F$400,'Étape 1 - à remplir'!$E$31:$E$400,MASQ2!BV533,'Étape 1 - à remplir'!$P$31:$P$400,CE$3,'Étape 1 - à remplir'!$G$31:$G$400,"lots")),IF(CE$2="Atelier",IF(CE$3="Tous",SUMIFS('Étape 1 - à remplir'!$F$31:$F$400,'Étape 1 - à remplir'!$E$31:$E$400,MASQ2!BV533,'Étape 1 - à remplir'!$G$31:$G$400,"lots"),SUMIFS('Étape 1 - à remplir'!$F$31:$F$400,'Étape 1 - à remplir'!$E$31:$E$400,MASQ2!BV533,'Étape 1 - à remplir'!$O$31:$O$400,CE$3,'Étape 1 - à remplir'!$G$31:$G$400,"lots")),IF(CE$2="Espèce",IF(CE$3="Toutes",SUMIFS('Étape 1 - à remplir'!$F$31:$F$400,'Étape 1 - à remplir'!$E$31:$E$400,MASQ2!BV533,'Étape 1 - à remplir'!$G$31:$G$400,"lots"),SUMIFS('Étape 1 - à remplir'!$F$31:$F$400,'Étape 1 - à remplir'!$E$31:$E$400,MASQ2!BV533,'Étape 1 - à remplir'!$N$31:$N$400,CE$3,'Étape 1 - à remplir'!$G$31:$G$400,"lots")))))))</f>
        <v>#N/A</v>
      </c>
      <c r="BX533">
        <f t="shared" si="333"/>
        <v>0</v>
      </c>
      <c r="BY533" t="str">
        <f t="shared" si="317"/>
        <v>Tylosine</v>
      </c>
      <c r="BZ533" t="str">
        <f t="shared" si="318"/>
        <v/>
      </c>
      <c r="CA533" t="str">
        <f t="shared" si="319"/>
        <v/>
      </c>
      <c r="CB533" t="str">
        <f t="shared" si="320"/>
        <v>Macrolides</v>
      </c>
      <c r="CC533" t="str">
        <f t="shared" si="321"/>
        <v/>
      </c>
      <c r="CD533" s="63" t="str">
        <f t="shared" si="322"/>
        <v/>
      </c>
      <c r="CG533" s="42">
        <v>530</v>
      </c>
      <c r="CH533" s="42" t="e">
        <f t="shared" si="338"/>
        <v>#N/A</v>
      </c>
      <c r="CI533" s="63" t="e">
        <f t="shared" si="339"/>
        <v>#N/A</v>
      </c>
      <c r="EA533" s="194" t="str">
        <f t="shared" ca="1" si="323"/>
        <v/>
      </c>
      <c r="EB533" s="226" t="str">
        <f>IFERROR(IF(ED533=0,"",COUNTIF(ED$4:ED$600,"&gt;"&amp;ED533)+COUNTIF(ED$4:ED533,ED533)),"")</f>
        <v/>
      </c>
      <c r="EC533" t="str">
        <f t="shared" si="324"/>
        <v>TYLOSOL 9,2</v>
      </c>
      <c r="ED533" t="e">
        <f>IF(IF(EL$2="Catégorie",IF(EL$3="Toutes",SUMIFS('Étape 1 - à remplir'!$F$31:$F$400,'Étape 1 - à remplir'!$E$31:$E$400,MASQ2!EC533,'Étape 1 - à remplir'!$G$31:$G$400,"kg"),SUMIFS('Étape 1 - à remplir'!$F$31:$F$400,'Étape 1 - à remplir'!$E$31:$E$400,MASQ2!EC533,'Étape 1 - à remplir'!$C$31:$C$400,EL$3)),IF(EL$2="Âge",IF(EL$3="Tous",SUMIFS('Étape 1 - à remplir'!$F$31:$F$400,'Étape 1 - à remplir'!$E$31:$E$400,MASQ2!EC533,'Étape 1 - à remplir'!$G$31:$G$400,"kg"),SUMIFS('Étape 1 - à remplir'!$F$31:$F$400,'Étape 1 - à remplir'!$E$31:$E$400,MASQ2!EC533,'Étape 1 - à remplir'!$P$31:$P$400,EL$3,'Étape 1 - à remplir'!$G$31:$G$400,"kg")),IF(EL$2="Atelier",IF(EL$3="Tous",SUMIFS('Étape 1 - à remplir'!$F$31:$F$400,'Étape 1 - à remplir'!$E$31:$E$400,MASQ2!EC533,'Étape 1 - à remplir'!$G$31:$G$400,"kg"),SUMIFS('Étape 1 - à remplir'!$F$31:$F$400,'Étape 1 - à remplir'!$E$31:$E$400,MASQ2!EC533,'Étape 1 - à remplir'!$O$31:$O$400,EL$3,'Étape 1 - à remplir'!$G$31:$G$400,"kg")),IF(EL$2="Espèce",IF(EL$3="Toutes",SUMIFS('Étape 1 - à remplir'!$F$31:$F$400,'Étape 1 - à remplir'!$E$31:$E$400,MASQ2!EC533,'Étape 1 - à remplir'!$G$31:$G$400,"kg"),SUMIFS('Étape 1 - à remplir'!$F$31:$F$400,'Étape 1 - à remplir'!$E$31:$E$400,MASQ2!EC533,'Étape 1 - à remplir'!$N$31:$N$400,EL$3,'Étape 1 - à remplir'!$G$31:$G$400,"kg"))))))=0,NA(),IF(EL$2="Catégorie",IF(EL$3="Toutes",SUMIFS('Étape 1 - à remplir'!$F$31:$F$400,'Étape 1 - à remplir'!$E$31:$E$400,MASQ2!EC533,'Étape 1 - à remplir'!$G$31:$G$400,"kg"),SUMIFS('Étape 1 - à remplir'!$F$31:$F$400,'Étape 1 - à remplir'!$E$31:$E$400,MASQ2!EC533,'Étape 1 - à remplir'!$C$31:$C$400,EL$3)),IF(EL$2="Âge",IF(EL$3="Tous",SUMIFS('Étape 1 - à remplir'!$F$31:$F$400,'Étape 1 - à remplir'!$E$31:$E$400,MASQ2!EC533,'Étape 1 - à remplir'!$G$31:$G$400,"kg"),SUMIFS('Étape 1 - à remplir'!$F$31:$F$400,'Étape 1 - à remplir'!$E$31:$E$400,MASQ2!EC533,'Étape 1 - à remplir'!$P$31:$P$400,EL$3,'Étape 1 - à remplir'!$G$31:$G$400,"kg")),IF(EL$2="Atelier",IF(EL$3="Tous",SUMIFS('Étape 1 - à remplir'!$F$31:$F$400,'Étape 1 - à remplir'!$E$31:$E$400,MASQ2!EC533,'Étape 1 - à remplir'!$G$31:$G$400,"kg"),SUMIFS('Étape 1 - à remplir'!$F$31:$F$400,'Étape 1 - à remplir'!$E$31:$E$400,MASQ2!EC533,'Étape 1 - à remplir'!$O$31:$O$400,EL$3,'Étape 1 - à remplir'!$G$31:$G$400,"kg")),IF(EL$2="Espèce",IF(EL$3="Toutes",SUMIFS('Étape 1 - à remplir'!$F$31:$F$400,'Étape 1 - à remplir'!$E$31:$E$400,MASQ2!EC533,'Étape 1 - à remplir'!$G$31:$G$400,"kg"),SUMIFS('Étape 1 - à remplir'!$F$31:$F$400,'Étape 1 - à remplir'!$E$31:$E$400,MASQ2!EC533,'Étape 1 - à remplir'!$N$31:$N$400,EL$3,'Étape 1 - à remplir'!$G$31:$G$400,"kg")))))))</f>
        <v>#N/A</v>
      </c>
      <c r="EE533" s="76">
        <f t="shared" si="334"/>
        <v>0</v>
      </c>
      <c r="EF533" t="str">
        <f t="shared" si="325"/>
        <v>Tylosine</v>
      </c>
      <c r="EG533" t="str">
        <f t="shared" si="326"/>
        <v/>
      </c>
      <c r="EH533" t="str">
        <f t="shared" si="327"/>
        <v/>
      </c>
      <c r="EI533" t="str">
        <f t="shared" si="328"/>
        <v>Macrolides</v>
      </c>
      <c r="EJ533" t="str">
        <f t="shared" si="329"/>
        <v/>
      </c>
      <c r="EK533" s="63" t="str">
        <f t="shared" si="330"/>
        <v/>
      </c>
      <c r="EN533" s="42">
        <v>530</v>
      </c>
      <c r="EO533" t="e">
        <f t="shared" si="336"/>
        <v>#N/A</v>
      </c>
      <c r="EP533" s="63" t="e">
        <f t="shared" si="337"/>
        <v>#N/A</v>
      </c>
    </row>
    <row r="534" spans="13:146" x14ac:dyDescent="0.3">
      <c r="M534" s="194" t="str">
        <f ca="1">INDEX(Données_ATB!BD:BU,MATCH(MASQ2!O534,Données_ATB!BD:BD,0),18)</f>
        <v/>
      </c>
      <c r="N534" s="14" t="str">
        <f>IFERROR(IF(Q534=0,"",COUNTIF(Q$4:Q$600,"&gt;"&amp;Q534)+COUNTIF(Q$4:Q534,Q534)),"")</f>
        <v/>
      </c>
      <c r="O534" t="str">
        <f>Données_ATB!BD533</f>
        <v>TYLUCYL 200 MG/ML SOLUTION INJECTABLE POUR BOVINS ET PORCINS</v>
      </c>
      <c r="P534" t="e">
        <f>IF(IF(X$2="Catégorie",IF(X$3="Toutes",SUMIFS('Étape 1 - à remplir'!$F$31:$F$400,'Étape 1 - à remplir'!$E$31:$E$400,MASQ2!O534,'Étape 1 - à remplir'!$G$31:$G$400,"animaux"),SUMIFS('Étape 1 - à remplir'!$F$31:$F$400,'Étape 1 - à remplir'!$E$31:$E$400,MASQ2!O534,'Étape 1 - à remplir'!$C$31:$C$400,X$3)),IF(X$2="Âge",IF(X$3="Tous",SUMIFS('Étape 1 - à remplir'!$F$31:$F$400,'Étape 1 - à remplir'!$E$31:$E$400,MASQ2!O534,'Étape 1 - à remplir'!$G$31:$G$400,"animaux"),SUMIFS('Étape 1 - à remplir'!$F$31:$F$400,'Étape 1 - à remplir'!$E$31:$E$400,MASQ2!O534,'Étape 1 - à remplir'!$P$31:$P$400,X$3)),IF(X$2="Atelier",IF(X$3="Tous",SUMIFS('Étape 1 - à remplir'!$F$31:$F$400,'Étape 1 - à remplir'!$E$31:$E$400,MASQ2!O534,'Étape 1 - à remplir'!$G$31:$G$400,"animaux"),SUMIFS('Étape 1 - à remplir'!$F$31:$F$400,'Étape 1 - à remplir'!$E$31:$E$400,MASQ2!O534,'Étape 1 - à remplir'!$O$31:$O$400,X$3)),IF(X$2="Espèce",IF(X$3="Toutes",SUMIFS('Étape 1 - à remplir'!$F$31:$F$400,'Étape 1 - à remplir'!$E$31:$E$400,MASQ2!O534,'Étape 1 - à remplir'!$G$31:$G$400,"animaux"),SUMIFS('Étape 1 - à remplir'!$F$31:$F$400,'Étape 1 - à remplir'!$E$31:$E$400,MASQ2!O534,'Étape 1 - à remplir'!$N$31:$N$400,X$3))))))=0,NA(),IF(X$2="Catégorie",IF(X$3="Toutes",SUMIFS('Étape 1 - à remplir'!$F$31:$F$400,'Étape 1 - à remplir'!$E$31:$E$400,MASQ2!O534,'Étape 1 - à remplir'!$G$31:$G$400,"animaux"),SUMIFS('Étape 1 - à remplir'!$F$31:$F$400,'Étape 1 - à remplir'!$E$31:$E$400,MASQ2!O534,'Étape 1 - à remplir'!$C$31:$C$400,X$3)),IF(X$2="Âge",IF(X$3="Tous",SUMIFS('Étape 1 - à remplir'!$F$31:$F$400,'Étape 1 - à remplir'!$E$31:$E$400,MASQ2!O534,'Étape 1 - à remplir'!$G$31:$G$400,"animaux"),SUMIFS('Étape 1 - à remplir'!$F$31:$F$400,'Étape 1 - à remplir'!$E$31:$E$400,MASQ2!O534,'Étape 1 - à remplir'!$P$31:$P$400,X$3)),IF(X$2="Atelier",IF(X$3="Tous",SUMIFS('Étape 1 - à remplir'!$F$31:$F$400,'Étape 1 - à remplir'!$E$31:$E$400,MASQ2!O534,'Étape 1 - à remplir'!$G$31:$G$400,"animaux"),SUMIFS('Étape 1 - à remplir'!$F$31:$F$400,'Étape 1 - à remplir'!$E$31:$E$400,MASQ2!O534,'Étape 1 - à remplir'!$O$31:$O$400,X$3)),IF(X$2="Espèce",IF(X$3="Toutes",SUMIFS('Étape 1 - à remplir'!$F$31:$F$400,'Étape 1 - à remplir'!$E$31:$E$400,MASQ2!O534,'Étape 1 - à remplir'!$G$31:$G$400,"animaux"),SUMIFS('Étape 1 - à remplir'!$F$31:$F$400,'Étape 1 - à remplir'!$E$31:$E$400,MASQ2!O534,'Étape 1 - à remplir'!$N$31:$N$400,X$3)))))))</f>
        <v>#N/A</v>
      </c>
      <c r="Q534" s="63">
        <f t="shared" si="335"/>
        <v>0</v>
      </c>
      <c r="R534" t="str">
        <f>Données_ATB!BM533</f>
        <v>Tylosine</v>
      </c>
      <c r="S534" t="str">
        <f>Données_ATB!BN533</f>
        <v/>
      </c>
      <c r="T534" s="63" t="str">
        <f>Données_ATB!BO533</f>
        <v/>
      </c>
      <c r="U534" s="42" t="str">
        <f>Données_ATB!BQ533</f>
        <v>Macrolides</v>
      </c>
      <c r="V534" t="str">
        <f>Données_ATB!BR533</f>
        <v/>
      </c>
      <c r="W534" s="63" t="str">
        <f>Données_ATB!BS533</f>
        <v/>
      </c>
      <c r="Z534" s="42">
        <v>531</v>
      </c>
      <c r="AA534" t="e">
        <f t="shared" si="331"/>
        <v>#N/A</v>
      </c>
      <c r="AB534" s="63" t="e">
        <f t="shared" si="332"/>
        <v>#N/A</v>
      </c>
      <c r="BT534" s="194" t="str">
        <f t="shared" ca="1" si="315"/>
        <v/>
      </c>
      <c r="BU534" s="219" t="str">
        <f>IFERROR(IF(BX534=0,"",COUNTIF(BX$4:BX$600,"&gt;"&amp;BX534)+COUNTIF(BX$4:BX534,BX534)),"")</f>
        <v/>
      </c>
      <c r="BV534" s="42" t="str">
        <f t="shared" si="316"/>
        <v>TYLUCYL 200 MG/ML SOLUTION INJECTABLE POUR BOVINS ET PORCINS</v>
      </c>
      <c r="BW534" t="e">
        <f>IF(IF(CE$2="Catégorie",IF(CE$3="Toutes",SUMIFS('Étape 1 - à remplir'!$F$31:$F$400,'Étape 1 - à remplir'!$E$31:$E$400,MASQ2!BV534,'Étape 1 - à remplir'!$G$31:$G$400,"lots"),SUMIFS('Étape 1 - à remplir'!$F$31:$F$400,'Étape 1 - à remplir'!$E$31:$E$400,MASQ2!BV534,'Étape 1 - à remplir'!$C$31:$C$400,CE$3)),IF(CE$2="Âge",IF(CE$3="Tous",SUMIFS('Étape 1 - à remplir'!$F$31:$F$400,'Étape 1 - à remplir'!$E$31:$E$400,MASQ2!BV534,'Étape 1 - à remplir'!$G$31:$G$400,"lots"),SUMIFS('Étape 1 - à remplir'!$F$31:$F$400,'Étape 1 - à remplir'!$E$31:$E$400,MASQ2!BV534,'Étape 1 - à remplir'!$P$31:$P$400,CE$3,'Étape 1 - à remplir'!$G$31:$G$400,"lots")),IF(CE$2="Atelier",IF(CE$3="Tous",SUMIFS('Étape 1 - à remplir'!$F$31:$F$400,'Étape 1 - à remplir'!$E$31:$E$400,MASQ2!BV534,'Étape 1 - à remplir'!$G$31:$G$400,"lots"),SUMIFS('Étape 1 - à remplir'!$F$31:$F$400,'Étape 1 - à remplir'!$E$31:$E$400,MASQ2!BV534,'Étape 1 - à remplir'!$O$31:$O$400,CE$3,'Étape 1 - à remplir'!$G$31:$G$400,"lots")),IF(CE$2="Espèce",IF(CE$3="Toutes",SUMIFS('Étape 1 - à remplir'!$F$31:$F$400,'Étape 1 - à remplir'!$E$31:$E$400,MASQ2!BV534,'Étape 1 - à remplir'!$G$31:$G$400,"lots"),SUMIFS('Étape 1 - à remplir'!$F$31:$F$400,'Étape 1 - à remplir'!$E$31:$E$400,MASQ2!BV534,'Étape 1 - à remplir'!$N$31:$N$400,CE$3,'Étape 1 - à remplir'!$G$31:$G$400,"lots"))))))=0,NA(),IF(CE$2="Catégorie",IF(CE$3="Toutes",SUMIFS('Étape 1 - à remplir'!$F$31:$F$400,'Étape 1 - à remplir'!$E$31:$E$400,MASQ2!BV534,'Étape 1 - à remplir'!$G$31:$G$400,"lots"),SUMIFS('Étape 1 - à remplir'!$F$31:$F$400,'Étape 1 - à remplir'!$E$31:$E$400,MASQ2!BV534,'Étape 1 - à remplir'!$C$31:$C$400,CE$3)),IF(CE$2="Âge",IF(CE$3="Tous",SUMIFS('Étape 1 - à remplir'!$F$31:$F$400,'Étape 1 - à remplir'!$E$31:$E$400,MASQ2!BV534,'Étape 1 - à remplir'!$G$31:$G$400,"lots"),SUMIFS('Étape 1 - à remplir'!$F$31:$F$400,'Étape 1 - à remplir'!$E$31:$E$400,MASQ2!BV534,'Étape 1 - à remplir'!$P$31:$P$400,CE$3,'Étape 1 - à remplir'!$G$31:$G$400,"lots")),IF(CE$2="Atelier",IF(CE$3="Tous",SUMIFS('Étape 1 - à remplir'!$F$31:$F$400,'Étape 1 - à remplir'!$E$31:$E$400,MASQ2!BV534,'Étape 1 - à remplir'!$G$31:$G$400,"lots"),SUMIFS('Étape 1 - à remplir'!$F$31:$F$400,'Étape 1 - à remplir'!$E$31:$E$400,MASQ2!BV534,'Étape 1 - à remplir'!$O$31:$O$400,CE$3,'Étape 1 - à remplir'!$G$31:$G$400,"lots")),IF(CE$2="Espèce",IF(CE$3="Toutes",SUMIFS('Étape 1 - à remplir'!$F$31:$F$400,'Étape 1 - à remplir'!$E$31:$E$400,MASQ2!BV534,'Étape 1 - à remplir'!$G$31:$G$400,"lots"),SUMIFS('Étape 1 - à remplir'!$F$31:$F$400,'Étape 1 - à remplir'!$E$31:$E$400,MASQ2!BV534,'Étape 1 - à remplir'!$N$31:$N$400,CE$3,'Étape 1 - à remplir'!$G$31:$G$400,"lots")))))))</f>
        <v>#N/A</v>
      </c>
      <c r="BX534">
        <f t="shared" si="333"/>
        <v>0</v>
      </c>
      <c r="BY534" t="str">
        <f t="shared" si="317"/>
        <v>Tylosine</v>
      </c>
      <c r="BZ534" t="str">
        <f t="shared" si="318"/>
        <v/>
      </c>
      <c r="CA534" t="str">
        <f t="shared" si="319"/>
        <v/>
      </c>
      <c r="CB534" t="str">
        <f t="shared" si="320"/>
        <v>Macrolides</v>
      </c>
      <c r="CC534" t="str">
        <f t="shared" si="321"/>
        <v/>
      </c>
      <c r="CD534" s="63" t="str">
        <f t="shared" si="322"/>
        <v/>
      </c>
      <c r="CG534" s="42">
        <v>531</v>
      </c>
      <c r="CH534" s="42" t="e">
        <f t="shared" si="338"/>
        <v>#N/A</v>
      </c>
      <c r="CI534" s="63" t="e">
        <f t="shared" si="339"/>
        <v>#N/A</v>
      </c>
      <c r="EA534" s="194" t="str">
        <f t="shared" ca="1" si="323"/>
        <v/>
      </c>
      <c r="EB534" s="226" t="str">
        <f>IFERROR(IF(ED534=0,"",COUNTIF(ED$4:ED$600,"&gt;"&amp;ED534)+COUNTIF(ED$4:ED534,ED534)),"")</f>
        <v/>
      </c>
      <c r="EC534" t="str">
        <f t="shared" si="324"/>
        <v>TYLUCYL 200 MG/ML SOLUTION INJECTABLE POUR BOVINS ET PORCINS</v>
      </c>
      <c r="ED534" t="e">
        <f>IF(IF(EL$2="Catégorie",IF(EL$3="Toutes",SUMIFS('Étape 1 - à remplir'!$F$31:$F$400,'Étape 1 - à remplir'!$E$31:$E$400,MASQ2!EC534,'Étape 1 - à remplir'!$G$31:$G$400,"kg"),SUMIFS('Étape 1 - à remplir'!$F$31:$F$400,'Étape 1 - à remplir'!$E$31:$E$400,MASQ2!EC534,'Étape 1 - à remplir'!$C$31:$C$400,EL$3)),IF(EL$2="Âge",IF(EL$3="Tous",SUMIFS('Étape 1 - à remplir'!$F$31:$F$400,'Étape 1 - à remplir'!$E$31:$E$400,MASQ2!EC534,'Étape 1 - à remplir'!$G$31:$G$400,"kg"),SUMIFS('Étape 1 - à remplir'!$F$31:$F$400,'Étape 1 - à remplir'!$E$31:$E$400,MASQ2!EC534,'Étape 1 - à remplir'!$P$31:$P$400,EL$3,'Étape 1 - à remplir'!$G$31:$G$400,"kg")),IF(EL$2="Atelier",IF(EL$3="Tous",SUMIFS('Étape 1 - à remplir'!$F$31:$F$400,'Étape 1 - à remplir'!$E$31:$E$400,MASQ2!EC534,'Étape 1 - à remplir'!$G$31:$G$400,"kg"),SUMIFS('Étape 1 - à remplir'!$F$31:$F$400,'Étape 1 - à remplir'!$E$31:$E$400,MASQ2!EC534,'Étape 1 - à remplir'!$O$31:$O$400,EL$3,'Étape 1 - à remplir'!$G$31:$G$400,"kg")),IF(EL$2="Espèce",IF(EL$3="Toutes",SUMIFS('Étape 1 - à remplir'!$F$31:$F$400,'Étape 1 - à remplir'!$E$31:$E$400,MASQ2!EC534,'Étape 1 - à remplir'!$G$31:$G$400,"kg"),SUMIFS('Étape 1 - à remplir'!$F$31:$F$400,'Étape 1 - à remplir'!$E$31:$E$400,MASQ2!EC534,'Étape 1 - à remplir'!$N$31:$N$400,EL$3,'Étape 1 - à remplir'!$G$31:$G$400,"kg"))))))=0,NA(),IF(EL$2="Catégorie",IF(EL$3="Toutes",SUMIFS('Étape 1 - à remplir'!$F$31:$F$400,'Étape 1 - à remplir'!$E$31:$E$400,MASQ2!EC534,'Étape 1 - à remplir'!$G$31:$G$400,"kg"),SUMIFS('Étape 1 - à remplir'!$F$31:$F$400,'Étape 1 - à remplir'!$E$31:$E$400,MASQ2!EC534,'Étape 1 - à remplir'!$C$31:$C$400,EL$3)),IF(EL$2="Âge",IF(EL$3="Tous",SUMIFS('Étape 1 - à remplir'!$F$31:$F$400,'Étape 1 - à remplir'!$E$31:$E$400,MASQ2!EC534,'Étape 1 - à remplir'!$G$31:$G$400,"kg"),SUMIFS('Étape 1 - à remplir'!$F$31:$F$400,'Étape 1 - à remplir'!$E$31:$E$400,MASQ2!EC534,'Étape 1 - à remplir'!$P$31:$P$400,EL$3,'Étape 1 - à remplir'!$G$31:$G$400,"kg")),IF(EL$2="Atelier",IF(EL$3="Tous",SUMIFS('Étape 1 - à remplir'!$F$31:$F$400,'Étape 1 - à remplir'!$E$31:$E$400,MASQ2!EC534,'Étape 1 - à remplir'!$G$31:$G$400,"kg"),SUMIFS('Étape 1 - à remplir'!$F$31:$F$400,'Étape 1 - à remplir'!$E$31:$E$400,MASQ2!EC534,'Étape 1 - à remplir'!$O$31:$O$400,EL$3,'Étape 1 - à remplir'!$G$31:$G$400,"kg")),IF(EL$2="Espèce",IF(EL$3="Toutes",SUMIFS('Étape 1 - à remplir'!$F$31:$F$400,'Étape 1 - à remplir'!$E$31:$E$400,MASQ2!EC534,'Étape 1 - à remplir'!$G$31:$G$400,"kg"),SUMIFS('Étape 1 - à remplir'!$F$31:$F$400,'Étape 1 - à remplir'!$E$31:$E$400,MASQ2!EC534,'Étape 1 - à remplir'!$N$31:$N$400,EL$3,'Étape 1 - à remplir'!$G$31:$G$400,"kg")))))))</f>
        <v>#N/A</v>
      </c>
      <c r="EE534" s="76">
        <f t="shared" si="334"/>
        <v>0</v>
      </c>
      <c r="EF534" t="str">
        <f t="shared" si="325"/>
        <v>Tylosine</v>
      </c>
      <c r="EG534" t="str">
        <f t="shared" si="326"/>
        <v/>
      </c>
      <c r="EH534" t="str">
        <f t="shared" si="327"/>
        <v/>
      </c>
      <c r="EI534" t="str">
        <f t="shared" si="328"/>
        <v>Macrolides</v>
      </c>
      <c r="EJ534" t="str">
        <f t="shared" si="329"/>
        <v/>
      </c>
      <c r="EK534" s="63" t="str">
        <f t="shared" si="330"/>
        <v/>
      </c>
      <c r="EN534" s="42">
        <v>531</v>
      </c>
      <c r="EO534" t="e">
        <f t="shared" si="336"/>
        <v>#N/A</v>
      </c>
      <c r="EP534" s="63" t="e">
        <f t="shared" si="337"/>
        <v>#N/A</v>
      </c>
    </row>
    <row r="535" spans="13:146" x14ac:dyDescent="0.3">
      <c r="M535" s="194" t="str">
        <f ca="1">INDEX(Données_ATB!BD:BU,MATCH(MASQ2!O535,Données_ATB!BD:BD,0),18)</f>
        <v>x</v>
      </c>
      <c r="N535" s="14" t="str">
        <f>IFERROR(IF(Q535=0,"",COUNTIF(Q$4:Q$600,"&gt;"&amp;Q535)+COUNTIF(Q$4:Q535,Q535)),"")</f>
        <v/>
      </c>
      <c r="O535" t="str">
        <f>Données_ATB!BD534</f>
        <v>UBIFLOX 100 MG/ML SOLUTION INJECTABLE POUR BOVINS ET PORCINS (TRUIES)</v>
      </c>
      <c r="P535" t="e">
        <f>IF(IF(X$2="Catégorie",IF(X$3="Toutes",SUMIFS('Étape 1 - à remplir'!$F$31:$F$400,'Étape 1 - à remplir'!$E$31:$E$400,MASQ2!O535,'Étape 1 - à remplir'!$G$31:$G$400,"animaux"),SUMIFS('Étape 1 - à remplir'!$F$31:$F$400,'Étape 1 - à remplir'!$E$31:$E$400,MASQ2!O535,'Étape 1 - à remplir'!$C$31:$C$400,X$3)),IF(X$2="Âge",IF(X$3="Tous",SUMIFS('Étape 1 - à remplir'!$F$31:$F$400,'Étape 1 - à remplir'!$E$31:$E$400,MASQ2!O535,'Étape 1 - à remplir'!$G$31:$G$400,"animaux"),SUMIFS('Étape 1 - à remplir'!$F$31:$F$400,'Étape 1 - à remplir'!$E$31:$E$400,MASQ2!O535,'Étape 1 - à remplir'!$P$31:$P$400,X$3)),IF(X$2="Atelier",IF(X$3="Tous",SUMIFS('Étape 1 - à remplir'!$F$31:$F$400,'Étape 1 - à remplir'!$E$31:$E$400,MASQ2!O535,'Étape 1 - à remplir'!$G$31:$G$400,"animaux"),SUMIFS('Étape 1 - à remplir'!$F$31:$F$400,'Étape 1 - à remplir'!$E$31:$E$400,MASQ2!O535,'Étape 1 - à remplir'!$O$31:$O$400,X$3)),IF(X$2="Espèce",IF(X$3="Toutes",SUMIFS('Étape 1 - à remplir'!$F$31:$F$400,'Étape 1 - à remplir'!$E$31:$E$400,MASQ2!O535,'Étape 1 - à remplir'!$G$31:$G$400,"animaux"),SUMIFS('Étape 1 - à remplir'!$F$31:$F$400,'Étape 1 - à remplir'!$E$31:$E$400,MASQ2!O535,'Étape 1 - à remplir'!$N$31:$N$400,X$3))))))=0,NA(),IF(X$2="Catégorie",IF(X$3="Toutes",SUMIFS('Étape 1 - à remplir'!$F$31:$F$400,'Étape 1 - à remplir'!$E$31:$E$400,MASQ2!O535,'Étape 1 - à remplir'!$G$31:$G$400,"animaux"),SUMIFS('Étape 1 - à remplir'!$F$31:$F$400,'Étape 1 - à remplir'!$E$31:$E$400,MASQ2!O535,'Étape 1 - à remplir'!$C$31:$C$400,X$3)),IF(X$2="Âge",IF(X$3="Tous",SUMIFS('Étape 1 - à remplir'!$F$31:$F$400,'Étape 1 - à remplir'!$E$31:$E$400,MASQ2!O535,'Étape 1 - à remplir'!$G$31:$G$400,"animaux"),SUMIFS('Étape 1 - à remplir'!$F$31:$F$400,'Étape 1 - à remplir'!$E$31:$E$400,MASQ2!O535,'Étape 1 - à remplir'!$P$31:$P$400,X$3)),IF(X$2="Atelier",IF(X$3="Tous",SUMIFS('Étape 1 - à remplir'!$F$31:$F$400,'Étape 1 - à remplir'!$E$31:$E$400,MASQ2!O535,'Étape 1 - à remplir'!$G$31:$G$400,"animaux"),SUMIFS('Étape 1 - à remplir'!$F$31:$F$400,'Étape 1 - à remplir'!$E$31:$E$400,MASQ2!O535,'Étape 1 - à remplir'!$O$31:$O$400,X$3)),IF(X$2="Espèce",IF(X$3="Toutes",SUMIFS('Étape 1 - à remplir'!$F$31:$F$400,'Étape 1 - à remplir'!$E$31:$E$400,MASQ2!O535,'Étape 1 - à remplir'!$G$31:$G$400,"animaux"),SUMIFS('Étape 1 - à remplir'!$F$31:$F$400,'Étape 1 - à remplir'!$E$31:$E$400,MASQ2!O535,'Étape 1 - à remplir'!$N$31:$N$400,X$3)))))))</f>
        <v>#N/A</v>
      </c>
      <c r="Q535" s="63">
        <f t="shared" si="335"/>
        <v>0</v>
      </c>
      <c r="R535" t="str">
        <f>Données_ATB!BM534</f>
        <v>Marbofloxacine</v>
      </c>
      <c r="S535" t="str">
        <f>Données_ATB!BN534</f>
        <v/>
      </c>
      <c r="T535" s="63" t="str">
        <f>Données_ATB!BO534</f>
        <v/>
      </c>
      <c r="U535" s="42" t="str">
        <f>Données_ATB!BQ534</f>
        <v>Fluoroquinolones</v>
      </c>
      <c r="V535" t="str">
        <f>Données_ATB!BR534</f>
        <v/>
      </c>
      <c r="W535" s="63" t="str">
        <f>Données_ATB!BS534</f>
        <v/>
      </c>
      <c r="Z535" s="42">
        <v>532</v>
      </c>
      <c r="AA535" t="e">
        <f t="shared" si="331"/>
        <v>#N/A</v>
      </c>
      <c r="AB535" s="63" t="e">
        <f t="shared" si="332"/>
        <v>#N/A</v>
      </c>
      <c r="BT535" s="194" t="str">
        <f t="shared" ca="1" si="315"/>
        <v>x</v>
      </c>
      <c r="BU535" s="219" t="str">
        <f>IFERROR(IF(BX535=0,"",COUNTIF(BX$4:BX$600,"&gt;"&amp;BX535)+COUNTIF(BX$4:BX535,BX535)),"")</f>
        <v/>
      </c>
      <c r="BV535" s="42" t="str">
        <f t="shared" si="316"/>
        <v>UBIFLOX 100 MG/ML SOLUTION INJECTABLE POUR BOVINS ET PORCINS (TRUIES)</v>
      </c>
      <c r="BW535" t="e">
        <f>IF(IF(CE$2="Catégorie",IF(CE$3="Toutes",SUMIFS('Étape 1 - à remplir'!$F$31:$F$400,'Étape 1 - à remplir'!$E$31:$E$400,MASQ2!BV535,'Étape 1 - à remplir'!$G$31:$G$400,"lots"),SUMIFS('Étape 1 - à remplir'!$F$31:$F$400,'Étape 1 - à remplir'!$E$31:$E$400,MASQ2!BV535,'Étape 1 - à remplir'!$C$31:$C$400,CE$3)),IF(CE$2="Âge",IF(CE$3="Tous",SUMIFS('Étape 1 - à remplir'!$F$31:$F$400,'Étape 1 - à remplir'!$E$31:$E$400,MASQ2!BV535,'Étape 1 - à remplir'!$G$31:$G$400,"lots"),SUMIFS('Étape 1 - à remplir'!$F$31:$F$400,'Étape 1 - à remplir'!$E$31:$E$400,MASQ2!BV535,'Étape 1 - à remplir'!$P$31:$P$400,CE$3,'Étape 1 - à remplir'!$G$31:$G$400,"lots")),IF(CE$2="Atelier",IF(CE$3="Tous",SUMIFS('Étape 1 - à remplir'!$F$31:$F$400,'Étape 1 - à remplir'!$E$31:$E$400,MASQ2!BV535,'Étape 1 - à remplir'!$G$31:$G$400,"lots"),SUMIFS('Étape 1 - à remplir'!$F$31:$F$400,'Étape 1 - à remplir'!$E$31:$E$400,MASQ2!BV535,'Étape 1 - à remplir'!$O$31:$O$400,CE$3,'Étape 1 - à remplir'!$G$31:$G$400,"lots")),IF(CE$2="Espèce",IF(CE$3="Toutes",SUMIFS('Étape 1 - à remplir'!$F$31:$F$400,'Étape 1 - à remplir'!$E$31:$E$400,MASQ2!BV535,'Étape 1 - à remplir'!$G$31:$G$400,"lots"),SUMIFS('Étape 1 - à remplir'!$F$31:$F$400,'Étape 1 - à remplir'!$E$31:$E$400,MASQ2!BV535,'Étape 1 - à remplir'!$N$31:$N$400,CE$3,'Étape 1 - à remplir'!$G$31:$G$400,"lots"))))))=0,NA(),IF(CE$2="Catégorie",IF(CE$3="Toutes",SUMIFS('Étape 1 - à remplir'!$F$31:$F$400,'Étape 1 - à remplir'!$E$31:$E$400,MASQ2!BV535,'Étape 1 - à remplir'!$G$31:$G$400,"lots"),SUMIFS('Étape 1 - à remplir'!$F$31:$F$400,'Étape 1 - à remplir'!$E$31:$E$400,MASQ2!BV535,'Étape 1 - à remplir'!$C$31:$C$400,CE$3)),IF(CE$2="Âge",IF(CE$3="Tous",SUMIFS('Étape 1 - à remplir'!$F$31:$F$400,'Étape 1 - à remplir'!$E$31:$E$400,MASQ2!BV535,'Étape 1 - à remplir'!$G$31:$G$400,"lots"),SUMIFS('Étape 1 - à remplir'!$F$31:$F$400,'Étape 1 - à remplir'!$E$31:$E$400,MASQ2!BV535,'Étape 1 - à remplir'!$P$31:$P$400,CE$3,'Étape 1 - à remplir'!$G$31:$G$400,"lots")),IF(CE$2="Atelier",IF(CE$3="Tous",SUMIFS('Étape 1 - à remplir'!$F$31:$F$400,'Étape 1 - à remplir'!$E$31:$E$400,MASQ2!BV535,'Étape 1 - à remplir'!$G$31:$G$400,"lots"),SUMIFS('Étape 1 - à remplir'!$F$31:$F$400,'Étape 1 - à remplir'!$E$31:$E$400,MASQ2!BV535,'Étape 1 - à remplir'!$O$31:$O$400,CE$3,'Étape 1 - à remplir'!$G$31:$G$400,"lots")),IF(CE$2="Espèce",IF(CE$3="Toutes",SUMIFS('Étape 1 - à remplir'!$F$31:$F$400,'Étape 1 - à remplir'!$E$31:$E$400,MASQ2!BV535,'Étape 1 - à remplir'!$G$31:$G$400,"lots"),SUMIFS('Étape 1 - à remplir'!$F$31:$F$400,'Étape 1 - à remplir'!$E$31:$E$400,MASQ2!BV535,'Étape 1 - à remplir'!$N$31:$N$400,CE$3,'Étape 1 - à remplir'!$G$31:$G$400,"lots")))))))</f>
        <v>#N/A</v>
      </c>
      <c r="BX535">
        <f t="shared" si="333"/>
        <v>0</v>
      </c>
      <c r="BY535" t="str">
        <f t="shared" si="317"/>
        <v>Marbofloxacine</v>
      </c>
      <c r="BZ535" t="str">
        <f t="shared" si="318"/>
        <v/>
      </c>
      <c r="CA535" t="str">
        <f t="shared" si="319"/>
        <v/>
      </c>
      <c r="CB535" t="str">
        <f t="shared" si="320"/>
        <v>Fluoroquinolones</v>
      </c>
      <c r="CC535" t="str">
        <f t="shared" si="321"/>
        <v/>
      </c>
      <c r="CD535" s="63" t="str">
        <f t="shared" si="322"/>
        <v/>
      </c>
      <c r="CG535" s="42">
        <v>532</v>
      </c>
      <c r="CH535" s="42" t="e">
        <f t="shared" si="338"/>
        <v>#N/A</v>
      </c>
      <c r="CI535" s="63" t="e">
        <f t="shared" si="339"/>
        <v>#N/A</v>
      </c>
      <c r="EA535" s="194" t="str">
        <f t="shared" ca="1" si="323"/>
        <v>x</v>
      </c>
      <c r="EB535" s="226" t="str">
        <f>IFERROR(IF(ED535=0,"",COUNTIF(ED$4:ED$600,"&gt;"&amp;ED535)+COUNTIF(ED$4:ED535,ED535)),"")</f>
        <v/>
      </c>
      <c r="EC535" t="str">
        <f t="shared" si="324"/>
        <v>UBIFLOX 100 MG/ML SOLUTION INJECTABLE POUR BOVINS ET PORCINS (TRUIES)</v>
      </c>
      <c r="ED535" t="e">
        <f>IF(IF(EL$2="Catégorie",IF(EL$3="Toutes",SUMIFS('Étape 1 - à remplir'!$F$31:$F$400,'Étape 1 - à remplir'!$E$31:$E$400,MASQ2!EC535,'Étape 1 - à remplir'!$G$31:$G$400,"kg"),SUMIFS('Étape 1 - à remplir'!$F$31:$F$400,'Étape 1 - à remplir'!$E$31:$E$400,MASQ2!EC535,'Étape 1 - à remplir'!$C$31:$C$400,EL$3)),IF(EL$2="Âge",IF(EL$3="Tous",SUMIFS('Étape 1 - à remplir'!$F$31:$F$400,'Étape 1 - à remplir'!$E$31:$E$400,MASQ2!EC535,'Étape 1 - à remplir'!$G$31:$G$400,"kg"),SUMIFS('Étape 1 - à remplir'!$F$31:$F$400,'Étape 1 - à remplir'!$E$31:$E$400,MASQ2!EC535,'Étape 1 - à remplir'!$P$31:$P$400,EL$3,'Étape 1 - à remplir'!$G$31:$G$400,"kg")),IF(EL$2="Atelier",IF(EL$3="Tous",SUMIFS('Étape 1 - à remplir'!$F$31:$F$400,'Étape 1 - à remplir'!$E$31:$E$400,MASQ2!EC535,'Étape 1 - à remplir'!$G$31:$G$400,"kg"),SUMIFS('Étape 1 - à remplir'!$F$31:$F$400,'Étape 1 - à remplir'!$E$31:$E$400,MASQ2!EC535,'Étape 1 - à remplir'!$O$31:$O$400,EL$3,'Étape 1 - à remplir'!$G$31:$G$400,"kg")),IF(EL$2="Espèce",IF(EL$3="Toutes",SUMIFS('Étape 1 - à remplir'!$F$31:$F$400,'Étape 1 - à remplir'!$E$31:$E$400,MASQ2!EC535,'Étape 1 - à remplir'!$G$31:$G$400,"kg"),SUMIFS('Étape 1 - à remplir'!$F$31:$F$400,'Étape 1 - à remplir'!$E$31:$E$400,MASQ2!EC535,'Étape 1 - à remplir'!$N$31:$N$400,EL$3,'Étape 1 - à remplir'!$G$31:$G$400,"kg"))))))=0,NA(),IF(EL$2="Catégorie",IF(EL$3="Toutes",SUMIFS('Étape 1 - à remplir'!$F$31:$F$400,'Étape 1 - à remplir'!$E$31:$E$400,MASQ2!EC535,'Étape 1 - à remplir'!$G$31:$G$400,"kg"),SUMIFS('Étape 1 - à remplir'!$F$31:$F$400,'Étape 1 - à remplir'!$E$31:$E$400,MASQ2!EC535,'Étape 1 - à remplir'!$C$31:$C$400,EL$3)),IF(EL$2="Âge",IF(EL$3="Tous",SUMIFS('Étape 1 - à remplir'!$F$31:$F$400,'Étape 1 - à remplir'!$E$31:$E$400,MASQ2!EC535,'Étape 1 - à remplir'!$G$31:$G$400,"kg"),SUMIFS('Étape 1 - à remplir'!$F$31:$F$400,'Étape 1 - à remplir'!$E$31:$E$400,MASQ2!EC535,'Étape 1 - à remplir'!$P$31:$P$400,EL$3,'Étape 1 - à remplir'!$G$31:$G$400,"kg")),IF(EL$2="Atelier",IF(EL$3="Tous",SUMIFS('Étape 1 - à remplir'!$F$31:$F$400,'Étape 1 - à remplir'!$E$31:$E$400,MASQ2!EC535,'Étape 1 - à remplir'!$G$31:$G$400,"kg"),SUMIFS('Étape 1 - à remplir'!$F$31:$F$400,'Étape 1 - à remplir'!$E$31:$E$400,MASQ2!EC535,'Étape 1 - à remplir'!$O$31:$O$400,EL$3,'Étape 1 - à remplir'!$G$31:$G$400,"kg")),IF(EL$2="Espèce",IF(EL$3="Toutes",SUMIFS('Étape 1 - à remplir'!$F$31:$F$400,'Étape 1 - à remplir'!$E$31:$E$400,MASQ2!EC535,'Étape 1 - à remplir'!$G$31:$G$400,"kg"),SUMIFS('Étape 1 - à remplir'!$F$31:$F$400,'Étape 1 - à remplir'!$E$31:$E$400,MASQ2!EC535,'Étape 1 - à remplir'!$N$31:$N$400,EL$3,'Étape 1 - à remplir'!$G$31:$G$400,"kg")))))))</f>
        <v>#N/A</v>
      </c>
      <c r="EE535" s="76">
        <f t="shared" si="334"/>
        <v>0</v>
      </c>
      <c r="EF535" t="str">
        <f t="shared" si="325"/>
        <v>Marbofloxacine</v>
      </c>
      <c r="EG535" t="str">
        <f t="shared" si="326"/>
        <v/>
      </c>
      <c r="EH535" t="str">
        <f t="shared" si="327"/>
        <v/>
      </c>
      <c r="EI535" t="str">
        <f t="shared" si="328"/>
        <v>Fluoroquinolones</v>
      </c>
      <c r="EJ535" t="str">
        <f t="shared" si="329"/>
        <v/>
      </c>
      <c r="EK535" s="63" t="str">
        <f t="shared" si="330"/>
        <v/>
      </c>
      <c r="EN535" s="42">
        <v>532</v>
      </c>
      <c r="EO535" t="e">
        <f t="shared" si="336"/>
        <v>#N/A</v>
      </c>
      <c r="EP535" s="63" t="e">
        <f t="shared" si="337"/>
        <v>#N/A</v>
      </c>
    </row>
    <row r="536" spans="13:146" x14ac:dyDescent="0.3">
      <c r="M536" s="194" t="str">
        <f ca="1">INDEX(Données_ATB!BD:BU,MATCH(MASQ2!O536,Données_ATB!BD:BD,0),18)</f>
        <v>x</v>
      </c>
      <c r="N536" s="14" t="str">
        <f>IFERROR(IF(Q536=0,"",COUNTIF(Q$4:Q$600,"&gt;"&amp;Q536)+COUNTIF(Q$4:Q536,Q536)),"")</f>
        <v/>
      </c>
      <c r="O536" t="str">
        <f>Données_ATB!BD535</f>
        <v>UBIFLOX 20 MG/ML SOLUTION INJECTABLE POUR BOVINS ET PORCINS</v>
      </c>
      <c r="P536" t="e">
        <f>IF(IF(X$2="Catégorie",IF(X$3="Toutes",SUMIFS('Étape 1 - à remplir'!$F$31:$F$400,'Étape 1 - à remplir'!$E$31:$E$400,MASQ2!O536,'Étape 1 - à remplir'!$G$31:$G$400,"animaux"),SUMIFS('Étape 1 - à remplir'!$F$31:$F$400,'Étape 1 - à remplir'!$E$31:$E$400,MASQ2!O536,'Étape 1 - à remplir'!$C$31:$C$400,X$3)),IF(X$2="Âge",IF(X$3="Tous",SUMIFS('Étape 1 - à remplir'!$F$31:$F$400,'Étape 1 - à remplir'!$E$31:$E$400,MASQ2!O536,'Étape 1 - à remplir'!$G$31:$G$400,"animaux"),SUMIFS('Étape 1 - à remplir'!$F$31:$F$400,'Étape 1 - à remplir'!$E$31:$E$400,MASQ2!O536,'Étape 1 - à remplir'!$P$31:$P$400,X$3)),IF(X$2="Atelier",IF(X$3="Tous",SUMIFS('Étape 1 - à remplir'!$F$31:$F$400,'Étape 1 - à remplir'!$E$31:$E$400,MASQ2!O536,'Étape 1 - à remplir'!$G$31:$G$400,"animaux"),SUMIFS('Étape 1 - à remplir'!$F$31:$F$400,'Étape 1 - à remplir'!$E$31:$E$400,MASQ2!O536,'Étape 1 - à remplir'!$O$31:$O$400,X$3)),IF(X$2="Espèce",IF(X$3="Toutes",SUMIFS('Étape 1 - à remplir'!$F$31:$F$400,'Étape 1 - à remplir'!$E$31:$E$400,MASQ2!O536,'Étape 1 - à remplir'!$G$31:$G$400,"animaux"),SUMIFS('Étape 1 - à remplir'!$F$31:$F$400,'Étape 1 - à remplir'!$E$31:$E$400,MASQ2!O536,'Étape 1 - à remplir'!$N$31:$N$400,X$3))))))=0,NA(),IF(X$2="Catégorie",IF(X$3="Toutes",SUMIFS('Étape 1 - à remplir'!$F$31:$F$400,'Étape 1 - à remplir'!$E$31:$E$400,MASQ2!O536,'Étape 1 - à remplir'!$G$31:$G$400,"animaux"),SUMIFS('Étape 1 - à remplir'!$F$31:$F$400,'Étape 1 - à remplir'!$E$31:$E$400,MASQ2!O536,'Étape 1 - à remplir'!$C$31:$C$400,X$3)),IF(X$2="Âge",IF(X$3="Tous",SUMIFS('Étape 1 - à remplir'!$F$31:$F$400,'Étape 1 - à remplir'!$E$31:$E$400,MASQ2!O536,'Étape 1 - à remplir'!$G$31:$G$400,"animaux"),SUMIFS('Étape 1 - à remplir'!$F$31:$F$400,'Étape 1 - à remplir'!$E$31:$E$400,MASQ2!O536,'Étape 1 - à remplir'!$P$31:$P$400,X$3)),IF(X$2="Atelier",IF(X$3="Tous",SUMIFS('Étape 1 - à remplir'!$F$31:$F$400,'Étape 1 - à remplir'!$E$31:$E$400,MASQ2!O536,'Étape 1 - à remplir'!$G$31:$G$400,"animaux"),SUMIFS('Étape 1 - à remplir'!$F$31:$F$400,'Étape 1 - à remplir'!$E$31:$E$400,MASQ2!O536,'Étape 1 - à remplir'!$O$31:$O$400,X$3)),IF(X$2="Espèce",IF(X$3="Toutes",SUMIFS('Étape 1 - à remplir'!$F$31:$F$400,'Étape 1 - à remplir'!$E$31:$E$400,MASQ2!O536,'Étape 1 - à remplir'!$G$31:$G$400,"animaux"),SUMIFS('Étape 1 - à remplir'!$F$31:$F$400,'Étape 1 - à remplir'!$E$31:$E$400,MASQ2!O536,'Étape 1 - à remplir'!$N$31:$N$400,X$3)))))))</f>
        <v>#N/A</v>
      </c>
      <c r="Q536" s="63">
        <f t="shared" si="335"/>
        <v>0</v>
      </c>
      <c r="R536" t="str">
        <f>Données_ATB!BM535</f>
        <v>Marbofloxacine</v>
      </c>
      <c r="S536" t="str">
        <f>Données_ATB!BN535</f>
        <v/>
      </c>
      <c r="T536" s="63" t="str">
        <f>Données_ATB!BO535</f>
        <v/>
      </c>
      <c r="U536" s="42" t="str">
        <f>Données_ATB!BQ535</f>
        <v>Fluoroquinolones</v>
      </c>
      <c r="V536" t="str">
        <f>Données_ATB!BR535</f>
        <v/>
      </c>
      <c r="W536" s="63" t="str">
        <f>Données_ATB!BS535</f>
        <v/>
      </c>
      <c r="Z536" s="42">
        <v>533</v>
      </c>
      <c r="AA536" t="e">
        <f t="shared" si="331"/>
        <v>#N/A</v>
      </c>
      <c r="AB536" s="63" t="e">
        <f t="shared" si="332"/>
        <v>#N/A</v>
      </c>
      <c r="BT536" s="194" t="str">
        <f t="shared" ca="1" si="315"/>
        <v>x</v>
      </c>
      <c r="BU536" s="219" t="str">
        <f>IFERROR(IF(BX536=0,"",COUNTIF(BX$4:BX$600,"&gt;"&amp;BX536)+COUNTIF(BX$4:BX536,BX536)),"")</f>
        <v/>
      </c>
      <c r="BV536" s="42" t="str">
        <f t="shared" si="316"/>
        <v>UBIFLOX 20 MG/ML SOLUTION INJECTABLE POUR BOVINS ET PORCINS</v>
      </c>
      <c r="BW536" t="e">
        <f>IF(IF(CE$2="Catégorie",IF(CE$3="Toutes",SUMIFS('Étape 1 - à remplir'!$F$31:$F$400,'Étape 1 - à remplir'!$E$31:$E$400,MASQ2!BV536,'Étape 1 - à remplir'!$G$31:$G$400,"lots"),SUMIFS('Étape 1 - à remplir'!$F$31:$F$400,'Étape 1 - à remplir'!$E$31:$E$400,MASQ2!BV536,'Étape 1 - à remplir'!$C$31:$C$400,CE$3)),IF(CE$2="Âge",IF(CE$3="Tous",SUMIFS('Étape 1 - à remplir'!$F$31:$F$400,'Étape 1 - à remplir'!$E$31:$E$400,MASQ2!BV536,'Étape 1 - à remplir'!$G$31:$G$400,"lots"),SUMIFS('Étape 1 - à remplir'!$F$31:$F$400,'Étape 1 - à remplir'!$E$31:$E$400,MASQ2!BV536,'Étape 1 - à remplir'!$P$31:$P$400,CE$3,'Étape 1 - à remplir'!$G$31:$G$400,"lots")),IF(CE$2="Atelier",IF(CE$3="Tous",SUMIFS('Étape 1 - à remplir'!$F$31:$F$400,'Étape 1 - à remplir'!$E$31:$E$400,MASQ2!BV536,'Étape 1 - à remplir'!$G$31:$G$400,"lots"),SUMIFS('Étape 1 - à remplir'!$F$31:$F$400,'Étape 1 - à remplir'!$E$31:$E$400,MASQ2!BV536,'Étape 1 - à remplir'!$O$31:$O$400,CE$3,'Étape 1 - à remplir'!$G$31:$G$400,"lots")),IF(CE$2="Espèce",IF(CE$3="Toutes",SUMIFS('Étape 1 - à remplir'!$F$31:$F$400,'Étape 1 - à remplir'!$E$31:$E$400,MASQ2!BV536,'Étape 1 - à remplir'!$G$31:$G$400,"lots"),SUMIFS('Étape 1 - à remplir'!$F$31:$F$400,'Étape 1 - à remplir'!$E$31:$E$400,MASQ2!BV536,'Étape 1 - à remplir'!$N$31:$N$400,CE$3,'Étape 1 - à remplir'!$G$31:$G$400,"lots"))))))=0,NA(),IF(CE$2="Catégorie",IF(CE$3="Toutes",SUMIFS('Étape 1 - à remplir'!$F$31:$F$400,'Étape 1 - à remplir'!$E$31:$E$400,MASQ2!BV536,'Étape 1 - à remplir'!$G$31:$G$400,"lots"),SUMIFS('Étape 1 - à remplir'!$F$31:$F$400,'Étape 1 - à remplir'!$E$31:$E$400,MASQ2!BV536,'Étape 1 - à remplir'!$C$31:$C$400,CE$3)),IF(CE$2="Âge",IF(CE$3="Tous",SUMIFS('Étape 1 - à remplir'!$F$31:$F$400,'Étape 1 - à remplir'!$E$31:$E$400,MASQ2!BV536,'Étape 1 - à remplir'!$G$31:$G$400,"lots"),SUMIFS('Étape 1 - à remplir'!$F$31:$F$400,'Étape 1 - à remplir'!$E$31:$E$400,MASQ2!BV536,'Étape 1 - à remplir'!$P$31:$P$400,CE$3,'Étape 1 - à remplir'!$G$31:$G$400,"lots")),IF(CE$2="Atelier",IF(CE$3="Tous",SUMIFS('Étape 1 - à remplir'!$F$31:$F$400,'Étape 1 - à remplir'!$E$31:$E$400,MASQ2!BV536,'Étape 1 - à remplir'!$G$31:$G$400,"lots"),SUMIFS('Étape 1 - à remplir'!$F$31:$F$400,'Étape 1 - à remplir'!$E$31:$E$400,MASQ2!BV536,'Étape 1 - à remplir'!$O$31:$O$400,CE$3,'Étape 1 - à remplir'!$G$31:$G$400,"lots")),IF(CE$2="Espèce",IF(CE$3="Toutes",SUMIFS('Étape 1 - à remplir'!$F$31:$F$400,'Étape 1 - à remplir'!$E$31:$E$400,MASQ2!BV536,'Étape 1 - à remplir'!$G$31:$G$400,"lots"),SUMIFS('Étape 1 - à remplir'!$F$31:$F$400,'Étape 1 - à remplir'!$E$31:$E$400,MASQ2!BV536,'Étape 1 - à remplir'!$N$31:$N$400,CE$3,'Étape 1 - à remplir'!$G$31:$G$400,"lots")))))))</f>
        <v>#N/A</v>
      </c>
      <c r="BX536">
        <f t="shared" si="333"/>
        <v>0</v>
      </c>
      <c r="BY536" t="str">
        <f t="shared" si="317"/>
        <v>Marbofloxacine</v>
      </c>
      <c r="BZ536" t="str">
        <f t="shared" si="318"/>
        <v/>
      </c>
      <c r="CA536" t="str">
        <f t="shared" si="319"/>
        <v/>
      </c>
      <c r="CB536" t="str">
        <f t="shared" si="320"/>
        <v>Fluoroquinolones</v>
      </c>
      <c r="CC536" t="str">
        <f t="shared" si="321"/>
        <v/>
      </c>
      <c r="CD536" s="63" t="str">
        <f t="shared" si="322"/>
        <v/>
      </c>
      <c r="CG536" s="42">
        <v>533</v>
      </c>
      <c r="CH536" s="42" t="e">
        <f t="shared" si="338"/>
        <v>#N/A</v>
      </c>
      <c r="CI536" s="63" t="e">
        <f t="shared" si="339"/>
        <v>#N/A</v>
      </c>
      <c r="EA536" s="194" t="str">
        <f t="shared" ca="1" si="323"/>
        <v>x</v>
      </c>
      <c r="EB536" s="226" t="str">
        <f>IFERROR(IF(ED536=0,"",COUNTIF(ED$4:ED$600,"&gt;"&amp;ED536)+COUNTIF(ED$4:ED536,ED536)),"")</f>
        <v/>
      </c>
      <c r="EC536" t="str">
        <f t="shared" si="324"/>
        <v>UBIFLOX 20 MG/ML SOLUTION INJECTABLE POUR BOVINS ET PORCINS</v>
      </c>
      <c r="ED536" t="e">
        <f>IF(IF(EL$2="Catégorie",IF(EL$3="Toutes",SUMIFS('Étape 1 - à remplir'!$F$31:$F$400,'Étape 1 - à remplir'!$E$31:$E$400,MASQ2!EC536,'Étape 1 - à remplir'!$G$31:$G$400,"kg"),SUMIFS('Étape 1 - à remplir'!$F$31:$F$400,'Étape 1 - à remplir'!$E$31:$E$400,MASQ2!EC536,'Étape 1 - à remplir'!$C$31:$C$400,EL$3)),IF(EL$2="Âge",IF(EL$3="Tous",SUMIFS('Étape 1 - à remplir'!$F$31:$F$400,'Étape 1 - à remplir'!$E$31:$E$400,MASQ2!EC536,'Étape 1 - à remplir'!$G$31:$G$400,"kg"),SUMIFS('Étape 1 - à remplir'!$F$31:$F$400,'Étape 1 - à remplir'!$E$31:$E$400,MASQ2!EC536,'Étape 1 - à remplir'!$P$31:$P$400,EL$3,'Étape 1 - à remplir'!$G$31:$G$400,"kg")),IF(EL$2="Atelier",IF(EL$3="Tous",SUMIFS('Étape 1 - à remplir'!$F$31:$F$400,'Étape 1 - à remplir'!$E$31:$E$400,MASQ2!EC536,'Étape 1 - à remplir'!$G$31:$G$400,"kg"),SUMIFS('Étape 1 - à remplir'!$F$31:$F$400,'Étape 1 - à remplir'!$E$31:$E$400,MASQ2!EC536,'Étape 1 - à remplir'!$O$31:$O$400,EL$3,'Étape 1 - à remplir'!$G$31:$G$400,"kg")),IF(EL$2="Espèce",IF(EL$3="Toutes",SUMIFS('Étape 1 - à remplir'!$F$31:$F$400,'Étape 1 - à remplir'!$E$31:$E$400,MASQ2!EC536,'Étape 1 - à remplir'!$G$31:$G$400,"kg"),SUMIFS('Étape 1 - à remplir'!$F$31:$F$400,'Étape 1 - à remplir'!$E$31:$E$400,MASQ2!EC536,'Étape 1 - à remplir'!$N$31:$N$400,EL$3,'Étape 1 - à remplir'!$G$31:$G$400,"kg"))))))=0,NA(),IF(EL$2="Catégorie",IF(EL$3="Toutes",SUMIFS('Étape 1 - à remplir'!$F$31:$F$400,'Étape 1 - à remplir'!$E$31:$E$400,MASQ2!EC536,'Étape 1 - à remplir'!$G$31:$G$400,"kg"),SUMIFS('Étape 1 - à remplir'!$F$31:$F$400,'Étape 1 - à remplir'!$E$31:$E$400,MASQ2!EC536,'Étape 1 - à remplir'!$C$31:$C$400,EL$3)),IF(EL$2="Âge",IF(EL$3="Tous",SUMIFS('Étape 1 - à remplir'!$F$31:$F$400,'Étape 1 - à remplir'!$E$31:$E$400,MASQ2!EC536,'Étape 1 - à remplir'!$G$31:$G$400,"kg"),SUMIFS('Étape 1 - à remplir'!$F$31:$F$400,'Étape 1 - à remplir'!$E$31:$E$400,MASQ2!EC536,'Étape 1 - à remplir'!$P$31:$P$400,EL$3,'Étape 1 - à remplir'!$G$31:$G$400,"kg")),IF(EL$2="Atelier",IF(EL$3="Tous",SUMIFS('Étape 1 - à remplir'!$F$31:$F$400,'Étape 1 - à remplir'!$E$31:$E$400,MASQ2!EC536,'Étape 1 - à remplir'!$G$31:$G$400,"kg"),SUMIFS('Étape 1 - à remplir'!$F$31:$F$400,'Étape 1 - à remplir'!$E$31:$E$400,MASQ2!EC536,'Étape 1 - à remplir'!$O$31:$O$400,EL$3,'Étape 1 - à remplir'!$G$31:$G$400,"kg")),IF(EL$2="Espèce",IF(EL$3="Toutes",SUMIFS('Étape 1 - à remplir'!$F$31:$F$400,'Étape 1 - à remplir'!$E$31:$E$400,MASQ2!EC536,'Étape 1 - à remplir'!$G$31:$G$400,"kg"),SUMIFS('Étape 1 - à remplir'!$F$31:$F$400,'Étape 1 - à remplir'!$E$31:$E$400,MASQ2!EC536,'Étape 1 - à remplir'!$N$31:$N$400,EL$3,'Étape 1 - à remplir'!$G$31:$G$400,"kg")))))))</f>
        <v>#N/A</v>
      </c>
      <c r="EE536" s="76">
        <f t="shared" si="334"/>
        <v>0</v>
      </c>
      <c r="EF536" t="str">
        <f t="shared" si="325"/>
        <v>Marbofloxacine</v>
      </c>
      <c r="EG536" t="str">
        <f t="shared" si="326"/>
        <v/>
      </c>
      <c r="EH536" t="str">
        <f t="shared" si="327"/>
        <v/>
      </c>
      <c r="EI536" t="str">
        <f t="shared" si="328"/>
        <v>Fluoroquinolones</v>
      </c>
      <c r="EJ536" t="str">
        <f t="shared" si="329"/>
        <v/>
      </c>
      <c r="EK536" s="63" t="str">
        <f t="shared" si="330"/>
        <v/>
      </c>
      <c r="EN536" s="42">
        <v>533</v>
      </c>
      <c r="EO536" t="e">
        <f t="shared" si="336"/>
        <v>#N/A</v>
      </c>
      <c r="EP536" s="63" t="e">
        <f t="shared" si="337"/>
        <v>#N/A</v>
      </c>
    </row>
    <row r="537" spans="13:146" x14ac:dyDescent="0.3">
      <c r="M537" s="194" t="str">
        <f ca="1">INDEX(Données_ATB!BD:BU,MATCH(MASQ2!O537,Données_ATB!BD:BD,0),18)</f>
        <v/>
      </c>
      <c r="N537" s="14" t="str">
        <f>IFERROR(IF(Q537=0,"",COUNTIF(Q$4:Q$600,"&gt;"&amp;Q537)+COUNTIF(Q$4:Q537,Q537)),"")</f>
        <v/>
      </c>
      <c r="O537" t="str">
        <f>Données_ATB!BD536</f>
        <v>UBROLEXIN SUSPENSION INTRAMAMMAIRE POUR VACHES LAITIERES EN LACTATION</v>
      </c>
      <c r="P537" t="e">
        <f>IF(IF(X$2="Catégorie",IF(X$3="Toutes",SUMIFS('Étape 1 - à remplir'!$F$31:$F$400,'Étape 1 - à remplir'!$E$31:$E$400,MASQ2!O537,'Étape 1 - à remplir'!$G$31:$G$400,"animaux"),SUMIFS('Étape 1 - à remplir'!$F$31:$F$400,'Étape 1 - à remplir'!$E$31:$E$400,MASQ2!O537,'Étape 1 - à remplir'!$C$31:$C$400,X$3)),IF(X$2="Âge",IF(X$3="Tous",SUMIFS('Étape 1 - à remplir'!$F$31:$F$400,'Étape 1 - à remplir'!$E$31:$E$400,MASQ2!O537,'Étape 1 - à remplir'!$G$31:$G$400,"animaux"),SUMIFS('Étape 1 - à remplir'!$F$31:$F$400,'Étape 1 - à remplir'!$E$31:$E$400,MASQ2!O537,'Étape 1 - à remplir'!$P$31:$P$400,X$3)),IF(X$2="Atelier",IF(X$3="Tous",SUMIFS('Étape 1 - à remplir'!$F$31:$F$400,'Étape 1 - à remplir'!$E$31:$E$400,MASQ2!O537,'Étape 1 - à remplir'!$G$31:$G$400,"animaux"),SUMIFS('Étape 1 - à remplir'!$F$31:$F$400,'Étape 1 - à remplir'!$E$31:$E$400,MASQ2!O537,'Étape 1 - à remplir'!$O$31:$O$400,X$3)),IF(X$2="Espèce",IF(X$3="Toutes",SUMIFS('Étape 1 - à remplir'!$F$31:$F$400,'Étape 1 - à remplir'!$E$31:$E$400,MASQ2!O537,'Étape 1 - à remplir'!$G$31:$G$400,"animaux"),SUMIFS('Étape 1 - à remplir'!$F$31:$F$400,'Étape 1 - à remplir'!$E$31:$E$400,MASQ2!O537,'Étape 1 - à remplir'!$N$31:$N$400,X$3))))))=0,NA(),IF(X$2="Catégorie",IF(X$3="Toutes",SUMIFS('Étape 1 - à remplir'!$F$31:$F$400,'Étape 1 - à remplir'!$E$31:$E$400,MASQ2!O537,'Étape 1 - à remplir'!$G$31:$G$400,"animaux"),SUMIFS('Étape 1 - à remplir'!$F$31:$F$400,'Étape 1 - à remplir'!$E$31:$E$400,MASQ2!O537,'Étape 1 - à remplir'!$C$31:$C$400,X$3)),IF(X$2="Âge",IF(X$3="Tous",SUMIFS('Étape 1 - à remplir'!$F$31:$F$400,'Étape 1 - à remplir'!$E$31:$E$400,MASQ2!O537,'Étape 1 - à remplir'!$G$31:$G$400,"animaux"),SUMIFS('Étape 1 - à remplir'!$F$31:$F$400,'Étape 1 - à remplir'!$E$31:$E$400,MASQ2!O537,'Étape 1 - à remplir'!$P$31:$P$400,X$3)),IF(X$2="Atelier",IF(X$3="Tous",SUMIFS('Étape 1 - à remplir'!$F$31:$F$400,'Étape 1 - à remplir'!$E$31:$E$400,MASQ2!O537,'Étape 1 - à remplir'!$G$31:$G$400,"animaux"),SUMIFS('Étape 1 - à remplir'!$F$31:$F$400,'Étape 1 - à remplir'!$E$31:$E$400,MASQ2!O537,'Étape 1 - à remplir'!$O$31:$O$400,X$3)),IF(X$2="Espèce",IF(X$3="Toutes",SUMIFS('Étape 1 - à remplir'!$F$31:$F$400,'Étape 1 - à remplir'!$E$31:$E$400,MASQ2!O537,'Étape 1 - à remplir'!$G$31:$G$400,"animaux"),SUMIFS('Étape 1 - à remplir'!$F$31:$F$400,'Étape 1 - à remplir'!$E$31:$E$400,MASQ2!O537,'Étape 1 - à remplir'!$N$31:$N$400,X$3)))))))</f>
        <v>#N/A</v>
      </c>
      <c r="Q537" s="63">
        <f t="shared" si="335"/>
        <v>0</v>
      </c>
      <c r="R537" t="str">
        <f>Données_ATB!BM536</f>
        <v>Céfalexine</v>
      </c>
      <c r="S537" t="str">
        <f>Données_ATB!BN536</f>
        <v>Kanamycine</v>
      </c>
      <c r="T537" s="63" t="str">
        <f>Données_ATB!BO536</f>
        <v/>
      </c>
      <c r="U537" s="42" t="str">
        <f>Données_ATB!BQ536</f>
        <v>Cephalosporines 1&amp;2G</v>
      </c>
      <c r="V537" t="str">
        <f>Données_ATB!BR536</f>
        <v>Aminoglycosides</v>
      </c>
      <c r="W537" s="63" t="str">
        <f>Données_ATB!BS536</f>
        <v/>
      </c>
      <c r="Z537" s="42">
        <v>534</v>
      </c>
      <c r="AA537" t="e">
        <f t="shared" si="331"/>
        <v>#N/A</v>
      </c>
      <c r="AB537" s="63" t="e">
        <f t="shared" si="332"/>
        <v>#N/A</v>
      </c>
      <c r="BT537" s="194" t="str">
        <f t="shared" ca="1" si="315"/>
        <v/>
      </c>
      <c r="BU537" s="219" t="str">
        <f>IFERROR(IF(BX537=0,"",COUNTIF(BX$4:BX$600,"&gt;"&amp;BX537)+COUNTIF(BX$4:BX537,BX537)),"")</f>
        <v/>
      </c>
      <c r="BV537" s="42" t="str">
        <f t="shared" si="316"/>
        <v>UBROLEXIN SUSPENSION INTRAMAMMAIRE POUR VACHES LAITIERES EN LACTATION</v>
      </c>
      <c r="BW537" t="e">
        <f>IF(IF(CE$2="Catégorie",IF(CE$3="Toutes",SUMIFS('Étape 1 - à remplir'!$F$31:$F$400,'Étape 1 - à remplir'!$E$31:$E$400,MASQ2!BV537,'Étape 1 - à remplir'!$G$31:$G$400,"lots"),SUMIFS('Étape 1 - à remplir'!$F$31:$F$400,'Étape 1 - à remplir'!$E$31:$E$400,MASQ2!BV537,'Étape 1 - à remplir'!$C$31:$C$400,CE$3)),IF(CE$2="Âge",IF(CE$3="Tous",SUMIFS('Étape 1 - à remplir'!$F$31:$F$400,'Étape 1 - à remplir'!$E$31:$E$400,MASQ2!BV537,'Étape 1 - à remplir'!$G$31:$G$400,"lots"),SUMIFS('Étape 1 - à remplir'!$F$31:$F$400,'Étape 1 - à remplir'!$E$31:$E$400,MASQ2!BV537,'Étape 1 - à remplir'!$P$31:$P$400,CE$3,'Étape 1 - à remplir'!$G$31:$G$400,"lots")),IF(CE$2="Atelier",IF(CE$3="Tous",SUMIFS('Étape 1 - à remplir'!$F$31:$F$400,'Étape 1 - à remplir'!$E$31:$E$400,MASQ2!BV537,'Étape 1 - à remplir'!$G$31:$G$400,"lots"),SUMIFS('Étape 1 - à remplir'!$F$31:$F$400,'Étape 1 - à remplir'!$E$31:$E$400,MASQ2!BV537,'Étape 1 - à remplir'!$O$31:$O$400,CE$3,'Étape 1 - à remplir'!$G$31:$G$400,"lots")),IF(CE$2="Espèce",IF(CE$3="Toutes",SUMIFS('Étape 1 - à remplir'!$F$31:$F$400,'Étape 1 - à remplir'!$E$31:$E$400,MASQ2!BV537,'Étape 1 - à remplir'!$G$31:$G$400,"lots"),SUMIFS('Étape 1 - à remplir'!$F$31:$F$400,'Étape 1 - à remplir'!$E$31:$E$400,MASQ2!BV537,'Étape 1 - à remplir'!$N$31:$N$400,CE$3,'Étape 1 - à remplir'!$G$31:$G$400,"lots"))))))=0,NA(),IF(CE$2="Catégorie",IF(CE$3="Toutes",SUMIFS('Étape 1 - à remplir'!$F$31:$F$400,'Étape 1 - à remplir'!$E$31:$E$400,MASQ2!BV537,'Étape 1 - à remplir'!$G$31:$G$400,"lots"),SUMIFS('Étape 1 - à remplir'!$F$31:$F$400,'Étape 1 - à remplir'!$E$31:$E$400,MASQ2!BV537,'Étape 1 - à remplir'!$C$31:$C$400,CE$3)),IF(CE$2="Âge",IF(CE$3="Tous",SUMIFS('Étape 1 - à remplir'!$F$31:$F$400,'Étape 1 - à remplir'!$E$31:$E$400,MASQ2!BV537,'Étape 1 - à remplir'!$G$31:$G$400,"lots"),SUMIFS('Étape 1 - à remplir'!$F$31:$F$400,'Étape 1 - à remplir'!$E$31:$E$400,MASQ2!BV537,'Étape 1 - à remplir'!$P$31:$P$400,CE$3,'Étape 1 - à remplir'!$G$31:$G$400,"lots")),IF(CE$2="Atelier",IF(CE$3="Tous",SUMIFS('Étape 1 - à remplir'!$F$31:$F$400,'Étape 1 - à remplir'!$E$31:$E$400,MASQ2!BV537,'Étape 1 - à remplir'!$G$31:$G$400,"lots"),SUMIFS('Étape 1 - à remplir'!$F$31:$F$400,'Étape 1 - à remplir'!$E$31:$E$400,MASQ2!BV537,'Étape 1 - à remplir'!$O$31:$O$400,CE$3,'Étape 1 - à remplir'!$G$31:$G$400,"lots")),IF(CE$2="Espèce",IF(CE$3="Toutes",SUMIFS('Étape 1 - à remplir'!$F$31:$F$400,'Étape 1 - à remplir'!$E$31:$E$400,MASQ2!BV537,'Étape 1 - à remplir'!$G$31:$G$400,"lots"),SUMIFS('Étape 1 - à remplir'!$F$31:$F$400,'Étape 1 - à remplir'!$E$31:$E$400,MASQ2!BV537,'Étape 1 - à remplir'!$N$31:$N$400,CE$3,'Étape 1 - à remplir'!$G$31:$G$400,"lots")))))))</f>
        <v>#N/A</v>
      </c>
      <c r="BX537">
        <f t="shared" si="333"/>
        <v>0</v>
      </c>
      <c r="BY537" t="str">
        <f t="shared" si="317"/>
        <v>Céfalexine</v>
      </c>
      <c r="BZ537" t="str">
        <f t="shared" si="318"/>
        <v>Kanamycine</v>
      </c>
      <c r="CA537" t="str">
        <f t="shared" si="319"/>
        <v/>
      </c>
      <c r="CB537" t="str">
        <f t="shared" si="320"/>
        <v>Cephalosporines 1&amp;2G</v>
      </c>
      <c r="CC537" t="str">
        <f t="shared" si="321"/>
        <v>Aminoglycosides</v>
      </c>
      <c r="CD537" s="63" t="str">
        <f t="shared" si="322"/>
        <v/>
      </c>
      <c r="CG537" s="42">
        <v>534</v>
      </c>
      <c r="CH537" s="42" t="e">
        <f t="shared" si="338"/>
        <v>#N/A</v>
      </c>
      <c r="CI537" s="63" t="e">
        <f t="shared" si="339"/>
        <v>#N/A</v>
      </c>
      <c r="EA537" s="194" t="str">
        <f t="shared" ca="1" si="323"/>
        <v/>
      </c>
      <c r="EB537" s="226" t="str">
        <f>IFERROR(IF(ED537=0,"",COUNTIF(ED$4:ED$600,"&gt;"&amp;ED537)+COUNTIF(ED$4:ED537,ED537)),"")</f>
        <v/>
      </c>
      <c r="EC537" t="str">
        <f t="shared" si="324"/>
        <v>UBROLEXIN SUSPENSION INTRAMAMMAIRE POUR VACHES LAITIERES EN LACTATION</v>
      </c>
      <c r="ED537" t="e">
        <f>IF(IF(EL$2="Catégorie",IF(EL$3="Toutes",SUMIFS('Étape 1 - à remplir'!$F$31:$F$400,'Étape 1 - à remplir'!$E$31:$E$400,MASQ2!EC537,'Étape 1 - à remplir'!$G$31:$G$400,"kg"),SUMIFS('Étape 1 - à remplir'!$F$31:$F$400,'Étape 1 - à remplir'!$E$31:$E$400,MASQ2!EC537,'Étape 1 - à remplir'!$C$31:$C$400,EL$3)),IF(EL$2="Âge",IF(EL$3="Tous",SUMIFS('Étape 1 - à remplir'!$F$31:$F$400,'Étape 1 - à remplir'!$E$31:$E$400,MASQ2!EC537,'Étape 1 - à remplir'!$G$31:$G$400,"kg"),SUMIFS('Étape 1 - à remplir'!$F$31:$F$400,'Étape 1 - à remplir'!$E$31:$E$400,MASQ2!EC537,'Étape 1 - à remplir'!$P$31:$P$400,EL$3,'Étape 1 - à remplir'!$G$31:$G$400,"kg")),IF(EL$2="Atelier",IF(EL$3="Tous",SUMIFS('Étape 1 - à remplir'!$F$31:$F$400,'Étape 1 - à remplir'!$E$31:$E$400,MASQ2!EC537,'Étape 1 - à remplir'!$G$31:$G$400,"kg"),SUMIFS('Étape 1 - à remplir'!$F$31:$F$400,'Étape 1 - à remplir'!$E$31:$E$400,MASQ2!EC537,'Étape 1 - à remplir'!$O$31:$O$400,EL$3,'Étape 1 - à remplir'!$G$31:$G$400,"kg")),IF(EL$2="Espèce",IF(EL$3="Toutes",SUMIFS('Étape 1 - à remplir'!$F$31:$F$400,'Étape 1 - à remplir'!$E$31:$E$400,MASQ2!EC537,'Étape 1 - à remplir'!$G$31:$G$400,"kg"),SUMIFS('Étape 1 - à remplir'!$F$31:$F$400,'Étape 1 - à remplir'!$E$31:$E$400,MASQ2!EC537,'Étape 1 - à remplir'!$N$31:$N$400,EL$3,'Étape 1 - à remplir'!$G$31:$G$400,"kg"))))))=0,NA(),IF(EL$2="Catégorie",IF(EL$3="Toutes",SUMIFS('Étape 1 - à remplir'!$F$31:$F$400,'Étape 1 - à remplir'!$E$31:$E$400,MASQ2!EC537,'Étape 1 - à remplir'!$G$31:$G$400,"kg"),SUMIFS('Étape 1 - à remplir'!$F$31:$F$400,'Étape 1 - à remplir'!$E$31:$E$400,MASQ2!EC537,'Étape 1 - à remplir'!$C$31:$C$400,EL$3)),IF(EL$2="Âge",IF(EL$3="Tous",SUMIFS('Étape 1 - à remplir'!$F$31:$F$400,'Étape 1 - à remplir'!$E$31:$E$400,MASQ2!EC537,'Étape 1 - à remplir'!$G$31:$G$400,"kg"),SUMIFS('Étape 1 - à remplir'!$F$31:$F$400,'Étape 1 - à remplir'!$E$31:$E$400,MASQ2!EC537,'Étape 1 - à remplir'!$P$31:$P$400,EL$3,'Étape 1 - à remplir'!$G$31:$G$400,"kg")),IF(EL$2="Atelier",IF(EL$3="Tous",SUMIFS('Étape 1 - à remplir'!$F$31:$F$400,'Étape 1 - à remplir'!$E$31:$E$400,MASQ2!EC537,'Étape 1 - à remplir'!$G$31:$G$400,"kg"),SUMIFS('Étape 1 - à remplir'!$F$31:$F$400,'Étape 1 - à remplir'!$E$31:$E$400,MASQ2!EC537,'Étape 1 - à remplir'!$O$31:$O$400,EL$3,'Étape 1 - à remplir'!$G$31:$G$400,"kg")),IF(EL$2="Espèce",IF(EL$3="Toutes",SUMIFS('Étape 1 - à remplir'!$F$31:$F$400,'Étape 1 - à remplir'!$E$31:$E$400,MASQ2!EC537,'Étape 1 - à remplir'!$G$31:$G$400,"kg"),SUMIFS('Étape 1 - à remplir'!$F$31:$F$400,'Étape 1 - à remplir'!$E$31:$E$400,MASQ2!EC537,'Étape 1 - à remplir'!$N$31:$N$400,EL$3,'Étape 1 - à remplir'!$G$31:$G$400,"kg")))))))</f>
        <v>#N/A</v>
      </c>
      <c r="EE537" s="76">
        <f t="shared" si="334"/>
        <v>0</v>
      </c>
      <c r="EF537" t="str">
        <f t="shared" si="325"/>
        <v>Céfalexine</v>
      </c>
      <c r="EG537" t="str">
        <f t="shared" si="326"/>
        <v>Kanamycine</v>
      </c>
      <c r="EH537" t="str">
        <f t="shared" si="327"/>
        <v/>
      </c>
      <c r="EI537" t="str">
        <f t="shared" si="328"/>
        <v>Cephalosporines 1&amp;2G</v>
      </c>
      <c r="EJ537" t="str">
        <f t="shared" si="329"/>
        <v>Aminoglycosides</v>
      </c>
      <c r="EK537" s="63" t="str">
        <f t="shared" si="330"/>
        <v/>
      </c>
      <c r="EN537" s="42">
        <v>534</v>
      </c>
      <c r="EO537" t="e">
        <f t="shared" si="336"/>
        <v>#N/A</v>
      </c>
      <c r="EP537" s="63" t="e">
        <f t="shared" si="337"/>
        <v>#N/A</v>
      </c>
    </row>
    <row r="538" spans="13:146" x14ac:dyDescent="0.3">
      <c r="M538" s="194" t="str">
        <f ca="1">INDEX(Données_ATB!BD:BU,MATCH(MASQ2!O538,Données_ATB!BD:BD,0),18)</f>
        <v/>
      </c>
      <c r="N538" s="14" t="str">
        <f>IFERROR(IF(Q538=0,"",COUNTIF(Q$4:Q$600,"&gt;"&amp;Q538)+COUNTIF(Q$4:Q538,Q538)),"")</f>
        <v/>
      </c>
      <c r="O538" t="str">
        <f>Données_ATB!BD537</f>
        <v>UBROPEN SUSPENSION INTRAMAMMAIRE POUR VACHES EN LACTATION</v>
      </c>
      <c r="P538" t="e">
        <f>IF(IF(X$2="Catégorie",IF(X$3="Toutes",SUMIFS('Étape 1 - à remplir'!$F$31:$F$400,'Étape 1 - à remplir'!$E$31:$E$400,MASQ2!O538,'Étape 1 - à remplir'!$G$31:$G$400,"animaux"),SUMIFS('Étape 1 - à remplir'!$F$31:$F$400,'Étape 1 - à remplir'!$E$31:$E$400,MASQ2!O538,'Étape 1 - à remplir'!$C$31:$C$400,X$3)),IF(X$2="Âge",IF(X$3="Tous",SUMIFS('Étape 1 - à remplir'!$F$31:$F$400,'Étape 1 - à remplir'!$E$31:$E$400,MASQ2!O538,'Étape 1 - à remplir'!$G$31:$G$400,"animaux"),SUMIFS('Étape 1 - à remplir'!$F$31:$F$400,'Étape 1 - à remplir'!$E$31:$E$400,MASQ2!O538,'Étape 1 - à remplir'!$P$31:$P$400,X$3)),IF(X$2="Atelier",IF(X$3="Tous",SUMIFS('Étape 1 - à remplir'!$F$31:$F$400,'Étape 1 - à remplir'!$E$31:$E$400,MASQ2!O538,'Étape 1 - à remplir'!$G$31:$G$400,"animaux"),SUMIFS('Étape 1 - à remplir'!$F$31:$F$400,'Étape 1 - à remplir'!$E$31:$E$400,MASQ2!O538,'Étape 1 - à remplir'!$O$31:$O$400,X$3)),IF(X$2="Espèce",IF(X$3="Toutes",SUMIFS('Étape 1 - à remplir'!$F$31:$F$400,'Étape 1 - à remplir'!$E$31:$E$400,MASQ2!O538,'Étape 1 - à remplir'!$G$31:$G$400,"animaux"),SUMIFS('Étape 1 - à remplir'!$F$31:$F$400,'Étape 1 - à remplir'!$E$31:$E$400,MASQ2!O538,'Étape 1 - à remplir'!$N$31:$N$400,X$3))))))=0,NA(),IF(X$2="Catégorie",IF(X$3="Toutes",SUMIFS('Étape 1 - à remplir'!$F$31:$F$400,'Étape 1 - à remplir'!$E$31:$E$400,MASQ2!O538,'Étape 1 - à remplir'!$G$31:$G$400,"animaux"),SUMIFS('Étape 1 - à remplir'!$F$31:$F$400,'Étape 1 - à remplir'!$E$31:$E$400,MASQ2!O538,'Étape 1 - à remplir'!$C$31:$C$400,X$3)),IF(X$2="Âge",IF(X$3="Tous",SUMIFS('Étape 1 - à remplir'!$F$31:$F$400,'Étape 1 - à remplir'!$E$31:$E$400,MASQ2!O538,'Étape 1 - à remplir'!$G$31:$G$400,"animaux"),SUMIFS('Étape 1 - à remplir'!$F$31:$F$400,'Étape 1 - à remplir'!$E$31:$E$400,MASQ2!O538,'Étape 1 - à remplir'!$P$31:$P$400,X$3)),IF(X$2="Atelier",IF(X$3="Tous",SUMIFS('Étape 1 - à remplir'!$F$31:$F$400,'Étape 1 - à remplir'!$E$31:$E$400,MASQ2!O538,'Étape 1 - à remplir'!$G$31:$G$400,"animaux"),SUMIFS('Étape 1 - à remplir'!$F$31:$F$400,'Étape 1 - à remplir'!$E$31:$E$400,MASQ2!O538,'Étape 1 - à remplir'!$O$31:$O$400,X$3)),IF(X$2="Espèce",IF(X$3="Toutes",SUMIFS('Étape 1 - à remplir'!$F$31:$F$400,'Étape 1 - à remplir'!$E$31:$E$400,MASQ2!O538,'Étape 1 - à remplir'!$G$31:$G$400,"animaux"),SUMIFS('Étape 1 - à remplir'!$F$31:$F$400,'Étape 1 - à remplir'!$E$31:$E$400,MASQ2!O538,'Étape 1 - à remplir'!$N$31:$N$400,X$3)))))))</f>
        <v>#N/A</v>
      </c>
      <c r="Q538" s="63">
        <f t="shared" si="335"/>
        <v>0</v>
      </c>
      <c r="R538" t="str">
        <f>Données_ATB!BM537</f>
        <v>Benzylpénicilline</v>
      </c>
      <c r="S538" t="str">
        <f>Données_ATB!BN537</f>
        <v/>
      </c>
      <c r="T538" s="63" t="str">
        <f>Données_ATB!BO537</f>
        <v/>
      </c>
      <c r="U538" s="42" t="str">
        <f>Données_ATB!BQ537</f>
        <v>Penicillines</v>
      </c>
      <c r="V538" t="str">
        <f>Données_ATB!BR537</f>
        <v/>
      </c>
      <c r="W538" s="63" t="str">
        <f>Données_ATB!BS537</f>
        <v/>
      </c>
      <c r="Z538" s="42">
        <v>535</v>
      </c>
      <c r="AA538" t="e">
        <f t="shared" si="331"/>
        <v>#N/A</v>
      </c>
      <c r="AB538" s="63" t="e">
        <f t="shared" si="332"/>
        <v>#N/A</v>
      </c>
      <c r="BT538" s="194" t="str">
        <f t="shared" ca="1" si="315"/>
        <v/>
      </c>
      <c r="BU538" s="219" t="str">
        <f>IFERROR(IF(BX538=0,"",COUNTIF(BX$4:BX$600,"&gt;"&amp;BX538)+COUNTIF(BX$4:BX538,BX538)),"")</f>
        <v/>
      </c>
      <c r="BV538" s="42" t="str">
        <f t="shared" si="316"/>
        <v>UBROPEN SUSPENSION INTRAMAMMAIRE POUR VACHES EN LACTATION</v>
      </c>
      <c r="BW538" t="e">
        <f>IF(IF(CE$2="Catégorie",IF(CE$3="Toutes",SUMIFS('Étape 1 - à remplir'!$F$31:$F$400,'Étape 1 - à remplir'!$E$31:$E$400,MASQ2!BV538,'Étape 1 - à remplir'!$G$31:$G$400,"lots"),SUMIFS('Étape 1 - à remplir'!$F$31:$F$400,'Étape 1 - à remplir'!$E$31:$E$400,MASQ2!BV538,'Étape 1 - à remplir'!$C$31:$C$400,CE$3)),IF(CE$2="Âge",IF(CE$3="Tous",SUMIFS('Étape 1 - à remplir'!$F$31:$F$400,'Étape 1 - à remplir'!$E$31:$E$400,MASQ2!BV538,'Étape 1 - à remplir'!$G$31:$G$400,"lots"),SUMIFS('Étape 1 - à remplir'!$F$31:$F$400,'Étape 1 - à remplir'!$E$31:$E$400,MASQ2!BV538,'Étape 1 - à remplir'!$P$31:$P$400,CE$3,'Étape 1 - à remplir'!$G$31:$G$400,"lots")),IF(CE$2="Atelier",IF(CE$3="Tous",SUMIFS('Étape 1 - à remplir'!$F$31:$F$400,'Étape 1 - à remplir'!$E$31:$E$400,MASQ2!BV538,'Étape 1 - à remplir'!$G$31:$G$400,"lots"),SUMIFS('Étape 1 - à remplir'!$F$31:$F$400,'Étape 1 - à remplir'!$E$31:$E$400,MASQ2!BV538,'Étape 1 - à remplir'!$O$31:$O$400,CE$3,'Étape 1 - à remplir'!$G$31:$G$400,"lots")),IF(CE$2="Espèce",IF(CE$3="Toutes",SUMIFS('Étape 1 - à remplir'!$F$31:$F$400,'Étape 1 - à remplir'!$E$31:$E$400,MASQ2!BV538,'Étape 1 - à remplir'!$G$31:$G$400,"lots"),SUMIFS('Étape 1 - à remplir'!$F$31:$F$400,'Étape 1 - à remplir'!$E$31:$E$400,MASQ2!BV538,'Étape 1 - à remplir'!$N$31:$N$400,CE$3,'Étape 1 - à remplir'!$G$31:$G$400,"lots"))))))=0,NA(),IF(CE$2="Catégorie",IF(CE$3="Toutes",SUMIFS('Étape 1 - à remplir'!$F$31:$F$400,'Étape 1 - à remplir'!$E$31:$E$400,MASQ2!BV538,'Étape 1 - à remplir'!$G$31:$G$400,"lots"),SUMIFS('Étape 1 - à remplir'!$F$31:$F$400,'Étape 1 - à remplir'!$E$31:$E$400,MASQ2!BV538,'Étape 1 - à remplir'!$C$31:$C$400,CE$3)),IF(CE$2="Âge",IF(CE$3="Tous",SUMIFS('Étape 1 - à remplir'!$F$31:$F$400,'Étape 1 - à remplir'!$E$31:$E$400,MASQ2!BV538,'Étape 1 - à remplir'!$G$31:$G$400,"lots"),SUMIFS('Étape 1 - à remplir'!$F$31:$F$400,'Étape 1 - à remplir'!$E$31:$E$400,MASQ2!BV538,'Étape 1 - à remplir'!$P$31:$P$400,CE$3,'Étape 1 - à remplir'!$G$31:$G$400,"lots")),IF(CE$2="Atelier",IF(CE$3="Tous",SUMIFS('Étape 1 - à remplir'!$F$31:$F$400,'Étape 1 - à remplir'!$E$31:$E$400,MASQ2!BV538,'Étape 1 - à remplir'!$G$31:$G$400,"lots"),SUMIFS('Étape 1 - à remplir'!$F$31:$F$400,'Étape 1 - à remplir'!$E$31:$E$400,MASQ2!BV538,'Étape 1 - à remplir'!$O$31:$O$400,CE$3,'Étape 1 - à remplir'!$G$31:$G$400,"lots")),IF(CE$2="Espèce",IF(CE$3="Toutes",SUMIFS('Étape 1 - à remplir'!$F$31:$F$400,'Étape 1 - à remplir'!$E$31:$E$400,MASQ2!BV538,'Étape 1 - à remplir'!$G$31:$G$400,"lots"),SUMIFS('Étape 1 - à remplir'!$F$31:$F$400,'Étape 1 - à remplir'!$E$31:$E$400,MASQ2!BV538,'Étape 1 - à remplir'!$N$31:$N$400,CE$3,'Étape 1 - à remplir'!$G$31:$G$400,"lots")))))))</f>
        <v>#N/A</v>
      </c>
      <c r="BX538">
        <f t="shared" si="333"/>
        <v>0</v>
      </c>
      <c r="BY538" t="str">
        <f t="shared" si="317"/>
        <v>Benzylpénicilline</v>
      </c>
      <c r="BZ538" t="str">
        <f t="shared" si="318"/>
        <v/>
      </c>
      <c r="CA538" t="str">
        <f t="shared" si="319"/>
        <v/>
      </c>
      <c r="CB538" t="str">
        <f t="shared" si="320"/>
        <v>Penicillines</v>
      </c>
      <c r="CC538" t="str">
        <f t="shared" si="321"/>
        <v/>
      </c>
      <c r="CD538" s="63" t="str">
        <f t="shared" si="322"/>
        <v/>
      </c>
      <c r="CG538" s="42">
        <v>535</v>
      </c>
      <c r="CH538" s="42" t="e">
        <f t="shared" si="338"/>
        <v>#N/A</v>
      </c>
      <c r="CI538" s="63" t="e">
        <f t="shared" si="339"/>
        <v>#N/A</v>
      </c>
      <c r="EA538" s="194" t="str">
        <f t="shared" ca="1" si="323"/>
        <v/>
      </c>
      <c r="EB538" s="226" t="str">
        <f>IFERROR(IF(ED538=0,"",COUNTIF(ED$4:ED$600,"&gt;"&amp;ED538)+COUNTIF(ED$4:ED538,ED538)),"")</f>
        <v/>
      </c>
      <c r="EC538" t="str">
        <f t="shared" si="324"/>
        <v>UBROPEN SUSPENSION INTRAMAMMAIRE POUR VACHES EN LACTATION</v>
      </c>
      <c r="ED538" t="e">
        <f>IF(IF(EL$2="Catégorie",IF(EL$3="Toutes",SUMIFS('Étape 1 - à remplir'!$F$31:$F$400,'Étape 1 - à remplir'!$E$31:$E$400,MASQ2!EC538,'Étape 1 - à remplir'!$G$31:$G$400,"kg"),SUMIFS('Étape 1 - à remplir'!$F$31:$F$400,'Étape 1 - à remplir'!$E$31:$E$400,MASQ2!EC538,'Étape 1 - à remplir'!$C$31:$C$400,EL$3)),IF(EL$2="Âge",IF(EL$3="Tous",SUMIFS('Étape 1 - à remplir'!$F$31:$F$400,'Étape 1 - à remplir'!$E$31:$E$400,MASQ2!EC538,'Étape 1 - à remplir'!$G$31:$G$400,"kg"),SUMIFS('Étape 1 - à remplir'!$F$31:$F$400,'Étape 1 - à remplir'!$E$31:$E$400,MASQ2!EC538,'Étape 1 - à remplir'!$P$31:$P$400,EL$3,'Étape 1 - à remplir'!$G$31:$G$400,"kg")),IF(EL$2="Atelier",IF(EL$3="Tous",SUMIFS('Étape 1 - à remplir'!$F$31:$F$400,'Étape 1 - à remplir'!$E$31:$E$400,MASQ2!EC538,'Étape 1 - à remplir'!$G$31:$G$400,"kg"),SUMIFS('Étape 1 - à remplir'!$F$31:$F$400,'Étape 1 - à remplir'!$E$31:$E$400,MASQ2!EC538,'Étape 1 - à remplir'!$O$31:$O$400,EL$3,'Étape 1 - à remplir'!$G$31:$G$400,"kg")),IF(EL$2="Espèce",IF(EL$3="Toutes",SUMIFS('Étape 1 - à remplir'!$F$31:$F$400,'Étape 1 - à remplir'!$E$31:$E$400,MASQ2!EC538,'Étape 1 - à remplir'!$G$31:$G$400,"kg"),SUMIFS('Étape 1 - à remplir'!$F$31:$F$400,'Étape 1 - à remplir'!$E$31:$E$400,MASQ2!EC538,'Étape 1 - à remplir'!$N$31:$N$400,EL$3,'Étape 1 - à remplir'!$G$31:$G$400,"kg"))))))=0,NA(),IF(EL$2="Catégorie",IF(EL$3="Toutes",SUMIFS('Étape 1 - à remplir'!$F$31:$F$400,'Étape 1 - à remplir'!$E$31:$E$400,MASQ2!EC538,'Étape 1 - à remplir'!$G$31:$G$400,"kg"),SUMIFS('Étape 1 - à remplir'!$F$31:$F$400,'Étape 1 - à remplir'!$E$31:$E$400,MASQ2!EC538,'Étape 1 - à remplir'!$C$31:$C$400,EL$3)),IF(EL$2="Âge",IF(EL$3="Tous",SUMIFS('Étape 1 - à remplir'!$F$31:$F$400,'Étape 1 - à remplir'!$E$31:$E$400,MASQ2!EC538,'Étape 1 - à remplir'!$G$31:$G$400,"kg"),SUMIFS('Étape 1 - à remplir'!$F$31:$F$400,'Étape 1 - à remplir'!$E$31:$E$400,MASQ2!EC538,'Étape 1 - à remplir'!$P$31:$P$400,EL$3,'Étape 1 - à remplir'!$G$31:$G$400,"kg")),IF(EL$2="Atelier",IF(EL$3="Tous",SUMIFS('Étape 1 - à remplir'!$F$31:$F$400,'Étape 1 - à remplir'!$E$31:$E$400,MASQ2!EC538,'Étape 1 - à remplir'!$G$31:$G$400,"kg"),SUMIFS('Étape 1 - à remplir'!$F$31:$F$400,'Étape 1 - à remplir'!$E$31:$E$400,MASQ2!EC538,'Étape 1 - à remplir'!$O$31:$O$400,EL$3,'Étape 1 - à remplir'!$G$31:$G$400,"kg")),IF(EL$2="Espèce",IF(EL$3="Toutes",SUMIFS('Étape 1 - à remplir'!$F$31:$F$400,'Étape 1 - à remplir'!$E$31:$E$400,MASQ2!EC538,'Étape 1 - à remplir'!$G$31:$G$400,"kg"),SUMIFS('Étape 1 - à remplir'!$F$31:$F$400,'Étape 1 - à remplir'!$E$31:$E$400,MASQ2!EC538,'Étape 1 - à remplir'!$N$31:$N$400,EL$3,'Étape 1 - à remplir'!$G$31:$G$400,"kg")))))))</f>
        <v>#N/A</v>
      </c>
      <c r="EE538" s="76">
        <f t="shared" si="334"/>
        <v>0</v>
      </c>
      <c r="EF538" t="str">
        <f t="shared" si="325"/>
        <v>Benzylpénicilline</v>
      </c>
      <c r="EG538" t="str">
        <f t="shared" si="326"/>
        <v/>
      </c>
      <c r="EH538" t="str">
        <f t="shared" si="327"/>
        <v/>
      </c>
      <c r="EI538" t="str">
        <f t="shared" si="328"/>
        <v>Penicillines</v>
      </c>
      <c r="EJ538" t="str">
        <f t="shared" si="329"/>
        <v/>
      </c>
      <c r="EK538" s="63" t="str">
        <f t="shared" si="330"/>
        <v/>
      </c>
      <c r="EN538" s="42">
        <v>535</v>
      </c>
      <c r="EO538" t="e">
        <f t="shared" si="336"/>
        <v>#N/A</v>
      </c>
      <c r="EP538" s="63" t="e">
        <f t="shared" si="337"/>
        <v>#N/A</v>
      </c>
    </row>
    <row r="539" spans="13:146" x14ac:dyDescent="0.3">
      <c r="M539" s="194" t="str">
        <f ca="1">INDEX(Données_ATB!BD:BU,MATCH(MASQ2!O539,Données_ATB!BD:BD,0),18)</f>
        <v/>
      </c>
      <c r="N539" s="14" t="str">
        <f>IFERROR(IF(Q539=0,"",COUNTIF(Q$4:Q$600,"&gt;"&amp;Q539)+COUNTIF(Q$4:Q539,Q539)),"")</f>
        <v/>
      </c>
      <c r="O539" t="str">
        <f>Données_ATB!BD538</f>
        <v>UBROSTAR SUSPENSION INTRAMAMMAIRE HORS LACTATION POUR BOVINS</v>
      </c>
      <c r="P539" t="e">
        <f>IF(IF(X$2="Catégorie",IF(X$3="Toutes",SUMIFS('Étape 1 - à remplir'!$F$31:$F$400,'Étape 1 - à remplir'!$E$31:$E$400,MASQ2!O539,'Étape 1 - à remplir'!$G$31:$G$400,"animaux"),SUMIFS('Étape 1 - à remplir'!$F$31:$F$400,'Étape 1 - à remplir'!$E$31:$E$400,MASQ2!O539,'Étape 1 - à remplir'!$C$31:$C$400,X$3)),IF(X$2="Âge",IF(X$3="Tous",SUMIFS('Étape 1 - à remplir'!$F$31:$F$400,'Étape 1 - à remplir'!$E$31:$E$400,MASQ2!O539,'Étape 1 - à remplir'!$G$31:$G$400,"animaux"),SUMIFS('Étape 1 - à remplir'!$F$31:$F$400,'Étape 1 - à remplir'!$E$31:$E$400,MASQ2!O539,'Étape 1 - à remplir'!$P$31:$P$400,X$3)),IF(X$2="Atelier",IF(X$3="Tous",SUMIFS('Étape 1 - à remplir'!$F$31:$F$400,'Étape 1 - à remplir'!$E$31:$E$400,MASQ2!O539,'Étape 1 - à remplir'!$G$31:$G$400,"animaux"),SUMIFS('Étape 1 - à remplir'!$F$31:$F$400,'Étape 1 - à remplir'!$E$31:$E$400,MASQ2!O539,'Étape 1 - à remplir'!$O$31:$O$400,X$3)),IF(X$2="Espèce",IF(X$3="Toutes",SUMIFS('Étape 1 - à remplir'!$F$31:$F$400,'Étape 1 - à remplir'!$E$31:$E$400,MASQ2!O539,'Étape 1 - à remplir'!$G$31:$G$400,"animaux"),SUMIFS('Étape 1 - à remplir'!$F$31:$F$400,'Étape 1 - à remplir'!$E$31:$E$400,MASQ2!O539,'Étape 1 - à remplir'!$N$31:$N$400,X$3))))))=0,NA(),IF(X$2="Catégorie",IF(X$3="Toutes",SUMIFS('Étape 1 - à remplir'!$F$31:$F$400,'Étape 1 - à remplir'!$E$31:$E$400,MASQ2!O539,'Étape 1 - à remplir'!$G$31:$G$400,"animaux"),SUMIFS('Étape 1 - à remplir'!$F$31:$F$400,'Étape 1 - à remplir'!$E$31:$E$400,MASQ2!O539,'Étape 1 - à remplir'!$C$31:$C$400,X$3)),IF(X$2="Âge",IF(X$3="Tous",SUMIFS('Étape 1 - à remplir'!$F$31:$F$400,'Étape 1 - à remplir'!$E$31:$E$400,MASQ2!O539,'Étape 1 - à remplir'!$G$31:$G$400,"animaux"),SUMIFS('Étape 1 - à remplir'!$F$31:$F$400,'Étape 1 - à remplir'!$E$31:$E$400,MASQ2!O539,'Étape 1 - à remplir'!$P$31:$P$400,X$3)),IF(X$2="Atelier",IF(X$3="Tous",SUMIFS('Étape 1 - à remplir'!$F$31:$F$400,'Étape 1 - à remplir'!$E$31:$E$400,MASQ2!O539,'Étape 1 - à remplir'!$G$31:$G$400,"animaux"),SUMIFS('Étape 1 - à remplir'!$F$31:$F$400,'Étape 1 - à remplir'!$E$31:$E$400,MASQ2!O539,'Étape 1 - à remplir'!$O$31:$O$400,X$3)),IF(X$2="Espèce",IF(X$3="Toutes",SUMIFS('Étape 1 - à remplir'!$F$31:$F$400,'Étape 1 - à remplir'!$E$31:$E$400,MASQ2!O539,'Étape 1 - à remplir'!$G$31:$G$400,"animaux"),SUMIFS('Étape 1 - à remplir'!$F$31:$F$400,'Étape 1 - à remplir'!$E$31:$E$400,MASQ2!O539,'Étape 1 - à remplir'!$N$31:$N$400,X$3)))))))</f>
        <v>#N/A</v>
      </c>
      <c r="Q539" s="63">
        <f t="shared" si="335"/>
        <v>0</v>
      </c>
      <c r="R539" t="str">
        <f>Données_ATB!BM538</f>
        <v>Benzylpénicilline</v>
      </c>
      <c r="S539" t="str">
        <f>Données_ATB!BN538</f>
        <v>Pénéthamate (ou pénéthacilline)</v>
      </c>
      <c r="T539" s="63" t="str">
        <f>Données_ATB!BO538</f>
        <v>Framycétine</v>
      </c>
      <c r="U539" s="42" t="str">
        <f>Données_ATB!BQ538</f>
        <v>Penicillines</v>
      </c>
      <c r="V539" t="str">
        <f>Données_ATB!BR538</f>
        <v>Penicillines</v>
      </c>
      <c r="W539" s="63" t="str">
        <f>Données_ATB!BS538</f>
        <v>Aminoglycosides</v>
      </c>
      <c r="Z539" s="42">
        <v>536</v>
      </c>
      <c r="AA539" t="e">
        <f t="shared" si="331"/>
        <v>#N/A</v>
      </c>
      <c r="AB539" s="63" t="e">
        <f t="shared" si="332"/>
        <v>#N/A</v>
      </c>
      <c r="BT539" s="194" t="str">
        <f t="shared" ca="1" si="315"/>
        <v/>
      </c>
      <c r="BU539" s="219" t="str">
        <f>IFERROR(IF(BX539=0,"",COUNTIF(BX$4:BX$600,"&gt;"&amp;BX539)+COUNTIF(BX$4:BX539,BX539)),"")</f>
        <v/>
      </c>
      <c r="BV539" s="42" t="str">
        <f t="shared" si="316"/>
        <v>UBROSTAR SUSPENSION INTRAMAMMAIRE HORS LACTATION POUR BOVINS</v>
      </c>
      <c r="BW539" t="e">
        <f>IF(IF(CE$2="Catégorie",IF(CE$3="Toutes",SUMIFS('Étape 1 - à remplir'!$F$31:$F$400,'Étape 1 - à remplir'!$E$31:$E$400,MASQ2!BV539,'Étape 1 - à remplir'!$G$31:$G$400,"lots"),SUMIFS('Étape 1 - à remplir'!$F$31:$F$400,'Étape 1 - à remplir'!$E$31:$E$400,MASQ2!BV539,'Étape 1 - à remplir'!$C$31:$C$400,CE$3)),IF(CE$2="Âge",IF(CE$3="Tous",SUMIFS('Étape 1 - à remplir'!$F$31:$F$400,'Étape 1 - à remplir'!$E$31:$E$400,MASQ2!BV539,'Étape 1 - à remplir'!$G$31:$G$400,"lots"),SUMIFS('Étape 1 - à remplir'!$F$31:$F$400,'Étape 1 - à remplir'!$E$31:$E$400,MASQ2!BV539,'Étape 1 - à remplir'!$P$31:$P$400,CE$3,'Étape 1 - à remplir'!$G$31:$G$400,"lots")),IF(CE$2="Atelier",IF(CE$3="Tous",SUMIFS('Étape 1 - à remplir'!$F$31:$F$400,'Étape 1 - à remplir'!$E$31:$E$400,MASQ2!BV539,'Étape 1 - à remplir'!$G$31:$G$400,"lots"),SUMIFS('Étape 1 - à remplir'!$F$31:$F$400,'Étape 1 - à remplir'!$E$31:$E$400,MASQ2!BV539,'Étape 1 - à remplir'!$O$31:$O$400,CE$3,'Étape 1 - à remplir'!$G$31:$G$400,"lots")),IF(CE$2="Espèce",IF(CE$3="Toutes",SUMIFS('Étape 1 - à remplir'!$F$31:$F$400,'Étape 1 - à remplir'!$E$31:$E$400,MASQ2!BV539,'Étape 1 - à remplir'!$G$31:$G$400,"lots"),SUMIFS('Étape 1 - à remplir'!$F$31:$F$400,'Étape 1 - à remplir'!$E$31:$E$400,MASQ2!BV539,'Étape 1 - à remplir'!$N$31:$N$400,CE$3,'Étape 1 - à remplir'!$G$31:$G$400,"lots"))))))=0,NA(),IF(CE$2="Catégorie",IF(CE$3="Toutes",SUMIFS('Étape 1 - à remplir'!$F$31:$F$400,'Étape 1 - à remplir'!$E$31:$E$400,MASQ2!BV539,'Étape 1 - à remplir'!$G$31:$G$400,"lots"),SUMIFS('Étape 1 - à remplir'!$F$31:$F$400,'Étape 1 - à remplir'!$E$31:$E$400,MASQ2!BV539,'Étape 1 - à remplir'!$C$31:$C$400,CE$3)),IF(CE$2="Âge",IF(CE$3="Tous",SUMIFS('Étape 1 - à remplir'!$F$31:$F$400,'Étape 1 - à remplir'!$E$31:$E$400,MASQ2!BV539,'Étape 1 - à remplir'!$G$31:$G$400,"lots"),SUMIFS('Étape 1 - à remplir'!$F$31:$F$400,'Étape 1 - à remplir'!$E$31:$E$400,MASQ2!BV539,'Étape 1 - à remplir'!$P$31:$P$400,CE$3,'Étape 1 - à remplir'!$G$31:$G$400,"lots")),IF(CE$2="Atelier",IF(CE$3="Tous",SUMIFS('Étape 1 - à remplir'!$F$31:$F$400,'Étape 1 - à remplir'!$E$31:$E$400,MASQ2!BV539,'Étape 1 - à remplir'!$G$31:$G$400,"lots"),SUMIFS('Étape 1 - à remplir'!$F$31:$F$400,'Étape 1 - à remplir'!$E$31:$E$400,MASQ2!BV539,'Étape 1 - à remplir'!$O$31:$O$400,CE$3,'Étape 1 - à remplir'!$G$31:$G$400,"lots")),IF(CE$2="Espèce",IF(CE$3="Toutes",SUMIFS('Étape 1 - à remplir'!$F$31:$F$400,'Étape 1 - à remplir'!$E$31:$E$400,MASQ2!BV539,'Étape 1 - à remplir'!$G$31:$G$400,"lots"),SUMIFS('Étape 1 - à remplir'!$F$31:$F$400,'Étape 1 - à remplir'!$E$31:$E$400,MASQ2!BV539,'Étape 1 - à remplir'!$N$31:$N$400,CE$3,'Étape 1 - à remplir'!$G$31:$G$400,"lots")))))))</f>
        <v>#N/A</v>
      </c>
      <c r="BX539">
        <f t="shared" si="333"/>
        <v>0</v>
      </c>
      <c r="BY539" t="str">
        <f t="shared" si="317"/>
        <v>Benzylpénicilline</v>
      </c>
      <c r="BZ539" t="str">
        <f t="shared" si="318"/>
        <v>Pénéthamate (ou pénéthacilline)</v>
      </c>
      <c r="CA539" t="str">
        <f t="shared" si="319"/>
        <v>Framycétine</v>
      </c>
      <c r="CB539" t="str">
        <f t="shared" si="320"/>
        <v>Penicillines</v>
      </c>
      <c r="CC539" t="str">
        <f t="shared" si="321"/>
        <v>Penicillines</v>
      </c>
      <c r="CD539" s="63" t="str">
        <f t="shared" si="322"/>
        <v>Aminoglycosides</v>
      </c>
      <c r="CG539" s="42">
        <v>536</v>
      </c>
      <c r="CH539" s="42" t="e">
        <f t="shared" si="338"/>
        <v>#N/A</v>
      </c>
      <c r="CI539" s="63" t="e">
        <f t="shared" si="339"/>
        <v>#N/A</v>
      </c>
      <c r="EA539" s="194" t="str">
        <f t="shared" ca="1" si="323"/>
        <v/>
      </c>
      <c r="EB539" s="226" t="str">
        <f>IFERROR(IF(ED539=0,"",COUNTIF(ED$4:ED$600,"&gt;"&amp;ED539)+COUNTIF(ED$4:ED539,ED539)),"")</f>
        <v/>
      </c>
      <c r="EC539" t="str">
        <f t="shared" si="324"/>
        <v>UBROSTAR SUSPENSION INTRAMAMMAIRE HORS LACTATION POUR BOVINS</v>
      </c>
      <c r="ED539" t="e">
        <f>IF(IF(EL$2="Catégorie",IF(EL$3="Toutes",SUMIFS('Étape 1 - à remplir'!$F$31:$F$400,'Étape 1 - à remplir'!$E$31:$E$400,MASQ2!EC539,'Étape 1 - à remplir'!$G$31:$G$400,"kg"),SUMIFS('Étape 1 - à remplir'!$F$31:$F$400,'Étape 1 - à remplir'!$E$31:$E$400,MASQ2!EC539,'Étape 1 - à remplir'!$C$31:$C$400,EL$3)),IF(EL$2="Âge",IF(EL$3="Tous",SUMIFS('Étape 1 - à remplir'!$F$31:$F$400,'Étape 1 - à remplir'!$E$31:$E$400,MASQ2!EC539,'Étape 1 - à remplir'!$G$31:$G$400,"kg"),SUMIFS('Étape 1 - à remplir'!$F$31:$F$400,'Étape 1 - à remplir'!$E$31:$E$400,MASQ2!EC539,'Étape 1 - à remplir'!$P$31:$P$400,EL$3,'Étape 1 - à remplir'!$G$31:$G$400,"kg")),IF(EL$2="Atelier",IF(EL$3="Tous",SUMIFS('Étape 1 - à remplir'!$F$31:$F$400,'Étape 1 - à remplir'!$E$31:$E$400,MASQ2!EC539,'Étape 1 - à remplir'!$G$31:$G$400,"kg"),SUMIFS('Étape 1 - à remplir'!$F$31:$F$400,'Étape 1 - à remplir'!$E$31:$E$400,MASQ2!EC539,'Étape 1 - à remplir'!$O$31:$O$400,EL$3,'Étape 1 - à remplir'!$G$31:$G$400,"kg")),IF(EL$2="Espèce",IF(EL$3="Toutes",SUMIFS('Étape 1 - à remplir'!$F$31:$F$400,'Étape 1 - à remplir'!$E$31:$E$400,MASQ2!EC539,'Étape 1 - à remplir'!$G$31:$G$400,"kg"),SUMIFS('Étape 1 - à remplir'!$F$31:$F$400,'Étape 1 - à remplir'!$E$31:$E$400,MASQ2!EC539,'Étape 1 - à remplir'!$N$31:$N$400,EL$3,'Étape 1 - à remplir'!$G$31:$G$400,"kg"))))))=0,NA(),IF(EL$2="Catégorie",IF(EL$3="Toutes",SUMIFS('Étape 1 - à remplir'!$F$31:$F$400,'Étape 1 - à remplir'!$E$31:$E$400,MASQ2!EC539,'Étape 1 - à remplir'!$G$31:$G$400,"kg"),SUMIFS('Étape 1 - à remplir'!$F$31:$F$400,'Étape 1 - à remplir'!$E$31:$E$400,MASQ2!EC539,'Étape 1 - à remplir'!$C$31:$C$400,EL$3)),IF(EL$2="Âge",IF(EL$3="Tous",SUMIFS('Étape 1 - à remplir'!$F$31:$F$400,'Étape 1 - à remplir'!$E$31:$E$400,MASQ2!EC539,'Étape 1 - à remplir'!$G$31:$G$400,"kg"),SUMIFS('Étape 1 - à remplir'!$F$31:$F$400,'Étape 1 - à remplir'!$E$31:$E$400,MASQ2!EC539,'Étape 1 - à remplir'!$P$31:$P$400,EL$3,'Étape 1 - à remplir'!$G$31:$G$400,"kg")),IF(EL$2="Atelier",IF(EL$3="Tous",SUMIFS('Étape 1 - à remplir'!$F$31:$F$400,'Étape 1 - à remplir'!$E$31:$E$400,MASQ2!EC539,'Étape 1 - à remplir'!$G$31:$G$400,"kg"),SUMIFS('Étape 1 - à remplir'!$F$31:$F$400,'Étape 1 - à remplir'!$E$31:$E$400,MASQ2!EC539,'Étape 1 - à remplir'!$O$31:$O$400,EL$3,'Étape 1 - à remplir'!$G$31:$G$400,"kg")),IF(EL$2="Espèce",IF(EL$3="Toutes",SUMIFS('Étape 1 - à remplir'!$F$31:$F$400,'Étape 1 - à remplir'!$E$31:$E$400,MASQ2!EC539,'Étape 1 - à remplir'!$G$31:$G$400,"kg"),SUMIFS('Étape 1 - à remplir'!$F$31:$F$400,'Étape 1 - à remplir'!$E$31:$E$400,MASQ2!EC539,'Étape 1 - à remplir'!$N$31:$N$400,EL$3,'Étape 1 - à remplir'!$G$31:$G$400,"kg")))))))</f>
        <v>#N/A</v>
      </c>
      <c r="EE539" s="76">
        <f t="shared" si="334"/>
        <v>0</v>
      </c>
      <c r="EF539" t="str">
        <f t="shared" si="325"/>
        <v>Benzylpénicilline</v>
      </c>
      <c r="EG539" t="str">
        <f t="shared" si="326"/>
        <v>Pénéthamate (ou pénéthacilline)</v>
      </c>
      <c r="EH539" t="str">
        <f t="shared" si="327"/>
        <v>Framycétine</v>
      </c>
      <c r="EI539" t="str">
        <f t="shared" si="328"/>
        <v>Penicillines</v>
      </c>
      <c r="EJ539" t="str">
        <f t="shared" si="329"/>
        <v>Penicillines</v>
      </c>
      <c r="EK539" s="63" t="str">
        <f t="shared" si="330"/>
        <v>Aminoglycosides</v>
      </c>
      <c r="EN539" s="42">
        <v>536</v>
      </c>
      <c r="EO539" t="e">
        <f t="shared" si="336"/>
        <v>#N/A</v>
      </c>
      <c r="EP539" s="63" t="e">
        <f t="shared" si="337"/>
        <v>#N/A</v>
      </c>
    </row>
    <row r="540" spans="13:146" x14ac:dyDescent="0.3">
      <c r="M540" s="194" t="str">
        <f ca="1">INDEX(Données_ATB!BD:BU,MATCH(MASQ2!O540,Données_ATB!BD:BD,0),18)</f>
        <v>x</v>
      </c>
      <c r="N540" s="14" t="str">
        <f>IFERROR(IF(Q540=0,"",COUNTIF(Q$4:Q$600,"&gt;"&amp;Q540)+COUNTIF(Q$4:Q540,Q540)),"")</f>
        <v/>
      </c>
      <c r="O540" t="str">
        <f>Données_ATB!BD539</f>
        <v>UCAMIX V COLISTINE 200 LAPIN-VOLAILLE-PORC ET VEAU-AGNEAU-CHEVREAU SEVRES</v>
      </c>
      <c r="P540" t="e">
        <f>IF(IF(X$2="Catégorie",IF(X$3="Toutes",SUMIFS('Étape 1 - à remplir'!$F$31:$F$400,'Étape 1 - à remplir'!$E$31:$E$400,MASQ2!O540,'Étape 1 - à remplir'!$G$31:$G$400,"animaux"),SUMIFS('Étape 1 - à remplir'!$F$31:$F$400,'Étape 1 - à remplir'!$E$31:$E$400,MASQ2!O540,'Étape 1 - à remplir'!$C$31:$C$400,X$3)),IF(X$2="Âge",IF(X$3="Tous",SUMIFS('Étape 1 - à remplir'!$F$31:$F$400,'Étape 1 - à remplir'!$E$31:$E$400,MASQ2!O540,'Étape 1 - à remplir'!$G$31:$G$400,"animaux"),SUMIFS('Étape 1 - à remplir'!$F$31:$F$400,'Étape 1 - à remplir'!$E$31:$E$400,MASQ2!O540,'Étape 1 - à remplir'!$P$31:$P$400,X$3)),IF(X$2="Atelier",IF(X$3="Tous",SUMIFS('Étape 1 - à remplir'!$F$31:$F$400,'Étape 1 - à remplir'!$E$31:$E$400,MASQ2!O540,'Étape 1 - à remplir'!$G$31:$G$400,"animaux"),SUMIFS('Étape 1 - à remplir'!$F$31:$F$400,'Étape 1 - à remplir'!$E$31:$E$400,MASQ2!O540,'Étape 1 - à remplir'!$O$31:$O$400,X$3)),IF(X$2="Espèce",IF(X$3="Toutes",SUMIFS('Étape 1 - à remplir'!$F$31:$F$400,'Étape 1 - à remplir'!$E$31:$E$400,MASQ2!O540,'Étape 1 - à remplir'!$G$31:$G$400,"animaux"),SUMIFS('Étape 1 - à remplir'!$F$31:$F$400,'Étape 1 - à remplir'!$E$31:$E$400,MASQ2!O540,'Étape 1 - à remplir'!$N$31:$N$400,X$3))))))=0,NA(),IF(X$2="Catégorie",IF(X$3="Toutes",SUMIFS('Étape 1 - à remplir'!$F$31:$F$400,'Étape 1 - à remplir'!$E$31:$E$400,MASQ2!O540,'Étape 1 - à remplir'!$G$31:$G$400,"animaux"),SUMIFS('Étape 1 - à remplir'!$F$31:$F$400,'Étape 1 - à remplir'!$E$31:$E$400,MASQ2!O540,'Étape 1 - à remplir'!$C$31:$C$400,X$3)),IF(X$2="Âge",IF(X$3="Tous",SUMIFS('Étape 1 - à remplir'!$F$31:$F$400,'Étape 1 - à remplir'!$E$31:$E$400,MASQ2!O540,'Étape 1 - à remplir'!$G$31:$G$400,"animaux"),SUMIFS('Étape 1 - à remplir'!$F$31:$F$400,'Étape 1 - à remplir'!$E$31:$E$400,MASQ2!O540,'Étape 1 - à remplir'!$P$31:$P$400,X$3)),IF(X$2="Atelier",IF(X$3="Tous",SUMIFS('Étape 1 - à remplir'!$F$31:$F$400,'Étape 1 - à remplir'!$E$31:$E$400,MASQ2!O540,'Étape 1 - à remplir'!$G$31:$G$400,"animaux"),SUMIFS('Étape 1 - à remplir'!$F$31:$F$400,'Étape 1 - à remplir'!$E$31:$E$400,MASQ2!O540,'Étape 1 - à remplir'!$O$31:$O$400,X$3)),IF(X$2="Espèce",IF(X$3="Toutes",SUMIFS('Étape 1 - à remplir'!$F$31:$F$400,'Étape 1 - à remplir'!$E$31:$E$400,MASQ2!O540,'Étape 1 - à remplir'!$G$31:$G$400,"animaux"),SUMIFS('Étape 1 - à remplir'!$F$31:$F$400,'Étape 1 - à remplir'!$E$31:$E$400,MASQ2!O540,'Étape 1 - à remplir'!$N$31:$N$400,X$3)))))))</f>
        <v>#N/A</v>
      </c>
      <c r="Q540" s="63">
        <f t="shared" si="335"/>
        <v>0</v>
      </c>
      <c r="R540" t="str">
        <f>Données_ATB!BM539</f>
        <v>Colistine</v>
      </c>
      <c r="S540" t="str">
        <f>Données_ATB!BN539</f>
        <v/>
      </c>
      <c r="T540" s="63" t="str">
        <f>Données_ATB!BO539</f>
        <v/>
      </c>
      <c r="U540" s="42" t="str">
        <f>Données_ATB!BQ539</f>
        <v>Polypeptides</v>
      </c>
      <c r="V540" t="str">
        <f>Données_ATB!BR539</f>
        <v/>
      </c>
      <c r="W540" s="63" t="str">
        <f>Données_ATB!BS539</f>
        <v/>
      </c>
      <c r="Z540" s="42">
        <v>537</v>
      </c>
      <c r="AA540" t="e">
        <f t="shared" si="331"/>
        <v>#N/A</v>
      </c>
      <c r="AB540" s="63" t="e">
        <f t="shared" si="332"/>
        <v>#N/A</v>
      </c>
      <c r="BT540" s="194" t="str">
        <f t="shared" ca="1" si="315"/>
        <v>x</v>
      </c>
      <c r="BU540" s="219" t="str">
        <f>IFERROR(IF(BX540=0,"",COUNTIF(BX$4:BX$600,"&gt;"&amp;BX540)+COUNTIF(BX$4:BX540,BX540)),"")</f>
        <v/>
      </c>
      <c r="BV540" s="42" t="str">
        <f t="shared" si="316"/>
        <v>UCAMIX V COLISTINE 200 LAPIN-VOLAILLE-PORC ET VEAU-AGNEAU-CHEVREAU SEVRES</v>
      </c>
      <c r="BW540" t="e">
        <f>IF(IF(CE$2="Catégorie",IF(CE$3="Toutes",SUMIFS('Étape 1 - à remplir'!$F$31:$F$400,'Étape 1 - à remplir'!$E$31:$E$400,MASQ2!BV540,'Étape 1 - à remplir'!$G$31:$G$400,"lots"),SUMIFS('Étape 1 - à remplir'!$F$31:$F$400,'Étape 1 - à remplir'!$E$31:$E$400,MASQ2!BV540,'Étape 1 - à remplir'!$C$31:$C$400,CE$3)),IF(CE$2="Âge",IF(CE$3="Tous",SUMIFS('Étape 1 - à remplir'!$F$31:$F$400,'Étape 1 - à remplir'!$E$31:$E$400,MASQ2!BV540,'Étape 1 - à remplir'!$G$31:$G$400,"lots"),SUMIFS('Étape 1 - à remplir'!$F$31:$F$400,'Étape 1 - à remplir'!$E$31:$E$400,MASQ2!BV540,'Étape 1 - à remplir'!$P$31:$P$400,CE$3,'Étape 1 - à remplir'!$G$31:$G$400,"lots")),IF(CE$2="Atelier",IF(CE$3="Tous",SUMIFS('Étape 1 - à remplir'!$F$31:$F$400,'Étape 1 - à remplir'!$E$31:$E$400,MASQ2!BV540,'Étape 1 - à remplir'!$G$31:$G$400,"lots"),SUMIFS('Étape 1 - à remplir'!$F$31:$F$400,'Étape 1 - à remplir'!$E$31:$E$400,MASQ2!BV540,'Étape 1 - à remplir'!$O$31:$O$400,CE$3,'Étape 1 - à remplir'!$G$31:$G$400,"lots")),IF(CE$2="Espèce",IF(CE$3="Toutes",SUMIFS('Étape 1 - à remplir'!$F$31:$F$400,'Étape 1 - à remplir'!$E$31:$E$400,MASQ2!BV540,'Étape 1 - à remplir'!$G$31:$G$400,"lots"),SUMIFS('Étape 1 - à remplir'!$F$31:$F$400,'Étape 1 - à remplir'!$E$31:$E$400,MASQ2!BV540,'Étape 1 - à remplir'!$N$31:$N$400,CE$3,'Étape 1 - à remplir'!$G$31:$G$400,"lots"))))))=0,NA(),IF(CE$2="Catégorie",IF(CE$3="Toutes",SUMIFS('Étape 1 - à remplir'!$F$31:$F$400,'Étape 1 - à remplir'!$E$31:$E$400,MASQ2!BV540,'Étape 1 - à remplir'!$G$31:$G$400,"lots"),SUMIFS('Étape 1 - à remplir'!$F$31:$F$400,'Étape 1 - à remplir'!$E$31:$E$400,MASQ2!BV540,'Étape 1 - à remplir'!$C$31:$C$400,CE$3)),IF(CE$2="Âge",IF(CE$3="Tous",SUMIFS('Étape 1 - à remplir'!$F$31:$F$400,'Étape 1 - à remplir'!$E$31:$E$400,MASQ2!BV540,'Étape 1 - à remplir'!$G$31:$G$400,"lots"),SUMIFS('Étape 1 - à remplir'!$F$31:$F$400,'Étape 1 - à remplir'!$E$31:$E$400,MASQ2!BV540,'Étape 1 - à remplir'!$P$31:$P$400,CE$3,'Étape 1 - à remplir'!$G$31:$G$400,"lots")),IF(CE$2="Atelier",IF(CE$3="Tous",SUMIFS('Étape 1 - à remplir'!$F$31:$F$400,'Étape 1 - à remplir'!$E$31:$E$400,MASQ2!BV540,'Étape 1 - à remplir'!$G$31:$G$400,"lots"),SUMIFS('Étape 1 - à remplir'!$F$31:$F$400,'Étape 1 - à remplir'!$E$31:$E$400,MASQ2!BV540,'Étape 1 - à remplir'!$O$31:$O$400,CE$3,'Étape 1 - à remplir'!$G$31:$G$400,"lots")),IF(CE$2="Espèce",IF(CE$3="Toutes",SUMIFS('Étape 1 - à remplir'!$F$31:$F$400,'Étape 1 - à remplir'!$E$31:$E$400,MASQ2!BV540,'Étape 1 - à remplir'!$G$31:$G$400,"lots"),SUMIFS('Étape 1 - à remplir'!$F$31:$F$400,'Étape 1 - à remplir'!$E$31:$E$400,MASQ2!BV540,'Étape 1 - à remplir'!$N$31:$N$400,CE$3,'Étape 1 - à remplir'!$G$31:$G$400,"lots")))))))</f>
        <v>#N/A</v>
      </c>
      <c r="BX540">
        <f t="shared" si="333"/>
        <v>0</v>
      </c>
      <c r="BY540" t="str">
        <f t="shared" si="317"/>
        <v>Colistine</v>
      </c>
      <c r="BZ540" t="str">
        <f t="shared" si="318"/>
        <v/>
      </c>
      <c r="CA540" t="str">
        <f t="shared" si="319"/>
        <v/>
      </c>
      <c r="CB540" t="str">
        <f t="shared" si="320"/>
        <v>Polypeptides</v>
      </c>
      <c r="CC540" t="str">
        <f t="shared" si="321"/>
        <v/>
      </c>
      <c r="CD540" s="63" t="str">
        <f t="shared" si="322"/>
        <v/>
      </c>
      <c r="CG540" s="42">
        <v>537</v>
      </c>
      <c r="CH540" s="42" t="e">
        <f t="shared" si="338"/>
        <v>#N/A</v>
      </c>
      <c r="CI540" s="63" t="e">
        <f t="shared" si="339"/>
        <v>#N/A</v>
      </c>
      <c r="EA540" s="194" t="str">
        <f t="shared" ca="1" si="323"/>
        <v>x</v>
      </c>
      <c r="EB540" s="226" t="str">
        <f>IFERROR(IF(ED540=0,"",COUNTIF(ED$4:ED$600,"&gt;"&amp;ED540)+COUNTIF(ED$4:ED540,ED540)),"")</f>
        <v/>
      </c>
      <c r="EC540" t="str">
        <f t="shared" si="324"/>
        <v>UCAMIX V COLISTINE 200 LAPIN-VOLAILLE-PORC ET VEAU-AGNEAU-CHEVREAU SEVRES</v>
      </c>
      <c r="ED540" t="e">
        <f>IF(IF(EL$2="Catégorie",IF(EL$3="Toutes",SUMIFS('Étape 1 - à remplir'!$F$31:$F$400,'Étape 1 - à remplir'!$E$31:$E$400,MASQ2!EC540,'Étape 1 - à remplir'!$G$31:$G$400,"kg"),SUMIFS('Étape 1 - à remplir'!$F$31:$F$400,'Étape 1 - à remplir'!$E$31:$E$400,MASQ2!EC540,'Étape 1 - à remplir'!$C$31:$C$400,EL$3)),IF(EL$2="Âge",IF(EL$3="Tous",SUMIFS('Étape 1 - à remplir'!$F$31:$F$400,'Étape 1 - à remplir'!$E$31:$E$400,MASQ2!EC540,'Étape 1 - à remplir'!$G$31:$G$400,"kg"),SUMIFS('Étape 1 - à remplir'!$F$31:$F$400,'Étape 1 - à remplir'!$E$31:$E$400,MASQ2!EC540,'Étape 1 - à remplir'!$P$31:$P$400,EL$3,'Étape 1 - à remplir'!$G$31:$G$400,"kg")),IF(EL$2="Atelier",IF(EL$3="Tous",SUMIFS('Étape 1 - à remplir'!$F$31:$F$400,'Étape 1 - à remplir'!$E$31:$E$400,MASQ2!EC540,'Étape 1 - à remplir'!$G$31:$G$400,"kg"),SUMIFS('Étape 1 - à remplir'!$F$31:$F$400,'Étape 1 - à remplir'!$E$31:$E$400,MASQ2!EC540,'Étape 1 - à remplir'!$O$31:$O$400,EL$3,'Étape 1 - à remplir'!$G$31:$G$400,"kg")),IF(EL$2="Espèce",IF(EL$3="Toutes",SUMIFS('Étape 1 - à remplir'!$F$31:$F$400,'Étape 1 - à remplir'!$E$31:$E$400,MASQ2!EC540,'Étape 1 - à remplir'!$G$31:$G$400,"kg"),SUMIFS('Étape 1 - à remplir'!$F$31:$F$400,'Étape 1 - à remplir'!$E$31:$E$400,MASQ2!EC540,'Étape 1 - à remplir'!$N$31:$N$400,EL$3,'Étape 1 - à remplir'!$G$31:$G$400,"kg"))))))=0,NA(),IF(EL$2="Catégorie",IF(EL$3="Toutes",SUMIFS('Étape 1 - à remplir'!$F$31:$F$400,'Étape 1 - à remplir'!$E$31:$E$400,MASQ2!EC540,'Étape 1 - à remplir'!$G$31:$G$400,"kg"),SUMIFS('Étape 1 - à remplir'!$F$31:$F$400,'Étape 1 - à remplir'!$E$31:$E$400,MASQ2!EC540,'Étape 1 - à remplir'!$C$31:$C$400,EL$3)),IF(EL$2="Âge",IF(EL$3="Tous",SUMIFS('Étape 1 - à remplir'!$F$31:$F$400,'Étape 1 - à remplir'!$E$31:$E$400,MASQ2!EC540,'Étape 1 - à remplir'!$G$31:$G$400,"kg"),SUMIFS('Étape 1 - à remplir'!$F$31:$F$400,'Étape 1 - à remplir'!$E$31:$E$400,MASQ2!EC540,'Étape 1 - à remplir'!$P$31:$P$400,EL$3,'Étape 1 - à remplir'!$G$31:$G$400,"kg")),IF(EL$2="Atelier",IF(EL$3="Tous",SUMIFS('Étape 1 - à remplir'!$F$31:$F$400,'Étape 1 - à remplir'!$E$31:$E$400,MASQ2!EC540,'Étape 1 - à remplir'!$G$31:$G$400,"kg"),SUMIFS('Étape 1 - à remplir'!$F$31:$F$400,'Étape 1 - à remplir'!$E$31:$E$400,MASQ2!EC540,'Étape 1 - à remplir'!$O$31:$O$400,EL$3,'Étape 1 - à remplir'!$G$31:$G$400,"kg")),IF(EL$2="Espèce",IF(EL$3="Toutes",SUMIFS('Étape 1 - à remplir'!$F$31:$F$400,'Étape 1 - à remplir'!$E$31:$E$400,MASQ2!EC540,'Étape 1 - à remplir'!$G$31:$G$400,"kg"),SUMIFS('Étape 1 - à remplir'!$F$31:$F$400,'Étape 1 - à remplir'!$E$31:$E$400,MASQ2!EC540,'Étape 1 - à remplir'!$N$31:$N$400,EL$3,'Étape 1 - à remplir'!$G$31:$G$400,"kg")))))))</f>
        <v>#N/A</v>
      </c>
      <c r="EE540" s="76">
        <f t="shared" si="334"/>
        <v>0</v>
      </c>
      <c r="EF540" t="str">
        <f t="shared" si="325"/>
        <v>Colistine</v>
      </c>
      <c r="EG540" t="str">
        <f t="shared" si="326"/>
        <v/>
      </c>
      <c r="EH540" t="str">
        <f t="shared" si="327"/>
        <v/>
      </c>
      <c r="EI540" t="str">
        <f t="shared" si="328"/>
        <v>Polypeptides</v>
      </c>
      <c r="EJ540" t="str">
        <f t="shared" si="329"/>
        <v/>
      </c>
      <c r="EK540" s="63" t="str">
        <f t="shared" si="330"/>
        <v/>
      </c>
      <c r="EN540" s="42">
        <v>537</v>
      </c>
      <c r="EO540" t="e">
        <f t="shared" si="336"/>
        <v>#N/A</v>
      </c>
      <c r="EP540" s="63" t="e">
        <f t="shared" si="337"/>
        <v>#N/A</v>
      </c>
    </row>
    <row r="541" spans="13:146" x14ac:dyDescent="0.3">
      <c r="M541" s="194" t="str">
        <f ca="1">INDEX(Données_ATB!BD:BU,MATCH(MASQ2!O541,Données_ATB!BD:BD,0),18)</f>
        <v>x</v>
      </c>
      <c r="N541" s="14" t="str">
        <f>IFERROR(IF(Q541=0,"",COUNTIF(Q$4:Q$600,"&gt;"&amp;Q541)+COUNTIF(Q$4:Q541,Q541)),"")</f>
        <v/>
      </c>
      <c r="O541" t="str">
        <f>Données_ATB!BD540</f>
        <v>UCAMIX V COLISTINE 400 PORC</v>
      </c>
      <c r="P541" t="e">
        <f>IF(IF(X$2="Catégorie",IF(X$3="Toutes",SUMIFS('Étape 1 - à remplir'!$F$31:$F$400,'Étape 1 - à remplir'!$E$31:$E$400,MASQ2!O541,'Étape 1 - à remplir'!$G$31:$G$400,"animaux"),SUMIFS('Étape 1 - à remplir'!$F$31:$F$400,'Étape 1 - à remplir'!$E$31:$E$400,MASQ2!O541,'Étape 1 - à remplir'!$C$31:$C$400,X$3)),IF(X$2="Âge",IF(X$3="Tous",SUMIFS('Étape 1 - à remplir'!$F$31:$F$400,'Étape 1 - à remplir'!$E$31:$E$400,MASQ2!O541,'Étape 1 - à remplir'!$G$31:$G$400,"animaux"),SUMIFS('Étape 1 - à remplir'!$F$31:$F$400,'Étape 1 - à remplir'!$E$31:$E$400,MASQ2!O541,'Étape 1 - à remplir'!$P$31:$P$400,X$3)),IF(X$2="Atelier",IF(X$3="Tous",SUMIFS('Étape 1 - à remplir'!$F$31:$F$400,'Étape 1 - à remplir'!$E$31:$E$400,MASQ2!O541,'Étape 1 - à remplir'!$G$31:$G$400,"animaux"),SUMIFS('Étape 1 - à remplir'!$F$31:$F$400,'Étape 1 - à remplir'!$E$31:$E$400,MASQ2!O541,'Étape 1 - à remplir'!$O$31:$O$400,X$3)),IF(X$2="Espèce",IF(X$3="Toutes",SUMIFS('Étape 1 - à remplir'!$F$31:$F$400,'Étape 1 - à remplir'!$E$31:$E$400,MASQ2!O541,'Étape 1 - à remplir'!$G$31:$G$400,"animaux"),SUMIFS('Étape 1 - à remplir'!$F$31:$F$400,'Étape 1 - à remplir'!$E$31:$E$400,MASQ2!O541,'Étape 1 - à remplir'!$N$31:$N$400,X$3))))))=0,NA(),IF(X$2="Catégorie",IF(X$3="Toutes",SUMIFS('Étape 1 - à remplir'!$F$31:$F$400,'Étape 1 - à remplir'!$E$31:$E$400,MASQ2!O541,'Étape 1 - à remplir'!$G$31:$G$400,"animaux"),SUMIFS('Étape 1 - à remplir'!$F$31:$F$400,'Étape 1 - à remplir'!$E$31:$E$400,MASQ2!O541,'Étape 1 - à remplir'!$C$31:$C$400,X$3)),IF(X$2="Âge",IF(X$3="Tous",SUMIFS('Étape 1 - à remplir'!$F$31:$F$400,'Étape 1 - à remplir'!$E$31:$E$400,MASQ2!O541,'Étape 1 - à remplir'!$G$31:$G$400,"animaux"),SUMIFS('Étape 1 - à remplir'!$F$31:$F$400,'Étape 1 - à remplir'!$E$31:$E$400,MASQ2!O541,'Étape 1 - à remplir'!$P$31:$P$400,X$3)),IF(X$2="Atelier",IF(X$3="Tous",SUMIFS('Étape 1 - à remplir'!$F$31:$F$400,'Étape 1 - à remplir'!$E$31:$E$400,MASQ2!O541,'Étape 1 - à remplir'!$G$31:$G$400,"animaux"),SUMIFS('Étape 1 - à remplir'!$F$31:$F$400,'Étape 1 - à remplir'!$E$31:$E$400,MASQ2!O541,'Étape 1 - à remplir'!$O$31:$O$400,X$3)),IF(X$2="Espèce",IF(X$3="Toutes",SUMIFS('Étape 1 - à remplir'!$F$31:$F$400,'Étape 1 - à remplir'!$E$31:$E$400,MASQ2!O541,'Étape 1 - à remplir'!$G$31:$G$400,"animaux"),SUMIFS('Étape 1 - à remplir'!$F$31:$F$400,'Étape 1 - à remplir'!$E$31:$E$400,MASQ2!O541,'Étape 1 - à remplir'!$N$31:$N$400,X$3)))))))</f>
        <v>#N/A</v>
      </c>
      <c r="Q541" s="63">
        <f t="shared" si="335"/>
        <v>0</v>
      </c>
      <c r="R541" t="str">
        <f>Données_ATB!BM540</f>
        <v>Colistine</v>
      </c>
      <c r="S541" t="str">
        <f>Données_ATB!BN540</f>
        <v/>
      </c>
      <c r="T541" s="63" t="str">
        <f>Données_ATB!BO540</f>
        <v/>
      </c>
      <c r="U541" s="42" t="str">
        <f>Données_ATB!BQ540</f>
        <v>Polypeptides</v>
      </c>
      <c r="V541" t="str">
        <f>Données_ATB!BR540</f>
        <v/>
      </c>
      <c r="W541" s="63" t="str">
        <f>Données_ATB!BS540</f>
        <v/>
      </c>
      <c r="Z541" s="42">
        <v>538</v>
      </c>
      <c r="AA541" t="e">
        <f t="shared" si="331"/>
        <v>#N/A</v>
      </c>
      <c r="AB541" s="63" t="e">
        <f t="shared" si="332"/>
        <v>#N/A</v>
      </c>
      <c r="BT541" s="194" t="str">
        <f t="shared" ca="1" si="315"/>
        <v>x</v>
      </c>
      <c r="BU541" s="219" t="str">
        <f>IFERROR(IF(BX541=0,"",COUNTIF(BX$4:BX$600,"&gt;"&amp;BX541)+COUNTIF(BX$4:BX541,BX541)),"")</f>
        <v/>
      </c>
      <c r="BV541" s="42" t="str">
        <f t="shared" si="316"/>
        <v>UCAMIX V COLISTINE 400 PORC</v>
      </c>
      <c r="BW541" t="e">
        <f>IF(IF(CE$2="Catégorie",IF(CE$3="Toutes",SUMIFS('Étape 1 - à remplir'!$F$31:$F$400,'Étape 1 - à remplir'!$E$31:$E$400,MASQ2!BV541,'Étape 1 - à remplir'!$G$31:$G$400,"lots"),SUMIFS('Étape 1 - à remplir'!$F$31:$F$400,'Étape 1 - à remplir'!$E$31:$E$400,MASQ2!BV541,'Étape 1 - à remplir'!$C$31:$C$400,CE$3)),IF(CE$2="Âge",IF(CE$3="Tous",SUMIFS('Étape 1 - à remplir'!$F$31:$F$400,'Étape 1 - à remplir'!$E$31:$E$400,MASQ2!BV541,'Étape 1 - à remplir'!$G$31:$G$400,"lots"),SUMIFS('Étape 1 - à remplir'!$F$31:$F$400,'Étape 1 - à remplir'!$E$31:$E$400,MASQ2!BV541,'Étape 1 - à remplir'!$P$31:$P$400,CE$3,'Étape 1 - à remplir'!$G$31:$G$400,"lots")),IF(CE$2="Atelier",IF(CE$3="Tous",SUMIFS('Étape 1 - à remplir'!$F$31:$F$400,'Étape 1 - à remplir'!$E$31:$E$400,MASQ2!BV541,'Étape 1 - à remplir'!$G$31:$G$400,"lots"),SUMIFS('Étape 1 - à remplir'!$F$31:$F$400,'Étape 1 - à remplir'!$E$31:$E$400,MASQ2!BV541,'Étape 1 - à remplir'!$O$31:$O$400,CE$3,'Étape 1 - à remplir'!$G$31:$G$400,"lots")),IF(CE$2="Espèce",IF(CE$3="Toutes",SUMIFS('Étape 1 - à remplir'!$F$31:$F$400,'Étape 1 - à remplir'!$E$31:$E$400,MASQ2!BV541,'Étape 1 - à remplir'!$G$31:$G$400,"lots"),SUMIFS('Étape 1 - à remplir'!$F$31:$F$400,'Étape 1 - à remplir'!$E$31:$E$400,MASQ2!BV541,'Étape 1 - à remplir'!$N$31:$N$400,CE$3,'Étape 1 - à remplir'!$G$31:$G$400,"lots"))))))=0,NA(),IF(CE$2="Catégorie",IF(CE$3="Toutes",SUMIFS('Étape 1 - à remplir'!$F$31:$F$400,'Étape 1 - à remplir'!$E$31:$E$400,MASQ2!BV541,'Étape 1 - à remplir'!$G$31:$G$400,"lots"),SUMIFS('Étape 1 - à remplir'!$F$31:$F$400,'Étape 1 - à remplir'!$E$31:$E$400,MASQ2!BV541,'Étape 1 - à remplir'!$C$31:$C$400,CE$3)),IF(CE$2="Âge",IF(CE$3="Tous",SUMIFS('Étape 1 - à remplir'!$F$31:$F$400,'Étape 1 - à remplir'!$E$31:$E$400,MASQ2!BV541,'Étape 1 - à remplir'!$G$31:$G$400,"lots"),SUMIFS('Étape 1 - à remplir'!$F$31:$F$400,'Étape 1 - à remplir'!$E$31:$E$400,MASQ2!BV541,'Étape 1 - à remplir'!$P$31:$P$400,CE$3,'Étape 1 - à remplir'!$G$31:$G$400,"lots")),IF(CE$2="Atelier",IF(CE$3="Tous",SUMIFS('Étape 1 - à remplir'!$F$31:$F$400,'Étape 1 - à remplir'!$E$31:$E$400,MASQ2!BV541,'Étape 1 - à remplir'!$G$31:$G$400,"lots"),SUMIFS('Étape 1 - à remplir'!$F$31:$F$400,'Étape 1 - à remplir'!$E$31:$E$400,MASQ2!BV541,'Étape 1 - à remplir'!$O$31:$O$400,CE$3,'Étape 1 - à remplir'!$G$31:$G$400,"lots")),IF(CE$2="Espèce",IF(CE$3="Toutes",SUMIFS('Étape 1 - à remplir'!$F$31:$F$400,'Étape 1 - à remplir'!$E$31:$E$400,MASQ2!BV541,'Étape 1 - à remplir'!$G$31:$G$400,"lots"),SUMIFS('Étape 1 - à remplir'!$F$31:$F$400,'Étape 1 - à remplir'!$E$31:$E$400,MASQ2!BV541,'Étape 1 - à remplir'!$N$31:$N$400,CE$3,'Étape 1 - à remplir'!$G$31:$G$400,"lots")))))))</f>
        <v>#N/A</v>
      </c>
      <c r="BX541">
        <f t="shared" si="333"/>
        <v>0</v>
      </c>
      <c r="BY541" t="str">
        <f t="shared" si="317"/>
        <v>Colistine</v>
      </c>
      <c r="BZ541" t="str">
        <f t="shared" si="318"/>
        <v/>
      </c>
      <c r="CA541" t="str">
        <f t="shared" si="319"/>
        <v/>
      </c>
      <c r="CB541" t="str">
        <f t="shared" si="320"/>
        <v>Polypeptides</v>
      </c>
      <c r="CC541" t="str">
        <f t="shared" si="321"/>
        <v/>
      </c>
      <c r="CD541" s="63" t="str">
        <f t="shared" si="322"/>
        <v/>
      </c>
      <c r="CG541" s="42">
        <v>538</v>
      </c>
      <c r="CH541" s="42" t="e">
        <f t="shared" si="338"/>
        <v>#N/A</v>
      </c>
      <c r="CI541" s="63" t="e">
        <f t="shared" si="339"/>
        <v>#N/A</v>
      </c>
      <c r="EA541" s="194" t="str">
        <f t="shared" ca="1" si="323"/>
        <v>x</v>
      </c>
      <c r="EB541" s="226" t="str">
        <f>IFERROR(IF(ED541=0,"",COUNTIF(ED$4:ED$600,"&gt;"&amp;ED541)+COUNTIF(ED$4:ED541,ED541)),"")</f>
        <v/>
      </c>
      <c r="EC541" t="str">
        <f t="shared" si="324"/>
        <v>UCAMIX V COLISTINE 400 PORC</v>
      </c>
      <c r="ED541" t="e">
        <f>IF(IF(EL$2="Catégorie",IF(EL$3="Toutes",SUMIFS('Étape 1 - à remplir'!$F$31:$F$400,'Étape 1 - à remplir'!$E$31:$E$400,MASQ2!EC541,'Étape 1 - à remplir'!$G$31:$G$400,"kg"),SUMIFS('Étape 1 - à remplir'!$F$31:$F$400,'Étape 1 - à remplir'!$E$31:$E$400,MASQ2!EC541,'Étape 1 - à remplir'!$C$31:$C$400,EL$3)),IF(EL$2="Âge",IF(EL$3="Tous",SUMIFS('Étape 1 - à remplir'!$F$31:$F$400,'Étape 1 - à remplir'!$E$31:$E$400,MASQ2!EC541,'Étape 1 - à remplir'!$G$31:$G$400,"kg"),SUMIFS('Étape 1 - à remplir'!$F$31:$F$400,'Étape 1 - à remplir'!$E$31:$E$400,MASQ2!EC541,'Étape 1 - à remplir'!$P$31:$P$400,EL$3,'Étape 1 - à remplir'!$G$31:$G$400,"kg")),IF(EL$2="Atelier",IF(EL$3="Tous",SUMIFS('Étape 1 - à remplir'!$F$31:$F$400,'Étape 1 - à remplir'!$E$31:$E$400,MASQ2!EC541,'Étape 1 - à remplir'!$G$31:$G$400,"kg"),SUMIFS('Étape 1 - à remplir'!$F$31:$F$400,'Étape 1 - à remplir'!$E$31:$E$400,MASQ2!EC541,'Étape 1 - à remplir'!$O$31:$O$400,EL$3,'Étape 1 - à remplir'!$G$31:$G$400,"kg")),IF(EL$2="Espèce",IF(EL$3="Toutes",SUMIFS('Étape 1 - à remplir'!$F$31:$F$400,'Étape 1 - à remplir'!$E$31:$E$400,MASQ2!EC541,'Étape 1 - à remplir'!$G$31:$G$400,"kg"),SUMIFS('Étape 1 - à remplir'!$F$31:$F$400,'Étape 1 - à remplir'!$E$31:$E$400,MASQ2!EC541,'Étape 1 - à remplir'!$N$31:$N$400,EL$3,'Étape 1 - à remplir'!$G$31:$G$400,"kg"))))))=0,NA(),IF(EL$2="Catégorie",IF(EL$3="Toutes",SUMIFS('Étape 1 - à remplir'!$F$31:$F$400,'Étape 1 - à remplir'!$E$31:$E$400,MASQ2!EC541,'Étape 1 - à remplir'!$G$31:$G$400,"kg"),SUMIFS('Étape 1 - à remplir'!$F$31:$F$400,'Étape 1 - à remplir'!$E$31:$E$400,MASQ2!EC541,'Étape 1 - à remplir'!$C$31:$C$400,EL$3)),IF(EL$2="Âge",IF(EL$3="Tous",SUMIFS('Étape 1 - à remplir'!$F$31:$F$400,'Étape 1 - à remplir'!$E$31:$E$400,MASQ2!EC541,'Étape 1 - à remplir'!$G$31:$G$400,"kg"),SUMIFS('Étape 1 - à remplir'!$F$31:$F$400,'Étape 1 - à remplir'!$E$31:$E$400,MASQ2!EC541,'Étape 1 - à remplir'!$P$31:$P$400,EL$3,'Étape 1 - à remplir'!$G$31:$G$400,"kg")),IF(EL$2="Atelier",IF(EL$3="Tous",SUMIFS('Étape 1 - à remplir'!$F$31:$F$400,'Étape 1 - à remplir'!$E$31:$E$400,MASQ2!EC541,'Étape 1 - à remplir'!$G$31:$G$400,"kg"),SUMIFS('Étape 1 - à remplir'!$F$31:$F$400,'Étape 1 - à remplir'!$E$31:$E$400,MASQ2!EC541,'Étape 1 - à remplir'!$O$31:$O$400,EL$3,'Étape 1 - à remplir'!$G$31:$G$400,"kg")),IF(EL$2="Espèce",IF(EL$3="Toutes",SUMIFS('Étape 1 - à remplir'!$F$31:$F$400,'Étape 1 - à remplir'!$E$31:$E$400,MASQ2!EC541,'Étape 1 - à remplir'!$G$31:$G$400,"kg"),SUMIFS('Étape 1 - à remplir'!$F$31:$F$400,'Étape 1 - à remplir'!$E$31:$E$400,MASQ2!EC541,'Étape 1 - à remplir'!$N$31:$N$400,EL$3,'Étape 1 - à remplir'!$G$31:$G$400,"kg")))))))</f>
        <v>#N/A</v>
      </c>
      <c r="EE541" s="76">
        <f t="shared" si="334"/>
        <v>0</v>
      </c>
      <c r="EF541" t="str">
        <f t="shared" si="325"/>
        <v>Colistine</v>
      </c>
      <c r="EG541" t="str">
        <f t="shared" si="326"/>
        <v/>
      </c>
      <c r="EH541" t="str">
        <f t="shared" si="327"/>
        <v/>
      </c>
      <c r="EI541" t="str">
        <f t="shared" si="328"/>
        <v>Polypeptides</v>
      </c>
      <c r="EJ541" t="str">
        <f t="shared" si="329"/>
        <v/>
      </c>
      <c r="EK541" s="63" t="str">
        <f t="shared" si="330"/>
        <v/>
      </c>
      <c r="EN541" s="42">
        <v>538</v>
      </c>
      <c r="EO541" t="e">
        <f t="shared" si="336"/>
        <v>#N/A</v>
      </c>
      <c r="EP541" s="63" t="e">
        <f t="shared" si="337"/>
        <v>#N/A</v>
      </c>
    </row>
    <row r="542" spans="13:146" x14ac:dyDescent="0.3">
      <c r="M542" s="194" t="str">
        <f ca="1">INDEX(Données_ATB!BD:BU,MATCH(MASQ2!O542,Données_ATB!BD:BD,0),18)</f>
        <v/>
      </c>
      <c r="N542" s="14" t="str">
        <f>IFERROR(IF(Q542=0,"",COUNTIF(Q$4:Q$600,"&gt;"&amp;Q542)+COUNTIF(Q$4:Q542,Q542)),"")</f>
        <v/>
      </c>
      <c r="O542" t="str">
        <f>Données_ATB!BD541</f>
        <v>UCAMIX V OXYTETRACYCLINE 100 PORC</v>
      </c>
      <c r="P542" t="e">
        <f>IF(IF(X$2="Catégorie",IF(X$3="Toutes",SUMIFS('Étape 1 - à remplir'!$F$31:$F$400,'Étape 1 - à remplir'!$E$31:$E$400,MASQ2!O542,'Étape 1 - à remplir'!$G$31:$G$400,"animaux"),SUMIFS('Étape 1 - à remplir'!$F$31:$F$400,'Étape 1 - à remplir'!$E$31:$E$400,MASQ2!O542,'Étape 1 - à remplir'!$C$31:$C$400,X$3)),IF(X$2="Âge",IF(X$3="Tous",SUMIFS('Étape 1 - à remplir'!$F$31:$F$400,'Étape 1 - à remplir'!$E$31:$E$400,MASQ2!O542,'Étape 1 - à remplir'!$G$31:$G$400,"animaux"),SUMIFS('Étape 1 - à remplir'!$F$31:$F$400,'Étape 1 - à remplir'!$E$31:$E$400,MASQ2!O542,'Étape 1 - à remplir'!$P$31:$P$400,X$3)),IF(X$2="Atelier",IF(X$3="Tous",SUMIFS('Étape 1 - à remplir'!$F$31:$F$400,'Étape 1 - à remplir'!$E$31:$E$400,MASQ2!O542,'Étape 1 - à remplir'!$G$31:$G$400,"animaux"),SUMIFS('Étape 1 - à remplir'!$F$31:$F$400,'Étape 1 - à remplir'!$E$31:$E$400,MASQ2!O542,'Étape 1 - à remplir'!$O$31:$O$400,X$3)),IF(X$2="Espèce",IF(X$3="Toutes",SUMIFS('Étape 1 - à remplir'!$F$31:$F$400,'Étape 1 - à remplir'!$E$31:$E$400,MASQ2!O542,'Étape 1 - à remplir'!$G$31:$G$400,"animaux"),SUMIFS('Étape 1 - à remplir'!$F$31:$F$400,'Étape 1 - à remplir'!$E$31:$E$400,MASQ2!O542,'Étape 1 - à remplir'!$N$31:$N$400,X$3))))))=0,NA(),IF(X$2="Catégorie",IF(X$3="Toutes",SUMIFS('Étape 1 - à remplir'!$F$31:$F$400,'Étape 1 - à remplir'!$E$31:$E$400,MASQ2!O542,'Étape 1 - à remplir'!$G$31:$G$400,"animaux"),SUMIFS('Étape 1 - à remplir'!$F$31:$F$400,'Étape 1 - à remplir'!$E$31:$E$400,MASQ2!O542,'Étape 1 - à remplir'!$C$31:$C$400,X$3)),IF(X$2="Âge",IF(X$3="Tous",SUMIFS('Étape 1 - à remplir'!$F$31:$F$400,'Étape 1 - à remplir'!$E$31:$E$400,MASQ2!O542,'Étape 1 - à remplir'!$G$31:$G$400,"animaux"),SUMIFS('Étape 1 - à remplir'!$F$31:$F$400,'Étape 1 - à remplir'!$E$31:$E$400,MASQ2!O542,'Étape 1 - à remplir'!$P$31:$P$400,X$3)),IF(X$2="Atelier",IF(X$3="Tous",SUMIFS('Étape 1 - à remplir'!$F$31:$F$400,'Étape 1 - à remplir'!$E$31:$E$400,MASQ2!O542,'Étape 1 - à remplir'!$G$31:$G$400,"animaux"),SUMIFS('Étape 1 - à remplir'!$F$31:$F$400,'Étape 1 - à remplir'!$E$31:$E$400,MASQ2!O542,'Étape 1 - à remplir'!$O$31:$O$400,X$3)),IF(X$2="Espèce",IF(X$3="Toutes",SUMIFS('Étape 1 - à remplir'!$F$31:$F$400,'Étape 1 - à remplir'!$E$31:$E$400,MASQ2!O542,'Étape 1 - à remplir'!$G$31:$G$400,"animaux"),SUMIFS('Étape 1 - à remplir'!$F$31:$F$400,'Étape 1 - à remplir'!$E$31:$E$400,MASQ2!O542,'Étape 1 - à remplir'!$N$31:$N$400,X$3)))))))</f>
        <v>#N/A</v>
      </c>
      <c r="Q542" s="63">
        <f t="shared" si="335"/>
        <v>0</v>
      </c>
      <c r="R542" t="str">
        <f>Données_ATB!BM541</f>
        <v>Oxytétracycline</v>
      </c>
      <c r="S542" t="str">
        <f>Données_ATB!BN541</f>
        <v/>
      </c>
      <c r="T542" s="63" t="str">
        <f>Données_ATB!BO541</f>
        <v/>
      </c>
      <c r="U542" s="42" t="str">
        <f>Données_ATB!BQ541</f>
        <v>Tetracyclines</v>
      </c>
      <c r="V542" t="str">
        <f>Données_ATB!BR541</f>
        <v/>
      </c>
      <c r="W542" s="63" t="str">
        <f>Données_ATB!BS541</f>
        <v/>
      </c>
      <c r="Z542" s="42">
        <v>539</v>
      </c>
      <c r="AA542" t="e">
        <f t="shared" si="331"/>
        <v>#N/A</v>
      </c>
      <c r="AB542" s="63" t="e">
        <f t="shared" si="332"/>
        <v>#N/A</v>
      </c>
      <c r="BT542" s="194" t="str">
        <f t="shared" ca="1" si="315"/>
        <v/>
      </c>
      <c r="BU542" s="219" t="str">
        <f>IFERROR(IF(BX542=0,"",COUNTIF(BX$4:BX$600,"&gt;"&amp;BX542)+COUNTIF(BX$4:BX542,BX542)),"")</f>
        <v/>
      </c>
      <c r="BV542" s="42" t="str">
        <f t="shared" si="316"/>
        <v>UCAMIX V OXYTETRACYCLINE 100 PORC</v>
      </c>
      <c r="BW542" t="e">
        <f>IF(IF(CE$2="Catégorie",IF(CE$3="Toutes",SUMIFS('Étape 1 - à remplir'!$F$31:$F$400,'Étape 1 - à remplir'!$E$31:$E$400,MASQ2!BV542,'Étape 1 - à remplir'!$G$31:$G$400,"lots"),SUMIFS('Étape 1 - à remplir'!$F$31:$F$400,'Étape 1 - à remplir'!$E$31:$E$400,MASQ2!BV542,'Étape 1 - à remplir'!$C$31:$C$400,CE$3)),IF(CE$2="Âge",IF(CE$3="Tous",SUMIFS('Étape 1 - à remplir'!$F$31:$F$400,'Étape 1 - à remplir'!$E$31:$E$400,MASQ2!BV542,'Étape 1 - à remplir'!$G$31:$G$400,"lots"),SUMIFS('Étape 1 - à remplir'!$F$31:$F$400,'Étape 1 - à remplir'!$E$31:$E$400,MASQ2!BV542,'Étape 1 - à remplir'!$P$31:$P$400,CE$3,'Étape 1 - à remplir'!$G$31:$G$400,"lots")),IF(CE$2="Atelier",IF(CE$3="Tous",SUMIFS('Étape 1 - à remplir'!$F$31:$F$400,'Étape 1 - à remplir'!$E$31:$E$400,MASQ2!BV542,'Étape 1 - à remplir'!$G$31:$G$400,"lots"),SUMIFS('Étape 1 - à remplir'!$F$31:$F$400,'Étape 1 - à remplir'!$E$31:$E$400,MASQ2!BV542,'Étape 1 - à remplir'!$O$31:$O$400,CE$3,'Étape 1 - à remplir'!$G$31:$G$400,"lots")),IF(CE$2="Espèce",IF(CE$3="Toutes",SUMIFS('Étape 1 - à remplir'!$F$31:$F$400,'Étape 1 - à remplir'!$E$31:$E$400,MASQ2!BV542,'Étape 1 - à remplir'!$G$31:$G$400,"lots"),SUMIFS('Étape 1 - à remplir'!$F$31:$F$400,'Étape 1 - à remplir'!$E$31:$E$400,MASQ2!BV542,'Étape 1 - à remplir'!$N$31:$N$400,CE$3,'Étape 1 - à remplir'!$G$31:$G$400,"lots"))))))=0,NA(),IF(CE$2="Catégorie",IF(CE$3="Toutes",SUMIFS('Étape 1 - à remplir'!$F$31:$F$400,'Étape 1 - à remplir'!$E$31:$E$400,MASQ2!BV542,'Étape 1 - à remplir'!$G$31:$G$400,"lots"),SUMIFS('Étape 1 - à remplir'!$F$31:$F$400,'Étape 1 - à remplir'!$E$31:$E$400,MASQ2!BV542,'Étape 1 - à remplir'!$C$31:$C$400,CE$3)),IF(CE$2="Âge",IF(CE$3="Tous",SUMIFS('Étape 1 - à remplir'!$F$31:$F$400,'Étape 1 - à remplir'!$E$31:$E$400,MASQ2!BV542,'Étape 1 - à remplir'!$G$31:$G$400,"lots"),SUMIFS('Étape 1 - à remplir'!$F$31:$F$400,'Étape 1 - à remplir'!$E$31:$E$400,MASQ2!BV542,'Étape 1 - à remplir'!$P$31:$P$400,CE$3,'Étape 1 - à remplir'!$G$31:$G$400,"lots")),IF(CE$2="Atelier",IF(CE$3="Tous",SUMIFS('Étape 1 - à remplir'!$F$31:$F$400,'Étape 1 - à remplir'!$E$31:$E$400,MASQ2!BV542,'Étape 1 - à remplir'!$G$31:$G$400,"lots"),SUMIFS('Étape 1 - à remplir'!$F$31:$F$400,'Étape 1 - à remplir'!$E$31:$E$400,MASQ2!BV542,'Étape 1 - à remplir'!$O$31:$O$400,CE$3,'Étape 1 - à remplir'!$G$31:$G$400,"lots")),IF(CE$2="Espèce",IF(CE$3="Toutes",SUMIFS('Étape 1 - à remplir'!$F$31:$F$400,'Étape 1 - à remplir'!$E$31:$E$400,MASQ2!BV542,'Étape 1 - à remplir'!$G$31:$G$400,"lots"),SUMIFS('Étape 1 - à remplir'!$F$31:$F$400,'Étape 1 - à remplir'!$E$31:$E$400,MASQ2!BV542,'Étape 1 - à remplir'!$N$31:$N$400,CE$3,'Étape 1 - à remplir'!$G$31:$G$400,"lots")))))))</f>
        <v>#N/A</v>
      </c>
      <c r="BX542">
        <f t="shared" si="333"/>
        <v>0</v>
      </c>
      <c r="BY542" t="str">
        <f t="shared" si="317"/>
        <v>Oxytétracycline</v>
      </c>
      <c r="BZ542" t="str">
        <f t="shared" si="318"/>
        <v/>
      </c>
      <c r="CA542" t="str">
        <f t="shared" si="319"/>
        <v/>
      </c>
      <c r="CB542" t="str">
        <f t="shared" si="320"/>
        <v>Tetracyclines</v>
      </c>
      <c r="CC542" t="str">
        <f t="shared" si="321"/>
        <v/>
      </c>
      <c r="CD542" s="63" t="str">
        <f t="shared" si="322"/>
        <v/>
      </c>
      <c r="CG542" s="42">
        <v>539</v>
      </c>
      <c r="CH542" s="42" t="e">
        <f t="shared" si="338"/>
        <v>#N/A</v>
      </c>
      <c r="CI542" s="63" t="e">
        <f t="shared" si="339"/>
        <v>#N/A</v>
      </c>
      <c r="EA542" s="194" t="str">
        <f t="shared" ca="1" si="323"/>
        <v/>
      </c>
      <c r="EB542" s="226" t="str">
        <f>IFERROR(IF(ED542=0,"",COUNTIF(ED$4:ED$600,"&gt;"&amp;ED542)+COUNTIF(ED$4:ED542,ED542)),"")</f>
        <v/>
      </c>
      <c r="EC542" t="str">
        <f t="shared" si="324"/>
        <v>UCAMIX V OXYTETRACYCLINE 100 PORC</v>
      </c>
      <c r="ED542" t="e">
        <f>IF(IF(EL$2="Catégorie",IF(EL$3="Toutes",SUMIFS('Étape 1 - à remplir'!$F$31:$F$400,'Étape 1 - à remplir'!$E$31:$E$400,MASQ2!EC542,'Étape 1 - à remplir'!$G$31:$G$400,"kg"),SUMIFS('Étape 1 - à remplir'!$F$31:$F$400,'Étape 1 - à remplir'!$E$31:$E$400,MASQ2!EC542,'Étape 1 - à remplir'!$C$31:$C$400,EL$3)),IF(EL$2="Âge",IF(EL$3="Tous",SUMIFS('Étape 1 - à remplir'!$F$31:$F$400,'Étape 1 - à remplir'!$E$31:$E$400,MASQ2!EC542,'Étape 1 - à remplir'!$G$31:$G$400,"kg"),SUMIFS('Étape 1 - à remplir'!$F$31:$F$400,'Étape 1 - à remplir'!$E$31:$E$400,MASQ2!EC542,'Étape 1 - à remplir'!$P$31:$P$400,EL$3,'Étape 1 - à remplir'!$G$31:$G$400,"kg")),IF(EL$2="Atelier",IF(EL$3="Tous",SUMIFS('Étape 1 - à remplir'!$F$31:$F$400,'Étape 1 - à remplir'!$E$31:$E$400,MASQ2!EC542,'Étape 1 - à remplir'!$G$31:$G$400,"kg"),SUMIFS('Étape 1 - à remplir'!$F$31:$F$400,'Étape 1 - à remplir'!$E$31:$E$400,MASQ2!EC542,'Étape 1 - à remplir'!$O$31:$O$400,EL$3,'Étape 1 - à remplir'!$G$31:$G$400,"kg")),IF(EL$2="Espèce",IF(EL$3="Toutes",SUMIFS('Étape 1 - à remplir'!$F$31:$F$400,'Étape 1 - à remplir'!$E$31:$E$400,MASQ2!EC542,'Étape 1 - à remplir'!$G$31:$G$400,"kg"),SUMIFS('Étape 1 - à remplir'!$F$31:$F$400,'Étape 1 - à remplir'!$E$31:$E$400,MASQ2!EC542,'Étape 1 - à remplir'!$N$31:$N$400,EL$3,'Étape 1 - à remplir'!$G$31:$G$400,"kg"))))))=0,NA(),IF(EL$2="Catégorie",IF(EL$3="Toutes",SUMIFS('Étape 1 - à remplir'!$F$31:$F$400,'Étape 1 - à remplir'!$E$31:$E$400,MASQ2!EC542,'Étape 1 - à remplir'!$G$31:$G$400,"kg"),SUMIFS('Étape 1 - à remplir'!$F$31:$F$400,'Étape 1 - à remplir'!$E$31:$E$400,MASQ2!EC542,'Étape 1 - à remplir'!$C$31:$C$400,EL$3)),IF(EL$2="Âge",IF(EL$3="Tous",SUMIFS('Étape 1 - à remplir'!$F$31:$F$400,'Étape 1 - à remplir'!$E$31:$E$400,MASQ2!EC542,'Étape 1 - à remplir'!$G$31:$G$400,"kg"),SUMIFS('Étape 1 - à remplir'!$F$31:$F$400,'Étape 1 - à remplir'!$E$31:$E$400,MASQ2!EC542,'Étape 1 - à remplir'!$P$31:$P$400,EL$3,'Étape 1 - à remplir'!$G$31:$G$400,"kg")),IF(EL$2="Atelier",IF(EL$3="Tous",SUMIFS('Étape 1 - à remplir'!$F$31:$F$400,'Étape 1 - à remplir'!$E$31:$E$400,MASQ2!EC542,'Étape 1 - à remplir'!$G$31:$G$400,"kg"),SUMIFS('Étape 1 - à remplir'!$F$31:$F$400,'Étape 1 - à remplir'!$E$31:$E$400,MASQ2!EC542,'Étape 1 - à remplir'!$O$31:$O$400,EL$3,'Étape 1 - à remplir'!$G$31:$G$400,"kg")),IF(EL$2="Espèce",IF(EL$3="Toutes",SUMIFS('Étape 1 - à remplir'!$F$31:$F$400,'Étape 1 - à remplir'!$E$31:$E$400,MASQ2!EC542,'Étape 1 - à remplir'!$G$31:$G$400,"kg"),SUMIFS('Étape 1 - à remplir'!$F$31:$F$400,'Étape 1 - à remplir'!$E$31:$E$400,MASQ2!EC542,'Étape 1 - à remplir'!$N$31:$N$400,EL$3,'Étape 1 - à remplir'!$G$31:$G$400,"kg")))))))</f>
        <v>#N/A</v>
      </c>
      <c r="EE542" s="76">
        <f t="shared" si="334"/>
        <v>0</v>
      </c>
      <c r="EF542" t="str">
        <f t="shared" si="325"/>
        <v>Oxytétracycline</v>
      </c>
      <c r="EG542" t="str">
        <f t="shared" si="326"/>
        <v/>
      </c>
      <c r="EH542" t="str">
        <f t="shared" si="327"/>
        <v/>
      </c>
      <c r="EI542" t="str">
        <f t="shared" si="328"/>
        <v>Tetracyclines</v>
      </c>
      <c r="EJ542" t="str">
        <f t="shared" si="329"/>
        <v/>
      </c>
      <c r="EK542" s="63" t="str">
        <f t="shared" si="330"/>
        <v/>
      </c>
      <c r="EN542" s="42">
        <v>539</v>
      </c>
      <c r="EO542" t="e">
        <f t="shared" si="336"/>
        <v>#N/A</v>
      </c>
      <c r="EP542" s="63" t="e">
        <f t="shared" si="337"/>
        <v>#N/A</v>
      </c>
    </row>
    <row r="543" spans="13:146" x14ac:dyDescent="0.3">
      <c r="M543" s="194" t="str">
        <f ca="1">INDEX(Données_ATB!BD:BU,MATCH(MASQ2!O543,Données_ATB!BD:BD,0),18)</f>
        <v/>
      </c>
      <c r="N543" s="14" t="str">
        <f>IFERROR(IF(Q543=0,"",COUNTIF(Q$4:Q$600,"&gt;"&amp;Q543)+COUNTIF(Q$4:Q543,Q543)),"")</f>
        <v/>
      </c>
      <c r="O543" t="str">
        <f>Données_ATB!BD542</f>
        <v>UCAMIX V OXYTETRACYCLINE 40 LAPIN-VOLAILLE-PORC ET VEAU-AGNEAU-CHEVREAU SEVRES</v>
      </c>
      <c r="P543" t="e">
        <f>IF(IF(X$2="Catégorie",IF(X$3="Toutes",SUMIFS('Étape 1 - à remplir'!$F$31:$F$400,'Étape 1 - à remplir'!$E$31:$E$400,MASQ2!O543,'Étape 1 - à remplir'!$G$31:$G$400,"animaux"),SUMIFS('Étape 1 - à remplir'!$F$31:$F$400,'Étape 1 - à remplir'!$E$31:$E$400,MASQ2!O543,'Étape 1 - à remplir'!$C$31:$C$400,X$3)),IF(X$2="Âge",IF(X$3="Tous",SUMIFS('Étape 1 - à remplir'!$F$31:$F$400,'Étape 1 - à remplir'!$E$31:$E$400,MASQ2!O543,'Étape 1 - à remplir'!$G$31:$G$400,"animaux"),SUMIFS('Étape 1 - à remplir'!$F$31:$F$400,'Étape 1 - à remplir'!$E$31:$E$400,MASQ2!O543,'Étape 1 - à remplir'!$P$31:$P$400,X$3)),IF(X$2="Atelier",IF(X$3="Tous",SUMIFS('Étape 1 - à remplir'!$F$31:$F$400,'Étape 1 - à remplir'!$E$31:$E$400,MASQ2!O543,'Étape 1 - à remplir'!$G$31:$G$400,"animaux"),SUMIFS('Étape 1 - à remplir'!$F$31:$F$400,'Étape 1 - à remplir'!$E$31:$E$400,MASQ2!O543,'Étape 1 - à remplir'!$O$31:$O$400,X$3)),IF(X$2="Espèce",IF(X$3="Toutes",SUMIFS('Étape 1 - à remplir'!$F$31:$F$400,'Étape 1 - à remplir'!$E$31:$E$400,MASQ2!O543,'Étape 1 - à remplir'!$G$31:$G$400,"animaux"),SUMIFS('Étape 1 - à remplir'!$F$31:$F$400,'Étape 1 - à remplir'!$E$31:$E$400,MASQ2!O543,'Étape 1 - à remplir'!$N$31:$N$400,X$3))))))=0,NA(),IF(X$2="Catégorie",IF(X$3="Toutes",SUMIFS('Étape 1 - à remplir'!$F$31:$F$400,'Étape 1 - à remplir'!$E$31:$E$400,MASQ2!O543,'Étape 1 - à remplir'!$G$31:$G$400,"animaux"),SUMIFS('Étape 1 - à remplir'!$F$31:$F$400,'Étape 1 - à remplir'!$E$31:$E$400,MASQ2!O543,'Étape 1 - à remplir'!$C$31:$C$400,X$3)),IF(X$2="Âge",IF(X$3="Tous",SUMIFS('Étape 1 - à remplir'!$F$31:$F$400,'Étape 1 - à remplir'!$E$31:$E$400,MASQ2!O543,'Étape 1 - à remplir'!$G$31:$G$400,"animaux"),SUMIFS('Étape 1 - à remplir'!$F$31:$F$400,'Étape 1 - à remplir'!$E$31:$E$400,MASQ2!O543,'Étape 1 - à remplir'!$P$31:$P$400,X$3)),IF(X$2="Atelier",IF(X$3="Tous",SUMIFS('Étape 1 - à remplir'!$F$31:$F$400,'Étape 1 - à remplir'!$E$31:$E$400,MASQ2!O543,'Étape 1 - à remplir'!$G$31:$G$400,"animaux"),SUMIFS('Étape 1 - à remplir'!$F$31:$F$400,'Étape 1 - à remplir'!$E$31:$E$400,MASQ2!O543,'Étape 1 - à remplir'!$O$31:$O$400,X$3)),IF(X$2="Espèce",IF(X$3="Toutes",SUMIFS('Étape 1 - à remplir'!$F$31:$F$400,'Étape 1 - à remplir'!$E$31:$E$400,MASQ2!O543,'Étape 1 - à remplir'!$G$31:$G$400,"animaux"),SUMIFS('Étape 1 - à remplir'!$F$31:$F$400,'Étape 1 - à remplir'!$E$31:$E$400,MASQ2!O543,'Étape 1 - à remplir'!$N$31:$N$400,X$3)))))))</f>
        <v>#N/A</v>
      </c>
      <c r="Q543" s="63">
        <f t="shared" si="335"/>
        <v>0</v>
      </c>
      <c r="R543" t="str">
        <f>Données_ATB!BM542</f>
        <v>Oxytétracycline</v>
      </c>
      <c r="S543" t="str">
        <f>Données_ATB!BN542</f>
        <v/>
      </c>
      <c r="T543" s="63" t="str">
        <f>Données_ATB!BO542</f>
        <v/>
      </c>
      <c r="U543" s="42" t="str">
        <f>Données_ATB!BQ542</f>
        <v>Tetracyclines</v>
      </c>
      <c r="V543" t="str">
        <f>Données_ATB!BR542</f>
        <v/>
      </c>
      <c r="W543" s="63" t="str">
        <f>Données_ATB!BS542</f>
        <v/>
      </c>
      <c r="Z543" s="42">
        <v>540</v>
      </c>
      <c r="AA543" t="e">
        <f t="shared" si="331"/>
        <v>#N/A</v>
      </c>
      <c r="AB543" s="63" t="e">
        <f t="shared" si="332"/>
        <v>#N/A</v>
      </c>
      <c r="BT543" s="194" t="str">
        <f t="shared" ca="1" si="315"/>
        <v/>
      </c>
      <c r="BU543" s="219" t="str">
        <f>IFERROR(IF(BX543=0,"",COUNTIF(BX$4:BX$600,"&gt;"&amp;BX543)+COUNTIF(BX$4:BX543,BX543)),"")</f>
        <v/>
      </c>
      <c r="BV543" s="42" t="str">
        <f t="shared" si="316"/>
        <v>UCAMIX V OXYTETRACYCLINE 40 LAPIN-VOLAILLE-PORC ET VEAU-AGNEAU-CHEVREAU SEVRES</v>
      </c>
      <c r="BW543" t="e">
        <f>IF(IF(CE$2="Catégorie",IF(CE$3="Toutes",SUMIFS('Étape 1 - à remplir'!$F$31:$F$400,'Étape 1 - à remplir'!$E$31:$E$400,MASQ2!BV543,'Étape 1 - à remplir'!$G$31:$G$400,"lots"),SUMIFS('Étape 1 - à remplir'!$F$31:$F$400,'Étape 1 - à remplir'!$E$31:$E$400,MASQ2!BV543,'Étape 1 - à remplir'!$C$31:$C$400,CE$3)),IF(CE$2="Âge",IF(CE$3="Tous",SUMIFS('Étape 1 - à remplir'!$F$31:$F$400,'Étape 1 - à remplir'!$E$31:$E$400,MASQ2!BV543,'Étape 1 - à remplir'!$G$31:$G$400,"lots"),SUMIFS('Étape 1 - à remplir'!$F$31:$F$400,'Étape 1 - à remplir'!$E$31:$E$400,MASQ2!BV543,'Étape 1 - à remplir'!$P$31:$P$400,CE$3,'Étape 1 - à remplir'!$G$31:$G$400,"lots")),IF(CE$2="Atelier",IF(CE$3="Tous",SUMIFS('Étape 1 - à remplir'!$F$31:$F$400,'Étape 1 - à remplir'!$E$31:$E$400,MASQ2!BV543,'Étape 1 - à remplir'!$G$31:$G$400,"lots"),SUMIFS('Étape 1 - à remplir'!$F$31:$F$400,'Étape 1 - à remplir'!$E$31:$E$400,MASQ2!BV543,'Étape 1 - à remplir'!$O$31:$O$400,CE$3,'Étape 1 - à remplir'!$G$31:$G$400,"lots")),IF(CE$2="Espèce",IF(CE$3="Toutes",SUMIFS('Étape 1 - à remplir'!$F$31:$F$400,'Étape 1 - à remplir'!$E$31:$E$400,MASQ2!BV543,'Étape 1 - à remplir'!$G$31:$G$400,"lots"),SUMIFS('Étape 1 - à remplir'!$F$31:$F$400,'Étape 1 - à remplir'!$E$31:$E$400,MASQ2!BV543,'Étape 1 - à remplir'!$N$31:$N$400,CE$3,'Étape 1 - à remplir'!$G$31:$G$400,"lots"))))))=0,NA(),IF(CE$2="Catégorie",IF(CE$3="Toutes",SUMIFS('Étape 1 - à remplir'!$F$31:$F$400,'Étape 1 - à remplir'!$E$31:$E$400,MASQ2!BV543,'Étape 1 - à remplir'!$G$31:$G$400,"lots"),SUMIFS('Étape 1 - à remplir'!$F$31:$F$400,'Étape 1 - à remplir'!$E$31:$E$400,MASQ2!BV543,'Étape 1 - à remplir'!$C$31:$C$400,CE$3)),IF(CE$2="Âge",IF(CE$3="Tous",SUMIFS('Étape 1 - à remplir'!$F$31:$F$400,'Étape 1 - à remplir'!$E$31:$E$400,MASQ2!BV543,'Étape 1 - à remplir'!$G$31:$G$400,"lots"),SUMIFS('Étape 1 - à remplir'!$F$31:$F$400,'Étape 1 - à remplir'!$E$31:$E$400,MASQ2!BV543,'Étape 1 - à remplir'!$P$31:$P$400,CE$3,'Étape 1 - à remplir'!$G$31:$G$400,"lots")),IF(CE$2="Atelier",IF(CE$3="Tous",SUMIFS('Étape 1 - à remplir'!$F$31:$F$400,'Étape 1 - à remplir'!$E$31:$E$400,MASQ2!BV543,'Étape 1 - à remplir'!$G$31:$G$400,"lots"),SUMIFS('Étape 1 - à remplir'!$F$31:$F$400,'Étape 1 - à remplir'!$E$31:$E$400,MASQ2!BV543,'Étape 1 - à remplir'!$O$31:$O$400,CE$3,'Étape 1 - à remplir'!$G$31:$G$400,"lots")),IF(CE$2="Espèce",IF(CE$3="Toutes",SUMIFS('Étape 1 - à remplir'!$F$31:$F$400,'Étape 1 - à remplir'!$E$31:$E$400,MASQ2!BV543,'Étape 1 - à remplir'!$G$31:$G$400,"lots"),SUMIFS('Étape 1 - à remplir'!$F$31:$F$400,'Étape 1 - à remplir'!$E$31:$E$400,MASQ2!BV543,'Étape 1 - à remplir'!$N$31:$N$400,CE$3,'Étape 1 - à remplir'!$G$31:$G$400,"lots")))))))</f>
        <v>#N/A</v>
      </c>
      <c r="BX543">
        <f t="shared" si="333"/>
        <v>0</v>
      </c>
      <c r="BY543" t="str">
        <f t="shared" si="317"/>
        <v>Oxytétracycline</v>
      </c>
      <c r="BZ543" t="str">
        <f t="shared" si="318"/>
        <v/>
      </c>
      <c r="CA543" t="str">
        <f t="shared" si="319"/>
        <v/>
      </c>
      <c r="CB543" t="str">
        <f t="shared" si="320"/>
        <v>Tetracyclines</v>
      </c>
      <c r="CC543" t="str">
        <f t="shared" si="321"/>
        <v/>
      </c>
      <c r="CD543" s="63" t="str">
        <f t="shared" si="322"/>
        <v/>
      </c>
      <c r="CG543" s="42">
        <v>540</v>
      </c>
      <c r="CH543" s="42" t="e">
        <f t="shared" si="338"/>
        <v>#N/A</v>
      </c>
      <c r="CI543" s="63" t="e">
        <f t="shared" si="339"/>
        <v>#N/A</v>
      </c>
      <c r="EA543" s="194" t="str">
        <f t="shared" ca="1" si="323"/>
        <v/>
      </c>
      <c r="EB543" s="226" t="str">
        <f>IFERROR(IF(ED543=0,"",COUNTIF(ED$4:ED$600,"&gt;"&amp;ED543)+COUNTIF(ED$4:ED543,ED543)),"")</f>
        <v/>
      </c>
      <c r="EC543" t="str">
        <f t="shared" si="324"/>
        <v>UCAMIX V OXYTETRACYCLINE 40 LAPIN-VOLAILLE-PORC ET VEAU-AGNEAU-CHEVREAU SEVRES</v>
      </c>
      <c r="ED543" t="e">
        <f>IF(IF(EL$2="Catégorie",IF(EL$3="Toutes",SUMIFS('Étape 1 - à remplir'!$F$31:$F$400,'Étape 1 - à remplir'!$E$31:$E$400,MASQ2!EC543,'Étape 1 - à remplir'!$G$31:$G$400,"kg"),SUMIFS('Étape 1 - à remplir'!$F$31:$F$400,'Étape 1 - à remplir'!$E$31:$E$400,MASQ2!EC543,'Étape 1 - à remplir'!$C$31:$C$400,EL$3)),IF(EL$2="Âge",IF(EL$3="Tous",SUMIFS('Étape 1 - à remplir'!$F$31:$F$400,'Étape 1 - à remplir'!$E$31:$E$400,MASQ2!EC543,'Étape 1 - à remplir'!$G$31:$G$400,"kg"),SUMIFS('Étape 1 - à remplir'!$F$31:$F$400,'Étape 1 - à remplir'!$E$31:$E$400,MASQ2!EC543,'Étape 1 - à remplir'!$P$31:$P$400,EL$3,'Étape 1 - à remplir'!$G$31:$G$400,"kg")),IF(EL$2="Atelier",IF(EL$3="Tous",SUMIFS('Étape 1 - à remplir'!$F$31:$F$400,'Étape 1 - à remplir'!$E$31:$E$400,MASQ2!EC543,'Étape 1 - à remplir'!$G$31:$G$400,"kg"),SUMIFS('Étape 1 - à remplir'!$F$31:$F$400,'Étape 1 - à remplir'!$E$31:$E$400,MASQ2!EC543,'Étape 1 - à remplir'!$O$31:$O$400,EL$3,'Étape 1 - à remplir'!$G$31:$G$400,"kg")),IF(EL$2="Espèce",IF(EL$3="Toutes",SUMIFS('Étape 1 - à remplir'!$F$31:$F$400,'Étape 1 - à remplir'!$E$31:$E$400,MASQ2!EC543,'Étape 1 - à remplir'!$G$31:$G$400,"kg"),SUMIFS('Étape 1 - à remplir'!$F$31:$F$400,'Étape 1 - à remplir'!$E$31:$E$400,MASQ2!EC543,'Étape 1 - à remplir'!$N$31:$N$400,EL$3,'Étape 1 - à remplir'!$G$31:$G$400,"kg"))))))=0,NA(),IF(EL$2="Catégorie",IF(EL$3="Toutes",SUMIFS('Étape 1 - à remplir'!$F$31:$F$400,'Étape 1 - à remplir'!$E$31:$E$400,MASQ2!EC543,'Étape 1 - à remplir'!$G$31:$G$400,"kg"),SUMIFS('Étape 1 - à remplir'!$F$31:$F$400,'Étape 1 - à remplir'!$E$31:$E$400,MASQ2!EC543,'Étape 1 - à remplir'!$C$31:$C$400,EL$3)),IF(EL$2="Âge",IF(EL$3="Tous",SUMIFS('Étape 1 - à remplir'!$F$31:$F$400,'Étape 1 - à remplir'!$E$31:$E$400,MASQ2!EC543,'Étape 1 - à remplir'!$G$31:$G$400,"kg"),SUMIFS('Étape 1 - à remplir'!$F$31:$F$400,'Étape 1 - à remplir'!$E$31:$E$400,MASQ2!EC543,'Étape 1 - à remplir'!$P$31:$P$400,EL$3,'Étape 1 - à remplir'!$G$31:$G$400,"kg")),IF(EL$2="Atelier",IF(EL$3="Tous",SUMIFS('Étape 1 - à remplir'!$F$31:$F$400,'Étape 1 - à remplir'!$E$31:$E$400,MASQ2!EC543,'Étape 1 - à remplir'!$G$31:$G$400,"kg"),SUMIFS('Étape 1 - à remplir'!$F$31:$F$400,'Étape 1 - à remplir'!$E$31:$E$400,MASQ2!EC543,'Étape 1 - à remplir'!$O$31:$O$400,EL$3,'Étape 1 - à remplir'!$G$31:$G$400,"kg")),IF(EL$2="Espèce",IF(EL$3="Toutes",SUMIFS('Étape 1 - à remplir'!$F$31:$F$400,'Étape 1 - à remplir'!$E$31:$E$400,MASQ2!EC543,'Étape 1 - à remplir'!$G$31:$G$400,"kg"),SUMIFS('Étape 1 - à remplir'!$F$31:$F$400,'Étape 1 - à remplir'!$E$31:$E$400,MASQ2!EC543,'Étape 1 - à remplir'!$N$31:$N$400,EL$3,'Étape 1 - à remplir'!$G$31:$G$400,"kg")))))))</f>
        <v>#N/A</v>
      </c>
      <c r="EE543" s="76">
        <f t="shared" si="334"/>
        <v>0</v>
      </c>
      <c r="EF543" t="str">
        <f t="shared" si="325"/>
        <v>Oxytétracycline</v>
      </c>
      <c r="EG543" t="str">
        <f t="shared" si="326"/>
        <v/>
      </c>
      <c r="EH543" t="str">
        <f t="shared" si="327"/>
        <v/>
      </c>
      <c r="EI543" t="str">
        <f t="shared" si="328"/>
        <v>Tetracyclines</v>
      </c>
      <c r="EJ543" t="str">
        <f t="shared" si="329"/>
        <v/>
      </c>
      <c r="EK543" s="63" t="str">
        <f t="shared" si="330"/>
        <v/>
      </c>
      <c r="EN543" s="42">
        <v>540</v>
      </c>
      <c r="EO543" t="e">
        <f t="shared" si="336"/>
        <v>#N/A</v>
      </c>
      <c r="EP543" s="63" t="e">
        <f t="shared" si="337"/>
        <v>#N/A</v>
      </c>
    </row>
    <row r="544" spans="13:146" x14ac:dyDescent="0.3">
      <c r="M544" s="194" t="str">
        <f ca="1">INDEX(Données_ATB!BD:BU,MATCH(MASQ2!O544,Données_ATB!BD:BD,0),18)</f>
        <v/>
      </c>
      <c r="N544" s="14" t="str">
        <f>IFERROR(IF(Q544=0,"",COUNTIF(Q$4:Q$600,"&gt;"&amp;Q544)+COUNTIF(Q$4:Q544,Q544)),"")</f>
        <v/>
      </c>
      <c r="O544" t="str">
        <f>Données_ATB!BD543</f>
        <v>VETMULIN 101,2 MG/ML SOLUTION A DILUER DANS L'EAU DE BOISSON POUR PORCS</v>
      </c>
      <c r="P544" t="e">
        <f>IF(IF(X$2="Catégorie",IF(X$3="Toutes",SUMIFS('Étape 1 - à remplir'!$F$31:$F$400,'Étape 1 - à remplir'!$E$31:$E$400,MASQ2!O544,'Étape 1 - à remplir'!$G$31:$G$400,"animaux"),SUMIFS('Étape 1 - à remplir'!$F$31:$F$400,'Étape 1 - à remplir'!$E$31:$E$400,MASQ2!O544,'Étape 1 - à remplir'!$C$31:$C$400,X$3)),IF(X$2="Âge",IF(X$3="Tous",SUMIFS('Étape 1 - à remplir'!$F$31:$F$400,'Étape 1 - à remplir'!$E$31:$E$400,MASQ2!O544,'Étape 1 - à remplir'!$G$31:$G$400,"animaux"),SUMIFS('Étape 1 - à remplir'!$F$31:$F$400,'Étape 1 - à remplir'!$E$31:$E$400,MASQ2!O544,'Étape 1 - à remplir'!$P$31:$P$400,X$3)),IF(X$2="Atelier",IF(X$3="Tous",SUMIFS('Étape 1 - à remplir'!$F$31:$F$400,'Étape 1 - à remplir'!$E$31:$E$400,MASQ2!O544,'Étape 1 - à remplir'!$G$31:$G$400,"animaux"),SUMIFS('Étape 1 - à remplir'!$F$31:$F$400,'Étape 1 - à remplir'!$E$31:$E$400,MASQ2!O544,'Étape 1 - à remplir'!$O$31:$O$400,X$3)),IF(X$2="Espèce",IF(X$3="Toutes",SUMIFS('Étape 1 - à remplir'!$F$31:$F$400,'Étape 1 - à remplir'!$E$31:$E$400,MASQ2!O544,'Étape 1 - à remplir'!$G$31:$G$400,"animaux"),SUMIFS('Étape 1 - à remplir'!$F$31:$F$400,'Étape 1 - à remplir'!$E$31:$E$400,MASQ2!O544,'Étape 1 - à remplir'!$N$31:$N$400,X$3))))))=0,NA(),IF(X$2="Catégorie",IF(X$3="Toutes",SUMIFS('Étape 1 - à remplir'!$F$31:$F$400,'Étape 1 - à remplir'!$E$31:$E$400,MASQ2!O544,'Étape 1 - à remplir'!$G$31:$G$400,"animaux"),SUMIFS('Étape 1 - à remplir'!$F$31:$F$400,'Étape 1 - à remplir'!$E$31:$E$400,MASQ2!O544,'Étape 1 - à remplir'!$C$31:$C$400,X$3)),IF(X$2="Âge",IF(X$3="Tous",SUMIFS('Étape 1 - à remplir'!$F$31:$F$400,'Étape 1 - à remplir'!$E$31:$E$400,MASQ2!O544,'Étape 1 - à remplir'!$G$31:$G$400,"animaux"),SUMIFS('Étape 1 - à remplir'!$F$31:$F$400,'Étape 1 - à remplir'!$E$31:$E$400,MASQ2!O544,'Étape 1 - à remplir'!$P$31:$P$400,X$3)),IF(X$2="Atelier",IF(X$3="Tous",SUMIFS('Étape 1 - à remplir'!$F$31:$F$400,'Étape 1 - à remplir'!$E$31:$E$400,MASQ2!O544,'Étape 1 - à remplir'!$G$31:$G$400,"animaux"),SUMIFS('Étape 1 - à remplir'!$F$31:$F$400,'Étape 1 - à remplir'!$E$31:$E$400,MASQ2!O544,'Étape 1 - à remplir'!$O$31:$O$400,X$3)),IF(X$2="Espèce",IF(X$3="Toutes",SUMIFS('Étape 1 - à remplir'!$F$31:$F$400,'Étape 1 - à remplir'!$E$31:$E$400,MASQ2!O544,'Étape 1 - à remplir'!$G$31:$G$400,"animaux"),SUMIFS('Étape 1 - à remplir'!$F$31:$F$400,'Étape 1 - à remplir'!$E$31:$E$400,MASQ2!O544,'Étape 1 - à remplir'!$N$31:$N$400,X$3)))))))</f>
        <v>#N/A</v>
      </c>
      <c r="Q544" s="63">
        <f t="shared" si="335"/>
        <v>0</v>
      </c>
      <c r="R544" t="str">
        <f>Données_ATB!BM543</f>
        <v>Tiamuline</v>
      </c>
      <c r="S544" t="str">
        <f>Données_ATB!BN543</f>
        <v/>
      </c>
      <c r="T544" s="63" t="str">
        <f>Données_ATB!BO543</f>
        <v/>
      </c>
      <c r="U544" s="42" t="str">
        <f>Données_ATB!BQ543</f>
        <v>Pleuromutilines</v>
      </c>
      <c r="V544" t="str">
        <f>Données_ATB!BR543</f>
        <v/>
      </c>
      <c r="W544" s="63" t="str">
        <f>Données_ATB!BS543</f>
        <v/>
      </c>
      <c r="Z544" s="42">
        <v>541</v>
      </c>
      <c r="AA544" t="e">
        <f t="shared" si="331"/>
        <v>#N/A</v>
      </c>
      <c r="AB544" s="63" t="e">
        <f t="shared" si="332"/>
        <v>#N/A</v>
      </c>
      <c r="BT544" s="194" t="str">
        <f t="shared" ca="1" si="315"/>
        <v/>
      </c>
      <c r="BU544" s="219" t="str">
        <f>IFERROR(IF(BX544=0,"",COUNTIF(BX$4:BX$600,"&gt;"&amp;BX544)+COUNTIF(BX$4:BX544,BX544)),"")</f>
        <v/>
      </c>
      <c r="BV544" s="42" t="str">
        <f t="shared" si="316"/>
        <v>VETMULIN 101,2 MG/ML SOLUTION A DILUER DANS L'EAU DE BOISSON POUR PORCS</v>
      </c>
      <c r="BW544" t="e">
        <f>IF(IF(CE$2="Catégorie",IF(CE$3="Toutes",SUMIFS('Étape 1 - à remplir'!$F$31:$F$400,'Étape 1 - à remplir'!$E$31:$E$400,MASQ2!BV544,'Étape 1 - à remplir'!$G$31:$G$400,"lots"),SUMIFS('Étape 1 - à remplir'!$F$31:$F$400,'Étape 1 - à remplir'!$E$31:$E$400,MASQ2!BV544,'Étape 1 - à remplir'!$C$31:$C$400,CE$3)),IF(CE$2="Âge",IF(CE$3="Tous",SUMIFS('Étape 1 - à remplir'!$F$31:$F$400,'Étape 1 - à remplir'!$E$31:$E$400,MASQ2!BV544,'Étape 1 - à remplir'!$G$31:$G$400,"lots"),SUMIFS('Étape 1 - à remplir'!$F$31:$F$400,'Étape 1 - à remplir'!$E$31:$E$400,MASQ2!BV544,'Étape 1 - à remplir'!$P$31:$P$400,CE$3,'Étape 1 - à remplir'!$G$31:$G$400,"lots")),IF(CE$2="Atelier",IF(CE$3="Tous",SUMIFS('Étape 1 - à remplir'!$F$31:$F$400,'Étape 1 - à remplir'!$E$31:$E$400,MASQ2!BV544,'Étape 1 - à remplir'!$G$31:$G$400,"lots"),SUMIFS('Étape 1 - à remplir'!$F$31:$F$400,'Étape 1 - à remplir'!$E$31:$E$400,MASQ2!BV544,'Étape 1 - à remplir'!$O$31:$O$400,CE$3,'Étape 1 - à remplir'!$G$31:$G$400,"lots")),IF(CE$2="Espèce",IF(CE$3="Toutes",SUMIFS('Étape 1 - à remplir'!$F$31:$F$400,'Étape 1 - à remplir'!$E$31:$E$400,MASQ2!BV544,'Étape 1 - à remplir'!$G$31:$G$400,"lots"),SUMIFS('Étape 1 - à remplir'!$F$31:$F$400,'Étape 1 - à remplir'!$E$31:$E$400,MASQ2!BV544,'Étape 1 - à remplir'!$N$31:$N$400,CE$3,'Étape 1 - à remplir'!$G$31:$G$400,"lots"))))))=0,NA(),IF(CE$2="Catégorie",IF(CE$3="Toutes",SUMIFS('Étape 1 - à remplir'!$F$31:$F$400,'Étape 1 - à remplir'!$E$31:$E$400,MASQ2!BV544,'Étape 1 - à remplir'!$G$31:$G$400,"lots"),SUMIFS('Étape 1 - à remplir'!$F$31:$F$400,'Étape 1 - à remplir'!$E$31:$E$400,MASQ2!BV544,'Étape 1 - à remplir'!$C$31:$C$400,CE$3)),IF(CE$2="Âge",IF(CE$3="Tous",SUMIFS('Étape 1 - à remplir'!$F$31:$F$400,'Étape 1 - à remplir'!$E$31:$E$400,MASQ2!BV544,'Étape 1 - à remplir'!$G$31:$G$400,"lots"),SUMIFS('Étape 1 - à remplir'!$F$31:$F$400,'Étape 1 - à remplir'!$E$31:$E$400,MASQ2!BV544,'Étape 1 - à remplir'!$P$31:$P$400,CE$3,'Étape 1 - à remplir'!$G$31:$G$400,"lots")),IF(CE$2="Atelier",IF(CE$3="Tous",SUMIFS('Étape 1 - à remplir'!$F$31:$F$400,'Étape 1 - à remplir'!$E$31:$E$400,MASQ2!BV544,'Étape 1 - à remplir'!$G$31:$G$400,"lots"),SUMIFS('Étape 1 - à remplir'!$F$31:$F$400,'Étape 1 - à remplir'!$E$31:$E$400,MASQ2!BV544,'Étape 1 - à remplir'!$O$31:$O$400,CE$3,'Étape 1 - à remplir'!$G$31:$G$400,"lots")),IF(CE$2="Espèce",IF(CE$3="Toutes",SUMIFS('Étape 1 - à remplir'!$F$31:$F$400,'Étape 1 - à remplir'!$E$31:$E$400,MASQ2!BV544,'Étape 1 - à remplir'!$G$31:$G$400,"lots"),SUMIFS('Étape 1 - à remplir'!$F$31:$F$400,'Étape 1 - à remplir'!$E$31:$E$400,MASQ2!BV544,'Étape 1 - à remplir'!$N$31:$N$400,CE$3,'Étape 1 - à remplir'!$G$31:$G$400,"lots")))))))</f>
        <v>#N/A</v>
      </c>
      <c r="BX544">
        <f t="shared" si="333"/>
        <v>0</v>
      </c>
      <c r="BY544" t="str">
        <f t="shared" si="317"/>
        <v>Tiamuline</v>
      </c>
      <c r="BZ544" t="str">
        <f t="shared" si="318"/>
        <v/>
      </c>
      <c r="CA544" t="str">
        <f t="shared" si="319"/>
        <v/>
      </c>
      <c r="CB544" t="str">
        <f t="shared" si="320"/>
        <v>Pleuromutilines</v>
      </c>
      <c r="CC544" t="str">
        <f t="shared" si="321"/>
        <v/>
      </c>
      <c r="CD544" s="63" t="str">
        <f t="shared" si="322"/>
        <v/>
      </c>
      <c r="CG544" s="42">
        <v>541</v>
      </c>
      <c r="CH544" s="42" t="e">
        <f t="shared" si="338"/>
        <v>#N/A</v>
      </c>
      <c r="CI544" s="63" t="e">
        <f t="shared" si="339"/>
        <v>#N/A</v>
      </c>
      <c r="EA544" s="194" t="str">
        <f t="shared" ca="1" si="323"/>
        <v/>
      </c>
      <c r="EB544" s="226" t="str">
        <f>IFERROR(IF(ED544=0,"",COUNTIF(ED$4:ED$600,"&gt;"&amp;ED544)+COUNTIF(ED$4:ED544,ED544)),"")</f>
        <v/>
      </c>
      <c r="EC544" t="str">
        <f t="shared" si="324"/>
        <v>VETMULIN 101,2 MG/ML SOLUTION A DILUER DANS L'EAU DE BOISSON POUR PORCS</v>
      </c>
      <c r="ED544" t="e">
        <f>IF(IF(EL$2="Catégorie",IF(EL$3="Toutes",SUMIFS('Étape 1 - à remplir'!$F$31:$F$400,'Étape 1 - à remplir'!$E$31:$E$400,MASQ2!EC544,'Étape 1 - à remplir'!$G$31:$G$400,"kg"),SUMIFS('Étape 1 - à remplir'!$F$31:$F$400,'Étape 1 - à remplir'!$E$31:$E$400,MASQ2!EC544,'Étape 1 - à remplir'!$C$31:$C$400,EL$3)),IF(EL$2="Âge",IF(EL$3="Tous",SUMIFS('Étape 1 - à remplir'!$F$31:$F$400,'Étape 1 - à remplir'!$E$31:$E$400,MASQ2!EC544,'Étape 1 - à remplir'!$G$31:$G$400,"kg"),SUMIFS('Étape 1 - à remplir'!$F$31:$F$400,'Étape 1 - à remplir'!$E$31:$E$400,MASQ2!EC544,'Étape 1 - à remplir'!$P$31:$P$400,EL$3,'Étape 1 - à remplir'!$G$31:$G$400,"kg")),IF(EL$2="Atelier",IF(EL$3="Tous",SUMIFS('Étape 1 - à remplir'!$F$31:$F$400,'Étape 1 - à remplir'!$E$31:$E$400,MASQ2!EC544,'Étape 1 - à remplir'!$G$31:$G$400,"kg"),SUMIFS('Étape 1 - à remplir'!$F$31:$F$400,'Étape 1 - à remplir'!$E$31:$E$400,MASQ2!EC544,'Étape 1 - à remplir'!$O$31:$O$400,EL$3,'Étape 1 - à remplir'!$G$31:$G$400,"kg")),IF(EL$2="Espèce",IF(EL$3="Toutes",SUMIFS('Étape 1 - à remplir'!$F$31:$F$400,'Étape 1 - à remplir'!$E$31:$E$400,MASQ2!EC544,'Étape 1 - à remplir'!$G$31:$G$400,"kg"),SUMIFS('Étape 1 - à remplir'!$F$31:$F$400,'Étape 1 - à remplir'!$E$31:$E$400,MASQ2!EC544,'Étape 1 - à remplir'!$N$31:$N$400,EL$3,'Étape 1 - à remplir'!$G$31:$G$400,"kg"))))))=0,NA(),IF(EL$2="Catégorie",IF(EL$3="Toutes",SUMIFS('Étape 1 - à remplir'!$F$31:$F$400,'Étape 1 - à remplir'!$E$31:$E$400,MASQ2!EC544,'Étape 1 - à remplir'!$G$31:$G$400,"kg"),SUMIFS('Étape 1 - à remplir'!$F$31:$F$400,'Étape 1 - à remplir'!$E$31:$E$400,MASQ2!EC544,'Étape 1 - à remplir'!$C$31:$C$400,EL$3)),IF(EL$2="Âge",IF(EL$3="Tous",SUMIFS('Étape 1 - à remplir'!$F$31:$F$400,'Étape 1 - à remplir'!$E$31:$E$400,MASQ2!EC544,'Étape 1 - à remplir'!$G$31:$G$400,"kg"),SUMIFS('Étape 1 - à remplir'!$F$31:$F$400,'Étape 1 - à remplir'!$E$31:$E$400,MASQ2!EC544,'Étape 1 - à remplir'!$P$31:$P$400,EL$3,'Étape 1 - à remplir'!$G$31:$G$400,"kg")),IF(EL$2="Atelier",IF(EL$3="Tous",SUMIFS('Étape 1 - à remplir'!$F$31:$F$400,'Étape 1 - à remplir'!$E$31:$E$400,MASQ2!EC544,'Étape 1 - à remplir'!$G$31:$G$400,"kg"),SUMIFS('Étape 1 - à remplir'!$F$31:$F$400,'Étape 1 - à remplir'!$E$31:$E$400,MASQ2!EC544,'Étape 1 - à remplir'!$O$31:$O$400,EL$3,'Étape 1 - à remplir'!$G$31:$G$400,"kg")),IF(EL$2="Espèce",IF(EL$3="Toutes",SUMIFS('Étape 1 - à remplir'!$F$31:$F$400,'Étape 1 - à remplir'!$E$31:$E$400,MASQ2!EC544,'Étape 1 - à remplir'!$G$31:$G$400,"kg"),SUMIFS('Étape 1 - à remplir'!$F$31:$F$400,'Étape 1 - à remplir'!$E$31:$E$400,MASQ2!EC544,'Étape 1 - à remplir'!$N$31:$N$400,EL$3,'Étape 1 - à remplir'!$G$31:$G$400,"kg")))))))</f>
        <v>#N/A</v>
      </c>
      <c r="EE544" s="76">
        <f t="shared" si="334"/>
        <v>0</v>
      </c>
      <c r="EF544" t="str">
        <f t="shared" si="325"/>
        <v>Tiamuline</v>
      </c>
      <c r="EG544" t="str">
        <f t="shared" si="326"/>
        <v/>
      </c>
      <c r="EH544" t="str">
        <f t="shared" si="327"/>
        <v/>
      </c>
      <c r="EI544" t="str">
        <f t="shared" si="328"/>
        <v>Pleuromutilines</v>
      </c>
      <c r="EJ544" t="str">
        <f t="shared" si="329"/>
        <v/>
      </c>
      <c r="EK544" s="63" t="str">
        <f t="shared" si="330"/>
        <v/>
      </c>
      <c r="EN544" s="42">
        <v>541</v>
      </c>
      <c r="EO544" t="e">
        <f t="shared" si="336"/>
        <v>#N/A</v>
      </c>
      <c r="EP544" s="63" t="e">
        <f t="shared" si="337"/>
        <v>#N/A</v>
      </c>
    </row>
    <row r="545" spans="13:146" x14ac:dyDescent="0.3">
      <c r="M545" s="194" t="str">
        <f ca="1">INDEX(Données_ATB!BD:BU,MATCH(MASQ2!O545,Données_ATB!BD:BD,0),18)</f>
        <v/>
      </c>
      <c r="N545" s="14" t="str">
        <f>IFERROR(IF(Q545=0,"",COUNTIF(Q$4:Q$600,"&gt;"&amp;Q545)+COUNTIF(Q$4:Q545,Q545)),"")</f>
        <v/>
      </c>
      <c r="O545" t="str">
        <f>Données_ATB!BD544</f>
        <v>VETMULIN 101,2 MG/ML SOLUTION POUR ADMINISTRATION DANS L'EAU DE BOISSON POUR PORCINS ET POULES PONDEUSES</v>
      </c>
      <c r="P545" t="e">
        <f>IF(IF(X$2="Catégorie",IF(X$3="Toutes",SUMIFS('Étape 1 - à remplir'!$F$31:$F$400,'Étape 1 - à remplir'!$E$31:$E$400,MASQ2!O545,'Étape 1 - à remplir'!$G$31:$G$400,"animaux"),SUMIFS('Étape 1 - à remplir'!$F$31:$F$400,'Étape 1 - à remplir'!$E$31:$E$400,MASQ2!O545,'Étape 1 - à remplir'!$C$31:$C$400,X$3)),IF(X$2="Âge",IF(X$3="Tous",SUMIFS('Étape 1 - à remplir'!$F$31:$F$400,'Étape 1 - à remplir'!$E$31:$E$400,MASQ2!O545,'Étape 1 - à remplir'!$G$31:$G$400,"animaux"),SUMIFS('Étape 1 - à remplir'!$F$31:$F$400,'Étape 1 - à remplir'!$E$31:$E$400,MASQ2!O545,'Étape 1 - à remplir'!$P$31:$P$400,X$3)),IF(X$2="Atelier",IF(X$3="Tous",SUMIFS('Étape 1 - à remplir'!$F$31:$F$400,'Étape 1 - à remplir'!$E$31:$E$400,MASQ2!O545,'Étape 1 - à remplir'!$G$31:$G$400,"animaux"),SUMIFS('Étape 1 - à remplir'!$F$31:$F$400,'Étape 1 - à remplir'!$E$31:$E$400,MASQ2!O545,'Étape 1 - à remplir'!$O$31:$O$400,X$3)),IF(X$2="Espèce",IF(X$3="Toutes",SUMIFS('Étape 1 - à remplir'!$F$31:$F$400,'Étape 1 - à remplir'!$E$31:$E$400,MASQ2!O545,'Étape 1 - à remplir'!$G$31:$G$400,"animaux"),SUMIFS('Étape 1 - à remplir'!$F$31:$F$400,'Étape 1 - à remplir'!$E$31:$E$400,MASQ2!O545,'Étape 1 - à remplir'!$N$31:$N$400,X$3))))))=0,NA(),IF(X$2="Catégorie",IF(X$3="Toutes",SUMIFS('Étape 1 - à remplir'!$F$31:$F$400,'Étape 1 - à remplir'!$E$31:$E$400,MASQ2!O545,'Étape 1 - à remplir'!$G$31:$G$400,"animaux"),SUMIFS('Étape 1 - à remplir'!$F$31:$F$400,'Étape 1 - à remplir'!$E$31:$E$400,MASQ2!O545,'Étape 1 - à remplir'!$C$31:$C$400,X$3)),IF(X$2="Âge",IF(X$3="Tous",SUMIFS('Étape 1 - à remplir'!$F$31:$F$400,'Étape 1 - à remplir'!$E$31:$E$400,MASQ2!O545,'Étape 1 - à remplir'!$G$31:$G$400,"animaux"),SUMIFS('Étape 1 - à remplir'!$F$31:$F$400,'Étape 1 - à remplir'!$E$31:$E$400,MASQ2!O545,'Étape 1 - à remplir'!$P$31:$P$400,X$3)),IF(X$2="Atelier",IF(X$3="Tous",SUMIFS('Étape 1 - à remplir'!$F$31:$F$400,'Étape 1 - à remplir'!$E$31:$E$400,MASQ2!O545,'Étape 1 - à remplir'!$G$31:$G$400,"animaux"),SUMIFS('Étape 1 - à remplir'!$F$31:$F$400,'Étape 1 - à remplir'!$E$31:$E$400,MASQ2!O545,'Étape 1 - à remplir'!$O$31:$O$400,X$3)),IF(X$2="Espèce",IF(X$3="Toutes",SUMIFS('Étape 1 - à remplir'!$F$31:$F$400,'Étape 1 - à remplir'!$E$31:$E$400,MASQ2!O545,'Étape 1 - à remplir'!$G$31:$G$400,"animaux"),SUMIFS('Étape 1 - à remplir'!$F$31:$F$400,'Étape 1 - à remplir'!$E$31:$E$400,MASQ2!O545,'Étape 1 - à remplir'!$N$31:$N$400,X$3)))))))</f>
        <v>#N/A</v>
      </c>
      <c r="Q545" s="63">
        <f t="shared" si="335"/>
        <v>0</v>
      </c>
      <c r="R545" t="str">
        <f>Données_ATB!BM544</f>
        <v>Tiamuline</v>
      </c>
      <c r="S545" t="str">
        <f>Données_ATB!BN544</f>
        <v/>
      </c>
      <c r="T545" s="63" t="str">
        <f>Données_ATB!BO544</f>
        <v/>
      </c>
      <c r="U545" s="42" t="str">
        <f>Données_ATB!BQ544</f>
        <v>Pleuromutilines</v>
      </c>
      <c r="V545" t="str">
        <f>Données_ATB!BR544</f>
        <v/>
      </c>
      <c r="W545" s="63" t="str">
        <f>Données_ATB!BS544</f>
        <v/>
      </c>
      <c r="Z545" s="42">
        <v>542</v>
      </c>
      <c r="AA545" t="e">
        <f t="shared" si="331"/>
        <v>#N/A</v>
      </c>
      <c r="AB545" s="63" t="e">
        <f t="shared" si="332"/>
        <v>#N/A</v>
      </c>
      <c r="BT545" s="194" t="str">
        <f t="shared" ca="1" si="315"/>
        <v/>
      </c>
      <c r="BU545" s="219" t="str">
        <f>IFERROR(IF(BX545=0,"",COUNTIF(BX$4:BX$600,"&gt;"&amp;BX545)+COUNTIF(BX$4:BX545,BX545)),"")</f>
        <v/>
      </c>
      <c r="BV545" s="42" t="str">
        <f t="shared" si="316"/>
        <v>VETMULIN 101,2 MG/ML SOLUTION POUR ADMINISTRATION DANS L'EAU DE BOISSON POUR PORCINS ET POULES PONDEUSES</v>
      </c>
      <c r="BW545" t="e">
        <f>IF(IF(CE$2="Catégorie",IF(CE$3="Toutes",SUMIFS('Étape 1 - à remplir'!$F$31:$F$400,'Étape 1 - à remplir'!$E$31:$E$400,MASQ2!BV545,'Étape 1 - à remplir'!$G$31:$G$400,"lots"),SUMIFS('Étape 1 - à remplir'!$F$31:$F$400,'Étape 1 - à remplir'!$E$31:$E$400,MASQ2!BV545,'Étape 1 - à remplir'!$C$31:$C$400,CE$3)),IF(CE$2="Âge",IF(CE$3="Tous",SUMIFS('Étape 1 - à remplir'!$F$31:$F$400,'Étape 1 - à remplir'!$E$31:$E$400,MASQ2!BV545,'Étape 1 - à remplir'!$G$31:$G$400,"lots"),SUMIFS('Étape 1 - à remplir'!$F$31:$F$400,'Étape 1 - à remplir'!$E$31:$E$400,MASQ2!BV545,'Étape 1 - à remplir'!$P$31:$P$400,CE$3,'Étape 1 - à remplir'!$G$31:$G$400,"lots")),IF(CE$2="Atelier",IF(CE$3="Tous",SUMIFS('Étape 1 - à remplir'!$F$31:$F$400,'Étape 1 - à remplir'!$E$31:$E$400,MASQ2!BV545,'Étape 1 - à remplir'!$G$31:$G$400,"lots"),SUMIFS('Étape 1 - à remplir'!$F$31:$F$400,'Étape 1 - à remplir'!$E$31:$E$400,MASQ2!BV545,'Étape 1 - à remplir'!$O$31:$O$400,CE$3,'Étape 1 - à remplir'!$G$31:$G$400,"lots")),IF(CE$2="Espèce",IF(CE$3="Toutes",SUMIFS('Étape 1 - à remplir'!$F$31:$F$400,'Étape 1 - à remplir'!$E$31:$E$400,MASQ2!BV545,'Étape 1 - à remplir'!$G$31:$G$400,"lots"),SUMIFS('Étape 1 - à remplir'!$F$31:$F$400,'Étape 1 - à remplir'!$E$31:$E$400,MASQ2!BV545,'Étape 1 - à remplir'!$N$31:$N$400,CE$3,'Étape 1 - à remplir'!$G$31:$G$400,"lots"))))))=0,NA(),IF(CE$2="Catégorie",IF(CE$3="Toutes",SUMIFS('Étape 1 - à remplir'!$F$31:$F$400,'Étape 1 - à remplir'!$E$31:$E$400,MASQ2!BV545,'Étape 1 - à remplir'!$G$31:$G$400,"lots"),SUMIFS('Étape 1 - à remplir'!$F$31:$F$400,'Étape 1 - à remplir'!$E$31:$E$400,MASQ2!BV545,'Étape 1 - à remplir'!$C$31:$C$400,CE$3)),IF(CE$2="Âge",IF(CE$3="Tous",SUMIFS('Étape 1 - à remplir'!$F$31:$F$400,'Étape 1 - à remplir'!$E$31:$E$400,MASQ2!BV545,'Étape 1 - à remplir'!$G$31:$G$400,"lots"),SUMIFS('Étape 1 - à remplir'!$F$31:$F$400,'Étape 1 - à remplir'!$E$31:$E$400,MASQ2!BV545,'Étape 1 - à remplir'!$P$31:$P$400,CE$3,'Étape 1 - à remplir'!$G$31:$G$400,"lots")),IF(CE$2="Atelier",IF(CE$3="Tous",SUMIFS('Étape 1 - à remplir'!$F$31:$F$400,'Étape 1 - à remplir'!$E$31:$E$400,MASQ2!BV545,'Étape 1 - à remplir'!$G$31:$G$400,"lots"),SUMIFS('Étape 1 - à remplir'!$F$31:$F$400,'Étape 1 - à remplir'!$E$31:$E$400,MASQ2!BV545,'Étape 1 - à remplir'!$O$31:$O$400,CE$3,'Étape 1 - à remplir'!$G$31:$G$400,"lots")),IF(CE$2="Espèce",IF(CE$3="Toutes",SUMIFS('Étape 1 - à remplir'!$F$31:$F$400,'Étape 1 - à remplir'!$E$31:$E$400,MASQ2!BV545,'Étape 1 - à remplir'!$G$31:$G$400,"lots"),SUMIFS('Étape 1 - à remplir'!$F$31:$F$400,'Étape 1 - à remplir'!$E$31:$E$400,MASQ2!BV545,'Étape 1 - à remplir'!$N$31:$N$400,CE$3,'Étape 1 - à remplir'!$G$31:$G$400,"lots")))))))</f>
        <v>#N/A</v>
      </c>
      <c r="BX545">
        <f t="shared" si="333"/>
        <v>0</v>
      </c>
      <c r="BY545" t="str">
        <f t="shared" si="317"/>
        <v>Tiamuline</v>
      </c>
      <c r="BZ545" t="str">
        <f t="shared" si="318"/>
        <v/>
      </c>
      <c r="CA545" t="str">
        <f t="shared" si="319"/>
        <v/>
      </c>
      <c r="CB545" t="str">
        <f t="shared" si="320"/>
        <v>Pleuromutilines</v>
      </c>
      <c r="CC545" t="str">
        <f t="shared" si="321"/>
        <v/>
      </c>
      <c r="CD545" s="63" t="str">
        <f t="shared" si="322"/>
        <v/>
      </c>
      <c r="CG545" s="42">
        <v>542</v>
      </c>
      <c r="CH545" s="42" t="e">
        <f t="shared" si="338"/>
        <v>#N/A</v>
      </c>
      <c r="CI545" s="63" t="e">
        <f t="shared" si="339"/>
        <v>#N/A</v>
      </c>
      <c r="EA545" s="194" t="str">
        <f t="shared" ca="1" si="323"/>
        <v/>
      </c>
      <c r="EB545" s="226" t="str">
        <f>IFERROR(IF(ED545=0,"",COUNTIF(ED$4:ED$600,"&gt;"&amp;ED545)+COUNTIF(ED$4:ED545,ED545)),"")</f>
        <v/>
      </c>
      <c r="EC545" t="str">
        <f t="shared" si="324"/>
        <v>VETMULIN 101,2 MG/ML SOLUTION POUR ADMINISTRATION DANS L'EAU DE BOISSON POUR PORCINS ET POULES PONDEUSES</v>
      </c>
      <c r="ED545" t="e">
        <f>IF(IF(EL$2="Catégorie",IF(EL$3="Toutes",SUMIFS('Étape 1 - à remplir'!$F$31:$F$400,'Étape 1 - à remplir'!$E$31:$E$400,MASQ2!EC545,'Étape 1 - à remplir'!$G$31:$G$400,"kg"),SUMIFS('Étape 1 - à remplir'!$F$31:$F$400,'Étape 1 - à remplir'!$E$31:$E$400,MASQ2!EC545,'Étape 1 - à remplir'!$C$31:$C$400,EL$3)),IF(EL$2="Âge",IF(EL$3="Tous",SUMIFS('Étape 1 - à remplir'!$F$31:$F$400,'Étape 1 - à remplir'!$E$31:$E$400,MASQ2!EC545,'Étape 1 - à remplir'!$G$31:$G$400,"kg"),SUMIFS('Étape 1 - à remplir'!$F$31:$F$400,'Étape 1 - à remplir'!$E$31:$E$400,MASQ2!EC545,'Étape 1 - à remplir'!$P$31:$P$400,EL$3,'Étape 1 - à remplir'!$G$31:$G$400,"kg")),IF(EL$2="Atelier",IF(EL$3="Tous",SUMIFS('Étape 1 - à remplir'!$F$31:$F$400,'Étape 1 - à remplir'!$E$31:$E$400,MASQ2!EC545,'Étape 1 - à remplir'!$G$31:$G$400,"kg"),SUMIFS('Étape 1 - à remplir'!$F$31:$F$400,'Étape 1 - à remplir'!$E$31:$E$400,MASQ2!EC545,'Étape 1 - à remplir'!$O$31:$O$400,EL$3,'Étape 1 - à remplir'!$G$31:$G$400,"kg")),IF(EL$2="Espèce",IF(EL$3="Toutes",SUMIFS('Étape 1 - à remplir'!$F$31:$F$400,'Étape 1 - à remplir'!$E$31:$E$400,MASQ2!EC545,'Étape 1 - à remplir'!$G$31:$G$400,"kg"),SUMIFS('Étape 1 - à remplir'!$F$31:$F$400,'Étape 1 - à remplir'!$E$31:$E$400,MASQ2!EC545,'Étape 1 - à remplir'!$N$31:$N$400,EL$3,'Étape 1 - à remplir'!$G$31:$G$400,"kg"))))))=0,NA(),IF(EL$2="Catégorie",IF(EL$3="Toutes",SUMIFS('Étape 1 - à remplir'!$F$31:$F$400,'Étape 1 - à remplir'!$E$31:$E$400,MASQ2!EC545,'Étape 1 - à remplir'!$G$31:$G$400,"kg"),SUMIFS('Étape 1 - à remplir'!$F$31:$F$400,'Étape 1 - à remplir'!$E$31:$E$400,MASQ2!EC545,'Étape 1 - à remplir'!$C$31:$C$400,EL$3)),IF(EL$2="Âge",IF(EL$3="Tous",SUMIFS('Étape 1 - à remplir'!$F$31:$F$400,'Étape 1 - à remplir'!$E$31:$E$400,MASQ2!EC545,'Étape 1 - à remplir'!$G$31:$G$400,"kg"),SUMIFS('Étape 1 - à remplir'!$F$31:$F$400,'Étape 1 - à remplir'!$E$31:$E$400,MASQ2!EC545,'Étape 1 - à remplir'!$P$31:$P$400,EL$3,'Étape 1 - à remplir'!$G$31:$G$400,"kg")),IF(EL$2="Atelier",IF(EL$3="Tous",SUMIFS('Étape 1 - à remplir'!$F$31:$F$400,'Étape 1 - à remplir'!$E$31:$E$400,MASQ2!EC545,'Étape 1 - à remplir'!$G$31:$G$400,"kg"),SUMIFS('Étape 1 - à remplir'!$F$31:$F$400,'Étape 1 - à remplir'!$E$31:$E$400,MASQ2!EC545,'Étape 1 - à remplir'!$O$31:$O$400,EL$3,'Étape 1 - à remplir'!$G$31:$G$400,"kg")),IF(EL$2="Espèce",IF(EL$3="Toutes",SUMIFS('Étape 1 - à remplir'!$F$31:$F$400,'Étape 1 - à remplir'!$E$31:$E$400,MASQ2!EC545,'Étape 1 - à remplir'!$G$31:$G$400,"kg"),SUMIFS('Étape 1 - à remplir'!$F$31:$F$400,'Étape 1 - à remplir'!$E$31:$E$400,MASQ2!EC545,'Étape 1 - à remplir'!$N$31:$N$400,EL$3,'Étape 1 - à remplir'!$G$31:$G$400,"kg")))))))</f>
        <v>#N/A</v>
      </c>
      <c r="EE545" s="76">
        <f t="shared" si="334"/>
        <v>0</v>
      </c>
      <c r="EF545" t="str">
        <f t="shared" si="325"/>
        <v>Tiamuline</v>
      </c>
      <c r="EG545" t="str">
        <f t="shared" si="326"/>
        <v/>
      </c>
      <c r="EH545" t="str">
        <f t="shared" si="327"/>
        <v/>
      </c>
      <c r="EI545" t="str">
        <f t="shared" si="328"/>
        <v>Pleuromutilines</v>
      </c>
      <c r="EJ545" t="str">
        <f t="shared" si="329"/>
        <v/>
      </c>
      <c r="EK545" s="63" t="str">
        <f t="shared" si="330"/>
        <v/>
      </c>
      <c r="EN545" s="42">
        <v>542</v>
      </c>
      <c r="EO545" t="e">
        <f t="shared" si="336"/>
        <v>#N/A</v>
      </c>
      <c r="EP545" s="63" t="e">
        <f t="shared" si="337"/>
        <v>#N/A</v>
      </c>
    </row>
    <row r="546" spans="13:146" x14ac:dyDescent="0.3">
      <c r="M546" s="194" t="str">
        <f ca="1">INDEX(Données_ATB!BD:BU,MATCH(MASQ2!O546,Données_ATB!BD:BD,0),18)</f>
        <v/>
      </c>
      <c r="N546" s="14" t="str">
        <f>IFERROR(IF(Q546=0,"",COUNTIF(Q$4:Q$600,"&gt;"&amp;Q546)+COUNTIF(Q$4:Q546,Q546)),"")</f>
        <v/>
      </c>
      <c r="O546" t="str">
        <f>Données_ATB!BD545</f>
        <v>VETMULIN 101,2 MG/ML SOLUTION POUR LAPINS</v>
      </c>
      <c r="P546" t="e">
        <f>IF(IF(X$2="Catégorie",IF(X$3="Toutes",SUMIFS('Étape 1 - à remplir'!$F$31:$F$400,'Étape 1 - à remplir'!$E$31:$E$400,MASQ2!O546,'Étape 1 - à remplir'!$G$31:$G$400,"animaux"),SUMIFS('Étape 1 - à remplir'!$F$31:$F$400,'Étape 1 - à remplir'!$E$31:$E$400,MASQ2!O546,'Étape 1 - à remplir'!$C$31:$C$400,X$3)),IF(X$2="Âge",IF(X$3="Tous",SUMIFS('Étape 1 - à remplir'!$F$31:$F$400,'Étape 1 - à remplir'!$E$31:$E$400,MASQ2!O546,'Étape 1 - à remplir'!$G$31:$G$400,"animaux"),SUMIFS('Étape 1 - à remplir'!$F$31:$F$400,'Étape 1 - à remplir'!$E$31:$E$400,MASQ2!O546,'Étape 1 - à remplir'!$P$31:$P$400,X$3)),IF(X$2="Atelier",IF(X$3="Tous",SUMIFS('Étape 1 - à remplir'!$F$31:$F$400,'Étape 1 - à remplir'!$E$31:$E$400,MASQ2!O546,'Étape 1 - à remplir'!$G$31:$G$400,"animaux"),SUMIFS('Étape 1 - à remplir'!$F$31:$F$400,'Étape 1 - à remplir'!$E$31:$E$400,MASQ2!O546,'Étape 1 - à remplir'!$O$31:$O$400,X$3)),IF(X$2="Espèce",IF(X$3="Toutes",SUMIFS('Étape 1 - à remplir'!$F$31:$F$400,'Étape 1 - à remplir'!$E$31:$E$400,MASQ2!O546,'Étape 1 - à remplir'!$G$31:$G$400,"animaux"),SUMIFS('Étape 1 - à remplir'!$F$31:$F$400,'Étape 1 - à remplir'!$E$31:$E$400,MASQ2!O546,'Étape 1 - à remplir'!$N$31:$N$400,X$3))))))=0,NA(),IF(X$2="Catégorie",IF(X$3="Toutes",SUMIFS('Étape 1 - à remplir'!$F$31:$F$400,'Étape 1 - à remplir'!$E$31:$E$400,MASQ2!O546,'Étape 1 - à remplir'!$G$31:$G$400,"animaux"),SUMIFS('Étape 1 - à remplir'!$F$31:$F$400,'Étape 1 - à remplir'!$E$31:$E$400,MASQ2!O546,'Étape 1 - à remplir'!$C$31:$C$400,X$3)),IF(X$2="Âge",IF(X$3="Tous",SUMIFS('Étape 1 - à remplir'!$F$31:$F$400,'Étape 1 - à remplir'!$E$31:$E$400,MASQ2!O546,'Étape 1 - à remplir'!$G$31:$G$400,"animaux"),SUMIFS('Étape 1 - à remplir'!$F$31:$F$400,'Étape 1 - à remplir'!$E$31:$E$400,MASQ2!O546,'Étape 1 - à remplir'!$P$31:$P$400,X$3)),IF(X$2="Atelier",IF(X$3="Tous",SUMIFS('Étape 1 - à remplir'!$F$31:$F$400,'Étape 1 - à remplir'!$E$31:$E$400,MASQ2!O546,'Étape 1 - à remplir'!$G$31:$G$400,"animaux"),SUMIFS('Étape 1 - à remplir'!$F$31:$F$400,'Étape 1 - à remplir'!$E$31:$E$400,MASQ2!O546,'Étape 1 - à remplir'!$O$31:$O$400,X$3)),IF(X$2="Espèce",IF(X$3="Toutes",SUMIFS('Étape 1 - à remplir'!$F$31:$F$400,'Étape 1 - à remplir'!$E$31:$E$400,MASQ2!O546,'Étape 1 - à remplir'!$G$31:$G$400,"animaux"),SUMIFS('Étape 1 - à remplir'!$F$31:$F$400,'Étape 1 - à remplir'!$E$31:$E$400,MASQ2!O546,'Étape 1 - à remplir'!$N$31:$N$400,X$3)))))))</f>
        <v>#N/A</v>
      </c>
      <c r="Q546" s="63">
        <f t="shared" si="335"/>
        <v>0</v>
      </c>
      <c r="R546" t="str">
        <f>Données_ATB!BM545</f>
        <v>Tiamuline</v>
      </c>
      <c r="S546" t="str">
        <f>Données_ATB!BN545</f>
        <v/>
      </c>
      <c r="T546" s="63" t="str">
        <f>Données_ATB!BO545</f>
        <v/>
      </c>
      <c r="U546" s="42" t="str">
        <f>Données_ATB!BQ545</f>
        <v>Pleuromutilines</v>
      </c>
      <c r="V546" t="str">
        <f>Données_ATB!BR545</f>
        <v/>
      </c>
      <c r="W546" s="63" t="str">
        <f>Données_ATB!BS545</f>
        <v/>
      </c>
      <c r="Z546" s="42">
        <v>543</v>
      </c>
      <c r="AA546" t="e">
        <f t="shared" si="331"/>
        <v>#N/A</v>
      </c>
      <c r="AB546" s="63" t="e">
        <f t="shared" si="332"/>
        <v>#N/A</v>
      </c>
      <c r="BT546" s="194" t="str">
        <f t="shared" ca="1" si="315"/>
        <v/>
      </c>
      <c r="BU546" s="219" t="str">
        <f>IFERROR(IF(BX546=0,"",COUNTIF(BX$4:BX$600,"&gt;"&amp;BX546)+COUNTIF(BX$4:BX546,BX546)),"")</f>
        <v/>
      </c>
      <c r="BV546" s="42" t="str">
        <f t="shared" si="316"/>
        <v>VETMULIN 101,2 MG/ML SOLUTION POUR LAPINS</v>
      </c>
      <c r="BW546" t="e">
        <f>IF(IF(CE$2="Catégorie",IF(CE$3="Toutes",SUMIFS('Étape 1 - à remplir'!$F$31:$F$400,'Étape 1 - à remplir'!$E$31:$E$400,MASQ2!BV546,'Étape 1 - à remplir'!$G$31:$G$400,"lots"),SUMIFS('Étape 1 - à remplir'!$F$31:$F$400,'Étape 1 - à remplir'!$E$31:$E$400,MASQ2!BV546,'Étape 1 - à remplir'!$C$31:$C$400,CE$3)),IF(CE$2="Âge",IF(CE$3="Tous",SUMIFS('Étape 1 - à remplir'!$F$31:$F$400,'Étape 1 - à remplir'!$E$31:$E$400,MASQ2!BV546,'Étape 1 - à remplir'!$G$31:$G$400,"lots"),SUMIFS('Étape 1 - à remplir'!$F$31:$F$400,'Étape 1 - à remplir'!$E$31:$E$400,MASQ2!BV546,'Étape 1 - à remplir'!$P$31:$P$400,CE$3,'Étape 1 - à remplir'!$G$31:$G$400,"lots")),IF(CE$2="Atelier",IF(CE$3="Tous",SUMIFS('Étape 1 - à remplir'!$F$31:$F$400,'Étape 1 - à remplir'!$E$31:$E$400,MASQ2!BV546,'Étape 1 - à remplir'!$G$31:$G$400,"lots"),SUMIFS('Étape 1 - à remplir'!$F$31:$F$400,'Étape 1 - à remplir'!$E$31:$E$400,MASQ2!BV546,'Étape 1 - à remplir'!$O$31:$O$400,CE$3,'Étape 1 - à remplir'!$G$31:$G$400,"lots")),IF(CE$2="Espèce",IF(CE$3="Toutes",SUMIFS('Étape 1 - à remplir'!$F$31:$F$400,'Étape 1 - à remplir'!$E$31:$E$400,MASQ2!BV546,'Étape 1 - à remplir'!$G$31:$G$400,"lots"),SUMIFS('Étape 1 - à remplir'!$F$31:$F$400,'Étape 1 - à remplir'!$E$31:$E$400,MASQ2!BV546,'Étape 1 - à remplir'!$N$31:$N$400,CE$3,'Étape 1 - à remplir'!$G$31:$G$400,"lots"))))))=0,NA(),IF(CE$2="Catégorie",IF(CE$3="Toutes",SUMIFS('Étape 1 - à remplir'!$F$31:$F$400,'Étape 1 - à remplir'!$E$31:$E$400,MASQ2!BV546,'Étape 1 - à remplir'!$G$31:$G$400,"lots"),SUMIFS('Étape 1 - à remplir'!$F$31:$F$400,'Étape 1 - à remplir'!$E$31:$E$400,MASQ2!BV546,'Étape 1 - à remplir'!$C$31:$C$400,CE$3)),IF(CE$2="Âge",IF(CE$3="Tous",SUMIFS('Étape 1 - à remplir'!$F$31:$F$400,'Étape 1 - à remplir'!$E$31:$E$400,MASQ2!BV546,'Étape 1 - à remplir'!$G$31:$G$400,"lots"),SUMIFS('Étape 1 - à remplir'!$F$31:$F$400,'Étape 1 - à remplir'!$E$31:$E$400,MASQ2!BV546,'Étape 1 - à remplir'!$P$31:$P$400,CE$3,'Étape 1 - à remplir'!$G$31:$G$400,"lots")),IF(CE$2="Atelier",IF(CE$3="Tous",SUMIFS('Étape 1 - à remplir'!$F$31:$F$400,'Étape 1 - à remplir'!$E$31:$E$400,MASQ2!BV546,'Étape 1 - à remplir'!$G$31:$G$400,"lots"),SUMIFS('Étape 1 - à remplir'!$F$31:$F$400,'Étape 1 - à remplir'!$E$31:$E$400,MASQ2!BV546,'Étape 1 - à remplir'!$O$31:$O$400,CE$3,'Étape 1 - à remplir'!$G$31:$G$400,"lots")),IF(CE$2="Espèce",IF(CE$3="Toutes",SUMIFS('Étape 1 - à remplir'!$F$31:$F$400,'Étape 1 - à remplir'!$E$31:$E$400,MASQ2!BV546,'Étape 1 - à remplir'!$G$31:$G$400,"lots"),SUMIFS('Étape 1 - à remplir'!$F$31:$F$400,'Étape 1 - à remplir'!$E$31:$E$400,MASQ2!BV546,'Étape 1 - à remplir'!$N$31:$N$400,CE$3,'Étape 1 - à remplir'!$G$31:$G$400,"lots")))))))</f>
        <v>#N/A</v>
      </c>
      <c r="BX546">
        <f t="shared" si="333"/>
        <v>0</v>
      </c>
      <c r="BY546" t="str">
        <f t="shared" si="317"/>
        <v>Tiamuline</v>
      </c>
      <c r="BZ546" t="str">
        <f t="shared" si="318"/>
        <v/>
      </c>
      <c r="CA546" t="str">
        <f t="shared" si="319"/>
        <v/>
      </c>
      <c r="CB546" t="str">
        <f t="shared" si="320"/>
        <v>Pleuromutilines</v>
      </c>
      <c r="CC546" t="str">
        <f t="shared" si="321"/>
        <v/>
      </c>
      <c r="CD546" s="63" t="str">
        <f t="shared" si="322"/>
        <v/>
      </c>
      <c r="CG546" s="42">
        <v>543</v>
      </c>
      <c r="CH546" s="42" t="e">
        <f t="shared" si="338"/>
        <v>#N/A</v>
      </c>
      <c r="CI546" s="63" t="e">
        <f t="shared" si="339"/>
        <v>#N/A</v>
      </c>
      <c r="EA546" s="194" t="str">
        <f t="shared" ca="1" si="323"/>
        <v/>
      </c>
      <c r="EB546" s="226" t="str">
        <f>IFERROR(IF(ED546=0,"",COUNTIF(ED$4:ED$600,"&gt;"&amp;ED546)+COUNTIF(ED$4:ED546,ED546)),"")</f>
        <v/>
      </c>
      <c r="EC546" t="str">
        <f t="shared" si="324"/>
        <v>VETMULIN 101,2 MG/ML SOLUTION POUR LAPINS</v>
      </c>
      <c r="ED546" t="e">
        <f>IF(IF(EL$2="Catégorie",IF(EL$3="Toutes",SUMIFS('Étape 1 - à remplir'!$F$31:$F$400,'Étape 1 - à remplir'!$E$31:$E$400,MASQ2!EC546,'Étape 1 - à remplir'!$G$31:$G$400,"kg"),SUMIFS('Étape 1 - à remplir'!$F$31:$F$400,'Étape 1 - à remplir'!$E$31:$E$400,MASQ2!EC546,'Étape 1 - à remplir'!$C$31:$C$400,EL$3)),IF(EL$2="Âge",IF(EL$3="Tous",SUMIFS('Étape 1 - à remplir'!$F$31:$F$400,'Étape 1 - à remplir'!$E$31:$E$400,MASQ2!EC546,'Étape 1 - à remplir'!$G$31:$G$400,"kg"),SUMIFS('Étape 1 - à remplir'!$F$31:$F$400,'Étape 1 - à remplir'!$E$31:$E$400,MASQ2!EC546,'Étape 1 - à remplir'!$P$31:$P$400,EL$3,'Étape 1 - à remplir'!$G$31:$G$400,"kg")),IF(EL$2="Atelier",IF(EL$3="Tous",SUMIFS('Étape 1 - à remplir'!$F$31:$F$400,'Étape 1 - à remplir'!$E$31:$E$400,MASQ2!EC546,'Étape 1 - à remplir'!$G$31:$G$400,"kg"),SUMIFS('Étape 1 - à remplir'!$F$31:$F$400,'Étape 1 - à remplir'!$E$31:$E$400,MASQ2!EC546,'Étape 1 - à remplir'!$O$31:$O$400,EL$3,'Étape 1 - à remplir'!$G$31:$G$400,"kg")),IF(EL$2="Espèce",IF(EL$3="Toutes",SUMIFS('Étape 1 - à remplir'!$F$31:$F$400,'Étape 1 - à remplir'!$E$31:$E$400,MASQ2!EC546,'Étape 1 - à remplir'!$G$31:$G$400,"kg"),SUMIFS('Étape 1 - à remplir'!$F$31:$F$400,'Étape 1 - à remplir'!$E$31:$E$400,MASQ2!EC546,'Étape 1 - à remplir'!$N$31:$N$400,EL$3,'Étape 1 - à remplir'!$G$31:$G$400,"kg"))))))=0,NA(),IF(EL$2="Catégorie",IF(EL$3="Toutes",SUMIFS('Étape 1 - à remplir'!$F$31:$F$400,'Étape 1 - à remplir'!$E$31:$E$400,MASQ2!EC546,'Étape 1 - à remplir'!$G$31:$G$400,"kg"),SUMIFS('Étape 1 - à remplir'!$F$31:$F$400,'Étape 1 - à remplir'!$E$31:$E$400,MASQ2!EC546,'Étape 1 - à remplir'!$C$31:$C$400,EL$3)),IF(EL$2="Âge",IF(EL$3="Tous",SUMIFS('Étape 1 - à remplir'!$F$31:$F$400,'Étape 1 - à remplir'!$E$31:$E$400,MASQ2!EC546,'Étape 1 - à remplir'!$G$31:$G$400,"kg"),SUMIFS('Étape 1 - à remplir'!$F$31:$F$400,'Étape 1 - à remplir'!$E$31:$E$400,MASQ2!EC546,'Étape 1 - à remplir'!$P$31:$P$400,EL$3,'Étape 1 - à remplir'!$G$31:$G$400,"kg")),IF(EL$2="Atelier",IF(EL$3="Tous",SUMIFS('Étape 1 - à remplir'!$F$31:$F$400,'Étape 1 - à remplir'!$E$31:$E$400,MASQ2!EC546,'Étape 1 - à remplir'!$G$31:$G$400,"kg"),SUMIFS('Étape 1 - à remplir'!$F$31:$F$400,'Étape 1 - à remplir'!$E$31:$E$400,MASQ2!EC546,'Étape 1 - à remplir'!$O$31:$O$400,EL$3,'Étape 1 - à remplir'!$G$31:$G$400,"kg")),IF(EL$2="Espèce",IF(EL$3="Toutes",SUMIFS('Étape 1 - à remplir'!$F$31:$F$400,'Étape 1 - à remplir'!$E$31:$E$400,MASQ2!EC546,'Étape 1 - à remplir'!$G$31:$G$400,"kg"),SUMIFS('Étape 1 - à remplir'!$F$31:$F$400,'Étape 1 - à remplir'!$E$31:$E$400,MASQ2!EC546,'Étape 1 - à remplir'!$N$31:$N$400,EL$3,'Étape 1 - à remplir'!$G$31:$G$400,"kg")))))))</f>
        <v>#N/A</v>
      </c>
      <c r="EE546" s="76">
        <f t="shared" si="334"/>
        <v>0</v>
      </c>
      <c r="EF546" t="str">
        <f t="shared" si="325"/>
        <v>Tiamuline</v>
      </c>
      <c r="EG546" t="str">
        <f t="shared" si="326"/>
        <v/>
      </c>
      <c r="EH546" t="str">
        <f t="shared" si="327"/>
        <v/>
      </c>
      <c r="EI546" t="str">
        <f t="shared" si="328"/>
        <v>Pleuromutilines</v>
      </c>
      <c r="EJ546" t="str">
        <f t="shared" si="329"/>
        <v/>
      </c>
      <c r="EK546" s="63" t="str">
        <f t="shared" si="330"/>
        <v/>
      </c>
      <c r="EN546" s="42">
        <v>543</v>
      </c>
      <c r="EO546" t="e">
        <f t="shared" si="336"/>
        <v>#N/A</v>
      </c>
      <c r="EP546" s="63" t="e">
        <f t="shared" si="337"/>
        <v>#N/A</v>
      </c>
    </row>
    <row r="547" spans="13:146" x14ac:dyDescent="0.3">
      <c r="M547" s="194" t="str">
        <f ca="1">INDEX(Données_ATB!BD:BU,MATCH(MASQ2!O547,Données_ATB!BD:BD,0),18)</f>
        <v/>
      </c>
      <c r="N547" s="14" t="str">
        <f>IFERROR(IF(Q547=0,"",COUNTIF(Q$4:Q$600,"&gt;"&amp;Q547)+COUNTIF(Q$4:Q547,Q547)),"")</f>
        <v/>
      </c>
      <c r="O547" t="str">
        <f>Données_ATB!BD546</f>
        <v>VETMULIN 16,2 MG/G PREMELANGE MEDICAMENTEUX POUR PORCS, POULETS, DINDES ET LAPINS</v>
      </c>
      <c r="P547" t="e">
        <f>IF(IF(X$2="Catégorie",IF(X$3="Toutes",SUMIFS('Étape 1 - à remplir'!$F$31:$F$400,'Étape 1 - à remplir'!$E$31:$E$400,MASQ2!O547,'Étape 1 - à remplir'!$G$31:$G$400,"animaux"),SUMIFS('Étape 1 - à remplir'!$F$31:$F$400,'Étape 1 - à remplir'!$E$31:$E$400,MASQ2!O547,'Étape 1 - à remplir'!$C$31:$C$400,X$3)),IF(X$2="Âge",IF(X$3="Tous",SUMIFS('Étape 1 - à remplir'!$F$31:$F$400,'Étape 1 - à remplir'!$E$31:$E$400,MASQ2!O547,'Étape 1 - à remplir'!$G$31:$G$400,"animaux"),SUMIFS('Étape 1 - à remplir'!$F$31:$F$400,'Étape 1 - à remplir'!$E$31:$E$400,MASQ2!O547,'Étape 1 - à remplir'!$P$31:$P$400,X$3)),IF(X$2="Atelier",IF(X$3="Tous",SUMIFS('Étape 1 - à remplir'!$F$31:$F$400,'Étape 1 - à remplir'!$E$31:$E$400,MASQ2!O547,'Étape 1 - à remplir'!$G$31:$G$400,"animaux"),SUMIFS('Étape 1 - à remplir'!$F$31:$F$400,'Étape 1 - à remplir'!$E$31:$E$400,MASQ2!O547,'Étape 1 - à remplir'!$O$31:$O$400,X$3)),IF(X$2="Espèce",IF(X$3="Toutes",SUMIFS('Étape 1 - à remplir'!$F$31:$F$400,'Étape 1 - à remplir'!$E$31:$E$400,MASQ2!O547,'Étape 1 - à remplir'!$G$31:$G$400,"animaux"),SUMIFS('Étape 1 - à remplir'!$F$31:$F$400,'Étape 1 - à remplir'!$E$31:$E$400,MASQ2!O547,'Étape 1 - à remplir'!$N$31:$N$400,X$3))))))=0,NA(),IF(X$2="Catégorie",IF(X$3="Toutes",SUMIFS('Étape 1 - à remplir'!$F$31:$F$400,'Étape 1 - à remplir'!$E$31:$E$400,MASQ2!O547,'Étape 1 - à remplir'!$G$31:$G$400,"animaux"),SUMIFS('Étape 1 - à remplir'!$F$31:$F$400,'Étape 1 - à remplir'!$E$31:$E$400,MASQ2!O547,'Étape 1 - à remplir'!$C$31:$C$400,X$3)),IF(X$2="Âge",IF(X$3="Tous",SUMIFS('Étape 1 - à remplir'!$F$31:$F$400,'Étape 1 - à remplir'!$E$31:$E$400,MASQ2!O547,'Étape 1 - à remplir'!$G$31:$G$400,"animaux"),SUMIFS('Étape 1 - à remplir'!$F$31:$F$400,'Étape 1 - à remplir'!$E$31:$E$400,MASQ2!O547,'Étape 1 - à remplir'!$P$31:$P$400,X$3)),IF(X$2="Atelier",IF(X$3="Tous",SUMIFS('Étape 1 - à remplir'!$F$31:$F$400,'Étape 1 - à remplir'!$E$31:$E$400,MASQ2!O547,'Étape 1 - à remplir'!$G$31:$G$400,"animaux"),SUMIFS('Étape 1 - à remplir'!$F$31:$F$400,'Étape 1 - à remplir'!$E$31:$E$400,MASQ2!O547,'Étape 1 - à remplir'!$O$31:$O$400,X$3)),IF(X$2="Espèce",IF(X$3="Toutes",SUMIFS('Étape 1 - à remplir'!$F$31:$F$400,'Étape 1 - à remplir'!$E$31:$E$400,MASQ2!O547,'Étape 1 - à remplir'!$G$31:$G$400,"animaux"),SUMIFS('Étape 1 - à remplir'!$F$31:$F$400,'Étape 1 - à remplir'!$E$31:$E$400,MASQ2!O547,'Étape 1 - à remplir'!$N$31:$N$400,X$3)))))))</f>
        <v>#N/A</v>
      </c>
      <c r="Q547" s="63">
        <f t="shared" si="335"/>
        <v>0</v>
      </c>
      <c r="R547" t="str">
        <f>Données_ATB!BM546</f>
        <v>Tiamuline</v>
      </c>
      <c r="S547" t="str">
        <f>Données_ATB!BN546</f>
        <v/>
      </c>
      <c r="T547" s="63" t="str">
        <f>Données_ATB!BO546</f>
        <v/>
      </c>
      <c r="U547" s="42" t="str">
        <f>Données_ATB!BQ546</f>
        <v>Pleuromutilines</v>
      </c>
      <c r="V547" t="str">
        <f>Données_ATB!BR546</f>
        <v/>
      </c>
      <c r="W547" s="63" t="str">
        <f>Données_ATB!BS546</f>
        <v/>
      </c>
      <c r="Z547" s="42">
        <v>544</v>
      </c>
      <c r="AA547" t="e">
        <f t="shared" si="331"/>
        <v>#N/A</v>
      </c>
      <c r="AB547" s="63" t="e">
        <f t="shared" si="332"/>
        <v>#N/A</v>
      </c>
      <c r="BT547" s="194" t="str">
        <f t="shared" ca="1" si="315"/>
        <v/>
      </c>
      <c r="BU547" s="219" t="str">
        <f>IFERROR(IF(BX547=0,"",COUNTIF(BX$4:BX$600,"&gt;"&amp;BX547)+COUNTIF(BX$4:BX547,BX547)),"")</f>
        <v/>
      </c>
      <c r="BV547" s="42" t="str">
        <f t="shared" si="316"/>
        <v>VETMULIN 16,2 MG/G PREMELANGE MEDICAMENTEUX POUR PORCS, POULETS, DINDES ET LAPINS</v>
      </c>
      <c r="BW547" t="e">
        <f>IF(IF(CE$2="Catégorie",IF(CE$3="Toutes",SUMIFS('Étape 1 - à remplir'!$F$31:$F$400,'Étape 1 - à remplir'!$E$31:$E$400,MASQ2!BV547,'Étape 1 - à remplir'!$G$31:$G$400,"lots"),SUMIFS('Étape 1 - à remplir'!$F$31:$F$400,'Étape 1 - à remplir'!$E$31:$E$400,MASQ2!BV547,'Étape 1 - à remplir'!$C$31:$C$400,CE$3)),IF(CE$2="Âge",IF(CE$3="Tous",SUMIFS('Étape 1 - à remplir'!$F$31:$F$400,'Étape 1 - à remplir'!$E$31:$E$400,MASQ2!BV547,'Étape 1 - à remplir'!$G$31:$G$400,"lots"),SUMIFS('Étape 1 - à remplir'!$F$31:$F$400,'Étape 1 - à remplir'!$E$31:$E$400,MASQ2!BV547,'Étape 1 - à remplir'!$P$31:$P$400,CE$3,'Étape 1 - à remplir'!$G$31:$G$400,"lots")),IF(CE$2="Atelier",IF(CE$3="Tous",SUMIFS('Étape 1 - à remplir'!$F$31:$F$400,'Étape 1 - à remplir'!$E$31:$E$400,MASQ2!BV547,'Étape 1 - à remplir'!$G$31:$G$400,"lots"),SUMIFS('Étape 1 - à remplir'!$F$31:$F$400,'Étape 1 - à remplir'!$E$31:$E$400,MASQ2!BV547,'Étape 1 - à remplir'!$O$31:$O$400,CE$3,'Étape 1 - à remplir'!$G$31:$G$400,"lots")),IF(CE$2="Espèce",IF(CE$3="Toutes",SUMIFS('Étape 1 - à remplir'!$F$31:$F$400,'Étape 1 - à remplir'!$E$31:$E$400,MASQ2!BV547,'Étape 1 - à remplir'!$G$31:$G$400,"lots"),SUMIFS('Étape 1 - à remplir'!$F$31:$F$400,'Étape 1 - à remplir'!$E$31:$E$400,MASQ2!BV547,'Étape 1 - à remplir'!$N$31:$N$400,CE$3,'Étape 1 - à remplir'!$G$31:$G$400,"lots"))))))=0,NA(),IF(CE$2="Catégorie",IF(CE$3="Toutes",SUMIFS('Étape 1 - à remplir'!$F$31:$F$400,'Étape 1 - à remplir'!$E$31:$E$400,MASQ2!BV547,'Étape 1 - à remplir'!$G$31:$G$400,"lots"),SUMIFS('Étape 1 - à remplir'!$F$31:$F$400,'Étape 1 - à remplir'!$E$31:$E$400,MASQ2!BV547,'Étape 1 - à remplir'!$C$31:$C$400,CE$3)),IF(CE$2="Âge",IF(CE$3="Tous",SUMIFS('Étape 1 - à remplir'!$F$31:$F$400,'Étape 1 - à remplir'!$E$31:$E$400,MASQ2!BV547,'Étape 1 - à remplir'!$G$31:$G$400,"lots"),SUMIFS('Étape 1 - à remplir'!$F$31:$F$400,'Étape 1 - à remplir'!$E$31:$E$400,MASQ2!BV547,'Étape 1 - à remplir'!$P$31:$P$400,CE$3,'Étape 1 - à remplir'!$G$31:$G$400,"lots")),IF(CE$2="Atelier",IF(CE$3="Tous",SUMIFS('Étape 1 - à remplir'!$F$31:$F$400,'Étape 1 - à remplir'!$E$31:$E$400,MASQ2!BV547,'Étape 1 - à remplir'!$G$31:$G$400,"lots"),SUMIFS('Étape 1 - à remplir'!$F$31:$F$400,'Étape 1 - à remplir'!$E$31:$E$400,MASQ2!BV547,'Étape 1 - à remplir'!$O$31:$O$400,CE$3,'Étape 1 - à remplir'!$G$31:$G$400,"lots")),IF(CE$2="Espèce",IF(CE$3="Toutes",SUMIFS('Étape 1 - à remplir'!$F$31:$F$400,'Étape 1 - à remplir'!$E$31:$E$400,MASQ2!BV547,'Étape 1 - à remplir'!$G$31:$G$400,"lots"),SUMIFS('Étape 1 - à remplir'!$F$31:$F$400,'Étape 1 - à remplir'!$E$31:$E$400,MASQ2!BV547,'Étape 1 - à remplir'!$N$31:$N$400,CE$3,'Étape 1 - à remplir'!$G$31:$G$400,"lots")))))))</f>
        <v>#N/A</v>
      </c>
      <c r="BX547">
        <f t="shared" si="333"/>
        <v>0</v>
      </c>
      <c r="BY547" t="str">
        <f t="shared" si="317"/>
        <v>Tiamuline</v>
      </c>
      <c r="BZ547" t="str">
        <f t="shared" si="318"/>
        <v/>
      </c>
      <c r="CA547" t="str">
        <f t="shared" si="319"/>
        <v/>
      </c>
      <c r="CB547" t="str">
        <f t="shared" si="320"/>
        <v>Pleuromutilines</v>
      </c>
      <c r="CC547" t="str">
        <f t="shared" si="321"/>
        <v/>
      </c>
      <c r="CD547" s="63" t="str">
        <f t="shared" si="322"/>
        <v/>
      </c>
      <c r="CG547" s="42">
        <v>544</v>
      </c>
      <c r="CH547" s="42" t="e">
        <f t="shared" si="338"/>
        <v>#N/A</v>
      </c>
      <c r="CI547" s="63" t="e">
        <f t="shared" si="339"/>
        <v>#N/A</v>
      </c>
      <c r="EA547" s="194" t="str">
        <f t="shared" ca="1" si="323"/>
        <v/>
      </c>
      <c r="EB547" s="226" t="str">
        <f>IFERROR(IF(ED547=0,"",COUNTIF(ED$4:ED$600,"&gt;"&amp;ED547)+COUNTIF(ED$4:ED547,ED547)),"")</f>
        <v/>
      </c>
      <c r="EC547" t="str">
        <f t="shared" si="324"/>
        <v>VETMULIN 16,2 MG/G PREMELANGE MEDICAMENTEUX POUR PORCS, POULETS, DINDES ET LAPINS</v>
      </c>
      <c r="ED547" t="e">
        <f>IF(IF(EL$2="Catégorie",IF(EL$3="Toutes",SUMIFS('Étape 1 - à remplir'!$F$31:$F$400,'Étape 1 - à remplir'!$E$31:$E$400,MASQ2!EC547,'Étape 1 - à remplir'!$G$31:$G$400,"kg"),SUMIFS('Étape 1 - à remplir'!$F$31:$F$400,'Étape 1 - à remplir'!$E$31:$E$400,MASQ2!EC547,'Étape 1 - à remplir'!$C$31:$C$400,EL$3)),IF(EL$2="Âge",IF(EL$3="Tous",SUMIFS('Étape 1 - à remplir'!$F$31:$F$400,'Étape 1 - à remplir'!$E$31:$E$400,MASQ2!EC547,'Étape 1 - à remplir'!$G$31:$G$400,"kg"),SUMIFS('Étape 1 - à remplir'!$F$31:$F$400,'Étape 1 - à remplir'!$E$31:$E$400,MASQ2!EC547,'Étape 1 - à remplir'!$P$31:$P$400,EL$3,'Étape 1 - à remplir'!$G$31:$G$400,"kg")),IF(EL$2="Atelier",IF(EL$3="Tous",SUMIFS('Étape 1 - à remplir'!$F$31:$F$400,'Étape 1 - à remplir'!$E$31:$E$400,MASQ2!EC547,'Étape 1 - à remplir'!$G$31:$G$400,"kg"),SUMIFS('Étape 1 - à remplir'!$F$31:$F$400,'Étape 1 - à remplir'!$E$31:$E$400,MASQ2!EC547,'Étape 1 - à remplir'!$O$31:$O$400,EL$3,'Étape 1 - à remplir'!$G$31:$G$400,"kg")),IF(EL$2="Espèce",IF(EL$3="Toutes",SUMIFS('Étape 1 - à remplir'!$F$31:$F$400,'Étape 1 - à remplir'!$E$31:$E$400,MASQ2!EC547,'Étape 1 - à remplir'!$G$31:$G$400,"kg"),SUMIFS('Étape 1 - à remplir'!$F$31:$F$400,'Étape 1 - à remplir'!$E$31:$E$400,MASQ2!EC547,'Étape 1 - à remplir'!$N$31:$N$400,EL$3,'Étape 1 - à remplir'!$G$31:$G$400,"kg"))))))=0,NA(),IF(EL$2="Catégorie",IF(EL$3="Toutes",SUMIFS('Étape 1 - à remplir'!$F$31:$F$400,'Étape 1 - à remplir'!$E$31:$E$400,MASQ2!EC547,'Étape 1 - à remplir'!$G$31:$G$400,"kg"),SUMIFS('Étape 1 - à remplir'!$F$31:$F$400,'Étape 1 - à remplir'!$E$31:$E$400,MASQ2!EC547,'Étape 1 - à remplir'!$C$31:$C$400,EL$3)),IF(EL$2="Âge",IF(EL$3="Tous",SUMIFS('Étape 1 - à remplir'!$F$31:$F$400,'Étape 1 - à remplir'!$E$31:$E$400,MASQ2!EC547,'Étape 1 - à remplir'!$G$31:$G$400,"kg"),SUMIFS('Étape 1 - à remplir'!$F$31:$F$400,'Étape 1 - à remplir'!$E$31:$E$400,MASQ2!EC547,'Étape 1 - à remplir'!$P$31:$P$400,EL$3,'Étape 1 - à remplir'!$G$31:$G$400,"kg")),IF(EL$2="Atelier",IF(EL$3="Tous",SUMIFS('Étape 1 - à remplir'!$F$31:$F$400,'Étape 1 - à remplir'!$E$31:$E$400,MASQ2!EC547,'Étape 1 - à remplir'!$G$31:$G$400,"kg"),SUMIFS('Étape 1 - à remplir'!$F$31:$F$400,'Étape 1 - à remplir'!$E$31:$E$400,MASQ2!EC547,'Étape 1 - à remplir'!$O$31:$O$400,EL$3,'Étape 1 - à remplir'!$G$31:$G$400,"kg")),IF(EL$2="Espèce",IF(EL$3="Toutes",SUMIFS('Étape 1 - à remplir'!$F$31:$F$400,'Étape 1 - à remplir'!$E$31:$E$400,MASQ2!EC547,'Étape 1 - à remplir'!$G$31:$G$400,"kg"),SUMIFS('Étape 1 - à remplir'!$F$31:$F$400,'Étape 1 - à remplir'!$E$31:$E$400,MASQ2!EC547,'Étape 1 - à remplir'!$N$31:$N$400,EL$3,'Étape 1 - à remplir'!$G$31:$G$400,"kg")))))))</f>
        <v>#N/A</v>
      </c>
      <c r="EE547" s="76">
        <f t="shared" si="334"/>
        <v>0</v>
      </c>
      <c r="EF547" t="str">
        <f t="shared" si="325"/>
        <v>Tiamuline</v>
      </c>
      <c r="EG547" t="str">
        <f t="shared" si="326"/>
        <v/>
      </c>
      <c r="EH547" t="str">
        <f t="shared" si="327"/>
        <v/>
      </c>
      <c r="EI547" t="str">
        <f t="shared" si="328"/>
        <v>Pleuromutilines</v>
      </c>
      <c r="EJ547" t="str">
        <f t="shared" si="329"/>
        <v/>
      </c>
      <c r="EK547" s="63" t="str">
        <f t="shared" si="330"/>
        <v/>
      </c>
      <c r="EN547" s="42">
        <v>544</v>
      </c>
      <c r="EO547" t="e">
        <f t="shared" si="336"/>
        <v>#N/A</v>
      </c>
      <c r="EP547" s="63" t="e">
        <f t="shared" si="337"/>
        <v>#N/A</v>
      </c>
    </row>
    <row r="548" spans="13:146" x14ac:dyDescent="0.3">
      <c r="M548" s="194" t="str">
        <f ca="1">INDEX(Données_ATB!BD:BU,MATCH(MASQ2!O548,Données_ATB!BD:BD,0),18)</f>
        <v/>
      </c>
      <c r="N548" s="14" t="str">
        <f>IFERROR(IF(Q548=0,"",COUNTIF(Q$4:Q$600,"&gt;"&amp;Q548)+COUNTIF(Q$4:Q548,Q548)),"")</f>
        <v/>
      </c>
      <c r="O548" t="str">
        <f>Données_ATB!BD547</f>
        <v>VETMULIN 162 MG/ML SOLUTION INJECTABLE POUR PORCS</v>
      </c>
      <c r="P548" t="e">
        <f>IF(IF(X$2="Catégorie",IF(X$3="Toutes",SUMIFS('Étape 1 - à remplir'!$F$31:$F$400,'Étape 1 - à remplir'!$E$31:$E$400,MASQ2!O548,'Étape 1 - à remplir'!$G$31:$G$400,"animaux"),SUMIFS('Étape 1 - à remplir'!$F$31:$F$400,'Étape 1 - à remplir'!$E$31:$E$400,MASQ2!O548,'Étape 1 - à remplir'!$C$31:$C$400,X$3)),IF(X$2="Âge",IF(X$3="Tous",SUMIFS('Étape 1 - à remplir'!$F$31:$F$400,'Étape 1 - à remplir'!$E$31:$E$400,MASQ2!O548,'Étape 1 - à remplir'!$G$31:$G$400,"animaux"),SUMIFS('Étape 1 - à remplir'!$F$31:$F$400,'Étape 1 - à remplir'!$E$31:$E$400,MASQ2!O548,'Étape 1 - à remplir'!$P$31:$P$400,X$3)),IF(X$2="Atelier",IF(X$3="Tous",SUMIFS('Étape 1 - à remplir'!$F$31:$F$400,'Étape 1 - à remplir'!$E$31:$E$400,MASQ2!O548,'Étape 1 - à remplir'!$G$31:$G$400,"animaux"),SUMIFS('Étape 1 - à remplir'!$F$31:$F$400,'Étape 1 - à remplir'!$E$31:$E$400,MASQ2!O548,'Étape 1 - à remplir'!$O$31:$O$400,X$3)),IF(X$2="Espèce",IF(X$3="Toutes",SUMIFS('Étape 1 - à remplir'!$F$31:$F$400,'Étape 1 - à remplir'!$E$31:$E$400,MASQ2!O548,'Étape 1 - à remplir'!$G$31:$G$400,"animaux"),SUMIFS('Étape 1 - à remplir'!$F$31:$F$400,'Étape 1 - à remplir'!$E$31:$E$400,MASQ2!O548,'Étape 1 - à remplir'!$N$31:$N$400,X$3))))))=0,NA(),IF(X$2="Catégorie",IF(X$3="Toutes",SUMIFS('Étape 1 - à remplir'!$F$31:$F$400,'Étape 1 - à remplir'!$E$31:$E$400,MASQ2!O548,'Étape 1 - à remplir'!$G$31:$G$400,"animaux"),SUMIFS('Étape 1 - à remplir'!$F$31:$F$400,'Étape 1 - à remplir'!$E$31:$E$400,MASQ2!O548,'Étape 1 - à remplir'!$C$31:$C$400,X$3)),IF(X$2="Âge",IF(X$3="Tous",SUMIFS('Étape 1 - à remplir'!$F$31:$F$400,'Étape 1 - à remplir'!$E$31:$E$400,MASQ2!O548,'Étape 1 - à remplir'!$G$31:$G$400,"animaux"),SUMIFS('Étape 1 - à remplir'!$F$31:$F$400,'Étape 1 - à remplir'!$E$31:$E$400,MASQ2!O548,'Étape 1 - à remplir'!$P$31:$P$400,X$3)),IF(X$2="Atelier",IF(X$3="Tous",SUMIFS('Étape 1 - à remplir'!$F$31:$F$400,'Étape 1 - à remplir'!$E$31:$E$400,MASQ2!O548,'Étape 1 - à remplir'!$G$31:$G$400,"animaux"),SUMIFS('Étape 1 - à remplir'!$F$31:$F$400,'Étape 1 - à remplir'!$E$31:$E$400,MASQ2!O548,'Étape 1 - à remplir'!$O$31:$O$400,X$3)),IF(X$2="Espèce",IF(X$3="Toutes",SUMIFS('Étape 1 - à remplir'!$F$31:$F$400,'Étape 1 - à remplir'!$E$31:$E$400,MASQ2!O548,'Étape 1 - à remplir'!$G$31:$G$400,"animaux"),SUMIFS('Étape 1 - à remplir'!$F$31:$F$400,'Étape 1 - à remplir'!$E$31:$E$400,MASQ2!O548,'Étape 1 - à remplir'!$N$31:$N$400,X$3)))))))</f>
        <v>#N/A</v>
      </c>
      <c r="Q548" s="63">
        <f t="shared" si="335"/>
        <v>0</v>
      </c>
      <c r="R548" t="str">
        <f>Données_ATB!BM547</f>
        <v>Tiamuline</v>
      </c>
      <c r="S548" t="str">
        <f>Données_ATB!BN547</f>
        <v/>
      </c>
      <c r="T548" s="63" t="str">
        <f>Données_ATB!BO547</f>
        <v/>
      </c>
      <c r="U548" s="42" t="str">
        <f>Données_ATB!BQ547</f>
        <v>Pleuromutilines</v>
      </c>
      <c r="V548" t="str">
        <f>Données_ATB!BR547</f>
        <v/>
      </c>
      <c r="W548" s="63" t="str">
        <f>Données_ATB!BS547</f>
        <v/>
      </c>
      <c r="Z548" s="42">
        <v>545</v>
      </c>
      <c r="AA548" t="e">
        <f t="shared" si="331"/>
        <v>#N/A</v>
      </c>
      <c r="AB548" s="63" t="e">
        <f t="shared" si="332"/>
        <v>#N/A</v>
      </c>
      <c r="BT548" s="194" t="str">
        <f t="shared" ca="1" si="315"/>
        <v/>
      </c>
      <c r="BU548" s="219" t="str">
        <f>IFERROR(IF(BX548=0,"",COUNTIF(BX$4:BX$600,"&gt;"&amp;BX548)+COUNTIF(BX$4:BX548,BX548)),"")</f>
        <v/>
      </c>
      <c r="BV548" s="42" t="str">
        <f t="shared" si="316"/>
        <v>VETMULIN 162 MG/ML SOLUTION INJECTABLE POUR PORCS</v>
      </c>
      <c r="BW548" t="e">
        <f>IF(IF(CE$2="Catégorie",IF(CE$3="Toutes",SUMIFS('Étape 1 - à remplir'!$F$31:$F$400,'Étape 1 - à remplir'!$E$31:$E$400,MASQ2!BV548,'Étape 1 - à remplir'!$G$31:$G$400,"lots"),SUMIFS('Étape 1 - à remplir'!$F$31:$F$400,'Étape 1 - à remplir'!$E$31:$E$400,MASQ2!BV548,'Étape 1 - à remplir'!$C$31:$C$400,CE$3)),IF(CE$2="Âge",IF(CE$3="Tous",SUMIFS('Étape 1 - à remplir'!$F$31:$F$400,'Étape 1 - à remplir'!$E$31:$E$400,MASQ2!BV548,'Étape 1 - à remplir'!$G$31:$G$400,"lots"),SUMIFS('Étape 1 - à remplir'!$F$31:$F$400,'Étape 1 - à remplir'!$E$31:$E$400,MASQ2!BV548,'Étape 1 - à remplir'!$P$31:$P$400,CE$3,'Étape 1 - à remplir'!$G$31:$G$400,"lots")),IF(CE$2="Atelier",IF(CE$3="Tous",SUMIFS('Étape 1 - à remplir'!$F$31:$F$400,'Étape 1 - à remplir'!$E$31:$E$400,MASQ2!BV548,'Étape 1 - à remplir'!$G$31:$G$400,"lots"),SUMIFS('Étape 1 - à remplir'!$F$31:$F$400,'Étape 1 - à remplir'!$E$31:$E$400,MASQ2!BV548,'Étape 1 - à remplir'!$O$31:$O$400,CE$3,'Étape 1 - à remplir'!$G$31:$G$400,"lots")),IF(CE$2="Espèce",IF(CE$3="Toutes",SUMIFS('Étape 1 - à remplir'!$F$31:$F$400,'Étape 1 - à remplir'!$E$31:$E$400,MASQ2!BV548,'Étape 1 - à remplir'!$G$31:$G$400,"lots"),SUMIFS('Étape 1 - à remplir'!$F$31:$F$400,'Étape 1 - à remplir'!$E$31:$E$400,MASQ2!BV548,'Étape 1 - à remplir'!$N$31:$N$400,CE$3,'Étape 1 - à remplir'!$G$31:$G$400,"lots"))))))=0,NA(),IF(CE$2="Catégorie",IF(CE$3="Toutes",SUMIFS('Étape 1 - à remplir'!$F$31:$F$400,'Étape 1 - à remplir'!$E$31:$E$400,MASQ2!BV548,'Étape 1 - à remplir'!$G$31:$G$400,"lots"),SUMIFS('Étape 1 - à remplir'!$F$31:$F$400,'Étape 1 - à remplir'!$E$31:$E$400,MASQ2!BV548,'Étape 1 - à remplir'!$C$31:$C$400,CE$3)),IF(CE$2="Âge",IF(CE$3="Tous",SUMIFS('Étape 1 - à remplir'!$F$31:$F$400,'Étape 1 - à remplir'!$E$31:$E$400,MASQ2!BV548,'Étape 1 - à remplir'!$G$31:$G$400,"lots"),SUMIFS('Étape 1 - à remplir'!$F$31:$F$400,'Étape 1 - à remplir'!$E$31:$E$400,MASQ2!BV548,'Étape 1 - à remplir'!$P$31:$P$400,CE$3,'Étape 1 - à remplir'!$G$31:$G$400,"lots")),IF(CE$2="Atelier",IF(CE$3="Tous",SUMIFS('Étape 1 - à remplir'!$F$31:$F$400,'Étape 1 - à remplir'!$E$31:$E$400,MASQ2!BV548,'Étape 1 - à remplir'!$G$31:$G$400,"lots"),SUMIFS('Étape 1 - à remplir'!$F$31:$F$400,'Étape 1 - à remplir'!$E$31:$E$400,MASQ2!BV548,'Étape 1 - à remplir'!$O$31:$O$400,CE$3,'Étape 1 - à remplir'!$G$31:$G$400,"lots")),IF(CE$2="Espèce",IF(CE$3="Toutes",SUMIFS('Étape 1 - à remplir'!$F$31:$F$400,'Étape 1 - à remplir'!$E$31:$E$400,MASQ2!BV548,'Étape 1 - à remplir'!$G$31:$G$400,"lots"),SUMIFS('Étape 1 - à remplir'!$F$31:$F$400,'Étape 1 - à remplir'!$E$31:$E$400,MASQ2!BV548,'Étape 1 - à remplir'!$N$31:$N$400,CE$3,'Étape 1 - à remplir'!$G$31:$G$400,"lots")))))))</f>
        <v>#N/A</v>
      </c>
      <c r="BX548">
        <f t="shared" si="333"/>
        <v>0</v>
      </c>
      <c r="BY548" t="str">
        <f t="shared" si="317"/>
        <v>Tiamuline</v>
      </c>
      <c r="BZ548" t="str">
        <f t="shared" si="318"/>
        <v/>
      </c>
      <c r="CA548" t="str">
        <f t="shared" si="319"/>
        <v/>
      </c>
      <c r="CB548" t="str">
        <f t="shared" si="320"/>
        <v>Pleuromutilines</v>
      </c>
      <c r="CC548" t="str">
        <f t="shared" si="321"/>
        <v/>
      </c>
      <c r="CD548" s="63" t="str">
        <f t="shared" si="322"/>
        <v/>
      </c>
      <c r="CG548" s="42">
        <v>545</v>
      </c>
      <c r="CH548" s="42" t="e">
        <f t="shared" si="338"/>
        <v>#N/A</v>
      </c>
      <c r="CI548" s="63" t="e">
        <f t="shared" si="339"/>
        <v>#N/A</v>
      </c>
      <c r="EA548" s="194" t="str">
        <f t="shared" ca="1" si="323"/>
        <v/>
      </c>
      <c r="EB548" s="226" t="str">
        <f>IFERROR(IF(ED548=0,"",COUNTIF(ED$4:ED$600,"&gt;"&amp;ED548)+COUNTIF(ED$4:ED548,ED548)),"")</f>
        <v/>
      </c>
      <c r="EC548" t="str">
        <f t="shared" si="324"/>
        <v>VETMULIN 162 MG/ML SOLUTION INJECTABLE POUR PORCS</v>
      </c>
      <c r="ED548" t="e">
        <f>IF(IF(EL$2="Catégorie",IF(EL$3="Toutes",SUMIFS('Étape 1 - à remplir'!$F$31:$F$400,'Étape 1 - à remplir'!$E$31:$E$400,MASQ2!EC548,'Étape 1 - à remplir'!$G$31:$G$400,"kg"),SUMIFS('Étape 1 - à remplir'!$F$31:$F$400,'Étape 1 - à remplir'!$E$31:$E$400,MASQ2!EC548,'Étape 1 - à remplir'!$C$31:$C$400,EL$3)),IF(EL$2="Âge",IF(EL$3="Tous",SUMIFS('Étape 1 - à remplir'!$F$31:$F$400,'Étape 1 - à remplir'!$E$31:$E$400,MASQ2!EC548,'Étape 1 - à remplir'!$G$31:$G$400,"kg"),SUMIFS('Étape 1 - à remplir'!$F$31:$F$400,'Étape 1 - à remplir'!$E$31:$E$400,MASQ2!EC548,'Étape 1 - à remplir'!$P$31:$P$400,EL$3,'Étape 1 - à remplir'!$G$31:$G$400,"kg")),IF(EL$2="Atelier",IF(EL$3="Tous",SUMIFS('Étape 1 - à remplir'!$F$31:$F$400,'Étape 1 - à remplir'!$E$31:$E$400,MASQ2!EC548,'Étape 1 - à remplir'!$G$31:$G$400,"kg"),SUMIFS('Étape 1 - à remplir'!$F$31:$F$400,'Étape 1 - à remplir'!$E$31:$E$400,MASQ2!EC548,'Étape 1 - à remplir'!$O$31:$O$400,EL$3,'Étape 1 - à remplir'!$G$31:$G$400,"kg")),IF(EL$2="Espèce",IF(EL$3="Toutes",SUMIFS('Étape 1 - à remplir'!$F$31:$F$400,'Étape 1 - à remplir'!$E$31:$E$400,MASQ2!EC548,'Étape 1 - à remplir'!$G$31:$G$400,"kg"),SUMIFS('Étape 1 - à remplir'!$F$31:$F$400,'Étape 1 - à remplir'!$E$31:$E$400,MASQ2!EC548,'Étape 1 - à remplir'!$N$31:$N$400,EL$3,'Étape 1 - à remplir'!$G$31:$G$400,"kg"))))))=0,NA(),IF(EL$2="Catégorie",IF(EL$3="Toutes",SUMIFS('Étape 1 - à remplir'!$F$31:$F$400,'Étape 1 - à remplir'!$E$31:$E$400,MASQ2!EC548,'Étape 1 - à remplir'!$G$31:$G$400,"kg"),SUMIFS('Étape 1 - à remplir'!$F$31:$F$400,'Étape 1 - à remplir'!$E$31:$E$400,MASQ2!EC548,'Étape 1 - à remplir'!$C$31:$C$400,EL$3)),IF(EL$2="Âge",IF(EL$3="Tous",SUMIFS('Étape 1 - à remplir'!$F$31:$F$400,'Étape 1 - à remplir'!$E$31:$E$400,MASQ2!EC548,'Étape 1 - à remplir'!$G$31:$G$400,"kg"),SUMIFS('Étape 1 - à remplir'!$F$31:$F$400,'Étape 1 - à remplir'!$E$31:$E$400,MASQ2!EC548,'Étape 1 - à remplir'!$P$31:$P$400,EL$3,'Étape 1 - à remplir'!$G$31:$G$400,"kg")),IF(EL$2="Atelier",IF(EL$3="Tous",SUMIFS('Étape 1 - à remplir'!$F$31:$F$400,'Étape 1 - à remplir'!$E$31:$E$400,MASQ2!EC548,'Étape 1 - à remplir'!$G$31:$G$400,"kg"),SUMIFS('Étape 1 - à remplir'!$F$31:$F$400,'Étape 1 - à remplir'!$E$31:$E$400,MASQ2!EC548,'Étape 1 - à remplir'!$O$31:$O$400,EL$3,'Étape 1 - à remplir'!$G$31:$G$400,"kg")),IF(EL$2="Espèce",IF(EL$3="Toutes",SUMIFS('Étape 1 - à remplir'!$F$31:$F$400,'Étape 1 - à remplir'!$E$31:$E$400,MASQ2!EC548,'Étape 1 - à remplir'!$G$31:$G$400,"kg"),SUMIFS('Étape 1 - à remplir'!$F$31:$F$400,'Étape 1 - à remplir'!$E$31:$E$400,MASQ2!EC548,'Étape 1 - à remplir'!$N$31:$N$400,EL$3,'Étape 1 - à remplir'!$G$31:$G$400,"kg")))))))</f>
        <v>#N/A</v>
      </c>
      <c r="EE548" s="76">
        <f t="shared" si="334"/>
        <v>0</v>
      </c>
      <c r="EF548" t="str">
        <f t="shared" si="325"/>
        <v>Tiamuline</v>
      </c>
      <c r="EG548" t="str">
        <f t="shared" si="326"/>
        <v/>
      </c>
      <c r="EH548" t="str">
        <f t="shared" si="327"/>
        <v/>
      </c>
      <c r="EI548" t="str">
        <f t="shared" si="328"/>
        <v>Pleuromutilines</v>
      </c>
      <c r="EJ548" t="str">
        <f t="shared" si="329"/>
        <v/>
      </c>
      <c r="EK548" s="63" t="str">
        <f t="shared" si="330"/>
        <v/>
      </c>
      <c r="EN548" s="42">
        <v>545</v>
      </c>
      <c r="EO548" t="e">
        <f t="shared" si="336"/>
        <v>#N/A</v>
      </c>
      <c r="EP548" s="63" t="e">
        <f t="shared" si="337"/>
        <v>#N/A</v>
      </c>
    </row>
    <row r="549" spans="13:146" x14ac:dyDescent="0.3">
      <c r="M549" s="194" t="str">
        <f ca="1">INDEX(Données_ATB!BD:BU,MATCH(MASQ2!O549,Données_ATB!BD:BD,0),18)</f>
        <v/>
      </c>
      <c r="N549" s="14" t="str">
        <f>IFERROR(IF(Q549=0,"",COUNTIF(Q$4:Q$600,"&gt;"&amp;Q549)+COUNTIF(Q$4:Q549,Q549)),"")</f>
        <v/>
      </c>
      <c r="O549" t="str">
        <f>Données_ATB!BD548</f>
        <v>VETMULIN 364 MG/G GRANULES POUR SOLUTION BUVABLE POUR PORCS POULETS ET DINDONS</v>
      </c>
      <c r="P549" t="e">
        <f>IF(IF(X$2="Catégorie",IF(X$3="Toutes",SUMIFS('Étape 1 - à remplir'!$F$31:$F$400,'Étape 1 - à remplir'!$E$31:$E$400,MASQ2!O549,'Étape 1 - à remplir'!$G$31:$G$400,"animaux"),SUMIFS('Étape 1 - à remplir'!$F$31:$F$400,'Étape 1 - à remplir'!$E$31:$E$400,MASQ2!O549,'Étape 1 - à remplir'!$C$31:$C$400,X$3)),IF(X$2="Âge",IF(X$3="Tous",SUMIFS('Étape 1 - à remplir'!$F$31:$F$400,'Étape 1 - à remplir'!$E$31:$E$400,MASQ2!O549,'Étape 1 - à remplir'!$G$31:$G$400,"animaux"),SUMIFS('Étape 1 - à remplir'!$F$31:$F$400,'Étape 1 - à remplir'!$E$31:$E$400,MASQ2!O549,'Étape 1 - à remplir'!$P$31:$P$400,X$3)),IF(X$2="Atelier",IF(X$3="Tous",SUMIFS('Étape 1 - à remplir'!$F$31:$F$400,'Étape 1 - à remplir'!$E$31:$E$400,MASQ2!O549,'Étape 1 - à remplir'!$G$31:$G$400,"animaux"),SUMIFS('Étape 1 - à remplir'!$F$31:$F$400,'Étape 1 - à remplir'!$E$31:$E$400,MASQ2!O549,'Étape 1 - à remplir'!$O$31:$O$400,X$3)),IF(X$2="Espèce",IF(X$3="Toutes",SUMIFS('Étape 1 - à remplir'!$F$31:$F$400,'Étape 1 - à remplir'!$E$31:$E$400,MASQ2!O549,'Étape 1 - à remplir'!$G$31:$G$400,"animaux"),SUMIFS('Étape 1 - à remplir'!$F$31:$F$400,'Étape 1 - à remplir'!$E$31:$E$400,MASQ2!O549,'Étape 1 - à remplir'!$N$31:$N$400,X$3))))))=0,NA(),IF(X$2="Catégorie",IF(X$3="Toutes",SUMIFS('Étape 1 - à remplir'!$F$31:$F$400,'Étape 1 - à remplir'!$E$31:$E$400,MASQ2!O549,'Étape 1 - à remplir'!$G$31:$G$400,"animaux"),SUMIFS('Étape 1 - à remplir'!$F$31:$F$400,'Étape 1 - à remplir'!$E$31:$E$400,MASQ2!O549,'Étape 1 - à remplir'!$C$31:$C$400,X$3)),IF(X$2="Âge",IF(X$3="Tous",SUMIFS('Étape 1 - à remplir'!$F$31:$F$400,'Étape 1 - à remplir'!$E$31:$E$400,MASQ2!O549,'Étape 1 - à remplir'!$G$31:$G$400,"animaux"),SUMIFS('Étape 1 - à remplir'!$F$31:$F$400,'Étape 1 - à remplir'!$E$31:$E$400,MASQ2!O549,'Étape 1 - à remplir'!$P$31:$P$400,X$3)),IF(X$2="Atelier",IF(X$3="Tous",SUMIFS('Étape 1 - à remplir'!$F$31:$F$400,'Étape 1 - à remplir'!$E$31:$E$400,MASQ2!O549,'Étape 1 - à remplir'!$G$31:$G$400,"animaux"),SUMIFS('Étape 1 - à remplir'!$F$31:$F$400,'Étape 1 - à remplir'!$E$31:$E$400,MASQ2!O549,'Étape 1 - à remplir'!$O$31:$O$400,X$3)),IF(X$2="Espèce",IF(X$3="Toutes",SUMIFS('Étape 1 - à remplir'!$F$31:$F$400,'Étape 1 - à remplir'!$E$31:$E$400,MASQ2!O549,'Étape 1 - à remplir'!$G$31:$G$400,"animaux"),SUMIFS('Étape 1 - à remplir'!$F$31:$F$400,'Étape 1 - à remplir'!$E$31:$E$400,MASQ2!O549,'Étape 1 - à remplir'!$N$31:$N$400,X$3)))))))</f>
        <v>#N/A</v>
      </c>
      <c r="Q549" s="63">
        <f t="shared" si="335"/>
        <v>0</v>
      </c>
      <c r="R549" t="str">
        <f>Données_ATB!BM548</f>
        <v>Tiamuline</v>
      </c>
      <c r="S549" t="str">
        <f>Données_ATB!BN548</f>
        <v/>
      </c>
      <c r="T549" s="63" t="str">
        <f>Données_ATB!BO548</f>
        <v/>
      </c>
      <c r="U549" s="42" t="str">
        <f>Données_ATB!BQ548</f>
        <v>Pleuromutilines</v>
      </c>
      <c r="V549" t="str">
        <f>Données_ATB!BR548</f>
        <v/>
      </c>
      <c r="W549" s="63" t="str">
        <f>Données_ATB!BS548</f>
        <v/>
      </c>
      <c r="Z549" s="42">
        <v>546</v>
      </c>
      <c r="AA549" t="e">
        <f t="shared" si="331"/>
        <v>#N/A</v>
      </c>
      <c r="AB549" s="63" t="e">
        <f t="shared" si="332"/>
        <v>#N/A</v>
      </c>
      <c r="BT549" s="194" t="str">
        <f t="shared" ca="1" si="315"/>
        <v/>
      </c>
      <c r="BU549" s="219" t="str">
        <f>IFERROR(IF(BX549=0,"",COUNTIF(BX$4:BX$600,"&gt;"&amp;BX549)+COUNTIF(BX$4:BX549,BX549)),"")</f>
        <v/>
      </c>
      <c r="BV549" s="42" t="str">
        <f t="shared" si="316"/>
        <v>VETMULIN 364 MG/G GRANULES POUR SOLUTION BUVABLE POUR PORCS POULETS ET DINDONS</v>
      </c>
      <c r="BW549" t="e">
        <f>IF(IF(CE$2="Catégorie",IF(CE$3="Toutes",SUMIFS('Étape 1 - à remplir'!$F$31:$F$400,'Étape 1 - à remplir'!$E$31:$E$400,MASQ2!BV549,'Étape 1 - à remplir'!$G$31:$G$400,"lots"),SUMIFS('Étape 1 - à remplir'!$F$31:$F$400,'Étape 1 - à remplir'!$E$31:$E$400,MASQ2!BV549,'Étape 1 - à remplir'!$C$31:$C$400,CE$3)),IF(CE$2="Âge",IF(CE$3="Tous",SUMIFS('Étape 1 - à remplir'!$F$31:$F$400,'Étape 1 - à remplir'!$E$31:$E$400,MASQ2!BV549,'Étape 1 - à remplir'!$G$31:$G$400,"lots"),SUMIFS('Étape 1 - à remplir'!$F$31:$F$400,'Étape 1 - à remplir'!$E$31:$E$400,MASQ2!BV549,'Étape 1 - à remplir'!$P$31:$P$400,CE$3,'Étape 1 - à remplir'!$G$31:$G$400,"lots")),IF(CE$2="Atelier",IF(CE$3="Tous",SUMIFS('Étape 1 - à remplir'!$F$31:$F$400,'Étape 1 - à remplir'!$E$31:$E$400,MASQ2!BV549,'Étape 1 - à remplir'!$G$31:$G$400,"lots"),SUMIFS('Étape 1 - à remplir'!$F$31:$F$400,'Étape 1 - à remplir'!$E$31:$E$400,MASQ2!BV549,'Étape 1 - à remplir'!$O$31:$O$400,CE$3,'Étape 1 - à remplir'!$G$31:$G$400,"lots")),IF(CE$2="Espèce",IF(CE$3="Toutes",SUMIFS('Étape 1 - à remplir'!$F$31:$F$400,'Étape 1 - à remplir'!$E$31:$E$400,MASQ2!BV549,'Étape 1 - à remplir'!$G$31:$G$400,"lots"),SUMIFS('Étape 1 - à remplir'!$F$31:$F$400,'Étape 1 - à remplir'!$E$31:$E$400,MASQ2!BV549,'Étape 1 - à remplir'!$N$31:$N$400,CE$3,'Étape 1 - à remplir'!$G$31:$G$400,"lots"))))))=0,NA(),IF(CE$2="Catégorie",IF(CE$3="Toutes",SUMIFS('Étape 1 - à remplir'!$F$31:$F$400,'Étape 1 - à remplir'!$E$31:$E$400,MASQ2!BV549,'Étape 1 - à remplir'!$G$31:$G$400,"lots"),SUMIFS('Étape 1 - à remplir'!$F$31:$F$400,'Étape 1 - à remplir'!$E$31:$E$400,MASQ2!BV549,'Étape 1 - à remplir'!$C$31:$C$400,CE$3)),IF(CE$2="Âge",IF(CE$3="Tous",SUMIFS('Étape 1 - à remplir'!$F$31:$F$400,'Étape 1 - à remplir'!$E$31:$E$400,MASQ2!BV549,'Étape 1 - à remplir'!$G$31:$G$400,"lots"),SUMIFS('Étape 1 - à remplir'!$F$31:$F$400,'Étape 1 - à remplir'!$E$31:$E$400,MASQ2!BV549,'Étape 1 - à remplir'!$P$31:$P$400,CE$3,'Étape 1 - à remplir'!$G$31:$G$400,"lots")),IF(CE$2="Atelier",IF(CE$3="Tous",SUMIFS('Étape 1 - à remplir'!$F$31:$F$400,'Étape 1 - à remplir'!$E$31:$E$400,MASQ2!BV549,'Étape 1 - à remplir'!$G$31:$G$400,"lots"),SUMIFS('Étape 1 - à remplir'!$F$31:$F$400,'Étape 1 - à remplir'!$E$31:$E$400,MASQ2!BV549,'Étape 1 - à remplir'!$O$31:$O$400,CE$3,'Étape 1 - à remplir'!$G$31:$G$400,"lots")),IF(CE$2="Espèce",IF(CE$3="Toutes",SUMIFS('Étape 1 - à remplir'!$F$31:$F$400,'Étape 1 - à remplir'!$E$31:$E$400,MASQ2!BV549,'Étape 1 - à remplir'!$G$31:$G$400,"lots"),SUMIFS('Étape 1 - à remplir'!$F$31:$F$400,'Étape 1 - à remplir'!$E$31:$E$400,MASQ2!BV549,'Étape 1 - à remplir'!$N$31:$N$400,CE$3,'Étape 1 - à remplir'!$G$31:$G$400,"lots")))))))</f>
        <v>#N/A</v>
      </c>
      <c r="BX549">
        <f t="shared" si="333"/>
        <v>0</v>
      </c>
      <c r="BY549" t="str">
        <f t="shared" si="317"/>
        <v>Tiamuline</v>
      </c>
      <c r="BZ549" t="str">
        <f t="shared" si="318"/>
        <v/>
      </c>
      <c r="CA549" t="str">
        <f t="shared" si="319"/>
        <v/>
      </c>
      <c r="CB549" t="str">
        <f t="shared" si="320"/>
        <v>Pleuromutilines</v>
      </c>
      <c r="CC549" t="str">
        <f t="shared" si="321"/>
        <v/>
      </c>
      <c r="CD549" s="63" t="str">
        <f t="shared" si="322"/>
        <v/>
      </c>
      <c r="CG549" s="42">
        <v>546</v>
      </c>
      <c r="CH549" s="42" t="e">
        <f t="shared" si="338"/>
        <v>#N/A</v>
      </c>
      <c r="CI549" s="63" t="e">
        <f t="shared" si="339"/>
        <v>#N/A</v>
      </c>
      <c r="EA549" s="194" t="str">
        <f t="shared" ca="1" si="323"/>
        <v/>
      </c>
      <c r="EB549" s="226" t="str">
        <f>IFERROR(IF(ED549=0,"",COUNTIF(ED$4:ED$600,"&gt;"&amp;ED549)+COUNTIF(ED$4:ED549,ED549)),"")</f>
        <v/>
      </c>
      <c r="EC549" t="str">
        <f t="shared" si="324"/>
        <v>VETMULIN 364 MG/G GRANULES POUR SOLUTION BUVABLE POUR PORCS POULETS ET DINDONS</v>
      </c>
      <c r="ED549" t="e">
        <f>IF(IF(EL$2="Catégorie",IF(EL$3="Toutes",SUMIFS('Étape 1 - à remplir'!$F$31:$F$400,'Étape 1 - à remplir'!$E$31:$E$400,MASQ2!EC549,'Étape 1 - à remplir'!$G$31:$G$400,"kg"),SUMIFS('Étape 1 - à remplir'!$F$31:$F$400,'Étape 1 - à remplir'!$E$31:$E$400,MASQ2!EC549,'Étape 1 - à remplir'!$C$31:$C$400,EL$3)),IF(EL$2="Âge",IF(EL$3="Tous",SUMIFS('Étape 1 - à remplir'!$F$31:$F$400,'Étape 1 - à remplir'!$E$31:$E$400,MASQ2!EC549,'Étape 1 - à remplir'!$G$31:$G$400,"kg"),SUMIFS('Étape 1 - à remplir'!$F$31:$F$400,'Étape 1 - à remplir'!$E$31:$E$400,MASQ2!EC549,'Étape 1 - à remplir'!$P$31:$P$400,EL$3,'Étape 1 - à remplir'!$G$31:$G$400,"kg")),IF(EL$2="Atelier",IF(EL$3="Tous",SUMIFS('Étape 1 - à remplir'!$F$31:$F$400,'Étape 1 - à remplir'!$E$31:$E$400,MASQ2!EC549,'Étape 1 - à remplir'!$G$31:$G$400,"kg"),SUMIFS('Étape 1 - à remplir'!$F$31:$F$400,'Étape 1 - à remplir'!$E$31:$E$400,MASQ2!EC549,'Étape 1 - à remplir'!$O$31:$O$400,EL$3,'Étape 1 - à remplir'!$G$31:$G$400,"kg")),IF(EL$2="Espèce",IF(EL$3="Toutes",SUMIFS('Étape 1 - à remplir'!$F$31:$F$400,'Étape 1 - à remplir'!$E$31:$E$400,MASQ2!EC549,'Étape 1 - à remplir'!$G$31:$G$400,"kg"),SUMIFS('Étape 1 - à remplir'!$F$31:$F$400,'Étape 1 - à remplir'!$E$31:$E$400,MASQ2!EC549,'Étape 1 - à remplir'!$N$31:$N$400,EL$3,'Étape 1 - à remplir'!$G$31:$G$400,"kg"))))))=0,NA(),IF(EL$2="Catégorie",IF(EL$3="Toutes",SUMIFS('Étape 1 - à remplir'!$F$31:$F$400,'Étape 1 - à remplir'!$E$31:$E$400,MASQ2!EC549,'Étape 1 - à remplir'!$G$31:$G$400,"kg"),SUMIFS('Étape 1 - à remplir'!$F$31:$F$400,'Étape 1 - à remplir'!$E$31:$E$400,MASQ2!EC549,'Étape 1 - à remplir'!$C$31:$C$400,EL$3)),IF(EL$2="Âge",IF(EL$3="Tous",SUMIFS('Étape 1 - à remplir'!$F$31:$F$400,'Étape 1 - à remplir'!$E$31:$E$400,MASQ2!EC549,'Étape 1 - à remplir'!$G$31:$G$400,"kg"),SUMIFS('Étape 1 - à remplir'!$F$31:$F$400,'Étape 1 - à remplir'!$E$31:$E$400,MASQ2!EC549,'Étape 1 - à remplir'!$P$31:$P$400,EL$3,'Étape 1 - à remplir'!$G$31:$G$400,"kg")),IF(EL$2="Atelier",IF(EL$3="Tous",SUMIFS('Étape 1 - à remplir'!$F$31:$F$400,'Étape 1 - à remplir'!$E$31:$E$400,MASQ2!EC549,'Étape 1 - à remplir'!$G$31:$G$400,"kg"),SUMIFS('Étape 1 - à remplir'!$F$31:$F$400,'Étape 1 - à remplir'!$E$31:$E$400,MASQ2!EC549,'Étape 1 - à remplir'!$O$31:$O$400,EL$3,'Étape 1 - à remplir'!$G$31:$G$400,"kg")),IF(EL$2="Espèce",IF(EL$3="Toutes",SUMIFS('Étape 1 - à remplir'!$F$31:$F$400,'Étape 1 - à remplir'!$E$31:$E$400,MASQ2!EC549,'Étape 1 - à remplir'!$G$31:$G$400,"kg"),SUMIFS('Étape 1 - à remplir'!$F$31:$F$400,'Étape 1 - à remplir'!$E$31:$E$400,MASQ2!EC549,'Étape 1 - à remplir'!$N$31:$N$400,EL$3,'Étape 1 - à remplir'!$G$31:$G$400,"kg")))))))</f>
        <v>#N/A</v>
      </c>
      <c r="EE549" s="76">
        <f t="shared" si="334"/>
        <v>0</v>
      </c>
      <c r="EF549" t="str">
        <f t="shared" si="325"/>
        <v>Tiamuline</v>
      </c>
      <c r="EG549" t="str">
        <f t="shared" si="326"/>
        <v/>
      </c>
      <c r="EH549" t="str">
        <f t="shared" si="327"/>
        <v/>
      </c>
      <c r="EI549" t="str">
        <f t="shared" si="328"/>
        <v>Pleuromutilines</v>
      </c>
      <c r="EJ549" t="str">
        <f t="shared" si="329"/>
        <v/>
      </c>
      <c r="EK549" s="63" t="str">
        <f t="shared" si="330"/>
        <v/>
      </c>
      <c r="EN549" s="42">
        <v>546</v>
      </c>
      <c r="EO549" t="e">
        <f t="shared" si="336"/>
        <v>#N/A</v>
      </c>
      <c r="EP549" s="63" t="e">
        <f t="shared" si="337"/>
        <v>#N/A</v>
      </c>
    </row>
    <row r="550" spans="13:146" x14ac:dyDescent="0.3">
      <c r="M550" s="194" t="str">
        <f ca="1">INDEX(Données_ATB!BD:BU,MATCH(MASQ2!O550,Données_ATB!BD:BD,0),18)</f>
        <v/>
      </c>
      <c r="N550" s="14" t="str">
        <f>IFERROR(IF(Q550=0,"",COUNTIF(Q$4:Q$600,"&gt;"&amp;Q550)+COUNTIF(Q$4:Q550,Q550)),"")</f>
        <v/>
      </c>
      <c r="O550" t="str">
        <f>Données_ATB!BD549</f>
        <v>VETMULIN 81 MG/G PREMELANGE MEDICAMENTEUX POUR PORCS, POULETS, DINDES ET LAPINS</v>
      </c>
      <c r="P550" t="e">
        <f>IF(IF(X$2="Catégorie",IF(X$3="Toutes",SUMIFS('Étape 1 - à remplir'!$F$31:$F$400,'Étape 1 - à remplir'!$E$31:$E$400,MASQ2!O550,'Étape 1 - à remplir'!$G$31:$G$400,"animaux"),SUMIFS('Étape 1 - à remplir'!$F$31:$F$400,'Étape 1 - à remplir'!$E$31:$E$400,MASQ2!O550,'Étape 1 - à remplir'!$C$31:$C$400,X$3)),IF(X$2="Âge",IF(X$3="Tous",SUMIFS('Étape 1 - à remplir'!$F$31:$F$400,'Étape 1 - à remplir'!$E$31:$E$400,MASQ2!O550,'Étape 1 - à remplir'!$G$31:$G$400,"animaux"),SUMIFS('Étape 1 - à remplir'!$F$31:$F$400,'Étape 1 - à remplir'!$E$31:$E$400,MASQ2!O550,'Étape 1 - à remplir'!$P$31:$P$400,X$3)),IF(X$2="Atelier",IF(X$3="Tous",SUMIFS('Étape 1 - à remplir'!$F$31:$F$400,'Étape 1 - à remplir'!$E$31:$E$400,MASQ2!O550,'Étape 1 - à remplir'!$G$31:$G$400,"animaux"),SUMIFS('Étape 1 - à remplir'!$F$31:$F$400,'Étape 1 - à remplir'!$E$31:$E$400,MASQ2!O550,'Étape 1 - à remplir'!$O$31:$O$400,X$3)),IF(X$2="Espèce",IF(X$3="Toutes",SUMIFS('Étape 1 - à remplir'!$F$31:$F$400,'Étape 1 - à remplir'!$E$31:$E$400,MASQ2!O550,'Étape 1 - à remplir'!$G$31:$G$400,"animaux"),SUMIFS('Étape 1 - à remplir'!$F$31:$F$400,'Étape 1 - à remplir'!$E$31:$E$400,MASQ2!O550,'Étape 1 - à remplir'!$N$31:$N$400,X$3))))))=0,NA(),IF(X$2="Catégorie",IF(X$3="Toutes",SUMIFS('Étape 1 - à remplir'!$F$31:$F$400,'Étape 1 - à remplir'!$E$31:$E$400,MASQ2!O550,'Étape 1 - à remplir'!$G$31:$G$400,"animaux"),SUMIFS('Étape 1 - à remplir'!$F$31:$F$400,'Étape 1 - à remplir'!$E$31:$E$400,MASQ2!O550,'Étape 1 - à remplir'!$C$31:$C$400,X$3)),IF(X$2="Âge",IF(X$3="Tous",SUMIFS('Étape 1 - à remplir'!$F$31:$F$400,'Étape 1 - à remplir'!$E$31:$E$400,MASQ2!O550,'Étape 1 - à remplir'!$G$31:$G$400,"animaux"),SUMIFS('Étape 1 - à remplir'!$F$31:$F$400,'Étape 1 - à remplir'!$E$31:$E$400,MASQ2!O550,'Étape 1 - à remplir'!$P$31:$P$400,X$3)),IF(X$2="Atelier",IF(X$3="Tous",SUMIFS('Étape 1 - à remplir'!$F$31:$F$400,'Étape 1 - à remplir'!$E$31:$E$400,MASQ2!O550,'Étape 1 - à remplir'!$G$31:$G$400,"animaux"),SUMIFS('Étape 1 - à remplir'!$F$31:$F$400,'Étape 1 - à remplir'!$E$31:$E$400,MASQ2!O550,'Étape 1 - à remplir'!$O$31:$O$400,X$3)),IF(X$2="Espèce",IF(X$3="Toutes",SUMIFS('Étape 1 - à remplir'!$F$31:$F$400,'Étape 1 - à remplir'!$E$31:$E$400,MASQ2!O550,'Étape 1 - à remplir'!$G$31:$G$400,"animaux"),SUMIFS('Étape 1 - à remplir'!$F$31:$F$400,'Étape 1 - à remplir'!$E$31:$E$400,MASQ2!O550,'Étape 1 - à remplir'!$N$31:$N$400,X$3)))))))</f>
        <v>#N/A</v>
      </c>
      <c r="Q550" s="63">
        <f t="shared" si="335"/>
        <v>0</v>
      </c>
      <c r="R550" t="str">
        <f>Données_ATB!BM549</f>
        <v>Tiamuline</v>
      </c>
      <c r="S550" t="str">
        <f>Données_ATB!BN549</f>
        <v/>
      </c>
      <c r="T550" s="63" t="str">
        <f>Données_ATB!BO549</f>
        <v/>
      </c>
      <c r="U550" s="42" t="str">
        <f>Données_ATB!BQ549</f>
        <v>Pleuromutilines</v>
      </c>
      <c r="V550" t="str">
        <f>Données_ATB!BR549</f>
        <v/>
      </c>
      <c r="W550" s="63" t="str">
        <f>Données_ATB!BS549</f>
        <v/>
      </c>
      <c r="Z550" s="42">
        <v>547</v>
      </c>
      <c r="AA550" t="e">
        <f t="shared" si="331"/>
        <v>#N/A</v>
      </c>
      <c r="AB550" s="63" t="e">
        <f t="shared" si="332"/>
        <v>#N/A</v>
      </c>
      <c r="BT550" s="194" t="str">
        <f t="shared" ca="1" si="315"/>
        <v/>
      </c>
      <c r="BU550" s="219" t="str">
        <f>IFERROR(IF(BX550=0,"",COUNTIF(BX$4:BX$600,"&gt;"&amp;BX550)+COUNTIF(BX$4:BX550,BX550)),"")</f>
        <v/>
      </c>
      <c r="BV550" s="42" t="str">
        <f t="shared" si="316"/>
        <v>VETMULIN 81 MG/G PREMELANGE MEDICAMENTEUX POUR PORCS, POULETS, DINDES ET LAPINS</v>
      </c>
      <c r="BW550" t="e">
        <f>IF(IF(CE$2="Catégorie",IF(CE$3="Toutes",SUMIFS('Étape 1 - à remplir'!$F$31:$F$400,'Étape 1 - à remplir'!$E$31:$E$400,MASQ2!BV550,'Étape 1 - à remplir'!$G$31:$G$400,"lots"),SUMIFS('Étape 1 - à remplir'!$F$31:$F$400,'Étape 1 - à remplir'!$E$31:$E$400,MASQ2!BV550,'Étape 1 - à remplir'!$C$31:$C$400,CE$3)),IF(CE$2="Âge",IF(CE$3="Tous",SUMIFS('Étape 1 - à remplir'!$F$31:$F$400,'Étape 1 - à remplir'!$E$31:$E$400,MASQ2!BV550,'Étape 1 - à remplir'!$G$31:$G$400,"lots"),SUMIFS('Étape 1 - à remplir'!$F$31:$F$400,'Étape 1 - à remplir'!$E$31:$E$400,MASQ2!BV550,'Étape 1 - à remplir'!$P$31:$P$400,CE$3,'Étape 1 - à remplir'!$G$31:$G$400,"lots")),IF(CE$2="Atelier",IF(CE$3="Tous",SUMIFS('Étape 1 - à remplir'!$F$31:$F$400,'Étape 1 - à remplir'!$E$31:$E$400,MASQ2!BV550,'Étape 1 - à remplir'!$G$31:$G$400,"lots"),SUMIFS('Étape 1 - à remplir'!$F$31:$F$400,'Étape 1 - à remplir'!$E$31:$E$400,MASQ2!BV550,'Étape 1 - à remplir'!$O$31:$O$400,CE$3,'Étape 1 - à remplir'!$G$31:$G$400,"lots")),IF(CE$2="Espèce",IF(CE$3="Toutes",SUMIFS('Étape 1 - à remplir'!$F$31:$F$400,'Étape 1 - à remplir'!$E$31:$E$400,MASQ2!BV550,'Étape 1 - à remplir'!$G$31:$G$400,"lots"),SUMIFS('Étape 1 - à remplir'!$F$31:$F$400,'Étape 1 - à remplir'!$E$31:$E$400,MASQ2!BV550,'Étape 1 - à remplir'!$N$31:$N$400,CE$3,'Étape 1 - à remplir'!$G$31:$G$400,"lots"))))))=0,NA(),IF(CE$2="Catégorie",IF(CE$3="Toutes",SUMIFS('Étape 1 - à remplir'!$F$31:$F$400,'Étape 1 - à remplir'!$E$31:$E$400,MASQ2!BV550,'Étape 1 - à remplir'!$G$31:$G$400,"lots"),SUMIFS('Étape 1 - à remplir'!$F$31:$F$400,'Étape 1 - à remplir'!$E$31:$E$400,MASQ2!BV550,'Étape 1 - à remplir'!$C$31:$C$400,CE$3)),IF(CE$2="Âge",IF(CE$3="Tous",SUMIFS('Étape 1 - à remplir'!$F$31:$F$400,'Étape 1 - à remplir'!$E$31:$E$400,MASQ2!BV550,'Étape 1 - à remplir'!$G$31:$G$400,"lots"),SUMIFS('Étape 1 - à remplir'!$F$31:$F$400,'Étape 1 - à remplir'!$E$31:$E$400,MASQ2!BV550,'Étape 1 - à remplir'!$P$31:$P$400,CE$3,'Étape 1 - à remplir'!$G$31:$G$400,"lots")),IF(CE$2="Atelier",IF(CE$3="Tous",SUMIFS('Étape 1 - à remplir'!$F$31:$F$400,'Étape 1 - à remplir'!$E$31:$E$400,MASQ2!BV550,'Étape 1 - à remplir'!$G$31:$G$400,"lots"),SUMIFS('Étape 1 - à remplir'!$F$31:$F$400,'Étape 1 - à remplir'!$E$31:$E$400,MASQ2!BV550,'Étape 1 - à remplir'!$O$31:$O$400,CE$3,'Étape 1 - à remplir'!$G$31:$G$400,"lots")),IF(CE$2="Espèce",IF(CE$3="Toutes",SUMIFS('Étape 1 - à remplir'!$F$31:$F$400,'Étape 1 - à remplir'!$E$31:$E$400,MASQ2!BV550,'Étape 1 - à remplir'!$G$31:$G$400,"lots"),SUMIFS('Étape 1 - à remplir'!$F$31:$F$400,'Étape 1 - à remplir'!$E$31:$E$400,MASQ2!BV550,'Étape 1 - à remplir'!$N$31:$N$400,CE$3,'Étape 1 - à remplir'!$G$31:$G$400,"lots")))))))</f>
        <v>#N/A</v>
      </c>
      <c r="BX550">
        <f t="shared" si="333"/>
        <v>0</v>
      </c>
      <c r="BY550" t="str">
        <f t="shared" si="317"/>
        <v>Tiamuline</v>
      </c>
      <c r="BZ550" t="str">
        <f t="shared" si="318"/>
        <v/>
      </c>
      <c r="CA550" t="str">
        <f t="shared" si="319"/>
        <v/>
      </c>
      <c r="CB550" t="str">
        <f t="shared" si="320"/>
        <v>Pleuromutilines</v>
      </c>
      <c r="CC550" t="str">
        <f t="shared" si="321"/>
        <v/>
      </c>
      <c r="CD550" s="63" t="str">
        <f t="shared" si="322"/>
        <v/>
      </c>
      <c r="CG550" s="42">
        <v>547</v>
      </c>
      <c r="CH550" s="42" t="e">
        <f t="shared" si="338"/>
        <v>#N/A</v>
      </c>
      <c r="CI550" s="63" t="e">
        <f t="shared" si="339"/>
        <v>#N/A</v>
      </c>
      <c r="EA550" s="194" t="str">
        <f t="shared" ca="1" si="323"/>
        <v/>
      </c>
      <c r="EB550" s="226" t="str">
        <f>IFERROR(IF(ED550=0,"",COUNTIF(ED$4:ED$600,"&gt;"&amp;ED550)+COUNTIF(ED$4:ED550,ED550)),"")</f>
        <v/>
      </c>
      <c r="EC550" t="str">
        <f t="shared" si="324"/>
        <v>VETMULIN 81 MG/G PREMELANGE MEDICAMENTEUX POUR PORCS, POULETS, DINDES ET LAPINS</v>
      </c>
      <c r="ED550" t="e">
        <f>IF(IF(EL$2="Catégorie",IF(EL$3="Toutes",SUMIFS('Étape 1 - à remplir'!$F$31:$F$400,'Étape 1 - à remplir'!$E$31:$E$400,MASQ2!EC550,'Étape 1 - à remplir'!$G$31:$G$400,"kg"),SUMIFS('Étape 1 - à remplir'!$F$31:$F$400,'Étape 1 - à remplir'!$E$31:$E$400,MASQ2!EC550,'Étape 1 - à remplir'!$C$31:$C$400,EL$3)),IF(EL$2="Âge",IF(EL$3="Tous",SUMIFS('Étape 1 - à remplir'!$F$31:$F$400,'Étape 1 - à remplir'!$E$31:$E$400,MASQ2!EC550,'Étape 1 - à remplir'!$G$31:$G$400,"kg"),SUMIFS('Étape 1 - à remplir'!$F$31:$F$400,'Étape 1 - à remplir'!$E$31:$E$400,MASQ2!EC550,'Étape 1 - à remplir'!$P$31:$P$400,EL$3,'Étape 1 - à remplir'!$G$31:$G$400,"kg")),IF(EL$2="Atelier",IF(EL$3="Tous",SUMIFS('Étape 1 - à remplir'!$F$31:$F$400,'Étape 1 - à remplir'!$E$31:$E$400,MASQ2!EC550,'Étape 1 - à remplir'!$G$31:$G$400,"kg"),SUMIFS('Étape 1 - à remplir'!$F$31:$F$400,'Étape 1 - à remplir'!$E$31:$E$400,MASQ2!EC550,'Étape 1 - à remplir'!$O$31:$O$400,EL$3,'Étape 1 - à remplir'!$G$31:$G$400,"kg")),IF(EL$2="Espèce",IF(EL$3="Toutes",SUMIFS('Étape 1 - à remplir'!$F$31:$F$400,'Étape 1 - à remplir'!$E$31:$E$400,MASQ2!EC550,'Étape 1 - à remplir'!$G$31:$G$400,"kg"),SUMIFS('Étape 1 - à remplir'!$F$31:$F$400,'Étape 1 - à remplir'!$E$31:$E$400,MASQ2!EC550,'Étape 1 - à remplir'!$N$31:$N$400,EL$3,'Étape 1 - à remplir'!$G$31:$G$400,"kg"))))))=0,NA(),IF(EL$2="Catégorie",IF(EL$3="Toutes",SUMIFS('Étape 1 - à remplir'!$F$31:$F$400,'Étape 1 - à remplir'!$E$31:$E$400,MASQ2!EC550,'Étape 1 - à remplir'!$G$31:$G$400,"kg"),SUMIFS('Étape 1 - à remplir'!$F$31:$F$400,'Étape 1 - à remplir'!$E$31:$E$400,MASQ2!EC550,'Étape 1 - à remplir'!$C$31:$C$400,EL$3)),IF(EL$2="Âge",IF(EL$3="Tous",SUMIFS('Étape 1 - à remplir'!$F$31:$F$400,'Étape 1 - à remplir'!$E$31:$E$400,MASQ2!EC550,'Étape 1 - à remplir'!$G$31:$G$400,"kg"),SUMIFS('Étape 1 - à remplir'!$F$31:$F$400,'Étape 1 - à remplir'!$E$31:$E$400,MASQ2!EC550,'Étape 1 - à remplir'!$P$31:$P$400,EL$3,'Étape 1 - à remplir'!$G$31:$G$400,"kg")),IF(EL$2="Atelier",IF(EL$3="Tous",SUMIFS('Étape 1 - à remplir'!$F$31:$F$400,'Étape 1 - à remplir'!$E$31:$E$400,MASQ2!EC550,'Étape 1 - à remplir'!$G$31:$G$400,"kg"),SUMIFS('Étape 1 - à remplir'!$F$31:$F$400,'Étape 1 - à remplir'!$E$31:$E$400,MASQ2!EC550,'Étape 1 - à remplir'!$O$31:$O$400,EL$3,'Étape 1 - à remplir'!$G$31:$G$400,"kg")),IF(EL$2="Espèce",IF(EL$3="Toutes",SUMIFS('Étape 1 - à remplir'!$F$31:$F$400,'Étape 1 - à remplir'!$E$31:$E$400,MASQ2!EC550,'Étape 1 - à remplir'!$G$31:$G$400,"kg"),SUMIFS('Étape 1 - à remplir'!$F$31:$F$400,'Étape 1 - à remplir'!$E$31:$E$400,MASQ2!EC550,'Étape 1 - à remplir'!$N$31:$N$400,EL$3,'Étape 1 - à remplir'!$G$31:$G$400,"kg")))))))</f>
        <v>#N/A</v>
      </c>
      <c r="EE550" s="76">
        <f t="shared" si="334"/>
        <v>0</v>
      </c>
      <c r="EF550" t="str">
        <f t="shared" si="325"/>
        <v>Tiamuline</v>
      </c>
      <c r="EG550" t="str">
        <f t="shared" si="326"/>
        <v/>
      </c>
      <c r="EH550" t="str">
        <f t="shared" si="327"/>
        <v/>
      </c>
      <c r="EI550" t="str">
        <f t="shared" si="328"/>
        <v>Pleuromutilines</v>
      </c>
      <c r="EJ550" t="str">
        <f t="shared" si="329"/>
        <v/>
      </c>
      <c r="EK550" s="63" t="str">
        <f t="shared" si="330"/>
        <v/>
      </c>
      <c r="EN550" s="42">
        <v>547</v>
      </c>
      <c r="EO550" t="e">
        <f t="shared" si="336"/>
        <v>#N/A</v>
      </c>
      <c r="EP550" s="63" t="e">
        <f t="shared" si="337"/>
        <v>#N/A</v>
      </c>
    </row>
    <row r="551" spans="13:146" x14ac:dyDescent="0.3">
      <c r="M551" s="194" t="str">
        <f ca="1">INDEX(Données_ATB!BD:BU,MATCH(MASQ2!O551,Données_ATB!BD:BD,0),18)</f>
        <v/>
      </c>
      <c r="N551" s="14" t="str">
        <f>IFERROR(IF(Q551=0,"",COUNTIF(Q$4:Q$600,"&gt;"&amp;Q551)+COUNTIF(Q$4:Q551,Q551)),"")</f>
        <v/>
      </c>
      <c r="O551" t="str">
        <f>Données_ATB!BD550</f>
        <v>VETO-ANTI-DIAR</v>
      </c>
      <c r="P551" t="e">
        <f>IF(IF(X$2="Catégorie",IF(X$3="Toutes",SUMIFS('Étape 1 - à remplir'!$F$31:$F$400,'Étape 1 - à remplir'!$E$31:$E$400,MASQ2!O551,'Étape 1 - à remplir'!$G$31:$G$400,"animaux"),SUMIFS('Étape 1 - à remplir'!$F$31:$F$400,'Étape 1 - à remplir'!$E$31:$E$400,MASQ2!O551,'Étape 1 - à remplir'!$C$31:$C$400,X$3)),IF(X$2="Âge",IF(X$3="Tous",SUMIFS('Étape 1 - à remplir'!$F$31:$F$400,'Étape 1 - à remplir'!$E$31:$E$400,MASQ2!O551,'Étape 1 - à remplir'!$G$31:$G$400,"animaux"),SUMIFS('Étape 1 - à remplir'!$F$31:$F$400,'Étape 1 - à remplir'!$E$31:$E$400,MASQ2!O551,'Étape 1 - à remplir'!$P$31:$P$400,X$3)),IF(X$2="Atelier",IF(X$3="Tous",SUMIFS('Étape 1 - à remplir'!$F$31:$F$400,'Étape 1 - à remplir'!$E$31:$E$400,MASQ2!O551,'Étape 1 - à remplir'!$G$31:$G$400,"animaux"),SUMIFS('Étape 1 - à remplir'!$F$31:$F$400,'Étape 1 - à remplir'!$E$31:$E$400,MASQ2!O551,'Étape 1 - à remplir'!$O$31:$O$400,X$3)),IF(X$2="Espèce",IF(X$3="Toutes",SUMIFS('Étape 1 - à remplir'!$F$31:$F$400,'Étape 1 - à remplir'!$E$31:$E$400,MASQ2!O551,'Étape 1 - à remplir'!$G$31:$G$400,"animaux"),SUMIFS('Étape 1 - à remplir'!$F$31:$F$400,'Étape 1 - à remplir'!$E$31:$E$400,MASQ2!O551,'Étape 1 - à remplir'!$N$31:$N$400,X$3))))))=0,NA(),IF(X$2="Catégorie",IF(X$3="Toutes",SUMIFS('Étape 1 - à remplir'!$F$31:$F$400,'Étape 1 - à remplir'!$E$31:$E$400,MASQ2!O551,'Étape 1 - à remplir'!$G$31:$G$400,"animaux"),SUMIFS('Étape 1 - à remplir'!$F$31:$F$400,'Étape 1 - à remplir'!$E$31:$E$400,MASQ2!O551,'Étape 1 - à remplir'!$C$31:$C$400,X$3)),IF(X$2="Âge",IF(X$3="Tous",SUMIFS('Étape 1 - à remplir'!$F$31:$F$400,'Étape 1 - à remplir'!$E$31:$E$400,MASQ2!O551,'Étape 1 - à remplir'!$G$31:$G$400,"animaux"),SUMIFS('Étape 1 - à remplir'!$F$31:$F$400,'Étape 1 - à remplir'!$E$31:$E$400,MASQ2!O551,'Étape 1 - à remplir'!$P$31:$P$400,X$3)),IF(X$2="Atelier",IF(X$3="Tous",SUMIFS('Étape 1 - à remplir'!$F$31:$F$400,'Étape 1 - à remplir'!$E$31:$E$400,MASQ2!O551,'Étape 1 - à remplir'!$G$31:$G$400,"animaux"),SUMIFS('Étape 1 - à remplir'!$F$31:$F$400,'Étape 1 - à remplir'!$E$31:$E$400,MASQ2!O551,'Étape 1 - à remplir'!$O$31:$O$400,X$3)),IF(X$2="Espèce",IF(X$3="Toutes",SUMIFS('Étape 1 - à remplir'!$F$31:$F$400,'Étape 1 - à remplir'!$E$31:$E$400,MASQ2!O551,'Étape 1 - à remplir'!$G$31:$G$400,"animaux"),SUMIFS('Étape 1 - à remplir'!$F$31:$F$400,'Étape 1 - à remplir'!$E$31:$E$400,MASQ2!O551,'Étape 1 - à remplir'!$N$31:$N$400,X$3)))))))</f>
        <v>#N/A</v>
      </c>
      <c r="Q551" s="63">
        <f t="shared" si="335"/>
        <v>0</v>
      </c>
      <c r="R551" t="str">
        <f>Données_ATB!BM550</f>
        <v>Sulfaguanidine</v>
      </c>
      <c r="S551" t="str">
        <f>Données_ATB!BN550</f>
        <v/>
      </c>
      <c r="T551" s="63" t="str">
        <f>Données_ATB!BO550</f>
        <v/>
      </c>
      <c r="U551" s="42" t="str">
        <f>Données_ATB!BQ550</f>
        <v>Sulfamides</v>
      </c>
      <c r="V551" t="str">
        <f>Données_ATB!BR550</f>
        <v/>
      </c>
      <c r="W551" s="63" t="str">
        <f>Données_ATB!BS550</f>
        <v/>
      </c>
      <c r="Z551" s="42">
        <v>548</v>
      </c>
      <c r="AA551" t="e">
        <f t="shared" si="331"/>
        <v>#N/A</v>
      </c>
      <c r="AB551" s="63" t="e">
        <f t="shared" si="332"/>
        <v>#N/A</v>
      </c>
      <c r="BT551" s="194" t="str">
        <f t="shared" ca="1" si="315"/>
        <v/>
      </c>
      <c r="BU551" s="219" t="str">
        <f>IFERROR(IF(BX551=0,"",COUNTIF(BX$4:BX$600,"&gt;"&amp;BX551)+COUNTIF(BX$4:BX551,BX551)),"")</f>
        <v/>
      </c>
      <c r="BV551" s="42" t="str">
        <f t="shared" si="316"/>
        <v>VETO-ANTI-DIAR</v>
      </c>
      <c r="BW551" t="e">
        <f>IF(IF(CE$2="Catégorie",IF(CE$3="Toutes",SUMIFS('Étape 1 - à remplir'!$F$31:$F$400,'Étape 1 - à remplir'!$E$31:$E$400,MASQ2!BV551,'Étape 1 - à remplir'!$G$31:$G$400,"lots"),SUMIFS('Étape 1 - à remplir'!$F$31:$F$400,'Étape 1 - à remplir'!$E$31:$E$400,MASQ2!BV551,'Étape 1 - à remplir'!$C$31:$C$400,CE$3)),IF(CE$2="Âge",IF(CE$3="Tous",SUMIFS('Étape 1 - à remplir'!$F$31:$F$400,'Étape 1 - à remplir'!$E$31:$E$400,MASQ2!BV551,'Étape 1 - à remplir'!$G$31:$G$400,"lots"),SUMIFS('Étape 1 - à remplir'!$F$31:$F$400,'Étape 1 - à remplir'!$E$31:$E$400,MASQ2!BV551,'Étape 1 - à remplir'!$P$31:$P$400,CE$3,'Étape 1 - à remplir'!$G$31:$G$400,"lots")),IF(CE$2="Atelier",IF(CE$3="Tous",SUMIFS('Étape 1 - à remplir'!$F$31:$F$400,'Étape 1 - à remplir'!$E$31:$E$400,MASQ2!BV551,'Étape 1 - à remplir'!$G$31:$G$400,"lots"),SUMIFS('Étape 1 - à remplir'!$F$31:$F$400,'Étape 1 - à remplir'!$E$31:$E$400,MASQ2!BV551,'Étape 1 - à remplir'!$O$31:$O$400,CE$3,'Étape 1 - à remplir'!$G$31:$G$400,"lots")),IF(CE$2="Espèce",IF(CE$3="Toutes",SUMIFS('Étape 1 - à remplir'!$F$31:$F$400,'Étape 1 - à remplir'!$E$31:$E$400,MASQ2!BV551,'Étape 1 - à remplir'!$G$31:$G$400,"lots"),SUMIFS('Étape 1 - à remplir'!$F$31:$F$400,'Étape 1 - à remplir'!$E$31:$E$400,MASQ2!BV551,'Étape 1 - à remplir'!$N$31:$N$400,CE$3,'Étape 1 - à remplir'!$G$31:$G$400,"lots"))))))=0,NA(),IF(CE$2="Catégorie",IF(CE$3="Toutes",SUMIFS('Étape 1 - à remplir'!$F$31:$F$400,'Étape 1 - à remplir'!$E$31:$E$400,MASQ2!BV551,'Étape 1 - à remplir'!$G$31:$G$400,"lots"),SUMIFS('Étape 1 - à remplir'!$F$31:$F$400,'Étape 1 - à remplir'!$E$31:$E$400,MASQ2!BV551,'Étape 1 - à remplir'!$C$31:$C$400,CE$3)),IF(CE$2="Âge",IF(CE$3="Tous",SUMIFS('Étape 1 - à remplir'!$F$31:$F$400,'Étape 1 - à remplir'!$E$31:$E$400,MASQ2!BV551,'Étape 1 - à remplir'!$G$31:$G$400,"lots"),SUMIFS('Étape 1 - à remplir'!$F$31:$F$400,'Étape 1 - à remplir'!$E$31:$E$400,MASQ2!BV551,'Étape 1 - à remplir'!$P$31:$P$400,CE$3,'Étape 1 - à remplir'!$G$31:$G$400,"lots")),IF(CE$2="Atelier",IF(CE$3="Tous",SUMIFS('Étape 1 - à remplir'!$F$31:$F$400,'Étape 1 - à remplir'!$E$31:$E$400,MASQ2!BV551,'Étape 1 - à remplir'!$G$31:$G$400,"lots"),SUMIFS('Étape 1 - à remplir'!$F$31:$F$400,'Étape 1 - à remplir'!$E$31:$E$400,MASQ2!BV551,'Étape 1 - à remplir'!$O$31:$O$400,CE$3,'Étape 1 - à remplir'!$G$31:$G$400,"lots")),IF(CE$2="Espèce",IF(CE$3="Toutes",SUMIFS('Étape 1 - à remplir'!$F$31:$F$400,'Étape 1 - à remplir'!$E$31:$E$400,MASQ2!BV551,'Étape 1 - à remplir'!$G$31:$G$400,"lots"),SUMIFS('Étape 1 - à remplir'!$F$31:$F$400,'Étape 1 - à remplir'!$E$31:$E$400,MASQ2!BV551,'Étape 1 - à remplir'!$N$31:$N$400,CE$3,'Étape 1 - à remplir'!$G$31:$G$400,"lots")))))))</f>
        <v>#N/A</v>
      </c>
      <c r="BX551">
        <f t="shared" si="333"/>
        <v>0</v>
      </c>
      <c r="BY551" t="str">
        <f t="shared" si="317"/>
        <v>Sulfaguanidine</v>
      </c>
      <c r="BZ551" t="str">
        <f t="shared" si="318"/>
        <v/>
      </c>
      <c r="CA551" t="str">
        <f t="shared" si="319"/>
        <v/>
      </c>
      <c r="CB551" t="str">
        <f t="shared" si="320"/>
        <v>Sulfamides</v>
      </c>
      <c r="CC551" t="str">
        <f t="shared" si="321"/>
        <v/>
      </c>
      <c r="CD551" s="63" t="str">
        <f t="shared" si="322"/>
        <v/>
      </c>
      <c r="CG551" s="42">
        <v>548</v>
      </c>
      <c r="CH551" s="42" t="e">
        <f t="shared" si="338"/>
        <v>#N/A</v>
      </c>
      <c r="CI551" s="63" t="e">
        <f t="shared" si="339"/>
        <v>#N/A</v>
      </c>
      <c r="EA551" s="194" t="str">
        <f t="shared" ca="1" si="323"/>
        <v/>
      </c>
      <c r="EB551" s="226" t="str">
        <f>IFERROR(IF(ED551=0,"",COUNTIF(ED$4:ED$600,"&gt;"&amp;ED551)+COUNTIF(ED$4:ED551,ED551)),"")</f>
        <v/>
      </c>
      <c r="EC551" t="str">
        <f t="shared" si="324"/>
        <v>VETO-ANTI-DIAR</v>
      </c>
      <c r="ED551" t="e">
        <f>IF(IF(EL$2="Catégorie",IF(EL$3="Toutes",SUMIFS('Étape 1 - à remplir'!$F$31:$F$400,'Étape 1 - à remplir'!$E$31:$E$400,MASQ2!EC551,'Étape 1 - à remplir'!$G$31:$G$400,"kg"),SUMIFS('Étape 1 - à remplir'!$F$31:$F$400,'Étape 1 - à remplir'!$E$31:$E$400,MASQ2!EC551,'Étape 1 - à remplir'!$C$31:$C$400,EL$3)),IF(EL$2="Âge",IF(EL$3="Tous",SUMIFS('Étape 1 - à remplir'!$F$31:$F$400,'Étape 1 - à remplir'!$E$31:$E$400,MASQ2!EC551,'Étape 1 - à remplir'!$G$31:$G$400,"kg"),SUMIFS('Étape 1 - à remplir'!$F$31:$F$400,'Étape 1 - à remplir'!$E$31:$E$400,MASQ2!EC551,'Étape 1 - à remplir'!$P$31:$P$400,EL$3,'Étape 1 - à remplir'!$G$31:$G$400,"kg")),IF(EL$2="Atelier",IF(EL$3="Tous",SUMIFS('Étape 1 - à remplir'!$F$31:$F$400,'Étape 1 - à remplir'!$E$31:$E$400,MASQ2!EC551,'Étape 1 - à remplir'!$G$31:$G$400,"kg"),SUMIFS('Étape 1 - à remplir'!$F$31:$F$400,'Étape 1 - à remplir'!$E$31:$E$400,MASQ2!EC551,'Étape 1 - à remplir'!$O$31:$O$400,EL$3,'Étape 1 - à remplir'!$G$31:$G$400,"kg")),IF(EL$2="Espèce",IF(EL$3="Toutes",SUMIFS('Étape 1 - à remplir'!$F$31:$F$400,'Étape 1 - à remplir'!$E$31:$E$400,MASQ2!EC551,'Étape 1 - à remplir'!$G$31:$G$400,"kg"),SUMIFS('Étape 1 - à remplir'!$F$31:$F$400,'Étape 1 - à remplir'!$E$31:$E$400,MASQ2!EC551,'Étape 1 - à remplir'!$N$31:$N$400,EL$3,'Étape 1 - à remplir'!$G$31:$G$400,"kg"))))))=0,NA(),IF(EL$2="Catégorie",IF(EL$3="Toutes",SUMIFS('Étape 1 - à remplir'!$F$31:$F$400,'Étape 1 - à remplir'!$E$31:$E$400,MASQ2!EC551,'Étape 1 - à remplir'!$G$31:$G$400,"kg"),SUMIFS('Étape 1 - à remplir'!$F$31:$F$400,'Étape 1 - à remplir'!$E$31:$E$400,MASQ2!EC551,'Étape 1 - à remplir'!$C$31:$C$400,EL$3)),IF(EL$2="Âge",IF(EL$3="Tous",SUMIFS('Étape 1 - à remplir'!$F$31:$F$400,'Étape 1 - à remplir'!$E$31:$E$400,MASQ2!EC551,'Étape 1 - à remplir'!$G$31:$G$400,"kg"),SUMIFS('Étape 1 - à remplir'!$F$31:$F$400,'Étape 1 - à remplir'!$E$31:$E$400,MASQ2!EC551,'Étape 1 - à remplir'!$P$31:$P$400,EL$3,'Étape 1 - à remplir'!$G$31:$G$400,"kg")),IF(EL$2="Atelier",IF(EL$3="Tous",SUMIFS('Étape 1 - à remplir'!$F$31:$F$400,'Étape 1 - à remplir'!$E$31:$E$400,MASQ2!EC551,'Étape 1 - à remplir'!$G$31:$G$400,"kg"),SUMIFS('Étape 1 - à remplir'!$F$31:$F$400,'Étape 1 - à remplir'!$E$31:$E$400,MASQ2!EC551,'Étape 1 - à remplir'!$O$31:$O$400,EL$3,'Étape 1 - à remplir'!$G$31:$G$400,"kg")),IF(EL$2="Espèce",IF(EL$3="Toutes",SUMIFS('Étape 1 - à remplir'!$F$31:$F$400,'Étape 1 - à remplir'!$E$31:$E$400,MASQ2!EC551,'Étape 1 - à remplir'!$G$31:$G$400,"kg"),SUMIFS('Étape 1 - à remplir'!$F$31:$F$400,'Étape 1 - à remplir'!$E$31:$E$400,MASQ2!EC551,'Étape 1 - à remplir'!$N$31:$N$400,EL$3,'Étape 1 - à remplir'!$G$31:$G$400,"kg")))))))</f>
        <v>#N/A</v>
      </c>
      <c r="EE551" s="76">
        <f t="shared" si="334"/>
        <v>0</v>
      </c>
      <c r="EF551" t="str">
        <f t="shared" si="325"/>
        <v>Sulfaguanidine</v>
      </c>
      <c r="EG551" t="str">
        <f t="shared" si="326"/>
        <v/>
      </c>
      <c r="EH551" t="str">
        <f t="shared" si="327"/>
        <v/>
      </c>
      <c r="EI551" t="str">
        <f t="shared" si="328"/>
        <v>Sulfamides</v>
      </c>
      <c r="EJ551" t="str">
        <f t="shared" si="329"/>
        <v/>
      </c>
      <c r="EK551" s="63" t="str">
        <f t="shared" si="330"/>
        <v/>
      </c>
      <c r="EN551" s="42">
        <v>548</v>
      </c>
      <c r="EO551" t="e">
        <f t="shared" si="336"/>
        <v>#N/A</v>
      </c>
      <c r="EP551" s="63" t="e">
        <f t="shared" si="337"/>
        <v>#N/A</v>
      </c>
    </row>
    <row r="552" spans="13:146" x14ac:dyDescent="0.3">
      <c r="M552" s="194" t="str">
        <f ca="1">INDEX(Données_ATB!BD:BU,MATCH(MASQ2!O552,Données_ATB!BD:BD,0),18)</f>
        <v>x</v>
      </c>
      <c r="N552" s="14" t="str">
        <f>IFERROR(IF(Q552=0,"",COUNTIF(Q$4:Q$600,"&gt;"&amp;Q552)+COUNTIF(Q$4:Q552,Q552)),"")</f>
        <v/>
      </c>
      <c r="O552" t="str">
        <f>Données_ATB!BD551</f>
        <v>VETOCOLI POUDRE SOLUBLE</v>
      </c>
      <c r="P552" t="e">
        <f>IF(IF(X$2="Catégorie",IF(X$3="Toutes",SUMIFS('Étape 1 - à remplir'!$F$31:$F$400,'Étape 1 - à remplir'!$E$31:$E$400,MASQ2!O552,'Étape 1 - à remplir'!$G$31:$G$400,"animaux"),SUMIFS('Étape 1 - à remplir'!$F$31:$F$400,'Étape 1 - à remplir'!$E$31:$E$400,MASQ2!O552,'Étape 1 - à remplir'!$C$31:$C$400,X$3)),IF(X$2="Âge",IF(X$3="Tous",SUMIFS('Étape 1 - à remplir'!$F$31:$F$400,'Étape 1 - à remplir'!$E$31:$E$400,MASQ2!O552,'Étape 1 - à remplir'!$G$31:$G$400,"animaux"),SUMIFS('Étape 1 - à remplir'!$F$31:$F$400,'Étape 1 - à remplir'!$E$31:$E$400,MASQ2!O552,'Étape 1 - à remplir'!$P$31:$P$400,X$3)),IF(X$2="Atelier",IF(X$3="Tous",SUMIFS('Étape 1 - à remplir'!$F$31:$F$400,'Étape 1 - à remplir'!$E$31:$E$400,MASQ2!O552,'Étape 1 - à remplir'!$G$31:$G$400,"animaux"),SUMIFS('Étape 1 - à remplir'!$F$31:$F$400,'Étape 1 - à remplir'!$E$31:$E$400,MASQ2!O552,'Étape 1 - à remplir'!$O$31:$O$400,X$3)),IF(X$2="Espèce",IF(X$3="Toutes",SUMIFS('Étape 1 - à remplir'!$F$31:$F$400,'Étape 1 - à remplir'!$E$31:$E$400,MASQ2!O552,'Étape 1 - à remplir'!$G$31:$G$400,"animaux"),SUMIFS('Étape 1 - à remplir'!$F$31:$F$400,'Étape 1 - à remplir'!$E$31:$E$400,MASQ2!O552,'Étape 1 - à remplir'!$N$31:$N$400,X$3))))))=0,NA(),IF(X$2="Catégorie",IF(X$3="Toutes",SUMIFS('Étape 1 - à remplir'!$F$31:$F$400,'Étape 1 - à remplir'!$E$31:$E$400,MASQ2!O552,'Étape 1 - à remplir'!$G$31:$G$400,"animaux"),SUMIFS('Étape 1 - à remplir'!$F$31:$F$400,'Étape 1 - à remplir'!$E$31:$E$400,MASQ2!O552,'Étape 1 - à remplir'!$C$31:$C$400,X$3)),IF(X$2="Âge",IF(X$3="Tous",SUMIFS('Étape 1 - à remplir'!$F$31:$F$400,'Étape 1 - à remplir'!$E$31:$E$400,MASQ2!O552,'Étape 1 - à remplir'!$G$31:$G$400,"animaux"),SUMIFS('Étape 1 - à remplir'!$F$31:$F$400,'Étape 1 - à remplir'!$E$31:$E$400,MASQ2!O552,'Étape 1 - à remplir'!$P$31:$P$400,X$3)),IF(X$2="Atelier",IF(X$3="Tous",SUMIFS('Étape 1 - à remplir'!$F$31:$F$400,'Étape 1 - à remplir'!$E$31:$E$400,MASQ2!O552,'Étape 1 - à remplir'!$G$31:$G$400,"animaux"),SUMIFS('Étape 1 - à remplir'!$F$31:$F$400,'Étape 1 - à remplir'!$E$31:$E$400,MASQ2!O552,'Étape 1 - à remplir'!$O$31:$O$400,X$3)),IF(X$2="Espèce",IF(X$3="Toutes",SUMIFS('Étape 1 - à remplir'!$F$31:$F$400,'Étape 1 - à remplir'!$E$31:$E$400,MASQ2!O552,'Étape 1 - à remplir'!$G$31:$G$400,"animaux"),SUMIFS('Étape 1 - à remplir'!$F$31:$F$400,'Étape 1 - à remplir'!$E$31:$E$400,MASQ2!O552,'Étape 1 - à remplir'!$N$31:$N$400,X$3)))))))</f>
        <v>#N/A</v>
      </c>
      <c r="Q552" s="63">
        <f t="shared" si="335"/>
        <v>0</v>
      </c>
      <c r="R552" t="str">
        <f>Données_ATB!BM551</f>
        <v>Colistine</v>
      </c>
      <c r="S552" t="str">
        <f>Données_ATB!BN551</f>
        <v/>
      </c>
      <c r="T552" s="63" t="str">
        <f>Données_ATB!BO551</f>
        <v/>
      </c>
      <c r="U552" s="42" t="str">
        <f>Données_ATB!BQ551</f>
        <v>Polypeptides</v>
      </c>
      <c r="V552" t="str">
        <f>Données_ATB!BR551</f>
        <v/>
      </c>
      <c r="W552" s="63" t="str">
        <f>Données_ATB!BS551</f>
        <v/>
      </c>
      <c r="Z552" s="42">
        <v>549</v>
      </c>
      <c r="AA552" t="e">
        <f t="shared" si="331"/>
        <v>#N/A</v>
      </c>
      <c r="AB552" s="63" t="e">
        <f t="shared" si="332"/>
        <v>#N/A</v>
      </c>
      <c r="BT552" s="194" t="str">
        <f t="shared" ca="1" si="315"/>
        <v>x</v>
      </c>
      <c r="BU552" s="219" t="str">
        <f>IFERROR(IF(BX552=0,"",COUNTIF(BX$4:BX$600,"&gt;"&amp;BX552)+COUNTIF(BX$4:BX552,BX552)),"")</f>
        <v/>
      </c>
      <c r="BV552" s="42" t="str">
        <f t="shared" si="316"/>
        <v>VETOCOLI POUDRE SOLUBLE</v>
      </c>
      <c r="BW552" t="e">
        <f>IF(IF(CE$2="Catégorie",IF(CE$3="Toutes",SUMIFS('Étape 1 - à remplir'!$F$31:$F$400,'Étape 1 - à remplir'!$E$31:$E$400,MASQ2!BV552,'Étape 1 - à remplir'!$G$31:$G$400,"lots"),SUMIFS('Étape 1 - à remplir'!$F$31:$F$400,'Étape 1 - à remplir'!$E$31:$E$400,MASQ2!BV552,'Étape 1 - à remplir'!$C$31:$C$400,CE$3)),IF(CE$2="Âge",IF(CE$3="Tous",SUMIFS('Étape 1 - à remplir'!$F$31:$F$400,'Étape 1 - à remplir'!$E$31:$E$400,MASQ2!BV552,'Étape 1 - à remplir'!$G$31:$G$400,"lots"),SUMIFS('Étape 1 - à remplir'!$F$31:$F$400,'Étape 1 - à remplir'!$E$31:$E$400,MASQ2!BV552,'Étape 1 - à remplir'!$P$31:$P$400,CE$3,'Étape 1 - à remplir'!$G$31:$G$400,"lots")),IF(CE$2="Atelier",IF(CE$3="Tous",SUMIFS('Étape 1 - à remplir'!$F$31:$F$400,'Étape 1 - à remplir'!$E$31:$E$400,MASQ2!BV552,'Étape 1 - à remplir'!$G$31:$G$400,"lots"),SUMIFS('Étape 1 - à remplir'!$F$31:$F$400,'Étape 1 - à remplir'!$E$31:$E$400,MASQ2!BV552,'Étape 1 - à remplir'!$O$31:$O$400,CE$3,'Étape 1 - à remplir'!$G$31:$G$400,"lots")),IF(CE$2="Espèce",IF(CE$3="Toutes",SUMIFS('Étape 1 - à remplir'!$F$31:$F$400,'Étape 1 - à remplir'!$E$31:$E$400,MASQ2!BV552,'Étape 1 - à remplir'!$G$31:$G$400,"lots"),SUMIFS('Étape 1 - à remplir'!$F$31:$F$400,'Étape 1 - à remplir'!$E$31:$E$400,MASQ2!BV552,'Étape 1 - à remplir'!$N$31:$N$400,CE$3,'Étape 1 - à remplir'!$G$31:$G$400,"lots"))))))=0,NA(),IF(CE$2="Catégorie",IF(CE$3="Toutes",SUMIFS('Étape 1 - à remplir'!$F$31:$F$400,'Étape 1 - à remplir'!$E$31:$E$400,MASQ2!BV552,'Étape 1 - à remplir'!$G$31:$G$400,"lots"),SUMIFS('Étape 1 - à remplir'!$F$31:$F$400,'Étape 1 - à remplir'!$E$31:$E$400,MASQ2!BV552,'Étape 1 - à remplir'!$C$31:$C$400,CE$3)),IF(CE$2="Âge",IF(CE$3="Tous",SUMIFS('Étape 1 - à remplir'!$F$31:$F$400,'Étape 1 - à remplir'!$E$31:$E$400,MASQ2!BV552,'Étape 1 - à remplir'!$G$31:$G$400,"lots"),SUMIFS('Étape 1 - à remplir'!$F$31:$F$400,'Étape 1 - à remplir'!$E$31:$E$400,MASQ2!BV552,'Étape 1 - à remplir'!$P$31:$P$400,CE$3,'Étape 1 - à remplir'!$G$31:$G$400,"lots")),IF(CE$2="Atelier",IF(CE$3="Tous",SUMIFS('Étape 1 - à remplir'!$F$31:$F$400,'Étape 1 - à remplir'!$E$31:$E$400,MASQ2!BV552,'Étape 1 - à remplir'!$G$31:$G$400,"lots"),SUMIFS('Étape 1 - à remplir'!$F$31:$F$400,'Étape 1 - à remplir'!$E$31:$E$400,MASQ2!BV552,'Étape 1 - à remplir'!$O$31:$O$400,CE$3,'Étape 1 - à remplir'!$G$31:$G$400,"lots")),IF(CE$2="Espèce",IF(CE$3="Toutes",SUMIFS('Étape 1 - à remplir'!$F$31:$F$400,'Étape 1 - à remplir'!$E$31:$E$400,MASQ2!BV552,'Étape 1 - à remplir'!$G$31:$G$400,"lots"),SUMIFS('Étape 1 - à remplir'!$F$31:$F$400,'Étape 1 - à remplir'!$E$31:$E$400,MASQ2!BV552,'Étape 1 - à remplir'!$N$31:$N$400,CE$3,'Étape 1 - à remplir'!$G$31:$G$400,"lots")))))))</f>
        <v>#N/A</v>
      </c>
      <c r="BX552">
        <f t="shared" si="333"/>
        <v>0</v>
      </c>
      <c r="BY552" t="str">
        <f t="shared" si="317"/>
        <v>Colistine</v>
      </c>
      <c r="BZ552" t="str">
        <f t="shared" si="318"/>
        <v/>
      </c>
      <c r="CA552" t="str">
        <f t="shared" si="319"/>
        <v/>
      </c>
      <c r="CB552" t="str">
        <f t="shared" si="320"/>
        <v>Polypeptides</v>
      </c>
      <c r="CC552" t="str">
        <f t="shared" si="321"/>
        <v/>
      </c>
      <c r="CD552" s="63" t="str">
        <f t="shared" si="322"/>
        <v/>
      </c>
      <c r="CG552" s="42">
        <v>549</v>
      </c>
      <c r="CH552" s="42" t="e">
        <f t="shared" si="338"/>
        <v>#N/A</v>
      </c>
      <c r="CI552" s="63" t="e">
        <f t="shared" si="339"/>
        <v>#N/A</v>
      </c>
      <c r="EA552" s="194" t="str">
        <f t="shared" ca="1" si="323"/>
        <v>x</v>
      </c>
      <c r="EB552" s="226" t="str">
        <f>IFERROR(IF(ED552=0,"",COUNTIF(ED$4:ED$600,"&gt;"&amp;ED552)+COUNTIF(ED$4:ED552,ED552)),"")</f>
        <v/>
      </c>
      <c r="EC552" t="str">
        <f t="shared" si="324"/>
        <v>VETOCOLI POUDRE SOLUBLE</v>
      </c>
      <c r="ED552" t="e">
        <f>IF(IF(EL$2="Catégorie",IF(EL$3="Toutes",SUMIFS('Étape 1 - à remplir'!$F$31:$F$400,'Étape 1 - à remplir'!$E$31:$E$400,MASQ2!EC552,'Étape 1 - à remplir'!$G$31:$G$400,"kg"),SUMIFS('Étape 1 - à remplir'!$F$31:$F$400,'Étape 1 - à remplir'!$E$31:$E$400,MASQ2!EC552,'Étape 1 - à remplir'!$C$31:$C$400,EL$3)),IF(EL$2="Âge",IF(EL$3="Tous",SUMIFS('Étape 1 - à remplir'!$F$31:$F$400,'Étape 1 - à remplir'!$E$31:$E$400,MASQ2!EC552,'Étape 1 - à remplir'!$G$31:$G$400,"kg"),SUMIFS('Étape 1 - à remplir'!$F$31:$F$400,'Étape 1 - à remplir'!$E$31:$E$400,MASQ2!EC552,'Étape 1 - à remplir'!$P$31:$P$400,EL$3,'Étape 1 - à remplir'!$G$31:$G$400,"kg")),IF(EL$2="Atelier",IF(EL$3="Tous",SUMIFS('Étape 1 - à remplir'!$F$31:$F$400,'Étape 1 - à remplir'!$E$31:$E$400,MASQ2!EC552,'Étape 1 - à remplir'!$G$31:$G$400,"kg"),SUMIFS('Étape 1 - à remplir'!$F$31:$F$400,'Étape 1 - à remplir'!$E$31:$E$400,MASQ2!EC552,'Étape 1 - à remplir'!$O$31:$O$400,EL$3,'Étape 1 - à remplir'!$G$31:$G$400,"kg")),IF(EL$2="Espèce",IF(EL$3="Toutes",SUMIFS('Étape 1 - à remplir'!$F$31:$F$400,'Étape 1 - à remplir'!$E$31:$E$400,MASQ2!EC552,'Étape 1 - à remplir'!$G$31:$G$400,"kg"),SUMIFS('Étape 1 - à remplir'!$F$31:$F$400,'Étape 1 - à remplir'!$E$31:$E$400,MASQ2!EC552,'Étape 1 - à remplir'!$N$31:$N$400,EL$3,'Étape 1 - à remplir'!$G$31:$G$400,"kg"))))))=0,NA(),IF(EL$2="Catégorie",IF(EL$3="Toutes",SUMIFS('Étape 1 - à remplir'!$F$31:$F$400,'Étape 1 - à remplir'!$E$31:$E$400,MASQ2!EC552,'Étape 1 - à remplir'!$G$31:$G$400,"kg"),SUMIFS('Étape 1 - à remplir'!$F$31:$F$400,'Étape 1 - à remplir'!$E$31:$E$400,MASQ2!EC552,'Étape 1 - à remplir'!$C$31:$C$400,EL$3)),IF(EL$2="Âge",IF(EL$3="Tous",SUMIFS('Étape 1 - à remplir'!$F$31:$F$400,'Étape 1 - à remplir'!$E$31:$E$400,MASQ2!EC552,'Étape 1 - à remplir'!$G$31:$G$400,"kg"),SUMIFS('Étape 1 - à remplir'!$F$31:$F$400,'Étape 1 - à remplir'!$E$31:$E$400,MASQ2!EC552,'Étape 1 - à remplir'!$P$31:$P$400,EL$3,'Étape 1 - à remplir'!$G$31:$G$400,"kg")),IF(EL$2="Atelier",IF(EL$3="Tous",SUMIFS('Étape 1 - à remplir'!$F$31:$F$400,'Étape 1 - à remplir'!$E$31:$E$400,MASQ2!EC552,'Étape 1 - à remplir'!$G$31:$G$400,"kg"),SUMIFS('Étape 1 - à remplir'!$F$31:$F$400,'Étape 1 - à remplir'!$E$31:$E$400,MASQ2!EC552,'Étape 1 - à remplir'!$O$31:$O$400,EL$3,'Étape 1 - à remplir'!$G$31:$G$400,"kg")),IF(EL$2="Espèce",IF(EL$3="Toutes",SUMIFS('Étape 1 - à remplir'!$F$31:$F$400,'Étape 1 - à remplir'!$E$31:$E$400,MASQ2!EC552,'Étape 1 - à remplir'!$G$31:$G$400,"kg"),SUMIFS('Étape 1 - à remplir'!$F$31:$F$400,'Étape 1 - à remplir'!$E$31:$E$400,MASQ2!EC552,'Étape 1 - à remplir'!$N$31:$N$400,EL$3,'Étape 1 - à remplir'!$G$31:$G$400,"kg")))))))</f>
        <v>#N/A</v>
      </c>
      <c r="EE552" s="76">
        <f t="shared" si="334"/>
        <v>0</v>
      </c>
      <c r="EF552" t="str">
        <f t="shared" si="325"/>
        <v>Colistine</v>
      </c>
      <c r="EG552" t="str">
        <f t="shared" si="326"/>
        <v/>
      </c>
      <c r="EH552" t="str">
        <f t="shared" si="327"/>
        <v/>
      </c>
      <c r="EI552" t="str">
        <f t="shared" si="328"/>
        <v>Polypeptides</v>
      </c>
      <c r="EJ552" t="str">
        <f t="shared" si="329"/>
        <v/>
      </c>
      <c r="EK552" s="63" t="str">
        <f t="shared" si="330"/>
        <v/>
      </c>
      <c r="EN552" s="42">
        <v>549</v>
      </c>
      <c r="EO552" t="e">
        <f t="shared" si="336"/>
        <v>#N/A</v>
      </c>
      <c r="EP552" s="63" t="e">
        <f t="shared" si="337"/>
        <v>#N/A</v>
      </c>
    </row>
    <row r="553" spans="13:146" x14ac:dyDescent="0.3">
      <c r="M553" s="194" t="str">
        <f ca="1">INDEX(Données_ATB!BD:BU,MATCH(MASQ2!O553,Données_ATB!BD:BD,0),18)</f>
        <v/>
      </c>
      <c r="N553" s="14" t="str">
        <f>IFERROR(IF(Q553=0,"",COUNTIF(Q$4:Q$600,"&gt;"&amp;Q553)+COUNTIF(Q$4:Q553,Q553)),"")</f>
        <v/>
      </c>
      <c r="O553" t="str">
        <f>Données_ATB!BD552</f>
        <v>VETRIGEN</v>
      </c>
      <c r="P553" t="e">
        <f>IF(IF(X$2="Catégorie",IF(X$3="Toutes",SUMIFS('Étape 1 - à remplir'!$F$31:$F$400,'Étape 1 - à remplir'!$E$31:$E$400,MASQ2!O553,'Étape 1 - à remplir'!$G$31:$G$400,"animaux"),SUMIFS('Étape 1 - à remplir'!$F$31:$F$400,'Étape 1 - à remplir'!$E$31:$E$400,MASQ2!O553,'Étape 1 - à remplir'!$C$31:$C$400,X$3)),IF(X$2="Âge",IF(X$3="Tous",SUMIFS('Étape 1 - à remplir'!$F$31:$F$400,'Étape 1 - à remplir'!$E$31:$E$400,MASQ2!O553,'Étape 1 - à remplir'!$G$31:$G$400,"animaux"),SUMIFS('Étape 1 - à remplir'!$F$31:$F$400,'Étape 1 - à remplir'!$E$31:$E$400,MASQ2!O553,'Étape 1 - à remplir'!$P$31:$P$400,X$3)),IF(X$2="Atelier",IF(X$3="Tous",SUMIFS('Étape 1 - à remplir'!$F$31:$F$400,'Étape 1 - à remplir'!$E$31:$E$400,MASQ2!O553,'Étape 1 - à remplir'!$G$31:$G$400,"animaux"),SUMIFS('Étape 1 - à remplir'!$F$31:$F$400,'Étape 1 - à remplir'!$E$31:$E$400,MASQ2!O553,'Étape 1 - à remplir'!$O$31:$O$400,X$3)),IF(X$2="Espèce",IF(X$3="Toutes",SUMIFS('Étape 1 - à remplir'!$F$31:$F$400,'Étape 1 - à remplir'!$E$31:$E$400,MASQ2!O553,'Étape 1 - à remplir'!$G$31:$G$400,"animaux"),SUMIFS('Étape 1 - à remplir'!$F$31:$F$400,'Étape 1 - à remplir'!$E$31:$E$400,MASQ2!O553,'Étape 1 - à remplir'!$N$31:$N$400,X$3))))))=0,NA(),IF(X$2="Catégorie",IF(X$3="Toutes",SUMIFS('Étape 1 - à remplir'!$F$31:$F$400,'Étape 1 - à remplir'!$E$31:$E$400,MASQ2!O553,'Étape 1 - à remplir'!$G$31:$G$400,"animaux"),SUMIFS('Étape 1 - à remplir'!$F$31:$F$400,'Étape 1 - à remplir'!$E$31:$E$400,MASQ2!O553,'Étape 1 - à remplir'!$C$31:$C$400,X$3)),IF(X$2="Âge",IF(X$3="Tous",SUMIFS('Étape 1 - à remplir'!$F$31:$F$400,'Étape 1 - à remplir'!$E$31:$E$400,MASQ2!O553,'Étape 1 - à remplir'!$G$31:$G$400,"animaux"),SUMIFS('Étape 1 - à remplir'!$F$31:$F$400,'Étape 1 - à remplir'!$E$31:$E$400,MASQ2!O553,'Étape 1 - à remplir'!$P$31:$P$400,X$3)),IF(X$2="Atelier",IF(X$3="Tous",SUMIFS('Étape 1 - à remplir'!$F$31:$F$400,'Étape 1 - à remplir'!$E$31:$E$400,MASQ2!O553,'Étape 1 - à remplir'!$G$31:$G$400,"animaux"),SUMIFS('Étape 1 - à remplir'!$F$31:$F$400,'Étape 1 - à remplir'!$E$31:$E$400,MASQ2!O553,'Étape 1 - à remplir'!$O$31:$O$400,X$3)),IF(X$2="Espèce",IF(X$3="Toutes",SUMIFS('Étape 1 - à remplir'!$F$31:$F$400,'Étape 1 - à remplir'!$E$31:$E$400,MASQ2!O553,'Étape 1 - à remplir'!$G$31:$G$400,"animaux"),SUMIFS('Étape 1 - à remplir'!$F$31:$F$400,'Étape 1 - à remplir'!$E$31:$E$400,MASQ2!O553,'Étape 1 - à remplir'!$N$31:$N$400,X$3)))))))</f>
        <v>#N/A</v>
      </c>
      <c r="Q553" s="63">
        <f t="shared" si="335"/>
        <v>0</v>
      </c>
      <c r="R553" t="str">
        <f>Données_ATB!BM552</f>
        <v>Gentamicine</v>
      </c>
      <c r="S553" t="str">
        <f>Données_ATB!BN552</f>
        <v/>
      </c>
      <c r="T553" s="63" t="str">
        <f>Données_ATB!BO552</f>
        <v/>
      </c>
      <c r="U553" s="42" t="str">
        <f>Données_ATB!BQ552</f>
        <v>Aminoglycosides</v>
      </c>
      <c r="V553" t="str">
        <f>Données_ATB!BR552</f>
        <v/>
      </c>
      <c r="W553" s="63" t="str">
        <f>Données_ATB!BS552</f>
        <v/>
      </c>
      <c r="Z553" s="42">
        <v>550</v>
      </c>
      <c r="AA553" t="e">
        <f t="shared" si="331"/>
        <v>#N/A</v>
      </c>
      <c r="AB553" s="63" t="e">
        <f t="shared" si="332"/>
        <v>#N/A</v>
      </c>
      <c r="BT553" s="194" t="str">
        <f t="shared" ca="1" si="315"/>
        <v/>
      </c>
      <c r="BU553" s="219" t="str">
        <f>IFERROR(IF(BX553=0,"",COUNTIF(BX$4:BX$600,"&gt;"&amp;BX553)+COUNTIF(BX$4:BX553,BX553)),"")</f>
        <v/>
      </c>
      <c r="BV553" s="42" t="str">
        <f t="shared" si="316"/>
        <v>VETRIGEN</v>
      </c>
      <c r="BW553" t="e">
        <f>IF(IF(CE$2="Catégorie",IF(CE$3="Toutes",SUMIFS('Étape 1 - à remplir'!$F$31:$F$400,'Étape 1 - à remplir'!$E$31:$E$400,MASQ2!BV553,'Étape 1 - à remplir'!$G$31:$G$400,"lots"),SUMIFS('Étape 1 - à remplir'!$F$31:$F$400,'Étape 1 - à remplir'!$E$31:$E$400,MASQ2!BV553,'Étape 1 - à remplir'!$C$31:$C$400,CE$3)),IF(CE$2="Âge",IF(CE$3="Tous",SUMIFS('Étape 1 - à remplir'!$F$31:$F$400,'Étape 1 - à remplir'!$E$31:$E$400,MASQ2!BV553,'Étape 1 - à remplir'!$G$31:$G$400,"lots"),SUMIFS('Étape 1 - à remplir'!$F$31:$F$400,'Étape 1 - à remplir'!$E$31:$E$400,MASQ2!BV553,'Étape 1 - à remplir'!$P$31:$P$400,CE$3,'Étape 1 - à remplir'!$G$31:$G$400,"lots")),IF(CE$2="Atelier",IF(CE$3="Tous",SUMIFS('Étape 1 - à remplir'!$F$31:$F$400,'Étape 1 - à remplir'!$E$31:$E$400,MASQ2!BV553,'Étape 1 - à remplir'!$G$31:$G$400,"lots"),SUMIFS('Étape 1 - à remplir'!$F$31:$F$400,'Étape 1 - à remplir'!$E$31:$E$400,MASQ2!BV553,'Étape 1 - à remplir'!$O$31:$O$400,CE$3,'Étape 1 - à remplir'!$G$31:$G$400,"lots")),IF(CE$2="Espèce",IF(CE$3="Toutes",SUMIFS('Étape 1 - à remplir'!$F$31:$F$400,'Étape 1 - à remplir'!$E$31:$E$400,MASQ2!BV553,'Étape 1 - à remplir'!$G$31:$G$400,"lots"),SUMIFS('Étape 1 - à remplir'!$F$31:$F$400,'Étape 1 - à remplir'!$E$31:$E$400,MASQ2!BV553,'Étape 1 - à remplir'!$N$31:$N$400,CE$3,'Étape 1 - à remplir'!$G$31:$G$400,"lots"))))))=0,NA(),IF(CE$2="Catégorie",IF(CE$3="Toutes",SUMIFS('Étape 1 - à remplir'!$F$31:$F$400,'Étape 1 - à remplir'!$E$31:$E$400,MASQ2!BV553,'Étape 1 - à remplir'!$G$31:$G$400,"lots"),SUMIFS('Étape 1 - à remplir'!$F$31:$F$400,'Étape 1 - à remplir'!$E$31:$E$400,MASQ2!BV553,'Étape 1 - à remplir'!$C$31:$C$400,CE$3)),IF(CE$2="Âge",IF(CE$3="Tous",SUMIFS('Étape 1 - à remplir'!$F$31:$F$400,'Étape 1 - à remplir'!$E$31:$E$400,MASQ2!BV553,'Étape 1 - à remplir'!$G$31:$G$400,"lots"),SUMIFS('Étape 1 - à remplir'!$F$31:$F$400,'Étape 1 - à remplir'!$E$31:$E$400,MASQ2!BV553,'Étape 1 - à remplir'!$P$31:$P$400,CE$3,'Étape 1 - à remplir'!$G$31:$G$400,"lots")),IF(CE$2="Atelier",IF(CE$3="Tous",SUMIFS('Étape 1 - à remplir'!$F$31:$F$400,'Étape 1 - à remplir'!$E$31:$E$400,MASQ2!BV553,'Étape 1 - à remplir'!$G$31:$G$400,"lots"),SUMIFS('Étape 1 - à remplir'!$F$31:$F$400,'Étape 1 - à remplir'!$E$31:$E$400,MASQ2!BV553,'Étape 1 - à remplir'!$O$31:$O$400,CE$3,'Étape 1 - à remplir'!$G$31:$G$400,"lots")),IF(CE$2="Espèce",IF(CE$3="Toutes",SUMIFS('Étape 1 - à remplir'!$F$31:$F$400,'Étape 1 - à remplir'!$E$31:$E$400,MASQ2!BV553,'Étape 1 - à remplir'!$G$31:$G$400,"lots"),SUMIFS('Étape 1 - à remplir'!$F$31:$F$400,'Étape 1 - à remplir'!$E$31:$E$400,MASQ2!BV553,'Étape 1 - à remplir'!$N$31:$N$400,CE$3,'Étape 1 - à remplir'!$G$31:$G$400,"lots")))))))</f>
        <v>#N/A</v>
      </c>
      <c r="BX553">
        <f t="shared" si="333"/>
        <v>0</v>
      </c>
      <c r="BY553" t="str">
        <f t="shared" si="317"/>
        <v>Gentamicine</v>
      </c>
      <c r="BZ553" t="str">
        <f t="shared" si="318"/>
        <v/>
      </c>
      <c r="CA553" t="str">
        <f t="shared" si="319"/>
        <v/>
      </c>
      <c r="CB553" t="str">
        <f t="shared" si="320"/>
        <v>Aminoglycosides</v>
      </c>
      <c r="CC553" t="str">
        <f t="shared" si="321"/>
        <v/>
      </c>
      <c r="CD553" s="63" t="str">
        <f t="shared" si="322"/>
        <v/>
      </c>
      <c r="CG553" s="42">
        <v>550</v>
      </c>
      <c r="CH553" s="42" t="e">
        <f t="shared" si="338"/>
        <v>#N/A</v>
      </c>
      <c r="CI553" s="63" t="e">
        <f t="shared" si="339"/>
        <v>#N/A</v>
      </c>
      <c r="EA553" s="194" t="str">
        <f t="shared" ca="1" si="323"/>
        <v/>
      </c>
      <c r="EB553" s="226" t="str">
        <f>IFERROR(IF(ED553=0,"",COUNTIF(ED$4:ED$600,"&gt;"&amp;ED553)+COUNTIF(ED$4:ED553,ED553)),"")</f>
        <v/>
      </c>
      <c r="EC553" t="str">
        <f t="shared" si="324"/>
        <v>VETRIGEN</v>
      </c>
      <c r="ED553" t="e">
        <f>IF(IF(EL$2="Catégorie",IF(EL$3="Toutes",SUMIFS('Étape 1 - à remplir'!$F$31:$F$400,'Étape 1 - à remplir'!$E$31:$E$400,MASQ2!EC553,'Étape 1 - à remplir'!$G$31:$G$400,"kg"),SUMIFS('Étape 1 - à remplir'!$F$31:$F$400,'Étape 1 - à remplir'!$E$31:$E$400,MASQ2!EC553,'Étape 1 - à remplir'!$C$31:$C$400,EL$3)),IF(EL$2="Âge",IF(EL$3="Tous",SUMIFS('Étape 1 - à remplir'!$F$31:$F$400,'Étape 1 - à remplir'!$E$31:$E$400,MASQ2!EC553,'Étape 1 - à remplir'!$G$31:$G$400,"kg"),SUMIFS('Étape 1 - à remplir'!$F$31:$F$400,'Étape 1 - à remplir'!$E$31:$E$400,MASQ2!EC553,'Étape 1 - à remplir'!$P$31:$P$400,EL$3,'Étape 1 - à remplir'!$G$31:$G$400,"kg")),IF(EL$2="Atelier",IF(EL$3="Tous",SUMIFS('Étape 1 - à remplir'!$F$31:$F$400,'Étape 1 - à remplir'!$E$31:$E$400,MASQ2!EC553,'Étape 1 - à remplir'!$G$31:$G$400,"kg"),SUMIFS('Étape 1 - à remplir'!$F$31:$F$400,'Étape 1 - à remplir'!$E$31:$E$400,MASQ2!EC553,'Étape 1 - à remplir'!$O$31:$O$400,EL$3,'Étape 1 - à remplir'!$G$31:$G$400,"kg")),IF(EL$2="Espèce",IF(EL$3="Toutes",SUMIFS('Étape 1 - à remplir'!$F$31:$F$400,'Étape 1 - à remplir'!$E$31:$E$400,MASQ2!EC553,'Étape 1 - à remplir'!$G$31:$G$400,"kg"),SUMIFS('Étape 1 - à remplir'!$F$31:$F$400,'Étape 1 - à remplir'!$E$31:$E$400,MASQ2!EC553,'Étape 1 - à remplir'!$N$31:$N$400,EL$3,'Étape 1 - à remplir'!$G$31:$G$400,"kg"))))))=0,NA(),IF(EL$2="Catégorie",IF(EL$3="Toutes",SUMIFS('Étape 1 - à remplir'!$F$31:$F$400,'Étape 1 - à remplir'!$E$31:$E$400,MASQ2!EC553,'Étape 1 - à remplir'!$G$31:$G$400,"kg"),SUMIFS('Étape 1 - à remplir'!$F$31:$F$400,'Étape 1 - à remplir'!$E$31:$E$400,MASQ2!EC553,'Étape 1 - à remplir'!$C$31:$C$400,EL$3)),IF(EL$2="Âge",IF(EL$3="Tous",SUMIFS('Étape 1 - à remplir'!$F$31:$F$400,'Étape 1 - à remplir'!$E$31:$E$400,MASQ2!EC553,'Étape 1 - à remplir'!$G$31:$G$400,"kg"),SUMIFS('Étape 1 - à remplir'!$F$31:$F$400,'Étape 1 - à remplir'!$E$31:$E$400,MASQ2!EC553,'Étape 1 - à remplir'!$P$31:$P$400,EL$3,'Étape 1 - à remplir'!$G$31:$G$400,"kg")),IF(EL$2="Atelier",IF(EL$3="Tous",SUMIFS('Étape 1 - à remplir'!$F$31:$F$400,'Étape 1 - à remplir'!$E$31:$E$400,MASQ2!EC553,'Étape 1 - à remplir'!$G$31:$G$400,"kg"),SUMIFS('Étape 1 - à remplir'!$F$31:$F$400,'Étape 1 - à remplir'!$E$31:$E$400,MASQ2!EC553,'Étape 1 - à remplir'!$O$31:$O$400,EL$3,'Étape 1 - à remplir'!$G$31:$G$400,"kg")),IF(EL$2="Espèce",IF(EL$3="Toutes",SUMIFS('Étape 1 - à remplir'!$F$31:$F$400,'Étape 1 - à remplir'!$E$31:$E$400,MASQ2!EC553,'Étape 1 - à remplir'!$G$31:$G$400,"kg"),SUMIFS('Étape 1 - à remplir'!$F$31:$F$400,'Étape 1 - à remplir'!$E$31:$E$400,MASQ2!EC553,'Étape 1 - à remplir'!$N$31:$N$400,EL$3,'Étape 1 - à remplir'!$G$31:$G$400,"kg")))))))</f>
        <v>#N/A</v>
      </c>
      <c r="EE553" s="76">
        <f t="shared" si="334"/>
        <v>0</v>
      </c>
      <c r="EF553" t="str">
        <f t="shared" si="325"/>
        <v>Gentamicine</v>
      </c>
      <c r="EG553" t="str">
        <f t="shared" si="326"/>
        <v/>
      </c>
      <c r="EH553" t="str">
        <f t="shared" si="327"/>
        <v/>
      </c>
      <c r="EI553" t="str">
        <f t="shared" si="328"/>
        <v>Aminoglycosides</v>
      </c>
      <c r="EJ553" t="str">
        <f t="shared" si="329"/>
        <v/>
      </c>
      <c r="EK553" s="63" t="str">
        <f t="shared" si="330"/>
        <v/>
      </c>
      <c r="EN553" s="42">
        <v>550</v>
      </c>
      <c r="EO553" t="e">
        <f t="shared" si="336"/>
        <v>#N/A</v>
      </c>
      <c r="EP553" s="63" t="e">
        <f t="shared" si="337"/>
        <v>#N/A</v>
      </c>
    </row>
    <row r="554" spans="13:146" x14ac:dyDescent="0.3">
      <c r="M554" s="194" t="str">
        <f ca="1">INDEX(Données_ATB!BD:BU,MATCH(MASQ2!O554,Données_ATB!BD:BD,0),18)</f>
        <v/>
      </c>
      <c r="N554" s="14" t="str">
        <f>IFERROR(IF(Q554=0,"",COUNTIF(Q$4:Q$600,"&gt;"&amp;Q554)+COUNTIF(Q$4:Q554,Q554)),"")</f>
        <v/>
      </c>
      <c r="O554" t="str">
        <f>Données_ATB!BD553</f>
        <v>VETRIMOXIN 48 HEURES</v>
      </c>
      <c r="P554" t="e">
        <f>IF(IF(X$2="Catégorie",IF(X$3="Toutes",SUMIFS('Étape 1 - à remplir'!$F$31:$F$400,'Étape 1 - à remplir'!$E$31:$E$400,MASQ2!O554,'Étape 1 - à remplir'!$G$31:$G$400,"animaux"),SUMIFS('Étape 1 - à remplir'!$F$31:$F$400,'Étape 1 - à remplir'!$E$31:$E$400,MASQ2!O554,'Étape 1 - à remplir'!$C$31:$C$400,X$3)),IF(X$2="Âge",IF(X$3="Tous",SUMIFS('Étape 1 - à remplir'!$F$31:$F$400,'Étape 1 - à remplir'!$E$31:$E$400,MASQ2!O554,'Étape 1 - à remplir'!$G$31:$G$400,"animaux"),SUMIFS('Étape 1 - à remplir'!$F$31:$F$400,'Étape 1 - à remplir'!$E$31:$E$400,MASQ2!O554,'Étape 1 - à remplir'!$P$31:$P$400,X$3)),IF(X$2="Atelier",IF(X$3="Tous",SUMIFS('Étape 1 - à remplir'!$F$31:$F$400,'Étape 1 - à remplir'!$E$31:$E$400,MASQ2!O554,'Étape 1 - à remplir'!$G$31:$G$400,"animaux"),SUMIFS('Étape 1 - à remplir'!$F$31:$F$400,'Étape 1 - à remplir'!$E$31:$E$400,MASQ2!O554,'Étape 1 - à remplir'!$O$31:$O$400,X$3)),IF(X$2="Espèce",IF(X$3="Toutes",SUMIFS('Étape 1 - à remplir'!$F$31:$F$400,'Étape 1 - à remplir'!$E$31:$E$400,MASQ2!O554,'Étape 1 - à remplir'!$G$31:$G$400,"animaux"),SUMIFS('Étape 1 - à remplir'!$F$31:$F$400,'Étape 1 - à remplir'!$E$31:$E$400,MASQ2!O554,'Étape 1 - à remplir'!$N$31:$N$400,X$3))))))=0,NA(),IF(X$2="Catégorie",IF(X$3="Toutes",SUMIFS('Étape 1 - à remplir'!$F$31:$F$400,'Étape 1 - à remplir'!$E$31:$E$400,MASQ2!O554,'Étape 1 - à remplir'!$G$31:$G$400,"animaux"),SUMIFS('Étape 1 - à remplir'!$F$31:$F$400,'Étape 1 - à remplir'!$E$31:$E$400,MASQ2!O554,'Étape 1 - à remplir'!$C$31:$C$400,X$3)),IF(X$2="Âge",IF(X$3="Tous",SUMIFS('Étape 1 - à remplir'!$F$31:$F$400,'Étape 1 - à remplir'!$E$31:$E$400,MASQ2!O554,'Étape 1 - à remplir'!$G$31:$G$400,"animaux"),SUMIFS('Étape 1 - à remplir'!$F$31:$F$400,'Étape 1 - à remplir'!$E$31:$E$400,MASQ2!O554,'Étape 1 - à remplir'!$P$31:$P$400,X$3)),IF(X$2="Atelier",IF(X$3="Tous",SUMIFS('Étape 1 - à remplir'!$F$31:$F$400,'Étape 1 - à remplir'!$E$31:$E$400,MASQ2!O554,'Étape 1 - à remplir'!$G$31:$G$400,"animaux"),SUMIFS('Étape 1 - à remplir'!$F$31:$F$400,'Étape 1 - à remplir'!$E$31:$E$400,MASQ2!O554,'Étape 1 - à remplir'!$O$31:$O$400,X$3)),IF(X$2="Espèce",IF(X$3="Toutes",SUMIFS('Étape 1 - à remplir'!$F$31:$F$400,'Étape 1 - à remplir'!$E$31:$E$400,MASQ2!O554,'Étape 1 - à remplir'!$G$31:$G$400,"animaux"),SUMIFS('Étape 1 - à remplir'!$F$31:$F$400,'Étape 1 - à remplir'!$E$31:$E$400,MASQ2!O554,'Étape 1 - à remplir'!$N$31:$N$400,X$3)))))))</f>
        <v>#N/A</v>
      </c>
      <c r="Q554" s="63">
        <f t="shared" si="335"/>
        <v>0</v>
      </c>
      <c r="R554" t="str">
        <f>Données_ATB!BM553</f>
        <v>Amoxicilline</v>
      </c>
      <c r="S554" t="str">
        <f>Données_ATB!BN553</f>
        <v/>
      </c>
      <c r="T554" s="63" t="str">
        <f>Données_ATB!BO553</f>
        <v/>
      </c>
      <c r="U554" s="42" t="str">
        <f>Données_ATB!BQ553</f>
        <v>Penicillines</v>
      </c>
      <c r="V554" t="str">
        <f>Données_ATB!BR553</f>
        <v/>
      </c>
      <c r="W554" s="63" t="str">
        <f>Données_ATB!BS553</f>
        <v/>
      </c>
      <c r="Z554" s="42">
        <v>551</v>
      </c>
      <c r="AA554" t="e">
        <f t="shared" si="331"/>
        <v>#N/A</v>
      </c>
      <c r="AB554" s="63" t="e">
        <f t="shared" si="332"/>
        <v>#N/A</v>
      </c>
      <c r="BT554" s="194" t="str">
        <f t="shared" ca="1" si="315"/>
        <v/>
      </c>
      <c r="BU554" s="219" t="str">
        <f>IFERROR(IF(BX554=0,"",COUNTIF(BX$4:BX$600,"&gt;"&amp;BX554)+COUNTIF(BX$4:BX554,BX554)),"")</f>
        <v/>
      </c>
      <c r="BV554" s="42" t="str">
        <f t="shared" si="316"/>
        <v>VETRIMOXIN 48 HEURES</v>
      </c>
      <c r="BW554" t="e">
        <f>IF(IF(CE$2="Catégorie",IF(CE$3="Toutes",SUMIFS('Étape 1 - à remplir'!$F$31:$F$400,'Étape 1 - à remplir'!$E$31:$E$400,MASQ2!BV554,'Étape 1 - à remplir'!$G$31:$G$400,"lots"),SUMIFS('Étape 1 - à remplir'!$F$31:$F$400,'Étape 1 - à remplir'!$E$31:$E$400,MASQ2!BV554,'Étape 1 - à remplir'!$C$31:$C$400,CE$3)),IF(CE$2="Âge",IF(CE$3="Tous",SUMIFS('Étape 1 - à remplir'!$F$31:$F$400,'Étape 1 - à remplir'!$E$31:$E$400,MASQ2!BV554,'Étape 1 - à remplir'!$G$31:$G$400,"lots"),SUMIFS('Étape 1 - à remplir'!$F$31:$F$400,'Étape 1 - à remplir'!$E$31:$E$400,MASQ2!BV554,'Étape 1 - à remplir'!$P$31:$P$400,CE$3,'Étape 1 - à remplir'!$G$31:$G$400,"lots")),IF(CE$2="Atelier",IF(CE$3="Tous",SUMIFS('Étape 1 - à remplir'!$F$31:$F$400,'Étape 1 - à remplir'!$E$31:$E$400,MASQ2!BV554,'Étape 1 - à remplir'!$G$31:$G$400,"lots"),SUMIFS('Étape 1 - à remplir'!$F$31:$F$400,'Étape 1 - à remplir'!$E$31:$E$400,MASQ2!BV554,'Étape 1 - à remplir'!$O$31:$O$400,CE$3,'Étape 1 - à remplir'!$G$31:$G$400,"lots")),IF(CE$2="Espèce",IF(CE$3="Toutes",SUMIFS('Étape 1 - à remplir'!$F$31:$F$400,'Étape 1 - à remplir'!$E$31:$E$400,MASQ2!BV554,'Étape 1 - à remplir'!$G$31:$G$400,"lots"),SUMIFS('Étape 1 - à remplir'!$F$31:$F$400,'Étape 1 - à remplir'!$E$31:$E$400,MASQ2!BV554,'Étape 1 - à remplir'!$N$31:$N$400,CE$3,'Étape 1 - à remplir'!$G$31:$G$400,"lots"))))))=0,NA(),IF(CE$2="Catégorie",IF(CE$3="Toutes",SUMIFS('Étape 1 - à remplir'!$F$31:$F$400,'Étape 1 - à remplir'!$E$31:$E$400,MASQ2!BV554,'Étape 1 - à remplir'!$G$31:$G$400,"lots"),SUMIFS('Étape 1 - à remplir'!$F$31:$F$400,'Étape 1 - à remplir'!$E$31:$E$400,MASQ2!BV554,'Étape 1 - à remplir'!$C$31:$C$400,CE$3)),IF(CE$2="Âge",IF(CE$3="Tous",SUMIFS('Étape 1 - à remplir'!$F$31:$F$400,'Étape 1 - à remplir'!$E$31:$E$400,MASQ2!BV554,'Étape 1 - à remplir'!$G$31:$G$400,"lots"),SUMIFS('Étape 1 - à remplir'!$F$31:$F$400,'Étape 1 - à remplir'!$E$31:$E$400,MASQ2!BV554,'Étape 1 - à remplir'!$P$31:$P$400,CE$3,'Étape 1 - à remplir'!$G$31:$G$400,"lots")),IF(CE$2="Atelier",IF(CE$3="Tous",SUMIFS('Étape 1 - à remplir'!$F$31:$F$400,'Étape 1 - à remplir'!$E$31:$E$400,MASQ2!BV554,'Étape 1 - à remplir'!$G$31:$G$400,"lots"),SUMIFS('Étape 1 - à remplir'!$F$31:$F$400,'Étape 1 - à remplir'!$E$31:$E$400,MASQ2!BV554,'Étape 1 - à remplir'!$O$31:$O$400,CE$3,'Étape 1 - à remplir'!$G$31:$G$400,"lots")),IF(CE$2="Espèce",IF(CE$3="Toutes",SUMIFS('Étape 1 - à remplir'!$F$31:$F$400,'Étape 1 - à remplir'!$E$31:$E$400,MASQ2!BV554,'Étape 1 - à remplir'!$G$31:$G$400,"lots"),SUMIFS('Étape 1 - à remplir'!$F$31:$F$400,'Étape 1 - à remplir'!$E$31:$E$400,MASQ2!BV554,'Étape 1 - à remplir'!$N$31:$N$400,CE$3,'Étape 1 - à remplir'!$G$31:$G$400,"lots")))))))</f>
        <v>#N/A</v>
      </c>
      <c r="BX554">
        <f t="shared" si="333"/>
        <v>0</v>
      </c>
      <c r="BY554" t="str">
        <f t="shared" si="317"/>
        <v>Amoxicilline</v>
      </c>
      <c r="BZ554" t="str">
        <f t="shared" si="318"/>
        <v/>
      </c>
      <c r="CA554" t="str">
        <f t="shared" si="319"/>
        <v/>
      </c>
      <c r="CB554" t="str">
        <f t="shared" si="320"/>
        <v>Penicillines</v>
      </c>
      <c r="CC554" t="str">
        <f t="shared" si="321"/>
        <v/>
      </c>
      <c r="CD554" s="63" t="str">
        <f t="shared" si="322"/>
        <v/>
      </c>
      <c r="CG554" s="42">
        <v>551</v>
      </c>
      <c r="CH554" s="42" t="e">
        <f t="shared" si="338"/>
        <v>#N/A</v>
      </c>
      <c r="CI554" s="63" t="e">
        <f t="shared" si="339"/>
        <v>#N/A</v>
      </c>
      <c r="EA554" s="194" t="str">
        <f t="shared" ca="1" si="323"/>
        <v/>
      </c>
      <c r="EB554" s="226" t="str">
        <f>IFERROR(IF(ED554=0,"",COUNTIF(ED$4:ED$600,"&gt;"&amp;ED554)+COUNTIF(ED$4:ED554,ED554)),"")</f>
        <v/>
      </c>
      <c r="EC554" t="str">
        <f t="shared" si="324"/>
        <v>VETRIMOXIN 48 HEURES</v>
      </c>
      <c r="ED554" t="e">
        <f>IF(IF(EL$2="Catégorie",IF(EL$3="Toutes",SUMIFS('Étape 1 - à remplir'!$F$31:$F$400,'Étape 1 - à remplir'!$E$31:$E$400,MASQ2!EC554,'Étape 1 - à remplir'!$G$31:$G$400,"kg"),SUMIFS('Étape 1 - à remplir'!$F$31:$F$400,'Étape 1 - à remplir'!$E$31:$E$400,MASQ2!EC554,'Étape 1 - à remplir'!$C$31:$C$400,EL$3)),IF(EL$2="Âge",IF(EL$3="Tous",SUMIFS('Étape 1 - à remplir'!$F$31:$F$400,'Étape 1 - à remplir'!$E$31:$E$400,MASQ2!EC554,'Étape 1 - à remplir'!$G$31:$G$400,"kg"),SUMIFS('Étape 1 - à remplir'!$F$31:$F$400,'Étape 1 - à remplir'!$E$31:$E$400,MASQ2!EC554,'Étape 1 - à remplir'!$P$31:$P$400,EL$3,'Étape 1 - à remplir'!$G$31:$G$400,"kg")),IF(EL$2="Atelier",IF(EL$3="Tous",SUMIFS('Étape 1 - à remplir'!$F$31:$F$400,'Étape 1 - à remplir'!$E$31:$E$400,MASQ2!EC554,'Étape 1 - à remplir'!$G$31:$G$400,"kg"),SUMIFS('Étape 1 - à remplir'!$F$31:$F$400,'Étape 1 - à remplir'!$E$31:$E$400,MASQ2!EC554,'Étape 1 - à remplir'!$O$31:$O$400,EL$3,'Étape 1 - à remplir'!$G$31:$G$400,"kg")),IF(EL$2="Espèce",IF(EL$3="Toutes",SUMIFS('Étape 1 - à remplir'!$F$31:$F$400,'Étape 1 - à remplir'!$E$31:$E$400,MASQ2!EC554,'Étape 1 - à remplir'!$G$31:$G$400,"kg"),SUMIFS('Étape 1 - à remplir'!$F$31:$F$400,'Étape 1 - à remplir'!$E$31:$E$400,MASQ2!EC554,'Étape 1 - à remplir'!$N$31:$N$400,EL$3,'Étape 1 - à remplir'!$G$31:$G$400,"kg"))))))=0,NA(),IF(EL$2="Catégorie",IF(EL$3="Toutes",SUMIFS('Étape 1 - à remplir'!$F$31:$F$400,'Étape 1 - à remplir'!$E$31:$E$400,MASQ2!EC554,'Étape 1 - à remplir'!$G$31:$G$400,"kg"),SUMIFS('Étape 1 - à remplir'!$F$31:$F$400,'Étape 1 - à remplir'!$E$31:$E$400,MASQ2!EC554,'Étape 1 - à remplir'!$C$31:$C$400,EL$3)),IF(EL$2="Âge",IF(EL$3="Tous",SUMIFS('Étape 1 - à remplir'!$F$31:$F$400,'Étape 1 - à remplir'!$E$31:$E$400,MASQ2!EC554,'Étape 1 - à remplir'!$G$31:$G$400,"kg"),SUMIFS('Étape 1 - à remplir'!$F$31:$F$400,'Étape 1 - à remplir'!$E$31:$E$400,MASQ2!EC554,'Étape 1 - à remplir'!$P$31:$P$400,EL$3,'Étape 1 - à remplir'!$G$31:$G$400,"kg")),IF(EL$2="Atelier",IF(EL$3="Tous",SUMIFS('Étape 1 - à remplir'!$F$31:$F$400,'Étape 1 - à remplir'!$E$31:$E$400,MASQ2!EC554,'Étape 1 - à remplir'!$G$31:$G$400,"kg"),SUMIFS('Étape 1 - à remplir'!$F$31:$F$400,'Étape 1 - à remplir'!$E$31:$E$400,MASQ2!EC554,'Étape 1 - à remplir'!$O$31:$O$400,EL$3,'Étape 1 - à remplir'!$G$31:$G$400,"kg")),IF(EL$2="Espèce",IF(EL$3="Toutes",SUMIFS('Étape 1 - à remplir'!$F$31:$F$400,'Étape 1 - à remplir'!$E$31:$E$400,MASQ2!EC554,'Étape 1 - à remplir'!$G$31:$G$400,"kg"),SUMIFS('Étape 1 - à remplir'!$F$31:$F$400,'Étape 1 - à remplir'!$E$31:$E$400,MASQ2!EC554,'Étape 1 - à remplir'!$N$31:$N$400,EL$3,'Étape 1 - à remplir'!$G$31:$G$400,"kg")))))))</f>
        <v>#N/A</v>
      </c>
      <c r="EE554" s="76">
        <f t="shared" si="334"/>
        <v>0</v>
      </c>
      <c r="EF554" t="str">
        <f t="shared" si="325"/>
        <v>Amoxicilline</v>
      </c>
      <c r="EG554" t="str">
        <f t="shared" si="326"/>
        <v/>
      </c>
      <c r="EH554" t="str">
        <f t="shared" si="327"/>
        <v/>
      </c>
      <c r="EI554" t="str">
        <f t="shared" si="328"/>
        <v>Penicillines</v>
      </c>
      <c r="EJ554" t="str">
        <f t="shared" si="329"/>
        <v/>
      </c>
      <c r="EK554" s="63" t="str">
        <f t="shared" si="330"/>
        <v/>
      </c>
      <c r="EN554" s="42">
        <v>551</v>
      </c>
      <c r="EO554" t="e">
        <f t="shared" si="336"/>
        <v>#N/A</v>
      </c>
      <c r="EP554" s="63" t="e">
        <f t="shared" si="337"/>
        <v>#N/A</v>
      </c>
    </row>
    <row r="555" spans="13:146" x14ac:dyDescent="0.3">
      <c r="M555" s="194" t="str">
        <f ca="1">INDEX(Données_ATB!BD:BU,MATCH(MASQ2!O555,Données_ATB!BD:BD,0),18)</f>
        <v/>
      </c>
      <c r="N555" s="14" t="str">
        <f>IFERROR(IF(Q555=0,"",COUNTIF(Q$4:Q$600,"&gt;"&amp;Q555)+COUNTIF(Q$4:Q555,Q555)),"")</f>
        <v/>
      </c>
      <c r="O555" t="str">
        <f>Données_ATB!BD554</f>
        <v>VETRIMOXIN 50</v>
      </c>
      <c r="P555" t="e">
        <f>IF(IF(X$2="Catégorie",IF(X$3="Toutes",SUMIFS('Étape 1 - à remplir'!$F$31:$F$400,'Étape 1 - à remplir'!$E$31:$E$400,MASQ2!O555,'Étape 1 - à remplir'!$G$31:$G$400,"animaux"),SUMIFS('Étape 1 - à remplir'!$F$31:$F$400,'Étape 1 - à remplir'!$E$31:$E$400,MASQ2!O555,'Étape 1 - à remplir'!$C$31:$C$400,X$3)),IF(X$2="Âge",IF(X$3="Tous",SUMIFS('Étape 1 - à remplir'!$F$31:$F$400,'Étape 1 - à remplir'!$E$31:$E$400,MASQ2!O555,'Étape 1 - à remplir'!$G$31:$G$400,"animaux"),SUMIFS('Étape 1 - à remplir'!$F$31:$F$400,'Étape 1 - à remplir'!$E$31:$E$400,MASQ2!O555,'Étape 1 - à remplir'!$P$31:$P$400,X$3)),IF(X$2="Atelier",IF(X$3="Tous",SUMIFS('Étape 1 - à remplir'!$F$31:$F$400,'Étape 1 - à remplir'!$E$31:$E$400,MASQ2!O555,'Étape 1 - à remplir'!$G$31:$G$400,"animaux"),SUMIFS('Étape 1 - à remplir'!$F$31:$F$400,'Étape 1 - à remplir'!$E$31:$E$400,MASQ2!O555,'Étape 1 - à remplir'!$O$31:$O$400,X$3)),IF(X$2="Espèce",IF(X$3="Toutes",SUMIFS('Étape 1 - à remplir'!$F$31:$F$400,'Étape 1 - à remplir'!$E$31:$E$400,MASQ2!O555,'Étape 1 - à remplir'!$G$31:$G$400,"animaux"),SUMIFS('Étape 1 - à remplir'!$F$31:$F$400,'Étape 1 - à remplir'!$E$31:$E$400,MASQ2!O555,'Étape 1 - à remplir'!$N$31:$N$400,X$3))))))=0,NA(),IF(X$2="Catégorie",IF(X$3="Toutes",SUMIFS('Étape 1 - à remplir'!$F$31:$F$400,'Étape 1 - à remplir'!$E$31:$E$400,MASQ2!O555,'Étape 1 - à remplir'!$G$31:$G$400,"animaux"),SUMIFS('Étape 1 - à remplir'!$F$31:$F$400,'Étape 1 - à remplir'!$E$31:$E$400,MASQ2!O555,'Étape 1 - à remplir'!$C$31:$C$400,X$3)),IF(X$2="Âge",IF(X$3="Tous",SUMIFS('Étape 1 - à remplir'!$F$31:$F$400,'Étape 1 - à remplir'!$E$31:$E$400,MASQ2!O555,'Étape 1 - à remplir'!$G$31:$G$400,"animaux"),SUMIFS('Étape 1 - à remplir'!$F$31:$F$400,'Étape 1 - à remplir'!$E$31:$E$400,MASQ2!O555,'Étape 1 - à remplir'!$P$31:$P$400,X$3)),IF(X$2="Atelier",IF(X$3="Tous",SUMIFS('Étape 1 - à remplir'!$F$31:$F$400,'Étape 1 - à remplir'!$E$31:$E$400,MASQ2!O555,'Étape 1 - à remplir'!$G$31:$G$400,"animaux"),SUMIFS('Étape 1 - à remplir'!$F$31:$F$400,'Étape 1 - à remplir'!$E$31:$E$400,MASQ2!O555,'Étape 1 - à remplir'!$O$31:$O$400,X$3)),IF(X$2="Espèce",IF(X$3="Toutes",SUMIFS('Étape 1 - à remplir'!$F$31:$F$400,'Étape 1 - à remplir'!$E$31:$E$400,MASQ2!O555,'Étape 1 - à remplir'!$G$31:$G$400,"animaux"),SUMIFS('Étape 1 - à remplir'!$F$31:$F$400,'Étape 1 - à remplir'!$E$31:$E$400,MASQ2!O555,'Étape 1 - à remplir'!$N$31:$N$400,X$3)))))))</f>
        <v>#N/A</v>
      </c>
      <c r="Q555" s="63">
        <f t="shared" si="335"/>
        <v>0</v>
      </c>
      <c r="R555" t="str">
        <f>Données_ATB!BM554</f>
        <v>Amoxicilline</v>
      </c>
      <c r="S555" t="str">
        <f>Données_ATB!BN554</f>
        <v/>
      </c>
      <c r="T555" s="63" t="str">
        <f>Données_ATB!BO554</f>
        <v/>
      </c>
      <c r="U555" s="42" t="str">
        <f>Données_ATB!BQ554</f>
        <v>Penicillines</v>
      </c>
      <c r="V555" t="str">
        <f>Données_ATB!BR554</f>
        <v/>
      </c>
      <c r="W555" s="63" t="str">
        <f>Données_ATB!BS554</f>
        <v/>
      </c>
      <c r="Z555" s="42">
        <v>552</v>
      </c>
      <c r="AA555" t="e">
        <f t="shared" si="331"/>
        <v>#N/A</v>
      </c>
      <c r="AB555" s="63" t="e">
        <f t="shared" si="332"/>
        <v>#N/A</v>
      </c>
      <c r="BT555" s="194" t="str">
        <f t="shared" ca="1" si="315"/>
        <v/>
      </c>
      <c r="BU555" s="219" t="str">
        <f>IFERROR(IF(BX555=0,"",COUNTIF(BX$4:BX$600,"&gt;"&amp;BX555)+COUNTIF(BX$4:BX555,BX555)),"")</f>
        <v/>
      </c>
      <c r="BV555" s="42" t="str">
        <f t="shared" si="316"/>
        <v>VETRIMOXIN 50</v>
      </c>
      <c r="BW555" t="e">
        <f>IF(IF(CE$2="Catégorie",IF(CE$3="Toutes",SUMIFS('Étape 1 - à remplir'!$F$31:$F$400,'Étape 1 - à remplir'!$E$31:$E$400,MASQ2!BV555,'Étape 1 - à remplir'!$G$31:$G$400,"lots"),SUMIFS('Étape 1 - à remplir'!$F$31:$F$400,'Étape 1 - à remplir'!$E$31:$E$400,MASQ2!BV555,'Étape 1 - à remplir'!$C$31:$C$400,CE$3)),IF(CE$2="Âge",IF(CE$3="Tous",SUMIFS('Étape 1 - à remplir'!$F$31:$F$400,'Étape 1 - à remplir'!$E$31:$E$400,MASQ2!BV555,'Étape 1 - à remplir'!$G$31:$G$400,"lots"),SUMIFS('Étape 1 - à remplir'!$F$31:$F$400,'Étape 1 - à remplir'!$E$31:$E$400,MASQ2!BV555,'Étape 1 - à remplir'!$P$31:$P$400,CE$3,'Étape 1 - à remplir'!$G$31:$G$400,"lots")),IF(CE$2="Atelier",IF(CE$3="Tous",SUMIFS('Étape 1 - à remplir'!$F$31:$F$400,'Étape 1 - à remplir'!$E$31:$E$400,MASQ2!BV555,'Étape 1 - à remplir'!$G$31:$G$400,"lots"),SUMIFS('Étape 1 - à remplir'!$F$31:$F$400,'Étape 1 - à remplir'!$E$31:$E$400,MASQ2!BV555,'Étape 1 - à remplir'!$O$31:$O$400,CE$3,'Étape 1 - à remplir'!$G$31:$G$400,"lots")),IF(CE$2="Espèce",IF(CE$3="Toutes",SUMIFS('Étape 1 - à remplir'!$F$31:$F$400,'Étape 1 - à remplir'!$E$31:$E$400,MASQ2!BV555,'Étape 1 - à remplir'!$G$31:$G$400,"lots"),SUMIFS('Étape 1 - à remplir'!$F$31:$F$400,'Étape 1 - à remplir'!$E$31:$E$400,MASQ2!BV555,'Étape 1 - à remplir'!$N$31:$N$400,CE$3,'Étape 1 - à remplir'!$G$31:$G$400,"lots"))))))=0,NA(),IF(CE$2="Catégorie",IF(CE$3="Toutes",SUMIFS('Étape 1 - à remplir'!$F$31:$F$400,'Étape 1 - à remplir'!$E$31:$E$400,MASQ2!BV555,'Étape 1 - à remplir'!$G$31:$G$400,"lots"),SUMIFS('Étape 1 - à remplir'!$F$31:$F$400,'Étape 1 - à remplir'!$E$31:$E$400,MASQ2!BV555,'Étape 1 - à remplir'!$C$31:$C$400,CE$3)),IF(CE$2="Âge",IF(CE$3="Tous",SUMIFS('Étape 1 - à remplir'!$F$31:$F$400,'Étape 1 - à remplir'!$E$31:$E$400,MASQ2!BV555,'Étape 1 - à remplir'!$G$31:$G$400,"lots"),SUMIFS('Étape 1 - à remplir'!$F$31:$F$400,'Étape 1 - à remplir'!$E$31:$E$400,MASQ2!BV555,'Étape 1 - à remplir'!$P$31:$P$400,CE$3,'Étape 1 - à remplir'!$G$31:$G$400,"lots")),IF(CE$2="Atelier",IF(CE$3="Tous",SUMIFS('Étape 1 - à remplir'!$F$31:$F$400,'Étape 1 - à remplir'!$E$31:$E$400,MASQ2!BV555,'Étape 1 - à remplir'!$G$31:$G$400,"lots"),SUMIFS('Étape 1 - à remplir'!$F$31:$F$400,'Étape 1 - à remplir'!$E$31:$E$400,MASQ2!BV555,'Étape 1 - à remplir'!$O$31:$O$400,CE$3,'Étape 1 - à remplir'!$G$31:$G$400,"lots")),IF(CE$2="Espèce",IF(CE$3="Toutes",SUMIFS('Étape 1 - à remplir'!$F$31:$F$400,'Étape 1 - à remplir'!$E$31:$E$400,MASQ2!BV555,'Étape 1 - à remplir'!$G$31:$G$400,"lots"),SUMIFS('Étape 1 - à remplir'!$F$31:$F$400,'Étape 1 - à remplir'!$E$31:$E$400,MASQ2!BV555,'Étape 1 - à remplir'!$N$31:$N$400,CE$3,'Étape 1 - à remplir'!$G$31:$G$400,"lots")))))))</f>
        <v>#N/A</v>
      </c>
      <c r="BX555">
        <f t="shared" si="333"/>
        <v>0</v>
      </c>
      <c r="BY555" t="str">
        <f t="shared" si="317"/>
        <v>Amoxicilline</v>
      </c>
      <c r="BZ555" t="str">
        <f t="shared" si="318"/>
        <v/>
      </c>
      <c r="CA555" t="str">
        <f t="shared" si="319"/>
        <v/>
      </c>
      <c r="CB555" t="str">
        <f t="shared" si="320"/>
        <v>Penicillines</v>
      </c>
      <c r="CC555" t="str">
        <f t="shared" si="321"/>
        <v/>
      </c>
      <c r="CD555" s="63" t="str">
        <f t="shared" si="322"/>
        <v/>
      </c>
      <c r="CG555" s="42">
        <v>552</v>
      </c>
      <c r="CH555" s="42" t="e">
        <f t="shared" si="338"/>
        <v>#N/A</v>
      </c>
      <c r="CI555" s="63" t="e">
        <f t="shared" si="339"/>
        <v>#N/A</v>
      </c>
      <c r="EA555" s="194" t="str">
        <f t="shared" ca="1" si="323"/>
        <v/>
      </c>
      <c r="EB555" s="226" t="str">
        <f>IFERROR(IF(ED555=0,"",COUNTIF(ED$4:ED$600,"&gt;"&amp;ED555)+COUNTIF(ED$4:ED555,ED555)),"")</f>
        <v/>
      </c>
      <c r="EC555" t="str">
        <f t="shared" si="324"/>
        <v>VETRIMOXIN 50</v>
      </c>
      <c r="ED555" t="e">
        <f>IF(IF(EL$2="Catégorie",IF(EL$3="Toutes",SUMIFS('Étape 1 - à remplir'!$F$31:$F$400,'Étape 1 - à remplir'!$E$31:$E$400,MASQ2!EC555,'Étape 1 - à remplir'!$G$31:$G$400,"kg"),SUMIFS('Étape 1 - à remplir'!$F$31:$F$400,'Étape 1 - à remplir'!$E$31:$E$400,MASQ2!EC555,'Étape 1 - à remplir'!$C$31:$C$400,EL$3)),IF(EL$2="Âge",IF(EL$3="Tous",SUMIFS('Étape 1 - à remplir'!$F$31:$F$400,'Étape 1 - à remplir'!$E$31:$E$400,MASQ2!EC555,'Étape 1 - à remplir'!$G$31:$G$400,"kg"),SUMIFS('Étape 1 - à remplir'!$F$31:$F$400,'Étape 1 - à remplir'!$E$31:$E$400,MASQ2!EC555,'Étape 1 - à remplir'!$P$31:$P$400,EL$3,'Étape 1 - à remplir'!$G$31:$G$400,"kg")),IF(EL$2="Atelier",IF(EL$3="Tous",SUMIFS('Étape 1 - à remplir'!$F$31:$F$400,'Étape 1 - à remplir'!$E$31:$E$400,MASQ2!EC555,'Étape 1 - à remplir'!$G$31:$G$400,"kg"),SUMIFS('Étape 1 - à remplir'!$F$31:$F$400,'Étape 1 - à remplir'!$E$31:$E$400,MASQ2!EC555,'Étape 1 - à remplir'!$O$31:$O$400,EL$3,'Étape 1 - à remplir'!$G$31:$G$400,"kg")),IF(EL$2="Espèce",IF(EL$3="Toutes",SUMIFS('Étape 1 - à remplir'!$F$31:$F$400,'Étape 1 - à remplir'!$E$31:$E$400,MASQ2!EC555,'Étape 1 - à remplir'!$G$31:$G$400,"kg"),SUMIFS('Étape 1 - à remplir'!$F$31:$F$400,'Étape 1 - à remplir'!$E$31:$E$400,MASQ2!EC555,'Étape 1 - à remplir'!$N$31:$N$400,EL$3,'Étape 1 - à remplir'!$G$31:$G$400,"kg"))))))=0,NA(),IF(EL$2="Catégorie",IF(EL$3="Toutes",SUMIFS('Étape 1 - à remplir'!$F$31:$F$400,'Étape 1 - à remplir'!$E$31:$E$400,MASQ2!EC555,'Étape 1 - à remplir'!$G$31:$G$400,"kg"),SUMIFS('Étape 1 - à remplir'!$F$31:$F$400,'Étape 1 - à remplir'!$E$31:$E$400,MASQ2!EC555,'Étape 1 - à remplir'!$C$31:$C$400,EL$3)),IF(EL$2="Âge",IF(EL$3="Tous",SUMIFS('Étape 1 - à remplir'!$F$31:$F$400,'Étape 1 - à remplir'!$E$31:$E$400,MASQ2!EC555,'Étape 1 - à remplir'!$G$31:$G$400,"kg"),SUMIFS('Étape 1 - à remplir'!$F$31:$F$400,'Étape 1 - à remplir'!$E$31:$E$400,MASQ2!EC555,'Étape 1 - à remplir'!$P$31:$P$400,EL$3,'Étape 1 - à remplir'!$G$31:$G$400,"kg")),IF(EL$2="Atelier",IF(EL$3="Tous",SUMIFS('Étape 1 - à remplir'!$F$31:$F$400,'Étape 1 - à remplir'!$E$31:$E$400,MASQ2!EC555,'Étape 1 - à remplir'!$G$31:$G$400,"kg"),SUMIFS('Étape 1 - à remplir'!$F$31:$F$400,'Étape 1 - à remplir'!$E$31:$E$400,MASQ2!EC555,'Étape 1 - à remplir'!$O$31:$O$400,EL$3,'Étape 1 - à remplir'!$G$31:$G$400,"kg")),IF(EL$2="Espèce",IF(EL$3="Toutes",SUMIFS('Étape 1 - à remplir'!$F$31:$F$400,'Étape 1 - à remplir'!$E$31:$E$400,MASQ2!EC555,'Étape 1 - à remplir'!$G$31:$G$400,"kg"),SUMIFS('Étape 1 - à remplir'!$F$31:$F$400,'Étape 1 - à remplir'!$E$31:$E$400,MASQ2!EC555,'Étape 1 - à remplir'!$N$31:$N$400,EL$3,'Étape 1 - à remplir'!$G$31:$G$400,"kg")))))))</f>
        <v>#N/A</v>
      </c>
      <c r="EE555" s="76">
        <f t="shared" si="334"/>
        <v>0</v>
      </c>
      <c r="EF555" t="str">
        <f t="shared" si="325"/>
        <v>Amoxicilline</v>
      </c>
      <c r="EG555" t="str">
        <f t="shared" si="326"/>
        <v/>
      </c>
      <c r="EH555" t="str">
        <f t="shared" si="327"/>
        <v/>
      </c>
      <c r="EI555" t="str">
        <f t="shared" si="328"/>
        <v>Penicillines</v>
      </c>
      <c r="EJ555" t="str">
        <f t="shared" si="329"/>
        <v/>
      </c>
      <c r="EK555" s="63" t="str">
        <f t="shared" si="330"/>
        <v/>
      </c>
      <c r="EN555" s="42">
        <v>552</v>
      </c>
      <c r="EO555" t="e">
        <f t="shared" si="336"/>
        <v>#N/A</v>
      </c>
      <c r="EP555" s="63" t="e">
        <f t="shared" si="337"/>
        <v>#N/A</v>
      </c>
    </row>
    <row r="556" spans="13:146" x14ac:dyDescent="0.3">
      <c r="M556" s="194" t="str">
        <f ca="1">INDEX(Données_ATB!BD:BU,MATCH(MASQ2!O556,Données_ATB!BD:BD,0),18)</f>
        <v/>
      </c>
      <c r="N556" s="14" t="str">
        <f>IFERROR(IF(Q556=0,"",COUNTIF(Q$4:Q$600,"&gt;"&amp;Q556)+COUNTIF(Q$4:Q556,Q556)),"")</f>
        <v/>
      </c>
      <c r="O556" t="str">
        <f>Données_ATB!BD555</f>
        <v>VETRIMOXIN P.O.</v>
      </c>
      <c r="P556" t="e">
        <f>IF(IF(X$2="Catégorie",IF(X$3="Toutes",SUMIFS('Étape 1 - à remplir'!$F$31:$F$400,'Étape 1 - à remplir'!$E$31:$E$400,MASQ2!O556,'Étape 1 - à remplir'!$G$31:$G$400,"animaux"),SUMIFS('Étape 1 - à remplir'!$F$31:$F$400,'Étape 1 - à remplir'!$E$31:$E$400,MASQ2!O556,'Étape 1 - à remplir'!$C$31:$C$400,X$3)),IF(X$2="Âge",IF(X$3="Tous",SUMIFS('Étape 1 - à remplir'!$F$31:$F$400,'Étape 1 - à remplir'!$E$31:$E$400,MASQ2!O556,'Étape 1 - à remplir'!$G$31:$G$400,"animaux"),SUMIFS('Étape 1 - à remplir'!$F$31:$F$400,'Étape 1 - à remplir'!$E$31:$E$400,MASQ2!O556,'Étape 1 - à remplir'!$P$31:$P$400,X$3)),IF(X$2="Atelier",IF(X$3="Tous",SUMIFS('Étape 1 - à remplir'!$F$31:$F$400,'Étape 1 - à remplir'!$E$31:$E$400,MASQ2!O556,'Étape 1 - à remplir'!$G$31:$G$400,"animaux"),SUMIFS('Étape 1 - à remplir'!$F$31:$F$400,'Étape 1 - à remplir'!$E$31:$E$400,MASQ2!O556,'Étape 1 - à remplir'!$O$31:$O$400,X$3)),IF(X$2="Espèce",IF(X$3="Toutes",SUMIFS('Étape 1 - à remplir'!$F$31:$F$400,'Étape 1 - à remplir'!$E$31:$E$400,MASQ2!O556,'Étape 1 - à remplir'!$G$31:$G$400,"animaux"),SUMIFS('Étape 1 - à remplir'!$F$31:$F$400,'Étape 1 - à remplir'!$E$31:$E$400,MASQ2!O556,'Étape 1 - à remplir'!$N$31:$N$400,X$3))))))=0,NA(),IF(X$2="Catégorie",IF(X$3="Toutes",SUMIFS('Étape 1 - à remplir'!$F$31:$F$400,'Étape 1 - à remplir'!$E$31:$E$400,MASQ2!O556,'Étape 1 - à remplir'!$G$31:$G$400,"animaux"),SUMIFS('Étape 1 - à remplir'!$F$31:$F$400,'Étape 1 - à remplir'!$E$31:$E$400,MASQ2!O556,'Étape 1 - à remplir'!$C$31:$C$400,X$3)),IF(X$2="Âge",IF(X$3="Tous",SUMIFS('Étape 1 - à remplir'!$F$31:$F$400,'Étape 1 - à remplir'!$E$31:$E$400,MASQ2!O556,'Étape 1 - à remplir'!$G$31:$G$400,"animaux"),SUMIFS('Étape 1 - à remplir'!$F$31:$F$400,'Étape 1 - à remplir'!$E$31:$E$400,MASQ2!O556,'Étape 1 - à remplir'!$P$31:$P$400,X$3)),IF(X$2="Atelier",IF(X$3="Tous",SUMIFS('Étape 1 - à remplir'!$F$31:$F$400,'Étape 1 - à remplir'!$E$31:$E$400,MASQ2!O556,'Étape 1 - à remplir'!$G$31:$G$400,"animaux"),SUMIFS('Étape 1 - à remplir'!$F$31:$F$400,'Étape 1 - à remplir'!$E$31:$E$400,MASQ2!O556,'Étape 1 - à remplir'!$O$31:$O$400,X$3)),IF(X$2="Espèce",IF(X$3="Toutes",SUMIFS('Étape 1 - à remplir'!$F$31:$F$400,'Étape 1 - à remplir'!$E$31:$E$400,MASQ2!O556,'Étape 1 - à remplir'!$G$31:$G$400,"animaux"),SUMIFS('Étape 1 - à remplir'!$F$31:$F$400,'Étape 1 - à remplir'!$E$31:$E$400,MASQ2!O556,'Étape 1 - à remplir'!$N$31:$N$400,X$3)))))))</f>
        <v>#N/A</v>
      </c>
      <c r="Q556" s="63">
        <f t="shared" si="335"/>
        <v>0</v>
      </c>
      <c r="R556" t="str">
        <f>Données_ATB!BM555</f>
        <v>Amoxicilline</v>
      </c>
      <c r="S556" t="str">
        <f>Données_ATB!BN555</f>
        <v/>
      </c>
      <c r="T556" s="63" t="str">
        <f>Données_ATB!BO555</f>
        <v/>
      </c>
      <c r="U556" s="42" t="str">
        <f>Données_ATB!BQ555</f>
        <v>Penicillines</v>
      </c>
      <c r="V556" t="str">
        <f>Données_ATB!BR555</f>
        <v/>
      </c>
      <c r="W556" s="63" t="str">
        <f>Données_ATB!BS555</f>
        <v/>
      </c>
      <c r="Z556" s="42">
        <v>553</v>
      </c>
      <c r="AA556" t="e">
        <f t="shared" si="331"/>
        <v>#N/A</v>
      </c>
      <c r="AB556" s="63" t="e">
        <f t="shared" si="332"/>
        <v>#N/A</v>
      </c>
      <c r="BT556" s="194" t="str">
        <f t="shared" ca="1" si="315"/>
        <v/>
      </c>
      <c r="BU556" s="219" t="str">
        <f>IFERROR(IF(BX556=0,"",COUNTIF(BX$4:BX$600,"&gt;"&amp;BX556)+COUNTIF(BX$4:BX556,BX556)),"")</f>
        <v/>
      </c>
      <c r="BV556" s="42" t="str">
        <f t="shared" si="316"/>
        <v>VETRIMOXIN P.O.</v>
      </c>
      <c r="BW556" t="e">
        <f>IF(IF(CE$2="Catégorie",IF(CE$3="Toutes",SUMIFS('Étape 1 - à remplir'!$F$31:$F$400,'Étape 1 - à remplir'!$E$31:$E$400,MASQ2!BV556,'Étape 1 - à remplir'!$G$31:$G$400,"lots"),SUMIFS('Étape 1 - à remplir'!$F$31:$F$400,'Étape 1 - à remplir'!$E$31:$E$400,MASQ2!BV556,'Étape 1 - à remplir'!$C$31:$C$400,CE$3)),IF(CE$2="Âge",IF(CE$3="Tous",SUMIFS('Étape 1 - à remplir'!$F$31:$F$400,'Étape 1 - à remplir'!$E$31:$E$400,MASQ2!BV556,'Étape 1 - à remplir'!$G$31:$G$400,"lots"),SUMIFS('Étape 1 - à remplir'!$F$31:$F$400,'Étape 1 - à remplir'!$E$31:$E$400,MASQ2!BV556,'Étape 1 - à remplir'!$P$31:$P$400,CE$3,'Étape 1 - à remplir'!$G$31:$G$400,"lots")),IF(CE$2="Atelier",IF(CE$3="Tous",SUMIFS('Étape 1 - à remplir'!$F$31:$F$400,'Étape 1 - à remplir'!$E$31:$E$400,MASQ2!BV556,'Étape 1 - à remplir'!$G$31:$G$400,"lots"),SUMIFS('Étape 1 - à remplir'!$F$31:$F$400,'Étape 1 - à remplir'!$E$31:$E$400,MASQ2!BV556,'Étape 1 - à remplir'!$O$31:$O$400,CE$3,'Étape 1 - à remplir'!$G$31:$G$400,"lots")),IF(CE$2="Espèce",IF(CE$3="Toutes",SUMIFS('Étape 1 - à remplir'!$F$31:$F$400,'Étape 1 - à remplir'!$E$31:$E$400,MASQ2!BV556,'Étape 1 - à remplir'!$G$31:$G$400,"lots"),SUMIFS('Étape 1 - à remplir'!$F$31:$F$400,'Étape 1 - à remplir'!$E$31:$E$400,MASQ2!BV556,'Étape 1 - à remplir'!$N$31:$N$400,CE$3,'Étape 1 - à remplir'!$G$31:$G$400,"lots"))))))=0,NA(),IF(CE$2="Catégorie",IF(CE$3="Toutes",SUMIFS('Étape 1 - à remplir'!$F$31:$F$400,'Étape 1 - à remplir'!$E$31:$E$400,MASQ2!BV556,'Étape 1 - à remplir'!$G$31:$G$400,"lots"),SUMIFS('Étape 1 - à remplir'!$F$31:$F$400,'Étape 1 - à remplir'!$E$31:$E$400,MASQ2!BV556,'Étape 1 - à remplir'!$C$31:$C$400,CE$3)),IF(CE$2="Âge",IF(CE$3="Tous",SUMIFS('Étape 1 - à remplir'!$F$31:$F$400,'Étape 1 - à remplir'!$E$31:$E$400,MASQ2!BV556,'Étape 1 - à remplir'!$G$31:$G$400,"lots"),SUMIFS('Étape 1 - à remplir'!$F$31:$F$400,'Étape 1 - à remplir'!$E$31:$E$400,MASQ2!BV556,'Étape 1 - à remplir'!$P$31:$P$400,CE$3,'Étape 1 - à remplir'!$G$31:$G$400,"lots")),IF(CE$2="Atelier",IF(CE$3="Tous",SUMIFS('Étape 1 - à remplir'!$F$31:$F$400,'Étape 1 - à remplir'!$E$31:$E$400,MASQ2!BV556,'Étape 1 - à remplir'!$G$31:$G$400,"lots"),SUMIFS('Étape 1 - à remplir'!$F$31:$F$400,'Étape 1 - à remplir'!$E$31:$E$400,MASQ2!BV556,'Étape 1 - à remplir'!$O$31:$O$400,CE$3,'Étape 1 - à remplir'!$G$31:$G$400,"lots")),IF(CE$2="Espèce",IF(CE$3="Toutes",SUMIFS('Étape 1 - à remplir'!$F$31:$F$400,'Étape 1 - à remplir'!$E$31:$E$400,MASQ2!BV556,'Étape 1 - à remplir'!$G$31:$G$400,"lots"),SUMIFS('Étape 1 - à remplir'!$F$31:$F$400,'Étape 1 - à remplir'!$E$31:$E$400,MASQ2!BV556,'Étape 1 - à remplir'!$N$31:$N$400,CE$3,'Étape 1 - à remplir'!$G$31:$G$400,"lots")))))))</f>
        <v>#N/A</v>
      </c>
      <c r="BX556">
        <f t="shared" si="333"/>
        <v>0</v>
      </c>
      <c r="BY556" t="str">
        <f t="shared" si="317"/>
        <v>Amoxicilline</v>
      </c>
      <c r="BZ556" t="str">
        <f t="shared" si="318"/>
        <v/>
      </c>
      <c r="CA556" t="str">
        <f t="shared" si="319"/>
        <v/>
      </c>
      <c r="CB556" t="str">
        <f t="shared" si="320"/>
        <v>Penicillines</v>
      </c>
      <c r="CC556" t="str">
        <f t="shared" si="321"/>
        <v/>
      </c>
      <c r="CD556" s="63" t="str">
        <f t="shared" si="322"/>
        <v/>
      </c>
      <c r="CG556" s="42">
        <v>553</v>
      </c>
      <c r="CH556" s="42" t="e">
        <f t="shared" si="338"/>
        <v>#N/A</v>
      </c>
      <c r="CI556" s="63" t="e">
        <f t="shared" si="339"/>
        <v>#N/A</v>
      </c>
      <c r="EA556" s="194" t="str">
        <f t="shared" ca="1" si="323"/>
        <v/>
      </c>
      <c r="EB556" s="226" t="str">
        <f>IFERROR(IF(ED556=0,"",COUNTIF(ED$4:ED$600,"&gt;"&amp;ED556)+COUNTIF(ED$4:ED556,ED556)),"")</f>
        <v/>
      </c>
      <c r="EC556" t="str">
        <f t="shared" si="324"/>
        <v>VETRIMOXIN P.O.</v>
      </c>
      <c r="ED556" t="e">
        <f>IF(IF(EL$2="Catégorie",IF(EL$3="Toutes",SUMIFS('Étape 1 - à remplir'!$F$31:$F$400,'Étape 1 - à remplir'!$E$31:$E$400,MASQ2!EC556,'Étape 1 - à remplir'!$G$31:$G$400,"kg"),SUMIFS('Étape 1 - à remplir'!$F$31:$F$400,'Étape 1 - à remplir'!$E$31:$E$400,MASQ2!EC556,'Étape 1 - à remplir'!$C$31:$C$400,EL$3)),IF(EL$2="Âge",IF(EL$3="Tous",SUMIFS('Étape 1 - à remplir'!$F$31:$F$400,'Étape 1 - à remplir'!$E$31:$E$400,MASQ2!EC556,'Étape 1 - à remplir'!$G$31:$G$400,"kg"),SUMIFS('Étape 1 - à remplir'!$F$31:$F$400,'Étape 1 - à remplir'!$E$31:$E$400,MASQ2!EC556,'Étape 1 - à remplir'!$P$31:$P$400,EL$3,'Étape 1 - à remplir'!$G$31:$G$400,"kg")),IF(EL$2="Atelier",IF(EL$3="Tous",SUMIFS('Étape 1 - à remplir'!$F$31:$F$400,'Étape 1 - à remplir'!$E$31:$E$400,MASQ2!EC556,'Étape 1 - à remplir'!$G$31:$G$400,"kg"),SUMIFS('Étape 1 - à remplir'!$F$31:$F$400,'Étape 1 - à remplir'!$E$31:$E$400,MASQ2!EC556,'Étape 1 - à remplir'!$O$31:$O$400,EL$3,'Étape 1 - à remplir'!$G$31:$G$400,"kg")),IF(EL$2="Espèce",IF(EL$3="Toutes",SUMIFS('Étape 1 - à remplir'!$F$31:$F$400,'Étape 1 - à remplir'!$E$31:$E$400,MASQ2!EC556,'Étape 1 - à remplir'!$G$31:$G$400,"kg"),SUMIFS('Étape 1 - à remplir'!$F$31:$F$400,'Étape 1 - à remplir'!$E$31:$E$400,MASQ2!EC556,'Étape 1 - à remplir'!$N$31:$N$400,EL$3,'Étape 1 - à remplir'!$G$31:$G$400,"kg"))))))=0,NA(),IF(EL$2="Catégorie",IF(EL$3="Toutes",SUMIFS('Étape 1 - à remplir'!$F$31:$F$400,'Étape 1 - à remplir'!$E$31:$E$400,MASQ2!EC556,'Étape 1 - à remplir'!$G$31:$G$400,"kg"),SUMIFS('Étape 1 - à remplir'!$F$31:$F$400,'Étape 1 - à remplir'!$E$31:$E$400,MASQ2!EC556,'Étape 1 - à remplir'!$C$31:$C$400,EL$3)),IF(EL$2="Âge",IF(EL$3="Tous",SUMIFS('Étape 1 - à remplir'!$F$31:$F$400,'Étape 1 - à remplir'!$E$31:$E$400,MASQ2!EC556,'Étape 1 - à remplir'!$G$31:$G$400,"kg"),SUMIFS('Étape 1 - à remplir'!$F$31:$F$400,'Étape 1 - à remplir'!$E$31:$E$400,MASQ2!EC556,'Étape 1 - à remplir'!$P$31:$P$400,EL$3,'Étape 1 - à remplir'!$G$31:$G$400,"kg")),IF(EL$2="Atelier",IF(EL$3="Tous",SUMIFS('Étape 1 - à remplir'!$F$31:$F$400,'Étape 1 - à remplir'!$E$31:$E$400,MASQ2!EC556,'Étape 1 - à remplir'!$G$31:$G$400,"kg"),SUMIFS('Étape 1 - à remplir'!$F$31:$F$400,'Étape 1 - à remplir'!$E$31:$E$400,MASQ2!EC556,'Étape 1 - à remplir'!$O$31:$O$400,EL$3,'Étape 1 - à remplir'!$G$31:$G$400,"kg")),IF(EL$2="Espèce",IF(EL$3="Toutes",SUMIFS('Étape 1 - à remplir'!$F$31:$F$400,'Étape 1 - à remplir'!$E$31:$E$400,MASQ2!EC556,'Étape 1 - à remplir'!$G$31:$G$400,"kg"),SUMIFS('Étape 1 - à remplir'!$F$31:$F$400,'Étape 1 - à remplir'!$E$31:$E$400,MASQ2!EC556,'Étape 1 - à remplir'!$N$31:$N$400,EL$3,'Étape 1 - à remplir'!$G$31:$G$400,"kg")))))))</f>
        <v>#N/A</v>
      </c>
      <c r="EE556" s="76">
        <f t="shared" si="334"/>
        <v>0</v>
      </c>
      <c r="EF556" t="str">
        <f t="shared" si="325"/>
        <v>Amoxicilline</v>
      </c>
      <c r="EG556" t="str">
        <f t="shared" si="326"/>
        <v/>
      </c>
      <c r="EH556" t="str">
        <f t="shared" si="327"/>
        <v/>
      </c>
      <c r="EI556" t="str">
        <f t="shared" si="328"/>
        <v>Penicillines</v>
      </c>
      <c r="EJ556" t="str">
        <f t="shared" si="329"/>
        <v/>
      </c>
      <c r="EK556" s="63" t="str">
        <f t="shared" si="330"/>
        <v/>
      </c>
      <c r="EN556" s="42">
        <v>553</v>
      </c>
      <c r="EO556" t="e">
        <f t="shared" si="336"/>
        <v>#N/A</v>
      </c>
      <c r="EP556" s="63" t="e">
        <f t="shared" si="337"/>
        <v>#N/A</v>
      </c>
    </row>
    <row r="557" spans="13:146" x14ac:dyDescent="0.3">
      <c r="M557" s="194" t="str">
        <f ca="1">INDEX(Données_ATB!BD:BU,MATCH(MASQ2!O557,Données_ATB!BD:BD,0),18)</f>
        <v>x</v>
      </c>
      <c r="N557" s="14" t="str">
        <f>IFERROR(IF(Q557=0,"",COUNTIF(Q$4:Q$600,"&gt;"&amp;Q557)+COUNTIF(Q$4:Q557,Q557)),"")</f>
        <v/>
      </c>
      <c r="O557" t="str">
        <f>Données_ATB!BD556</f>
        <v>VIRBACTAN</v>
      </c>
      <c r="P557" t="e">
        <f>IF(IF(X$2="Catégorie",IF(X$3="Toutes",SUMIFS('Étape 1 - à remplir'!$F$31:$F$400,'Étape 1 - à remplir'!$E$31:$E$400,MASQ2!O557,'Étape 1 - à remplir'!$G$31:$G$400,"animaux"),SUMIFS('Étape 1 - à remplir'!$F$31:$F$400,'Étape 1 - à remplir'!$E$31:$E$400,MASQ2!O557,'Étape 1 - à remplir'!$C$31:$C$400,X$3)),IF(X$2="Âge",IF(X$3="Tous",SUMIFS('Étape 1 - à remplir'!$F$31:$F$400,'Étape 1 - à remplir'!$E$31:$E$400,MASQ2!O557,'Étape 1 - à remplir'!$G$31:$G$400,"animaux"),SUMIFS('Étape 1 - à remplir'!$F$31:$F$400,'Étape 1 - à remplir'!$E$31:$E$400,MASQ2!O557,'Étape 1 - à remplir'!$P$31:$P$400,X$3)),IF(X$2="Atelier",IF(X$3="Tous",SUMIFS('Étape 1 - à remplir'!$F$31:$F$400,'Étape 1 - à remplir'!$E$31:$E$400,MASQ2!O557,'Étape 1 - à remplir'!$G$31:$G$400,"animaux"),SUMIFS('Étape 1 - à remplir'!$F$31:$F$400,'Étape 1 - à remplir'!$E$31:$E$400,MASQ2!O557,'Étape 1 - à remplir'!$O$31:$O$400,X$3)),IF(X$2="Espèce",IF(X$3="Toutes",SUMIFS('Étape 1 - à remplir'!$F$31:$F$400,'Étape 1 - à remplir'!$E$31:$E$400,MASQ2!O557,'Étape 1 - à remplir'!$G$31:$G$400,"animaux"),SUMIFS('Étape 1 - à remplir'!$F$31:$F$400,'Étape 1 - à remplir'!$E$31:$E$400,MASQ2!O557,'Étape 1 - à remplir'!$N$31:$N$400,X$3))))))=0,NA(),IF(X$2="Catégorie",IF(X$3="Toutes",SUMIFS('Étape 1 - à remplir'!$F$31:$F$400,'Étape 1 - à remplir'!$E$31:$E$400,MASQ2!O557,'Étape 1 - à remplir'!$G$31:$G$400,"animaux"),SUMIFS('Étape 1 - à remplir'!$F$31:$F$400,'Étape 1 - à remplir'!$E$31:$E$400,MASQ2!O557,'Étape 1 - à remplir'!$C$31:$C$400,X$3)),IF(X$2="Âge",IF(X$3="Tous",SUMIFS('Étape 1 - à remplir'!$F$31:$F$400,'Étape 1 - à remplir'!$E$31:$E$400,MASQ2!O557,'Étape 1 - à remplir'!$G$31:$G$400,"animaux"),SUMIFS('Étape 1 - à remplir'!$F$31:$F$400,'Étape 1 - à remplir'!$E$31:$E$400,MASQ2!O557,'Étape 1 - à remplir'!$P$31:$P$400,X$3)),IF(X$2="Atelier",IF(X$3="Tous",SUMIFS('Étape 1 - à remplir'!$F$31:$F$400,'Étape 1 - à remplir'!$E$31:$E$400,MASQ2!O557,'Étape 1 - à remplir'!$G$31:$G$400,"animaux"),SUMIFS('Étape 1 - à remplir'!$F$31:$F$400,'Étape 1 - à remplir'!$E$31:$E$400,MASQ2!O557,'Étape 1 - à remplir'!$O$31:$O$400,X$3)),IF(X$2="Espèce",IF(X$3="Toutes",SUMIFS('Étape 1 - à remplir'!$F$31:$F$400,'Étape 1 - à remplir'!$E$31:$E$400,MASQ2!O557,'Étape 1 - à remplir'!$G$31:$G$400,"animaux"),SUMIFS('Étape 1 - à remplir'!$F$31:$F$400,'Étape 1 - à remplir'!$E$31:$E$400,MASQ2!O557,'Étape 1 - à remplir'!$N$31:$N$400,X$3)))))))</f>
        <v>#N/A</v>
      </c>
      <c r="Q557" s="63">
        <f t="shared" si="335"/>
        <v>0</v>
      </c>
      <c r="R557" t="str">
        <f>Données_ATB!BM556</f>
        <v>Cefquinome</v>
      </c>
      <c r="S557" t="str">
        <f>Données_ATB!BN556</f>
        <v/>
      </c>
      <c r="T557" s="63" t="str">
        <f>Données_ATB!BO556</f>
        <v/>
      </c>
      <c r="U557" s="42" t="str">
        <f>Données_ATB!BQ556</f>
        <v>Cephalosporines 3&amp;4G</v>
      </c>
      <c r="V557" t="str">
        <f>Données_ATB!BR556</f>
        <v/>
      </c>
      <c r="W557" s="63" t="str">
        <f>Données_ATB!BS556</f>
        <v/>
      </c>
      <c r="Z557" s="42">
        <v>554</v>
      </c>
      <c r="AA557" t="e">
        <f t="shared" si="331"/>
        <v>#N/A</v>
      </c>
      <c r="AB557" s="63" t="e">
        <f t="shared" si="332"/>
        <v>#N/A</v>
      </c>
      <c r="BT557" s="194" t="str">
        <f t="shared" ca="1" si="315"/>
        <v>x</v>
      </c>
      <c r="BU557" s="219" t="str">
        <f>IFERROR(IF(BX557=0,"",COUNTIF(BX$4:BX$600,"&gt;"&amp;BX557)+COUNTIF(BX$4:BX557,BX557)),"")</f>
        <v/>
      </c>
      <c r="BV557" s="42" t="str">
        <f t="shared" si="316"/>
        <v>VIRBACTAN</v>
      </c>
      <c r="BW557" t="e">
        <f>IF(IF(CE$2="Catégorie",IF(CE$3="Toutes",SUMIFS('Étape 1 - à remplir'!$F$31:$F$400,'Étape 1 - à remplir'!$E$31:$E$400,MASQ2!BV557,'Étape 1 - à remplir'!$G$31:$G$400,"lots"),SUMIFS('Étape 1 - à remplir'!$F$31:$F$400,'Étape 1 - à remplir'!$E$31:$E$400,MASQ2!BV557,'Étape 1 - à remplir'!$C$31:$C$400,CE$3)),IF(CE$2="Âge",IF(CE$3="Tous",SUMIFS('Étape 1 - à remplir'!$F$31:$F$400,'Étape 1 - à remplir'!$E$31:$E$400,MASQ2!BV557,'Étape 1 - à remplir'!$G$31:$G$400,"lots"),SUMIFS('Étape 1 - à remplir'!$F$31:$F$400,'Étape 1 - à remplir'!$E$31:$E$400,MASQ2!BV557,'Étape 1 - à remplir'!$P$31:$P$400,CE$3,'Étape 1 - à remplir'!$G$31:$G$400,"lots")),IF(CE$2="Atelier",IF(CE$3="Tous",SUMIFS('Étape 1 - à remplir'!$F$31:$F$400,'Étape 1 - à remplir'!$E$31:$E$400,MASQ2!BV557,'Étape 1 - à remplir'!$G$31:$G$400,"lots"),SUMIFS('Étape 1 - à remplir'!$F$31:$F$400,'Étape 1 - à remplir'!$E$31:$E$400,MASQ2!BV557,'Étape 1 - à remplir'!$O$31:$O$400,CE$3,'Étape 1 - à remplir'!$G$31:$G$400,"lots")),IF(CE$2="Espèce",IF(CE$3="Toutes",SUMIFS('Étape 1 - à remplir'!$F$31:$F$400,'Étape 1 - à remplir'!$E$31:$E$400,MASQ2!BV557,'Étape 1 - à remplir'!$G$31:$G$400,"lots"),SUMIFS('Étape 1 - à remplir'!$F$31:$F$400,'Étape 1 - à remplir'!$E$31:$E$400,MASQ2!BV557,'Étape 1 - à remplir'!$N$31:$N$400,CE$3,'Étape 1 - à remplir'!$G$31:$G$400,"lots"))))))=0,NA(),IF(CE$2="Catégorie",IF(CE$3="Toutes",SUMIFS('Étape 1 - à remplir'!$F$31:$F$400,'Étape 1 - à remplir'!$E$31:$E$400,MASQ2!BV557,'Étape 1 - à remplir'!$G$31:$G$400,"lots"),SUMIFS('Étape 1 - à remplir'!$F$31:$F$400,'Étape 1 - à remplir'!$E$31:$E$400,MASQ2!BV557,'Étape 1 - à remplir'!$C$31:$C$400,CE$3)),IF(CE$2="Âge",IF(CE$3="Tous",SUMIFS('Étape 1 - à remplir'!$F$31:$F$400,'Étape 1 - à remplir'!$E$31:$E$400,MASQ2!BV557,'Étape 1 - à remplir'!$G$31:$G$400,"lots"),SUMIFS('Étape 1 - à remplir'!$F$31:$F$400,'Étape 1 - à remplir'!$E$31:$E$400,MASQ2!BV557,'Étape 1 - à remplir'!$P$31:$P$400,CE$3,'Étape 1 - à remplir'!$G$31:$G$400,"lots")),IF(CE$2="Atelier",IF(CE$3="Tous",SUMIFS('Étape 1 - à remplir'!$F$31:$F$400,'Étape 1 - à remplir'!$E$31:$E$400,MASQ2!BV557,'Étape 1 - à remplir'!$G$31:$G$400,"lots"),SUMIFS('Étape 1 - à remplir'!$F$31:$F$400,'Étape 1 - à remplir'!$E$31:$E$400,MASQ2!BV557,'Étape 1 - à remplir'!$O$31:$O$400,CE$3,'Étape 1 - à remplir'!$G$31:$G$400,"lots")),IF(CE$2="Espèce",IF(CE$3="Toutes",SUMIFS('Étape 1 - à remplir'!$F$31:$F$400,'Étape 1 - à remplir'!$E$31:$E$400,MASQ2!BV557,'Étape 1 - à remplir'!$G$31:$G$400,"lots"),SUMIFS('Étape 1 - à remplir'!$F$31:$F$400,'Étape 1 - à remplir'!$E$31:$E$400,MASQ2!BV557,'Étape 1 - à remplir'!$N$31:$N$400,CE$3,'Étape 1 - à remplir'!$G$31:$G$400,"lots")))))))</f>
        <v>#N/A</v>
      </c>
      <c r="BX557">
        <f t="shared" si="333"/>
        <v>0</v>
      </c>
      <c r="BY557" t="str">
        <f t="shared" si="317"/>
        <v>Cefquinome</v>
      </c>
      <c r="BZ557" t="str">
        <f t="shared" si="318"/>
        <v/>
      </c>
      <c r="CA557" t="str">
        <f t="shared" si="319"/>
        <v/>
      </c>
      <c r="CB557" t="str">
        <f t="shared" si="320"/>
        <v>Cephalosporines 3&amp;4G</v>
      </c>
      <c r="CC557" t="str">
        <f t="shared" si="321"/>
        <v/>
      </c>
      <c r="CD557" s="63" t="str">
        <f t="shared" si="322"/>
        <v/>
      </c>
      <c r="CG557" s="42">
        <v>554</v>
      </c>
      <c r="CH557" s="42" t="e">
        <f t="shared" si="338"/>
        <v>#N/A</v>
      </c>
      <c r="CI557" s="63" t="e">
        <f t="shared" si="339"/>
        <v>#N/A</v>
      </c>
      <c r="EA557" s="194" t="str">
        <f t="shared" ca="1" si="323"/>
        <v>x</v>
      </c>
      <c r="EB557" s="226" t="str">
        <f>IFERROR(IF(ED557=0,"",COUNTIF(ED$4:ED$600,"&gt;"&amp;ED557)+COUNTIF(ED$4:ED557,ED557)),"")</f>
        <v/>
      </c>
      <c r="EC557" t="str">
        <f t="shared" si="324"/>
        <v>VIRBACTAN</v>
      </c>
      <c r="ED557" t="e">
        <f>IF(IF(EL$2="Catégorie",IF(EL$3="Toutes",SUMIFS('Étape 1 - à remplir'!$F$31:$F$400,'Étape 1 - à remplir'!$E$31:$E$400,MASQ2!EC557,'Étape 1 - à remplir'!$G$31:$G$400,"kg"),SUMIFS('Étape 1 - à remplir'!$F$31:$F$400,'Étape 1 - à remplir'!$E$31:$E$400,MASQ2!EC557,'Étape 1 - à remplir'!$C$31:$C$400,EL$3)),IF(EL$2="Âge",IF(EL$3="Tous",SUMIFS('Étape 1 - à remplir'!$F$31:$F$400,'Étape 1 - à remplir'!$E$31:$E$400,MASQ2!EC557,'Étape 1 - à remplir'!$G$31:$G$400,"kg"),SUMIFS('Étape 1 - à remplir'!$F$31:$F$400,'Étape 1 - à remplir'!$E$31:$E$400,MASQ2!EC557,'Étape 1 - à remplir'!$P$31:$P$400,EL$3,'Étape 1 - à remplir'!$G$31:$G$400,"kg")),IF(EL$2="Atelier",IF(EL$3="Tous",SUMIFS('Étape 1 - à remplir'!$F$31:$F$400,'Étape 1 - à remplir'!$E$31:$E$400,MASQ2!EC557,'Étape 1 - à remplir'!$G$31:$G$400,"kg"),SUMIFS('Étape 1 - à remplir'!$F$31:$F$400,'Étape 1 - à remplir'!$E$31:$E$400,MASQ2!EC557,'Étape 1 - à remplir'!$O$31:$O$400,EL$3,'Étape 1 - à remplir'!$G$31:$G$400,"kg")),IF(EL$2="Espèce",IF(EL$3="Toutes",SUMIFS('Étape 1 - à remplir'!$F$31:$F$400,'Étape 1 - à remplir'!$E$31:$E$400,MASQ2!EC557,'Étape 1 - à remplir'!$G$31:$G$400,"kg"),SUMIFS('Étape 1 - à remplir'!$F$31:$F$400,'Étape 1 - à remplir'!$E$31:$E$400,MASQ2!EC557,'Étape 1 - à remplir'!$N$31:$N$400,EL$3,'Étape 1 - à remplir'!$G$31:$G$400,"kg"))))))=0,NA(),IF(EL$2="Catégorie",IF(EL$3="Toutes",SUMIFS('Étape 1 - à remplir'!$F$31:$F$400,'Étape 1 - à remplir'!$E$31:$E$400,MASQ2!EC557,'Étape 1 - à remplir'!$G$31:$G$400,"kg"),SUMIFS('Étape 1 - à remplir'!$F$31:$F$400,'Étape 1 - à remplir'!$E$31:$E$400,MASQ2!EC557,'Étape 1 - à remplir'!$C$31:$C$400,EL$3)),IF(EL$2="Âge",IF(EL$3="Tous",SUMIFS('Étape 1 - à remplir'!$F$31:$F$400,'Étape 1 - à remplir'!$E$31:$E$400,MASQ2!EC557,'Étape 1 - à remplir'!$G$31:$G$400,"kg"),SUMIFS('Étape 1 - à remplir'!$F$31:$F$400,'Étape 1 - à remplir'!$E$31:$E$400,MASQ2!EC557,'Étape 1 - à remplir'!$P$31:$P$400,EL$3,'Étape 1 - à remplir'!$G$31:$G$400,"kg")),IF(EL$2="Atelier",IF(EL$3="Tous",SUMIFS('Étape 1 - à remplir'!$F$31:$F$400,'Étape 1 - à remplir'!$E$31:$E$400,MASQ2!EC557,'Étape 1 - à remplir'!$G$31:$G$400,"kg"),SUMIFS('Étape 1 - à remplir'!$F$31:$F$400,'Étape 1 - à remplir'!$E$31:$E$400,MASQ2!EC557,'Étape 1 - à remplir'!$O$31:$O$400,EL$3,'Étape 1 - à remplir'!$G$31:$G$400,"kg")),IF(EL$2="Espèce",IF(EL$3="Toutes",SUMIFS('Étape 1 - à remplir'!$F$31:$F$400,'Étape 1 - à remplir'!$E$31:$E$400,MASQ2!EC557,'Étape 1 - à remplir'!$G$31:$G$400,"kg"),SUMIFS('Étape 1 - à remplir'!$F$31:$F$400,'Étape 1 - à remplir'!$E$31:$E$400,MASQ2!EC557,'Étape 1 - à remplir'!$N$31:$N$400,EL$3,'Étape 1 - à remplir'!$G$31:$G$400,"kg")))))))</f>
        <v>#N/A</v>
      </c>
      <c r="EE557" s="76">
        <f t="shared" si="334"/>
        <v>0</v>
      </c>
      <c r="EF557" t="str">
        <f t="shared" si="325"/>
        <v>Cefquinome</v>
      </c>
      <c r="EG557" t="str">
        <f t="shared" si="326"/>
        <v/>
      </c>
      <c r="EH557" t="str">
        <f t="shared" si="327"/>
        <v/>
      </c>
      <c r="EI557" t="str">
        <f t="shared" si="328"/>
        <v>Cephalosporines 3&amp;4G</v>
      </c>
      <c r="EJ557" t="str">
        <f t="shared" si="329"/>
        <v/>
      </c>
      <c r="EK557" s="63" t="str">
        <f t="shared" si="330"/>
        <v/>
      </c>
      <c r="EN557" s="42">
        <v>554</v>
      </c>
      <c r="EO557" t="e">
        <f t="shared" si="336"/>
        <v>#N/A</v>
      </c>
      <c r="EP557" s="63" t="e">
        <f t="shared" si="337"/>
        <v>#N/A</v>
      </c>
    </row>
    <row r="558" spans="13:146" x14ac:dyDescent="0.3">
      <c r="M558" s="194" t="str">
        <f ca="1">INDEX(Données_ATB!BD:BU,MATCH(MASQ2!O558,Données_ATB!BD:BD,0),18)</f>
        <v>x</v>
      </c>
      <c r="N558" s="14" t="str">
        <f>IFERROR(IF(Q558=0,"",COUNTIF(Q$4:Q$600,"&gt;"&amp;Q558)+COUNTIF(Q$4:Q558,Q558)),"")</f>
        <v/>
      </c>
      <c r="O558" t="str">
        <f>Données_ATB!BD557</f>
        <v>VIRGOCILLINE</v>
      </c>
      <c r="P558" t="e">
        <f>IF(IF(X$2="Catégorie",IF(X$3="Toutes",SUMIFS('Étape 1 - à remplir'!$F$31:$F$400,'Étape 1 - à remplir'!$E$31:$E$400,MASQ2!O558,'Étape 1 - à remplir'!$G$31:$G$400,"animaux"),SUMIFS('Étape 1 - à remplir'!$F$31:$F$400,'Étape 1 - à remplir'!$E$31:$E$400,MASQ2!O558,'Étape 1 - à remplir'!$C$31:$C$400,X$3)),IF(X$2="Âge",IF(X$3="Tous",SUMIFS('Étape 1 - à remplir'!$F$31:$F$400,'Étape 1 - à remplir'!$E$31:$E$400,MASQ2!O558,'Étape 1 - à remplir'!$G$31:$G$400,"animaux"),SUMIFS('Étape 1 - à remplir'!$F$31:$F$400,'Étape 1 - à remplir'!$E$31:$E$400,MASQ2!O558,'Étape 1 - à remplir'!$P$31:$P$400,X$3)),IF(X$2="Atelier",IF(X$3="Tous",SUMIFS('Étape 1 - à remplir'!$F$31:$F$400,'Étape 1 - à remplir'!$E$31:$E$400,MASQ2!O558,'Étape 1 - à remplir'!$G$31:$G$400,"animaux"),SUMIFS('Étape 1 - à remplir'!$F$31:$F$400,'Étape 1 - à remplir'!$E$31:$E$400,MASQ2!O558,'Étape 1 - à remplir'!$O$31:$O$400,X$3)),IF(X$2="Espèce",IF(X$3="Toutes",SUMIFS('Étape 1 - à remplir'!$F$31:$F$400,'Étape 1 - à remplir'!$E$31:$E$400,MASQ2!O558,'Étape 1 - à remplir'!$G$31:$G$400,"animaux"),SUMIFS('Étape 1 - à remplir'!$F$31:$F$400,'Étape 1 - à remplir'!$E$31:$E$400,MASQ2!O558,'Étape 1 - à remplir'!$N$31:$N$400,X$3))))))=0,NA(),IF(X$2="Catégorie",IF(X$3="Toutes",SUMIFS('Étape 1 - à remplir'!$F$31:$F$400,'Étape 1 - à remplir'!$E$31:$E$400,MASQ2!O558,'Étape 1 - à remplir'!$G$31:$G$400,"animaux"),SUMIFS('Étape 1 - à remplir'!$F$31:$F$400,'Étape 1 - à remplir'!$E$31:$E$400,MASQ2!O558,'Étape 1 - à remplir'!$C$31:$C$400,X$3)),IF(X$2="Âge",IF(X$3="Tous",SUMIFS('Étape 1 - à remplir'!$F$31:$F$400,'Étape 1 - à remplir'!$E$31:$E$400,MASQ2!O558,'Étape 1 - à remplir'!$G$31:$G$400,"animaux"),SUMIFS('Étape 1 - à remplir'!$F$31:$F$400,'Étape 1 - à remplir'!$E$31:$E$400,MASQ2!O558,'Étape 1 - à remplir'!$P$31:$P$400,X$3)),IF(X$2="Atelier",IF(X$3="Tous",SUMIFS('Étape 1 - à remplir'!$F$31:$F$400,'Étape 1 - à remplir'!$E$31:$E$400,MASQ2!O558,'Étape 1 - à remplir'!$G$31:$G$400,"animaux"),SUMIFS('Étape 1 - à remplir'!$F$31:$F$400,'Étape 1 - à remplir'!$E$31:$E$400,MASQ2!O558,'Étape 1 - à remplir'!$O$31:$O$400,X$3)),IF(X$2="Espèce",IF(X$3="Toutes",SUMIFS('Étape 1 - à remplir'!$F$31:$F$400,'Étape 1 - à remplir'!$E$31:$E$400,MASQ2!O558,'Étape 1 - à remplir'!$G$31:$G$400,"animaux"),SUMIFS('Étape 1 - à remplir'!$F$31:$F$400,'Étape 1 - à remplir'!$E$31:$E$400,MASQ2!O558,'Étape 1 - à remplir'!$N$31:$N$400,X$3)))))))</f>
        <v>#N/A</v>
      </c>
      <c r="Q558" s="63">
        <f t="shared" si="335"/>
        <v>0</v>
      </c>
      <c r="R558" t="str">
        <f>Données_ATB!BM557</f>
        <v>Colistine</v>
      </c>
      <c r="S558" t="str">
        <f>Données_ATB!BN557</f>
        <v/>
      </c>
      <c r="T558" s="63" t="str">
        <f>Données_ATB!BO557</f>
        <v/>
      </c>
      <c r="U558" s="42" t="str">
        <f>Données_ATB!BQ557</f>
        <v>Polypeptides</v>
      </c>
      <c r="V558" t="str">
        <f>Données_ATB!BR557</f>
        <v/>
      </c>
      <c r="W558" s="63" t="str">
        <f>Données_ATB!BS557</f>
        <v/>
      </c>
      <c r="Z558" s="42">
        <v>555</v>
      </c>
      <c r="AA558" t="e">
        <f t="shared" si="331"/>
        <v>#N/A</v>
      </c>
      <c r="AB558" s="63" t="e">
        <f t="shared" si="332"/>
        <v>#N/A</v>
      </c>
      <c r="BT558" s="194" t="str">
        <f t="shared" ca="1" si="315"/>
        <v>x</v>
      </c>
      <c r="BU558" s="219" t="str">
        <f>IFERROR(IF(BX558=0,"",COUNTIF(BX$4:BX$600,"&gt;"&amp;BX558)+COUNTIF(BX$4:BX558,BX558)),"")</f>
        <v/>
      </c>
      <c r="BV558" s="42" t="str">
        <f t="shared" si="316"/>
        <v>VIRGOCILLINE</v>
      </c>
      <c r="BW558" t="e">
        <f>IF(IF(CE$2="Catégorie",IF(CE$3="Toutes",SUMIFS('Étape 1 - à remplir'!$F$31:$F$400,'Étape 1 - à remplir'!$E$31:$E$400,MASQ2!BV558,'Étape 1 - à remplir'!$G$31:$G$400,"lots"),SUMIFS('Étape 1 - à remplir'!$F$31:$F$400,'Étape 1 - à remplir'!$E$31:$E$400,MASQ2!BV558,'Étape 1 - à remplir'!$C$31:$C$400,CE$3)),IF(CE$2="Âge",IF(CE$3="Tous",SUMIFS('Étape 1 - à remplir'!$F$31:$F$400,'Étape 1 - à remplir'!$E$31:$E$400,MASQ2!BV558,'Étape 1 - à remplir'!$G$31:$G$400,"lots"),SUMIFS('Étape 1 - à remplir'!$F$31:$F$400,'Étape 1 - à remplir'!$E$31:$E$400,MASQ2!BV558,'Étape 1 - à remplir'!$P$31:$P$400,CE$3,'Étape 1 - à remplir'!$G$31:$G$400,"lots")),IF(CE$2="Atelier",IF(CE$3="Tous",SUMIFS('Étape 1 - à remplir'!$F$31:$F$400,'Étape 1 - à remplir'!$E$31:$E$400,MASQ2!BV558,'Étape 1 - à remplir'!$G$31:$G$400,"lots"),SUMIFS('Étape 1 - à remplir'!$F$31:$F$400,'Étape 1 - à remplir'!$E$31:$E$400,MASQ2!BV558,'Étape 1 - à remplir'!$O$31:$O$400,CE$3,'Étape 1 - à remplir'!$G$31:$G$400,"lots")),IF(CE$2="Espèce",IF(CE$3="Toutes",SUMIFS('Étape 1 - à remplir'!$F$31:$F$400,'Étape 1 - à remplir'!$E$31:$E$400,MASQ2!BV558,'Étape 1 - à remplir'!$G$31:$G$400,"lots"),SUMIFS('Étape 1 - à remplir'!$F$31:$F$400,'Étape 1 - à remplir'!$E$31:$E$400,MASQ2!BV558,'Étape 1 - à remplir'!$N$31:$N$400,CE$3,'Étape 1 - à remplir'!$G$31:$G$400,"lots"))))))=0,NA(),IF(CE$2="Catégorie",IF(CE$3="Toutes",SUMIFS('Étape 1 - à remplir'!$F$31:$F$400,'Étape 1 - à remplir'!$E$31:$E$400,MASQ2!BV558,'Étape 1 - à remplir'!$G$31:$G$400,"lots"),SUMIFS('Étape 1 - à remplir'!$F$31:$F$400,'Étape 1 - à remplir'!$E$31:$E$400,MASQ2!BV558,'Étape 1 - à remplir'!$C$31:$C$400,CE$3)),IF(CE$2="Âge",IF(CE$3="Tous",SUMIFS('Étape 1 - à remplir'!$F$31:$F$400,'Étape 1 - à remplir'!$E$31:$E$400,MASQ2!BV558,'Étape 1 - à remplir'!$G$31:$G$400,"lots"),SUMIFS('Étape 1 - à remplir'!$F$31:$F$400,'Étape 1 - à remplir'!$E$31:$E$400,MASQ2!BV558,'Étape 1 - à remplir'!$P$31:$P$400,CE$3,'Étape 1 - à remplir'!$G$31:$G$400,"lots")),IF(CE$2="Atelier",IF(CE$3="Tous",SUMIFS('Étape 1 - à remplir'!$F$31:$F$400,'Étape 1 - à remplir'!$E$31:$E$400,MASQ2!BV558,'Étape 1 - à remplir'!$G$31:$G$400,"lots"),SUMIFS('Étape 1 - à remplir'!$F$31:$F$400,'Étape 1 - à remplir'!$E$31:$E$400,MASQ2!BV558,'Étape 1 - à remplir'!$O$31:$O$400,CE$3,'Étape 1 - à remplir'!$G$31:$G$400,"lots")),IF(CE$2="Espèce",IF(CE$3="Toutes",SUMIFS('Étape 1 - à remplir'!$F$31:$F$400,'Étape 1 - à remplir'!$E$31:$E$400,MASQ2!BV558,'Étape 1 - à remplir'!$G$31:$G$400,"lots"),SUMIFS('Étape 1 - à remplir'!$F$31:$F$400,'Étape 1 - à remplir'!$E$31:$E$400,MASQ2!BV558,'Étape 1 - à remplir'!$N$31:$N$400,CE$3,'Étape 1 - à remplir'!$G$31:$G$400,"lots")))))))</f>
        <v>#N/A</v>
      </c>
      <c r="BX558">
        <f t="shared" si="333"/>
        <v>0</v>
      </c>
      <c r="BY558" t="str">
        <f t="shared" si="317"/>
        <v>Colistine</v>
      </c>
      <c r="BZ558" t="str">
        <f t="shared" si="318"/>
        <v/>
      </c>
      <c r="CA558" t="str">
        <f t="shared" si="319"/>
        <v/>
      </c>
      <c r="CB558" t="str">
        <f t="shared" si="320"/>
        <v>Polypeptides</v>
      </c>
      <c r="CC558" t="str">
        <f t="shared" si="321"/>
        <v/>
      </c>
      <c r="CD558" s="63" t="str">
        <f t="shared" si="322"/>
        <v/>
      </c>
      <c r="CG558" s="42">
        <v>555</v>
      </c>
      <c r="CH558" s="42" t="e">
        <f t="shared" si="338"/>
        <v>#N/A</v>
      </c>
      <c r="CI558" s="63" t="e">
        <f t="shared" si="339"/>
        <v>#N/A</v>
      </c>
      <c r="EA558" s="194" t="str">
        <f t="shared" ca="1" si="323"/>
        <v>x</v>
      </c>
      <c r="EB558" s="226" t="str">
        <f>IFERROR(IF(ED558=0,"",COUNTIF(ED$4:ED$600,"&gt;"&amp;ED558)+COUNTIF(ED$4:ED558,ED558)),"")</f>
        <v/>
      </c>
      <c r="EC558" t="str">
        <f t="shared" si="324"/>
        <v>VIRGOCILLINE</v>
      </c>
      <c r="ED558" t="e">
        <f>IF(IF(EL$2="Catégorie",IF(EL$3="Toutes",SUMIFS('Étape 1 - à remplir'!$F$31:$F$400,'Étape 1 - à remplir'!$E$31:$E$400,MASQ2!EC558,'Étape 1 - à remplir'!$G$31:$G$400,"kg"),SUMIFS('Étape 1 - à remplir'!$F$31:$F$400,'Étape 1 - à remplir'!$E$31:$E$400,MASQ2!EC558,'Étape 1 - à remplir'!$C$31:$C$400,EL$3)),IF(EL$2="Âge",IF(EL$3="Tous",SUMIFS('Étape 1 - à remplir'!$F$31:$F$400,'Étape 1 - à remplir'!$E$31:$E$400,MASQ2!EC558,'Étape 1 - à remplir'!$G$31:$G$400,"kg"),SUMIFS('Étape 1 - à remplir'!$F$31:$F$400,'Étape 1 - à remplir'!$E$31:$E$400,MASQ2!EC558,'Étape 1 - à remplir'!$P$31:$P$400,EL$3,'Étape 1 - à remplir'!$G$31:$G$400,"kg")),IF(EL$2="Atelier",IF(EL$3="Tous",SUMIFS('Étape 1 - à remplir'!$F$31:$F$400,'Étape 1 - à remplir'!$E$31:$E$400,MASQ2!EC558,'Étape 1 - à remplir'!$G$31:$G$400,"kg"),SUMIFS('Étape 1 - à remplir'!$F$31:$F$400,'Étape 1 - à remplir'!$E$31:$E$400,MASQ2!EC558,'Étape 1 - à remplir'!$O$31:$O$400,EL$3,'Étape 1 - à remplir'!$G$31:$G$400,"kg")),IF(EL$2="Espèce",IF(EL$3="Toutes",SUMIFS('Étape 1 - à remplir'!$F$31:$F$400,'Étape 1 - à remplir'!$E$31:$E$400,MASQ2!EC558,'Étape 1 - à remplir'!$G$31:$G$400,"kg"),SUMIFS('Étape 1 - à remplir'!$F$31:$F$400,'Étape 1 - à remplir'!$E$31:$E$400,MASQ2!EC558,'Étape 1 - à remplir'!$N$31:$N$400,EL$3,'Étape 1 - à remplir'!$G$31:$G$400,"kg"))))))=0,NA(),IF(EL$2="Catégorie",IF(EL$3="Toutes",SUMIFS('Étape 1 - à remplir'!$F$31:$F$400,'Étape 1 - à remplir'!$E$31:$E$400,MASQ2!EC558,'Étape 1 - à remplir'!$G$31:$G$400,"kg"),SUMIFS('Étape 1 - à remplir'!$F$31:$F$400,'Étape 1 - à remplir'!$E$31:$E$400,MASQ2!EC558,'Étape 1 - à remplir'!$C$31:$C$400,EL$3)),IF(EL$2="Âge",IF(EL$3="Tous",SUMIFS('Étape 1 - à remplir'!$F$31:$F$400,'Étape 1 - à remplir'!$E$31:$E$400,MASQ2!EC558,'Étape 1 - à remplir'!$G$31:$G$400,"kg"),SUMIFS('Étape 1 - à remplir'!$F$31:$F$400,'Étape 1 - à remplir'!$E$31:$E$400,MASQ2!EC558,'Étape 1 - à remplir'!$P$31:$P$400,EL$3,'Étape 1 - à remplir'!$G$31:$G$400,"kg")),IF(EL$2="Atelier",IF(EL$3="Tous",SUMIFS('Étape 1 - à remplir'!$F$31:$F$400,'Étape 1 - à remplir'!$E$31:$E$400,MASQ2!EC558,'Étape 1 - à remplir'!$G$31:$G$400,"kg"),SUMIFS('Étape 1 - à remplir'!$F$31:$F$400,'Étape 1 - à remplir'!$E$31:$E$400,MASQ2!EC558,'Étape 1 - à remplir'!$O$31:$O$400,EL$3,'Étape 1 - à remplir'!$G$31:$G$400,"kg")),IF(EL$2="Espèce",IF(EL$3="Toutes",SUMIFS('Étape 1 - à remplir'!$F$31:$F$400,'Étape 1 - à remplir'!$E$31:$E$400,MASQ2!EC558,'Étape 1 - à remplir'!$G$31:$G$400,"kg"),SUMIFS('Étape 1 - à remplir'!$F$31:$F$400,'Étape 1 - à remplir'!$E$31:$E$400,MASQ2!EC558,'Étape 1 - à remplir'!$N$31:$N$400,EL$3,'Étape 1 - à remplir'!$G$31:$G$400,"kg")))))))</f>
        <v>#N/A</v>
      </c>
      <c r="EE558" s="76">
        <f t="shared" si="334"/>
        <v>0</v>
      </c>
      <c r="EF558" t="str">
        <f t="shared" si="325"/>
        <v>Colistine</v>
      </c>
      <c r="EG558" t="str">
        <f t="shared" si="326"/>
        <v/>
      </c>
      <c r="EH558" t="str">
        <f t="shared" si="327"/>
        <v/>
      </c>
      <c r="EI558" t="str">
        <f t="shared" si="328"/>
        <v>Polypeptides</v>
      </c>
      <c r="EJ558" t="str">
        <f t="shared" si="329"/>
        <v/>
      </c>
      <c r="EK558" s="63" t="str">
        <f t="shared" si="330"/>
        <v/>
      </c>
      <c r="EN558" s="42">
        <v>555</v>
      </c>
      <c r="EO558" t="e">
        <f t="shared" si="336"/>
        <v>#N/A</v>
      </c>
      <c r="EP558" s="63" t="e">
        <f t="shared" si="337"/>
        <v>#N/A</v>
      </c>
    </row>
    <row r="559" spans="13:146" x14ac:dyDescent="0.3">
      <c r="M559" s="194" t="str">
        <f ca="1">INDEX(Données_ATB!BD:BU,MATCH(MASQ2!O559,Données_ATB!BD:BD,0),18)</f>
        <v/>
      </c>
      <c r="N559" s="14" t="str">
        <f>IFERROR(IF(Q559=0,"",COUNTIF(Q$4:Q$600,"&gt;"&amp;Q559)+COUNTIF(Q$4:Q559,Q559)),"")</f>
        <v/>
      </c>
      <c r="O559" t="str">
        <f>Données_ATB!BD558</f>
        <v>VOLACRINE SULFA</v>
      </c>
      <c r="P559" t="e">
        <f>IF(IF(X$2="Catégorie",IF(X$3="Toutes",SUMIFS('Étape 1 - à remplir'!$F$31:$F$400,'Étape 1 - à remplir'!$E$31:$E$400,MASQ2!O559,'Étape 1 - à remplir'!$G$31:$G$400,"animaux"),SUMIFS('Étape 1 - à remplir'!$F$31:$F$400,'Étape 1 - à remplir'!$E$31:$E$400,MASQ2!O559,'Étape 1 - à remplir'!$C$31:$C$400,X$3)),IF(X$2="Âge",IF(X$3="Tous",SUMIFS('Étape 1 - à remplir'!$F$31:$F$400,'Étape 1 - à remplir'!$E$31:$E$400,MASQ2!O559,'Étape 1 - à remplir'!$G$31:$G$400,"animaux"),SUMIFS('Étape 1 - à remplir'!$F$31:$F$400,'Étape 1 - à remplir'!$E$31:$E$400,MASQ2!O559,'Étape 1 - à remplir'!$P$31:$P$400,X$3)),IF(X$2="Atelier",IF(X$3="Tous",SUMIFS('Étape 1 - à remplir'!$F$31:$F$400,'Étape 1 - à remplir'!$E$31:$E$400,MASQ2!O559,'Étape 1 - à remplir'!$G$31:$G$400,"animaux"),SUMIFS('Étape 1 - à remplir'!$F$31:$F$400,'Étape 1 - à remplir'!$E$31:$E$400,MASQ2!O559,'Étape 1 - à remplir'!$O$31:$O$400,X$3)),IF(X$2="Espèce",IF(X$3="Toutes",SUMIFS('Étape 1 - à remplir'!$F$31:$F$400,'Étape 1 - à remplir'!$E$31:$E$400,MASQ2!O559,'Étape 1 - à remplir'!$G$31:$G$400,"animaux"),SUMIFS('Étape 1 - à remplir'!$F$31:$F$400,'Étape 1 - à remplir'!$E$31:$E$400,MASQ2!O559,'Étape 1 - à remplir'!$N$31:$N$400,X$3))))))=0,NA(),IF(X$2="Catégorie",IF(X$3="Toutes",SUMIFS('Étape 1 - à remplir'!$F$31:$F$400,'Étape 1 - à remplir'!$E$31:$E$400,MASQ2!O559,'Étape 1 - à remplir'!$G$31:$G$400,"animaux"),SUMIFS('Étape 1 - à remplir'!$F$31:$F$400,'Étape 1 - à remplir'!$E$31:$E$400,MASQ2!O559,'Étape 1 - à remplir'!$C$31:$C$400,X$3)),IF(X$2="Âge",IF(X$3="Tous",SUMIFS('Étape 1 - à remplir'!$F$31:$F$400,'Étape 1 - à remplir'!$E$31:$E$400,MASQ2!O559,'Étape 1 - à remplir'!$G$31:$G$400,"animaux"),SUMIFS('Étape 1 - à remplir'!$F$31:$F$400,'Étape 1 - à remplir'!$E$31:$E$400,MASQ2!O559,'Étape 1 - à remplir'!$P$31:$P$400,X$3)),IF(X$2="Atelier",IF(X$3="Tous",SUMIFS('Étape 1 - à remplir'!$F$31:$F$400,'Étape 1 - à remplir'!$E$31:$E$400,MASQ2!O559,'Étape 1 - à remplir'!$G$31:$G$400,"animaux"),SUMIFS('Étape 1 - à remplir'!$F$31:$F$400,'Étape 1 - à remplir'!$E$31:$E$400,MASQ2!O559,'Étape 1 - à remplir'!$O$31:$O$400,X$3)),IF(X$2="Espèce",IF(X$3="Toutes",SUMIFS('Étape 1 - à remplir'!$F$31:$F$400,'Étape 1 - à remplir'!$E$31:$E$400,MASQ2!O559,'Étape 1 - à remplir'!$G$31:$G$400,"animaux"),SUMIFS('Étape 1 - à remplir'!$F$31:$F$400,'Étape 1 - à remplir'!$E$31:$E$400,MASQ2!O559,'Étape 1 - à remplir'!$N$31:$N$400,X$3)))))))</f>
        <v>#N/A</v>
      </c>
      <c r="Q559" s="63">
        <f t="shared" si="335"/>
        <v>0</v>
      </c>
      <c r="R559" t="str">
        <f>Données_ATB!BM558</f>
        <v>Sulfadimidine</v>
      </c>
      <c r="S559" t="str">
        <f>Données_ATB!BN558</f>
        <v>Sulfaquinoxaline</v>
      </c>
      <c r="T559" s="63" t="str">
        <f>Données_ATB!BO558</f>
        <v/>
      </c>
      <c r="U559" s="42" t="str">
        <f>Données_ATB!BQ558</f>
        <v>Sulfamides</v>
      </c>
      <c r="V559" t="str">
        <f>Données_ATB!BR558</f>
        <v>Sulfamides</v>
      </c>
      <c r="W559" s="63" t="str">
        <f>Données_ATB!BS558</f>
        <v/>
      </c>
      <c r="Z559" s="42">
        <v>556</v>
      </c>
      <c r="AA559" t="e">
        <f t="shared" si="331"/>
        <v>#N/A</v>
      </c>
      <c r="AB559" s="63" t="e">
        <f t="shared" si="332"/>
        <v>#N/A</v>
      </c>
      <c r="BT559" s="194" t="str">
        <f t="shared" ca="1" si="315"/>
        <v/>
      </c>
      <c r="BU559" s="219" t="str">
        <f>IFERROR(IF(BX559=0,"",COUNTIF(BX$4:BX$600,"&gt;"&amp;BX559)+COUNTIF(BX$4:BX559,BX559)),"")</f>
        <v/>
      </c>
      <c r="BV559" s="42" t="str">
        <f t="shared" si="316"/>
        <v>VOLACRINE SULFA</v>
      </c>
      <c r="BW559" t="e">
        <f>IF(IF(CE$2="Catégorie",IF(CE$3="Toutes",SUMIFS('Étape 1 - à remplir'!$F$31:$F$400,'Étape 1 - à remplir'!$E$31:$E$400,MASQ2!BV559,'Étape 1 - à remplir'!$G$31:$G$400,"lots"),SUMIFS('Étape 1 - à remplir'!$F$31:$F$400,'Étape 1 - à remplir'!$E$31:$E$400,MASQ2!BV559,'Étape 1 - à remplir'!$C$31:$C$400,CE$3)),IF(CE$2="Âge",IF(CE$3="Tous",SUMIFS('Étape 1 - à remplir'!$F$31:$F$400,'Étape 1 - à remplir'!$E$31:$E$400,MASQ2!BV559,'Étape 1 - à remplir'!$G$31:$G$400,"lots"),SUMIFS('Étape 1 - à remplir'!$F$31:$F$400,'Étape 1 - à remplir'!$E$31:$E$400,MASQ2!BV559,'Étape 1 - à remplir'!$P$31:$P$400,CE$3,'Étape 1 - à remplir'!$G$31:$G$400,"lots")),IF(CE$2="Atelier",IF(CE$3="Tous",SUMIFS('Étape 1 - à remplir'!$F$31:$F$400,'Étape 1 - à remplir'!$E$31:$E$400,MASQ2!BV559,'Étape 1 - à remplir'!$G$31:$G$400,"lots"),SUMIFS('Étape 1 - à remplir'!$F$31:$F$400,'Étape 1 - à remplir'!$E$31:$E$400,MASQ2!BV559,'Étape 1 - à remplir'!$O$31:$O$400,CE$3,'Étape 1 - à remplir'!$G$31:$G$400,"lots")),IF(CE$2="Espèce",IF(CE$3="Toutes",SUMIFS('Étape 1 - à remplir'!$F$31:$F$400,'Étape 1 - à remplir'!$E$31:$E$400,MASQ2!BV559,'Étape 1 - à remplir'!$G$31:$G$400,"lots"),SUMIFS('Étape 1 - à remplir'!$F$31:$F$400,'Étape 1 - à remplir'!$E$31:$E$400,MASQ2!BV559,'Étape 1 - à remplir'!$N$31:$N$400,CE$3,'Étape 1 - à remplir'!$G$31:$G$400,"lots"))))))=0,NA(),IF(CE$2="Catégorie",IF(CE$3="Toutes",SUMIFS('Étape 1 - à remplir'!$F$31:$F$400,'Étape 1 - à remplir'!$E$31:$E$400,MASQ2!BV559,'Étape 1 - à remplir'!$G$31:$G$400,"lots"),SUMIFS('Étape 1 - à remplir'!$F$31:$F$400,'Étape 1 - à remplir'!$E$31:$E$400,MASQ2!BV559,'Étape 1 - à remplir'!$C$31:$C$400,CE$3)),IF(CE$2="Âge",IF(CE$3="Tous",SUMIFS('Étape 1 - à remplir'!$F$31:$F$400,'Étape 1 - à remplir'!$E$31:$E$400,MASQ2!BV559,'Étape 1 - à remplir'!$G$31:$G$400,"lots"),SUMIFS('Étape 1 - à remplir'!$F$31:$F$400,'Étape 1 - à remplir'!$E$31:$E$400,MASQ2!BV559,'Étape 1 - à remplir'!$P$31:$P$400,CE$3,'Étape 1 - à remplir'!$G$31:$G$400,"lots")),IF(CE$2="Atelier",IF(CE$3="Tous",SUMIFS('Étape 1 - à remplir'!$F$31:$F$400,'Étape 1 - à remplir'!$E$31:$E$400,MASQ2!BV559,'Étape 1 - à remplir'!$G$31:$G$400,"lots"),SUMIFS('Étape 1 - à remplir'!$F$31:$F$400,'Étape 1 - à remplir'!$E$31:$E$400,MASQ2!BV559,'Étape 1 - à remplir'!$O$31:$O$400,CE$3,'Étape 1 - à remplir'!$G$31:$G$400,"lots")),IF(CE$2="Espèce",IF(CE$3="Toutes",SUMIFS('Étape 1 - à remplir'!$F$31:$F$400,'Étape 1 - à remplir'!$E$31:$E$400,MASQ2!BV559,'Étape 1 - à remplir'!$G$31:$G$400,"lots"),SUMIFS('Étape 1 - à remplir'!$F$31:$F$400,'Étape 1 - à remplir'!$E$31:$E$400,MASQ2!BV559,'Étape 1 - à remplir'!$N$31:$N$400,CE$3,'Étape 1 - à remplir'!$G$31:$G$400,"lots")))))))</f>
        <v>#N/A</v>
      </c>
      <c r="BX559">
        <f t="shared" si="333"/>
        <v>0</v>
      </c>
      <c r="BY559" t="str">
        <f t="shared" si="317"/>
        <v>Sulfadimidine</v>
      </c>
      <c r="BZ559" t="str">
        <f t="shared" si="318"/>
        <v>Sulfaquinoxaline</v>
      </c>
      <c r="CA559" t="str">
        <f t="shared" si="319"/>
        <v/>
      </c>
      <c r="CB559" t="str">
        <f t="shared" si="320"/>
        <v>Sulfamides</v>
      </c>
      <c r="CC559" t="str">
        <f t="shared" si="321"/>
        <v>Sulfamides</v>
      </c>
      <c r="CD559" s="63" t="str">
        <f t="shared" si="322"/>
        <v/>
      </c>
      <c r="CG559" s="42">
        <v>556</v>
      </c>
      <c r="CH559" s="42" t="e">
        <f t="shared" si="338"/>
        <v>#N/A</v>
      </c>
      <c r="CI559" s="63" t="e">
        <f t="shared" si="339"/>
        <v>#N/A</v>
      </c>
      <c r="EA559" s="194" t="str">
        <f t="shared" ca="1" si="323"/>
        <v/>
      </c>
      <c r="EB559" s="226" t="str">
        <f>IFERROR(IF(ED559=0,"",COUNTIF(ED$4:ED$600,"&gt;"&amp;ED559)+COUNTIF(ED$4:ED559,ED559)),"")</f>
        <v/>
      </c>
      <c r="EC559" t="str">
        <f t="shared" si="324"/>
        <v>VOLACRINE SULFA</v>
      </c>
      <c r="ED559" t="e">
        <f>IF(IF(EL$2="Catégorie",IF(EL$3="Toutes",SUMIFS('Étape 1 - à remplir'!$F$31:$F$400,'Étape 1 - à remplir'!$E$31:$E$400,MASQ2!EC559,'Étape 1 - à remplir'!$G$31:$G$400,"kg"),SUMIFS('Étape 1 - à remplir'!$F$31:$F$400,'Étape 1 - à remplir'!$E$31:$E$400,MASQ2!EC559,'Étape 1 - à remplir'!$C$31:$C$400,EL$3)),IF(EL$2="Âge",IF(EL$3="Tous",SUMIFS('Étape 1 - à remplir'!$F$31:$F$400,'Étape 1 - à remplir'!$E$31:$E$400,MASQ2!EC559,'Étape 1 - à remplir'!$G$31:$G$400,"kg"),SUMIFS('Étape 1 - à remplir'!$F$31:$F$400,'Étape 1 - à remplir'!$E$31:$E$400,MASQ2!EC559,'Étape 1 - à remplir'!$P$31:$P$400,EL$3,'Étape 1 - à remplir'!$G$31:$G$400,"kg")),IF(EL$2="Atelier",IF(EL$3="Tous",SUMIFS('Étape 1 - à remplir'!$F$31:$F$400,'Étape 1 - à remplir'!$E$31:$E$400,MASQ2!EC559,'Étape 1 - à remplir'!$G$31:$G$400,"kg"),SUMIFS('Étape 1 - à remplir'!$F$31:$F$400,'Étape 1 - à remplir'!$E$31:$E$400,MASQ2!EC559,'Étape 1 - à remplir'!$O$31:$O$400,EL$3,'Étape 1 - à remplir'!$G$31:$G$400,"kg")),IF(EL$2="Espèce",IF(EL$3="Toutes",SUMIFS('Étape 1 - à remplir'!$F$31:$F$400,'Étape 1 - à remplir'!$E$31:$E$400,MASQ2!EC559,'Étape 1 - à remplir'!$G$31:$G$400,"kg"),SUMIFS('Étape 1 - à remplir'!$F$31:$F$400,'Étape 1 - à remplir'!$E$31:$E$400,MASQ2!EC559,'Étape 1 - à remplir'!$N$31:$N$400,EL$3,'Étape 1 - à remplir'!$G$31:$G$400,"kg"))))))=0,NA(),IF(EL$2="Catégorie",IF(EL$3="Toutes",SUMIFS('Étape 1 - à remplir'!$F$31:$F$400,'Étape 1 - à remplir'!$E$31:$E$400,MASQ2!EC559,'Étape 1 - à remplir'!$G$31:$G$400,"kg"),SUMIFS('Étape 1 - à remplir'!$F$31:$F$400,'Étape 1 - à remplir'!$E$31:$E$400,MASQ2!EC559,'Étape 1 - à remplir'!$C$31:$C$400,EL$3)),IF(EL$2="Âge",IF(EL$3="Tous",SUMIFS('Étape 1 - à remplir'!$F$31:$F$400,'Étape 1 - à remplir'!$E$31:$E$400,MASQ2!EC559,'Étape 1 - à remplir'!$G$31:$G$400,"kg"),SUMIFS('Étape 1 - à remplir'!$F$31:$F$400,'Étape 1 - à remplir'!$E$31:$E$400,MASQ2!EC559,'Étape 1 - à remplir'!$P$31:$P$400,EL$3,'Étape 1 - à remplir'!$G$31:$G$400,"kg")),IF(EL$2="Atelier",IF(EL$3="Tous",SUMIFS('Étape 1 - à remplir'!$F$31:$F$400,'Étape 1 - à remplir'!$E$31:$E$400,MASQ2!EC559,'Étape 1 - à remplir'!$G$31:$G$400,"kg"),SUMIFS('Étape 1 - à remplir'!$F$31:$F$400,'Étape 1 - à remplir'!$E$31:$E$400,MASQ2!EC559,'Étape 1 - à remplir'!$O$31:$O$400,EL$3,'Étape 1 - à remplir'!$G$31:$G$400,"kg")),IF(EL$2="Espèce",IF(EL$3="Toutes",SUMIFS('Étape 1 - à remplir'!$F$31:$F$400,'Étape 1 - à remplir'!$E$31:$E$400,MASQ2!EC559,'Étape 1 - à remplir'!$G$31:$G$400,"kg"),SUMIFS('Étape 1 - à remplir'!$F$31:$F$400,'Étape 1 - à remplir'!$E$31:$E$400,MASQ2!EC559,'Étape 1 - à remplir'!$N$31:$N$400,EL$3,'Étape 1 - à remplir'!$G$31:$G$400,"kg")))))))</f>
        <v>#N/A</v>
      </c>
      <c r="EE559" s="76">
        <f t="shared" si="334"/>
        <v>0</v>
      </c>
      <c r="EF559" t="str">
        <f t="shared" si="325"/>
        <v>Sulfadimidine</v>
      </c>
      <c r="EG559" t="str">
        <f t="shared" si="326"/>
        <v>Sulfaquinoxaline</v>
      </c>
      <c r="EH559" t="str">
        <f t="shared" si="327"/>
        <v/>
      </c>
      <c r="EI559" t="str">
        <f t="shared" si="328"/>
        <v>Sulfamides</v>
      </c>
      <c r="EJ559" t="str">
        <f t="shared" si="329"/>
        <v>Sulfamides</v>
      </c>
      <c r="EK559" s="63" t="str">
        <f t="shared" si="330"/>
        <v/>
      </c>
      <c r="EN559" s="42">
        <v>556</v>
      </c>
      <c r="EO559" t="e">
        <f t="shared" si="336"/>
        <v>#N/A</v>
      </c>
      <c r="EP559" s="63" t="e">
        <f t="shared" si="337"/>
        <v>#N/A</v>
      </c>
    </row>
    <row r="560" spans="13:146" x14ac:dyDescent="0.3">
      <c r="M560" s="194" t="str">
        <f ca="1">INDEX(Données_ATB!BD:BU,MATCH(MASQ2!O560,Données_ATB!BD:BD,0),18)</f>
        <v/>
      </c>
      <c r="N560" s="14" t="str">
        <f>IFERROR(IF(Q560=0,"",COUNTIF(Q$4:Q$600,"&gt;"&amp;Q560)+COUNTIF(Q$4:Q560,Q560)),"")</f>
        <v/>
      </c>
      <c r="O560" t="str">
        <f>Données_ATB!BD559</f>
        <v>ZACTRAN 150 MG/ML SOLUTION INJECTABLE POUR BOVINS OVINS ET PORCINS</v>
      </c>
      <c r="P560" t="e">
        <f>IF(IF(X$2="Catégorie",IF(X$3="Toutes",SUMIFS('Étape 1 - à remplir'!$F$31:$F$400,'Étape 1 - à remplir'!$E$31:$E$400,MASQ2!O560,'Étape 1 - à remplir'!$G$31:$G$400,"animaux"),SUMIFS('Étape 1 - à remplir'!$F$31:$F$400,'Étape 1 - à remplir'!$E$31:$E$400,MASQ2!O560,'Étape 1 - à remplir'!$C$31:$C$400,X$3)),IF(X$2="Âge",IF(X$3="Tous",SUMIFS('Étape 1 - à remplir'!$F$31:$F$400,'Étape 1 - à remplir'!$E$31:$E$400,MASQ2!O560,'Étape 1 - à remplir'!$G$31:$G$400,"animaux"),SUMIFS('Étape 1 - à remplir'!$F$31:$F$400,'Étape 1 - à remplir'!$E$31:$E$400,MASQ2!O560,'Étape 1 - à remplir'!$P$31:$P$400,X$3)),IF(X$2="Atelier",IF(X$3="Tous",SUMIFS('Étape 1 - à remplir'!$F$31:$F$400,'Étape 1 - à remplir'!$E$31:$E$400,MASQ2!O560,'Étape 1 - à remplir'!$G$31:$G$400,"animaux"),SUMIFS('Étape 1 - à remplir'!$F$31:$F$400,'Étape 1 - à remplir'!$E$31:$E$400,MASQ2!O560,'Étape 1 - à remplir'!$O$31:$O$400,X$3)),IF(X$2="Espèce",IF(X$3="Toutes",SUMIFS('Étape 1 - à remplir'!$F$31:$F$400,'Étape 1 - à remplir'!$E$31:$E$400,MASQ2!O560,'Étape 1 - à remplir'!$G$31:$G$400,"animaux"),SUMIFS('Étape 1 - à remplir'!$F$31:$F$400,'Étape 1 - à remplir'!$E$31:$E$400,MASQ2!O560,'Étape 1 - à remplir'!$N$31:$N$400,X$3))))))=0,NA(),IF(X$2="Catégorie",IF(X$3="Toutes",SUMIFS('Étape 1 - à remplir'!$F$31:$F$400,'Étape 1 - à remplir'!$E$31:$E$400,MASQ2!O560,'Étape 1 - à remplir'!$G$31:$G$400,"animaux"),SUMIFS('Étape 1 - à remplir'!$F$31:$F$400,'Étape 1 - à remplir'!$E$31:$E$400,MASQ2!O560,'Étape 1 - à remplir'!$C$31:$C$400,X$3)),IF(X$2="Âge",IF(X$3="Tous",SUMIFS('Étape 1 - à remplir'!$F$31:$F$400,'Étape 1 - à remplir'!$E$31:$E$400,MASQ2!O560,'Étape 1 - à remplir'!$G$31:$G$400,"animaux"),SUMIFS('Étape 1 - à remplir'!$F$31:$F$400,'Étape 1 - à remplir'!$E$31:$E$400,MASQ2!O560,'Étape 1 - à remplir'!$P$31:$P$400,X$3)),IF(X$2="Atelier",IF(X$3="Tous",SUMIFS('Étape 1 - à remplir'!$F$31:$F$400,'Étape 1 - à remplir'!$E$31:$E$400,MASQ2!O560,'Étape 1 - à remplir'!$G$31:$G$400,"animaux"),SUMIFS('Étape 1 - à remplir'!$F$31:$F$400,'Étape 1 - à remplir'!$E$31:$E$400,MASQ2!O560,'Étape 1 - à remplir'!$O$31:$O$400,X$3)),IF(X$2="Espèce",IF(X$3="Toutes",SUMIFS('Étape 1 - à remplir'!$F$31:$F$400,'Étape 1 - à remplir'!$E$31:$E$400,MASQ2!O560,'Étape 1 - à remplir'!$G$31:$G$400,"animaux"),SUMIFS('Étape 1 - à remplir'!$F$31:$F$400,'Étape 1 - à remplir'!$E$31:$E$400,MASQ2!O560,'Étape 1 - à remplir'!$N$31:$N$400,X$3)))))))</f>
        <v>#N/A</v>
      </c>
      <c r="Q560" s="63">
        <f t="shared" si="335"/>
        <v>0</v>
      </c>
      <c r="R560" t="str">
        <f>Données_ATB!BM559</f>
        <v>Gamithromycine</v>
      </c>
      <c r="S560" t="str">
        <f>Données_ATB!BN559</f>
        <v/>
      </c>
      <c r="T560" s="63" t="str">
        <f>Données_ATB!BO559</f>
        <v/>
      </c>
      <c r="U560" s="42" t="str">
        <f>Données_ATB!BQ559</f>
        <v>Macrolides</v>
      </c>
      <c r="V560" t="str">
        <f>Données_ATB!BR559</f>
        <v/>
      </c>
      <c r="W560" s="63" t="str">
        <f>Données_ATB!BS559</f>
        <v/>
      </c>
      <c r="Z560" s="42">
        <v>557</v>
      </c>
      <c r="AA560" t="e">
        <f t="shared" si="331"/>
        <v>#N/A</v>
      </c>
      <c r="AB560" s="63" t="e">
        <f t="shared" si="332"/>
        <v>#N/A</v>
      </c>
      <c r="BT560" s="194" t="str">
        <f t="shared" ca="1" si="315"/>
        <v/>
      </c>
      <c r="BU560" s="219" t="str">
        <f>IFERROR(IF(BX560=0,"",COUNTIF(BX$4:BX$600,"&gt;"&amp;BX560)+COUNTIF(BX$4:BX560,BX560)),"")</f>
        <v/>
      </c>
      <c r="BV560" s="42" t="str">
        <f t="shared" si="316"/>
        <v>ZACTRAN 150 MG/ML SOLUTION INJECTABLE POUR BOVINS OVINS ET PORCINS</v>
      </c>
      <c r="BW560" t="e">
        <f>IF(IF(CE$2="Catégorie",IF(CE$3="Toutes",SUMIFS('Étape 1 - à remplir'!$F$31:$F$400,'Étape 1 - à remplir'!$E$31:$E$400,MASQ2!BV560,'Étape 1 - à remplir'!$G$31:$G$400,"lots"),SUMIFS('Étape 1 - à remplir'!$F$31:$F$400,'Étape 1 - à remplir'!$E$31:$E$400,MASQ2!BV560,'Étape 1 - à remplir'!$C$31:$C$400,CE$3)),IF(CE$2="Âge",IF(CE$3="Tous",SUMIFS('Étape 1 - à remplir'!$F$31:$F$400,'Étape 1 - à remplir'!$E$31:$E$400,MASQ2!BV560,'Étape 1 - à remplir'!$G$31:$G$400,"lots"),SUMIFS('Étape 1 - à remplir'!$F$31:$F$400,'Étape 1 - à remplir'!$E$31:$E$400,MASQ2!BV560,'Étape 1 - à remplir'!$P$31:$P$400,CE$3,'Étape 1 - à remplir'!$G$31:$G$400,"lots")),IF(CE$2="Atelier",IF(CE$3="Tous",SUMIFS('Étape 1 - à remplir'!$F$31:$F$400,'Étape 1 - à remplir'!$E$31:$E$400,MASQ2!BV560,'Étape 1 - à remplir'!$G$31:$G$400,"lots"),SUMIFS('Étape 1 - à remplir'!$F$31:$F$400,'Étape 1 - à remplir'!$E$31:$E$400,MASQ2!BV560,'Étape 1 - à remplir'!$O$31:$O$400,CE$3,'Étape 1 - à remplir'!$G$31:$G$400,"lots")),IF(CE$2="Espèce",IF(CE$3="Toutes",SUMIFS('Étape 1 - à remplir'!$F$31:$F$400,'Étape 1 - à remplir'!$E$31:$E$400,MASQ2!BV560,'Étape 1 - à remplir'!$G$31:$G$400,"lots"),SUMIFS('Étape 1 - à remplir'!$F$31:$F$400,'Étape 1 - à remplir'!$E$31:$E$400,MASQ2!BV560,'Étape 1 - à remplir'!$N$31:$N$400,CE$3,'Étape 1 - à remplir'!$G$31:$G$400,"lots"))))))=0,NA(),IF(CE$2="Catégorie",IF(CE$3="Toutes",SUMIFS('Étape 1 - à remplir'!$F$31:$F$400,'Étape 1 - à remplir'!$E$31:$E$400,MASQ2!BV560,'Étape 1 - à remplir'!$G$31:$G$400,"lots"),SUMIFS('Étape 1 - à remplir'!$F$31:$F$400,'Étape 1 - à remplir'!$E$31:$E$400,MASQ2!BV560,'Étape 1 - à remplir'!$C$31:$C$400,CE$3)),IF(CE$2="Âge",IF(CE$3="Tous",SUMIFS('Étape 1 - à remplir'!$F$31:$F$400,'Étape 1 - à remplir'!$E$31:$E$400,MASQ2!BV560,'Étape 1 - à remplir'!$G$31:$G$400,"lots"),SUMIFS('Étape 1 - à remplir'!$F$31:$F$400,'Étape 1 - à remplir'!$E$31:$E$400,MASQ2!BV560,'Étape 1 - à remplir'!$P$31:$P$400,CE$3,'Étape 1 - à remplir'!$G$31:$G$400,"lots")),IF(CE$2="Atelier",IF(CE$3="Tous",SUMIFS('Étape 1 - à remplir'!$F$31:$F$400,'Étape 1 - à remplir'!$E$31:$E$400,MASQ2!BV560,'Étape 1 - à remplir'!$G$31:$G$400,"lots"),SUMIFS('Étape 1 - à remplir'!$F$31:$F$400,'Étape 1 - à remplir'!$E$31:$E$400,MASQ2!BV560,'Étape 1 - à remplir'!$O$31:$O$400,CE$3,'Étape 1 - à remplir'!$G$31:$G$400,"lots")),IF(CE$2="Espèce",IF(CE$3="Toutes",SUMIFS('Étape 1 - à remplir'!$F$31:$F$400,'Étape 1 - à remplir'!$E$31:$E$400,MASQ2!BV560,'Étape 1 - à remplir'!$G$31:$G$400,"lots"),SUMIFS('Étape 1 - à remplir'!$F$31:$F$400,'Étape 1 - à remplir'!$E$31:$E$400,MASQ2!BV560,'Étape 1 - à remplir'!$N$31:$N$400,CE$3,'Étape 1 - à remplir'!$G$31:$G$400,"lots")))))))</f>
        <v>#N/A</v>
      </c>
      <c r="BX560">
        <f t="shared" si="333"/>
        <v>0</v>
      </c>
      <c r="BY560" t="str">
        <f t="shared" si="317"/>
        <v>Gamithromycine</v>
      </c>
      <c r="BZ560" t="str">
        <f t="shared" si="318"/>
        <v/>
      </c>
      <c r="CA560" t="str">
        <f t="shared" si="319"/>
        <v/>
      </c>
      <c r="CB560" t="str">
        <f t="shared" si="320"/>
        <v>Macrolides</v>
      </c>
      <c r="CC560" t="str">
        <f t="shared" si="321"/>
        <v/>
      </c>
      <c r="CD560" s="63" t="str">
        <f t="shared" si="322"/>
        <v/>
      </c>
      <c r="CG560" s="42">
        <v>557</v>
      </c>
      <c r="CH560" s="42" t="e">
        <f t="shared" si="338"/>
        <v>#N/A</v>
      </c>
      <c r="CI560" s="63" t="e">
        <f t="shared" si="339"/>
        <v>#N/A</v>
      </c>
      <c r="EA560" s="194" t="str">
        <f t="shared" ca="1" si="323"/>
        <v/>
      </c>
      <c r="EB560" s="226" t="str">
        <f>IFERROR(IF(ED560=0,"",COUNTIF(ED$4:ED$600,"&gt;"&amp;ED560)+COUNTIF(ED$4:ED560,ED560)),"")</f>
        <v/>
      </c>
      <c r="EC560" t="str">
        <f t="shared" si="324"/>
        <v>ZACTRAN 150 MG/ML SOLUTION INJECTABLE POUR BOVINS OVINS ET PORCINS</v>
      </c>
      <c r="ED560" t="e">
        <f>IF(IF(EL$2="Catégorie",IF(EL$3="Toutes",SUMIFS('Étape 1 - à remplir'!$F$31:$F$400,'Étape 1 - à remplir'!$E$31:$E$400,MASQ2!EC560,'Étape 1 - à remplir'!$G$31:$G$400,"kg"),SUMIFS('Étape 1 - à remplir'!$F$31:$F$400,'Étape 1 - à remplir'!$E$31:$E$400,MASQ2!EC560,'Étape 1 - à remplir'!$C$31:$C$400,EL$3)),IF(EL$2="Âge",IF(EL$3="Tous",SUMIFS('Étape 1 - à remplir'!$F$31:$F$400,'Étape 1 - à remplir'!$E$31:$E$400,MASQ2!EC560,'Étape 1 - à remplir'!$G$31:$G$400,"kg"),SUMIFS('Étape 1 - à remplir'!$F$31:$F$400,'Étape 1 - à remplir'!$E$31:$E$400,MASQ2!EC560,'Étape 1 - à remplir'!$P$31:$P$400,EL$3,'Étape 1 - à remplir'!$G$31:$G$400,"kg")),IF(EL$2="Atelier",IF(EL$3="Tous",SUMIFS('Étape 1 - à remplir'!$F$31:$F$400,'Étape 1 - à remplir'!$E$31:$E$400,MASQ2!EC560,'Étape 1 - à remplir'!$G$31:$G$400,"kg"),SUMIFS('Étape 1 - à remplir'!$F$31:$F$400,'Étape 1 - à remplir'!$E$31:$E$400,MASQ2!EC560,'Étape 1 - à remplir'!$O$31:$O$400,EL$3,'Étape 1 - à remplir'!$G$31:$G$400,"kg")),IF(EL$2="Espèce",IF(EL$3="Toutes",SUMIFS('Étape 1 - à remplir'!$F$31:$F$400,'Étape 1 - à remplir'!$E$31:$E$400,MASQ2!EC560,'Étape 1 - à remplir'!$G$31:$G$400,"kg"),SUMIFS('Étape 1 - à remplir'!$F$31:$F$400,'Étape 1 - à remplir'!$E$31:$E$400,MASQ2!EC560,'Étape 1 - à remplir'!$N$31:$N$400,EL$3,'Étape 1 - à remplir'!$G$31:$G$400,"kg"))))))=0,NA(),IF(EL$2="Catégorie",IF(EL$3="Toutes",SUMIFS('Étape 1 - à remplir'!$F$31:$F$400,'Étape 1 - à remplir'!$E$31:$E$400,MASQ2!EC560,'Étape 1 - à remplir'!$G$31:$G$400,"kg"),SUMIFS('Étape 1 - à remplir'!$F$31:$F$400,'Étape 1 - à remplir'!$E$31:$E$400,MASQ2!EC560,'Étape 1 - à remplir'!$C$31:$C$400,EL$3)),IF(EL$2="Âge",IF(EL$3="Tous",SUMIFS('Étape 1 - à remplir'!$F$31:$F$400,'Étape 1 - à remplir'!$E$31:$E$400,MASQ2!EC560,'Étape 1 - à remplir'!$G$31:$G$400,"kg"),SUMIFS('Étape 1 - à remplir'!$F$31:$F$400,'Étape 1 - à remplir'!$E$31:$E$400,MASQ2!EC560,'Étape 1 - à remplir'!$P$31:$P$400,EL$3,'Étape 1 - à remplir'!$G$31:$G$400,"kg")),IF(EL$2="Atelier",IF(EL$3="Tous",SUMIFS('Étape 1 - à remplir'!$F$31:$F$400,'Étape 1 - à remplir'!$E$31:$E$400,MASQ2!EC560,'Étape 1 - à remplir'!$G$31:$G$400,"kg"),SUMIFS('Étape 1 - à remplir'!$F$31:$F$400,'Étape 1 - à remplir'!$E$31:$E$400,MASQ2!EC560,'Étape 1 - à remplir'!$O$31:$O$400,EL$3,'Étape 1 - à remplir'!$G$31:$G$400,"kg")),IF(EL$2="Espèce",IF(EL$3="Toutes",SUMIFS('Étape 1 - à remplir'!$F$31:$F$400,'Étape 1 - à remplir'!$E$31:$E$400,MASQ2!EC560,'Étape 1 - à remplir'!$G$31:$G$400,"kg"),SUMIFS('Étape 1 - à remplir'!$F$31:$F$400,'Étape 1 - à remplir'!$E$31:$E$400,MASQ2!EC560,'Étape 1 - à remplir'!$N$31:$N$400,EL$3,'Étape 1 - à remplir'!$G$31:$G$400,"kg")))))))</f>
        <v>#N/A</v>
      </c>
      <c r="EE560" s="76">
        <f t="shared" si="334"/>
        <v>0</v>
      </c>
      <c r="EF560" t="str">
        <f t="shared" si="325"/>
        <v>Gamithromycine</v>
      </c>
      <c r="EG560" t="str">
        <f t="shared" si="326"/>
        <v/>
      </c>
      <c r="EH560" t="str">
        <f t="shared" si="327"/>
        <v/>
      </c>
      <c r="EI560" t="str">
        <f t="shared" si="328"/>
        <v>Macrolides</v>
      </c>
      <c r="EJ560" t="str">
        <f t="shared" si="329"/>
        <v/>
      </c>
      <c r="EK560" s="63" t="str">
        <f t="shared" si="330"/>
        <v/>
      </c>
      <c r="EN560" s="42">
        <v>557</v>
      </c>
      <c r="EO560" t="e">
        <f t="shared" si="336"/>
        <v>#N/A</v>
      </c>
      <c r="EP560" s="63" t="e">
        <f t="shared" si="337"/>
        <v>#N/A</v>
      </c>
    </row>
    <row r="561" spans="13:146" x14ac:dyDescent="0.3">
      <c r="M561" s="194" t="str">
        <f ca="1">INDEX(Données_ATB!BD:BU,MATCH(MASQ2!O561,Données_ATB!BD:BD,0),18)</f>
        <v/>
      </c>
      <c r="N561" s="14" t="str">
        <f>IFERROR(IF(Q561=0,"",COUNTIF(Q$4:Q$600,"&gt;"&amp;Q561)+COUNTIF(Q$4:Q561,Q561)),"")</f>
        <v/>
      </c>
      <c r="O561" t="str">
        <f>Données_ATB!BD560</f>
        <v>ZELERIS SOLUTION INJECTABLE POUR BOVINS</v>
      </c>
      <c r="P561" t="e">
        <f>IF(IF(X$2="Catégorie",IF(X$3="Toutes",SUMIFS('Étape 1 - à remplir'!$F$31:$F$400,'Étape 1 - à remplir'!$E$31:$E$400,MASQ2!O561,'Étape 1 - à remplir'!$G$31:$G$400,"animaux"),SUMIFS('Étape 1 - à remplir'!$F$31:$F$400,'Étape 1 - à remplir'!$E$31:$E$400,MASQ2!O561,'Étape 1 - à remplir'!$C$31:$C$400,X$3)),IF(X$2="Âge",IF(X$3="Tous",SUMIFS('Étape 1 - à remplir'!$F$31:$F$400,'Étape 1 - à remplir'!$E$31:$E$400,MASQ2!O561,'Étape 1 - à remplir'!$G$31:$G$400,"animaux"),SUMIFS('Étape 1 - à remplir'!$F$31:$F$400,'Étape 1 - à remplir'!$E$31:$E$400,MASQ2!O561,'Étape 1 - à remplir'!$P$31:$P$400,X$3)),IF(X$2="Atelier",IF(X$3="Tous",SUMIFS('Étape 1 - à remplir'!$F$31:$F$400,'Étape 1 - à remplir'!$E$31:$E$400,MASQ2!O561,'Étape 1 - à remplir'!$G$31:$G$400,"animaux"),SUMIFS('Étape 1 - à remplir'!$F$31:$F$400,'Étape 1 - à remplir'!$E$31:$E$400,MASQ2!O561,'Étape 1 - à remplir'!$O$31:$O$400,X$3)),IF(X$2="Espèce",IF(X$3="Toutes",SUMIFS('Étape 1 - à remplir'!$F$31:$F$400,'Étape 1 - à remplir'!$E$31:$E$400,MASQ2!O561,'Étape 1 - à remplir'!$G$31:$G$400,"animaux"),SUMIFS('Étape 1 - à remplir'!$F$31:$F$400,'Étape 1 - à remplir'!$E$31:$E$400,MASQ2!O561,'Étape 1 - à remplir'!$N$31:$N$400,X$3))))))=0,NA(),IF(X$2="Catégorie",IF(X$3="Toutes",SUMIFS('Étape 1 - à remplir'!$F$31:$F$400,'Étape 1 - à remplir'!$E$31:$E$400,MASQ2!O561,'Étape 1 - à remplir'!$G$31:$G$400,"animaux"),SUMIFS('Étape 1 - à remplir'!$F$31:$F$400,'Étape 1 - à remplir'!$E$31:$E$400,MASQ2!O561,'Étape 1 - à remplir'!$C$31:$C$400,X$3)),IF(X$2="Âge",IF(X$3="Tous",SUMIFS('Étape 1 - à remplir'!$F$31:$F$400,'Étape 1 - à remplir'!$E$31:$E$400,MASQ2!O561,'Étape 1 - à remplir'!$G$31:$G$400,"animaux"),SUMIFS('Étape 1 - à remplir'!$F$31:$F$400,'Étape 1 - à remplir'!$E$31:$E$400,MASQ2!O561,'Étape 1 - à remplir'!$P$31:$P$400,X$3)),IF(X$2="Atelier",IF(X$3="Tous",SUMIFS('Étape 1 - à remplir'!$F$31:$F$400,'Étape 1 - à remplir'!$E$31:$E$400,MASQ2!O561,'Étape 1 - à remplir'!$G$31:$G$400,"animaux"),SUMIFS('Étape 1 - à remplir'!$F$31:$F$400,'Étape 1 - à remplir'!$E$31:$E$400,MASQ2!O561,'Étape 1 - à remplir'!$O$31:$O$400,X$3)),IF(X$2="Espèce",IF(X$3="Toutes",SUMIFS('Étape 1 - à remplir'!$F$31:$F$400,'Étape 1 - à remplir'!$E$31:$E$400,MASQ2!O561,'Étape 1 - à remplir'!$G$31:$G$400,"animaux"),SUMIFS('Étape 1 - à remplir'!$F$31:$F$400,'Étape 1 - à remplir'!$E$31:$E$400,MASQ2!O561,'Étape 1 - à remplir'!$N$31:$N$400,X$3)))))))</f>
        <v>#N/A</v>
      </c>
      <c r="Q561" s="63">
        <f t="shared" si="335"/>
        <v>0</v>
      </c>
      <c r="R561" t="str">
        <f>Données_ATB!BM560</f>
        <v>Florfénicol</v>
      </c>
      <c r="S561" t="str">
        <f>Données_ATB!BN560</f>
        <v/>
      </c>
      <c r="T561" s="63" t="str">
        <f>Données_ATB!BO560</f>
        <v/>
      </c>
      <c r="U561" s="42" t="str">
        <f>Données_ATB!BQ560</f>
        <v>Phenicoles</v>
      </c>
      <c r="V561" t="str">
        <f>Données_ATB!BR560</f>
        <v/>
      </c>
      <c r="W561" s="63" t="str">
        <f>Données_ATB!BS560</f>
        <v/>
      </c>
      <c r="Z561" s="42">
        <v>558</v>
      </c>
      <c r="AA561" t="e">
        <f t="shared" si="331"/>
        <v>#N/A</v>
      </c>
      <c r="AB561" s="63" t="e">
        <f t="shared" si="332"/>
        <v>#N/A</v>
      </c>
      <c r="BT561" s="194" t="str">
        <f t="shared" ca="1" si="315"/>
        <v/>
      </c>
      <c r="BU561" s="219" t="str">
        <f>IFERROR(IF(BX561=0,"",COUNTIF(BX$4:BX$600,"&gt;"&amp;BX561)+COUNTIF(BX$4:BX561,BX561)),"")</f>
        <v/>
      </c>
      <c r="BV561" s="42" t="str">
        <f t="shared" si="316"/>
        <v>ZELERIS SOLUTION INJECTABLE POUR BOVINS</v>
      </c>
      <c r="BW561" t="e">
        <f>IF(IF(CE$2="Catégorie",IF(CE$3="Toutes",SUMIFS('Étape 1 - à remplir'!$F$31:$F$400,'Étape 1 - à remplir'!$E$31:$E$400,MASQ2!BV561,'Étape 1 - à remplir'!$G$31:$G$400,"lots"),SUMIFS('Étape 1 - à remplir'!$F$31:$F$400,'Étape 1 - à remplir'!$E$31:$E$400,MASQ2!BV561,'Étape 1 - à remplir'!$C$31:$C$400,CE$3)),IF(CE$2="Âge",IF(CE$3="Tous",SUMIFS('Étape 1 - à remplir'!$F$31:$F$400,'Étape 1 - à remplir'!$E$31:$E$400,MASQ2!BV561,'Étape 1 - à remplir'!$G$31:$G$400,"lots"),SUMIFS('Étape 1 - à remplir'!$F$31:$F$400,'Étape 1 - à remplir'!$E$31:$E$400,MASQ2!BV561,'Étape 1 - à remplir'!$P$31:$P$400,CE$3,'Étape 1 - à remplir'!$G$31:$G$400,"lots")),IF(CE$2="Atelier",IF(CE$3="Tous",SUMIFS('Étape 1 - à remplir'!$F$31:$F$400,'Étape 1 - à remplir'!$E$31:$E$400,MASQ2!BV561,'Étape 1 - à remplir'!$G$31:$G$400,"lots"),SUMIFS('Étape 1 - à remplir'!$F$31:$F$400,'Étape 1 - à remplir'!$E$31:$E$400,MASQ2!BV561,'Étape 1 - à remplir'!$O$31:$O$400,CE$3,'Étape 1 - à remplir'!$G$31:$G$400,"lots")),IF(CE$2="Espèce",IF(CE$3="Toutes",SUMIFS('Étape 1 - à remplir'!$F$31:$F$400,'Étape 1 - à remplir'!$E$31:$E$400,MASQ2!BV561,'Étape 1 - à remplir'!$G$31:$G$400,"lots"),SUMIFS('Étape 1 - à remplir'!$F$31:$F$400,'Étape 1 - à remplir'!$E$31:$E$400,MASQ2!BV561,'Étape 1 - à remplir'!$N$31:$N$400,CE$3,'Étape 1 - à remplir'!$G$31:$G$400,"lots"))))))=0,NA(),IF(CE$2="Catégorie",IF(CE$3="Toutes",SUMIFS('Étape 1 - à remplir'!$F$31:$F$400,'Étape 1 - à remplir'!$E$31:$E$400,MASQ2!BV561,'Étape 1 - à remplir'!$G$31:$G$400,"lots"),SUMIFS('Étape 1 - à remplir'!$F$31:$F$400,'Étape 1 - à remplir'!$E$31:$E$400,MASQ2!BV561,'Étape 1 - à remplir'!$C$31:$C$400,CE$3)),IF(CE$2="Âge",IF(CE$3="Tous",SUMIFS('Étape 1 - à remplir'!$F$31:$F$400,'Étape 1 - à remplir'!$E$31:$E$400,MASQ2!BV561,'Étape 1 - à remplir'!$G$31:$G$400,"lots"),SUMIFS('Étape 1 - à remplir'!$F$31:$F$400,'Étape 1 - à remplir'!$E$31:$E$400,MASQ2!BV561,'Étape 1 - à remplir'!$P$31:$P$400,CE$3,'Étape 1 - à remplir'!$G$31:$G$400,"lots")),IF(CE$2="Atelier",IF(CE$3="Tous",SUMIFS('Étape 1 - à remplir'!$F$31:$F$400,'Étape 1 - à remplir'!$E$31:$E$400,MASQ2!BV561,'Étape 1 - à remplir'!$G$31:$G$400,"lots"),SUMIFS('Étape 1 - à remplir'!$F$31:$F$400,'Étape 1 - à remplir'!$E$31:$E$400,MASQ2!BV561,'Étape 1 - à remplir'!$O$31:$O$400,CE$3,'Étape 1 - à remplir'!$G$31:$G$400,"lots")),IF(CE$2="Espèce",IF(CE$3="Toutes",SUMIFS('Étape 1 - à remplir'!$F$31:$F$400,'Étape 1 - à remplir'!$E$31:$E$400,MASQ2!BV561,'Étape 1 - à remplir'!$G$31:$G$400,"lots"),SUMIFS('Étape 1 - à remplir'!$F$31:$F$400,'Étape 1 - à remplir'!$E$31:$E$400,MASQ2!BV561,'Étape 1 - à remplir'!$N$31:$N$400,CE$3,'Étape 1 - à remplir'!$G$31:$G$400,"lots")))))))</f>
        <v>#N/A</v>
      </c>
      <c r="BX561">
        <f t="shared" si="333"/>
        <v>0</v>
      </c>
      <c r="BY561" t="str">
        <f t="shared" si="317"/>
        <v>Florfénicol</v>
      </c>
      <c r="BZ561" t="str">
        <f t="shared" si="318"/>
        <v/>
      </c>
      <c r="CA561" t="str">
        <f t="shared" si="319"/>
        <v/>
      </c>
      <c r="CB561" t="str">
        <f t="shared" si="320"/>
        <v>Phenicoles</v>
      </c>
      <c r="CC561" t="str">
        <f t="shared" si="321"/>
        <v/>
      </c>
      <c r="CD561" s="63" t="str">
        <f t="shared" si="322"/>
        <v/>
      </c>
      <c r="CG561" s="42">
        <v>558</v>
      </c>
      <c r="CH561" s="42" t="e">
        <f t="shared" si="338"/>
        <v>#N/A</v>
      </c>
      <c r="CI561" s="63" t="e">
        <f t="shared" si="339"/>
        <v>#N/A</v>
      </c>
      <c r="EA561" s="194" t="str">
        <f t="shared" ca="1" si="323"/>
        <v/>
      </c>
      <c r="EB561" s="226" t="str">
        <f>IFERROR(IF(ED561=0,"",COUNTIF(ED$4:ED$600,"&gt;"&amp;ED561)+COUNTIF(ED$4:ED561,ED561)),"")</f>
        <v/>
      </c>
      <c r="EC561" t="str">
        <f t="shared" si="324"/>
        <v>ZELERIS SOLUTION INJECTABLE POUR BOVINS</v>
      </c>
      <c r="ED561" t="e">
        <f>IF(IF(EL$2="Catégorie",IF(EL$3="Toutes",SUMIFS('Étape 1 - à remplir'!$F$31:$F$400,'Étape 1 - à remplir'!$E$31:$E$400,MASQ2!EC561,'Étape 1 - à remplir'!$G$31:$G$400,"kg"),SUMIFS('Étape 1 - à remplir'!$F$31:$F$400,'Étape 1 - à remplir'!$E$31:$E$400,MASQ2!EC561,'Étape 1 - à remplir'!$C$31:$C$400,EL$3)),IF(EL$2="Âge",IF(EL$3="Tous",SUMIFS('Étape 1 - à remplir'!$F$31:$F$400,'Étape 1 - à remplir'!$E$31:$E$400,MASQ2!EC561,'Étape 1 - à remplir'!$G$31:$G$400,"kg"),SUMIFS('Étape 1 - à remplir'!$F$31:$F$400,'Étape 1 - à remplir'!$E$31:$E$400,MASQ2!EC561,'Étape 1 - à remplir'!$P$31:$P$400,EL$3,'Étape 1 - à remplir'!$G$31:$G$400,"kg")),IF(EL$2="Atelier",IF(EL$3="Tous",SUMIFS('Étape 1 - à remplir'!$F$31:$F$400,'Étape 1 - à remplir'!$E$31:$E$400,MASQ2!EC561,'Étape 1 - à remplir'!$G$31:$G$400,"kg"),SUMIFS('Étape 1 - à remplir'!$F$31:$F$400,'Étape 1 - à remplir'!$E$31:$E$400,MASQ2!EC561,'Étape 1 - à remplir'!$O$31:$O$400,EL$3,'Étape 1 - à remplir'!$G$31:$G$400,"kg")),IF(EL$2="Espèce",IF(EL$3="Toutes",SUMIFS('Étape 1 - à remplir'!$F$31:$F$400,'Étape 1 - à remplir'!$E$31:$E$400,MASQ2!EC561,'Étape 1 - à remplir'!$G$31:$G$400,"kg"),SUMIFS('Étape 1 - à remplir'!$F$31:$F$400,'Étape 1 - à remplir'!$E$31:$E$400,MASQ2!EC561,'Étape 1 - à remplir'!$N$31:$N$400,EL$3,'Étape 1 - à remplir'!$G$31:$G$400,"kg"))))))=0,NA(),IF(EL$2="Catégorie",IF(EL$3="Toutes",SUMIFS('Étape 1 - à remplir'!$F$31:$F$400,'Étape 1 - à remplir'!$E$31:$E$400,MASQ2!EC561,'Étape 1 - à remplir'!$G$31:$G$400,"kg"),SUMIFS('Étape 1 - à remplir'!$F$31:$F$400,'Étape 1 - à remplir'!$E$31:$E$400,MASQ2!EC561,'Étape 1 - à remplir'!$C$31:$C$400,EL$3)),IF(EL$2="Âge",IF(EL$3="Tous",SUMIFS('Étape 1 - à remplir'!$F$31:$F$400,'Étape 1 - à remplir'!$E$31:$E$400,MASQ2!EC561,'Étape 1 - à remplir'!$G$31:$G$400,"kg"),SUMIFS('Étape 1 - à remplir'!$F$31:$F$400,'Étape 1 - à remplir'!$E$31:$E$400,MASQ2!EC561,'Étape 1 - à remplir'!$P$31:$P$400,EL$3,'Étape 1 - à remplir'!$G$31:$G$400,"kg")),IF(EL$2="Atelier",IF(EL$3="Tous",SUMIFS('Étape 1 - à remplir'!$F$31:$F$400,'Étape 1 - à remplir'!$E$31:$E$400,MASQ2!EC561,'Étape 1 - à remplir'!$G$31:$G$400,"kg"),SUMIFS('Étape 1 - à remplir'!$F$31:$F$400,'Étape 1 - à remplir'!$E$31:$E$400,MASQ2!EC561,'Étape 1 - à remplir'!$O$31:$O$400,EL$3,'Étape 1 - à remplir'!$G$31:$G$400,"kg")),IF(EL$2="Espèce",IF(EL$3="Toutes",SUMIFS('Étape 1 - à remplir'!$F$31:$F$400,'Étape 1 - à remplir'!$E$31:$E$400,MASQ2!EC561,'Étape 1 - à remplir'!$G$31:$G$400,"kg"),SUMIFS('Étape 1 - à remplir'!$F$31:$F$400,'Étape 1 - à remplir'!$E$31:$E$400,MASQ2!EC561,'Étape 1 - à remplir'!$N$31:$N$400,EL$3,'Étape 1 - à remplir'!$G$31:$G$400,"kg")))))))</f>
        <v>#N/A</v>
      </c>
      <c r="EE561" s="76">
        <f t="shared" si="334"/>
        <v>0</v>
      </c>
      <c r="EF561" t="str">
        <f t="shared" si="325"/>
        <v>Florfénicol</v>
      </c>
      <c r="EG561" t="str">
        <f t="shared" si="326"/>
        <v/>
      </c>
      <c r="EH561" t="str">
        <f t="shared" si="327"/>
        <v/>
      </c>
      <c r="EI561" t="str">
        <f t="shared" si="328"/>
        <v>Phenicoles</v>
      </c>
      <c r="EJ561" t="str">
        <f t="shared" si="329"/>
        <v/>
      </c>
      <c r="EK561" s="63" t="str">
        <f t="shared" si="330"/>
        <v/>
      </c>
      <c r="EN561" s="42">
        <v>558</v>
      </c>
      <c r="EO561" t="e">
        <f t="shared" si="336"/>
        <v>#N/A</v>
      </c>
      <c r="EP561" s="63" t="e">
        <f t="shared" si="337"/>
        <v>#N/A</v>
      </c>
    </row>
    <row r="562" spans="13:146" x14ac:dyDescent="0.3">
      <c r="M562" s="194" t="str">
        <f ca="1">INDEX(Données_ATB!BD:BU,MATCH(MASQ2!O562,Données_ATB!BD:BD,0),18)</f>
        <v/>
      </c>
      <c r="N562" s="14" t="str">
        <f>IFERROR(IF(Q562=0,"",COUNTIF(Q$4:Q$600,"&gt;"&amp;Q562)+COUNTIF(Q$4:Q562,Q562)),"")</f>
        <v/>
      </c>
      <c r="O562" t="str">
        <f>Données_ATB!BD561</f>
        <v>ZUPREVO 180 MG/ML SOLUTION INJECTABLE POUR BOVINS</v>
      </c>
      <c r="P562" t="e">
        <f>IF(IF(X$2="Catégorie",IF(X$3="Toutes",SUMIFS('Étape 1 - à remplir'!$F$31:$F$400,'Étape 1 - à remplir'!$E$31:$E$400,MASQ2!O562,'Étape 1 - à remplir'!$G$31:$G$400,"animaux"),SUMIFS('Étape 1 - à remplir'!$F$31:$F$400,'Étape 1 - à remplir'!$E$31:$E$400,MASQ2!O562,'Étape 1 - à remplir'!$C$31:$C$400,X$3)),IF(X$2="Âge",IF(X$3="Tous",SUMIFS('Étape 1 - à remplir'!$F$31:$F$400,'Étape 1 - à remplir'!$E$31:$E$400,MASQ2!O562,'Étape 1 - à remplir'!$G$31:$G$400,"animaux"),SUMIFS('Étape 1 - à remplir'!$F$31:$F$400,'Étape 1 - à remplir'!$E$31:$E$400,MASQ2!O562,'Étape 1 - à remplir'!$P$31:$P$400,X$3)),IF(X$2="Atelier",IF(X$3="Tous",SUMIFS('Étape 1 - à remplir'!$F$31:$F$400,'Étape 1 - à remplir'!$E$31:$E$400,MASQ2!O562,'Étape 1 - à remplir'!$G$31:$G$400,"animaux"),SUMIFS('Étape 1 - à remplir'!$F$31:$F$400,'Étape 1 - à remplir'!$E$31:$E$400,MASQ2!O562,'Étape 1 - à remplir'!$O$31:$O$400,X$3)),IF(X$2="Espèce",IF(X$3="Toutes",SUMIFS('Étape 1 - à remplir'!$F$31:$F$400,'Étape 1 - à remplir'!$E$31:$E$400,MASQ2!O562,'Étape 1 - à remplir'!$G$31:$G$400,"animaux"),SUMIFS('Étape 1 - à remplir'!$F$31:$F$400,'Étape 1 - à remplir'!$E$31:$E$400,MASQ2!O562,'Étape 1 - à remplir'!$N$31:$N$400,X$3))))))=0,NA(),IF(X$2="Catégorie",IF(X$3="Toutes",SUMIFS('Étape 1 - à remplir'!$F$31:$F$400,'Étape 1 - à remplir'!$E$31:$E$400,MASQ2!O562,'Étape 1 - à remplir'!$G$31:$G$400,"animaux"),SUMIFS('Étape 1 - à remplir'!$F$31:$F$400,'Étape 1 - à remplir'!$E$31:$E$400,MASQ2!O562,'Étape 1 - à remplir'!$C$31:$C$400,X$3)),IF(X$2="Âge",IF(X$3="Tous",SUMIFS('Étape 1 - à remplir'!$F$31:$F$400,'Étape 1 - à remplir'!$E$31:$E$400,MASQ2!O562,'Étape 1 - à remplir'!$G$31:$G$400,"animaux"),SUMIFS('Étape 1 - à remplir'!$F$31:$F$400,'Étape 1 - à remplir'!$E$31:$E$400,MASQ2!O562,'Étape 1 - à remplir'!$P$31:$P$400,X$3)),IF(X$2="Atelier",IF(X$3="Tous",SUMIFS('Étape 1 - à remplir'!$F$31:$F$400,'Étape 1 - à remplir'!$E$31:$E$400,MASQ2!O562,'Étape 1 - à remplir'!$G$31:$G$400,"animaux"),SUMIFS('Étape 1 - à remplir'!$F$31:$F$400,'Étape 1 - à remplir'!$E$31:$E$400,MASQ2!O562,'Étape 1 - à remplir'!$O$31:$O$400,X$3)),IF(X$2="Espèce",IF(X$3="Toutes",SUMIFS('Étape 1 - à remplir'!$F$31:$F$400,'Étape 1 - à remplir'!$E$31:$E$400,MASQ2!O562,'Étape 1 - à remplir'!$G$31:$G$400,"animaux"),SUMIFS('Étape 1 - à remplir'!$F$31:$F$400,'Étape 1 - à remplir'!$E$31:$E$400,MASQ2!O562,'Étape 1 - à remplir'!$N$31:$N$400,X$3)))))))</f>
        <v>#N/A</v>
      </c>
      <c r="Q562" s="63">
        <f t="shared" si="335"/>
        <v>0</v>
      </c>
      <c r="R562" t="str">
        <f>Données_ATB!BM561</f>
        <v>Tildipirosine</v>
      </c>
      <c r="S562" t="str">
        <f>Données_ATB!BN561</f>
        <v/>
      </c>
      <c r="T562" s="63" t="str">
        <f>Données_ATB!BO561</f>
        <v/>
      </c>
      <c r="U562" s="42" t="str">
        <f>Données_ATB!BQ561</f>
        <v>Macrolides</v>
      </c>
      <c r="V562" t="str">
        <f>Données_ATB!BR561</f>
        <v/>
      </c>
      <c r="W562" s="63" t="str">
        <f>Données_ATB!BS561</f>
        <v/>
      </c>
      <c r="Z562" s="42">
        <v>559</v>
      </c>
      <c r="AA562" t="e">
        <f t="shared" si="331"/>
        <v>#N/A</v>
      </c>
      <c r="AB562" s="63" t="e">
        <f t="shared" si="332"/>
        <v>#N/A</v>
      </c>
      <c r="BT562" s="194" t="str">
        <f t="shared" ca="1" si="315"/>
        <v/>
      </c>
      <c r="BU562" s="219" t="str">
        <f>IFERROR(IF(BX562=0,"",COUNTIF(BX$4:BX$600,"&gt;"&amp;BX562)+COUNTIF(BX$4:BX562,BX562)),"")</f>
        <v/>
      </c>
      <c r="BV562" s="42" t="str">
        <f t="shared" si="316"/>
        <v>ZUPREVO 180 MG/ML SOLUTION INJECTABLE POUR BOVINS</v>
      </c>
      <c r="BW562" t="e">
        <f>IF(IF(CE$2="Catégorie",IF(CE$3="Toutes",SUMIFS('Étape 1 - à remplir'!$F$31:$F$400,'Étape 1 - à remplir'!$E$31:$E$400,MASQ2!BV562,'Étape 1 - à remplir'!$G$31:$G$400,"lots"),SUMIFS('Étape 1 - à remplir'!$F$31:$F$400,'Étape 1 - à remplir'!$E$31:$E$400,MASQ2!BV562,'Étape 1 - à remplir'!$C$31:$C$400,CE$3)),IF(CE$2="Âge",IF(CE$3="Tous",SUMIFS('Étape 1 - à remplir'!$F$31:$F$400,'Étape 1 - à remplir'!$E$31:$E$400,MASQ2!BV562,'Étape 1 - à remplir'!$G$31:$G$400,"lots"),SUMIFS('Étape 1 - à remplir'!$F$31:$F$400,'Étape 1 - à remplir'!$E$31:$E$400,MASQ2!BV562,'Étape 1 - à remplir'!$P$31:$P$400,CE$3,'Étape 1 - à remplir'!$G$31:$G$400,"lots")),IF(CE$2="Atelier",IF(CE$3="Tous",SUMIFS('Étape 1 - à remplir'!$F$31:$F$400,'Étape 1 - à remplir'!$E$31:$E$400,MASQ2!BV562,'Étape 1 - à remplir'!$G$31:$G$400,"lots"),SUMIFS('Étape 1 - à remplir'!$F$31:$F$400,'Étape 1 - à remplir'!$E$31:$E$400,MASQ2!BV562,'Étape 1 - à remplir'!$O$31:$O$400,CE$3,'Étape 1 - à remplir'!$G$31:$G$400,"lots")),IF(CE$2="Espèce",IF(CE$3="Toutes",SUMIFS('Étape 1 - à remplir'!$F$31:$F$400,'Étape 1 - à remplir'!$E$31:$E$400,MASQ2!BV562,'Étape 1 - à remplir'!$G$31:$G$400,"lots"),SUMIFS('Étape 1 - à remplir'!$F$31:$F$400,'Étape 1 - à remplir'!$E$31:$E$400,MASQ2!BV562,'Étape 1 - à remplir'!$N$31:$N$400,CE$3,'Étape 1 - à remplir'!$G$31:$G$400,"lots"))))))=0,NA(),IF(CE$2="Catégorie",IF(CE$3="Toutes",SUMIFS('Étape 1 - à remplir'!$F$31:$F$400,'Étape 1 - à remplir'!$E$31:$E$400,MASQ2!BV562,'Étape 1 - à remplir'!$G$31:$G$400,"lots"),SUMIFS('Étape 1 - à remplir'!$F$31:$F$400,'Étape 1 - à remplir'!$E$31:$E$400,MASQ2!BV562,'Étape 1 - à remplir'!$C$31:$C$400,CE$3)),IF(CE$2="Âge",IF(CE$3="Tous",SUMIFS('Étape 1 - à remplir'!$F$31:$F$400,'Étape 1 - à remplir'!$E$31:$E$400,MASQ2!BV562,'Étape 1 - à remplir'!$G$31:$G$400,"lots"),SUMIFS('Étape 1 - à remplir'!$F$31:$F$400,'Étape 1 - à remplir'!$E$31:$E$400,MASQ2!BV562,'Étape 1 - à remplir'!$P$31:$P$400,CE$3,'Étape 1 - à remplir'!$G$31:$G$400,"lots")),IF(CE$2="Atelier",IF(CE$3="Tous",SUMIFS('Étape 1 - à remplir'!$F$31:$F$400,'Étape 1 - à remplir'!$E$31:$E$400,MASQ2!BV562,'Étape 1 - à remplir'!$G$31:$G$400,"lots"),SUMIFS('Étape 1 - à remplir'!$F$31:$F$400,'Étape 1 - à remplir'!$E$31:$E$400,MASQ2!BV562,'Étape 1 - à remplir'!$O$31:$O$400,CE$3,'Étape 1 - à remplir'!$G$31:$G$400,"lots")),IF(CE$2="Espèce",IF(CE$3="Toutes",SUMIFS('Étape 1 - à remplir'!$F$31:$F$400,'Étape 1 - à remplir'!$E$31:$E$400,MASQ2!BV562,'Étape 1 - à remplir'!$G$31:$G$400,"lots"),SUMIFS('Étape 1 - à remplir'!$F$31:$F$400,'Étape 1 - à remplir'!$E$31:$E$400,MASQ2!BV562,'Étape 1 - à remplir'!$N$31:$N$400,CE$3,'Étape 1 - à remplir'!$G$31:$G$400,"lots")))))))</f>
        <v>#N/A</v>
      </c>
      <c r="BX562">
        <f t="shared" si="333"/>
        <v>0</v>
      </c>
      <c r="BY562" t="str">
        <f t="shared" si="317"/>
        <v>Tildipirosine</v>
      </c>
      <c r="BZ562" t="str">
        <f t="shared" si="318"/>
        <v/>
      </c>
      <c r="CA562" t="str">
        <f t="shared" si="319"/>
        <v/>
      </c>
      <c r="CB562" t="str">
        <f t="shared" si="320"/>
        <v>Macrolides</v>
      </c>
      <c r="CC562" t="str">
        <f t="shared" si="321"/>
        <v/>
      </c>
      <c r="CD562" s="63" t="str">
        <f t="shared" si="322"/>
        <v/>
      </c>
      <c r="CG562" s="42">
        <v>559</v>
      </c>
      <c r="CH562" s="42" t="e">
        <f t="shared" si="338"/>
        <v>#N/A</v>
      </c>
      <c r="CI562" s="63" t="e">
        <f t="shared" si="339"/>
        <v>#N/A</v>
      </c>
      <c r="EA562" s="194" t="str">
        <f t="shared" ca="1" si="323"/>
        <v/>
      </c>
      <c r="EB562" s="226" t="str">
        <f>IFERROR(IF(ED562=0,"",COUNTIF(ED$4:ED$600,"&gt;"&amp;ED562)+COUNTIF(ED$4:ED562,ED562)),"")</f>
        <v/>
      </c>
      <c r="EC562" t="str">
        <f t="shared" si="324"/>
        <v>ZUPREVO 180 MG/ML SOLUTION INJECTABLE POUR BOVINS</v>
      </c>
      <c r="ED562" t="e">
        <f>IF(IF(EL$2="Catégorie",IF(EL$3="Toutes",SUMIFS('Étape 1 - à remplir'!$F$31:$F$400,'Étape 1 - à remplir'!$E$31:$E$400,MASQ2!EC562,'Étape 1 - à remplir'!$G$31:$G$400,"kg"),SUMIFS('Étape 1 - à remplir'!$F$31:$F$400,'Étape 1 - à remplir'!$E$31:$E$400,MASQ2!EC562,'Étape 1 - à remplir'!$C$31:$C$400,EL$3)),IF(EL$2="Âge",IF(EL$3="Tous",SUMIFS('Étape 1 - à remplir'!$F$31:$F$400,'Étape 1 - à remplir'!$E$31:$E$400,MASQ2!EC562,'Étape 1 - à remplir'!$G$31:$G$400,"kg"),SUMIFS('Étape 1 - à remplir'!$F$31:$F$400,'Étape 1 - à remplir'!$E$31:$E$400,MASQ2!EC562,'Étape 1 - à remplir'!$P$31:$P$400,EL$3,'Étape 1 - à remplir'!$G$31:$G$400,"kg")),IF(EL$2="Atelier",IF(EL$3="Tous",SUMIFS('Étape 1 - à remplir'!$F$31:$F$400,'Étape 1 - à remplir'!$E$31:$E$400,MASQ2!EC562,'Étape 1 - à remplir'!$G$31:$G$400,"kg"),SUMIFS('Étape 1 - à remplir'!$F$31:$F$400,'Étape 1 - à remplir'!$E$31:$E$400,MASQ2!EC562,'Étape 1 - à remplir'!$O$31:$O$400,EL$3,'Étape 1 - à remplir'!$G$31:$G$400,"kg")),IF(EL$2="Espèce",IF(EL$3="Toutes",SUMIFS('Étape 1 - à remplir'!$F$31:$F$400,'Étape 1 - à remplir'!$E$31:$E$400,MASQ2!EC562,'Étape 1 - à remplir'!$G$31:$G$400,"kg"),SUMIFS('Étape 1 - à remplir'!$F$31:$F$400,'Étape 1 - à remplir'!$E$31:$E$400,MASQ2!EC562,'Étape 1 - à remplir'!$N$31:$N$400,EL$3,'Étape 1 - à remplir'!$G$31:$G$400,"kg"))))))=0,NA(),IF(EL$2="Catégorie",IF(EL$3="Toutes",SUMIFS('Étape 1 - à remplir'!$F$31:$F$400,'Étape 1 - à remplir'!$E$31:$E$400,MASQ2!EC562,'Étape 1 - à remplir'!$G$31:$G$400,"kg"),SUMIFS('Étape 1 - à remplir'!$F$31:$F$400,'Étape 1 - à remplir'!$E$31:$E$400,MASQ2!EC562,'Étape 1 - à remplir'!$C$31:$C$400,EL$3)),IF(EL$2="Âge",IF(EL$3="Tous",SUMIFS('Étape 1 - à remplir'!$F$31:$F$400,'Étape 1 - à remplir'!$E$31:$E$400,MASQ2!EC562,'Étape 1 - à remplir'!$G$31:$G$400,"kg"),SUMIFS('Étape 1 - à remplir'!$F$31:$F$400,'Étape 1 - à remplir'!$E$31:$E$400,MASQ2!EC562,'Étape 1 - à remplir'!$P$31:$P$400,EL$3,'Étape 1 - à remplir'!$G$31:$G$400,"kg")),IF(EL$2="Atelier",IF(EL$3="Tous",SUMIFS('Étape 1 - à remplir'!$F$31:$F$400,'Étape 1 - à remplir'!$E$31:$E$400,MASQ2!EC562,'Étape 1 - à remplir'!$G$31:$G$400,"kg"),SUMIFS('Étape 1 - à remplir'!$F$31:$F$400,'Étape 1 - à remplir'!$E$31:$E$400,MASQ2!EC562,'Étape 1 - à remplir'!$O$31:$O$400,EL$3,'Étape 1 - à remplir'!$G$31:$G$400,"kg")),IF(EL$2="Espèce",IF(EL$3="Toutes",SUMIFS('Étape 1 - à remplir'!$F$31:$F$400,'Étape 1 - à remplir'!$E$31:$E$400,MASQ2!EC562,'Étape 1 - à remplir'!$G$31:$G$400,"kg"),SUMIFS('Étape 1 - à remplir'!$F$31:$F$400,'Étape 1 - à remplir'!$E$31:$E$400,MASQ2!EC562,'Étape 1 - à remplir'!$N$31:$N$400,EL$3,'Étape 1 - à remplir'!$G$31:$G$400,"kg")))))))</f>
        <v>#N/A</v>
      </c>
      <c r="EE562" s="76">
        <f t="shared" si="334"/>
        <v>0</v>
      </c>
      <c r="EF562" t="str">
        <f t="shared" si="325"/>
        <v>Tildipirosine</v>
      </c>
      <c r="EG562" t="str">
        <f t="shared" si="326"/>
        <v/>
      </c>
      <c r="EH562" t="str">
        <f t="shared" si="327"/>
        <v/>
      </c>
      <c r="EI562" t="str">
        <f t="shared" si="328"/>
        <v>Macrolides</v>
      </c>
      <c r="EJ562" t="str">
        <f t="shared" si="329"/>
        <v/>
      </c>
      <c r="EK562" s="63" t="str">
        <f t="shared" si="330"/>
        <v/>
      </c>
      <c r="EN562" s="42">
        <v>559</v>
      </c>
      <c r="EO562" t="e">
        <f t="shared" si="336"/>
        <v>#N/A</v>
      </c>
      <c r="EP562" s="63" t="e">
        <f t="shared" si="337"/>
        <v>#N/A</v>
      </c>
    </row>
    <row r="563" spans="13:146" x14ac:dyDescent="0.3">
      <c r="M563" s="194" t="str">
        <f ca="1">INDEX(Données_ATB!BD:BU,MATCH(MASQ2!O563,Données_ATB!BD:BD,0),18)</f>
        <v/>
      </c>
      <c r="N563" s="14" t="str">
        <f>IFERROR(IF(Q563=0,"",COUNTIF(Q$4:Q$600,"&gt;"&amp;Q563)+COUNTIF(Q$4:Q563,Q563)),"")</f>
        <v/>
      </c>
      <c r="O563" t="str">
        <f>Données_ATB!BD562</f>
        <v>ZUPREVO 40 MG/ML SOLUTION INJECTABLE POUR PORCINS</v>
      </c>
      <c r="P563" t="e">
        <f>IF(IF(X$2="Catégorie",IF(X$3="Toutes",SUMIFS('Étape 1 - à remplir'!$F$31:$F$400,'Étape 1 - à remplir'!$E$31:$E$400,MASQ2!O563,'Étape 1 - à remplir'!$G$31:$G$400,"animaux"),SUMIFS('Étape 1 - à remplir'!$F$31:$F$400,'Étape 1 - à remplir'!$E$31:$E$400,MASQ2!O563,'Étape 1 - à remplir'!$C$31:$C$400,X$3)),IF(X$2="Âge",IF(X$3="Tous",SUMIFS('Étape 1 - à remplir'!$F$31:$F$400,'Étape 1 - à remplir'!$E$31:$E$400,MASQ2!O563,'Étape 1 - à remplir'!$G$31:$G$400,"animaux"),SUMIFS('Étape 1 - à remplir'!$F$31:$F$400,'Étape 1 - à remplir'!$E$31:$E$400,MASQ2!O563,'Étape 1 - à remplir'!$P$31:$P$400,X$3)),IF(X$2="Atelier",IF(X$3="Tous",SUMIFS('Étape 1 - à remplir'!$F$31:$F$400,'Étape 1 - à remplir'!$E$31:$E$400,MASQ2!O563,'Étape 1 - à remplir'!$G$31:$G$400,"animaux"),SUMIFS('Étape 1 - à remplir'!$F$31:$F$400,'Étape 1 - à remplir'!$E$31:$E$400,MASQ2!O563,'Étape 1 - à remplir'!$O$31:$O$400,X$3)),IF(X$2="Espèce",IF(X$3="Toutes",SUMIFS('Étape 1 - à remplir'!$F$31:$F$400,'Étape 1 - à remplir'!$E$31:$E$400,MASQ2!O563,'Étape 1 - à remplir'!$G$31:$G$400,"animaux"),SUMIFS('Étape 1 - à remplir'!$F$31:$F$400,'Étape 1 - à remplir'!$E$31:$E$400,MASQ2!O563,'Étape 1 - à remplir'!$N$31:$N$400,X$3))))))=0,NA(),IF(X$2="Catégorie",IF(X$3="Toutes",SUMIFS('Étape 1 - à remplir'!$F$31:$F$400,'Étape 1 - à remplir'!$E$31:$E$400,MASQ2!O563,'Étape 1 - à remplir'!$G$31:$G$400,"animaux"),SUMIFS('Étape 1 - à remplir'!$F$31:$F$400,'Étape 1 - à remplir'!$E$31:$E$400,MASQ2!O563,'Étape 1 - à remplir'!$C$31:$C$400,X$3)),IF(X$2="Âge",IF(X$3="Tous",SUMIFS('Étape 1 - à remplir'!$F$31:$F$400,'Étape 1 - à remplir'!$E$31:$E$400,MASQ2!O563,'Étape 1 - à remplir'!$G$31:$G$400,"animaux"),SUMIFS('Étape 1 - à remplir'!$F$31:$F$400,'Étape 1 - à remplir'!$E$31:$E$400,MASQ2!O563,'Étape 1 - à remplir'!$P$31:$P$400,X$3)),IF(X$2="Atelier",IF(X$3="Tous",SUMIFS('Étape 1 - à remplir'!$F$31:$F$400,'Étape 1 - à remplir'!$E$31:$E$400,MASQ2!O563,'Étape 1 - à remplir'!$G$31:$G$400,"animaux"),SUMIFS('Étape 1 - à remplir'!$F$31:$F$400,'Étape 1 - à remplir'!$E$31:$E$400,MASQ2!O563,'Étape 1 - à remplir'!$O$31:$O$400,X$3)),IF(X$2="Espèce",IF(X$3="Toutes",SUMIFS('Étape 1 - à remplir'!$F$31:$F$400,'Étape 1 - à remplir'!$E$31:$E$400,MASQ2!O563,'Étape 1 - à remplir'!$G$31:$G$400,"animaux"),SUMIFS('Étape 1 - à remplir'!$F$31:$F$400,'Étape 1 - à remplir'!$E$31:$E$400,MASQ2!O563,'Étape 1 - à remplir'!$N$31:$N$400,X$3)))))))</f>
        <v>#N/A</v>
      </c>
      <c r="Q563" s="63">
        <f t="shared" si="335"/>
        <v>0</v>
      </c>
      <c r="R563" t="str">
        <f>Données_ATB!BM562</f>
        <v>Tildipirosine</v>
      </c>
      <c r="S563" t="str">
        <f>Données_ATB!BN562</f>
        <v/>
      </c>
      <c r="T563" s="63" t="str">
        <f>Données_ATB!BO562</f>
        <v/>
      </c>
      <c r="U563" s="42" t="str">
        <f>Données_ATB!BQ562</f>
        <v>Macrolides</v>
      </c>
      <c r="V563" t="str">
        <f>Données_ATB!BR562</f>
        <v/>
      </c>
      <c r="W563" s="63" t="str">
        <f>Données_ATB!BS562</f>
        <v/>
      </c>
      <c r="Z563" s="42">
        <v>560</v>
      </c>
      <c r="AA563" t="e">
        <f t="shared" si="331"/>
        <v>#N/A</v>
      </c>
      <c r="AB563" s="63" t="e">
        <f t="shared" si="332"/>
        <v>#N/A</v>
      </c>
      <c r="BT563" s="194" t="str">
        <f t="shared" ca="1" si="315"/>
        <v/>
      </c>
      <c r="BU563" s="219" t="str">
        <f>IFERROR(IF(BX563=0,"",COUNTIF(BX$4:BX$600,"&gt;"&amp;BX563)+COUNTIF(BX$4:BX563,BX563)),"")</f>
        <v/>
      </c>
      <c r="BV563" s="42" t="str">
        <f t="shared" si="316"/>
        <v>ZUPREVO 40 MG/ML SOLUTION INJECTABLE POUR PORCINS</v>
      </c>
      <c r="BW563" t="e">
        <f>IF(IF(CE$2="Catégorie",IF(CE$3="Toutes",SUMIFS('Étape 1 - à remplir'!$F$31:$F$400,'Étape 1 - à remplir'!$E$31:$E$400,MASQ2!BV563,'Étape 1 - à remplir'!$G$31:$G$400,"lots"),SUMIFS('Étape 1 - à remplir'!$F$31:$F$400,'Étape 1 - à remplir'!$E$31:$E$400,MASQ2!BV563,'Étape 1 - à remplir'!$C$31:$C$400,CE$3)),IF(CE$2="Âge",IF(CE$3="Tous",SUMIFS('Étape 1 - à remplir'!$F$31:$F$400,'Étape 1 - à remplir'!$E$31:$E$400,MASQ2!BV563,'Étape 1 - à remplir'!$G$31:$G$400,"lots"),SUMIFS('Étape 1 - à remplir'!$F$31:$F$400,'Étape 1 - à remplir'!$E$31:$E$400,MASQ2!BV563,'Étape 1 - à remplir'!$P$31:$P$400,CE$3,'Étape 1 - à remplir'!$G$31:$G$400,"lots")),IF(CE$2="Atelier",IF(CE$3="Tous",SUMIFS('Étape 1 - à remplir'!$F$31:$F$400,'Étape 1 - à remplir'!$E$31:$E$400,MASQ2!BV563,'Étape 1 - à remplir'!$G$31:$G$400,"lots"),SUMIFS('Étape 1 - à remplir'!$F$31:$F$400,'Étape 1 - à remplir'!$E$31:$E$400,MASQ2!BV563,'Étape 1 - à remplir'!$O$31:$O$400,CE$3,'Étape 1 - à remplir'!$G$31:$G$400,"lots")),IF(CE$2="Espèce",IF(CE$3="Toutes",SUMIFS('Étape 1 - à remplir'!$F$31:$F$400,'Étape 1 - à remplir'!$E$31:$E$400,MASQ2!BV563,'Étape 1 - à remplir'!$G$31:$G$400,"lots"),SUMIFS('Étape 1 - à remplir'!$F$31:$F$400,'Étape 1 - à remplir'!$E$31:$E$400,MASQ2!BV563,'Étape 1 - à remplir'!$N$31:$N$400,CE$3,'Étape 1 - à remplir'!$G$31:$G$400,"lots"))))))=0,NA(),IF(CE$2="Catégorie",IF(CE$3="Toutes",SUMIFS('Étape 1 - à remplir'!$F$31:$F$400,'Étape 1 - à remplir'!$E$31:$E$400,MASQ2!BV563,'Étape 1 - à remplir'!$G$31:$G$400,"lots"),SUMIFS('Étape 1 - à remplir'!$F$31:$F$400,'Étape 1 - à remplir'!$E$31:$E$400,MASQ2!BV563,'Étape 1 - à remplir'!$C$31:$C$400,CE$3)),IF(CE$2="Âge",IF(CE$3="Tous",SUMIFS('Étape 1 - à remplir'!$F$31:$F$400,'Étape 1 - à remplir'!$E$31:$E$400,MASQ2!BV563,'Étape 1 - à remplir'!$G$31:$G$400,"lots"),SUMIFS('Étape 1 - à remplir'!$F$31:$F$400,'Étape 1 - à remplir'!$E$31:$E$400,MASQ2!BV563,'Étape 1 - à remplir'!$P$31:$P$400,CE$3,'Étape 1 - à remplir'!$G$31:$G$400,"lots")),IF(CE$2="Atelier",IF(CE$3="Tous",SUMIFS('Étape 1 - à remplir'!$F$31:$F$400,'Étape 1 - à remplir'!$E$31:$E$400,MASQ2!BV563,'Étape 1 - à remplir'!$G$31:$G$400,"lots"),SUMIFS('Étape 1 - à remplir'!$F$31:$F$400,'Étape 1 - à remplir'!$E$31:$E$400,MASQ2!BV563,'Étape 1 - à remplir'!$O$31:$O$400,CE$3,'Étape 1 - à remplir'!$G$31:$G$400,"lots")),IF(CE$2="Espèce",IF(CE$3="Toutes",SUMIFS('Étape 1 - à remplir'!$F$31:$F$400,'Étape 1 - à remplir'!$E$31:$E$400,MASQ2!BV563,'Étape 1 - à remplir'!$G$31:$G$400,"lots"),SUMIFS('Étape 1 - à remplir'!$F$31:$F$400,'Étape 1 - à remplir'!$E$31:$E$400,MASQ2!BV563,'Étape 1 - à remplir'!$N$31:$N$400,CE$3,'Étape 1 - à remplir'!$G$31:$G$400,"lots")))))))</f>
        <v>#N/A</v>
      </c>
      <c r="BX563">
        <f t="shared" si="333"/>
        <v>0</v>
      </c>
      <c r="BY563" t="str">
        <f t="shared" si="317"/>
        <v>Tildipirosine</v>
      </c>
      <c r="BZ563" t="str">
        <f t="shared" si="318"/>
        <v/>
      </c>
      <c r="CA563" t="str">
        <f t="shared" si="319"/>
        <v/>
      </c>
      <c r="CB563" t="str">
        <f t="shared" si="320"/>
        <v>Macrolides</v>
      </c>
      <c r="CC563" t="str">
        <f t="shared" si="321"/>
        <v/>
      </c>
      <c r="CD563" s="63" t="str">
        <f t="shared" si="322"/>
        <v/>
      </c>
      <c r="CG563" s="42">
        <v>560</v>
      </c>
      <c r="CH563" s="42" t="e">
        <f t="shared" si="338"/>
        <v>#N/A</v>
      </c>
      <c r="CI563" s="63" t="e">
        <f t="shared" si="339"/>
        <v>#N/A</v>
      </c>
      <c r="EA563" s="194" t="str">
        <f t="shared" ca="1" si="323"/>
        <v/>
      </c>
      <c r="EB563" s="226" t="str">
        <f>IFERROR(IF(ED563=0,"",COUNTIF(ED$4:ED$600,"&gt;"&amp;ED563)+COUNTIF(ED$4:ED563,ED563)),"")</f>
        <v/>
      </c>
      <c r="EC563" t="str">
        <f t="shared" si="324"/>
        <v>ZUPREVO 40 MG/ML SOLUTION INJECTABLE POUR PORCINS</v>
      </c>
      <c r="ED563" t="e">
        <f>IF(IF(EL$2="Catégorie",IF(EL$3="Toutes",SUMIFS('Étape 1 - à remplir'!$F$31:$F$400,'Étape 1 - à remplir'!$E$31:$E$400,MASQ2!EC563,'Étape 1 - à remplir'!$G$31:$G$400,"kg"),SUMIFS('Étape 1 - à remplir'!$F$31:$F$400,'Étape 1 - à remplir'!$E$31:$E$400,MASQ2!EC563,'Étape 1 - à remplir'!$C$31:$C$400,EL$3)),IF(EL$2="Âge",IF(EL$3="Tous",SUMIFS('Étape 1 - à remplir'!$F$31:$F$400,'Étape 1 - à remplir'!$E$31:$E$400,MASQ2!EC563,'Étape 1 - à remplir'!$G$31:$G$400,"kg"),SUMIFS('Étape 1 - à remplir'!$F$31:$F$400,'Étape 1 - à remplir'!$E$31:$E$400,MASQ2!EC563,'Étape 1 - à remplir'!$P$31:$P$400,EL$3,'Étape 1 - à remplir'!$G$31:$G$400,"kg")),IF(EL$2="Atelier",IF(EL$3="Tous",SUMIFS('Étape 1 - à remplir'!$F$31:$F$400,'Étape 1 - à remplir'!$E$31:$E$400,MASQ2!EC563,'Étape 1 - à remplir'!$G$31:$G$400,"kg"),SUMIFS('Étape 1 - à remplir'!$F$31:$F$400,'Étape 1 - à remplir'!$E$31:$E$400,MASQ2!EC563,'Étape 1 - à remplir'!$O$31:$O$400,EL$3,'Étape 1 - à remplir'!$G$31:$G$400,"kg")),IF(EL$2="Espèce",IF(EL$3="Toutes",SUMIFS('Étape 1 - à remplir'!$F$31:$F$400,'Étape 1 - à remplir'!$E$31:$E$400,MASQ2!EC563,'Étape 1 - à remplir'!$G$31:$G$400,"kg"),SUMIFS('Étape 1 - à remplir'!$F$31:$F$400,'Étape 1 - à remplir'!$E$31:$E$400,MASQ2!EC563,'Étape 1 - à remplir'!$N$31:$N$400,EL$3,'Étape 1 - à remplir'!$G$31:$G$400,"kg"))))))=0,NA(),IF(EL$2="Catégorie",IF(EL$3="Toutes",SUMIFS('Étape 1 - à remplir'!$F$31:$F$400,'Étape 1 - à remplir'!$E$31:$E$400,MASQ2!EC563,'Étape 1 - à remplir'!$G$31:$G$400,"kg"),SUMIFS('Étape 1 - à remplir'!$F$31:$F$400,'Étape 1 - à remplir'!$E$31:$E$400,MASQ2!EC563,'Étape 1 - à remplir'!$C$31:$C$400,EL$3)),IF(EL$2="Âge",IF(EL$3="Tous",SUMIFS('Étape 1 - à remplir'!$F$31:$F$400,'Étape 1 - à remplir'!$E$31:$E$400,MASQ2!EC563,'Étape 1 - à remplir'!$G$31:$G$400,"kg"),SUMIFS('Étape 1 - à remplir'!$F$31:$F$400,'Étape 1 - à remplir'!$E$31:$E$400,MASQ2!EC563,'Étape 1 - à remplir'!$P$31:$P$400,EL$3,'Étape 1 - à remplir'!$G$31:$G$400,"kg")),IF(EL$2="Atelier",IF(EL$3="Tous",SUMIFS('Étape 1 - à remplir'!$F$31:$F$400,'Étape 1 - à remplir'!$E$31:$E$400,MASQ2!EC563,'Étape 1 - à remplir'!$G$31:$G$400,"kg"),SUMIFS('Étape 1 - à remplir'!$F$31:$F$400,'Étape 1 - à remplir'!$E$31:$E$400,MASQ2!EC563,'Étape 1 - à remplir'!$O$31:$O$400,EL$3,'Étape 1 - à remplir'!$G$31:$G$400,"kg")),IF(EL$2="Espèce",IF(EL$3="Toutes",SUMIFS('Étape 1 - à remplir'!$F$31:$F$400,'Étape 1 - à remplir'!$E$31:$E$400,MASQ2!EC563,'Étape 1 - à remplir'!$G$31:$G$400,"kg"),SUMIFS('Étape 1 - à remplir'!$F$31:$F$400,'Étape 1 - à remplir'!$E$31:$E$400,MASQ2!EC563,'Étape 1 - à remplir'!$N$31:$N$400,EL$3,'Étape 1 - à remplir'!$G$31:$G$400,"kg")))))))</f>
        <v>#N/A</v>
      </c>
      <c r="EE563" s="76">
        <f t="shared" si="334"/>
        <v>0</v>
      </c>
      <c r="EF563" t="str">
        <f t="shared" si="325"/>
        <v>Tildipirosine</v>
      </c>
      <c r="EG563" t="str">
        <f t="shared" si="326"/>
        <v/>
      </c>
      <c r="EH563" t="str">
        <f t="shared" si="327"/>
        <v/>
      </c>
      <c r="EI563" t="str">
        <f t="shared" si="328"/>
        <v>Macrolides</v>
      </c>
      <c r="EJ563" t="str">
        <f t="shared" si="329"/>
        <v/>
      </c>
      <c r="EK563" s="63" t="str">
        <f t="shared" si="330"/>
        <v/>
      </c>
      <c r="EN563" s="42">
        <v>560</v>
      </c>
      <c r="EO563" t="e">
        <f t="shared" si="336"/>
        <v>#N/A</v>
      </c>
      <c r="EP563" s="63" t="e">
        <f t="shared" si="337"/>
        <v>#N/A</v>
      </c>
    </row>
    <row r="564" spans="13:146" x14ac:dyDescent="0.3">
      <c r="M564" s="194" t="e">
        <f ca="1">INDEX(Données_ATB!BD:BU,MATCH(MASQ2!O564,Données_ATB!BD:BD,0),18)</f>
        <v>#N/A</v>
      </c>
      <c r="N564" s="14" t="str">
        <f>IFERROR(IF(Q564=0,"",COUNTIF(Q$4:Q$600,"&gt;"&amp;Q564)+COUNTIF(Q$4:Q564,Q564)),"")</f>
        <v/>
      </c>
      <c r="O564">
        <f>Données_ATB!BD563</f>
        <v>0</v>
      </c>
      <c r="P564" t="e">
        <f>IF(IF(X$2="Catégorie",IF(X$3="Toutes",SUMIFS('Étape 1 - à remplir'!$F$31:$F$400,'Étape 1 - à remplir'!$E$31:$E$400,MASQ2!O564,'Étape 1 - à remplir'!$G$31:$G$400,"animaux"),SUMIFS('Étape 1 - à remplir'!$F$31:$F$400,'Étape 1 - à remplir'!$E$31:$E$400,MASQ2!O564,'Étape 1 - à remplir'!$C$31:$C$400,X$3)),IF(X$2="Âge",IF(X$3="Tous",SUMIFS('Étape 1 - à remplir'!$F$31:$F$400,'Étape 1 - à remplir'!$E$31:$E$400,MASQ2!O564,'Étape 1 - à remplir'!$G$31:$G$400,"animaux"),SUMIFS('Étape 1 - à remplir'!$F$31:$F$400,'Étape 1 - à remplir'!$E$31:$E$400,MASQ2!O564,'Étape 1 - à remplir'!$P$31:$P$400,X$3)),IF(X$2="Atelier",IF(X$3="Tous",SUMIFS('Étape 1 - à remplir'!$F$31:$F$400,'Étape 1 - à remplir'!$E$31:$E$400,MASQ2!O564,'Étape 1 - à remplir'!$G$31:$G$400,"animaux"),SUMIFS('Étape 1 - à remplir'!$F$31:$F$400,'Étape 1 - à remplir'!$E$31:$E$400,MASQ2!O564,'Étape 1 - à remplir'!$O$31:$O$400,X$3)),IF(X$2="Espèce",IF(X$3="Toutes",SUMIFS('Étape 1 - à remplir'!$F$31:$F$400,'Étape 1 - à remplir'!$E$31:$E$400,MASQ2!O564,'Étape 1 - à remplir'!$G$31:$G$400,"animaux"),SUMIFS('Étape 1 - à remplir'!$F$31:$F$400,'Étape 1 - à remplir'!$E$31:$E$400,MASQ2!O564,'Étape 1 - à remplir'!$N$31:$N$400,X$3))))))=0,NA(),IF(X$2="Catégorie",IF(X$3="Toutes",SUMIFS('Étape 1 - à remplir'!$F$31:$F$400,'Étape 1 - à remplir'!$E$31:$E$400,MASQ2!O564,'Étape 1 - à remplir'!$G$31:$G$400,"animaux"),SUMIFS('Étape 1 - à remplir'!$F$31:$F$400,'Étape 1 - à remplir'!$E$31:$E$400,MASQ2!O564,'Étape 1 - à remplir'!$C$31:$C$400,X$3)),IF(X$2="Âge",IF(X$3="Tous",SUMIFS('Étape 1 - à remplir'!$F$31:$F$400,'Étape 1 - à remplir'!$E$31:$E$400,MASQ2!O564,'Étape 1 - à remplir'!$G$31:$G$400,"animaux"),SUMIFS('Étape 1 - à remplir'!$F$31:$F$400,'Étape 1 - à remplir'!$E$31:$E$400,MASQ2!O564,'Étape 1 - à remplir'!$P$31:$P$400,X$3)),IF(X$2="Atelier",IF(X$3="Tous",SUMIFS('Étape 1 - à remplir'!$F$31:$F$400,'Étape 1 - à remplir'!$E$31:$E$400,MASQ2!O564,'Étape 1 - à remplir'!$G$31:$G$400,"animaux"),SUMIFS('Étape 1 - à remplir'!$F$31:$F$400,'Étape 1 - à remplir'!$E$31:$E$400,MASQ2!O564,'Étape 1 - à remplir'!$O$31:$O$400,X$3)),IF(X$2="Espèce",IF(X$3="Toutes",SUMIFS('Étape 1 - à remplir'!$F$31:$F$400,'Étape 1 - à remplir'!$E$31:$E$400,MASQ2!O564,'Étape 1 - à remplir'!$G$31:$G$400,"animaux"),SUMIFS('Étape 1 - à remplir'!$F$31:$F$400,'Étape 1 - à remplir'!$E$31:$E$400,MASQ2!O564,'Étape 1 - à remplir'!$N$31:$N$400,X$3)))))))</f>
        <v>#N/A</v>
      </c>
      <c r="Q564" s="63">
        <f t="shared" si="335"/>
        <v>0</v>
      </c>
      <c r="R564" t="str">
        <f>Données_ATB!BM563</f>
        <v/>
      </c>
      <c r="S564" t="str">
        <f>Données_ATB!BN563</f>
        <v/>
      </c>
      <c r="T564" s="63" t="str">
        <f>Données_ATB!BO563</f>
        <v/>
      </c>
      <c r="U564" s="42" t="str">
        <f>Données_ATB!BQ563</f>
        <v/>
      </c>
      <c r="V564" t="str">
        <f>Données_ATB!BR563</f>
        <v/>
      </c>
      <c r="W564" s="63" t="str">
        <f>Données_ATB!BS563</f>
        <v/>
      </c>
      <c r="Z564" s="42">
        <v>561</v>
      </c>
      <c r="AA564" t="e">
        <f t="shared" si="331"/>
        <v>#N/A</v>
      </c>
      <c r="AB564" s="63" t="e">
        <f t="shared" si="332"/>
        <v>#N/A</v>
      </c>
      <c r="BT564" s="194" t="e">
        <f t="shared" ca="1" si="315"/>
        <v>#N/A</v>
      </c>
      <c r="BU564" s="219" t="str">
        <f>IFERROR(IF(BX564=0,"",COUNTIF(BX$4:BX$600,"&gt;"&amp;BX564)+COUNTIF(BX$4:BX564,BX564)),"")</f>
        <v/>
      </c>
      <c r="BV564" s="42">
        <f t="shared" si="316"/>
        <v>0</v>
      </c>
      <c r="BW564" t="e">
        <f>IF(IF(CE$2="Catégorie",IF(CE$3="Toutes",SUMIFS('Étape 1 - à remplir'!$F$31:$F$400,'Étape 1 - à remplir'!$E$31:$E$400,MASQ2!BV564,'Étape 1 - à remplir'!$G$31:$G$400,"lots"),SUMIFS('Étape 1 - à remplir'!$F$31:$F$400,'Étape 1 - à remplir'!$E$31:$E$400,MASQ2!BV564,'Étape 1 - à remplir'!$C$31:$C$400,CE$3)),IF(CE$2="Âge",IF(CE$3="Tous",SUMIFS('Étape 1 - à remplir'!$F$31:$F$400,'Étape 1 - à remplir'!$E$31:$E$400,MASQ2!BV564,'Étape 1 - à remplir'!$G$31:$G$400,"lots"),SUMIFS('Étape 1 - à remplir'!$F$31:$F$400,'Étape 1 - à remplir'!$E$31:$E$400,MASQ2!BV564,'Étape 1 - à remplir'!$P$31:$P$400,CE$3,'Étape 1 - à remplir'!$G$31:$G$400,"lots")),IF(CE$2="Atelier",IF(CE$3="Tous",SUMIFS('Étape 1 - à remplir'!$F$31:$F$400,'Étape 1 - à remplir'!$E$31:$E$400,MASQ2!BV564,'Étape 1 - à remplir'!$G$31:$G$400,"lots"),SUMIFS('Étape 1 - à remplir'!$F$31:$F$400,'Étape 1 - à remplir'!$E$31:$E$400,MASQ2!BV564,'Étape 1 - à remplir'!$O$31:$O$400,CE$3,'Étape 1 - à remplir'!$G$31:$G$400,"lots")),IF(CE$2="Espèce",IF(CE$3="Toutes",SUMIFS('Étape 1 - à remplir'!$F$31:$F$400,'Étape 1 - à remplir'!$E$31:$E$400,MASQ2!BV564,'Étape 1 - à remplir'!$G$31:$G$400,"lots"),SUMIFS('Étape 1 - à remplir'!$F$31:$F$400,'Étape 1 - à remplir'!$E$31:$E$400,MASQ2!BV564,'Étape 1 - à remplir'!$N$31:$N$400,CE$3,'Étape 1 - à remplir'!$G$31:$G$400,"lots"))))))=0,NA(),IF(CE$2="Catégorie",IF(CE$3="Toutes",SUMIFS('Étape 1 - à remplir'!$F$31:$F$400,'Étape 1 - à remplir'!$E$31:$E$400,MASQ2!BV564,'Étape 1 - à remplir'!$G$31:$G$400,"lots"),SUMIFS('Étape 1 - à remplir'!$F$31:$F$400,'Étape 1 - à remplir'!$E$31:$E$400,MASQ2!BV564,'Étape 1 - à remplir'!$C$31:$C$400,CE$3)),IF(CE$2="Âge",IF(CE$3="Tous",SUMIFS('Étape 1 - à remplir'!$F$31:$F$400,'Étape 1 - à remplir'!$E$31:$E$400,MASQ2!BV564,'Étape 1 - à remplir'!$G$31:$G$400,"lots"),SUMIFS('Étape 1 - à remplir'!$F$31:$F$400,'Étape 1 - à remplir'!$E$31:$E$400,MASQ2!BV564,'Étape 1 - à remplir'!$P$31:$P$400,CE$3,'Étape 1 - à remplir'!$G$31:$G$400,"lots")),IF(CE$2="Atelier",IF(CE$3="Tous",SUMIFS('Étape 1 - à remplir'!$F$31:$F$400,'Étape 1 - à remplir'!$E$31:$E$400,MASQ2!BV564,'Étape 1 - à remplir'!$G$31:$G$400,"lots"),SUMIFS('Étape 1 - à remplir'!$F$31:$F$400,'Étape 1 - à remplir'!$E$31:$E$400,MASQ2!BV564,'Étape 1 - à remplir'!$O$31:$O$400,CE$3,'Étape 1 - à remplir'!$G$31:$G$400,"lots")),IF(CE$2="Espèce",IF(CE$3="Toutes",SUMIFS('Étape 1 - à remplir'!$F$31:$F$400,'Étape 1 - à remplir'!$E$31:$E$400,MASQ2!BV564,'Étape 1 - à remplir'!$G$31:$G$400,"lots"),SUMIFS('Étape 1 - à remplir'!$F$31:$F$400,'Étape 1 - à remplir'!$E$31:$E$400,MASQ2!BV564,'Étape 1 - à remplir'!$N$31:$N$400,CE$3,'Étape 1 - à remplir'!$G$31:$G$400,"lots")))))))</f>
        <v>#N/A</v>
      </c>
      <c r="BX564">
        <f t="shared" si="333"/>
        <v>0</v>
      </c>
      <c r="BY564" t="str">
        <f t="shared" si="317"/>
        <v/>
      </c>
      <c r="BZ564" t="str">
        <f t="shared" si="318"/>
        <v/>
      </c>
      <c r="CA564" t="str">
        <f t="shared" si="319"/>
        <v/>
      </c>
      <c r="CB564" t="str">
        <f t="shared" si="320"/>
        <v/>
      </c>
      <c r="CC564" t="str">
        <f t="shared" si="321"/>
        <v/>
      </c>
      <c r="CD564" s="63" t="str">
        <f t="shared" si="322"/>
        <v/>
      </c>
      <c r="CG564" s="42">
        <v>561</v>
      </c>
      <c r="CH564" s="42" t="e">
        <f t="shared" si="338"/>
        <v>#N/A</v>
      </c>
      <c r="CI564" s="63" t="e">
        <f t="shared" si="339"/>
        <v>#N/A</v>
      </c>
      <c r="EA564" s="194" t="e">
        <f t="shared" ca="1" si="323"/>
        <v>#N/A</v>
      </c>
      <c r="EB564" s="226" t="str">
        <f>IFERROR(IF(ED564=0,"",COUNTIF(ED$4:ED$600,"&gt;"&amp;ED564)+COUNTIF(ED$4:ED564,ED564)),"")</f>
        <v/>
      </c>
      <c r="EC564">
        <f t="shared" si="324"/>
        <v>0</v>
      </c>
      <c r="ED564" t="e">
        <f>IF(IF(EL$2="Catégorie",IF(EL$3="Toutes",SUMIFS('Étape 1 - à remplir'!$F$31:$F$400,'Étape 1 - à remplir'!$E$31:$E$400,MASQ2!EC564,'Étape 1 - à remplir'!$G$31:$G$400,"kg"),SUMIFS('Étape 1 - à remplir'!$F$31:$F$400,'Étape 1 - à remplir'!$E$31:$E$400,MASQ2!EC564,'Étape 1 - à remplir'!$C$31:$C$400,EL$3)),IF(EL$2="Âge",IF(EL$3="Tous",SUMIFS('Étape 1 - à remplir'!$F$31:$F$400,'Étape 1 - à remplir'!$E$31:$E$400,MASQ2!EC564,'Étape 1 - à remplir'!$G$31:$G$400,"kg"),SUMIFS('Étape 1 - à remplir'!$F$31:$F$400,'Étape 1 - à remplir'!$E$31:$E$400,MASQ2!EC564,'Étape 1 - à remplir'!$P$31:$P$400,EL$3,'Étape 1 - à remplir'!$G$31:$G$400,"kg")),IF(EL$2="Atelier",IF(EL$3="Tous",SUMIFS('Étape 1 - à remplir'!$F$31:$F$400,'Étape 1 - à remplir'!$E$31:$E$400,MASQ2!EC564,'Étape 1 - à remplir'!$G$31:$G$400,"kg"),SUMIFS('Étape 1 - à remplir'!$F$31:$F$400,'Étape 1 - à remplir'!$E$31:$E$400,MASQ2!EC564,'Étape 1 - à remplir'!$O$31:$O$400,EL$3,'Étape 1 - à remplir'!$G$31:$G$400,"kg")),IF(EL$2="Espèce",IF(EL$3="Toutes",SUMIFS('Étape 1 - à remplir'!$F$31:$F$400,'Étape 1 - à remplir'!$E$31:$E$400,MASQ2!EC564,'Étape 1 - à remplir'!$G$31:$G$400,"kg"),SUMIFS('Étape 1 - à remplir'!$F$31:$F$400,'Étape 1 - à remplir'!$E$31:$E$400,MASQ2!EC564,'Étape 1 - à remplir'!$N$31:$N$400,EL$3,'Étape 1 - à remplir'!$G$31:$G$400,"kg"))))))=0,NA(),IF(EL$2="Catégorie",IF(EL$3="Toutes",SUMIFS('Étape 1 - à remplir'!$F$31:$F$400,'Étape 1 - à remplir'!$E$31:$E$400,MASQ2!EC564,'Étape 1 - à remplir'!$G$31:$G$400,"kg"),SUMIFS('Étape 1 - à remplir'!$F$31:$F$400,'Étape 1 - à remplir'!$E$31:$E$400,MASQ2!EC564,'Étape 1 - à remplir'!$C$31:$C$400,EL$3)),IF(EL$2="Âge",IF(EL$3="Tous",SUMIFS('Étape 1 - à remplir'!$F$31:$F$400,'Étape 1 - à remplir'!$E$31:$E$400,MASQ2!EC564,'Étape 1 - à remplir'!$G$31:$G$400,"kg"),SUMIFS('Étape 1 - à remplir'!$F$31:$F$400,'Étape 1 - à remplir'!$E$31:$E$400,MASQ2!EC564,'Étape 1 - à remplir'!$P$31:$P$400,EL$3,'Étape 1 - à remplir'!$G$31:$G$400,"kg")),IF(EL$2="Atelier",IF(EL$3="Tous",SUMIFS('Étape 1 - à remplir'!$F$31:$F$400,'Étape 1 - à remplir'!$E$31:$E$400,MASQ2!EC564,'Étape 1 - à remplir'!$G$31:$G$400,"kg"),SUMIFS('Étape 1 - à remplir'!$F$31:$F$400,'Étape 1 - à remplir'!$E$31:$E$400,MASQ2!EC564,'Étape 1 - à remplir'!$O$31:$O$400,EL$3,'Étape 1 - à remplir'!$G$31:$G$400,"kg")),IF(EL$2="Espèce",IF(EL$3="Toutes",SUMIFS('Étape 1 - à remplir'!$F$31:$F$400,'Étape 1 - à remplir'!$E$31:$E$400,MASQ2!EC564,'Étape 1 - à remplir'!$G$31:$G$400,"kg"),SUMIFS('Étape 1 - à remplir'!$F$31:$F$400,'Étape 1 - à remplir'!$E$31:$E$400,MASQ2!EC564,'Étape 1 - à remplir'!$N$31:$N$400,EL$3,'Étape 1 - à remplir'!$G$31:$G$400,"kg")))))))</f>
        <v>#N/A</v>
      </c>
      <c r="EE564" s="76">
        <f t="shared" si="334"/>
        <v>0</v>
      </c>
      <c r="EF564" t="str">
        <f t="shared" si="325"/>
        <v/>
      </c>
      <c r="EG564" t="str">
        <f t="shared" si="326"/>
        <v/>
      </c>
      <c r="EH564" t="str">
        <f t="shared" si="327"/>
        <v/>
      </c>
      <c r="EI564" t="str">
        <f t="shared" si="328"/>
        <v/>
      </c>
      <c r="EJ564" t="str">
        <f t="shared" si="329"/>
        <v/>
      </c>
      <c r="EK564" s="63" t="str">
        <f t="shared" si="330"/>
        <v/>
      </c>
      <c r="EN564" s="42">
        <v>561</v>
      </c>
      <c r="EO564" t="e">
        <f t="shared" si="336"/>
        <v>#N/A</v>
      </c>
      <c r="EP564" s="63" t="e">
        <f t="shared" si="337"/>
        <v>#N/A</v>
      </c>
    </row>
    <row r="565" spans="13:146" x14ac:dyDescent="0.3">
      <c r="M565" s="194" t="e">
        <f ca="1">INDEX(Données_ATB!BD:BU,MATCH(MASQ2!O565,Données_ATB!BD:BD,0),18)</f>
        <v>#N/A</v>
      </c>
      <c r="N565" s="14" t="str">
        <f>IFERROR(IF(Q565=0,"",COUNTIF(Q$4:Q$600,"&gt;"&amp;Q565)+COUNTIF(Q$4:Q565,Q565)),"")</f>
        <v/>
      </c>
      <c r="O565">
        <f>Données_ATB!BD564</f>
        <v>0</v>
      </c>
      <c r="P565" t="e">
        <f>IF(IF(X$2="Catégorie",IF(X$3="Toutes",SUMIFS('Étape 1 - à remplir'!$F$31:$F$400,'Étape 1 - à remplir'!$E$31:$E$400,MASQ2!O565,'Étape 1 - à remplir'!$G$31:$G$400,"animaux"),SUMIFS('Étape 1 - à remplir'!$F$31:$F$400,'Étape 1 - à remplir'!$E$31:$E$400,MASQ2!O565,'Étape 1 - à remplir'!$C$31:$C$400,X$3)),IF(X$2="Âge",IF(X$3="Tous",SUMIFS('Étape 1 - à remplir'!$F$31:$F$400,'Étape 1 - à remplir'!$E$31:$E$400,MASQ2!O565,'Étape 1 - à remplir'!$G$31:$G$400,"animaux"),SUMIFS('Étape 1 - à remplir'!$F$31:$F$400,'Étape 1 - à remplir'!$E$31:$E$400,MASQ2!O565,'Étape 1 - à remplir'!$P$31:$P$400,X$3)),IF(X$2="Atelier",IF(X$3="Tous",SUMIFS('Étape 1 - à remplir'!$F$31:$F$400,'Étape 1 - à remplir'!$E$31:$E$400,MASQ2!O565,'Étape 1 - à remplir'!$G$31:$G$400,"animaux"),SUMIFS('Étape 1 - à remplir'!$F$31:$F$400,'Étape 1 - à remplir'!$E$31:$E$400,MASQ2!O565,'Étape 1 - à remplir'!$O$31:$O$400,X$3)),IF(X$2="Espèce",IF(X$3="Toutes",SUMIFS('Étape 1 - à remplir'!$F$31:$F$400,'Étape 1 - à remplir'!$E$31:$E$400,MASQ2!O565,'Étape 1 - à remplir'!$G$31:$G$400,"animaux"),SUMIFS('Étape 1 - à remplir'!$F$31:$F$400,'Étape 1 - à remplir'!$E$31:$E$400,MASQ2!O565,'Étape 1 - à remplir'!$N$31:$N$400,X$3))))))=0,NA(),IF(X$2="Catégorie",IF(X$3="Toutes",SUMIFS('Étape 1 - à remplir'!$F$31:$F$400,'Étape 1 - à remplir'!$E$31:$E$400,MASQ2!O565,'Étape 1 - à remplir'!$G$31:$G$400,"animaux"),SUMIFS('Étape 1 - à remplir'!$F$31:$F$400,'Étape 1 - à remplir'!$E$31:$E$400,MASQ2!O565,'Étape 1 - à remplir'!$C$31:$C$400,X$3)),IF(X$2="Âge",IF(X$3="Tous",SUMIFS('Étape 1 - à remplir'!$F$31:$F$400,'Étape 1 - à remplir'!$E$31:$E$400,MASQ2!O565,'Étape 1 - à remplir'!$G$31:$G$400,"animaux"),SUMIFS('Étape 1 - à remplir'!$F$31:$F$400,'Étape 1 - à remplir'!$E$31:$E$400,MASQ2!O565,'Étape 1 - à remplir'!$P$31:$P$400,X$3)),IF(X$2="Atelier",IF(X$3="Tous",SUMIFS('Étape 1 - à remplir'!$F$31:$F$400,'Étape 1 - à remplir'!$E$31:$E$400,MASQ2!O565,'Étape 1 - à remplir'!$G$31:$G$400,"animaux"),SUMIFS('Étape 1 - à remplir'!$F$31:$F$400,'Étape 1 - à remplir'!$E$31:$E$400,MASQ2!O565,'Étape 1 - à remplir'!$O$31:$O$400,X$3)),IF(X$2="Espèce",IF(X$3="Toutes",SUMIFS('Étape 1 - à remplir'!$F$31:$F$400,'Étape 1 - à remplir'!$E$31:$E$400,MASQ2!O565,'Étape 1 - à remplir'!$G$31:$G$400,"animaux"),SUMIFS('Étape 1 - à remplir'!$F$31:$F$400,'Étape 1 - à remplir'!$E$31:$E$400,MASQ2!O565,'Étape 1 - à remplir'!$N$31:$N$400,X$3)))))))</f>
        <v>#N/A</v>
      </c>
      <c r="Q565" s="63">
        <f t="shared" si="335"/>
        <v>0</v>
      </c>
      <c r="R565" t="str">
        <f>Données_ATB!BM564</f>
        <v/>
      </c>
      <c r="S565" t="str">
        <f>Données_ATB!BN564</f>
        <v/>
      </c>
      <c r="T565" s="63" t="str">
        <f>Données_ATB!BO564</f>
        <v/>
      </c>
      <c r="U565" s="42" t="str">
        <f>Données_ATB!BQ564</f>
        <v/>
      </c>
      <c r="V565" t="str">
        <f>Données_ATB!BR564</f>
        <v/>
      </c>
      <c r="W565" s="63" t="str">
        <f>Données_ATB!BS564</f>
        <v/>
      </c>
      <c r="Z565" s="42">
        <v>562</v>
      </c>
      <c r="AA565" t="e">
        <f t="shared" si="331"/>
        <v>#N/A</v>
      </c>
      <c r="AB565" s="63" t="e">
        <f t="shared" si="332"/>
        <v>#N/A</v>
      </c>
      <c r="BT565" s="194" t="e">
        <f t="shared" ca="1" si="315"/>
        <v>#N/A</v>
      </c>
      <c r="BU565" s="219" t="str">
        <f>IFERROR(IF(BX565=0,"",COUNTIF(BX$4:BX$600,"&gt;"&amp;BX565)+COUNTIF(BX$4:BX565,BX565)),"")</f>
        <v/>
      </c>
      <c r="BV565" s="42">
        <f t="shared" si="316"/>
        <v>0</v>
      </c>
      <c r="BW565" t="e">
        <f>IF(IF(CE$2="Catégorie",IF(CE$3="Toutes",SUMIFS('Étape 1 - à remplir'!$F$31:$F$400,'Étape 1 - à remplir'!$E$31:$E$400,MASQ2!BV565,'Étape 1 - à remplir'!$G$31:$G$400,"lots"),SUMIFS('Étape 1 - à remplir'!$F$31:$F$400,'Étape 1 - à remplir'!$E$31:$E$400,MASQ2!BV565,'Étape 1 - à remplir'!$C$31:$C$400,CE$3)),IF(CE$2="Âge",IF(CE$3="Tous",SUMIFS('Étape 1 - à remplir'!$F$31:$F$400,'Étape 1 - à remplir'!$E$31:$E$400,MASQ2!BV565,'Étape 1 - à remplir'!$G$31:$G$400,"lots"),SUMIFS('Étape 1 - à remplir'!$F$31:$F$400,'Étape 1 - à remplir'!$E$31:$E$400,MASQ2!BV565,'Étape 1 - à remplir'!$P$31:$P$400,CE$3,'Étape 1 - à remplir'!$G$31:$G$400,"lots")),IF(CE$2="Atelier",IF(CE$3="Tous",SUMIFS('Étape 1 - à remplir'!$F$31:$F$400,'Étape 1 - à remplir'!$E$31:$E$400,MASQ2!BV565,'Étape 1 - à remplir'!$G$31:$G$400,"lots"),SUMIFS('Étape 1 - à remplir'!$F$31:$F$400,'Étape 1 - à remplir'!$E$31:$E$400,MASQ2!BV565,'Étape 1 - à remplir'!$O$31:$O$400,CE$3,'Étape 1 - à remplir'!$G$31:$G$400,"lots")),IF(CE$2="Espèce",IF(CE$3="Toutes",SUMIFS('Étape 1 - à remplir'!$F$31:$F$400,'Étape 1 - à remplir'!$E$31:$E$400,MASQ2!BV565,'Étape 1 - à remplir'!$G$31:$G$400,"lots"),SUMIFS('Étape 1 - à remplir'!$F$31:$F$400,'Étape 1 - à remplir'!$E$31:$E$400,MASQ2!BV565,'Étape 1 - à remplir'!$N$31:$N$400,CE$3,'Étape 1 - à remplir'!$G$31:$G$400,"lots"))))))=0,NA(),IF(CE$2="Catégorie",IF(CE$3="Toutes",SUMIFS('Étape 1 - à remplir'!$F$31:$F$400,'Étape 1 - à remplir'!$E$31:$E$400,MASQ2!BV565,'Étape 1 - à remplir'!$G$31:$G$400,"lots"),SUMIFS('Étape 1 - à remplir'!$F$31:$F$400,'Étape 1 - à remplir'!$E$31:$E$400,MASQ2!BV565,'Étape 1 - à remplir'!$C$31:$C$400,CE$3)),IF(CE$2="Âge",IF(CE$3="Tous",SUMIFS('Étape 1 - à remplir'!$F$31:$F$400,'Étape 1 - à remplir'!$E$31:$E$400,MASQ2!BV565,'Étape 1 - à remplir'!$G$31:$G$400,"lots"),SUMIFS('Étape 1 - à remplir'!$F$31:$F$400,'Étape 1 - à remplir'!$E$31:$E$400,MASQ2!BV565,'Étape 1 - à remplir'!$P$31:$P$400,CE$3,'Étape 1 - à remplir'!$G$31:$G$400,"lots")),IF(CE$2="Atelier",IF(CE$3="Tous",SUMIFS('Étape 1 - à remplir'!$F$31:$F$400,'Étape 1 - à remplir'!$E$31:$E$400,MASQ2!BV565,'Étape 1 - à remplir'!$G$31:$G$400,"lots"),SUMIFS('Étape 1 - à remplir'!$F$31:$F$400,'Étape 1 - à remplir'!$E$31:$E$400,MASQ2!BV565,'Étape 1 - à remplir'!$O$31:$O$400,CE$3,'Étape 1 - à remplir'!$G$31:$G$400,"lots")),IF(CE$2="Espèce",IF(CE$3="Toutes",SUMIFS('Étape 1 - à remplir'!$F$31:$F$400,'Étape 1 - à remplir'!$E$31:$E$400,MASQ2!BV565,'Étape 1 - à remplir'!$G$31:$G$400,"lots"),SUMIFS('Étape 1 - à remplir'!$F$31:$F$400,'Étape 1 - à remplir'!$E$31:$E$400,MASQ2!BV565,'Étape 1 - à remplir'!$N$31:$N$400,CE$3,'Étape 1 - à remplir'!$G$31:$G$400,"lots")))))))</f>
        <v>#N/A</v>
      </c>
      <c r="BX565">
        <f t="shared" si="333"/>
        <v>0</v>
      </c>
      <c r="BY565" t="str">
        <f t="shared" si="317"/>
        <v/>
      </c>
      <c r="BZ565" t="str">
        <f t="shared" si="318"/>
        <v/>
      </c>
      <c r="CA565" t="str">
        <f t="shared" si="319"/>
        <v/>
      </c>
      <c r="CB565" t="str">
        <f t="shared" si="320"/>
        <v/>
      </c>
      <c r="CC565" t="str">
        <f t="shared" si="321"/>
        <v/>
      </c>
      <c r="CD565" s="63" t="str">
        <f t="shared" si="322"/>
        <v/>
      </c>
      <c r="CG565" s="42">
        <v>562</v>
      </c>
      <c r="CH565" s="42" t="e">
        <f t="shared" si="338"/>
        <v>#N/A</v>
      </c>
      <c r="CI565" s="63" t="e">
        <f t="shared" si="339"/>
        <v>#N/A</v>
      </c>
      <c r="EA565" s="194" t="e">
        <f t="shared" ca="1" si="323"/>
        <v>#N/A</v>
      </c>
      <c r="EB565" s="226" t="str">
        <f>IFERROR(IF(ED565=0,"",COUNTIF(ED$4:ED$600,"&gt;"&amp;ED565)+COUNTIF(ED$4:ED565,ED565)),"")</f>
        <v/>
      </c>
      <c r="EC565">
        <f t="shared" si="324"/>
        <v>0</v>
      </c>
      <c r="ED565" t="e">
        <f>IF(IF(EL$2="Catégorie",IF(EL$3="Toutes",SUMIFS('Étape 1 - à remplir'!$F$31:$F$400,'Étape 1 - à remplir'!$E$31:$E$400,MASQ2!EC565,'Étape 1 - à remplir'!$G$31:$G$400,"kg"),SUMIFS('Étape 1 - à remplir'!$F$31:$F$400,'Étape 1 - à remplir'!$E$31:$E$400,MASQ2!EC565,'Étape 1 - à remplir'!$C$31:$C$400,EL$3)),IF(EL$2="Âge",IF(EL$3="Tous",SUMIFS('Étape 1 - à remplir'!$F$31:$F$400,'Étape 1 - à remplir'!$E$31:$E$400,MASQ2!EC565,'Étape 1 - à remplir'!$G$31:$G$400,"kg"),SUMIFS('Étape 1 - à remplir'!$F$31:$F$400,'Étape 1 - à remplir'!$E$31:$E$400,MASQ2!EC565,'Étape 1 - à remplir'!$P$31:$P$400,EL$3,'Étape 1 - à remplir'!$G$31:$G$400,"kg")),IF(EL$2="Atelier",IF(EL$3="Tous",SUMIFS('Étape 1 - à remplir'!$F$31:$F$400,'Étape 1 - à remplir'!$E$31:$E$400,MASQ2!EC565,'Étape 1 - à remplir'!$G$31:$G$400,"kg"),SUMIFS('Étape 1 - à remplir'!$F$31:$F$400,'Étape 1 - à remplir'!$E$31:$E$400,MASQ2!EC565,'Étape 1 - à remplir'!$O$31:$O$400,EL$3,'Étape 1 - à remplir'!$G$31:$G$400,"kg")),IF(EL$2="Espèce",IF(EL$3="Toutes",SUMIFS('Étape 1 - à remplir'!$F$31:$F$400,'Étape 1 - à remplir'!$E$31:$E$400,MASQ2!EC565,'Étape 1 - à remplir'!$G$31:$G$400,"kg"),SUMIFS('Étape 1 - à remplir'!$F$31:$F$400,'Étape 1 - à remplir'!$E$31:$E$400,MASQ2!EC565,'Étape 1 - à remplir'!$N$31:$N$400,EL$3,'Étape 1 - à remplir'!$G$31:$G$400,"kg"))))))=0,NA(),IF(EL$2="Catégorie",IF(EL$3="Toutes",SUMIFS('Étape 1 - à remplir'!$F$31:$F$400,'Étape 1 - à remplir'!$E$31:$E$400,MASQ2!EC565,'Étape 1 - à remplir'!$G$31:$G$400,"kg"),SUMIFS('Étape 1 - à remplir'!$F$31:$F$400,'Étape 1 - à remplir'!$E$31:$E$400,MASQ2!EC565,'Étape 1 - à remplir'!$C$31:$C$400,EL$3)),IF(EL$2="Âge",IF(EL$3="Tous",SUMIFS('Étape 1 - à remplir'!$F$31:$F$400,'Étape 1 - à remplir'!$E$31:$E$400,MASQ2!EC565,'Étape 1 - à remplir'!$G$31:$G$400,"kg"),SUMIFS('Étape 1 - à remplir'!$F$31:$F$400,'Étape 1 - à remplir'!$E$31:$E$400,MASQ2!EC565,'Étape 1 - à remplir'!$P$31:$P$400,EL$3,'Étape 1 - à remplir'!$G$31:$G$400,"kg")),IF(EL$2="Atelier",IF(EL$3="Tous",SUMIFS('Étape 1 - à remplir'!$F$31:$F$400,'Étape 1 - à remplir'!$E$31:$E$400,MASQ2!EC565,'Étape 1 - à remplir'!$G$31:$G$400,"kg"),SUMIFS('Étape 1 - à remplir'!$F$31:$F$400,'Étape 1 - à remplir'!$E$31:$E$400,MASQ2!EC565,'Étape 1 - à remplir'!$O$31:$O$400,EL$3,'Étape 1 - à remplir'!$G$31:$G$400,"kg")),IF(EL$2="Espèce",IF(EL$3="Toutes",SUMIFS('Étape 1 - à remplir'!$F$31:$F$400,'Étape 1 - à remplir'!$E$31:$E$400,MASQ2!EC565,'Étape 1 - à remplir'!$G$31:$G$400,"kg"),SUMIFS('Étape 1 - à remplir'!$F$31:$F$400,'Étape 1 - à remplir'!$E$31:$E$400,MASQ2!EC565,'Étape 1 - à remplir'!$N$31:$N$400,EL$3,'Étape 1 - à remplir'!$G$31:$G$400,"kg")))))))</f>
        <v>#N/A</v>
      </c>
      <c r="EE565" s="76">
        <f t="shared" si="334"/>
        <v>0</v>
      </c>
      <c r="EF565" t="str">
        <f t="shared" si="325"/>
        <v/>
      </c>
      <c r="EG565" t="str">
        <f t="shared" si="326"/>
        <v/>
      </c>
      <c r="EH565" t="str">
        <f t="shared" si="327"/>
        <v/>
      </c>
      <c r="EI565" t="str">
        <f t="shared" si="328"/>
        <v/>
      </c>
      <c r="EJ565" t="str">
        <f t="shared" si="329"/>
        <v/>
      </c>
      <c r="EK565" s="63" t="str">
        <f t="shared" si="330"/>
        <v/>
      </c>
      <c r="EN565" s="42">
        <v>562</v>
      </c>
      <c r="EO565" t="e">
        <f t="shared" si="336"/>
        <v>#N/A</v>
      </c>
      <c r="EP565" s="63" t="e">
        <f t="shared" si="337"/>
        <v>#N/A</v>
      </c>
    </row>
    <row r="566" spans="13:146" x14ac:dyDescent="0.3">
      <c r="M566" s="194" t="e">
        <f ca="1">INDEX(Données_ATB!BD:BU,MATCH(MASQ2!O566,Données_ATB!BD:BD,0),18)</f>
        <v>#N/A</v>
      </c>
      <c r="N566" s="14" t="str">
        <f>IFERROR(IF(Q566=0,"",COUNTIF(Q$4:Q$600,"&gt;"&amp;Q566)+COUNTIF(Q$4:Q566,Q566)),"")</f>
        <v/>
      </c>
      <c r="O566">
        <f>Données_ATB!BD565</f>
        <v>0</v>
      </c>
      <c r="P566" t="e">
        <f>IF(IF(X$2="Catégorie",IF(X$3="Toutes",SUMIFS('Étape 1 - à remplir'!$F$31:$F$400,'Étape 1 - à remplir'!$E$31:$E$400,MASQ2!O566,'Étape 1 - à remplir'!$G$31:$G$400,"animaux"),SUMIFS('Étape 1 - à remplir'!$F$31:$F$400,'Étape 1 - à remplir'!$E$31:$E$400,MASQ2!O566,'Étape 1 - à remplir'!$C$31:$C$400,X$3)),IF(X$2="Âge",IF(X$3="Tous",SUMIFS('Étape 1 - à remplir'!$F$31:$F$400,'Étape 1 - à remplir'!$E$31:$E$400,MASQ2!O566,'Étape 1 - à remplir'!$G$31:$G$400,"animaux"),SUMIFS('Étape 1 - à remplir'!$F$31:$F$400,'Étape 1 - à remplir'!$E$31:$E$400,MASQ2!O566,'Étape 1 - à remplir'!$P$31:$P$400,X$3)),IF(X$2="Atelier",IF(X$3="Tous",SUMIFS('Étape 1 - à remplir'!$F$31:$F$400,'Étape 1 - à remplir'!$E$31:$E$400,MASQ2!O566,'Étape 1 - à remplir'!$G$31:$G$400,"animaux"),SUMIFS('Étape 1 - à remplir'!$F$31:$F$400,'Étape 1 - à remplir'!$E$31:$E$400,MASQ2!O566,'Étape 1 - à remplir'!$O$31:$O$400,X$3)),IF(X$2="Espèce",IF(X$3="Toutes",SUMIFS('Étape 1 - à remplir'!$F$31:$F$400,'Étape 1 - à remplir'!$E$31:$E$400,MASQ2!O566,'Étape 1 - à remplir'!$G$31:$G$400,"animaux"),SUMIFS('Étape 1 - à remplir'!$F$31:$F$400,'Étape 1 - à remplir'!$E$31:$E$400,MASQ2!O566,'Étape 1 - à remplir'!$N$31:$N$400,X$3))))))=0,NA(),IF(X$2="Catégorie",IF(X$3="Toutes",SUMIFS('Étape 1 - à remplir'!$F$31:$F$400,'Étape 1 - à remplir'!$E$31:$E$400,MASQ2!O566,'Étape 1 - à remplir'!$G$31:$G$400,"animaux"),SUMIFS('Étape 1 - à remplir'!$F$31:$F$400,'Étape 1 - à remplir'!$E$31:$E$400,MASQ2!O566,'Étape 1 - à remplir'!$C$31:$C$400,X$3)),IF(X$2="Âge",IF(X$3="Tous",SUMIFS('Étape 1 - à remplir'!$F$31:$F$400,'Étape 1 - à remplir'!$E$31:$E$400,MASQ2!O566,'Étape 1 - à remplir'!$G$31:$G$400,"animaux"),SUMIFS('Étape 1 - à remplir'!$F$31:$F$400,'Étape 1 - à remplir'!$E$31:$E$400,MASQ2!O566,'Étape 1 - à remplir'!$P$31:$P$400,X$3)),IF(X$2="Atelier",IF(X$3="Tous",SUMIFS('Étape 1 - à remplir'!$F$31:$F$400,'Étape 1 - à remplir'!$E$31:$E$400,MASQ2!O566,'Étape 1 - à remplir'!$G$31:$G$400,"animaux"),SUMIFS('Étape 1 - à remplir'!$F$31:$F$400,'Étape 1 - à remplir'!$E$31:$E$400,MASQ2!O566,'Étape 1 - à remplir'!$O$31:$O$400,X$3)),IF(X$2="Espèce",IF(X$3="Toutes",SUMIFS('Étape 1 - à remplir'!$F$31:$F$400,'Étape 1 - à remplir'!$E$31:$E$400,MASQ2!O566,'Étape 1 - à remplir'!$G$31:$G$400,"animaux"),SUMIFS('Étape 1 - à remplir'!$F$31:$F$400,'Étape 1 - à remplir'!$E$31:$E$400,MASQ2!O566,'Étape 1 - à remplir'!$N$31:$N$400,X$3)))))))</f>
        <v>#N/A</v>
      </c>
      <c r="Q566" s="63">
        <f t="shared" si="335"/>
        <v>0</v>
      </c>
      <c r="R566" t="str">
        <f>Données_ATB!BM565</f>
        <v/>
      </c>
      <c r="S566" t="str">
        <f>Données_ATB!BN565</f>
        <v/>
      </c>
      <c r="T566" s="63" t="str">
        <f>Données_ATB!BO565</f>
        <v/>
      </c>
      <c r="U566" s="42" t="str">
        <f>Données_ATB!BQ565</f>
        <v/>
      </c>
      <c r="V566" t="str">
        <f>Données_ATB!BR565</f>
        <v/>
      </c>
      <c r="W566" s="63" t="str">
        <f>Données_ATB!BS565</f>
        <v/>
      </c>
      <c r="Z566" s="42">
        <v>563</v>
      </c>
      <c r="AA566" t="e">
        <f t="shared" si="331"/>
        <v>#N/A</v>
      </c>
      <c r="AB566" s="63" t="e">
        <f t="shared" si="332"/>
        <v>#N/A</v>
      </c>
      <c r="BT566" s="194" t="e">
        <f t="shared" ca="1" si="315"/>
        <v>#N/A</v>
      </c>
      <c r="BU566" s="219" t="str">
        <f>IFERROR(IF(BX566=0,"",COUNTIF(BX$4:BX$600,"&gt;"&amp;BX566)+COUNTIF(BX$4:BX566,BX566)),"")</f>
        <v/>
      </c>
      <c r="BV566" s="42">
        <f t="shared" si="316"/>
        <v>0</v>
      </c>
      <c r="BW566" t="e">
        <f>IF(IF(CE$2="Catégorie",IF(CE$3="Toutes",SUMIFS('Étape 1 - à remplir'!$F$31:$F$400,'Étape 1 - à remplir'!$E$31:$E$400,MASQ2!BV566,'Étape 1 - à remplir'!$G$31:$G$400,"lots"),SUMIFS('Étape 1 - à remplir'!$F$31:$F$400,'Étape 1 - à remplir'!$E$31:$E$400,MASQ2!BV566,'Étape 1 - à remplir'!$C$31:$C$400,CE$3)),IF(CE$2="Âge",IF(CE$3="Tous",SUMIFS('Étape 1 - à remplir'!$F$31:$F$400,'Étape 1 - à remplir'!$E$31:$E$400,MASQ2!BV566,'Étape 1 - à remplir'!$G$31:$G$400,"lots"),SUMIFS('Étape 1 - à remplir'!$F$31:$F$400,'Étape 1 - à remplir'!$E$31:$E$400,MASQ2!BV566,'Étape 1 - à remplir'!$P$31:$P$400,CE$3,'Étape 1 - à remplir'!$G$31:$G$400,"lots")),IF(CE$2="Atelier",IF(CE$3="Tous",SUMIFS('Étape 1 - à remplir'!$F$31:$F$400,'Étape 1 - à remplir'!$E$31:$E$400,MASQ2!BV566,'Étape 1 - à remplir'!$G$31:$G$400,"lots"),SUMIFS('Étape 1 - à remplir'!$F$31:$F$400,'Étape 1 - à remplir'!$E$31:$E$400,MASQ2!BV566,'Étape 1 - à remplir'!$O$31:$O$400,CE$3,'Étape 1 - à remplir'!$G$31:$G$400,"lots")),IF(CE$2="Espèce",IF(CE$3="Toutes",SUMIFS('Étape 1 - à remplir'!$F$31:$F$400,'Étape 1 - à remplir'!$E$31:$E$400,MASQ2!BV566,'Étape 1 - à remplir'!$G$31:$G$400,"lots"),SUMIFS('Étape 1 - à remplir'!$F$31:$F$400,'Étape 1 - à remplir'!$E$31:$E$400,MASQ2!BV566,'Étape 1 - à remplir'!$N$31:$N$400,CE$3,'Étape 1 - à remplir'!$G$31:$G$400,"lots"))))))=0,NA(),IF(CE$2="Catégorie",IF(CE$3="Toutes",SUMIFS('Étape 1 - à remplir'!$F$31:$F$400,'Étape 1 - à remplir'!$E$31:$E$400,MASQ2!BV566,'Étape 1 - à remplir'!$G$31:$G$400,"lots"),SUMIFS('Étape 1 - à remplir'!$F$31:$F$400,'Étape 1 - à remplir'!$E$31:$E$400,MASQ2!BV566,'Étape 1 - à remplir'!$C$31:$C$400,CE$3)),IF(CE$2="Âge",IF(CE$3="Tous",SUMIFS('Étape 1 - à remplir'!$F$31:$F$400,'Étape 1 - à remplir'!$E$31:$E$400,MASQ2!BV566,'Étape 1 - à remplir'!$G$31:$G$400,"lots"),SUMIFS('Étape 1 - à remplir'!$F$31:$F$400,'Étape 1 - à remplir'!$E$31:$E$400,MASQ2!BV566,'Étape 1 - à remplir'!$P$31:$P$400,CE$3,'Étape 1 - à remplir'!$G$31:$G$400,"lots")),IF(CE$2="Atelier",IF(CE$3="Tous",SUMIFS('Étape 1 - à remplir'!$F$31:$F$400,'Étape 1 - à remplir'!$E$31:$E$400,MASQ2!BV566,'Étape 1 - à remplir'!$G$31:$G$400,"lots"),SUMIFS('Étape 1 - à remplir'!$F$31:$F$400,'Étape 1 - à remplir'!$E$31:$E$400,MASQ2!BV566,'Étape 1 - à remplir'!$O$31:$O$400,CE$3,'Étape 1 - à remplir'!$G$31:$G$400,"lots")),IF(CE$2="Espèce",IF(CE$3="Toutes",SUMIFS('Étape 1 - à remplir'!$F$31:$F$400,'Étape 1 - à remplir'!$E$31:$E$400,MASQ2!BV566,'Étape 1 - à remplir'!$G$31:$G$400,"lots"),SUMIFS('Étape 1 - à remplir'!$F$31:$F$400,'Étape 1 - à remplir'!$E$31:$E$400,MASQ2!BV566,'Étape 1 - à remplir'!$N$31:$N$400,CE$3,'Étape 1 - à remplir'!$G$31:$G$400,"lots")))))))</f>
        <v>#N/A</v>
      </c>
      <c r="BX566">
        <f t="shared" si="333"/>
        <v>0</v>
      </c>
      <c r="BY566" t="str">
        <f t="shared" si="317"/>
        <v/>
      </c>
      <c r="BZ566" t="str">
        <f t="shared" si="318"/>
        <v/>
      </c>
      <c r="CA566" t="str">
        <f t="shared" si="319"/>
        <v/>
      </c>
      <c r="CB566" t="str">
        <f t="shared" si="320"/>
        <v/>
      </c>
      <c r="CC566" t="str">
        <f t="shared" si="321"/>
        <v/>
      </c>
      <c r="CD566" s="63" t="str">
        <f t="shared" si="322"/>
        <v/>
      </c>
      <c r="CG566" s="42">
        <v>563</v>
      </c>
      <c r="CH566" s="42" t="e">
        <f t="shared" si="338"/>
        <v>#N/A</v>
      </c>
      <c r="CI566" s="63" t="e">
        <f t="shared" si="339"/>
        <v>#N/A</v>
      </c>
      <c r="EA566" s="194" t="e">
        <f t="shared" ca="1" si="323"/>
        <v>#N/A</v>
      </c>
      <c r="EB566" s="226" t="str">
        <f>IFERROR(IF(ED566=0,"",COUNTIF(ED$4:ED$600,"&gt;"&amp;ED566)+COUNTIF(ED$4:ED566,ED566)),"")</f>
        <v/>
      </c>
      <c r="EC566">
        <f t="shared" si="324"/>
        <v>0</v>
      </c>
      <c r="ED566" t="e">
        <f>IF(IF(EL$2="Catégorie",IF(EL$3="Toutes",SUMIFS('Étape 1 - à remplir'!$F$31:$F$400,'Étape 1 - à remplir'!$E$31:$E$400,MASQ2!EC566,'Étape 1 - à remplir'!$G$31:$G$400,"kg"),SUMIFS('Étape 1 - à remplir'!$F$31:$F$400,'Étape 1 - à remplir'!$E$31:$E$400,MASQ2!EC566,'Étape 1 - à remplir'!$C$31:$C$400,EL$3)),IF(EL$2="Âge",IF(EL$3="Tous",SUMIFS('Étape 1 - à remplir'!$F$31:$F$400,'Étape 1 - à remplir'!$E$31:$E$400,MASQ2!EC566,'Étape 1 - à remplir'!$G$31:$G$400,"kg"),SUMIFS('Étape 1 - à remplir'!$F$31:$F$400,'Étape 1 - à remplir'!$E$31:$E$400,MASQ2!EC566,'Étape 1 - à remplir'!$P$31:$P$400,EL$3,'Étape 1 - à remplir'!$G$31:$G$400,"kg")),IF(EL$2="Atelier",IF(EL$3="Tous",SUMIFS('Étape 1 - à remplir'!$F$31:$F$400,'Étape 1 - à remplir'!$E$31:$E$400,MASQ2!EC566,'Étape 1 - à remplir'!$G$31:$G$400,"kg"),SUMIFS('Étape 1 - à remplir'!$F$31:$F$400,'Étape 1 - à remplir'!$E$31:$E$400,MASQ2!EC566,'Étape 1 - à remplir'!$O$31:$O$400,EL$3,'Étape 1 - à remplir'!$G$31:$G$400,"kg")),IF(EL$2="Espèce",IF(EL$3="Toutes",SUMIFS('Étape 1 - à remplir'!$F$31:$F$400,'Étape 1 - à remplir'!$E$31:$E$400,MASQ2!EC566,'Étape 1 - à remplir'!$G$31:$G$400,"kg"),SUMIFS('Étape 1 - à remplir'!$F$31:$F$400,'Étape 1 - à remplir'!$E$31:$E$400,MASQ2!EC566,'Étape 1 - à remplir'!$N$31:$N$400,EL$3,'Étape 1 - à remplir'!$G$31:$G$400,"kg"))))))=0,NA(),IF(EL$2="Catégorie",IF(EL$3="Toutes",SUMIFS('Étape 1 - à remplir'!$F$31:$F$400,'Étape 1 - à remplir'!$E$31:$E$400,MASQ2!EC566,'Étape 1 - à remplir'!$G$31:$G$400,"kg"),SUMIFS('Étape 1 - à remplir'!$F$31:$F$400,'Étape 1 - à remplir'!$E$31:$E$400,MASQ2!EC566,'Étape 1 - à remplir'!$C$31:$C$400,EL$3)),IF(EL$2="Âge",IF(EL$3="Tous",SUMIFS('Étape 1 - à remplir'!$F$31:$F$400,'Étape 1 - à remplir'!$E$31:$E$400,MASQ2!EC566,'Étape 1 - à remplir'!$G$31:$G$400,"kg"),SUMIFS('Étape 1 - à remplir'!$F$31:$F$400,'Étape 1 - à remplir'!$E$31:$E$400,MASQ2!EC566,'Étape 1 - à remplir'!$P$31:$P$400,EL$3,'Étape 1 - à remplir'!$G$31:$G$400,"kg")),IF(EL$2="Atelier",IF(EL$3="Tous",SUMIFS('Étape 1 - à remplir'!$F$31:$F$400,'Étape 1 - à remplir'!$E$31:$E$400,MASQ2!EC566,'Étape 1 - à remplir'!$G$31:$G$400,"kg"),SUMIFS('Étape 1 - à remplir'!$F$31:$F$400,'Étape 1 - à remplir'!$E$31:$E$400,MASQ2!EC566,'Étape 1 - à remplir'!$O$31:$O$400,EL$3,'Étape 1 - à remplir'!$G$31:$G$400,"kg")),IF(EL$2="Espèce",IF(EL$3="Toutes",SUMIFS('Étape 1 - à remplir'!$F$31:$F$400,'Étape 1 - à remplir'!$E$31:$E$400,MASQ2!EC566,'Étape 1 - à remplir'!$G$31:$G$400,"kg"),SUMIFS('Étape 1 - à remplir'!$F$31:$F$400,'Étape 1 - à remplir'!$E$31:$E$400,MASQ2!EC566,'Étape 1 - à remplir'!$N$31:$N$400,EL$3,'Étape 1 - à remplir'!$G$31:$G$400,"kg")))))))</f>
        <v>#N/A</v>
      </c>
      <c r="EE566" s="76">
        <f t="shared" si="334"/>
        <v>0</v>
      </c>
      <c r="EF566" t="str">
        <f t="shared" si="325"/>
        <v/>
      </c>
      <c r="EG566" t="str">
        <f t="shared" si="326"/>
        <v/>
      </c>
      <c r="EH566" t="str">
        <f t="shared" si="327"/>
        <v/>
      </c>
      <c r="EI566" t="str">
        <f t="shared" si="328"/>
        <v/>
      </c>
      <c r="EJ566" t="str">
        <f t="shared" si="329"/>
        <v/>
      </c>
      <c r="EK566" s="63" t="str">
        <f t="shared" si="330"/>
        <v/>
      </c>
      <c r="EN566" s="42">
        <v>563</v>
      </c>
      <c r="EO566" t="e">
        <f t="shared" si="336"/>
        <v>#N/A</v>
      </c>
      <c r="EP566" s="63" t="e">
        <f t="shared" si="337"/>
        <v>#N/A</v>
      </c>
    </row>
    <row r="567" spans="13:146" x14ac:dyDescent="0.3">
      <c r="M567" s="194" t="e">
        <f ca="1">INDEX(Données_ATB!BD:BU,MATCH(MASQ2!O567,Données_ATB!BD:BD,0),18)</f>
        <v>#N/A</v>
      </c>
      <c r="N567" s="14" t="str">
        <f>IFERROR(IF(Q567=0,"",COUNTIF(Q$4:Q$600,"&gt;"&amp;Q567)+COUNTIF(Q$4:Q567,Q567)),"")</f>
        <v/>
      </c>
      <c r="O567">
        <f>Données_ATB!BD566</f>
        <v>0</v>
      </c>
      <c r="P567" t="e">
        <f>IF(IF(X$2="Catégorie",IF(X$3="Toutes",SUMIFS('Étape 1 - à remplir'!$F$31:$F$400,'Étape 1 - à remplir'!$E$31:$E$400,MASQ2!O567,'Étape 1 - à remplir'!$G$31:$G$400,"animaux"),SUMIFS('Étape 1 - à remplir'!$F$31:$F$400,'Étape 1 - à remplir'!$E$31:$E$400,MASQ2!O567,'Étape 1 - à remplir'!$C$31:$C$400,X$3)),IF(X$2="Âge",IF(X$3="Tous",SUMIFS('Étape 1 - à remplir'!$F$31:$F$400,'Étape 1 - à remplir'!$E$31:$E$400,MASQ2!O567,'Étape 1 - à remplir'!$G$31:$G$400,"animaux"),SUMIFS('Étape 1 - à remplir'!$F$31:$F$400,'Étape 1 - à remplir'!$E$31:$E$400,MASQ2!O567,'Étape 1 - à remplir'!$P$31:$P$400,X$3)),IF(X$2="Atelier",IF(X$3="Tous",SUMIFS('Étape 1 - à remplir'!$F$31:$F$400,'Étape 1 - à remplir'!$E$31:$E$400,MASQ2!O567,'Étape 1 - à remplir'!$G$31:$G$400,"animaux"),SUMIFS('Étape 1 - à remplir'!$F$31:$F$400,'Étape 1 - à remplir'!$E$31:$E$400,MASQ2!O567,'Étape 1 - à remplir'!$O$31:$O$400,X$3)),IF(X$2="Espèce",IF(X$3="Toutes",SUMIFS('Étape 1 - à remplir'!$F$31:$F$400,'Étape 1 - à remplir'!$E$31:$E$400,MASQ2!O567,'Étape 1 - à remplir'!$G$31:$G$400,"animaux"),SUMIFS('Étape 1 - à remplir'!$F$31:$F$400,'Étape 1 - à remplir'!$E$31:$E$400,MASQ2!O567,'Étape 1 - à remplir'!$N$31:$N$400,X$3))))))=0,NA(),IF(X$2="Catégorie",IF(X$3="Toutes",SUMIFS('Étape 1 - à remplir'!$F$31:$F$400,'Étape 1 - à remplir'!$E$31:$E$400,MASQ2!O567,'Étape 1 - à remplir'!$G$31:$G$400,"animaux"),SUMIFS('Étape 1 - à remplir'!$F$31:$F$400,'Étape 1 - à remplir'!$E$31:$E$400,MASQ2!O567,'Étape 1 - à remplir'!$C$31:$C$400,X$3)),IF(X$2="Âge",IF(X$3="Tous",SUMIFS('Étape 1 - à remplir'!$F$31:$F$400,'Étape 1 - à remplir'!$E$31:$E$400,MASQ2!O567,'Étape 1 - à remplir'!$G$31:$G$400,"animaux"),SUMIFS('Étape 1 - à remplir'!$F$31:$F$400,'Étape 1 - à remplir'!$E$31:$E$400,MASQ2!O567,'Étape 1 - à remplir'!$P$31:$P$400,X$3)),IF(X$2="Atelier",IF(X$3="Tous",SUMIFS('Étape 1 - à remplir'!$F$31:$F$400,'Étape 1 - à remplir'!$E$31:$E$400,MASQ2!O567,'Étape 1 - à remplir'!$G$31:$G$400,"animaux"),SUMIFS('Étape 1 - à remplir'!$F$31:$F$400,'Étape 1 - à remplir'!$E$31:$E$400,MASQ2!O567,'Étape 1 - à remplir'!$O$31:$O$400,X$3)),IF(X$2="Espèce",IF(X$3="Toutes",SUMIFS('Étape 1 - à remplir'!$F$31:$F$400,'Étape 1 - à remplir'!$E$31:$E$400,MASQ2!O567,'Étape 1 - à remplir'!$G$31:$G$400,"animaux"),SUMIFS('Étape 1 - à remplir'!$F$31:$F$400,'Étape 1 - à remplir'!$E$31:$E$400,MASQ2!O567,'Étape 1 - à remplir'!$N$31:$N$400,X$3)))))))</f>
        <v>#N/A</v>
      </c>
      <c r="Q567" s="63">
        <f t="shared" si="335"/>
        <v>0</v>
      </c>
      <c r="R567" t="str">
        <f>Données_ATB!BM566</f>
        <v/>
      </c>
      <c r="S567" t="str">
        <f>Données_ATB!BN566</f>
        <v/>
      </c>
      <c r="T567" s="63" t="str">
        <f>Données_ATB!BO566</f>
        <v/>
      </c>
      <c r="U567" s="42" t="str">
        <f>Données_ATB!BQ566</f>
        <v/>
      </c>
      <c r="V567" t="str">
        <f>Données_ATB!BR566</f>
        <v/>
      </c>
      <c r="W567" s="63" t="str">
        <f>Données_ATB!BS566</f>
        <v/>
      </c>
      <c r="Z567" s="42">
        <v>564</v>
      </c>
      <c r="AA567" t="e">
        <f t="shared" si="331"/>
        <v>#N/A</v>
      </c>
      <c r="AB567" s="63" t="e">
        <f t="shared" si="332"/>
        <v>#N/A</v>
      </c>
      <c r="BT567" s="194" t="e">
        <f t="shared" ca="1" si="315"/>
        <v>#N/A</v>
      </c>
      <c r="BU567" s="219" t="str">
        <f>IFERROR(IF(BX567=0,"",COUNTIF(BX$4:BX$600,"&gt;"&amp;BX567)+COUNTIF(BX$4:BX567,BX567)),"")</f>
        <v/>
      </c>
      <c r="BV567" s="42">
        <f t="shared" si="316"/>
        <v>0</v>
      </c>
      <c r="BW567" t="e">
        <f>IF(IF(CE$2="Catégorie",IF(CE$3="Toutes",SUMIFS('Étape 1 - à remplir'!$F$31:$F$400,'Étape 1 - à remplir'!$E$31:$E$400,MASQ2!BV567,'Étape 1 - à remplir'!$G$31:$G$400,"lots"),SUMIFS('Étape 1 - à remplir'!$F$31:$F$400,'Étape 1 - à remplir'!$E$31:$E$400,MASQ2!BV567,'Étape 1 - à remplir'!$C$31:$C$400,CE$3)),IF(CE$2="Âge",IF(CE$3="Tous",SUMIFS('Étape 1 - à remplir'!$F$31:$F$400,'Étape 1 - à remplir'!$E$31:$E$400,MASQ2!BV567,'Étape 1 - à remplir'!$G$31:$G$400,"lots"),SUMIFS('Étape 1 - à remplir'!$F$31:$F$400,'Étape 1 - à remplir'!$E$31:$E$400,MASQ2!BV567,'Étape 1 - à remplir'!$P$31:$P$400,CE$3,'Étape 1 - à remplir'!$G$31:$G$400,"lots")),IF(CE$2="Atelier",IF(CE$3="Tous",SUMIFS('Étape 1 - à remplir'!$F$31:$F$400,'Étape 1 - à remplir'!$E$31:$E$400,MASQ2!BV567,'Étape 1 - à remplir'!$G$31:$G$400,"lots"),SUMIFS('Étape 1 - à remplir'!$F$31:$F$400,'Étape 1 - à remplir'!$E$31:$E$400,MASQ2!BV567,'Étape 1 - à remplir'!$O$31:$O$400,CE$3,'Étape 1 - à remplir'!$G$31:$G$400,"lots")),IF(CE$2="Espèce",IF(CE$3="Toutes",SUMIFS('Étape 1 - à remplir'!$F$31:$F$400,'Étape 1 - à remplir'!$E$31:$E$400,MASQ2!BV567,'Étape 1 - à remplir'!$G$31:$G$400,"lots"),SUMIFS('Étape 1 - à remplir'!$F$31:$F$400,'Étape 1 - à remplir'!$E$31:$E$400,MASQ2!BV567,'Étape 1 - à remplir'!$N$31:$N$400,CE$3,'Étape 1 - à remplir'!$G$31:$G$400,"lots"))))))=0,NA(),IF(CE$2="Catégorie",IF(CE$3="Toutes",SUMIFS('Étape 1 - à remplir'!$F$31:$F$400,'Étape 1 - à remplir'!$E$31:$E$400,MASQ2!BV567,'Étape 1 - à remplir'!$G$31:$G$400,"lots"),SUMIFS('Étape 1 - à remplir'!$F$31:$F$400,'Étape 1 - à remplir'!$E$31:$E$400,MASQ2!BV567,'Étape 1 - à remplir'!$C$31:$C$400,CE$3)),IF(CE$2="Âge",IF(CE$3="Tous",SUMIFS('Étape 1 - à remplir'!$F$31:$F$400,'Étape 1 - à remplir'!$E$31:$E$400,MASQ2!BV567,'Étape 1 - à remplir'!$G$31:$G$400,"lots"),SUMIFS('Étape 1 - à remplir'!$F$31:$F$400,'Étape 1 - à remplir'!$E$31:$E$400,MASQ2!BV567,'Étape 1 - à remplir'!$P$31:$P$400,CE$3,'Étape 1 - à remplir'!$G$31:$G$400,"lots")),IF(CE$2="Atelier",IF(CE$3="Tous",SUMIFS('Étape 1 - à remplir'!$F$31:$F$400,'Étape 1 - à remplir'!$E$31:$E$400,MASQ2!BV567,'Étape 1 - à remplir'!$G$31:$G$400,"lots"),SUMIFS('Étape 1 - à remplir'!$F$31:$F$400,'Étape 1 - à remplir'!$E$31:$E$400,MASQ2!BV567,'Étape 1 - à remplir'!$O$31:$O$400,CE$3,'Étape 1 - à remplir'!$G$31:$G$400,"lots")),IF(CE$2="Espèce",IF(CE$3="Toutes",SUMIFS('Étape 1 - à remplir'!$F$31:$F$400,'Étape 1 - à remplir'!$E$31:$E$400,MASQ2!BV567,'Étape 1 - à remplir'!$G$31:$G$400,"lots"),SUMIFS('Étape 1 - à remplir'!$F$31:$F$400,'Étape 1 - à remplir'!$E$31:$E$400,MASQ2!BV567,'Étape 1 - à remplir'!$N$31:$N$400,CE$3,'Étape 1 - à remplir'!$G$31:$G$400,"lots")))))))</f>
        <v>#N/A</v>
      </c>
      <c r="BX567">
        <f t="shared" si="333"/>
        <v>0</v>
      </c>
      <c r="BY567" t="str">
        <f t="shared" si="317"/>
        <v/>
      </c>
      <c r="BZ567" t="str">
        <f t="shared" si="318"/>
        <v/>
      </c>
      <c r="CA567" t="str">
        <f t="shared" si="319"/>
        <v/>
      </c>
      <c r="CB567" t="str">
        <f t="shared" si="320"/>
        <v/>
      </c>
      <c r="CC567" t="str">
        <f t="shared" si="321"/>
        <v/>
      </c>
      <c r="CD567" s="63" t="str">
        <f t="shared" si="322"/>
        <v/>
      </c>
      <c r="CG567" s="42">
        <v>564</v>
      </c>
      <c r="CH567" s="42" t="e">
        <f t="shared" si="338"/>
        <v>#N/A</v>
      </c>
      <c r="CI567" s="63" t="e">
        <f t="shared" si="339"/>
        <v>#N/A</v>
      </c>
      <c r="EA567" s="194" t="e">
        <f t="shared" ca="1" si="323"/>
        <v>#N/A</v>
      </c>
      <c r="EB567" s="226" t="str">
        <f>IFERROR(IF(ED567=0,"",COUNTIF(ED$4:ED$600,"&gt;"&amp;ED567)+COUNTIF(ED$4:ED567,ED567)),"")</f>
        <v/>
      </c>
      <c r="EC567">
        <f t="shared" si="324"/>
        <v>0</v>
      </c>
      <c r="ED567" t="e">
        <f>IF(IF(EL$2="Catégorie",IF(EL$3="Toutes",SUMIFS('Étape 1 - à remplir'!$F$31:$F$400,'Étape 1 - à remplir'!$E$31:$E$400,MASQ2!EC567,'Étape 1 - à remplir'!$G$31:$G$400,"kg"),SUMIFS('Étape 1 - à remplir'!$F$31:$F$400,'Étape 1 - à remplir'!$E$31:$E$400,MASQ2!EC567,'Étape 1 - à remplir'!$C$31:$C$400,EL$3)),IF(EL$2="Âge",IF(EL$3="Tous",SUMIFS('Étape 1 - à remplir'!$F$31:$F$400,'Étape 1 - à remplir'!$E$31:$E$400,MASQ2!EC567,'Étape 1 - à remplir'!$G$31:$G$400,"kg"),SUMIFS('Étape 1 - à remplir'!$F$31:$F$400,'Étape 1 - à remplir'!$E$31:$E$400,MASQ2!EC567,'Étape 1 - à remplir'!$P$31:$P$400,EL$3,'Étape 1 - à remplir'!$G$31:$G$400,"kg")),IF(EL$2="Atelier",IF(EL$3="Tous",SUMIFS('Étape 1 - à remplir'!$F$31:$F$400,'Étape 1 - à remplir'!$E$31:$E$400,MASQ2!EC567,'Étape 1 - à remplir'!$G$31:$G$400,"kg"),SUMIFS('Étape 1 - à remplir'!$F$31:$F$400,'Étape 1 - à remplir'!$E$31:$E$400,MASQ2!EC567,'Étape 1 - à remplir'!$O$31:$O$400,EL$3,'Étape 1 - à remplir'!$G$31:$G$400,"kg")),IF(EL$2="Espèce",IF(EL$3="Toutes",SUMIFS('Étape 1 - à remplir'!$F$31:$F$400,'Étape 1 - à remplir'!$E$31:$E$400,MASQ2!EC567,'Étape 1 - à remplir'!$G$31:$G$400,"kg"),SUMIFS('Étape 1 - à remplir'!$F$31:$F$400,'Étape 1 - à remplir'!$E$31:$E$400,MASQ2!EC567,'Étape 1 - à remplir'!$N$31:$N$400,EL$3,'Étape 1 - à remplir'!$G$31:$G$400,"kg"))))))=0,NA(),IF(EL$2="Catégorie",IF(EL$3="Toutes",SUMIFS('Étape 1 - à remplir'!$F$31:$F$400,'Étape 1 - à remplir'!$E$31:$E$400,MASQ2!EC567,'Étape 1 - à remplir'!$G$31:$G$400,"kg"),SUMIFS('Étape 1 - à remplir'!$F$31:$F$400,'Étape 1 - à remplir'!$E$31:$E$400,MASQ2!EC567,'Étape 1 - à remplir'!$C$31:$C$400,EL$3)),IF(EL$2="Âge",IF(EL$3="Tous",SUMIFS('Étape 1 - à remplir'!$F$31:$F$400,'Étape 1 - à remplir'!$E$31:$E$400,MASQ2!EC567,'Étape 1 - à remplir'!$G$31:$G$400,"kg"),SUMIFS('Étape 1 - à remplir'!$F$31:$F$400,'Étape 1 - à remplir'!$E$31:$E$400,MASQ2!EC567,'Étape 1 - à remplir'!$P$31:$P$400,EL$3,'Étape 1 - à remplir'!$G$31:$G$400,"kg")),IF(EL$2="Atelier",IF(EL$3="Tous",SUMIFS('Étape 1 - à remplir'!$F$31:$F$400,'Étape 1 - à remplir'!$E$31:$E$400,MASQ2!EC567,'Étape 1 - à remplir'!$G$31:$G$400,"kg"),SUMIFS('Étape 1 - à remplir'!$F$31:$F$400,'Étape 1 - à remplir'!$E$31:$E$400,MASQ2!EC567,'Étape 1 - à remplir'!$O$31:$O$400,EL$3,'Étape 1 - à remplir'!$G$31:$G$400,"kg")),IF(EL$2="Espèce",IF(EL$3="Toutes",SUMIFS('Étape 1 - à remplir'!$F$31:$F$400,'Étape 1 - à remplir'!$E$31:$E$400,MASQ2!EC567,'Étape 1 - à remplir'!$G$31:$G$400,"kg"),SUMIFS('Étape 1 - à remplir'!$F$31:$F$400,'Étape 1 - à remplir'!$E$31:$E$400,MASQ2!EC567,'Étape 1 - à remplir'!$N$31:$N$400,EL$3,'Étape 1 - à remplir'!$G$31:$G$400,"kg")))))))</f>
        <v>#N/A</v>
      </c>
      <c r="EE567" s="76">
        <f t="shared" si="334"/>
        <v>0</v>
      </c>
      <c r="EF567" t="str">
        <f t="shared" si="325"/>
        <v/>
      </c>
      <c r="EG567" t="str">
        <f t="shared" si="326"/>
        <v/>
      </c>
      <c r="EH567" t="str">
        <f t="shared" si="327"/>
        <v/>
      </c>
      <c r="EI567" t="str">
        <f t="shared" si="328"/>
        <v/>
      </c>
      <c r="EJ567" t="str">
        <f t="shared" si="329"/>
        <v/>
      </c>
      <c r="EK567" s="63" t="str">
        <f t="shared" si="330"/>
        <v/>
      </c>
      <c r="EN567" s="42">
        <v>564</v>
      </c>
      <c r="EO567" t="e">
        <f t="shared" si="336"/>
        <v>#N/A</v>
      </c>
      <c r="EP567" s="63" t="e">
        <f t="shared" si="337"/>
        <v>#N/A</v>
      </c>
    </row>
    <row r="568" spans="13:146" x14ac:dyDescent="0.3">
      <c r="M568" s="194" t="e">
        <f ca="1">INDEX(Données_ATB!BD:BU,MATCH(MASQ2!O568,Données_ATB!BD:BD,0),18)</f>
        <v>#N/A</v>
      </c>
      <c r="N568" s="14" t="str">
        <f>IFERROR(IF(Q568=0,"",COUNTIF(Q$4:Q$600,"&gt;"&amp;Q568)+COUNTIF(Q$4:Q568,Q568)),"")</f>
        <v/>
      </c>
      <c r="O568">
        <f>Données_ATB!BD567</f>
        <v>0</v>
      </c>
      <c r="P568" t="e">
        <f>IF(IF(X$2="Catégorie",IF(X$3="Toutes",SUMIFS('Étape 1 - à remplir'!$F$31:$F$400,'Étape 1 - à remplir'!$E$31:$E$400,MASQ2!O568,'Étape 1 - à remplir'!$G$31:$G$400,"animaux"),SUMIFS('Étape 1 - à remplir'!$F$31:$F$400,'Étape 1 - à remplir'!$E$31:$E$400,MASQ2!O568,'Étape 1 - à remplir'!$C$31:$C$400,X$3)),IF(X$2="Âge",IF(X$3="Tous",SUMIFS('Étape 1 - à remplir'!$F$31:$F$400,'Étape 1 - à remplir'!$E$31:$E$400,MASQ2!O568,'Étape 1 - à remplir'!$G$31:$G$400,"animaux"),SUMIFS('Étape 1 - à remplir'!$F$31:$F$400,'Étape 1 - à remplir'!$E$31:$E$400,MASQ2!O568,'Étape 1 - à remplir'!$P$31:$P$400,X$3)),IF(X$2="Atelier",IF(X$3="Tous",SUMIFS('Étape 1 - à remplir'!$F$31:$F$400,'Étape 1 - à remplir'!$E$31:$E$400,MASQ2!O568,'Étape 1 - à remplir'!$G$31:$G$400,"animaux"),SUMIFS('Étape 1 - à remplir'!$F$31:$F$400,'Étape 1 - à remplir'!$E$31:$E$400,MASQ2!O568,'Étape 1 - à remplir'!$O$31:$O$400,X$3)),IF(X$2="Espèce",IF(X$3="Toutes",SUMIFS('Étape 1 - à remplir'!$F$31:$F$400,'Étape 1 - à remplir'!$E$31:$E$400,MASQ2!O568,'Étape 1 - à remplir'!$G$31:$G$400,"animaux"),SUMIFS('Étape 1 - à remplir'!$F$31:$F$400,'Étape 1 - à remplir'!$E$31:$E$400,MASQ2!O568,'Étape 1 - à remplir'!$N$31:$N$400,X$3))))))=0,NA(),IF(X$2="Catégorie",IF(X$3="Toutes",SUMIFS('Étape 1 - à remplir'!$F$31:$F$400,'Étape 1 - à remplir'!$E$31:$E$400,MASQ2!O568,'Étape 1 - à remplir'!$G$31:$G$400,"animaux"),SUMIFS('Étape 1 - à remplir'!$F$31:$F$400,'Étape 1 - à remplir'!$E$31:$E$400,MASQ2!O568,'Étape 1 - à remplir'!$C$31:$C$400,X$3)),IF(X$2="Âge",IF(X$3="Tous",SUMIFS('Étape 1 - à remplir'!$F$31:$F$400,'Étape 1 - à remplir'!$E$31:$E$400,MASQ2!O568,'Étape 1 - à remplir'!$G$31:$G$400,"animaux"),SUMIFS('Étape 1 - à remplir'!$F$31:$F$400,'Étape 1 - à remplir'!$E$31:$E$400,MASQ2!O568,'Étape 1 - à remplir'!$P$31:$P$400,X$3)),IF(X$2="Atelier",IF(X$3="Tous",SUMIFS('Étape 1 - à remplir'!$F$31:$F$400,'Étape 1 - à remplir'!$E$31:$E$400,MASQ2!O568,'Étape 1 - à remplir'!$G$31:$G$400,"animaux"),SUMIFS('Étape 1 - à remplir'!$F$31:$F$400,'Étape 1 - à remplir'!$E$31:$E$400,MASQ2!O568,'Étape 1 - à remplir'!$O$31:$O$400,X$3)),IF(X$2="Espèce",IF(X$3="Toutes",SUMIFS('Étape 1 - à remplir'!$F$31:$F$400,'Étape 1 - à remplir'!$E$31:$E$400,MASQ2!O568,'Étape 1 - à remplir'!$G$31:$G$400,"animaux"),SUMIFS('Étape 1 - à remplir'!$F$31:$F$400,'Étape 1 - à remplir'!$E$31:$E$400,MASQ2!O568,'Étape 1 - à remplir'!$N$31:$N$400,X$3)))))))</f>
        <v>#N/A</v>
      </c>
      <c r="Q568" s="63">
        <f t="shared" si="335"/>
        <v>0</v>
      </c>
      <c r="R568" t="str">
        <f>Données_ATB!BM567</f>
        <v/>
      </c>
      <c r="S568" t="str">
        <f>Données_ATB!BN567</f>
        <v/>
      </c>
      <c r="T568" s="63" t="str">
        <f>Données_ATB!BO567</f>
        <v/>
      </c>
      <c r="U568" s="42" t="str">
        <f>Données_ATB!BQ567</f>
        <v/>
      </c>
      <c r="V568" t="str">
        <f>Données_ATB!BR567</f>
        <v/>
      </c>
      <c r="W568" s="63" t="str">
        <f>Données_ATB!BS567</f>
        <v/>
      </c>
      <c r="Z568" s="42">
        <v>565</v>
      </c>
      <c r="AA568" t="e">
        <f t="shared" si="331"/>
        <v>#N/A</v>
      </c>
      <c r="AB568" s="63" t="e">
        <f t="shared" si="332"/>
        <v>#N/A</v>
      </c>
      <c r="BT568" s="194" t="e">
        <f t="shared" ca="1" si="315"/>
        <v>#N/A</v>
      </c>
      <c r="BU568" s="219" t="str">
        <f>IFERROR(IF(BX568=0,"",COUNTIF(BX$4:BX$600,"&gt;"&amp;BX568)+COUNTIF(BX$4:BX568,BX568)),"")</f>
        <v/>
      </c>
      <c r="BV568" s="42">
        <f t="shared" si="316"/>
        <v>0</v>
      </c>
      <c r="BW568" t="e">
        <f>IF(IF(CE$2="Catégorie",IF(CE$3="Toutes",SUMIFS('Étape 1 - à remplir'!$F$31:$F$400,'Étape 1 - à remplir'!$E$31:$E$400,MASQ2!BV568,'Étape 1 - à remplir'!$G$31:$G$400,"lots"),SUMIFS('Étape 1 - à remplir'!$F$31:$F$400,'Étape 1 - à remplir'!$E$31:$E$400,MASQ2!BV568,'Étape 1 - à remplir'!$C$31:$C$400,CE$3)),IF(CE$2="Âge",IF(CE$3="Tous",SUMIFS('Étape 1 - à remplir'!$F$31:$F$400,'Étape 1 - à remplir'!$E$31:$E$400,MASQ2!BV568,'Étape 1 - à remplir'!$G$31:$G$400,"lots"),SUMIFS('Étape 1 - à remplir'!$F$31:$F$400,'Étape 1 - à remplir'!$E$31:$E$400,MASQ2!BV568,'Étape 1 - à remplir'!$P$31:$P$400,CE$3,'Étape 1 - à remplir'!$G$31:$G$400,"lots")),IF(CE$2="Atelier",IF(CE$3="Tous",SUMIFS('Étape 1 - à remplir'!$F$31:$F$400,'Étape 1 - à remplir'!$E$31:$E$400,MASQ2!BV568,'Étape 1 - à remplir'!$G$31:$G$400,"lots"),SUMIFS('Étape 1 - à remplir'!$F$31:$F$400,'Étape 1 - à remplir'!$E$31:$E$400,MASQ2!BV568,'Étape 1 - à remplir'!$O$31:$O$400,CE$3,'Étape 1 - à remplir'!$G$31:$G$400,"lots")),IF(CE$2="Espèce",IF(CE$3="Toutes",SUMIFS('Étape 1 - à remplir'!$F$31:$F$400,'Étape 1 - à remplir'!$E$31:$E$400,MASQ2!BV568,'Étape 1 - à remplir'!$G$31:$G$400,"lots"),SUMIFS('Étape 1 - à remplir'!$F$31:$F$400,'Étape 1 - à remplir'!$E$31:$E$400,MASQ2!BV568,'Étape 1 - à remplir'!$N$31:$N$400,CE$3,'Étape 1 - à remplir'!$G$31:$G$400,"lots"))))))=0,NA(),IF(CE$2="Catégorie",IF(CE$3="Toutes",SUMIFS('Étape 1 - à remplir'!$F$31:$F$400,'Étape 1 - à remplir'!$E$31:$E$400,MASQ2!BV568,'Étape 1 - à remplir'!$G$31:$G$400,"lots"),SUMIFS('Étape 1 - à remplir'!$F$31:$F$400,'Étape 1 - à remplir'!$E$31:$E$400,MASQ2!BV568,'Étape 1 - à remplir'!$C$31:$C$400,CE$3)),IF(CE$2="Âge",IF(CE$3="Tous",SUMIFS('Étape 1 - à remplir'!$F$31:$F$400,'Étape 1 - à remplir'!$E$31:$E$400,MASQ2!BV568,'Étape 1 - à remplir'!$G$31:$G$400,"lots"),SUMIFS('Étape 1 - à remplir'!$F$31:$F$400,'Étape 1 - à remplir'!$E$31:$E$400,MASQ2!BV568,'Étape 1 - à remplir'!$P$31:$P$400,CE$3,'Étape 1 - à remplir'!$G$31:$G$400,"lots")),IF(CE$2="Atelier",IF(CE$3="Tous",SUMIFS('Étape 1 - à remplir'!$F$31:$F$400,'Étape 1 - à remplir'!$E$31:$E$400,MASQ2!BV568,'Étape 1 - à remplir'!$G$31:$G$400,"lots"),SUMIFS('Étape 1 - à remplir'!$F$31:$F$400,'Étape 1 - à remplir'!$E$31:$E$400,MASQ2!BV568,'Étape 1 - à remplir'!$O$31:$O$400,CE$3,'Étape 1 - à remplir'!$G$31:$G$400,"lots")),IF(CE$2="Espèce",IF(CE$3="Toutes",SUMIFS('Étape 1 - à remplir'!$F$31:$F$400,'Étape 1 - à remplir'!$E$31:$E$400,MASQ2!BV568,'Étape 1 - à remplir'!$G$31:$G$400,"lots"),SUMIFS('Étape 1 - à remplir'!$F$31:$F$400,'Étape 1 - à remplir'!$E$31:$E$400,MASQ2!BV568,'Étape 1 - à remplir'!$N$31:$N$400,CE$3,'Étape 1 - à remplir'!$G$31:$G$400,"lots")))))))</f>
        <v>#N/A</v>
      </c>
      <c r="BX568">
        <f t="shared" si="333"/>
        <v>0</v>
      </c>
      <c r="BY568" t="str">
        <f t="shared" si="317"/>
        <v/>
      </c>
      <c r="BZ568" t="str">
        <f t="shared" si="318"/>
        <v/>
      </c>
      <c r="CA568" t="str">
        <f t="shared" si="319"/>
        <v/>
      </c>
      <c r="CB568" t="str">
        <f t="shared" si="320"/>
        <v/>
      </c>
      <c r="CC568" t="str">
        <f t="shared" si="321"/>
        <v/>
      </c>
      <c r="CD568" s="63" t="str">
        <f t="shared" si="322"/>
        <v/>
      </c>
      <c r="CG568" s="42">
        <v>565</v>
      </c>
      <c r="CH568" s="42" t="e">
        <f t="shared" si="338"/>
        <v>#N/A</v>
      </c>
      <c r="CI568" s="63" t="e">
        <f t="shared" si="339"/>
        <v>#N/A</v>
      </c>
      <c r="EA568" s="194" t="e">
        <f t="shared" ca="1" si="323"/>
        <v>#N/A</v>
      </c>
      <c r="EB568" s="226" t="str">
        <f>IFERROR(IF(ED568=0,"",COUNTIF(ED$4:ED$600,"&gt;"&amp;ED568)+COUNTIF(ED$4:ED568,ED568)),"")</f>
        <v/>
      </c>
      <c r="EC568">
        <f t="shared" si="324"/>
        <v>0</v>
      </c>
      <c r="ED568" t="e">
        <f>IF(IF(EL$2="Catégorie",IF(EL$3="Toutes",SUMIFS('Étape 1 - à remplir'!$F$31:$F$400,'Étape 1 - à remplir'!$E$31:$E$400,MASQ2!EC568,'Étape 1 - à remplir'!$G$31:$G$400,"kg"),SUMIFS('Étape 1 - à remplir'!$F$31:$F$400,'Étape 1 - à remplir'!$E$31:$E$400,MASQ2!EC568,'Étape 1 - à remplir'!$C$31:$C$400,EL$3)),IF(EL$2="Âge",IF(EL$3="Tous",SUMIFS('Étape 1 - à remplir'!$F$31:$F$400,'Étape 1 - à remplir'!$E$31:$E$400,MASQ2!EC568,'Étape 1 - à remplir'!$G$31:$G$400,"kg"),SUMIFS('Étape 1 - à remplir'!$F$31:$F$400,'Étape 1 - à remplir'!$E$31:$E$400,MASQ2!EC568,'Étape 1 - à remplir'!$P$31:$P$400,EL$3,'Étape 1 - à remplir'!$G$31:$G$400,"kg")),IF(EL$2="Atelier",IF(EL$3="Tous",SUMIFS('Étape 1 - à remplir'!$F$31:$F$400,'Étape 1 - à remplir'!$E$31:$E$400,MASQ2!EC568,'Étape 1 - à remplir'!$G$31:$G$400,"kg"),SUMIFS('Étape 1 - à remplir'!$F$31:$F$400,'Étape 1 - à remplir'!$E$31:$E$400,MASQ2!EC568,'Étape 1 - à remplir'!$O$31:$O$400,EL$3,'Étape 1 - à remplir'!$G$31:$G$400,"kg")),IF(EL$2="Espèce",IF(EL$3="Toutes",SUMIFS('Étape 1 - à remplir'!$F$31:$F$400,'Étape 1 - à remplir'!$E$31:$E$400,MASQ2!EC568,'Étape 1 - à remplir'!$G$31:$G$400,"kg"),SUMIFS('Étape 1 - à remplir'!$F$31:$F$400,'Étape 1 - à remplir'!$E$31:$E$400,MASQ2!EC568,'Étape 1 - à remplir'!$N$31:$N$400,EL$3,'Étape 1 - à remplir'!$G$31:$G$400,"kg"))))))=0,NA(),IF(EL$2="Catégorie",IF(EL$3="Toutes",SUMIFS('Étape 1 - à remplir'!$F$31:$F$400,'Étape 1 - à remplir'!$E$31:$E$400,MASQ2!EC568,'Étape 1 - à remplir'!$G$31:$G$400,"kg"),SUMIFS('Étape 1 - à remplir'!$F$31:$F$400,'Étape 1 - à remplir'!$E$31:$E$400,MASQ2!EC568,'Étape 1 - à remplir'!$C$31:$C$400,EL$3)),IF(EL$2="Âge",IF(EL$3="Tous",SUMIFS('Étape 1 - à remplir'!$F$31:$F$400,'Étape 1 - à remplir'!$E$31:$E$400,MASQ2!EC568,'Étape 1 - à remplir'!$G$31:$G$400,"kg"),SUMIFS('Étape 1 - à remplir'!$F$31:$F$400,'Étape 1 - à remplir'!$E$31:$E$400,MASQ2!EC568,'Étape 1 - à remplir'!$P$31:$P$400,EL$3,'Étape 1 - à remplir'!$G$31:$G$400,"kg")),IF(EL$2="Atelier",IF(EL$3="Tous",SUMIFS('Étape 1 - à remplir'!$F$31:$F$400,'Étape 1 - à remplir'!$E$31:$E$400,MASQ2!EC568,'Étape 1 - à remplir'!$G$31:$G$400,"kg"),SUMIFS('Étape 1 - à remplir'!$F$31:$F$400,'Étape 1 - à remplir'!$E$31:$E$400,MASQ2!EC568,'Étape 1 - à remplir'!$O$31:$O$400,EL$3,'Étape 1 - à remplir'!$G$31:$G$400,"kg")),IF(EL$2="Espèce",IF(EL$3="Toutes",SUMIFS('Étape 1 - à remplir'!$F$31:$F$400,'Étape 1 - à remplir'!$E$31:$E$400,MASQ2!EC568,'Étape 1 - à remplir'!$G$31:$G$400,"kg"),SUMIFS('Étape 1 - à remplir'!$F$31:$F$400,'Étape 1 - à remplir'!$E$31:$E$400,MASQ2!EC568,'Étape 1 - à remplir'!$N$31:$N$400,EL$3,'Étape 1 - à remplir'!$G$31:$G$400,"kg")))))))</f>
        <v>#N/A</v>
      </c>
      <c r="EE568" s="76">
        <f t="shared" si="334"/>
        <v>0</v>
      </c>
      <c r="EF568" t="str">
        <f t="shared" si="325"/>
        <v/>
      </c>
      <c r="EG568" t="str">
        <f t="shared" si="326"/>
        <v/>
      </c>
      <c r="EH568" t="str">
        <f t="shared" si="327"/>
        <v/>
      </c>
      <c r="EI568" t="str">
        <f t="shared" si="328"/>
        <v/>
      </c>
      <c r="EJ568" t="str">
        <f t="shared" si="329"/>
        <v/>
      </c>
      <c r="EK568" s="63" t="str">
        <f t="shared" si="330"/>
        <v/>
      </c>
      <c r="EN568" s="42">
        <v>565</v>
      </c>
      <c r="EO568" t="e">
        <f t="shared" si="336"/>
        <v>#N/A</v>
      </c>
      <c r="EP568" s="63" t="e">
        <f t="shared" si="337"/>
        <v>#N/A</v>
      </c>
    </row>
    <row r="569" spans="13:146" x14ac:dyDescent="0.3">
      <c r="M569" s="194" t="e">
        <f ca="1">INDEX(Données_ATB!BD:BU,MATCH(MASQ2!O569,Données_ATB!BD:BD,0),18)</f>
        <v>#N/A</v>
      </c>
      <c r="N569" s="14" t="str">
        <f>IFERROR(IF(Q569=0,"",COUNTIF(Q$4:Q$600,"&gt;"&amp;Q569)+COUNTIF(Q$4:Q569,Q569)),"")</f>
        <v/>
      </c>
      <c r="O569">
        <f>Données_ATB!BD568</f>
        <v>0</v>
      </c>
      <c r="P569" t="e">
        <f>IF(IF(X$2="Catégorie",IF(X$3="Toutes",SUMIFS('Étape 1 - à remplir'!$F$31:$F$400,'Étape 1 - à remplir'!$E$31:$E$400,MASQ2!O569,'Étape 1 - à remplir'!$G$31:$G$400,"animaux"),SUMIFS('Étape 1 - à remplir'!$F$31:$F$400,'Étape 1 - à remplir'!$E$31:$E$400,MASQ2!O569,'Étape 1 - à remplir'!$C$31:$C$400,X$3)),IF(X$2="Âge",IF(X$3="Tous",SUMIFS('Étape 1 - à remplir'!$F$31:$F$400,'Étape 1 - à remplir'!$E$31:$E$400,MASQ2!O569,'Étape 1 - à remplir'!$G$31:$G$400,"animaux"),SUMIFS('Étape 1 - à remplir'!$F$31:$F$400,'Étape 1 - à remplir'!$E$31:$E$400,MASQ2!O569,'Étape 1 - à remplir'!$P$31:$P$400,X$3)),IF(X$2="Atelier",IF(X$3="Tous",SUMIFS('Étape 1 - à remplir'!$F$31:$F$400,'Étape 1 - à remplir'!$E$31:$E$400,MASQ2!O569,'Étape 1 - à remplir'!$G$31:$G$400,"animaux"),SUMIFS('Étape 1 - à remplir'!$F$31:$F$400,'Étape 1 - à remplir'!$E$31:$E$400,MASQ2!O569,'Étape 1 - à remplir'!$O$31:$O$400,X$3)),IF(X$2="Espèce",IF(X$3="Toutes",SUMIFS('Étape 1 - à remplir'!$F$31:$F$400,'Étape 1 - à remplir'!$E$31:$E$400,MASQ2!O569,'Étape 1 - à remplir'!$G$31:$G$400,"animaux"),SUMIFS('Étape 1 - à remplir'!$F$31:$F$400,'Étape 1 - à remplir'!$E$31:$E$400,MASQ2!O569,'Étape 1 - à remplir'!$N$31:$N$400,X$3))))))=0,NA(),IF(X$2="Catégorie",IF(X$3="Toutes",SUMIFS('Étape 1 - à remplir'!$F$31:$F$400,'Étape 1 - à remplir'!$E$31:$E$400,MASQ2!O569,'Étape 1 - à remplir'!$G$31:$G$400,"animaux"),SUMIFS('Étape 1 - à remplir'!$F$31:$F$400,'Étape 1 - à remplir'!$E$31:$E$400,MASQ2!O569,'Étape 1 - à remplir'!$C$31:$C$400,X$3)),IF(X$2="Âge",IF(X$3="Tous",SUMIFS('Étape 1 - à remplir'!$F$31:$F$400,'Étape 1 - à remplir'!$E$31:$E$400,MASQ2!O569,'Étape 1 - à remplir'!$G$31:$G$400,"animaux"),SUMIFS('Étape 1 - à remplir'!$F$31:$F$400,'Étape 1 - à remplir'!$E$31:$E$400,MASQ2!O569,'Étape 1 - à remplir'!$P$31:$P$400,X$3)),IF(X$2="Atelier",IF(X$3="Tous",SUMIFS('Étape 1 - à remplir'!$F$31:$F$400,'Étape 1 - à remplir'!$E$31:$E$400,MASQ2!O569,'Étape 1 - à remplir'!$G$31:$G$400,"animaux"),SUMIFS('Étape 1 - à remplir'!$F$31:$F$400,'Étape 1 - à remplir'!$E$31:$E$400,MASQ2!O569,'Étape 1 - à remplir'!$O$31:$O$400,X$3)),IF(X$2="Espèce",IF(X$3="Toutes",SUMIFS('Étape 1 - à remplir'!$F$31:$F$400,'Étape 1 - à remplir'!$E$31:$E$400,MASQ2!O569,'Étape 1 - à remplir'!$G$31:$G$400,"animaux"),SUMIFS('Étape 1 - à remplir'!$F$31:$F$400,'Étape 1 - à remplir'!$E$31:$E$400,MASQ2!O569,'Étape 1 - à remplir'!$N$31:$N$400,X$3)))))))</f>
        <v>#N/A</v>
      </c>
      <c r="Q569" s="63">
        <f t="shared" si="335"/>
        <v>0</v>
      </c>
      <c r="R569" t="str">
        <f>Données_ATB!BM568</f>
        <v/>
      </c>
      <c r="S569" t="str">
        <f>Données_ATB!BN568</f>
        <v/>
      </c>
      <c r="T569" s="63" t="str">
        <f>Données_ATB!BO568</f>
        <v/>
      </c>
      <c r="U569" s="42" t="str">
        <f>Données_ATB!BQ568</f>
        <v/>
      </c>
      <c r="V569" t="str">
        <f>Données_ATB!BR568</f>
        <v/>
      </c>
      <c r="W569" s="63" t="str">
        <f>Données_ATB!BS568</f>
        <v/>
      </c>
      <c r="Z569" s="42">
        <v>566</v>
      </c>
      <c r="AA569" t="e">
        <f t="shared" si="331"/>
        <v>#N/A</v>
      </c>
      <c r="AB569" s="63" t="e">
        <f t="shared" si="332"/>
        <v>#N/A</v>
      </c>
      <c r="BT569" s="194" t="e">
        <f t="shared" ca="1" si="315"/>
        <v>#N/A</v>
      </c>
      <c r="BU569" s="219" t="str">
        <f>IFERROR(IF(BX569=0,"",COUNTIF(BX$4:BX$600,"&gt;"&amp;BX569)+COUNTIF(BX$4:BX569,BX569)),"")</f>
        <v/>
      </c>
      <c r="BV569" s="42">
        <f t="shared" si="316"/>
        <v>0</v>
      </c>
      <c r="BW569" t="e">
        <f>IF(IF(CE$2="Catégorie",IF(CE$3="Toutes",SUMIFS('Étape 1 - à remplir'!$F$31:$F$400,'Étape 1 - à remplir'!$E$31:$E$400,MASQ2!BV569,'Étape 1 - à remplir'!$G$31:$G$400,"lots"),SUMIFS('Étape 1 - à remplir'!$F$31:$F$400,'Étape 1 - à remplir'!$E$31:$E$400,MASQ2!BV569,'Étape 1 - à remplir'!$C$31:$C$400,CE$3)),IF(CE$2="Âge",IF(CE$3="Tous",SUMIFS('Étape 1 - à remplir'!$F$31:$F$400,'Étape 1 - à remplir'!$E$31:$E$400,MASQ2!BV569,'Étape 1 - à remplir'!$G$31:$G$400,"lots"),SUMIFS('Étape 1 - à remplir'!$F$31:$F$400,'Étape 1 - à remplir'!$E$31:$E$400,MASQ2!BV569,'Étape 1 - à remplir'!$P$31:$P$400,CE$3,'Étape 1 - à remplir'!$G$31:$G$400,"lots")),IF(CE$2="Atelier",IF(CE$3="Tous",SUMIFS('Étape 1 - à remplir'!$F$31:$F$400,'Étape 1 - à remplir'!$E$31:$E$400,MASQ2!BV569,'Étape 1 - à remplir'!$G$31:$G$400,"lots"),SUMIFS('Étape 1 - à remplir'!$F$31:$F$400,'Étape 1 - à remplir'!$E$31:$E$400,MASQ2!BV569,'Étape 1 - à remplir'!$O$31:$O$400,CE$3,'Étape 1 - à remplir'!$G$31:$G$400,"lots")),IF(CE$2="Espèce",IF(CE$3="Toutes",SUMIFS('Étape 1 - à remplir'!$F$31:$F$400,'Étape 1 - à remplir'!$E$31:$E$400,MASQ2!BV569,'Étape 1 - à remplir'!$G$31:$G$400,"lots"),SUMIFS('Étape 1 - à remplir'!$F$31:$F$400,'Étape 1 - à remplir'!$E$31:$E$400,MASQ2!BV569,'Étape 1 - à remplir'!$N$31:$N$400,CE$3,'Étape 1 - à remplir'!$G$31:$G$400,"lots"))))))=0,NA(),IF(CE$2="Catégorie",IF(CE$3="Toutes",SUMIFS('Étape 1 - à remplir'!$F$31:$F$400,'Étape 1 - à remplir'!$E$31:$E$400,MASQ2!BV569,'Étape 1 - à remplir'!$G$31:$G$400,"lots"),SUMIFS('Étape 1 - à remplir'!$F$31:$F$400,'Étape 1 - à remplir'!$E$31:$E$400,MASQ2!BV569,'Étape 1 - à remplir'!$C$31:$C$400,CE$3)),IF(CE$2="Âge",IF(CE$3="Tous",SUMIFS('Étape 1 - à remplir'!$F$31:$F$400,'Étape 1 - à remplir'!$E$31:$E$400,MASQ2!BV569,'Étape 1 - à remplir'!$G$31:$G$400,"lots"),SUMIFS('Étape 1 - à remplir'!$F$31:$F$400,'Étape 1 - à remplir'!$E$31:$E$400,MASQ2!BV569,'Étape 1 - à remplir'!$P$31:$P$400,CE$3,'Étape 1 - à remplir'!$G$31:$G$400,"lots")),IF(CE$2="Atelier",IF(CE$3="Tous",SUMIFS('Étape 1 - à remplir'!$F$31:$F$400,'Étape 1 - à remplir'!$E$31:$E$400,MASQ2!BV569,'Étape 1 - à remplir'!$G$31:$G$400,"lots"),SUMIFS('Étape 1 - à remplir'!$F$31:$F$400,'Étape 1 - à remplir'!$E$31:$E$400,MASQ2!BV569,'Étape 1 - à remplir'!$O$31:$O$400,CE$3,'Étape 1 - à remplir'!$G$31:$G$400,"lots")),IF(CE$2="Espèce",IF(CE$3="Toutes",SUMIFS('Étape 1 - à remplir'!$F$31:$F$400,'Étape 1 - à remplir'!$E$31:$E$400,MASQ2!BV569,'Étape 1 - à remplir'!$G$31:$G$400,"lots"),SUMIFS('Étape 1 - à remplir'!$F$31:$F$400,'Étape 1 - à remplir'!$E$31:$E$400,MASQ2!BV569,'Étape 1 - à remplir'!$N$31:$N$400,CE$3,'Étape 1 - à remplir'!$G$31:$G$400,"lots")))))))</f>
        <v>#N/A</v>
      </c>
      <c r="BX569">
        <f t="shared" si="333"/>
        <v>0</v>
      </c>
      <c r="BY569" t="str">
        <f t="shared" si="317"/>
        <v/>
      </c>
      <c r="BZ569" t="str">
        <f t="shared" si="318"/>
        <v/>
      </c>
      <c r="CA569" t="str">
        <f t="shared" si="319"/>
        <v/>
      </c>
      <c r="CB569" t="str">
        <f t="shared" si="320"/>
        <v/>
      </c>
      <c r="CC569" t="str">
        <f t="shared" si="321"/>
        <v/>
      </c>
      <c r="CD569" s="63" t="str">
        <f t="shared" si="322"/>
        <v/>
      </c>
      <c r="CG569" s="42">
        <v>566</v>
      </c>
      <c r="CH569" s="42" t="e">
        <f t="shared" si="338"/>
        <v>#N/A</v>
      </c>
      <c r="CI569" s="63" t="e">
        <f t="shared" si="339"/>
        <v>#N/A</v>
      </c>
      <c r="EA569" s="194" t="e">
        <f t="shared" ca="1" si="323"/>
        <v>#N/A</v>
      </c>
      <c r="EB569" s="226" t="str">
        <f>IFERROR(IF(ED569=0,"",COUNTIF(ED$4:ED$600,"&gt;"&amp;ED569)+COUNTIF(ED$4:ED569,ED569)),"")</f>
        <v/>
      </c>
      <c r="EC569">
        <f t="shared" si="324"/>
        <v>0</v>
      </c>
      <c r="ED569" t="e">
        <f>IF(IF(EL$2="Catégorie",IF(EL$3="Toutes",SUMIFS('Étape 1 - à remplir'!$F$31:$F$400,'Étape 1 - à remplir'!$E$31:$E$400,MASQ2!EC569,'Étape 1 - à remplir'!$G$31:$G$400,"kg"),SUMIFS('Étape 1 - à remplir'!$F$31:$F$400,'Étape 1 - à remplir'!$E$31:$E$400,MASQ2!EC569,'Étape 1 - à remplir'!$C$31:$C$400,EL$3)),IF(EL$2="Âge",IF(EL$3="Tous",SUMIFS('Étape 1 - à remplir'!$F$31:$F$400,'Étape 1 - à remplir'!$E$31:$E$400,MASQ2!EC569,'Étape 1 - à remplir'!$G$31:$G$400,"kg"),SUMIFS('Étape 1 - à remplir'!$F$31:$F$400,'Étape 1 - à remplir'!$E$31:$E$400,MASQ2!EC569,'Étape 1 - à remplir'!$P$31:$P$400,EL$3,'Étape 1 - à remplir'!$G$31:$G$400,"kg")),IF(EL$2="Atelier",IF(EL$3="Tous",SUMIFS('Étape 1 - à remplir'!$F$31:$F$400,'Étape 1 - à remplir'!$E$31:$E$400,MASQ2!EC569,'Étape 1 - à remplir'!$G$31:$G$400,"kg"),SUMIFS('Étape 1 - à remplir'!$F$31:$F$400,'Étape 1 - à remplir'!$E$31:$E$400,MASQ2!EC569,'Étape 1 - à remplir'!$O$31:$O$400,EL$3,'Étape 1 - à remplir'!$G$31:$G$400,"kg")),IF(EL$2="Espèce",IF(EL$3="Toutes",SUMIFS('Étape 1 - à remplir'!$F$31:$F$400,'Étape 1 - à remplir'!$E$31:$E$400,MASQ2!EC569,'Étape 1 - à remplir'!$G$31:$G$400,"kg"),SUMIFS('Étape 1 - à remplir'!$F$31:$F$400,'Étape 1 - à remplir'!$E$31:$E$400,MASQ2!EC569,'Étape 1 - à remplir'!$N$31:$N$400,EL$3,'Étape 1 - à remplir'!$G$31:$G$400,"kg"))))))=0,NA(),IF(EL$2="Catégorie",IF(EL$3="Toutes",SUMIFS('Étape 1 - à remplir'!$F$31:$F$400,'Étape 1 - à remplir'!$E$31:$E$400,MASQ2!EC569,'Étape 1 - à remplir'!$G$31:$G$400,"kg"),SUMIFS('Étape 1 - à remplir'!$F$31:$F$400,'Étape 1 - à remplir'!$E$31:$E$400,MASQ2!EC569,'Étape 1 - à remplir'!$C$31:$C$400,EL$3)),IF(EL$2="Âge",IF(EL$3="Tous",SUMIFS('Étape 1 - à remplir'!$F$31:$F$400,'Étape 1 - à remplir'!$E$31:$E$400,MASQ2!EC569,'Étape 1 - à remplir'!$G$31:$G$400,"kg"),SUMIFS('Étape 1 - à remplir'!$F$31:$F$400,'Étape 1 - à remplir'!$E$31:$E$400,MASQ2!EC569,'Étape 1 - à remplir'!$P$31:$P$400,EL$3,'Étape 1 - à remplir'!$G$31:$G$400,"kg")),IF(EL$2="Atelier",IF(EL$3="Tous",SUMIFS('Étape 1 - à remplir'!$F$31:$F$400,'Étape 1 - à remplir'!$E$31:$E$400,MASQ2!EC569,'Étape 1 - à remplir'!$G$31:$G$400,"kg"),SUMIFS('Étape 1 - à remplir'!$F$31:$F$400,'Étape 1 - à remplir'!$E$31:$E$400,MASQ2!EC569,'Étape 1 - à remplir'!$O$31:$O$400,EL$3,'Étape 1 - à remplir'!$G$31:$G$400,"kg")),IF(EL$2="Espèce",IF(EL$3="Toutes",SUMIFS('Étape 1 - à remplir'!$F$31:$F$400,'Étape 1 - à remplir'!$E$31:$E$400,MASQ2!EC569,'Étape 1 - à remplir'!$G$31:$G$400,"kg"),SUMIFS('Étape 1 - à remplir'!$F$31:$F$400,'Étape 1 - à remplir'!$E$31:$E$400,MASQ2!EC569,'Étape 1 - à remplir'!$N$31:$N$400,EL$3,'Étape 1 - à remplir'!$G$31:$G$400,"kg")))))))</f>
        <v>#N/A</v>
      </c>
      <c r="EE569" s="76">
        <f t="shared" si="334"/>
        <v>0</v>
      </c>
      <c r="EF569" t="str">
        <f t="shared" si="325"/>
        <v/>
      </c>
      <c r="EG569" t="str">
        <f t="shared" si="326"/>
        <v/>
      </c>
      <c r="EH569" t="str">
        <f t="shared" si="327"/>
        <v/>
      </c>
      <c r="EI569" t="str">
        <f t="shared" si="328"/>
        <v/>
      </c>
      <c r="EJ569" t="str">
        <f t="shared" si="329"/>
        <v/>
      </c>
      <c r="EK569" s="63" t="str">
        <f t="shared" si="330"/>
        <v/>
      </c>
      <c r="EN569" s="42">
        <v>566</v>
      </c>
      <c r="EO569" t="e">
        <f t="shared" si="336"/>
        <v>#N/A</v>
      </c>
      <c r="EP569" s="63" t="e">
        <f t="shared" si="337"/>
        <v>#N/A</v>
      </c>
    </row>
    <row r="570" spans="13:146" x14ac:dyDescent="0.3">
      <c r="M570" s="194" t="e">
        <f ca="1">INDEX(Données_ATB!BD:BU,MATCH(MASQ2!O570,Données_ATB!BD:BD,0),18)</f>
        <v>#N/A</v>
      </c>
      <c r="N570" s="14" t="str">
        <f>IFERROR(IF(Q570=0,"",COUNTIF(Q$4:Q$600,"&gt;"&amp;Q570)+COUNTIF(Q$4:Q570,Q570)),"")</f>
        <v/>
      </c>
      <c r="O570">
        <f>Données_ATB!BD569</f>
        <v>0</v>
      </c>
      <c r="P570" t="e">
        <f>IF(IF(X$2="Catégorie",IF(X$3="Toutes",SUMIFS('Étape 1 - à remplir'!$F$31:$F$400,'Étape 1 - à remplir'!$E$31:$E$400,MASQ2!O570,'Étape 1 - à remplir'!$G$31:$G$400,"animaux"),SUMIFS('Étape 1 - à remplir'!$F$31:$F$400,'Étape 1 - à remplir'!$E$31:$E$400,MASQ2!O570,'Étape 1 - à remplir'!$C$31:$C$400,X$3)),IF(X$2="Âge",IF(X$3="Tous",SUMIFS('Étape 1 - à remplir'!$F$31:$F$400,'Étape 1 - à remplir'!$E$31:$E$400,MASQ2!O570,'Étape 1 - à remplir'!$G$31:$G$400,"animaux"),SUMIFS('Étape 1 - à remplir'!$F$31:$F$400,'Étape 1 - à remplir'!$E$31:$E$400,MASQ2!O570,'Étape 1 - à remplir'!$P$31:$P$400,X$3)),IF(X$2="Atelier",IF(X$3="Tous",SUMIFS('Étape 1 - à remplir'!$F$31:$F$400,'Étape 1 - à remplir'!$E$31:$E$400,MASQ2!O570,'Étape 1 - à remplir'!$G$31:$G$400,"animaux"),SUMIFS('Étape 1 - à remplir'!$F$31:$F$400,'Étape 1 - à remplir'!$E$31:$E$400,MASQ2!O570,'Étape 1 - à remplir'!$O$31:$O$400,X$3)),IF(X$2="Espèce",IF(X$3="Toutes",SUMIFS('Étape 1 - à remplir'!$F$31:$F$400,'Étape 1 - à remplir'!$E$31:$E$400,MASQ2!O570,'Étape 1 - à remplir'!$G$31:$G$400,"animaux"),SUMIFS('Étape 1 - à remplir'!$F$31:$F$400,'Étape 1 - à remplir'!$E$31:$E$400,MASQ2!O570,'Étape 1 - à remplir'!$N$31:$N$400,X$3))))))=0,NA(),IF(X$2="Catégorie",IF(X$3="Toutes",SUMIFS('Étape 1 - à remplir'!$F$31:$F$400,'Étape 1 - à remplir'!$E$31:$E$400,MASQ2!O570,'Étape 1 - à remplir'!$G$31:$G$400,"animaux"),SUMIFS('Étape 1 - à remplir'!$F$31:$F$400,'Étape 1 - à remplir'!$E$31:$E$400,MASQ2!O570,'Étape 1 - à remplir'!$C$31:$C$400,X$3)),IF(X$2="Âge",IF(X$3="Tous",SUMIFS('Étape 1 - à remplir'!$F$31:$F$400,'Étape 1 - à remplir'!$E$31:$E$400,MASQ2!O570,'Étape 1 - à remplir'!$G$31:$G$400,"animaux"),SUMIFS('Étape 1 - à remplir'!$F$31:$F$400,'Étape 1 - à remplir'!$E$31:$E$400,MASQ2!O570,'Étape 1 - à remplir'!$P$31:$P$400,X$3)),IF(X$2="Atelier",IF(X$3="Tous",SUMIFS('Étape 1 - à remplir'!$F$31:$F$400,'Étape 1 - à remplir'!$E$31:$E$400,MASQ2!O570,'Étape 1 - à remplir'!$G$31:$G$400,"animaux"),SUMIFS('Étape 1 - à remplir'!$F$31:$F$400,'Étape 1 - à remplir'!$E$31:$E$400,MASQ2!O570,'Étape 1 - à remplir'!$O$31:$O$400,X$3)),IF(X$2="Espèce",IF(X$3="Toutes",SUMIFS('Étape 1 - à remplir'!$F$31:$F$400,'Étape 1 - à remplir'!$E$31:$E$400,MASQ2!O570,'Étape 1 - à remplir'!$G$31:$G$400,"animaux"),SUMIFS('Étape 1 - à remplir'!$F$31:$F$400,'Étape 1 - à remplir'!$E$31:$E$400,MASQ2!O570,'Étape 1 - à remplir'!$N$31:$N$400,X$3)))))))</f>
        <v>#N/A</v>
      </c>
      <c r="Q570" s="63">
        <f t="shared" si="335"/>
        <v>0</v>
      </c>
      <c r="R570" t="str">
        <f>Données_ATB!BM569</f>
        <v/>
      </c>
      <c r="S570" t="str">
        <f>Données_ATB!BN569</f>
        <v/>
      </c>
      <c r="T570" s="63" t="str">
        <f>Données_ATB!BO569</f>
        <v/>
      </c>
      <c r="U570" s="42" t="str">
        <f>Données_ATB!BQ569</f>
        <v/>
      </c>
      <c r="V570" t="str">
        <f>Données_ATB!BR569</f>
        <v/>
      </c>
      <c r="W570" s="63" t="str">
        <f>Données_ATB!BS569</f>
        <v/>
      </c>
      <c r="Z570" s="42">
        <v>567</v>
      </c>
      <c r="AA570" t="e">
        <f t="shared" si="331"/>
        <v>#N/A</v>
      </c>
      <c r="AB570" s="63" t="e">
        <f t="shared" si="332"/>
        <v>#N/A</v>
      </c>
      <c r="BT570" s="194" t="e">
        <f t="shared" ca="1" si="315"/>
        <v>#N/A</v>
      </c>
      <c r="BU570" s="219" t="str">
        <f>IFERROR(IF(BX570=0,"",COUNTIF(BX$4:BX$600,"&gt;"&amp;BX570)+COUNTIF(BX$4:BX570,BX570)),"")</f>
        <v/>
      </c>
      <c r="BV570" s="42">
        <f t="shared" si="316"/>
        <v>0</v>
      </c>
      <c r="BW570" t="e">
        <f>IF(IF(CE$2="Catégorie",IF(CE$3="Toutes",SUMIFS('Étape 1 - à remplir'!$F$31:$F$400,'Étape 1 - à remplir'!$E$31:$E$400,MASQ2!BV570,'Étape 1 - à remplir'!$G$31:$G$400,"lots"),SUMIFS('Étape 1 - à remplir'!$F$31:$F$400,'Étape 1 - à remplir'!$E$31:$E$400,MASQ2!BV570,'Étape 1 - à remplir'!$C$31:$C$400,CE$3)),IF(CE$2="Âge",IF(CE$3="Tous",SUMIFS('Étape 1 - à remplir'!$F$31:$F$400,'Étape 1 - à remplir'!$E$31:$E$400,MASQ2!BV570,'Étape 1 - à remplir'!$G$31:$G$400,"lots"),SUMIFS('Étape 1 - à remplir'!$F$31:$F$400,'Étape 1 - à remplir'!$E$31:$E$400,MASQ2!BV570,'Étape 1 - à remplir'!$P$31:$P$400,CE$3,'Étape 1 - à remplir'!$G$31:$G$400,"lots")),IF(CE$2="Atelier",IF(CE$3="Tous",SUMIFS('Étape 1 - à remplir'!$F$31:$F$400,'Étape 1 - à remplir'!$E$31:$E$400,MASQ2!BV570,'Étape 1 - à remplir'!$G$31:$G$400,"lots"),SUMIFS('Étape 1 - à remplir'!$F$31:$F$400,'Étape 1 - à remplir'!$E$31:$E$400,MASQ2!BV570,'Étape 1 - à remplir'!$O$31:$O$400,CE$3,'Étape 1 - à remplir'!$G$31:$G$400,"lots")),IF(CE$2="Espèce",IF(CE$3="Toutes",SUMIFS('Étape 1 - à remplir'!$F$31:$F$400,'Étape 1 - à remplir'!$E$31:$E$400,MASQ2!BV570,'Étape 1 - à remplir'!$G$31:$G$400,"lots"),SUMIFS('Étape 1 - à remplir'!$F$31:$F$400,'Étape 1 - à remplir'!$E$31:$E$400,MASQ2!BV570,'Étape 1 - à remplir'!$N$31:$N$400,CE$3,'Étape 1 - à remplir'!$G$31:$G$400,"lots"))))))=0,NA(),IF(CE$2="Catégorie",IF(CE$3="Toutes",SUMIFS('Étape 1 - à remplir'!$F$31:$F$400,'Étape 1 - à remplir'!$E$31:$E$400,MASQ2!BV570,'Étape 1 - à remplir'!$G$31:$G$400,"lots"),SUMIFS('Étape 1 - à remplir'!$F$31:$F$400,'Étape 1 - à remplir'!$E$31:$E$400,MASQ2!BV570,'Étape 1 - à remplir'!$C$31:$C$400,CE$3)),IF(CE$2="Âge",IF(CE$3="Tous",SUMIFS('Étape 1 - à remplir'!$F$31:$F$400,'Étape 1 - à remplir'!$E$31:$E$400,MASQ2!BV570,'Étape 1 - à remplir'!$G$31:$G$400,"lots"),SUMIFS('Étape 1 - à remplir'!$F$31:$F$400,'Étape 1 - à remplir'!$E$31:$E$400,MASQ2!BV570,'Étape 1 - à remplir'!$P$31:$P$400,CE$3,'Étape 1 - à remplir'!$G$31:$G$400,"lots")),IF(CE$2="Atelier",IF(CE$3="Tous",SUMIFS('Étape 1 - à remplir'!$F$31:$F$400,'Étape 1 - à remplir'!$E$31:$E$400,MASQ2!BV570,'Étape 1 - à remplir'!$G$31:$G$400,"lots"),SUMIFS('Étape 1 - à remplir'!$F$31:$F$400,'Étape 1 - à remplir'!$E$31:$E$400,MASQ2!BV570,'Étape 1 - à remplir'!$O$31:$O$400,CE$3,'Étape 1 - à remplir'!$G$31:$G$400,"lots")),IF(CE$2="Espèce",IF(CE$3="Toutes",SUMIFS('Étape 1 - à remplir'!$F$31:$F$400,'Étape 1 - à remplir'!$E$31:$E$400,MASQ2!BV570,'Étape 1 - à remplir'!$G$31:$G$400,"lots"),SUMIFS('Étape 1 - à remplir'!$F$31:$F$400,'Étape 1 - à remplir'!$E$31:$E$400,MASQ2!BV570,'Étape 1 - à remplir'!$N$31:$N$400,CE$3,'Étape 1 - à remplir'!$G$31:$G$400,"lots")))))))</f>
        <v>#N/A</v>
      </c>
      <c r="BX570">
        <f t="shared" si="333"/>
        <v>0</v>
      </c>
      <c r="BY570" t="str">
        <f t="shared" si="317"/>
        <v/>
      </c>
      <c r="BZ570" t="str">
        <f t="shared" si="318"/>
        <v/>
      </c>
      <c r="CA570" t="str">
        <f t="shared" si="319"/>
        <v/>
      </c>
      <c r="CB570" t="str">
        <f t="shared" si="320"/>
        <v/>
      </c>
      <c r="CC570" t="str">
        <f t="shared" si="321"/>
        <v/>
      </c>
      <c r="CD570" s="63" t="str">
        <f t="shared" si="322"/>
        <v/>
      </c>
      <c r="CG570" s="42">
        <v>567</v>
      </c>
      <c r="CH570" s="42" t="e">
        <f t="shared" si="338"/>
        <v>#N/A</v>
      </c>
      <c r="CI570" s="63" t="e">
        <f t="shared" si="339"/>
        <v>#N/A</v>
      </c>
      <c r="EA570" s="194" t="e">
        <f t="shared" ca="1" si="323"/>
        <v>#N/A</v>
      </c>
      <c r="EB570" s="226" t="str">
        <f>IFERROR(IF(ED570=0,"",COUNTIF(ED$4:ED$600,"&gt;"&amp;ED570)+COUNTIF(ED$4:ED570,ED570)),"")</f>
        <v/>
      </c>
      <c r="EC570">
        <f t="shared" si="324"/>
        <v>0</v>
      </c>
      <c r="ED570" t="e">
        <f>IF(IF(EL$2="Catégorie",IF(EL$3="Toutes",SUMIFS('Étape 1 - à remplir'!$F$31:$F$400,'Étape 1 - à remplir'!$E$31:$E$400,MASQ2!EC570,'Étape 1 - à remplir'!$G$31:$G$400,"kg"),SUMIFS('Étape 1 - à remplir'!$F$31:$F$400,'Étape 1 - à remplir'!$E$31:$E$400,MASQ2!EC570,'Étape 1 - à remplir'!$C$31:$C$400,EL$3)),IF(EL$2="Âge",IF(EL$3="Tous",SUMIFS('Étape 1 - à remplir'!$F$31:$F$400,'Étape 1 - à remplir'!$E$31:$E$400,MASQ2!EC570,'Étape 1 - à remplir'!$G$31:$G$400,"kg"),SUMIFS('Étape 1 - à remplir'!$F$31:$F$400,'Étape 1 - à remplir'!$E$31:$E$400,MASQ2!EC570,'Étape 1 - à remplir'!$P$31:$P$400,EL$3,'Étape 1 - à remplir'!$G$31:$G$400,"kg")),IF(EL$2="Atelier",IF(EL$3="Tous",SUMIFS('Étape 1 - à remplir'!$F$31:$F$400,'Étape 1 - à remplir'!$E$31:$E$400,MASQ2!EC570,'Étape 1 - à remplir'!$G$31:$G$400,"kg"),SUMIFS('Étape 1 - à remplir'!$F$31:$F$400,'Étape 1 - à remplir'!$E$31:$E$400,MASQ2!EC570,'Étape 1 - à remplir'!$O$31:$O$400,EL$3,'Étape 1 - à remplir'!$G$31:$G$400,"kg")),IF(EL$2="Espèce",IF(EL$3="Toutes",SUMIFS('Étape 1 - à remplir'!$F$31:$F$400,'Étape 1 - à remplir'!$E$31:$E$400,MASQ2!EC570,'Étape 1 - à remplir'!$G$31:$G$400,"kg"),SUMIFS('Étape 1 - à remplir'!$F$31:$F$400,'Étape 1 - à remplir'!$E$31:$E$400,MASQ2!EC570,'Étape 1 - à remplir'!$N$31:$N$400,EL$3,'Étape 1 - à remplir'!$G$31:$G$400,"kg"))))))=0,NA(),IF(EL$2="Catégorie",IF(EL$3="Toutes",SUMIFS('Étape 1 - à remplir'!$F$31:$F$400,'Étape 1 - à remplir'!$E$31:$E$400,MASQ2!EC570,'Étape 1 - à remplir'!$G$31:$G$400,"kg"),SUMIFS('Étape 1 - à remplir'!$F$31:$F$400,'Étape 1 - à remplir'!$E$31:$E$400,MASQ2!EC570,'Étape 1 - à remplir'!$C$31:$C$400,EL$3)),IF(EL$2="Âge",IF(EL$3="Tous",SUMIFS('Étape 1 - à remplir'!$F$31:$F$400,'Étape 1 - à remplir'!$E$31:$E$400,MASQ2!EC570,'Étape 1 - à remplir'!$G$31:$G$400,"kg"),SUMIFS('Étape 1 - à remplir'!$F$31:$F$400,'Étape 1 - à remplir'!$E$31:$E$400,MASQ2!EC570,'Étape 1 - à remplir'!$P$31:$P$400,EL$3,'Étape 1 - à remplir'!$G$31:$G$400,"kg")),IF(EL$2="Atelier",IF(EL$3="Tous",SUMIFS('Étape 1 - à remplir'!$F$31:$F$400,'Étape 1 - à remplir'!$E$31:$E$400,MASQ2!EC570,'Étape 1 - à remplir'!$G$31:$G$400,"kg"),SUMIFS('Étape 1 - à remplir'!$F$31:$F$400,'Étape 1 - à remplir'!$E$31:$E$400,MASQ2!EC570,'Étape 1 - à remplir'!$O$31:$O$400,EL$3,'Étape 1 - à remplir'!$G$31:$G$400,"kg")),IF(EL$2="Espèce",IF(EL$3="Toutes",SUMIFS('Étape 1 - à remplir'!$F$31:$F$400,'Étape 1 - à remplir'!$E$31:$E$400,MASQ2!EC570,'Étape 1 - à remplir'!$G$31:$G$400,"kg"),SUMIFS('Étape 1 - à remplir'!$F$31:$F$400,'Étape 1 - à remplir'!$E$31:$E$400,MASQ2!EC570,'Étape 1 - à remplir'!$N$31:$N$400,EL$3,'Étape 1 - à remplir'!$G$31:$G$400,"kg")))))))</f>
        <v>#N/A</v>
      </c>
      <c r="EE570" s="76">
        <f t="shared" si="334"/>
        <v>0</v>
      </c>
      <c r="EF570" t="str">
        <f t="shared" si="325"/>
        <v/>
      </c>
      <c r="EG570" t="str">
        <f t="shared" si="326"/>
        <v/>
      </c>
      <c r="EH570" t="str">
        <f t="shared" si="327"/>
        <v/>
      </c>
      <c r="EI570" t="str">
        <f t="shared" si="328"/>
        <v/>
      </c>
      <c r="EJ570" t="str">
        <f t="shared" si="329"/>
        <v/>
      </c>
      <c r="EK570" s="63" t="str">
        <f t="shared" si="330"/>
        <v/>
      </c>
      <c r="EN570" s="42">
        <v>567</v>
      </c>
      <c r="EO570" t="e">
        <f t="shared" si="336"/>
        <v>#N/A</v>
      </c>
      <c r="EP570" s="63" t="e">
        <f t="shared" si="337"/>
        <v>#N/A</v>
      </c>
    </row>
    <row r="571" spans="13:146" x14ac:dyDescent="0.3">
      <c r="M571" s="194" t="e">
        <f ca="1">INDEX(Données_ATB!BD:BU,MATCH(MASQ2!O571,Données_ATB!BD:BD,0),18)</f>
        <v>#N/A</v>
      </c>
      <c r="N571" s="14" t="str">
        <f>IFERROR(IF(Q571=0,"",COUNTIF(Q$4:Q$600,"&gt;"&amp;Q571)+COUNTIF(Q$4:Q571,Q571)),"")</f>
        <v/>
      </c>
      <c r="O571">
        <f>Données_ATB!BD570</f>
        <v>0</v>
      </c>
      <c r="P571" t="e">
        <f>IF(IF(X$2="Catégorie",IF(X$3="Toutes",SUMIFS('Étape 1 - à remplir'!$F$31:$F$400,'Étape 1 - à remplir'!$E$31:$E$400,MASQ2!O571,'Étape 1 - à remplir'!$G$31:$G$400,"animaux"),SUMIFS('Étape 1 - à remplir'!$F$31:$F$400,'Étape 1 - à remplir'!$E$31:$E$400,MASQ2!O571,'Étape 1 - à remplir'!$C$31:$C$400,X$3)),IF(X$2="Âge",IF(X$3="Tous",SUMIFS('Étape 1 - à remplir'!$F$31:$F$400,'Étape 1 - à remplir'!$E$31:$E$400,MASQ2!O571,'Étape 1 - à remplir'!$G$31:$G$400,"animaux"),SUMIFS('Étape 1 - à remplir'!$F$31:$F$400,'Étape 1 - à remplir'!$E$31:$E$400,MASQ2!O571,'Étape 1 - à remplir'!$P$31:$P$400,X$3)),IF(X$2="Atelier",IF(X$3="Tous",SUMIFS('Étape 1 - à remplir'!$F$31:$F$400,'Étape 1 - à remplir'!$E$31:$E$400,MASQ2!O571,'Étape 1 - à remplir'!$G$31:$G$400,"animaux"),SUMIFS('Étape 1 - à remplir'!$F$31:$F$400,'Étape 1 - à remplir'!$E$31:$E$400,MASQ2!O571,'Étape 1 - à remplir'!$O$31:$O$400,X$3)),IF(X$2="Espèce",IF(X$3="Toutes",SUMIFS('Étape 1 - à remplir'!$F$31:$F$400,'Étape 1 - à remplir'!$E$31:$E$400,MASQ2!O571,'Étape 1 - à remplir'!$G$31:$G$400,"animaux"),SUMIFS('Étape 1 - à remplir'!$F$31:$F$400,'Étape 1 - à remplir'!$E$31:$E$400,MASQ2!O571,'Étape 1 - à remplir'!$N$31:$N$400,X$3))))))=0,NA(),IF(X$2="Catégorie",IF(X$3="Toutes",SUMIFS('Étape 1 - à remplir'!$F$31:$F$400,'Étape 1 - à remplir'!$E$31:$E$400,MASQ2!O571,'Étape 1 - à remplir'!$G$31:$G$400,"animaux"),SUMIFS('Étape 1 - à remplir'!$F$31:$F$400,'Étape 1 - à remplir'!$E$31:$E$400,MASQ2!O571,'Étape 1 - à remplir'!$C$31:$C$400,X$3)),IF(X$2="Âge",IF(X$3="Tous",SUMIFS('Étape 1 - à remplir'!$F$31:$F$400,'Étape 1 - à remplir'!$E$31:$E$400,MASQ2!O571,'Étape 1 - à remplir'!$G$31:$G$400,"animaux"),SUMIFS('Étape 1 - à remplir'!$F$31:$F$400,'Étape 1 - à remplir'!$E$31:$E$400,MASQ2!O571,'Étape 1 - à remplir'!$P$31:$P$400,X$3)),IF(X$2="Atelier",IF(X$3="Tous",SUMIFS('Étape 1 - à remplir'!$F$31:$F$400,'Étape 1 - à remplir'!$E$31:$E$400,MASQ2!O571,'Étape 1 - à remplir'!$G$31:$G$400,"animaux"),SUMIFS('Étape 1 - à remplir'!$F$31:$F$400,'Étape 1 - à remplir'!$E$31:$E$400,MASQ2!O571,'Étape 1 - à remplir'!$O$31:$O$400,X$3)),IF(X$2="Espèce",IF(X$3="Toutes",SUMIFS('Étape 1 - à remplir'!$F$31:$F$400,'Étape 1 - à remplir'!$E$31:$E$400,MASQ2!O571,'Étape 1 - à remplir'!$G$31:$G$400,"animaux"),SUMIFS('Étape 1 - à remplir'!$F$31:$F$400,'Étape 1 - à remplir'!$E$31:$E$400,MASQ2!O571,'Étape 1 - à remplir'!$N$31:$N$400,X$3)))))))</f>
        <v>#N/A</v>
      </c>
      <c r="Q571" s="63">
        <f t="shared" si="335"/>
        <v>0</v>
      </c>
      <c r="R571" t="str">
        <f>Données_ATB!BM570</f>
        <v/>
      </c>
      <c r="S571" t="str">
        <f>Données_ATB!BN570</f>
        <v/>
      </c>
      <c r="T571" s="63" t="str">
        <f>Données_ATB!BO570</f>
        <v/>
      </c>
      <c r="U571" s="42" t="str">
        <f>Données_ATB!BQ570</f>
        <v/>
      </c>
      <c r="V571" t="str">
        <f>Données_ATB!BR570</f>
        <v/>
      </c>
      <c r="W571" s="63" t="str">
        <f>Données_ATB!BS570</f>
        <v/>
      </c>
      <c r="Z571" s="42">
        <v>568</v>
      </c>
      <c r="AA571" t="e">
        <f t="shared" si="331"/>
        <v>#N/A</v>
      </c>
      <c r="AB571" s="63" t="e">
        <f t="shared" si="332"/>
        <v>#N/A</v>
      </c>
      <c r="BT571" s="194" t="e">
        <f t="shared" ca="1" si="315"/>
        <v>#N/A</v>
      </c>
      <c r="BU571" s="219" t="str">
        <f>IFERROR(IF(BX571=0,"",COUNTIF(BX$4:BX$600,"&gt;"&amp;BX571)+COUNTIF(BX$4:BX571,BX571)),"")</f>
        <v/>
      </c>
      <c r="BV571" s="42">
        <f t="shared" si="316"/>
        <v>0</v>
      </c>
      <c r="BW571" t="e">
        <f>IF(IF(CE$2="Catégorie",IF(CE$3="Toutes",SUMIFS('Étape 1 - à remplir'!$F$31:$F$400,'Étape 1 - à remplir'!$E$31:$E$400,MASQ2!BV571,'Étape 1 - à remplir'!$G$31:$G$400,"lots"),SUMIFS('Étape 1 - à remplir'!$F$31:$F$400,'Étape 1 - à remplir'!$E$31:$E$400,MASQ2!BV571,'Étape 1 - à remplir'!$C$31:$C$400,CE$3)),IF(CE$2="Âge",IF(CE$3="Tous",SUMIFS('Étape 1 - à remplir'!$F$31:$F$400,'Étape 1 - à remplir'!$E$31:$E$400,MASQ2!BV571,'Étape 1 - à remplir'!$G$31:$G$400,"lots"),SUMIFS('Étape 1 - à remplir'!$F$31:$F$400,'Étape 1 - à remplir'!$E$31:$E$400,MASQ2!BV571,'Étape 1 - à remplir'!$P$31:$P$400,CE$3,'Étape 1 - à remplir'!$G$31:$G$400,"lots")),IF(CE$2="Atelier",IF(CE$3="Tous",SUMIFS('Étape 1 - à remplir'!$F$31:$F$400,'Étape 1 - à remplir'!$E$31:$E$400,MASQ2!BV571,'Étape 1 - à remplir'!$G$31:$G$400,"lots"),SUMIFS('Étape 1 - à remplir'!$F$31:$F$400,'Étape 1 - à remplir'!$E$31:$E$400,MASQ2!BV571,'Étape 1 - à remplir'!$O$31:$O$400,CE$3,'Étape 1 - à remplir'!$G$31:$G$400,"lots")),IF(CE$2="Espèce",IF(CE$3="Toutes",SUMIFS('Étape 1 - à remplir'!$F$31:$F$400,'Étape 1 - à remplir'!$E$31:$E$400,MASQ2!BV571,'Étape 1 - à remplir'!$G$31:$G$400,"lots"),SUMIFS('Étape 1 - à remplir'!$F$31:$F$400,'Étape 1 - à remplir'!$E$31:$E$400,MASQ2!BV571,'Étape 1 - à remplir'!$N$31:$N$400,CE$3,'Étape 1 - à remplir'!$G$31:$G$400,"lots"))))))=0,NA(),IF(CE$2="Catégorie",IF(CE$3="Toutes",SUMIFS('Étape 1 - à remplir'!$F$31:$F$400,'Étape 1 - à remplir'!$E$31:$E$400,MASQ2!BV571,'Étape 1 - à remplir'!$G$31:$G$400,"lots"),SUMIFS('Étape 1 - à remplir'!$F$31:$F$400,'Étape 1 - à remplir'!$E$31:$E$400,MASQ2!BV571,'Étape 1 - à remplir'!$C$31:$C$400,CE$3)),IF(CE$2="Âge",IF(CE$3="Tous",SUMIFS('Étape 1 - à remplir'!$F$31:$F$400,'Étape 1 - à remplir'!$E$31:$E$400,MASQ2!BV571,'Étape 1 - à remplir'!$G$31:$G$400,"lots"),SUMIFS('Étape 1 - à remplir'!$F$31:$F$400,'Étape 1 - à remplir'!$E$31:$E$400,MASQ2!BV571,'Étape 1 - à remplir'!$P$31:$P$400,CE$3,'Étape 1 - à remplir'!$G$31:$G$400,"lots")),IF(CE$2="Atelier",IF(CE$3="Tous",SUMIFS('Étape 1 - à remplir'!$F$31:$F$400,'Étape 1 - à remplir'!$E$31:$E$400,MASQ2!BV571,'Étape 1 - à remplir'!$G$31:$G$400,"lots"),SUMIFS('Étape 1 - à remplir'!$F$31:$F$400,'Étape 1 - à remplir'!$E$31:$E$400,MASQ2!BV571,'Étape 1 - à remplir'!$O$31:$O$400,CE$3,'Étape 1 - à remplir'!$G$31:$G$400,"lots")),IF(CE$2="Espèce",IF(CE$3="Toutes",SUMIFS('Étape 1 - à remplir'!$F$31:$F$400,'Étape 1 - à remplir'!$E$31:$E$400,MASQ2!BV571,'Étape 1 - à remplir'!$G$31:$G$400,"lots"),SUMIFS('Étape 1 - à remplir'!$F$31:$F$400,'Étape 1 - à remplir'!$E$31:$E$400,MASQ2!BV571,'Étape 1 - à remplir'!$N$31:$N$400,CE$3,'Étape 1 - à remplir'!$G$31:$G$400,"lots")))))))</f>
        <v>#N/A</v>
      </c>
      <c r="BX571">
        <f t="shared" si="333"/>
        <v>0</v>
      </c>
      <c r="BY571" t="str">
        <f t="shared" si="317"/>
        <v/>
      </c>
      <c r="BZ571" t="str">
        <f t="shared" si="318"/>
        <v/>
      </c>
      <c r="CA571" t="str">
        <f t="shared" si="319"/>
        <v/>
      </c>
      <c r="CB571" t="str">
        <f t="shared" si="320"/>
        <v/>
      </c>
      <c r="CC571" t="str">
        <f t="shared" si="321"/>
        <v/>
      </c>
      <c r="CD571" s="63" t="str">
        <f t="shared" si="322"/>
        <v/>
      </c>
      <c r="CG571" s="42">
        <v>568</v>
      </c>
      <c r="CH571" s="42" t="e">
        <f t="shared" si="338"/>
        <v>#N/A</v>
      </c>
      <c r="CI571" s="63" t="e">
        <f t="shared" si="339"/>
        <v>#N/A</v>
      </c>
      <c r="EA571" s="194" t="e">
        <f t="shared" ca="1" si="323"/>
        <v>#N/A</v>
      </c>
      <c r="EB571" s="226" t="str">
        <f>IFERROR(IF(ED571=0,"",COUNTIF(ED$4:ED$600,"&gt;"&amp;ED571)+COUNTIF(ED$4:ED571,ED571)),"")</f>
        <v/>
      </c>
      <c r="EC571">
        <f t="shared" si="324"/>
        <v>0</v>
      </c>
      <c r="ED571" t="e">
        <f>IF(IF(EL$2="Catégorie",IF(EL$3="Toutes",SUMIFS('Étape 1 - à remplir'!$F$31:$F$400,'Étape 1 - à remplir'!$E$31:$E$400,MASQ2!EC571,'Étape 1 - à remplir'!$G$31:$G$400,"kg"),SUMIFS('Étape 1 - à remplir'!$F$31:$F$400,'Étape 1 - à remplir'!$E$31:$E$400,MASQ2!EC571,'Étape 1 - à remplir'!$C$31:$C$400,EL$3)),IF(EL$2="Âge",IF(EL$3="Tous",SUMIFS('Étape 1 - à remplir'!$F$31:$F$400,'Étape 1 - à remplir'!$E$31:$E$400,MASQ2!EC571,'Étape 1 - à remplir'!$G$31:$G$400,"kg"),SUMIFS('Étape 1 - à remplir'!$F$31:$F$400,'Étape 1 - à remplir'!$E$31:$E$400,MASQ2!EC571,'Étape 1 - à remplir'!$P$31:$P$400,EL$3,'Étape 1 - à remplir'!$G$31:$G$400,"kg")),IF(EL$2="Atelier",IF(EL$3="Tous",SUMIFS('Étape 1 - à remplir'!$F$31:$F$400,'Étape 1 - à remplir'!$E$31:$E$400,MASQ2!EC571,'Étape 1 - à remplir'!$G$31:$G$400,"kg"),SUMIFS('Étape 1 - à remplir'!$F$31:$F$400,'Étape 1 - à remplir'!$E$31:$E$400,MASQ2!EC571,'Étape 1 - à remplir'!$O$31:$O$400,EL$3,'Étape 1 - à remplir'!$G$31:$G$400,"kg")),IF(EL$2="Espèce",IF(EL$3="Toutes",SUMIFS('Étape 1 - à remplir'!$F$31:$F$400,'Étape 1 - à remplir'!$E$31:$E$400,MASQ2!EC571,'Étape 1 - à remplir'!$G$31:$G$400,"kg"),SUMIFS('Étape 1 - à remplir'!$F$31:$F$400,'Étape 1 - à remplir'!$E$31:$E$400,MASQ2!EC571,'Étape 1 - à remplir'!$N$31:$N$400,EL$3,'Étape 1 - à remplir'!$G$31:$G$400,"kg"))))))=0,NA(),IF(EL$2="Catégorie",IF(EL$3="Toutes",SUMIFS('Étape 1 - à remplir'!$F$31:$F$400,'Étape 1 - à remplir'!$E$31:$E$400,MASQ2!EC571,'Étape 1 - à remplir'!$G$31:$G$400,"kg"),SUMIFS('Étape 1 - à remplir'!$F$31:$F$400,'Étape 1 - à remplir'!$E$31:$E$400,MASQ2!EC571,'Étape 1 - à remplir'!$C$31:$C$400,EL$3)),IF(EL$2="Âge",IF(EL$3="Tous",SUMIFS('Étape 1 - à remplir'!$F$31:$F$400,'Étape 1 - à remplir'!$E$31:$E$400,MASQ2!EC571,'Étape 1 - à remplir'!$G$31:$G$400,"kg"),SUMIFS('Étape 1 - à remplir'!$F$31:$F$400,'Étape 1 - à remplir'!$E$31:$E$400,MASQ2!EC571,'Étape 1 - à remplir'!$P$31:$P$400,EL$3,'Étape 1 - à remplir'!$G$31:$G$400,"kg")),IF(EL$2="Atelier",IF(EL$3="Tous",SUMIFS('Étape 1 - à remplir'!$F$31:$F$400,'Étape 1 - à remplir'!$E$31:$E$400,MASQ2!EC571,'Étape 1 - à remplir'!$G$31:$G$400,"kg"),SUMIFS('Étape 1 - à remplir'!$F$31:$F$400,'Étape 1 - à remplir'!$E$31:$E$400,MASQ2!EC571,'Étape 1 - à remplir'!$O$31:$O$400,EL$3,'Étape 1 - à remplir'!$G$31:$G$400,"kg")),IF(EL$2="Espèce",IF(EL$3="Toutes",SUMIFS('Étape 1 - à remplir'!$F$31:$F$400,'Étape 1 - à remplir'!$E$31:$E$400,MASQ2!EC571,'Étape 1 - à remplir'!$G$31:$G$400,"kg"),SUMIFS('Étape 1 - à remplir'!$F$31:$F$400,'Étape 1 - à remplir'!$E$31:$E$400,MASQ2!EC571,'Étape 1 - à remplir'!$N$31:$N$400,EL$3,'Étape 1 - à remplir'!$G$31:$G$400,"kg")))))))</f>
        <v>#N/A</v>
      </c>
      <c r="EE571" s="76">
        <f t="shared" si="334"/>
        <v>0</v>
      </c>
      <c r="EF571" t="str">
        <f t="shared" si="325"/>
        <v/>
      </c>
      <c r="EG571" t="str">
        <f t="shared" si="326"/>
        <v/>
      </c>
      <c r="EH571" t="str">
        <f t="shared" si="327"/>
        <v/>
      </c>
      <c r="EI571" t="str">
        <f t="shared" si="328"/>
        <v/>
      </c>
      <c r="EJ571" t="str">
        <f t="shared" si="329"/>
        <v/>
      </c>
      <c r="EK571" s="63" t="str">
        <f t="shared" si="330"/>
        <v/>
      </c>
      <c r="EN571" s="42">
        <v>568</v>
      </c>
      <c r="EO571" t="e">
        <f t="shared" si="336"/>
        <v>#N/A</v>
      </c>
      <c r="EP571" s="63" t="e">
        <f t="shared" si="337"/>
        <v>#N/A</v>
      </c>
    </row>
    <row r="572" spans="13:146" x14ac:dyDescent="0.3">
      <c r="M572" s="194" t="e">
        <f ca="1">INDEX(Données_ATB!BD:BU,MATCH(MASQ2!O572,Données_ATB!BD:BD,0),18)</f>
        <v>#N/A</v>
      </c>
      <c r="N572" s="14" t="str">
        <f>IFERROR(IF(Q572=0,"",COUNTIF(Q$4:Q$600,"&gt;"&amp;Q572)+COUNTIF(Q$4:Q572,Q572)),"")</f>
        <v/>
      </c>
      <c r="O572">
        <f>Données_ATB!BD571</f>
        <v>0</v>
      </c>
      <c r="P572" t="e">
        <f>IF(IF(X$2="Catégorie",IF(X$3="Toutes",SUMIFS('Étape 1 - à remplir'!$F$31:$F$400,'Étape 1 - à remplir'!$E$31:$E$400,MASQ2!O572,'Étape 1 - à remplir'!$G$31:$G$400,"animaux"),SUMIFS('Étape 1 - à remplir'!$F$31:$F$400,'Étape 1 - à remplir'!$E$31:$E$400,MASQ2!O572,'Étape 1 - à remplir'!$C$31:$C$400,X$3)),IF(X$2="Âge",IF(X$3="Tous",SUMIFS('Étape 1 - à remplir'!$F$31:$F$400,'Étape 1 - à remplir'!$E$31:$E$400,MASQ2!O572,'Étape 1 - à remplir'!$G$31:$G$400,"animaux"),SUMIFS('Étape 1 - à remplir'!$F$31:$F$400,'Étape 1 - à remplir'!$E$31:$E$400,MASQ2!O572,'Étape 1 - à remplir'!$P$31:$P$400,X$3)),IF(X$2="Atelier",IF(X$3="Tous",SUMIFS('Étape 1 - à remplir'!$F$31:$F$400,'Étape 1 - à remplir'!$E$31:$E$400,MASQ2!O572,'Étape 1 - à remplir'!$G$31:$G$400,"animaux"),SUMIFS('Étape 1 - à remplir'!$F$31:$F$400,'Étape 1 - à remplir'!$E$31:$E$400,MASQ2!O572,'Étape 1 - à remplir'!$O$31:$O$400,X$3)),IF(X$2="Espèce",IF(X$3="Toutes",SUMIFS('Étape 1 - à remplir'!$F$31:$F$400,'Étape 1 - à remplir'!$E$31:$E$400,MASQ2!O572,'Étape 1 - à remplir'!$G$31:$G$400,"animaux"),SUMIFS('Étape 1 - à remplir'!$F$31:$F$400,'Étape 1 - à remplir'!$E$31:$E$400,MASQ2!O572,'Étape 1 - à remplir'!$N$31:$N$400,X$3))))))=0,NA(),IF(X$2="Catégorie",IF(X$3="Toutes",SUMIFS('Étape 1 - à remplir'!$F$31:$F$400,'Étape 1 - à remplir'!$E$31:$E$400,MASQ2!O572,'Étape 1 - à remplir'!$G$31:$G$400,"animaux"),SUMIFS('Étape 1 - à remplir'!$F$31:$F$400,'Étape 1 - à remplir'!$E$31:$E$400,MASQ2!O572,'Étape 1 - à remplir'!$C$31:$C$400,X$3)),IF(X$2="Âge",IF(X$3="Tous",SUMIFS('Étape 1 - à remplir'!$F$31:$F$400,'Étape 1 - à remplir'!$E$31:$E$400,MASQ2!O572,'Étape 1 - à remplir'!$G$31:$G$400,"animaux"),SUMIFS('Étape 1 - à remplir'!$F$31:$F$400,'Étape 1 - à remplir'!$E$31:$E$400,MASQ2!O572,'Étape 1 - à remplir'!$P$31:$P$400,X$3)),IF(X$2="Atelier",IF(X$3="Tous",SUMIFS('Étape 1 - à remplir'!$F$31:$F$400,'Étape 1 - à remplir'!$E$31:$E$400,MASQ2!O572,'Étape 1 - à remplir'!$G$31:$G$400,"animaux"),SUMIFS('Étape 1 - à remplir'!$F$31:$F$400,'Étape 1 - à remplir'!$E$31:$E$400,MASQ2!O572,'Étape 1 - à remplir'!$O$31:$O$400,X$3)),IF(X$2="Espèce",IF(X$3="Toutes",SUMIFS('Étape 1 - à remplir'!$F$31:$F$400,'Étape 1 - à remplir'!$E$31:$E$400,MASQ2!O572,'Étape 1 - à remplir'!$G$31:$G$400,"animaux"),SUMIFS('Étape 1 - à remplir'!$F$31:$F$400,'Étape 1 - à remplir'!$E$31:$E$400,MASQ2!O572,'Étape 1 - à remplir'!$N$31:$N$400,X$3)))))))</f>
        <v>#N/A</v>
      </c>
      <c r="Q572" s="63">
        <f t="shared" si="335"/>
        <v>0</v>
      </c>
      <c r="R572" t="str">
        <f>Données_ATB!BM571</f>
        <v/>
      </c>
      <c r="S572" t="str">
        <f>Données_ATB!BN571</f>
        <v/>
      </c>
      <c r="T572" s="63" t="str">
        <f>Données_ATB!BO571</f>
        <v/>
      </c>
      <c r="U572" s="42" t="str">
        <f>Données_ATB!BQ571</f>
        <v/>
      </c>
      <c r="V572" t="str">
        <f>Données_ATB!BR571</f>
        <v/>
      </c>
      <c r="W572" s="63" t="str">
        <f>Données_ATB!BS571</f>
        <v/>
      </c>
      <c r="Z572" s="42">
        <v>569</v>
      </c>
      <c r="AA572" t="e">
        <f t="shared" si="331"/>
        <v>#N/A</v>
      </c>
      <c r="AB572" s="63" t="e">
        <f t="shared" si="332"/>
        <v>#N/A</v>
      </c>
      <c r="BT572" s="194" t="e">
        <f t="shared" ca="1" si="315"/>
        <v>#N/A</v>
      </c>
      <c r="BU572" s="219" t="str">
        <f>IFERROR(IF(BX572=0,"",COUNTIF(BX$4:BX$600,"&gt;"&amp;BX572)+COUNTIF(BX$4:BX572,BX572)),"")</f>
        <v/>
      </c>
      <c r="BV572" s="42">
        <f t="shared" si="316"/>
        <v>0</v>
      </c>
      <c r="BW572" t="e">
        <f>IF(IF(CE$2="Catégorie",IF(CE$3="Toutes",SUMIFS('Étape 1 - à remplir'!$F$31:$F$400,'Étape 1 - à remplir'!$E$31:$E$400,MASQ2!BV572,'Étape 1 - à remplir'!$G$31:$G$400,"lots"),SUMIFS('Étape 1 - à remplir'!$F$31:$F$400,'Étape 1 - à remplir'!$E$31:$E$400,MASQ2!BV572,'Étape 1 - à remplir'!$C$31:$C$400,CE$3)),IF(CE$2="Âge",IF(CE$3="Tous",SUMIFS('Étape 1 - à remplir'!$F$31:$F$400,'Étape 1 - à remplir'!$E$31:$E$400,MASQ2!BV572,'Étape 1 - à remplir'!$G$31:$G$400,"lots"),SUMIFS('Étape 1 - à remplir'!$F$31:$F$400,'Étape 1 - à remplir'!$E$31:$E$400,MASQ2!BV572,'Étape 1 - à remplir'!$P$31:$P$400,CE$3,'Étape 1 - à remplir'!$G$31:$G$400,"lots")),IF(CE$2="Atelier",IF(CE$3="Tous",SUMIFS('Étape 1 - à remplir'!$F$31:$F$400,'Étape 1 - à remplir'!$E$31:$E$400,MASQ2!BV572,'Étape 1 - à remplir'!$G$31:$G$400,"lots"),SUMIFS('Étape 1 - à remplir'!$F$31:$F$400,'Étape 1 - à remplir'!$E$31:$E$400,MASQ2!BV572,'Étape 1 - à remplir'!$O$31:$O$400,CE$3,'Étape 1 - à remplir'!$G$31:$G$400,"lots")),IF(CE$2="Espèce",IF(CE$3="Toutes",SUMIFS('Étape 1 - à remplir'!$F$31:$F$400,'Étape 1 - à remplir'!$E$31:$E$400,MASQ2!BV572,'Étape 1 - à remplir'!$G$31:$G$400,"lots"),SUMIFS('Étape 1 - à remplir'!$F$31:$F$400,'Étape 1 - à remplir'!$E$31:$E$400,MASQ2!BV572,'Étape 1 - à remplir'!$N$31:$N$400,CE$3,'Étape 1 - à remplir'!$G$31:$G$400,"lots"))))))=0,NA(),IF(CE$2="Catégorie",IF(CE$3="Toutes",SUMIFS('Étape 1 - à remplir'!$F$31:$F$400,'Étape 1 - à remplir'!$E$31:$E$400,MASQ2!BV572,'Étape 1 - à remplir'!$G$31:$G$400,"lots"),SUMIFS('Étape 1 - à remplir'!$F$31:$F$400,'Étape 1 - à remplir'!$E$31:$E$400,MASQ2!BV572,'Étape 1 - à remplir'!$C$31:$C$400,CE$3)),IF(CE$2="Âge",IF(CE$3="Tous",SUMIFS('Étape 1 - à remplir'!$F$31:$F$400,'Étape 1 - à remplir'!$E$31:$E$400,MASQ2!BV572,'Étape 1 - à remplir'!$G$31:$G$400,"lots"),SUMIFS('Étape 1 - à remplir'!$F$31:$F$400,'Étape 1 - à remplir'!$E$31:$E$400,MASQ2!BV572,'Étape 1 - à remplir'!$P$31:$P$400,CE$3,'Étape 1 - à remplir'!$G$31:$G$400,"lots")),IF(CE$2="Atelier",IF(CE$3="Tous",SUMIFS('Étape 1 - à remplir'!$F$31:$F$400,'Étape 1 - à remplir'!$E$31:$E$400,MASQ2!BV572,'Étape 1 - à remplir'!$G$31:$G$400,"lots"),SUMIFS('Étape 1 - à remplir'!$F$31:$F$400,'Étape 1 - à remplir'!$E$31:$E$400,MASQ2!BV572,'Étape 1 - à remplir'!$O$31:$O$400,CE$3,'Étape 1 - à remplir'!$G$31:$G$400,"lots")),IF(CE$2="Espèce",IF(CE$3="Toutes",SUMIFS('Étape 1 - à remplir'!$F$31:$F$400,'Étape 1 - à remplir'!$E$31:$E$400,MASQ2!BV572,'Étape 1 - à remplir'!$G$31:$G$400,"lots"),SUMIFS('Étape 1 - à remplir'!$F$31:$F$400,'Étape 1 - à remplir'!$E$31:$E$400,MASQ2!BV572,'Étape 1 - à remplir'!$N$31:$N$400,CE$3,'Étape 1 - à remplir'!$G$31:$G$400,"lots")))))))</f>
        <v>#N/A</v>
      </c>
      <c r="BX572">
        <f t="shared" si="333"/>
        <v>0</v>
      </c>
      <c r="BY572" t="str">
        <f t="shared" si="317"/>
        <v/>
      </c>
      <c r="BZ572" t="str">
        <f t="shared" si="318"/>
        <v/>
      </c>
      <c r="CA572" t="str">
        <f t="shared" si="319"/>
        <v/>
      </c>
      <c r="CB572" t="str">
        <f t="shared" si="320"/>
        <v/>
      </c>
      <c r="CC572" t="str">
        <f t="shared" si="321"/>
        <v/>
      </c>
      <c r="CD572" s="63" t="str">
        <f t="shared" si="322"/>
        <v/>
      </c>
      <c r="CG572" s="42">
        <v>569</v>
      </c>
      <c r="CH572" s="42" t="e">
        <f t="shared" si="338"/>
        <v>#N/A</v>
      </c>
      <c r="CI572" s="63" t="e">
        <f t="shared" si="339"/>
        <v>#N/A</v>
      </c>
      <c r="EA572" s="194" t="e">
        <f t="shared" ca="1" si="323"/>
        <v>#N/A</v>
      </c>
      <c r="EB572" s="226" t="str">
        <f>IFERROR(IF(ED572=0,"",COUNTIF(ED$4:ED$600,"&gt;"&amp;ED572)+COUNTIF(ED$4:ED572,ED572)),"")</f>
        <v/>
      </c>
      <c r="EC572">
        <f t="shared" si="324"/>
        <v>0</v>
      </c>
      <c r="ED572" t="e">
        <f>IF(IF(EL$2="Catégorie",IF(EL$3="Toutes",SUMIFS('Étape 1 - à remplir'!$F$31:$F$400,'Étape 1 - à remplir'!$E$31:$E$400,MASQ2!EC572,'Étape 1 - à remplir'!$G$31:$G$400,"kg"),SUMIFS('Étape 1 - à remplir'!$F$31:$F$400,'Étape 1 - à remplir'!$E$31:$E$400,MASQ2!EC572,'Étape 1 - à remplir'!$C$31:$C$400,EL$3)),IF(EL$2="Âge",IF(EL$3="Tous",SUMIFS('Étape 1 - à remplir'!$F$31:$F$400,'Étape 1 - à remplir'!$E$31:$E$400,MASQ2!EC572,'Étape 1 - à remplir'!$G$31:$G$400,"kg"),SUMIFS('Étape 1 - à remplir'!$F$31:$F$400,'Étape 1 - à remplir'!$E$31:$E$400,MASQ2!EC572,'Étape 1 - à remplir'!$P$31:$P$400,EL$3,'Étape 1 - à remplir'!$G$31:$G$400,"kg")),IF(EL$2="Atelier",IF(EL$3="Tous",SUMIFS('Étape 1 - à remplir'!$F$31:$F$400,'Étape 1 - à remplir'!$E$31:$E$400,MASQ2!EC572,'Étape 1 - à remplir'!$G$31:$G$400,"kg"),SUMIFS('Étape 1 - à remplir'!$F$31:$F$400,'Étape 1 - à remplir'!$E$31:$E$400,MASQ2!EC572,'Étape 1 - à remplir'!$O$31:$O$400,EL$3,'Étape 1 - à remplir'!$G$31:$G$400,"kg")),IF(EL$2="Espèce",IF(EL$3="Toutes",SUMIFS('Étape 1 - à remplir'!$F$31:$F$400,'Étape 1 - à remplir'!$E$31:$E$400,MASQ2!EC572,'Étape 1 - à remplir'!$G$31:$G$400,"kg"),SUMIFS('Étape 1 - à remplir'!$F$31:$F$400,'Étape 1 - à remplir'!$E$31:$E$400,MASQ2!EC572,'Étape 1 - à remplir'!$N$31:$N$400,EL$3,'Étape 1 - à remplir'!$G$31:$G$400,"kg"))))))=0,NA(),IF(EL$2="Catégorie",IF(EL$3="Toutes",SUMIFS('Étape 1 - à remplir'!$F$31:$F$400,'Étape 1 - à remplir'!$E$31:$E$400,MASQ2!EC572,'Étape 1 - à remplir'!$G$31:$G$400,"kg"),SUMIFS('Étape 1 - à remplir'!$F$31:$F$400,'Étape 1 - à remplir'!$E$31:$E$400,MASQ2!EC572,'Étape 1 - à remplir'!$C$31:$C$400,EL$3)),IF(EL$2="Âge",IF(EL$3="Tous",SUMIFS('Étape 1 - à remplir'!$F$31:$F$400,'Étape 1 - à remplir'!$E$31:$E$400,MASQ2!EC572,'Étape 1 - à remplir'!$G$31:$G$400,"kg"),SUMIFS('Étape 1 - à remplir'!$F$31:$F$400,'Étape 1 - à remplir'!$E$31:$E$400,MASQ2!EC572,'Étape 1 - à remplir'!$P$31:$P$400,EL$3,'Étape 1 - à remplir'!$G$31:$G$400,"kg")),IF(EL$2="Atelier",IF(EL$3="Tous",SUMIFS('Étape 1 - à remplir'!$F$31:$F$400,'Étape 1 - à remplir'!$E$31:$E$400,MASQ2!EC572,'Étape 1 - à remplir'!$G$31:$G$400,"kg"),SUMIFS('Étape 1 - à remplir'!$F$31:$F$400,'Étape 1 - à remplir'!$E$31:$E$400,MASQ2!EC572,'Étape 1 - à remplir'!$O$31:$O$400,EL$3,'Étape 1 - à remplir'!$G$31:$G$400,"kg")),IF(EL$2="Espèce",IF(EL$3="Toutes",SUMIFS('Étape 1 - à remplir'!$F$31:$F$400,'Étape 1 - à remplir'!$E$31:$E$400,MASQ2!EC572,'Étape 1 - à remplir'!$G$31:$G$400,"kg"),SUMIFS('Étape 1 - à remplir'!$F$31:$F$400,'Étape 1 - à remplir'!$E$31:$E$400,MASQ2!EC572,'Étape 1 - à remplir'!$N$31:$N$400,EL$3,'Étape 1 - à remplir'!$G$31:$G$400,"kg")))))))</f>
        <v>#N/A</v>
      </c>
      <c r="EE572" s="76">
        <f t="shared" si="334"/>
        <v>0</v>
      </c>
      <c r="EF572" t="str">
        <f t="shared" si="325"/>
        <v/>
      </c>
      <c r="EG572" t="str">
        <f t="shared" si="326"/>
        <v/>
      </c>
      <c r="EH572" t="str">
        <f t="shared" si="327"/>
        <v/>
      </c>
      <c r="EI572" t="str">
        <f t="shared" si="328"/>
        <v/>
      </c>
      <c r="EJ572" t="str">
        <f t="shared" si="329"/>
        <v/>
      </c>
      <c r="EK572" s="63" t="str">
        <f t="shared" si="330"/>
        <v/>
      </c>
      <c r="EN572" s="42">
        <v>569</v>
      </c>
      <c r="EO572" t="e">
        <f t="shared" si="336"/>
        <v>#N/A</v>
      </c>
      <c r="EP572" s="63" t="e">
        <f t="shared" si="337"/>
        <v>#N/A</v>
      </c>
    </row>
    <row r="573" spans="13:146" x14ac:dyDescent="0.3">
      <c r="M573" s="194" t="e">
        <f ca="1">INDEX(Données_ATB!BD:BU,MATCH(MASQ2!O573,Données_ATB!BD:BD,0),18)</f>
        <v>#N/A</v>
      </c>
      <c r="N573" s="14" t="str">
        <f>IFERROR(IF(Q573=0,"",COUNTIF(Q$4:Q$600,"&gt;"&amp;Q573)+COUNTIF(Q$4:Q573,Q573)),"")</f>
        <v/>
      </c>
      <c r="O573">
        <f>Données_ATB!BD572</f>
        <v>0</v>
      </c>
      <c r="P573" t="e">
        <f>IF(IF(X$2="Catégorie",IF(X$3="Toutes",SUMIFS('Étape 1 - à remplir'!$F$31:$F$400,'Étape 1 - à remplir'!$E$31:$E$400,MASQ2!O573,'Étape 1 - à remplir'!$G$31:$G$400,"animaux"),SUMIFS('Étape 1 - à remplir'!$F$31:$F$400,'Étape 1 - à remplir'!$E$31:$E$400,MASQ2!O573,'Étape 1 - à remplir'!$C$31:$C$400,X$3)),IF(X$2="Âge",IF(X$3="Tous",SUMIFS('Étape 1 - à remplir'!$F$31:$F$400,'Étape 1 - à remplir'!$E$31:$E$400,MASQ2!O573,'Étape 1 - à remplir'!$G$31:$G$400,"animaux"),SUMIFS('Étape 1 - à remplir'!$F$31:$F$400,'Étape 1 - à remplir'!$E$31:$E$400,MASQ2!O573,'Étape 1 - à remplir'!$P$31:$P$400,X$3)),IF(X$2="Atelier",IF(X$3="Tous",SUMIFS('Étape 1 - à remplir'!$F$31:$F$400,'Étape 1 - à remplir'!$E$31:$E$400,MASQ2!O573,'Étape 1 - à remplir'!$G$31:$G$400,"animaux"),SUMIFS('Étape 1 - à remplir'!$F$31:$F$400,'Étape 1 - à remplir'!$E$31:$E$400,MASQ2!O573,'Étape 1 - à remplir'!$O$31:$O$400,X$3)),IF(X$2="Espèce",IF(X$3="Toutes",SUMIFS('Étape 1 - à remplir'!$F$31:$F$400,'Étape 1 - à remplir'!$E$31:$E$400,MASQ2!O573,'Étape 1 - à remplir'!$G$31:$G$400,"animaux"),SUMIFS('Étape 1 - à remplir'!$F$31:$F$400,'Étape 1 - à remplir'!$E$31:$E$400,MASQ2!O573,'Étape 1 - à remplir'!$N$31:$N$400,X$3))))))=0,NA(),IF(X$2="Catégorie",IF(X$3="Toutes",SUMIFS('Étape 1 - à remplir'!$F$31:$F$400,'Étape 1 - à remplir'!$E$31:$E$400,MASQ2!O573,'Étape 1 - à remplir'!$G$31:$G$400,"animaux"),SUMIFS('Étape 1 - à remplir'!$F$31:$F$400,'Étape 1 - à remplir'!$E$31:$E$400,MASQ2!O573,'Étape 1 - à remplir'!$C$31:$C$400,X$3)),IF(X$2="Âge",IF(X$3="Tous",SUMIFS('Étape 1 - à remplir'!$F$31:$F$400,'Étape 1 - à remplir'!$E$31:$E$400,MASQ2!O573,'Étape 1 - à remplir'!$G$31:$G$400,"animaux"),SUMIFS('Étape 1 - à remplir'!$F$31:$F$400,'Étape 1 - à remplir'!$E$31:$E$400,MASQ2!O573,'Étape 1 - à remplir'!$P$31:$P$400,X$3)),IF(X$2="Atelier",IF(X$3="Tous",SUMIFS('Étape 1 - à remplir'!$F$31:$F$400,'Étape 1 - à remplir'!$E$31:$E$400,MASQ2!O573,'Étape 1 - à remplir'!$G$31:$G$400,"animaux"),SUMIFS('Étape 1 - à remplir'!$F$31:$F$400,'Étape 1 - à remplir'!$E$31:$E$400,MASQ2!O573,'Étape 1 - à remplir'!$O$31:$O$400,X$3)),IF(X$2="Espèce",IF(X$3="Toutes",SUMIFS('Étape 1 - à remplir'!$F$31:$F$400,'Étape 1 - à remplir'!$E$31:$E$400,MASQ2!O573,'Étape 1 - à remplir'!$G$31:$G$400,"animaux"),SUMIFS('Étape 1 - à remplir'!$F$31:$F$400,'Étape 1 - à remplir'!$E$31:$E$400,MASQ2!O573,'Étape 1 - à remplir'!$N$31:$N$400,X$3)))))))</f>
        <v>#N/A</v>
      </c>
      <c r="Q573" s="63">
        <f t="shared" si="335"/>
        <v>0</v>
      </c>
      <c r="R573" t="str">
        <f>Données_ATB!BM572</f>
        <v/>
      </c>
      <c r="S573" t="str">
        <f>Données_ATB!BN572</f>
        <v/>
      </c>
      <c r="T573" s="63" t="str">
        <f>Données_ATB!BO572</f>
        <v/>
      </c>
      <c r="U573" s="42" t="str">
        <f>Données_ATB!BQ572</f>
        <v/>
      </c>
      <c r="V573" t="str">
        <f>Données_ATB!BR572</f>
        <v/>
      </c>
      <c r="W573" s="63" t="str">
        <f>Données_ATB!BS572</f>
        <v/>
      </c>
      <c r="Z573" s="42">
        <v>570</v>
      </c>
      <c r="AA573" t="e">
        <f t="shared" si="331"/>
        <v>#N/A</v>
      </c>
      <c r="AB573" s="63" t="e">
        <f t="shared" si="332"/>
        <v>#N/A</v>
      </c>
      <c r="BT573" s="194" t="e">
        <f t="shared" ca="1" si="315"/>
        <v>#N/A</v>
      </c>
      <c r="BU573" s="219" t="str">
        <f>IFERROR(IF(BX573=0,"",COUNTIF(BX$4:BX$600,"&gt;"&amp;BX573)+COUNTIF(BX$4:BX573,BX573)),"")</f>
        <v/>
      </c>
      <c r="BV573" s="42">
        <f t="shared" si="316"/>
        <v>0</v>
      </c>
      <c r="BW573" t="e">
        <f>IF(IF(CE$2="Catégorie",IF(CE$3="Toutes",SUMIFS('Étape 1 - à remplir'!$F$31:$F$400,'Étape 1 - à remplir'!$E$31:$E$400,MASQ2!BV573,'Étape 1 - à remplir'!$G$31:$G$400,"lots"),SUMIFS('Étape 1 - à remplir'!$F$31:$F$400,'Étape 1 - à remplir'!$E$31:$E$400,MASQ2!BV573,'Étape 1 - à remplir'!$C$31:$C$400,CE$3)),IF(CE$2="Âge",IF(CE$3="Tous",SUMIFS('Étape 1 - à remplir'!$F$31:$F$400,'Étape 1 - à remplir'!$E$31:$E$400,MASQ2!BV573,'Étape 1 - à remplir'!$G$31:$G$400,"lots"),SUMIFS('Étape 1 - à remplir'!$F$31:$F$400,'Étape 1 - à remplir'!$E$31:$E$400,MASQ2!BV573,'Étape 1 - à remplir'!$P$31:$P$400,CE$3,'Étape 1 - à remplir'!$G$31:$G$400,"lots")),IF(CE$2="Atelier",IF(CE$3="Tous",SUMIFS('Étape 1 - à remplir'!$F$31:$F$400,'Étape 1 - à remplir'!$E$31:$E$400,MASQ2!BV573,'Étape 1 - à remplir'!$G$31:$G$400,"lots"),SUMIFS('Étape 1 - à remplir'!$F$31:$F$400,'Étape 1 - à remplir'!$E$31:$E$400,MASQ2!BV573,'Étape 1 - à remplir'!$O$31:$O$400,CE$3,'Étape 1 - à remplir'!$G$31:$G$400,"lots")),IF(CE$2="Espèce",IF(CE$3="Toutes",SUMIFS('Étape 1 - à remplir'!$F$31:$F$400,'Étape 1 - à remplir'!$E$31:$E$400,MASQ2!BV573,'Étape 1 - à remplir'!$G$31:$G$400,"lots"),SUMIFS('Étape 1 - à remplir'!$F$31:$F$400,'Étape 1 - à remplir'!$E$31:$E$400,MASQ2!BV573,'Étape 1 - à remplir'!$N$31:$N$400,CE$3,'Étape 1 - à remplir'!$G$31:$G$400,"lots"))))))=0,NA(),IF(CE$2="Catégorie",IF(CE$3="Toutes",SUMIFS('Étape 1 - à remplir'!$F$31:$F$400,'Étape 1 - à remplir'!$E$31:$E$400,MASQ2!BV573,'Étape 1 - à remplir'!$G$31:$G$400,"lots"),SUMIFS('Étape 1 - à remplir'!$F$31:$F$400,'Étape 1 - à remplir'!$E$31:$E$400,MASQ2!BV573,'Étape 1 - à remplir'!$C$31:$C$400,CE$3)),IF(CE$2="Âge",IF(CE$3="Tous",SUMIFS('Étape 1 - à remplir'!$F$31:$F$400,'Étape 1 - à remplir'!$E$31:$E$400,MASQ2!BV573,'Étape 1 - à remplir'!$G$31:$G$400,"lots"),SUMIFS('Étape 1 - à remplir'!$F$31:$F$400,'Étape 1 - à remplir'!$E$31:$E$400,MASQ2!BV573,'Étape 1 - à remplir'!$P$31:$P$400,CE$3,'Étape 1 - à remplir'!$G$31:$G$400,"lots")),IF(CE$2="Atelier",IF(CE$3="Tous",SUMIFS('Étape 1 - à remplir'!$F$31:$F$400,'Étape 1 - à remplir'!$E$31:$E$400,MASQ2!BV573,'Étape 1 - à remplir'!$G$31:$G$400,"lots"),SUMIFS('Étape 1 - à remplir'!$F$31:$F$400,'Étape 1 - à remplir'!$E$31:$E$400,MASQ2!BV573,'Étape 1 - à remplir'!$O$31:$O$400,CE$3,'Étape 1 - à remplir'!$G$31:$G$400,"lots")),IF(CE$2="Espèce",IF(CE$3="Toutes",SUMIFS('Étape 1 - à remplir'!$F$31:$F$400,'Étape 1 - à remplir'!$E$31:$E$400,MASQ2!BV573,'Étape 1 - à remplir'!$G$31:$G$400,"lots"),SUMIFS('Étape 1 - à remplir'!$F$31:$F$400,'Étape 1 - à remplir'!$E$31:$E$400,MASQ2!BV573,'Étape 1 - à remplir'!$N$31:$N$400,CE$3,'Étape 1 - à remplir'!$G$31:$G$400,"lots")))))))</f>
        <v>#N/A</v>
      </c>
      <c r="BX573">
        <f t="shared" si="333"/>
        <v>0</v>
      </c>
      <c r="BY573" t="str">
        <f t="shared" si="317"/>
        <v/>
      </c>
      <c r="BZ573" t="str">
        <f t="shared" si="318"/>
        <v/>
      </c>
      <c r="CA573" t="str">
        <f t="shared" si="319"/>
        <v/>
      </c>
      <c r="CB573" t="str">
        <f t="shared" si="320"/>
        <v/>
      </c>
      <c r="CC573" t="str">
        <f t="shared" si="321"/>
        <v/>
      </c>
      <c r="CD573" s="63" t="str">
        <f t="shared" si="322"/>
        <v/>
      </c>
      <c r="CG573" s="42">
        <v>570</v>
      </c>
      <c r="CH573" s="42" t="e">
        <f t="shared" si="338"/>
        <v>#N/A</v>
      </c>
      <c r="CI573" s="63" t="e">
        <f t="shared" si="339"/>
        <v>#N/A</v>
      </c>
      <c r="EA573" s="194" t="e">
        <f t="shared" ca="1" si="323"/>
        <v>#N/A</v>
      </c>
      <c r="EB573" s="226" t="str">
        <f>IFERROR(IF(ED573=0,"",COUNTIF(ED$4:ED$600,"&gt;"&amp;ED573)+COUNTIF(ED$4:ED573,ED573)),"")</f>
        <v/>
      </c>
      <c r="EC573">
        <f t="shared" si="324"/>
        <v>0</v>
      </c>
      <c r="ED573" t="e">
        <f>IF(IF(EL$2="Catégorie",IF(EL$3="Toutes",SUMIFS('Étape 1 - à remplir'!$F$31:$F$400,'Étape 1 - à remplir'!$E$31:$E$400,MASQ2!EC573,'Étape 1 - à remplir'!$G$31:$G$400,"kg"),SUMIFS('Étape 1 - à remplir'!$F$31:$F$400,'Étape 1 - à remplir'!$E$31:$E$400,MASQ2!EC573,'Étape 1 - à remplir'!$C$31:$C$400,EL$3)),IF(EL$2="Âge",IF(EL$3="Tous",SUMIFS('Étape 1 - à remplir'!$F$31:$F$400,'Étape 1 - à remplir'!$E$31:$E$400,MASQ2!EC573,'Étape 1 - à remplir'!$G$31:$G$400,"kg"),SUMIFS('Étape 1 - à remplir'!$F$31:$F$400,'Étape 1 - à remplir'!$E$31:$E$400,MASQ2!EC573,'Étape 1 - à remplir'!$P$31:$P$400,EL$3,'Étape 1 - à remplir'!$G$31:$G$400,"kg")),IF(EL$2="Atelier",IF(EL$3="Tous",SUMIFS('Étape 1 - à remplir'!$F$31:$F$400,'Étape 1 - à remplir'!$E$31:$E$400,MASQ2!EC573,'Étape 1 - à remplir'!$G$31:$G$400,"kg"),SUMIFS('Étape 1 - à remplir'!$F$31:$F$400,'Étape 1 - à remplir'!$E$31:$E$400,MASQ2!EC573,'Étape 1 - à remplir'!$O$31:$O$400,EL$3,'Étape 1 - à remplir'!$G$31:$G$400,"kg")),IF(EL$2="Espèce",IF(EL$3="Toutes",SUMIFS('Étape 1 - à remplir'!$F$31:$F$400,'Étape 1 - à remplir'!$E$31:$E$400,MASQ2!EC573,'Étape 1 - à remplir'!$G$31:$G$400,"kg"),SUMIFS('Étape 1 - à remplir'!$F$31:$F$400,'Étape 1 - à remplir'!$E$31:$E$400,MASQ2!EC573,'Étape 1 - à remplir'!$N$31:$N$400,EL$3,'Étape 1 - à remplir'!$G$31:$G$400,"kg"))))))=0,NA(),IF(EL$2="Catégorie",IF(EL$3="Toutes",SUMIFS('Étape 1 - à remplir'!$F$31:$F$400,'Étape 1 - à remplir'!$E$31:$E$400,MASQ2!EC573,'Étape 1 - à remplir'!$G$31:$G$400,"kg"),SUMIFS('Étape 1 - à remplir'!$F$31:$F$400,'Étape 1 - à remplir'!$E$31:$E$400,MASQ2!EC573,'Étape 1 - à remplir'!$C$31:$C$400,EL$3)),IF(EL$2="Âge",IF(EL$3="Tous",SUMIFS('Étape 1 - à remplir'!$F$31:$F$400,'Étape 1 - à remplir'!$E$31:$E$400,MASQ2!EC573,'Étape 1 - à remplir'!$G$31:$G$400,"kg"),SUMIFS('Étape 1 - à remplir'!$F$31:$F$400,'Étape 1 - à remplir'!$E$31:$E$400,MASQ2!EC573,'Étape 1 - à remplir'!$P$31:$P$400,EL$3,'Étape 1 - à remplir'!$G$31:$G$400,"kg")),IF(EL$2="Atelier",IF(EL$3="Tous",SUMIFS('Étape 1 - à remplir'!$F$31:$F$400,'Étape 1 - à remplir'!$E$31:$E$400,MASQ2!EC573,'Étape 1 - à remplir'!$G$31:$G$400,"kg"),SUMIFS('Étape 1 - à remplir'!$F$31:$F$400,'Étape 1 - à remplir'!$E$31:$E$400,MASQ2!EC573,'Étape 1 - à remplir'!$O$31:$O$400,EL$3,'Étape 1 - à remplir'!$G$31:$G$400,"kg")),IF(EL$2="Espèce",IF(EL$3="Toutes",SUMIFS('Étape 1 - à remplir'!$F$31:$F$400,'Étape 1 - à remplir'!$E$31:$E$400,MASQ2!EC573,'Étape 1 - à remplir'!$G$31:$G$400,"kg"),SUMIFS('Étape 1 - à remplir'!$F$31:$F$400,'Étape 1 - à remplir'!$E$31:$E$400,MASQ2!EC573,'Étape 1 - à remplir'!$N$31:$N$400,EL$3,'Étape 1 - à remplir'!$G$31:$G$400,"kg")))))))</f>
        <v>#N/A</v>
      </c>
      <c r="EE573" s="76">
        <f t="shared" si="334"/>
        <v>0</v>
      </c>
      <c r="EF573" t="str">
        <f t="shared" si="325"/>
        <v/>
      </c>
      <c r="EG573" t="str">
        <f t="shared" si="326"/>
        <v/>
      </c>
      <c r="EH573" t="str">
        <f t="shared" si="327"/>
        <v/>
      </c>
      <c r="EI573" t="str">
        <f t="shared" si="328"/>
        <v/>
      </c>
      <c r="EJ573" t="str">
        <f t="shared" si="329"/>
        <v/>
      </c>
      <c r="EK573" s="63" t="str">
        <f t="shared" si="330"/>
        <v/>
      </c>
      <c r="EN573" s="42">
        <v>570</v>
      </c>
      <c r="EO573" t="e">
        <f t="shared" si="336"/>
        <v>#N/A</v>
      </c>
      <c r="EP573" s="63" t="e">
        <f t="shared" si="337"/>
        <v>#N/A</v>
      </c>
    </row>
    <row r="574" spans="13:146" x14ac:dyDescent="0.3">
      <c r="M574" s="194" t="e">
        <f ca="1">INDEX(Données_ATB!BD:BU,MATCH(MASQ2!O574,Données_ATB!BD:BD,0),18)</f>
        <v>#N/A</v>
      </c>
      <c r="N574" s="14" t="str">
        <f>IFERROR(IF(Q574=0,"",COUNTIF(Q$4:Q$600,"&gt;"&amp;Q574)+COUNTIF(Q$4:Q574,Q574)),"")</f>
        <v/>
      </c>
      <c r="O574">
        <f>Données_ATB!BD573</f>
        <v>0</v>
      </c>
      <c r="P574" t="e">
        <f>IF(IF(X$2="Catégorie",IF(X$3="Toutes",SUMIFS('Étape 1 - à remplir'!$F$31:$F$400,'Étape 1 - à remplir'!$E$31:$E$400,MASQ2!O574,'Étape 1 - à remplir'!$G$31:$G$400,"animaux"),SUMIFS('Étape 1 - à remplir'!$F$31:$F$400,'Étape 1 - à remplir'!$E$31:$E$400,MASQ2!O574,'Étape 1 - à remplir'!$C$31:$C$400,X$3)),IF(X$2="Âge",IF(X$3="Tous",SUMIFS('Étape 1 - à remplir'!$F$31:$F$400,'Étape 1 - à remplir'!$E$31:$E$400,MASQ2!O574,'Étape 1 - à remplir'!$G$31:$G$400,"animaux"),SUMIFS('Étape 1 - à remplir'!$F$31:$F$400,'Étape 1 - à remplir'!$E$31:$E$400,MASQ2!O574,'Étape 1 - à remplir'!$P$31:$P$400,X$3)),IF(X$2="Atelier",IF(X$3="Tous",SUMIFS('Étape 1 - à remplir'!$F$31:$F$400,'Étape 1 - à remplir'!$E$31:$E$400,MASQ2!O574,'Étape 1 - à remplir'!$G$31:$G$400,"animaux"),SUMIFS('Étape 1 - à remplir'!$F$31:$F$400,'Étape 1 - à remplir'!$E$31:$E$400,MASQ2!O574,'Étape 1 - à remplir'!$O$31:$O$400,X$3)),IF(X$2="Espèce",IF(X$3="Toutes",SUMIFS('Étape 1 - à remplir'!$F$31:$F$400,'Étape 1 - à remplir'!$E$31:$E$400,MASQ2!O574,'Étape 1 - à remplir'!$G$31:$G$400,"animaux"),SUMIFS('Étape 1 - à remplir'!$F$31:$F$400,'Étape 1 - à remplir'!$E$31:$E$400,MASQ2!O574,'Étape 1 - à remplir'!$N$31:$N$400,X$3))))))=0,NA(),IF(X$2="Catégorie",IF(X$3="Toutes",SUMIFS('Étape 1 - à remplir'!$F$31:$F$400,'Étape 1 - à remplir'!$E$31:$E$400,MASQ2!O574,'Étape 1 - à remplir'!$G$31:$G$400,"animaux"),SUMIFS('Étape 1 - à remplir'!$F$31:$F$400,'Étape 1 - à remplir'!$E$31:$E$400,MASQ2!O574,'Étape 1 - à remplir'!$C$31:$C$400,X$3)),IF(X$2="Âge",IF(X$3="Tous",SUMIFS('Étape 1 - à remplir'!$F$31:$F$400,'Étape 1 - à remplir'!$E$31:$E$400,MASQ2!O574,'Étape 1 - à remplir'!$G$31:$G$400,"animaux"),SUMIFS('Étape 1 - à remplir'!$F$31:$F$400,'Étape 1 - à remplir'!$E$31:$E$400,MASQ2!O574,'Étape 1 - à remplir'!$P$31:$P$400,X$3)),IF(X$2="Atelier",IF(X$3="Tous",SUMIFS('Étape 1 - à remplir'!$F$31:$F$400,'Étape 1 - à remplir'!$E$31:$E$400,MASQ2!O574,'Étape 1 - à remplir'!$G$31:$G$400,"animaux"),SUMIFS('Étape 1 - à remplir'!$F$31:$F$400,'Étape 1 - à remplir'!$E$31:$E$400,MASQ2!O574,'Étape 1 - à remplir'!$O$31:$O$400,X$3)),IF(X$2="Espèce",IF(X$3="Toutes",SUMIFS('Étape 1 - à remplir'!$F$31:$F$400,'Étape 1 - à remplir'!$E$31:$E$400,MASQ2!O574,'Étape 1 - à remplir'!$G$31:$G$400,"animaux"),SUMIFS('Étape 1 - à remplir'!$F$31:$F$400,'Étape 1 - à remplir'!$E$31:$E$400,MASQ2!O574,'Étape 1 - à remplir'!$N$31:$N$400,X$3)))))))</f>
        <v>#N/A</v>
      </c>
      <c r="Q574" s="63">
        <f t="shared" si="335"/>
        <v>0</v>
      </c>
      <c r="R574" t="str">
        <f>Données_ATB!BM573</f>
        <v/>
      </c>
      <c r="S574" t="str">
        <f>Données_ATB!BN573</f>
        <v/>
      </c>
      <c r="T574" s="63" t="str">
        <f>Données_ATB!BO573</f>
        <v/>
      </c>
      <c r="U574" s="42" t="str">
        <f>Données_ATB!BQ573</f>
        <v/>
      </c>
      <c r="V574" t="str">
        <f>Données_ATB!BR573</f>
        <v/>
      </c>
      <c r="W574" s="63" t="str">
        <f>Données_ATB!BS573</f>
        <v/>
      </c>
      <c r="Z574" s="42">
        <v>571</v>
      </c>
      <c r="AA574" t="e">
        <f t="shared" si="331"/>
        <v>#N/A</v>
      </c>
      <c r="AB574" s="63" t="e">
        <f t="shared" si="332"/>
        <v>#N/A</v>
      </c>
      <c r="BT574" s="194" t="e">
        <f t="shared" ca="1" si="315"/>
        <v>#N/A</v>
      </c>
      <c r="BU574" s="219" t="str">
        <f>IFERROR(IF(BX574=0,"",COUNTIF(BX$4:BX$600,"&gt;"&amp;BX574)+COUNTIF(BX$4:BX574,BX574)),"")</f>
        <v/>
      </c>
      <c r="BV574" s="42">
        <f t="shared" si="316"/>
        <v>0</v>
      </c>
      <c r="BW574" t="e">
        <f>IF(IF(CE$2="Catégorie",IF(CE$3="Toutes",SUMIFS('Étape 1 - à remplir'!$F$31:$F$400,'Étape 1 - à remplir'!$E$31:$E$400,MASQ2!BV574,'Étape 1 - à remplir'!$G$31:$G$400,"lots"),SUMIFS('Étape 1 - à remplir'!$F$31:$F$400,'Étape 1 - à remplir'!$E$31:$E$400,MASQ2!BV574,'Étape 1 - à remplir'!$C$31:$C$400,CE$3)),IF(CE$2="Âge",IF(CE$3="Tous",SUMIFS('Étape 1 - à remplir'!$F$31:$F$400,'Étape 1 - à remplir'!$E$31:$E$400,MASQ2!BV574,'Étape 1 - à remplir'!$G$31:$G$400,"lots"),SUMIFS('Étape 1 - à remplir'!$F$31:$F$400,'Étape 1 - à remplir'!$E$31:$E$400,MASQ2!BV574,'Étape 1 - à remplir'!$P$31:$P$400,CE$3,'Étape 1 - à remplir'!$G$31:$G$400,"lots")),IF(CE$2="Atelier",IF(CE$3="Tous",SUMIFS('Étape 1 - à remplir'!$F$31:$F$400,'Étape 1 - à remplir'!$E$31:$E$400,MASQ2!BV574,'Étape 1 - à remplir'!$G$31:$G$400,"lots"),SUMIFS('Étape 1 - à remplir'!$F$31:$F$400,'Étape 1 - à remplir'!$E$31:$E$400,MASQ2!BV574,'Étape 1 - à remplir'!$O$31:$O$400,CE$3,'Étape 1 - à remplir'!$G$31:$G$400,"lots")),IF(CE$2="Espèce",IF(CE$3="Toutes",SUMIFS('Étape 1 - à remplir'!$F$31:$F$400,'Étape 1 - à remplir'!$E$31:$E$400,MASQ2!BV574,'Étape 1 - à remplir'!$G$31:$G$400,"lots"),SUMIFS('Étape 1 - à remplir'!$F$31:$F$400,'Étape 1 - à remplir'!$E$31:$E$400,MASQ2!BV574,'Étape 1 - à remplir'!$N$31:$N$400,CE$3,'Étape 1 - à remplir'!$G$31:$G$400,"lots"))))))=0,NA(),IF(CE$2="Catégorie",IF(CE$3="Toutes",SUMIFS('Étape 1 - à remplir'!$F$31:$F$400,'Étape 1 - à remplir'!$E$31:$E$400,MASQ2!BV574,'Étape 1 - à remplir'!$G$31:$G$400,"lots"),SUMIFS('Étape 1 - à remplir'!$F$31:$F$400,'Étape 1 - à remplir'!$E$31:$E$400,MASQ2!BV574,'Étape 1 - à remplir'!$C$31:$C$400,CE$3)),IF(CE$2="Âge",IF(CE$3="Tous",SUMIFS('Étape 1 - à remplir'!$F$31:$F$400,'Étape 1 - à remplir'!$E$31:$E$400,MASQ2!BV574,'Étape 1 - à remplir'!$G$31:$G$400,"lots"),SUMIFS('Étape 1 - à remplir'!$F$31:$F$400,'Étape 1 - à remplir'!$E$31:$E$400,MASQ2!BV574,'Étape 1 - à remplir'!$P$31:$P$400,CE$3,'Étape 1 - à remplir'!$G$31:$G$400,"lots")),IF(CE$2="Atelier",IF(CE$3="Tous",SUMIFS('Étape 1 - à remplir'!$F$31:$F$400,'Étape 1 - à remplir'!$E$31:$E$400,MASQ2!BV574,'Étape 1 - à remplir'!$G$31:$G$400,"lots"),SUMIFS('Étape 1 - à remplir'!$F$31:$F$400,'Étape 1 - à remplir'!$E$31:$E$400,MASQ2!BV574,'Étape 1 - à remplir'!$O$31:$O$400,CE$3,'Étape 1 - à remplir'!$G$31:$G$400,"lots")),IF(CE$2="Espèce",IF(CE$3="Toutes",SUMIFS('Étape 1 - à remplir'!$F$31:$F$400,'Étape 1 - à remplir'!$E$31:$E$400,MASQ2!BV574,'Étape 1 - à remplir'!$G$31:$G$400,"lots"),SUMIFS('Étape 1 - à remplir'!$F$31:$F$400,'Étape 1 - à remplir'!$E$31:$E$400,MASQ2!BV574,'Étape 1 - à remplir'!$N$31:$N$400,CE$3,'Étape 1 - à remplir'!$G$31:$G$400,"lots")))))))</f>
        <v>#N/A</v>
      </c>
      <c r="BX574">
        <f t="shared" si="333"/>
        <v>0</v>
      </c>
      <c r="BY574" t="str">
        <f t="shared" si="317"/>
        <v/>
      </c>
      <c r="BZ574" t="str">
        <f t="shared" si="318"/>
        <v/>
      </c>
      <c r="CA574" t="str">
        <f t="shared" si="319"/>
        <v/>
      </c>
      <c r="CB574" t="str">
        <f t="shared" si="320"/>
        <v/>
      </c>
      <c r="CC574" t="str">
        <f t="shared" si="321"/>
        <v/>
      </c>
      <c r="CD574" s="63" t="str">
        <f t="shared" si="322"/>
        <v/>
      </c>
      <c r="CG574" s="42">
        <v>571</v>
      </c>
      <c r="CH574" s="42" t="e">
        <f t="shared" si="338"/>
        <v>#N/A</v>
      </c>
      <c r="CI574" s="63" t="e">
        <f t="shared" si="339"/>
        <v>#N/A</v>
      </c>
      <c r="EA574" s="194" t="e">
        <f t="shared" ca="1" si="323"/>
        <v>#N/A</v>
      </c>
      <c r="EB574" s="226" t="str">
        <f>IFERROR(IF(ED574=0,"",COUNTIF(ED$4:ED$600,"&gt;"&amp;ED574)+COUNTIF(ED$4:ED574,ED574)),"")</f>
        <v/>
      </c>
      <c r="EC574">
        <f t="shared" si="324"/>
        <v>0</v>
      </c>
      <c r="ED574" t="e">
        <f>IF(IF(EL$2="Catégorie",IF(EL$3="Toutes",SUMIFS('Étape 1 - à remplir'!$F$31:$F$400,'Étape 1 - à remplir'!$E$31:$E$400,MASQ2!EC574,'Étape 1 - à remplir'!$G$31:$G$400,"kg"),SUMIFS('Étape 1 - à remplir'!$F$31:$F$400,'Étape 1 - à remplir'!$E$31:$E$400,MASQ2!EC574,'Étape 1 - à remplir'!$C$31:$C$400,EL$3)),IF(EL$2="Âge",IF(EL$3="Tous",SUMIFS('Étape 1 - à remplir'!$F$31:$F$400,'Étape 1 - à remplir'!$E$31:$E$400,MASQ2!EC574,'Étape 1 - à remplir'!$G$31:$G$400,"kg"),SUMIFS('Étape 1 - à remplir'!$F$31:$F$400,'Étape 1 - à remplir'!$E$31:$E$400,MASQ2!EC574,'Étape 1 - à remplir'!$P$31:$P$400,EL$3,'Étape 1 - à remplir'!$G$31:$G$400,"kg")),IF(EL$2="Atelier",IF(EL$3="Tous",SUMIFS('Étape 1 - à remplir'!$F$31:$F$400,'Étape 1 - à remplir'!$E$31:$E$400,MASQ2!EC574,'Étape 1 - à remplir'!$G$31:$G$400,"kg"),SUMIFS('Étape 1 - à remplir'!$F$31:$F$400,'Étape 1 - à remplir'!$E$31:$E$400,MASQ2!EC574,'Étape 1 - à remplir'!$O$31:$O$400,EL$3,'Étape 1 - à remplir'!$G$31:$G$400,"kg")),IF(EL$2="Espèce",IF(EL$3="Toutes",SUMIFS('Étape 1 - à remplir'!$F$31:$F$400,'Étape 1 - à remplir'!$E$31:$E$400,MASQ2!EC574,'Étape 1 - à remplir'!$G$31:$G$400,"kg"),SUMIFS('Étape 1 - à remplir'!$F$31:$F$400,'Étape 1 - à remplir'!$E$31:$E$400,MASQ2!EC574,'Étape 1 - à remplir'!$N$31:$N$400,EL$3,'Étape 1 - à remplir'!$G$31:$G$400,"kg"))))))=0,NA(),IF(EL$2="Catégorie",IF(EL$3="Toutes",SUMIFS('Étape 1 - à remplir'!$F$31:$F$400,'Étape 1 - à remplir'!$E$31:$E$400,MASQ2!EC574,'Étape 1 - à remplir'!$G$31:$G$400,"kg"),SUMIFS('Étape 1 - à remplir'!$F$31:$F$400,'Étape 1 - à remplir'!$E$31:$E$400,MASQ2!EC574,'Étape 1 - à remplir'!$C$31:$C$400,EL$3)),IF(EL$2="Âge",IF(EL$3="Tous",SUMIFS('Étape 1 - à remplir'!$F$31:$F$400,'Étape 1 - à remplir'!$E$31:$E$400,MASQ2!EC574,'Étape 1 - à remplir'!$G$31:$G$400,"kg"),SUMIFS('Étape 1 - à remplir'!$F$31:$F$400,'Étape 1 - à remplir'!$E$31:$E$400,MASQ2!EC574,'Étape 1 - à remplir'!$P$31:$P$400,EL$3,'Étape 1 - à remplir'!$G$31:$G$400,"kg")),IF(EL$2="Atelier",IF(EL$3="Tous",SUMIFS('Étape 1 - à remplir'!$F$31:$F$400,'Étape 1 - à remplir'!$E$31:$E$400,MASQ2!EC574,'Étape 1 - à remplir'!$G$31:$G$400,"kg"),SUMIFS('Étape 1 - à remplir'!$F$31:$F$400,'Étape 1 - à remplir'!$E$31:$E$400,MASQ2!EC574,'Étape 1 - à remplir'!$O$31:$O$400,EL$3,'Étape 1 - à remplir'!$G$31:$G$400,"kg")),IF(EL$2="Espèce",IF(EL$3="Toutes",SUMIFS('Étape 1 - à remplir'!$F$31:$F$400,'Étape 1 - à remplir'!$E$31:$E$400,MASQ2!EC574,'Étape 1 - à remplir'!$G$31:$G$400,"kg"),SUMIFS('Étape 1 - à remplir'!$F$31:$F$400,'Étape 1 - à remplir'!$E$31:$E$400,MASQ2!EC574,'Étape 1 - à remplir'!$N$31:$N$400,EL$3,'Étape 1 - à remplir'!$G$31:$G$400,"kg")))))))</f>
        <v>#N/A</v>
      </c>
      <c r="EE574" s="76">
        <f t="shared" si="334"/>
        <v>0</v>
      </c>
      <c r="EF574" t="str">
        <f t="shared" si="325"/>
        <v/>
      </c>
      <c r="EG574" t="str">
        <f t="shared" si="326"/>
        <v/>
      </c>
      <c r="EH574" t="str">
        <f t="shared" si="327"/>
        <v/>
      </c>
      <c r="EI574" t="str">
        <f t="shared" si="328"/>
        <v/>
      </c>
      <c r="EJ574" t="str">
        <f t="shared" si="329"/>
        <v/>
      </c>
      <c r="EK574" s="63" t="str">
        <f t="shared" si="330"/>
        <v/>
      </c>
      <c r="EN574" s="42">
        <v>571</v>
      </c>
      <c r="EO574" t="e">
        <f t="shared" si="336"/>
        <v>#N/A</v>
      </c>
      <c r="EP574" s="63" t="e">
        <f t="shared" si="337"/>
        <v>#N/A</v>
      </c>
    </row>
    <row r="575" spans="13:146" x14ac:dyDescent="0.3">
      <c r="M575" s="194" t="e">
        <f ca="1">INDEX(Données_ATB!BD:BU,MATCH(MASQ2!O575,Données_ATB!BD:BD,0),18)</f>
        <v>#N/A</v>
      </c>
      <c r="N575" s="14" t="str">
        <f>IFERROR(IF(Q575=0,"",COUNTIF(Q$4:Q$600,"&gt;"&amp;Q575)+COUNTIF(Q$4:Q575,Q575)),"")</f>
        <v/>
      </c>
      <c r="O575">
        <f>Données_ATB!BD574</f>
        <v>0</v>
      </c>
      <c r="P575" t="e">
        <f>IF(IF(X$2="Catégorie",IF(X$3="Toutes",SUMIFS('Étape 1 - à remplir'!$F$31:$F$400,'Étape 1 - à remplir'!$E$31:$E$400,MASQ2!O575,'Étape 1 - à remplir'!$G$31:$G$400,"animaux"),SUMIFS('Étape 1 - à remplir'!$F$31:$F$400,'Étape 1 - à remplir'!$E$31:$E$400,MASQ2!O575,'Étape 1 - à remplir'!$C$31:$C$400,X$3)),IF(X$2="Âge",IF(X$3="Tous",SUMIFS('Étape 1 - à remplir'!$F$31:$F$400,'Étape 1 - à remplir'!$E$31:$E$400,MASQ2!O575,'Étape 1 - à remplir'!$G$31:$G$400,"animaux"),SUMIFS('Étape 1 - à remplir'!$F$31:$F$400,'Étape 1 - à remplir'!$E$31:$E$400,MASQ2!O575,'Étape 1 - à remplir'!$P$31:$P$400,X$3)),IF(X$2="Atelier",IF(X$3="Tous",SUMIFS('Étape 1 - à remplir'!$F$31:$F$400,'Étape 1 - à remplir'!$E$31:$E$400,MASQ2!O575,'Étape 1 - à remplir'!$G$31:$G$400,"animaux"),SUMIFS('Étape 1 - à remplir'!$F$31:$F$400,'Étape 1 - à remplir'!$E$31:$E$400,MASQ2!O575,'Étape 1 - à remplir'!$O$31:$O$400,X$3)),IF(X$2="Espèce",IF(X$3="Toutes",SUMIFS('Étape 1 - à remplir'!$F$31:$F$400,'Étape 1 - à remplir'!$E$31:$E$400,MASQ2!O575,'Étape 1 - à remplir'!$G$31:$G$400,"animaux"),SUMIFS('Étape 1 - à remplir'!$F$31:$F$400,'Étape 1 - à remplir'!$E$31:$E$400,MASQ2!O575,'Étape 1 - à remplir'!$N$31:$N$400,X$3))))))=0,NA(),IF(X$2="Catégorie",IF(X$3="Toutes",SUMIFS('Étape 1 - à remplir'!$F$31:$F$400,'Étape 1 - à remplir'!$E$31:$E$400,MASQ2!O575,'Étape 1 - à remplir'!$G$31:$G$400,"animaux"),SUMIFS('Étape 1 - à remplir'!$F$31:$F$400,'Étape 1 - à remplir'!$E$31:$E$400,MASQ2!O575,'Étape 1 - à remplir'!$C$31:$C$400,X$3)),IF(X$2="Âge",IF(X$3="Tous",SUMIFS('Étape 1 - à remplir'!$F$31:$F$400,'Étape 1 - à remplir'!$E$31:$E$400,MASQ2!O575,'Étape 1 - à remplir'!$G$31:$G$400,"animaux"),SUMIFS('Étape 1 - à remplir'!$F$31:$F$400,'Étape 1 - à remplir'!$E$31:$E$400,MASQ2!O575,'Étape 1 - à remplir'!$P$31:$P$400,X$3)),IF(X$2="Atelier",IF(X$3="Tous",SUMIFS('Étape 1 - à remplir'!$F$31:$F$400,'Étape 1 - à remplir'!$E$31:$E$400,MASQ2!O575,'Étape 1 - à remplir'!$G$31:$G$400,"animaux"),SUMIFS('Étape 1 - à remplir'!$F$31:$F$400,'Étape 1 - à remplir'!$E$31:$E$400,MASQ2!O575,'Étape 1 - à remplir'!$O$31:$O$400,X$3)),IF(X$2="Espèce",IF(X$3="Toutes",SUMIFS('Étape 1 - à remplir'!$F$31:$F$400,'Étape 1 - à remplir'!$E$31:$E$400,MASQ2!O575,'Étape 1 - à remplir'!$G$31:$G$400,"animaux"),SUMIFS('Étape 1 - à remplir'!$F$31:$F$400,'Étape 1 - à remplir'!$E$31:$E$400,MASQ2!O575,'Étape 1 - à remplir'!$N$31:$N$400,X$3)))))))</f>
        <v>#N/A</v>
      </c>
      <c r="Q575" s="63">
        <f t="shared" si="335"/>
        <v>0</v>
      </c>
      <c r="R575" t="str">
        <f>Données_ATB!BM574</f>
        <v/>
      </c>
      <c r="S575" t="str">
        <f>Données_ATB!BN574</f>
        <v/>
      </c>
      <c r="T575" s="63" t="str">
        <f>Données_ATB!BO574</f>
        <v/>
      </c>
      <c r="U575" s="42" t="str">
        <f>Données_ATB!BQ574</f>
        <v/>
      </c>
      <c r="V575" t="str">
        <f>Données_ATB!BR574</f>
        <v/>
      </c>
      <c r="W575" s="63" t="str">
        <f>Données_ATB!BS574</f>
        <v/>
      </c>
      <c r="Z575" s="42">
        <v>572</v>
      </c>
      <c r="AA575" t="e">
        <f t="shared" si="331"/>
        <v>#N/A</v>
      </c>
      <c r="AB575" s="63" t="e">
        <f t="shared" si="332"/>
        <v>#N/A</v>
      </c>
      <c r="BT575" s="194" t="e">
        <f t="shared" ca="1" si="315"/>
        <v>#N/A</v>
      </c>
      <c r="BU575" s="219" t="str">
        <f>IFERROR(IF(BX575=0,"",COUNTIF(BX$4:BX$600,"&gt;"&amp;BX575)+COUNTIF(BX$4:BX575,BX575)),"")</f>
        <v/>
      </c>
      <c r="BV575" s="42">
        <f t="shared" si="316"/>
        <v>0</v>
      </c>
      <c r="BW575" t="e">
        <f>IF(IF(CE$2="Catégorie",IF(CE$3="Toutes",SUMIFS('Étape 1 - à remplir'!$F$31:$F$400,'Étape 1 - à remplir'!$E$31:$E$400,MASQ2!BV575,'Étape 1 - à remplir'!$G$31:$G$400,"lots"),SUMIFS('Étape 1 - à remplir'!$F$31:$F$400,'Étape 1 - à remplir'!$E$31:$E$400,MASQ2!BV575,'Étape 1 - à remplir'!$C$31:$C$400,CE$3)),IF(CE$2="Âge",IF(CE$3="Tous",SUMIFS('Étape 1 - à remplir'!$F$31:$F$400,'Étape 1 - à remplir'!$E$31:$E$400,MASQ2!BV575,'Étape 1 - à remplir'!$G$31:$G$400,"lots"),SUMIFS('Étape 1 - à remplir'!$F$31:$F$400,'Étape 1 - à remplir'!$E$31:$E$400,MASQ2!BV575,'Étape 1 - à remplir'!$P$31:$P$400,CE$3,'Étape 1 - à remplir'!$G$31:$G$400,"lots")),IF(CE$2="Atelier",IF(CE$3="Tous",SUMIFS('Étape 1 - à remplir'!$F$31:$F$400,'Étape 1 - à remplir'!$E$31:$E$400,MASQ2!BV575,'Étape 1 - à remplir'!$G$31:$G$400,"lots"),SUMIFS('Étape 1 - à remplir'!$F$31:$F$400,'Étape 1 - à remplir'!$E$31:$E$400,MASQ2!BV575,'Étape 1 - à remplir'!$O$31:$O$400,CE$3,'Étape 1 - à remplir'!$G$31:$G$400,"lots")),IF(CE$2="Espèce",IF(CE$3="Toutes",SUMIFS('Étape 1 - à remplir'!$F$31:$F$400,'Étape 1 - à remplir'!$E$31:$E$400,MASQ2!BV575,'Étape 1 - à remplir'!$G$31:$G$400,"lots"),SUMIFS('Étape 1 - à remplir'!$F$31:$F$400,'Étape 1 - à remplir'!$E$31:$E$400,MASQ2!BV575,'Étape 1 - à remplir'!$N$31:$N$400,CE$3,'Étape 1 - à remplir'!$G$31:$G$400,"lots"))))))=0,NA(),IF(CE$2="Catégorie",IF(CE$3="Toutes",SUMIFS('Étape 1 - à remplir'!$F$31:$F$400,'Étape 1 - à remplir'!$E$31:$E$400,MASQ2!BV575,'Étape 1 - à remplir'!$G$31:$G$400,"lots"),SUMIFS('Étape 1 - à remplir'!$F$31:$F$400,'Étape 1 - à remplir'!$E$31:$E$400,MASQ2!BV575,'Étape 1 - à remplir'!$C$31:$C$400,CE$3)),IF(CE$2="Âge",IF(CE$3="Tous",SUMIFS('Étape 1 - à remplir'!$F$31:$F$400,'Étape 1 - à remplir'!$E$31:$E$400,MASQ2!BV575,'Étape 1 - à remplir'!$G$31:$G$400,"lots"),SUMIFS('Étape 1 - à remplir'!$F$31:$F$400,'Étape 1 - à remplir'!$E$31:$E$400,MASQ2!BV575,'Étape 1 - à remplir'!$P$31:$P$400,CE$3,'Étape 1 - à remplir'!$G$31:$G$400,"lots")),IF(CE$2="Atelier",IF(CE$3="Tous",SUMIFS('Étape 1 - à remplir'!$F$31:$F$400,'Étape 1 - à remplir'!$E$31:$E$400,MASQ2!BV575,'Étape 1 - à remplir'!$G$31:$G$400,"lots"),SUMIFS('Étape 1 - à remplir'!$F$31:$F$400,'Étape 1 - à remplir'!$E$31:$E$400,MASQ2!BV575,'Étape 1 - à remplir'!$O$31:$O$400,CE$3,'Étape 1 - à remplir'!$G$31:$G$400,"lots")),IF(CE$2="Espèce",IF(CE$3="Toutes",SUMIFS('Étape 1 - à remplir'!$F$31:$F$400,'Étape 1 - à remplir'!$E$31:$E$400,MASQ2!BV575,'Étape 1 - à remplir'!$G$31:$G$400,"lots"),SUMIFS('Étape 1 - à remplir'!$F$31:$F$400,'Étape 1 - à remplir'!$E$31:$E$400,MASQ2!BV575,'Étape 1 - à remplir'!$N$31:$N$400,CE$3,'Étape 1 - à remplir'!$G$31:$G$400,"lots")))))))</f>
        <v>#N/A</v>
      </c>
      <c r="BX575">
        <f t="shared" si="333"/>
        <v>0</v>
      </c>
      <c r="BY575" t="str">
        <f t="shared" si="317"/>
        <v/>
      </c>
      <c r="BZ575" t="str">
        <f t="shared" si="318"/>
        <v/>
      </c>
      <c r="CA575" t="str">
        <f t="shared" si="319"/>
        <v/>
      </c>
      <c r="CB575" t="str">
        <f t="shared" si="320"/>
        <v/>
      </c>
      <c r="CC575" t="str">
        <f t="shared" si="321"/>
        <v/>
      </c>
      <c r="CD575" s="63" t="str">
        <f t="shared" si="322"/>
        <v/>
      </c>
      <c r="CG575" s="42">
        <v>572</v>
      </c>
      <c r="CH575" s="42" t="e">
        <f t="shared" si="338"/>
        <v>#N/A</v>
      </c>
      <c r="CI575" s="63" t="e">
        <f t="shared" si="339"/>
        <v>#N/A</v>
      </c>
      <c r="EA575" s="194" t="e">
        <f t="shared" ca="1" si="323"/>
        <v>#N/A</v>
      </c>
      <c r="EB575" s="226" t="str">
        <f>IFERROR(IF(ED575=0,"",COUNTIF(ED$4:ED$600,"&gt;"&amp;ED575)+COUNTIF(ED$4:ED575,ED575)),"")</f>
        <v/>
      </c>
      <c r="EC575">
        <f t="shared" si="324"/>
        <v>0</v>
      </c>
      <c r="ED575" t="e">
        <f>IF(IF(EL$2="Catégorie",IF(EL$3="Toutes",SUMIFS('Étape 1 - à remplir'!$F$31:$F$400,'Étape 1 - à remplir'!$E$31:$E$400,MASQ2!EC575,'Étape 1 - à remplir'!$G$31:$G$400,"kg"),SUMIFS('Étape 1 - à remplir'!$F$31:$F$400,'Étape 1 - à remplir'!$E$31:$E$400,MASQ2!EC575,'Étape 1 - à remplir'!$C$31:$C$400,EL$3)),IF(EL$2="Âge",IF(EL$3="Tous",SUMIFS('Étape 1 - à remplir'!$F$31:$F$400,'Étape 1 - à remplir'!$E$31:$E$400,MASQ2!EC575,'Étape 1 - à remplir'!$G$31:$G$400,"kg"),SUMIFS('Étape 1 - à remplir'!$F$31:$F$400,'Étape 1 - à remplir'!$E$31:$E$400,MASQ2!EC575,'Étape 1 - à remplir'!$P$31:$P$400,EL$3,'Étape 1 - à remplir'!$G$31:$G$400,"kg")),IF(EL$2="Atelier",IF(EL$3="Tous",SUMIFS('Étape 1 - à remplir'!$F$31:$F$400,'Étape 1 - à remplir'!$E$31:$E$400,MASQ2!EC575,'Étape 1 - à remplir'!$G$31:$G$400,"kg"),SUMIFS('Étape 1 - à remplir'!$F$31:$F$400,'Étape 1 - à remplir'!$E$31:$E$400,MASQ2!EC575,'Étape 1 - à remplir'!$O$31:$O$400,EL$3,'Étape 1 - à remplir'!$G$31:$G$400,"kg")),IF(EL$2="Espèce",IF(EL$3="Toutes",SUMIFS('Étape 1 - à remplir'!$F$31:$F$400,'Étape 1 - à remplir'!$E$31:$E$400,MASQ2!EC575,'Étape 1 - à remplir'!$G$31:$G$400,"kg"),SUMIFS('Étape 1 - à remplir'!$F$31:$F$400,'Étape 1 - à remplir'!$E$31:$E$400,MASQ2!EC575,'Étape 1 - à remplir'!$N$31:$N$400,EL$3,'Étape 1 - à remplir'!$G$31:$G$400,"kg"))))))=0,NA(),IF(EL$2="Catégorie",IF(EL$3="Toutes",SUMIFS('Étape 1 - à remplir'!$F$31:$F$400,'Étape 1 - à remplir'!$E$31:$E$400,MASQ2!EC575,'Étape 1 - à remplir'!$G$31:$G$400,"kg"),SUMIFS('Étape 1 - à remplir'!$F$31:$F$400,'Étape 1 - à remplir'!$E$31:$E$400,MASQ2!EC575,'Étape 1 - à remplir'!$C$31:$C$400,EL$3)),IF(EL$2="Âge",IF(EL$3="Tous",SUMIFS('Étape 1 - à remplir'!$F$31:$F$400,'Étape 1 - à remplir'!$E$31:$E$400,MASQ2!EC575,'Étape 1 - à remplir'!$G$31:$G$400,"kg"),SUMIFS('Étape 1 - à remplir'!$F$31:$F$400,'Étape 1 - à remplir'!$E$31:$E$400,MASQ2!EC575,'Étape 1 - à remplir'!$P$31:$P$400,EL$3,'Étape 1 - à remplir'!$G$31:$G$400,"kg")),IF(EL$2="Atelier",IF(EL$3="Tous",SUMIFS('Étape 1 - à remplir'!$F$31:$F$400,'Étape 1 - à remplir'!$E$31:$E$400,MASQ2!EC575,'Étape 1 - à remplir'!$G$31:$G$400,"kg"),SUMIFS('Étape 1 - à remplir'!$F$31:$F$400,'Étape 1 - à remplir'!$E$31:$E$400,MASQ2!EC575,'Étape 1 - à remplir'!$O$31:$O$400,EL$3,'Étape 1 - à remplir'!$G$31:$G$400,"kg")),IF(EL$2="Espèce",IF(EL$3="Toutes",SUMIFS('Étape 1 - à remplir'!$F$31:$F$400,'Étape 1 - à remplir'!$E$31:$E$400,MASQ2!EC575,'Étape 1 - à remplir'!$G$31:$G$400,"kg"),SUMIFS('Étape 1 - à remplir'!$F$31:$F$400,'Étape 1 - à remplir'!$E$31:$E$400,MASQ2!EC575,'Étape 1 - à remplir'!$N$31:$N$400,EL$3,'Étape 1 - à remplir'!$G$31:$G$400,"kg")))))))</f>
        <v>#N/A</v>
      </c>
      <c r="EE575" s="76">
        <f t="shared" si="334"/>
        <v>0</v>
      </c>
      <c r="EF575" t="str">
        <f t="shared" si="325"/>
        <v/>
      </c>
      <c r="EG575" t="str">
        <f t="shared" si="326"/>
        <v/>
      </c>
      <c r="EH575" t="str">
        <f t="shared" si="327"/>
        <v/>
      </c>
      <c r="EI575" t="str">
        <f t="shared" si="328"/>
        <v/>
      </c>
      <c r="EJ575" t="str">
        <f t="shared" si="329"/>
        <v/>
      </c>
      <c r="EK575" s="63" t="str">
        <f t="shared" si="330"/>
        <v/>
      </c>
      <c r="EN575" s="42">
        <v>572</v>
      </c>
      <c r="EO575" t="e">
        <f t="shared" si="336"/>
        <v>#N/A</v>
      </c>
      <c r="EP575" s="63" t="e">
        <f t="shared" si="337"/>
        <v>#N/A</v>
      </c>
    </row>
    <row r="576" spans="13:146" x14ac:dyDescent="0.3">
      <c r="M576" s="194" t="e">
        <f ca="1">INDEX(Données_ATB!BD:BU,MATCH(MASQ2!O576,Données_ATB!BD:BD,0),18)</f>
        <v>#N/A</v>
      </c>
      <c r="N576" s="14" t="str">
        <f>IFERROR(IF(Q576=0,"",COUNTIF(Q$4:Q$600,"&gt;"&amp;Q576)+COUNTIF(Q$4:Q576,Q576)),"")</f>
        <v/>
      </c>
      <c r="O576">
        <f>Données_ATB!BD575</f>
        <v>0</v>
      </c>
      <c r="P576" t="e">
        <f>IF(IF(X$2="Catégorie",IF(X$3="Toutes",SUMIFS('Étape 1 - à remplir'!$F$31:$F$400,'Étape 1 - à remplir'!$E$31:$E$400,MASQ2!O576,'Étape 1 - à remplir'!$G$31:$G$400,"animaux"),SUMIFS('Étape 1 - à remplir'!$F$31:$F$400,'Étape 1 - à remplir'!$E$31:$E$400,MASQ2!O576,'Étape 1 - à remplir'!$C$31:$C$400,X$3)),IF(X$2="Âge",IF(X$3="Tous",SUMIFS('Étape 1 - à remplir'!$F$31:$F$400,'Étape 1 - à remplir'!$E$31:$E$400,MASQ2!O576,'Étape 1 - à remplir'!$G$31:$G$400,"animaux"),SUMIFS('Étape 1 - à remplir'!$F$31:$F$400,'Étape 1 - à remplir'!$E$31:$E$400,MASQ2!O576,'Étape 1 - à remplir'!$P$31:$P$400,X$3)),IF(X$2="Atelier",IF(X$3="Tous",SUMIFS('Étape 1 - à remplir'!$F$31:$F$400,'Étape 1 - à remplir'!$E$31:$E$400,MASQ2!O576,'Étape 1 - à remplir'!$G$31:$G$400,"animaux"),SUMIFS('Étape 1 - à remplir'!$F$31:$F$400,'Étape 1 - à remplir'!$E$31:$E$400,MASQ2!O576,'Étape 1 - à remplir'!$O$31:$O$400,X$3)),IF(X$2="Espèce",IF(X$3="Toutes",SUMIFS('Étape 1 - à remplir'!$F$31:$F$400,'Étape 1 - à remplir'!$E$31:$E$400,MASQ2!O576,'Étape 1 - à remplir'!$G$31:$G$400,"animaux"),SUMIFS('Étape 1 - à remplir'!$F$31:$F$400,'Étape 1 - à remplir'!$E$31:$E$400,MASQ2!O576,'Étape 1 - à remplir'!$N$31:$N$400,X$3))))))=0,NA(),IF(X$2="Catégorie",IF(X$3="Toutes",SUMIFS('Étape 1 - à remplir'!$F$31:$F$400,'Étape 1 - à remplir'!$E$31:$E$400,MASQ2!O576,'Étape 1 - à remplir'!$G$31:$G$400,"animaux"),SUMIFS('Étape 1 - à remplir'!$F$31:$F$400,'Étape 1 - à remplir'!$E$31:$E$400,MASQ2!O576,'Étape 1 - à remplir'!$C$31:$C$400,X$3)),IF(X$2="Âge",IF(X$3="Tous",SUMIFS('Étape 1 - à remplir'!$F$31:$F$400,'Étape 1 - à remplir'!$E$31:$E$400,MASQ2!O576,'Étape 1 - à remplir'!$G$31:$G$400,"animaux"),SUMIFS('Étape 1 - à remplir'!$F$31:$F$400,'Étape 1 - à remplir'!$E$31:$E$400,MASQ2!O576,'Étape 1 - à remplir'!$P$31:$P$400,X$3)),IF(X$2="Atelier",IF(X$3="Tous",SUMIFS('Étape 1 - à remplir'!$F$31:$F$400,'Étape 1 - à remplir'!$E$31:$E$400,MASQ2!O576,'Étape 1 - à remplir'!$G$31:$G$400,"animaux"),SUMIFS('Étape 1 - à remplir'!$F$31:$F$400,'Étape 1 - à remplir'!$E$31:$E$400,MASQ2!O576,'Étape 1 - à remplir'!$O$31:$O$400,X$3)),IF(X$2="Espèce",IF(X$3="Toutes",SUMIFS('Étape 1 - à remplir'!$F$31:$F$400,'Étape 1 - à remplir'!$E$31:$E$400,MASQ2!O576,'Étape 1 - à remplir'!$G$31:$G$400,"animaux"),SUMIFS('Étape 1 - à remplir'!$F$31:$F$400,'Étape 1 - à remplir'!$E$31:$E$400,MASQ2!O576,'Étape 1 - à remplir'!$N$31:$N$400,X$3)))))))</f>
        <v>#N/A</v>
      </c>
      <c r="Q576" s="63">
        <f t="shared" si="335"/>
        <v>0</v>
      </c>
      <c r="R576" t="str">
        <f>Données_ATB!BM575</f>
        <v/>
      </c>
      <c r="S576" t="str">
        <f>Données_ATB!BN575</f>
        <v/>
      </c>
      <c r="T576" s="63" t="str">
        <f>Données_ATB!BO575</f>
        <v/>
      </c>
      <c r="U576" s="42" t="str">
        <f>Données_ATB!BQ575</f>
        <v/>
      </c>
      <c r="V576" t="str">
        <f>Données_ATB!BR575</f>
        <v/>
      </c>
      <c r="W576" s="63" t="str">
        <f>Données_ATB!BS575</f>
        <v/>
      </c>
      <c r="Z576" s="42">
        <v>573</v>
      </c>
      <c r="AA576" t="e">
        <f t="shared" si="331"/>
        <v>#N/A</v>
      </c>
      <c r="AB576" s="63" t="e">
        <f t="shared" si="332"/>
        <v>#N/A</v>
      </c>
      <c r="BT576" s="194" t="e">
        <f t="shared" ca="1" si="315"/>
        <v>#N/A</v>
      </c>
      <c r="BU576" s="219" t="str">
        <f>IFERROR(IF(BX576=0,"",COUNTIF(BX$4:BX$600,"&gt;"&amp;BX576)+COUNTIF(BX$4:BX576,BX576)),"")</f>
        <v/>
      </c>
      <c r="BV576" s="42">
        <f t="shared" si="316"/>
        <v>0</v>
      </c>
      <c r="BW576" t="e">
        <f>IF(IF(CE$2="Catégorie",IF(CE$3="Toutes",SUMIFS('Étape 1 - à remplir'!$F$31:$F$400,'Étape 1 - à remplir'!$E$31:$E$400,MASQ2!BV576,'Étape 1 - à remplir'!$G$31:$G$400,"lots"),SUMIFS('Étape 1 - à remplir'!$F$31:$F$400,'Étape 1 - à remplir'!$E$31:$E$400,MASQ2!BV576,'Étape 1 - à remplir'!$C$31:$C$400,CE$3)),IF(CE$2="Âge",IF(CE$3="Tous",SUMIFS('Étape 1 - à remplir'!$F$31:$F$400,'Étape 1 - à remplir'!$E$31:$E$400,MASQ2!BV576,'Étape 1 - à remplir'!$G$31:$G$400,"lots"),SUMIFS('Étape 1 - à remplir'!$F$31:$F$400,'Étape 1 - à remplir'!$E$31:$E$400,MASQ2!BV576,'Étape 1 - à remplir'!$P$31:$P$400,CE$3,'Étape 1 - à remplir'!$G$31:$G$400,"lots")),IF(CE$2="Atelier",IF(CE$3="Tous",SUMIFS('Étape 1 - à remplir'!$F$31:$F$400,'Étape 1 - à remplir'!$E$31:$E$400,MASQ2!BV576,'Étape 1 - à remplir'!$G$31:$G$400,"lots"),SUMIFS('Étape 1 - à remplir'!$F$31:$F$400,'Étape 1 - à remplir'!$E$31:$E$400,MASQ2!BV576,'Étape 1 - à remplir'!$O$31:$O$400,CE$3,'Étape 1 - à remplir'!$G$31:$G$400,"lots")),IF(CE$2="Espèce",IF(CE$3="Toutes",SUMIFS('Étape 1 - à remplir'!$F$31:$F$400,'Étape 1 - à remplir'!$E$31:$E$400,MASQ2!BV576,'Étape 1 - à remplir'!$G$31:$G$400,"lots"),SUMIFS('Étape 1 - à remplir'!$F$31:$F$400,'Étape 1 - à remplir'!$E$31:$E$400,MASQ2!BV576,'Étape 1 - à remplir'!$N$31:$N$400,CE$3,'Étape 1 - à remplir'!$G$31:$G$400,"lots"))))))=0,NA(),IF(CE$2="Catégorie",IF(CE$3="Toutes",SUMIFS('Étape 1 - à remplir'!$F$31:$F$400,'Étape 1 - à remplir'!$E$31:$E$400,MASQ2!BV576,'Étape 1 - à remplir'!$G$31:$G$400,"lots"),SUMIFS('Étape 1 - à remplir'!$F$31:$F$400,'Étape 1 - à remplir'!$E$31:$E$400,MASQ2!BV576,'Étape 1 - à remplir'!$C$31:$C$400,CE$3)),IF(CE$2="Âge",IF(CE$3="Tous",SUMIFS('Étape 1 - à remplir'!$F$31:$F$400,'Étape 1 - à remplir'!$E$31:$E$400,MASQ2!BV576,'Étape 1 - à remplir'!$G$31:$G$400,"lots"),SUMIFS('Étape 1 - à remplir'!$F$31:$F$400,'Étape 1 - à remplir'!$E$31:$E$400,MASQ2!BV576,'Étape 1 - à remplir'!$P$31:$P$400,CE$3,'Étape 1 - à remplir'!$G$31:$G$400,"lots")),IF(CE$2="Atelier",IF(CE$3="Tous",SUMIFS('Étape 1 - à remplir'!$F$31:$F$400,'Étape 1 - à remplir'!$E$31:$E$400,MASQ2!BV576,'Étape 1 - à remplir'!$G$31:$G$400,"lots"),SUMIFS('Étape 1 - à remplir'!$F$31:$F$400,'Étape 1 - à remplir'!$E$31:$E$400,MASQ2!BV576,'Étape 1 - à remplir'!$O$31:$O$400,CE$3,'Étape 1 - à remplir'!$G$31:$G$400,"lots")),IF(CE$2="Espèce",IF(CE$3="Toutes",SUMIFS('Étape 1 - à remplir'!$F$31:$F$400,'Étape 1 - à remplir'!$E$31:$E$400,MASQ2!BV576,'Étape 1 - à remplir'!$G$31:$G$400,"lots"),SUMIFS('Étape 1 - à remplir'!$F$31:$F$400,'Étape 1 - à remplir'!$E$31:$E$400,MASQ2!BV576,'Étape 1 - à remplir'!$N$31:$N$400,CE$3,'Étape 1 - à remplir'!$G$31:$G$400,"lots")))))))</f>
        <v>#N/A</v>
      </c>
      <c r="BX576">
        <f t="shared" si="333"/>
        <v>0</v>
      </c>
      <c r="BY576" t="str">
        <f t="shared" si="317"/>
        <v/>
      </c>
      <c r="BZ576" t="str">
        <f t="shared" si="318"/>
        <v/>
      </c>
      <c r="CA576" t="str">
        <f t="shared" si="319"/>
        <v/>
      </c>
      <c r="CB576" t="str">
        <f t="shared" si="320"/>
        <v/>
      </c>
      <c r="CC576" t="str">
        <f t="shared" si="321"/>
        <v/>
      </c>
      <c r="CD576" s="63" t="str">
        <f t="shared" si="322"/>
        <v/>
      </c>
      <c r="CG576" s="42">
        <v>573</v>
      </c>
      <c r="CH576" s="42" t="e">
        <f t="shared" si="338"/>
        <v>#N/A</v>
      </c>
      <c r="CI576" s="63" t="e">
        <f t="shared" si="339"/>
        <v>#N/A</v>
      </c>
      <c r="EA576" s="194" t="e">
        <f t="shared" ca="1" si="323"/>
        <v>#N/A</v>
      </c>
      <c r="EB576" s="226" t="str">
        <f>IFERROR(IF(ED576=0,"",COUNTIF(ED$4:ED$600,"&gt;"&amp;ED576)+COUNTIF(ED$4:ED576,ED576)),"")</f>
        <v/>
      </c>
      <c r="EC576">
        <f t="shared" si="324"/>
        <v>0</v>
      </c>
      <c r="ED576" t="e">
        <f>IF(IF(EL$2="Catégorie",IF(EL$3="Toutes",SUMIFS('Étape 1 - à remplir'!$F$31:$F$400,'Étape 1 - à remplir'!$E$31:$E$400,MASQ2!EC576,'Étape 1 - à remplir'!$G$31:$G$400,"kg"),SUMIFS('Étape 1 - à remplir'!$F$31:$F$400,'Étape 1 - à remplir'!$E$31:$E$400,MASQ2!EC576,'Étape 1 - à remplir'!$C$31:$C$400,EL$3)),IF(EL$2="Âge",IF(EL$3="Tous",SUMIFS('Étape 1 - à remplir'!$F$31:$F$400,'Étape 1 - à remplir'!$E$31:$E$400,MASQ2!EC576,'Étape 1 - à remplir'!$G$31:$G$400,"kg"),SUMIFS('Étape 1 - à remplir'!$F$31:$F$400,'Étape 1 - à remplir'!$E$31:$E$400,MASQ2!EC576,'Étape 1 - à remplir'!$P$31:$P$400,EL$3,'Étape 1 - à remplir'!$G$31:$G$400,"kg")),IF(EL$2="Atelier",IF(EL$3="Tous",SUMIFS('Étape 1 - à remplir'!$F$31:$F$400,'Étape 1 - à remplir'!$E$31:$E$400,MASQ2!EC576,'Étape 1 - à remplir'!$G$31:$G$400,"kg"),SUMIFS('Étape 1 - à remplir'!$F$31:$F$400,'Étape 1 - à remplir'!$E$31:$E$400,MASQ2!EC576,'Étape 1 - à remplir'!$O$31:$O$400,EL$3,'Étape 1 - à remplir'!$G$31:$G$400,"kg")),IF(EL$2="Espèce",IF(EL$3="Toutes",SUMIFS('Étape 1 - à remplir'!$F$31:$F$400,'Étape 1 - à remplir'!$E$31:$E$400,MASQ2!EC576,'Étape 1 - à remplir'!$G$31:$G$400,"kg"),SUMIFS('Étape 1 - à remplir'!$F$31:$F$400,'Étape 1 - à remplir'!$E$31:$E$400,MASQ2!EC576,'Étape 1 - à remplir'!$N$31:$N$400,EL$3,'Étape 1 - à remplir'!$G$31:$G$400,"kg"))))))=0,NA(),IF(EL$2="Catégorie",IF(EL$3="Toutes",SUMIFS('Étape 1 - à remplir'!$F$31:$F$400,'Étape 1 - à remplir'!$E$31:$E$400,MASQ2!EC576,'Étape 1 - à remplir'!$G$31:$G$400,"kg"),SUMIFS('Étape 1 - à remplir'!$F$31:$F$400,'Étape 1 - à remplir'!$E$31:$E$400,MASQ2!EC576,'Étape 1 - à remplir'!$C$31:$C$400,EL$3)),IF(EL$2="Âge",IF(EL$3="Tous",SUMIFS('Étape 1 - à remplir'!$F$31:$F$400,'Étape 1 - à remplir'!$E$31:$E$400,MASQ2!EC576,'Étape 1 - à remplir'!$G$31:$G$400,"kg"),SUMIFS('Étape 1 - à remplir'!$F$31:$F$400,'Étape 1 - à remplir'!$E$31:$E$400,MASQ2!EC576,'Étape 1 - à remplir'!$P$31:$P$400,EL$3,'Étape 1 - à remplir'!$G$31:$G$400,"kg")),IF(EL$2="Atelier",IF(EL$3="Tous",SUMIFS('Étape 1 - à remplir'!$F$31:$F$400,'Étape 1 - à remplir'!$E$31:$E$400,MASQ2!EC576,'Étape 1 - à remplir'!$G$31:$G$400,"kg"),SUMIFS('Étape 1 - à remplir'!$F$31:$F$400,'Étape 1 - à remplir'!$E$31:$E$400,MASQ2!EC576,'Étape 1 - à remplir'!$O$31:$O$400,EL$3,'Étape 1 - à remplir'!$G$31:$G$400,"kg")),IF(EL$2="Espèce",IF(EL$3="Toutes",SUMIFS('Étape 1 - à remplir'!$F$31:$F$400,'Étape 1 - à remplir'!$E$31:$E$400,MASQ2!EC576,'Étape 1 - à remplir'!$G$31:$G$400,"kg"),SUMIFS('Étape 1 - à remplir'!$F$31:$F$400,'Étape 1 - à remplir'!$E$31:$E$400,MASQ2!EC576,'Étape 1 - à remplir'!$N$31:$N$400,EL$3,'Étape 1 - à remplir'!$G$31:$G$400,"kg")))))))</f>
        <v>#N/A</v>
      </c>
      <c r="EE576" s="76">
        <f t="shared" si="334"/>
        <v>0</v>
      </c>
      <c r="EF576" t="str">
        <f t="shared" si="325"/>
        <v/>
      </c>
      <c r="EG576" t="str">
        <f t="shared" si="326"/>
        <v/>
      </c>
      <c r="EH576" t="str">
        <f t="shared" si="327"/>
        <v/>
      </c>
      <c r="EI576" t="str">
        <f t="shared" si="328"/>
        <v/>
      </c>
      <c r="EJ576" t="str">
        <f t="shared" si="329"/>
        <v/>
      </c>
      <c r="EK576" s="63" t="str">
        <f t="shared" si="330"/>
        <v/>
      </c>
      <c r="EN576" s="42">
        <v>573</v>
      </c>
      <c r="EO576" t="e">
        <f t="shared" si="336"/>
        <v>#N/A</v>
      </c>
      <c r="EP576" s="63" t="e">
        <f t="shared" si="337"/>
        <v>#N/A</v>
      </c>
    </row>
    <row r="577" spans="13:146" x14ac:dyDescent="0.3">
      <c r="M577" s="194" t="e">
        <f ca="1">INDEX(Données_ATB!BD:BU,MATCH(MASQ2!O577,Données_ATB!BD:BD,0),18)</f>
        <v>#N/A</v>
      </c>
      <c r="N577" s="14" t="str">
        <f>IFERROR(IF(Q577=0,"",COUNTIF(Q$4:Q$600,"&gt;"&amp;Q577)+COUNTIF(Q$4:Q577,Q577)),"")</f>
        <v/>
      </c>
      <c r="O577">
        <f>Données_ATB!BD576</f>
        <v>0</v>
      </c>
      <c r="P577" t="e">
        <f>IF(IF(X$2="Catégorie",IF(X$3="Toutes",SUMIFS('Étape 1 - à remplir'!$F$31:$F$400,'Étape 1 - à remplir'!$E$31:$E$400,MASQ2!O577,'Étape 1 - à remplir'!$G$31:$G$400,"animaux"),SUMIFS('Étape 1 - à remplir'!$F$31:$F$400,'Étape 1 - à remplir'!$E$31:$E$400,MASQ2!O577,'Étape 1 - à remplir'!$C$31:$C$400,X$3)),IF(X$2="Âge",IF(X$3="Tous",SUMIFS('Étape 1 - à remplir'!$F$31:$F$400,'Étape 1 - à remplir'!$E$31:$E$400,MASQ2!O577,'Étape 1 - à remplir'!$G$31:$G$400,"animaux"),SUMIFS('Étape 1 - à remplir'!$F$31:$F$400,'Étape 1 - à remplir'!$E$31:$E$400,MASQ2!O577,'Étape 1 - à remplir'!$P$31:$P$400,X$3)),IF(X$2="Atelier",IF(X$3="Tous",SUMIFS('Étape 1 - à remplir'!$F$31:$F$400,'Étape 1 - à remplir'!$E$31:$E$400,MASQ2!O577,'Étape 1 - à remplir'!$G$31:$G$400,"animaux"),SUMIFS('Étape 1 - à remplir'!$F$31:$F$400,'Étape 1 - à remplir'!$E$31:$E$400,MASQ2!O577,'Étape 1 - à remplir'!$O$31:$O$400,X$3)),IF(X$2="Espèce",IF(X$3="Toutes",SUMIFS('Étape 1 - à remplir'!$F$31:$F$400,'Étape 1 - à remplir'!$E$31:$E$400,MASQ2!O577,'Étape 1 - à remplir'!$G$31:$G$400,"animaux"),SUMIFS('Étape 1 - à remplir'!$F$31:$F$400,'Étape 1 - à remplir'!$E$31:$E$400,MASQ2!O577,'Étape 1 - à remplir'!$N$31:$N$400,X$3))))))=0,NA(),IF(X$2="Catégorie",IF(X$3="Toutes",SUMIFS('Étape 1 - à remplir'!$F$31:$F$400,'Étape 1 - à remplir'!$E$31:$E$400,MASQ2!O577,'Étape 1 - à remplir'!$G$31:$G$400,"animaux"),SUMIFS('Étape 1 - à remplir'!$F$31:$F$400,'Étape 1 - à remplir'!$E$31:$E$400,MASQ2!O577,'Étape 1 - à remplir'!$C$31:$C$400,X$3)),IF(X$2="Âge",IF(X$3="Tous",SUMIFS('Étape 1 - à remplir'!$F$31:$F$400,'Étape 1 - à remplir'!$E$31:$E$400,MASQ2!O577,'Étape 1 - à remplir'!$G$31:$G$400,"animaux"),SUMIFS('Étape 1 - à remplir'!$F$31:$F$400,'Étape 1 - à remplir'!$E$31:$E$400,MASQ2!O577,'Étape 1 - à remplir'!$P$31:$P$400,X$3)),IF(X$2="Atelier",IF(X$3="Tous",SUMIFS('Étape 1 - à remplir'!$F$31:$F$400,'Étape 1 - à remplir'!$E$31:$E$400,MASQ2!O577,'Étape 1 - à remplir'!$G$31:$G$400,"animaux"),SUMIFS('Étape 1 - à remplir'!$F$31:$F$400,'Étape 1 - à remplir'!$E$31:$E$400,MASQ2!O577,'Étape 1 - à remplir'!$O$31:$O$400,X$3)),IF(X$2="Espèce",IF(X$3="Toutes",SUMIFS('Étape 1 - à remplir'!$F$31:$F$400,'Étape 1 - à remplir'!$E$31:$E$400,MASQ2!O577,'Étape 1 - à remplir'!$G$31:$G$400,"animaux"),SUMIFS('Étape 1 - à remplir'!$F$31:$F$400,'Étape 1 - à remplir'!$E$31:$E$400,MASQ2!O577,'Étape 1 - à remplir'!$N$31:$N$400,X$3)))))))</f>
        <v>#N/A</v>
      </c>
      <c r="Q577" s="63">
        <f t="shared" si="335"/>
        <v>0</v>
      </c>
      <c r="R577" t="str">
        <f>Données_ATB!BM576</f>
        <v/>
      </c>
      <c r="S577" t="str">
        <f>Données_ATB!BN576</f>
        <v/>
      </c>
      <c r="T577" s="63" t="str">
        <f>Données_ATB!BO576</f>
        <v/>
      </c>
      <c r="U577" s="42" t="str">
        <f>Données_ATB!BQ576</f>
        <v/>
      </c>
      <c r="V577" t="str">
        <f>Données_ATB!BR576</f>
        <v/>
      </c>
      <c r="W577" s="63" t="str">
        <f>Données_ATB!BS576</f>
        <v/>
      </c>
      <c r="Z577" s="42">
        <v>574</v>
      </c>
      <c r="AA577" t="e">
        <f t="shared" si="331"/>
        <v>#N/A</v>
      </c>
      <c r="AB577" s="63" t="e">
        <f t="shared" si="332"/>
        <v>#N/A</v>
      </c>
      <c r="BT577" s="194" t="e">
        <f t="shared" ca="1" si="315"/>
        <v>#N/A</v>
      </c>
      <c r="BU577" s="219" t="str">
        <f>IFERROR(IF(BX577=0,"",COUNTIF(BX$4:BX$600,"&gt;"&amp;BX577)+COUNTIF(BX$4:BX577,BX577)),"")</f>
        <v/>
      </c>
      <c r="BV577" s="42">
        <f t="shared" si="316"/>
        <v>0</v>
      </c>
      <c r="BW577" t="e">
        <f>IF(IF(CE$2="Catégorie",IF(CE$3="Toutes",SUMIFS('Étape 1 - à remplir'!$F$31:$F$400,'Étape 1 - à remplir'!$E$31:$E$400,MASQ2!BV577,'Étape 1 - à remplir'!$G$31:$G$400,"lots"),SUMIFS('Étape 1 - à remplir'!$F$31:$F$400,'Étape 1 - à remplir'!$E$31:$E$400,MASQ2!BV577,'Étape 1 - à remplir'!$C$31:$C$400,CE$3)),IF(CE$2="Âge",IF(CE$3="Tous",SUMIFS('Étape 1 - à remplir'!$F$31:$F$400,'Étape 1 - à remplir'!$E$31:$E$400,MASQ2!BV577,'Étape 1 - à remplir'!$G$31:$G$400,"lots"),SUMIFS('Étape 1 - à remplir'!$F$31:$F$400,'Étape 1 - à remplir'!$E$31:$E$400,MASQ2!BV577,'Étape 1 - à remplir'!$P$31:$P$400,CE$3,'Étape 1 - à remplir'!$G$31:$G$400,"lots")),IF(CE$2="Atelier",IF(CE$3="Tous",SUMIFS('Étape 1 - à remplir'!$F$31:$F$400,'Étape 1 - à remplir'!$E$31:$E$400,MASQ2!BV577,'Étape 1 - à remplir'!$G$31:$G$400,"lots"),SUMIFS('Étape 1 - à remplir'!$F$31:$F$400,'Étape 1 - à remplir'!$E$31:$E$400,MASQ2!BV577,'Étape 1 - à remplir'!$O$31:$O$400,CE$3,'Étape 1 - à remplir'!$G$31:$G$400,"lots")),IF(CE$2="Espèce",IF(CE$3="Toutes",SUMIFS('Étape 1 - à remplir'!$F$31:$F$400,'Étape 1 - à remplir'!$E$31:$E$400,MASQ2!BV577,'Étape 1 - à remplir'!$G$31:$G$400,"lots"),SUMIFS('Étape 1 - à remplir'!$F$31:$F$400,'Étape 1 - à remplir'!$E$31:$E$400,MASQ2!BV577,'Étape 1 - à remplir'!$N$31:$N$400,CE$3,'Étape 1 - à remplir'!$G$31:$G$400,"lots"))))))=0,NA(),IF(CE$2="Catégorie",IF(CE$3="Toutes",SUMIFS('Étape 1 - à remplir'!$F$31:$F$400,'Étape 1 - à remplir'!$E$31:$E$400,MASQ2!BV577,'Étape 1 - à remplir'!$G$31:$G$400,"lots"),SUMIFS('Étape 1 - à remplir'!$F$31:$F$400,'Étape 1 - à remplir'!$E$31:$E$400,MASQ2!BV577,'Étape 1 - à remplir'!$C$31:$C$400,CE$3)),IF(CE$2="Âge",IF(CE$3="Tous",SUMIFS('Étape 1 - à remplir'!$F$31:$F$400,'Étape 1 - à remplir'!$E$31:$E$400,MASQ2!BV577,'Étape 1 - à remplir'!$G$31:$G$400,"lots"),SUMIFS('Étape 1 - à remplir'!$F$31:$F$400,'Étape 1 - à remplir'!$E$31:$E$400,MASQ2!BV577,'Étape 1 - à remplir'!$P$31:$P$400,CE$3,'Étape 1 - à remplir'!$G$31:$G$400,"lots")),IF(CE$2="Atelier",IF(CE$3="Tous",SUMIFS('Étape 1 - à remplir'!$F$31:$F$400,'Étape 1 - à remplir'!$E$31:$E$400,MASQ2!BV577,'Étape 1 - à remplir'!$G$31:$G$400,"lots"),SUMIFS('Étape 1 - à remplir'!$F$31:$F$400,'Étape 1 - à remplir'!$E$31:$E$400,MASQ2!BV577,'Étape 1 - à remplir'!$O$31:$O$400,CE$3,'Étape 1 - à remplir'!$G$31:$G$400,"lots")),IF(CE$2="Espèce",IF(CE$3="Toutes",SUMIFS('Étape 1 - à remplir'!$F$31:$F$400,'Étape 1 - à remplir'!$E$31:$E$400,MASQ2!BV577,'Étape 1 - à remplir'!$G$31:$G$400,"lots"),SUMIFS('Étape 1 - à remplir'!$F$31:$F$400,'Étape 1 - à remplir'!$E$31:$E$400,MASQ2!BV577,'Étape 1 - à remplir'!$N$31:$N$400,CE$3,'Étape 1 - à remplir'!$G$31:$G$400,"lots")))))))</f>
        <v>#N/A</v>
      </c>
      <c r="BX577">
        <f t="shared" si="333"/>
        <v>0</v>
      </c>
      <c r="BY577" t="str">
        <f t="shared" si="317"/>
        <v/>
      </c>
      <c r="BZ577" t="str">
        <f t="shared" si="318"/>
        <v/>
      </c>
      <c r="CA577" t="str">
        <f t="shared" si="319"/>
        <v/>
      </c>
      <c r="CB577" t="str">
        <f t="shared" si="320"/>
        <v/>
      </c>
      <c r="CC577" t="str">
        <f t="shared" si="321"/>
        <v/>
      </c>
      <c r="CD577" s="63" t="str">
        <f t="shared" si="322"/>
        <v/>
      </c>
      <c r="CG577" s="42">
        <v>574</v>
      </c>
      <c r="CH577" s="42" t="e">
        <f t="shared" si="338"/>
        <v>#N/A</v>
      </c>
      <c r="CI577" s="63" t="e">
        <f t="shared" si="339"/>
        <v>#N/A</v>
      </c>
      <c r="EA577" s="194" t="e">
        <f t="shared" ca="1" si="323"/>
        <v>#N/A</v>
      </c>
      <c r="EB577" s="226" t="str">
        <f>IFERROR(IF(ED577=0,"",COUNTIF(ED$4:ED$600,"&gt;"&amp;ED577)+COUNTIF(ED$4:ED577,ED577)),"")</f>
        <v/>
      </c>
      <c r="EC577">
        <f t="shared" si="324"/>
        <v>0</v>
      </c>
      <c r="ED577" t="e">
        <f>IF(IF(EL$2="Catégorie",IF(EL$3="Toutes",SUMIFS('Étape 1 - à remplir'!$F$31:$F$400,'Étape 1 - à remplir'!$E$31:$E$400,MASQ2!EC577,'Étape 1 - à remplir'!$G$31:$G$400,"kg"),SUMIFS('Étape 1 - à remplir'!$F$31:$F$400,'Étape 1 - à remplir'!$E$31:$E$400,MASQ2!EC577,'Étape 1 - à remplir'!$C$31:$C$400,EL$3)),IF(EL$2="Âge",IF(EL$3="Tous",SUMIFS('Étape 1 - à remplir'!$F$31:$F$400,'Étape 1 - à remplir'!$E$31:$E$400,MASQ2!EC577,'Étape 1 - à remplir'!$G$31:$G$400,"kg"),SUMIFS('Étape 1 - à remplir'!$F$31:$F$400,'Étape 1 - à remplir'!$E$31:$E$400,MASQ2!EC577,'Étape 1 - à remplir'!$P$31:$P$400,EL$3,'Étape 1 - à remplir'!$G$31:$G$400,"kg")),IF(EL$2="Atelier",IF(EL$3="Tous",SUMIFS('Étape 1 - à remplir'!$F$31:$F$400,'Étape 1 - à remplir'!$E$31:$E$400,MASQ2!EC577,'Étape 1 - à remplir'!$G$31:$G$400,"kg"),SUMIFS('Étape 1 - à remplir'!$F$31:$F$400,'Étape 1 - à remplir'!$E$31:$E$400,MASQ2!EC577,'Étape 1 - à remplir'!$O$31:$O$400,EL$3,'Étape 1 - à remplir'!$G$31:$G$400,"kg")),IF(EL$2="Espèce",IF(EL$3="Toutes",SUMIFS('Étape 1 - à remplir'!$F$31:$F$400,'Étape 1 - à remplir'!$E$31:$E$400,MASQ2!EC577,'Étape 1 - à remplir'!$G$31:$G$400,"kg"),SUMIFS('Étape 1 - à remplir'!$F$31:$F$400,'Étape 1 - à remplir'!$E$31:$E$400,MASQ2!EC577,'Étape 1 - à remplir'!$N$31:$N$400,EL$3,'Étape 1 - à remplir'!$G$31:$G$400,"kg"))))))=0,NA(),IF(EL$2="Catégorie",IF(EL$3="Toutes",SUMIFS('Étape 1 - à remplir'!$F$31:$F$400,'Étape 1 - à remplir'!$E$31:$E$400,MASQ2!EC577,'Étape 1 - à remplir'!$G$31:$G$400,"kg"),SUMIFS('Étape 1 - à remplir'!$F$31:$F$400,'Étape 1 - à remplir'!$E$31:$E$400,MASQ2!EC577,'Étape 1 - à remplir'!$C$31:$C$400,EL$3)),IF(EL$2="Âge",IF(EL$3="Tous",SUMIFS('Étape 1 - à remplir'!$F$31:$F$400,'Étape 1 - à remplir'!$E$31:$E$400,MASQ2!EC577,'Étape 1 - à remplir'!$G$31:$G$400,"kg"),SUMIFS('Étape 1 - à remplir'!$F$31:$F$400,'Étape 1 - à remplir'!$E$31:$E$400,MASQ2!EC577,'Étape 1 - à remplir'!$P$31:$P$400,EL$3,'Étape 1 - à remplir'!$G$31:$G$400,"kg")),IF(EL$2="Atelier",IF(EL$3="Tous",SUMIFS('Étape 1 - à remplir'!$F$31:$F$400,'Étape 1 - à remplir'!$E$31:$E$400,MASQ2!EC577,'Étape 1 - à remplir'!$G$31:$G$400,"kg"),SUMIFS('Étape 1 - à remplir'!$F$31:$F$400,'Étape 1 - à remplir'!$E$31:$E$400,MASQ2!EC577,'Étape 1 - à remplir'!$O$31:$O$400,EL$3,'Étape 1 - à remplir'!$G$31:$G$400,"kg")),IF(EL$2="Espèce",IF(EL$3="Toutes",SUMIFS('Étape 1 - à remplir'!$F$31:$F$400,'Étape 1 - à remplir'!$E$31:$E$400,MASQ2!EC577,'Étape 1 - à remplir'!$G$31:$G$400,"kg"),SUMIFS('Étape 1 - à remplir'!$F$31:$F$400,'Étape 1 - à remplir'!$E$31:$E$400,MASQ2!EC577,'Étape 1 - à remplir'!$N$31:$N$400,EL$3,'Étape 1 - à remplir'!$G$31:$G$400,"kg")))))))</f>
        <v>#N/A</v>
      </c>
      <c r="EE577" s="76">
        <f t="shared" si="334"/>
        <v>0</v>
      </c>
      <c r="EF577" t="str">
        <f t="shared" si="325"/>
        <v/>
      </c>
      <c r="EG577" t="str">
        <f t="shared" si="326"/>
        <v/>
      </c>
      <c r="EH577" t="str">
        <f t="shared" si="327"/>
        <v/>
      </c>
      <c r="EI577" t="str">
        <f t="shared" si="328"/>
        <v/>
      </c>
      <c r="EJ577" t="str">
        <f t="shared" si="329"/>
        <v/>
      </c>
      <c r="EK577" s="63" t="str">
        <f t="shared" si="330"/>
        <v/>
      </c>
      <c r="EN577" s="42">
        <v>574</v>
      </c>
      <c r="EO577" t="e">
        <f t="shared" si="336"/>
        <v>#N/A</v>
      </c>
      <c r="EP577" s="63" t="e">
        <f t="shared" si="337"/>
        <v>#N/A</v>
      </c>
    </row>
    <row r="578" spans="13:146" x14ac:dyDescent="0.3">
      <c r="M578" s="194" t="e">
        <f ca="1">INDEX(Données_ATB!BD:BU,MATCH(MASQ2!O578,Données_ATB!BD:BD,0),18)</f>
        <v>#N/A</v>
      </c>
      <c r="N578" s="14" t="str">
        <f>IFERROR(IF(Q578=0,"",COUNTIF(Q$4:Q$600,"&gt;"&amp;Q578)+COUNTIF(Q$4:Q578,Q578)),"")</f>
        <v/>
      </c>
      <c r="O578">
        <f>Données_ATB!BD577</f>
        <v>0</v>
      </c>
      <c r="P578" t="e">
        <f>IF(IF(X$2="Catégorie",IF(X$3="Toutes",SUMIFS('Étape 1 - à remplir'!$F$31:$F$400,'Étape 1 - à remplir'!$E$31:$E$400,MASQ2!O578,'Étape 1 - à remplir'!$G$31:$G$400,"animaux"),SUMIFS('Étape 1 - à remplir'!$F$31:$F$400,'Étape 1 - à remplir'!$E$31:$E$400,MASQ2!O578,'Étape 1 - à remplir'!$C$31:$C$400,X$3)),IF(X$2="Âge",IF(X$3="Tous",SUMIFS('Étape 1 - à remplir'!$F$31:$F$400,'Étape 1 - à remplir'!$E$31:$E$400,MASQ2!O578,'Étape 1 - à remplir'!$G$31:$G$400,"animaux"),SUMIFS('Étape 1 - à remplir'!$F$31:$F$400,'Étape 1 - à remplir'!$E$31:$E$400,MASQ2!O578,'Étape 1 - à remplir'!$P$31:$P$400,X$3)),IF(X$2="Atelier",IF(X$3="Tous",SUMIFS('Étape 1 - à remplir'!$F$31:$F$400,'Étape 1 - à remplir'!$E$31:$E$400,MASQ2!O578,'Étape 1 - à remplir'!$G$31:$G$400,"animaux"),SUMIFS('Étape 1 - à remplir'!$F$31:$F$400,'Étape 1 - à remplir'!$E$31:$E$400,MASQ2!O578,'Étape 1 - à remplir'!$O$31:$O$400,X$3)),IF(X$2="Espèce",IF(X$3="Toutes",SUMIFS('Étape 1 - à remplir'!$F$31:$F$400,'Étape 1 - à remplir'!$E$31:$E$400,MASQ2!O578,'Étape 1 - à remplir'!$G$31:$G$400,"animaux"),SUMIFS('Étape 1 - à remplir'!$F$31:$F$400,'Étape 1 - à remplir'!$E$31:$E$400,MASQ2!O578,'Étape 1 - à remplir'!$N$31:$N$400,X$3))))))=0,NA(),IF(X$2="Catégorie",IF(X$3="Toutes",SUMIFS('Étape 1 - à remplir'!$F$31:$F$400,'Étape 1 - à remplir'!$E$31:$E$400,MASQ2!O578,'Étape 1 - à remplir'!$G$31:$G$400,"animaux"),SUMIFS('Étape 1 - à remplir'!$F$31:$F$400,'Étape 1 - à remplir'!$E$31:$E$400,MASQ2!O578,'Étape 1 - à remplir'!$C$31:$C$400,X$3)),IF(X$2="Âge",IF(X$3="Tous",SUMIFS('Étape 1 - à remplir'!$F$31:$F$400,'Étape 1 - à remplir'!$E$31:$E$400,MASQ2!O578,'Étape 1 - à remplir'!$G$31:$G$400,"animaux"),SUMIFS('Étape 1 - à remplir'!$F$31:$F$400,'Étape 1 - à remplir'!$E$31:$E$400,MASQ2!O578,'Étape 1 - à remplir'!$P$31:$P$400,X$3)),IF(X$2="Atelier",IF(X$3="Tous",SUMIFS('Étape 1 - à remplir'!$F$31:$F$400,'Étape 1 - à remplir'!$E$31:$E$400,MASQ2!O578,'Étape 1 - à remplir'!$G$31:$G$400,"animaux"),SUMIFS('Étape 1 - à remplir'!$F$31:$F$400,'Étape 1 - à remplir'!$E$31:$E$400,MASQ2!O578,'Étape 1 - à remplir'!$O$31:$O$400,X$3)),IF(X$2="Espèce",IF(X$3="Toutes",SUMIFS('Étape 1 - à remplir'!$F$31:$F$400,'Étape 1 - à remplir'!$E$31:$E$400,MASQ2!O578,'Étape 1 - à remplir'!$G$31:$G$400,"animaux"),SUMIFS('Étape 1 - à remplir'!$F$31:$F$400,'Étape 1 - à remplir'!$E$31:$E$400,MASQ2!O578,'Étape 1 - à remplir'!$N$31:$N$400,X$3)))))))</f>
        <v>#N/A</v>
      </c>
      <c r="Q578" s="63">
        <f t="shared" si="335"/>
        <v>0</v>
      </c>
      <c r="R578" t="str">
        <f>Données_ATB!BM577</f>
        <v/>
      </c>
      <c r="S578" t="str">
        <f>Données_ATB!BN577</f>
        <v/>
      </c>
      <c r="T578" s="63" t="str">
        <f>Données_ATB!BO577</f>
        <v/>
      </c>
      <c r="U578" s="42" t="str">
        <f>Données_ATB!BQ577</f>
        <v/>
      </c>
      <c r="V578" t="str">
        <f>Données_ATB!BR577</f>
        <v/>
      </c>
      <c r="W578" s="63" t="str">
        <f>Données_ATB!BS577</f>
        <v/>
      </c>
      <c r="Z578" s="42">
        <v>575</v>
      </c>
      <c r="AA578" t="e">
        <f t="shared" si="331"/>
        <v>#N/A</v>
      </c>
      <c r="AB578" s="63" t="e">
        <f t="shared" si="332"/>
        <v>#N/A</v>
      </c>
      <c r="BT578" s="194" t="e">
        <f t="shared" ca="1" si="315"/>
        <v>#N/A</v>
      </c>
      <c r="BU578" s="219" t="str">
        <f>IFERROR(IF(BX578=0,"",COUNTIF(BX$4:BX$600,"&gt;"&amp;BX578)+COUNTIF(BX$4:BX578,BX578)),"")</f>
        <v/>
      </c>
      <c r="BV578" s="42">
        <f t="shared" si="316"/>
        <v>0</v>
      </c>
      <c r="BW578" t="e">
        <f>IF(IF(CE$2="Catégorie",IF(CE$3="Toutes",SUMIFS('Étape 1 - à remplir'!$F$31:$F$400,'Étape 1 - à remplir'!$E$31:$E$400,MASQ2!BV578,'Étape 1 - à remplir'!$G$31:$G$400,"lots"),SUMIFS('Étape 1 - à remplir'!$F$31:$F$400,'Étape 1 - à remplir'!$E$31:$E$400,MASQ2!BV578,'Étape 1 - à remplir'!$C$31:$C$400,CE$3)),IF(CE$2="Âge",IF(CE$3="Tous",SUMIFS('Étape 1 - à remplir'!$F$31:$F$400,'Étape 1 - à remplir'!$E$31:$E$400,MASQ2!BV578,'Étape 1 - à remplir'!$G$31:$G$400,"lots"),SUMIFS('Étape 1 - à remplir'!$F$31:$F$400,'Étape 1 - à remplir'!$E$31:$E$400,MASQ2!BV578,'Étape 1 - à remplir'!$P$31:$P$400,CE$3,'Étape 1 - à remplir'!$G$31:$G$400,"lots")),IF(CE$2="Atelier",IF(CE$3="Tous",SUMIFS('Étape 1 - à remplir'!$F$31:$F$400,'Étape 1 - à remplir'!$E$31:$E$400,MASQ2!BV578,'Étape 1 - à remplir'!$G$31:$G$400,"lots"),SUMIFS('Étape 1 - à remplir'!$F$31:$F$400,'Étape 1 - à remplir'!$E$31:$E$400,MASQ2!BV578,'Étape 1 - à remplir'!$O$31:$O$400,CE$3,'Étape 1 - à remplir'!$G$31:$G$400,"lots")),IF(CE$2="Espèce",IF(CE$3="Toutes",SUMIFS('Étape 1 - à remplir'!$F$31:$F$400,'Étape 1 - à remplir'!$E$31:$E$400,MASQ2!BV578,'Étape 1 - à remplir'!$G$31:$G$400,"lots"),SUMIFS('Étape 1 - à remplir'!$F$31:$F$400,'Étape 1 - à remplir'!$E$31:$E$400,MASQ2!BV578,'Étape 1 - à remplir'!$N$31:$N$400,CE$3,'Étape 1 - à remplir'!$G$31:$G$400,"lots"))))))=0,NA(),IF(CE$2="Catégorie",IF(CE$3="Toutes",SUMIFS('Étape 1 - à remplir'!$F$31:$F$400,'Étape 1 - à remplir'!$E$31:$E$400,MASQ2!BV578,'Étape 1 - à remplir'!$G$31:$G$400,"lots"),SUMIFS('Étape 1 - à remplir'!$F$31:$F$400,'Étape 1 - à remplir'!$E$31:$E$400,MASQ2!BV578,'Étape 1 - à remplir'!$C$31:$C$400,CE$3)),IF(CE$2="Âge",IF(CE$3="Tous",SUMIFS('Étape 1 - à remplir'!$F$31:$F$400,'Étape 1 - à remplir'!$E$31:$E$400,MASQ2!BV578,'Étape 1 - à remplir'!$G$31:$G$400,"lots"),SUMIFS('Étape 1 - à remplir'!$F$31:$F$400,'Étape 1 - à remplir'!$E$31:$E$400,MASQ2!BV578,'Étape 1 - à remplir'!$P$31:$P$400,CE$3,'Étape 1 - à remplir'!$G$31:$G$400,"lots")),IF(CE$2="Atelier",IF(CE$3="Tous",SUMIFS('Étape 1 - à remplir'!$F$31:$F$400,'Étape 1 - à remplir'!$E$31:$E$400,MASQ2!BV578,'Étape 1 - à remplir'!$G$31:$G$400,"lots"),SUMIFS('Étape 1 - à remplir'!$F$31:$F$400,'Étape 1 - à remplir'!$E$31:$E$400,MASQ2!BV578,'Étape 1 - à remplir'!$O$31:$O$400,CE$3,'Étape 1 - à remplir'!$G$31:$G$400,"lots")),IF(CE$2="Espèce",IF(CE$3="Toutes",SUMIFS('Étape 1 - à remplir'!$F$31:$F$400,'Étape 1 - à remplir'!$E$31:$E$400,MASQ2!BV578,'Étape 1 - à remplir'!$G$31:$G$400,"lots"),SUMIFS('Étape 1 - à remplir'!$F$31:$F$400,'Étape 1 - à remplir'!$E$31:$E$400,MASQ2!BV578,'Étape 1 - à remplir'!$N$31:$N$400,CE$3,'Étape 1 - à remplir'!$G$31:$G$400,"lots")))))))</f>
        <v>#N/A</v>
      </c>
      <c r="BX578">
        <f t="shared" si="333"/>
        <v>0</v>
      </c>
      <c r="BY578" t="str">
        <f t="shared" si="317"/>
        <v/>
      </c>
      <c r="BZ578" t="str">
        <f t="shared" si="318"/>
        <v/>
      </c>
      <c r="CA578" t="str">
        <f t="shared" si="319"/>
        <v/>
      </c>
      <c r="CB578" t="str">
        <f t="shared" si="320"/>
        <v/>
      </c>
      <c r="CC578" t="str">
        <f t="shared" si="321"/>
        <v/>
      </c>
      <c r="CD578" s="63" t="str">
        <f t="shared" si="322"/>
        <v/>
      </c>
      <c r="CG578" s="42">
        <v>575</v>
      </c>
      <c r="CH578" s="42" t="e">
        <f t="shared" si="338"/>
        <v>#N/A</v>
      </c>
      <c r="CI578" s="63" t="e">
        <f t="shared" si="339"/>
        <v>#N/A</v>
      </c>
      <c r="EA578" s="194" t="e">
        <f t="shared" ca="1" si="323"/>
        <v>#N/A</v>
      </c>
      <c r="EB578" s="226" t="str">
        <f>IFERROR(IF(ED578=0,"",COUNTIF(ED$4:ED$600,"&gt;"&amp;ED578)+COUNTIF(ED$4:ED578,ED578)),"")</f>
        <v/>
      </c>
      <c r="EC578">
        <f t="shared" si="324"/>
        <v>0</v>
      </c>
      <c r="ED578" t="e">
        <f>IF(IF(EL$2="Catégorie",IF(EL$3="Toutes",SUMIFS('Étape 1 - à remplir'!$F$31:$F$400,'Étape 1 - à remplir'!$E$31:$E$400,MASQ2!EC578,'Étape 1 - à remplir'!$G$31:$G$400,"kg"),SUMIFS('Étape 1 - à remplir'!$F$31:$F$400,'Étape 1 - à remplir'!$E$31:$E$400,MASQ2!EC578,'Étape 1 - à remplir'!$C$31:$C$400,EL$3)),IF(EL$2="Âge",IF(EL$3="Tous",SUMIFS('Étape 1 - à remplir'!$F$31:$F$400,'Étape 1 - à remplir'!$E$31:$E$400,MASQ2!EC578,'Étape 1 - à remplir'!$G$31:$G$400,"kg"),SUMIFS('Étape 1 - à remplir'!$F$31:$F$400,'Étape 1 - à remplir'!$E$31:$E$400,MASQ2!EC578,'Étape 1 - à remplir'!$P$31:$P$400,EL$3,'Étape 1 - à remplir'!$G$31:$G$400,"kg")),IF(EL$2="Atelier",IF(EL$3="Tous",SUMIFS('Étape 1 - à remplir'!$F$31:$F$400,'Étape 1 - à remplir'!$E$31:$E$400,MASQ2!EC578,'Étape 1 - à remplir'!$G$31:$G$400,"kg"),SUMIFS('Étape 1 - à remplir'!$F$31:$F$400,'Étape 1 - à remplir'!$E$31:$E$400,MASQ2!EC578,'Étape 1 - à remplir'!$O$31:$O$400,EL$3,'Étape 1 - à remplir'!$G$31:$G$400,"kg")),IF(EL$2="Espèce",IF(EL$3="Toutes",SUMIFS('Étape 1 - à remplir'!$F$31:$F$400,'Étape 1 - à remplir'!$E$31:$E$400,MASQ2!EC578,'Étape 1 - à remplir'!$G$31:$G$400,"kg"),SUMIFS('Étape 1 - à remplir'!$F$31:$F$400,'Étape 1 - à remplir'!$E$31:$E$400,MASQ2!EC578,'Étape 1 - à remplir'!$N$31:$N$400,EL$3,'Étape 1 - à remplir'!$G$31:$G$400,"kg"))))))=0,NA(),IF(EL$2="Catégorie",IF(EL$3="Toutes",SUMIFS('Étape 1 - à remplir'!$F$31:$F$400,'Étape 1 - à remplir'!$E$31:$E$400,MASQ2!EC578,'Étape 1 - à remplir'!$G$31:$G$400,"kg"),SUMIFS('Étape 1 - à remplir'!$F$31:$F$400,'Étape 1 - à remplir'!$E$31:$E$400,MASQ2!EC578,'Étape 1 - à remplir'!$C$31:$C$400,EL$3)),IF(EL$2="Âge",IF(EL$3="Tous",SUMIFS('Étape 1 - à remplir'!$F$31:$F$400,'Étape 1 - à remplir'!$E$31:$E$400,MASQ2!EC578,'Étape 1 - à remplir'!$G$31:$G$400,"kg"),SUMIFS('Étape 1 - à remplir'!$F$31:$F$400,'Étape 1 - à remplir'!$E$31:$E$400,MASQ2!EC578,'Étape 1 - à remplir'!$P$31:$P$400,EL$3,'Étape 1 - à remplir'!$G$31:$G$400,"kg")),IF(EL$2="Atelier",IF(EL$3="Tous",SUMIFS('Étape 1 - à remplir'!$F$31:$F$400,'Étape 1 - à remplir'!$E$31:$E$400,MASQ2!EC578,'Étape 1 - à remplir'!$G$31:$G$400,"kg"),SUMIFS('Étape 1 - à remplir'!$F$31:$F$400,'Étape 1 - à remplir'!$E$31:$E$400,MASQ2!EC578,'Étape 1 - à remplir'!$O$31:$O$400,EL$3,'Étape 1 - à remplir'!$G$31:$G$400,"kg")),IF(EL$2="Espèce",IF(EL$3="Toutes",SUMIFS('Étape 1 - à remplir'!$F$31:$F$400,'Étape 1 - à remplir'!$E$31:$E$400,MASQ2!EC578,'Étape 1 - à remplir'!$G$31:$G$400,"kg"),SUMIFS('Étape 1 - à remplir'!$F$31:$F$400,'Étape 1 - à remplir'!$E$31:$E$400,MASQ2!EC578,'Étape 1 - à remplir'!$N$31:$N$400,EL$3,'Étape 1 - à remplir'!$G$31:$G$400,"kg")))))))</f>
        <v>#N/A</v>
      </c>
      <c r="EE578" s="76">
        <f t="shared" si="334"/>
        <v>0</v>
      </c>
      <c r="EF578" t="str">
        <f t="shared" si="325"/>
        <v/>
      </c>
      <c r="EG578" t="str">
        <f t="shared" si="326"/>
        <v/>
      </c>
      <c r="EH578" t="str">
        <f t="shared" si="327"/>
        <v/>
      </c>
      <c r="EI578" t="str">
        <f t="shared" si="328"/>
        <v/>
      </c>
      <c r="EJ578" t="str">
        <f t="shared" si="329"/>
        <v/>
      </c>
      <c r="EK578" s="63" t="str">
        <f t="shared" si="330"/>
        <v/>
      </c>
      <c r="EN578" s="42">
        <v>575</v>
      </c>
      <c r="EO578" t="e">
        <f t="shared" si="336"/>
        <v>#N/A</v>
      </c>
      <c r="EP578" s="63" t="e">
        <f t="shared" si="337"/>
        <v>#N/A</v>
      </c>
    </row>
    <row r="579" spans="13:146" x14ac:dyDescent="0.3">
      <c r="M579" s="194" t="e">
        <f ca="1">INDEX(Données_ATB!BD:BU,MATCH(MASQ2!O579,Données_ATB!BD:BD,0),18)</f>
        <v>#N/A</v>
      </c>
      <c r="N579" s="14" t="str">
        <f>IFERROR(IF(Q579=0,"",COUNTIF(Q$4:Q$600,"&gt;"&amp;Q579)+COUNTIF(Q$4:Q579,Q579)),"")</f>
        <v/>
      </c>
      <c r="O579">
        <f>Données_ATB!BD578</f>
        <v>0</v>
      </c>
      <c r="P579" t="e">
        <f>IF(IF(X$2="Catégorie",IF(X$3="Toutes",SUMIFS('Étape 1 - à remplir'!$F$31:$F$400,'Étape 1 - à remplir'!$E$31:$E$400,MASQ2!O579,'Étape 1 - à remplir'!$G$31:$G$400,"animaux"),SUMIFS('Étape 1 - à remplir'!$F$31:$F$400,'Étape 1 - à remplir'!$E$31:$E$400,MASQ2!O579,'Étape 1 - à remplir'!$C$31:$C$400,X$3)),IF(X$2="Âge",IF(X$3="Tous",SUMIFS('Étape 1 - à remplir'!$F$31:$F$400,'Étape 1 - à remplir'!$E$31:$E$400,MASQ2!O579,'Étape 1 - à remplir'!$G$31:$G$400,"animaux"),SUMIFS('Étape 1 - à remplir'!$F$31:$F$400,'Étape 1 - à remplir'!$E$31:$E$400,MASQ2!O579,'Étape 1 - à remplir'!$P$31:$P$400,X$3)),IF(X$2="Atelier",IF(X$3="Tous",SUMIFS('Étape 1 - à remplir'!$F$31:$F$400,'Étape 1 - à remplir'!$E$31:$E$400,MASQ2!O579,'Étape 1 - à remplir'!$G$31:$G$400,"animaux"),SUMIFS('Étape 1 - à remplir'!$F$31:$F$400,'Étape 1 - à remplir'!$E$31:$E$400,MASQ2!O579,'Étape 1 - à remplir'!$O$31:$O$400,X$3)),IF(X$2="Espèce",IF(X$3="Toutes",SUMIFS('Étape 1 - à remplir'!$F$31:$F$400,'Étape 1 - à remplir'!$E$31:$E$400,MASQ2!O579,'Étape 1 - à remplir'!$G$31:$G$400,"animaux"),SUMIFS('Étape 1 - à remplir'!$F$31:$F$400,'Étape 1 - à remplir'!$E$31:$E$400,MASQ2!O579,'Étape 1 - à remplir'!$N$31:$N$400,X$3))))))=0,NA(),IF(X$2="Catégorie",IF(X$3="Toutes",SUMIFS('Étape 1 - à remplir'!$F$31:$F$400,'Étape 1 - à remplir'!$E$31:$E$400,MASQ2!O579,'Étape 1 - à remplir'!$G$31:$G$400,"animaux"),SUMIFS('Étape 1 - à remplir'!$F$31:$F$400,'Étape 1 - à remplir'!$E$31:$E$400,MASQ2!O579,'Étape 1 - à remplir'!$C$31:$C$400,X$3)),IF(X$2="Âge",IF(X$3="Tous",SUMIFS('Étape 1 - à remplir'!$F$31:$F$400,'Étape 1 - à remplir'!$E$31:$E$400,MASQ2!O579,'Étape 1 - à remplir'!$G$31:$G$400,"animaux"),SUMIFS('Étape 1 - à remplir'!$F$31:$F$400,'Étape 1 - à remplir'!$E$31:$E$400,MASQ2!O579,'Étape 1 - à remplir'!$P$31:$P$400,X$3)),IF(X$2="Atelier",IF(X$3="Tous",SUMIFS('Étape 1 - à remplir'!$F$31:$F$400,'Étape 1 - à remplir'!$E$31:$E$400,MASQ2!O579,'Étape 1 - à remplir'!$G$31:$G$400,"animaux"),SUMIFS('Étape 1 - à remplir'!$F$31:$F$400,'Étape 1 - à remplir'!$E$31:$E$400,MASQ2!O579,'Étape 1 - à remplir'!$O$31:$O$400,X$3)),IF(X$2="Espèce",IF(X$3="Toutes",SUMIFS('Étape 1 - à remplir'!$F$31:$F$400,'Étape 1 - à remplir'!$E$31:$E$400,MASQ2!O579,'Étape 1 - à remplir'!$G$31:$G$400,"animaux"),SUMIFS('Étape 1 - à remplir'!$F$31:$F$400,'Étape 1 - à remplir'!$E$31:$E$400,MASQ2!O579,'Étape 1 - à remplir'!$N$31:$N$400,X$3)))))))</f>
        <v>#N/A</v>
      </c>
      <c r="Q579" s="63">
        <f t="shared" si="335"/>
        <v>0</v>
      </c>
      <c r="R579" t="str">
        <f>Données_ATB!BM578</f>
        <v/>
      </c>
      <c r="S579" t="str">
        <f>Données_ATB!BN578</f>
        <v/>
      </c>
      <c r="T579" s="63" t="str">
        <f>Données_ATB!BO578</f>
        <v/>
      </c>
      <c r="U579" s="42" t="str">
        <f>Données_ATB!BQ578</f>
        <v/>
      </c>
      <c r="V579" t="str">
        <f>Données_ATB!BR578</f>
        <v/>
      </c>
      <c r="W579" s="63" t="str">
        <f>Données_ATB!BS578</f>
        <v/>
      </c>
      <c r="Z579" s="42">
        <v>576</v>
      </c>
      <c r="AA579" t="e">
        <f t="shared" si="331"/>
        <v>#N/A</v>
      </c>
      <c r="AB579" s="63" t="e">
        <f t="shared" si="332"/>
        <v>#N/A</v>
      </c>
      <c r="BT579" s="194" t="e">
        <f t="shared" ca="1" si="315"/>
        <v>#N/A</v>
      </c>
      <c r="BU579" s="219" t="str">
        <f>IFERROR(IF(BX579=0,"",COUNTIF(BX$4:BX$600,"&gt;"&amp;BX579)+COUNTIF(BX$4:BX579,BX579)),"")</f>
        <v/>
      </c>
      <c r="BV579" s="42">
        <f t="shared" si="316"/>
        <v>0</v>
      </c>
      <c r="BW579" t="e">
        <f>IF(IF(CE$2="Catégorie",IF(CE$3="Toutes",SUMIFS('Étape 1 - à remplir'!$F$31:$F$400,'Étape 1 - à remplir'!$E$31:$E$400,MASQ2!BV579,'Étape 1 - à remplir'!$G$31:$G$400,"lots"),SUMIFS('Étape 1 - à remplir'!$F$31:$F$400,'Étape 1 - à remplir'!$E$31:$E$400,MASQ2!BV579,'Étape 1 - à remplir'!$C$31:$C$400,CE$3)),IF(CE$2="Âge",IF(CE$3="Tous",SUMIFS('Étape 1 - à remplir'!$F$31:$F$400,'Étape 1 - à remplir'!$E$31:$E$400,MASQ2!BV579,'Étape 1 - à remplir'!$G$31:$G$400,"lots"),SUMIFS('Étape 1 - à remplir'!$F$31:$F$400,'Étape 1 - à remplir'!$E$31:$E$400,MASQ2!BV579,'Étape 1 - à remplir'!$P$31:$P$400,CE$3,'Étape 1 - à remplir'!$G$31:$G$400,"lots")),IF(CE$2="Atelier",IF(CE$3="Tous",SUMIFS('Étape 1 - à remplir'!$F$31:$F$400,'Étape 1 - à remplir'!$E$31:$E$400,MASQ2!BV579,'Étape 1 - à remplir'!$G$31:$G$400,"lots"),SUMIFS('Étape 1 - à remplir'!$F$31:$F$400,'Étape 1 - à remplir'!$E$31:$E$400,MASQ2!BV579,'Étape 1 - à remplir'!$O$31:$O$400,CE$3,'Étape 1 - à remplir'!$G$31:$G$400,"lots")),IF(CE$2="Espèce",IF(CE$3="Toutes",SUMIFS('Étape 1 - à remplir'!$F$31:$F$400,'Étape 1 - à remplir'!$E$31:$E$400,MASQ2!BV579,'Étape 1 - à remplir'!$G$31:$G$400,"lots"),SUMIFS('Étape 1 - à remplir'!$F$31:$F$400,'Étape 1 - à remplir'!$E$31:$E$400,MASQ2!BV579,'Étape 1 - à remplir'!$N$31:$N$400,CE$3,'Étape 1 - à remplir'!$G$31:$G$400,"lots"))))))=0,NA(),IF(CE$2="Catégorie",IF(CE$3="Toutes",SUMIFS('Étape 1 - à remplir'!$F$31:$F$400,'Étape 1 - à remplir'!$E$31:$E$400,MASQ2!BV579,'Étape 1 - à remplir'!$G$31:$G$400,"lots"),SUMIFS('Étape 1 - à remplir'!$F$31:$F$400,'Étape 1 - à remplir'!$E$31:$E$400,MASQ2!BV579,'Étape 1 - à remplir'!$C$31:$C$400,CE$3)),IF(CE$2="Âge",IF(CE$3="Tous",SUMIFS('Étape 1 - à remplir'!$F$31:$F$400,'Étape 1 - à remplir'!$E$31:$E$400,MASQ2!BV579,'Étape 1 - à remplir'!$G$31:$G$400,"lots"),SUMIFS('Étape 1 - à remplir'!$F$31:$F$400,'Étape 1 - à remplir'!$E$31:$E$400,MASQ2!BV579,'Étape 1 - à remplir'!$P$31:$P$400,CE$3,'Étape 1 - à remplir'!$G$31:$G$400,"lots")),IF(CE$2="Atelier",IF(CE$3="Tous",SUMIFS('Étape 1 - à remplir'!$F$31:$F$400,'Étape 1 - à remplir'!$E$31:$E$400,MASQ2!BV579,'Étape 1 - à remplir'!$G$31:$G$400,"lots"),SUMIFS('Étape 1 - à remplir'!$F$31:$F$400,'Étape 1 - à remplir'!$E$31:$E$400,MASQ2!BV579,'Étape 1 - à remplir'!$O$31:$O$400,CE$3,'Étape 1 - à remplir'!$G$31:$G$400,"lots")),IF(CE$2="Espèce",IF(CE$3="Toutes",SUMIFS('Étape 1 - à remplir'!$F$31:$F$400,'Étape 1 - à remplir'!$E$31:$E$400,MASQ2!BV579,'Étape 1 - à remplir'!$G$31:$G$400,"lots"),SUMIFS('Étape 1 - à remplir'!$F$31:$F$400,'Étape 1 - à remplir'!$E$31:$E$400,MASQ2!BV579,'Étape 1 - à remplir'!$N$31:$N$400,CE$3,'Étape 1 - à remplir'!$G$31:$G$400,"lots")))))))</f>
        <v>#N/A</v>
      </c>
      <c r="BX579">
        <f t="shared" si="333"/>
        <v>0</v>
      </c>
      <c r="BY579" t="str">
        <f t="shared" si="317"/>
        <v/>
      </c>
      <c r="BZ579" t="str">
        <f t="shared" si="318"/>
        <v/>
      </c>
      <c r="CA579" t="str">
        <f t="shared" si="319"/>
        <v/>
      </c>
      <c r="CB579" t="str">
        <f t="shared" si="320"/>
        <v/>
      </c>
      <c r="CC579" t="str">
        <f t="shared" si="321"/>
        <v/>
      </c>
      <c r="CD579" s="63" t="str">
        <f t="shared" si="322"/>
        <v/>
      </c>
      <c r="CG579" s="42">
        <v>576</v>
      </c>
      <c r="CH579" s="42" t="e">
        <f t="shared" si="338"/>
        <v>#N/A</v>
      </c>
      <c r="CI579" s="63" t="e">
        <f t="shared" si="339"/>
        <v>#N/A</v>
      </c>
      <c r="EA579" s="194" t="e">
        <f t="shared" ca="1" si="323"/>
        <v>#N/A</v>
      </c>
      <c r="EB579" s="226" t="str">
        <f>IFERROR(IF(ED579=0,"",COUNTIF(ED$4:ED$600,"&gt;"&amp;ED579)+COUNTIF(ED$4:ED579,ED579)),"")</f>
        <v/>
      </c>
      <c r="EC579">
        <f t="shared" si="324"/>
        <v>0</v>
      </c>
      <c r="ED579" t="e">
        <f>IF(IF(EL$2="Catégorie",IF(EL$3="Toutes",SUMIFS('Étape 1 - à remplir'!$F$31:$F$400,'Étape 1 - à remplir'!$E$31:$E$400,MASQ2!EC579,'Étape 1 - à remplir'!$G$31:$G$400,"kg"),SUMIFS('Étape 1 - à remplir'!$F$31:$F$400,'Étape 1 - à remplir'!$E$31:$E$400,MASQ2!EC579,'Étape 1 - à remplir'!$C$31:$C$400,EL$3)),IF(EL$2="Âge",IF(EL$3="Tous",SUMIFS('Étape 1 - à remplir'!$F$31:$F$400,'Étape 1 - à remplir'!$E$31:$E$400,MASQ2!EC579,'Étape 1 - à remplir'!$G$31:$G$400,"kg"),SUMIFS('Étape 1 - à remplir'!$F$31:$F$400,'Étape 1 - à remplir'!$E$31:$E$400,MASQ2!EC579,'Étape 1 - à remplir'!$P$31:$P$400,EL$3,'Étape 1 - à remplir'!$G$31:$G$400,"kg")),IF(EL$2="Atelier",IF(EL$3="Tous",SUMIFS('Étape 1 - à remplir'!$F$31:$F$400,'Étape 1 - à remplir'!$E$31:$E$400,MASQ2!EC579,'Étape 1 - à remplir'!$G$31:$G$400,"kg"),SUMIFS('Étape 1 - à remplir'!$F$31:$F$400,'Étape 1 - à remplir'!$E$31:$E$400,MASQ2!EC579,'Étape 1 - à remplir'!$O$31:$O$400,EL$3,'Étape 1 - à remplir'!$G$31:$G$400,"kg")),IF(EL$2="Espèce",IF(EL$3="Toutes",SUMIFS('Étape 1 - à remplir'!$F$31:$F$400,'Étape 1 - à remplir'!$E$31:$E$400,MASQ2!EC579,'Étape 1 - à remplir'!$G$31:$G$400,"kg"),SUMIFS('Étape 1 - à remplir'!$F$31:$F$400,'Étape 1 - à remplir'!$E$31:$E$400,MASQ2!EC579,'Étape 1 - à remplir'!$N$31:$N$400,EL$3,'Étape 1 - à remplir'!$G$31:$G$400,"kg"))))))=0,NA(),IF(EL$2="Catégorie",IF(EL$3="Toutes",SUMIFS('Étape 1 - à remplir'!$F$31:$F$400,'Étape 1 - à remplir'!$E$31:$E$400,MASQ2!EC579,'Étape 1 - à remplir'!$G$31:$G$400,"kg"),SUMIFS('Étape 1 - à remplir'!$F$31:$F$400,'Étape 1 - à remplir'!$E$31:$E$400,MASQ2!EC579,'Étape 1 - à remplir'!$C$31:$C$400,EL$3)),IF(EL$2="Âge",IF(EL$3="Tous",SUMIFS('Étape 1 - à remplir'!$F$31:$F$400,'Étape 1 - à remplir'!$E$31:$E$400,MASQ2!EC579,'Étape 1 - à remplir'!$G$31:$G$400,"kg"),SUMIFS('Étape 1 - à remplir'!$F$31:$F$400,'Étape 1 - à remplir'!$E$31:$E$400,MASQ2!EC579,'Étape 1 - à remplir'!$P$31:$P$400,EL$3,'Étape 1 - à remplir'!$G$31:$G$400,"kg")),IF(EL$2="Atelier",IF(EL$3="Tous",SUMIFS('Étape 1 - à remplir'!$F$31:$F$400,'Étape 1 - à remplir'!$E$31:$E$400,MASQ2!EC579,'Étape 1 - à remplir'!$G$31:$G$400,"kg"),SUMIFS('Étape 1 - à remplir'!$F$31:$F$400,'Étape 1 - à remplir'!$E$31:$E$400,MASQ2!EC579,'Étape 1 - à remplir'!$O$31:$O$400,EL$3,'Étape 1 - à remplir'!$G$31:$G$400,"kg")),IF(EL$2="Espèce",IF(EL$3="Toutes",SUMIFS('Étape 1 - à remplir'!$F$31:$F$400,'Étape 1 - à remplir'!$E$31:$E$400,MASQ2!EC579,'Étape 1 - à remplir'!$G$31:$G$400,"kg"),SUMIFS('Étape 1 - à remplir'!$F$31:$F$400,'Étape 1 - à remplir'!$E$31:$E$400,MASQ2!EC579,'Étape 1 - à remplir'!$N$31:$N$400,EL$3,'Étape 1 - à remplir'!$G$31:$G$400,"kg")))))))</f>
        <v>#N/A</v>
      </c>
      <c r="EE579" s="76">
        <f t="shared" si="334"/>
        <v>0</v>
      </c>
      <c r="EF579" t="str">
        <f t="shared" si="325"/>
        <v/>
      </c>
      <c r="EG579" t="str">
        <f t="shared" si="326"/>
        <v/>
      </c>
      <c r="EH579" t="str">
        <f t="shared" si="327"/>
        <v/>
      </c>
      <c r="EI579" t="str">
        <f t="shared" si="328"/>
        <v/>
      </c>
      <c r="EJ579" t="str">
        <f t="shared" si="329"/>
        <v/>
      </c>
      <c r="EK579" s="63" t="str">
        <f t="shared" si="330"/>
        <v/>
      </c>
      <c r="EN579" s="42">
        <v>576</v>
      </c>
      <c r="EO579" t="e">
        <f t="shared" si="336"/>
        <v>#N/A</v>
      </c>
      <c r="EP579" s="63" t="e">
        <f t="shared" si="337"/>
        <v>#N/A</v>
      </c>
    </row>
    <row r="580" spans="13:146" x14ac:dyDescent="0.3">
      <c r="M580" s="194" t="e">
        <f ca="1">INDEX(Données_ATB!BD:BU,MATCH(MASQ2!O580,Données_ATB!BD:BD,0),18)</f>
        <v>#N/A</v>
      </c>
      <c r="N580" s="14" t="str">
        <f>IFERROR(IF(Q580=0,"",COUNTIF(Q$4:Q$600,"&gt;"&amp;Q580)+COUNTIF(Q$4:Q580,Q580)),"")</f>
        <v/>
      </c>
      <c r="O580">
        <f>Données_ATB!BD579</f>
        <v>0</v>
      </c>
      <c r="P580" t="e">
        <f>IF(IF(X$2="Catégorie",IF(X$3="Toutes",SUMIFS('Étape 1 - à remplir'!$F$31:$F$400,'Étape 1 - à remplir'!$E$31:$E$400,MASQ2!O580,'Étape 1 - à remplir'!$G$31:$G$400,"animaux"),SUMIFS('Étape 1 - à remplir'!$F$31:$F$400,'Étape 1 - à remplir'!$E$31:$E$400,MASQ2!O580,'Étape 1 - à remplir'!$C$31:$C$400,X$3)),IF(X$2="Âge",IF(X$3="Tous",SUMIFS('Étape 1 - à remplir'!$F$31:$F$400,'Étape 1 - à remplir'!$E$31:$E$400,MASQ2!O580,'Étape 1 - à remplir'!$G$31:$G$400,"animaux"),SUMIFS('Étape 1 - à remplir'!$F$31:$F$400,'Étape 1 - à remplir'!$E$31:$E$400,MASQ2!O580,'Étape 1 - à remplir'!$P$31:$P$400,X$3)),IF(X$2="Atelier",IF(X$3="Tous",SUMIFS('Étape 1 - à remplir'!$F$31:$F$400,'Étape 1 - à remplir'!$E$31:$E$400,MASQ2!O580,'Étape 1 - à remplir'!$G$31:$G$400,"animaux"),SUMIFS('Étape 1 - à remplir'!$F$31:$F$400,'Étape 1 - à remplir'!$E$31:$E$400,MASQ2!O580,'Étape 1 - à remplir'!$O$31:$O$400,X$3)),IF(X$2="Espèce",IF(X$3="Toutes",SUMIFS('Étape 1 - à remplir'!$F$31:$F$400,'Étape 1 - à remplir'!$E$31:$E$400,MASQ2!O580,'Étape 1 - à remplir'!$G$31:$G$400,"animaux"),SUMIFS('Étape 1 - à remplir'!$F$31:$F$400,'Étape 1 - à remplir'!$E$31:$E$400,MASQ2!O580,'Étape 1 - à remplir'!$N$31:$N$400,X$3))))))=0,NA(),IF(X$2="Catégorie",IF(X$3="Toutes",SUMIFS('Étape 1 - à remplir'!$F$31:$F$400,'Étape 1 - à remplir'!$E$31:$E$400,MASQ2!O580,'Étape 1 - à remplir'!$G$31:$G$400,"animaux"),SUMIFS('Étape 1 - à remplir'!$F$31:$F$400,'Étape 1 - à remplir'!$E$31:$E$400,MASQ2!O580,'Étape 1 - à remplir'!$C$31:$C$400,X$3)),IF(X$2="Âge",IF(X$3="Tous",SUMIFS('Étape 1 - à remplir'!$F$31:$F$400,'Étape 1 - à remplir'!$E$31:$E$400,MASQ2!O580,'Étape 1 - à remplir'!$G$31:$G$400,"animaux"),SUMIFS('Étape 1 - à remplir'!$F$31:$F$400,'Étape 1 - à remplir'!$E$31:$E$400,MASQ2!O580,'Étape 1 - à remplir'!$P$31:$P$400,X$3)),IF(X$2="Atelier",IF(X$3="Tous",SUMIFS('Étape 1 - à remplir'!$F$31:$F$400,'Étape 1 - à remplir'!$E$31:$E$400,MASQ2!O580,'Étape 1 - à remplir'!$G$31:$G$400,"animaux"),SUMIFS('Étape 1 - à remplir'!$F$31:$F$400,'Étape 1 - à remplir'!$E$31:$E$400,MASQ2!O580,'Étape 1 - à remplir'!$O$31:$O$400,X$3)),IF(X$2="Espèce",IF(X$3="Toutes",SUMIFS('Étape 1 - à remplir'!$F$31:$F$400,'Étape 1 - à remplir'!$E$31:$E$400,MASQ2!O580,'Étape 1 - à remplir'!$G$31:$G$400,"animaux"),SUMIFS('Étape 1 - à remplir'!$F$31:$F$400,'Étape 1 - à remplir'!$E$31:$E$400,MASQ2!O580,'Étape 1 - à remplir'!$N$31:$N$400,X$3)))))))</f>
        <v>#N/A</v>
      </c>
      <c r="Q580" s="63">
        <f t="shared" si="335"/>
        <v>0</v>
      </c>
      <c r="R580" t="str">
        <f>Données_ATB!BM579</f>
        <v/>
      </c>
      <c r="S580" t="str">
        <f>Données_ATB!BN579</f>
        <v/>
      </c>
      <c r="T580" s="63" t="str">
        <f>Données_ATB!BO579</f>
        <v/>
      </c>
      <c r="U580" s="42" t="str">
        <f>Données_ATB!BQ579</f>
        <v/>
      </c>
      <c r="V580" t="str">
        <f>Données_ATB!BR579</f>
        <v/>
      </c>
      <c r="W580" s="63" t="str">
        <f>Données_ATB!BS579</f>
        <v/>
      </c>
      <c r="Z580" s="42">
        <v>577</v>
      </c>
      <c r="AA580" t="e">
        <f t="shared" si="331"/>
        <v>#N/A</v>
      </c>
      <c r="AB580" s="63" t="e">
        <f t="shared" si="332"/>
        <v>#N/A</v>
      </c>
      <c r="BT580" s="194" t="e">
        <f t="shared" ref="BT580:BT600" ca="1" si="340">M580</f>
        <v>#N/A</v>
      </c>
      <c r="BU580" s="219" t="str">
        <f>IFERROR(IF(BX580=0,"",COUNTIF(BX$4:BX$600,"&gt;"&amp;BX580)+COUNTIF(BX$4:BX580,BX580)),"")</f>
        <v/>
      </c>
      <c r="BV580" s="42">
        <f t="shared" ref="BV580:BV600" si="341">O580</f>
        <v>0</v>
      </c>
      <c r="BW580" t="e">
        <f>IF(IF(CE$2="Catégorie",IF(CE$3="Toutes",SUMIFS('Étape 1 - à remplir'!$F$31:$F$400,'Étape 1 - à remplir'!$E$31:$E$400,MASQ2!BV580,'Étape 1 - à remplir'!$G$31:$G$400,"lots"),SUMIFS('Étape 1 - à remplir'!$F$31:$F$400,'Étape 1 - à remplir'!$E$31:$E$400,MASQ2!BV580,'Étape 1 - à remplir'!$C$31:$C$400,CE$3)),IF(CE$2="Âge",IF(CE$3="Tous",SUMIFS('Étape 1 - à remplir'!$F$31:$F$400,'Étape 1 - à remplir'!$E$31:$E$400,MASQ2!BV580,'Étape 1 - à remplir'!$G$31:$G$400,"lots"),SUMIFS('Étape 1 - à remplir'!$F$31:$F$400,'Étape 1 - à remplir'!$E$31:$E$400,MASQ2!BV580,'Étape 1 - à remplir'!$P$31:$P$400,CE$3,'Étape 1 - à remplir'!$G$31:$G$400,"lots")),IF(CE$2="Atelier",IF(CE$3="Tous",SUMIFS('Étape 1 - à remplir'!$F$31:$F$400,'Étape 1 - à remplir'!$E$31:$E$400,MASQ2!BV580,'Étape 1 - à remplir'!$G$31:$G$400,"lots"),SUMIFS('Étape 1 - à remplir'!$F$31:$F$400,'Étape 1 - à remplir'!$E$31:$E$400,MASQ2!BV580,'Étape 1 - à remplir'!$O$31:$O$400,CE$3,'Étape 1 - à remplir'!$G$31:$G$400,"lots")),IF(CE$2="Espèce",IF(CE$3="Toutes",SUMIFS('Étape 1 - à remplir'!$F$31:$F$400,'Étape 1 - à remplir'!$E$31:$E$400,MASQ2!BV580,'Étape 1 - à remplir'!$G$31:$G$400,"lots"),SUMIFS('Étape 1 - à remplir'!$F$31:$F$400,'Étape 1 - à remplir'!$E$31:$E$400,MASQ2!BV580,'Étape 1 - à remplir'!$N$31:$N$400,CE$3,'Étape 1 - à remplir'!$G$31:$G$400,"lots"))))))=0,NA(),IF(CE$2="Catégorie",IF(CE$3="Toutes",SUMIFS('Étape 1 - à remplir'!$F$31:$F$400,'Étape 1 - à remplir'!$E$31:$E$400,MASQ2!BV580,'Étape 1 - à remplir'!$G$31:$G$400,"lots"),SUMIFS('Étape 1 - à remplir'!$F$31:$F$400,'Étape 1 - à remplir'!$E$31:$E$400,MASQ2!BV580,'Étape 1 - à remplir'!$C$31:$C$400,CE$3)),IF(CE$2="Âge",IF(CE$3="Tous",SUMIFS('Étape 1 - à remplir'!$F$31:$F$400,'Étape 1 - à remplir'!$E$31:$E$400,MASQ2!BV580,'Étape 1 - à remplir'!$G$31:$G$400,"lots"),SUMIFS('Étape 1 - à remplir'!$F$31:$F$400,'Étape 1 - à remplir'!$E$31:$E$400,MASQ2!BV580,'Étape 1 - à remplir'!$P$31:$P$400,CE$3,'Étape 1 - à remplir'!$G$31:$G$400,"lots")),IF(CE$2="Atelier",IF(CE$3="Tous",SUMIFS('Étape 1 - à remplir'!$F$31:$F$400,'Étape 1 - à remplir'!$E$31:$E$400,MASQ2!BV580,'Étape 1 - à remplir'!$G$31:$G$400,"lots"),SUMIFS('Étape 1 - à remplir'!$F$31:$F$400,'Étape 1 - à remplir'!$E$31:$E$400,MASQ2!BV580,'Étape 1 - à remplir'!$O$31:$O$400,CE$3,'Étape 1 - à remplir'!$G$31:$G$400,"lots")),IF(CE$2="Espèce",IF(CE$3="Toutes",SUMIFS('Étape 1 - à remplir'!$F$31:$F$400,'Étape 1 - à remplir'!$E$31:$E$400,MASQ2!BV580,'Étape 1 - à remplir'!$G$31:$G$400,"lots"),SUMIFS('Étape 1 - à remplir'!$F$31:$F$400,'Étape 1 - à remplir'!$E$31:$E$400,MASQ2!BV580,'Étape 1 - à remplir'!$N$31:$N$400,CE$3,'Étape 1 - à remplir'!$G$31:$G$400,"lots")))))))</f>
        <v>#N/A</v>
      </c>
      <c r="BX580">
        <f t="shared" si="333"/>
        <v>0</v>
      </c>
      <c r="BY580" t="str">
        <f t="shared" ref="BY580:BY600" si="342">R580</f>
        <v/>
      </c>
      <c r="BZ580" t="str">
        <f t="shared" ref="BZ580:BZ600" si="343">S580</f>
        <v/>
      </c>
      <c r="CA580" t="str">
        <f t="shared" ref="CA580:CA600" si="344">T580</f>
        <v/>
      </c>
      <c r="CB580" t="str">
        <f t="shared" ref="CB580:CB600" si="345">U580</f>
        <v/>
      </c>
      <c r="CC580" t="str">
        <f t="shared" ref="CC580:CC600" si="346">V580</f>
        <v/>
      </c>
      <c r="CD580" s="63" t="str">
        <f t="shared" ref="CD580:CD600" si="347">W580</f>
        <v/>
      </c>
      <c r="CG580" s="42">
        <v>577</v>
      </c>
      <c r="CH580" s="42" t="e">
        <f t="shared" si="338"/>
        <v>#N/A</v>
      </c>
      <c r="CI580" s="63" t="e">
        <f t="shared" si="339"/>
        <v>#N/A</v>
      </c>
      <c r="EA580" s="194" t="e">
        <f t="shared" ref="EA580:EA600" ca="1" si="348">M580</f>
        <v>#N/A</v>
      </c>
      <c r="EB580" s="226" t="str">
        <f>IFERROR(IF(ED580=0,"",COUNTIF(ED$4:ED$600,"&gt;"&amp;ED580)+COUNTIF(ED$4:ED580,ED580)),"")</f>
        <v/>
      </c>
      <c r="EC580">
        <f t="shared" ref="EC580:EC600" si="349">O580</f>
        <v>0</v>
      </c>
      <c r="ED580" t="e">
        <f>IF(IF(EL$2="Catégorie",IF(EL$3="Toutes",SUMIFS('Étape 1 - à remplir'!$F$31:$F$400,'Étape 1 - à remplir'!$E$31:$E$400,MASQ2!EC580,'Étape 1 - à remplir'!$G$31:$G$400,"kg"),SUMIFS('Étape 1 - à remplir'!$F$31:$F$400,'Étape 1 - à remplir'!$E$31:$E$400,MASQ2!EC580,'Étape 1 - à remplir'!$C$31:$C$400,EL$3)),IF(EL$2="Âge",IF(EL$3="Tous",SUMIFS('Étape 1 - à remplir'!$F$31:$F$400,'Étape 1 - à remplir'!$E$31:$E$400,MASQ2!EC580,'Étape 1 - à remplir'!$G$31:$G$400,"kg"),SUMIFS('Étape 1 - à remplir'!$F$31:$F$400,'Étape 1 - à remplir'!$E$31:$E$400,MASQ2!EC580,'Étape 1 - à remplir'!$P$31:$P$400,EL$3,'Étape 1 - à remplir'!$G$31:$G$400,"kg")),IF(EL$2="Atelier",IF(EL$3="Tous",SUMIFS('Étape 1 - à remplir'!$F$31:$F$400,'Étape 1 - à remplir'!$E$31:$E$400,MASQ2!EC580,'Étape 1 - à remplir'!$G$31:$G$400,"kg"),SUMIFS('Étape 1 - à remplir'!$F$31:$F$400,'Étape 1 - à remplir'!$E$31:$E$400,MASQ2!EC580,'Étape 1 - à remplir'!$O$31:$O$400,EL$3,'Étape 1 - à remplir'!$G$31:$G$400,"kg")),IF(EL$2="Espèce",IF(EL$3="Toutes",SUMIFS('Étape 1 - à remplir'!$F$31:$F$400,'Étape 1 - à remplir'!$E$31:$E$400,MASQ2!EC580,'Étape 1 - à remplir'!$G$31:$G$400,"kg"),SUMIFS('Étape 1 - à remplir'!$F$31:$F$400,'Étape 1 - à remplir'!$E$31:$E$400,MASQ2!EC580,'Étape 1 - à remplir'!$N$31:$N$400,EL$3,'Étape 1 - à remplir'!$G$31:$G$400,"kg"))))))=0,NA(),IF(EL$2="Catégorie",IF(EL$3="Toutes",SUMIFS('Étape 1 - à remplir'!$F$31:$F$400,'Étape 1 - à remplir'!$E$31:$E$400,MASQ2!EC580,'Étape 1 - à remplir'!$G$31:$G$400,"kg"),SUMIFS('Étape 1 - à remplir'!$F$31:$F$400,'Étape 1 - à remplir'!$E$31:$E$400,MASQ2!EC580,'Étape 1 - à remplir'!$C$31:$C$400,EL$3)),IF(EL$2="Âge",IF(EL$3="Tous",SUMIFS('Étape 1 - à remplir'!$F$31:$F$400,'Étape 1 - à remplir'!$E$31:$E$400,MASQ2!EC580,'Étape 1 - à remplir'!$G$31:$G$400,"kg"),SUMIFS('Étape 1 - à remplir'!$F$31:$F$400,'Étape 1 - à remplir'!$E$31:$E$400,MASQ2!EC580,'Étape 1 - à remplir'!$P$31:$P$400,EL$3,'Étape 1 - à remplir'!$G$31:$G$400,"kg")),IF(EL$2="Atelier",IF(EL$3="Tous",SUMIFS('Étape 1 - à remplir'!$F$31:$F$400,'Étape 1 - à remplir'!$E$31:$E$400,MASQ2!EC580,'Étape 1 - à remplir'!$G$31:$G$400,"kg"),SUMIFS('Étape 1 - à remplir'!$F$31:$F$400,'Étape 1 - à remplir'!$E$31:$E$400,MASQ2!EC580,'Étape 1 - à remplir'!$O$31:$O$400,EL$3,'Étape 1 - à remplir'!$G$31:$G$400,"kg")),IF(EL$2="Espèce",IF(EL$3="Toutes",SUMIFS('Étape 1 - à remplir'!$F$31:$F$400,'Étape 1 - à remplir'!$E$31:$E$400,MASQ2!EC580,'Étape 1 - à remplir'!$G$31:$G$400,"kg"),SUMIFS('Étape 1 - à remplir'!$F$31:$F$400,'Étape 1 - à remplir'!$E$31:$E$400,MASQ2!EC580,'Étape 1 - à remplir'!$N$31:$N$400,EL$3,'Étape 1 - à remplir'!$G$31:$G$400,"kg")))))))</f>
        <v>#N/A</v>
      </c>
      <c r="EE580" s="76">
        <f t="shared" si="334"/>
        <v>0</v>
      </c>
      <c r="EF580" t="str">
        <f t="shared" ref="EF580:EF600" si="350">R580</f>
        <v/>
      </c>
      <c r="EG580" t="str">
        <f t="shared" ref="EG580:EG600" si="351">S580</f>
        <v/>
      </c>
      <c r="EH580" t="str">
        <f t="shared" ref="EH580:EH600" si="352">T580</f>
        <v/>
      </c>
      <c r="EI580" t="str">
        <f t="shared" ref="EI580:EI600" si="353">U580</f>
        <v/>
      </c>
      <c r="EJ580" t="str">
        <f t="shared" ref="EJ580:EJ600" si="354">V580</f>
        <v/>
      </c>
      <c r="EK580" s="63" t="str">
        <f t="shared" ref="EK580:EK600" si="355">W580</f>
        <v/>
      </c>
      <c r="EN580" s="42">
        <v>577</v>
      </c>
      <c r="EO580" t="e">
        <f t="shared" si="336"/>
        <v>#N/A</v>
      </c>
      <c r="EP580" s="63" t="e">
        <f t="shared" si="337"/>
        <v>#N/A</v>
      </c>
    </row>
    <row r="581" spans="13:146" x14ac:dyDescent="0.3">
      <c r="M581" s="194" t="e">
        <f ca="1">INDEX(Données_ATB!BD:BU,MATCH(MASQ2!O581,Données_ATB!BD:BD,0),18)</f>
        <v>#N/A</v>
      </c>
      <c r="N581" s="14" t="str">
        <f>IFERROR(IF(Q581=0,"",COUNTIF(Q$4:Q$600,"&gt;"&amp;Q581)+COUNTIF(Q$4:Q581,Q581)),"")</f>
        <v/>
      </c>
      <c r="O581">
        <f>Données_ATB!BD580</f>
        <v>0</v>
      </c>
      <c r="P581" t="e">
        <f>IF(IF(X$2="Catégorie",IF(X$3="Toutes",SUMIFS('Étape 1 - à remplir'!$F$31:$F$400,'Étape 1 - à remplir'!$E$31:$E$400,MASQ2!O581,'Étape 1 - à remplir'!$G$31:$G$400,"animaux"),SUMIFS('Étape 1 - à remplir'!$F$31:$F$400,'Étape 1 - à remplir'!$E$31:$E$400,MASQ2!O581,'Étape 1 - à remplir'!$C$31:$C$400,X$3)),IF(X$2="Âge",IF(X$3="Tous",SUMIFS('Étape 1 - à remplir'!$F$31:$F$400,'Étape 1 - à remplir'!$E$31:$E$400,MASQ2!O581,'Étape 1 - à remplir'!$G$31:$G$400,"animaux"),SUMIFS('Étape 1 - à remplir'!$F$31:$F$400,'Étape 1 - à remplir'!$E$31:$E$400,MASQ2!O581,'Étape 1 - à remplir'!$P$31:$P$400,X$3)),IF(X$2="Atelier",IF(X$3="Tous",SUMIFS('Étape 1 - à remplir'!$F$31:$F$400,'Étape 1 - à remplir'!$E$31:$E$400,MASQ2!O581,'Étape 1 - à remplir'!$G$31:$G$400,"animaux"),SUMIFS('Étape 1 - à remplir'!$F$31:$F$400,'Étape 1 - à remplir'!$E$31:$E$400,MASQ2!O581,'Étape 1 - à remplir'!$O$31:$O$400,X$3)),IF(X$2="Espèce",IF(X$3="Toutes",SUMIFS('Étape 1 - à remplir'!$F$31:$F$400,'Étape 1 - à remplir'!$E$31:$E$400,MASQ2!O581,'Étape 1 - à remplir'!$G$31:$G$400,"animaux"),SUMIFS('Étape 1 - à remplir'!$F$31:$F$400,'Étape 1 - à remplir'!$E$31:$E$400,MASQ2!O581,'Étape 1 - à remplir'!$N$31:$N$400,X$3))))))=0,NA(),IF(X$2="Catégorie",IF(X$3="Toutes",SUMIFS('Étape 1 - à remplir'!$F$31:$F$400,'Étape 1 - à remplir'!$E$31:$E$400,MASQ2!O581,'Étape 1 - à remplir'!$G$31:$G$400,"animaux"),SUMIFS('Étape 1 - à remplir'!$F$31:$F$400,'Étape 1 - à remplir'!$E$31:$E$400,MASQ2!O581,'Étape 1 - à remplir'!$C$31:$C$400,X$3)),IF(X$2="Âge",IF(X$3="Tous",SUMIFS('Étape 1 - à remplir'!$F$31:$F$400,'Étape 1 - à remplir'!$E$31:$E$400,MASQ2!O581,'Étape 1 - à remplir'!$G$31:$G$400,"animaux"),SUMIFS('Étape 1 - à remplir'!$F$31:$F$400,'Étape 1 - à remplir'!$E$31:$E$400,MASQ2!O581,'Étape 1 - à remplir'!$P$31:$P$400,X$3)),IF(X$2="Atelier",IF(X$3="Tous",SUMIFS('Étape 1 - à remplir'!$F$31:$F$400,'Étape 1 - à remplir'!$E$31:$E$400,MASQ2!O581,'Étape 1 - à remplir'!$G$31:$G$400,"animaux"),SUMIFS('Étape 1 - à remplir'!$F$31:$F$400,'Étape 1 - à remplir'!$E$31:$E$400,MASQ2!O581,'Étape 1 - à remplir'!$O$31:$O$400,X$3)),IF(X$2="Espèce",IF(X$3="Toutes",SUMIFS('Étape 1 - à remplir'!$F$31:$F$400,'Étape 1 - à remplir'!$E$31:$E$400,MASQ2!O581,'Étape 1 - à remplir'!$G$31:$G$400,"animaux"),SUMIFS('Étape 1 - à remplir'!$F$31:$F$400,'Étape 1 - à remplir'!$E$31:$E$400,MASQ2!O581,'Étape 1 - à remplir'!$N$31:$N$400,X$3)))))))</f>
        <v>#N/A</v>
      </c>
      <c r="Q581" s="63">
        <f t="shared" si="335"/>
        <v>0</v>
      </c>
      <c r="R581" t="str">
        <f>Données_ATB!BM580</f>
        <v/>
      </c>
      <c r="S581" t="str">
        <f>Données_ATB!BN580</f>
        <v/>
      </c>
      <c r="T581" s="63" t="str">
        <f>Données_ATB!BO580</f>
        <v/>
      </c>
      <c r="U581" s="42" t="str">
        <f>Données_ATB!BQ580</f>
        <v/>
      </c>
      <c r="V581" t="str">
        <f>Données_ATB!BR580</f>
        <v/>
      </c>
      <c r="W581" s="63" t="str">
        <f>Données_ATB!BS580</f>
        <v/>
      </c>
      <c r="Z581" s="42">
        <v>578</v>
      </c>
      <c r="AA581" t="e">
        <f t="shared" ref="AA581:AA600" si="356">INDEX(N$3:Q$600,MATCH(Z581,N$3:N$600,0),2)</f>
        <v>#N/A</v>
      </c>
      <c r="AB581" s="63" t="e">
        <f t="shared" ref="AB581:AB600" si="357">INDEX(N$3:Q$600,MATCH(Z581,N$3:N$600,0),4)</f>
        <v>#N/A</v>
      </c>
      <c r="BT581" s="194" t="e">
        <f t="shared" ca="1" si="340"/>
        <v>#N/A</v>
      </c>
      <c r="BU581" s="219" t="str">
        <f>IFERROR(IF(BX581=0,"",COUNTIF(BX$4:BX$600,"&gt;"&amp;BX581)+COUNTIF(BX$4:BX581,BX581)),"")</f>
        <v/>
      </c>
      <c r="BV581" s="42">
        <f t="shared" si="341"/>
        <v>0</v>
      </c>
      <c r="BW581" t="e">
        <f>IF(IF(CE$2="Catégorie",IF(CE$3="Toutes",SUMIFS('Étape 1 - à remplir'!$F$31:$F$400,'Étape 1 - à remplir'!$E$31:$E$400,MASQ2!BV581,'Étape 1 - à remplir'!$G$31:$G$400,"lots"),SUMIFS('Étape 1 - à remplir'!$F$31:$F$400,'Étape 1 - à remplir'!$E$31:$E$400,MASQ2!BV581,'Étape 1 - à remplir'!$C$31:$C$400,CE$3)),IF(CE$2="Âge",IF(CE$3="Tous",SUMIFS('Étape 1 - à remplir'!$F$31:$F$400,'Étape 1 - à remplir'!$E$31:$E$400,MASQ2!BV581,'Étape 1 - à remplir'!$G$31:$G$400,"lots"),SUMIFS('Étape 1 - à remplir'!$F$31:$F$400,'Étape 1 - à remplir'!$E$31:$E$400,MASQ2!BV581,'Étape 1 - à remplir'!$P$31:$P$400,CE$3,'Étape 1 - à remplir'!$G$31:$G$400,"lots")),IF(CE$2="Atelier",IF(CE$3="Tous",SUMIFS('Étape 1 - à remplir'!$F$31:$F$400,'Étape 1 - à remplir'!$E$31:$E$400,MASQ2!BV581,'Étape 1 - à remplir'!$G$31:$G$400,"lots"),SUMIFS('Étape 1 - à remplir'!$F$31:$F$400,'Étape 1 - à remplir'!$E$31:$E$400,MASQ2!BV581,'Étape 1 - à remplir'!$O$31:$O$400,CE$3,'Étape 1 - à remplir'!$G$31:$G$400,"lots")),IF(CE$2="Espèce",IF(CE$3="Toutes",SUMIFS('Étape 1 - à remplir'!$F$31:$F$400,'Étape 1 - à remplir'!$E$31:$E$400,MASQ2!BV581,'Étape 1 - à remplir'!$G$31:$G$400,"lots"),SUMIFS('Étape 1 - à remplir'!$F$31:$F$400,'Étape 1 - à remplir'!$E$31:$E$400,MASQ2!BV581,'Étape 1 - à remplir'!$N$31:$N$400,CE$3,'Étape 1 - à remplir'!$G$31:$G$400,"lots"))))))=0,NA(),IF(CE$2="Catégorie",IF(CE$3="Toutes",SUMIFS('Étape 1 - à remplir'!$F$31:$F$400,'Étape 1 - à remplir'!$E$31:$E$400,MASQ2!BV581,'Étape 1 - à remplir'!$G$31:$G$400,"lots"),SUMIFS('Étape 1 - à remplir'!$F$31:$F$400,'Étape 1 - à remplir'!$E$31:$E$400,MASQ2!BV581,'Étape 1 - à remplir'!$C$31:$C$400,CE$3)),IF(CE$2="Âge",IF(CE$3="Tous",SUMIFS('Étape 1 - à remplir'!$F$31:$F$400,'Étape 1 - à remplir'!$E$31:$E$400,MASQ2!BV581,'Étape 1 - à remplir'!$G$31:$G$400,"lots"),SUMIFS('Étape 1 - à remplir'!$F$31:$F$400,'Étape 1 - à remplir'!$E$31:$E$400,MASQ2!BV581,'Étape 1 - à remplir'!$P$31:$P$400,CE$3,'Étape 1 - à remplir'!$G$31:$G$400,"lots")),IF(CE$2="Atelier",IF(CE$3="Tous",SUMIFS('Étape 1 - à remplir'!$F$31:$F$400,'Étape 1 - à remplir'!$E$31:$E$400,MASQ2!BV581,'Étape 1 - à remplir'!$G$31:$G$400,"lots"),SUMIFS('Étape 1 - à remplir'!$F$31:$F$400,'Étape 1 - à remplir'!$E$31:$E$400,MASQ2!BV581,'Étape 1 - à remplir'!$O$31:$O$400,CE$3,'Étape 1 - à remplir'!$G$31:$G$400,"lots")),IF(CE$2="Espèce",IF(CE$3="Toutes",SUMIFS('Étape 1 - à remplir'!$F$31:$F$400,'Étape 1 - à remplir'!$E$31:$E$400,MASQ2!BV581,'Étape 1 - à remplir'!$G$31:$G$400,"lots"),SUMIFS('Étape 1 - à remplir'!$F$31:$F$400,'Étape 1 - à remplir'!$E$31:$E$400,MASQ2!BV581,'Étape 1 - à remplir'!$N$31:$N$400,CE$3,'Étape 1 - à remplir'!$G$31:$G$400,"lots")))))))</f>
        <v>#N/A</v>
      </c>
      <c r="BX581">
        <f t="shared" ref="BX581:BX600" si="358">IFERROR(BW581,0)</f>
        <v>0</v>
      </c>
      <c r="BY581" t="str">
        <f t="shared" si="342"/>
        <v/>
      </c>
      <c r="BZ581" t="str">
        <f t="shared" si="343"/>
        <v/>
      </c>
      <c r="CA581" t="str">
        <f t="shared" si="344"/>
        <v/>
      </c>
      <c r="CB581" t="str">
        <f t="shared" si="345"/>
        <v/>
      </c>
      <c r="CC581" t="str">
        <f t="shared" si="346"/>
        <v/>
      </c>
      <c r="CD581" s="63" t="str">
        <f t="shared" si="347"/>
        <v/>
      </c>
      <c r="CG581" s="42">
        <v>578</v>
      </c>
      <c r="CH581" s="42" t="e">
        <f t="shared" si="338"/>
        <v>#N/A</v>
      </c>
      <c r="CI581" s="63" t="e">
        <f t="shared" si="339"/>
        <v>#N/A</v>
      </c>
      <c r="EA581" s="194" t="e">
        <f t="shared" ca="1" si="348"/>
        <v>#N/A</v>
      </c>
      <c r="EB581" s="226" t="str">
        <f>IFERROR(IF(ED581=0,"",COUNTIF(ED$4:ED$600,"&gt;"&amp;ED581)+COUNTIF(ED$4:ED581,ED581)),"")</f>
        <v/>
      </c>
      <c r="EC581">
        <f t="shared" si="349"/>
        <v>0</v>
      </c>
      <c r="ED581" t="e">
        <f>IF(IF(EL$2="Catégorie",IF(EL$3="Toutes",SUMIFS('Étape 1 - à remplir'!$F$31:$F$400,'Étape 1 - à remplir'!$E$31:$E$400,MASQ2!EC581,'Étape 1 - à remplir'!$G$31:$G$400,"kg"),SUMIFS('Étape 1 - à remplir'!$F$31:$F$400,'Étape 1 - à remplir'!$E$31:$E$400,MASQ2!EC581,'Étape 1 - à remplir'!$C$31:$C$400,EL$3)),IF(EL$2="Âge",IF(EL$3="Tous",SUMIFS('Étape 1 - à remplir'!$F$31:$F$400,'Étape 1 - à remplir'!$E$31:$E$400,MASQ2!EC581,'Étape 1 - à remplir'!$G$31:$G$400,"kg"),SUMIFS('Étape 1 - à remplir'!$F$31:$F$400,'Étape 1 - à remplir'!$E$31:$E$400,MASQ2!EC581,'Étape 1 - à remplir'!$P$31:$P$400,EL$3,'Étape 1 - à remplir'!$G$31:$G$400,"kg")),IF(EL$2="Atelier",IF(EL$3="Tous",SUMIFS('Étape 1 - à remplir'!$F$31:$F$400,'Étape 1 - à remplir'!$E$31:$E$400,MASQ2!EC581,'Étape 1 - à remplir'!$G$31:$G$400,"kg"),SUMIFS('Étape 1 - à remplir'!$F$31:$F$400,'Étape 1 - à remplir'!$E$31:$E$400,MASQ2!EC581,'Étape 1 - à remplir'!$O$31:$O$400,EL$3,'Étape 1 - à remplir'!$G$31:$G$400,"kg")),IF(EL$2="Espèce",IF(EL$3="Toutes",SUMIFS('Étape 1 - à remplir'!$F$31:$F$400,'Étape 1 - à remplir'!$E$31:$E$400,MASQ2!EC581,'Étape 1 - à remplir'!$G$31:$G$400,"kg"),SUMIFS('Étape 1 - à remplir'!$F$31:$F$400,'Étape 1 - à remplir'!$E$31:$E$400,MASQ2!EC581,'Étape 1 - à remplir'!$N$31:$N$400,EL$3,'Étape 1 - à remplir'!$G$31:$G$400,"kg"))))))=0,NA(),IF(EL$2="Catégorie",IF(EL$3="Toutes",SUMIFS('Étape 1 - à remplir'!$F$31:$F$400,'Étape 1 - à remplir'!$E$31:$E$400,MASQ2!EC581,'Étape 1 - à remplir'!$G$31:$G$400,"kg"),SUMIFS('Étape 1 - à remplir'!$F$31:$F$400,'Étape 1 - à remplir'!$E$31:$E$400,MASQ2!EC581,'Étape 1 - à remplir'!$C$31:$C$400,EL$3)),IF(EL$2="Âge",IF(EL$3="Tous",SUMIFS('Étape 1 - à remplir'!$F$31:$F$400,'Étape 1 - à remplir'!$E$31:$E$400,MASQ2!EC581,'Étape 1 - à remplir'!$G$31:$G$400,"kg"),SUMIFS('Étape 1 - à remplir'!$F$31:$F$400,'Étape 1 - à remplir'!$E$31:$E$400,MASQ2!EC581,'Étape 1 - à remplir'!$P$31:$P$400,EL$3,'Étape 1 - à remplir'!$G$31:$G$400,"kg")),IF(EL$2="Atelier",IF(EL$3="Tous",SUMIFS('Étape 1 - à remplir'!$F$31:$F$400,'Étape 1 - à remplir'!$E$31:$E$400,MASQ2!EC581,'Étape 1 - à remplir'!$G$31:$G$400,"kg"),SUMIFS('Étape 1 - à remplir'!$F$31:$F$400,'Étape 1 - à remplir'!$E$31:$E$400,MASQ2!EC581,'Étape 1 - à remplir'!$O$31:$O$400,EL$3,'Étape 1 - à remplir'!$G$31:$G$400,"kg")),IF(EL$2="Espèce",IF(EL$3="Toutes",SUMIFS('Étape 1 - à remplir'!$F$31:$F$400,'Étape 1 - à remplir'!$E$31:$E$400,MASQ2!EC581,'Étape 1 - à remplir'!$G$31:$G$400,"kg"),SUMIFS('Étape 1 - à remplir'!$F$31:$F$400,'Étape 1 - à remplir'!$E$31:$E$400,MASQ2!EC581,'Étape 1 - à remplir'!$N$31:$N$400,EL$3,'Étape 1 - à remplir'!$G$31:$G$400,"kg")))))))</f>
        <v>#N/A</v>
      </c>
      <c r="EE581" s="76">
        <f t="shared" ref="EE581:EE600" si="359">IFERROR(ED581,0)</f>
        <v>0</v>
      </c>
      <c r="EF581" t="str">
        <f t="shared" si="350"/>
        <v/>
      </c>
      <c r="EG581" t="str">
        <f t="shared" si="351"/>
        <v/>
      </c>
      <c r="EH581" t="str">
        <f t="shared" si="352"/>
        <v/>
      </c>
      <c r="EI581" t="str">
        <f t="shared" si="353"/>
        <v/>
      </c>
      <c r="EJ581" t="str">
        <f t="shared" si="354"/>
        <v/>
      </c>
      <c r="EK581" s="63" t="str">
        <f t="shared" si="355"/>
        <v/>
      </c>
      <c r="EN581" s="42">
        <v>578</v>
      </c>
      <c r="EO581" t="e">
        <f t="shared" si="336"/>
        <v>#N/A</v>
      </c>
      <c r="EP581" s="63" t="e">
        <f t="shared" si="337"/>
        <v>#N/A</v>
      </c>
    </row>
    <row r="582" spans="13:146" x14ac:dyDescent="0.3">
      <c r="M582" s="194" t="e">
        <f ca="1">INDEX(Données_ATB!BD:BU,MATCH(MASQ2!O582,Données_ATB!BD:BD,0),18)</f>
        <v>#N/A</v>
      </c>
      <c r="N582" s="14" t="str">
        <f>IFERROR(IF(Q582=0,"",COUNTIF(Q$4:Q$600,"&gt;"&amp;Q582)+COUNTIF(Q$4:Q582,Q582)),"")</f>
        <v/>
      </c>
      <c r="O582">
        <f>Données_ATB!BD581</f>
        <v>0</v>
      </c>
      <c r="P582" t="e">
        <f>IF(IF(X$2="Catégorie",IF(X$3="Toutes",SUMIFS('Étape 1 - à remplir'!$F$31:$F$400,'Étape 1 - à remplir'!$E$31:$E$400,MASQ2!O582,'Étape 1 - à remplir'!$G$31:$G$400,"animaux"),SUMIFS('Étape 1 - à remplir'!$F$31:$F$400,'Étape 1 - à remplir'!$E$31:$E$400,MASQ2!O582,'Étape 1 - à remplir'!$C$31:$C$400,X$3)),IF(X$2="Âge",IF(X$3="Tous",SUMIFS('Étape 1 - à remplir'!$F$31:$F$400,'Étape 1 - à remplir'!$E$31:$E$400,MASQ2!O582,'Étape 1 - à remplir'!$G$31:$G$400,"animaux"),SUMIFS('Étape 1 - à remplir'!$F$31:$F$400,'Étape 1 - à remplir'!$E$31:$E$400,MASQ2!O582,'Étape 1 - à remplir'!$P$31:$P$400,X$3)),IF(X$2="Atelier",IF(X$3="Tous",SUMIFS('Étape 1 - à remplir'!$F$31:$F$400,'Étape 1 - à remplir'!$E$31:$E$400,MASQ2!O582,'Étape 1 - à remplir'!$G$31:$G$400,"animaux"),SUMIFS('Étape 1 - à remplir'!$F$31:$F$400,'Étape 1 - à remplir'!$E$31:$E$400,MASQ2!O582,'Étape 1 - à remplir'!$O$31:$O$400,X$3)),IF(X$2="Espèce",IF(X$3="Toutes",SUMIFS('Étape 1 - à remplir'!$F$31:$F$400,'Étape 1 - à remplir'!$E$31:$E$400,MASQ2!O582,'Étape 1 - à remplir'!$G$31:$G$400,"animaux"),SUMIFS('Étape 1 - à remplir'!$F$31:$F$400,'Étape 1 - à remplir'!$E$31:$E$400,MASQ2!O582,'Étape 1 - à remplir'!$N$31:$N$400,X$3))))))=0,NA(),IF(X$2="Catégorie",IF(X$3="Toutes",SUMIFS('Étape 1 - à remplir'!$F$31:$F$400,'Étape 1 - à remplir'!$E$31:$E$400,MASQ2!O582,'Étape 1 - à remplir'!$G$31:$G$400,"animaux"),SUMIFS('Étape 1 - à remplir'!$F$31:$F$400,'Étape 1 - à remplir'!$E$31:$E$400,MASQ2!O582,'Étape 1 - à remplir'!$C$31:$C$400,X$3)),IF(X$2="Âge",IF(X$3="Tous",SUMIFS('Étape 1 - à remplir'!$F$31:$F$400,'Étape 1 - à remplir'!$E$31:$E$400,MASQ2!O582,'Étape 1 - à remplir'!$G$31:$G$400,"animaux"),SUMIFS('Étape 1 - à remplir'!$F$31:$F$400,'Étape 1 - à remplir'!$E$31:$E$400,MASQ2!O582,'Étape 1 - à remplir'!$P$31:$P$400,X$3)),IF(X$2="Atelier",IF(X$3="Tous",SUMIFS('Étape 1 - à remplir'!$F$31:$F$400,'Étape 1 - à remplir'!$E$31:$E$400,MASQ2!O582,'Étape 1 - à remplir'!$G$31:$G$400,"animaux"),SUMIFS('Étape 1 - à remplir'!$F$31:$F$400,'Étape 1 - à remplir'!$E$31:$E$400,MASQ2!O582,'Étape 1 - à remplir'!$O$31:$O$400,X$3)),IF(X$2="Espèce",IF(X$3="Toutes",SUMIFS('Étape 1 - à remplir'!$F$31:$F$400,'Étape 1 - à remplir'!$E$31:$E$400,MASQ2!O582,'Étape 1 - à remplir'!$G$31:$G$400,"animaux"),SUMIFS('Étape 1 - à remplir'!$F$31:$F$400,'Étape 1 - à remplir'!$E$31:$E$400,MASQ2!O582,'Étape 1 - à remplir'!$N$31:$N$400,X$3)))))))</f>
        <v>#N/A</v>
      </c>
      <c r="Q582" s="63">
        <f t="shared" ref="Q582:Q600" si="360">IFERROR(P582,0)</f>
        <v>0</v>
      </c>
      <c r="R582" t="str">
        <f>Données_ATB!BM581</f>
        <v/>
      </c>
      <c r="S582" t="str">
        <f>Données_ATB!BN581</f>
        <v/>
      </c>
      <c r="T582" s="63" t="str">
        <f>Données_ATB!BO581</f>
        <v/>
      </c>
      <c r="U582" s="42" t="str">
        <f>Données_ATB!BQ581</f>
        <v/>
      </c>
      <c r="V582" t="str">
        <f>Données_ATB!BR581</f>
        <v/>
      </c>
      <c r="W582" s="63" t="str">
        <f>Données_ATB!BS581</f>
        <v/>
      </c>
      <c r="Z582" s="42">
        <v>579</v>
      </c>
      <c r="AA582" t="e">
        <f t="shared" si="356"/>
        <v>#N/A</v>
      </c>
      <c r="AB582" s="63" t="e">
        <f t="shared" si="357"/>
        <v>#N/A</v>
      </c>
      <c r="BT582" s="194" t="e">
        <f t="shared" ca="1" si="340"/>
        <v>#N/A</v>
      </c>
      <c r="BU582" s="219" t="str">
        <f>IFERROR(IF(BX582=0,"",COUNTIF(BX$4:BX$600,"&gt;"&amp;BX582)+COUNTIF(BX$4:BX582,BX582)),"")</f>
        <v/>
      </c>
      <c r="BV582" s="42">
        <f t="shared" si="341"/>
        <v>0</v>
      </c>
      <c r="BW582" t="e">
        <f>IF(IF(CE$2="Catégorie",IF(CE$3="Toutes",SUMIFS('Étape 1 - à remplir'!$F$31:$F$400,'Étape 1 - à remplir'!$E$31:$E$400,MASQ2!BV582,'Étape 1 - à remplir'!$G$31:$G$400,"lots"),SUMIFS('Étape 1 - à remplir'!$F$31:$F$400,'Étape 1 - à remplir'!$E$31:$E$400,MASQ2!BV582,'Étape 1 - à remplir'!$C$31:$C$400,CE$3)),IF(CE$2="Âge",IF(CE$3="Tous",SUMIFS('Étape 1 - à remplir'!$F$31:$F$400,'Étape 1 - à remplir'!$E$31:$E$400,MASQ2!BV582,'Étape 1 - à remplir'!$G$31:$G$400,"lots"),SUMIFS('Étape 1 - à remplir'!$F$31:$F$400,'Étape 1 - à remplir'!$E$31:$E$400,MASQ2!BV582,'Étape 1 - à remplir'!$P$31:$P$400,CE$3,'Étape 1 - à remplir'!$G$31:$G$400,"lots")),IF(CE$2="Atelier",IF(CE$3="Tous",SUMIFS('Étape 1 - à remplir'!$F$31:$F$400,'Étape 1 - à remplir'!$E$31:$E$400,MASQ2!BV582,'Étape 1 - à remplir'!$G$31:$G$400,"lots"),SUMIFS('Étape 1 - à remplir'!$F$31:$F$400,'Étape 1 - à remplir'!$E$31:$E$400,MASQ2!BV582,'Étape 1 - à remplir'!$O$31:$O$400,CE$3,'Étape 1 - à remplir'!$G$31:$G$400,"lots")),IF(CE$2="Espèce",IF(CE$3="Toutes",SUMIFS('Étape 1 - à remplir'!$F$31:$F$400,'Étape 1 - à remplir'!$E$31:$E$400,MASQ2!BV582,'Étape 1 - à remplir'!$G$31:$G$400,"lots"),SUMIFS('Étape 1 - à remplir'!$F$31:$F$400,'Étape 1 - à remplir'!$E$31:$E$400,MASQ2!BV582,'Étape 1 - à remplir'!$N$31:$N$400,CE$3,'Étape 1 - à remplir'!$G$31:$G$400,"lots"))))))=0,NA(),IF(CE$2="Catégorie",IF(CE$3="Toutes",SUMIFS('Étape 1 - à remplir'!$F$31:$F$400,'Étape 1 - à remplir'!$E$31:$E$400,MASQ2!BV582,'Étape 1 - à remplir'!$G$31:$G$400,"lots"),SUMIFS('Étape 1 - à remplir'!$F$31:$F$400,'Étape 1 - à remplir'!$E$31:$E$400,MASQ2!BV582,'Étape 1 - à remplir'!$C$31:$C$400,CE$3)),IF(CE$2="Âge",IF(CE$3="Tous",SUMIFS('Étape 1 - à remplir'!$F$31:$F$400,'Étape 1 - à remplir'!$E$31:$E$400,MASQ2!BV582,'Étape 1 - à remplir'!$G$31:$G$400,"lots"),SUMIFS('Étape 1 - à remplir'!$F$31:$F$400,'Étape 1 - à remplir'!$E$31:$E$400,MASQ2!BV582,'Étape 1 - à remplir'!$P$31:$P$400,CE$3,'Étape 1 - à remplir'!$G$31:$G$400,"lots")),IF(CE$2="Atelier",IF(CE$3="Tous",SUMIFS('Étape 1 - à remplir'!$F$31:$F$400,'Étape 1 - à remplir'!$E$31:$E$400,MASQ2!BV582,'Étape 1 - à remplir'!$G$31:$G$400,"lots"),SUMIFS('Étape 1 - à remplir'!$F$31:$F$400,'Étape 1 - à remplir'!$E$31:$E$400,MASQ2!BV582,'Étape 1 - à remplir'!$O$31:$O$400,CE$3,'Étape 1 - à remplir'!$G$31:$G$400,"lots")),IF(CE$2="Espèce",IF(CE$3="Toutes",SUMIFS('Étape 1 - à remplir'!$F$31:$F$400,'Étape 1 - à remplir'!$E$31:$E$400,MASQ2!BV582,'Étape 1 - à remplir'!$G$31:$G$400,"lots"),SUMIFS('Étape 1 - à remplir'!$F$31:$F$400,'Étape 1 - à remplir'!$E$31:$E$400,MASQ2!BV582,'Étape 1 - à remplir'!$N$31:$N$400,CE$3,'Étape 1 - à remplir'!$G$31:$G$400,"lots")))))))</f>
        <v>#N/A</v>
      </c>
      <c r="BX582">
        <f t="shared" si="358"/>
        <v>0</v>
      </c>
      <c r="BY582" t="str">
        <f t="shared" si="342"/>
        <v/>
      </c>
      <c r="BZ582" t="str">
        <f t="shared" si="343"/>
        <v/>
      </c>
      <c r="CA582" t="str">
        <f t="shared" si="344"/>
        <v/>
      </c>
      <c r="CB582" t="str">
        <f t="shared" si="345"/>
        <v/>
      </c>
      <c r="CC582" t="str">
        <f t="shared" si="346"/>
        <v/>
      </c>
      <c r="CD582" s="63" t="str">
        <f t="shared" si="347"/>
        <v/>
      </c>
      <c r="CG582" s="42">
        <v>579</v>
      </c>
      <c r="CH582" s="42" t="e">
        <f t="shared" si="338"/>
        <v>#N/A</v>
      </c>
      <c r="CI582" s="63" t="e">
        <f t="shared" si="339"/>
        <v>#N/A</v>
      </c>
      <c r="EA582" s="194" t="e">
        <f t="shared" ca="1" si="348"/>
        <v>#N/A</v>
      </c>
      <c r="EB582" s="226" t="str">
        <f>IFERROR(IF(ED582=0,"",COUNTIF(ED$4:ED$600,"&gt;"&amp;ED582)+COUNTIF(ED$4:ED582,ED582)),"")</f>
        <v/>
      </c>
      <c r="EC582">
        <f t="shared" si="349"/>
        <v>0</v>
      </c>
      <c r="ED582" t="e">
        <f>IF(IF(EL$2="Catégorie",IF(EL$3="Toutes",SUMIFS('Étape 1 - à remplir'!$F$31:$F$400,'Étape 1 - à remplir'!$E$31:$E$400,MASQ2!EC582,'Étape 1 - à remplir'!$G$31:$G$400,"kg"),SUMIFS('Étape 1 - à remplir'!$F$31:$F$400,'Étape 1 - à remplir'!$E$31:$E$400,MASQ2!EC582,'Étape 1 - à remplir'!$C$31:$C$400,EL$3)),IF(EL$2="Âge",IF(EL$3="Tous",SUMIFS('Étape 1 - à remplir'!$F$31:$F$400,'Étape 1 - à remplir'!$E$31:$E$400,MASQ2!EC582,'Étape 1 - à remplir'!$G$31:$G$400,"kg"),SUMIFS('Étape 1 - à remplir'!$F$31:$F$400,'Étape 1 - à remplir'!$E$31:$E$400,MASQ2!EC582,'Étape 1 - à remplir'!$P$31:$P$400,EL$3,'Étape 1 - à remplir'!$G$31:$G$400,"kg")),IF(EL$2="Atelier",IF(EL$3="Tous",SUMIFS('Étape 1 - à remplir'!$F$31:$F$400,'Étape 1 - à remplir'!$E$31:$E$400,MASQ2!EC582,'Étape 1 - à remplir'!$G$31:$G$400,"kg"),SUMIFS('Étape 1 - à remplir'!$F$31:$F$400,'Étape 1 - à remplir'!$E$31:$E$400,MASQ2!EC582,'Étape 1 - à remplir'!$O$31:$O$400,EL$3,'Étape 1 - à remplir'!$G$31:$G$400,"kg")),IF(EL$2="Espèce",IF(EL$3="Toutes",SUMIFS('Étape 1 - à remplir'!$F$31:$F$400,'Étape 1 - à remplir'!$E$31:$E$400,MASQ2!EC582,'Étape 1 - à remplir'!$G$31:$G$400,"kg"),SUMIFS('Étape 1 - à remplir'!$F$31:$F$400,'Étape 1 - à remplir'!$E$31:$E$400,MASQ2!EC582,'Étape 1 - à remplir'!$N$31:$N$400,EL$3,'Étape 1 - à remplir'!$G$31:$G$400,"kg"))))))=0,NA(),IF(EL$2="Catégorie",IF(EL$3="Toutes",SUMIFS('Étape 1 - à remplir'!$F$31:$F$400,'Étape 1 - à remplir'!$E$31:$E$400,MASQ2!EC582,'Étape 1 - à remplir'!$G$31:$G$400,"kg"),SUMIFS('Étape 1 - à remplir'!$F$31:$F$400,'Étape 1 - à remplir'!$E$31:$E$400,MASQ2!EC582,'Étape 1 - à remplir'!$C$31:$C$400,EL$3)),IF(EL$2="Âge",IF(EL$3="Tous",SUMIFS('Étape 1 - à remplir'!$F$31:$F$400,'Étape 1 - à remplir'!$E$31:$E$400,MASQ2!EC582,'Étape 1 - à remplir'!$G$31:$G$400,"kg"),SUMIFS('Étape 1 - à remplir'!$F$31:$F$400,'Étape 1 - à remplir'!$E$31:$E$400,MASQ2!EC582,'Étape 1 - à remplir'!$P$31:$P$400,EL$3,'Étape 1 - à remplir'!$G$31:$G$400,"kg")),IF(EL$2="Atelier",IF(EL$3="Tous",SUMIFS('Étape 1 - à remplir'!$F$31:$F$400,'Étape 1 - à remplir'!$E$31:$E$400,MASQ2!EC582,'Étape 1 - à remplir'!$G$31:$G$400,"kg"),SUMIFS('Étape 1 - à remplir'!$F$31:$F$400,'Étape 1 - à remplir'!$E$31:$E$400,MASQ2!EC582,'Étape 1 - à remplir'!$O$31:$O$400,EL$3,'Étape 1 - à remplir'!$G$31:$G$400,"kg")),IF(EL$2="Espèce",IF(EL$3="Toutes",SUMIFS('Étape 1 - à remplir'!$F$31:$F$400,'Étape 1 - à remplir'!$E$31:$E$400,MASQ2!EC582,'Étape 1 - à remplir'!$G$31:$G$400,"kg"),SUMIFS('Étape 1 - à remplir'!$F$31:$F$400,'Étape 1 - à remplir'!$E$31:$E$400,MASQ2!EC582,'Étape 1 - à remplir'!$N$31:$N$400,EL$3,'Étape 1 - à remplir'!$G$31:$G$400,"kg")))))))</f>
        <v>#N/A</v>
      </c>
      <c r="EE582" s="76">
        <f t="shared" si="359"/>
        <v>0</v>
      </c>
      <c r="EF582" t="str">
        <f t="shared" si="350"/>
        <v/>
      </c>
      <c r="EG582" t="str">
        <f t="shared" si="351"/>
        <v/>
      </c>
      <c r="EH582" t="str">
        <f t="shared" si="352"/>
        <v/>
      </c>
      <c r="EI582" t="str">
        <f t="shared" si="353"/>
        <v/>
      </c>
      <c r="EJ582" t="str">
        <f t="shared" si="354"/>
        <v/>
      </c>
      <c r="EK582" s="63" t="str">
        <f t="shared" si="355"/>
        <v/>
      </c>
      <c r="EN582" s="42">
        <v>579</v>
      </c>
      <c r="EO582" t="e">
        <f t="shared" si="336"/>
        <v>#N/A</v>
      </c>
      <c r="EP582" s="63" t="e">
        <f t="shared" si="337"/>
        <v>#N/A</v>
      </c>
    </row>
    <row r="583" spans="13:146" x14ac:dyDescent="0.3">
      <c r="M583" s="194" t="e">
        <f ca="1">INDEX(Données_ATB!BD:BU,MATCH(MASQ2!O583,Données_ATB!BD:BD,0),18)</f>
        <v>#N/A</v>
      </c>
      <c r="N583" s="14" t="str">
        <f>IFERROR(IF(Q583=0,"",COUNTIF(Q$4:Q$600,"&gt;"&amp;Q583)+COUNTIF(Q$4:Q583,Q583)),"")</f>
        <v/>
      </c>
      <c r="O583">
        <f>Données_ATB!BD582</f>
        <v>0</v>
      </c>
      <c r="P583" t="e">
        <f>IF(IF(X$2="Catégorie",IF(X$3="Toutes",SUMIFS('Étape 1 - à remplir'!$F$31:$F$400,'Étape 1 - à remplir'!$E$31:$E$400,MASQ2!O583,'Étape 1 - à remplir'!$G$31:$G$400,"animaux"),SUMIFS('Étape 1 - à remplir'!$F$31:$F$400,'Étape 1 - à remplir'!$E$31:$E$400,MASQ2!O583,'Étape 1 - à remplir'!$C$31:$C$400,X$3)),IF(X$2="Âge",IF(X$3="Tous",SUMIFS('Étape 1 - à remplir'!$F$31:$F$400,'Étape 1 - à remplir'!$E$31:$E$400,MASQ2!O583,'Étape 1 - à remplir'!$G$31:$G$400,"animaux"),SUMIFS('Étape 1 - à remplir'!$F$31:$F$400,'Étape 1 - à remplir'!$E$31:$E$400,MASQ2!O583,'Étape 1 - à remplir'!$P$31:$P$400,X$3)),IF(X$2="Atelier",IF(X$3="Tous",SUMIFS('Étape 1 - à remplir'!$F$31:$F$400,'Étape 1 - à remplir'!$E$31:$E$400,MASQ2!O583,'Étape 1 - à remplir'!$G$31:$G$400,"animaux"),SUMIFS('Étape 1 - à remplir'!$F$31:$F$400,'Étape 1 - à remplir'!$E$31:$E$400,MASQ2!O583,'Étape 1 - à remplir'!$O$31:$O$400,X$3)),IF(X$2="Espèce",IF(X$3="Toutes",SUMIFS('Étape 1 - à remplir'!$F$31:$F$400,'Étape 1 - à remplir'!$E$31:$E$400,MASQ2!O583,'Étape 1 - à remplir'!$G$31:$G$400,"animaux"),SUMIFS('Étape 1 - à remplir'!$F$31:$F$400,'Étape 1 - à remplir'!$E$31:$E$400,MASQ2!O583,'Étape 1 - à remplir'!$N$31:$N$400,X$3))))))=0,NA(),IF(X$2="Catégorie",IF(X$3="Toutes",SUMIFS('Étape 1 - à remplir'!$F$31:$F$400,'Étape 1 - à remplir'!$E$31:$E$400,MASQ2!O583,'Étape 1 - à remplir'!$G$31:$G$400,"animaux"),SUMIFS('Étape 1 - à remplir'!$F$31:$F$400,'Étape 1 - à remplir'!$E$31:$E$400,MASQ2!O583,'Étape 1 - à remplir'!$C$31:$C$400,X$3)),IF(X$2="Âge",IF(X$3="Tous",SUMIFS('Étape 1 - à remplir'!$F$31:$F$400,'Étape 1 - à remplir'!$E$31:$E$400,MASQ2!O583,'Étape 1 - à remplir'!$G$31:$G$400,"animaux"),SUMIFS('Étape 1 - à remplir'!$F$31:$F$400,'Étape 1 - à remplir'!$E$31:$E$400,MASQ2!O583,'Étape 1 - à remplir'!$P$31:$P$400,X$3)),IF(X$2="Atelier",IF(X$3="Tous",SUMIFS('Étape 1 - à remplir'!$F$31:$F$400,'Étape 1 - à remplir'!$E$31:$E$400,MASQ2!O583,'Étape 1 - à remplir'!$G$31:$G$400,"animaux"),SUMIFS('Étape 1 - à remplir'!$F$31:$F$400,'Étape 1 - à remplir'!$E$31:$E$400,MASQ2!O583,'Étape 1 - à remplir'!$O$31:$O$400,X$3)),IF(X$2="Espèce",IF(X$3="Toutes",SUMIFS('Étape 1 - à remplir'!$F$31:$F$400,'Étape 1 - à remplir'!$E$31:$E$400,MASQ2!O583,'Étape 1 - à remplir'!$G$31:$G$400,"animaux"),SUMIFS('Étape 1 - à remplir'!$F$31:$F$400,'Étape 1 - à remplir'!$E$31:$E$400,MASQ2!O583,'Étape 1 - à remplir'!$N$31:$N$400,X$3)))))))</f>
        <v>#N/A</v>
      </c>
      <c r="Q583" s="63">
        <f t="shared" si="360"/>
        <v>0</v>
      </c>
      <c r="R583" t="str">
        <f>Données_ATB!BM582</f>
        <v/>
      </c>
      <c r="S583" t="str">
        <f>Données_ATB!BN582</f>
        <v/>
      </c>
      <c r="T583" s="63" t="str">
        <f>Données_ATB!BO582</f>
        <v/>
      </c>
      <c r="U583" s="42" t="str">
        <f>Données_ATB!BQ582</f>
        <v/>
      </c>
      <c r="V583" t="str">
        <f>Données_ATB!BR582</f>
        <v/>
      </c>
      <c r="W583" s="63" t="str">
        <f>Données_ATB!BS582</f>
        <v/>
      </c>
      <c r="Z583" s="42">
        <v>580</v>
      </c>
      <c r="AA583" t="e">
        <f t="shared" si="356"/>
        <v>#N/A</v>
      </c>
      <c r="AB583" s="63" t="e">
        <f t="shared" si="357"/>
        <v>#N/A</v>
      </c>
      <c r="BT583" s="194" t="e">
        <f t="shared" ca="1" si="340"/>
        <v>#N/A</v>
      </c>
      <c r="BU583" s="219" t="str">
        <f>IFERROR(IF(BX583=0,"",COUNTIF(BX$4:BX$600,"&gt;"&amp;BX583)+COUNTIF(BX$4:BX583,BX583)),"")</f>
        <v/>
      </c>
      <c r="BV583" s="42">
        <f t="shared" si="341"/>
        <v>0</v>
      </c>
      <c r="BW583" t="e">
        <f>IF(IF(CE$2="Catégorie",IF(CE$3="Toutes",SUMIFS('Étape 1 - à remplir'!$F$31:$F$400,'Étape 1 - à remplir'!$E$31:$E$400,MASQ2!BV583,'Étape 1 - à remplir'!$G$31:$G$400,"lots"),SUMIFS('Étape 1 - à remplir'!$F$31:$F$400,'Étape 1 - à remplir'!$E$31:$E$400,MASQ2!BV583,'Étape 1 - à remplir'!$C$31:$C$400,CE$3)),IF(CE$2="Âge",IF(CE$3="Tous",SUMIFS('Étape 1 - à remplir'!$F$31:$F$400,'Étape 1 - à remplir'!$E$31:$E$400,MASQ2!BV583,'Étape 1 - à remplir'!$G$31:$G$400,"lots"),SUMIFS('Étape 1 - à remplir'!$F$31:$F$400,'Étape 1 - à remplir'!$E$31:$E$400,MASQ2!BV583,'Étape 1 - à remplir'!$P$31:$P$400,CE$3,'Étape 1 - à remplir'!$G$31:$G$400,"lots")),IF(CE$2="Atelier",IF(CE$3="Tous",SUMIFS('Étape 1 - à remplir'!$F$31:$F$400,'Étape 1 - à remplir'!$E$31:$E$400,MASQ2!BV583,'Étape 1 - à remplir'!$G$31:$G$400,"lots"),SUMIFS('Étape 1 - à remplir'!$F$31:$F$400,'Étape 1 - à remplir'!$E$31:$E$400,MASQ2!BV583,'Étape 1 - à remplir'!$O$31:$O$400,CE$3,'Étape 1 - à remplir'!$G$31:$G$400,"lots")),IF(CE$2="Espèce",IF(CE$3="Toutes",SUMIFS('Étape 1 - à remplir'!$F$31:$F$400,'Étape 1 - à remplir'!$E$31:$E$400,MASQ2!BV583,'Étape 1 - à remplir'!$G$31:$G$400,"lots"),SUMIFS('Étape 1 - à remplir'!$F$31:$F$400,'Étape 1 - à remplir'!$E$31:$E$400,MASQ2!BV583,'Étape 1 - à remplir'!$N$31:$N$400,CE$3,'Étape 1 - à remplir'!$G$31:$G$400,"lots"))))))=0,NA(),IF(CE$2="Catégorie",IF(CE$3="Toutes",SUMIFS('Étape 1 - à remplir'!$F$31:$F$400,'Étape 1 - à remplir'!$E$31:$E$400,MASQ2!BV583,'Étape 1 - à remplir'!$G$31:$G$400,"lots"),SUMIFS('Étape 1 - à remplir'!$F$31:$F$400,'Étape 1 - à remplir'!$E$31:$E$400,MASQ2!BV583,'Étape 1 - à remplir'!$C$31:$C$400,CE$3)),IF(CE$2="Âge",IF(CE$3="Tous",SUMIFS('Étape 1 - à remplir'!$F$31:$F$400,'Étape 1 - à remplir'!$E$31:$E$400,MASQ2!BV583,'Étape 1 - à remplir'!$G$31:$G$400,"lots"),SUMIFS('Étape 1 - à remplir'!$F$31:$F$400,'Étape 1 - à remplir'!$E$31:$E$400,MASQ2!BV583,'Étape 1 - à remplir'!$P$31:$P$400,CE$3,'Étape 1 - à remplir'!$G$31:$G$400,"lots")),IF(CE$2="Atelier",IF(CE$3="Tous",SUMIFS('Étape 1 - à remplir'!$F$31:$F$400,'Étape 1 - à remplir'!$E$31:$E$400,MASQ2!BV583,'Étape 1 - à remplir'!$G$31:$G$400,"lots"),SUMIFS('Étape 1 - à remplir'!$F$31:$F$400,'Étape 1 - à remplir'!$E$31:$E$400,MASQ2!BV583,'Étape 1 - à remplir'!$O$31:$O$400,CE$3,'Étape 1 - à remplir'!$G$31:$G$400,"lots")),IF(CE$2="Espèce",IF(CE$3="Toutes",SUMIFS('Étape 1 - à remplir'!$F$31:$F$400,'Étape 1 - à remplir'!$E$31:$E$400,MASQ2!BV583,'Étape 1 - à remplir'!$G$31:$G$400,"lots"),SUMIFS('Étape 1 - à remplir'!$F$31:$F$400,'Étape 1 - à remplir'!$E$31:$E$400,MASQ2!BV583,'Étape 1 - à remplir'!$N$31:$N$400,CE$3,'Étape 1 - à remplir'!$G$31:$G$400,"lots")))))))</f>
        <v>#N/A</v>
      </c>
      <c r="BX583">
        <f t="shared" si="358"/>
        <v>0</v>
      </c>
      <c r="BY583" t="str">
        <f t="shared" si="342"/>
        <v/>
      </c>
      <c r="BZ583" t="str">
        <f t="shared" si="343"/>
        <v/>
      </c>
      <c r="CA583" t="str">
        <f t="shared" si="344"/>
        <v/>
      </c>
      <c r="CB583" t="str">
        <f t="shared" si="345"/>
        <v/>
      </c>
      <c r="CC583" t="str">
        <f t="shared" si="346"/>
        <v/>
      </c>
      <c r="CD583" s="63" t="str">
        <f t="shared" si="347"/>
        <v/>
      </c>
      <c r="CG583" s="42">
        <v>580</v>
      </c>
      <c r="CH583" s="42" t="e">
        <f t="shared" si="338"/>
        <v>#N/A</v>
      </c>
      <c r="CI583" s="63" t="e">
        <f t="shared" si="339"/>
        <v>#N/A</v>
      </c>
      <c r="EA583" s="194" t="e">
        <f t="shared" ca="1" si="348"/>
        <v>#N/A</v>
      </c>
      <c r="EB583" s="226" t="str">
        <f>IFERROR(IF(ED583=0,"",COUNTIF(ED$4:ED$600,"&gt;"&amp;ED583)+COUNTIF(ED$4:ED583,ED583)),"")</f>
        <v/>
      </c>
      <c r="EC583">
        <f t="shared" si="349"/>
        <v>0</v>
      </c>
      <c r="ED583" t="e">
        <f>IF(IF(EL$2="Catégorie",IF(EL$3="Toutes",SUMIFS('Étape 1 - à remplir'!$F$31:$F$400,'Étape 1 - à remplir'!$E$31:$E$400,MASQ2!EC583,'Étape 1 - à remplir'!$G$31:$G$400,"kg"),SUMIFS('Étape 1 - à remplir'!$F$31:$F$400,'Étape 1 - à remplir'!$E$31:$E$400,MASQ2!EC583,'Étape 1 - à remplir'!$C$31:$C$400,EL$3)),IF(EL$2="Âge",IF(EL$3="Tous",SUMIFS('Étape 1 - à remplir'!$F$31:$F$400,'Étape 1 - à remplir'!$E$31:$E$400,MASQ2!EC583,'Étape 1 - à remplir'!$G$31:$G$400,"kg"),SUMIFS('Étape 1 - à remplir'!$F$31:$F$400,'Étape 1 - à remplir'!$E$31:$E$400,MASQ2!EC583,'Étape 1 - à remplir'!$P$31:$P$400,EL$3,'Étape 1 - à remplir'!$G$31:$G$400,"kg")),IF(EL$2="Atelier",IF(EL$3="Tous",SUMIFS('Étape 1 - à remplir'!$F$31:$F$400,'Étape 1 - à remplir'!$E$31:$E$400,MASQ2!EC583,'Étape 1 - à remplir'!$G$31:$G$400,"kg"),SUMIFS('Étape 1 - à remplir'!$F$31:$F$400,'Étape 1 - à remplir'!$E$31:$E$400,MASQ2!EC583,'Étape 1 - à remplir'!$O$31:$O$400,EL$3,'Étape 1 - à remplir'!$G$31:$G$400,"kg")),IF(EL$2="Espèce",IF(EL$3="Toutes",SUMIFS('Étape 1 - à remplir'!$F$31:$F$400,'Étape 1 - à remplir'!$E$31:$E$400,MASQ2!EC583,'Étape 1 - à remplir'!$G$31:$G$400,"kg"),SUMIFS('Étape 1 - à remplir'!$F$31:$F$400,'Étape 1 - à remplir'!$E$31:$E$400,MASQ2!EC583,'Étape 1 - à remplir'!$N$31:$N$400,EL$3,'Étape 1 - à remplir'!$G$31:$G$400,"kg"))))))=0,NA(),IF(EL$2="Catégorie",IF(EL$3="Toutes",SUMIFS('Étape 1 - à remplir'!$F$31:$F$400,'Étape 1 - à remplir'!$E$31:$E$400,MASQ2!EC583,'Étape 1 - à remplir'!$G$31:$G$400,"kg"),SUMIFS('Étape 1 - à remplir'!$F$31:$F$400,'Étape 1 - à remplir'!$E$31:$E$400,MASQ2!EC583,'Étape 1 - à remplir'!$C$31:$C$400,EL$3)),IF(EL$2="Âge",IF(EL$3="Tous",SUMIFS('Étape 1 - à remplir'!$F$31:$F$400,'Étape 1 - à remplir'!$E$31:$E$400,MASQ2!EC583,'Étape 1 - à remplir'!$G$31:$G$400,"kg"),SUMIFS('Étape 1 - à remplir'!$F$31:$F$400,'Étape 1 - à remplir'!$E$31:$E$400,MASQ2!EC583,'Étape 1 - à remplir'!$P$31:$P$400,EL$3,'Étape 1 - à remplir'!$G$31:$G$400,"kg")),IF(EL$2="Atelier",IF(EL$3="Tous",SUMIFS('Étape 1 - à remplir'!$F$31:$F$400,'Étape 1 - à remplir'!$E$31:$E$400,MASQ2!EC583,'Étape 1 - à remplir'!$G$31:$G$400,"kg"),SUMIFS('Étape 1 - à remplir'!$F$31:$F$400,'Étape 1 - à remplir'!$E$31:$E$400,MASQ2!EC583,'Étape 1 - à remplir'!$O$31:$O$400,EL$3,'Étape 1 - à remplir'!$G$31:$G$400,"kg")),IF(EL$2="Espèce",IF(EL$3="Toutes",SUMIFS('Étape 1 - à remplir'!$F$31:$F$400,'Étape 1 - à remplir'!$E$31:$E$400,MASQ2!EC583,'Étape 1 - à remplir'!$G$31:$G$400,"kg"),SUMIFS('Étape 1 - à remplir'!$F$31:$F$400,'Étape 1 - à remplir'!$E$31:$E$400,MASQ2!EC583,'Étape 1 - à remplir'!$N$31:$N$400,EL$3,'Étape 1 - à remplir'!$G$31:$G$400,"kg")))))))</f>
        <v>#N/A</v>
      </c>
      <c r="EE583" s="76">
        <f t="shared" si="359"/>
        <v>0</v>
      </c>
      <c r="EF583" t="str">
        <f t="shared" si="350"/>
        <v/>
      </c>
      <c r="EG583" t="str">
        <f t="shared" si="351"/>
        <v/>
      </c>
      <c r="EH583" t="str">
        <f t="shared" si="352"/>
        <v/>
      </c>
      <c r="EI583" t="str">
        <f t="shared" si="353"/>
        <v/>
      </c>
      <c r="EJ583" t="str">
        <f t="shared" si="354"/>
        <v/>
      </c>
      <c r="EK583" s="63" t="str">
        <f t="shared" si="355"/>
        <v/>
      </c>
      <c r="EN583" s="42">
        <v>580</v>
      </c>
      <c r="EO583" t="e">
        <f t="shared" si="336"/>
        <v>#N/A</v>
      </c>
      <c r="EP583" s="63" t="e">
        <f t="shared" si="337"/>
        <v>#N/A</v>
      </c>
    </row>
    <row r="584" spans="13:146" x14ac:dyDescent="0.3">
      <c r="M584" s="194" t="e">
        <f ca="1">INDEX(Données_ATB!BD:BU,MATCH(MASQ2!O584,Données_ATB!BD:BD,0),18)</f>
        <v>#N/A</v>
      </c>
      <c r="N584" s="14" t="str">
        <f>IFERROR(IF(Q584=0,"",COUNTIF(Q$4:Q$600,"&gt;"&amp;Q584)+COUNTIF(Q$4:Q584,Q584)),"")</f>
        <v/>
      </c>
      <c r="O584">
        <f>Données_ATB!BD583</f>
        <v>0</v>
      </c>
      <c r="P584" t="e">
        <f>IF(IF(X$2="Catégorie",IF(X$3="Toutes",SUMIFS('Étape 1 - à remplir'!$F$31:$F$400,'Étape 1 - à remplir'!$E$31:$E$400,MASQ2!O584,'Étape 1 - à remplir'!$G$31:$G$400,"animaux"),SUMIFS('Étape 1 - à remplir'!$F$31:$F$400,'Étape 1 - à remplir'!$E$31:$E$400,MASQ2!O584,'Étape 1 - à remplir'!$C$31:$C$400,X$3)),IF(X$2="Âge",IF(X$3="Tous",SUMIFS('Étape 1 - à remplir'!$F$31:$F$400,'Étape 1 - à remplir'!$E$31:$E$400,MASQ2!O584,'Étape 1 - à remplir'!$G$31:$G$400,"animaux"),SUMIFS('Étape 1 - à remplir'!$F$31:$F$400,'Étape 1 - à remplir'!$E$31:$E$400,MASQ2!O584,'Étape 1 - à remplir'!$P$31:$P$400,X$3)),IF(X$2="Atelier",IF(X$3="Tous",SUMIFS('Étape 1 - à remplir'!$F$31:$F$400,'Étape 1 - à remplir'!$E$31:$E$400,MASQ2!O584,'Étape 1 - à remplir'!$G$31:$G$400,"animaux"),SUMIFS('Étape 1 - à remplir'!$F$31:$F$400,'Étape 1 - à remplir'!$E$31:$E$400,MASQ2!O584,'Étape 1 - à remplir'!$O$31:$O$400,X$3)),IF(X$2="Espèce",IF(X$3="Toutes",SUMIFS('Étape 1 - à remplir'!$F$31:$F$400,'Étape 1 - à remplir'!$E$31:$E$400,MASQ2!O584,'Étape 1 - à remplir'!$G$31:$G$400,"animaux"),SUMIFS('Étape 1 - à remplir'!$F$31:$F$400,'Étape 1 - à remplir'!$E$31:$E$400,MASQ2!O584,'Étape 1 - à remplir'!$N$31:$N$400,X$3))))))=0,NA(),IF(X$2="Catégorie",IF(X$3="Toutes",SUMIFS('Étape 1 - à remplir'!$F$31:$F$400,'Étape 1 - à remplir'!$E$31:$E$400,MASQ2!O584,'Étape 1 - à remplir'!$G$31:$G$400,"animaux"),SUMIFS('Étape 1 - à remplir'!$F$31:$F$400,'Étape 1 - à remplir'!$E$31:$E$400,MASQ2!O584,'Étape 1 - à remplir'!$C$31:$C$400,X$3)),IF(X$2="Âge",IF(X$3="Tous",SUMIFS('Étape 1 - à remplir'!$F$31:$F$400,'Étape 1 - à remplir'!$E$31:$E$400,MASQ2!O584,'Étape 1 - à remplir'!$G$31:$G$400,"animaux"),SUMIFS('Étape 1 - à remplir'!$F$31:$F$400,'Étape 1 - à remplir'!$E$31:$E$400,MASQ2!O584,'Étape 1 - à remplir'!$P$31:$P$400,X$3)),IF(X$2="Atelier",IF(X$3="Tous",SUMIFS('Étape 1 - à remplir'!$F$31:$F$400,'Étape 1 - à remplir'!$E$31:$E$400,MASQ2!O584,'Étape 1 - à remplir'!$G$31:$G$400,"animaux"),SUMIFS('Étape 1 - à remplir'!$F$31:$F$400,'Étape 1 - à remplir'!$E$31:$E$400,MASQ2!O584,'Étape 1 - à remplir'!$O$31:$O$400,X$3)),IF(X$2="Espèce",IF(X$3="Toutes",SUMIFS('Étape 1 - à remplir'!$F$31:$F$400,'Étape 1 - à remplir'!$E$31:$E$400,MASQ2!O584,'Étape 1 - à remplir'!$G$31:$G$400,"animaux"),SUMIFS('Étape 1 - à remplir'!$F$31:$F$400,'Étape 1 - à remplir'!$E$31:$E$400,MASQ2!O584,'Étape 1 - à remplir'!$N$31:$N$400,X$3)))))))</f>
        <v>#N/A</v>
      </c>
      <c r="Q584" s="63">
        <f t="shared" si="360"/>
        <v>0</v>
      </c>
      <c r="R584" t="str">
        <f>Données_ATB!BM583</f>
        <v/>
      </c>
      <c r="S584" t="str">
        <f>Données_ATB!BN583</f>
        <v/>
      </c>
      <c r="T584" s="63" t="str">
        <f>Données_ATB!BO583</f>
        <v/>
      </c>
      <c r="U584" s="42" t="str">
        <f>Données_ATB!BQ583</f>
        <v/>
      </c>
      <c r="V584" t="str">
        <f>Données_ATB!BR583</f>
        <v/>
      </c>
      <c r="W584" s="63" t="str">
        <f>Données_ATB!BS583</f>
        <v/>
      </c>
      <c r="Z584" s="42">
        <v>581</v>
      </c>
      <c r="AA584" t="e">
        <f t="shared" si="356"/>
        <v>#N/A</v>
      </c>
      <c r="AB584" s="63" t="e">
        <f t="shared" si="357"/>
        <v>#N/A</v>
      </c>
      <c r="BT584" s="194" t="e">
        <f t="shared" ca="1" si="340"/>
        <v>#N/A</v>
      </c>
      <c r="BU584" s="219" t="str">
        <f>IFERROR(IF(BX584=0,"",COUNTIF(BX$4:BX$600,"&gt;"&amp;BX584)+COUNTIF(BX$4:BX584,BX584)),"")</f>
        <v/>
      </c>
      <c r="BV584" s="42">
        <f t="shared" si="341"/>
        <v>0</v>
      </c>
      <c r="BW584" t="e">
        <f>IF(IF(CE$2="Catégorie",IF(CE$3="Toutes",SUMIFS('Étape 1 - à remplir'!$F$31:$F$400,'Étape 1 - à remplir'!$E$31:$E$400,MASQ2!BV584,'Étape 1 - à remplir'!$G$31:$G$400,"lots"),SUMIFS('Étape 1 - à remplir'!$F$31:$F$400,'Étape 1 - à remplir'!$E$31:$E$400,MASQ2!BV584,'Étape 1 - à remplir'!$C$31:$C$400,CE$3)),IF(CE$2="Âge",IF(CE$3="Tous",SUMIFS('Étape 1 - à remplir'!$F$31:$F$400,'Étape 1 - à remplir'!$E$31:$E$400,MASQ2!BV584,'Étape 1 - à remplir'!$G$31:$G$400,"lots"),SUMIFS('Étape 1 - à remplir'!$F$31:$F$400,'Étape 1 - à remplir'!$E$31:$E$400,MASQ2!BV584,'Étape 1 - à remplir'!$P$31:$P$400,CE$3,'Étape 1 - à remplir'!$G$31:$G$400,"lots")),IF(CE$2="Atelier",IF(CE$3="Tous",SUMIFS('Étape 1 - à remplir'!$F$31:$F$400,'Étape 1 - à remplir'!$E$31:$E$400,MASQ2!BV584,'Étape 1 - à remplir'!$G$31:$G$400,"lots"),SUMIFS('Étape 1 - à remplir'!$F$31:$F$400,'Étape 1 - à remplir'!$E$31:$E$400,MASQ2!BV584,'Étape 1 - à remplir'!$O$31:$O$400,CE$3,'Étape 1 - à remplir'!$G$31:$G$400,"lots")),IF(CE$2="Espèce",IF(CE$3="Toutes",SUMIFS('Étape 1 - à remplir'!$F$31:$F$400,'Étape 1 - à remplir'!$E$31:$E$400,MASQ2!BV584,'Étape 1 - à remplir'!$G$31:$G$400,"lots"),SUMIFS('Étape 1 - à remplir'!$F$31:$F$400,'Étape 1 - à remplir'!$E$31:$E$400,MASQ2!BV584,'Étape 1 - à remplir'!$N$31:$N$400,CE$3,'Étape 1 - à remplir'!$G$31:$G$400,"lots"))))))=0,NA(),IF(CE$2="Catégorie",IF(CE$3="Toutes",SUMIFS('Étape 1 - à remplir'!$F$31:$F$400,'Étape 1 - à remplir'!$E$31:$E$400,MASQ2!BV584,'Étape 1 - à remplir'!$G$31:$G$400,"lots"),SUMIFS('Étape 1 - à remplir'!$F$31:$F$400,'Étape 1 - à remplir'!$E$31:$E$400,MASQ2!BV584,'Étape 1 - à remplir'!$C$31:$C$400,CE$3)),IF(CE$2="Âge",IF(CE$3="Tous",SUMIFS('Étape 1 - à remplir'!$F$31:$F$400,'Étape 1 - à remplir'!$E$31:$E$400,MASQ2!BV584,'Étape 1 - à remplir'!$G$31:$G$400,"lots"),SUMIFS('Étape 1 - à remplir'!$F$31:$F$400,'Étape 1 - à remplir'!$E$31:$E$400,MASQ2!BV584,'Étape 1 - à remplir'!$P$31:$P$400,CE$3,'Étape 1 - à remplir'!$G$31:$G$400,"lots")),IF(CE$2="Atelier",IF(CE$3="Tous",SUMIFS('Étape 1 - à remplir'!$F$31:$F$400,'Étape 1 - à remplir'!$E$31:$E$400,MASQ2!BV584,'Étape 1 - à remplir'!$G$31:$G$400,"lots"),SUMIFS('Étape 1 - à remplir'!$F$31:$F$400,'Étape 1 - à remplir'!$E$31:$E$400,MASQ2!BV584,'Étape 1 - à remplir'!$O$31:$O$400,CE$3,'Étape 1 - à remplir'!$G$31:$G$400,"lots")),IF(CE$2="Espèce",IF(CE$3="Toutes",SUMIFS('Étape 1 - à remplir'!$F$31:$F$400,'Étape 1 - à remplir'!$E$31:$E$400,MASQ2!BV584,'Étape 1 - à remplir'!$G$31:$G$400,"lots"),SUMIFS('Étape 1 - à remplir'!$F$31:$F$400,'Étape 1 - à remplir'!$E$31:$E$400,MASQ2!BV584,'Étape 1 - à remplir'!$N$31:$N$400,CE$3,'Étape 1 - à remplir'!$G$31:$G$400,"lots")))))))</f>
        <v>#N/A</v>
      </c>
      <c r="BX584">
        <f t="shared" si="358"/>
        <v>0</v>
      </c>
      <c r="BY584" t="str">
        <f t="shared" si="342"/>
        <v/>
      </c>
      <c r="BZ584" t="str">
        <f t="shared" si="343"/>
        <v/>
      </c>
      <c r="CA584" t="str">
        <f t="shared" si="344"/>
        <v/>
      </c>
      <c r="CB584" t="str">
        <f t="shared" si="345"/>
        <v/>
      </c>
      <c r="CC584" t="str">
        <f t="shared" si="346"/>
        <v/>
      </c>
      <c r="CD584" s="63" t="str">
        <f t="shared" si="347"/>
        <v/>
      </c>
      <c r="CG584" s="42">
        <v>581</v>
      </c>
      <c r="CH584" s="42" t="e">
        <f t="shared" si="338"/>
        <v>#N/A</v>
      </c>
      <c r="CI584" s="63" t="e">
        <f t="shared" si="339"/>
        <v>#N/A</v>
      </c>
      <c r="EA584" s="194" t="e">
        <f t="shared" ca="1" si="348"/>
        <v>#N/A</v>
      </c>
      <c r="EB584" s="226" t="str">
        <f>IFERROR(IF(ED584=0,"",COUNTIF(ED$4:ED$600,"&gt;"&amp;ED584)+COUNTIF(ED$4:ED584,ED584)),"")</f>
        <v/>
      </c>
      <c r="EC584">
        <f t="shared" si="349"/>
        <v>0</v>
      </c>
      <c r="ED584" t="e">
        <f>IF(IF(EL$2="Catégorie",IF(EL$3="Toutes",SUMIFS('Étape 1 - à remplir'!$F$31:$F$400,'Étape 1 - à remplir'!$E$31:$E$400,MASQ2!EC584,'Étape 1 - à remplir'!$G$31:$G$400,"kg"),SUMIFS('Étape 1 - à remplir'!$F$31:$F$400,'Étape 1 - à remplir'!$E$31:$E$400,MASQ2!EC584,'Étape 1 - à remplir'!$C$31:$C$400,EL$3)),IF(EL$2="Âge",IF(EL$3="Tous",SUMIFS('Étape 1 - à remplir'!$F$31:$F$400,'Étape 1 - à remplir'!$E$31:$E$400,MASQ2!EC584,'Étape 1 - à remplir'!$G$31:$G$400,"kg"),SUMIFS('Étape 1 - à remplir'!$F$31:$F$400,'Étape 1 - à remplir'!$E$31:$E$400,MASQ2!EC584,'Étape 1 - à remplir'!$P$31:$P$400,EL$3,'Étape 1 - à remplir'!$G$31:$G$400,"kg")),IF(EL$2="Atelier",IF(EL$3="Tous",SUMIFS('Étape 1 - à remplir'!$F$31:$F$400,'Étape 1 - à remplir'!$E$31:$E$400,MASQ2!EC584,'Étape 1 - à remplir'!$G$31:$G$400,"kg"),SUMIFS('Étape 1 - à remplir'!$F$31:$F$400,'Étape 1 - à remplir'!$E$31:$E$400,MASQ2!EC584,'Étape 1 - à remplir'!$O$31:$O$400,EL$3,'Étape 1 - à remplir'!$G$31:$G$400,"kg")),IF(EL$2="Espèce",IF(EL$3="Toutes",SUMIFS('Étape 1 - à remplir'!$F$31:$F$400,'Étape 1 - à remplir'!$E$31:$E$400,MASQ2!EC584,'Étape 1 - à remplir'!$G$31:$G$400,"kg"),SUMIFS('Étape 1 - à remplir'!$F$31:$F$400,'Étape 1 - à remplir'!$E$31:$E$400,MASQ2!EC584,'Étape 1 - à remplir'!$N$31:$N$400,EL$3,'Étape 1 - à remplir'!$G$31:$G$400,"kg"))))))=0,NA(),IF(EL$2="Catégorie",IF(EL$3="Toutes",SUMIFS('Étape 1 - à remplir'!$F$31:$F$400,'Étape 1 - à remplir'!$E$31:$E$400,MASQ2!EC584,'Étape 1 - à remplir'!$G$31:$G$400,"kg"),SUMIFS('Étape 1 - à remplir'!$F$31:$F$400,'Étape 1 - à remplir'!$E$31:$E$400,MASQ2!EC584,'Étape 1 - à remplir'!$C$31:$C$400,EL$3)),IF(EL$2="Âge",IF(EL$3="Tous",SUMIFS('Étape 1 - à remplir'!$F$31:$F$400,'Étape 1 - à remplir'!$E$31:$E$400,MASQ2!EC584,'Étape 1 - à remplir'!$G$31:$G$400,"kg"),SUMIFS('Étape 1 - à remplir'!$F$31:$F$400,'Étape 1 - à remplir'!$E$31:$E$400,MASQ2!EC584,'Étape 1 - à remplir'!$P$31:$P$400,EL$3,'Étape 1 - à remplir'!$G$31:$G$400,"kg")),IF(EL$2="Atelier",IF(EL$3="Tous",SUMIFS('Étape 1 - à remplir'!$F$31:$F$400,'Étape 1 - à remplir'!$E$31:$E$400,MASQ2!EC584,'Étape 1 - à remplir'!$G$31:$G$400,"kg"),SUMIFS('Étape 1 - à remplir'!$F$31:$F$400,'Étape 1 - à remplir'!$E$31:$E$400,MASQ2!EC584,'Étape 1 - à remplir'!$O$31:$O$400,EL$3,'Étape 1 - à remplir'!$G$31:$G$400,"kg")),IF(EL$2="Espèce",IF(EL$3="Toutes",SUMIFS('Étape 1 - à remplir'!$F$31:$F$400,'Étape 1 - à remplir'!$E$31:$E$400,MASQ2!EC584,'Étape 1 - à remplir'!$G$31:$G$400,"kg"),SUMIFS('Étape 1 - à remplir'!$F$31:$F$400,'Étape 1 - à remplir'!$E$31:$E$400,MASQ2!EC584,'Étape 1 - à remplir'!$N$31:$N$400,EL$3,'Étape 1 - à remplir'!$G$31:$G$400,"kg")))))))</f>
        <v>#N/A</v>
      </c>
      <c r="EE584" s="76">
        <f t="shared" si="359"/>
        <v>0</v>
      </c>
      <c r="EF584" t="str">
        <f t="shared" si="350"/>
        <v/>
      </c>
      <c r="EG584" t="str">
        <f t="shared" si="351"/>
        <v/>
      </c>
      <c r="EH584" t="str">
        <f t="shared" si="352"/>
        <v/>
      </c>
      <c r="EI584" t="str">
        <f t="shared" si="353"/>
        <v/>
      </c>
      <c r="EJ584" t="str">
        <f t="shared" si="354"/>
        <v/>
      </c>
      <c r="EK584" s="63" t="str">
        <f t="shared" si="355"/>
        <v/>
      </c>
      <c r="EN584" s="42">
        <v>581</v>
      </c>
      <c r="EO584" t="e">
        <f t="shared" si="336"/>
        <v>#N/A</v>
      </c>
      <c r="EP584" s="63" t="e">
        <f t="shared" si="337"/>
        <v>#N/A</v>
      </c>
    </row>
    <row r="585" spans="13:146" x14ac:dyDescent="0.3">
      <c r="M585" s="194" t="e">
        <f ca="1">INDEX(Données_ATB!BD:BU,MATCH(MASQ2!O585,Données_ATB!BD:BD,0),18)</f>
        <v>#N/A</v>
      </c>
      <c r="N585" s="14" t="str">
        <f>IFERROR(IF(Q585=0,"",COUNTIF(Q$4:Q$600,"&gt;"&amp;Q585)+COUNTIF(Q$4:Q585,Q585)),"")</f>
        <v/>
      </c>
      <c r="O585">
        <f>Données_ATB!BD584</f>
        <v>0</v>
      </c>
      <c r="P585" t="e">
        <f>IF(IF(X$2="Catégorie",IF(X$3="Toutes",SUMIFS('Étape 1 - à remplir'!$F$31:$F$400,'Étape 1 - à remplir'!$E$31:$E$400,MASQ2!O585,'Étape 1 - à remplir'!$G$31:$G$400,"animaux"),SUMIFS('Étape 1 - à remplir'!$F$31:$F$400,'Étape 1 - à remplir'!$E$31:$E$400,MASQ2!O585,'Étape 1 - à remplir'!$C$31:$C$400,X$3)),IF(X$2="Âge",IF(X$3="Tous",SUMIFS('Étape 1 - à remplir'!$F$31:$F$400,'Étape 1 - à remplir'!$E$31:$E$400,MASQ2!O585,'Étape 1 - à remplir'!$G$31:$G$400,"animaux"),SUMIFS('Étape 1 - à remplir'!$F$31:$F$400,'Étape 1 - à remplir'!$E$31:$E$400,MASQ2!O585,'Étape 1 - à remplir'!$P$31:$P$400,X$3)),IF(X$2="Atelier",IF(X$3="Tous",SUMIFS('Étape 1 - à remplir'!$F$31:$F$400,'Étape 1 - à remplir'!$E$31:$E$400,MASQ2!O585,'Étape 1 - à remplir'!$G$31:$G$400,"animaux"),SUMIFS('Étape 1 - à remplir'!$F$31:$F$400,'Étape 1 - à remplir'!$E$31:$E$400,MASQ2!O585,'Étape 1 - à remplir'!$O$31:$O$400,X$3)),IF(X$2="Espèce",IF(X$3="Toutes",SUMIFS('Étape 1 - à remplir'!$F$31:$F$400,'Étape 1 - à remplir'!$E$31:$E$400,MASQ2!O585,'Étape 1 - à remplir'!$G$31:$G$400,"animaux"),SUMIFS('Étape 1 - à remplir'!$F$31:$F$400,'Étape 1 - à remplir'!$E$31:$E$400,MASQ2!O585,'Étape 1 - à remplir'!$N$31:$N$400,X$3))))))=0,NA(),IF(X$2="Catégorie",IF(X$3="Toutes",SUMIFS('Étape 1 - à remplir'!$F$31:$F$400,'Étape 1 - à remplir'!$E$31:$E$400,MASQ2!O585,'Étape 1 - à remplir'!$G$31:$G$400,"animaux"),SUMIFS('Étape 1 - à remplir'!$F$31:$F$400,'Étape 1 - à remplir'!$E$31:$E$400,MASQ2!O585,'Étape 1 - à remplir'!$C$31:$C$400,X$3)),IF(X$2="Âge",IF(X$3="Tous",SUMIFS('Étape 1 - à remplir'!$F$31:$F$400,'Étape 1 - à remplir'!$E$31:$E$400,MASQ2!O585,'Étape 1 - à remplir'!$G$31:$G$400,"animaux"),SUMIFS('Étape 1 - à remplir'!$F$31:$F$400,'Étape 1 - à remplir'!$E$31:$E$400,MASQ2!O585,'Étape 1 - à remplir'!$P$31:$P$400,X$3)),IF(X$2="Atelier",IF(X$3="Tous",SUMIFS('Étape 1 - à remplir'!$F$31:$F$400,'Étape 1 - à remplir'!$E$31:$E$400,MASQ2!O585,'Étape 1 - à remplir'!$G$31:$G$400,"animaux"),SUMIFS('Étape 1 - à remplir'!$F$31:$F$400,'Étape 1 - à remplir'!$E$31:$E$400,MASQ2!O585,'Étape 1 - à remplir'!$O$31:$O$400,X$3)),IF(X$2="Espèce",IF(X$3="Toutes",SUMIFS('Étape 1 - à remplir'!$F$31:$F$400,'Étape 1 - à remplir'!$E$31:$E$400,MASQ2!O585,'Étape 1 - à remplir'!$G$31:$G$400,"animaux"),SUMIFS('Étape 1 - à remplir'!$F$31:$F$400,'Étape 1 - à remplir'!$E$31:$E$400,MASQ2!O585,'Étape 1 - à remplir'!$N$31:$N$400,X$3)))))))</f>
        <v>#N/A</v>
      </c>
      <c r="Q585" s="63">
        <f t="shared" si="360"/>
        <v>0</v>
      </c>
      <c r="R585" t="str">
        <f>Données_ATB!BM584</f>
        <v/>
      </c>
      <c r="S585" t="str">
        <f>Données_ATB!BN584</f>
        <v/>
      </c>
      <c r="T585" s="63" t="str">
        <f>Données_ATB!BO584</f>
        <v/>
      </c>
      <c r="U585" s="42" t="str">
        <f>Données_ATB!BQ584</f>
        <v/>
      </c>
      <c r="V585" t="str">
        <f>Données_ATB!BR584</f>
        <v/>
      </c>
      <c r="W585" s="63" t="str">
        <f>Données_ATB!BS584</f>
        <v/>
      </c>
      <c r="Z585" s="42">
        <v>582</v>
      </c>
      <c r="AA585" t="e">
        <f t="shared" si="356"/>
        <v>#N/A</v>
      </c>
      <c r="AB585" s="63" t="e">
        <f t="shared" si="357"/>
        <v>#N/A</v>
      </c>
      <c r="BT585" s="194" t="e">
        <f t="shared" ca="1" si="340"/>
        <v>#N/A</v>
      </c>
      <c r="BU585" s="219" t="str">
        <f>IFERROR(IF(BX585=0,"",COUNTIF(BX$4:BX$600,"&gt;"&amp;BX585)+COUNTIF(BX$4:BX585,BX585)),"")</f>
        <v/>
      </c>
      <c r="BV585" s="42">
        <f t="shared" si="341"/>
        <v>0</v>
      </c>
      <c r="BW585" t="e">
        <f>IF(IF(CE$2="Catégorie",IF(CE$3="Toutes",SUMIFS('Étape 1 - à remplir'!$F$31:$F$400,'Étape 1 - à remplir'!$E$31:$E$400,MASQ2!BV585,'Étape 1 - à remplir'!$G$31:$G$400,"lots"),SUMIFS('Étape 1 - à remplir'!$F$31:$F$400,'Étape 1 - à remplir'!$E$31:$E$400,MASQ2!BV585,'Étape 1 - à remplir'!$C$31:$C$400,CE$3)),IF(CE$2="Âge",IF(CE$3="Tous",SUMIFS('Étape 1 - à remplir'!$F$31:$F$400,'Étape 1 - à remplir'!$E$31:$E$400,MASQ2!BV585,'Étape 1 - à remplir'!$G$31:$G$400,"lots"),SUMIFS('Étape 1 - à remplir'!$F$31:$F$400,'Étape 1 - à remplir'!$E$31:$E$400,MASQ2!BV585,'Étape 1 - à remplir'!$P$31:$P$400,CE$3,'Étape 1 - à remplir'!$G$31:$G$400,"lots")),IF(CE$2="Atelier",IF(CE$3="Tous",SUMIFS('Étape 1 - à remplir'!$F$31:$F$400,'Étape 1 - à remplir'!$E$31:$E$400,MASQ2!BV585,'Étape 1 - à remplir'!$G$31:$G$400,"lots"),SUMIFS('Étape 1 - à remplir'!$F$31:$F$400,'Étape 1 - à remplir'!$E$31:$E$400,MASQ2!BV585,'Étape 1 - à remplir'!$O$31:$O$400,CE$3,'Étape 1 - à remplir'!$G$31:$G$400,"lots")),IF(CE$2="Espèce",IF(CE$3="Toutes",SUMIFS('Étape 1 - à remplir'!$F$31:$F$400,'Étape 1 - à remplir'!$E$31:$E$400,MASQ2!BV585,'Étape 1 - à remplir'!$G$31:$G$400,"lots"),SUMIFS('Étape 1 - à remplir'!$F$31:$F$400,'Étape 1 - à remplir'!$E$31:$E$400,MASQ2!BV585,'Étape 1 - à remplir'!$N$31:$N$400,CE$3,'Étape 1 - à remplir'!$G$31:$G$400,"lots"))))))=0,NA(),IF(CE$2="Catégorie",IF(CE$3="Toutes",SUMIFS('Étape 1 - à remplir'!$F$31:$F$400,'Étape 1 - à remplir'!$E$31:$E$400,MASQ2!BV585,'Étape 1 - à remplir'!$G$31:$G$400,"lots"),SUMIFS('Étape 1 - à remplir'!$F$31:$F$400,'Étape 1 - à remplir'!$E$31:$E$400,MASQ2!BV585,'Étape 1 - à remplir'!$C$31:$C$400,CE$3)),IF(CE$2="Âge",IF(CE$3="Tous",SUMIFS('Étape 1 - à remplir'!$F$31:$F$400,'Étape 1 - à remplir'!$E$31:$E$400,MASQ2!BV585,'Étape 1 - à remplir'!$G$31:$G$400,"lots"),SUMIFS('Étape 1 - à remplir'!$F$31:$F$400,'Étape 1 - à remplir'!$E$31:$E$400,MASQ2!BV585,'Étape 1 - à remplir'!$P$31:$P$400,CE$3,'Étape 1 - à remplir'!$G$31:$G$400,"lots")),IF(CE$2="Atelier",IF(CE$3="Tous",SUMIFS('Étape 1 - à remplir'!$F$31:$F$400,'Étape 1 - à remplir'!$E$31:$E$400,MASQ2!BV585,'Étape 1 - à remplir'!$G$31:$G$400,"lots"),SUMIFS('Étape 1 - à remplir'!$F$31:$F$400,'Étape 1 - à remplir'!$E$31:$E$400,MASQ2!BV585,'Étape 1 - à remplir'!$O$31:$O$400,CE$3,'Étape 1 - à remplir'!$G$31:$G$400,"lots")),IF(CE$2="Espèce",IF(CE$3="Toutes",SUMIFS('Étape 1 - à remplir'!$F$31:$F$400,'Étape 1 - à remplir'!$E$31:$E$400,MASQ2!BV585,'Étape 1 - à remplir'!$G$31:$G$400,"lots"),SUMIFS('Étape 1 - à remplir'!$F$31:$F$400,'Étape 1 - à remplir'!$E$31:$E$400,MASQ2!BV585,'Étape 1 - à remplir'!$N$31:$N$400,CE$3,'Étape 1 - à remplir'!$G$31:$G$400,"lots")))))))</f>
        <v>#N/A</v>
      </c>
      <c r="BX585">
        <f t="shared" si="358"/>
        <v>0</v>
      </c>
      <c r="BY585" t="str">
        <f t="shared" si="342"/>
        <v/>
      </c>
      <c r="BZ585" t="str">
        <f t="shared" si="343"/>
        <v/>
      </c>
      <c r="CA585" t="str">
        <f t="shared" si="344"/>
        <v/>
      </c>
      <c r="CB585" t="str">
        <f t="shared" si="345"/>
        <v/>
      </c>
      <c r="CC585" t="str">
        <f t="shared" si="346"/>
        <v/>
      </c>
      <c r="CD585" s="63" t="str">
        <f t="shared" si="347"/>
        <v/>
      </c>
      <c r="CG585" s="42">
        <v>582</v>
      </c>
      <c r="CH585" s="42" t="e">
        <f t="shared" si="338"/>
        <v>#N/A</v>
      </c>
      <c r="CI585" s="63" t="e">
        <f t="shared" si="339"/>
        <v>#N/A</v>
      </c>
      <c r="EA585" s="194" t="e">
        <f t="shared" ca="1" si="348"/>
        <v>#N/A</v>
      </c>
      <c r="EB585" s="226" t="str">
        <f>IFERROR(IF(ED585=0,"",COUNTIF(ED$4:ED$600,"&gt;"&amp;ED585)+COUNTIF(ED$4:ED585,ED585)),"")</f>
        <v/>
      </c>
      <c r="EC585">
        <f t="shared" si="349"/>
        <v>0</v>
      </c>
      <c r="ED585" t="e">
        <f>IF(IF(EL$2="Catégorie",IF(EL$3="Toutes",SUMIFS('Étape 1 - à remplir'!$F$31:$F$400,'Étape 1 - à remplir'!$E$31:$E$400,MASQ2!EC585,'Étape 1 - à remplir'!$G$31:$G$400,"kg"),SUMIFS('Étape 1 - à remplir'!$F$31:$F$400,'Étape 1 - à remplir'!$E$31:$E$400,MASQ2!EC585,'Étape 1 - à remplir'!$C$31:$C$400,EL$3)),IF(EL$2="Âge",IF(EL$3="Tous",SUMIFS('Étape 1 - à remplir'!$F$31:$F$400,'Étape 1 - à remplir'!$E$31:$E$400,MASQ2!EC585,'Étape 1 - à remplir'!$G$31:$G$400,"kg"),SUMIFS('Étape 1 - à remplir'!$F$31:$F$400,'Étape 1 - à remplir'!$E$31:$E$400,MASQ2!EC585,'Étape 1 - à remplir'!$P$31:$P$400,EL$3,'Étape 1 - à remplir'!$G$31:$G$400,"kg")),IF(EL$2="Atelier",IF(EL$3="Tous",SUMIFS('Étape 1 - à remplir'!$F$31:$F$400,'Étape 1 - à remplir'!$E$31:$E$400,MASQ2!EC585,'Étape 1 - à remplir'!$G$31:$G$400,"kg"),SUMIFS('Étape 1 - à remplir'!$F$31:$F$400,'Étape 1 - à remplir'!$E$31:$E$400,MASQ2!EC585,'Étape 1 - à remplir'!$O$31:$O$400,EL$3,'Étape 1 - à remplir'!$G$31:$G$400,"kg")),IF(EL$2="Espèce",IF(EL$3="Toutes",SUMIFS('Étape 1 - à remplir'!$F$31:$F$400,'Étape 1 - à remplir'!$E$31:$E$400,MASQ2!EC585,'Étape 1 - à remplir'!$G$31:$G$400,"kg"),SUMIFS('Étape 1 - à remplir'!$F$31:$F$400,'Étape 1 - à remplir'!$E$31:$E$400,MASQ2!EC585,'Étape 1 - à remplir'!$N$31:$N$400,EL$3,'Étape 1 - à remplir'!$G$31:$G$400,"kg"))))))=0,NA(),IF(EL$2="Catégorie",IF(EL$3="Toutes",SUMIFS('Étape 1 - à remplir'!$F$31:$F$400,'Étape 1 - à remplir'!$E$31:$E$400,MASQ2!EC585,'Étape 1 - à remplir'!$G$31:$G$400,"kg"),SUMIFS('Étape 1 - à remplir'!$F$31:$F$400,'Étape 1 - à remplir'!$E$31:$E$400,MASQ2!EC585,'Étape 1 - à remplir'!$C$31:$C$400,EL$3)),IF(EL$2="Âge",IF(EL$3="Tous",SUMIFS('Étape 1 - à remplir'!$F$31:$F$400,'Étape 1 - à remplir'!$E$31:$E$400,MASQ2!EC585,'Étape 1 - à remplir'!$G$31:$G$400,"kg"),SUMIFS('Étape 1 - à remplir'!$F$31:$F$400,'Étape 1 - à remplir'!$E$31:$E$400,MASQ2!EC585,'Étape 1 - à remplir'!$P$31:$P$400,EL$3,'Étape 1 - à remplir'!$G$31:$G$400,"kg")),IF(EL$2="Atelier",IF(EL$3="Tous",SUMIFS('Étape 1 - à remplir'!$F$31:$F$400,'Étape 1 - à remplir'!$E$31:$E$400,MASQ2!EC585,'Étape 1 - à remplir'!$G$31:$G$400,"kg"),SUMIFS('Étape 1 - à remplir'!$F$31:$F$400,'Étape 1 - à remplir'!$E$31:$E$400,MASQ2!EC585,'Étape 1 - à remplir'!$O$31:$O$400,EL$3,'Étape 1 - à remplir'!$G$31:$G$400,"kg")),IF(EL$2="Espèce",IF(EL$3="Toutes",SUMIFS('Étape 1 - à remplir'!$F$31:$F$400,'Étape 1 - à remplir'!$E$31:$E$400,MASQ2!EC585,'Étape 1 - à remplir'!$G$31:$G$400,"kg"),SUMIFS('Étape 1 - à remplir'!$F$31:$F$400,'Étape 1 - à remplir'!$E$31:$E$400,MASQ2!EC585,'Étape 1 - à remplir'!$N$31:$N$400,EL$3,'Étape 1 - à remplir'!$G$31:$G$400,"kg")))))))</f>
        <v>#N/A</v>
      </c>
      <c r="EE585" s="76">
        <f t="shared" si="359"/>
        <v>0</v>
      </c>
      <c r="EF585" t="str">
        <f t="shared" si="350"/>
        <v/>
      </c>
      <c r="EG585" t="str">
        <f t="shared" si="351"/>
        <v/>
      </c>
      <c r="EH585" t="str">
        <f t="shared" si="352"/>
        <v/>
      </c>
      <c r="EI585" t="str">
        <f t="shared" si="353"/>
        <v/>
      </c>
      <c r="EJ585" t="str">
        <f t="shared" si="354"/>
        <v/>
      </c>
      <c r="EK585" s="63" t="str">
        <f t="shared" si="355"/>
        <v/>
      </c>
      <c r="EN585" s="42">
        <v>582</v>
      </c>
      <c r="EO585" t="e">
        <f t="shared" si="336"/>
        <v>#N/A</v>
      </c>
      <c r="EP585" s="63" t="e">
        <f t="shared" si="337"/>
        <v>#N/A</v>
      </c>
    </row>
    <row r="586" spans="13:146" x14ac:dyDescent="0.3">
      <c r="M586" s="194" t="e">
        <f ca="1">INDEX(Données_ATB!BD:BU,MATCH(MASQ2!O586,Données_ATB!BD:BD,0),18)</f>
        <v>#N/A</v>
      </c>
      <c r="N586" s="14" t="str">
        <f>IFERROR(IF(Q586=0,"",COUNTIF(Q$4:Q$600,"&gt;"&amp;Q586)+COUNTIF(Q$4:Q586,Q586)),"")</f>
        <v/>
      </c>
      <c r="O586">
        <f>Données_ATB!BD585</f>
        <v>0</v>
      </c>
      <c r="P586" t="e">
        <f>IF(IF(X$2="Catégorie",IF(X$3="Toutes",SUMIFS('Étape 1 - à remplir'!$F$31:$F$400,'Étape 1 - à remplir'!$E$31:$E$400,MASQ2!O586,'Étape 1 - à remplir'!$G$31:$G$400,"animaux"),SUMIFS('Étape 1 - à remplir'!$F$31:$F$400,'Étape 1 - à remplir'!$E$31:$E$400,MASQ2!O586,'Étape 1 - à remplir'!$C$31:$C$400,X$3)),IF(X$2="Âge",IF(X$3="Tous",SUMIFS('Étape 1 - à remplir'!$F$31:$F$400,'Étape 1 - à remplir'!$E$31:$E$400,MASQ2!O586,'Étape 1 - à remplir'!$G$31:$G$400,"animaux"),SUMIFS('Étape 1 - à remplir'!$F$31:$F$400,'Étape 1 - à remplir'!$E$31:$E$400,MASQ2!O586,'Étape 1 - à remplir'!$P$31:$P$400,X$3)),IF(X$2="Atelier",IF(X$3="Tous",SUMIFS('Étape 1 - à remplir'!$F$31:$F$400,'Étape 1 - à remplir'!$E$31:$E$400,MASQ2!O586,'Étape 1 - à remplir'!$G$31:$G$400,"animaux"),SUMIFS('Étape 1 - à remplir'!$F$31:$F$400,'Étape 1 - à remplir'!$E$31:$E$400,MASQ2!O586,'Étape 1 - à remplir'!$O$31:$O$400,X$3)),IF(X$2="Espèce",IF(X$3="Toutes",SUMIFS('Étape 1 - à remplir'!$F$31:$F$400,'Étape 1 - à remplir'!$E$31:$E$400,MASQ2!O586,'Étape 1 - à remplir'!$G$31:$G$400,"animaux"),SUMIFS('Étape 1 - à remplir'!$F$31:$F$400,'Étape 1 - à remplir'!$E$31:$E$400,MASQ2!O586,'Étape 1 - à remplir'!$N$31:$N$400,X$3))))))=0,NA(),IF(X$2="Catégorie",IF(X$3="Toutes",SUMIFS('Étape 1 - à remplir'!$F$31:$F$400,'Étape 1 - à remplir'!$E$31:$E$400,MASQ2!O586,'Étape 1 - à remplir'!$G$31:$G$400,"animaux"),SUMIFS('Étape 1 - à remplir'!$F$31:$F$400,'Étape 1 - à remplir'!$E$31:$E$400,MASQ2!O586,'Étape 1 - à remplir'!$C$31:$C$400,X$3)),IF(X$2="Âge",IF(X$3="Tous",SUMIFS('Étape 1 - à remplir'!$F$31:$F$400,'Étape 1 - à remplir'!$E$31:$E$400,MASQ2!O586,'Étape 1 - à remplir'!$G$31:$G$400,"animaux"),SUMIFS('Étape 1 - à remplir'!$F$31:$F$400,'Étape 1 - à remplir'!$E$31:$E$400,MASQ2!O586,'Étape 1 - à remplir'!$P$31:$P$400,X$3)),IF(X$2="Atelier",IF(X$3="Tous",SUMIFS('Étape 1 - à remplir'!$F$31:$F$400,'Étape 1 - à remplir'!$E$31:$E$400,MASQ2!O586,'Étape 1 - à remplir'!$G$31:$G$400,"animaux"),SUMIFS('Étape 1 - à remplir'!$F$31:$F$400,'Étape 1 - à remplir'!$E$31:$E$400,MASQ2!O586,'Étape 1 - à remplir'!$O$31:$O$400,X$3)),IF(X$2="Espèce",IF(X$3="Toutes",SUMIFS('Étape 1 - à remplir'!$F$31:$F$400,'Étape 1 - à remplir'!$E$31:$E$400,MASQ2!O586,'Étape 1 - à remplir'!$G$31:$G$400,"animaux"),SUMIFS('Étape 1 - à remplir'!$F$31:$F$400,'Étape 1 - à remplir'!$E$31:$E$400,MASQ2!O586,'Étape 1 - à remplir'!$N$31:$N$400,X$3)))))))</f>
        <v>#N/A</v>
      </c>
      <c r="Q586" s="63">
        <f t="shared" si="360"/>
        <v>0</v>
      </c>
      <c r="R586" t="str">
        <f>Données_ATB!BM585</f>
        <v/>
      </c>
      <c r="S586" t="str">
        <f>Données_ATB!BN585</f>
        <v/>
      </c>
      <c r="T586" s="63" t="str">
        <f>Données_ATB!BO585</f>
        <v/>
      </c>
      <c r="U586" s="42" t="str">
        <f>Données_ATB!BQ585</f>
        <v/>
      </c>
      <c r="V586" t="str">
        <f>Données_ATB!BR585</f>
        <v/>
      </c>
      <c r="W586" s="63" t="str">
        <f>Données_ATB!BS585</f>
        <v/>
      </c>
      <c r="Z586" s="42">
        <v>583</v>
      </c>
      <c r="AA586" t="e">
        <f t="shared" si="356"/>
        <v>#N/A</v>
      </c>
      <c r="AB586" s="63" t="e">
        <f t="shared" si="357"/>
        <v>#N/A</v>
      </c>
      <c r="BT586" s="194" t="e">
        <f t="shared" ca="1" si="340"/>
        <v>#N/A</v>
      </c>
      <c r="BU586" s="219" t="str">
        <f>IFERROR(IF(BX586=0,"",COUNTIF(BX$4:BX$600,"&gt;"&amp;BX586)+COUNTIF(BX$4:BX586,BX586)),"")</f>
        <v/>
      </c>
      <c r="BV586" s="42">
        <f t="shared" si="341"/>
        <v>0</v>
      </c>
      <c r="BW586" t="e">
        <f>IF(IF(CE$2="Catégorie",IF(CE$3="Toutes",SUMIFS('Étape 1 - à remplir'!$F$31:$F$400,'Étape 1 - à remplir'!$E$31:$E$400,MASQ2!BV586,'Étape 1 - à remplir'!$G$31:$G$400,"lots"),SUMIFS('Étape 1 - à remplir'!$F$31:$F$400,'Étape 1 - à remplir'!$E$31:$E$400,MASQ2!BV586,'Étape 1 - à remplir'!$C$31:$C$400,CE$3)),IF(CE$2="Âge",IF(CE$3="Tous",SUMIFS('Étape 1 - à remplir'!$F$31:$F$400,'Étape 1 - à remplir'!$E$31:$E$400,MASQ2!BV586,'Étape 1 - à remplir'!$G$31:$G$400,"lots"),SUMIFS('Étape 1 - à remplir'!$F$31:$F$400,'Étape 1 - à remplir'!$E$31:$E$400,MASQ2!BV586,'Étape 1 - à remplir'!$P$31:$P$400,CE$3,'Étape 1 - à remplir'!$G$31:$G$400,"lots")),IF(CE$2="Atelier",IF(CE$3="Tous",SUMIFS('Étape 1 - à remplir'!$F$31:$F$400,'Étape 1 - à remplir'!$E$31:$E$400,MASQ2!BV586,'Étape 1 - à remplir'!$G$31:$G$400,"lots"),SUMIFS('Étape 1 - à remplir'!$F$31:$F$400,'Étape 1 - à remplir'!$E$31:$E$400,MASQ2!BV586,'Étape 1 - à remplir'!$O$31:$O$400,CE$3,'Étape 1 - à remplir'!$G$31:$G$400,"lots")),IF(CE$2="Espèce",IF(CE$3="Toutes",SUMIFS('Étape 1 - à remplir'!$F$31:$F$400,'Étape 1 - à remplir'!$E$31:$E$400,MASQ2!BV586,'Étape 1 - à remplir'!$G$31:$G$400,"lots"),SUMIFS('Étape 1 - à remplir'!$F$31:$F$400,'Étape 1 - à remplir'!$E$31:$E$400,MASQ2!BV586,'Étape 1 - à remplir'!$N$31:$N$400,CE$3,'Étape 1 - à remplir'!$G$31:$G$400,"lots"))))))=0,NA(),IF(CE$2="Catégorie",IF(CE$3="Toutes",SUMIFS('Étape 1 - à remplir'!$F$31:$F$400,'Étape 1 - à remplir'!$E$31:$E$400,MASQ2!BV586,'Étape 1 - à remplir'!$G$31:$G$400,"lots"),SUMIFS('Étape 1 - à remplir'!$F$31:$F$400,'Étape 1 - à remplir'!$E$31:$E$400,MASQ2!BV586,'Étape 1 - à remplir'!$C$31:$C$400,CE$3)),IF(CE$2="Âge",IF(CE$3="Tous",SUMIFS('Étape 1 - à remplir'!$F$31:$F$400,'Étape 1 - à remplir'!$E$31:$E$400,MASQ2!BV586,'Étape 1 - à remplir'!$G$31:$G$400,"lots"),SUMIFS('Étape 1 - à remplir'!$F$31:$F$400,'Étape 1 - à remplir'!$E$31:$E$400,MASQ2!BV586,'Étape 1 - à remplir'!$P$31:$P$400,CE$3,'Étape 1 - à remplir'!$G$31:$G$400,"lots")),IF(CE$2="Atelier",IF(CE$3="Tous",SUMIFS('Étape 1 - à remplir'!$F$31:$F$400,'Étape 1 - à remplir'!$E$31:$E$400,MASQ2!BV586,'Étape 1 - à remplir'!$G$31:$G$400,"lots"),SUMIFS('Étape 1 - à remplir'!$F$31:$F$400,'Étape 1 - à remplir'!$E$31:$E$400,MASQ2!BV586,'Étape 1 - à remplir'!$O$31:$O$400,CE$3,'Étape 1 - à remplir'!$G$31:$G$400,"lots")),IF(CE$2="Espèce",IF(CE$3="Toutes",SUMIFS('Étape 1 - à remplir'!$F$31:$F$400,'Étape 1 - à remplir'!$E$31:$E$400,MASQ2!BV586,'Étape 1 - à remplir'!$G$31:$G$400,"lots"),SUMIFS('Étape 1 - à remplir'!$F$31:$F$400,'Étape 1 - à remplir'!$E$31:$E$400,MASQ2!BV586,'Étape 1 - à remplir'!$N$31:$N$400,CE$3,'Étape 1 - à remplir'!$G$31:$G$400,"lots")))))))</f>
        <v>#N/A</v>
      </c>
      <c r="BX586">
        <f t="shared" si="358"/>
        <v>0</v>
      </c>
      <c r="BY586" t="str">
        <f t="shared" si="342"/>
        <v/>
      </c>
      <c r="BZ586" t="str">
        <f t="shared" si="343"/>
        <v/>
      </c>
      <c r="CA586" t="str">
        <f t="shared" si="344"/>
        <v/>
      </c>
      <c r="CB586" t="str">
        <f t="shared" si="345"/>
        <v/>
      </c>
      <c r="CC586" t="str">
        <f t="shared" si="346"/>
        <v/>
      </c>
      <c r="CD586" s="63" t="str">
        <f t="shared" si="347"/>
        <v/>
      </c>
      <c r="CG586" s="42">
        <v>583</v>
      </c>
      <c r="CH586" s="42" t="e">
        <f t="shared" si="338"/>
        <v>#N/A</v>
      </c>
      <c r="CI586" s="63" t="e">
        <f t="shared" si="339"/>
        <v>#N/A</v>
      </c>
      <c r="EA586" s="194" t="e">
        <f t="shared" ca="1" si="348"/>
        <v>#N/A</v>
      </c>
      <c r="EB586" s="226" t="str">
        <f>IFERROR(IF(ED586=0,"",COUNTIF(ED$4:ED$600,"&gt;"&amp;ED586)+COUNTIF(ED$4:ED586,ED586)),"")</f>
        <v/>
      </c>
      <c r="EC586">
        <f t="shared" si="349"/>
        <v>0</v>
      </c>
      <c r="ED586" t="e">
        <f>IF(IF(EL$2="Catégorie",IF(EL$3="Toutes",SUMIFS('Étape 1 - à remplir'!$F$31:$F$400,'Étape 1 - à remplir'!$E$31:$E$400,MASQ2!EC586,'Étape 1 - à remplir'!$G$31:$G$400,"kg"),SUMIFS('Étape 1 - à remplir'!$F$31:$F$400,'Étape 1 - à remplir'!$E$31:$E$400,MASQ2!EC586,'Étape 1 - à remplir'!$C$31:$C$400,EL$3)),IF(EL$2="Âge",IF(EL$3="Tous",SUMIFS('Étape 1 - à remplir'!$F$31:$F$400,'Étape 1 - à remplir'!$E$31:$E$400,MASQ2!EC586,'Étape 1 - à remplir'!$G$31:$G$400,"kg"),SUMIFS('Étape 1 - à remplir'!$F$31:$F$400,'Étape 1 - à remplir'!$E$31:$E$400,MASQ2!EC586,'Étape 1 - à remplir'!$P$31:$P$400,EL$3,'Étape 1 - à remplir'!$G$31:$G$400,"kg")),IF(EL$2="Atelier",IF(EL$3="Tous",SUMIFS('Étape 1 - à remplir'!$F$31:$F$400,'Étape 1 - à remplir'!$E$31:$E$400,MASQ2!EC586,'Étape 1 - à remplir'!$G$31:$G$400,"kg"),SUMIFS('Étape 1 - à remplir'!$F$31:$F$400,'Étape 1 - à remplir'!$E$31:$E$400,MASQ2!EC586,'Étape 1 - à remplir'!$O$31:$O$400,EL$3,'Étape 1 - à remplir'!$G$31:$G$400,"kg")),IF(EL$2="Espèce",IF(EL$3="Toutes",SUMIFS('Étape 1 - à remplir'!$F$31:$F$400,'Étape 1 - à remplir'!$E$31:$E$400,MASQ2!EC586,'Étape 1 - à remplir'!$G$31:$G$400,"kg"),SUMIFS('Étape 1 - à remplir'!$F$31:$F$400,'Étape 1 - à remplir'!$E$31:$E$400,MASQ2!EC586,'Étape 1 - à remplir'!$N$31:$N$400,EL$3,'Étape 1 - à remplir'!$G$31:$G$400,"kg"))))))=0,NA(),IF(EL$2="Catégorie",IF(EL$3="Toutes",SUMIFS('Étape 1 - à remplir'!$F$31:$F$400,'Étape 1 - à remplir'!$E$31:$E$400,MASQ2!EC586,'Étape 1 - à remplir'!$G$31:$G$400,"kg"),SUMIFS('Étape 1 - à remplir'!$F$31:$F$400,'Étape 1 - à remplir'!$E$31:$E$400,MASQ2!EC586,'Étape 1 - à remplir'!$C$31:$C$400,EL$3)),IF(EL$2="Âge",IF(EL$3="Tous",SUMIFS('Étape 1 - à remplir'!$F$31:$F$400,'Étape 1 - à remplir'!$E$31:$E$400,MASQ2!EC586,'Étape 1 - à remplir'!$G$31:$G$400,"kg"),SUMIFS('Étape 1 - à remplir'!$F$31:$F$400,'Étape 1 - à remplir'!$E$31:$E$400,MASQ2!EC586,'Étape 1 - à remplir'!$P$31:$P$400,EL$3,'Étape 1 - à remplir'!$G$31:$G$400,"kg")),IF(EL$2="Atelier",IF(EL$3="Tous",SUMIFS('Étape 1 - à remplir'!$F$31:$F$400,'Étape 1 - à remplir'!$E$31:$E$400,MASQ2!EC586,'Étape 1 - à remplir'!$G$31:$G$400,"kg"),SUMIFS('Étape 1 - à remplir'!$F$31:$F$400,'Étape 1 - à remplir'!$E$31:$E$400,MASQ2!EC586,'Étape 1 - à remplir'!$O$31:$O$400,EL$3,'Étape 1 - à remplir'!$G$31:$G$400,"kg")),IF(EL$2="Espèce",IF(EL$3="Toutes",SUMIFS('Étape 1 - à remplir'!$F$31:$F$400,'Étape 1 - à remplir'!$E$31:$E$400,MASQ2!EC586,'Étape 1 - à remplir'!$G$31:$G$400,"kg"),SUMIFS('Étape 1 - à remplir'!$F$31:$F$400,'Étape 1 - à remplir'!$E$31:$E$400,MASQ2!EC586,'Étape 1 - à remplir'!$N$31:$N$400,EL$3,'Étape 1 - à remplir'!$G$31:$G$400,"kg")))))))</f>
        <v>#N/A</v>
      </c>
      <c r="EE586" s="76">
        <f t="shared" si="359"/>
        <v>0</v>
      </c>
      <c r="EF586" t="str">
        <f t="shared" si="350"/>
        <v/>
      </c>
      <c r="EG586" t="str">
        <f t="shared" si="351"/>
        <v/>
      </c>
      <c r="EH586" t="str">
        <f t="shared" si="352"/>
        <v/>
      </c>
      <c r="EI586" t="str">
        <f t="shared" si="353"/>
        <v/>
      </c>
      <c r="EJ586" t="str">
        <f t="shared" si="354"/>
        <v/>
      </c>
      <c r="EK586" s="63" t="str">
        <f t="shared" si="355"/>
        <v/>
      </c>
      <c r="EN586" s="42">
        <v>583</v>
      </c>
      <c r="EO586" t="e">
        <f t="shared" ref="EO586:EO600" si="361">INDEX(EB$3:EE$600,MATCH(EN586,EB$3:EB$600,0),2)</f>
        <v>#N/A</v>
      </c>
      <c r="EP586" s="63" t="e">
        <f t="shared" ref="EP586:EP600" si="362">INDEX(EB$3:EE$600,MATCH(EN586,EB$3:EB$600,0),3)</f>
        <v>#N/A</v>
      </c>
    </row>
    <row r="587" spans="13:146" x14ac:dyDescent="0.3">
      <c r="M587" s="194" t="e">
        <f ca="1">INDEX(Données_ATB!BD:BU,MATCH(MASQ2!O587,Données_ATB!BD:BD,0),18)</f>
        <v>#N/A</v>
      </c>
      <c r="N587" s="14" t="str">
        <f>IFERROR(IF(Q587=0,"",COUNTIF(Q$4:Q$600,"&gt;"&amp;Q587)+COUNTIF(Q$4:Q587,Q587)),"")</f>
        <v/>
      </c>
      <c r="O587">
        <f>Données_ATB!BD586</f>
        <v>0</v>
      </c>
      <c r="P587" t="e">
        <f>IF(IF(X$2="Catégorie",IF(X$3="Toutes",SUMIFS('Étape 1 - à remplir'!$F$31:$F$400,'Étape 1 - à remplir'!$E$31:$E$400,MASQ2!O587,'Étape 1 - à remplir'!$G$31:$G$400,"animaux"),SUMIFS('Étape 1 - à remplir'!$F$31:$F$400,'Étape 1 - à remplir'!$E$31:$E$400,MASQ2!O587,'Étape 1 - à remplir'!$C$31:$C$400,X$3)),IF(X$2="Âge",IF(X$3="Tous",SUMIFS('Étape 1 - à remplir'!$F$31:$F$400,'Étape 1 - à remplir'!$E$31:$E$400,MASQ2!O587,'Étape 1 - à remplir'!$G$31:$G$400,"animaux"),SUMIFS('Étape 1 - à remplir'!$F$31:$F$400,'Étape 1 - à remplir'!$E$31:$E$400,MASQ2!O587,'Étape 1 - à remplir'!$P$31:$P$400,X$3)),IF(X$2="Atelier",IF(X$3="Tous",SUMIFS('Étape 1 - à remplir'!$F$31:$F$400,'Étape 1 - à remplir'!$E$31:$E$400,MASQ2!O587,'Étape 1 - à remplir'!$G$31:$G$400,"animaux"),SUMIFS('Étape 1 - à remplir'!$F$31:$F$400,'Étape 1 - à remplir'!$E$31:$E$400,MASQ2!O587,'Étape 1 - à remplir'!$O$31:$O$400,X$3)),IF(X$2="Espèce",IF(X$3="Toutes",SUMIFS('Étape 1 - à remplir'!$F$31:$F$400,'Étape 1 - à remplir'!$E$31:$E$400,MASQ2!O587,'Étape 1 - à remplir'!$G$31:$G$400,"animaux"),SUMIFS('Étape 1 - à remplir'!$F$31:$F$400,'Étape 1 - à remplir'!$E$31:$E$400,MASQ2!O587,'Étape 1 - à remplir'!$N$31:$N$400,X$3))))))=0,NA(),IF(X$2="Catégorie",IF(X$3="Toutes",SUMIFS('Étape 1 - à remplir'!$F$31:$F$400,'Étape 1 - à remplir'!$E$31:$E$400,MASQ2!O587,'Étape 1 - à remplir'!$G$31:$G$400,"animaux"),SUMIFS('Étape 1 - à remplir'!$F$31:$F$400,'Étape 1 - à remplir'!$E$31:$E$400,MASQ2!O587,'Étape 1 - à remplir'!$C$31:$C$400,X$3)),IF(X$2="Âge",IF(X$3="Tous",SUMIFS('Étape 1 - à remplir'!$F$31:$F$400,'Étape 1 - à remplir'!$E$31:$E$400,MASQ2!O587,'Étape 1 - à remplir'!$G$31:$G$400,"animaux"),SUMIFS('Étape 1 - à remplir'!$F$31:$F$400,'Étape 1 - à remplir'!$E$31:$E$400,MASQ2!O587,'Étape 1 - à remplir'!$P$31:$P$400,X$3)),IF(X$2="Atelier",IF(X$3="Tous",SUMIFS('Étape 1 - à remplir'!$F$31:$F$400,'Étape 1 - à remplir'!$E$31:$E$400,MASQ2!O587,'Étape 1 - à remplir'!$G$31:$G$400,"animaux"),SUMIFS('Étape 1 - à remplir'!$F$31:$F$400,'Étape 1 - à remplir'!$E$31:$E$400,MASQ2!O587,'Étape 1 - à remplir'!$O$31:$O$400,X$3)),IF(X$2="Espèce",IF(X$3="Toutes",SUMIFS('Étape 1 - à remplir'!$F$31:$F$400,'Étape 1 - à remplir'!$E$31:$E$400,MASQ2!O587,'Étape 1 - à remplir'!$G$31:$G$400,"animaux"),SUMIFS('Étape 1 - à remplir'!$F$31:$F$400,'Étape 1 - à remplir'!$E$31:$E$400,MASQ2!O587,'Étape 1 - à remplir'!$N$31:$N$400,X$3)))))))</f>
        <v>#N/A</v>
      </c>
      <c r="Q587" s="63">
        <f t="shared" si="360"/>
        <v>0</v>
      </c>
      <c r="R587" t="str">
        <f>Données_ATB!BM586</f>
        <v/>
      </c>
      <c r="S587" t="str">
        <f>Données_ATB!BN586</f>
        <v/>
      </c>
      <c r="T587" s="63" t="str">
        <f>Données_ATB!BO586</f>
        <v/>
      </c>
      <c r="U587" s="42" t="str">
        <f>Données_ATB!BQ586</f>
        <v/>
      </c>
      <c r="V587" t="str">
        <f>Données_ATB!BR586</f>
        <v/>
      </c>
      <c r="W587" s="63" t="str">
        <f>Données_ATB!BS586</f>
        <v/>
      </c>
      <c r="Z587" s="42">
        <v>584</v>
      </c>
      <c r="AA587" t="e">
        <f t="shared" si="356"/>
        <v>#N/A</v>
      </c>
      <c r="AB587" s="63" t="e">
        <f t="shared" si="357"/>
        <v>#N/A</v>
      </c>
      <c r="BT587" s="194" t="e">
        <f t="shared" ca="1" si="340"/>
        <v>#N/A</v>
      </c>
      <c r="BU587" s="219" t="str">
        <f>IFERROR(IF(BX587=0,"",COUNTIF(BX$4:BX$600,"&gt;"&amp;BX587)+COUNTIF(BX$4:BX587,BX587)),"")</f>
        <v/>
      </c>
      <c r="BV587" s="42">
        <f t="shared" si="341"/>
        <v>0</v>
      </c>
      <c r="BW587" t="e">
        <f>IF(IF(CE$2="Catégorie",IF(CE$3="Toutes",SUMIFS('Étape 1 - à remplir'!$F$31:$F$400,'Étape 1 - à remplir'!$E$31:$E$400,MASQ2!BV587,'Étape 1 - à remplir'!$G$31:$G$400,"lots"),SUMIFS('Étape 1 - à remplir'!$F$31:$F$400,'Étape 1 - à remplir'!$E$31:$E$400,MASQ2!BV587,'Étape 1 - à remplir'!$C$31:$C$400,CE$3)),IF(CE$2="Âge",IF(CE$3="Tous",SUMIFS('Étape 1 - à remplir'!$F$31:$F$400,'Étape 1 - à remplir'!$E$31:$E$400,MASQ2!BV587,'Étape 1 - à remplir'!$G$31:$G$400,"lots"),SUMIFS('Étape 1 - à remplir'!$F$31:$F$400,'Étape 1 - à remplir'!$E$31:$E$400,MASQ2!BV587,'Étape 1 - à remplir'!$P$31:$P$400,CE$3,'Étape 1 - à remplir'!$G$31:$G$400,"lots")),IF(CE$2="Atelier",IF(CE$3="Tous",SUMIFS('Étape 1 - à remplir'!$F$31:$F$400,'Étape 1 - à remplir'!$E$31:$E$400,MASQ2!BV587,'Étape 1 - à remplir'!$G$31:$G$400,"lots"),SUMIFS('Étape 1 - à remplir'!$F$31:$F$400,'Étape 1 - à remplir'!$E$31:$E$400,MASQ2!BV587,'Étape 1 - à remplir'!$O$31:$O$400,CE$3,'Étape 1 - à remplir'!$G$31:$G$400,"lots")),IF(CE$2="Espèce",IF(CE$3="Toutes",SUMIFS('Étape 1 - à remplir'!$F$31:$F$400,'Étape 1 - à remplir'!$E$31:$E$400,MASQ2!BV587,'Étape 1 - à remplir'!$G$31:$G$400,"lots"),SUMIFS('Étape 1 - à remplir'!$F$31:$F$400,'Étape 1 - à remplir'!$E$31:$E$400,MASQ2!BV587,'Étape 1 - à remplir'!$N$31:$N$400,CE$3,'Étape 1 - à remplir'!$G$31:$G$400,"lots"))))))=0,NA(),IF(CE$2="Catégorie",IF(CE$3="Toutes",SUMIFS('Étape 1 - à remplir'!$F$31:$F$400,'Étape 1 - à remplir'!$E$31:$E$400,MASQ2!BV587,'Étape 1 - à remplir'!$G$31:$G$400,"lots"),SUMIFS('Étape 1 - à remplir'!$F$31:$F$400,'Étape 1 - à remplir'!$E$31:$E$400,MASQ2!BV587,'Étape 1 - à remplir'!$C$31:$C$400,CE$3)),IF(CE$2="Âge",IF(CE$3="Tous",SUMIFS('Étape 1 - à remplir'!$F$31:$F$400,'Étape 1 - à remplir'!$E$31:$E$400,MASQ2!BV587,'Étape 1 - à remplir'!$G$31:$G$400,"lots"),SUMIFS('Étape 1 - à remplir'!$F$31:$F$400,'Étape 1 - à remplir'!$E$31:$E$400,MASQ2!BV587,'Étape 1 - à remplir'!$P$31:$P$400,CE$3,'Étape 1 - à remplir'!$G$31:$G$400,"lots")),IF(CE$2="Atelier",IF(CE$3="Tous",SUMIFS('Étape 1 - à remplir'!$F$31:$F$400,'Étape 1 - à remplir'!$E$31:$E$400,MASQ2!BV587,'Étape 1 - à remplir'!$G$31:$G$400,"lots"),SUMIFS('Étape 1 - à remplir'!$F$31:$F$400,'Étape 1 - à remplir'!$E$31:$E$400,MASQ2!BV587,'Étape 1 - à remplir'!$O$31:$O$400,CE$3,'Étape 1 - à remplir'!$G$31:$G$400,"lots")),IF(CE$2="Espèce",IF(CE$3="Toutes",SUMIFS('Étape 1 - à remplir'!$F$31:$F$400,'Étape 1 - à remplir'!$E$31:$E$400,MASQ2!BV587,'Étape 1 - à remplir'!$G$31:$G$400,"lots"),SUMIFS('Étape 1 - à remplir'!$F$31:$F$400,'Étape 1 - à remplir'!$E$31:$E$400,MASQ2!BV587,'Étape 1 - à remplir'!$N$31:$N$400,CE$3,'Étape 1 - à remplir'!$G$31:$G$400,"lots")))))))</f>
        <v>#N/A</v>
      </c>
      <c r="BX587">
        <f t="shared" si="358"/>
        <v>0</v>
      </c>
      <c r="BY587" t="str">
        <f t="shared" si="342"/>
        <v/>
      </c>
      <c r="BZ587" t="str">
        <f t="shared" si="343"/>
        <v/>
      </c>
      <c r="CA587" t="str">
        <f t="shared" si="344"/>
        <v/>
      </c>
      <c r="CB587" t="str">
        <f t="shared" si="345"/>
        <v/>
      </c>
      <c r="CC587" t="str">
        <f t="shared" si="346"/>
        <v/>
      </c>
      <c r="CD587" s="63" t="str">
        <f t="shared" si="347"/>
        <v/>
      </c>
      <c r="CG587" s="42">
        <v>584</v>
      </c>
      <c r="CH587" s="42" t="e">
        <f t="shared" si="338"/>
        <v>#N/A</v>
      </c>
      <c r="CI587" s="63" t="e">
        <f t="shared" si="339"/>
        <v>#N/A</v>
      </c>
      <c r="EA587" s="194" t="e">
        <f t="shared" ca="1" si="348"/>
        <v>#N/A</v>
      </c>
      <c r="EB587" s="226" t="str">
        <f>IFERROR(IF(ED587=0,"",COUNTIF(ED$4:ED$600,"&gt;"&amp;ED587)+COUNTIF(ED$4:ED587,ED587)),"")</f>
        <v/>
      </c>
      <c r="EC587">
        <f t="shared" si="349"/>
        <v>0</v>
      </c>
      <c r="ED587" t="e">
        <f>IF(IF(EL$2="Catégorie",IF(EL$3="Toutes",SUMIFS('Étape 1 - à remplir'!$F$31:$F$400,'Étape 1 - à remplir'!$E$31:$E$400,MASQ2!EC587,'Étape 1 - à remplir'!$G$31:$G$400,"kg"),SUMIFS('Étape 1 - à remplir'!$F$31:$F$400,'Étape 1 - à remplir'!$E$31:$E$400,MASQ2!EC587,'Étape 1 - à remplir'!$C$31:$C$400,EL$3)),IF(EL$2="Âge",IF(EL$3="Tous",SUMIFS('Étape 1 - à remplir'!$F$31:$F$400,'Étape 1 - à remplir'!$E$31:$E$400,MASQ2!EC587,'Étape 1 - à remplir'!$G$31:$G$400,"kg"),SUMIFS('Étape 1 - à remplir'!$F$31:$F$400,'Étape 1 - à remplir'!$E$31:$E$400,MASQ2!EC587,'Étape 1 - à remplir'!$P$31:$P$400,EL$3,'Étape 1 - à remplir'!$G$31:$G$400,"kg")),IF(EL$2="Atelier",IF(EL$3="Tous",SUMIFS('Étape 1 - à remplir'!$F$31:$F$400,'Étape 1 - à remplir'!$E$31:$E$400,MASQ2!EC587,'Étape 1 - à remplir'!$G$31:$G$400,"kg"),SUMIFS('Étape 1 - à remplir'!$F$31:$F$400,'Étape 1 - à remplir'!$E$31:$E$400,MASQ2!EC587,'Étape 1 - à remplir'!$O$31:$O$400,EL$3,'Étape 1 - à remplir'!$G$31:$G$400,"kg")),IF(EL$2="Espèce",IF(EL$3="Toutes",SUMIFS('Étape 1 - à remplir'!$F$31:$F$400,'Étape 1 - à remplir'!$E$31:$E$400,MASQ2!EC587,'Étape 1 - à remplir'!$G$31:$G$400,"kg"),SUMIFS('Étape 1 - à remplir'!$F$31:$F$400,'Étape 1 - à remplir'!$E$31:$E$400,MASQ2!EC587,'Étape 1 - à remplir'!$N$31:$N$400,EL$3,'Étape 1 - à remplir'!$G$31:$G$400,"kg"))))))=0,NA(),IF(EL$2="Catégorie",IF(EL$3="Toutes",SUMIFS('Étape 1 - à remplir'!$F$31:$F$400,'Étape 1 - à remplir'!$E$31:$E$400,MASQ2!EC587,'Étape 1 - à remplir'!$G$31:$G$400,"kg"),SUMIFS('Étape 1 - à remplir'!$F$31:$F$400,'Étape 1 - à remplir'!$E$31:$E$400,MASQ2!EC587,'Étape 1 - à remplir'!$C$31:$C$400,EL$3)),IF(EL$2="Âge",IF(EL$3="Tous",SUMIFS('Étape 1 - à remplir'!$F$31:$F$400,'Étape 1 - à remplir'!$E$31:$E$400,MASQ2!EC587,'Étape 1 - à remplir'!$G$31:$G$400,"kg"),SUMIFS('Étape 1 - à remplir'!$F$31:$F$400,'Étape 1 - à remplir'!$E$31:$E$400,MASQ2!EC587,'Étape 1 - à remplir'!$P$31:$P$400,EL$3,'Étape 1 - à remplir'!$G$31:$G$400,"kg")),IF(EL$2="Atelier",IF(EL$3="Tous",SUMIFS('Étape 1 - à remplir'!$F$31:$F$400,'Étape 1 - à remplir'!$E$31:$E$400,MASQ2!EC587,'Étape 1 - à remplir'!$G$31:$G$400,"kg"),SUMIFS('Étape 1 - à remplir'!$F$31:$F$400,'Étape 1 - à remplir'!$E$31:$E$400,MASQ2!EC587,'Étape 1 - à remplir'!$O$31:$O$400,EL$3,'Étape 1 - à remplir'!$G$31:$G$400,"kg")),IF(EL$2="Espèce",IF(EL$3="Toutes",SUMIFS('Étape 1 - à remplir'!$F$31:$F$400,'Étape 1 - à remplir'!$E$31:$E$400,MASQ2!EC587,'Étape 1 - à remplir'!$G$31:$G$400,"kg"),SUMIFS('Étape 1 - à remplir'!$F$31:$F$400,'Étape 1 - à remplir'!$E$31:$E$400,MASQ2!EC587,'Étape 1 - à remplir'!$N$31:$N$400,EL$3,'Étape 1 - à remplir'!$G$31:$G$400,"kg")))))))</f>
        <v>#N/A</v>
      </c>
      <c r="EE587" s="76">
        <f t="shared" si="359"/>
        <v>0</v>
      </c>
      <c r="EF587" t="str">
        <f t="shared" si="350"/>
        <v/>
      </c>
      <c r="EG587" t="str">
        <f t="shared" si="351"/>
        <v/>
      </c>
      <c r="EH587" t="str">
        <f t="shared" si="352"/>
        <v/>
      </c>
      <c r="EI587" t="str">
        <f t="shared" si="353"/>
        <v/>
      </c>
      <c r="EJ587" t="str">
        <f t="shared" si="354"/>
        <v/>
      </c>
      <c r="EK587" s="63" t="str">
        <f t="shared" si="355"/>
        <v/>
      </c>
      <c r="EN587" s="42">
        <v>584</v>
      </c>
      <c r="EO587" t="e">
        <f t="shared" si="361"/>
        <v>#N/A</v>
      </c>
      <c r="EP587" s="63" t="e">
        <f t="shared" si="362"/>
        <v>#N/A</v>
      </c>
    </row>
    <row r="588" spans="13:146" x14ac:dyDescent="0.3">
      <c r="M588" s="194" t="e">
        <f ca="1">INDEX(Données_ATB!BD:BU,MATCH(MASQ2!O588,Données_ATB!BD:BD,0),18)</f>
        <v>#N/A</v>
      </c>
      <c r="N588" s="14" t="str">
        <f>IFERROR(IF(Q588=0,"",COUNTIF(Q$4:Q$600,"&gt;"&amp;Q588)+COUNTIF(Q$4:Q588,Q588)),"")</f>
        <v/>
      </c>
      <c r="O588">
        <f>Données_ATB!BD587</f>
        <v>0</v>
      </c>
      <c r="P588" t="e">
        <f>IF(IF(X$2="Catégorie",IF(X$3="Toutes",SUMIFS('Étape 1 - à remplir'!$F$31:$F$400,'Étape 1 - à remplir'!$E$31:$E$400,MASQ2!O588,'Étape 1 - à remplir'!$G$31:$G$400,"animaux"),SUMIFS('Étape 1 - à remplir'!$F$31:$F$400,'Étape 1 - à remplir'!$E$31:$E$400,MASQ2!O588,'Étape 1 - à remplir'!$C$31:$C$400,X$3)),IF(X$2="Âge",IF(X$3="Tous",SUMIFS('Étape 1 - à remplir'!$F$31:$F$400,'Étape 1 - à remplir'!$E$31:$E$400,MASQ2!O588,'Étape 1 - à remplir'!$G$31:$G$400,"animaux"),SUMIFS('Étape 1 - à remplir'!$F$31:$F$400,'Étape 1 - à remplir'!$E$31:$E$400,MASQ2!O588,'Étape 1 - à remplir'!$P$31:$P$400,X$3)),IF(X$2="Atelier",IF(X$3="Tous",SUMIFS('Étape 1 - à remplir'!$F$31:$F$400,'Étape 1 - à remplir'!$E$31:$E$400,MASQ2!O588,'Étape 1 - à remplir'!$G$31:$G$400,"animaux"),SUMIFS('Étape 1 - à remplir'!$F$31:$F$400,'Étape 1 - à remplir'!$E$31:$E$400,MASQ2!O588,'Étape 1 - à remplir'!$O$31:$O$400,X$3)),IF(X$2="Espèce",IF(X$3="Toutes",SUMIFS('Étape 1 - à remplir'!$F$31:$F$400,'Étape 1 - à remplir'!$E$31:$E$400,MASQ2!O588,'Étape 1 - à remplir'!$G$31:$G$400,"animaux"),SUMIFS('Étape 1 - à remplir'!$F$31:$F$400,'Étape 1 - à remplir'!$E$31:$E$400,MASQ2!O588,'Étape 1 - à remplir'!$N$31:$N$400,X$3))))))=0,NA(),IF(X$2="Catégorie",IF(X$3="Toutes",SUMIFS('Étape 1 - à remplir'!$F$31:$F$400,'Étape 1 - à remplir'!$E$31:$E$400,MASQ2!O588,'Étape 1 - à remplir'!$G$31:$G$400,"animaux"),SUMIFS('Étape 1 - à remplir'!$F$31:$F$400,'Étape 1 - à remplir'!$E$31:$E$400,MASQ2!O588,'Étape 1 - à remplir'!$C$31:$C$400,X$3)),IF(X$2="Âge",IF(X$3="Tous",SUMIFS('Étape 1 - à remplir'!$F$31:$F$400,'Étape 1 - à remplir'!$E$31:$E$400,MASQ2!O588,'Étape 1 - à remplir'!$G$31:$G$400,"animaux"),SUMIFS('Étape 1 - à remplir'!$F$31:$F$400,'Étape 1 - à remplir'!$E$31:$E$400,MASQ2!O588,'Étape 1 - à remplir'!$P$31:$P$400,X$3)),IF(X$2="Atelier",IF(X$3="Tous",SUMIFS('Étape 1 - à remplir'!$F$31:$F$400,'Étape 1 - à remplir'!$E$31:$E$400,MASQ2!O588,'Étape 1 - à remplir'!$G$31:$G$400,"animaux"),SUMIFS('Étape 1 - à remplir'!$F$31:$F$400,'Étape 1 - à remplir'!$E$31:$E$400,MASQ2!O588,'Étape 1 - à remplir'!$O$31:$O$400,X$3)),IF(X$2="Espèce",IF(X$3="Toutes",SUMIFS('Étape 1 - à remplir'!$F$31:$F$400,'Étape 1 - à remplir'!$E$31:$E$400,MASQ2!O588,'Étape 1 - à remplir'!$G$31:$G$400,"animaux"),SUMIFS('Étape 1 - à remplir'!$F$31:$F$400,'Étape 1 - à remplir'!$E$31:$E$400,MASQ2!O588,'Étape 1 - à remplir'!$N$31:$N$400,X$3)))))))</f>
        <v>#N/A</v>
      </c>
      <c r="Q588" s="63">
        <f t="shared" si="360"/>
        <v>0</v>
      </c>
      <c r="R588" t="str">
        <f>Données_ATB!BM587</f>
        <v/>
      </c>
      <c r="S588" t="str">
        <f>Données_ATB!BN587</f>
        <v/>
      </c>
      <c r="T588" s="63" t="str">
        <f>Données_ATB!BO587</f>
        <v/>
      </c>
      <c r="U588" s="42" t="str">
        <f>Données_ATB!BQ587</f>
        <v/>
      </c>
      <c r="V588" t="str">
        <f>Données_ATB!BR587</f>
        <v/>
      </c>
      <c r="W588" s="63" t="str">
        <f>Données_ATB!BS587</f>
        <v/>
      </c>
      <c r="Z588" s="42">
        <v>585</v>
      </c>
      <c r="AA588" t="e">
        <f t="shared" si="356"/>
        <v>#N/A</v>
      </c>
      <c r="AB588" s="63" t="e">
        <f t="shared" si="357"/>
        <v>#N/A</v>
      </c>
      <c r="BT588" s="194" t="e">
        <f t="shared" ca="1" si="340"/>
        <v>#N/A</v>
      </c>
      <c r="BU588" s="219" t="str">
        <f>IFERROR(IF(BX588=0,"",COUNTIF(BX$4:BX$600,"&gt;"&amp;BX588)+COUNTIF(BX$4:BX588,BX588)),"")</f>
        <v/>
      </c>
      <c r="BV588" s="42">
        <f t="shared" si="341"/>
        <v>0</v>
      </c>
      <c r="BW588" t="e">
        <f>IF(IF(CE$2="Catégorie",IF(CE$3="Toutes",SUMIFS('Étape 1 - à remplir'!$F$31:$F$400,'Étape 1 - à remplir'!$E$31:$E$400,MASQ2!BV588,'Étape 1 - à remplir'!$G$31:$G$400,"lots"),SUMIFS('Étape 1 - à remplir'!$F$31:$F$400,'Étape 1 - à remplir'!$E$31:$E$400,MASQ2!BV588,'Étape 1 - à remplir'!$C$31:$C$400,CE$3)),IF(CE$2="Âge",IF(CE$3="Tous",SUMIFS('Étape 1 - à remplir'!$F$31:$F$400,'Étape 1 - à remplir'!$E$31:$E$400,MASQ2!BV588,'Étape 1 - à remplir'!$G$31:$G$400,"lots"),SUMIFS('Étape 1 - à remplir'!$F$31:$F$400,'Étape 1 - à remplir'!$E$31:$E$400,MASQ2!BV588,'Étape 1 - à remplir'!$P$31:$P$400,CE$3,'Étape 1 - à remplir'!$G$31:$G$400,"lots")),IF(CE$2="Atelier",IF(CE$3="Tous",SUMIFS('Étape 1 - à remplir'!$F$31:$F$400,'Étape 1 - à remplir'!$E$31:$E$400,MASQ2!BV588,'Étape 1 - à remplir'!$G$31:$G$400,"lots"),SUMIFS('Étape 1 - à remplir'!$F$31:$F$400,'Étape 1 - à remplir'!$E$31:$E$400,MASQ2!BV588,'Étape 1 - à remplir'!$O$31:$O$400,CE$3,'Étape 1 - à remplir'!$G$31:$G$400,"lots")),IF(CE$2="Espèce",IF(CE$3="Toutes",SUMIFS('Étape 1 - à remplir'!$F$31:$F$400,'Étape 1 - à remplir'!$E$31:$E$400,MASQ2!BV588,'Étape 1 - à remplir'!$G$31:$G$400,"lots"),SUMIFS('Étape 1 - à remplir'!$F$31:$F$400,'Étape 1 - à remplir'!$E$31:$E$400,MASQ2!BV588,'Étape 1 - à remplir'!$N$31:$N$400,CE$3,'Étape 1 - à remplir'!$G$31:$G$400,"lots"))))))=0,NA(),IF(CE$2="Catégorie",IF(CE$3="Toutes",SUMIFS('Étape 1 - à remplir'!$F$31:$F$400,'Étape 1 - à remplir'!$E$31:$E$400,MASQ2!BV588,'Étape 1 - à remplir'!$G$31:$G$400,"lots"),SUMIFS('Étape 1 - à remplir'!$F$31:$F$400,'Étape 1 - à remplir'!$E$31:$E$400,MASQ2!BV588,'Étape 1 - à remplir'!$C$31:$C$400,CE$3)),IF(CE$2="Âge",IF(CE$3="Tous",SUMIFS('Étape 1 - à remplir'!$F$31:$F$400,'Étape 1 - à remplir'!$E$31:$E$400,MASQ2!BV588,'Étape 1 - à remplir'!$G$31:$G$400,"lots"),SUMIFS('Étape 1 - à remplir'!$F$31:$F$400,'Étape 1 - à remplir'!$E$31:$E$400,MASQ2!BV588,'Étape 1 - à remplir'!$P$31:$P$400,CE$3,'Étape 1 - à remplir'!$G$31:$G$400,"lots")),IF(CE$2="Atelier",IF(CE$3="Tous",SUMIFS('Étape 1 - à remplir'!$F$31:$F$400,'Étape 1 - à remplir'!$E$31:$E$400,MASQ2!BV588,'Étape 1 - à remplir'!$G$31:$G$400,"lots"),SUMIFS('Étape 1 - à remplir'!$F$31:$F$400,'Étape 1 - à remplir'!$E$31:$E$400,MASQ2!BV588,'Étape 1 - à remplir'!$O$31:$O$400,CE$3,'Étape 1 - à remplir'!$G$31:$G$400,"lots")),IF(CE$2="Espèce",IF(CE$3="Toutes",SUMIFS('Étape 1 - à remplir'!$F$31:$F$400,'Étape 1 - à remplir'!$E$31:$E$400,MASQ2!BV588,'Étape 1 - à remplir'!$G$31:$G$400,"lots"),SUMIFS('Étape 1 - à remplir'!$F$31:$F$400,'Étape 1 - à remplir'!$E$31:$E$400,MASQ2!BV588,'Étape 1 - à remplir'!$N$31:$N$400,CE$3,'Étape 1 - à remplir'!$G$31:$G$400,"lots")))))))</f>
        <v>#N/A</v>
      </c>
      <c r="BX588">
        <f t="shared" si="358"/>
        <v>0</v>
      </c>
      <c r="BY588" t="str">
        <f t="shared" si="342"/>
        <v/>
      </c>
      <c r="BZ588" t="str">
        <f t="shared" si="343"/>
        <v/>
      </c>
      <c r="CA588" t="str">
        <f t="shared" si="344"/>
        <v/>
      </c>
      <c r="CB588" t="str">
        <f t="shared" si="345"/>
        <v/>
      </c>
      <c r="CC588" t="str">
        <f t="shared" si="346"/>
        <v/>
      </c>
      <c r="CD588" s="63" t="str">
        <f t="shared" si="347"/>
        <v/>
      </c>
      <c r="CG588" s="42">
        <v>585</v>
      </c>
      <c r="CH588" s="42" t="e">
        <f t="shared" si="338"/>
        <v>#N/A</v>
      </c>
      <c r="CI588" s="63" t="e">
        <f t="shared" si="339"/>
        <v>#N/A</v>
      </c>
      <c r="EA588" s="194" t="e">
        <f t="shared" ca="1" si="348"/>
        <v>#N/A</v>
      </c>
      <c r="EB588" s="226" t="str">
        <f>IFERROR(IF(ED588=0,"",COUNTIF(ED$4:ED$600,"&gt;"&amp;ED588)+COUNTIF(ED$4:ED588,ED588)),"")</f>
        <v/>
      </c>
      <c r="EC588">
        <f t="shared" si="349"/>
        <v>0</v>
      </c>
      <c r="ED588" t="e">
        <f>IF(IF(EL$2="Catégorie",IF(EL$3="Toutes",SUMIFS('Étape 1 - à remplir'!$F$31:$F$400,'Étape 1 - à remplir'!$E$31:$E$400,MASQ2!EC588,'Étape 1 - à remplir'!$G$31:$G$400,"kg"),SUMIFS('Étape 1 - à remplir'!$F$31:$F$400,'Étape 1 - à remplir'!$E$31:$E$400,MASQ2!EC588,'Étape 1 - à remplir'!$C$31:$C$400,EL$3)),IF(EL$2="Âge",IF(EL$3="Tous",SUMIFS('Étape 1 - à remplir'!$F$31:$F$400,'Étape 1 - à remplir'!$E$31:$E$400,MASQ2!EC588,'Étape 1 - à remplir'!$G$31:$G$400,"kg"),SUMIFS('Étape 1 - à remplir'!$F$31:$F$400,'Étape 1 - à remplir'!$E$31:$E$400,MASQ2!EC588,'Étape 1 - à remplir'!$P$31:$P$400,EL$3,'Étape 1 - à remplir'!$G$31:$G$400,"kg")),IF(EL$2="Atelier",IF(EL$3="Tous",SUMIFS('Étape 1 - à remplir'!$F$31:$F$400,'Étape 1 - à remplir'!$E$31:$E$400,MASQ2!EC588,'Étape 1 - à remplir'!$G$31:$G$400,"kg"),SUMIFS('Étape 1 - à remplir'!$F$31:$F$400,'Étape 1 - à remplir'!$E$31:$E$400,MASQ2!EC588,'Étape 1 - à remplir'!$O$31:$O$400,EL$3,'Étape 1 - à remplir'!$G$31:$G$400,"kg")),IF(EL$2="Espèce",IF(EL$3="Toutes",SUMIFS('Étape 1 - à remplir'!$F$31:$F$400,'Étape 1 - à remplir'!$E$31:$E$400,MASQ2!EC588,'Étape 1 - à remplir'!$G$31:$G$400,"kg"),SUMIFS('Étape 1 - à remplir'!$F$31:$F$400,'Étape 1 - à remplir'!$E$31:$E$400,MASQ2!EC588,'Étape 1 - à remplir'!$N$31:$N$400,EL$3,'Étape 1 - à remplir'!$G$31:$G$400,"kg"))))))=0,NA(),IF(EL$2="Catégorie",IF(EL$3="Toutes",SUMIFS('Étape 1 - à remplir'!$F$31:$F$400,'Étape 1 - à remplir'!$E$31:$E$400,MASQ2!EC588,'Étape 1 - à remplir'!$G$31:$G$400,"kg"),SUMIFS('Étape 1 - à remplir'!$F$31:$F$400,'Étape 1 - à remplir'!$E$31:$E$400,MASQ2!EC588,'Étape 1 - à remplir'!$C$31:$C$400,EL$3)),IF(EL$2="Âge",IF(EL$3="Tous",SUMIFS('Étape 1 - à remplir'!$F$31:$F$400,'Étape 1 - à remplir'!$E$31:$E$400,MASQ2!EC588,'Étape 1 - à remplir'!$G$31:$G$400,"kg"),SUMIFS('Étape 1 - à remplir'!$F$31:$F$400,'Étape 1 - à remplir'!$E$31:$E$400,MASQ2!EC588,'Étape 1 - à remplir'!$P$31:$P$400,EL$3,'Étape 1 - à remplir'!$G$31:$G$400,"kg")),IF(EL$2="Atelier",IF(EL$3="Tous",SUMIFS('Étape 1 - à remplir'!$F$31:$F$400,'Étape 1 - à remplir'!$E$31:$E$400,MASQ2!EC588,'Étape 1 - à remplir'!$G$31:$G$400,"kg"),SUMIFS('Étape 1 - à remplir'!$F$31:$F$400,'Étape 1 - à remplir'!$E$31:$E$400,MASQ2!EC588,'Étape 1 - à remplir'!$O$31:$O$400,EL$3,'Étape 1 - à remplir'!$G$31:$G$400,"kg")),IF(EL$2="Espèce",IF(EL$3="Toutes",SUMIFS('Étape 1 - à remplir'!$F$31:$F$400,'Étape 1 - à remplir'!$E$31:$E$400,MASQ2!EC588,'Étape 1 - à remplir'!$G$31:$G$400,"kg"),SUMIFS('Étape 1 - à remplir'!$F$31:$F$400,'Étape 1 - à remplir'!$E$31:$E$400,MASQ2!EC588,'Étape 1 - à remplir'!$N$31:$N$400,EL$3,'Étape 1 - à remplir'!$G$31:$G$400,"kg")))))))</f>
        <v>#N/A</v>
      </c>
      <c r="EE588" s="76">
        <f t="shared" si="359"/>
        <v>0</v>
      </c>
      <c r="EF588" t="str">
        <f t="shared" si="350"/>
        <v/>
      </c>
      <c r="EG588" t="str">
        <f t="shared" si="351"/>
        <v/>
      </c>
      <c r="EH588" t="str">
        <f t="shared" si="352"/>
        <v/>
      </c>
      <c r="EI588" t="str">
        <f t="shared" si="353"/>
        <v/>
      </c>
      <c r="EJ588" t="str">
        <f t="shared" si="354"/>
        <v/>
      </c>
      <c r="EK588" s="63" t="str">
        <f t="shared" si="355"/>
        <v/>
      </c>
      <c r="EN588" s="42">
        <v>585</v>
      </c>
      <c r="EO588" t="e">
        <f t="shared" si="361"/>
        <v>#N/A</v>
      </c>
      <c r="EP588" s="63" t="e">
        <f t="shared" si="362"/>
        <v>#N/A</v>
      </c>
    </row>
    <row r="589" spans="13:146" x14ac:dyDescent="0.3">
      <c r="M589" s="194" t="e">
        <f ca="1">INDEX(Données_ATB!BD:BU,MATCH(MASQ2!O589,Données_ATB!BD:BD,0),18)</f>
        <v>#N/A</v>
      </c>
      <c r="N589" s="14" t="str">
        <f>IFERROR(IF(Q589=0,"",COUNTIF(Q$4:Q$600,"&gt;"&amp;Q589)+COUNTIF(Q$4:Q589,Q589)),"")</f>
        <v/>
      </c>
      <c r="O589">
        <f>Données_ATB!BD588</f>
        <v>0</v>
      </c>
      <c r="P589" t="e">
        <f>IF(IF(X$2="Catégorie",IF(X$3="Toutes",SUMIFS('Étape 1 - à remplir'!$F$31:$F$400,'Étape 1 - à remplir'!$E$31:$E$400,MASQ2!O589,'Étape 1 - à remplir'!$G$31:$G$400,"animaux"),SUMIFS('Étape 1 - à remplir'!$F$31:$F$400,'Étape 1 - à remplir'!$E$31:$E$400,MASQ2!O589,'Étape 1 - à remplir'!$C$31:$C$400,X$3)),IF(X$2="Âge",IF(X$3="Tous",SUMIFS('Étape 1 - à remplir'!$F$31:$F$400,'Étape 1 - à remplir'!$E$31:$E$400,MASQ2!O589,'Étape 1 - à remplir'!$G$31:$G$400,"animaux"),SUMIFS('Étape 1 - à remplir'!$F$31:$F$400,'Étape 1 - à remplir'!$E$31:$E$400,MASQ2!O589,'Étape 1 - à remplir'!$P$31:$P$400,X$3)),IF(X$2="Atelier",IF(X$3="Tous",SUMIFS('Étape 1 - à remplir'!$F$31:$F$400,'Étape 1 - à remplir'!$E$31:$E$400,MASQ2!O589,'Étape 1 - à remplir'!$G$31:$G$400,"animaux"),SUMIFS('Étape 1 - à remplir'!$F$31:$F$400,'Étape 1 - à remplir'!$E$31:$E$400,MASQ2!O589,'Étape 1 - à remplir'!$O$31:$O$400,X$3)),IF(X$2="Espèce",IF(X$3="Toutes",SUMIFS('Étape 1 - à remplir'!$F$31:$F$400,'Étape 1 - à remplir'!$E$31:$E$400,MASQ2!O589,'Étape 1 - à remplir'!$G$31:$G$400,"animaux"),SUMIFS('Étape 1 - à remplir'!$F$31:$F$400,'Étape 1 - à remplir'!$E$31:$E$400,MASQ2!O589,'Étape 1 - à remplir'!$N$31:$N$400,X$3))))))=0,NA(),IF(X$2="Catégorie",IF(X$3="Toutes",SUMIFS('Étape 1 - à remplir'!$F$31:$F$400,'Étape 1 - à remplir'!$E$31:$E$400,MASQ2!O589,'Étape 1 - à remplir'!$G$31:$G$400,"animaux"),SUMIFS('Étape 1 - à remplir'!$F$31:$F$400,'Étape 1 - à remplir'!$E$31:$E$400,MASQ2!O589,'Étape 1 - à remplir'!$C$31:$C$400,X$3)),IF(X$2="Âge",IF(X$3="Tous",SUMIFS('Étape 1 - à remplir'!$F$31:$F$400,'Étape 1 - à remplir'!$E$31:$E$400,MASQ2!O589,'Étape 1 - à remplir'!$G$31:$G$400,"animaux"),SUMIFS('Étape 1 - à remplir'!$F$31:$F$400,'Étape 1 - à remplir'!$E$31:$E$400,MASQ2!O589,'Étape 1 - à remplir'!$P$31:$P$400,X$3)),IF(X$2="Atelier",IF(X$3="Tous",SUMIFS('Étape 1 - à remplir'!$F$31:$F$400,'Étape 1 - à remplir'!$E$31:$E$400,MASQ2!O589,'Étape 1 - à remplir'!$G$31:$G$400,"animaux"),SUMIFS('Étape 1 - à remplir'!$F$31:$F$400,'Étape 1 - à remplir'!$E$31:$E$400,MASQ2!O589,'Étape 1 - à remplir'!$O$31:$O$400,X$3)),IF(X$2="Espèce",IF(X$3="Toutes",SUMIFS('Étape 1 - à remplir'!$F$31:$F$400,'Étape 1 - à remplir'!$E$31:$E$400,MASQ2!O589,'Étape 1 - à remplir'!$G$31:$G$400,"animaux"),SUMIFS('Étape 1 - à remplir'!$F$31:$F$400,'Étape 1 - à remplir'!$E$31:$E$400,MASQ2!O589,'Étape 1 - à remplir'!$N$31:$N$400,X$3)))))))</f>
        <v>#N/A</v>
      </c>
      <c r="Q589" s="63">
        <f t="shared" si="360"/>
        <v>0</v>
      </c>
      <c r="R589" t="str">
        <f>Données_ATB!BM588</f>
        <v/>
      </c>
      <c r="S589" t="str">
        <f>Données_ATB!BN588</f>
        <v/>
      </c>
      <c r="T589" s="63" t="str">
        <f>Données_ATB!BO588</f>
        <v/>
      </c>
      <c r="U589" s="42" t="str">
        <f>Données_ATB!BQ588</f>
        <v/>
      </c>
      <c r="V589" t="str">
        <f>Données_ATB!BR588</f>
        <v/>
      </c>
      <c r="W589" s="63" t="str">
        <f>Données_ATB!BS588</f>
        <v/>
      </c>
      <c r="Z589" s="42">
        <v>586</v>
      </c>
      <c r="AA589" t="e">
        <f t="shared" si="356"/>
        <v>#N/A</v>
      </c>
      <c r="AB589" s="63" t="e">
        <f t="shared" si="357"/>
        <v>#N/A</v>
      </c>
      <c r="BT589" s="194" t="e">
        <f t="shared" ca="1" si="340"/>
        <v>#N/A</v>
      </c>
      <c r="BU589" s="219" t="str">
        <f>IFERROR(IF(BX589=0,"",COUNTIF(BX$4:BX$600,"&gt;"&amp;BX589)+COUNTIF(BX$4:BX589,BX589)),"")</f>
        <v/>
      </c>
      <c r="BV589" s="42">
        <f t="shared" si="341"/>
        <v>0</v>
      </c>
      <c r="BW589" t="e">
        <f>IF(IF(CE$2="Catégorie",IF(CE$3="Toutes",SUMIFS('Étape 1 - à remplir'!$F$31:$F$400,'Étape 1 - à remplir'!$E$31:$E$400,MASQ2!BV589,'Étape 1 - à remplir'!$G$31:$G$400,"lots"),SUMIFS('Étape 1 - à remplir'!$F$31:$F$400,'Étape 1 - à remplir'!$E$31:$E$400,MASQ2!BV589,'Étape 1 - à remplir'!$C$31:$C$400,CE$3)),IF(CE$2="Âge",IF(CE$3="Tous",SUMIFS('Étape 1 - à remplir'!$F$31:$F$400,'Étape 1 - à remplir'!$E$31:$E$400,MASQ2!BV589,'Étape 1 - à remplir'!$G$31:$G$400,"lots"),SUMIFS('Étape 1 - à remplir'!$F$31:$F$400,'Étape 1 - à remplir'!$E$31:$E$400,MASQ2!BV589,'Étape 1 - à remplir'!$P$31:$P$400,CE$3,'Étape 1 - à remplir'!$G$31:$G$400,"lots")),IF(CE$2="Atelier",IF(CE$3="Tous",SUMIFS('Étape 1 - à remplir'!$F$31:$F$400,'Étape 1 - à remplir'!$E$31:$E$400,MASQ2!BV589,'Étape 1 - à remplir'!$G$31:$G$400,"lots"),SUMIFS('Étape 1 - à remplir'!$F$31:$F$400,'Étape 1 - à remplir'!$E$31:$E$400,MASQ2!BV589,'Étape 1 - à remplir'!$O$31:$O$400,CE$3,'Étape 1 - à remplir'!$G$31:$G$400,"lots")),IF(CE$2="Espèce",IF(CE$3="Toutes",SUMIFS('Étape 1 - à remplir'!$F$31:$F$400,'Étape 1 - à remplir'!$E$31:$E$400,MASQ2!BV589,'Étape 1 - à remplir'!$G$31:$G$400,"lots"),SUMIFS('Étape 1 - à remplir'!$F$31:$F$400,'Étape 1 - à remplir'!$E$31:$E$400,MASQ2!BV589,'Étape 1 - à remplir'!$N$31:$N$400,CE$3,'Étape 1 - à remplir'!$G$31:$G$400,"lots"))))))=0,NA(),IF(CE$2="Catégorie",IF(CE$3="Toutes",SUMIFS('Étape 1 - à remplir'!$F$31:$F$400,'Étape 1 - à remplir'!$E$31:$E$400,MASQ2!BV589,'Étape 1 - à remplir'!$G$31:$G$400,"lots"),SUMIFS('Étape 1 - à remplir'!$F$31:$F$400,'Étape 1 - à remplir'!$E$31:$E$400,MASQ2!BV589,'Étape 1 - à remplir'!$C$31:$C$400,CE$3)),IF(CE$2="Âge",IF(CE$3="Tous",SUMIFS('Étape 1 - à remplir'!$F$31:$F$400,'Étape 1 - à remplir'!$E$31:$E$400,MASQ2!BV589,'Étape 1 - à remplir'!$G$31:$G$400,"lots"),SUMIFS('Étape 1 - à remplir'!$F$31:$F$400,'Étape 1 - à remplir'!$E$31:$E$400,MASQ2!BV589,'Étape 1 - à remplir'!$P$31:$P$400,CE$3,'Étape 1 - à remplir'!$G$31:$G$400,"lots")),IF(CE$2="Atelier",IF(CE$3="Tous",SUMIFS('Étape 1 - à remplir'!$F$31:$F$400,'Étape 1 - à remplir'!$E$31:$E$400,MASQ2!BV589,'Étape 1 - à remplir'!$G$31:$G$400,"lots"),SUMIFS('Étape 1 - à remplir'!$F$31:$F$400,'Étape 1 - à remplir'!$E$31:$E$400,MASQ2!BV589,'Étape 1 - à remplir'!$O$31:$O$400,CE$3,'Étape 1 - à remplir'!$G$31:$G$400,"lots")),IF(CE$2="Espèce",IF(CE$3="Toutes",SUMIFS('Étape 1 - à remplir'!$F$31:$F$400,'Étape 1 - à remplir'!$E$31:$E$400,MASQ2!BV589,'Étape 1 - à remplir'!$G$31:$G$400,"lots"),SUMIFS('Étape 1 - à remplir'!$F$31:$F$400,'Étape 1 - à remplir'!$E$31:$E$400,MASQ2!BV589,'Étape 1 - à remplir'!$N$31:$N$400,CE$3,'Étape 1 - à remplir'!$G$31:$G$400,"lots")))))))</f>
        <v>#N/A</v>
      </c>
      <c r="BX589">
        <f t="shared" si="358"/>
        <v>0</v>
      </c>
      <c r="BY589" t="str">
        <f t="shared" si="342"/>
        <v/>
      </c>
      <c r="BZ589" t="str">
        <f t="shared" si="343"/>
        <v/>
      </c>
      <c r="CA589" t="str">
        <f t="shared" si="344"/>
        <v/>
      </c>
      <c r="CB589" t="str">
        <f t="shared" si="345"/>
        <v/>
      </c>
      <c r="CC589" t="str">
        <f t="shared" si="346"/>
        <v/>
      </c>
      <c r="CD589" s="63" t="str">
        <f t="shared" si="347"/>
        <v/>
      </c>
      <c r="CG589" s="42">
        <v>586</v>
      </c>
      <c r="CH589" s="42" t="e">
        <f t="shared" si="338"/>
        <v>#N/A</v>
      </c>
      <c r="CI589" s="63" t="e">
        <f t="shared" si="339"/>
        <v>#N/A</v>
      </c>
      <c r="EA589" s="194" t="e">
        <f t="shared" ca="1" si="348"/>
        <v>#N/A</v>
      </c>
      <c r="EB589" s="226" t="str">
        <f>IFERROR(IF(ED589=0,"",COUNTIF(ED$4:ED$600,"&gt;"&amp;ED589)+COUNTIF(ED$4:ED589,ED589)),"")</f>
        <v/>
      </c>
      <c r="EC589">
        <f t="shared" si="349"/>
        <v>0</v>
      </c>
      <c r="ED589" t="e">
        <f>IF(IF(EL$2="Catégorie",IF(EL$3="Toutes",SUMIFS('Étape 1 - à remplir'!$F$31:$F$400,'Étape 1 - à remplir'!$E$31:$E$400,MASQ2!EC589,'Étape 1 - à remplir'!$G$31:$G$400,"kg"),SUMIFS('Étape 1 - à remplir'!$F$31:$F$400,'Étape 1 - à remplir'!$E$31:$E$400,MASQ2!EC589,'Étape 1 - à remplir'!$C$31:$C$400,EL$3)),IF(EL$2="Âge",IF(EL$3="Tous",SUMIFS('Étape 1 - à remplir'!$F$31:$F$400,'Étape 1 - à remplir'!$E$31:$E$400,MASQ2!EC589,'Étape 1 - à remplir'!$G$31:$G$400,"kg"),SUMIFS('Étape 1 - à remplir'!$F$31:$F$400,'Étape 1 - à remplir'!$E$31:$E$400,MASQ2!EC589,'Étape 1 - à remplir'!$P$31:$P$400,EL$3,'Étape 1 - à remplir'!$G$31:$G$400,"kg")),IF(EL$2="Atelier",IF(EL$3="Tous",SUMIFS('Étape 1 - à remplir'!$F$31:$F$400,'Étape 1 - à remplir'!$E$31:$E$400,MASQ2!EC589,'Étape 1 - à remplir'!$G$31:$G$400,"kg"),SUMIFS('Étape 1 - à remplir'!$F$31:$F$400,'Étape 1 - à remplir'!$E$31:$E$400,MASQ2!EC589,'Étape 1 - à remplir'!$O$31:$O$400,EL$3,'Étape 1 - à remplir'!$G$31:$G$400,"kg")),IF(EL$2="Espèce",IF(EL$3="Toutes",SUMIFS('Étape 1 - à remplir'!$F$31:$F$400,'Étape 1 - à remplir'!$E$31:$E$400,MASQ2!EC589,'Étape 1 - à remplir'!$G$31:$G$400,"kg"),SUMIFS('Étape 1 - à remplir'!$F$31:$F$400,'Étape 1 - à remplir'!$E$31:$E$400,MASQ2!EC589,'Étape 1 - à remplir'!$N$31:$N$400,EL$3,'Étape 1 - à remplir'!$G$31:$G$400,"kg"))))))=0,NA(),IF(EL$2="Catégorie",IF(EL$3="Toutes",SUMIFS('Étape 1 - à remplir'!$F$31:$F$400,'Étape 1 - à remplir'!$E$31:$E$400,MASQ2!EC589,'Étape 1 - à remplir'!$G$31:$G$400,"kg"),SUMIFS('Étape 1 - à remplir'!$F$31:$F$400,'Étape 1 - à remplir'!$E$31:$E$400,MASQ2!EC589,'Étape 1 - à remplir'!$C$31:$C$400,EL$3)),IF(EL$2="Âge",IF(EL$3="Tous",SUMIFS('Étape 1 - à remplir'!$F$31:$F$400,'Étape 1 - à remplir'!$E$31:$E$400,MASQ2!EC589,'Étape 1 - à remplir'!$G$31:$G$400,"kg"),SUMIFS('Étape 1 - à remplir'!$F$31:$F$400,'Étape 1 - à remplir'!$E$31:$E$400,MASQ2!EC589,'Étape 1 - à remplir'!$P$31:$P$400,EL$3,'Étape 1 - à remplir'!$G$31:$G$400,"kg")),IF(EL$2="Atelier",IF(EL$3="Tous",SUMIFS('Étape 1 - à remplir'!$F$31:$F$400,'Étape 1 - à remplir'!$E$31:$E$400,MASQ2!EC589,'Étape 1 - à remplir'!$G$31:$G$400,"kg"),SUMIFS('Étape 1 - à remplir'!$F$31:$F$400,'Étape 1 - à remplir'!$E$31:$E$400,MASQ2!EC589,'Étape 1 - à remplir'!$O$31:$O$400,EL$3,'Étape 1 - à remplir'!$G$31:$G$400,"kg")),IF(EL$2="Espèce",IF(EL$3="Toutes",SUMIFS('Étape 1 - à remplir'!$F$31:$F$400,'Étape 1 - à remplir'!$E$31:$E$400,MASQ2!EC589,'Étape 1 - à remplir'!$G$31:$G$400,"kg"),SUMIFS('Étape 1 - à remplir'!$F$31:$F$400,'Étape 1 - à remplir'!$E$31:$E$400,MASQ2!EC589,'Étape 1 - à remplir'!$N$31:$N$400,EL$3,'Étape 1 - à remplir'!$G$31:$G$400,"kg")))))))</f>
        <v>#N/A</v>
      </c>
      <c r="EE589" s="76">
        <f t="shared" si="359"/>
        <v>0</v>
      </c>
      <c r="EF589" t="str">
        <f t="shared" si="350"/>
        <v/>
      </c>
      <c r="EG589" t="str">
        <f t="shared" si="351"/>
        <v/>
      </c>
      <c r="EH589" t="str">
        <f t="shared" si="352"/>
        <v/>
      </c>
      <c r="EI589" t="str">
        <f t="shared" si="353"/>
        <v/>
      </c>
      <c r="EJ589" t="str">
        <f t="shared" si="354"/>
        <v/>
      </c>
      <c r="EK589" s="63" t="str">
        <f t="shared" si="355"/>
        <v/>
      </c>
      <c r="EN589" s="42">
        <v>586</v>
      </c>
      <c r="EO589" t="e">
        <f t="shared" si="361"/>
        <v>#N/A</v>
      </c>
      <c r="EP589" s="63" t="e">
        <f t="shared" si="362"/>
        <v>#N/A</v>
      </c>
    </row>
    <row r="590" spans="13:146" x14ac:dyDescent="0.3">
      <c r="M590" s="194" t="e">
        <f ca="1">INDEX(Données_ATB!BD:BU,MATCH(MASQ2!O590,Données_ATB!BD:BD,0),18)</f>
        <v>#N/A</v>
      </c>
      <c r="N590" s="14" t="str">
        <f>IFERROR(IF(Q590=0,"",COUNTIF(Q$4:Q$600,"&gt;"&amp;Q590)+COUNTIF(Q$4:Q590,Q590)),"")</f>
        <v/>
      </c>
      <c r="O590">
        <f>Données_ATB!BD589</f>
        <v>0</v>
      </c>
      <c r="P590" t="e">
        <f>IF(IF(X$2="Catégorie",IF(X$3="Toutes",SUMIFS('Étape 1 - à remplir'!$F$31:$F$400,'Étape 1 - à remplir'!$E$31:$E$400,MASQ2!O590,'Étape 1 - à remplir'!$G$31:$G$400,"animaux"),SUMIFS('Étape 1 - à remplir'!$F$31:$F$400,'Étape 1 - à remplir'!$E$31:$E$400,MASQ2!O590,'Étape 1 - à remplir'!$C$31:$C$400,X$3)),IF(X$2="Âge",IF(X$3="Tous",SUMIFS('Étape 1 - à remplir'!$F$31:$F$400,'Étape 1 - à remplir'!$E$31:$E$400,MASQ2!O590,'Étape 1 - à remplir'!$G$31:$G$400,"animaux"),SUMIFS('Étape 1 - à remplir'!$F$31:$F$400,'Étape 1 - à remplir'!$E$31:$E$400,MASQ2!O590,'Étape 1 - à remplir'!$P$31:$P$400,X$3)),IF(X$2="Atelier",IF(X$3="Tous",SUMIFS('Étape 1 - à remplir'!$F$31:$F$400,'Étape 1 - à remplir'!$E$31:$E$400,MASQ2!O590,'Étape 1 - à remplir'!$G$31:$G$400,"animaux"),SUMIFS('Étape 1 - à remplir'!$F$31:$F$400,'Étape 1 - à remplir'!$E$31:$E$400,MASQ2!O590,'Étape 1 - à remplir'!$O$31:$O$400,X$3)),IF(X$2="Espèce",IF(X$3="Toutes",SUMIFS('Étape 1 - à remplir'!$F$31:$F$400,'Étape 1 - à remplir'!$E$31:$E$400,MASQ2!O590,'Étape 1 - à remplir'!$G$31:$G$400,"animaux"),SUMIFS('Étape 1 - à remplir'!$F$31:$F$400,'Étape 1 - à remplir'!$E$31:$E$400,MASQ2!O590,'Étape 1 - à remplir'!$N$31:$N$400,X$3))))))=0,NA(),IF(X$2="Catégorie",IF(X$3="Toutes",SUMIFS('Étape 1 - à remplir'!$F$31:$F$400,'Étape 1 - à remplir'!$E$31:$E$400,MASQ2!O590,'Étape 1 - à remplir'!$G$31:$G$400,"animaux"),SUMIFS('Étape 1 - à remplir'!$F$31:$F$400,'Étape 1 - à remplir'!$E$31:$E$400,MASQ2!O590,'Étape 1 - à remplir'!$C$31:$C$400,X$3)),IF(X$2="Âge",IF(X$3="Tous",SUMIFS('Étape 1 - à remplir'!$F$31:$F$400,'Étape 1 - à remplir'!$E$31:$E$400,MASQ2!O590,'Étape 1 - à remplir'!$G$31:$G$400,"animaux"),SUMIFS('Étape 1 - à remplir'!$F$31:$F$400,'Étape 1 - à remplir'!$E$31:$E$400,MASQ2!O590,'Étape 1 - à remplir'!$P$31:$P$400,X$3)),IF(X$2="Atelier",IF(X$3="Tous",SUMIFS('Étape 1 - à remplir'!$F$31:$F$400,'Étape 1 - à remplir'!$E$31:$E$400,MASQ2!O590,'Étape 1 - à remplir'!$G$31:$G$400,"animaux"),SUMIFS('Étape 1 - à remplir'!$F$31:$F$400,'Étape 1 - à remplir'!$E$31:$E$400,MASQ2!O590,'Étape 1 - à remplir'!$O$31:$O$400,X$3)),IF(X$2="Espèce",IF(X$3="Toutes",SUMIFS('Étape 1 - à remplir'!$F$31:$F$400,'Étape 1 - à remplir'!$E$31:$E$400,MASQ2!O590,'Étape 1 - à remplir'!$G$31:$G$400,"animaux"),SUMIFS('Étape 1 - à remplir'!$F$31:$F$400,'Étape 1 - à remplir'!$E$31:$E$400,MASQ2!O590,'Étape 1 - à remplir'!$N$31:$N$400,X$3)))))))</f>
        <v>#N/A</v>
      </c>
      <c r="Q590" s="63">
        <f t="shared" si="360"/>
        <v>0</v>
      </c>
      <c r="R590" t="str">
        <f>Données_ATB!BM589</f>
        <v/>
      </c>
      <c r="S590" t="str">
        <f>Données_ATB!BN589</f>
        <v/>
      </c>
      <c r="T590" s="63" t="str">
        <f>Données_ATB!BO589</f>
        <v/>
      </c>
      <c r="U590" s="42" t="str">
        <f>Données_ATB!BQ589</f>
        <v/>
      </c>
      <c r="V590" t="str">
        <f>Données_ATB!BR589</f>
        <v/>
      </c>
      <c r="W590" s="63" t="str">
        <f>Données_ATB!BS589</f>
        <v/>
      </c>
      <c r="Z590" s="42">
        <v>587</v>
      </c>
      <c r="AA590" t="e">
        <f t="shared" si="356"/>
        <v>#N/A</v>
      </c>
      <c r="AB590" s="63" t="e">
        <f t="shared" si="357"/>
        <v>#N/A</v>
      </c>
      <c r="BT590" s="194" t="e">
        <f t="shared" ca="1" si="340"/>
        <v>#N/A</v>
      </c>
      <c r="BU590" s="219" t="str">
        <f>IFERROR(IF(BX590=0,"",COUNTIF(BX$4:BX$600,"&gt;"&amp;BX590)+COUNTIF(BX$4:BX590,BX590)),"")</f>
        <v/>
      </c>
      <c r="BV590" s="42">
        <f t="shared" si="341"/>
        <v>0</v>
      </c>
      <c r="BW590" t="e">
        <f>IF(IF(CE$2="Catégorie",IF(CE$3="Toutes",SUMIFS('Étape 1 - à remplir'!$F$31:$F$400,'Étape 1 - à remplir'!$E$31:$E$400,MASQ2!BV590,'Étape 1 - à remplir'!$G$31:$G$400,"lots"),SUMIFS('Étape 1 - à remplir'!$F$31:$F$400,'Étape 1 - à remplir'!$E$31:$E$400,MASQ2!BV590,'Étape 1 - à remplir'!$C$31:$C$400,CE$3)),IF(CE$2="Âge",IF(CE$3="Tous",SUMIFS('Étape 1 - à remplir'!$F$31:$F$400,'Étape 1 - à remplir'!$E$31:$E$400,MASQ2!BV590,'Étape 1 - à remplir'!$G$31:$G$400,"lots"),SUMIFS('Étape 1 - à remplir'!$F$31:$F$400,'Étape 1 - à remplir'!$E$31:$E$400,MASQ2!BV590,'Étape 1 - à remplir'!$P$31:$P$400,CE$3,'Étape 1 - à remplir'!$G$31:$G$400,"lots")),IF(CE$2="Atelier",IF(CE$3="Tous",SUMIFS('Étape 1 - à remplir'!$F$31:$F$400,'Étape 1 - à remplir'!$E$31:$E$400,MASQ2!BV590,'Étape 1 - à remplir'!$G$31:$G$400,"lots"),SUMIFS('Étape 1 - à remplir'!$F$31:$F$400,'Étape 1 - à remplir'!$E$31:$E$400,MASQ2!BV590,'Étape 1 - à remplir'!$O$31:$O$400,CE$3,'Étape 1 - à remplir'!$G$31:$G$400,"lots")),IF(CE$2="Espèce",IF(CE$3="Toutes",SUMIFS('Étape 1 - à remplir'!$F$31:$F$400,'Étape 1 - à remplir'!$E$31:$E$400,MASQ2!BV590,'Étape 1 - à remplir'!$G$31:$G$400,"lots"),SUMIFS('Étape 1 - à remplir'!$F$31:$F$400,'Étape 1 - à remplir'!$E$31:$E$400,MASQ2!BV590,'Étape 1 - à remplir'!$N$31:$N$400,CE$3,'Étape 1 - à remplir'!$G$31:$G$400,"lots"))))))=0,NA(),IF(CE$2="Catégorie",IF(CE$3="Toutes",SUMIFS('Étape 1 - à remplir'!$F$31:$F$400,'Étape 1 - à remplir'!$E$31:$E$400,MASQ2!BV590,'Étape 1 - à remplir'!$G$31:$G$400,"lots"),SUMIFS('Étape 1 - à remplir'!$F$31:$F$400,'Étape 1 - à remplir'!$E$31:$E$400,MASQ2!BV590,'Étape 1 - à remplir'!$C$31:$C$400,CE$3)),IF(CE$2="Âge",IF(CE$3="Tous",SUMIFS('Étape 1 - à remplir'!$F$31:$F$400,'Étape 1 - à remplir'!$E$31:$E$400,MASQ2!BV590,'Étape 1 - à remplir'!$G$31:$G$400,"lots"),SUMIFS('Étape 1 - à remplir'!$F$31:$F$400,'Étape 1 - à remplir'!$E$31:$E$400,MASQ2!BV590,'Étape 1 - à remplir'!$P$31:$P$400,CE$3,'Étape 1 - à remplir'!$G$31:$G$400,"lots")),IF(CE$2="Atelier",IF(CE$3="Tous",SUMIFS('Étape 1 - à remplir'!$F$31:$F$400,'Étape 1 - à remplir'!$E$31:$E$400,MASQ2!BV590,'Étape 1 - à remplir'!$G$31:$G$400,"lots"),SUMIFS('Étape 1 - à remplir'!$F$31:$F$400,'Étape 1 - à remplir'!$E$31:$E$400,MASQ2!BV590,'Étape 1 - à remplir'!$O$31:$O$400,CE$3,'Étape 1 - à remplir'!$G$31:$G$400,"lots")),IF(CE$2="Espèce",IF(CE$3="Toutes",SUMIFS('Étape 1 - à remplir'!$F$31:$F$400,'Étape 1 - à remplir'!$E$31:$E$400,MASQ2!BV590,'Étape 1 - à remplir'!$G$31:$G$400,"lots"),SUMIFS('Étape 1 - à remplir'!$F$31:$F$400,'Étape 1 - à remplir'!$E$31:$E$400,MASQ2!BV590,'Étape 1 - à remplir'!$N$31:$N$400,CE$3,'Étape 1 - à remplir'!$G$31:$G$400,"lots")))))))</f>
        <v>#N/A</v>
      </c>
      <c r="BX590">
        <f t="shared" si="358"/>
        <v>0</v>
      </c>
      <c r="BY590" t="str">
        <f t="shared" si="342"/>
        <v/>
      </c>
      <c r="BZ590" t="str">
        <f t="shared" si="343"/>
        <v/>
      </c>
      <c r="CA590" t="str">
        <f t="shared" si="344"/>
        <v/>
      </c>
      <c r="CB590" t="str">
        <f t="shared" si="345"/>
        <v/>
      </c>
      <c r="CC590" t="str">
        <f t="shared" si="346"/>
        <v/>
      </c>
      <c r="CD590" s="63" t="str">
        <f t="shared" si="347"/>
        <v/>
      </c>
      <c r="CG590" s="42">
        <v>587</v>
      </c>
      <c r="CH590" s="42" t="e">
        <f t="shared" si="338"/>
        <v>#N/A</v>
      </c>
      <c r="CI590" s="63" t="e">
        <f t="shared" si="339"/>
        <v>#N/A</v>
      </c>
      <c r="EA590" s="194" t="e">
        <f t="shared" ca="1" si="348"/>
        <v>#N/A</v>
      </c>
      <c r="EB590" s="226" t="str">
        <f>IFERROR(IF(ED590=0,"",COUNTIF(ED$4:ED$600,"&gt;"&amp;ED590)+COUNTIF(ED$4:ED590,ED590)),"")</f>
        <v/>
      </c>
      <c r="EC590">
        <f t="shared" si="349"/>
        <v>0</v>
      </c>
      <c r="ED590" t="e">
        <f>IF(IF(EL$2="Catégorie",IF(EL$3="Toutes",SUMIFS('Étape 1 - à remplir'!$F$31:$F$400,'Étape 1 - à remplir'!$E$31:$E$400,MASQ2!EC590,'Étape 1 - à remplir'!$G$31:$G$400,"kg"),SUMIFS('Étape 1 - à remplir'!$F$31:$F$400,'Étape 1 - à remplir'!$E$31:$E$400,MASQ2!EC590,'Étape 1 - à remplir'!$C$31:$C$400,EL$3)),IF(EL$2="Âge",IF(EL$3="Tous",SUMIFS('Étape 1 - à remplir'!$F$31:$F$400,'Étape 1 - à remplir'!$E$31:$E$400,MASQ2!EC590,'Étape 1 - à remplir'!$G$31:$G$400,"kg"),SUMIFS('Étape 1 - à remplir'!$F$31:$F$400,'Étape 1 - à remplir'!$E$31:$E$400,MASQ2!EC590,'Étape 1 - à remplir'!$P$31:$P$400,EL$3,'Étape 1 - à remplir'!$G$31:$G$400,"kg")),IF(EL$2="Atelier",IF(EL$3="Tous",SUMIFS('Étape 1 - à remplir'!$F$31:$F$400,'Étape 1 - à remplir'!$E$31:$E$400,MASQ2!EC590,'Étape 1 - à remplir'!$G$31:$G$400,"kg"),SUMIFS('Étape 1 - à remplir'!$F$31:$F$400,'Étape 1 - à remplir'!$E$31:$E$400,MASQ2!EC590,'Étape 1 - à remplir'!$O$31:$O$400,EL$3,'Étape 1 - à remplir'!$G$31:$G$400,"kg")),IF(EL$2="Espèce",IF(EL$3="Toutes",SUMIFS('Étape 1 - à remplir'!$F$31:$F$400,'Étape 1 - à remplir'!$E$31:$E$400,MASQ2!EC590,'Étape 1 - à remplir'!$G$31:$G$400,"kg"),SUMIFS('Étape 1 - à remplir'!$F$31:$F$400,'Étape 1 - à remplir'!$E$31:$E$400,MASQ2!EC590,'Étape 1 - à remplir'!$N$31:$N$400,EL$3,'Étape 1 - à remplir'!$G$31:$G$400,"kg"))))))=0,NA(),IF(EL$2="Catégorie",IF(EL$3="Toutes",SUMIFS('Étape 1 - à remplir'!$F$31:$F$400,'Étape 1 - à remplir'!$E$31:$E$400,MASQ2!EC590,'Étape 1 - à remplir'!$G$31:$G$400,"kg"),SUMIFS('Étape 1 - à remplir'!$F$31:$F$400,'Étape 1 - à remplir'!$E$31:$E$400,MASQ2!EC590,'Étape 1 - à remplir'!$C$31:$C$400,EL$3)),IF(EL$2="Âge",IF(EL$3="Tous",SUMIFS('Étape 1 - à remplir'!$F$31:$F$400,'Étape 1 - à remplir'!$E$31:$E$400,MASQ2!EC590,'Étape 1 - à remplir'!$G$31:$G$400,"kg"),SUMIFS('Étape 1 - à remplir'!$F$31:$F$400,'Étape 1 - à remplir'!$E$31:$E$400,MASQ2!EC590,'Étape 1 - à remplir'!$P$31:$P$400,EL$3,'Étape 1 - à remplir'!$G$31:$G$400,"kg")),IF(EL$2="Atelier",IF(EL$3="Tous",SUMIFS('Étape 1 - à remplir'!$F$31:$F$400,'Étape 1 - à remplir'!$E$31:$E$400,MASQ2!EC590,'Étape 1 - à remplir'!$G$31:$G$400,"kg"),SUMIFS('Étape 1 - à remplir'!$F$31:$F$400,'Étape 1 - à remplir'!$E$31:$E$400,MASQ2!EC590,'Étape 1 - à remplir'!$O$31:$O$400,EL$3,'Étape 1 - à remplir'!$G$31:$G$400,"kg")),IF(EL$2="Espèce",IF(EL$3="Toutes",SUMIFS('Étape 1 - à remplir'!$F$31:$F$400,'Étape 1 - à remplir'!$E$31:$E$400,MASQ2!EC590,'Étape 1 - à remplir'!$G$31:$G$400,"kg"),SUMIFS('Étape 1 - à remplir'!$F$31:$F$400,'Étape 1 - à remplir'!$E$31:$E$400,MASQ2!EC590,'Étape 1 - à remplir'!$N$31:$N$400,EL$3,'Étape 1 - à remplir'!$G$31:$G$400,"kg")))))))</f>
        <v>#N/A</v>
      </c>
      <c r="EE590" s="76">
        <f t="shared" si="359"/>
        <v>0</v>
      </c>
      <c r="EF590" t="str">
        <f t="shared" si="350"/>
        <v/>
      </c>
      <c r="EG590" t="str">
        <f t="shared" si="351"/>
        <v/>
      </c>
      <c r="EH590" t="str">
        <f t="shared" si="352"/>
        <v/>
      </c>
      <c r="EI590" t="str">
        <f t="shared" si="353"/>
        <v/>
      </c>
      <c r="EJ590" t="str">
        <f t="shared" si="354"/>
        <v/>
      </c>
      <c r="EK590" s="63" t="str">
        <f t="shared" si="355"/>
        <v/>
      </c>
      <c r="EN590" s="42">
        <v>587</v>
      </c>
      <c r="EO590" t="e">
        <f t="shared" si="361"/>
        <v>#N/A</v>
      </c>
      <c r="EP590" s="63" t="e">
        <f t="shared" si="362"/>
        <v>#N/A</v>
      </c>
    </row>
    <row r="591" spans="13:146" x14ac:dyDescent="0.3">
      <c r="M591" s="194" t="e">
        <f ca="1">INDEX(Données_ATB!BD:BU,MATCH(MASQ2!O591,Données_ATB!BD:BD,0),18)</f>
        <v>#N/A</v>
      </c>
      <c r="N591" s="14" t="str">
        <f>IFERROR(IF(Q591=0,"",COUNTIF(Q$4:Q$600,"&gt;"&amp;Q591)+COUNTIF(Q$4:Q591,Q591)),"")</f>
        <v/>
      </c>
      <c r="O591">
        <f>Données_ATB!BD590</f>
        <v>0</v>
      </c>
      <c r="P591" t="e">
        <f>IF(IF(X$2="Catégorie",IF(X$3="Toutes",SUMIFS('Étape 1 - à remplir'!$F$31:$F$400,'Étape 1 - à remplir'!$E$31:$E$400,MASQ2!O591,'Étape 1 - à remplir'!$G$31:$G$400,"animaux"),SUMIFS('Étape 1 - à remplir'!$F$31:$F$400,'Étape 1 - à remplir'!$E$31:$E$400,MASQ2!O591,'Étape 1 - à remplir'!$C$31:$C$400,X$3)),IF(X$2="Âge",IF(X$3="Tous",SUMIFS('Étape 1 - à remplir'!$F$31:$F$400,'Étape 1 - à remplir'!$E$31:$E$400,MASQ2!O591,'Étape 1 - à remplir'!$G$31:$G$400,"animaux"),SUMIFS('Étape 1 - à remplir'!$F$31:$F$400,'Étape 1 - à remplir'!$E$31:$E$400,MASQ2!O591,'Étape 1 - à remplir'!$P$31:$P$400,X$3)),IF(X$2="Atelier",IF(X$3="Tous",SUMIFS('Étape 1 - à remplir'!$F$31:$F$400,'Étape 1 - à remplir'!$E$31:$E$400,MASQ2!O591,'Étape 1 - à remplir'!$G$31:$G$400,"animaux"),SUMIFS('Étape 1 - à remplir'!$F$31:$F$400,'Étape 1 - à remplir'!$E$31:$E$400,MASQ2!O591,'Étape 1 - à remplir'!$O$31:$O$400,X$3)),IF(X$2="Espèce",IF(X$3="Toutes",SUMIFS('Étape 1 - à remplir'!$F$31:$F$400,'Étape 1 - à remplir'!$E$31:$E$400,MASQ2!O591,'Étape 1 - à remplir'!$G$31:$G$400,"animaux"),SUMIFS('Étape 1 - à remplir'!$F$31:$F$400,'Étape 1 - à remplir'!$E$31:$E$400,MASQ2!O591,'Étape 1 - à remplir'!$N$31:$N$400,X$3))))))=0,NA(),IF(X$2="Catégorie",IF(X$3="Toutes",SUMIFS('Étape 1 - à remplir'!$F$31:$F$400,'Étape 1 - à remplir'!$E$31:$E$400,MASQ2!O591,'Étape 1 - à remplir'!$G$31:$G$400,"animaux"),SUMIFS('Étape 1 - à remplir'!$F$31:$F$400,'Étape 1 - à remplir'!$E$31:$E$400,MASQ2!O591,'Étape 1 - à remplir'!$C$31:$C$400,X$3)),IF(X$2="Âge",IF(X$3="Tous",SUMIFS('Étape 1 - à remplir'!$F$31:$F$400,'Étape 1 - à remplir'!$E$31:$E$400,MASQ2!O591,'Étape 1 - à remplir'!$G$31:$G$400,"animaux"),SUMIFS('Étape 1 - à remplir'!$F$31:$F$400,'Étape 1 - à remplir'!$E$31:$E$400,MASQ2!O591,'Étape 1 - à remplir'!$P$31:$P$400,X$3)),IF(X$2="Atelier",IF(X$3="Tous",SUMIFS('Étape 1 - à remplir'!$F$31:$F$400,'Étape 1 - à remplir'!$E$31:$E$400,MASQ2!O591,'Étape 1 - à remplir'!$G$31:$G$400,"animaux"),SUMIFS('Étape 1 - à remplir'!$F$31:$F$400,'Étape 1 - à remplir'!$E$31:$E$400,MASQ2!O591,'Étape 1 - à remplir'!$O$31:$O$400,X$3)),IF(X$2="Espèce",IF(X$3="Toutes",SUMIFS('Étape 1 - à remplir'!$F$31:$F$400,'Étape 1 - à remplir'!$E$31:$E$400,MASQ2!O591,'Étape 1 - à remplir'!$G$31:$G$400,"animaux"),SUMIFS('Étape 1 - à remplir'!$F$31:$F$400,'Étape 1 - à remplir'!$E$31:$E$400,MASQ2!O591,'Étape 1 - à remplir'!$N$31:$N$400,X$3)))))))</f>
        <v>#N/A</v>
      </c>
      <c r="Q591" s="63">
        <f t="shared" si="360"/>
        <v>0</v>
      </c>
      <c r="R591" t="str">
        <f>Données_ATB!BM590</f>
        <v/>
      </c>
      <c r="S591" t="str">
        <f>Données_ATB!BN590</f>
        <v/>
      </c>
      <c r="T591" s="63" t="str">
        <f>Données_ATB!BO590</f>
        <v/>
      </c>
      <c r="U591" s="42" t="str">
        <f>Données_ATB!BQ590</f>
        <v/>
      </c>
      <c r="V591" t="str">
        <f>Données_ATB!BR590</f>
        <v/>
      </c>
      <c r="W591" s="63" t="str">
        <f>Données_ATB!BS590</f>
        <v/>
      </c>
      <c r="Z591" s="42">
        <v>588</v>
      </c>
      <c r="AA591" t="e">
        <f t="shared" si="356"/>
        <v>#N/A</v>
      </c>
      <c r="AB591" s="63" t="e">
        <f t="shared" si="357"/>
        <v>#N/A</v>
      </c>
      <c r="BT591" s="194" t="e">
        <f t="shared" ca="1" si="340"/>
        <v>#N/A</v>
      </c>
      <c r="BU591" s="219" t="str">
        <f>IFERROR(IF(BX591=0,"",COUNTIF(BX$4:BX$600,"&gt;"&amp;BX591)+COUNTIF(BX$4:BX591,BX591)),"")</f>
        <v/>
      </c>
      <c r="BV591" s="42">
        <f t="shared" si="341"/>
        <v>0</v>
      </c>
      <c r="BW591" t="e">
        <f>IF(IF(CE$2="Catégorie",IF(CE$3="Toutes",SUMIFS('Étape 1 - à remplir'!$F$31:$F$400,'Étape 1 - à remplir'!$E$31:$E$400,MASQ2!BV591,'Étape 1 - à remplir'!$G$31:$G$400,"lots"),SUMIFS('Étape 1 - à remplir'!$F$31:$F$400,'Étape 1 - à remplir'!$E$31:$E$400,MASQ2!BV591,'Étape 1 - à remplir'!$C$31:$C$400,CE$3)),IF(CE$2="Âge",IF(CE$3="Tous",SUMIFS('Étape 1 - à remplir'!$F$31:$F$400,'Étape 1 - à remplir'!$E$31:$E$400,MASQ2!BV591,'Étape 1 - à remplir'!$G$31:$G$400,"lots"),SUMIFS('Étape 1 - à remplir'!$F$31:$F$400,'Étape 1 - à remplir'!$E$31:$E$400,MASQ2!BV591,'Étape 1 - à remplir'!$P$31:$P$400,CE$3,'Étape 1 - à remplir'!$G$31:$G$400,"lots")),IF(CE$2="Atelier",IF(CE$3="Tous",SUMIFS('Étape 1 - à remplir'!$F$31:$F$400,'Étape 1 - à remplir'!$E$31:$E$400,MASQ2!BV591,'Étape 1 - à remplir'!$G$31:$G$400,"lots"),SUMIFS('Étape 1 - à remplir'!$F$31:$F$400,'Étape 1 - à remplir'!$E$31:$E$400,MASQ2!BV591,'Étape 1 - à remplir'!$O$31:$O$400,CE$3,'Étape 1 - à remplir'!$G$31:$G$400,"lots")),IF(CE$2="Espèce",IF(CE$3="Toutes",SUMIFS('Étape 1 - à remplir'!$F$31:$F$400,'Étape 1 - à remplir'!$E$31:$E$400,MASQ2!BV591,'Étape 1 - à remplir'!$G$31:$G$400,"lots"),SUMIFS('Étape 1 - à remplir'!$F$31:$F$400,'Étape 1 - à remplir'!$E$31:$E$400,MASQ2!BV591,'Étape 1 - à remplir'!$N$31:$N$400,CE$3,'Étape 1 - à remplir'!$G$31:$G$400,"lots"))))))=0,NA(),IF(CE$2="Catégorie",IF(CE$3="Toutes",SUMIFS('Étape 1 - à remplir'!$F$31:$F$400,'Étape 1 - à remplir'!$E$31:$E$400,MASQ2!BV591,'Étape 1 - à remplir'!$G$31:$G$400,"lots"),SUMIFS('Étape 1 - à remplir'!$F$31:$F$400,'Étape 1 - à remplir'!$E$31:$E$400,MASQ2!BV591,'Étape 1 - à remplir'!$C$31:$C$400,CE$3)),IF(CE$2="Âge",IF(CE$3="Tous",SUMIFS('Étape 1 - à remplir'!$F$31:$F$400,'Étape 1 - à remplir'!$E$31:$E$400,MASQ2!BV591,'Étape 1 - à remplir'!$G$31:$G$400,"lots"),SUMIFS('Étape 1 - à remplir'!$F$31:$F$400,'Étape 1 - à remplir'!$E$31:$E$400,MASQ2!BV591,'Étape 1 - à remplir'!$P$31:$P$400,CE$3,'Étape 1 - à remplir'!$G$31:$G$400,"lots")),IF(CE$2="Atelier",IF(CE$3="Tous",SUMIFS('Étape 1 - à remplir'!$F$31:$F$400,'Étape 1 - à remplir'!$E$31:$E$400,MASQ2!BV591,'Étape 1 - à remplir'!$G$31:$G$400,"lots"),SUMIFS('Étape 1 - à remplir'!$F$31:$F$400,'Étape 1 - à remplir'!$E$31:$E$400,MASQ2!BV591,'Étape 1 - à remplir'!$O$31:$O$400,CE$3,'Étape 1 - à remplir'!$G$31:$G$400,"lots")),IF(CE$2="Espèce",IF(CE$3="Toutes",SUMIFS('Étape 1 - à remplir'!$F$31:$F$400,'Étape 1 - à remplir'!$E$31:$E$400,MASQ2!BV591,'Étape 1 - à remplir'!$G$31:$G$400,"lots"),SUMIFS('Étape 1 - à remplir'!$F$31:$F$400,'Étape 1 - à remplir'!$E$31:$E$400,MASQ2!BV591,'Étape 1 - à remplir'!$N$31:$N$400,CE$3,'Étape 1 - à remplir'!$G$31:$G$400,"lots")))))))</f>
        <v>#N/A</v>
      </c>
      <c r="BX591">
        <f t="shared" si="358"/>
        <v>0</v>
      </c>
      <c r="BY591" t="str">
        <f t="shared" si="342"/>
        <v/>
      </c>
      <c r="BZ591" t="str">
        <f t="shared" si="343"/>
        <v/>
      </c>
      <c r="CA591" t="str">
        <f t="shared" si="344"/>
        <v/>
      </c>
      <c r="CB591" t="str">
        <f t="shared" si="345"/>
        <v/>
      </c>
      <c r="CC591" t="str">
        <f t="shared" si="346"/>
        <v/>
      </c>
      <c r="CD591" s="63" t="str">
        <f t="shared" si="347"/>
        <v/>
      </c>
      <c r="CG591" s="42">
        <v>588</v>
      </c>
      <c r="CH591" s="42" t="e">
        <f t="shared" si="338"/>
        <v>#N/A</v>
      </c>
      <c r="CI591" s="63" t="e">
        <f t="shared" si="339"/>
        <v>#N/A</v>
      </c>
      <c r="EA591" s="194" t="e">
        <f t="shared" ca="1" si="348"/>
        <v>#N/A</v>
      </c>
      <c r="EB591" s="226" t="str">
        <f>IFERROR(IF(ED591=0,"",COUNTIF(ED$4:ED$600,"&gt;"&amp;ED591)+COUNTIF(ED$4:ED591,ED591)),"")</f>
        <v/>
      </c>
      <c r="EC591">
        <f t="shared" si="349"/>
        <v>0</v>
      </c>
      <c r="ED591" t="e">
        <f>IF(IF(EL$2="Catégorie",IF(EL$3="Toutes",SUMIFS('Étape 1 - à remplir'!$F$31:$F$400,'Étape 1 - à remplir'!$E$31:$E$400,MASQ2!EC591,'Étape 1 - à remplir'!$G$31:$G$400,"kg"),SUMIFS('Étape 1 - à remplir'!$F$31:$F$400,'Étape 1 - à remplir'!$E$31:$E$400,MASQ2!EC591,'Étape 1 - à remplir'!$C$31:$C$400,EL$3)),IF(EL$2="Âge",IF(EL$3="Tous",SUMIFS('Étape 1 - à remplir'!$F$31:$F$400,'Étape 1 - à remplir'!$E$31:$E$400,MASQ2!EC591,'Étape 1 - à remplir'!$G$31:$G$400,"kg"),SUMIFS('Étape 1 - à remplir'!$F$31:$F$400,'Étape 1 - à remplir'!$E$31:$E$400,MASQ2!EC591,'Étape 1 - à remplir'!$P$31:$P$400,EL$3,'Étape 1 - à remplir'!$G$31:$G$400,"kg")),IF(EL$2="Atelier",IF(EL$3="Tous",SUMIFS('Étape 1 - à remplir'!$F$31:$F$400,'Étape 1 - à remplir'!$E$31:$E$400,MASQ2!EC591,'Étape 1 - à remplir'!$G$31:$G$400,"kg"),SUMIFS('Étape 1 - à remplir'!$F$31:$F$400,'Étape 1 - à remplir'!$E$31:$E$400,MASQ2!EC591,'Étape 1 - à remplir'!$O$31:$O$400,EL$3,'Étape 1 - à remplir'!$G$31:$G$400,"kg")),IF(EL$2="Espèce",IF(EL$3="Toutes",SUMIFS('Étape 1 - à remplir'!$F$31:$F$400,'Étape 1 - à remplir'!$E$31:$E$400,MASQ2!EC591,'Étape 1 - à remplir'!$G$31:$G$400,"kg"),SUMIFS('Étape 1 - à remplir'!$F$31:$F$400,'Étape 1 - à remplir'!$E$31:$E$400,MASQ2!EC591,'Étape 1 - à remplir'!$N$31:$N$400,EL$3,'Étape 1 - à remplir'!$G$31:$G$400,"kg"))))))=0,NA(),IF(EL$2="Catégorie",IF(EL$3="Toutes",SUMIFS('Étape 1 - à remplir'!$F$31:$F$400,'Étape 1 - à remplir'!$E$31:$E$400,MASQ2!EC591,'Étape 1 - à remplir'!$G$31:$G$400,"kg"),SUMIFS('Étape 1 - à remplir'!$F$31:$F$400,'Étape 1 - à remplir'!$E$31:$E$400,MASQ2!EC591,'Étape 1 - à remplir'!$C$31:$C$400,EL$3)),IF(EL$2="Âge",IF(EL$3="Tous",SUMIFS('Étape 1 - à remplir'!$F$31:$F$400,'Étape 1 - à remplir'!$E$31:$E$400,MASQ2!EC591,'Étape 1 - à remplir'!$G$31:$G$400,"kg"),SUMIFS('Étape 1 - à remplir'!$F$31:$F$400,'Étape 1 - à remplir'!$E$31:$E$400,MASQ2!EC591,'Étape 1 - à remplir'!$P$31:$P$400,EL$3,'Étape 1 - à remplir'!$G$31:$G$400,"kg")),IF(EL$2="Atelier",IF(EL$3="Tous",SUMIFS('Étape 1 - à remplir'!$F$31:$F$400,'Étape 1 - à remplir'!$E$31:$E$400,MASQ2!EC591,'Étape 1 - à remplir'!$G$31:$G$400,"kg"),SUMIFS('Étape 1 - à remplir'!$F$31:$F$400,'Étape 1 - à remplir'!$E$31:$E$400,MASQ2!EC591,'Étape 1 - à remplir'!$O$31:$O$400,EL$3,'Étape 1 - à remplir'!$G$31:$G$400,"kg")),IF(EL$2="Espèce",IF(EL$3="Toutes",SUMIFS('Étape 1 - à remplir'!$F$31:$F$400,'Étape 1 - à remplir'!$E$31:$E$400,MASQ2!EC591,'Étape 1 - à remplir'!$G$31:$G$400,"kg"),SUMIFS('Étape 1 - à remplir'!$F$31:$F$400,'Étape 1 - à remplir'!$E$31:$E$400,MASQ2!EC591,'Étape 1 - à remplir'!$N$31:$N$400,EL$3,'Étape 1 - à remplir'!$G$31:$G$400,"kg")))))))</f>
        <v>#N/A</v>
      </c>
      <c r="EE591" s="76">
        <f t="shared" si="359"/>
        <v>0</v>
      </c>
      <c r="EF591" t="str">
        <f t="shared" si="350"/>
        <v/>
      </c>
      <c r="EG591" t="str">
        <f t="shared" si="351"/>
        <v/>
      </c>
      <c r="EH591" t="str">
        <f t="shared" si="352"/>
        <v/>
      </c>
      <c r="EI591" t="str">
        <f t="shared" si="353"/>
        <v/>
      </c>
      <c r="EJ591" t="str">
        <f t="shared" si="354"/>
        <v/>
      </c>
      <c r="EK591" s="63" t="str">
        <f t="shared" si="355"/>
        <v/>
      </c>
      <c r="EN591" s="42">
        <v>588</v>
      </c>
      <c r="EO591" t="e">
        <f t="shared" si="361"/>
        <v>#N/A</v>
      </c>
      <c r="EP591" s="63" t="e">
        <f t="shared" si="362"/>
        <v>#N/A</v>
      </c>
    </row>
    <row r="592" spans="13:146" x14ac:dyDescent="0.3">
      <c r="M592" s="194" t="e">
        <f ca="1">INDEX(Données_ATB!BD:BU,MATCH(MASQ2!O592,Données_ATB!BD:BD,0),18)</f>
        <v>#N/A</v>
      </c>
      <c r="N592" s="14" t="str">
        <f>IFERROR(IF(Q592=0,"",COUNTIF(Q$4:Q$600,"&gt;"&amp;Q592)+COUNTIF(Q$4:Q592,Q592)),"")</f>
        <v/>
      </c>
      <c r="O592">
        <f>Données_ATB!BD591</f>
        <v>0</v>
      </c>
      <c r="P592" t="e">
        <f>IF(IF(X$2="Catégorie",IF(X$3="Toutes",SUMIFS('Étape 1 - à remplir'!$F$31:$F$400,'Étape 1 - à remplir'!$E$31:$E$400,MASQ2!O592,'Étape 1 - à remplir'!$G$31:$G$400,"animaux"),SUMIFS('Étape 1 - à remplir'!$F$31:$F$400,'Étape 1 - à remplir'!$E$31:$E$400,MASQ2!O592,'Étape 1 - à remplir'!$C$31:$C$400,X$3)),IF(X$2="Âge",IF(X$3="Tous",SUMIFS('Étape 1 - à remplir'!$F$31:$F$400,'Étape 1 - à remplir'!$E$31:$E$400,MASQ2!O592,'Étape 1 - à remplir'!$G$31:$G$400,"animaux"),SUMIFS('Étape 1 - à remplir'!$F$31:$F$400,'Étape 1 - à remplir'!$E$31:$E$400,MASQ2!O592,'Étape 1 - à remplir'!$P$31:$P$400,X$3)),IF(X$2="Atelier",IF(X$3="Tous",SUMIFS('Étape 1 - à remplir'!$F$31:$F$400,'Étape 1 - à remplir'!$E$31:$E$400,MASQ2!O592,'Étape 1 - à remplir'!$G$31:$G$400,"animaux"),SUMIFS('Étape 1 - à remplir'!$F$31:$F$400,'Étape 1 - à remplir'!$E$31:$E$400,MASQ2!O592,'Étape 1 - à remplir'!$O$31:$O$400,X$3)),IF(X$2="Espèce",IF(X$3="Toutes",SUMIFS('Étape 1 - à remplir'!$F$31:$F$400,'Étape 1 - à remplir'!$E$31:$E$400,MASQ2!O592,'Étape 1 - à remplir'!$G$31:$G$400,"animaux"),SUMIFS('Étape 1 - à remplir'!$F$31:$F$400,'Étape 1 - à remplir'!$E$31:$E$400,MASQ2!O592,'Étape 1 - à remplir'!$N$31:$N$400,X$3))))))=0,NA(),IF(X$2="Catégorie",IF(X$3="Toutes",SUMIFS('Étape 1 - à remplir'!$F$31:$F$400,'Étape 1 - à remplir'!$E$31:$E$400,MASQ2!O592,'Étape 1 - à remplir'!$G$31:$G$400,"animaux"),SUMIFS('Étape 1 - à remplir'!$F$31:$F$400,'Étape 1 - à remplir'!$E$31:$E$400,MASQ2!O592,'Étape 1 - à remplir'!$C$31:$C$400,X$3)),IF(X$2="Âge",IF(X$3="Tous",SUMIFS('Étape 1 - à remplir'!$F$31:$F$400,'Étape 1 - à remplir'!$E$31:$E$400,MASQ2!O592,'Étape 1 - à remplir'!$G$31:$G$400,"animaux"),SUMIFS('Étape 1 - à remplir'!$F$31:$F$400,'Étape 1 - à remplir'!$E$31:$E$400,MASQ2!O592,'Étape 1 - à remplir'!$P$31:$P$400,X$3)),IF(X$2="Atelier",IF(X$3="Tous",SUMIFS('Étape 1 - à remplir'!$F$31:$F$400,'Étape 1 - à remplir'!$E$31:$E$400,MASQ2!O592,'Étape 1 - à remplir'!$G$31:$G$400,"animaux"),SUMIFS('Étape 1 - à remplir'!$F$31:$F$400,'Étape 1 - à remplir'!$E$31:$E$400,MASQ2!O592,'Étape 1 - à remplir'!$O$31:$O$400,X$3)),IF(X$2="Espèce",IF(X$3="Toutes",SUMIFS('Étape 1 - à remplir'!$F$31:$F$400,'Étape 1 - à remplir'!$E$31:$E$400,MASQ2!O592,'Étape 1 - à remplir'!$G$31:$G$400,"animaux"),SUMIFS('Étape 1 - à remplir'!$F$31:$F$400,'Étape 1 - à remplir'!$E$31:$E$400,MASQ2!O592,'Étape 1 - à remplir'!$N$31:$N$400,X$3)))))))</f>
        <v>#N/A</v>
      </c>
      <c r="Q592" s="63">
        <f t="shared" si="360"/>
        <v>0</v>
      </c>
      <c r="R592" t="str">
        <f>Données_ATB!BM591</f>
        <v/>
      </c>
      <c r="S592" t="str">
        <f>Données_ATB!BN591</f>
        <v/>
      </c>
      <c r="T592" s="63" t="str">
        <f>Données_ATB!BO591</f>
        <v/>
      </c>
      <c r="U592" s="42" t="str">
        <f>Données_ATB!BQ591</f>
        <v/>
      </c>
      <c r="V592" t="str">
        <f>Données_ATB!BR591</f>
        <v/>
      </c>
      <c r="W592" s="63" t="str">
        <f>Données_ATB!BS591</f>
        <v/>
      </c>
      <c r="Z592" s="42">
        <v>589</v>
      </c>
      <c r="AA592" t="e">
        <f t="shared" si="356"/>
        <v>#N/A</v>
      </c>
      <c r="AB592" s="63" t="e">
        <f t="shared" si="357"/>
        <v>#N/A</v>
      </c>
      <c r="BT592" s="194" t="e">
        <f t="shared" ca="1" si="340"/>
        <v>#N/A</v>
      </c>
      <c r="BU592" s="219" t="str">
        <f>IFERROR(IF(BX592=0,"",COUNTIF(BX$4:BX$600,"&gt;"&amp;BX592)+COUNTIF(BX$4:BX592,BX592)),"")</f>
        <v/>
      </c>
      <c r="BV592" s="42">
        <f t="shared" si="341"/>
        <v>0</v>
      </c>
      <c r="BW592" t="e">
        <f>IF(IF(CE$2="Catégorie",IF(CE$3="Toutes",SUMIFS('Étape 1 - à remplir'!$F$31:$F$400,'Étape 1 - à remplir'!$E$31:$E$400,MASQ2!BV592,'Étape 1 - à remplir'!$G$31:$G$400,"lots"),SUMIFS('Étape 1 - à remplir'!$F$31:$F$400,'Étape 1 - à remplir'!$E$31:$E$400,MASQ2!BV592,'Étape 1 - à remplir'!$C$31:$C$400,CE$3)),IF(CE$2="Âge",IF(CE$3="Tous",SUMIFS('Étape 1 - à remplir'!$F$31:$F$400,'Étape 1 - à remplir'!$E$31:$E$400,MASQ2!BV592,'Étape 1 - à remplir'!$G$31:$G$400,"lots"),SUMIFS('Étape 1 - à remplir'!$F$31:$F$400,'Étape 1 - à remplir'!$E$31:$E$400,MASQ2!BV592,'Étape 1 - à remplir'!$P$31:$P$400,CE$3,'Étape 1 - à remplir'!$G$31:$G$400,"lots")),IF(CE$2="Atelier",IF(CE$3="Tous",SUMIFS('Étape 1 - à remplir'!$F$31:$F$400,'Étape 1 - à remplir'!$E$31:$E$400,MASQ2!BV592,'Étape 1 - à remplir'!$G$31:$G$400,"lots"),SUMIFS('Étape 1 - à remplir'!$F$31:$F$400,'Étape 1 - à remplir'!$E$31:$E$400,MASQ2!BV592,'Étape 1 - à remplir'!$O$31:$O$400,CE$3,'Étape 1 - à remplir'!$G$31:$G$400,"lots")),IF(CE$2="Espèce",IF(CE$3="Toutes",SUMIFS('Étape 1 - à remplir'!$F$31:$F$400,'Étape 1 - à remplir'!$E$31:$E$400,MASQ2!BV592,'Étape 1 - à remplir'!$G$31:$G$400,"lots"),SUMIFS('Étape 1 - à remplir'!$F$31:$F$400,'Étape 1 - à remplir'!$E$31:$E$400,MASQ2!BV592,'Étape 1 - à remplir'!$N$31:$N$400,CE$3,'Étape 1 - à remplir'!$G$31:$G$400,"lots"))))))=0,NA(),IF(CE$2="Catégorie",IF(CE$3="Toutes",SUMIFS('Étape 1 - à remplir'!$F$31:$F$400,'Étape 1 - à remplir'!$E$31:$E$400,MASQ2!BV592,'Étape 1 - à remplir'!$G$31:$G$400,"lots"),SUMIFS('Étape 1 - à remplir'!$F$31:$F$400,'Étape 1 - à remplir'!$E$31:$E$400,MASQ2!BV592,'Étape 1 - à remplir'!$C$31:$C$400,CE$3)),IF(CE$2="Âge",IF(CE$3="Tous",SUMIFS('Étape 1 - à remplir'!$F$31:$F$400,'Étape 1 - à remplir'!$E$31:$E$400,MASQ2!BV592,'Étape 1 - à remplir'!$G$31:$G$400,"lots"),SUMIFS('Étape 1 - à remplir'!$F$31:$F$400,'Étape 1 - à remplir'!$E$31:$E$400,MASQ2!BV592,'Étape 1 - à remplir'!$P$31:$P$400,CE$3,'Étape 1 - à remplir'!$G$31:$G$400,"lots")),IF(CE$2="Atelier",IF(CE$3="Tous",SUMIFS('Étape 1 - à remplir'!$F$31:$F$400,'Étape 1 - à remplir'!$E$31:$E$400,MASQ2!BV592,'Étape 1 - à remplir'!$G$31:$G$400,"lots"),SUMIFS('Étape 1 - à remplir'!$F$31:$F$400,'Étape 1 - à remplir'!$E$31:$E$400,MASQ2!BV592,'Étape 1 - à remplir'!$O$31:$O$400,CE$3,'Étape 1 - à remplir'!$G$31:$G$400,"lots")),IF(CE$2="Espèce",IF(CE$3="Toutes",SUMIFS('Étape 1 - à remplir'!$F$31:$F$400,'Étape 1 - à remplir'!$E$31:$E$400,MASQ2!BV592,'Étape 1 - à remplir'!$G$31:$G$400,"lots"),SUMIFS('Étape 1 - à remplir'!$F$31:$F$400,'Étape 1 - à remplir'!$E$31:$E$400,MASQ2!BV592,'Étape 1 - à remplir'!$N$31:$N$400,CE$3,'Étape 1 - à remplir'!$G$31:$G$400,"lots")))))))</f>
        <v>#N/A</v>
      </c>
      <c r="BX592">
        <f t="shared" si="358"/>
        <v>0</v>
      </c>
      <c r="BY592" t="str">
        <f t="shared" si="342"/>
        <v/>
      </c>
      <c r="BZ592" t="str">
        <f t="shared" si="343"/>
        <v/>
      </c>
      <c r="CA592" t="str">
        <f t="shared" si="344"/>
        <v/>
      </c>
      <c r="CB592" t="str">
        <f t="shared" si="345"/>
        <v/>
      </c>
      <c r="CC592" t="str">
        <f t="shared" si="346"/>
        <v/>
      </c>
      <c r="CD592" s="63" t="str">
        <f t="shared" si="347"/>
        <v/>
      </c>
      <c r="CG592" s="42">
        <v>589</v>
      </c>
      <c r="CH592" s="42" t="e">
        <f t="shared" si="338"/>
        <v>#N/A</v>
      </c>
      <c r="CI592" s="63" t="e">
        <f t="shared" si="339"/>
        <v>#N/A</v>
      </c>
      <c r="EA592" s="194" t="e">
        <f t="shared" ca="1" si="348"/>
        <v>#N/A</v>
      </c>
      <c r="EB592" s="226" t="str">
        <f>IFERROR(IF(ED592=0,"",COUNTIF(ED$4:ED$600,"&gt;"&amp;ED592)+COUNTIF(ED$4:ED592,ED592)),"")</f>
        <v/>
      </c>
      <c r="EC592">
        <f t="shared" si="349"/>
        <v>0</v>
      </c>
      <c r="ED592" t="e">
        <f>IF(IF(EL$2="Catégorie",IF(EL$3="Toutes",SUMIFS('Étape 1 - à remplir'!$F$31:$F$400,'Étape 1 - à remplir'!$E$31:$E$400,MASQ2!EC592,'Étape 1 - à remplir'!$G$31:$G$400,"kg"),SUMIFS('Étape 1 - à remplir'!$F$31:$F$400,'Étape 1 - à remplir'!$E$31:$E$400,MASQ2!EC592,'Étape 1 - à remplir'!$C$31:$C$400,EL$3)),IF(EL$2="Âge",IF(EL$3="Tous",SUMIFS('Étape 1 - à remplir'!$F$31:$F$400,'Étape 1 - à remplir'!$E$31:$E$400,MASQ2!EC592,'Étape 1 - à remplir'!$G$31:$G$400,"kg"),SUMIFS('Étape 1 - à remplir'!$F$31:$F$400,'Étape 1 - à remplir'!$E$31:$E$400,MASQ2!EC592,'Étape 1 - à remplir'!$P$31:$P$400,EL$3,'Étape 1 - à remplir'!$G$31:$G$400,"kg")),IF(EL$2="Atelier",IF(EL$3="Tous",SUMIFS('Étape 1 - à remplir'!$F$31:$F$400,'Étape 1 - à remplir'!$E$31:$E$400,MASQ2!EC592,'Étape 1 - à remplir'!$G$31:$G$400,"kg"),SUMIFS('Étape 1 - à remplir'!$F$31:$F$400,'Étape 1 - à remplir'!$E$31:$E$400,MASQ2!EC592,'Étape 1 - à remplir'!$O$31:$O$400,EL$3,'Étape 1 - à remplir'!$G$31:$G$400,"kg")),IF(EL$2="Espèce",IF(EL$3="Toutes",SUMIFS('Étape 1 - à remplir'!$F$31:$F$400,'Étape 1 - à remplir'!$E$31:$E$400,MASQ2!EC592,'Étape 1 - à remplir'!$G$31:$G$400,"kg"),SUMIFS('Étape 1 - à remplir'!$F$31:$F$400,'Étape 1 - à remplir'!$E$31:$E$400,MASQ2!EC592,'Étape 1 - à remplir'!$N$31:$N$400,EL$3,'Étape 1 - à remplir'!$G$31:$G$400,"kg"))))))=0,NA(),IF(EL$2="Catégorie",IF(EL$3="Toutes",SUMIFS('Étape 1 - à remplir'!$F$31:$F$400,'Étape 1 - à remplir'!$E$31:$E$400,MASQ2!EC592,'Étape 1 - à remplir'!$G$31:$G$400,"kg"),SUMIFS('Étape 1 - à remplir'!$F$31:$F$400,'Étape 1 - à remplir'!$E$31:$E$400,MASQ2!EC592,'Étape 1 - à remplir'!$C$31:$C$400,EL$3)),IF(EL$2="Âge",IF(EL$3="Tous",SUMIFS('Étape 1 - à remplir'!$F$31:$F$400,'Étape 1 - à remplir'!$E$31:$E$400,MASQ2!EC592,'Étape 1 - à remplir'!$G$31:$G$400,"kg"),SUMIFS('Étape 1 - à remplir'!$F$31:$F$400,'Étape 1 - à remplir'!$E$31:$E$400,MASQ2!EC592,'Étape 1 - à remplir'!$P$31:$P$400,EL$3,'Étape 1 - à remplir'!$G$31:$G$400,"kg")),IF(EL$2="Atelier",IF(EL$3="Tous",SUMIFS('Étape 1 - à remplir'!$F$31:$F$400,'Étape 1 - à remplir'!$E$31:$E$400,MASQ2!EC592,'Étape 1 - à remplir'!$G$31:$G$400,"kg"),SUMIFS('Étape 1 - à remplir'!$F$31:$F$400,'Étape 1 - à remplir'!$E$31:$E$400,MASQ2!EC592,'Étape 1 - à remplir'!$O$31:$O$400,EL$3,'Étape 1 - à remplir'!$G$31:$G$400,"kg")),IF(EL$2="Espèce",IF(EL$3="Toutes",SUMIFS('Étape 1 - à remplir'!$F$31:$F$400,'Étape 1 - à remplir'!$E$31:$E$400,MASQ2!EC592,'Étape 1 - à remplir'!$G$31:$G$400,"kg"),SUMIFS('Étape 1 - à remplir'!$F$31:$F$400,'Étape 1 - à remplir'!$E$31:$E$400,MASQ2!EC592,'Étape 1 - à remplir'!$N$31:$N$400,EL$3,'Étape 1 - à remplir'!$G$31:$G$400,"kg")))))))</f>
        <v>#N/A</v>
      </c>
      <c r="EE592" s="76">
        <f t="shared" si="359"/>
        <v>0</v>
      </c>
      <c r="EF592" t="str">
        <f t="shared" si="350"/>
        <v/>
      </c>
      <c r="EG592" t="str">
        <f t="shared" si="351"/>
        <v/>
      </c>
      <c r="EH592" t="str">
        <f t="shared" si="352"/>
        <v/>
      </c>
      <c r="EI592" t="str">
        <f t="shared" si="353"/>
        <v/>
      </c>
      <c r="EJ592" t="str">
        <f t="shared" si="354"/>
        <v/>
      </c>
      <c r="EK592" s="63" t="str">
        <f t="shared" si="355"/>
        <v/>
      </c>
      <c r="EN592" s="42">
        <v>589</v>
      </c>
      <c r="EO592" t="e">
        <f t="shared" si="361"/>
        <v>#N/A</v>
      </c>
      <c r="EP592" s="63" t="e">
        <f t="shared" si="362"/>
        <v>#N/A</v>
      </c>
    </row>
    <row r="593" spans="13:146" x14ac:dyDescent="0.3">
      <c r="M593" s="194" t="e">
        <f ca="1">INDEX(Données_ATB!BD:BU,MATCH(MASQ2!O593,Données_ATB!BD:BD,0),18)</f>
        <v>#N/A</v>
      </c>
      <c r="N593" s="14" t="str">
        <f>IFERROR(IF(Q593=0,"",COUNTIF(Q$4:Q$600,"&gt;"&amp;Q593)+COUNTIF(Q$4:Q593,Q593)),"")</f>
        <v/>
      </c>
      <c r="O593">
        <f>Données_ATB!BD592</f>
        <v>0</v>
      </c>
      <c r="P593" t="e">
        <f>IF(IF(X$2="Catégorie",IF(X$3="Toutes",SUMIFS('Étape 1 - à remplir'!$F$31:$F$400,'Étape 1 - à remplir'!$E$31:$E$400,MASQ2!O593,'Étape 1 - à remplir'!$G$31:$G$400,"animaux"),SUMIFS('Étape 1 - à remplir'!$F$31:$F$400,'Étape 1 - à remplir'!$E$31:$E$400,MASQ2!O593,'Étape 1 - à remplir'!$C$31:$C$400,X$3)),IF(X$2="Âge",IF(X$3="Tous",SUMIFS('Étape 1 - à remplir'!$F$31:$F$400,'Étape 1 - à remplir'!$E$31:$E$400,MASQ2!O593,'Étape 1 - à remplir'!$G$31:$G$400,"animaux"),SUMIFS('Étape 1 - à remplir'!$F$31:$F$400,'Étape 1 - à remplir'!$E$31:$E$400,MASQ2!O593,'Étape 1 - à remplir'!$P$31:$P$400,X$3)),IF(X$2="Atelier",IF(X$3="Tous",SUMIFS('Étape 1 - à remplir'!$F$31:$F$400,'Étape 1 - à remplir'!$E$31:$E$400,MASQ2!O593,'Étape 1 - à remplir'!$G$31:$G$400,"animaux"),SUMIFS('Étape 1 - à remplir'!$F$31:$F$400,'Étape 1 - à remplir'!$E$31:$E$400,MASQ2!O593,'Étape 1 - à remplir'!$O$31:$O$400,X$3)),IF(X$2="Espèce",IF(X$3="Toutes",SUMIFS('Étape 1 - à remplir'!$F$31:$F$400,'Étape 1 - à remplir'!$E$31:$E$400,MASQ2!O593,'Étape 1 - à remplir'!$G$31:$G$400,"animaux"),SUMIFS('Étape 1 - à remplir'!$F$31:$F$400,'Étape 1 - à remplir'!$E$31:$E$400,MASQ2!O593,'Étape 1 - à remplir'!$N$31:$N$400,X$3))))))=0,NA(),IF(X$2="Catégorie",IF(X$3="Toutes",SUMIFS('Étape 1 - à remplir'!$F$31:$F$400,'Étape 1 - à remplir'!$E$31:$E$400,MASQ2!O593,'Étape 1 - à remplir'!$G$31:$G$400,"animaux"),SUMIFS('Étape 1 - à remplir'!$F$31:$F$400,'Étape 1 - à remplir'!$E$31:$E$400,MASQ2!O593,'Étape 1 - à remplir'!$C$31:$C$400,X$3)),IF(X$2="Âge",IF(X$3="Tous",SUMIFS('Étape 1 - à remplir'!$F$31:$F$400,'Étape 1 - à remplir'!$E$31:$E$400,MASQ2!O593,'Étape 1 - à remplir'!$G$31:$G$400,"animaux"),SUMIFS('Étape 1 - à remplir'!$F$31:$F$400,'Étape 1 - à remplir'!$E$31:$E$400,MASQ2!O593,'Étape 1 - à remplir'!$P$31:$P$400,X$3)),IF(X$2="Atelier",IF(X$3="Tous",SUMIFS('Étape 1 - à remplir'!$F$31:$F$400,'Étape 1 - à remplir'!$E$31:$E$400,MASQ2!O593,'Étape 1 - à remplir'!$G$31:$G$400,"animaux"),SUMIFS('Étape 1 - à remplir'!$F$31:$F$400,'Étape 1 - à remplir'!$E$31:$E$400,MASQ2!O593,'Étape 1 - à remplir'!$O$31:$O$400,X$3)),IF(X$2="Espèce",IF(X$3="Toutes",SUMIFS('Étape 1 - à remplir'!$F$31:$F$400,'Étape 1 - à remplir'!$E$31:$E$400,MASQ2!O593,'Étape 1 - à remplir'!$G$31:$G$400,"animaux"),SUMIFS('Étape 1 - à remplir'!$F$31:$F$400,'Étape 1 - à remplir'!$E$31:$E$400,MASQ2!O593,'Étape 1 - à remplir'!$N$31:$N$400,X$3)))))))</f>
        <v>#N/A</v>
      </c>
      <c r="Q593" s="63">
        <f t="shared" si="360"/>
        <v>0</v>
      </c>
      <c r="R593" t="str">
        <f>Données_ATB!BM592</f>
        <v/>
      </c>
      <c r="S593" t="str">
        <f>Données_ATB!BN592</f>
        <v/>
      </c>
      <c r="T593" s="63" t="str">
        <f>Données_ATB!BO592</f>
        <v/>
      </c>
      <c r="U593" s="42" t="str">
        <f>Données_ATB!BQ592</f>
        <v/>
      </c>
      <c r="V593" t="str">
        <f>Données_ATB!BR592</f>
        <v/>
      </c>
      <c r="W593" s="63" t="str">
        <f>Données_ATB!BS592</f>
        <v/>
      </c>
      <c r="Z593" s="42">
        <v>590</v>
      </c>
      <c r="AA593" t="e">
        <f t="shared" si="356"/>
        <v>#N/A</v>
      </c>
      <c r="AB593" s="63" t="e">
        <f t="shared" si="357"/>
        <v>#N/A</v>
      </c>
      <c r="BT593" s="194" t="e">
        <f t="shared" ca="1" si="340"/>
        <v>#N/A</v>
      </c>
      <c r="BU593" s="219" t="str">
        <f>IFERROR(IF(BX593=0,"",COUNTIF(BX$4:BX$600,"&gt;"&amp;BX593)+COUNTIF(BX$4:BX593,BX593)),"")</f>
        <v/>
      </c>
      <c r="BV593" s="42">
        <f t="shared" si="341"/>
        <v>0</v>
      </c>
      <c r="BW593" t="e">
        <f>IF(IF(CE$2="Catégorie",IF(CE$3="Toutes",SUMIFS('Étape 1 - à remplir'!$F$31:$F$400,'Étape 1 - à remplir'!$E$31:$E$400,MASQ2!BV593,'Étape 1 - à remplir'!$G$31:$G$400,"lots"),SUMIFS('Étape 1 - à remplir'!$F$31:$F$400,'Étape 1 - à remplir'!$E$31:$E$400,MASQ2!BV593,'Étape 1 - à remplir'!$C$31:$C$400,CE$3)),IF(CE$2="Âge",IF(CE$3="Tous",SUMIFS('Étape 1 - à remplir'!$F$31:$F$400,'Étape 1 - à remplir'!$E$31:$E$400,MASQ2!BV593,'Étape 1 - à remplir'!$G$31:$G$400,"lots"),SUMIFS('Étape 1 - à remplir'!$F$31:$F$400,'Étape 1 - à remplir'!$E$31:$E$400,MASQ2!BV593,'Étape 1 - à remplir'!$P$31:$P$400,CE$3,'Étape 1 - à remplir'!$G$31:$G$400,"lots")),IF(CE$2="Atelier",IF(CE$3="Tous",SUMIFS('Étape 1 - à remplir'!$F$31:$F$400,'Étape 1 - à remplir'!$E$31:$E$400,MASQ2!BV593,'Étape 1 - à remplir'!$G$31:$G$400,"lots"),SUMIFS('Étape 1 - à remplir'!$F$31:$F$400,'Étape 1 - à remplir'!$E$31:$E$400,MASQ2!BV593,'Étape 1 - à remplir'!$O$31:$O$400,CE$3,'Étape 1 - à remplir'!$G$31:$G$400,"lots")),IF(CE$2="Espèce",IF(CE$3="Toutes",SUMIFS('Étape 1 - à remplir'!$F$31:$F$400,'Étape 1 - à remplir'!$E$31:$E$400,MASQ2!BV593,'Étape 1 - à remplir'!$G$31:$G$400,"lots"),SUMIFS('Étape 1 - à remplir'!$F$31:$F$400,'Étape 1 - à remplir'!$E$31:$E$400,MASQ2!BV593,'Étape 1 - à remplir'!$N$31:$N$400,CE$3,'Étape 1 - à remplir'!$G$31:$G$400,"lots"))))))=0,NA(),IF(CE$2="Catégorie",IF(CE$3="Toutes",SUMIFS('Étape 1 - à remplir'!$F$31:$F$400,'Étape 1 - à remplir'!$E$31:$E$400,MASQ2!BV593,'Étape 1 - à remplir'!$G$31:$G$400,"lots"),SUMIFS('Étape 1 - à remplir'!$F$31:$F$400,'Étape 1 - à remplir'!$E$31:$E$400,MASQ2!BV593,'Étape 1 - à remplir'!$C$31:$C$400,CE$3)),IF(CE$2="Âge",IF(CE$3="Tous",SUMIFS('Étape 1 - à remplir'!$F$31:$F$400,'Étape 1 - à remplir'!$E$31:$E$400,MASQ2!BV593,'Étape 1 - à remplir'!$G$31:$G$400,"lots"),SUMIFS('Étape 1 - à remplir'!$F$31:$F$400,'Étape 1 - à remplir'!$E$31:$E$400,MASQ2!BV593,'Étape 1 - à remplir'!$P$31:$P$400,CE$3,'Étape 1 - à remplir'!$G$31:$G$400,"lots")),IF(CE$2="Atelier",IF(CE$3="Tous",SUMIFS('Étape 1 - à remplir'!$F$31:$F$400,'Étape 1 - à remplir'!$E$31:$E$400,MASQ2!BV593,'Étape 1 - à remplir'!$G$31:$G$400,"lots"),SUMIFS('Étape 1 - à remplir'!$F$31:$F$400,'Étape 1 - à remplir'!$E$31:$E$400,MASQ2!BV593,'Étape 1 - à remplir'!$O$31:$O$400,CE$3,'Étape 1 - à remplir'!$G$31:$G$400,"lots")),IF(CE$2="Espèce",IF(CE$3="Toutes",SUMIFS('Étape 1 - à remplir'!$F$31:$F$400,'Étape 1 - à remplir'!$E$31:$E$400,MASQ2!BV593,'Étape 1 - à remplir'!$G$31:$G$400,"lots"),SUMIFS('Étape 1 - à remplir'!$F$31:$F$400,'Étape 1 - à remplir'!$E$31:$E$400,MASQ2!BV593,'Étape 1 - à remplir'!$N$31:$N$400,CE$3,'Étape 1 - à remplir'!$G$31:$G$400,"lots")))))))</f>
        <v>#N/A</v>
      </c>
      <c r="BX593">
        <f t="shared" si="358"/>
        <v>0</v>
      </c>
      <c r="BY593" t="str">
        <f t="shared" si="342"/>
        <v/>
      </c>
      <c r="BZ593" t="str">
        <f t="shared" si="343"/>
        <v/>
      </c>
      <c r="CA593" t="str">
        <f t="shared" si="344"/>
        <v/>
      </c>
      <c r="CB593" t="str">
        <f t="shared" si="345"/>
        <v/>
      </c>
      <c r="CC593" t="str">
        <f t="shared" si="346"/>
        <v/>
      </c>
      <c r="CD593" s="63" t="str">
        <f t="shared" si="347"/>
        <v/>
      </c>
      <c r="CG593" s="42">
        <v>590</v>
      </c>
      <c r="CH593" s="42" t="e">
        <f t="shared" si="338"/>
        <v>#N/A</v>
      </c>
      <c r="CI593" s="63" t="e">
        <f t="shared" si="339"/>
        <v>#N/A</v>
      </c>
      <c r="EA593" s="194" t="e">
        <f t="shared" ca="1" si="348"/>
        <v>#N/A</v>
      </c>
      <c r="EB593" s="226" t="str">
        <f>IFERROR(IF(ED593=0,"",COUNTIF(ED$4:ED$600,"&gt;"&amp;ED593)+COUNTIF(ED$4:ED593,ED593)),"")</f>
        <v/>
      </c>
      <c r="EC593">
        <f t="shared" si="349"/>
        <v>0</v>
      </c>
      <c r="ED593" t="e">
        <f>IF(IF(EL$2="Catégorie",IF(EL$3="Toutes",SUMIFS('Étape 1 - à remplir'!$F$31:$F$400,'Étape 1 - à remplir'!$E$31:$E$400,MASQ2!EC593,'Étape 1 - à remplir'!$G$31:$G$400,"kg"),SUMIFS('Étape 1 - à remplir'!$F$31:$F$400,'Étape 1 - à remplir'!$E$31:$E$400,MASQ2!EC593,'Étape 1 - à remplir'!$C$31:$C$400,EL$3)),IF(EL$2="Âge",IF(EL$3="Tous",SUMIFS('Étape 1 - à remplir'!$F$31:$F$400,'Étape 1 - à remplir'!$E$31:$E$400,MASQ2!EC593,'Étape 1 - à remplir'!$G$31:$G$400,"kg"),SUMIFS('Étape 1 - à remplir'!$F$31:$F$400,'Étape 1 - à remplir'!$E$31:$E$400,MASQ2!EC593,'Étape 1 - à remplir'!$P$31:$P$400,EL$3,'Étape 1 - à remplir'!$G$31:$G$400,"kg")),IF(EL$2="Atelier",IF(EL$3="Tous",SUMIFS('Étape 1 - à remplir'!$F$31:$F$400,'Étape 1 - à remplir'!$E$31:$E$400,MASQ2!EC593,'Étape 1 - à remplir'!$G$31:$G$400,"kg"),SUMIFS('Étape 1 - à remplir'!$F$31:$F$400,'Étape 1 - à remplir'!$E$31:$E$400,MASQ2!EC593,'Étape 1 - à remplir'!$O$31:$O$400,EL$3,'Étape 1 - à remplir'!$G$31:$G$400,"kg")),IF(EL$2="Espèce",IF(EL$3="Toutes",SUMIFS('Étape 1 - à remplir'!$F$31:$F$400,'Étape 1 - à remplir'!$E$31:$E$400,MASQ2!EC593,'Étape 1 - à remplir'!$G$31:$G$400,"kg"),SUMIFS('Étape 1 - à remplir'!$F$31:$F$400,'Étape 1 - à remplir'!$E$31:$E$400,MASQ2!EC593,'Étape 1 - à remplir'!$N$31:$N$400,EL$3,'Étape 1 - à remplir'!$G$31:$G$400,"kg"))))))=0,NA(),IF(EL$2="Catégorie",IF(EL$3="Toutes",SUMIFS('Étape 1 - à remplir'!$F$31:$F$400,'Étape 1 - à remplir'!$E$31:$E$400,MASQ2!EC593,'Étape 1 - à remplir'!$G$31:$G$400,"kg"),SUMIFS('Étape 1 - à remplir'!$F$31:$F$400,'Étape 1 - à remplir'!$E$31:$E$400,MASQ2!EC593,'Étape 1 - à remplir'!$C$31:$C$400,EL$3)),IF(EL$2="Âge",IF(EL$3="Tous",SUMIFS('Étape 1 - à remplir'!$F$31:$F$400,'Étape 1 - à remplir'!$E$31:$E$400,MASQ2!EC593,'Étape 1 - à remplir'!$G$31:$G$400,"kg"),SUMIFS('Étape 1 - à remplir'!$F$31:$F$400,'Étape 1 - à remplir'!$E$31:$E$400,MASQ2!EC593,'Étape 1 - à remplir'!$P$31:$P$400,EL$3,'Étape 1 - à remplir'!$G$31:$G$400,"kg")),IF(EL$2="Atelier",IF(EL$3="Tous",SUMIFS('Étape 1 - à remplir'!$F$31:$F$400,'Étape 1 - à remplir'!$E$31:$E$400,MASQ2!EC593,'Étape 1 - à remplir'!$G$31:$G$400,"kg"),SUMIFS('Étape 1 - à remplir'!$F$31:$F$400,'Étape 1 - à remplir'!$E$31:$E$400,MASQ2!EC593,'Étape 1 - à remplir'!$O$31:$O$400,EL$3,'Étape 1 - à remplir'!$G$31:$G$400,"kg")),IF(EL$2="Espèce",IF(EL$3="Toutes",SUMIFS('Étape 1 - à remplir'!$F$31:$F$400,'Étape 1 - à remplir'!$E$31:$E$400,MASQ2!EC593,'Étape 1 - à remplir'!$G$31:$G$400,"kg"),SUMIFS('Étape 1 - à remplir'!$F$31:$F$400,'Étape 1 - à remplir'!$E$31:$E$400,MASQ2!EC593,'Étape 1 - à remplir'!$N$31:$N$400,EL$3,'Étape 1 - à remplir'!$G$31:$G$400,"kg")))))))</f>
        <v>#N/A</v>
      </c>
      <c r="EE593" s="76">
        <f t="shared" si="359"/>
        <v>0</v>
      </c>
      <c r="EF593" t="str">
        <f t="shared" si="350"/>
        <v/>
      </c>
      <c r="EG593" t="str">
        <f t="shared" si="351"/>
        <v/>
      </c>
      <c r="EH593" t="str">
        <f t="shared" si="352"/>
        <v/>
      </c>
      <c r="EI593" t="str">
        <f t="shared" si="353"/>
        <v/>
      </c>
      <c r="EJ593" t="str">
        <f t="shared" si="354"/>
        <v/>
      </c>
      <c r="EK593" s="63" t="str">
        <f t="shared" si="355"/>
        <v/>
      </c>
      <c r="EN593" s="42">
        <v>590</v>
      </c>
      <c r="EO593" t="e">
        <f t="shared" si="361"/>
        <v>#N/A</v>
      </c>
      <c r="EP593" s="63" t="e">
        <f t="shared" si="362"/>
        <v>#N/A</v>
      </c>
    </row>
    <row r="594" spans="13:146" x14ac:dyDescent="0.3">
      <c r="M594" s="194" t="e">
        <f ca="1">INDEX(Données_ATB!BD:BU,MATCH(MASQ2!O594,Données_ATB!BD:BD,0),18)</f>
        <v>#N/A</v>
      </c>
      <c r="N594" s="14" t="str">
        <f>IFERROR(IF(Q594=0,"",COUNTIF(Q$4:Q$600,"&gt;"&amp;Q594)+COUNTIF(Q$4:Q594,Q594)),"")</f>
        <v/>
      </c>
      <c r="O594">
        <f>Données_ATB!BD593</f>
        <v>0</v>
      </c>
      <c r="P594" t="e">
        <f>IF(IF(X$2="Catégorie",IF(X$3="Toutes",SUMIFS('Étape 1 - à remplir'!$F$31:$F$400,'Étape 1 - à remplir'!$E$31:$E$400,MASQ2!O594,'Étape 1 - à remplir'!$G$31:$G$400,"animaux"),SUMIFS('Étape 1 - à remplir'!$F$31:$F$400,'Étape 1 - à remplir'!$E$31:$E$400,MASQ2!O594,'Étape 1 - à remplir'!$C$31:$C$400,X$3)),IF(X$2="Âge",IF(X$3="Tous",SUMIFS('Étape 1 - à remplir'!$F$31:$F$400,'Étape 1 - à remplir'!$E$31:$E$400,MASQ2!O594,'Étape 1 - à remplir'!$G$31:$G$400,"animaux"),SUMIFS('Étape 1 - à remplir'!$F$31:$F$400,'Étape 1 - à remplir'!$E$31:$E$400,MASQ2!O594,'Étape 1 - à remplir'!$P$31:$P$400,X$3)),IF(X$2="Atelier",IF(X$3="Tous",SUMIFS('Étape 1 - à remplir'!$F$31:$F$400,'Étape 1 - à remplir'!$E$31:$E$400,MASQ2!O594,'Étape 1 - à remplir'!$G$31:$G$400,"animaux"),SUMIFS('Étape 1 - à remplir'!$F$31:$F$400,'Étape 1 - à remplir'!$E$31:$E$400,MASQ2!O594,'Étape 1 - à remplir'!$O$31:$O$400,X$3)),IF(X$2="Espèce",IF(X$3="Toutes",SUMIFS('Étape 1 - à remplir'!$F$31:$F$400,'Étape 1 - à remplir'!$E$31:$E$400,MASQ2!O594,'Étape 1 - à remplir'!$G$31:$G$400,"animaux"),SUMIFS('Étape 1 - à remplir'!$F$31:$F$400,'Étape 1 - à remplir'!$E$31:$E$400,MASQ2!O594,'Étape 1 - à remplir'!$N$31:$N$400,X$3))))))=0,NA(),IF(X$2="Catégorie",IF(X$3="Toutes",SUMIFS('Étape 1 - à remplir'!$F$31:$F$400,'Étape 1 - à remplir'!$E$31:$E$400,MASQ2!O594,'Étape 1 - à remplir'!$G$31:$G$400,"animaux"),SUMIFS('Étape 1 - à remplir'!$F$31:$F$400,'Étape 1 - à remplir'!$E$31:$E$400,MASQ2!O594,'Étape 1 - à remplir'!$C$31:$C$400,X$3)),IF(X$2="Âge",IF(X$3="Tous",SUMIFS('Étape 1 - à remplir'!$F$31:$F$400,'Étape 1 - à remplir'!$E$31:$E$400,MASQ2!O594,'Étape 1 - à remplir'!$G$31:$G$400,"animaux"),SUMIFS('Étape 1 - à remplir'!$F$31:$F$400,'Étape 1 - à remplir'!$E$31:$E$400,MASQ2!O594,'Étape 1 - à remplir'!$P$31:$P$400,X$3)),IF(X$2="Atelier",IF(X$3="Tous",SUMIFS('Étape 1 - à remplir'!$F$31:$F$400,'Étape 1 - à remplir'!$E$31:$E$400,MASQ2!O594,'Étape 1 - à remplir'!$G$31:$G$400,"animaux"),SUMIFS('Étape 1 - à remplir'!$F$31:$F$400,'Étape 1 - à remplir'!$E$31:$E$400,MASQ2!O594,'Étape 1 - à remplir'!$O$31:$O$400,X$3)),IF(X$2="Espèce",IF(X$3="Toutes",SUMIFS('Étape 1 - à remplir'!$F$31:$F$400,'Étape 1 - à remplir'!$E$31:$E$400,MASQ2!O594,'Étape 1 - à remplir'!$G$31:$G$400,"animaux"),SUMIFS('Étape 1 - à remplir'!$F$31:$F$400,'Étape 1 - à remplir'!$E$31:$E$400,MASQ2!O594,'Étape 1 - à remplir'!$N$31:$N$400,X$3)))))))</f>
        <v>#N/A</v>
      </c>
      <c r="Q594" s="63">
        <f t="shared" si="360"/>
        <v>0</v>
      </c>
      <c r="R594" t="str">
        <f>Données_ATB!BM593</f>
        <v/>
      </c>
      <c r="S594" t="str">
        <f>Données_ATB!BN593</f>
        <v/>
      </c>
      <c r="T594" s="63" t="str">
        <f>Données_ATB!BO593</f>
        <v/>
      </c>
      <c r="U594" s="42" t="str">
        <f>Données_ATB!BQ593</f>
        <v/>
      </c>
      <c r="V594" t="str">
        <f>Données_ATB!BR593</f>
        <v/>
      </c>
      <c r="W594" s="63" t="str">
        <f>Données_ATB!BS593</f>
        <v/>
      </c>
      <c r="Z594" s="42">
        <v>591</v>
      </c>
      <c r="AA594" t="e">
        <f t="shared" si="356"/>
        <v>#N/A</v>
      </c>
      <c r="AB594" s="63" t="e">
        <f t="shared" si="357"/>
        <v>#N/A</v>
      </c>
      <c r="BT594" s="194" t="e">
        <f t="shared" ca="1" si="340"/>
        <v>#N/A</v>
      </c>
      <c r="BU594" s="219" t="str">
        <f>IFERROR(IF(BX594=0,"",COUNTIF(BX$4:BX$600,"&gt;"&amp;BX594)+COUNTIF(BX$4:BX594,BX594)),"")</f>
        <v/>
      </c>
      <c r="BV594" s="42">
        <f t="shared" si="341"/>
        <v>0</v>
      </c>
      <c r="BW594" t="e">
        <f>IF(IF(CE$2="Catégorie",IF(CE$3="Toutes",SUMIFS('Étape 1 - à remplir'!$F$31:$F$400,'Étape 1 - à remplir'!$E$31:$E$400,MASQ2!BV594,'Étape 1 - à remplir'!$G$31:$G$400,"lots"),SUMIFS('Étape 1 - à remplir'!$F$31:$F$400,'Étape 1 - à remplir'!$E$31:$E$400,MASQ2!BV594,'Étape 1 - à remplir'!$C$31:$C$400,CE$3)),IF(CE$2="Âge",IF(CE$3="Tous",SUMIFS('Étape 1 - à remplir'!$F$31:$F$400,'Étape 1 - à remplir'!$E$31:$E$400,MASQ2!BV594,'Étape 1 - à remplir'!$G$31:$G$400,"lots"),SUMIFS('Étape 1 - à remplir'!$F$31:$F$400,'Étape 1 - à remplir'!$E$31:$E$400,MASQ2!BV594,'Étape 1 - à remplir'!$P$31:$P$400,CE$3,'Étape 1 - à remplir'!$G$31:$G$400,"lots")),IF(CE$2="Atelier",IF(CE$3="Tous",SUMIFS('Étape 1 - à remplir'!$F$31:$F$400,'Étape 1 - à remplir'!$E$31:$E$400,MASQ2!BV594,'Étape 1 - à remplir'!$G$31:$G$400,"lots"),SUMIFS('Étape 1 - à remplir'!$F$31:$F$400,'Étape 1 - à remplir'!$E$31:$E$400,MASQ2!BV594,'Étape 1 - à remplir'!$O$31:$O$400,CE$3,'Étape 1 - à remplir'!$G$31:$G$400,"lots")),IF(CE$2="Espèce",IF(CE$3="Toutes",SUMIFS('Étape 1 - à remplir'!$F$31:$F$400,'Étape 1 - à remplir'!$E$31:$E$400,MASQ2!BV594,'Étape 1 - à remplir'!$G$31:$G$400,"lots"),SUMIFS('Étape 1 - à remplir'!$F$31:$F$400,'Étape 1 - à remplir'!$E$31:$E$400,MASQ2!BV594,'Étape 1 - à remplir'!$N$31:$N$400,CE$3,'Étape 1 - à remplir'!$G$31:$G$400,"lots"))))))=0,NA(),IF(CE$2="Catégorie",IF(CE$3="Toutes",SUMIFS('Étape 1 - à remplir'!$F$31:$F$400,'Étape 1 - à remplir'!$E$31:$E$400,MASQ2!BV594,'Étape 1 - à remplir'!$G$31:$G$400,"lots"),SUMIFS('Étape 1 - à remplir'!$F$31:$F$400,'Étape 1 - à remplir'!$E$31:$E$400,MASQ2!BV594,'Étape 1 - à remplir'!$C$31:$C$400,CE$3)),IF(CE$2="Âge",IF(CE$3="Tous",SUMIFS('Étape 1 - à remplir'!$F$31:$F$400,'Étape 1 - à remplir'!$E$31:$E$400,MASQ2!BV594,'Étape 1 - à remplir'!$G$31:$G$400,"lots"),SUMIFS('Étape 1 - à remplir'!$F$31:$F$400,'Étape 1 - à remplir'!$E$31:$E$400,MASQ2!BV594,'Étape 1 - à remplir'!$P$31:$P$400,CE$3,'Étape 1 - à remplir'!$G$31:$G$400,"lots")),IF(CE$2="Atelier",IF(CE$3="Tous",SUMIFS('Étape 1 - à remplir'!$F$31:$F$400,'Étape 1 - à remplir'!$E$31:$E$400,MASQ2!BV594,'Étape 1 - à remplir'!$G$31:$G$400,"lots"),SUMIFS('Étape 1 - à remplir'!$F$31:$F$400,'Étape 1 - à remplir'!$E$31:$E$400,MASQ2!BV594,'Étape 1 - à remplir'!$O$31:$O$400,CE$3,'Étape 1 - à remplir'!$G$31:$G$400,"lots")),IF(CE$2="Espèce",IF(CE$3="Toutes",SUMIFS('Étape 1 - à remplir'!$F$31:$F$400,'Étape 1 - à remplir'!$E$31:$E$400,MASQ2!BV594,'Étape 1 - à remplir'!$G$31:$G$400,"lots"),SUMIFS('Étape 1 - à remplir'!$F$31:$F$400,'Étape 1 - à remplir'!$E$31:$E$400,MASQ2!BV594,'Étape 1 - à remplir'!$N$31:$N$400,CE$3,'Étape 1 - à remplir'!$G$31:$G$400,"lots")))))))</f>
        <v>#N/A</v>
      </c>
      <c r="BX594">
        <f t="shared" si="358"/>
        <v>0</v>
      </c>
      <c r="BY594" t="str">
        <f t="shared" si="342"/>
        <v/>
      </c>
      <c r="BZ594" t="str">
        <f t="shared" si="343"/>
        <v/>
      </c>
      <c r="CA594" t="str">
        <f t="shared" si="344"/>
        <v/>
      </c>
      <c r="CB594" t="str">
        <f t="shared" si="345"/>
        <v/>
      </c>
      <c r="CC594" t="str">
        <f t="shared" si="346"/>
        <v/>
      </c>
      <c r="CD594" s="63" t="str">
        <f t="shared" si="347"/>
        <v/>
      </c>
      <c r="CG594" s="42">
        <v>591</v>
      </c>
      <c r="CH594" s="42" t="e">
        <f t="shared" ref="CH594:CH600" si="363">INDEX(BU$3:BX$600,MATCH(CG594,BU$3:BU$600,0),2)</f>
        <v>#N/A</v>
      </c>
      <c r="CI594" s="63" t="e">
        <f t="shared" ref="CI594:CI600" si="364">INDEX(BU$3:BX$600,MATCH(CG594,BU$3:BU$600,0),3)</f>
        <v>#N/A</v>
      </c>
      <c r="EA594" s="194" t="e">
        <f t="shared" ca="1" si="348"/>
        <v>#N/A</v>
      </c>
      <c r="EB594" s="226" t="str">
        <f>IFERROR(IF(ED594=0,"",COUNTIF(ED$4:ED$600,"&gt;"&amp;ED594)+COUNTIF(ED$4:ED594,ED594)),"")</f>
        <v/>
      </c>
      <c r="EC594">
        <f t="shared" si="349"/>
        <v>0</v>
      </c>
      <c r="ED594" t="e">
        <f>IF(IF(EL$2="Catégorie",IF(EL$3="Toutes",SUMIFS('Étape 1 - à remplir'!$F$31:$F$400,'Étape 1 - à remplir'!$E$31:$E$400,MASQ2!EC594,'Étape 1 - à remplir'!$G$31:$G$400,"kg"),SUMIFS('Étape 1 - à remplir'!$F$31:$F$400,'Étape 1 - à remplir'!$E$31:$E$400,MASQ2!EC594,'Étape 1 - à remplir'!$C$31:$C$400,EL$3)),IF(EL$2="Âge",IF(EL$3="Tous",SUMIFS('Étape 1 - à remplir'!$F$31:$F$400,'Étape 1 - à remplir'!$E$31:$E$400,MASQ2!EC594,'Étape 1 - à remplir'!$G$31:$G$400,"kg"),SUMIFS('Étape 1 - à remplir'!$F$31:$F$400,'Étape 1 - à remplir'!$E$31:$E$400,MASQ2!EC594,'Étape 1 - à remplir'!$P$31:$P$400,EL$3,'Étape 1 - à remplir'!$G$31:$G$400,"kg")),IF(EL$2="Atelier",IF(EL$3="Tous",SUMIFS('Étape 1 - à remplir'!$F$31:$F$400,'Étape 1 - à remplir'!$E$31:$E$400,MASQ2!EC594,'Étape 1 - à remplir'!$G$31:$G$400,"kg"),SUMIFS('Étape 1 - à remplir'!$F$31:$F$400,'Étape 1 - à remplir'!$E$31:$E$400,MASQ2!EC594,'Étape 1 - à remplir'!$O$31:$O$400,EL$3,'Étape 1 - à remplir'!$G$31:$G$400,"kg")),IF(EL$2="Espèce",IF(EL$3="Toutes",SUMIFS('Étape 1 - à remplir'!$F$31:$F$400,'Étape 1 - à remplir'!$E$31:$E$400,MASQ2!EC594,'Étape 1 - à remplir'!$G$31:$G$400,"kg"),SUMIFS('Étape 1 - à remplir'!$F$31:$F$400,'Étape 1 - à remplir'!$E$31:$E$400,MASQ2!EC594,'Étape 1 - à remplir'!$N$31:$N$400,EL$3,'Étape 1 - à remplir'!$G$31:$G$400,"kg"))))))=0,NA(),IF(EL$2="Catégorie",IF(EL$3="Toutes",SUMIFS('Étape 1 - à remplir'!$F$31:$F$400,'Étape 1 - à remplir'!$E$31:$E$400,MASQ2!EC594,'Étape 1 - à remplir'!$G$31:$G$400,"kg"),SUMIFS('Étape 1 - à remplir'!$F$31:$F$400,'Étape 1 - à remplir'!$E$31:$E$400,MASQ2!EC594,'Étape 1 - à remplir'!$C$31:$C$400,EL$3)),IF(EL$2="Âge",IF(EL$3="Tous",SUMIFS('Étape 1 - à remplir'!$F$31:$F$400,'Étape 1 - à remplir'!$E$31:$E$400,MASQ2!EC594,'Étape 1 - à remplir'!$G$31:$G$400,"kg"),SUMIFS('Étape 1 - à remplir'!$F$31:$F$400,'Étape 1 - à remplir'!$E$31:$E$400,MASQ2!EC594,'Étape 1 - à remplir'!$P$31:$P$400,EL$3,'Étape 1 - à remplir'!$G$31:$G$400,"kg")),IF(EL$2="Atelier",IF(EL$3="Tous",SUMIFS('Étape 1 - à remplir'!$F$31:$F$400,'Étape 1 - à remplir'!$E$31:$E$400,MASQ2!EC594,'Étape 1 - à remplir'!$G$31:$G$400,"kg"),SUMIFS('Étape 1 - à remplir'!$F$31:$F$400,'Étape 1 - à remplir'!$E$31:$E$400,MASQ2!EC594,'Étape 1 - à remplir'!$O$31:$O$400,EL$3,'Étape 1 - à remplir'!$G$31:$G$400,"kg")),IF(EL$2="Espèce",IF(EL$3="Toutes",SUMIFS('Étape 1 - à remplir'!$F$31:$F$400,'Étape 1 - à remplir'!$E$31:$E$400,MASQ2!EC594,'Étape 1 - à remplir'!$G$31:$G$400,"kg"),SUMIFS('Étape 1 - à remplir'!$F$31:$F$400,'Étape 1 - à remplir'!$E$31:$E$400,MASQ2!EC594,'Étape 1 - à remplir'!$N$31:$N$400,EL$3,'Étape 1 - à remplir'!$G$31:$G$400,"kg")))))))</f>
        <v>#N/A</v>
      </c>
      <c r="EE594" s="76">
        <f t="shared" si="359"/>
        <v>0</v>
      </c>
      <c r="EF594" t="str">
        <f t="shared" si="350"/>
        <v/>
      </c>
      <c r="EG594" t="str">
        <f t="shared" si="351"/>
        <v/>
      </c>
      <c r="EH594" t="str">
        <f t="shared" si="352"/>
        <v/>
      </c>
      <c r="EI594" t="str">
        <f t="shared" si="353"/>
        <v/>
      </c>
      <c r="EJ594" t="str">
        <f t="shared" si="354"/>
        <v/>
      </c>
      <c r="EK594" s="63" t="str">
        <f t="shared" si="355"/>
        <v/>
      </c>
      <c r="EN594" s="42">
        <v>591</v>
      </c>
      <c r="EO594" t="e">
        <f t="shared" si="361"/>
        <v>#N/A</v>
      </c>
      <c r="EP594" s="63" t="e">
        <f t="shared" si="362"/>
        <v>#N/A</v>
      </c>
    </row>
    <row r="595" spans="13:146" x14ac:dyDescent="0.3">
      <c r="M595" s="194" t="e">
        <f ca="1">INDEX(Données_ATB!BD:BU,MATCH(MASQ2!O595,Données_ATB!BD:BD,0),18)</f>
        <v>#N/A</v>
      </c>
      <c r="N595" s="14" t="str">
        <f>IFERROR(IF(Q595=0,"",COUNTIF(Q$4:Q$600,"&gt;"&amp;Q595)+COUNTIF(Q$4:Q595,Q595)),"")</f>
        <v/>
      </c>
      <c r="O595">
        <f>Données_ATB!BD594</f>
        <v>0</v>
      </c>
      <c r="P595" t="e">
        <f>IF(IF(X$2="Catégorie",IF(X$3="Toutes",SUMIFS('Étape 1 - à remplir'!$F$31:$F$400,'Étape 1 - à remplir'!$E$31:$E$400,MASQ2!O595,'Étape 1 - à remplir'!$G$31:$G$400,"animaux"),SUMIFS('Étape 1 - à remplir'!$F$31:$F$400,'Étape 1 - à remplir'!$E$31:$E$400,MASQ2!O595,'Étape 1 - à remplir'!$C$31:$C$400,X$3)),IF(X$2="Âge",IF(X$3="Tous",SUMIFS('Étape 1 - à remplir'!$F$31:$F$400,'Étape 1 - à remplir'!$E$31:$E$400,MASQ2!O595,'Étape 1 - à remplir'!$G$31:$G$400,"animaux"),SUMIFS('Étape 1 - à remplir'!$F$31:$F$400,'Étape 1 - à remplir'!$E$31:$E$400,MASQ2!O595,'Étape 1 - à remplir'!$P$31:$P$400,X$3)),IF(X$2="Atelier",IF(X$3="Tous",SUMIFS('Étape 1 - à remplir'!$F$31:$F$400,'Étape 1 - à remplir'!$E$31:$E$400,MASQ2!O595,'Étape 1 - à remplir'!$G$31:$G$400,"animaux"),SUMIFS('Étape 1 - à remplir'!$F$31:$F$400,'Étape 1 - à remplir'!$E$31:$E$400,MASQ2!O595,'Étape 1 - à remplir'!$O$31:$O$400,X$3)),IF(X$2="Espèce",IF(X$3="Toutes",SUMIFS('Étape 1 - à remplir'!$F$31:$F$400,'Étape 1 - à remplir'!$E$31:$E$400,MASQ2!O595,'Étape 1 - à remplir'!$G$31:$G$400,"animaux"),SUMIFS('Étape 1 - à remplir'!$F$31:$F$400,'Étape 1 - à remplir'!$E$31:$E$400,MASQ2!O595,'Étape 1 - à remplir'!$N$31:$N$400,X$3))))))=0,NA(),IF(X$2="Catégorie",IF(X$3="Toutes",SUMIFS('Étape 1 - à remplir'!$F$31:$F$400,'Étape 1 - à remplir'!$E$31:$E$400,MASQ2!O595,'Étape 1 - à remplir'!$G$31:$G$400,"animaux"),SUMIFS('Étape 1 - à remplir'!$F$31:$F$400,'Étape 1 - à remplir'!$E$31:$E$400,MASQ2!O595,'Étape 1 - à remplir'!$C$31:$C$400,X$3)),IF(X$2="Âge",IF(X$3="Tous",SUMIFS('Étape 1 - à remplir'!$F$31:$F$400,'Étape 1 - à remplir'!$E$31:$E$400,MASQ2!O595,'Étape 1 - à remplir'!$G$31:$G$400,"animaux"),SUMIFS('Étape 1 - à remplir'!$F$31:$F$400,'Étape 1 - à remplir'!$E$31:$E$400,MASQ2!O595,'Étape 1 - à remplir'!$P$31:$P$400,X$3)),IF(X$2="Atelier",IF(X$3="Tous",SUMIFS('Étape 1 - à remplir'!$F$31:$F$400,'Étape 1 - à remplir'!$E$31:$E$400,MASQ2!O595,'Étape 1 - à remplir'!$G$31:$G$400,"animaux"),SUMIFS('Étape 1 - à remplir'!$F$31:$F$400,'Étape 1 - à remplir'!$E$31:$E$400,MASQ2!O595,'Étape 1 - à remplir'!$O$31:$O$400,X$3)),IF(X$2="Espèce",IF(X$3="Toutes",SUMIFS('Étape 1 - à remplir'!$F$31:$F$400,'Étape 1 - à remplir'!$E$31:$E$400,MASQ2!O595,'Étape 1 - à remplir'!$G$31:$G$400,"animaux"),SUMIFS('Étape 1 - à remplir'!$F$31:$F$400,'Étape 1 - à remplir'!$E$31:$E$400,MASQ2!O595,'Étape 1 - à remplir'!$N$31:$N$400,X$3)))))))</f>
        <v>#N/A</v>
      </c>
      <c r="Q595" s="63">
        <f t="shared" si="360"/>
        <v>0</v>
      </c>
      <c r="R595" t="str">
        <f>Données_ATB!BM594</f>
        <v/>
      </c>
      <c r="S595" t="str">
        <f>Données_ATB!BN594</f>
        <v/>
      </c>
      <c r="T595" s="63" t="str">
        <f>Données_ATB!BO594</f>
        <v/>
      </c>
      <c r="U595" s="42" t="str">
        <f>Données_ATB!BQ594</f>
        <v/>
      </c>
      <c r="V595" t="str">
        <f>Données_ATB!BR594</f>
        <v/>
      </c>
      <c r="W595" s="63" t="str">
        <f>Données_ATB!BS594</f>
        <v/>
      </c>
      <c r="Z595" s="42">
        <v>592</v>
      </c>
      <c r="AA595" t="e">
        <f t="shared" si="356"/>
        <v>#N/A</v>
      </c>
      <c r="AB595" s="63" t="e">
        <f t="shared" si="357"/>
        <v>#N/A</v>
      </c>
      <c r="BT595" s="194" t="e">
        <f t="shared" ca="1" si="340"/>
        <v>#N/A</v>
      </c>
      <c r="BU595" s="219" t="str">
        <f>IFERROR(IF(BX595=0,"",COUNTIF(BX$4:BX$600,"&gt;"&amp;BX595)+COUNTIF(BX$4:BX595,BX595)),"")</f>
        <v/>
      </c>
      <c r="BV595" s="42">
        <f t="shared" si="341"/>
        <v>0</v>
      </c>
      <c r="BW595" t="e">
        <f>IF(IF(CE$2="Catégorie",IF(CE$3="Toutes",SUMIFS('Étape 1 - à remplir'!$F$31:$F$400,'Étape 1 - à remplir'!$E$31:$E$400,MASQ2!BV595,'Étape 1 - à remplir'!$G$31:$G$400,"lots"),SUMIFS('Étape 1 - à remplir'!$F$31:$F$400,'Étape 1 - à remplir'!$E$31:$E$400,MASQ2!BV595,'Étape 1 - à remplir'!$C$31:$C$400,CE$3)),IF(CE$2="Âge",IF(CE$3="Tous",SUMIFS('Étape 1 - à remplir'!$F$31:$F$400,'Étape 1 - à remplir'!$E$31:$E$400,MASQ2!BV595,'Étape 1 - à remplir'!$G$31:$G$400,"lots"),SUMIFS('Étape 1 - à remplir'!$F$31:$F$400,'Étape 1 - à remplir'!$E$31:$E$400,MASQ2!BV595,'Étape 1 - à remplir'!$P$31:$P$400,CE$3,'Étape 1 - à remplir'!$G$31:$G$400,"lots")),IF(CE$2="Atelier",IF(CE$3="Tous",SUMIFS('Étape 1 - à remplir'!$F$31:$F$400,'Étape 1 - à remplir'!$E$31:$E$400,MASQ2!BV595,'Étape 1 - à remplir'!$G$31:$G$400,"lots"),SUMIFS('Étape 1 - à remplir'!$F$31:$F$400,'Étape 1 - à remplir'!$E$31:$E$400,MASQ2!BV595,'Étape 1 - à remplir'!$O$31:$O$400,CE$3,'Étape 1 - à remplir'!$G$31:$G$400,"lots")),IF(CE$2="Espèce",IF(CE$3="Toutes",SUMIFS('Étape 1 - à remplir'!$F$31:$F$400,'Étape 1 - à remplir'!$E$31:$E$400,MASQ2!BV595,'Étape 1 - à remplir'!$G$31:$G$400,"lots"),SUMIFS('Étape 1 - à remplir'!$F$31:$F$400,'Étape 1 - à remplir'!$E$31:$E$400,MASQ2!BV595,'Étape 1 - à remplir'!$N$31:$N$400,CE$3,'Étape 1 - à remplir'!$G$31:$G$400,"lots"))))))=0,NA(),IF(CE$2="Catégorie",IF(CE$3="Toutes",SUMIFS('Étape 1 - à remplir'!$F$31:$F$400,'Étape 1 - à remplir'!$E$31:$E$400,MASQ2!BV595,'Étape 1 - à remplir'!$G$31:$G$400,"lots"),SUMIFS('Étape 1 - à remplir'!$F$31:$F$400,'Étape 1 - à remplir'!$E$31:$E$400,MASQ2!BV595,'Étape 1 - à remplir'!$C$31:$C$400,CE$3)),IF(CE$2="Âge",IF(CE$3="Tous",SUMIFS('Étape 1 - à remplir'!$F$31:$F$400,'Étape 1 - à remplir'!$E$31:$E$400,MASQ2!BV595,'Étape 1 - à remplir'!$G$31:$G$400,"lots"),SUMIFS('Étape 1 - à remplir'!$F$31:$F$400,'Étape 1 - à remplir'!$E$31:$E$400,MASQ2!BV595,'Étape 1 - à remplir'!$P$31:$P$400,CE$3,'Étape 1 - à remplir'!$G$31:$G$400,"lots")),IF(CE$2="Atelier",IF(CE$3="Tous",SUMIFS('Étape 1 - à remplir'!$F$31:$F$400,'Étape 1 - à remplir'!$E$31:$E$400,MASQ2!BV595,'Étape 1 - à remplir'!$G$31:$G$400,"lots"),SUMIFS('Étape 1 - à remplir'!$F$31:$F$400,'Étape 1 - à remplir'!$E$31:$E$400,MASQ2!BV595,'Étape 1 - à remplir'!$O$31:$O$400,CE$3,'Étape 1 - à remplir'!$G$31:$G$400,"lots")),IF(CE$2="Espèce",IF(CE$3="Toutes",SUMIFS('Étape 1 - à remplir'!$F$31:$F$400,'Étape 1 - à remplir'!$E$31:$E$400,MASQ2!BV595,'Étape 1 - à remplir'!$G$31:$G$400,"lots"),SUMIFS('Étape 1 - à remplir'!$F$31:$F$400,'Étape 1 - à remplir'!$E$31:$E$400,MASQ2!BV595,'Étape 1 - à remplir'!$N$31:$N$400,CE$3,'Étape 1 - à remplir'!$G$31:$G$400,"lots")))))))</f>
        <v>#N/A</v>
      </c>
      <c r="BX595">
        <f t="shared" si="358"/>
        <v>0</v>
      </c>
      <c r="BY595" t="str">
        <f t="shared" si="342"/>
        <v/>
      </c>
      <c r="BZ595" t="str">
        <f t="shared" si="343"/>
        <v/>
      </c>
      <c r="CA595" t="str">
        <f t="shared" si="344"/>
        <v/>
      </c>
      <c r="CB595" t="str">
        <f t="shared" si="345"/>
        <v/>
      </c>
      <c r="CC595" t="str">
        <f t="shared" si="346"/>
        <v/>
      </c>
      <c r="CD595" s="63" t="str">
        <f t="shared" si="347"/>
        <v/>
      </c>
      <c r="CG595" s="42">
        <v>592</v>
      </c>
      <c r="CH595" s="42" t="e">
        <f t="shared" si="363"/>
        <v>#N/A</v>
      </c>
      <c r="CI595" s="63" t="e">
        <f t="shared" si="364"/>
        <v>#N/A</v>
      </c>
      <c r="EA595" s="194" t="e">
        <f t="shared" ca="1" si="348"/>
        <v>#N/A</v>
      </c>
      <c r="EB595" s="226" t="str">
        <f>IFERROR(IF(ED595=0,"",COUNTIF(ED$4:ED$600,"&gt;"&amp;ED595)+COUNTIF(ED$4:ED595,ED595)),"")</f>
        <v/>
      </c>
      <c r="EC595">
        <f t="shared" si="349"/>
        <v>0</v>
      </c>
      <c r="ED595" t="e">
        <f>IF(IF(EL$2="Catégorie",IF(EL$3="Toutes",SUMIFS('Étape 1 - à remplir'!$F$31:$F$400,'Étape 1 - à remplir'!$E$31:$E$400,MASQ2!EC595,'Étape 1 - à remplir'!$G$31:$G$400,"kg"),SUMIFS('Étape 1 - à remplir'!$F$31:$F$400,'Étape 1 - à remplir'!$E$31:$E$400,MASQ2!EC595,'Étape 1 - à remplir'!$C$31:$C$400,EL$3)),IF(EL$2="Âge",IF(EL$3="Tous",SUMIFS('Étape 1 - à remplir'!$F$31:$F$400,'Étape 1 - à remplir'!$E$31:$E$400,MASQ2!EC595,'Étape 1 - à remplir'!$G$31:$G$400,"kg"),SUMIFS('Étape 1 - à remplir'!$F$31:$F$400,'Étape 1 - à remplir'!$E$31:$E$400,MASQ2!EC595,'Étape 1 - à remplir'!$P$31:$P$400,EL$3,'Étape 1 - à remplir'!$G$31:$G$400,"kg")),IF(EL$2="Atelier",IF(EL$3="Tous",SUMIFS('Étape 1 - à remplir'!$F$31:$F$400,'Étape 1 - à remplir'!$E$31:$E$400,MASQ2!EC595,'Étape 1 - à remplir'!$G$31:$G$400,"kg"),SUMIFS('Étape 1 - à remplir'!$F$31:$F$400,'Étape 1 - à remplir'!$E$31:$E$400,MASQ2!EC595,'Étape 1 - à remplir'!$O$31:$O$400,EL$3,'Étape 1 - à remplir'!$G$31:$G$400,"kg")),IF(EL$2="Espèce",IF(EL$3="Toutes",SUMIFS('Étape 1 - à remplir'!$F$31:$F$400,'Étape 1 - à remplir'!$E$31:$E$400,MASQ2!EC595,'Étape 1 - à remplir'!$G$31:$G$400,"kg"),SUMIFS('Étape 1 - à remplir'!$F$31:$F$400,'Étape 1 - à remplir'!$E$31:$E$400,MASQ2!EC595,'Étape 1 - à remplir'!$N$31:$N$400,EL$3,'Étape 1 - à remplir'!$G$31:$G$400,"kg"))))))=0,NA(),IF(EL$2="Catégorie",IF(EL$3="Toutes",SUMIFS('Étape 1 - à remplir'!$F$31:$F$400,'Étape 1 - à remplir'!$E$31:$E$400,MASQ2!EC595,'Étape 1 - à remplir'!$G$31:$G$400,"kg"),SUMIFS('Étape 1 - à remplir'!$F$31:$F$400,'Étape 1 - à remplir'!$E$31:$E$400,MASQ2!EC595,'Étape 1 - à remplir'!$C$31:$C$400,EL$3)),IF(EL$2="Âge",IF(EL$3="Tous",SUMIFS('Étape 1 - à remplir'!$F$31:$F$400,'Étape 1 - à remplir'!$E$31:$E$400,MASQ2!EC595,'Étape 1 - à remplir'!$G$31:$G$400,"kg"),SUMIFS('Étape 1 - à remplir'!$F$31:$F$400,'Étape 1 - à remplir'!$E$31:$E$400,MASQ2!EC595,'Étape 1 - à remplir'!$P$31:$P$400,EL$3,'Étape 1 - à remplir'!$G$31:$G$400,"kg")),IF(EL$2="Atelier",IF(EL$3="Tous",SUMIFS('Étape 1 - à remplir'!$F$31:$F$400,'Étape 1 - à remplir'!$E$31:$E$400,MASQ2!EC595,'Étape 1 - à remplir'!$G$31:$G$400,"kg"),SUMIFS('Étape 1 - à remplir'!$F$31:$F$400,'Étape 1 - à remplir'!$E$31:$E$400,MASQ2!EC595,'Étape 1 - à remplir'!$O$31:$O$400,EL$3,'Étape 1 - à remplir'!$G$31:$G$400,"kg")),IF(EL$2="Espèce",IF(EL$3="Toutes",SUMIFS('Étape 1 - à remplir'!$F$31:$F$400,'Étape 1 - à remplir'!$E$31:$E$400,MASQ2!EC595,'Étape 1 - à remplir'!$G$31:$G$400,"kg"),SUMIFS('Étape 1 - à remplir'!$F$31:$F$400,'Étape 1 - à remplir'!$E$31:$E$400,MASQ2!EC595,'Étape 1 - à remplir'!$N$31:$N$400,EL$3,'Étape 1 - à remplir'!$G$31:$G$400,"kg")))))))</f>
        <v>#N/A</v>
      </c>
      <c r="EE595" s="76">
        <f t="shared" si="359"/>
        <v>0</v>
      </c>
      <c r="EF595" t="str">
        <f t="shared" si="350"/>
        <v/>
      </c>
      <c r="EG595" t="str">
        <f t="shared" si="351"/>
        <v/>
      </c>
      <c r="EH595" t="str">
        <f t="shared" si="352"/>
        <v/>
      </c>
      <c r="EI595" t="str">
        <f t="shared" si="353"/>
        <v/>
      </c>
      <c r="EJ595" t="str">
        <f t="shared" si="354"/>
        <v/>
      </c>
      <c r="EK595" s="63" t="str">
        <f t="shared" si="355"/>
        <v/>
      </c>
      <c r="EN595" s="42">
        <v>592</v>
      </c>
      <c r="EO595" t="e">
        <f t="shared" si="361"/>
        <v>#N/A</v>
      </c>
      <c r="EP595" s="63" t="e">
        <f t="shared" si="362"/>
        <v>#N/A</v>
      </c>
    </row>
    <row r="596" spans="13:146" x14ac:dyDescent="0.3">
      <c r="M596" s="194" t="e">
        <f ca="1">INDEX(Données_ATB!BD:BU,MATCH(MASQ2!O596,Données_ATB!BD:BD,0),18)</f>
        <v>#N/A</v>
      </c>
      <c r="N596" s="14" t="str">
        <f>IFERROR(IF(Q596=0,"",COUNTIF(Q$4:Q$600,"&gt;"&amp;Q596)+COUNTIF(Q$4:Q596,Q596)),"")</f>
        <v/>
      </c>
      <c r="O596">
        <f>Données_ATB!BD595</f>
        <v>0</v>
      </c>
      <c r="P596" t="e">
        <f>IF(IF(X$2="Catégorie",IF(X$3="Toutes",SUMIFS('Étape 1 - à remplir'!$F$31:$F$400,'Étape 1 - à remplir'!$E$31:$E$400,MASQ2!O596,'Étape 1 - à remplir'!$G$31:$G$400,"animaux"),SUMIFS('Étape 1 - à remplir'!$F$31:$F$400,'Étape 1 - à remplir'!$E$31:$E$400,MASQ2!O596,'Étape 1 - à remplir'!$C$31:$C$400,X$3)),IF(X$2="Âge",IF(X$3="Tous",SUMIFS('Étape 1 - à remplir'!$F$31:$F$400,'Étape 1 - à remplir'!$E$31:$E$400,MASQ2!O596,'Étape 1 - à remplir'!$G$31:$G$400,"animaux"),SUMIFS('Étape 1 - à remplir'!$F$31:$F$400,'Étape 1 - à remplir'!$E$31:$E$400,MASQ2!O596,'Étape 1 - à remplir'!$P$31:$P$400,X$3)),IF(X$2="Atelier",IF(X$3="Tous",SUMIFS('Étape 1 - à remplir'!$F$31:$F$400,'Étape 1 - à remplir'!$E$31:$E$400,MASQ2!O596,'Étape 1 - à remplir'!$G$31:$G$400,"animaux"),SUMIFS('Étape 1 - à remplir'!$F$31:$F$400,'Étape 1 - à remplir'!$E$31:$E$400,MASQ2!O596,'Étape 1 - à remplir'!$O$31:$O$400,X$3)),IF(X$2="Espèce",IF(X$3="Toutes",SUMIFS('Étape 1 - à remplir'!$F$31:$F$400,'Étape 1 - à remplir'!$E$31:$E$400,MASQ2!O596,'Étape 1 - à remplir'!$G$31:$G$400,"animaux"),SUMIFS('Étape 1 - à remplir'!$F$31:$F$400,'Étape 1 - à remplir'!$E$31:$E$400,MASQ2!O596,'Étape 1 - à remplir'!$N$31:$N$400,X$3))))))=0,NA(),IF(X$2="Catégorie",IF(X$3="Toutes",SUMIFS('Étape 1 - à remplir'!$F$31:$F$400,'Étape 1 - à remplir'!$E$31:$E$400,MASQ2!O596,'Étape 1 - à remplir'!$G$31:$G$400,"animaux"),SUMIFS('Étape 1 - à remplir'!$F$31:$F$400,'Étape 1 - à remplir'!$E$31:$E$400,MASQ2!O596,'Étape 1 - à remplir'!$C$31:$C$400,X$3)),IF(X$2="Âge",IF(X$3="Tous",SUMIFS('Étape 1 - à remplir'!$F$31:$F$400,'Étape 1 - à remplir'!$E$31:$E$400,MASQ2!O596,'Étape 1 - à remplir'!$G$31:$G$400,"animaux"),SUMIFS('Étape 1 - à remplir'!$F$31:$F$400,'Étape 1 - à remplir'!$E$31:$E$400,MASQ2!O596,'Étape 1 - à remplir'!$P$31:$P$400,X$3)),IF(X$2="Atelier",IF(X$3="Tous",SUMIFS('Étape 1 - à remplir'!$F$31:$F$400,'Étape 1 - à remplir'!$E$31:$E$400,MASQ2!O596,'Étape 1 - à remplir'!$G$31:$G$400,"animaux"),SUMIFS('Étape 1 - à remplir'!$F$31:$F$400,'Étape 1 - à remplir'!$E$31:$E$400,MASQ2!O596,'Étape 1 - à remplir'!$O$31:$O$400,X$3)),IF(X$2="Espèce",IF(X$3="Toutes",SUMIFS('Étape 1 - à remplir'!$F$31:$F$400,'Étape 1 - à remplir'!$E$31:$E$400,MASQ2!O596,'Étape 1 - à remplir'!$G$31:$G$400,"animaux"),SUMIFS('Étape 1 - à remplir'!$F$31:$F$400,'Étape 1 - à remplir'!$E$31:$E$400,MASQ2!O596,'Étape 1 - à remplir'!$N$31:$N$400,X$3)))))))</f>
        <v>#N/A</v>
      </c>
      <c r="Q596" s="63">
        <f t="shared" si="360"/>
        <v>0</v>
      </c>
      <c r="R596" t="str">
        <f>Données_ATB!BM595</f>
        <v/>
      </c>
      <c r="S596" t="str">
        <f>Données_ATB!BN595</f>
        <v/>
      </c>
      <c r="T596" s="63" t="str">
        <f>Données_ATB!BO595</f>
        <v/>
      </c>
      <c r="U596" s="42" t="str">
        <f>Données_ATB!BQ595</f>
        <v/>
      </c>
      <c r="V596" t="str">
        <f>Données_ATB!BR595</f>
        <v/>
      </c>
      <c r="W596" s="63" t="str">
        <f>Données_ATB!BS595</f>
        <v/>
      </c>
      <c r="Z596" s="42">
        <v>593</v>
      </c>
      <c r="AA596" t="e">
        <f t="shared" si="356"/>
        <v>#N/A</v>
      </c>
      <c r="AB596" s="63" t="e">
        <f t="shared" si="357"/>
        <v>#N/A</v>
      </c>
      <c r="BT596" s="194" t="e">
        <f t="shared" ca="1" si="340"/>
        <v>#N/A</v>
      </c>
      <c r="BU596" s="219" t="str">
        <f>IFERROR(IF(BX596=0,"",COUNTIF(BX$4:BX$600,"&gt;"&amp;BX596)+COUNTIF(BX$4:BX596,BX596)),"")</f>
        <v/>
      </c>
      <c r="BV596" s="42">
        <f t="shared" si="341"/>
        <v>0</v>
      </c>
      <c r="BW596" t="e">
        <f>IF(IF(CE$2="Catégorie",IF(CE$3="Toutes",SUMIFS('Étape 1 - à remplir'!$F$31:$F$400,'Étape 1 - à remplir'!$E$31:$E$400,MASQ2!BV596,'Étape 1 - à remplir'!$G$31:$G$400,"lots"),SUMIFS('Étape 1 - à remplir'!$F$31:$F$400,'Étape 1 - à remplir'!$E$31:$E$400,MASQ2!BV596,'Étape 1 - à remplir'!$C$31:$C$400,CE$3)),IF(CE$2="Âge",IF(CE$3="Tous",SUMIFS('Étape 1 - à remplir'!$F$31:$F$400,'Étape 1 - à remplir'!$E$31:$E$400,MASQ2!BV596,'Étape 1 - à remplir'!$G$31:$G$400,"lots"),SUMIFS('Étape 1 - à remplir'!$F$31:$F$400,'Étape 1 - à remplir'!$E$31:$E$400,MASQ2!BV596,'Étape 1 - à remplir'!$P$31:$P$400,CE$3,'Étape 1 - à remplir'!$G$31:$G$400,"lots")),IF(CE$2="Atelier",IF(CE$3="Tous",SUMIFS('Étape 1 - à remplir'!$F$31:$F$400,'Étape 1 - à remplir'!$E$31:$E$400,MASQ2!BV596,'Étape 1 - à remplir'!$G$31:$G$400,"lots"),SUMIFS('Étape 1 - à remplir'!$F$31:$F$400,'Étape 1 - à remplir'!$E$31:$E$400,MASQ2!BV596,'Étape 1 - à remplir'!$O$31:$O$400,CE$3,'Étape 1 - à remplir'!$G$31:$G$400,"lots")),IF(CE$2="Espèce",IF(CE$3="Toutes",SUMIFS('Étape 1 - à remplir'!$F$31:$F$400,'Étape 1 - à remplir'!$E$31:$E$400,MASQ2!BV596,'Étape 1 - à remplir'!$G$31:$G$400,"lots"),SUMIFS('Étape 1 - à remplir'!$F$31:$F$400,'Étape 1 - à remplir'!$E$31:$E$400,MASQ2!BV596,'Étape 1 - à remplir'!$N$31:$N$400,CE$3,'Étape 1 - à remplir'!$G$31:$G$400,"lots"))))))=0,NA(),IF(CE$2="Catégorie",IF(CE$3="Toutes",SUMIFS('Étape 1 - à remplir'!$F$31:$F$400,'Étape 1 - à remplir'!$E$31:$E$400,MASQ2!BV596,'Étape 1 - à remplir'!$G$31:$G$400,"lots"),SUMIFS('Étape 1 - à remplir'!$F$31:$F$400,'Étape 1 - à remplir'!$E$31:$E$400,MASQ2!BV596,'Étape 1 - à remplir'!$C$31:$C$400,CE$3)),IF(CE$2="Âge",IF(CE$3="Tous",SUMIFS('Étape 1 - à remplir'!$F$31:$F$400,'Étape 1 - à remplir'!$E$31:$E$400,MASQ2!BV596,'Étape 1 - à remplir'!$G$31:$G$400,"lots"),SUMIFS('Étape 1 - à remplir'!$F$31:$F$400,'Étape 1 - à remplir'!$E$31:$E$400,MASQ2!BV596,'Étape 1 - à remplir'!$P$31:$P$400,CE$3,'Étape 1 - à remplir'!$G$31:$G$400,"lots")),IF(CE$2="Atelier",IF(CE$3="Tous",SUMIFS('Étape 1 - à remplir'!$F$31:$F$400,'Étape 1 - à remplir'!$E$31:$E$400,MASQ2!BV596,'Étape 1 - à remplir'!$G$31:$G$400,"lots"),SUMIFS('Étape 1 - à remplir'!$F$31:$F$400,'Étape 1 - à remplir'!$E$31:$E$400,MASQ2!BV596,'Étape 1 - à remplir'!$O$31:$O$400,CE$3,'Étape 1 - à remplir'!$G$31:$G$400,"lots")),IF(CE$2="Espèce",IF(CE$3="Toutes",SUMIFS('Étape 1 - à remplir'!$F$31:$F$400,'Étape 1 - à remplir'!$E$31:$E$400,MASQ2!BV596,'Étape 1 - à remplir'!$G$31:$G$400,"lots"),SUMIFS('Étape 1 - à remplir'!$F$31:$F$400,'Étape 1 - à remplir'!$E$31:$E$400,MASQ2!BV596,'Étape 1 - à remplir'!$N$31:$N$400,CE$3,'Étape 1 - à remplir'!$G$31:$G$400,"lots")))))))</f>
        <v>#N/A</v>
      </c>
      <c r="BX596">
        <f t="shared" si="358"/>
        <v>0</v>
      </c>
      <c r="BY596" t="str">
        <f t="shared" si="342"/>
        <v/>
      </c>
      <c r="BZ596" t="str">
        <f t="shared" si="343"/>
        <v/>
      </c>
      <c r="CA596" t="str">
        <f t="shared" si="344"/>
        <v/>
      </c>
      <c r="CB596" t="str">
        <f t="shared" si="345"/>
        <v/>
      </c>
      <c r="CC596" t="str">
        <f t="shared" si="346"/>
        <v/>
      </c>
      <c r="CD596" s="63" t="str">
        <f t="shared" si="347"/>
        <v/>
      </c>
      <c r="CG596" s="42">
        <v>593</v>
      </c>
      <c r="CH596" s="42" t="e">
        <f t="shared" si="363"/>
        <v>#N/A</v>
      </c>
      <c r="CI596" s="63" t="e">
        <f t="shared" si="364"/>
        <v>#N/A</v>
      </c>
      <c r="EA596" s="194" t="e">
        <f t="shared" ca="1" si="348"/>
        <v>#N/A</v>
      </c>
      <c r="EB596" s="226" t="str">
        <f>IFERROR(IF(ED596=0,"",COUNTIF(ED$4:ED$600,"&gt;"&amp;ED596)+COUNTIF(ED$4:ED596,ED596)),"")</f>
        <v/>
      </c>
      <c r="EC596">
        <f t="shared" si="349"/>
        <v>0</v>
      </c>
      <c r="ED596" t="e">
        <f>IF(IF(EL$2="Catégorie",IF(EL$3="Toutes",SUMIFS('Étape 1 - à remplir'!$F$31:$F$400,'Étape 1 - à remplir'!$E$31:$E$400,MASQ2!EC596,'Étape 1 - à remplir'!$G$31:$G$400,"kg"),SUMIFS('Étape 1 - à remplir'!$F$31:$F$400,'Étape 1 - à remplir'!$E$31:$E$400,MASQ2!EC596,'Étape 1 - à remplir'!$C$31:$C$400,EL$3)),IF(EL$2="Âge",IF(EL$3="Tous",SUMIFS('Étape 1 - à remplir'!$F$31:$F$400,'Étape 1 - à remplir'!$E$31:$E$400,MASQ2!EC596,'Étape 1 - à remplir'!$G$31:$G$400,"kg"),SUMIFS('Étape 1 - à remplir'!$F$31:$F$400,'Étape 1 - à remplir'!$E$31:$E$400,MASQ2!EC596,'Étape 1 - à remplir'!$P$31:$P$400,EL$3,'Étape 1 - à remplir'!$G$31:$G$400,"kg")),IF(EL$2="Atelier",IF(EL$3="Tous",SUMIFS('Étape 1 - à remplir'!$F$31:$F$400,'Étape 1 - à remplir'!$E$31:$E$400,MASQ2!EC596,'Étape 1 - à remplir'!$G$31:$G$400,"kg"),SUMIFS('Étape 1 - à remplir'!$F$31:$F$400,'Étape 1 - à remplir'!$E$31:$E$400,MASQ2!EC596,'Étape 1 - à remplir'!$O$31:$O$400,EL$3,'Étape 1 - à remplir'!$G$31:$G$400,"kg")),IF(EL$2="Espèce",IF(EL$3="Toutes",SUMIFS('Étape 1 - à remplir'!$F$31:$F$400,'Étape 1 - à remplir'!$E$31:$E$400,MASQ2!EC596,'Étape 1 - à remplir'!$G$31:$G$400,"kg"),SUMIFS('Étape 1 - à remplir'!$F$31:$F$400,'Étape 1 - à remplir'!$E$31:$E$400,MASQ2!EC596,'Étape 1 - à remplir'!$N$31:$N$400,EL$3,'Étape 1 - à remplir'!$G$31:$G$400,"kg"))))))=0,NA(),IF(EL$2="Catégorie",IF(EL$3="Toutes",SUMIFS('Étape 1 - à remplir'!$F$31:$F$400,'Étape 1 - à remplir'!$E$31:$E$400,MASQ2!EC596,'Étape 1 - à remplir'!$G$31:$G$400,"kg"),SUMIFS('Étape 1 - à remplir'!$F$31:$F$400,'Étape 1 - à remplir'!$E$31:$E$400,MASQ2!EC596,'Étape 1 - à remplir'!$C$31:$C$400,EL$3)),IF(EL$2="Âge",IF(EL$3="Tous",SUMIFS('Étape 1 - à remplir'!$F$31:$F$400,'Étape 1 - à remplir'!$E$31:$E$400,MASQ2!EC596,'Étape 1 - à remplir'!$G$31:$G$400,"kg"),SUMIFS('Étape 1 - à remplir'!$F$31:$F$400,'Étape 1 - à remplir'!$E$31:$E$400,MASQ2!EC596,'Étape 1 - à remplir'!$P$31:$P$400,EL$3,'Étape 1 - à remplir'!$G$31:$G$400,"kg")),IF(EL$2="Atelier",IF(EL$3="Tous",SUMIFS('Étape 1 - à remplir'!$F$31:$F$400,'Étape 1 - à remplir'!$E$31:$E$400,MASQ2!EC596,'Étape 1 - à remplir'!$G$31:$G$400,"kg"),SUMIFS('Étape 1 - à remplir'!$F$31:$F$400,'Étape 1 - à remplir'!$E$31:$E$400,MASQ2!EC596,'Étape 1 - à remplir'!$O$31:$O$400,EL$3,'Étape 1 - à remplir'!$G$31:$G$400,"kg")),IF(EL$2="Espèce",IF(EL$3="Toutes",SUMIFS('Étape 1 - à remplir'!$F$31:$F$400,'Étape 1 - à remplir'!$E$31:$E$400,MASQ2!EC596,'Étape 1 - à remplir'!$G$31:$G$400,"kg"),SUMIFS('Étape 1 - à remplir'!$F$31:$F$400,'Étape 1 - à remplir'!$E$31:$E$400,MASQ2!EC596,'Étape 1 - à remplir'!$N$31:$N$400,EL$3,'Étape 1 - à remplir'!$G$31:$G$400,"kg")))))))</f>
        <v>#N/A</v>
      </c>
      <c r="EE596" s="76">
        <f t="shared" si="359"/>
        <v>0</v>
      </c>
      <c r="EF596" t="str">
        <f t="shared" si="350"/>
        <v/>
      </c>
      <c r="EG596" t="str">
        <f t="shared" si="351"/>
        <v/>
      </c>
      <c r="EH596" t="str">
        <f t="shared" si="352"/>
        <v/>
      </c>
      <c r="EI596" t="str">
        <f t="shared" si="353"/>
        <v/>
      </c>
      <c r="EJ596" t="str">
        <f t="shared" si="354"/>
        <v/>
      </c>
      <c r="EK596" s="63" t="str">
        <f t="shared" si="355"/>
        <v/>
      </c>
      <c r="EN596" s="42">
        <v>593</v>
      </c>
      <c r="EO596" t="e">
        <f t="shared" si="361"/>
        <v>#N/A</v>
      </c>
      <c r="EP596" s="63" t="e">
        <f t="shared" si="362"/>
        <v>#N/A</v>
      </c>
    </row>
    <row r="597" spans="13:146" x14ac:dyDescent="0.3">
      <c r="M597" s="194" t="e">
        <f ca="1">INDEX(Données_ATB!BD:BU,MATCH(MASQ2!O597,Données_ATB!BD:BD,0),18)</f>
        <v>#N/A</v>
      </c>
      <c r="N597" s="14" t="str">
        <f>IFERROR(IF(Q597=0,"",COUNTIF(Q$4:Q$600,"&gt;"&amp;Q597)+COUNTIF(Q$4:Q597,Q597)),"")</f>
        <v/>
      </c>
      <c r="O597">
        <f>Données_ATB!BD596</f>
        <v>0</v>
      </c>
      <c r="P597" t="e">
        <f>IF(IF(X$2="Catégorie",IF(X$3="Toutes",SUMIFS('Étape 1 - à remplir'!$F$31:$F$400,'Étape 1 - à remplir'!$E$31:$E$400,MASQ2!O597,'Étape 1 - à remplir'!$G$31:$G$400,"animaux"),SUMIFS('Étape 1 - à remplir'!$F$31:$F$400,'Étape 1 - à remplir'!$E$31:$E$400,MASQ2!O597,'Étape 1 - à remplir'!$C$31:$C$400,X$3)),IF(X$2="Âge",IF(X$3="Tous",SUMIFS('Étape 1 - à remplir'!$F$31:$F$400,'Étape 1 - à remplir'!$E$31:$E$400,MASQ2!O597,'Étape 1 - à remplir'!$G$31:$G$400,"animaux"),SUMIFS('Étape 1 - à remplir'!$F$31:$F$400,'Étape 1 - à remplir'!$E$31:$E$400,MASQ2!O597,'Étape 1 - à remplir'!$P$31:$P$400,X$3)),IF(X$2="Atelier",IF(X$3="Tous",SUMIFS('Étape 1 - à remplir'!$F$31:$F$400,'Étape 1 - à remplir'!$E$31:$E$400,MASQ2!O597,'Étape 1 - à remplir'!$G$31:$G$400,"animaux"),SUMIFS('Étape 1 - à remplir'!$F$31:$F$400,'Étape 1 - à remplir'!$E$31:$E$400,MASQ2!O597,'Étape 1 - à remplir'!$O$31:$O$400,X$3)),IF(X$2="Espèce",IF(X$3="Toutes",SUMIFS('Étape 1 - à remplir'!$F$31:$F$400,'Étape 1 - à remplir'!$E$31:$E$400,MASQ2!O597,'Étape 1 - à remplir'!$G$31:$G$400,"animaux"),SUMIFS('Étape 1 - à remplir'!$F$31:$F$400,'Étape 1 - à remplir'!$E$31:$E$400,MASQ2!O597,'Étape 1 - à remplir'!$N$31:$N$400,X$3))))))=0,NA(),IF(X$2="Catégorie",IF(X$3="Toutes",SUMIFS('Étape 1 - à remplir'!$F$31:$F$400,'Étape 1 - à remplir'!$E$31:$E$400,MASQ2!O597,'Étape 1 - à remplir'!$G$31:$G$400,"animaux"),SUMIFS('Étape 1 - à remplir'!$F$31:$F$400,'Étape 1 - à remplir'!$E$31:$E$400,MASQ2!O597,'Étape 1 - à remplir'!$C$31:$C$400,X$3)),IF(X$2="Âge",IF(X$3="Tous",SUMIFS('Étape 1 - à remplir'!$F$31:$F$400,'Étape 1 - à remplir'!$E$31:$E$400,MASQ2!O597,'Étape 1 - à remplir'!$G$31:$G$400,"animaux"),SUMIFS('Étape 1 - à remplir'!$F$31:$F$400,'Étape 1 - à remplir'!$E$31:$E$400,MASQ2!O597,'Étape 1 - à remplir'!$P$31:$P$400,X$3)),IF(X$2="Atelier",IF(X$3="Tous",SUMIFS('Étape 1 - à remplir'!$F$31:$F$400,'Étape 1 - à remplir'!$E$31:$E$400,MASQ2!O597,'Étape 1 - à remplir'!$G$31:$G$400,"animaux"),SUMIFS('Étape 1 - à remplir'!$F$31:$F$400,'Étape 1 - à remplir'!$E$31:$E$400,MASQ2!O597,'Étape 1 - à remplir'!$O$31:$O$400,X$3)),IF(X$2="Espèce",IF(X$3="Toutes",SUMIFS('Étape 1 - à remplir'!$F$31:$F$400,'Étape 1 - à remplir'!$E$31:$E$400,MASQ2!O597,'Étape 1 - à remplir'!$G$31:$G$400,"animaux"),SUMIFS('Étape 1 - à remplir'!$F$31:$F$400,'Étape 1 - à remplir'!$E$31:$E$400,MASQ2!O597,'Étape 1 - à remplir'!$N$31:$N$400,X$3)))))))</f>
        <v>#N/A</v>
      </c>
      <c r="Q597" s="63">
        <f t="shared" si="360"/>
        <v>0</v>
      </c>
      <c r="R597" t="str">
        <f>Données_ATB!BM596</f>
        <v/>
      </c>
      <c r="S597" t="str">
        <f>Données_ATB!BN596</f>
        <v/>
      </c>
      <c r="T597" s="63" t="str">
        <f>Données_ATB!BO596</f>
        <v/>
      </c>
      <c r="U597" s="42" t="str">
        <f>Données_ATB!BQ596</f>
        <v/>
      </c>
      <c r="V597" t="str">
        <f>Données_ATB!BR596</f>
        <v/>
      </c>
      <c r="W597" s="63" t="str">
        <f>Données_ATB!BS596</f>
        <v/>
      </c>
      <c r="Z597" s="42">
        <v>594</v>
      </c>
      <c r="AA597" t="e">
        <f t="shared" si="356"/>
        <v>#N/A</v>
      </c>
      <c r="AB597" s="63" t="e">
        <f t="shared" si="357"/>
        <v>#N/A</v>
      </c>
      <c r="BT597" s="194" t="e">
        <f t="shared" ca="1" si="340"/>
        <v>#N/A</v>
      </c>
      <c r="BU597" s="219" t="str">
        <f>IFERROR(IF(BX597=0,"",COUNTIF(BX$4:BX$600,"&gt;"&amp;BX597)+COUNTIF(BX$4:BX597,BX597)),"")</f>
        <v/>
      </c>
      <c r="BV597" s="42">
        <f t="shared" si="341"/>
        <v>0</v>
      </c>
      <c r="BW597" t="e">
        <f>IF(IF(CE$2="Catégorie",IF(CE$3="Toutes",SUMIFS('Étape 1 - à remplir'!$F$31:$F$400,'Étape 1 - à remplir'!$E$31:$E$400,MASQ2!BV597,'Étape 1 - à remplir'!$G$31:$G$400,"lots"),SUMIFS('Étape 1 - à remplir'!$F$31:$F$400,'Étape 1 - à remplir'!$E$31:$E$400,MASQ2!BV597,'Étape 1 - à remplir'!$C$31:$C$400,CE$3)),IF(CE$2="Âge",IF(CE$3="Tous",SUMIFS('Étape 1 - à remplir'!$F$31:$F$400,'Étape 1 - à remplir'!$E$31:$E$400,MASQ2!BV597,'Étape 1 - à remplir'!$G$31:$G$400,"lots"),SUMIFS('Étape 1 - à remplir'!$F$31:$F$400,'Étape 1 - à remplir'!$E$31:$E$400,MASQ2!BV597,'Étape 1 - à remplir'!$P$31:$P$400,CE$3,'Étape 1 - à remplir'!$G$31:$G$400,"lots")),IF(CE$2="Atelier",IF(CE$3="Tous",SUMIFS('Étape 1 - à remplir'!$F$31:$F$400,'Étape 1 - à remplir'!$E$31:$E$400,MASQ2!BV597,'Étape 1 - à remplir'!$G$31:$G$400,"lots"),SUMIFS('Étape 1 - à remplir'!$F$31:$F$400,'Étape 1 - à remplir'!$E$31:$E$400,MASQ2!BV597,'Étape 1 - à remplir'!$O$31:$O$400,CE$3,'Étape 1 - à remplir'!$G$31:$G$400,"lots")),IF(CE$2="Espèce",IF(CE$3="Toutes",SUMIFS('Étape 1 - à remplir'!$F$31:$F$400,'Étape 1 - à remplir'!$E$31:$E$400,MASQ2!BV597,'Étape 1 - à remplir'!$G$31:$G$400,"lots"),SUMIFS('Étape 1 - à remplir'!$F$31:$F$400,'Étape 1 - à remplir'!$E$31:$E$400,MASQ2!BV597,'Étape 1 - à remplir'!$N$31:$N$400,CE$3,'Étape 1 - à remplir'!$G$31:$G$400,"lots"))))))=0,NA(),IF(CE$2="Catégorie",IF(CE$3="Toutes",SUMIFS('Étape 1 - à remplir'!$F$31:$F$400,'Étape 1 - à remplir'!$E$31:$E$400,MASQ2!BV597,'Étape 1 - à remplir'!$G$31:$G$400,"lots"),SUMIFS('Étape 1 - à remplir'!$F$31:$F$400,'Étape 1 - à remplir'!$E$31:$E$400,MASQ2!BV597,'Étape 1 - à remplir'!$C$31:$C$400,CE$3)),IF(CE$2="Âge",IF(CE$3="Tous",SUMIFS('Étape 1 - à remplir'!$F$31:$F$400,'Étape 1 - à remplir'!$E$31:$E$400,MASQ2!BV597,'Étape 1 - à remplir'!$G$31:$G$400,"lots"),SUMIFS('Étape 1 - à remplir'!$F$31:$F$400,'Étape 1 - à remplir'!$E$31:$E$400,MASQ2!BV597,'Étape 1 - à remplir'!$P$31:$P$400,CE$3,'Étape 1 - à remplir'!$G$31:$G$400,"lots")),IF(CE$2="Atelier",IF(CE$3="Tous",SUMIFS('Étape 1 - à remplir'!$F$31:$F$400,'Étape 1 - à remplir'!$E$31:$E$400,MASQ2!BV597,'Étape 1 - à remplir'!$G$31:$G$400,"lots"),SUMIFS('Étape 1 - à remplir'!$F$31:$F$400,'Étape 1 - à remplir'!$E$31:$E$400,MASQ2!BV597,'Étape 1 - à remplir'!$O$31:$O$400,CE$3,'Étape 1 - à remplir'!$G$31:$G$400,"lots")),IF(CE$2="Espèce",IF(CE$3="Toutes",SUMIFS('Étape 1 - à remplir'!$F$31:$F$400,'Étape 1 - à remplir'!$E$31:$E$400,MASQ2!BV597,'Étape 1 - à remplir'!$G$31:$G$400,"lots"),SUMIFS('Étape 1 - à remplir'!$F$31:$F$400,'Étape 1 - à remplir'!$E$31:$E$400,MASQ2!BV597,'Étape 1 - à remplir'!$N$31:$N$400,CE$3,'Étape 1 - à remplir'!$G$31:$G$400,"lots")))))))</f>
        <v>#N/A</v>
      </c>
      <c r="BX597">
        <f t="shared" si="358"/>
        <v>0</v>
      </c>
      <c r="BY597" t="str">
        <f t="shared" si="342"/>
        <v/>
      </c>
      <c r="BZ597" t="str">
        <f t="shared" si="343"/>
        <v/>
      </c>
      <c r="CA597" t="str">
        <f t="shared" si="344"/>
        <v/>
      </c>
      <c r="CB597" t="str">
        <f t="shared" si="345"/>
        <v/>
      </c>
      <c r="CC597" t="str">
        <f t="shared" si="346"/>
        <v/>
      </c>
      <c r="CD597" s="63" t="str">
        <f t="shared" si="347"/>
        <v/>
      </c>
      <c r="CG597" s="42">
        <v>594</v>
      </c>
      <c r="CH597" s="42" t="e">
        <f t="shared" si="363"/>
        <v>#N/A</v>
      </c>
      <c r="CI597" s="63" t="e">
        <f t="shared" si="364"/>
        <v>#N/A</v>
      </c>
      <c r="EA597" s="194" t="e">
        <f t="shared" ca="1" si="348"/>
        <v>#N/A</v>
      </c>
      <c r="EB597" s="226" t="str">
        <f>IFERROR(IF(ED597=0,"",COUNTIF(ED$4:ED$600,"&gt;"&amp;ED597)+COUNTIF(ED$4:ED597,ED597)),"")</f>
        <v/>
      </c>
      <c r="EC597">
        <f t="shared" si="349"/>
        <v>0</v>
      </c>
      <c r="ED597" t="e">
        <f>IF(IF(EL$2="Catégorie",IF(EL$3="Toutes",SUMIFS('Étape 1 - à remplir'!$F$31:$F$400,'Étape 1 - à remplir'!$E$31:$E$400,MASQ2!EC597,'Étape 1 - à remplir'!$G$31:$G$400,"kg"),SUMIFS('Étape 1 - à remplir'!$F$31:$F$400,'Étape 1 - à remplir'!$E$31:$E$400,MASQ2!EC597,'Étape 1 - à remplir'!$C$31:$C$400,EL$3)),IF(EL$2="Âge",IF(EL$3="Tous",SUMIFS('Étape 1 - à remplir'!$F$31:$F$400,'Étape 1 - à remplir'!$E$31:$E$400,MASQ2!EC597,'Étape 1 - à remplir'!$G$31:$G$400,"kg"),SUMIFS('Étape 1 - à remplir'!$F$31:$F$400,'Étape 1 - à remplir'!$E$31:$E$400,MASQ2!EC597,'Étape 1 - à remplir'!$P$31:$P$400,EL$3,'Étape 1 - à remplir'!$G$31:$G$400,"kg")),IF(EL$2="Atelier",IF(EL$3="Tous",SUMIFS('Étape 1 - à remplir'!$F$31:$F$400,'Étape 1 - à remplir'!$E$31:$E$400,MASQ2!EC597,'Étape 1 - à remplir'!$G$31:$G$400,"kg"),SUMIFS('Étape 1 - à remplir'!$F$31:$F$400,'Étape 1 - à remplir'!$E$31:$E$400,MASQ2!EC597,'Étape 1 - à remplir'!$O$31:$O$400,EL$3,'Étape 1 - à remplir'!$G$31:$G$400,"kg")),IF(EL$2="Espèce",IF(EL$3="Toutes",SUMIFS('Étape 1 - à remplir'!$F$31:$F$400,'Étape 1 - à remplir'!$E$31:$E$400,MASQ2!EC597,'Étape 1 - à remplir'!$G$31:$G$400,"kg"),SUMIFS('Étape 1 - à remplir'!$F$31:$F$400,'Étape 1 - à remplir'!$E$31:$E$400,MASQ2!EC597,'Étape 1 - à remplir'!$N$31:$N$400,EL$3,'Étape 1 - à remplir'!$G$31:$G$400,"kg"))))))=0,NA(),IF(EL$2="Catégorie",IF(EL$3="Toutes",SUMIFS('Étape 1 - à remplir'!$F$31:$F$400,'Étape 1 - à remplir'!$E$31:$E$400,MASQ2!EC597,'Étape 1 - à remplir'!$G$31:$G$400,"kg"),SUMIFS('Étape 1 - à remplir'!$F$31:$F$400,'Étape 1 - à remplir'!$E$31:$E$400,MASQ2!EC597,'Étape 1 - à remplir'!$C$31:$C$400,EL$3)),IF(EL$2="Âge",IF(EL$3="Tous",SUMIFS('Étape 1 - à remplir'!$F$31:$F$400,'Étape 1 - à remplir'!$E$31:$E$400,MASQ2!EC597,'Étape 1 - à remplir'!$G$31:$G$400,"kg"),SUMIFS('Étape 1 - à remplir'!$F$31:$F$400,'Étape 1 - à remplir'!$E$31:$E$400,MASQ2!EC597,'Étape 1 - à remplir'!$P$31:$P$400,EL$3,'Étape 1 - à remplir'!$G$31:$G$400,"kg")),IF(EL$2="Atelier",IF(EL$3="Tous",SUMIFS('Étape 1 - à remplir'!$F$31:$F$400,'Étape 1 - à remplir'!$E$31:$E$400,MASQ2!EC597,'Étape 1 - à remplir'!$G$31:$G$400,"kg"),SUMIFS('Étape 1 - à remplir'!$F$31:$F$400,'Étape 1 - à remplir'!$E$31:$E$400,MASQ2!EC597,'Étape 1 - à remplir'!$O$31:$O$400,EL$3,'Étape 1 - à remplir'!$G$31:$G$400,"kg")),IF(EL$2="Espèce",IF(EL$3="Toutes",SUMIFS('Étape 1 - à remplir'!$F$31:$F$400,'Étape 1 - à remplir'!$E$31:$E$400,MASQ2!EC597,'Étape 1 - à remplir'!$G$31:$G$400,"kg"),SUMIFS('Étape 1 - à remplir'!$F$31:$F$400,'Étape 1 - à remplir'!$E$31:$E$400,MASQ2!EC597,'Étape 1 - à remplir'!$N$31:$N$400,EL$3,'Étape 1 - à remplir'!$G$31:$G$400,"kg")))))))</f>
        <v>#N/A</v>
      </c>
      <c r="EE597" s="76">
        <f t="shared" si="359"/>
        <v>0</v>
      </c>
      <c r="EF597" t="str">
        <f t="shared" si="350"/>
        <v/>
      </c>
      <c r="EG597" t="str">
        <f t="shared" si="351"/>
        <v/>
      </c>
      <c r="EH597" t="str">
        <f t="shared" si="352"/>
        <v/>
      </c>
      <c r="EI597" t="str">
        <f t="shared" si="353"/>
        <v/>
      </c>
      <c r="EJ597" t="str">
        <f t="shared" si="354"/>
        <v/>
      </c>
      <c r="EK597" s="63" t="str">
        <f t="shared" si="355"/>
        <v/>
      </c>
      <c r="EN597" s="42">
        <v>594</v>
      </c>
      <c r="EO597" t="e">
        <f t="shared" si="361"/>
        <v>#N/A</v>
      </c>
      <c r="EP597" s="63" t="e">
        <f t="shared" si="362"/>
        <v>#N/A</v>
      </c>
    </row>
    <row r="598" spans="13:146" x14ac:dyDescent="0.3">
      <c r="M598" s="194" t="e">
        <f ca="1">INDEX(Données_ATB!BD:BU,MATCH(MASQ2!O598,Données_ATB!BD:BD,0),18)</f>
        <v>#N/A</v>
      </c>
      <c r="N598" s="14" t="str">
        <f>IFERROR(IF(Q598=0,"",COUNTIF(Q$4:Q$600,"&gt;"&amp;Q598)+COUNTIF(Q$4:Q598,Q598)),"")</f>
        <v/>
      </c>
      <c r="O598">
        <f>Données_ATB!BD597</f>
        <v>0</v>
      </c>
      <c r="P598" t="e">
        <f>IF(IF(X$2="Catégorie",IF(X$3="Toutes",SUMIFS('Étape 1 - à remplir'!$F$31:$F$400,'Étape 1 - à remplir'!$E$31:$E$400,MASQ2!O598,'Étape 1 - à remplir'!$G$31:$G$400,"animaux"),SUMIFS('Étape 1 - à remplir'!$F$31:$F$400,'Étape 1 - à remplir'!$E$31:$E$400,MASQ2!O598,'Étape 1 - à remplir'!$C$31:$C$400,X$3)),IF(X$2="Âge",IF(X$3="Tous",SUMIFS('Étape 1 - à remplir'!$F$31:$F$400,'Étape 1 - à remplir'!$E$31:$E$400,MASQ2!O598,'Étape 1 - à remplir'!$G$31:$G$400,"animaux"),SUMIFS('Étape 1 - à remplir'!$F$31:$F$400,'Étape 1 - à remplir'!$E$31:$E$400,MASQ2!O598,'Étape 1 - à remplir'!$P$31:$P$400,X$3)),IF(X$2="Atelier",IF(X$3="Tous",SUMIFS('Étape 1 - à remplir'!$F$31:$F$400,'Étape 1 - à remplir'!$E$31:$E$400,MASQ2!O598,'Étape 1 - à remplir'!$G$31:$G$400,"animaux"),SUMIFS('Étape 1 - à remplir'!$F$31:$F$400,'Étape 1 - à remplir'!$E$31:$E$400,MASQ2!O598,'Étape 1 - à remplir'!$O$31:$O$400,X$3)),IF(X$2="Espèce",IF(X$3="Toutes",SUMIFS('Étape 1 - à remplir'!$F$31:$F$400,'Étape 1 - à remplir'!$E$31:$E$400,MASQ2!O598,'Étape 1 - à remplir'!$G$31:$G$400,"animaux"),SUMIFS('Étape 1 - à remplir'!$F$31:$F$400,'Étape 1 - à remplir'!$E$31:$E$400,MASQ2!O598,'Étape 1 - à remplir'!$N$31:$N$400,X$3))))))=0,NA(),IF(X$2="Catégorie",IF(X$3="Toutes",SUMIFS('Étape 1 - à remplir'!$F$31:$F$400,'Étape 1 - à remplir'!$E$31:$E$400,MASQ2!O598,'Étape 1 - à remplir'!$G$31:$G$400,"animaux"),SUMIFS('Étape 1 - à remplir'!$F$31:$F$400,'Étape 1 - à remplir'!$E$31:$E$400,MASQ2!O598,'Étape 1 - à remplir'!$C$31:$C$400,X$3)),IF(X$2="Âge",IF(X$3="Tous",SUMIFS('Étape 1 - à remplir'!$F$31:$F$400,'Étape 1 - à remplir'!$E$31:$E$400,MASQ2!O598,'Étape 1 - à remplir'!$G$31:$G$400,"animaux"),SUMIFS('Étape 1 - à remplir'!$F$31:$F$400,'Étape 1 - à remplir'!$E$31:$E$400,MASQ2!O598,'Étape 1 - à remplir'!$P$31:$P$400,X$3)),IF(X$2="Atelier",IF(X$3="Tous",SUMIFS('Étape 1 - à remplir'!$F$31:$F$400,'Étape 1 - à remplir'!$E$31:$E$400,MASQ2!O598,'Étape 1 - à remplir'!$G$31:$G$400,"animaux"),SUMIFS('Étape 1 - à remplir'!$F$31:$F$400,'Étape 1 - à remplir'!$E$31:$E$400,MASQ2!O598,'Étape 1 - à remplir'!$O$31:$O$400,X$3)),IF(X$2="Espèce",IF(X$3="Toutes",SUMIFS('Étape 1 - à remplir'!$F$31:$F$400,'Étape 1 - à remplir'!$E$31:$E$400,MASQ2!O598,'Étape 1 - à remplir'!$G$31:$G$400,"animaux"),SUMIFS('Étape 1 - à remplir'!$F$31:$F$400,'Étape 1 - à remplir'!$E$31:$E$400,MASQ2!O598,'Étape 1 - à remplir'!$N$31:$N$400,X$3)))))))</f>
        <v>#N/A</v>
      </c>
      <c r="Q598" s="63">
        <f t="shared" si="360"/>
        <v>0</v>
      </c>
      <c r="R598" t="str">
        <f>Données_ATB!BM597</f>
        <v/>
      </c>
      <c r="S598" t="str">
        <f>Données_ATB!BN597</f>
        <v/>
      </c>
      <c r="T598" s="63" t="str">
        <f>Données_ATB!BO597</f>
        <v/>
      </c>
      <c r="U598" s="42" t="str">
        <f>Données_ATB!BQ597</f>
        <v/>
      </c>
      <c r="V598" t="str">
        <f>Données_ATB!BR597</f>
        <v/>
      </c>
      <c r="W598" s="63" t="str">
        <f>Données_ATB!BS597</f>
        <v/>
      </c>
      <c r="Z598" s="42">
        <v>595</v>
      </c>
      <c r="AA598" t="e">
        <f t="shared" si="356"/>
        <v>#N/A</v>
      </c>
      <c r="AB598" s="63" t="e">
        <f t="shared" si="357"/>
        <v>#N/A</v>
      </c>
      <c r="BT598" s="194" t="e">
        <f t="shared" ca="1" si="340"/>
        <v>#N/A</v>
      </c>
      <c r="BU598" s="219" t="str">
        <f>IFERROR(IF(BX598=0,"",COUNTIF(BX$4:BX$600,"&gt;"&amp;BX598)+COUNTIF(BX$4:BX598,BX598)),"")</f>
        <v/>
      </c>
      <c r="BV598" s="42">
        <f t="shared" si="341"/>
        <v>0</v>
      </c>
      <c r="BW598" t="e">
        <f>IF(IF(CE$2="Catégorie",IF(CE$3="Toutes",SUMIFS('Étape 1 - à remplir'!$F$31:$F$400,'Étape 1 - à remplir'!$E$31:$E$400,MASQ2!BV598,'Étape 1 - à remplir'!$G$31:$G$400,"lots"),SUMIFS('Étape 1 - à remplir'!$F$31:$F$400,'Étape 1 - à remplir'!$E$31:$E$400,MASQ2!BV598,'Étape 1 - à remplir'!$C$31:$C$400,CE$3)),IF(CE$2="Âge",IF(CE$3="Tous",SUMIFS('Étape 1 - à remplir'!$F$31:$F$400,'Étape 1 - à remplir'!$E$31:$E$400,MASQ2!BV598,'Étape 1 - à remplir'!$G$31:$G$400,"lots"),SUMIFS('Étape 1 - à remplir'!$F$31:$F$400,'Étape 1 - à remplir'!$E$31:$E$400,MASQ2!BV598,'Étape 1 - à remplir'!$P$31:$P$400,CE$3,'Étape 1 - à remplir'!$G$31:$G$400,"lots")),IF(CE$2="Atelier",IF(CE$3="Tous",SUMIFS('Étape 1 - à remplir'!$F$31:$F$400,'Étape 1 - à remplir'!$E$31:$E$400,MASQ2!BV598,'Étape 1 - à remplir'!$G$31:$G$400,"lots"),SUMIFS('Étape 1 - à remplir'!$F$31:$F$400,'Étape 1 - à remplir'!$E$31:$E$400,MASQ2!BV598,'Étape 1 - à remplir'!$O$31:$O$400,CE$3,'Étape 1 - à remplir'!$G$31:$G$400,"lots")),IF(CE$2="Espèce",IF(CE$3="Toutes",SUMIFS('Étape 1 - à remplir'!$F$31:$F$400,'Étape 1 - à remplir'!$E$31:$E$400,MASQ2!BV598,'Étape 1 - à remplir'!$G$31:$G$400,"lots"),SUMIFS('Étape 1 - à remplir'!$F$31:$F$400,'Étape 1 - à remplir'!$E$31:$E$400,MASQ2!BV598,'Étape 1 - à remplir'!$N$31:$N$400,CE$3,'Étape 1 - à remplir'!$G$31:$G$400,"lots"))))))=0,NA(),IF(CE$2="Catégorie",IF(CE$3="Toutes",SUMIFS('Étape 1 - à remplir'!$F$31:$F$400,'Étape 1 - à remplir'!$E$31:$E$400,MASQ2!BV598,'Étape 1 - à remplir'!$G$31:$G$400,"lots"),SUMIFS('Étape 1 - à remplir'!$F$31:$F$400,'Étape 1 - à remplir'!$E$31:$E$400,MASQ2!BV598,'Étape 1 - à remplir'!$C$31:$C$400,CE$3)),IF(CE$2="Âge",IF(CE$3="Tous",SUMIFS('Étape 1 - à remplir'!$F$31:$F$400,'Étape 1 - à remplir'!$E$31:$E$400,MASQ2!BV598,'Étape 1 - à remplir'!$G$31:$G$400,"lots"),SUMIFS('Étape 1 - à remplir'!$F$31:$F$400,'Étape 1 - à remplir'!$E$31:$E$400,MASQ2!BV598,'Étape 1 - à remplir'!$P$31:$P$400,CE$3,'Étape 1 - à remplir'!$G$31:$G$400,"lots")),IF(CE$2="Atelier",IF(CE$3="Tous",SUMIFS('Étape 1 - à remplir'!$F$31:$F$400,'Étape 1 - à remplir'!$E$31:$E$400,MASQ2!BV598,'Étape 1 - à remplir'!$G$31:$G$400,"lots"),SUMIFS('Étape 1 - à remplir'!$F$31:$F$400,'Étape 1 - à remplir'!$E$31:$E$400,MASQ2!BV598,'Étape 1 - à remplir'!$O$31:$O$400,CE$3,'Étape 1 - à remplir'!$G$31:$G$400,"lots")),IF(CE$2="Espèce",IF(CE$3="Toutes",SUMIFS('Étape 1 - à remplir'!$F$31:$F$400,'Étape 1 - à remplir'!$E$31:$E$400,MASQ2!BV598,'Étape 1 - à remplir'!$G$31:$G$400,"lots"),SUMIFS('Étape 1 - à remplir'!$F$31:$F$400,'Étape 1 - à remplir'!$E$31:$E$400,MASQ2!BV598,'Étape 1 - à remplir'!$N$31:$N$400,CE$3,'Étape 1 - à remplir'!$G$31:$G$400,"lots")))))))</f>
        <v>#N/A</v>
      </c>
      <c r="BX598">
        <f t="shared" si="358"/>
        <v>0</v>
      </c>
      <c r="BY598" t="str">
        <f t="shared" si="342"/>
        <v/>
      </c>
      <c r="BZ598" t="str">
        <f t="shared" si="343"/>
        <v/>
      </c>
      <c r="CA598" t="str">
        <f t="shared" si="344"/>
        <v/>
      </c>
      <c r="CB598" t="str">
        <f t="shared" si="345"/>
        <v/>
      </c>
      <c r="CC598" t="str">
        <f t="shared" si="346"/>
        <v/>
      </c>
      <c r="CD598" s="63" t="str">
        <f t="shared" si="347"/>
        <v/>
      </c>
      <c r="CG598" s="42">
        <v>595</v>
      </c>
      <c r="CH598" s="42" t="e">
        <f t="shared" si="363"/>
        <v>#N/A</v>
      </c>
      <c r="CI598" s="63" t="e">
        <f t="shared" si="364"/>
        <v>#N/A</v>
      </c>
      <c r="EA598" s="194" t="e">
        <f t="shared" ca="1" si="348"/>
        <v>#N/A</v>
      </c>
      <c r="EB598" s="226" t="str">
        <f>IFERROR(IF(ED598=0,"",COUNTIF(ED$4:ED$600,"&gt;"&amp;ED598)+COUNTIF(ED$4:ED598,ED598)),"")</f>
        <v/>
      </c>
      <c r="EC598">
        <f t="shared" si="349"/>
        <v>0</v>
      </c>
      <c r="ED598" t="e">
        <f>IF(IF(EL$2="Catégorie",IF(EL$3="Toutes",SUMIFS('Étape 1 - à remplir'!$F$31:$F$400,'Étape 1 - à remplir'!$E$31:$E$400,MASQ2!EC598,'Étape 1 - à remplir'!$G$31:$G$400,"kg"),SUMIFS('Étape 1 - à remplir'!$F$31:$F$400,'Étape 1 - à remplir'!$E$31:$E$400,MASQ2!EC598,'Étape 1 - à remplir'!$C$31:$C$400,EL$3)),IF(EL$2="Âge",IF(EL$3="Tous",SUMIFS('Étape 1 - à remplir'!$F$31:$F$400,'Étape 1 - à remplir'!$E$31:$E$400,MASQ2!EC598,'Étape 1 - à remplir'!$G$31:$G$400,"kg"),SUMIFS('Étape 1 - à remplir'!$F$31:$F$400,'Étape 1 - à remplir'!$E$31:$E$400,MASQ2!EC598,'Étape 1 - à remplir'!$P$31:$P$400,EL$3,'Étape 1 - à remplir'!$G$31:$G$400,"kg")),IF(EL$2="Atelier",IF(EL$3="Tous",SUMIFS('Étape 1 - à remplir'!$F$31:$F$400,'Étape 1 - à remplir'!$E$31:$E$400,MASQ2!EC598,'Étape 1 - à remplir'!$G$31:$G$400,"kg"),SUMIFS('Étape 1 - à remplir'!$F$31:$F$400,'Étape 1 - à remplir'!$E$31:$E$400,MASQ2!EC598,'Étape 1 - à remplir'!$O$31:$O$400,EL$3,'Étape 1 - à remplir'!$G$31:$G$400,"kg")),IF(EL$2="Espèce",IF(EL$3="Toutes",SUMIFS('Étape 1 - à remplir'!$F$31:$F$400,'Étape 1 - à remplir'!$E$31:$E$400,MASQ2!EC598,'Étape 1 - à remplir'!$G$31:$G$400,"kg"),SUMIFS('Étape 1 - à remplir'!$F$31:$F$400,'Étape 1 - à remplir'!$E$31:$E$400,MASQ2!EC598,'Étape 1 - à remplir'!$N$31:$N$400,EL$3,'Étape 1 - à remplir'!$G$31:$G$400,"kg"))))))=0,NA(),IF(EL$2="Catégorie",IF(EL$3="Toutes",SUMIFS('Étape 1 - à remplir'!$F$31:$F$400,'Étape 1 - à remplir'!$E$31:$E$400,MASQ2!EC598,'Étape 1 - à remplir'!$G$31:$G$400,"kg"),SUMIFS('Étape 1 - à remplir'!$F$31:$F$400,'Étape 1 - à remplir'!$E$31:$E$400,MASQ2!EC598,'Étape 1 - à remplir'!$C$31:$C$400,EL$3)),IF(EL$2="Âge",IF(EL$3="Tous",SUMIFS('Étape 1 - à remplir'!$F$31:$F$400,'Étape 1 - à remplir'!$E$31:$E$400,MASQ2!EC598,'Étape 1 - à remplir'!$G$31:$G$400,"kg"),SUMIFS('Étape 1 - à remplir'!$F$31:$F$400,'Étape 1 - à remplir'!$E$31:$E$400,MASQ2!EC598,'Étape 1 - à remplir'!$P$31:$P$400,EL$3,'Étape 1 - à remplir'!$G$31:$G$400,"kg")),IF(EL$2="Atelier",IF(EL$3="Tous",SUMIFS('Étape 1 - à remplir'!$F$31:$F$400,'Étape 1 - à remplir'!$E$31:$E$400,MASQ2!EC598,'Étape 1 - à remplir'!$G$31:$G$400,"kg"),SUMIFS('Étape 1 - à remplir'!$F$31:$F$400,'Étape 1 - à remplir'!$E$31:$E$400,MASQ2!EC598,'Étape 1 - à remplir'!$O$31:$O$400,EL$3,'Étape 1 - à remplir'!$G$31:$G$400,"kg")),IF(EL$2="Espèce",IF(EL$3="Toutes",SUMIFS('Étape 1 - à remplir'!$F$31:$F$400,'Étape 1 - à remplir'!$E$31:$E$400,MASQ2!EC598,'Étape 1 - à remplir'!$G$31:$G$400,"kg"),SUMIFS('Étape 1 - à remplir'!$F$31:$F$400,'Étape 1 - à remplir'!$E$31:$E$400,MASQ2!EC598,'Étape 1 - à remplir'!$N$31:$N$400,EL$3,'Étape 1 - à remplir'!$G$31:$G$400,"kg")))))))</f>
        <v>#N/A</v>
      </c>
      <c r="EE598" s="76">
        <f t="shared" si="359"/>
        <v>0</v>
      </c>
      <c r="EF598" t="str">
        <f t="shared" si="350"/>
        <v/>
      </c>
      <c r="EG598" t="str">
        <f t="shared" si="351"/>
        <v/>
      </c>
      <c r="EH598" t="str">
        <f t="shared" si="352"/>
        <v/>
      </c>
      <c r="EI598" t="str">
        <f t="shared" si="353"/>
        <v/>
      </c>
      <c r="EJ598" t="str">
        <f t="shared" si="354"/>
        <v/>
      </c>
      <c r="EK598" s="63" t="str">
        <f t="shared" si="355"/>
        <v/>
      </c>
      <c r="EN598" s="42">
        <v>595</v>
      </c>
      <c r="EO598" t="e">
        <f t="shared" si="361"/>
        <v>#N/A</v>
      </c>
      <c r="EP598" s="63" t="e">
        <f t="shared" si="362"/>
        <v>#N/A</v>
      </c>
    </row>
    <row r="599" spans="13:146" x14ac:dyDescent="0.3">
      <c r="M599" s="194" t="e">
        <f ca="1">INDEX(Données_ATB!BD:BU,MATCH(MASQ2!O599,Données_ATB!BD:BD,0),18)</f>
        <v>#N/A</v>
      </c>
      <c r="N599" s="14" t="str">
        <f>IFERROR(IF(Q599=0,"",COUNTIF(Q$4:Q$600,"&gt;"&amp;Q599)+COUNTIF(Q$4:Q599,Q599)),"")</f>
        <v/>
      </c>
      <c r="O599">
        <f>Données_ATB!BD598</f>
        <v>0</v>
      </c>
      <c r="P599" t="e">
        <f>IF(IF(X$2="Catégorie",IF(X$3="Toutes",SUMIFS('Étape 1 - à remplir'!$F$31:$F$400,'Étape 1 - à remplir'!$E$31:$E$400,MASQ2!O599,'Étape 1 - à remplir'!$G$31:$G$400,"animaux"),SUMIFS('Étape 1 - à remplir'!$F$31:$F$400,'Étape 1 - à remplir'!$E$31:$E$400,MASQ2!O599,'Étape 1 - à remplir'!$C$31:$C$400,X$3)),IF(X$2="Âge",IF(X$3="Tous",SUMIFS('Étape 1 - à remplir'!$F$31:$F$400,'Étape 1 - à remplir'!$E$31:$E$400,MASQ2!O599,'Étape 1 - à remplir'!$G$31:$G$400,"animaux"),SUMIFS('Étape 1 - à remplir'!$F$31:$F$400,'Étape 1 - à remplir'!$E$31:$E$400,MASQ2!O599,'Étape 1 - à remplir'!$P$31:$P$400,X$3)),IF(X$2="Atelier",IF(X$3="Tous",SUMIFS('Étape 1 - à remplir'!$F$31:$F$400,'Étape 1 - à remplir'!$E$31:$E$400,MASQ2!O599,'Étape 1 - à remplir'!$G$31:$G$400,"animaux"),SUMIFS('Étape 1 - à remplir'!$F$31:$F$400,'Étape 1 - à remplir'!$E$31:$E$400,MASQ2!O599,'Étape 1 - à remplir'!$O$31:$O$400,X$3)),IF(X$2="Espèce",IF(X$3="Toutes",SUMIFS('Étape 1 - à remplir'!$F$31:$F$400,'Étape 1 - à remplir'!$E$31:$E$400,MASQ2!O599,'Étape 1 - à remplir'!$G$31:$G$400,"animaux"),SUMIFS('Étape 1 - à remplir'!$F$31:$F$400,'Étape 1 - à remplir'!$E$31:$E$400,MASQ2!O599,'Étape 1 - à remplir'!$N$31:$N$400,X$3))))))=0,NA(),IF(X$2="Catégorie",IF(X$3="Toutes",SUMIFS('Étape 1 - à remplir'!$F$31:$F$400,'Étape 1 - à remplir'!$E$31:$E$400,MASQ2!O599,'Étape 1 - à remplir'!$G$31:$G$400,"animaux"),SUMIFS('Étape 1 - à remplir'!$F$31:$F$400,'Étape 1 - à remplir'!$E$31:$E$400,MASQ2!O599,'Étape 1 - à remplir'!$C$31:$C$400,X$3)),IF(X$2="Âge",IF(X$3="Tous",SUMIFS('Étape 1 - à remplir'!$F$31:$F$400,'Étape 1 - à remplir'!$E$31:$E$400,MASQ2!O599,'Étape 1 - à remplir'!$G$31:$G$400,"animaux"),SUMIFS('Étape 1 - à remplir'!$F$31:$F$400,'Étape 1 - à remplir'!$E$31:$E$400,MASQ2!O599,'Étape 1 - à remplir'!$P$31:$P$400,X$3)),IF(X$2="Atelier",IF(X$3="Tous",SUMIFS('Étape 1 - à remplir'!$F$31:$F$400,'Étape 1 - à remplir'!$E$31:$E$400,MASQ2!O599,'Étape 1 - à remplir'!$G$31:$G$400,"animaux"),SUMIFS('Étape 1 - à remplir'!$F$31:$F$400,'Étape 1 - à remplir'!$E$31:$E$400,MASQ2!O599,'Étape 1 - à remplir'!$O$31:$O$400,X$3)),IF(X$2="Espèce",IF(X$3="Toutes",SUMIFS('Étape 1 - à remplir'!$F$31:$F$400,'Étape 1 - à remplir'!$E$31:$E$400,MASQ2!O599,'Étape 1 - à remplir'!$G$31:$G$400,"animaux"),SUMIFS('Étape 1 - à remplir'!$F$31:$F$400,'Étape 1 - à remplir'!$E$31:$E$400,MASQ2!O599,'Étape 1 - à remplir'!$N$31:$N$400,X$3)))))))</f>
        <v>#N/A</v>
      </c>
      <c r="Q599" s="63">
        <f t="shared" si="360"/>
        <v>0</v>
      </c>
      <c r="R599" t="str">
        <f>Données_ATB!BM598</f>
        <v/>
      </c>
      <c r="S599" t="str">
        <f>Données_ATB!BN598</f>
        <v/>
      </c>
      <c r="T599" s="63" t="str">
        <f>Données_ATB!BO598</f>
        <v/>
      </c>
      <c r="U599" s="42" t="str">
        <f>Données_ATB!BQ598</f>
        <v/>
      </c>
      <c r="V599" t="str">
        <f>Données_ATB!BR598</f>
        <v/>
      </c>
      <c r="W599" s="63" t="str">
        <f>Données_ATB!BS598</f>
        <v/>
      </c>
      <c r="Z599" s="42">
        <v>596</v>
      </c>
      <c r="AA599" t="e">
        <f t="shared" si="356"/>
        <v>#N/A</v>
      </c>
      <c r="AB599" s="63" t="e">
        <f t="shared" si="357"/>
        <v>#N/A</v>
      </c>
      <c r="BT599" s="194" t="e">
        <f t="shared" ca="1" si="340"/>
        <v>#N/A</v>
      </c>
      <c r="BU599" s="219" t="str">
        <f>IFERROR(IF(BX599=0,"",COUNTIF(BX$4:BX$600,"&gt;"&amp;BX599)+COUNTIF(BX$4:BX599,BX599)),"")</f>
        <v/>
      </c>
      <c r="BV599" s="42">
        <f t="shared" si="341"/>
        <v>0</v>
      </c>
      <c r="BW599" t="e">
        <f>IF(IF(CE$2="Catégorie",IF(CE$3="Toutes",SUMIFS('Étape 1 - à remplir'!$F$31:$F$400,'Étape 1 - à remplir'!$E$31:$E$400,MASQ2!BV599,'Étape 1 - à remplir'!$G$31:$G$400,"lots"),SUMIFS('Étape 1 - à remplir'!$F$31:$F$400,'Étape 1 - à remplir'!$E$31:$E$400,MASQ2!BV599,'Étape 1 - à remplir'!$C$31:$C$400,CE$3)),IF(CE$2="Âge",IF(CE$3="Tous",SUMIFS('Étape 1 - à remplir'!$F$31:$F$400,'Étape 1 - à remplir'!$E$31:$E$400,MASQ2!BV599,'Étape 1 - à remplir'!$G$31:$G$400,"lots"),SUMIFS('Étape 1 - à remplir'!$F$31:$F$400,'Étape 1 - à remplir'!$E$31:$E$400,MASQ2!BV599,'Étape 1 - à remplir'!$P$31:$P$400,CE$3,'Étape 1 - à remplir'!$G$31:$G$400,"lots")),IF(CE$2="Atelier",IF(CE$3="Tous",SUMIFS('Étape 1 - à remplir'!$F$31:$F$400,'Étape 1 - à remplir'!$E$31:$E$400,MASQ2!BV599,'Étape 1 - à remplir'!$G$31:$G$400,"lots"),SUMIFS('Étape 1 - à remplir'!$F$31:$F$400,'Étape 1 - à remplir'!$E$31:$E$400,MASQ2!BV599,'Étape 1 - à remplir'!$O$31:$O$400,CE$3,'Étape 1 - à remplir'!$G$31:$G$400,"lots")),IF(CE$2="Espèce",IF(CE$3="Toutes",SUMIFS('Étape 1 - à remplir'!$F$31:$F$400,'Étape 1 - à remplir'!$E$31:$E$400,MASQ2!BV599,'Étape 1 - à remplir'!$G$31:$G$400,"lots"),SUMIFS('Étape 1 - à remplir'!$F$31:$F$400,'Étape 1 - à remplir'!$E$31:$E$400,MASQ2!BV599,'Étape 1 - à remplir'!$N$31:$N$400,CE$3,'Étape 1 - à remplir'!$G$31:$G$400,"lots"))))))=0,NA(),IF(CE$2="Catégorie",IF(CE$3="Toutes",SUMIFS('Étape 1 - à remplir'!$F$31:$F$400,'Étape 1 - à remplir'!$E$31:$E$400,MASQ2!BV599,'Étape 1 - à remplir'!$G$31:$G$400,"lots"),SUMIFS('Étape 1 - à remplir'!$F$31:$F$400,'Étape 1 - à remplir'!$E$31:$E$400,MASQ2!BV599,'Étape 1 - à remplir'!$C$31:$C$400,CE$3)),IF(CE$2="Âge",IF(CE$3="Tous",SUMIFS('Étape 1 - à remplir'!$F$31:$F$400,'Étape 1 - à remplir'!$E$31:$E$400,MASQ2!BV599,'Étape 1 - à remplir'!$G$31:$G$400,"lots"),SUMIFS('Étape 1 - à remplir'!$F$31:$F$400,'Étape 1 - à remplir'!$E$31:$E$400,MASQ2!BV599,'Étape 1 - à remplir'!$P$31:$P$400,CE$3,'Étape 1 - à remplir'!$G$31:$G$400,"lots")),IF(CE$2="Atelier",IF(CE$3="Tous",SUMIFS('Étape 1 - à remplir'!$F$31:$F$400,'Étape 1 - à remplir'!$E$31:$E$400,MASQ2!BV599,'Étape 1 - à remplir'!$G$31:$G$400,"lots"),SUMIFS('Étape 1 - à remplir'!$F$31:$F$400,'Étape 1 - à remplir'!$E$31:$E$400,MASQ2!BV599,'Étape 1 - à remplir'!$O$31:$O$400,CE$3,'Étape 1 - à remplir'!$G$31:$G$400,"lots")),IF(CE$2="Espèce",IF(CE$3="Toutes",SUMIFS('Étape 1 - à remplir'!$F$31:$F$400,'Étape 1 - à remplir'!$E$31:$E$400,MASQ2!BV599,'Étape 1 - à remplir'!$G$31:$G$400,"lots"),SUMIFS('Étape 1 - à remplir'!$F$31:$F$400,'Étape 1 - à remplir'!$E$31:$E$400,MASQ2!BV599,'Étape 1 - à remplir'!$N$31:$N$400,CE$3,'Étape 1 - à remplir'!$G$31:$G$400,"lots")))))))</f>
        <v>#N/A</v>
      </c>
      <c r="BX599">
        <f t="shared" si="358"/>
        <v>0</v>
      </c>
      <c r="BY599" t="str">
        <f t="shared" si="342"/>
        <v/>
      </c>
      <c r="BZ599" t="str">
        <f t="shared" si="343"/>
        <v/>
      </c>
      <c r="CA599" t="str">
        <f t="shared" si="344"/>
        <v/>
      </c>
      <c r="CB599" t="str">
        <f t="shared" si="345"/>
        <v/>
      </c>
      <c r="CC599" t="str">
        <f t="shared" si="346"/>
        <v/>
      </c>
      <c r="CD599" s="63" t="str">
        <f t="shared" si="347"/>
        <v/>
      </c>
      <c r="CG599" s="42">
        <v>596</v>
      </c>
      <c r="CH599" s="42" t="e">
        <f t="shared" si="363"/>
        <v>#N/A</v>
      </c>
      <c r="CI599" s="63" t="e">
        <f t="shared" si="364"/>
        <v>#N/A</v>
      </c>
      <c r="EA599" s="194" t="e">
        <f t="shared" ca="1" si="348"/>
        <v>#N/A</v>
      </c>
      <c r="EB599" s="226" t="str">
        <f>IFERROR(IF(ED599=0,"",COUNTIF(ED$4:ED$600,"&gt;"&amp;ED599)+COUNTIF(ED$4:ED599,ED599)),"")</f>
        <v/>
      </c>
      <c r="EC599">
        <f t="shared" si="349"/>
        <v>0</v>
      </c>
      <c r="ED599" t="e">
        <f>IF(IF(EL$2="Catégorie",IF(EL$3="Toutes",SUMIFS('Étape 1 - à remplir'!$F$31:$F$400,'Étape 1 - à remplir'!$E$31:$E$400,MASQ2!EC599,'Étape 1 - à remplir'!$G$31:$G$400,"kg"),SUMIFS('Étape 1 - à remplir'!$F$31:$F$400,'Étape 1 - à remplir'!$E$31:$E$400,MASQ2!EC599,'Étape 1 - à remplir'!$C$31:$C$400,EL$3)),IF(EL$2="Âge",IF(EL$3="Tous",SUMIFS('Étape 1 - à remplir'!$F$31:$F$400,'Étape 1 - à remplir'!$E$31:$E$400,MASQ2!EC599,'Étape 1 - à remplir'!$G$31:$G$400,"kg"),SUMIFS('Étape 1 - à remplir'!$F$31:$F$400,'Étape 1 - à remplir'!$E$31:$E$400,MASQ2!EC599,'Étape 1 - à remplir'!$P$31:$P$400,EL$3,'Étape 1 - à remplir'!$G$31:$G$400,"kg")),IF(EL$2="Atelier",IF(EL$3="Tous",SUMIFS('Étape 1 - à remplir'!$F$31:$F$400,'Étape 1 - à remplir'!$E$31:$E$400,MASQ2!EC599,'Étape 1 - à remplir'!$G$31:$G$400,"kg"),SUMIFS('Étape 1 - à remplir'!$F$31:$F$400,'Étape 1 - à remplir'!$E$31:$E$400,MASQ2!EC599,'Étape 1 - à remplir'!$O$31:$O$400,EL$3,'Étape 1 - à remplir'!$G$31:$G$400,"kg")),IF(EL$2="Espèce",IF(EL$3="Toutes",SUMIFS('Étape 1 - à remplir'!$F$31:$F$400,'Étape 1 - à remplir'!$E$31:$E$400,MASQ2!EC599,'Étape 1 - à remplir'!$G$31:$G$400,"kg"),SUMIFS('Étape 1 - à remplir'!$F$31:$F$400,'Étape 1 - à remplir'!$E$31:$E$400,MASQ2!EC599,'Étape 1 - à remplir'!$N$31:$N$400,EL$3,'Étape 1 - à remplir'!$G$31:$G$400,"kg"))))))=0,NA(),IF(EL$2="Catégorie",IF(EL$3="Toutes",SUMIFS('Étape 1 - à remplir'!$F$31:$F$400,'Étape 1 - à remplir'!$E$31:$E$400,MASQ2!EC599,'Étape 1 - à remplir'!$G$31:$G$400,"kg"),SUMIFS('Étape 1 - à remplir'!$F$31:$F$400,'Étape 1 - à remplir'!$E$31:$E$400,MASQ2!EC599,'Étape 1 - à remplir'!$C$31:$C$400,EL$3)),IF(EL$2="Âge",IF(EL$3="Tous",SUMIFS('Étape 1 - à remplir'!$F$31:$F$400,'Étape 1 - à remplir'!$E$31:$E$400,MASQ2!EC599,'Étape 1 - à remplir'!$G$31:$G$400,"kg"),SUMIFS('Étape 1 - à remplir'!$F$31:$F$400,'Étape 1 - à remplir'!$E$31:$E$400,MASQ2!EC599,'Étape 1 - à remplir'!$P$31:$P$400,EL$3,'Étape 1 - à remplir'!$G$31:$G$400,"kg")),IF(EL$2="Atelier",IF(EL$3="Tous",SUMIFS('Étape 1 - à remplir'!$F$31:$F$400,'Étape 1 - à remplir'!$E$31:$E$400,MASQ2!EC599,'Étape 1 - à remplir'!$G$31:$G$400,"kg"),SUMIFS('Étape 1 - à remplir'!$F$31:$F$400,'Étape 1 - à remplir'!$E$31:$E$400,MASQ2!EC599,'Étape 1 - à remplir'!$O$31:$O$400,EL$3,'Étape 1 - à remplir'!$G$31:$G$400,"kg")),IF(EL$2="Espèce",IF(EL$3="Toutes",SUMIFS('Étape 1 - à remplir'!$F$31:$F$400,'Étape 1 - à remplir'!$E$31:$E$400,MASQ2!EC599,'Étape 1 - à remplir'!$G$31:$G$400,"kg"),SUMIFS('Étape 1 - à remplir'!$F$31:$F$400,'Étape 1 - à remplir'!$E$31:$E$400,MASQ2!EC599,'Étape 1 - à remplir'!$N$31:$N$400,EL$3,'Étape 1 - à remplir'!$G$31:$G$400,"kg")))))))</f>
        <v>#N/A</v>
      </c>
      <c r="EE599" s="76">
        <f t="shared" si="359"/>
        <v>0</v>
      </c>
      <c r="EF599" t="str">
        <f t="shared" si="350"/>
        <v/>
      </c>
      <c r="EG599" t="str">
        <f t="shared" si="351"/>
        <v/>
      </c>
      <c r="EH599" t="str">
        <f t="shared" si="352"/>
        <v/>
      </c>
      <c r="EI599" t="str">
        <f t="shared" si="353"/>
        <v/>
      </c>
      <c r="EJ599" t="str">
        <f t="shared" si="354"/>
        <v/>
      </c>
      <c r="EK599" s="63" t="str">
        <f t="shared" si="355"/>
        <v/>
      </c>
      <c r="EN599" s="42">
        <v>596</v>
      </c>
      <c r="EO599" t="e">
        <f t="shared" si="361"/>
        <v>#N/A</v>
      </c>
      <c r="EP599" s="63" t="e">
        <f t="shared" si="362"/>
        <v>#N/A</v>
      </c>
    </row>
    <row r="600" spans="13:146" ht="15" thickBot="1" x14ac:dyDescent="0.35">
      <c r="M600" s="195" t="e">
        <f ca="1">INDEX(Données_ATB!BD:BU,MATCH(MASQ2!O600,Données_ATB!BD:BD,0),18)</f>
        <v>#N/A</v>
      </c>
      <c r="N600" s="14" t="str">
        <f>IFERROR(IF(Q600=0,"",COUNTIF(Q$4:Q$600,"&gt;"&amp;Q600)+COUNTIF(Q$4:Q600,Q600)),"")</f>
        <v/>
      </c>
      <c r="O600" s="64">
        <f>Données_ATB!BD599</f>
        <v>0</v>
      </c>
      <c r="P600" t="e">
        <f>IF(IF(X$2="Catégorie",IF(X$3="Toutes",SUMIFS('Étape 1 - à remplir'!$F$31:$F$400,'Étape 1 - à remplir'!$E$31:$E$400,MASQ2!O600,'Étape 1 - à remplir'!$G$31:$G$400,"animaux"),SUMIFS('Étape 1 - à remplir'!$F$31:$F$400,'Étape 1 - à remplir'!$E$31:$E$400,MASQ2!O600,'Étape 1 - à remplir'!$C$31:$C$400,X$3)),IF(X$2="Âge",IF(X$3="Tous",SUMIFS('Étape 1 - à remplir'!$F$31:$F$400,'Étape 1 - à remplir'!$E$31:$E$400,MASQ2!O600,'Étape 1 - à remplir'!$G$31:$G$400,"animaux"),SUMIFS('Étape 1 - à remplir'!$F$31:$F$400,'Étape 1 - à remplir'!$E$31:$E$400,MASQ2!O600,'Étape 1 - à remplir'!$P$31:$P$400,X$3)),IF(X$2="Atelier",IF(X$3="Tous",SUMIFS('Étape 1 - à remplir'!$F$31:$F$400,'Étape 1 - à remplir'!$E$31:$E$400,MASQ2!O600,'Étape 1 - à remplir'!$G$31:$G$400,"animaux"),SUMIFS('Étape 1 - à remplir'!$F$31:$F$400,'Étape 1 - à remplir'!$E$31:$E$400,MASQ2!O600,'Étape 1 - à remplir'!$O$31:$O$400,X$3)),IF(X$2="Espèce",IF(X$3="Toutes",SUMIFS('Étape 1 - à remplir'!$F$31:$F$400,'Étape 1 - à remplir'!$E$31:$E$400,MASQ2!O600,'Étape 1 - à remplir'!$G$31:$G$400,"animaux"),SUMIFS('Étape 1 - à remplir'!$F$31:$F$400,'Étape 1 - à remplir'!$E$31:$E$400,MASQ2!O600,'Étape 1 - à remplir'!$N$31:$N$400,X$3))))))=0,NA(),IF(X$2="Catégorie",IF(X$3="Toutes",SUMIFS('Étape 1 - à remplir'!$F$31:$F$400,'Étape 1 - à remplir'!$E$31:$E$400,MASQ2!O600,'Étape 1 - à remplir'!$G$31:$G$400,"animaux"),SUMIFS('Étape 1 - à remplir'!$F$31:$F$400,'Étape 1 - à remplir'!$E$31:$E$400,MASQ2!O600,'Étape 1 - à remplir'!$C$31:$C$400,X$3)),IF(X$2="Âge",IF(X$3="Tous",SUMIFS('Étape 1 - à remplir'!$F$31:$F$400,'Étape 1 - à remplir'!$E$31:$E$400,MASQ2!O600,'Étape 1 - à remplir'!$G$31:$G$400,"animaux"),SUMIFS('Étape 1 - à remplir'!$F$31:$F$400,'Étape 1 - à remplir'!$E$31:$E$400,MASQ2!O600,'Étape 1 - à remplir'!$P$31:$P$400,X$3)),IF(X$2="Atelier",IF(X$3="Tous",SUMIFS('Étape 1 - à remplir'!$F$31:$F$400,'Étape 1 - à remplir'!$E$31:$E$400,MASQ2!O600,'Étape 1 - à remplir'!$G$31:$G$400,"animaux"),SUMIFS('Étape 1 - à remplir'!$F$31:$F$400,'Étape 1 - à remplir'!$E$31:$E$400,MASQ2!O600,'Étape 1 - à remplir'!$O$31:$O$400,X$3)),IF(X$2="Espèce",IF(X$3="Toutes",SUMIFS('Étape 1 - à remplir'!$F$31:$F$400,'Étape 1 - à remplir'!$E$31:$E$400,MASQ2!O600,'Étape 1 - à remplir'!$G$31:$G$400,"animaux"),SUMIFS('Étape 1 - à remplir'!$F$31:$F$400,'Étape 1 - à remplir'!$E$31:$E$400,MASQ2!O600,'Étape 1 - à remplir'!$N$31:$N$400,X$3)))))))</f>
        <v>#N/A</v>
      </c>
      <c r="Q600" s="65">
        <f t="shared" si="360"/>
        <v>0</v>
      </c>
      <c r="R600" t="str">
        <f>Données_ATB!BM599</f>
        <v/>
      </c>
      <c r="S600" t="str">
        <f>Données_ATB!BN599</f>
        <v/>
      </c>
      <c r="T600" s="63" t="str">
        <f>Données_ATB!BO599</f>
        <v/>
      </c>
      <c r="U600" s="42" t="str">
        <f>Données_ATB!BQ599</f>
        <v/>
      </c>
      <c r="V600" t="str">
        <f>Données_ATB!BR599</f>
        <v/>
      </c>
      <c r="W600" s="63" t="str">
        <f>Données_ATB!BS599</f>
        <v/>
      </c>
      <c r="Z600" s="74">
        <v>597</v>
      </c>
      <c r="AA600" s="64" t="e">
        <f t="shared" si="356"/>
        <v>#N/A</v>
      </c>
      <c r="AB600" s="65" t="e">
        <f t="shared" si="357"/>
        <v>#N/A</v>
      </c>
      <c r="BT600" s="195" t="e">
        <f t="shared" ca="1" si="340"/>
        <v>#N/A</v>
      </c>
      <c r="BU600" s="220" t="str">
        <f>IFERROR(IF(BX600=0,"",COUNTIF(BX$4:BX$600,"&gt;"&amp;BX600)+COUNTIF(BX$4:BX600,BX600)),"")</f>
        <v/>
      </c>
      <c r="BV600" s="42">
        <f t="shared" si="341"/>
        <v>0</v>
      </c>
      <c r="BW600" t="e">
        <f>IF(IF(CE$2="Catégorie",IF(CE$3="Toutes",SUMIFS('Étape 1 - à remplir'!$F$31:$F$400,'Étape 1 - à remplir'!$E$31:$E$400,MASQ2!BV600,'Étape 1 - à remplir'!$G$31:$G$400,"lots"),SUMIFS('Étape 1 - à remplir'!$F$31:$F$400,'Étape 1 - à remplir'!$E$31:$E$400,MASQ2!BV600,'Étape 1 - à remplir'!$C$31:$C$400,CE$3)),IF(CE$2="Âge",IF(CE$3="Tous",SUMIFS('Étape 1 - à remplir'!$F$31:$F$400,'Étape 1 - à remplir'!$E$31:$E$400,MASQ2!BV600,'Étape 1 - à remplir'!$G$31:$G$400,"lots"),SUMIFS('Étape 1 - à remplir'!$F$31:$F$400,'Étape 1 - à remplir'!$E$31:$E$400,MASQ2!BV600,'Étape 1 - à remplir'!$P$31:$P$400,CE$3,'Étape 1 - à remplir'!$G$31:$G$400,"lots")),IF(CE$2="Atelier",IF(CE$3="Tous",SUMIFS('Étape 1 - à remplir'!$F$31:$F$400,'Étape 1 - à remplir'!$E$31:$E$400,MASQ2!BV600,'Étape 1 - à remplir'!$G$31:$G$400,"lots"),SUMIFS('Étape 1 - à remplir'!$F$31:$F$400,'Étape 1 - à remplir'!$E$31:$E$400,MASQ2!BV600,'Étape 1 - à remplir'!$O$31:$O$400,CE$3,'Étape 1 - à remplir'!$G$31:$G$400,"lots")),IF(CE$2="Espèce",IF(CE$3="Toutes",SUMIFS('Étape 1 - à remplir'!$F$31:$F$400,'Étape 1 - à remplir'!$E$31:$E$400,MASQ2!BV600,'Étape 1 - à remplir'!$G$31:$G$400,"lots"),SUMIFS('Étape 1 - à remplir'!$F$31:$F$400,'Étape 1 - à remplir'!$E$31:$E$400,MASQ2!BV600,'Étape 1 - à remplir'!$N$31:$N$400,CE$3,'Étape 1 - à remplir'!$G$31:$G$400,"lots"))))))=0,NA(),IF(CE$2="Catégorie",IF(CE$3="Toutes",SUMIFS('Étape 1 - à remplir'!$F$31:$F$400,'Étape 1 - à remplir'!$E$31:$E$400,MASQ2!BV600,'Étape 1 - à remplir'!$G$31:$G$400,"lots"),SUMIFS('Étape 1 - à remplir'!$F$31:$F$400,'Étape 1 - à remplir'!$E$31:$E$400,MASQ2!BV600,'Étape 1 - à remplir'!$C$31:$C$400,CE$3)),IF(CE$2="Âge",IF(CE$3="Tous",SUMIFS('Étape 1 - à remplir'!$F$31:$F$400,'Étape 1 - à remplir'!$E$31:$E$400,MASQ2!BV600,'Étape 1 - à remplir'!$G$31:$G$400,"lots"),SUMIFS('Étape 1 - à remplir'!$F$31:$F$400,'Étape 1 - à remplir'!$E$31:$E$400,MASQ2!BV600,'Étape 1 - à remplir'!$P$31:$P$400,CE$3,'Étape 1 - à remplir'!$G$31:$G$400,"lots")),IF(CE$2="Atelier",IF(CE$3="Tous",SUMIFS('Étape 1 - à remplir'!$F$31:$F$400,'Étape 1 - à remplir'!$E$31:$E$400,MASQ2!BV600,'Étape 1 - à remplir'!$G$31:$G$400,"lots"),SUMIFS('Étape 1 - à remplir'!$F$31:$F$400,'Étape 1 - à remplir'!$E$31:$E$400,MASQ2!BV600,'Étape 1 - à remplir'!$O$31:$O$400,CE$3,'Étape 1 - à remplir'!$G$31:$G$400,"lots")),IF(CE$2="Espèce",IF(CE$3="Toutes",SUMIFS('Étape 1 - à remplir'!$F$31:$F$400,'Étape 1 - à remplir'!$E$31:$E$400,MASQ2!BV600,'Étape 1 - à remplir'!$G$31:$G$400,"lots"),SUMIFS('Étape 1 - à remplir'!$F$31:$F$400,'Étape 1 - à remplir'!$E$31:$E$400,MASQ2!BV600,'Étape 1 - à remplir'!$N$31:$N$400,CE$3,'Étape 1 - à remplir'!$G$31:$G$400,"lots")))))))</f>
        <v>#N/A</v>
      </c>
      <c r="BX600">
        <f t="shared" si="358"/>
        <v>0</v>
      </c>
      <c r="BY600" t="str">
        <f t="shared" si="342"/>
        <v/>
      </c>
      <c r="BZ600" t="str">
        <f t="shared" si="343"/>
        <v/>
      </c>
      <c r="CA600" t="str">
        <f t="shared" si="344"/>
        <v/>
      </c>
      <c r="CB600" t="str">
        <f t="shared" si="345"/>
        <v/>
      </c>
      <c r="CC600" t="str">
        <f t="shared" si="346"/>
        <v/>
      </c>
      <c r="CD600" s="63" t="str">
        <f t="shared" si="347"/>
        <v/>
      </c>
      <c r="CG600" s="74">
        <v>597</v>
      </c>
      <c r="CH600" s="74" t="e">
        <f t="shared" si="363"/>
        <v>#N/A</v>
      </c>
      <c r="CI600" s="65" t="e">
        <f t="shared" si="364"/>
        <v>#N/A</v>
      </c>
      <c r="EA600" s="195" t="e">
        <f t="shared" ca="1" si="348"/>
        <v>#N/A</v>
      </c>
      <c r="EB600" s="226" t="str">
        <f>IFERROR(IF(ED600=0,"",COUNTIF(ED$4:ED$600,"&gt;"&amp;ED600)+COUNTIF(ED$4:ED600,ED600)),"")</f>
        <v/>
      </c>
      <c r="EC600">
        <f t="shared" si="349"/>
        <v>0</v>
      </c>
      <c r="ED600" t="e">
        <f>IF(IF(EL$2="Catégorie",IF(EL$3="Toutes",SUMIFS('Étape 1 - à remplir'!$F$31:$F$400,'Étape 1 - à remplir'!$E$31:$E$400,MASQ2!EC600,'Étape 1 - à remplir'!$G$31:$G$400,"kg"),SUMIFS('Étape 1 - à remplir'!$F$31:$F$400,'Étape 1 - à remplir'!$E$31:$E$400,MASQ2!EC600,'Étape 1 - à remplir'!$C$31:$C$400,EL$3)),IF(EL$2="Âge",IF(EL$3="Tous",SUMIFS('Étape 1 - à remplir'!$F$31:$F$400,'Étape 1 - à remplir'!$E$31:$E$400,MASQ2!EC600,'Étape 1 - à remplir'!$G$31:$G$400,"kg"),SUMIFS('Étape 1 - à remplir'!$F$31:$F$400,'Étape 1 - à remplir'!$E$31:$E$400,MASQ2!EC600,'Étape 1 - à remplir'!$P$31:$P$400,EL$3,'Étape 1 - à remplir'!$G$31:$G$400,"kg")),IF(EL$2="Atelier",IF(EL$3="Tous",SUMIFS('Étape 1 - à remplir'!$F$31:$F$400,'Étape 1 - à remplir'!$E$31:$E$400,MASQ2!EC600,'Étape 1 - à remplir'!$G$31:$G$400,"kg"),SUMIFS('Étape 1 - à remplir'!$F$31:$F$400,'Étape 1 - à remplir'!$E$31:$E$400,MASQ2!EC600,'Étape 1 - à remplir'!$O$31:$O$400,EL$3,'Étape 1 - à remplir'!$G$31:$G$400,"kg")),IF(EL$2="Espèce",IF(EL$3="Toutes",SUMIFS('Étape 1 - à remplir'!$F$31:$F$400,'Étape 1 - à remplir'!$E$31:$E$400,MASQ2!EC600,'Étape 1 - à remplir'!$G$31:$G$400,"kg"),SUMIFS('Étape 1 - à remplir'!$F$31:$F$400,'Étape 1 - à remplir'!$E$31:$E$400,MASQ2!EC600,'Étape 1 - à remplir'!$N$31:$N$400,EL$3,'Étape 1 - à remplir'!$G$31:$G$400,"kg"))))))=0,NA(),IF(EL$2="Catégorie",IF(EL$3="Toutes",SUMIFS('Étape 1 - à remplir'!$F$31:$F$400,'Étape 1 - à remplir'!$E$31:$E$400,MASQ2!EC600,'Étape 1 - à remplir'!$G$31:$G$400,"kg"),SUMIFS('Étape 1 - à remplir'!$F$31:$F$400,'Étape 1 - à remplir'!$E$31:$E$400,MASQ2!EC600,'Étape 1 - à remplir'!$C$31:$C$400,EL$3)),IF(EL$2="Âge",IF(EL$3="Tous",SUMIFS('Étape 1 - à remplir'!$F$31:$F$400,'Étape 1 - à remplir'!$E$31:$E$400,MASQ2!EC600,'Étape 1 - à remplir'!$G$31:$G$400,"kg"),SUMIFS('Étape 1 - à remplir'!$F$31:$F$400,'Étape 1 - à remplir'!$E$31:$E$400,MASQ2!EC600,'Étape 1 - à remplir'!$P$31:$P$400,EL$3,'Étape 1 - à remplir'!$G$31:$G$400,"kg")),IF(EL$2="Atelier",IF(EL$3="Tous",SUMIFS('Étape 1 - à remplir'!$F$31:$F$400,'Étape 1 - à remplir'!$E$31:$E$400,MASQ2!EC600,'Étape 1 - à remplir'!$G$31:$G$400,"kg"),SUMIFS('Étape 1 - à remplir'!$F$31:$F$400,'Étape 1 - à remplir'!$E$31:$E$400,MASQ2!EC600,'Étape 1 - à remplir'!$O$31:$O$400,EL$3,'Étape 1 - à remplir'!$G$31:$G$400,"kg")),IF(EL$2="Espèce",IF(EL$3="Toutes",SUMIFS('Étape 1 - à remplir'!$F$31:$F$400,'Étape 1 - à remplir'!$E$31:$E$400,MASQ2!EC600,'Étape 1 - à remplir'!$G$31:$G$400,"kg"),SUMIFS('Étape 1 - à remplir'!$F$31:$F$400,'Étape 1 - à remplir'!$E$31:$E$400,MASQ2!EC600,'Étape 1 - à remplir'!$N$31:$N$400,EL$3,'Étape 1 - à remplir'!$G$31:$G$400,"kg")))))))</f>
        <v>#N/A</v>
      </c>
      <c r="EE600" s="76">
        <f t="shared" si="359"/>
        <v>0</v>
      </c>
      <c r="EF600" t="str">
        <f t="shared" si="350"/>
        <v/>
      </c>
      <c r="EG600" t="str">
        <f t="shared" si="351"/>
        <v/>
      </c>
      <c r="EH600" t="str">
        <f t="shared" si="352"/>
        <v/>
      </c>
      <c r="EI600" t="str">
        <f t="shared" si="353"/>
        <v/>
      </c>
      <c r="EJ600" t="str">
        <f t="shared" si="354"/>
        <v/>
      </c>
      <c r="EK600" s="63" t="str">
        <f t="shared" si="355"/>
        <v/>
      </c>
      <c r="EN600" s="74">
        <v>597</v>
      </c>
      <c r="EO600" t="e">
        <f t="shared" si="361"/>
        <v>#N/A</v>
      </c>
      <c r="EP600" s="63" t="e">
        <f t="shared" si="362"/>
        <v>#N/A</v>
      </c>
    </row>
    <row r="601" spans="13:146" x14ac:dyDescent="0.3">
      <c r="O601" s="42"/>
      <c r="R601" s="42"/>
      <c r="T601" s="63"/>
      <c r="U601" s="42"/>
      <c r="W601" s="63"/>
      <c r="BT601" s="14"/>
      <c r="BU601" s="14"/>
      <c r="EA601" s="14"/>
      <c r="EB601" s="14"/>
    </row>
    <row r="602" spans="13:146" x14ac:dyDescent="0.3">
      <c r="BT602" s="14"/>
      <c r="BU602" s="14"/>
      <c r="EA602" s="14"/>
      <c r="EB602" s="14"/>
    </row>
    <row r="603" spans="13:146" x14ac:dyDescent="0.3">
      <c r="BT603" s="14"/>
      <c r="BU603" s="14"/>
      <c r="EA603" s="14"/>
      <c r="EB603" s="14"/>
    </row>
  </sheetData>
  <sortState xmlns:xlrd2="http://schemas.microsoft.com/office/spreadsheetml/2017/richdata2" ref="AS3:AS35">
    <sortCondition ref="AS35"/>
  </sortState>
  <mergeCells count="66">
    <mergeCell ref="DO15:DR15"/>
    <mergeCell ref="DT2:DY2"/>
    <mergeCell ref="DW3:DY3"/>
    <mergeCell ref="EA2:EK2"/>
    <mergeCell ref="EN2:EP2"/>
    <mergeCell ref="CU3:CV3"/>
    <mergeCell ref="CX3:CY3"/>
    <mergeCell ref="BH3:BK3"/>
    <mergeCell ref="CO3:CQ3"/>
    <mergeCell ref="CS2:CY2"/>
    <mergeCell ref="AQ3:AR3"/>
    <mergeCell ref="AI3:AJ3"/>
    <mergeCell ref="AN3:AO3"/>
    <mergeCell ref="AF3:AG3"/>
    <mergeCell ref="O3:P3"/>
    <mergeCell ref="AU2:BF2"/>
    <mergeCell ref="B1:BF1"/>
    <mergeCell ref="BI1:DM1"/>
    <mergeCell ref="DB2:DM2"/>
    <mergeCell ref="F2:K2"/>
    <mergeCell ref="AL2:AR2"/>
    <mergeCell ref="Z2:AB2"/>
    <mergeCell ref="M2:W2"/>
    <mergeCell ref="AD2:AJ2"/>
    <mergeCell ref="CK2:CQ2"/>
    <mergeCell ref="BM2:BR2"/>
    <mergeCell ref="BT2:CD2"/>
    <mergeCell ref="CG2:CI2"/>
    <mergeCell ref="DP1:FT1"/>
    <mergeCell ref="FI2:FT2"/>
    <mergeCell ref="DU3:DV3"/>
    <mergeCell ref="EC3:ED3"/>
    <mergeCell ref="ET3:EU3"/>
    <mergeCell ref="DO3:DR3"/>
    <mergeCell ref="ER2:EX2"/>
    <mergeCell ref="EV3:EX3"/>
    <mergeCell ref="FD3:FF3"/>
    <mergeCell ref="EZ2:FF2"/>
    <mergeCell ref="FB3:FC3"/>
    <mergeCell ref="FD31:FF31"/>
    <mergeCell ref="FA30:FF30"/>
    <mergeCell ref="AN31:AO31"/>
    <mergeCell ref="AQ31:AR31"/>
    <mergeCell ref="CU31:CV31"/>
    <mergeCell ref="CX31:CY31"/>
    <mergeCell ref="AM30:AR30"/>
    <mergeCell ref="BB30:BF30"/>
    <mergeCell ref="FB31:FC31"/>
    <mergeCell ref="CT30:CY30"/>
    <mergeCell ref="DI30:DM30"/>
    <mergeCell ref="FJ16:FN16"/>
    <mergeCell ref="FP16:FT16"/>
    <mergeCell ref="FP30:FT30"/>
    <mergeCell ref="A3:D3"/>
    <mergeCell ref="A15:D15"/>
    <mergeCell ref="F3:H3"/>
    <mergeCell ref="I3:K3"/>
    <mergeCell ref="BH15:BK15"/>
    <mergeCell ref="BP3:BR3"/>
    <mergeCell ref="BN3:BO3"/>
    <mergeCell ref="BV3:BW3"/>
    <mergeCell ref="CM3:CN3"/>
    <mergeCell ref="AV16:AZ16"/>
    <mergeCell ref="BB16:BF16"/>
    <mergeCell ref="DC16:DG16"/>
    <mergeCell ref="DI16:DM16"/>
  </mergeCells>
  <phoneticPr fontId="52" type="noConversion"/>
  <pageMargins left="0.7" right="0.7" top="0.75" bottom="0.75" header="0.3" footer="0.3"/>
  <pageSetup paperSize="9" orientation="portrait" r:id="rId1"/>
  <ignoredErrors>
    <ignoredError sqref="CL4:CL64 BU585 BU4:BU584 BU586:BU600 CT4:CT19 EB4:EB600 FA4:FA19"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348AD-EB12-433E-A211-06A76AD76400}">
  <sheetPr codeName="Feuil5"/>
  <dimension ref="A1:V118"/>
  <sheetViews>
    <sheetView view="pageLayout" topLeftCell="A2" zoomScaleNormal="100" workbookViewId="0">
      <selection sqref="A1:S4"/>
    </sheetView>
  </sheetViews>
  <sheetFormatPr baseColWidth="10" defaultColWidth="0" defaultRowHeight="13.8" zeroHeight="1" x14ac:dyDescent="0.3"/>
  <cols>
    <col min="1" max="1" width="1" style="16" customWidth="1"/>
    <col min="2" max="2" width="6.109375" style="16" customWidth="1"/>
    <col min="3" max="3" width="8.33203125" style="16" customWidth="1"/>
    <col min="4" max="4" width="6.33203125" style="16" customWidth="1"/>
    <col min="5" max="5" width="7.5546875" style="16" customWidth="1"/>
    <col min="6" max="6" width="8.33203125" style="16" customWidth="1"/>
    <col min="7" max="7" width="11.5546875" style="16" customWidth="1"/>
    <col min="8" max="8" width="7.88671875" style="16" customWidth="1"/>
    <col min="9" max="9" width="9" style="16" customWidth="1"/>
    <col min="10" max="10" width="8.33203125" style="16" customWidth="1"/>
    <col min="11" max="11" width="11" style="16" customWidth="1"/>
    <col min="12" max="12" width="9.109375" style="16" customWidth="1"/>
    <col min="13" max="13" width="8" style="16" customWidth="1"/>
    <col min="14" max="16" width="8.33203125" style="16" customWidth="1"/>
    <col min="17" max="17" width="9.33203125" style="16" customWidth="1"/>
    <col min="18" max="18" width="4.88671875" style="16" customWidth="1"/>
    <col min="19" max="19" width="1" style="16" customWidth="1"/>
    <col min="20" max="22" width="7.44140625" style="101" hidden="1" customWidth="1"/>
    <col min="23" max="16384" width="11.44140625" style="101" hidden="1"/>
  </cols>
  <sheetData>
    <row r="1" spans="1:19" ht="12.75" customHeight="1" x14ac:dyDescent="0.3">
      <c r="A1" s="386" t="s">
        <v>4359</v>
      </c>
      <c r="B1" s="386"/>
      <c r="C1" s="386"/>
      <c r="D1" s="386"/>
      <c r="E1" s="386"/>
      <c r="F1" s="386"/>
      <c r="G1" s="386"/>
      <c r="H1" s="386"/>
      <c r="I1" s="386"/>
      <c r="J1" s="386"/>
      <c r="K1" s="386"/>
      <c r="L1" s="386"/>
      <c r="M1" s="386"/>
      <c r="N1" s="386"/>
      <c r="O1" s="386"/>
      <c r="P1" s="386"/>
      <c r="Q1" s="386"/>
      <c r="R1" s="386"/>
      <c r="S1" s="386"/>
    </row>
    <row r="2" spans="1:19" ht="12.75" customHeight="1" x14ac:dyDescent="0.3">
      <c r="A2" s="386"/>
      <c r="B2" s="386"/>
      <c r="C2" s="386"/>
      <c r="D2" s="386"/>
      <c r="E2" s="386"/>
      <c r="F2" s="386"/>
      <c r="G2" s="386"/>
      <c r="H2" s="386"/>
      <c r="I2" s="386"/>
      <c r="J2" s="386"/>
      <c r="K2" s="386"/>
      <c r="L2" s="386"/>
      <c r="M2" s="386"/>
      <c r="N2" s="386"/>
      <c r="O2" s="386"/>
      <c r="P2" s="386"/>
      <c r="Q2" s="386"/>
      <c r="R2" s="386"/>
      <c r="S2" s="386"/>
    </row>
    <row r="3" spans="1:19" ht="12.75" customHeight="1" x14ac:dyDescent="0.3">
      <c r="A3" s="386"/>
      <c r="B3" s="386"/>
      <c r="C3" s="386"/>
      <c r="D3" s="386"/>
      <c r="E3" s="386"/>
      <c r="F3" s="386"/>
      <c r="G3" s="386"/>
      <c r="H3" s="386"/>
      <c r="I3" s="386"/>
      <c r="J3" s="386"/>
      <c r="K3" s="386"/>
      <c r="L3" s="386"/>
      <c r="M3" s="386"/>
      <c r="N3" s="386"/>
      <c r="O3" s="386"/>
      <c r="P3" s="386"/>
      <c r="Q3" s="386"/>
      <c r="R3" s="386"/>
      <c r="S3" s="386"/>
    </row>
    <row r="4" spans="1:19" ht="12.75" customHeight="1" x14ac:dyDescent="0.3">
      <c r="A4" s="386"/>
      <c r="B4" s="386"/>
      <c r="C4" s="386"/>
      <c r="D4" s="386"/>
      <c r="E4" s="386"/>
      <c r="F4" s="386"/>
      <c r="G4" s="386"/>
      <c r="H4" s="386"/>
      <c r="I4" s="386"/>
      <c r="J4" s="386"/>
      <c r="K4" s="386"/>
      <c r="L4" s="386"/>
      <c r="M4" s="386"/>
      <c r="N4" s="386"/>
      <c r="O4" s="386"/>
      <c r="P4" s="386"/>
      <c r="Q4" s="386"/>
      <c r="R4" s="386"/>
      <c r="S4" s="386"/>
    </row>
    <row r="5" spans="1:19" ht="21.75" customHeight="1" x14ac:dyDescent="0.3">
      <c r="B5" s="17"/>
      <c r="C5" s="17"/>
      <c r="D5" s="17"/>
      <c r="E5" s="17"/>
      <c r="F5" s="17"/>
      <c r="G5" s="17"/>
      <c r="H5" s="17"/>
      <c r="I5" s="17"/>
      <c r="J5" s="17"/>
      <c r="K5" s="17"/>
      <c r="L5" s="17"/>
    </row>
    <row r="6" spans="1:19" ht="21.75" customHeight="1" x14ac:dyDescent="0.3">
      <c r="B6" s="17"/>
      <c r="C6" s="17"/>
      <c r="D6" s="17"/>
      <c r="E6" s="17"/>
      <c r="F6" s="17"/>
      <c r="G6" s="17"/>
      <c r="H6" s="17"/>
      <c r="I6" s="17"/>
      <c r="J6" s="17"/>
      <c r="K6" s="17"/>
      <c r="L6" s="17"/>
    </row>
    <row r="7" spans="1:19" ht="13.5" customHeight="1" x14ac:dyDescent="0.3">
      <c r="B7" s="15"/>
      <c r="C7" s="15"/>
      <c r="D7" s="15"/>
      <c r="E7" s="15"/>
      <c r="F7" s="15"/>
      <c r="G7" s="15"/>
      <c r="H7" s="15"/>
      <c r="I7" s="15"/>
      <c r="J7" s="15"/>
      <c r="K7" s="15"/>
      <c r="L7" s="15"/>
    </row>
    <row r="8" spans="1:19" ht="14.25" customHeight="1" x14ac:dyDescent="0.3">
      <c r="A8" s="19"/>
      <c r="B8" s="82"/>
      <c r="C8" s="82"/>
      <c r="H8" s="390" t="str">
        <f>IF('Étape 1 - à remplir'!D14="","",'Étape 1 - à remplir'!D14&amp;" - ")&amp;'Étape 1 - à remplir'!D15</f>
        <v/>
      </c>
      <c r="I8" s="391"/>
      <c r="J8" s="391"/>
      <c r="K8" s="391"/>
      <c r="L8" s="392"/>
    </row>
    <row r="9" spans="1:19" ht="13.5" customHeight="1" thickBot="1" x14ac:dyDescent="0.35">
      <c r="A9" s="19"/>
      <c r="B9" s="19"/>
      <c r="C9" s="19"/>
      <c r="D9" s="19"/>
      <c r="E9" s="19"/>
      <c r="F9" s="19"/>
      <c r="G9" s="83"/>
      <c r="H9" s="83"/>
      <c r="I9" s="83"/>
      <c r="J9" s="83"/>
      <c r="K9" s="83"/>
    </row>
    <row r="10" spans="1:19" ht="24" customHeight="1" thickBot="1" x14ac:dyDescent="0.35">
      <c r="A10" s="19"/>
      <c r="B10" s="387" t="s">
        <v>4339</v>
      </c>
      <c r="C10" s="388"/>
      <c r="D10" s="388"/>
      <c r="E10" s="389"/>
      <c r="F10" s="92"/>
      <c r="G10" s="92"/>
      <c r="H10" s="92"/>
      <c r="I10" s="92"/>
      <c r="J10" s="92"/>
      <c r="K10" s="92"/>
      <c r="L10" s="92"/>
      <c r="M10" s="92"/>
      <c r="N10" s="92"/>
      <c r="O10" s="92"/>
      <c r="P10" s="92"/>
      <c r="Q10" s="92"/>
      <c r="R10" s="93"/>
    </row>
    <row r="11" spans="1:19" ht="14.25" customHeight="1" x14ac:dyDescent="0.2">
      <c r="A11" s="19"/>
      <c r="B11" s="86"/>
      <c r="C11" s="87"/>
      <c r="D11" s="87"/>
      <c r="E11" s="87"/>
      <c r="F11" s="87"/>
      <c r="G11" s="87"/>
      <c r="H11" s="88"/>
      <c r="I11" s="88"/>
      <c r="J11" s="88"/>
      <c r="K11" s="89"/>
      <c r="L11" s="90"/>
      <c r="M11" s="89"/>
      <c r="N11" s="89"/>
      <c r="O11" s="88"/>
      <c r="P11" s="88"/>
      <c r="Q11" s="88"/>
      <c r="R11" s="102"/>
    </row>
    <row r="12" spans="1:19" ht="24" customHeight="1" x14ac:dyDescent="0.3">
      <c r="A12" s="19"/>
      <c r="B12" s="95"/>
      <c r="D12" s="399" t="str">
        <f>IFERROR(IF(SUMIF('Étape 1 - à remplir'!G$31:G$400,"animaux",'Étape 1 - à remplir'!F$31:F$400)/SUMIF('Étape 1 - à remplir'!G$19:G$28,"animaux",'Étape 1 - à remplir'!F$19:F$28)=0,"L'exploitation n'a pas réalisé de traitements antibiotiques lors de l'année étudiée pour les animaux traités par animal","L'exploitation a un taux de traitement de "&amp;ROUND(SUMIF('Étape 1 - à remplir'!G$31:G$400,"animaux",'Étape 1 - à remplir'!F$31:F$400)/SUMIF('Étape 1 - à remplir'!G$19:G$28,"animaux",'Étape 1 - à remplir'!F$19:F$28),2)&amp;" sur l'année étudiée. Ce qui correspond à l'utilisation de "&amp;ROUND(SUMIF('Étape 1 - à remplir'!G$31:G$400,"animaux",'Étape 1 - à remplir'!F$31:F$400)/SUMIF('Étape 1 - à remplir'!G$19:G$28,"animaux",'Étape 1 - à remplir'!F$19:F$28),2)&amp;IF(SUMIF('Étape 1 - à remplir'!G$31:G$400,"animaux",'Étape 1 - à remplir'!F$31:F$400)/SUMIF('Étape 1 - à remplir'!G$19:G$28,"animaux",'Étape 1 - à remplir'!F$19:F$28)&lt;1," traitement antibiotique"," traitements antibiotiques")&amp;" par animal en moyenne."),"")</f>
        <v/>
      </c>
      <c r="E12" s="399"/>
      <c r="F12" s="399"/>
      <c r="G12" s="399"/>
      <c r="H12" s="399"/>
      <c r="I12" s="399"/>
      <c r="J12" s="399"/>
      <c r="K12" s="399"/>
      <c r="L12" s="399"/>
      <c r="M12" s="399"/>
      <c r="N12" s="399"/>
      <c r="O12" s="399"/>
      <c r="R12" s="103"/>
    </row>
    <row r="13" spans="1:19" ht="20.25" customHeight="1" x14ac:dyDescent="0.3">
      <c r="A13" s="19"/>
      <c r="B13" s="95"/>
      <c r="D13" s="399"/>
      <c r="E13" s="399"/>
      <c r="F13" s="399"/>
      <c r="G13" s="399"/>
      <c r="H13" s="399"/>
      <c r="I13" s="399"/>
      <c r="J13" s="399"/>
      <c r="K13" s="399"/>
      <c r="L13" s="399"/>
      <c r="M13" s="399"/>
      <c r="N13" s="399"/>
      <c r="O13" s="399"/>
      <c r="P13" s="245"/>
      <c r="R13" s="103"/>
    </row>
    <row r="14" spans="1:19" ht="15" customHeight="1" x14ac:dyDescent="0.35">
      <c r="A14" s="19"/>
      <c r="B14" s="95"/>
      <c r="E14" s="203"/>
      <c r="F14" s="210"/>
      <c r="G14" s="210"/>
      <c r="H14" s="210"/>
      <c r="I14" s="210"/>
      <c r="J14" s="210"/>
      <c r="K14" s="210"/>
      <c r="L14" s="210"/>
      <c r="M14" s="210"/>
      <c r="N14" s="210"/>
      <c r="O14" s="210"/>
      <c r="P14" s="210"/>
      <c r="R14" s="103"/>
    </row>
    <row r="15" spans="1:19" ht="24" customHeight="1" x14ac:dyDescent="0.3">
      <c r="A15" s="19"/>
      <c r="B15" s="95"/>
      <c r="C15" s="393" t="s">
        <v>4335</v>
      </c>
      <c r="D15" s="394"/>
      <c r="E15" s="394"/>
      <c r="F15" s="395"/>
      <c r="G15" s="184" t="s">
        <v>572</v>
      </c>
      <c r="H15" s="184" t="s">
        <v>146</v>
      </c>
      <c r="I15" s="404" t="s">
        <v>147</v>
      </c>
      <c r="J15" s="394"/>
      <c r="K15" s="394"/>
      <c r="L15" s="394"/>
      <c r="M15" s="394"/>
      <c r="N15" s="394"/>
      <c r="O15" s="394"/>
      <c r="P15" s="394"/>
      <c r="R15" s="103"/>
    </row>
    <row r="16" spans="1:19" ht="24" customHeight="1" x14ac:dyDescent="0.3">
      <c r="A16" s="19"/>
      <c r="B16" s="95"/>
      <c r="C16" s="383" t="e">
        <f>MASQ2!B16</f>
        <v>#N/A</v>
      </c>
      <c r="D16" s="383"/>
      <c r="E16" s="383"/>
      <c r="F16" s="383"/>
      <c r="G16" s="183" t="str">
        <f>IFERROR(MASQ2!C16,"")</f>
        <v/>
      </c>
      <c r="H16" s="94" t="str">
        <f>IFERROR(MASQ2!D16,"")</f>
        <v/>
      </c>
      <c r="I16" s="383" t="str">
        <f>IF(H16="","",IF('Étape 1 - à remplir'!D$15="","Un animal de ce groupe d'animaux reçoit "&amp;ROUND(H16,2)&amp;" traitement par an","En "&amp;'Étape 1 - à remplir'!D$15&amp;", un animal de ce groupe d'animaux reçoit "&amp;ROUND(H16,2)&amp;" traitement par an"))</f>
        <v/>
      </c>
      <c r="J16" s="383"/>
      <c r="K16" s="383"/>
      <c r="L16" s="383"/>
      <c r="M16" s="383"/>
      <c r="N16" s="383"/>
      <c r="O16" s="383"/>
      <c r="P16" s="383"/>
      <c r="R16" s="103"/>
    </row>
    <row r="17" spans="1:18" ht="24" customHeight="1" x14ac:dyDescent="0.3">
      <c r="A17" s="19"/>
      <c r="B17" s="95"/>
      <c r="C17" s="396" t="e">
        <f>MASQ2!B17</f>
        <v>#N/A</v>
      </c>
      <c r="D17" s="397"/>
      <c r="E17" s="397"/>
      <c r="F17" s="398"/>
      <c r="G17" s="183" t="str">
        <f>IFERROR(MASQ2!C17,"")</f>
        <v/>
      </c>
      <c r="H17" s="94" t="str">
        <f>IFERROR(MASQ2!D17,"")</f>
        <v/>
      </c>
      <c r="I17" s="396" t="str">
        <f>IF(H17="","",IF('Étape 1 - à remplir'!D$15="","Un animal de ce groupe d'animaux reçoit "&amp;ROUND(H17,2)&amp;" traitement par an","En "&amp;'Étape 1 - à remplir'!D$15&amp;", un animal de ce groupe d'animaux reçoit "&amp;ROUND(H17,2)&amp;" traitement par an"))</f>
        <v/>
      </c>
      <c r="J17" s="397"/>
      <c r="K17" s="397"/>
      <c r="L17" s="397"/>
      <c r="M17" s="397"/>
      <c r="N17" s="397"/>
      <c r="O17" s="397"/>
      <c r="P17" s="398"/>
      <c r="R17" s="103"/>
    </row>
    <row r="18" spans="1:18" ht="24" customHeight="1" x14ac:dyDescent="0.3">
      <c r="A18" s="19"/>
      <c r="B18" s="95"/>
      <c r="C18" s="396" t="e">
        <f>MASQ2!B18</f>
        <v>#N/A</v>
      </c>
      <c r="D18" s="397"/>
      <c r="E18" s="397"/>
      <c r="F18" s="398"/>
      <c r="G18" s="183" t="str">
        <f>IFERROR(MASQ2!C18,"")</f>
        <v/>
      </c>
      <c r="H18" s="94" t="str">
        <f>IFERROR(MASQ2!D18,"")</f>
        <v/>
      </c>
      <c r="I18" s="396" t="str">
        <f>IF(H18="","",IF('Étape 1 - à remplir'!D$15="","Un animal de ce groupe d'animaux reçoit "&amp;ROUND(H18,2)&amp;" traitement par an","En "&amp;'Étape 1 - à remplir'!D$15&amp;", un animal de ce groupe d'animaux reçoit "&amp;ROUND(H18,2)&amp;" traitement par an"))</f>
        <v/>
      </c>
      <c r="J18" s="397"/>
      <c r="K18" s="397"/>
      <c r="L18" s="397"/>
      <c r="M18" s="397"/>
      <c r="N18" s="397"/>
      <c r="O18" s="397"/>
      <c r="P18" s="398"/>
      <c r="R18" s="103"/>
    </row>
    <row r="19" spans="1:18" ht="24" customHeight="1" x14ac:dyDescent="0.3">
      <c r="A19" s="19"/>
      <c r="B19" s="95"/>
      <c r="C19" s="396" t="e">
        <f>MASQ2!B19</f>
        <v>#N/A</v>
      </c>
      <c r="D19" s="397"/>
      <c r="E19" s="397"/>
      <c r="F19" s="398"/>
      <c r="G19" s="183" t="str">
        <f>IFERROR(MASQ2!C19,"")</f>
        <v/>
      </c>
      <c r="H19" s="94" t="str">
        <f>IFERROR(MASQ2!D19,"")</f>
        <v/>
      </c>
      <c r="I19" s="396" t="str">
        <f>IF(H19="","",IF('Étape 1 - à remplir'!D$15="","Un animal de ce groupe d'animaux reçoit "&amp;ROUND(H19,2)&amp;" traitement par an","En "&amp;'Étape 1 - à remplir'!D$15&amp;", un animal de ce groupe d'animaux reçoit "&amp;ROUND(H19,2)&amp;" traitement par an"))</f>
        <v/>
      </c>
      <c r="J19" s="397"/>
      <c r="K19" s="397"/>
      <c r="L19" s="397"/>
      <c r="M19" s="397"/>
      <c r="N19" s="397"/>
      <c r="O19" s="397"/>
      <c r="P19" s="398"/>
      <c r="R19" s="103"/>
    </row>
    <row r="20" spans="1:18" ht="24" customHeight="1" x14ac:dyDescent="0.3">
      <c r="A20" s="19"/>
      <c r="B20" s="95"/>
      <c r="C20" s="396" t="e">
        <f>MASQ2!B20</f>
        <v>#N/A</v>
      </c>
      <c r="D20" s="397"/>
      <c r="E20" s="397"/>
      <c r="F20" s="398"/>
      <c r="G20" s="183" t="str">
        <f>IFERROR(MASQ2!C20,"")</f>
        <v/>
      </c>
      <c r="H20" s="94" t="str">
        <f>IFERROR(MASQ2!D20,"")</f>
        <v/>
      </c>
      <c r="I20" s="396" t="str">
        <f>IF(H20="","",IF('Étape 1 - à remplir'!D$15="","Un animal de ce groupe d'animaux reçoit "&amp;ROUND(H20,2)&amp;" traitement par an","En "&amp;'Étape 1 - à remplir'!D$15&amp;", un animal de ce groupe d'animaux reçoit "&amp;ROUND(H20,2)&amp;" traitement par an"))</f>
        <v/>
      </c>
      <c r="J20" s="397"/>
      <c r="K20" s="397"/>
      <c r="L20" s="397"/>
      <c r="M20" s="397"/>
      <c r="N20" s="397"/>
      <c r="O20" s="397"/>
      <c r="P20" s="398"/>
      <c r="R20" s="103"/>
    </row>
    <row r="21" spans="1:18" ht="24" customHeight="1" x14ac:dyDescent="0.3">
      <c r="A21" s="19"/>
      <c r="B21" s="95"/>
      <c r="C21" s="396" t="e">
        <f>MASQ2!B21</f>
        <v>#N/A</v>
      </c>
      <c r="D21" s="397"/>
      <c r="E21" s="397"/>
      <c r="F21" s="398"/>
      <c r="G21" s="183" t="str">
        <f>IFERROR(MASQ2!C21,"")</f>
        <v/>
      </c>
      <c r="H21" s="94" t="str">
        <f>IFERROR(MASQ2!D21,"")</f>
        <v/>
      </c>
      <c r="I21" s="396" t="str">
        <f>IF(H21="","",IF('Étape 1 - à remplir'!D$15="","Un animal de ce groupe d'animaux reçoit "&amp;ROUND(H21,2)&amp;" traitement par an","En "&amp;'Étape 1 - à remplir'!D$15&amp;", un animal de ce groupe d'animaux reçoit "&amp;ROUND(H21,2)&amp;" traitement par an"))</f>
        <v/>
      </c>
      <c r="J21" s="397"/>
      <c r="K21" s="397"/>
      <c r="L21" s="397"/>
      <c r="M21" s="397"/>
      <c r="N21" s="397"/>
      <c r="O21" s="397"/>
      <c r="P21" s="398"/>
      <c r="R21" s="103"/>
    </row>
    <row r="22" spans="1:18" ht="24" customHeight="1" x14ac:dyDescent="0.3">
      <c r="A22" s="19"/>
      <c r="B22" s="95"/>
      <c r="C22" s="396" t="e">
        <f>MASQ2!B22</f>
        <v>#N/A</v>
      </c>
      <c r="D22" s="397"/>
      <c r="E22" s="397"/>
      <c r="F22" s="398"/>
      <c r="G22" s="183" t="str">
        <f>IFERROR(MASQ2!C22,"")</f>
        <v/>
      </c>
      <c r="H22" s="94" t="str">
        <f>IFERROR(MASQ2!D22,"")</f>
        <v/>
      </c>
      <c r="I22" s="396" t="str">
        <f>IF(H22="","",IF('Étape 1 - à remplir'!D$15="","Un animal de ce groupe d'animaux reçoit "&amp;ROUND(H22,2)&amp;" traitement par an","En "&amp;'Étape 1 - à remplir'!D$15&amp;", un animal de ce groupe d'animaux reçoit "&amp;ROUND(H22,2)&amp;" traitement par an"))</f>
        <v/>
      </c>
      <c r="J22" s="397"/>
      <c r="K22" s="397"/>
      <c r="L22" s="397"/>
      <c r="M22" s="397"/>
      <c r="N22" s="397"/>
      <c r="O22" s="397"/>
      <c r="P22" s="398"/>
      <c r="R22" s="103"/>
    </row>
    <row r="23" spans="1:18" ht="24" customHeight="1" x14ac:dyDescent="0.3">
      <c r="A23" s="19"/>
      <c r="B23" s="95"/>
      <c r="C23" s="396" t="e">
        <f>MASQ2!B23</f>
        <v>#N/A</v>
      </c>
      <c r="D23" s="397"/>
      <c r="E23" s="397"/>
      <c r="F23" s="398"/>
      <c r="G23" s="183" t="str">
        <f>IFERROR(MASQ2!C23,"")</f>
        <v/>
      </c>
      <c r="H23" s="94" t="str">
        <f>IFERROR(MASQ2!D23,"")</f>
        <v/>
      </c>
      <c r="I23" s="396" t="str">
        <f>IF(H23="","",IF('Étape 1 - à remplir'!D$15="","Un animal de ce groupe d'animaux reçoit "&amp;ROUND(H23,2)&amp;" traitement par an","En "&amp;'Étape 1 - à remplir'!D$15&amp;", un animal de ce groupe d'animaux reçoit "&amp;ROUND(H23,2)&amp;" traitement par an"))</f>
        <v/>
      </c>
      <c r="J23" s="397"/>
      <c r="K23" s="397"/>
      <c r="L23" s="397"/>
      <c r="M23" s="397"/>
      <c r="N23" s="397"/>
      <c r="O23" s="397"/>
      <c r="P23" s="398"/>
      <c r="R23" s="103"/>
    </row>
    <row r="24" spans="1:18" ht="24" customHeight="1" x14ac:dyDescent="0.3">
      <c r="A24" s="19"/>
      <c r="B24" s="86"/>
      <c r="C24" s="396" t="e">
        <f>MASQ2!B24</f>
        <v>#N/A</v>
      </c>
      <c r="D24" s="397"/>
      <c r="E24" s="397"/>
      <c r="F24" s="398"/>
      <c r="G24" s="183" t="str">
        <f>IFERROR(MASQ2!C24,"")</f>
        <v/>
      </c>
      <c r="H24" s="94" t="str">
        <f>IFERROR(MASQ2!D24,"")</f>
        <v/>
      </c>
      <c r="I24" s="396" t="str">
        <f>IF(H24="","",IF('Étape 1 - à remplir'!D$15="","Un animal de ce groupe d'animaux reçoit "&amp;ROUND(H24,2)&amp;" traitement par an","En "&amp;'Étape 1 - à remplir'!D$15&amp;", un animal de ce groupe d'animaux reçoit "&amp;ROUND(H24,2)&amp;" traitement par an"))</f>
        <v/>
      </c>
      <c r="J24" s="397"/>
      <c r="K24" s="397"/>
      <c r="L24" s="397"/>
      <c r="M24" s="397"/>
      <c r="N24" s="397"/>
      <c r="O24" s="397"/>
      <c r="P24" s="398"/>
      <c r="R24" s="102"/>
    </row>
    <row r="25" spans="1:18" ht="24" customHeight="1" x14ac:dyDescent="0.3">
      <c r="A25" s="19"/>
      <c r="B25" s="91" t="s">
        <v>208</v>
      </c>
      <c r="C25" s="396" t="e">
        <f>MASQ2!B25</f>
        <v>#N/A</v>
      </c>
      <c r="D25" s="397"/>
      <c r="E25" s="397"/>
      <c r="F25" s="398"/>
      <c r="G25" s="183" t="str">
        <f>IFERROR(MASQ2!C25,"")</f>
        <v/>
      </c>
      <c r="H25" s="94" t="str">
        <f>IFERROR(MASQ2!D25,"")</f>
        <v/>
      </c>
      <c r="I25" s="396" t="str">
        <f>IF(H25="","",IF('Étape 1 - à remplir'!D$15="","Un animal de ce groupe d'animaux reçoit "&amp;ROUND(H25,2)&amp;" traitement par an","En "&amp;'Étape 1 - à remplir'!D$15&amp;", un animal de ce groupe d'animaux reçoit "&amp;ROUND(H25,2)&amp;" traitement par an"))</f>
        <v/>
      </c>
      <c r="J25" s="397"/>
      <c r="K25" s="397"/>
      <c r="L25" s="397"/>
      <c r="M25" s="397"/>
      <c r="N25" s="397"/>
      <c r="O25" s="397"/>
      <c r="P25" s="398"/>
      <c r="Q25" s="88"/>
      <c r="R25" s="102"/>
    </row>
    <row r="26" spans="1:18" ht="6" customHeight="1" x14ac:dyDescent="0.3">
      <c r="A26" s="19"/>
      <c r="B26" s="85"/>
      <c r="C26" s="19"/>
      <c r="D26" s="19"/>
      <c r="E26" s="84"/>
      <c r="F26" s="19"/>
      <c r="G26" s="19"/>
      <c r="H26" s="19"/>
      <c r="I26" s="19"/>
      <c r="J26" s="19"/>
      <c r="K26" s="19"/>
      <c r="R26" s="103"/>
    </row>
    <row r="27" spans="1:18" ht="26.25" customHeight="1" x14ac:dyDescent="0.3">
      <c r="A27" s="19"/>
      <c r="B27" s="85"/>
      <c r="C27" s="19"/>
      <c r="D27" s="19"/>
      <c r="E27" s="405" t="s">
        <v>583</v>
      </c>
      <c r="F27" s="406"/>
      <c r="G27" s="402" t="s">
        <v>4342</v>
      </c>
      <c r="H27" s="403"/>
      <c r="I27" s="204"/>
      <c r="J27" s="204"/>
      <c r="K27" s="405" t="str">
        <f>IF(G27="","",IF(G27="Âge","Quel âge?",IF(G27="Atelier","Quel atelier?",IF(G27="Espèce","Quelle espèce?",IF(G27="Catégorie","Quelle catégorie?","")))))</f>
        <v>Quelle catégorie?</v>
      </c>
      <c r="L27" s="406"/>
      <c r="M27" s="402" t="s">
        <v>584</v>
      </c>
      <c r="N27" s="402"/>
      <c r="O27" s="403"/>
      <c r="R27" s="103"/>
    </row>
    <row r="28" spans="1:18" ht="15" customHeight="1" x14ac:dyDescent="0.3">
      <c r="A28" s="19"/>
      <c r="B28" s="85"/>
      <c r="C28" s="19"/>
      <c r="D28" s="19"/>
      <c r="E28" s="84"/>
      <c r="F28" s="19"/>
      <c r="G28" s="19"/>
      <c r="H28" s="19"/>
      <c r="I28" s="19"/>
      <c r="J28" s="19"/>
      <c r="K28" s="19"/>
      <c r="R28" s="103"/>
    </row>
    <row r="29" spans="1:18" ht="21" customHeight="1" x14ac:dyDescent="0.3">
      <c r="A29" s="19"/>
      <c r="B29" s="85"/>
      <c r="C29" s="19"/>
      <c r="D29" s="19"/>
      <c r="E29" s="84"/>
      <c r="F29" s="19"/>
      <c r="G29" s="19"/>
      <c r="H29" s="19"/>
      <c r="I29" s="19"/>
      <c r="J29" s="19"/>
      <c r="K29" s="19"/>
      <c r="R29" s="103"/>
    </row>
    <row r="30" spans="1:18" ht="21" customHeight="1" x14ac:dyDescent="0.3">
      <c r="B30" s="95"/>
      <c r="D30" s="416" t="s">
        <v>573</v>
      </c>
      <c r="E30" s="415" t="str">
        <f>IFERROR(IF(ROUND(100*(COUNTIFS(anmx_nb_medic,"&gt;0",anmx_critique_medic,"x")/COUNTIF(anmx_nb_medic,"&gt;0")),1)=0,"Vous ne semblez pas avoir utilisé d'antibiotiques critiques.",ROUND(100*(COUNTIFS(anmx_nb_medic,"&gt;0",anmx_critique_medic,"x")/COUNTIF(anmx_nb_medic,"&gt;0")),1)&amp;" % des types de médicaments utilisés sont des antibiotiques critiques ou à limiter."),"Vous ne semblez pas avoir utilisé d'antibiotiques critiques.")</f>
        <v>Vous ne semblez pas avoir utilisé d'antibiotiques critiques.</v>
      </c>
      <c r="F30" s="415"/>
      <c r="G30" s="415"/>
      <c r="H30" s="415"/>
      <c r="I30" s="415"/>
      <c r="J30" s="415"/>
      <c r="K30" s="415"/>
      <c r="L30" s="415"/>
      <c r="M30" s="415"/>
      <c r="N30" s="415"/>
      <c r="O30" s="415"/>
      <c r="R30" s="103"/>
    </row>
    <row r="31" spans="1:18" ht="21" customHeight="1" x14ac:dyDescent="0.3">
      <c r="B31" s="95"/>
      <c r="D31" s="416"/>
      <c r="E31" s="415"/>
      <c r="F31" s="415"/>
      <c r="G31" s="415"/>
      <c r="H31" s="415"/>
      <c r="I31" s="415"/>
      <c r="J31" s="415"/>
      <c r="K31" s="415"/>
      <c r="L31" s="415"/>
      <c r="M31" s="415"/>
      <c r="N31" s="415"/>
      <c r="O31" s="415"/>
      <c r="R31" s="103"/>
    </row>
    <row r="32" spans="1:18" ht="21" customHeight="1" x14ac:dyDescent="0.3">
      <c r="B32" s="95"/>
      <c r="E32" s="18"/>
      <c r="F32" s="19"/>
      <c r="G32" s="19"/>
      <c r="R32" s="103"/>
    </row>
    <row r="33" spans="1:18" ht="21" customHeight="1" x14ac:dyDescent="0.3">
      <c r="B33" s="95"/>
      <c r="E33" s="18"/>
      <c r="F33" s="19"/>
      <c r="G33" s="20"/>
      <c r="R33" s="103"/>
    </row>
    <row r="34" spans="1:18" ht="21" customHeight="1" x14ac:dyDescent="0.3">
      <c r="A34" s="12"/>
      <c r="B34" s="96"/>
      <c r="C34" s="81"/>
      <c r="D34" s="81"/>
      <c r="E34" s="81"/>
      <c r="F34" s="81"/>
      <c r="G34" s="81"/>
      <c r="R34" s="103"/>
    </row>
    <row r="35" spans="1:18" ht="21" customHeight="1" x14ac:dyDescent="0.3">
      <c r="A35" s="12"/>
      <c r="B35" s="96"/>
      <c r="C35" s="81"/>
      <c r="D35" s="81"/>
      <c r="E35" s="81"/>
      <c r="F35" s="81"/>
      <c r="G35" s="81"/>
      <c r="R35" s="103"/>
    </row>
    <row r="36" spans="1:18" ht="21" customHeight="1" x14ac:dyDescent="0.3">
      <c r="A36" s="12"/>
      <c r="B36" s="96"/>
      <c r="C36" s="81"/>
      <c r="D36" s="81"/>
      <c r="E36" s="81"/>
      <c r="F36" s="81"/>
      <c r="G36" s="81"/>
      <c r="R36" s="103"/>
    </row>
    <row r="37" spans="1:18" ht="21" customHeight="1" x14ac:dyDescent="0.3">
      <c r="A37" s="12"/>
      <c r="B37" s="96"/>
      <c r="C37" s="81"/>
      <c r="D37" s="81"/>
      <c r="E37" s="81"/>
      <c r="F37" s="81"/>
      <c r="G37" s="81"/>
      <c r="R37" s="103"/>
    </row>
    <row r="38" spans="1:18" ht="21" customHeight="1" x14ac:dyDescent="0.3">
      <c r="A38" s="12"/>
      <c r="B38" s="96"/>
      <c r="C38" s="81"/>
      <c r="D38" s="81"/>
      <c r="E38" s="81"/>
      <c r="F38" s="81"/>
      <c r="G38" s="81"/>
      <c r="R38" s="103"/>
    </row>
    <row r="39" spans="1:18" ht="21" customHeight="1" x14ac:dyDescent="0.3">
      <c r="A39" s="12"/>
      <c r="B39" s="96"/>
      <c r="C39" s="81"/>
      <c r="D39" s="81"/>
      <c r="E39" s="81"/>
      <c r="F39" s="81"/>
      <c r="G39" s="81"/>
      <c r="R39" s="103"/>
    </row>
    <row r="40" spans="1:18" ht="21" customHeight="1" x14ac:dyDescent="0.3">
      <c r="A40" s="12"/>
      <c r="B40" s="96"/>
      <c r="C40" s="81"/>
      <c r="D40" s="81"/>
      <c r="E40" s="81"/>
      <c r="F40" s="81"/>
      <c r="G40" s="81"/>
      <c r="R40" s="103"/>
    </row>
    <row r="41" spans="1:18" ht="21" customHeight="1" x14ac:dyDescent="0.3">
      <c r="A41" s="12"/>
      <c r="B41" s="96"/>
      <c r="C41" s="81"/>
      <c r="D41" s="81"/>
      <c r="E41" s="81"/>
      <c r="F41" s="81"/>
      <c r="G41" s="81"/>
      <c r="R41" s="103"/>
    </row>
    <row r="42" spans="1:18" ht="21" customHeight="1" x14ac:dyDescent="0.3">
      <c r="A42" s="12"/>
      <c r="B42" s="96"/>
      <c r="C42" s="81"/>
      <c r="D42" s="81"/>
      <c r="E42" s="81"/>
      <c r="F42" s="81"/>
      <c r="G42" s="81"/>
      <c r="R42" s="103"/>
    </row>
    <row r="43" spans="1:18" ht="21" customHeight="1" x14ac:dyDescent="0.3">
      <c r="A43" s="12"/>
      <c r="B43" s="96"/>
      <c r="C43" s="81"/>
      <c r="D43" s="81"/>
      <c r="E43" s="81"/>
      <c r="F43" s="81"/>
      <c r="G43" s="81"/>
      <c r="R43" s="103"/>
    </row>
    <row r="44" spans="1:18" ht="21" customHeight="1" x14ac:dyDescent="0.3">
      <c r="A44" s="12"/>
      <c r="B44" s="96"/>
      <c r="C44" s="81"/>
      <c r="D44" s="81"/>
      <c r="E44" s="81"/>
      <c r="F44" s="81"/>
      <c r="G44" s="81"/>
      <c r="R44" s="103"/>
    </row>
    <row r="45" spans="1:18" ht="21" customHeight="1" x14ac:dyDescent="0.3">
      <c r="A45" s="12"/>
      <c r="B45" s="96"/>
      <c r="C45" s="81"/>
      <c r="D45" s="81"/>
      <c r="E45" s="81"/>
      <c r="F45" s="81"/>
      <c r="G45" s="81"/>
      <c r="R45" s="103"/>
    </row>
    <row r="46" spans="1:18" ht="21" customHeight="1" x14ac:dyDescent="0.3">
      <c r="A46" s="12"/>
      <c r="B46" s="96"/>
      <c r="C46" s="81"/>
      <c r="D46" s="81"/>
      <c r="E46" s="81"/>
      <c r="F46" s="81"/>
      <c r="G46" s="81"/>
      <c r="R46" s="103"/>
    </row>
    <row r="47" spans="1:18" ht="21" customHeight="1" x14ac:dyDescent="0.3">
      <c r="A47" s="12"/>
      <c r="B47" s="96"/>
      <c r="C47" s="81"/>
      <c r="D47" s="81"/>
      <c r="E47" s="81"/>
      <c r="F47" s="81"/>
      <c r="G47" s="81"/>
      <c r="R47" s="103"/>
    </row>
    <row r="48" spans="1:18" ht="21" customHeight="1" x14ac:dyDescent="0.3">
      <c r="A48" s="12"/>
      <c r="B48" s="96"/>
      <c r="C48" s="81"/>
      <c r="D48" s="81"/>
      <c r="E48" s="81"/>
      <c r="F48" s="81"/>
      <c r="G48" s="81"/>
      <c r="R48" s="103"/>
    </row>
    <row r="49" spans="1:18" ht="21" customHeight="1" x14ac:dyDescent="0.3">
      <c r="A49" s="12"/>
      <c r="B49" s="96"/>
      <c r="C49" s="81"/>
      <c r="D49" s="81"/>
      <c r="E49" s="81"/>
      <c r="F49" s="81"/>
      <c r="G49" s="81"/>
      <c r="R49" s="103"/>
    </row>
    <row r="50" spans="1:18" ht="21" customHeight="1" x14ac:dyDescent="0.3">
      <c r="A50" s="12"/>
      <c r="B50" s="96"/>
      <c r="C50" s="81"/>
      <c r="D50" s="81"/>
      <c r="E50" s="81"/>
      <c r="F50" s="81"/>
      <c r="G50" s="81"/>
      <c r="R50" s="103"/>
    </row>
    <row r="51" spans="1:18" ht="21" customHeight="1" x14ac:dyDescent="0.3">
      <c r="A51" s="12"/>
      <c r="B51" s="96"/>
      <c r="C51" s="81"/>
      <c r="D51" s="81"/>
      <c r="E51" s="81"/>
      <c r="F51" s="81"/>
      <c r="G51" s="81"/>
      <c r="R51" s="103"/>
    </row>
    <row r="52" spans="1:18" ht="21" customHeight="1" x14ac:dyDescent="0.3">
      <c r="A52" s="12"/>
      <c r="B52" s="96"/>
      <c r="C52" s="81"/>
      <c r="D52" s="81"/>
      <c r="E52" s="81"/>
      <c r="F52" s="81"/>
      <c r="G52" s="81"/>
      <c r="R52" s="103"/>
    </row>
    <row r="53" spans="1:18" ht="21" customHeight="1" x14ac:dyDescent="0.3">
      <c r="A53" s="12"/>
      <c r="B53" s="96"/>
      <c r="C53" s="81"/>
      <c r="D53" s="81"/>
      <c r="E53" s="81"/>
      <c r="F53" s="81"/>
      <c r="G53" s="81"/>
      <c r="R53" s="103"/>
    </row>
    <row r="54" spans="1:18" ht="21" customHeight="1" x14ac:dyDescent="0.3">
      <c r="A54" s="12"/>
      <c r="B54" s="96"/>
      <c r="C54" s="81"/>
      <c r="D54" s="81"/>
      <c r="E54" s="81"/>
      <c r="F54" s="81"/>
      <c r="G54" s="81"/>
      <c r="R54" s="103"/>
    </row>
    <row r="55" spans="1:18" ht="21" customHeight="1" x14ac:dyDescent="0.3">
      <c r="A55" s="12"/>
      <c r="B55" s="96"/>
      <c r="C55" s="81"/>
      <c r="D55" s="81"/>
      <c r="E55" s="81"/>
      <c r="F55" s="81"/>
      <c r="G55" s="81"/>
      <c r="R55" s="103"/>
    </row>
    <row r="56" spans="1:18" ht="21" customHeight="1" x14ac:dyDescent="0.3">
      <c r="A56" s="12"/>
      <c r="B56" s="96"/>
      <c r="C56" s="81"/>
      <c r="D56" s="81"/>
      <c r="E56" s="81"/>
      <c r="F56" s="81"/>
      <c r="G56" s="81"/>
      <c r="R56" s="103"/>
    </row>
    <row r="57" spans="1:18" ht="21" customHeight="1" x14ac:dyDescent="0.3">
      <c r="A57" s="12"/>
      <c r="B57" s="96"/>
      <c r="C57" s="81"/>
      <c r="D57" s="81"/>
      <c r="E57" s="81"/>
      <c r="F57" s="81"/>
      <c r="G57" s="81"/>
      <c r="R57" s="103"/>
    </row>
    <row r="58" spans="1:18" ht="15" customHeight="1" x14ac:dyDescent="0.3">
      <c r="A58" s="12"/>
      <c r="B58" s="97"/>
      <c r="C58" s="21"/>
      <c r="L58" s="112"/>
      <c r="R58" s="103"/>
    </row>
    <row r="59" spans="1:18" ht="15" customHeight="1" x14ac:dyDescent="0.3">
      <c r="A59" s="12"/>
      <c r="B59" s="98"/>
      <c r="C59" s="78"/>
      <c r="D59" s="80"/>
      <c r="E59" s="80"/>
      <c r="F59" s="80"/>
      <c r="G59" s="80"/>
      <c r="K59" s="399"/>
      <c r="L59" s="399"/>
      <c r="R59" s="103"/>
    </row>
    <row r="60" spans="1:18" ht="28.5" customHeight="1" x14ac:dyDescent="0.3">
      <c r="A60" s="12"/>
      <c r="B60" s="98"/>
      <c r="C60" s="78"/>
      <c r="D60" s="80"/>
      <c r="E60" s="80"/>
      <c r="F60" s="80"/>
      <c r="G60" s="80"/>
      <c r="K60" s="399"/>
      <c r="L60" s="399"/>
      <c r="R60" s="103"/>
    </row>
    <row r="61" spans="1:18" ht="24.75" customHeight="1" x14ac:dyDescent="0.3">
      <c r="A61" s="12"/>
      <c r="B61" s="99"/>
      <c r="C61" s="410" t="s">
        <v>4308</v>
      </c>
      <c r="D61" s="410"/>
      <c r="E61" s="410"/>
      <c r="F61" s="410"/>
      <c r="G61" s="410"/>
      <c r="H61" s="242" t="s">
        <v>146</v>
      </c>
      <c r="I61" s="270"/>
      <c r="J61" s="100"/>
      <c r="K61" s="411" t="s">
        <v>580</v>
      </c>
      <c r="L61" s="411"/>
      <c r="M61" s="411"/>
      <c r="N61" s="411"/>
      <c r="O61" s="411"/>
      <c r="P61" s="242" t="s">
        <v>146</v>
      </c>
      <c r="Q61" s="270"/>
      <c r="R61" s="103"/>
    </row>
    <row r="62" spans="1:18" ht="29.25" customHeight="1" x14ac:dyDescent="0.3">
      <c r="A62" s="12"/>
      <c r="B62" s="99"/>
      <c r="C62" s="413" t="str">
        <f>IFERROR(INDEX(anmx_tri_maladie,MATCH(TRUE,INDEX(anmx_nb_maladie&gt;0,0),0),1),"")</f>
        <v/>
      </c>
      <c r="D62" s="413"/>
      <c r="E62" s="413"/>
      <c r="F62" s="413"/>
      <c r="G62" s="414"/>
      <c r="H62" s="272" t="str">
        <f>IFERROR(ROUND(INDEX(anmx_tri_maladie,MATCH(C62,anmx_nom_maladie,0),2)/SUMIF('Étape 1 - à remplir'!$G$19:$G$28,"animaux",'Étape 1 - à remplir'!$F$19:$F$28),3),"")</f>
        <v/>
      </c>
      <c r="I62" s="271"/>
      <c r="J62" s="100"/>
      <c r="K62" s="412" t="str">
        <f>IFERROR(INDEX(anmx_tri_voie,MATCH(TRUE,INDEX(anmx_nb_voie&gt;0,0),0),1),"")</f>
        <v/>
      </c>
      <c r="L62" s="413"/>
      <c r="M62" s="413"/>
      <c r="N62" s="413"/>
      <c r="O62" s="414"/>
      <c r="P62" s="272" t="str">
        <f>IFERROR(ROUND(INDEX(anmx_tri_voie,MATCH(K62,anmx_nom_voie,0),2)/SUMIF('Étape 1 - à remplir'!$G$19:$G$28,"animaux",'Étape 1 - à remplir'!$F$19:$F$28),3),"")</f>
        <v/>
      </c>
      <c r="Q62" s="271"/>
      <c r="R62" s="103"/>
    </row>
    <row r="63" spans="1:18" ht="29.25" customHeight="1" x14ac:dyDescent="0.3">
      <c r="A63" s="12"/>
      <c r="B63" s="99"/>
      <c r="C63" s="413" t="str">
        <f>IFERROR(INDEX(anmx_tri_maladie,MATCH(TRUE,INDEX(anmx_nb_maladie&gt;0,0),0)+1,1),"")</f>
        <v/>
      </c>
      <c r="D63" s="413"/>
      <c r="E63" s="413"/>
      <c r="F63" s="413"/>
      <c r="G63" s="414"/>
      <c r="H63" s="269" t="str">
        <f>IFERROR(ROUND(INDEX(anmx_tri_maladie,MATCH(C63,anmx_nom_maladie,0),2)/SUMIF('Étape 1 - à remplir'!$G$19:$G$28,"animaux",'Étape 1 - à remplir'!$F$19:$F$28),3),"")</f>
        <v/>
      </c>
      <c r="I63" s="271"/>
      <c r="J63" s="104"/>
      <c r="K63" s="412" t="str">
        <f>IFERROR(INDEX(anmx_tri_voie,MATCH(TRUE,INDEX(anmx_nb_voie&gt;0,0),0)+1,1),"")</f>
        <v/>
      </c>
      <c r="L63" s="413"/>
      <c r="M63" s="413"/>
      <c r="N63" s="413"/>
      <c r="O63" s="414"/>
      <c r="P63" s="269" t="str">
        <f>IFERROR(ROUND(INDEX(anmx_tri_voie,MATCH(K63,anmx_nom_voie,0),2)/SUMIF('Étape 1 - à remplir'!$G$19:$G$28,"animaux",'Étape 1 - à remplir'!$F$19:$F$28),3),"")</f>
        <v/>
      </c>
      <c r="Q63" s="271"/>
      <c r="R63" s="103"/>
    </row>
    <row r="64" spans="1:18" ht="29.25" customHeight="1" x14ac:dyDescent="0.3">
      <c r="B64" s="99"/>
      <c r="C64" s="413" t="str">
        <f>IFERROR(INDEX(anmx_tri_maladie,MATCH(TRUE,INDEX(anmx_nb_maladie&gt;0,0),0)+2,1),"")</f>
        <v/>
      </c>
      <c r="D64" s="413"/>
      <c r="E64" s="413"/>
      <c r="F64" s="413"/>
      <c r="G64" s="414"/>
      <c r="H64" s="269" t="str">
        <f>IFERROR(ROUND(INDEX(anmx_tri_maladie,MATCH(C64,anmx_nom_maladie,0),2)/SUMIF('Étape 1 - à remplir'!$G$19:$G$28,"animaux",'Étape 1 - à remplir'!$F$19:$F$28),3),"")</f>
        <v/>
      </c>
      <c r="I64" s="271"/>
      <c r="J64" s="100"/>
      <c r="K64" s="412" t="str">
        <f>IFERROR(INDEX(anmx_tri_voie,MATCH(TRUE,INDEX(anmx_nb_voie&gt;0,0),0)+2,1),"")</f>
        <v/>
      </c>
      <c r="L64" s="413"/>
      <c r="M64" s="413"/>
      <c r="N64" s="413"/>
      <c r="O64" s="414"/>
      <c r="P64" s="269" t="str">
        <f>IFERROR(ROUND(INDEX(anmx_tri_voie,MATCH(K64,anmx_nom_voie,0),2)/SUMIF('Étape 1 - à remplir'!$G$19:$G$28,"animaux",'Étape 1 - à remplir'!$F$19:$F$28),3),"")</f>
        <v/>
      </c>
      <c r="Q64" s="271"/>
      <c r="R64" s="103"/>
    </row>
    <row r="65" spans="2:18" ht="29.25" customHeight="1" x14ac:dyDescent="0.3">
      <c r="B65" s="96"/>
      <c r="C65" s="413" t="str">
        <f>IFERROR(INDEX(anmx_tri_maladie,MATCH(TRUE,INDEX(anmx_nb_maladie&gt;0,0),0)+3,1),"")</f>
        <v/>
      </c>
      <c r="D65" s="413"/>
      <c r="E65" s="413"/>
      <c r="F65" s="413"/>
      <c r="G65" s="414"/>
      <c r="H65" s="269" t="str">
        <f>IFERROR(ROUND(INDEX(anmx_tri_maladie,MATCH(C65,anmx_nom_maladie,0),2)/SUMIF('Étape 1 - à remplir'!$G$19:$G$28,"animaux",'Étape 1 - à remplir'!$F$19:$F$28),3),"")</f>
        <v/>
      </c>
      <c r="I65" s="271"/>
      <c r="J65" s="100"/>
      <c r="K65" s="412" t="str">
        <f>IFERROR(INDEX(anmx_tri_voie,MATCH(TRUE,INDEX(anmx_nb_voie&gt;0,0),0)+3,1),"")</f>
        <v/>
      </c>
      <c r="L65" s="413"/>
      <c r="M65" s="413"/>
      <c r="N65" s="413"/>
      <c r="O65" s="414"/>
      <c r="P65" s="269" t="str">
        <f>IFERROR(ROUND(INDEX(anmx_tri_voie,MATCH(K65,anmx_nom_voie,0),2)/SUMIF('Étape 1 - à remplir'!$G$19:$G$28,"animaux",'Étape 1 - à remplir'!$F$19:$F$28),3),"")</f>
        <v/>
      </c>
      <c r="Q65" s="271"/>
      <c r="R65" s="103"/>
    </row>
    <row r="66" spans="2:18" ht="29.25" customHeight="1" x14ac:dyDescent="0.3">
      <c r="B66" s="95"/>
      <c r="C66" s="413" t="str">
        <f>IFERROR(INDEX(anmx_tri_maladie,MATCH(TRUE,INDEX(anmx_nb_maladie&gt;0,0),0)+4,1),"")</f>
        <v/>
      </c>
      <c r="D66" s="413"/>
      <c r="E66" s="413"/>
      <c r="F66" s="413"/>
      <c r="G66" s="414"/>
      <c r="H66" s="269" t="str">
        <f>IFERROR(ROUND(INDEX(anmx_tri_maladie,MATCH(C66,anmx_nom_maladie,0),2)/SUMIF('Étape 1 - à remplir'!$G$19:$G$28,"animaux",'Étape 1 - à remplir'!$F$19:$F$28),3),"")</f>
        <v/>
      </c>
      <c r="I66" s="271"/>
      <c r="J66" s="100"/>
      <c r="K66" s="412" t="str">
        <f>IFERROR(INDEX(anmx_tri_voie,MATCH(TRUE,INDEX(anmx_nb_voie&gt;0,0),0)+4,1),"")</f>
        <v/>
      </c>
      <c r="L66" s="413"/>
      <c r="M66" s="413"/>
      <c r="N66" s="413"/>
      <c r="O66" s="414"/>
      <c r="P66" s="269" t="str">
        <f>IFERROR(ROUND(INDEX(anmx_tri_voie,MATCH(K66,anmx_nom_voie,0),2)/SUMIF('Étape 1 - à remplir'!$G$19:$G$28,"animaux",'Étape 1 - à remplir'!$F$19:$F$28),3),"")</f>
        <v/>
      </c>
      <c r="Q66" s="271"/>
      <c r="R66" s="103"/>
    </row>
    <row r="67" spans="2:18" ht="29.25" customHeight="1" x14ac:dyDescent="0.3">
      <c r="B67" s="98"/>
      <c r="C67" s="413" t="str">
        <f>IFERROR(INDEX(anmx_tri_maladie,MATCH(TRUE,INDEX(anmx_nb_maladie&gt;0,0),0)+5,1),"")</f>
        <v/>
      </c>
      <c r="D67" s="413"/>
      <c r="E67" s="413"/>
      <c r="F67" s="413"/>
      <c r="G67" s="414"/>
      <c r="H67" s="269" t="str">
        <f>IFERROR(ROUND(INDEX(anmx_tri_maladie,MATCH(C67,anmx_nom_maladie,0),2)/SUMIF('Étape 1 - à remplir'!$G$19:$G$28,"animaux",'Étape 1 - à remplir'!$F$19:$F$28),3),"")</f>
        <v/>
      </c>
      <c r="I67" s="271"/>
      <c r="J67" s="100"/>
      <c r="K67" s="412" t="str">
        <f>IFERROR(INDEX(anmx_tri_voie,MATCH(TRUE,INDEX(anmx_nb_voie&gt;0,0),0)+5,1),"")</f>
        <v/>
      </c>
      <c r="L67" s="413"/>
      <c r="M67" s="413"/>
      <c r="N67" s="413"/>
      <c r="O67" s="414"/>
      <c r="P67" s="269" t="str">
        <f>IFERROR(ROUND(INDEX(anmx_tri_voie,MATCH(K67,anmx_nom_voie,0),2)/SUMIF('Étape 1 - à remplir'!$G$19:$G$28,"animaux",'Étape 1 - à remplir'!$F$19:$F$28),3),"")</f>
        <v/>
      </c>
      <c r="Q67" s="271"/>
      <c r="R67" s="103"/>
    </row>
    <row r="68" spans="2:18" ht="29.25" customHeight="1" x14ac:dyDescent="0.3">
      <c r="B68" s="99"/>
      <c r="C68" s="413" t="str">
        <f>IFERROR(INDEX(anmx_tri_maladie,MATCH(TRUE,INDEX(anmx_nb_maladie&gt;0,0),0)+6,1),"")</f>
        <v/>
      </c>
      <c r="D68" s="413"/>
      <c r="E68" s="413"/>
      <c r="F68" s="413"/>
      <c r="G68" s="414"/>
      <c r="H68" s="269" t="str">
        <f>IFERROR(ROUND(INDEX(anmx_tri_maladie,MATCH(C68,anmx_nom_maladie,0),2)/SUMIF('Étape 1 - à remplir'!$G$19:$G$28,"animaux",'Étape 1 - à remplir'!$F$19:$F$28),3),"")</f>
        <v/>
      </c>
      <c r="I68" s="271"/>
      <c r="J68" s="100"/>
      <c r="K68" s="412" t="str">
        <f>IFERROR(INDEX(anmx_tri_voie,MATCH(TRUE,INDEX(anmx_nb_voie&gt;0,0),0)+6,1),"")</f>
        <v/>
      </c>
      <c r="L68" s="413"/>
      <c r="M68" s="413"/>
      <c r="N68" s="413"/>
      <c r="O68" s="414"/>
      <c r="P68" s="269" t="str">
        <f>IFERROR(ROUND(INDEX(anmx_tri_voie,MATCH(K68,anmx_nom_voie,0),2)/SUMIF('Étape 1 - à remplir'!$G$19:$G$28,"animaux",'Étape 1 - à remplir'!$F$19:$F$28),3),"")</f>
        <v/>
      </c>
      <c r="Q68" s="271"/>
      <c r="R68" s="103"/>
    </row>
    <row r="69" spans="2:18" ht="29.25" customHeight="1" x14ac:dyDescent="0.3">
      <c r="B69" s="99"/>
      <c r="C69" s="413" t="str">
        <f>IFERROR(INDEX(anmx_tri_maladie,MATCH(TRUE,INDEX(anmx_nb_maladie&gt;0,0),0)+7,1),"")</f>
        <v/>
      </c>
      <c r="D69" s="413"/>
      <c r="E69" s="413"/>
      <c r="F69" s="413"/>
      <c r="G69" s="414"/>
      <c r="H69" s="269" t="str">
        <f>IFERROR(ROUND(INDEX(anmx_tri_maladie,MATCH(C69,anmx_nom_maladie,0),2)/SUMIF('Étape 1 - à remplir'!$G$19:$G$28,"animaux",'Étape 1 - à remplir'!$F$19:$F$28),3),"")</f>
        <v/>
      </c>
      <c r="I69" s="271"/>
      <c r="J69" s="100"/>
      <c r="K69" s="412" t="str">
        <f>IFERROR(INDEX(anmx_tri_voie,MATCH(TRUE,INDEX(anmx_nb_voie&gt;0,0),0)+7,1),"")</f>
        <v/>
      </c>
      <c r="L69" s="413"/>
      <c r="M69" s="413"/>
      <c r="N69" s="413"/>
      <c r="O69" s="414"/>
      <c r="P69" s="269" t="str">
        <f>IFERROR(ROUND(INDEX(anmx_tri_voie,MATCH(K69,anmx_nom_voie,0),2)/SUMIF('Étape 1 - à remplir'!$G$19:$G$28,"animaux",'Étape 1 - à remplir'!$F$19:$F$28),3),"")</f>
        <v/>
      </c>
      <c r="Q69" s="271"/>
      <c r="R69" s="103"/>
    </row>
    <row r="70" spans="2:18" ht="29.25" customHeight="1" x14ac:dyDescent="0.3">
      <c r="B70" s="99"/>
      <c r="C70" s="413" t="str">
        <f>IFERROR(INDEX(anmx_tri_maladie,MATCH(TRUE,INDEX(anmx_nb_maladie&gt;0,0),0)+8,1),"")</f>
        <v/>
      </c>
      <c r="D70" s="413"/>
      <c r="E70" s="413"/>
      <c r="F70" s="413"/>
      <c r="G70" s="414"/>
      <c r="H70" s="269" t="str">
        <f>IFERROR(ROUND(INDEX(anmx_tri_maladie,MATCH(C70,anmx_nom_maladie,0),2)/SUMIF('Étape 1 - à remplir'!$G$19:$G$28,"animaux",'Étape 1 - à remplir'!$F$19:$F$28),3),"")</f>
        <v/>
      </c>
      <c r="I70" s="271"/>
      <c r="K70" s="412" t="str">
        <f>IFERROR(INDEX(anmx_tri_voie,MATCH(TRUE,INDEX(anmx_nb_voie&gt;0,0),0)+8,1),"")</f>
        <v/>
      </c>
      <c r="L70" s="413"/>
      <c r="M70" s="413"/>
      <c r="N70" s="413"/>
      <c r="O70" s="414"/>
      <c r="P70" s="269" t="str">
        <f>IFERROR(ROUND(INDEX(anmx_tri_voie,MATCH(K70,anmx_nom_voie,0),2)/SUMIF('Étape 1 - à remplir'!$G$19:$G$28,"animaux",'Étape 1 - à remplir'!$F$19:$F$28),3),"")</f>
        <v/>
      </c>
      <c r="Q70" s="271"/>
      <c r="R70" s="103"/>
    </row>
    <row r="71" spans="2:18" x14ac:dyDescent="0.3">
      <c r="B71" s="95"/>
      <c r="R71" s="103"/>
    </row>
    <row r="72" spans="2:18" x14ac:dyDescent="0.3">
      <c r="B72" s="95"/>
      <c r="R72" s="103"/>
    </row>
    <row r="73" spans="2:18" x14ac:dyDescent="0.3">
      <c r="B73" s="95"/>
      <c r="R73" s="103"/>
    </row>
    <row r="74" spans="2:18" x14ac:dyDescent="0.3">
      <c r="B74" s="95"/>
      <c r="R74" s="103"/>
    </row>
    <row r="75" spans="2:18" x14ac:dyDescent="0.3">
      <c r="B75" s="95"/>
      <c r="R75" s="103"/>
    </row>
    <row r="76" spans="2:18" x14ac:dyDescent="0.3">
      <c r="B76" s="95"/>
      <c r="R76" s="103"/>
    </row>
    <row r="77" spans="2:18" x14ac:dyDescent="0.3">
      <c r="B77" s="95"/>
      <c r="R77" s="103"/>
    </row>
    <row r="78" spans="2:18" x14ac:dyDescent="0.3">
      <c r="B78" s="95"/>
      <c r="R78" s="103"/>
    </row>
    <row r="79" spans="2:18" x14ac:dyDescent="0.3">
      <c r="B79" s="95"/>
      <c r="R79" s="103"/>
    </row>
    <row r="80" spans="2:18" x14ac:dyDescent="0.3">
      <c r="B80" s="95"/>
      <c r="R80" s="103"/>
    </row>
    <row r="81" spans="2:18" x14ac:dyDescent="0.3">
      <c r="B81" s="95"/>
      <c r="R81" s="103"/>
    </row>
    <row r="82" spans="2:18" x14ac:dyDescent="0.3">
      <c r="B82" s="95"/>
      <c r="R82" s="103"/>
    </row>
    <row r="83" spans="2:18" ht="18" customHeight="1" x14ac:dyDescent="0.3">
      <c r="B83" s="95"/>
      <c r="R83" s="103"/>
    </row>
    <row r="84" spans="2:18" x14ac:dyDescent="0.3">
      <c r="B84" s="95"/>
      <c r="R84" s="103"/>
    </row>
    <row r="85" spans="2:18" ht="27" customHeight="1" x14ac:dyDescent="0.3">
      <c r="B85" s="95"/>
      <c r="C85" s="384" t="s">
        <v>576</v>
      </c>
      <c r="D85" s="384"/>
      <c r="E85" s="384"/>
      <c r="F85" s="384" t="s">
        <v>146</v>
      </c>
      <c r="G85" s="384"/>
      <c r="I85" s="384" t="s">
        <v>574</v>
      </c>
      <c r="J85" s="384"/>
      <c r="K85" s="384" t="s">
        <v>146</v>
      </c>
      <c r="L85" s="384"/>
      <c r="N85" s="384" t="s">
        <v>575</v>
      </c>
      <c r="O85" s="384"/>
      <c r="P85" s="384" t="s">
        <v>146</v>
      </c>
      <c r="Q85" s="384"/>
      <c r="R85" s="103"/>
    </row>
    <row r="86" spans="2:18" ht="24" customHeight="1" x14ac:dyDescent="0.3">
      <c r="B86" s="95"/>
      <c r="C86" s="383" t="str" cm="1">
        <f t="array" ref="C86">IFERROR(INDEX(anmx_tri_medic,MATCH(TRUE,INDEX(anmx_nb_tri_medic&gt;0,0),0),1),"")</f>
        <v/>
      </c>
      <c r="D86" s="383"/>
      <c r="E86" s="383"/>
      <c r="F86" s="382" t="str">
        <f>IFERROR(ROUND(INDEX(anmx_tri_medic,MATCH(C86,anmx_nom_tri_medic,0),2)/SUMIF('Étape 1 - à remplir'!G$19:G$28,"animaux",'Étape 1 - à remplir'!F$19:F$28),3),"")</f>
        <v/>
      </c>
      <c r="G86" s="382"/>
      <c r="I86" s="385" t="str" cm="1">
        <f t="array" ref="I86">IFERROR(INDEX(anmx_subst,MATCH(TRUE,INDEX(anmx_subst_nb&gt;0,0),0),1),"")</f>
        <v/>
      </c>
      <c r="J86" s="385"/>
      <c r="K86" s="400" t="str">
        <f>IFERROR(ROUND(INDEX(anmx_subst,MATCH(I86,anmx_subst_nom,0),2)/SUMIF('Étape 1 - à remplir'!G$19:G$28,"animaux",'Étape 1 - à remplir'!F$19:F$28),3),"")</f>
        <v/>
      </c>
      <c r="L86" s="400"/>
      <c r="N86" s="383" t="str" cm="1">
        <f t="array" ref="N86">IFERROR(INDEX(anmx_famille,MATCH(TRUE,INDEX(anmx_famille_nb&gt;0,0),0),1),"")</f>
        <v/>
      </c>
      <c r="O86" s="383"/>
      <c r="P86" s="382" t="str">
        <f>IFERROR(ROUND(INDEX(anmx_famille,MATCH(N86,anmx_famille_nom,0),2)/SUMIF('Étape 1 - à remplir'!G$19:G$28,"animaux",'Étape 1 - à remplir'!F$19:F$28),3),"")</f>
        <v/>
      </c>
      <c r="Q86" s="382"/>
      <c r="R86" s="103"/>
    </row>
    <row r="87" spans="2:18" ht="24" customHeight="1" x14ac:dyDescent="0.3">
      <c r="B87" s="95"/>
      <c r="C87" s="383" t="str" cm="1">
        <f t="array" ref="C87">IFERROR(INDEX(anmx_tri_medic,MATCH(TRUE,INDEX(anmx_nb_tri_medic&gt;0,0),0)+1,1),"")</f>
        <v/>
      </c>
      <c r="D87" s="383"/>
      <c r="E87" s="383"/>
      <c r="F87" s="382" t="str">
        <f>IFERROR(ROUND(INDEX(anmx_tri_medic,MATCH(C87,anmx_nom_tri_medic,0),2)/SUMIF('Étape 1 - à remplir'!G$19:G$28,"animaux",'Étape 1 - à remplir'!F$19:F$28),3),"")</f>
        <v/>
      </c>
      <c r="G87" s="382"/>
      <c r="I87" s="385" t="str" cm="1">
        <f t="array" ref="I87">IFERROR(INDEX(anmx_subst,MATCH(TRUE,INDEX(anmx_subst_nb&gt;0,0),0)+1,1),"")</f>
        <v/>
      </c>
      <c r="J87" s="385"/>
      <c r="K87" s="400" t="str">
        <f>IFERROR(ROUND(INDEX(anmx_subst,MATCH(I87,anmx_subst_nom,0),2)/SUMIF('Étape 1 - à remplir'!G$19:G$28,"animaux",'Étape 1 - à remplir'!F$19:F$28),3),"")</f>
        <v/>
      </c>
      <c r="L87" s="400"/>
      <c r="N87" s="383" t="str" cm="1">
        <f t="array" ref="N87">IFERROR(INDEX(anmx_famille,MATCH(TRUE,INDEX(anmx_famille_nb&gt;0,0),0)+1,1),"")</f>
        <v/>
      </c>
      <c r="O87" s="383"/>
      <c r="P87" s="382" t="str">
        <f>IFERROR(ROUND(INDEX(anmx_famille,MATCH(N87,anmx_famille_nom,0),2)/SUMIF('Étape 1 - à remplir'!G$19:G$28,"animaux",'Étape 1 - à remplir'!F$19:F$28),3),"")</f>
        <v/>
      </c>
      <c r="Q87" s="382"/>
      <c r="R87" s="103"/>
    </row>
    <row r="88" spans="2:18" ht="24" customHeight="1" x14ac:dyDescent="0.3">
      <c r="B88" s="95"/>
      <c r="C88" s="383" t="str" cm="1">
        <f t="array" ref="C88">IFERROR(INDEX(anmx_tri_medic,MATCH(TRUE,INDEX(anmx_nb_tri_medic&gt;0,0),0)+2,1),"")</f>
        <v/>
      </c>
      <c r="D88" s="383"/>
      <c r="E88" s="383"/>
      <c r="F88" s="382" t="str">
        <f>IFERROR(ROUND(INDEX(anmx_tri_medic,MATCH(C88,anmx_nom_tri_medic,0),2)/SUMIF('Étape 1 - à remplir'!G$19:G$28,"animaux",'Étape 1 - à remplir'!F$19:F$28),3),"")</f>
        <v/>
      </c>
      <c r="G88" s="382"/>
      <c r="I88" s="385" t="str" cm="1">
        <f t="array" ref="I88">IFERROR(INDEX(anmx_subst,MATCH(TRUE,INDEX(anmx_subst_nb&gt;0,0),0)+2,1),"")</f>
        <v/>
      </c>
      <c r="J88" s="385"/>
      <c r="K88" s="400" t="str">
        <f>IFERROR(ROUND(INDEX(anmx_subst,MATCH(I88,anmx_subst_nom,0),2)/SUMIF('Étape 1 - à remplir'!G$19:G$28,"animaux",'Étape 1 - à remplir'!F$19:F$28),3),"")</f>
        <v/>
      </c>
      <c r="L88" s="400"/>
      <c r="N88" s="383" t="str" cm="1">
        <f t="array" ref="N88">IFERROR(INDEX(anmx_famille,MATCH(TRUE,INDEX(anmx_famille_nb&gt;0,0),0)+2,1),"")</f>
        <v/>
      </c>
      <c r="O88" s="383"/>
      <c r="P88" s="382" t="str">
        <f>IFERROR(ROUND(INDEX(anmx_famille,MATCH(N88,anmx_famille_nom,0),2)/SUMIF('Étape 1 - à remplir'!G$19:G$28,"animaux",'Étape 1 - à remplir'!F$19:F$28),3),"")</f>
        <v/>
      </c>
      <c r="Q88" s="382"/>
      <c r="R88" s="103"/>
    </row>
    <row r="89" spans="2:18" ht="24" customHeight="1" x14ac:dyDescent="0.3">
      <c r="B89" s="95"/>
      <c r="C89" s="383" t="str" cm="1">
        <f t="array" ref="C89">IFERROR(INDEX(anmx_tri_medic,MATCH(TRUE,INDEX(anmx_nb_tri_medic&gt;0,0),0)+3,1),"")</f>
        <v/>
      </c>
      <c r="D89" s="383"/>
      <c r="E89" s="383"/>
      <c r="F89" s="382" t="str">
        <f>IFERROR(ROUND(INDEX(anmx_tri_medic,MATCH(C89,anmx_nom_tri_medic,0),2)/SUMIF('Étape 1 - à remplir'!G$19:G$28,"animaux",'Étape 1 - à remplir'!F$19:F$28),3),"")</f>
        <v/>
      </c>
      <c r="G89" s="382"/>
      <c r="I89" s="385" t="str" cm="1">
        <f t="array" ref="I89">IFERROR(INDEX(anmx_subst,MATCH(TRUE,INDEX(anmx_subst_nb&gt;0,0),0)+3,1),"")</f>
        <v/>
      </c>
      <c r="J89" s="385"/>
      <c r="K89" s="400" t="str">
        <f>IFERROR(ROUND(INDEX(anmx_subst,MATCH(I89,anmx_subst_nom,0),2)/SUMIF('Étape 1 - à remplir'!G$19:G$28,"animaux",'Étape 1 - à remplir'!F$19:F$28),3),"")</f>
        <v/>
      </c>
      <c r="L89" s="400"/>
      <c r="N89" s="383" t="str" cm="1">
        <f t="array" ref="N89">IFERROR(INDEX(anmx_famille,MATCH(TRUE,INDEX(anmx_famille_nb&gt;0,0),0)+3,1),"")</f>
        <v/>
      </c>
      <c r="O89" s="383"/>
      <c r="P89" s="382" t="str">
        <f>IFERROR(ROUND(INDEX(anmx_famille,MATCH(N89,anmx_famille_nom,0),2)/SUMIF('Étape 1 - à remplir'!G$19:G$28,"animaux",'Étape 1 - à remplir'!F$19:F$28),3),"")</f>
        <v/>
      </c>
      <c r="Q89" s="382"/>
      <c r="R89" s="103"/>
    </row>
    <row r="90" spans="2:18" ht="24" customHeight="1" x14ac:dyDescent="0.3">
      <c r="B90" s="95"/>
      <c r="C90" s="383" t="str" cm="1">
        <f t="array" ref="C90">IFERROR(INDEX(anmx_tri_medic,MATCH(TRUE,INDEX(anmx_nb_tri_medic&gt;0,0),0)+4,1),"")</f>
        <v/>
      </c>
      <c r="D90" s="383"/>
      <c r="E90" s="383"/>
      <c r="F90" s="382" t="str">
        <f>IFERROR(ROUND(INDEX(anmx_tri_medic,MATCH(C90,anmx_nom_tri_medic,0),2)/SUMIF('Étape 1 - à remplir'!G$19:G$28,"animaux",'Étape 1 - à remplir'!F$19:F$28),3),"")</f>
        <v/>
      </c>
      <c r="G90" s="382"/>
      <c r="I90" s="385" t="str" cm="1">
        <f t="array" ref="I90">IFERROR(INDEX(anmx_subst,MATCH(TRUE,INDEX(anmx_subst_nb&gt;0,0),0)+4,1),"")</f>
        <v/>
      </c>
      <c r="J90" s="385"/>
      <c r="K90" s="400" t="str">
        <f>IFERROR(ROUND(INDEX(anmx_subst,MATCH(I90,anmx_subst_nom,0),2)/SUMIF('Étape 1 - à remplir'!G$19:G$28,"animaux",'Étape 1 - à remplir'!F$19:F$28),3),"")</f>
        <v/>
      </c>
      <c r="L90" s="400"/>
      <c r="N90" s="383" t="str" cm="1">
        <f t="array" ref="N90">IFERROR(INDEX(anmx_famille,MATCH(TRUE,INDEX(anmx_famille_nb&gt;0,0),0)+4,1),"")</f>
        <v/>
      </c>
      <c r="O90" s="383"/>
      <c r="P90" s="382" t="str">
        <f>IFERROR(ROUND(INDEX(anmx_famille,MATCH(N90,anmx_famille_nom,0),2)/SUMIF('Étape 1 - à remplir'!G$19:G$28,"animaux",'Étape 1 - à remplir'!F$19:F$28),3),"")</f>
        <v/>
      </c>
      <c r="Q90" s="382"/>
      <c r="R90" s="103"/>
    </row>
    <row r="91" spans="2:18" ht="24" customHeight="1" x14ac:dyDescent="0.3">
      <c r="B91" s="95"/>
      <c r="C91" s="383" t="str" cm="1">
        <f t="array" ref="C91">IFERROR(INDEX(anmx_tri_medic,MATCH(TRUE,INDEX(anmx_nb_tri_medic&gt;0,0),0)+5,1),"")</f>
        <v/>
      </c>
      <c r="D91" s="383"/>
      <c r="E91" s="383"/>
      <c r="F91" s="382" t="str">
        <f>IFERROR(ROUND(INDEX(anmx_tri_medic,MATCH(C91,anmx_nom_tri_medic,0),2)/SUMIF('Étape 1 - à remplir'!G$19:G$28,"animaux",'Étape 1 - à remplir'!F$19:F$28),3),"")</f>
        <v/>
      </c>
      <c r="G91" s="382"/>
      <c r="I91" s="385" t="str" cm="1">
        <f t="array" ref="I91">IFERROR(INDEX(anmx_subst,MATCH(TRUE,INDEX(anmx_subst_nb&gt;0,0),0)+5,1),"")</f>
        <v/>
      </c>
      <c r="J91" s="385"/>
      <c r="K91" s="400" t="str">
        <f>IFERROR(ROUND(INDEX(anmx_subst,MATCH(I91,anmx_subst_nom,0),2)/SUMIF('Étape 1 - à remplir'!G$19:G$28,"animaux",'Étape 1 - à remplir'!F$19:F$28),3),"")</f>
        <v/>
      </c>
      <c r="L91" s="400"/>
      <c r="N91" s="382" t="str" cm="1">
        <f t="array" ref="N91">IFERROR(INDEX(anmx_famille,MATCH(TRUE,INDEX(anmx_famille_nb&gt;0,0),0)+5,1),"")</f>
        <v/>
      </c>
      <c r="O91" s="382"/>
      <c r="P91" s="382" t="str">
        <f>IFERROR(ROUND(INDEX(anmx_famille,MATCH(N91,anmx_famille_nom,0),2)/SUMIF('Étape 1 - à remplir'!G$19:G$28,"animaux",'Étape 1 - à remplir'!F$19:F$28),3),"")</f>
        <v/>
      </c>
      <c r="Q91" s="382"/>
      <c r="R91" s="103"/>
    </row>
    <row r="92" spans="2:18" ht="24" customHeight="1" x14ac:dyDescent="0.3">
      <c r="B92" s="95"/>
      <c r="C92" s="383" t="str" cm="1">
        <f t="array" ref="C92">IFERROR(INDEX(anmx_tri_medic,MATCH(TRUE,INDEX(anmx_nb_tri_medic&gt;0,0),0)+6,1),"")</f>
        <v/>
      </c>
      <c r="D92" s="383"/>
      <c r="E92" s="383"/>
      <c r="F92" s="382" t="str">
        <f>IFERROR(ROUND(INDEX(anmx_tri_medic,MATCH(C92,anmx_nom_tri_medic,0),2)/SUMIF('Étape 1 - à remplir'!G$19:G$28,"animaux",'Étape 1 - à remplir'!F$19:F$28),3),"")</f>
        <v/>
      </c>
      <c r="G92" s="382"/>
      <c r="I92" s="400" t="str" cm="1">
        <f t="array" ref="I92">IFERROR(INDEX(anmx_subst,MATCH(TRUE,INDEX(anmx_subst_nb&gt;0,0),0)+6,1),"")</f>
        <v/>
      </c>
      <c r="J92" s="400"/>
      <c r="K92" s="400" t="str">
        <f>IFERROR(ROUND(INDEX(anmx_subst,MATCH(I92,anmx_subst_nom,0),2)/SUMIF('Étape 1 - à remplir'!G$19:G$28,"animaux",'Étape 1 - à remplir'!F$19:F$28),3),"")</f>
        <v/>
      </c>
      <c r="L92" s="400"/>
      <c r="N92" s="382" t="str" cm="1">
        <f t="array" ref="N92">IFERROR(INDEX(anmx_famille,MATCH(TRUE,INDEX(anmx_famille_nb&gt;0,0),0)+6,1),"")</f>
        <v/>
      </c>
      <c r="O92" s="382"/>
      <c r="P92" s="382" t="str">
        <f>IFERROR(ROUND(INDEX(anmx_famille,MATCH(N92,anmx_famille_nom,0),2)/SUMIF('Étape 1 - à remplir'!G$19:G$28,"animaux",'Étape 1 - à remplir'!F$19:F$28),3),"")</f>
        <v/>
      </c>
      <c r="Q92" s="382"/>
      <c r="R92" s="103"/>
    </row>
    <row r="93" spans="2:18" ht="24" customHeight="1" x14ac:dyDescent="0.3">
      <c r="B93" s="95"/>
      <c r="C93" s="382" t="str" cm="1">
        <f t="array" ref="C93">IFERROR(INDEX(anmx_tri_medic,MATCH(TRUE,INDEX(anmx_nb_tri_medic&gt;0,0),0)+7,1),"")</f>
        <v/>
      </c>
      <c r="D93" s="382"/>
      <c r="E93" s="382"/>
      <c r="F93" s="382" t="str">
        <f>IFERROR(ROUND(INDEX(anmx_tri_medic,MATCH(C93,anmx_nom_tri_medic,0),2)/SUMIF('Étape 1 - à remplir'!G$19:G$28,"animaux",'Étape 1 - à remplir'!F$19:F$28),3),"")</f>
        <v/>
      </c>
      <c r="G93" s="382"/>
      <c r="I93" s="400" t="str" cm="1">
        <f t="array" ref="I93">IFERROR(INDEX(anmx_subst,MATCH(TRUE,INDEX(anmx_subst_nb&gt;0,0),0)+7,1),"")</f>
        <v/>
      </c>
      <c r="J93" s="400"/>
      <c r="K93" s="400" t="str">
        <f>IFERROR(ROUND(INDEX(anmx_subst,MATCH(I93,anmx_subst_nom,0),2)/SUMIF('Étape 1 - à remplir'!G$19:G$28,"animaux",'Étape 1 - à remplir'!F$19:F$28),3),"")</f>
        <v/>
      </c>
      <c r="L93" s="400"/>
      <c r="N93" s="382" t="str" cm="1">
        <f t="array" ref="N93">IFERROR(INDEX(anmx_famille,MATCH(TRUE,INDEX(anmx_famille_nb&gt;0,0),0)+7,1),"")</f>
        <v/>
      </c>
      <c r="O93" s="382"/>
      <c r="P93" s="382" t="str">
        <f>IFERROR(ROUND(INDEX(anmx_famille,MATCH(N93,anmx_famille_nom,0),2)/SUMIF('Étape 1 - à remplir'!G$19:G$28,"animaux",'Étape 1 - à remplir'!F$19:F$28),3),"")</f>
        <v/>
      </c>
      <c r="Q93" s="382"/>
      <c r="R93" s="103"/>
    </row>
    <row r="94" spans="2:18" ht="24" customHeight="1" x14ac:dyDescent="0.3">
      <c r="B94" s="95"/>
      <c r="C94" s="401" t="str" cm="1">
        <f t="array" ref="C94">IFERROR(INDEX(anmx_tri_medic,MATCH(TRUE,INDEX(anmx_nb_tri_medic&gt;0,0),0)+8,1),"")</f>
        <v/>
      </c>
      <c r="D94" s="401"/>
      <c r="E94" s="401"/>
      <c r="F94" s="401" t="str">
        <f>IFERROR(ROUND(INDEX(anmx_tri_medic,MATCH(C94,anmx_nom_tri_medic,0),2)/SUMIF('Étape 1 - à remplir'!G$19:G$28,"animaux",'Étape 1 - à remplir'!F$19:F$28),3),"")</f>
        <v/>
      </c>
      <c r="G94" s="401"/>
      <c r="I94" s="400" t="str" cm="1">
        <f t="array" ref="I94">IFERROR(INDEX(anmx_subst,MATCH(TRUE,INDEX(anmx_subst_nb&gt;0,0),0)+8,1),"")</f>
        <v/>
      </c>
      <c r="J94" s="400"/>
      <c r="K94" s="400" t="str">
        <f>IFERROR(ROUND(INDEX(anmx_subst,MATCH(I94,anmx_subst_nom,0),2)/SUMIF('Étape 1 - à remplir'!G$19:G$28,"animaux",'Étape 1 - à remplir'!F$19:F$28),3),"")</f>
        <v/>
      </c>
      <c r="L94" s="400"/>
      <c r="N94" s="401" t="str" cm="1">
        <f t="array" ref="N94">IFERROR(INDEX(anmx_famille,MATCH(TRUE,INDEX(anmx_famille_nb&gt;0,0),0)+8,1),"")</f>
        <v/>
      </c>
      <c r="O94" s="401"/>
      <c r="P94" s="401" t="str">
        <f>IFERROR(ROUND(INDEX(anmx_famille,MATCH(N94,anmx_famille_nom,0),2)/SUMIF('Étape 1 - à remplir'!G$19:G$28,"animaux",'Étape 1 - à remplir'!F$19:F$28),3),"")</f>
        <v/>
      </c>
      <c r="Q94" s="401"/>
      <c r="R94" s="103"/>
    </row>
    <row r="95" spans="2:18" ht="24" customHeight="1" x14ac:dyDescent="0.3">
      <c r="B95" s="95"/>
      <c r="C95" s="400" t="str" cm="1">
        <f t="array" ref="C95">IFERROR(INDEX(anmx_tri_medic,MATCH(TRUE,INDEX(anmx_nb_tri_medic&gt;0,0),0)+9,1),"")</f>
        <v/>
      </c>
      <c r="D95" s="400"/>
      <c r="E95" s="400"/>
      <c r="F95" s="400" t="str">
        <f>IFERROR(ROUND(INDEX(anmx_tri_medic,MATCH(C95,anmx_nom_tri_medic,0),2)/SUMIF('Étape 1 - à remplir'!G$19:G$28,"animaux",'Étape 1 - à remplir'!F$19:F$28),3),"")</f>
        <v/>
      </c>
      <c r="G95" s="400"/>
      <c r="I95" s="400" t="str" cm="1">
        <f t="array" ref="I95">IFERROR(INDEX(anmx_subst,MATCH(TRUE,INDEX(anmx_subst_nb&gt;0,0),0)+9,1),"")</f>
        <v/>
      </c>
      <c r="J95" s="400"/>
      <c r="K95" s="400" t="str">
        <f>IFERROR(ROUND(INDEX(anmx_subst,MATCH(I95,anmx_subst_nom,0),2)/SUMIF('Étape 1 - à remplir'!G$19:G$28,"animaux",'Étape 1 - à remplir'!F$19:F$28),3),"")</f>
        <v/>
      </c>
      <c r="L95" s="400"/>
      <c r="N95" s="400" t="str" cm="1">
        <f t="array" ref="N95">IFERROR(INDEX(anmx_famille,MATCH(TRUE,INDEX(anmx_famille_nb&gt;0,0),0)+9,1),"")</f>
        <v/>
      </c>
      <c r="O95" s="400"/>
      <c r="P95" s="400" t="str">
        <f>IFERROR(ROUND(INDEX(anmx_famille,MATCH(N95,anmx_famille_nom,0),2)/SUMIF('Étape 1 - à remplir'!G$19:G$28,"animaux",'Étape 1 - à remplir'!F$19:F$28),3),"")</f>
        <v/>
      </c>
      <c r="Q95" s="400"/>
      <c r="R95" s="103"/>
    </row>
    <row r="96" spans="2:18" ht="24" customHeight="1" x14ac:dyDescent="0.3">
      <c r="B96" s="95"/>
      <c r="R96" s="103"/>
    </row>
    <row r="97" spans="2:18" ht="24" customHeight="1" x14ac:dyDescent="0.3">
      <c r="B97" s="95"/>
      <c r="C97" s="408" t="s">
        <v>4353</v>
      </c>
      <c r="D97" s="408"/>
      <c r="E97" s="408"/>
      <c r="F97" s="408"/>
      <c r="G97" s="408"/>
      <c r="H97" s="408"/>
      <c r="I97" s="408"/>
      <c r="J97" s="408"/>
      <c r="K97" s="408"/>
      <c r="L97" s="408"/>
      <c r="M97" s="408"/>
      <c r="N97" s="408"/>
      <c r="O97" s="408"/>
      <c r="P97" s="408"/>
      <c r="Q97" s="408"/>
      <c r="R97" s="103"/>
    </row>
    <row r="98" spans="2:18" ht="24" customHeight="1" x14ac:dyDescent="0.3">
      <c r="B98" s="95"/>
      <c r="R98" s="103"/>
    </row>
    <row r="99" spans="2:18" ht="24" customHeight="1" x14ac:dyDescent="0.3">
      <c r="B99" s="95"/>
      <c r="D99" s="409" t="s">
        <v>588</v>
      </c>
      <c r="E99" s="409"/>
      <c r="F99" s="244" t="s">
        <v>587</v>
      </c>
      <c r="G99" s="409" t="s">
        <v>586</v>
      </c>
      <c r="H99" s="409"/>
      <c r="I99" s="409" t="s">
        <v>4354</v>
      </c>
      <c r="J99" s="409"/>
      <c r="K99" s="244" t="s">
        <v>552</v>
      </c>
      <c r="L99" s="409" t="s">
        <v>4357</v>
      </c>
      <c r="M99" s="409"/>
      <c r="N99" s="409"/>
      <c r="O99" s="409" t="s">
        <v>146</v>
      </c>
      <c r="P99" s="409"/>
      <c r="R99" s="103"/>
    </row>
    <row r="100" spans="2:18" ht="28.5" customHeight="1" x14ac:dyDescent="0.3">
      <c r="B100" s="95"/>
      <c r="D100" s="407" t="str">
        <f>IF(MASQ2!AF77="","",MASQ2!AF77)</f>
        <v/>
      </c>
      <c r="E100" s="407"/>
      <c r="F100" s="243" t="str">
        <f>IF(MASQ2!AG77="","",MASQ2!AG77)</f>
        <v/>
      </c>
      <c r="G100" s="407" t="str">
        <f>IF(MASQ2!AH77="","",MASQ2!AH77)</f>
        <v/>
      </c>
      <c r="H100" s="407"/>
      <c r="I100" s="407" t="str">
        <f>IF(MASQ2!AI77="","",MASQ2!AI77)</f>
        <v/>
      </c>
      <c r="J100" s="407"/>
      <c r="K100" s="243" t="str">
        <f>IF(MASQ2!AJ77="","",MASQ2!AJ77)</f>
        <v/>
      </c>
      <c r="L100" s="407" t="str">
        <f>IF(MASQ2!AK77="","",MASQ2!AK77)</f>
        <v/>
      </c>
      <c r="M100" s="407"/>
      <c r="N100" s="407"/>
      <c r="O100" s="407" t="str">
        <f>IF(MASQ2!AL77="","",ROUND(MASQ2!AL77,2))</f>
        <v/>
      </c>
      <c r="P100" s="407"/>
      <c r="R100" s="103"/>
    </row>
    <row r="101" spans="2:18" ht="28.5" customHeight="1" x14ac:dyDescent="0.3">
      <c r="B101" s="95"/>
      <c r="D101" s="407" t="str">
        <f>IF(MASQ2!AF78="","",MASQ2!AF78)</f>
        <v/>
      </c>
      <c r="E101" s="407"/>
      <c r="F101" s="243" t="str">
        <f>IF(MASQ2!AG78="","",MASQ2!AG78)</f>
        <v/>
      </c>
      <c r="G101" s="407" t="str">
        <f>IF(MASQ2!AH78="","",MASQ2!AH78)</f>
        <v/>
      </c>
      <c r="H101" s="407"/>
      <c r="I101" s="407" t="str">
        <f>IF(MASQ2!AI78="","",MASQ2!AI78)</f>
        <v/>
      </c>
      <c r="J101" s="407"/>
      <c r="K101" s="243" t="str">
        <f>IF(MASQ2!AJ78="","",MASQ2!AJ78)</f>
        <v/>
      </c>
      <c r="L101" s="407" t="str">
        <f>IF(MASQ2!AK78="","",MASQ2!AK78)</f>
        <v/>
      </c>
      <c r="M101" s="407"/>
      <c r="N101" s="407"/>
      <c r="O101" s="407" t="str">
        <f>IF(MASQ2!AL78="","",ROUND(MASQ2!AL78,2))</f>
        <v/>
      </c>
      <c r="P101" s="407"/>
      <c r="R101" s="103"/>
    </row>
    <row r="102" spans="2:18" ht="28.5" customHeight="1" x14ac:dyDescent="0.3">
      <c r="B102" s="95"/>
      <c r="D102" s="407" t="str">
        <f>IF(MASQ2!AF79="","",MASQ2!AF79)</f>
        <v/>
      </c>
      <c r="E102" s="407"/>
      <c r="F102" s="243" t="str">
        <f>IF(MASQ2!AG79="","",MASQ2!AG79)</f>
        <v/>
      </c>
      <c r="G102" s="407" t="str">
        <f>IF(MASQ2!AH79="","",MASQ2!AH79)</f>
        <v/>
      </c>
      <c r="H102" s="407"/>
      <c r="I102" s="407" t="str">
        <f>IF(MASQ2!AI79="","",MASQ2!AI79)</f>
        <v/>
      </c>
      <c r="J102" s="407"/>
      <c r="K102" s="243" t="str">
        <f>IF(MASQ2!AJ79="","",MASQ2!AJ79)</f>
        <v/>
      </c>
      <c r="L102" s="407" t="str">
        <f>IF(MASQ2!AK79="","",MASQ2!AK79)</f>
        <v/>
      </c>
      <c r="M102" s="407"/>
      <c r="N102" s="407"/>
      <c r="O102" s="407" t="str">
        <f>IF(MASQ2!AL79="","",ROUND(MASQ2!AL79,2))</f>
        <v/>
      </c>
      <c r="P102" s="407"/>
      <c r="R102" s="103"/>
    </row>
    <row r="103" spans="2:18" ht="28.5" customHeight="1" x14ac:dyDescent="0.3">
      <c r="B103" s="95"/>
      <c r="D103" s="407" t="str">
        <f>IF(MASQ2!AF80="","",MASQ2!AF80)</f>
        <v/>
      </c>
      <c r="E103" s="407"/>
      <c r="F103" s="243" t="str">
        <f>IF(MASQ2!AG80="","",MASQ2!AG80)</f>
        <v/>
      </c>
      <c r="G103" s="407" t="str">
        <f>IF(MASQ2!AH80="","",MASQ2!AH80)</f>
        <v/>
      </c>
      <c r="H103" s="407"/>
      <c r="I103" s="407" t="str">
        <f>IF(MASQ2!AI80="","",MASQ2!AI80)</f>
        <v/>
      </c>
      <c r="J103" s="407"/>
      <c r="K103" s="243" t="str">
        <f>IF(MASQ2!AJ80="","",MASQ2!AJ80)</f>
        <v/>
      </c>
      <c r="L103" s="407" t="str">
        <f>IF(MASQ2!AK80="","",MASQ2!AK80)</f>
        <v/>
      </c>
      <c r="M103" s="407"/>
      <c r="N103" s="407"/>
      <c r="O103" s="407" t="str">
        <f>IF(MASQ2!AL80="","",ROUND(MASQ2!AL80,2))</f>
        <v/>
      </c>
      <c r="P103" s="407"/>
      <c r="R103" s="103"/>
    </row>
    <row r="104" spans="2:18" ht="28.5" customHeight="1" x14ac:dyDescent="0.3">
      <c r="B104" s="95"/>
      <c r="D104" s="407" t="str">
        <f>IF(MASQ2!AF81="","",MASQ2!AF81)</f>
        <v/>
      </c>
      <c r="E104" s="407"/>
      <c r="F104" s="243" t="str">
        <f>IF(MASQ2!AG81="","",MASQ2!AG81)</f>
        <v/>
      </c>
      <c r="G104" s="407" t="str">
        <f>IF(MASQ2!AH81="","",MASQ2!AH81)</f>
        <v/>
      </c>
      <c r="H104" s="407"/>
      <c r="I104" s="407" t="str">
        <f>IF(MASQ2!AI81="","",MASQ2!AI81)</f>
        <v/>
      </c>
      <c r="J104" s="407"/>
      <c r="K104" s="243" t="str">
        <f>IF(MASQ2!AJ81="","",MASQ2!AJ81)</f>
        <v/>
      </c>
      <c r="L104" s="407" t="str">
        <f>IF(MASQ2!AK81="","",MASQ2!AK81)</f>
        <v/>
      </c>
      <c r="M104" s="407"/>
      <c r="N104" s="407"/>
      <c r="O104" s="407" t="str">
        <f>IF(MASQ2!AL81="","",ROUND(MASQ2!AL81,2))</f>
        <v/>
      </c>
      <c r="P104" s="407"/>
      <c r="R104" s="103"/>
    </row>
    <row r="105" spans="2:18" ht="28.5" customHeight="1" x14ac:dyDescent="0.3">
      <c r="B105" s="95"/>
      <c r="D105" s="407" t="str">
        <f>IF(MASQ2!AF82="","",MASQ2!AF82)</f>
        <v/>
      </c>
      <c r="E105" s="407"/>
      <c r="F105" s="243" t="str">
        <f>IF(MASQ2!AG82="","",MASQ2!AG82)</f>
        <v/>
      </c>
      <c r="G105" s="407" t="str">
        <f>IF(MASQ2!AH82="","",MASQ2!AH82)</f>
        <v/>
      </c>
      <c r="H105" s="407"/>
      <c r="I105" s="407" t="str">
        <f>IF(MASQ2!AI82="","",MASQ2!AI82)</f>
        <v/>
      </c>
      <c r="J105" s="407"/>
      <c r="K105" s="243" t="str">
        <f>IF(MASQ2!AJ82="","",MASQ2!AJ82)</f>
        <v/>
      </c>
      <c r="L105" s="407" t="str">
        <f>IF(MASQ2!AK82="","",MASQ2!AK82)</f>
        <v/>
      </c>
      <c r="M105" s="407"/>
      <c r="N105" s="407"/>
      <c r="O105" s="407" t="str">
        <f>IF(MASQ2!AL82="","",ROUND(MASQ2!AL82,2))</f>
        <v/>
      </c>
      <c r="P105" s="407"/>
      <c r="R105" s="103"/>
    </row>
    <row r="106" spans="2:18" ht="28.5" customHeight="1" x14ac:dyDescent="0.3">
      <c r="B106" s="95"/>
      <c r="D106" s="407" t="str">
        <f>IF(MASQ2!AF83="","",MASQ2!AF83)</f>
        <v/>
      </c>
      <c r="E106" s="407"/>
      <c r="F106" s="243" t="str">
        <f>IF(MASQ2!AG83="","",MASQ2!AG83)</f>
        <v/>
      </c>
      <c r="G106" s="407" t="str">
        <f>IF(MASQ2!AH83="","",MASQ2!AH83)</f>
        <v/>
      </c>
      <c r="H106" s="407"/>
      <c r="I106" s="407" t="str">
        <f>IF(MASQ2!AI83="","",MASQ2!AI83)</f>
        <v/>
      </c>
      <c r="J106" s="407"/>
      <c r="K106" s="243" t="str">
        <f>IF(MASQ2!AJ83="","",MASQ2!AJ83)</f>
        <v/>
      </c>
      <c r="L106" s="407" t="str">
        <f>IF(MASQ2!AK83="","",MASQ2!AK83)</f>
        <v/>
      </c>
      <c r="M106" s="407"/>
      <c r="N106" s="407"/>
      <c r="O106" s="407" t="str">
        <f>IF(MASQ2!AL83="","",ROUND(MASQ2!AL83,2))</f>
        <v/>
      </c>
      <c r="P106" s="407"/>
      <c r="R106" s="103"/>
    </row>
    <row r="107" spans="2:18" ht="28.5" customHeight="1" x14ac:dyDescent="0.3">
      <c r="B107" s="95"/>
      <c r="D107" s="407" t="str">
        <f>IF(MASQ2!AF84="","",MASQ2!AF84)</f>
        <v/>
      </c>
      <c r="E107" s="407"/>
      <c r="F107" s="243" t="str">
        <f>IF(MASQ2!AG84="","",MASQ2!AG84)</f>
        <v/>
      </c>
      <c r="G107" s="407" t="str">
        <f>IF(MASQ2!AH84="","",MASQ2!AH84)</f>
        <v/>
      </c>
      <c r="H107" s="407"/>
      <c r="I107" s="407" t="str">
        <f>IF(MASQ2!AI84="","",MASQ2!AI84)</f>
        <v/>
      </c>
      <c r="J107" s="407"/>
      <c r="K107" s="243" t="str">
        <f>IF(MASQ2!AJ84="","",MASQ2!AJ84)</f>
        <v/>
      </c>
      <c r="L107" s="407" t="str">
        <f>IF(MASQ2!AK84="","",MASQ2!AK84)</f>
        <v/>
      </c>
      <c r="M107" s="407"/>
      <c r="N107" s="407"/>
      <c r="O107" s="407" t="str">
        <f>IF(MASQ2!AL84="","",ROUND(MASQ2!AL84,2))</f>
        <v/>
      </c>
      <c r="P107" s="407"/>
      <c r="R107" s="103"/>
    </row>
    <row r="108" spans="2:18" ht="28.5" customHeight="1" x14ac:dyDescent="0.3">
      <c r="B108" s="95"/>
      <c r="D108" s="407" t="str">
        <f>IF(MASQ2!AF85="","",MASQ2!AF85)</f>
        <v/>
      </c>
      <c r="E108" s="407"/>
      <c r="F108" s="243" t="str">
        <f>IF(MASQ2!AG85="","",MASQ2!AG85)</f>
        <v/>
      </c>
      <c r="G108" s="407" t="str">
        <f>IF(MASQ2!AH85="","",MASQ2!AH85)</f>
        <v/>
      </c>
      <c r="H108" s="407"/>
      <c r="I108" s="407" t="str">
        <f>IF(MASQ2!AI85="","",MASQ2!AI85)</f>
        <v/>
      </c>
      <c r="J108" s="407"/>
      <c r="K108" s="243" t="str">
        <f>IF(MASQ2!AJ85="","",MASQ2!AJ85)</f>
        <v/>
      </c>
      <c r="L108" s="407" t="str">
        <f>IF(MASQ2!AK85="","",MASQ2!AK85)</f>
        <v/>
      </c>
      <c r="M108" s="407"/>
      <c r="N108" s="407"/>
      <c r="O108" s="407" t="str">
        <f>IF(MASQ2!AL85="","",ROUND(MASQ2!AL85,2))</f>
        <v/>
      </c>
      <c r="P108" s="407"/>
      <c r="R108" s="103"/>
    </row>
    <row r="109" spans="2:18" ht="28.5" customHeight="1" x14ac:dyDescent="0.3">
      <c r="B109" s="95"/>
      <c r="D109" s="407" t="str">
        <f>IF(MASQ2!AF86="","",MASQ2!AF86)</f>
        <v/>
      </c>
      <c r="E109" s="407"/>
      <c r="F109" s="243" t="str">
        <f>IF(MASQ2!AG86="","",MASQ2!AG86)</f>
        <v/>
      </c>
      <c r="G109" s="407" t="str">
        <f>IF(MASQ2!AH86="","",MASQ2!AH86)</f>
        <v/>
      </c>
      <c r="H109" s="407"/>
      <c r="I109" s="407" t="str">
        <f>IF(MASQ2!AI86="","",MASQ2!AI86)</f>
        <v/>
      </c>
      <c r="J109" s="407"/>
      <c r="K109" s="243" t="str">
        <f>IF(MASQ2!AJ86="","",MASQ2!AJ86)</f>
        <v/>
      </c>
      <c r="L109" s="407" t="str">
        <f>IF(MASQ2!AK86="","",MASQ2!AK86)</f>
        <v/>
      </c>
      <c r="M109" s="407"/>
      <c r="N109" s="407"/>
      <c r="O109" s="407" t="str">
        <f>IF(MASQ2!AL86="","",ROUND(MASQ2!AL86,2))</f>
        <v/>
      </c>
      <c r="P109" s="407"/>
      <c r="R109" s="103"/>
    </row>
    <row r="110" spans="2:18" ht="28.5" customHeight="1" x14ac:dyDescent="0.3">
      <c r="B110" s="95"/>
      <c r="D110" s="407" t="str">
        <f>IF(MASQ2!AF87="","",MASQ2!AF87)</f>
        <v/>
      </c>
      <c r="E110" s="407"/>
      <c r="F110" s="243" t="str">
        <f>IF(MASQ2!AG87="","",MASQ2!AG87)</f>
        <v/>
      </c>
      <c r="G110" s="407" t="str">
        <f>IF(MASQ2!AH87="","",MASQ2!AH87)</f>
        <v/>
      </c>
      <c r="H110" s="407"/>
      <c r="I110" s="407" t="str">
        <f>IF(MASQ2!AI87="","",MASQ2!AI87)</f>
        <v/>
      </c>
      <c r="J110" s="407"/>
      <c r="K110" s="243" t="str">
        <f>IF(MASQ2!AJ87="","",MASQ2!AJ87)</f>
        <v/>
      </c>
      <c r="L110" s="407" t="str">
        <f>IF(MASQ2!AK87="","",MASQ2!AK87)</f>
        <v/>
      </c>
      <c r="M110" s="407"/>
      <c r="N110" s="407"/>
      <c r="O110" s="407" t="str">
        <f>IF(MASQ2!AL87="","",ROUND(MASQ2!AL87,2))</f>
        <v/>
      </c>
      <c r="P110" s="407"/>
      <c r="R110" s="103"/>
    </row>
    <row r="111" spans="2:18" ht="24" customHeight="1" x14ac:dyDescent="0.3">
      <c r="B111" s="95"/>
      <c r="R111" s="103"/>
    </row>
    <row r="112" spans="2:18" ht="24" customHeight="1" thickBot="1" x14ac:dyDescent="0.35">
      <c r="B112" s="199"/>
      <c r="C112" s="105"/>
      <c r="D112" s="105"/>
      <c r="E112" s="105"/>
      <c r="F112" s="105"/>
      <c r="G112" s="105"/>
      <c r="H112" s="105"/>
      <c r="I112" s="105"/>
      <c r="J112" s="105"/>
      <c r="K112" s="105"/>
      <c r="L112" s="105"/>
      <c r="M112" s="105"/>
      <c r="N112" s="105"/>
      <c r="O112" s="105"/>
      <c r="P112" s="105"/>
      <c r="Q112" s="105"/>
      <c r="R112" s="106"/>
    </row>
    <row r="113" ht="24" hidden="1" customHeight="1" x14ac:dyDescent="0.3"/>
    <row r="114" ht="24" hidden="1" customHeight="1" x14ac:dyDescent="0.3"/>
    <row r="115" ht="24" hidden="1" customHeight="1" x14ac:dyDescent="0.3"/>
    <row r="116" ht="24" hidden="1" customHeight="1" x14ac:dyDescent="0.3"/>
    <row r="117" x14ac:dyDescent="0.3"/>
    <row r="118" x14ac:dyDescent="0.3"/>
  </sheetData>
  <sheetProtection algorithmName="SHA-512" hashValue="bIrNUgpXj4i4YUsGbxMrfAkIiNfmvXn5qGEiM57QN2ek/I0XzEGElAJG0fDKUQuq4Yo40z8Hp+qmTzHXOU4j6A==" saltValue="RLRk3c6B6JH7QiIcrKiUkg==" spinCount="100000" sheet="1" scenarios="1"/>
  <mergeCells count="181">
    <mergeCell ref="C63:G63"/>
    <mergeCell ref="C62:G62"/>
    <mergeCell ref="E30:O31"/>
    <mergeCell ref="D30:D31"/>
    <mergeCell ref="D12:O13"/>
    <mergeCell ref="I102:J102"/>
    <mergeCell ref="L102:N102"/>
    <mergeCell ref="O102:P102"/>
    <mergeCell ref="C93:E93"/>
    <mergeCell ref="F91:G91"/>
    <mergeCell ref="F92:G92"/>
    <mergeCell ref="F93:G93"/>
    <mergeCell ref="F94:G94"/>
    <mergeCell ref="F95:G95"/>
    <mergeCell ref="C92:E92"/>
    <mergeCell ref="C91:E91"/>
    <mergeCell ref="I17:P17"/>
    <mergeCell ref="I18:P18"/>
    <mergeCell ref="I19:P19"/>
    <mergeCell ref="I20:P20"/>
    <mergeCell ref="I21:P21"/>
    <mergeCell ref="I22:P22"/>
    <mergeCell ref="I23:P23"/>
    <mergeCell ref="G27:H27"/>
    <mergeCell ref="G103:H103"/>
    <mergeCell ref="I103:J103"/>
    <mergeCell ref="L103:N103"/>
    <mergeCell ref="C61:G61"/>
    <mergeCell ref="K61:O61"/>
    <mergeCell ref="K70:O70"/>
    <mergeCell ref="K69:O69"/>
    <mergeCell ref="K68:O68"/>
    <mergeCell ref="K67:O67"/>
    <mergeCell ref="K66:O66"/>
    <mergeCell ref="K65:O65"/>
    <mergeCell ref="K64:O64"/>
    <mergeCell ref="K63:O63"/>
    <mergeCell ref="K62:O62"/>
    <mergeCell ref="C70:G70"/>
    <mergeCell ref="C69:G69"/>
    <mergeCell ref="C68:G68"/>
    <mergeCell ref="C67:G67"/>
    <mergeCell ref="C66:G66"/>
    <mergeCell ref="C65:G65"/>
    <mergeCell ref="O103:P103"/>
    <mergeCell ref="C95:E95"/>
    <mergeCell ref="C94:E94"/>
    <mergeCell ref="C64:G64"/>
    <mergeCell ref="D109:E109"/>
    <mergeCell ref="G109:H109"/>
    <mergeCell ref="I109:J109"/>
    <mergeCell ref="L109:N109"/>
    <mergeCell ref="O109:P109"/>
    <mergeCell ref="D110:E110"/>
    <mergeCell ref="G110:H110"/>
    <mergeCell ref="I110:J110"/>
    <mergeCell ref="L110:N110"/>
    <mergeCell ref="O110:P110"/>
    <mergeCell ref="D107:E107"/>
    <mergeCell ref="G107:H107"/>
    <mergeCell ref="I107:J107"/>
    <mergeCell ref="L107:N107"/>
    <mergeCell ref="O107:P107"/>
    <mergeCell ref="D108:E108"/>
    <mergeCell ref="G108:H108"/>
    <mergeCell ref="I108:J108"/>
    <mergeCell ref="L108:N108"/>
    <mergeCell ref="O108:P108"/>
    <mergeCell ref="D105:E105"/>
    <mergeCell ref="G105:H105"/>
    <mergeCell ref="I105:J105"/>
    <mergeCell ref="L105:N105"/>
    <mergeCell ref="O105:P105"/>
    <mergeCell ref="D106:E106"/>
    <mergeCell ref="G106:H106"/>
    <mergeCell ref="I106:J106"/>
    <mergeCell ref="L106:N106"/>
    <mergeCell ref="O106:P106"/>
    <mergeCell ref="D104:E104"/>
    <mergeCell ref="G104:H104"/>
    <mergeCell ref="I104:J104"/>
    <mergeCell ref="L104:N104"/>
    <mergeCell ref="O104:P104"/>
    <mergeCell ref="C97:Q97"/>
    <mergeCell ref="D99:E99"/>
    <mergeCell ref="G99:H99"/>
    <mergeCell ref="I99:J99"/>
    <mergeCell ref="L99:N99"/>
    <mergeCell ref="O99:P99"/>
    <mergeCell ref="D100:E100"/>
    <mergeCell ref="G100:H100"/>
    <mergeCell ref="I100:J100"/>
    <mergeCell ref="L100:N100"/>
    <mergeCell ref="O100:P100"/>
    <mergeCell ref="D101:E101"/>
    <mergeCell ref="G101:H101"/>
    <mergeCell ref="I101:J101"/>
    <mergeCell ref="L101:N101"/>
    <mergeCell ref="O101:P101"/>
    <mergeCell ref="D102:E102"/>
    <mergeCell ref="G102:H102"/>
    <mergeCell ref="D103:E103"/>
    <mergeCell ref="M27:O27"/>
    <mergeCell ref="I15:P15"/>
    <mergeCell ref="I16:P16"/>
    <mergeCell ref="K27:L27"/>
    <mergeCell ref="C23:F23"/>
    <mergeCell ref="C24:F24"/>
    <mergeCell ref="C25:F25"/>
    <mergeCell ref="I25:P25"/>
    <mergeCell ref="I24:P24"/>
    <mergeCell ref="E27:F27"/>
    <mergeCell ref="P89:Q89"/>
    <mergeCell ref="P90:Q90"/>
    <mergeCell ref="K90:L90"/>
    <mergeCell ref="K89:L89"/>
    <mergeCell ref="P91:Q91"/>
    <mergeCell ref="K91:L91"/>
    <mergeCell ref="K92:L92"/>
    <mergeCell ref="I92:J92"/>
    <mergeCell ref="P95:Q95"/>
    <mergeCell ref="I95:J95"/>
    <mergeCell ref="I94:J94"/>
    <mergeCell ref="I93:J93"/>
    <mergeCell ref="P94:Q94"/>
    <mergeCell ref="P93:Q93"/>
    <mergeCell ref="P92:Q92"/>
    <mergeCell ref="N95:O95"/>
    <mergeCell ref="N94:O94"/>
    <mergeCell ref="N93:O93"/>
    <mergeCell ref="N92:O92"/>
    <mergeCell ref="K95:L95"/>
    <mergeCell ref="K94:L94"/>
    <mergeCell ref="K93:L93"/>
    <mergeCell ref="N91:O91"/>
    <mergeCell ref="N90:O90"/>
    <mergeCell ref="P85:Q85"/>
    <mergeCell ref="F85:G85"/>
    <mergeCell ref="F88:G88"/>
    <mergeCell ref="F87:G87"/>
    <mergeCell ref="F86:G86"/>
    <mergeCell ref="K88:L88"/>
    <mergeCell ref="K87:L87"/>
    <mergeCell ref="K86:L86"/>
    <mergeCell ref="N86:O86"/>
    <mergeCell ref="A1:S4"/>
    <mergeCell ref="I91:J91"/>
    <mergeCell ref="I87:J87"/>
    <mergeCell ref="I88:J88"/>
    <mergeCell ref="I89:J89"/>
    <mergeCell ref="I90:J90"/>
    <mergeCell ref="B10:E10"/>
    <mergeCell ref="H8:L8"/>
    <mergeCell ref="C15:F15"/>
    <mergeCell ref="C16:F16"/>
    <mergeCell ref="C17:F17"/>
    <mergeCell ref="C18:F18"/>
    <mergeCell ref="C19:F19"/>
    <mergeCell ref="C20:F20"/>
    <mergeCell ref="C21:F21"/>
    <mergeCell ref="C22:F22"/>
    <mergeCell ref="K59:L59"/>
    <mergeCell ref="N85:O85"/>
    <mergeCell ref="K60:L60"/>
    <mergeCell ref="F90:G90"/>
    <mergeCell ref="P87:Q87"/>
    <mergeCell ref="P88:Q88"/>
    <mergeCell ref="P86:Q86"/>
    <mergeCell ref="K85:L85"/>
    <mergeCell ref="F89:G89"/>
    <mergeCell ref="C90:E90"/>
    <mergeCell ref="C89:E89"/>
    <mergeCell ref="C87:E87"/>
    <mergeCell ref="C86:E86"/>
    <mergeCell ref="C85:E85"/>
    <mergeCell ref="I85:J85"/>
    <mergeCell ref="I86:J86"/>
    <mergeCell ref="N89:O89"/>
    <mergeCell ref="N88:O88"/>
    <mergeCell ref="N87:O87"/>
    <mergeCell ref="C88:E88"/>
  </mergeCells>
  <conditionalFormatting sqref="C86:G95">
    <cfRule type="expression" dxfId="51" priority="163">
      <formula>$F86&lt;&gt;""</formula>
    </cfRule>
    <cfRule type="expression" dxfId="50" priority="164">
      <formula>$F86=""</formula>
    </cfRule>
  </conditionalFormatting>
  <conditionalFormatting sqref="C62:H70">
    <cfRule type="expression" dxfId="49" priority="188">
      <formula>$C62&lt;&gt;""</formula>
    </cfRule>
    <cfRule type="expression" dxfId="48" priority="189">
      <formula>$C62=""</formula>
    </cfRule>
  </conditionalFormatting>
  <conditionalFormatting sqref="C16:P25">
    <cfRule type="expression" dxfId="47" priority="123">
      <formula>$H16&lt;&gt;""</formula>
    </cfRule>
    <cfRule type="expression" dxfId="46" priority="124">
      <formula>$H16=""</formula>
    </cfRule>
  </conditionalFormatting>
  <conditionalFormatting sqref="D100:P110">
    <cfRule type="expression" dxfId="45" priority="9">
      <formula>$D100&lt;&gt;""</formula>
    </cfRule>
    <cfRule type="expression" dxfId="44" priority="10">
      <formula>$D89=""</formula>
    </cfRule>
  </conditionalFormatting>
  <conditionalFormatting sqref="I85:L95">
    <cfRule type="expression" dxfId="42" priority="2">
      <formula>I86&lt;&gt;""</formula>
    </cfRule>
  </conditionalFormatting>
  <conditionalFormatting sqref="I86:L95">
    <cfRule type="expression" dxfId="41" priority="1">
      <formula>$I86&lt;&gt;""</formula>
    </cfRule>
  </conditionalFormatting>
  <conditionalFormatting sqref="K62:P70">
    <cfRule type="expression" dxfId="40" priority="166">
      <formula>$K62&lt;&gt;""</formula>
    </cfRule>
    <cfRule type="expression" dxfId="39" priority="167">
      <formula>$K62=""</formula>
    </cfRule>
  </conditionalFormatting>
  <conditionalFormatting sqref="N86:Q95">
    <cfRule type="expression" dxfId="37" priority="169">
      <formula>$P86&lt;&gt;""</formula>
    </cfRule>
    <cfRule type="expression" dxfId="36" priority="170">
      <formula>$P86=""</formula>
    </cfRule>
  </conditionalFormatting>
  <dataValidations count="2">
    <dataValidation type="list" allowBlank="1" showInputMessage="1" showErrorMessage="1" sqref="M27:O27" xr:uid="{0CA691C2-8BB3-42E9-BB51-198B4DA63716}">
      <formula1>OFFSET(IF(G27="Catégorie",groupe_a,IF(G27="Âge",age_a,IF(G27="Atelier",atelier_a,IF(G27="Espèce",espece_a,"")))),0,0,11-COUNTBLANK(IF(G27="Catégorie",groupe_a,IF(G27="Âge",age_a,IF(G27="Atelier",atelier_a,IF(G27="Espèce",espece_a,""))))))</formula1>
    </dataValidation>
    <dataValidation type="list" allowBlank="1" showInputMessage="1" showErrorMessage="1" sqref="G27:H27" xr:uid="{CDAE2EF2-1619-4359-83D7-03A87159BAA2}">
      <formula1>"Âge,Atelier,Espèce,Catégorie"</formula1>
    </dataValidation>
  </dataValidations>
  <pageMargins left="0.25" right="0.25"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77" id="{BEF41B8A-4E17-4755-90EC-B52FEF0AF7DE}">
            <xm:f>INDEX(MASQ2!$M$4:$O$600,MATCH($C86,MASQ2!$O$4:$O$600,0),1)="x"</xm:f>
            <x14:dxf>
              <font>
                <b/>
                <i val="0"/>
              </font>
              <fill>
                <patternFill>
                  <bgColor rgb="FFFF0000"/>
                </patternFill>
              </fill>
            </x14:dxf>
          </x14:cfRule>
          <xm:sqref>C86:C95</xm:sqref>
        </x14:conditionalFormatting>
        <x14:conditionalFormatting xmlns:xm="http://schemas.microsoft.com/office/excel/2006/main">
          <x14:cfRule type="expression" priority="168" id="{B677BF7E-765C-40C4-A210-CB324789DC40}">
            <xm:f>INDEX(MASQ2!$AD$4:$AF$64,MATCH($I86,MASQ2!$AF$4:$AF$64,0),1)="x"</xm:f>
            <x14:dxf>
              <font>
                <b/>
                <i val="0"/>
              </font>
              <fill>
                <patternFill>
                  <bgColor rgb="FFFF0000"/>
                </patternFill>
              </fill>
            </x14:dxf>
          </x14:cfRule>
          <xm:sqref>I86:J95</xm:sqref>
        </x14:conditionalFormatting>
        <x14:conditionalFormatting xmlns:xm="http://schemas.microsoft.com/office/excel/2006/main">
          <x14:cfRule type="expression" priority="171" id="{63B9DD30-E87C-48C5-8155-D935FD6ECF6A}">
            <xm:f>INDEX(MASQ2!$AL$4:$AN$27,MATCH($N86,MASQ2!$AN$4:$AN$27,0),1)="x"</xm:f>
            <x14:dxf>
              <font>
                <b/>
                <i val="0"/>
              </font>
              <fill>
                <patternFill>
                  <bgColor rgb="FFFF0000"/>
                </patternFill>
              </fill>
            </x14:dxf>
          </x14:cfRule>
          <xm:sqref>N86:O95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8172D-98EE-4C1A-BAD4-141444E8C784}">
  <dimension ref="A1:V118"/>
  <sheetViews>
    <sheetView view="pageLayout" zoomScaleNormal="100" workbookViewId="0">
      <selection activeCell="F5" sqref="F5"/>
    </sheetView>
  </sheetViews>
  <sheetFormatPr baseColWidth="10" defaultColWidth="0" defaultRowHeight="13.8" zeroHeight="1" x14ac:dyDescent="0.3"/>
  <cols>
    <col min="1" max="1" width="1" style="16" customWidth="1"/>
    <col min="2" max="2" width="6.109375" style="16" customWidth="1"/>
    <col min="3" max="3" width="8.33203125" style="16" customWidth="1"/>
    <col min="4" max="4" width="6.33203125" style="16" customWidth="1"/>
    <col min="5" max="5" width="7.5546875" style="16" customWidth="1"/>
    <col min="6" max="6" width="8.33203125" style="16" customWidth="1"/>
    <col min="7" max="7" width="11.5546875" style="16" customWidth="1"/>
    <col min="8" max="8" width="7.88671875" style="16" customWidth="1"/>
    <col min="9" max="9" width="9" style="16" customWidth="1"/>
    <col min="10" max="10" width="8.33203125" style="16" customWidth="1"/>
    <col min="11" max="11" width="10.44140625" style="16" customWidth="1"/>
    <col min="12" max="12" width="9.109375" style="16" customWidth="1"/>
    <col min="13" max="13" width="8" style="16" customWidth="1"/>
    <col min="14" max="16" width="8.33203125" style="16" customWidth="1"/>
    <col min="17" max="17" width="9.33203125" style="16" customWidth="1"/>
    <col min="18" max="18" width="5.109375" style="16" customWidth="1"/>
    <col min="19" max="19" width="1" style="16" customWidth="1"/>
    <col min="20" max="22" width="7.44140625" style="101" hidden="1" customWidth="1"/>
    <col min="23" max="16384" width="11.44140625" style="101" hidden="1"/>
  </cols>
  <sheetData>
    <row r="1" spans="1:19" ht="12.75" customHeight="1" x14ac:dyDescent="0.3">
      <c r="A1" s="386" t="s">
        <v>4359</v>
      </c>
      <c r="B1" s="386"/>
      <c r="C1" s="386"/>
      <c r="D1" s="386"/>
      <c r="E1" s="386"/>
      <c r="F1" s="386"/>
      <c r="G1" s="386"/>
      <c r="H1" s="386"/>
      <c r="I1" s="386"/>
      <c r="J1" s="386"/>
      <c r="K1" s="386"/>
      <c r="L1" s="386"/>
      <c r="M1" s="386"/>
      <c r="N1" s="386"/>
      <c r="O1" s="386"/>
      <c r="P1" s="386"/>
      <c r="Q1" s="386"/>
      <c r="R1" s="386"/>
      <c r="S1" s="386"/>
    </row>
    <row r="2" spans="1:19" ht="12.75" customHeight="1" x14ac:dyDescent="0.3">
      <c r="A2" s="386"/>
      <c r="B2" s="386"/>
      <c r="C2" s="386"/>
      <c r="D2" s="386"/>
      <c r="E2" s="386"/>
      <c r="F2" s="386"/>
      <c r="G2" s="386"/>
      <c r="H2" s="386"/>
      <c r="I2" s="386"/>
      <c r="J2" s="386"/>
      <c r="K2" s="386"/>
      <c r="L2" s="386"/>
      <c r="M2" s="386"/>
      <c r="N2" s="386"/>
      <c r="O2" s="386"/>
      <c r="P2" s="386"/>
      <c r="Q2" s="386"/>
      <c r="R2" s="386"/>
      <c r="S2" s="386"/>
    </row>
    <row r="3" spans="1:19" ht="12.75" customHeight="1" x14ac:dyDescent="0.3">
      <c r="A3" s="386"/>
      <c r="B3" s="386"/>
      <c r="C3" s="386"/>
      <c r="D3" s="386"/>
      <c r="E3" s="386"/>
      <c r="F3" s="386"/>
      <c r="G3" s="386"/>
      <c r="H3" s="386"/>
      <c r="I3" s="386"/>
      <c r="J3" s="386"/>
      <c r="K3" s="386"/>
      <c r="L3" s="386"/>
      <c r="M3" s="386"/>
      <c r="N3" s="386"/>
      <c r="O3" s="386"/>
      <c r="P3" s="386"/>
      <c r="Q3" s="386"/>
      <c r="R3" s="386"/>
      <c r="S3" s="386"/>
    </row>
    <row r="4" spans="1:19" ht="12.75" customHeight="1" x14ac:dyDescent="0.3">
      <c r="A4" s="386"/>
      <c r="B4" s="386"/>
      <c r="C4" s="386"/>
      <c r="D4" s="386"/>
      <c r="E4" s="386"/>
      <c r="F4" s="386"/>
      <c r="G4" s="386"/>
      <c r="H4" s="386"/>
      <c r="I4" s="386"/>
      <c r="J4" s="386"/>
      <c r="K4" s="386"/>
      <c r="L4" s="386"/>
      <c r="M4" s="386"/>
      <c r="N4" s="386"/>
      <c r="O4" s="386"/>
      <c r="P4" s="386"/>
      <c r="Q4" s="386"/>
      <c r="R4" s="386"/>
      <c r="S4" s="386"/>
    </row>
    <row r="5" spans="1:19" ht="21.75" customHeight="1" x14ac:dyDescent="0.3">
      <c r="B5" s="17"/>
      <c r="C5" s="17"/>
      <c r="D5" s="17"/>
      <c r="E5" s="17"/>
      <c r="F5" s="17"/>
      <c r="G5" s="17"/>
      <c r="H5" s="17"/>
      <c r="I5" s="17"/>
      <c r="J5" s="17"/>
      <c r="K5" s="17"/>
      <c r="L5" s="17"/>
    </row>
    <row r="6" spans="1:19" ht="21.75" customHeight="1" x14ac:dyDescent="0.3">
      <c r="B6" s="17"/>
      <c r="C6" s="17"/>
      <c r="D6" s="17"/>
      <c r="E6" s="17"/>
      <c r="F6" s="17"/>
      <c r="G6" s="17"/>
      <c r="H6" s="17"/>
      <c r="I6" s="17"/>
      <c r="J6" s="17"/>
      <c r="K6" s="17"/>
      <c r="L6" s="17"/>
    </row>
    <row r="7" spans="1:19" ht="13.5" customHeight="1" x14ac:dyDescent="0.3">
      <c r="B7" s="15"/>
      <c r="C7" s="15"/>
      <c r="D7" s="15"/>
      <c r="E7" s="15"/>
      <c r="F7" s="15"/>
      <c r="G7" s="15"/>
      <c r="H7" s="15"/>
      <c r="I7" s="15"/>
      <c r="J7" s="15"/>
      <c r="K7" s="15"/>
      <c r="L7" s="15"/>
    </row>
    <row r="8" spans="1:19" ht="14.25" customHeight="1" x14ac:dyDescent="0.3">
      <c r="A8" s="19"/>
      <c r="B8" s="82"/>
      <c r="C8" s="82"/>
      <c r="H8" s="390" t="str">
        <f>IF('Étape 1 - à remplir'!D14="","",'Étape 1 - à remplir'!D14&amp;" - ")&amp;'Étape 1 - à remplir'!D15</f>
        <v/>
      </c>
      <c r="I8" s="391"/>
      <c r="J8" s="391"/>
      <c r="K8" s="391"/>
      <c r="L8" s="392"/>
    </row>
    <row r="9" spans="1:19" ht="13.5" customHeight="1" thickBot="1" x14ac:dyDescent="0.35">
      <c r="A9" s="19"/>
      <c r="B9" s="19"/>
      <c r="C9" s="19"/>
      <c r="D9" s="19"/>
      <c r="E9" s="19"/>
      <c r="F9" s="19"/>
      <c r="G9" s="83"/>
      <c r="H9" s="83"/>
      <c r="I9" s="83"/>
      <c r="J9" s="83"/>
      <c r="K9" s="83"/>
    </row>
    <row r="10" spans="1:19" ht="24" customHeight="1" thickBot="1" x14ac:dyDescent="0.35">
      <c r="A10" s="19"/>
      <c r="B10" s="387" t="s">
        <v>577</v>
      </c>
      <c r="C10" s="388"/>
      <c r="D10" s="388"/>
      <c r="E10" s="389"/>
      <c r="F10" s="92"/>
      <c r="G10" s="92"/>
      <c r="H10" s="92"/>
      <c r="I10" s="92"/>
      <c r="J10" s="92"/>
      <c r="K10" s="92"/>
      <c r="L10" s="92"/>
      <c r="M10" s="92"/>
      <c r="N10" s="92"/>
      <c r="O10" s="92"/>
      <c r="P10" s="92"/>
      <c r="Q10" s="92"/>
      <c r="R10" s="93"/>
    </row>
    <row r="11" spans="1:19" ht="24" customHeight="1" x14ac:dyDescent="0.2">
      <c r="A11" s="19"/>
      <c r="B11" s="86"/>
      <c r="C11" s="87"/>
      <c r="D11" s="87"/>
      <c r="E11" s="87"/>
      <c r="F11" s="87"/>
      <c r="G11" s="87"/>
      <c r="H11" s="88"/>
      <c r="I11" s="88"/>
      <c r="J11" s="88"/>
      <c r="K11" s="89"/>
      <c r="L11" s="90"/>
      <c r="M11" s="89"/>
      <c r="N11" s="89"/>
      <c r="O11" s="88"/>
      <c r="P11" s="88"/>
      <c r="Q11" s="88"/>
      <c r="R11" s="102"/>
    </row>
    <row r="12" spans="1:19" ht="24" customHeight="1" x14ac:dyDescent="0.3">
      <c r="A12" s="19"/>
      <c r="B12" s="95"/>
      <c r="D12" s="399" t="str">
        <f>IFERROR(IF(SUMIF('Étape 1 - à remplir'!G$31:G$400,"lots",'Étape 1 - à remplir'!F$31:F$400)/SUMIF('Étape 1 - à remplir'!G$19:G$28,"lots",'Étape 1 - à remplir'!F$19:F$28)=0,"L'exploitation n'a pas réalisé de traitements antibiotiques lors de l'année étudiée pour les animaux traités par lot","L'exploitation a un taux de traitement de "&amp;ROUND(SUMIF('Étape 1 - à remplir'!G$31:G$400,"lots",'Étape 1 - à remplir'!F$31:F$400)/SUMIF('Étape 1 - à remplir'!G$19:G$28,"lots",'Étape 1 - à remplir'!F$19:F$28),2)&amp;" sur l'année étudiée. Ce qui correspond à l'utilisation de "&amp;ROUND(SUMIF('Étape 1 - à remplir'!G$31:G$400,"lots",'Étape 1 - à remplir'!F$31:F$400)/SUMIF('Étape 1 - à remplir'!G$19:G$28,"lots",'Étape 1 - à remplir'!F$19:F$28),2)&amp;IF(SUMIF('Étape 1 - à remplir'!G$31:G$400,"lots",'Étape 1 - à remplir'!F$31:F$400)/SUMIF('Étape 1 - à remplir'!G$19:G$28,"lots",'Étape 1 - à remplir'!F$19:F$28)&lt;1," traitement antibiotique"," traitements antibiotiques")&amp;" par lot en moyenne."),"")</f>
        <v/>
      </c>
      <c r="E12" s="399"/>
      <c r="F12" s="399"/>
      <c r="G12" s="399"/>
      <c r="H12" s="399"/>
      <c r="I12" s="399"/>
      <c r="J12" s="399"/>
      <c r="K12" s="399"/>
      <c r="L12" s="399"/>
      <c r="M12" s="399"/>
      <c r="N12" s="399"/>
      <c r="O12" s="399"/>
      <c r="R12" s="103"/>
    </row>
    <row r="13" spans="1:19" ht="17.25" customHeight="1" x14ac:dyDescent="0.3">
      <c r="A13" s="19"/>
      <c r="B13" s="95"/>
      <c r="D13" s="399"/>
      <c r="E13" s="399"/>
      <c r="F13" s="399"/>
      <c r="G13" s="399"/>
      <c r="H13" s="399"/>
      <c r="I13" s="399"/>
      <c r="J13" s="399"/>
      <c r="K13" s="399"/>
      <c r="L13" s="399"/>
      <c r="M13" s="399"/>
      <c r="N13" s="399"/>
      <c r="O13" s="399"/>
      <c r="R13" s="103"/>
    </row>
    <row r="14" spans="1:19" ht="15.75" customHeight="1" x14ac:dyDescent="0.35">
      <c r="A14" s="19"/>
      <c r="B14" s="95"/>
      <c r="D14" s="203"/>
      <c r="E14" s="211"/>
      <c r="F14" s="211"/>
      <c r="G14" s="211"/>
      <c r="H14" s="211"/>
      <c r="I14" s="211"/>
      <c r="J14" s="211"/>
      <c r="K14" s="211"/>
      <c r="L14" s="211"/>
      <c r="M14" s="211"/>
      <c r="N14" s="211"/>
      <c r="O14" s="211"/>
      <c r="R14" s="103"/>
    </row>
    <row r="15" spans="1:19" ht="24" customHeight="1" x14ac:dyDescent="0.3">
      <c r="A15" s="19"/>
      <c r="B15" s="95"/>
      <c r="C15" s="393" t="s">
        <v>4335</v>
      </c>
      <c r="D15" s="394"/>
      <c r="E15" s="394"/>
      <c r="F15" s="395"/>
      <c r="G15" s="184" t="s">
        <v>572</v>
      </c>
      <c r="H15" s="184" t="s">
        <v>146</v>
      </c>
      <c r="I15" s="404" t="s">
        <v>147</v>
      </c>
      <c r="J15" s="394"/>
      <c r="K15" s="394"/>
      <c r="L15" s="394"/>
      <c r="M15" s="394"/>
      <c r="N15" s="394"/>
      <c r="O15" s="394"/>
      <c r="P15" s="394"/>
      <c r="R15" s="103"/>
    </row>
    <row r="16" spans="1:19" ht="23.25" customHeight="1" x14ac:dyDescent="0.3">
      <c r="A16" s="19"/>
      <c r="B16" s="95"/>
      <c r="C16" s="383" t="e">
        <f>MASQ2!BI16</f>
        <v>#N/A</v>
      </c>
      <c r="D16" s="383"/>
      <c r="E16" s="383"/>
      <c r="F16" s="383"/>
      <c r="G16" s="183" t="str">
        <f>IFERROR(MASQ2!BJ16,"")</f>
        <v/>
      </c>
      <c r="H16" s="94" t="str">
        <f>IFERROR(MASQ2!BK16,"")</f>
        <v/>
      </c>
      <c r="I16" s="383" t="str">
        <f>IF(H16="","",IF('Étape 1 - à remplir'!D$15="","Un lot de ce groupe d'animaux reçoit "&amp;ROUND(H16,2)&amp;" traitement par an","En "&amp;'Étape 1 - à remplir'!D$15&amp;", un lot de ce groupe d'animaux reçoit "&amp;ROUND(H16,2)&amp;" traitement par an"))</f>
        <v/>
      </c>
      <c r="J16" s="383"/>
      <c r="K16" s="383"/>
      <c r="L16" s="383"/>
      <c r="M16" s="383"/>
      <c r="N16" s="383"/>
      <c r="O16" s="383"/>
      <c r="P16" s="383"/>
      <c r="R16" s="103"/>
    </row>
    <row r="17" spans="1:18" ht="23.25" customHeight="1" x14ac:dyDescent="0.3">
      <c r="A17" s="19"/>
      <c r="B17" s="95"/>
      <c r="C17" s="383" t="e">
        <f>MASQ2!BI17</f>
        <v>#N/A</v>
      </c>
      <c r="D17" s="383"/>
      <c r="E17" s="383"/>
      <c r="F17" s="383"/>
      <c r="G17" s="183" t="str">
        <f>IFERROR(MASQ2!BJ17,"")</f>
        <v/>
      </c>
      <c r="H17" s="94" t="str">
        <f>IFERROR(MASQ2!BK17,"")</f>
        <v/>
      </c>
      <c r="I17" s="383" t="str">
        <f>IF(H17="","",IF('Étape 1 - à remplir'!D$15="","Un lot de ce groupe d'animaux reçoit "&amp;ROUND(H17,2)&amp;" traitement par an","En "&amp;'Étape 1 - à remplir'!D$15&amp;", un lot de ce groupe d'animaux reçoit "&amp;ROUND(H17,2)&amp;" traitement par an"))</f>
        <v/>
      </c>
      <c r="J17" s="383"/>
      <c r="K17" s="383"/>
      <c r="L17" s="383"/>
      <c r="M17" s="383"/>
      <c r="N17" s="383"/>
      <c r="O17" s="383"/>
      <c r="P17" s="383"/>
      <c r="R17" s="103"/>
    </row>
    <row r="18" spans="1:18" ht="23.25" customHeight="1" x14ac:dyDescent="0.3">
      <c r="A18" s="19"/>
      <c r="B18" s="95"/>
      <c r="C18" s="383" t="e">
        <f>MASQ2!BI18</f>
        <v>#N/A</v>
      </c>
      <c r="D18" s="383"/>
      <c r="E18" s="383"/>
      <c r="F18" s="383"/>
      <c r="G18" s="183" t="str">
        <f>IFERROR(MASQ2!BJ18,"")</f>
        <v/>
      </c>
      <c r="H18" s="94" t="str">
        <f>IFERROR(MASQ2!BK18,"")</f>
        <v/>
      </c>
      <c r="I18" s="383" t="str">
        <f>IF(H18="","",IF('Étape 1 - à remplir'!D$15="","Un lot de ce groupe d'animaux reçoit "&amp;ROUND(H18,2)&amp;" traitement par an","En "&amp;'Étape 1 - à remplir'!D$15&amp;", un lot de ce groupe d'animaux reçoit "&amp;ROUND(H18,2)&amp;" traitement par an"))</f>
        <v/>
      </c>
      <c r="J18" s="383"/>
      <c r="K18" s="383"/>
      <c r="L18" s="383"/>
      <c r="M18" s="383"/>
      <c r="N18" s="383"/>
      <c r="O18" s="383"/>
      <c r="P18" s="383"/>
      <c r="R18" s="103"/>
    </row>
    <row r="19" spans="1:18" ht="23.25" customHeight="1" x14ac:dyDescent="0.3">
      <c r="A19" s="19"/>
      <c r="B19" s="95"/>
      <c r="C19" s="383" t="e">
        <f>MASQ2!BI19</f>
        <v>#N/A</v>
      </c>
      <c r="D19" s="383"/>
      <c r="E19" s="383"/>
      <c r="F19" s="383"/>
      <c r="G19" s="183" t="str">
        <f>IFERROR(MASQ2!BJ19,"")</f>
        <v/>
      </c>
      <c r="H19" s="94" t="str">
        <f>IFERROR(MASQ2!BK19,"")</f>
        <v/>
      </c>
      <c r="I19" s="383" t="str">
        <f>IF(H19="","",IF('Étape 1 - à remplir'!D$15="","Un lot de ce groupe d'animaux reçoit "&amp;ROUND(H19,2)&amp;" traitement par an","En "&amp;'Étape 1 - à remplir'!D$15&amp;", un lot de ce groupe d'animaux reçoit "&amp;ROUND(H19,2)&amp;" traitement par an"))</f>
        <v/>
      </c>
      <c r="J19" s="383"/>
      <c r="K19" s="383"/>
      <c r="L19" s="383"/>
      <c r="M19" s="383"/>
      <c r="N19" s="383"/>
      <c r="O19" s="383"/>
      <c r="P19" s="383"/>
      <c r="R19" s="103"/>
    </row>
    <row r="20" spans="1:18" ht="23.25" customHeight="1" x14ac:dyDescent="0.3">
      <c r="A20" s="19"/>
      <c r="B20" s="95"/>
      <c r="C20" s="383" t="e">
        <f>MASQ2!BI20</f>
        <v>#N/A</v>
      </c>
      <c r="D20" s="383"/>
      <c r="E20" s="383"/>
      <c r="F20" s="383"/>
      <c r="G20" s="183" t="str">
        <f>IFERROR(MASQ2!BJ20,"")</f>
        <v/>
      </c>
      <c r="H20" s="94" t="str">
        <f>IFERROR(MASQ2!BK20,"")</f>
        <v/>
      </c>
      <c r="I20" s="383" t="str">
        <f>IF(H20="","",IF('Étape 1 - à remplir'!D$15="","Un lot de ce groupe d'animaux reçoit "&amp;ROUND(H20,2)&amp;" traitement par an","En "&amp;'Étape 1 - à remplir'!D$15&amp;", un lot de ce groupe d'animaux reçoit "&amp;ROUND(H20,2)&amp;" traitement par an"))</f>
        <v/>
      </c>
      <c r="J20" s="383"/>
      <c r="K20" s="383"/>
      <c r="L20" s="383"/>
      <c r="M20" s="383"/>
      <c r="N20" s="383"/>
      <c r="O20" s="383"/>
      <c r="P20" s="383"/>
      <c r="R20" s="103"/>
    </row>
    <row r="21" spans="1:18" ht="23.25" customHeight="1" x14ac:dyDescent="0.3">
      <c r="A21" s="19"/>
      <c r="B21" s="95"/>
      <c r="C21" s="383" t="e">
        <f>MASQ2!BI21</f>
        <v>#N/A</v>
      </c>
      <c r="D21" s="383"/>
      <c r="E21" s="383"/>
      <c r="F21" s="383"/>
      <c r="G21" s="183" t="str">
        <f>IFERROR(MASQ2!BJ21,"")</f>
        <v/>
      </c>
      <c r="H21" s="94" t="str">
        <f>IFERROR(MASQ2!BK21,"")</f>
        <v/>
      </c>
      <c r="I21" s="383" t="str">
        <f>IF(H21="","",IF('Étape 1 - à remplir'!D$15="","Un lot de ce groupe d'animaux reçoit "&amp;ROUND(H21,2)&amp;" traitement par an","En "&amp;'Étape 1 - à remplir'!D$15&amp;", un lot de ce groupe d'animaux reçoit "&amp;ROUND(H21,2)&amp;" traitement par an"))</f>
        <v/>
      </c>
      <c r="J21" s="383"/>
      <c r="K21" s="383"/>
      <c r="L21" s="383"/>
      <c r="M21" s="383"/>
      <c r="N21" s="383"/>
      <c r="O21" s="383"/>
      <c r="P21" s="383"/>
      <c r="R21" s="103"/>
    </row>
    <row r="22" spans="1:18" ht="23.25" customHeight="1" x14ac:dyDescent="0.3">
      <c r="A22" s="19"/>
      <c r="B22" s="95"/>
      <c r="C22" s="383" t="e">
        <f>MASQ2!BI22</f>
        <v>#N/A</v>
      </c>
      <c r="D22" s="383"/>
      <c r="E22" s="383"/>
      <c r="F22" s="383"/>
      <c r="G22" s="183" t="str">
        <f>IFERROR(MASQ2!BJ22,"")</f>
        <v/>
      </c>
      <c r="H22" s="94" t="str">
        <f>IFERROR(MASQ2!BK22,"")</f>
        <v/>
      </c>
      <c r="I22" s="383" t="str">
        <f>IF(H22="","",IF('Étape 1 - à remplir'!D$15="","Un lot de ce groupe d'animaux reçoit "&amp;ROUND(H22,2)&amp;" traitement par an","En "&amp;'Étape 1 - à remplir'!D$15&amp;", un lot de ce groupe d'animaux reçoit "&amp;ROUND(H22,2)&amp;" traitement par an"))</f>
        <v/>
      </c>
      <c r="J22" s="383"/>
      <c r="K22" s="383"/>
      <c r="L22" s="383"/>
      <c r="M22" s="383"/>
      <c r="N22" s="383"/>
      <c r="O22" s="383"/>
      <c r="P22" s="383"/>
      <c r="R22" s="103"/>
    </row>
    <row r="23" spans="1:18" ht="23.25" customHeight="1" x14ac:dyDescent="0.3">
      <c r="A23" s="19"/>
      <c r="B23" s="95"/>
      <c r="C23" s="383" t="e">
        <f>MASQ2!BI23</f>
        <v>#N/A</v>
      </c>
      <c r="D23" s="383"/>
      <c r="E23" s="383"/>
      <c r="F23" s="383"/>
      <c r="G23" s="183" t="str">
        <f>IFERROR(MASQ2!BJ23,"")</f>
        <v/>
      </c>
      <c r="H23" s="94" t="str">
        <f>IFERROR(MASQ2!BK23,"")</f>
        <v/>
      </c>
      <c r="I23" s="383" t="str">
        <f>IF(H23="","",IF('Étape 1 - à remplir'!D$15="","Un lot de ce groupe d'animaux reçoit "&amp;ROUND(H23,2)&amp;" traitement par an","En "&amp;'Étape 1 - à remplir'!D$15&amp;", un lot de ce groupe d'animaux reçoit "&amp;ROUND(H23,2)&amp;" traitement par an"))</f>
        <v/>
      </c>
      <c r="J23" s="383"/>
      <c r="K23" s="383"/>
      <c r="L23" s="383"/>
      <c r="M23" s="383"/>
      <c r="N23" s="383"/>
      <c r="O23" s="383"/>
      <c r="P23" s="383"/>
      <c r="R23" s="103"/>
    </row>
    <row r="24" spans="1:18" ht="23.25" customHeight="1" x14ac:dyDescent="0.3">
      <c r="A24" s="19"/>
      <c r="B24" s="86"/>
      <c r="C24" s="383" t="e">
        <f>MASQ2!BI24</f>
        <v>#N/A</v>
      </c>
      <c r="D24" s="383"/>
      <c r="E24" s="383"/>
      <c r="F24" s="383"/>
      <c r="G24" s="183" t="str">
        <f>IFERROR(MASQ2!BJ24,"")</f>
        <v/>
      </c>
      <c r="H24" s="94" t="str">
        <f>IFERROR(MASQ2!BK24,"")</f>
        <v/>
      </c>
      <c r="I24" s="383" t="str">
        <f>IF(H24="","",IF('Étape 1 - à remplir'!D$15="","Un lot de ce groupe d'animaux reçoit "&amp;ROUND(H24,2)&amp;" traitement par an","En "&amp;'Étape 1 - à remplir'!D$15&amp;", un lot de ce groupe d'animaux reçoit "&amp;ROUND(H24,2)&amp;" traitement par an"))</f>
        <v/>
      </c>
      <c r="J24" s="383"/>
      <c r="K24" s="383"/>
      <c r="L24" s="383"/>
      <c r="M24" s="383"/>
      <c r="N24" s="383"/>
      <c r="O24" s="383"/>
      <c r="P24" s="383"/>
      <c r="R24" s="102"/>
    </row>
    <row r="25" spans="1:18" ht="23.25" customHeight="1" x14ac:dyDescent="0.3">
      <c r="A25" s="19"/>
      <c r="B25" s="91" t="s">
        <v>208</v>
      </c>
      <c r="C25" s="383" t="e">
        <f>MASQ2!BI25</f>
        <v>#N/A</v>
      </c>
      <c r="D25" s="383"/>
      <c r="E25" s="383"/>
      <c r="F25" s="383"/>
      <c r="G25" s="183" t="str">
        <f>IFERROR(MASQ2!BJ25,"")</f>
        <v/>
      </c>
      <c r="H25" s="94" t="str">
        <f>IFERROR(MASQ2!BK25,"")</f>
        <v/>
      </c>
      <c r="I25" s="383" t="str">
        <f>IF(H25="","",IF('Étape 1 - à remplir'!D$15="","Un lot de ce groupe d'animaux reçoit "&amp;ROUND(H25,2)&amp;" traitement par an","En "&amp;'Étape 1 - à remplir'!D$15&amp;", un lot de ce groupe d'animaux reçoit "&amp;ROUND(H25,2)&amp;" traitement par an"))</f>
        <v/>
      </c>
      <c r="J25" s="383"/>
      <c r="K25" s="383"/>
      <c r="L25" s="383"/>
      <c r="M25" s="383"/>
      <c r="N25" s="383"/>
      <c r="O25" s="383"/>
      <c r="P25" s="383"/>
      <c r="Q25" s="88"/>
      <c r="R25" s="102"/>
    </row>
    <row r="26" spans="1:18" ht="11.25" customHeight="1" x14ac:dyDescent="0.3">
      <c r="A26" s="19"/>
      <c r="B26" s="85"/>
      <c r="C26" s="19"/>
      <c r="D26" s="19"/>
      <c r="E26" s="84"/>
      <c r="F26" s="19"/>
      <c r="G26" s="183"/>
      <c r="H26" s="94"/>
      <c r="I26" s="19"/>
      <c r="J26" s="19"/>
      <c r="K26" s="19"/>
      <c r="R26" s="103"/>
    </row>
    <row r="27" spans="1:18" ht="28.5" customHeight="1" x14ac:dyDescent="0.3">
      <c r="A27" s="19"/>
      <c r="B27" s="85"/>
      <c r="C27" s="19"/>
      <c r="D27" s="19"/>
      <c r="E27" s="405" t="s">
        <v>583</v>
      </c>
      <c r="F27" s="406"/>
      <c r="G27" s="402" t="s">
        <v>4342</v>
      </c>
      <c r="H27" s="403"/>
      <c r="I27" s="204"/>
      <c r="J27" s="204"/>
      <c r="K27" s="405" t="str">
        <f>IF(G27="","",IF(G27="Âge","Quel âge?",IF(G27="Atelier","Quel atelier?",IF(G27="Espèce","Quelle espèce?",IF(G27="Catégorie","Quelle catégorie?","")))))</f>
        <v>Quelle catégorie?</v>
      </c>
      <c r="L27" s="406"/>
      <c r="M27" s="402" t="s">
        <v>584</v>
      </c>
      <c r="N27" s="402"/>
      <c r="O27" s="403"/>
      <c r="R27" s="103"/>
    </row>
    <row r="28" spans="1:18" ht="15.75" customHeight="1" x14ac:dyDescent="0.3">
      <c r="A28" s="19"/>
      <c r="B28" s="85"/>
      <c r="C28" s="19"/>
      <c r="D28" s="19"/>
      <c r="E28" s="84"/>
      <c r="F28" s="19"/>
      <c r="G28" s="19"/>
      <c r="H28" s="19"/>
      <c r="I28" s="19"/>
      <c r="J28" s="19"/>
      <c r="K28" s="19"/>
      <c r="R28" s="103"/>
    </row>
    <row r="29" spans="1:18" ht="24" customHeight="1" x14ac:dyDescent="0.3">
      <c r="A29" s="19"/>
      <c r="B29" s="85"/>
      <c r="C29" s="19"/>
      <c r="D29" s="418" t="s">
        <v>573</v>
      </c>
      <c r="E29" s="417" t="str">
        <f>IFERROR(IF(ROUND(100*(COUNTIFS(lot_nb_medic,"&gt;0",lot_critique_medic,"x")/COUNTIF(lot_nb_medic,"&gt;0")),1)=0,"Vous ne semblez pas avoir utilisé d'antibiotiques critiques.",ROUND(100*(COUNTIFS(lot_nb_medic,"&gt;0",lot_critique_medic,"x")/COUNTIF(lot_nb_medic,"&gt;0")),1)&amp;" % des types de médicaments utilisés sont des antibiotiques critiques ou à limiter."),"Vous ne semblez pas avoir utilisé d'antibiotiques critiques.")</f>
        <v>Vous ne semblez pas avoir utilisé d'antibiotiques critiques.</v>
      </c>
      <c r="F29" s="417"/>
      <c r="G29" s="417"/>
      <c r="H29" s="417"/>
      <c r="I29" s="417"/>
      <c r="J29" s="417"/>
      <c r="K29" s="417"/>
      <c r="L29" s="417"/>
      <c r="M29" s="417"/>
      <c r="N29" s="417"/>
      <c r="O29" s="417"/>
      <c r="R29" s="103"/>
    </row>
    <row r="30" spans="1:18" ht="24" customHeight="1" x14ac:dyDescent="0.3">
      <c r="A30" s="19"/>
      <c r="B30" s="85"/>
      <c r="C30" s="19"/>
      <c r="D30" s="418"/>
      <c r="E30" s="417"/>
      <c r="F30" s="417"/>
      <c r="G30" s="417"/>
      <c r="H30" s="417"/>
      <c r="I30" s="417"/>
      <c r="J30" s="417"/>
      <c r="K30" s="417"/>
      <c r="L30" s="417"/>
      <c r="M30" s="417"/>
      <c r="N30" s="417"/>
      <c r="O30" s="417"/>
      <c r="R30" s="103"/>
    </row>
    <row r="31" spans="1:18" ht="24" customHeight="1" x14ac:dyDescent="0.3">
      <c r="A31" s="19"/>
      <c r="B31" s="85"/>
      <c r="C31" s="19"/>
      <c r="D31" s="19"/>
      <c r="E31" s="84"/>
      <c r="F31" s="19"/>
      <c r="G31" s="19"/>
      <c r="H31" s="19"/>
      <c r="I31" s="19"/>
      <c r="J31" s="19"/>
      <c r="K31" s="19"/>
      <c r="R31" s="103"/>
    </row>
    <row r="32" spans="1:18" ht="24" customHeight="1" x14ac:dyDescent="0.3">
      <c r="A32" s="19"/>
      <c r="B32" s="85"/>
      <c r="C32" s="19"/>
      <c r="D32" s="19"/>
      <c r="E32" s="84"/>
      <c r="F32" s="19"/>
      <c r="G32" s="19"/>
      <c r="H32" s="19"/>
      <c r="I32" s="19"/>
      <c r="J32" s="19"/>
      <c r="K32" s="19"/>
      <c r="R32" s="103"/>
    </row>
    <row r="33" spans="1:18" ht="24" customHeight="1" x14ac:dyDescent="0.3">
      <c r="A33" s="19"/>
      <c r="B33" s="85"/>
      <c r="C33" s="19"/>
      <c r="D33" s="19"/>
      <c r="E33" s="84"/>
      <c r="F33" s="19"/>
      <c r="G33" s="19"/>
      <c r="H33" s="19"/>
      <c r="I33" s="19"/>
      <c r="J33" s="19"/>
      <c r="K33" s="19"/>
      <c r="R33" s="103"/>
    </row>
    <row r="34" spans="1:18" ht="24" customHeight="1" x14ac:dyDescent="0.3">
      <c r="A34" s="19"/>
      <c r="B34" s="85"/>
      <c r="C34" s="19"/>
      <c r="D34" s="19"/>
      <c r="E34" s="84"/>
      <c r="F34" s="19"/>
      <c r="G34" s="19"/>
      <c r="H34" s="19"/>
      <c r="I34" s="19"/>
      <c r="J34" s="19"/>
      <c r="K34" s="19"/>
      <c r="R34" s="103"/>
    </row>
    <row r="35" spans="1:18" ht="24" customHeight="1" x14ac:dyDescent="0.3">
      <c r="A35" s="19"/>
      <c r="B35" s="85"/>
      <c r="C35" s="19"/>
      <c r="D35" s="19"/>
      <c r="E35" s="84"/>
      <c r="F35" s="19"/>
      <c r="G35" s="19"/>
      <c r="H35" s="19"/>
      <c r="I35" s="19"/>
      <c r="J35" s="19"/>
      <c r="K35" s="19"/>
      <c r="R35" s="103"/>
    </row>
    <row r="36" spans="1:18" ht="24" customHeight="1" x14ac:dyDescent="0.3">
      <c r="B36" s="95"/>
      <c r="E36" s="18"/>
      <c r="F36" s="19"/>
      <c r="G36" s="19"/>
      <c r="R36" s="103"/>
    </row>
    <row r="37" spans="1:18" ht="24" customHeight="1" x14ac:dyDescent="0.3">
      <c r="B37" s="95"/>
      <c r="E37" s="18"/>
      <c r="F37" s="19"/>
      <c r="G37" s="19"/>
      <c r="R37" s="103"/>
    </row>
    <row r="38" spans="1:18" ht="25.5" customHeight="1" x14ac:dyDescent="0.3">
      <c r="B38" s="95"/>
      <c r="E38" s="18"/>
      <c r="F38" s="19"/>
      <c r="G38" s="19"/>
      <c r="R38" s="103"/>
    </row>
    <row r="39" spans="1:18" ht="25.5" customHeight="1" x14ac:dyDescent="0.3">
      <c r="B39" s="95"/>
      <c r="E39" s="18"/>
      <c r="F39" s="19"/>
      <c r="G39" s="19"/>
      <c r="R39" s="103"/>
    </row>
    <row r="40" spans="1:18" ht="25.5" customHeight="1" x14ac:dyDescent="0.3">
      <c r="B40" s="95"/>
      <c r="E40" s="18"/>
      <c r="F40" s="19"/>
      <c r="G40" s="19"/>
      <c r="R40" s="103"/>
    </row>
    <row r="41" spans="1:18" ht="25.5" customHeight="1" x14ac:dyDescent="0.3">
      <c r="B41" s="95"/>
      <c r="E41" s="18"/>
      <c r="F41" s="19"/>
      <c r="G41" s="19"/>
      <c r="R41" s="103"/>
    </row>
    <row r="42" spans="1:18" ht="25.5" customHeight="1" x14ac:dyDescent="0.3">
      <c r="B42" s="95"/>
      <c r="E42" s="18"/>
      <c r="F42" s="19"/>
      <c r="G42" s="19"/>
      <c r="R42" s="103"/>
    </row>
    <row r="43" spans="1:18" ht="25.5" customHeight="1" x14ac:dyDescent="0.3">
      <c r="B43" s="95"/>
      <c r="E43" s="18"/>
      <c r="F43" s="19"/>
      <c r="G43" s="19"/>
      <c r="R43" s="103"/>
    </row>
    <row r="44" spans="1:18" ht="24" customHeight="1" x14ac:dyDescent="0.3">
      <c r="B44" s="95"/>
      <c r="E44" s="18"/>
      <c r="F44" s="19"/>
      <c r="G44" s="19"/>
      <c r="R44" s="103"/>
    </row>
    <row r="45" spans="1:18" ht="24" customHeight="1" x14ac:dyDescent="0.3">
      <c r="B45" s="95"/>
      <c r="E45" s="18"/>
      <c r="F45" s="19"/>
      <c r="G45" s="19"/>
      <c r="R45" s="103"/>
    </row>
    <row r="46" spans="1:18" ht="24" customHeight="1" x14ac:dyDescent="0.3">
      <c r="B46" s="95"/>
      <c r="E46" s="18"/>
      <c r="F46" s="19"/>
      <c r="G46" s="19"/>
      <c r="R46" s="103"/>
    </row>
    <row r="47" spans="1:18" ht="24" customHeight="1" x14ac:dyDescent="0.3">
      <c r="B47" s="95"/>
      <c r="E47" s="18"/>
      <c r="F47" s="19"/>
      <c r="G47" s="19"/>
      <c r="R47" s="103"/>
    </row>
    <row r="48" spans="1:18" ht="24" customHeight="1" x14ac:dyDescent="0.3">
      <c r="B48" s="95"/>
      <c r="E48" s="18"/>
      <c r="F48" s="19"/>
      <c r="G48" s="19"/>
      <c r="R48" s="103"/>
    </row>
    <row r="49" spans="1:18" ht="12" customHeight="1" x14ac:dyDescent="0.3">
      <c r="B49" s="95"/>
      <c r="E49" s="18"/>
      <c r="F49" s="19"/>
      <c r="G49" s="19"/>
      <c r="R49" s="103"/>
    </row>
    <row r="50" spans="1:18" ht="12" customHeight="1" x14ac:dyDescent="0.3">
      <c r="B50" s="95"/>
      <c r="E50" s="18"/>
      <c r="F50" s="19"/>
      <c r="G50" s="19"/>
      <c r="R50" s="103"/>
    </row>
    <row r="51" spans="1:18" ht="12" customHeight="1" x14ac:dyDescent="0.3">
      <c r="B51" s="95"/>
      <c r="E51" s="18"/>
      <c r="F51" s="19"/>
      <c r="G51" s="19"/>
      <c r="R51" s="103"/>
    </row>
    <row r="52" spans="1:18" ht="12" customHeight="1" x14ac:dyDescent="0.3">
      <c r="B52" s="95"/>
      <c r="E52" s="18"/>
      <c r="F52" s="19"/>
      <c r="G52" s="19"/>
      <c r="R52" s="103"/>
    </row>
    <row r="53" spans="1:18" ht="12" customHeight="1" x14ac:dyDescent="0.3">
      <c r="B53" s="95"/>
      <c r="E53" s="18"/>
      <c r="F53" s="19"/>
      <c r="G53" s="19"/>
      <c r="R53" s="103"/>
    </row>
    <row r="54" spans="1:18" ht="12" customHeight="1" x14ac:dyDescent="0.3">
      <c r="B54" s="95"/>
      <c r="E54" s="18"/>
      <c r="F54" s="19"/>
      <c r="G54" s="19"/>
      <c r="R54" s="103"/>
    </row>
    <row r="55" spans="1:18" ht="12" customHeight="1" x14ac:dyDescent="0.3">
      <c r="B55" s="95"/>
      <c r="E55" s="18"/>
      <c r="F55" s="19"/>
      <c r="G55" s="19"/>
      <c r="R55" s="103"/>
    </row>
    <row r="56" spans="1:18" ht="12" customHeight="1" x14ac:dyDescent="0.3">
      <c r="B56" s="95"/>
      <c r="E56" s="18"/>
      <c r="F56" s="19"/>
      <c r="G56" s="19"/>
      <c r="R56" s="103"/>
    </row>
    <row r="57" spans="1:18" ht="24" customHeight="1" x14ac:dyDescent="0.3">
      <c r="B57" s="95"/>
      <c r="E57" s="18"/>
      <c r="F57" s="19"/>
      <c r="G57" s="20"/>
      <c r="R57" s="103"/>
    </row>
    <row r="58" spans="1:18" ht="18.75" customHeight="1" x14ac:dyDescent="0.3">
      <c r="A58" s="12"/>
      <c r="B58" s="96"/>
      <c r="C58" s="81"/>
      <c r="D58" s="81"/>
      <c r="E58" s="81"/>
      <c r="F58" s="81"/>
      <c r="G58" s="81"/>
      <c r="R58" s="103"/>
    </row>
    <row r="59" spans="1:18" ht="9.75" customHeight="1" x14ac:dyDescent="0.3">
      <c r="A59" s="12"/>
      <c r="B59" s="97"/>
      <c r="C59" s="21"/>
      <c r="L59" s="112"/>
      <c r="R59" s="103"/>
    </row>
    <row r="60" spans="1:18" ht="15" customHeight="1" x14ac:dyDescent="0.3">
      <c r="A60" s="12"/>
      <c r="B60" s="98"/>
      <c r="C60" s="78"/>
      <c r="D60" s="80"/>
      <c r="E60" s="80"/>
      <c r="F60" s="80"/>
      <c r="G60" s="80"/>
      <c r="K60" s="399"/>
      <c r="L60" s="399"/>
      <c r="R60" s="103"/>
    </row>
    <row r="61" spans="1:18" ht="24.75" customHeight="1" x14ac:dyDescent="0.3">
      <c r="A61" s="12"/>
      <c r="B61" s="98"/>
      <c r="C61" s="411" t="s">
        <v>4308</v>
      </c>
      <c r="D61" s="411"/>
      <c r="E61" s="411"/>
      <c r="F61" s="411"/>
      <c r="G61" s="411"/>
      <c r="H61" s="242" t="s">
        <v>146</v>
      </c>
      <c r="I61" s="270"/>
      <c r="K61" s="411" t="s">
        <v>580</v>
      </c>
      <c r="L61" s="411"/>
      <c r="M61" s="411"/>
      <c r="N61" s="411"/>
      <c r="O61" s="411"/>
      <c r="P61" s="242" t="s">
        <v>146</v>
      </c>
      <c r="Q61" s="270"/>
      <c r="R61" s="103"/>
    </row>
    <row r="62" spans="1:18" ht="29.25" customHeight="1" x14ac:dyDescent="0.3">
      <c r="A62" s="12"/>
      <c r="B62" s="99"/>
      <c r="C62" s="413" t="str">
        <f>IFERROR(INDEX(lot_maladie,MATCH(TRUE,INDEX(lot_nb_maladie&gt;0,0),0),1),"")</f>
        <v/>
      </c>
      <c r="D62" s="413"/>
      <c r="E62" s="413"/>
      <c r="F62" s="413"/>
      <c r="G62" s="414"/>
      <c r="H62" s="274" t="str">
        <f>IFERROR(ROUND(INDEX(lot_maladie,MATCH(C62,lot_nom_maladie,0),2)/SUMIF('Étape 1 - à remplir'!$G$19:$G$28,"lots",'Étape 1 - à remplir'!$F$19:$F$28),3),"")</f>
        <v/>
      </c>
      <c r="I62" s="271"/>
      <c r="J62" s="100"/>
      <c r="K62" s="412" t="str">
        <f>IFERROR(INDEX(lot_voie,MATCH(TRUE,INDEX(lot_nb_voie&gt;0,0),0),1),"")</f>
        <v/>
      </c>
      <c r="L62" s="413"/>
      <c r="M62" s="413"/>
      <c r="N62" s="413"/>
      <c r="O62" s="414"/>
      <c r="P62" s="272" t="str">
        <f>IFERROR(ROUND(INDEX(lot_voie,MATCH(K62,lot_nom_voie,0),2)/SUMIF('Étape 1 - à remplir'!$G$19:$G$28,"lots",'Étape 1 - à remplir'!$F$19:$F$28),3),"")</f>
        <v/>
      </c>
      <c r="Q62" s="271"/>
      <c r="R62" s="103"/>
    </row>
    <row r="63" spans="1:18" ht="29.25" customHeight="1" x14ac:dyDescent="0.3">
      <c r="A63" s="12"/>
      <c r="B63" s="99"/>
      <c r="C63" s="413" t="str">
        <f>IFERROR(INDEX(lot_maladie,MATCH(TRUE,INDEX(lot_nb_maladie&gt;0,0),0)+1,1),"")</f>
        <v/>
      </c>
      <c r="D63" s="413"/>
      <c r="E63" s="413"/>
      <c r="F63" s="413"/>
      <c r="G63" s="414"/>
      <c r="H63" s="273" t="str">
        <f>IFERROR(ROUND(INDEX(lot_maladie,MATCH(C63,lot_nom_maladie,0),2)/SUMIF('Étape 1 - à remplir'!$G$19:$G$28,"lots",'Étape 1 - à remplir'!$F$19:$F$28),3),"")</f>
        <v/>
      </c>
      <c r="I63" s="271"/>
      <c r="J63" s="100"/>
      <c r="K63" s="412" t="str">
        <f>IFERROR(INDEX(lot_voie,MATCH(TRUE,INDEX(lot_nb_voie&gt;0,0),0)+1,1),"")</f>
        <v/>
      </c>
      <c r="L63" s="413"/>
      <c r="M63" s="413"/>
      <c r="N63" s="413"/>
      <c r="O63" s="414"/>
      <c r="P63" s="269" t="str">
        <f>IFERROR(ROUND(INDEX(lot_voie,MATCH(K63,lot_nom_voie,0),2)/SUMIF('Étape 1 - à remplir'!$G$19:$G$28,"lots",'Étape 1 - à remplir'!$F$19:$F$28),3),"")</f>
        <v/>
      </c>
      <c r="Q63" s="271"/>
      <c r="R63" s="103"/>
    </row>
    <row r="64" spans="1:18" ht="29.25" customHeight="1" x14ac:dyDescent="0.3">
      <c r="A64" s="12"/>
      <c r="B64" s="99"/>
      <c r="C64" s="413" t="str">
        <f>IFERROR(INDEX(lot_maladie,MATCH(TRUE,INDEX(lot_nb_maladie&gt;0,0),0)+2,1),"")</f>
        <v/>
      </c>
      <c r="D64" s="413"/>
      <c r="E64" s="413"/>
      <c r="F64" s="413"/>
      <c r="G64" s="414"/>
      <c r="H64" s="273" t="str">
        <f>IFERROR(ROUND(INDEX(lot_maladie,MATCH(C64,lot_nom_maladie,0),2)/SUMIF('Étape 1 - à remplir'!$G$19:$G$28,"lots",'Étape 1 - à remplir'!$F$19:$F$28),3),"")</f>
        <v/>
      </c>
      <c r="I64" s="271"/>
      <c r="J64" s="104"/>
      <c r="K64" s="412" t="str">
        <f>IFERROR(INDEX(lot_voie,MATCH(TRUE,INDEX(lot_nb_voie&gt;0,0),0)+2,1),"")</f>
        <v/>
      </c>
      <c r="L64" s="413"/>
      <c r="M64" s="413"/>
      <c r="N64" s="413"/>
      <c r="O64" s="414"/>
      <c r="P64" s="269" t="str">
        <f>IFERROR(ROUND(INDEX(lot_voie,MATCH(K64,lot_nom_voie,0),2)/SUMIF('Étape 1 - à remplir'!$G$19:$G$28,"lots",'Étape 1 - à remplir'!$F$19:$F$28),3),"")</f>
        <v/>
      </c>
      <c r="Q64" s="271"/>
      <c r="R64" s="103"/>
    </row>
    <row r="65" spans="2:18" ht="29.25" customHeight="1" x14ac:dyDescent="0.3">
      <c r="B65" s="99"/>
      <c r="C65" s="413" t="str">
        <f>IFERROR(INDEX(lot_maladie,MATCH(TRUE,INDEX(lot_nb_maladie&gt;0,0),0)+3,1),"")</f>
        <v/>
      </c>
      <c r="D65" s="413"/>
      <c r="E65" s="413"/>
      <c r="F65" s="413"/>
      <c r="G65" s="414"/>
      <c r="H65" s="273" t="str">
        <f>IFERROR(ROUND(INDEX(lot_maladie,MATCH(C65,lot_nom_maladie,0),2)/SUMIF('Étape 1 - à remplir'!$G$19:$G$28,"lots",'Étape 1 - à remplir'!$F$19:$F$28),3),"")</f>
        <v/>
      </c>
      <c r="I65" s="271"/>
      <c r="J65" s="100"/>
      <c r="K65" s="412" t="str">
        <f>IFERROR(INDEX(lot_voie,MATCH(TRUE,INDEX(lot_nb_voie&gt;0,0),0)+3,1),"")</f>
        <v/>
      </c>
      <c r="L65" s="413"/>
      <c r="M65" s="413"/>
      <c r="N65" s="413"/>
      <c r="O65" s="414"/>
      <c r="P65" s="269" t="str">
        <f>IFERROR(ROUND(INDEX(lot_voie,MATCH(K65,lot_nom_voie,0),2)/SUMIF('Étape 1 - à remplir'!$G$19:$G$28,"lots",'Étape 1 - à remplir'!$F$19:$F$28),3),"")</f>
        <v/>
      </c>
      <c r="Q65" s="271"/>
      <c r="R65" s="103"/>
    </row>
    <row r="66" spans="2:18" ht="29.25" customHeight="1" x14ac:dyDescent="0.3">
      <c r="B66" s="96"/>
      <c r="C66" s="413" t="str">
        <f>IFERROR(INDEX(lot_maladie,MATCH(TRUE,INDEX(lot_nb_maladie&gt;0,0),0)+4,1),"")</f>
        <v/>
      </c>
      <c r="D66" s="413"/>
      <c r="E66" s="413"/>
      <c r="F66" s="413"/>
      <c r="G66" s="414"/>
      <c r="H66" s="273" t="str">
        <f>IFERROR(ROUND(INDEX(lot_maladie,MATCH(C66,lot_nom_maladie,0),2)/SUMIF('Étape 1 - à remplir'!$G$19:$G$28,"lots",'Étape 1 - à remplir'!$F$19:$F$28),3),"")</f>
        <v/>
      </c>
      <c r="I66" s="271"/>
      <c r="J66" s="100"/>
      <c r="K66" s="412" t="str">
        <f>IFERROR(INDEX(lot_voie,MATCH(TRUE,INDEX(lot_nb_voie&gt;0,0),0)+4,1),"")</f>
        <v/>
      </c>
      <c r="L66" s="413"/>
      <c r="M66" s="413"/>
      <c r="N66" s="413"/>
      <c r="O66" s="414"/>
      <c r="P66" s="269" t="str">
        <f>IFERROR(ROUND(INDEX(lot_voie,MATCH(K66,lot_nom_voie,0),2)/SUMIF('Étape 1 - à remplir'!$G$19:$G$28,"lots",'Étape 1 - à remplir'!$F$19:$F$28),3),"")</f>
        <v/>
      </c>
      <c r="Q66" s="271"/>
      <c r="R66" s="103"/>
    </row>
    <row r="67" spans="2:18" ht="29.25" customHeight="1" x14ac:dyDescent="0.3">
      <c r="B67" s="95"/>
      <c r="C67" s="413" t="str">
        <f>IFERROR(INDEX(lot_maladie,MATCH(TRUE,INDEX(lot_nb_maladie&gt;0,0),0)+5,1),"")</f>
        <v/>
      </c>
      <c r="D67" s="413"/>
      <c r="E67" s="413"/>
      <c r="F67" s="413"/>
      <c r="G67" s="414"/>
      <c r="H67" s="273" t="str">
        <f>IFERROR(ROUND(INDEX(lot_maladie,MATCH(C67,lot_nom_maladie,0),2)/SUMIF('Étape 1 - à remplir'!$G$19:$G$28,"lots",'Étape 1 - à remplir'!$F$19:$F$28),3),"")</f>
        <v/>
      </c>
      <c r="I67" s="271"/>
      <c r="J67" s="100"/>
      <c r="K67" s="412" t="str">
        <f>IFERROR(INDEX(lot_voie,MATCH(TRUE,INDEX(lot_nb_voie&gt;0,0),0)+5,1),"")</f>
        <v/>
      </c>
      <c r="L67" s="413"/>
      <c r="M67" s="413"/>
      <c r="N67" s="413"/>
      <c r="O67" s="414"/>
      <c r="P67" s="269" t="str">
        <f>IFERROR(ROUND(INDEX(lot_voie,MATCH(K67,lot_nom_voie,0),2)/SUMIF('Étape 1 - à remplir'!$G$19:$G$28,"lots",'Étape 1 - à remplir'!$F$19:$F$28),3),"")</f>
        <v/>
      </c>
      <c r="Q67" s="271"/>
      <c r="R67" s="103"/>
    </row>
    <row r="68" spans="2:18" ht="29.25" customHeight="1" x14ac:dyDescent="0.3">
      <c r="B68" s="98"/>
      <c r="C68" s="413" t="str">
        <f>IFERROR(INDEX(lot_maladie,MATCH(TRUE,INDEX(lot_nb_maladie&gt;0,0),0)+6,1),"")</f>
        <v/>
      </c>
      <c r="D68" s="413"/>
      <c r="E68" s="413"/>
      <c r="F68" s="413"/>
      <c r="G68" s="414"/>
      <c r="H68" s="273" t="str">
        <f>IFERROR(ROUND(INDEX(lot_maladie,MATCH(C68,lot_nom_maladie,0),2)/SUMIF('Étape 1 - à remplir'!$G$19:$G$28,"lots",'Étape 1 - à remplir'!$F$19:$F$28),3),"")</f>
        <v/>
      </c>
      <c r="I68" s="271"/>
      <c r="J68" s="100"/>
      <c r="K68" s="412" t="str">
        <f>IFERROR(INDEX(lot_voie,MATCH(TRUE,INDEX(lot_nb_voie&gt;0,0),0)+6,1),"")</f>
        <v/>
      </c>
      <c r="L68" s="413"/>
      <c r="M68" s="413"/>
      <c r="N68" s="413"/>
      <c r="O68" s="414"/>
      <c r="P68" s="269" t="str">
        <f>IFERROR(ROUND(INDEX(lot_voie,MATCH(K68,lot_nom_voie,0),2)/SUMIF('Étape 1 - à remplir'!$G$19:$G$28,"lots",'Étape 1 - à remplir'!$F$19:$F$28),3),"")</f>
        <v/>
      </c>
      <c r="Q68" s="271"/>
      <c r="R68" s="103"/>
    </row>
    <row r="69" spans="2:18" ht="29.25" customHeight="1" x14ac:dyDescent="0.3">
      <c r="B69" s="99"/>
      <c r="C69" s="413" t="str">
        <f>IFERROR(INDEX(lot_maladie,MATCH(TRUE,INDEX(lot_nb_maladie&gt;0,0),0)+7,1),"")</f>
        <v/>
      </c>
      <c r="D69" s="413"/>
      <c r="E69" s="413"/>
      <c r="F69" s="413"/>
      <c r="G69" s="414"/>
      <c r="H69" s="273" t="str">
        <f>IFERROR(ROUND(INDEX(lot_maladie,MATCH(C69,lot_nom_maladie,0),2)/SUMIF('Étape 1 - à remplir'!$G$19:$G$28,"lots",'Étape 1 - à remplir'!$F$19:$F$28),3),"")</f>
        <v/>
      </c>
      <c r="I69" s="271"/>
      <c r="J69" s="100"/>
      <c r="K69" s="412" t="str">
        <f>IFERROR(INDEX(lot_voie,MATCH(TRUE,INDEX(lot_nb_voie&gt;0,0),0)+7,1),"")</f>
        <v/>
      </c>
      <c r="L69" s="413"/>
      <c r="M69" s="413"/>
      <c r="N69" s="413"/>
      <c r="O69" s="414"/>
      <c r="P69" s="269" t="str">
        <f>IFERROR(ROUND(INDEX(lot_voie,MATCH(K69,lot_nom_voie,0),2)/SUMIF('Étape 1 - à remplir'!$G$19:$G$28,"lots",'Étape 1 - à remplir'!$F$19:$F$28),3),"")</f>
        <v/>
      </c>
      <c r="Q69" s="271"/>
      <c r="R69" s="103"/>
    </row>
    <row r="70" spans="2:18" ht="29.25" customHeight="1" x14ac:dyDescent="0.3">
      <c r="B70" s="99"/>
      <c r="C70" s="413" t="str">
        <f>IFERROR(INDEX(lot_maladie,MATCH(TRUE,INDEX(lot_nb_maladie&gt;0,0),0)+8,1),"")</f>
        <v/>
      </c>
      <c r="D70" s="413"/>
      <c r="E70" s="413"/>
      <c r="F70" s="413"/>
      <c r="G70" s="414"/>
      <c r="H70" s="273" t="str">
        <f>IFERROR(ROUND(INDEX(lot_maladie,MATCH(C70,lot_nom_maladie,0),2)/SUMIF('Étape 1 - à remplir'!$G$19:$G$28,"lots",'Étape 1 - à remplir'!$F$19:$F$28),3),"")</f>
        <v/>
      </c>
      <c r="I70" s="271"/>
      <c r="J70" s="100"/>
      <c r="K70" s="412" t="str">
        <f>IFERROR(INDEX(lot_voie,MATCH(TRUE,INDEX(lot_nb_voie&gt;0,0),0)+8,1),"")</f>
        <v/>
      </c>
      <c r="L70" s="413"/>
      <c r="M70" s="413"/>
      <c r="N70" s="413"/>
      <c r="O70" s="414"/>
      <c r="P70" s="269" t="str">
        <f>IFERROR(ROUND(INDEX(lot_voie,MATCH(K70,lot_nom_voie,0),2)/SUMIF('Étape 1 - à remplir'!$G$19:$G$28,"lots",'Étape 1 - à remplir'!$F$19:$F$28),3),"")</f>
        <v/>
      </c>
      <c r="Q70" s="271"/>
      <c r="R70" s="103"/>
    </row>
    <row r="71" spans="2:18" x14ac:dyDescent="0.3">
      <c r="B71" s="95"/>
      <c r="R71" s="103"/>
    </row>
    <row r="72" spans="2:18" x14ac:dyDescent="0.3">
      <c r="B72" s="95"/>
      <c r="R72" s="103"/>
    </row>
    <row r="73" spans="2:18" x14ac:dyDescent="0.3">
      <c r="B73" s="95"/>
      <c r="R73" s="103"/>
    </row>
    <row r="74" spans="2:18" x14ac:dyDescent="0.3">
      <c r="B74" s="95"/>
      <c r="R74" s="103"/>
    </row>
    <row r="75" spans="2:18" x14ac:dyDescent="0.3">
      <c r="B75" s="95"/>
      <c r="R75" s="103"/>
    </row>
    <row r="76" spans="2:18" x14ac:dyDescent="0.3">
      <c r="B76" s="95"/>
      <c r="R76" s="103"/>
    </row>
    <row r="77" spans="2:18" x14ac:dyDescent="0.3">
      <c r="B77" s="95"/>
      <c r="R77" s="103"/>
    </row>
    <row r="78" spans="2:18" x14ac:dyDescent="0.3">
      <c r="B78" s="95"/>
      <c r="R78" s="103"/>
    </row>
    <row r="79" spans="2:18" x14ac:dyDescent="0.3">
      <c r="B79" s="95"/>
      <c r="R79" s="103"/>
    </row>
    <row r="80" spans="2:18" x14ac:dyDescent="0.3">
      <c r="B80" s="95"/>
      <c r="R80" s="103"/>
    </row>
    <row r="81" spans="2:18" x14ac:dyDescent="0.3">
      <c r="B81" s="95"/>
      <c r="R81" s="103"/>
    </row>
    <row r="82" spans="2:18" x14ac:dyDescent="0.3">
      <c r="B82" s="95"/>
      <c r="R82" s="103"/>
    </row>
    <row r="83" spans="2:18" ht="18" customHeight="1" x14ac:dyDescent="0.3">
      <c r="B83" s="95"/>
      <c r="R83" s="103"/>
    </row>
    <row r="84" spans="2:18" x14ac:dyDescent="0.3">
      <c r="B84" s="95"/>
      <c r="R84" s="103"/>
    </row>
    <row r="85" spans="2:18" ht="27" customHeight="1" x14ac:dyDescent="0.3">
      <c r="B85" s="95"/>
      <c r="C85" s="384" t="s">
        <v>576</v>
      </c>
      <c r="D85" s="384"/>
      <c r="E85" s="384"/>
      <c r="F85" s="384" t="s">
        <v>146</v>
      </c>
      <c r="G85" s="384"/>
      <c r="I85" s="384" t="s">
        <v>574</v>
      </c>
      <c r="J85" s="384"/>
      <c r="K85" s="384" t="s">
        <v>146</v>
      </c>
      <c r="L85" s="384"/>
      <c r="N85" s="384" t="s">
        <v>575</v>
      </c>
      <c r="O85" s="384"/>
      <c r="P85" s="384" t="s">
        <v>146</v>
      </c>
      <c r="Q85" s="384"/>
      <c r="R85" s="103"/>
    </row>
    <row r="86" spans="2:18" ht="24" customHeight="1" x14ac:dyDescent="0.3">
      <c r="B86" s="95"/>
      <c r="C86" s="383" t="str" cm="1">
        <f t="array" ref="C86">IFERROR(INDEX(lot_tri_medic,MATCH(TRUE,INDEX(lot_nb_tri_medic&gt;0,0),0),1),"")</f>
        <v/>
      </c>
      <c r="D86" s="383"/>
      <c r="E86" s="383"/>
      <c r="F86" s="382" t="str">
        <f>IFERROR(ROUND(INDEX(lot_tri_medic,MATCH(C86,lot_nom_tri_medic,0),2)/SUMIF('Étape 1 - à remplir'!G$19:G$28,"lots",'Étape 1 - à remplir'!F$19:F$28),3),"")</f>
        <v/>
      </c>
      <c r="G86" s="382"/>
      <c r="I86" s="383" t="str" cm="1">
        <f t="array" ref="I86">IFERROR(INDEX(lot_subst,MATCH(TRUE,INDEX(lot_subst_nb&gt;0,0),0),1),"")</f>
        <v/>
      </c>
      <c r="J86" s="383"/>
      <c r="K86" s="382" t="str">
        <f>IFERROR(ROUND(INDEX(lot_subst,MATCH(I86,lot_subst_nom,0),2)/SUMIF('Étape 1 - à remplir'!G$19:G$28,"lots",'Étape 1 - à remplir'!F$19:F$28),3),"")</f>
        <v/>
      </c>
      <c r="L86" s="382"/>
      <c r="N86" s="383" t="str" cm="1">
        <f t="array" ref="N86">IFERROR(INDEX(lot_famille,MATCH(TRUE,INDEX(lot_famille_nb&gt;0,0),0),1),"")</f>
        <v/>
      </c>
      <c r="O86" s="383"/>
      <c r="P86" s="382" t="str">
        <f>IFERROR(ROUND(INDEX(lot_famille,MATCH(N86,lot_famille_nom,0),2)/SUMIF('Étape 1 - à remplir'!G$19:G$28,"lots",'Étape 1 - à remplir'!F$19:F$28),3),"")</f>
        <v/>
      </c>
      <c r="Q86" s="382"/>
      <c r="R86" s="103"/>
    </row>
    <row r="87" spans="2:18" ht="24" customHeight="1" x14ac:dyDescent="0.3">
      <c r="B87" s="95"/>
      <c r="C87" s="383" t="str" cm="1">
        <f t="array" ref="C87">IFERROR(INDEX(lot_tri_medic,MATCH(TRUE,INDEX(lot_nb_tri_medic&gt;0,0),0)+1,1),"")</f>
        <v/>
      </c>
      <c r="D87" s="383"/>
      <c r="E87" s="383"/>
      <c r="F87" s="382" t="str">
        <f>IFERROR(ROUND(INDEX(lot_tri_medic,MATCH(C87,lot_nom_tri_medic,0),2)/SUMIF('Étape 1 - à remplir'!G$19:G$28,"lots",'Étape 1 - à remplir'!F$19:F$28),3),"")</f>
        <v/>
      </c>
      <c r="G87" s="382"/>
      <c r="I87" s="383" t="str" cm="1">
        <f t="array" ref="I87">IFERROR(INDEX(lot_subst,MATCH(TRUE,INDEX(lot_subst_nb&gt;0,0),0)+1,1),"")</f>
        <v/>
      </c>
      <c r="J87" s="383"/>
      <c r="K87" s="382" t="str">
        <f>IFERROR(ROUND(INDEX(lot_subst,MATCH(I87,lot_subst_nom,0),2)/SUMIF('Étape 1 - à remplir'!G$19:G$28,"lots",'Étape 1 - à remplir'!F$19:F$28),3),"")</f>
        <v/>
      </c>
      <c r="L87" s="382"/>
      <c r="N87" s="383" t="str" cm="1">
        <f t="array" ref="N87">IFERROR(INDEX(lot_famille,MATCH(TRUE,INDEX(lot_famille_nb&gt;0,0),0)+1,1),"")</f>
        <v/>
      </c>
      <c r="O87" s="383"/>
      <c r="P87" s="382" t="str">
        <f>IFERROR(ROUND(INDEX(lot_famille,MATCH(N87,lot_famille_nom,0),2)/SUMIF('Étape 1 - à remplir'!G$19:G$28,"lots",'Étape 1 - à remplir'!F$19:F$28),3),"")</f>
        <v/>
      </c>
      <c r="Q87" s="382"/>
      <c r="R87" s="103"/>
    </row>
    <row r="88" spans="2:18" ht="24" customHeight="1" x14ac:dyDescent="0.3">
      <c r="B88" s="95"/>
      <c r="C88" s="383" t="str" cm="1">
        <f t="array" ref="C88">IFERROR(INDEX(lot_tri_medic,MATCH(TRUE,INDEX(lot_nb_tri_medic&gt;0,0),0)+2,1),"")</f>
        <v/>
      </c>
      <c r="D88" s="383"/>
      <c r="E88" s="383"/>
      <c r="F88" s="382" t="str">
        <f>IFERROR(ROUND(INDEX(lot_tri_medic,MATCH(C88,lot_nom_tri_medic,0),2)/SUMIF('Étape 1 - à remplir'!G$19:G$28,"lots",'Étape 1 - à remplir'!F$19:F$28),3),"")</f>
        <v/>
      </c>
      <c r="G88" s="382"/>
      <c r="I88" s="383" t="str" cm="1">
        <f t="array" ref="I88">IFERROR(INDEX(lot_subst,MATCH(TRUE,INDEX(lot_subst_nb&gt;0,0),0)+2,1),"")</f>
        <v/>
      </c>
      <c r="J88" s="383"/>
      <c r="K88" s="382" t="str">
        <f>IFERROR(ROUND(INDEX(lot_subst,MATCH(I88,lot_subst_nom,0),2)/SUMIF('Étape 1 - à remplir'!G$19:G$28,"lots",'Étape 1 - à remplir'!F$19:F$28),3),"")</f>
        <v/>
      </c>
      <c r="L88" s="382"/>
      <c r="N88" s="383" t="str" cm="1">
        <f t="array" ref="N88">IFERROR(INDEX(lot_famille,MATCH(TRUE,INDEX(lot_famille_nb&gt;0,0),0)+2,1),"")</f>
        <v/>
      </c>
      <c r="O88" s="383"/>
      <c r="P88" s="382" t="str">
        <f>IFERROR(ROUND(INDEX(lot_famille,MATCH(N88,lot_famille_nom,0),2)/SUMIF('Étape 1 - à remplir'!G$19:G$28,"lots",'Étape 1 - à remplir'!F$19:F$28),3),"")</f>
        <v/>
      </c>
      <c r="Q88" s="382"/>
      <c r="R88" s="103"/>
    </row>
    <row r="89" spans="2:18" ht="24" customHeight="1" x14ac:dyDescent="0.3">
      <c r="B89" s="95"/>
      <c r="C89" s="383" t="str" cm="1">
        <f t="array" ref="C89">IFERROR(INDEX(lot_tri_medic,MATCH(TRUE,INDEX(lot_nb_tri_medic&gt;0,0),0)+3,1),"")</f>
        <v/>
      </c>
      <c r="D89" s="383"/>
      <c r="E89" s="383"/>
      <c r="F89" s="382" t="str">
        <f>IFERROR(ROUND(INDEX(lot_tri_medic,MATCH(C89,lot_nom_tri_medic,0),2)/SUMIF('Étape 1 - à remplir'!G$19:G$28,"lots",'Étape 1 - à remplir'!F$19:F$28),3),"")</f>
        <v/>
      </c>
      <c r="G89" s="382"/>
      <c r="I89" s="383" t="str" cm="1">
        <f t="array" ref="I89">IFERROR(INDEX(lot_subst,MATCH(TRUE,INDEX(lot_subst_nb&gt;0,0),0)+3,1),"")</f>
        <v/>
      </c>
      <c r="J89" s="383"/>
      <c r="K89" s="382" t="str">
        <f>IFERROR(ROUND(INDEX(lot_subst,MATCH(I89,lot_subst_nom,0),2)/SUMIF('Étape 1 - à remplir'!G$19:G$28,"lots",'Étape 1 - à remplir'!F$19:F$28),3),"")</f>
        <v/>
      </c>
      <c r="L89" s="382"/>
      <c r="N89" s="383" t="str" cm="1">
        <f t="array" ref="N89">IFERROR(INDEX(lot_famille,MATCH(TRUE,INDEX(lot_famille_nb&gt;0,0),0)+3,1),"")</f>
        <v/>
      </c>
      <c r="O89" s="383"/>
      <c r="P89" s="382" t="str">
        <f>IFERROR(ROUND(INDEX(lot_famille,MATCH(N89,lot_famille_nom,0),2)/SUMIF('Étape 1 - à remplir'!G$19:G$28,"lots",'Étape 1 - à remplir'!F$19:F$28),3),"")</f>
        <v/>
      </c>
      <c r="Q89" s="382"/>
      <c r="R89" s="103"/>
    </row>
    <row r="90" spans="2:18" ht="24" customHeight="1" x14ac:dyDescent="0.3">
      <c r="B90" s="95"/>
      <c r="C90" s="383" t="str" cm="1">
        <f t="array" ref="C90">IFERROR(INDEX(lot_tri_medic,MATCH(TRUE,INDEX(lot_nb_tri_medic&gt;0,0),0)+4,1),"")</f>
        <v/>
      </c>
      <c r="D90" s="383"/>
      <c r="E90" s="383"/>
      <c r="F90" s="382" t="str">
        <f>IFERROR(ROUND(INDEX(lot_tri_medic,MATCH(C90,lot_nom_tri_medic,0),2)/SUMIF('Étape 1 - à remplir'!G$19:G$28,"lots",'Étape 1 - à remplir'!F$19:F$28),3),"")</f>
        <v/>
      </c>
      <c r="G90" s="382"/>
      <c r="I90" s="383" t="str" cm="1">
        <f t="array" ref="I90">IFERROR(INDEX(lot_subst,MATCH(TRUE,INDEX(lot_subst_nb&gt;0,0),0)+4,1),"")</f>
        <v/>
      </c>
      <c r="J90" s="383"/>
      <c r="K90" s="382" t="str">
        <f>IFERROR(ROUND(INDEX(lot_subst,MATCH(I90,lot_subst_nom,0),2)/SUMIF('Étape 1 - à remplir'!G$19:G$28,"lots",'Étape 1 - à remplir'!F$19:F$28),3),"")</f>
        <v/>
      </c>
      <c r="L90" s="382"/>
      <c r="N90" s="383" t="str" cm="1">
        <f t="array" ref="N90">IFERROR(INDEX(lot_famille,MATCH(TRUE,INDEX(lot_famille_nb&gt;0,0),0)+4,1),"")</f>
        <v/>
      </c>
      <c r="O90" s="383"/>
      <c r="P90" s="382" t="str">
        <f>IFERROR(ROUND(INDEX(lot_famille,MATCH(N90,lot_famille_nom,0),2)/SUMIF('Étape 1 - à remplir'!G$19:G$28,"lots",'Étape 1 - à remplir'!F$19:F$28),3),"")</f>
        <v/>
      </c>
      <c r="Q90" s="382"/>
      <c r="R90" s="103"/>
    </row>
    <row r="91" spans="2:18" ht="24" customHeight="1" x14ac:dyDescent="0.3">
      <c r="B91" s="95"/>
      <c r="C91" s="383" t="str" cm="1">
        <f t="array" ref="C91">IFERROR(INDEX(lot_tri_medic,MATCH(TRUE,INDEX(lot_nb_tri_medic&gt;0,0),0)+5,1),"")</f>
        <v/>
      </c>
      <c r="D91" s="383"/>
      <c r="E91" s="383"/>
      <c r="F91" s="382" t="str">
        <f>IFERROR(ROUND(INDEX(lot_tri_medic,MATCH(C91,lot_nom_tri_medic,0),2)/SUMIF('Étape 1 - à remplir'!G$19:G$28,"lots",'Étape 1 - à remplir'!F$19:F$28),3),"")</f>
        <v/>
      </c>
      <c r="G91" s="382"/>
      <c r="I91" s="383" t="str" cm="1">
        <f t="array" ref="I91">IFERROR(INDEX(lot_subst,MATCH(TRUE,INDEX(lot_subst_nb&gt;0,0),0)+5,1),"")</f>
        <v/>
      </c>
      <c r="J91" s="383"/>
      <c r="K91" s="382" t="str">
        <f>IFERROR(ROUND(INDEX(lot_subst,MATCH(I91,lot_subst_nom,0),2)/SUMIF('Étape 1 - à remplir'!G$19:G$28,"lots",'Étape 1 - à remplir'!F$19:F$28),3),"")</f>
        <v/>
      </c>
      <c r="L91" s="382"/>
      <c r="N91" s="382" t="str" cm="1">
        <f t="array" ref="N91">IFERROR(INDEX(lot_famille,MATCH(TRUE,INDEX(lot_famille_nb&gt;0,0),0)+5,1),"")</f>
        <v/>
      </c>
      <c r="O91" s="382"/>
      <c r="P91" s="382" t="str">
        <f>IFERROR(ROUND(INDEX(lot_famille,MATCH(N91,lot_famille_nom,0),2)/SUMIF('Étape 1 - à remplir'!G$19:G$28,"lots",'Étape 1 - à remplir'!F$19:F$28),3),"")</f>
        <v/>
      </c>
      <c r="Q91" s="382"/>
      <c r="R91" s="103"/>
    </row>
    <row r="92" spans="2:18" ht="24" customHeight="1" x14ac:dyDescent="0.3">
      <c r="B92" s="95"/>
      <c r="C92" s="383" t="str" cm="1">
        <f t="array" ref="C92">IFERROR(INDEX(lot_tri_medic,MATCH(TRUE,INDEX(lot_nb_tri_medic&gt;0,0),0)+6,1),"")</f>
        <v/>
      </c>
      <c r="D92" s="383"/>
      <c r="E92" s="383"/>
      <c r="F92" s="382" t="str">
        <f>IFERROR(ROUND(INDEX(lot_tri_medic,MATCH(C92,lot_nom_tri_medic,0),2)/SUMIF('Étape 1 - à remplir'!G$19:G$28,"lots",'Étape 1 - à remplir'!F$19:F$28),3),"")</f>
        <v/>
      </c>
      <c r="G92" s="382"/>
      <c r="I92" s="382" t="str" cm="1">
        <f t="array" ref="I92">IFERROR(INDEX(lot_subst,MATCH(TRUE,INDEX(lot_subst_nb&gt;0,0),0)+6,1),"")</f>
        <v/>
      </c>
      <c r="J92" s="382"/>
      <c r="K92" s="382" t="str">
        <f>IFERROR(ROUND(INDEX(lot_subst,MATCH(I92,lot_subst_nom,0),2)/SUMIF('Étape 1 - à remplir'!G$19:G$28,"lots",'Étape 1 - à remplir'!F$19:F$28),3),"")</f>
        <v/>
      </c>
      <c r="L92" s="382"/>
      <c r="N92" s="382" t="str" cm="1">
        <f t="array" ref="N92">IFERROR(INDEX(lot_famille,MATCH(TRUE,INDEX(lot_famille_nb&gt;0,0),0)+6,1),"")</f>
        <v/>
      </c>
      <c r="O92" s="382"/>
      <c r="P92" s="382" t="str">
        <f>IFERROR(ROUND(INDEX(lot_famille,MATCH(N92,lot_famille_nom,0),2)/SUMIF('Étape 1 - à remplir'!G$19:G$28,"lots",'Étape 1 - à remplir'!F$19:F$28),3),"")</f>
        <v/>
      </c>
      <c r="Q92" s="382"/>
      <c r="R92" s="103"/>
    </row>
    <row r="93" spans="2:18" ht="24" customHeight="1" x14ac:dyDescent="0.3">
      <c r="B93" s="95"/>
      <c r="C93" s="382" t="str" cm="1">
        <f t="array" ref="C93">IFERROR(INDEX(lot_tri_medic,MATCH(TRUE,INDEX(lot_nb_tri_medic&gt;0,0),0)+7,1),"")</f>
        <v/>
      </c>
      <c r="D93" s="382"/>
      <c r="E93" s="382"/>
      <c r="F93" s="382" t="str">
        <f>IFERROR(ROUND(INDEX(lot_tri_medic,MATCH(C93,lot_nom_tri_medic,0),2)/SUMIF('Étape 1 - à remplir'!G$19:G$28,"lots",'Étape 1 - à remplir'!F$19:F$28),3),"")</f>
        <v/>
      </c>
      <c r="G93" s="382"/>
      <c r="I93" s="382" t="str" cm="1">
        <f t="array" ref="I93">IFERROR(INDEX(lot_subst,MATCH(TRUE,INDEX(lot_subst_nb&gt;0,0),0)+7,1),"")</f>
        <v/>
      </c>
      <c r="J93" s="382"/>
      <c r="K93" s="382" t="str">
        <f>IFERROR(ROUND(INDEX(lot_subst,MATCH(I93,lot_subst_nom,0),2)/SUMIF('Étape 1 - à remplir'!G$19:G$28,"lots",'Étape 1 - à remplir'!F$19:F$28),3),"")</f>
        <v/>
      </c>
      <c r="L93" s="382"/>
      <c r="N93" s="382" t="str" cm="1">
        <f t="array" ref="N93">IFERROR(INDEX(lot_famille,MATCH(TRUE,INDEX(lot_famille_nb&gt;0,0),0)+7,1),"")</f>
        <v/>
      </c>
      <c r="O93" s="382"/>
      <c r="P93" s="382" t="str">
        <f>IFERROR(ROUND(INDEX(lot_famille,MATCH(N93,lot_famille_nom,0),2)/SUMIF('Étape 1 - à remplir'!G$19:G$28,"lots",'Étape 1 - à remplir'!F$19:F$28),3),"")</f>
        <v/>
      </c>
      <c r="Q93" s="382"/>
      <c r="R93" s="103"/>
    </row>
    <row r="94" spans="2:18" ht="24" customHeight="1" x14ac:dyDescent="0.3">
      <c r="B94" s="95"/>
      <c r="C94" s="401" t="str" cm="1">
        <f t="array" ref="C94">IFERROR(INDEX(lot_tri_medic,MATCH(TRUE,INDEX(lot_nb_tri_medic&gt;0,0),0)+8,1),"")</f>
        <v/>
      </c>
      <c r="D94" s="401"/>
      <c r="E94" s="401"/>
      <c r="F94" s="401" t="str">
        <f>IFERROR(ROUND(INDEX(lot_tri_medic,MATCH(C94,lot_nom_tri_medic,0),2)/SUMIF('Étape 1 - à remplir'!G$19:G$28,"lots",'Étape 1 - à remplir'!F$19:F$28),3),"")</f>
        <v/>
      </c>
      <c r="G94" s="401"/>
      <c r="I94" s="401" t="str" cm="1">
        <f t="array" ref="I94">IFERROR(INDEX(lot_subst,MATCH(TRUE,INDEX(lot_subst_nb&gt;0,0),0)+8,1),"")</f>
        <v/>
      </c>
      <c r="J94" s="401"/>
      <c r="K94" s="401" t="str">
        <f>IFERROR(ROUND(INDEX(lot_subst,MATCH(I94,lot_subst_nom,0),2)/SUMIF('Étape 1 - à remplir'!G$19:G$28,"lots",'Étape 1 - à remplir'!F$19:F$28),3),"")</f>
        <v/>
      </c>
      <c r="L94" s="401"/>
      <c r="N94" s="401" t="str" cm="1">
        <f t="array" ref="N94">IFERROR(INDEX(lot_famille,MATCH(TRUE,INDEX(lot_famille_nb&gt;0,0),0)+8,1),"")</f>
        <v/>
      </c>
      <c r="O94" s="401"/>
      <c r="P94" s="401" t="str">
        <f>IFERROR(ROUND(INDEX(lot_famille,MATCH(N94,lot_famille_nom,0),2)/SUMIF('Étape 1 - à remplir'!G$19:G$28,"lots",'Étape 1 - à remplir'!F$19:F$28),3),"")</f>
        <v/>
      </c>
      <c r="Q94" s="401"/>
      <c r="R94" s="103"/>
    </row>
    <row r="95" spans="2:18" ht="24" customHeight="1" x14ac:dyDescent="0.3">
      <c r="B95" s="95"/>
      <c r="C95" s="400" t="str" cm="1">
        <f t="array" ref="C95">IFERROR(INDEX(lot_tri_medic,MATCH(TRUE,INDEX(lot_nb_tri_medic&gt;0,0),0)+9,1),"")</f>
        <v/>
      </c>
      <c r="D95" s="400"/>
      <c r="E95" s="400"/>
      <c r="F95" s="400" t="str">
        <f>IFERROR(ROUND(INDEX(lot_tri_medic,MATCH(C95,lot_nom_tri_medic,0),2)/SUMIF('Étape 1 - à remplir'!G$19:G$28,"lots",'Étape 1 - à remplir'!F$19:F$28),3),"")</f>
        <v/>
      </c>
      <c r="G95" s="400"/>
      <c r="I95" s="400" t="str" cm="1">
        <f t="array" ref="I95">IFERROR(INDEX(lot_subst,MATCH(TRUE,INDEX(lot_subst_nb&gt;0,0),0)+9,1),"")</f>
        <v/>
      </c>
      <c r="J95" s="400"/>
      <c r="K95" s="400" t="str">
        <f>IFERROR(ROUND(INDEX(lot_subst,MATCH(I95,lot_subst_nom,0),2)/SUMIF('Étape 1 - à remplir'!G$19:G$28,"lots",'Étape 1 - à remplir'!F$19:F$28),3),"")</f>
        <v/>
      </c>
      <c r="L95" s="400"/>
      <c r="N95" s="400" t="str" cm="1">
        <f t="array" ref="N95">IFERROR(INDEX(lot_famille,MATCH(TRUE,INDEX(lot_famille_nb&gt;0,0),0)+9,1),"")</f>
        <v/>
      </c>
      <c r="O95" s="400"/>
      <c r="P95" s="400" t="str">
        <f>IFERROR(ROUND(INDEX(lot_famille,MATCH(N95,lot_famille_nom,0),2)/SUMIF('Étape 1 - à remplir'!G$19:G$28,"lots",'Étape 1 - à remplir'!F$19:F$28),3),"")</f>
        <v/>
      </c>
      <c r="Q95" s="400"/>
      <c r="R95" s="103"/>
    </row>
    <row r="96" spans="2:18" ht="20.399999999999999" x14ac:dyDescent="0.3">
      <c r="B96" s="95"/>
      <c r="C96" s="408" t="s">
        <v>4353</v>
      </c>
      <c r="D96" s="408"/>
      <c r="E96" s="408"/>
      <c r="F96" s="408"/>
      <c r="G96" s="408"/>
      <c r="H96" s="408"/>
      <c r="I96" s="408"/>
      <c r="J96" s="408"/>
      <c r="K96" s="408"/>
      <c r="L96" s="408"/>
      <c r="M96" s="408"/>
      <c r="N96" s="408"/>
      <c r="O96" s="408"/>
      <c r="P96" s="408"/>
      <c r="Q96" s="408"/>
      <c r="R96" s="103"/>
    </row>
    <row r="97" spans="2:18" ht="11.25" customHeight="1" x14ac:dyDescent="0.3">
      <c r="B97" s="95"/>
      <c r="R97" s="103"/>
    </row>
    <row r="98" spans="2:18" ht="30" customHeight="1" x14ac:dyDescent="0.3">
      <c r="B98" s="95"/>
      <c r="D98" s="409" t="s">
        <v>588</v>
      </c>
      <c r="E98" s="409"/>
      <c r="F98" s="244" t="s">
        <v>587</v>
      </c>
      <c r="G98" s="409" t="s">
        <v>586</v>
      </c>
      <c r="H98" s="409"/>
      <c r="I98" s="409" t="s">
        <v>4354</v>
      </c>
      <c r="J98" s="409"/>
      <c r="K98" s="244" t="s">
        <v>552</v>
      </c>
      <c r="L98" s="409" t="s">
        <v>4357</v>
      </c>
      <c r="M98" s="409"/>
      <c r="N98" s="409"/>
      <c r="O98" s="409" t="s">
        <v>146</v>
      </c>
      <c r="P98" s="409"/>
      <c r="R98" s="103"/>
    </row>
    <row r="99" spans="2:18" ht="28.5" customHeight="1" x14ac:dyDescent="0.3">
      <c r="B99" s="95"/>
      <c r="D99" s="407" t="str">
        <f>IF(MASQ2!CM77="","",MASQ2!CM77)</f>
        <v/>
      </c>
      <c r="E99" s="407"/>
      <c r="F99" s="243" t="str">
        <f>IF(MASQ2!CN77="","",MASQ2!CN77)</f>
        <v/>
      </c>
      <c r="G99" s="407" t="str">
        <f>IF(MASQ2!CO77="","",MASQ2!CO77)</f>
        <v/>
      </c>
      <c r="H99" s="407"/>
      <c r="I99" s="407" t="str">
        <f>IF(MASQ2!CP77="","",MASQ2!CP77)</f>
        <v/>
      </c>
      <c r="J99" s="407"/>
      <c r="K99" s="243" t="str">
        <f>IF(MASQ2!CQ77="","",MASQ2!CQ77)</f>
        <v/>
      </c>
      <c r="L99" s="407" t="str">
        <f>IF(MASQ2!CR77="","",MASQ2!CR77)</f>
        <v/>
      </c>
      <c r="M99" s="407"/>
      <c r="N99" s="407"/>
      <c r="O99" s="407" t="str">
        <f>IF(MASQ2!CS77="","",ROUND(MASQ2!CS77,2))</f>
        <v/>
      </c>
      <c r="P99" s="407"/>
      <c r="R99" s="103"/>
    </row>
    <row r="100" spans="2:18" ht="28.5" customHeight="1" x14ac:dyDescent="0.3">
      <c r="B100" s="95"/>
      <c r="D100" s="407" t="str">
        <f>IF(MASQ2!CM78="","",MASQ2!CM78)</f>
        <v/>
      </c>
      <c r="E100" s="407"/>
      <c r="F100" s="243" t="str">
        <f>IF(MASQ2!CN78="","",MASQ2!CN78)</f>
        <v/>
      </c>
      <c r="G100" s="407" t="str">
        <f>IF(MASQ2!CO78="","",MASQ2!CO78)</f>
        <v/>
      </c>
      <c r="H100" s="407"/>
      <c r="I100" s="407" t="str">
        <f>IF(MASQ2!CP78="","",MASQ2!CP78)</f>
        <v/>
      </c>
      <c r="J100" s="407"/>
      <c r="K100" s="243" t="str">
        <f>IF(MASQ2!CQ78="","",MASQ2!CQ78)</f>
        <v/>
      </c>
      <c r="L100" s="407" t="str">
        <f>IF(MASQ2!CR78="","",MASQ2!CR78)</f>
        <v/>
      </c>
      <c r="M100" s="407"/>
      <c r="N100" s="407"/>
      <c r="O100" s="407" t="str">
        <f>IF(MASQ2!CS78="","",ROUND(MASQ2!CS78,2))</f>
        <v/>
      </c>
      <c r="P100" s="407"/>
      <c r="R100" s="103"/>
    </row>
    <row r="101" spans="2:18" ht="28.5" customHeight="1" x14ac:dyDescent="0.3">
      <c r="B101" s="95"/>
      <c r="D101" s="407" t="str">
        <f>IF(MASQ2!CM79="","",MASQ2!CM79)</f>
        <v/>
      </c>
      <c r="E101" s="407"/>
      <c r="F101" s="243" t="str">
        <f>IF(MASQ2!CN79="","",MASQ2!CN79)</f>
        <v/>
      </c>
      <c r="G101" s="407" t="str">
        <f>IF(MASQ2!CO79="","",MASQ2!CO79)</f>
        <v/>
      </c>
      <c r="H101" s="407"/>
      <c r="I101" s="407" t="str">
        <f>IF(MASQ2!CP79="","",MASQ2!CP79)</f>
        <v/>
      </c>
      <c r="J101" s="407"/>
      <c r="K101" s="243" t="str">
        <f>IF(MASQ2!CQ79="","",MASQ2!CQ79)</f>
        <v/>
      </c>
      <c r="L101" s="407" t="str">
        <f>IF(MASQ2!CR79="","",MASQ2!CR79)</f>
        <v/>
      </c>
      <c r="M101" s="407"/>
      <c r="N101" s="407"/>
      <c r="O101" s="407" t="str">
        <f>IF(MASQ2!CS79="","",ROUND(MASQ2!CS79,2))</f>
        <v/>
      </c>
      <c r="P101" s="407"/>
      <c r="R101" s="103"/>
    </row>
    <row r="102" spans="2:18" ht="28.5" customHeight="1" x14ac:dyDescent="0.3">
      <c r="B102" s="95"/>
      <c r="D102" s="407" t="str">
        <f>IF(MASQ2!CM80="","",MASQ2!CM80)</f>
        <v/>
      </c>
      <c r="E102" s="407"/>
      <c r="F102" s="243" t="str">
        <f>IF(MASQ2!CN80="","",MASQ2!CN80)</f>
        <v/>
      </c>
      <c r="G102" s="407" t="str">
        <f>IF(MASQ2!CO80="","",MASQ2!CO80)</f>
        <v/>
      </c>
      <c r="H102" s="407"/>
      <c r="I102" s="407" t="str">
        <f>IF(MASQ2!CP80="","",MASQ2!CP80)</f>
        <v/>
      </c>
      <c r="J102" s="407"/>
      <c r="K102" s="243" t="str">
        <f>IF(MASQ2!CQ80="","",MASQ2!CQ80)</f>
        <v/>
      </c>
      <c r="L102" s="407" t="str">
        <f>IF(MASQ2!CR80="","",MASQ2!CR80)</f>
        <v/>
      </c>
      <c r="M102" s="407"/>
      <c r="N102" s="407"/>
      <c r="O102" s="407" t="str">
        <f>IF(MASQ2!CS80="","",ROUND(MASQ2!CS80,2))</f>
        <v/>
      </c>
      <c r="P102" s="407"/>
      <c r="R102" s="103"/>
    </row>
    <row r="103" spans="2:18" ht="28.5" customHeight="1" x14ac:dyDescent="0.3">
      <c r="B103" s="95"/>
      <c r="D103" s="407" t="str">
        <f>IF(MASQ2!CM81="","",MASQ2!CM81)</f>
        <v/>
      </c>
      <c r="E103" s="407"/>
      <c r="F103" s="243" t="str">
        <f>IF(MASQ2!CN81="","",MASQ2!CN81)</f>
        <v/>
      </c>
      <c r="G103" s="407" t="str">
        <f>IF(MASQ2!CO81="","",MASQ2!CO81)</f>
        <v/>
      </c>
      <c r="H103" s="407"/>
      <c r="I103" s="407" t="str">
        <f>IF(MASQ2!CP81="","",MASQ2!CP81)</f>
        <v/>
      </c>
      <c r="J103" s="407"/>
      <c r="K103" s="243" t="str">
        <f>IF(MASQ2!CQ81="","",MASQ2!CQ81)</f>
        <v/>
      </c>
      <c r="L103" s="407" t="str">
        <f>IF(MASQ2!CR81="","",MASQ2!CR81)</f>
        <v/>
      </c>
      <c r="M103" s="407"/>
      <c r="N103" s="407"/>
      <c r="O103" s="407" t="str">
        <f>IF(MASQ2!CS81="","",ROUND(MASQ2!CS81,2))</f>
        <v/>
      </c>
      <c r="P103" s="407"/>
      <c r="R103" s="103"/>
    </row>
    <row r="104" spans="2:18" ht="28.5" customHeight="1" x14ac:dyDescent="0.3">
      <c r="B104" s="95"/>
      <c r="D104" s="407" t="str">
        <f>IF(MASQ2!CM82="","",MASQ2!CM82)</f>
        <v/>
      </c>
      <c r="E104" s="407"/>
      <c r="F104" s="243" t="str">
        <f>IF(MASQ2!CN82="","",MASQ2!CN82)</f>
        <v/>
      </c>
      <c r="G104" s="407" t="str">
        <f>IF(MASQ2!CO82="","",MASQ2!CO82)</f>
        <v/>
      </c>
      <c r="H104" s="407"/>
      <c r="I104" s="407" t="str">
        <f>IF(MASQ2!CP82="","",MASQ2!CP82)</f>
        <v/>
      </c>
      <c r="J104" s="407"/>
      <c r="K104" s="243" t="str">
        <f>IF(MASQ2!CQ82="","",MASQ2!CQ82)</f>
        <v/>
      </c>
      <c r="L104" s="407" t="str">
        <f>IF(MASQ2!CR82="","",MASQ2!CR82)</f>
        <v/>
      </c>
      <c r="M104" s="407"/>
      <c r="N104" s="407"/>
      <c r="O104" s="407" t="str">
        <f>IF(MASQ2!CS82="","",ROUND(MASQ2!CS82,2))</f>
        <v/>
      </c>
      <c r="P104" s="407"/>
      <c r="R104" s="103"/>
    </row>
    <row r="105" spans="2:18" ht="28.5" customHeight="1" x14ac:dyDescent="0.3">
      <c r="B105" s="95"/>
      <c r="D105" s="407" t="str">
        <f>IF(MASQ2!CM83="","",MASQ2!CM83)</f>
        <v/>
      </c>
      <c r="E105" s="407"/>
      <c r="F105" s="243" t="str">
        <f>IF(MASQ2!CN83="","",MASQ2!CN83)</f>
        <v/>
      </c>
      <c r="G105" s="407" t="str">
        <f>IF(MASQ2!CO83="","",MASQ2!CO83)</f>
        <v/>
      </c>
      <c r="H105" s="407"/>
      <c r="I105" s="407" t="str">
        <f>IF(MASQ2!CP83="","",MASQ2!CP83)</f>
        <v/>
      </c>
      <c r="J105" s="407"/>
      <c r="K105" s="243" t="str">
        <f>IF(MASQ2!CQ83="","",MASQ2!CQ83)</f>
        <v/>
      </c>
      <c r="L105" s="407" t="str">
        <f>IF(MASQ2!CR83="","",MASQ2!CR83)</f>
        <v/>
      </c>
      <c r="M105" s="407"/>
      <c r="N105" s="407"/>
      <c r="O105" s="407" t="str">
        <f>IF(MASQ2!CS83="","",ROUND(MASQ2!CS83,2))</f>
        <v/>
      </c>
      <c r="P105" s="407"/>
      <c r="R105" s="103"/>
    </row>
    <row r="106" spans="2:18" ht="28.5" customHeight="1" x14ac:dyDescent="0.3">
      <c r="B106" s="95"/>
      <c r="D106" s="407" t="str">
        <f>IF(MASQ2!CM84="","",MASQ2!CM84)</f>
        <v/>
      </c>
      <c r="E106" s="407"/>
      <c r="F106" s="243" t="str">
        <f>IF(MASQ2!CN84="","",MASQ2!CN84)</f>
        <v/>
      </c>
      <c r="G106" s="407" t="str">
        <f>IF(MASQ2!CO84="","",MASQ2!CO84)</f>
        <v/>
      </c>
      <c r="H106" s="407"/>
      <c r="I106" s="407" t="str">
        <f>IF(MASQ2!CP84="","",MASQ2!CP84)</f>
        <v/>
      </c>
      <c r="J106" s="407"/>
      <c r="K106" s="243" t="str">
        <f>IF(MASQ2!CQ84="","",MASQ2!CQ84)</f>
        <v/>
      </c>
      <c r="L106" s="407" t="str">
        <f>IF(MASQ2!CR84="","",MASQ2!CR84)</f>
        <v/>
      </c>
      <c r="M106" s="407"/>
      <c r="N106" s="407"/>
      <c r="O106" s="407" t="str">
        <f>IF(MASQ2!CS84="","",ROUND(MASQ2!CS84,2))</f>
        <v/>
      </c>
      <c r="P106" s="407"/>
      <c r="R106" s="103"/>
    </row>
    <row r="107" spans="2:18" ht="28.5" customHeight="1" x14ac:dyDescent="0.3">
      <c r="B107" s="95"/>
      <c r="D107" s="407" t="str">
        <f>IF(MASQ2!CM85="","",MASQ2!CM85)</f>
        <v/>
      </c>
      <c r="E107" s="407"/>
      <c r="F107" s="243" t="str">
        <f>IF(MASQ2!CN85="","",MASQ2!CN85)</f>
        <v/>
      </c>
      <c r="G107" s="407" t="str">
        <f>IF(MASQ2!CO85="","",MASQ2!CO85)</f>
        <v/>
      </c>
      <c r="H107" s="407"/>
      <c r="I107" s="407" t="str">
        <f>IF(MASQ2!CP85="","",MASQ2!CP85)</f>
        <v/>
      </c>
      <c r="J107" s="407"/>
      <c r="K107" s="243" t="str">
        <f>IF(MASQ2!CQ85="","",MASQ2!CQ85)</f>
        <v/>
      </c>
      <c r="L107" s="407" t="str">
        <f>IF(MASQ2!CR85="","",MASQ2!CR85)</f>
        <v/>
      </c>
      <c r="M107" s="407"/>
      <c r="N107" s="407"/>
      <c r="O107" s="407" t="str">
        <f>IF(MASQ2!CS85="","",ROUND(MASQ2!CS85,2))</f>
        <v/>
      </c>
      <c r="P107" s="407"/>
      <c r="R107" s="103"/>
    </row>
    <row r="108" spans="2:18" ht="28.5" customHeight="1" x14ac:dyDescent="0.3">
      <c r="B108" s="95"/>
      <c r="D108" s="407" t="str">
        <f>IF(MASQ2!CM86="","",MASQ2!CM86)</f>
        <v/>
      </c>
      <c r="E108" s="407"/>
      <c r="F108" s="243" t="str">
        <f>IF(MASQ2!CN86="","",MASQ2!CN86)</f>
        <v/>
      </c>
      <c r="G108" s="407" t="str">
        <f>IF(MASQ2!CO86="","",MASQ2!CO86)</f>
        <v/>
      </c>
      <c r="H108" s="407"/>
      <c r="I108" s="407" t="str">
        <f>IF(MASQ2!CP86="","",MASQ2!CP86)</f>
        <v/>
      </c>
      <c r="J108" s="407"/>
      <c r="K108" s="243" t="str">
        <f>IF(MASQ2!CQ86="","",MASQ2!CQ86)</f>
        <v/>
      </c>
      <c r="L108" s="407" t="str">
        <f>IF(MASQ2!CR86="","",MASQ2!CR86)</f>
        <v/>
      </c>
      <c r="M108" s="407"/>
      <c r="N108" s="407"/>
      <c r="O108" s="407" t="str">
        <f>IF(MASQ2!CS86="","",ROUND(MASQ2!CS86,2))</f>
        <v/>
      </c>
      <c r="P108" s="407"/>
      <c r="R108" s="103"/>
    </row>
    <row r="109" spans="2:18" x14ac:dyDescent="0.3">
      <c r="B109" s="95"/>
      <c r="R109" s="103"/>
    </row>
    <row r="110" spans="2:18" x14ac:dyDescent="0.3">
      <c r="B110" s="95"/>
      <c r="R110" s="103"/>
    </row>
    <row r="111" spans="2:18" x14ac:dyDescent="0.3">
      <c r="B111" s="95"/>
      <c r="R111" s="103"/>
    </row>
    <row r="112" spans="2:18" ht="10.5" customHeight="1" x14ac:dyDescent="0.3">
      <c r="B112" s="95"/>
      <c r="R112" s="103"/>
    </row>
    <row r="113" spans="2:18" x14ac:dyDescent="0.3">
      <c r="B113" s="95"/>
      <c r="R113" s="103"/>
    </row>
    <row r="114" spans="2:18" ht="14.4" thickBot="1" x14ac:dyDescent="0.35">
      <c r="B114" s="199"/>
      <c r="C114" s="105"/>
      <c r="D114" s="105"/>
      <c r="E114" s="105"/>
      <c r="F114" s="105"/>
      <c r="G114" s="105"/>
      <c r="H114" s="105"/>
      <c r="I114" s="105"/>
      <c r="J114" s="105"/>
      <c r="K114" s="105"/>
      <c r="L114" s="105"/>
      <c r="M114" s="105"/>
      <c r="N114" s="105"/>
      <c r="O114" s="105"/>
      <c r="P114" s="105"/>
      <c r="Q114" s="105"/>
      <c r="R114" s="106"/>
    </row>
    <row r="115" spans="2:18" x14ac:dyDescent="0.3"/>
    <row r="116" spans="2:18" x14ac:dyDescent="0.3"/>
    <row r="117" spans="2:18" x14ac:dyDescent="0.3"/>
    <row r="118" spans="2:18" x14ac:dyDescent="0.3"/>
  </sheetData>
  <sheetProtection algorithmName="SHA-512" hashValue="5G3StwAtiSM9zhUMP0mJjEUBeJlkF2Br3EVLK33n2ZFapWc7g4V2foDHzjwt4YoIPabKbymuu649+5lwl2E7aw==" saltValue="kBy+Hu+qfGstnKiej7mk+g==" spinCount="100000" sheet="1" scenarios="1"/>
  <mergeCells count="175">
    <mergeCell ref="C61:G61"/>
    <mergeCell ref="K61:O61"/>
    <mergeCell ref="K64:O64"/>
    <mergeCell ref="K63:O63"/>
    <mergeCell ref="K62:O62"/>
    <mergeCell ref="C67:G67"/>
    <mergeCell ref="C66:G66"/>
    <mergeCell ref="C65:G65"/>
    <mergeCell ref="C64:G64"/>
    <mergeCell ref="C63:G63"/>
    <mergeCell ref="C62:G62"/>
    <mergeCell ref="C70:G70"/>
    <mergeCell ref="C69:G69"/>
    <mergeCell ref="C68:G68"/>
    <mergeCell ref="K70:O70"/>
    <mergeCell ref="K69:O69"/>
    <mergeCell ref="K68:O68"/>
    <mergeCell ref="K67:O67"/>
    <mergeCell ref="K66:O66"/>
    <mergeCell ref="K65:O65"/>
    <mergeCell ref="N92:O92"/>
    <mergeCell ref="C95:E95"/>
    <mergeCell ref="F95:G95"/>
    <mergeCell ref="K95:L95"/>
    <mergeCell ref="N95:O95"/>
    <mergeCell ref="P95:Q95"/>
    <mergeCell ref="C94:E94"/>
    <mergeCell ref="F94:G94"/>
    <mergeCell ref="I94:J94"/>
    <mergeCell ref="K94:L94"/>
    <mergeCell ref="N94:O94"/>
    <mergeCell ref="P94:Q94"/>
    <mergeCell ref="I95:J95"/>
    <mergeCell ref="C90:E90"/>
    <mergeCell ref="F90:G90"/>
    <mergeCell ref="I90:J90"/>
    <mergeCell ref="K90:L90"/>
    <mergeCell ref="P90:Q90"/>
    <mergeCell ref="N89:O89"/>
    <mergeCell ref="N90:O90"/>
    <mergeCell ref="C93:E93"/>
    <mergeCell ref="F93:G93"/>
    <mergeCell ref="I93:J93"/>
    <mergeCell ref="K93:L93"/>
    <mergeCell ref="N93:O93"/>
    <mergeCell ref="P93:Q93"/>
    <mergeCell ref="C91:E91"/>
    <mergeCell ref="F91:G91"/>
    <mergeCell ref="I91:J91"/>
    <mergeCell ref="K91:L91"/>
    <mergeCell ref="P91:Q91"/>
    <mergeCell ref="C92:E92"/>
    <mergeCell ref="F92:G92"/>
    <mergeCell ref="I92:J92"/>
    <mergeCell ref="K92:L92"/>
    <mergeCell ref="P92:Q92"/>
    <mergeCell ref="N91:O91"/>
    <mergeCell ref="C88:E88"/>
    <mergeCell ref="F88:G88"/>
    <mergeCell ref="I88:J88"/>
    <mergeCell ref="K88:L88"/>
    <mergeCell ref="P88:Q88"/>
    <mergeCell ref="N88:O88"/>
    <mergeCell ref="N87:O87"/>
    <mergeCell ref="C89:E89"/>
    <mergeCell ref="F89:G89"/>
    <mergeCell ref="I89:J89"/>
    <mergeCell ref="K89:L89"/>
    <mergeCell ref="P89:Q89"/>
    <mergeCell ref="C86:E86"/>
    <mergeCell ref="F86:G86"/>
    <mergeCell ref="I86:J86"/>
    <mergeCell ref="K86:L86"/>
    <mergeCell ref="N86:O86"/>
    <mergeCell ref="P86:Q86"/>
    <mergeCell ref="C85:E85"/>
    <mergeCell ref="F85:G85"/>
    <mergeCell ref="C87:E87"/>
    <mergeCell ref="F87:G87"/>
    <mergeCell ref="I87:J87"/>
    <mergeCell ref="K87:L87"/>
    <mergeCell ref="P87:Q87"/>
    <mergeCell ref="I85:J85"/>
    <mergeCell ref="K85:L85"/>
    <mergeCell ref="N85:O85"/>
    <mergeCell ref="P85:Q85"/>
    <mergeCell ref="K60:L60"/>
    <mergeCell ref="C25:F25"/>
    <mergeCell ref="I25:P25"/>
    <mergeCell ref="E27:F27"/>
    <mergeCell ref="G27:H27"/>
    <mergeCell ref="K27:L27"/>
    <mergeCell ref="M27:O27"/>
    <mergeCell ref="D12:O13"/>
    <mergeCell ref="C16:F16"/>
    <mergeCell ref="I16:P16"/>
    <mergeCell ref="C17:F17"/>
    <mergeCell ref="I17:P17"/>
    <mergeCell ref="E29:O30"/>
    <mergeCell ref="D29:D30"/>
    <mergeCell ref="A1:S4"/>
    <mergeCell ref="H8:L8"/>
    <mergeCell ref="C23:F23"/>
    <mergeCell ref="I23:P23"/>
    <mergeCell ref="C24:F24"/>
    <mergeCell ref="I24:P24"/>
    <mergeCell ref="C20:F20"/>
    <mergeCell ref="I20:P20"/>
    <mergeCell ref="C21:F21"/>
    <mergeCell ref="C15:F15"/>
    <mergeCell ref="I15:P15"/>
    <mergeCell ref="C18:F18"/>
    <mergeCell ref="I18:P18"/>
    <mergeCell ref="C19:F19"/>
    <mergeCell ref="I19:P19"/>
    <mergeCell ref="B10:E10"/>
    <mergeCell ref="I21:P21"/>
    <mergeCell ref="C22:F22"/>
    <mergeCell ref="I22:P22"/>
    <mergeCell ref="C96:Q96"/>
    <mergeCell ref="D98:E98"/>
    <mergeCell ref="G98:H98"/>
    <mergeCell ref="I98:J98"/>
    <mergeCell ref="L98:N98"/>
    <mergeCell ref="O98:P98"/>
    <mergeCell ref="D99:E99"/>
    <mergeCell ref="G99:H99"/>
    <mergeCell ref="I99:J99"/>
    <mergeCell ref="L99:N99"/>
    <mergeCell ref="O99:P99"/>
    <mergeCell ref="D100:E100"/>
    <mergeCell ref="G100:H100"/>
    <mergeCell ref="I100:J100"/>
    <mergeCell ref="L100:N100"/>
    <mergeCell ref="O100:P100"/>
    <mergeCell ref="D101:E101"/>
    <mergeCell ref="G101:H101"/>
    <mergeCell ref="I101:J101"/>
    <mergeCell ref="L101:N101"/>
    <mergeCell ref="O101:P101"/>
    <mergeCell ref="D102:E102"/>
    <mergeCell ref="G102:H102"/>
    <mergeCell ref="I102:J102"/>
    <mergeCell ref="L102:N102"/>
    <mergeCell ref="O102:P102"/>
    <mergeCell ref="D103:E103"/>
    <mergeCell ref="G103:H103"/>
    <mergeCell ref="I103:J103"/>
    <mergeCell ref="L103:N103"/>
    <mergeCell ref="O103:P103"/>
    <mergeCell ref="D104:E104"/>
    <mergeCell ref="G104:H104"/>
    <mergeCell ref="I104:J104"/>
    <mergeCell ref="L104:N104"/>
    <mergeCell ref="O104:P104"/>
    <mergeCell ref="D105:E105"/>
    <mergeCell ref="G105:H105"/>
    <mergeCell ref="I105:J105"/>
    <mergeCell ref="L105:N105"/>
    <mergeCell ref="O105:P105"/>
    <mergeCell ref="D108:E108"/>
    <mergeCell ref="G108:H108"/>
    <mergeCell ref="I108:J108"/>
    <mergeCell ref="L108:N108"/>
    <mergeCell ref="O108:P108"/>
    <mergeCell ref="D106:E106"/>
    <mergeCell ref="G106:H106"/>
    <mergeCell ref="I106:J106"/>
    <mergeCell ref="L106:N106"/>
    <mergeCell ref="O106:P106"/>
    <mergeCell ref="D107:E107"/>
    <mergeCell ref="G107:H107"/>
    <mergeCell ref="I107:J107"/>
    <mergeCell ref="L107:N107"/>
    <mergeCell ref="O107:P107"/>
  </mergeCells>
  <conditionalFormatting sqref="C86:G95">
    <cfRule type="expression" dxfId="34" priority="11">
      <formula>$F86&lt;&gt;""</formula>
    </cfRule>
    <cfRule type="expression" dxfId="33" priority="12">
      <formula>$F86=""</formula>
    </cfRule>
  </conditionalFormatting>
  <conditionalFormatting sqref="C62:H70">
    <cfRule type="expression" dxfId="32" priority="191">
      <formula>$C62&lt;&gt;""</formula>
    </cfRule>
    <cfRule type="expression" dxfId="31" priority="192">
      <formula>$C62=""</formula>
    </cfRule>
  </conditionalFormatting>
  <conditionalFormatting sqref="C16:P16 C17:F25 I17:P25 G17:H26">
    <cfRule type="expression" dxfId="30" priority="9">
      <formula>$H16&lt;&gt;""</formula>
    </cfRule>
    <cfRule type="expression" dxfId="29" priority="10">
      <formula>$H16=""</formula>
    </cfRule>
  </conditionalFormatting>
  <conditionalFormatting sqref="D99:P108">
    <cfRule type="expression" dxfId="28" priority="7">
      <formula>$D99&lt;&gt;""</formula>
    </cfRule>
    <cfRule type="expression" dxfId="27" priority="8">
      <formula>$D88=""</formula>
    </cfRule>
  </conditionalFormatting>
  <conditionalFormatting sqref="I86:L95">
    <cfRule type="expression" dxfId="25" priority="13">
      <formula>$K86&lt;&gt;""</formula>
    </cfRule>
    <cfRule type="expression" dxfId="24" priority="14">
      <formula>$K86=""</formula>
    </cfRule>
  </conditionalFormatting>
  <conditionalFormatting sqref="K62:Q70">
    <cfRule type="expression" dxfId="23" priority="1">
      <formula>$K62&lt;&gt;""</formula>
    </cfRule>
    <cfRule type="expression" dxfId="22" priority="2">
      <formula>$K62=""</formula>
    </cfRule>
  </conditionalFormatting>
  <conditionalFormatting sqref="N86:Q95">
    <cfRule type="expression" dxfId="20" priority="16">
      <formula>$P86&lt;&gt;""</formula>
    </cfRule>
    <cfRule type="expression" dxfId="19" priority="17">
      <formula>$P86=""</formula>
    </cfRule>
  </conditionalFormatting>
  <dataValidations count="2">
    <dataValidation type="list" allowBlank="1" showInputMessage="1" showErrorMessage="1" sqref="M27:O27" xr:uid="{498F1DDB-B600-49B8-9456-9586BB35B735}">
      <formula1>OFFSET(IF(G27="Catégorie",groupe_l,IF(G27="Âge",age_l,IF(G27="Atelier",atelier_l,IF(G27="Espèce",espece_l,"")))),0,0,11-COUNTBLANK(IF(G27="Catégorie",groupe_l,IF(G27="Âge",age_l,IF(G27="Atelier",atelier_l,IF(G27="Espèce",espece_l,""))))))</formula1>
    </dataValidation>
    <dataValidation type="list" allowBlank="1" showInputMessage="1" showErrorMessage="1" sqref="G27:H27" xr:uid="{1F1BE6B2-6A28-42DE-BD60-8EE0DD1786AF}">
      <formula1>"Âge,Atelier,Espèce,Catégorie"</formula1>
    </dataValidation>
  </dataValidations>
  <pageMargins left="0.25" right="0.25"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9" id="{76FA9003-2611-4E97-B719-2C522A8F200E}">
            <xm:f>INDEX(MASQ2!$M$4:$O$600,MATCH($C86,MASQ2!$O$4:$O$600,0),1)="x"</xm:f>
            <x14:dxf>
              <font>
                <b/>
                <i val="0"/>
              </font>
              <fill>
                <patternFill>
                  <bgColor rgb="FFFF0000"/>
                </patternFill>
              </fill>
            </x14:dxf>
          </x14:cfRule>
          <xm:sqref>C86:C95</xm:sqref>
        </x14:conditionalFormatting>
        <x14:conditionalFormatting xmlns:xm="http://schemas.microsoft.com/office/excel/2006/main">
          <x14:cfRule type="expression" priority="15" id="{2FF81F23-CA82-4D4F-9730-91E082F193F6}">
            <xm:f>INDEX(MASQ2!$AD$4:$AF$64,MATCH($I86,MASQ2!$AF$4:$AF$64,0),1)="x"</xm:f>
            <x14:dxf>
              <font>
                <b/>
                <i val="0"/>
              </font>
              <fill>
                <patternFill>
                  <bgColor rgb="FFFF0000"/>
                </patternFill>
              </fill>
            </x14:dxf>
          </x14:cfRule>
          <xm:sqref>I86:J95</xm:sqref>
        </x14:conditionalFormatting>
        <x14:conditionalFormatting xmlns:xm="http://schemas.microsoft.com/office/excel/2006/main">
          <x14:cfRule type="expression" priority="18" id="{72C21EC6-D7F9-4A97-AB33-A317761082D2}">
            <xm:f>INDEX(MASQ2!$AL$4:$AN$27,MATCH($N86,MASQ2!$AN$4:$AN$27,0),1)="x"</xm:f>
            <x14:dxf>
              <font>
                <b/>
                <i val="0"/>
              </font>
              <fill>
                <patternFill>
                  <bgColor rgb="FFFF0000"/>
                </patternFill>
              </fill>
            </x14:dxf>
          </x14:cfRule>
          <xm:sqref>N86:O95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C112F-8CC0-459F-8643-78B93D50D603}">
  <dimension ref="A1:V126"/>
  <sheetViews>
    <sheetView view="pageLayout" zoomScaleNormal="115" workbookViewId="0">
      <selection activeCell="E5" sqref="E5"/>
    </sheetView>
  </sheetViews>
  <sheetFormatPr baseColWidth="10" defaultColWidth="0" defaultRowHeight="13.8" zeroHeight="1" x14ac:dyDescent="0.3"/>
  <cols>
    <col min="1" max="1" width="1" style="16" customWidth="1"/>
    <col min="2" max="2" width="6.109375" style="16" customWidth="1"/>
    <col min="3" max="3" width="8.33203125" style="16" customWidth="1"/>
    <col min="4" max="4" width="6.33203125" style="16" customWidth="1"/>
    <col min="5" max="5" width="7.5546875" style="16" customWidth="1"/>
    <col min="6" max="6" width="8.33203125" style="16" customWidth="1"/>
    <col min="7" max="7" width="11.5546875" style="16" customWidth="1"/>
    <col min="8" max="8" width="7.88671875" style="16" customWidth="1"/>
    <col min="9" max="9" width="9" style="16" customWidth="1"/>
    <col min="10" max="10" width="8.33203125" style="16" customWidth="1"/>
    <col min="11" max="11" width="10.44140625" style="16" customWidth="1"/>
    <col min="12" max="12" width="9.109375" style="16" customWidth="1"/>
    <col min="13" max="13" width="8" style="16" customWidth="1"/>
    <col min="14" max="16" width="8.33203125" style="16" customWidth="1"/>
    <col min="17" max="17" width="9.33203125" style="16" customWidth="1"/>
    <col min="18" max="18" width="5.109375" style="16" customWidth="1"/>
    <col min="19" max="19" width="1" style="16" customWidth="1"/>
    <col min="20" max="22" width="7.44140625" style="101" hidden="1" customWidth="1"/>
    <col min="23" max="16384" width="11.44140625" style="101" hidden="1"/>
  </cols>
  <sheetData>
    <row r="1" spans="1:19" ht="12.75" customHeight="1" x14ac:dyDescent="0.3">
      <c r="A1" s="386" t="s">
        <v>4359</v>
      </c>
      <c r="B1" s="386"/>
      <c r="C1" s="386"/>
      <c r="D1" s="386"/>
      <c r="E1" s="386"/>
      <c r="F1" s="386"/>
      <c r="G1" s="386"/>
      <c r="H1" s="386"/>
      <c r="I1" s="386"/>
      <c r="J1" s="386"/>
      <c r="K1" s="386"/>
      <c r="L1" s="386"/>
      <c r="M1" s="386"/>
      <c r="N1" s="386"/>
      <c r="O1" s="386"/>
      <c r="P1" s="386"/>
      <c r="Q1" s="386"/>
      <c r="R1" s="386"/>
      <c r="S1" s="386"/>
    </row>
    <row r="2" spans="1:19" ht="12.75" customHeight="1" x14ac:dyDescent="0.3">
      <c r="A2" s="386"/>
      <c r="B2" s="386"/>
      <c r="C2" s="386"/>
      <c r="D2" s="386"/>
      <c r="E2" s="386"/>
      <c r="F2" s="386"/>
      <c r="G2" s="386"/>
      <c r="H2" s="386"/>
      <c r="I2" s="386"/>
      <c r="J2" s="386"/>
      <c r="K2" s="386"/>
      <c r="L2" s="386"/>
      <c r="M2" s="386"/>
      <c r="N2" s="386"/>
      <c r="O2" s="386"/>
      <c r="P2" s="386"/>
      <c r="Q2" s="386"/>
      <c r="R2" s="386"/>
      <c r="S2" s="386"/>
    </row>
    <row r="3" spans="1:19" ht="12.75" customHeight="1" x14ac:dyDescent="0.3">
      <c r="A3" s="386"/>
      <c r="B3" s="386"/>
      <c r="C3" s="386"/>
      <c r="D3" s="386"/>
      <c r="E3" s="386"/>
      <c r="F3" s="386"/>
      <c r="G3" s="386"/>
      <c r="H3" s="386"/>
      <c r="I3" s="386"/>
      <c r="J3" s="386"/>
      <c r="K3" s="386"/>
      <c r="L3" s="386"/>
      <c r="M3" s="386"/>
      <c r="N3" s="386"/>
      <c r="O3" s="386"/>
      <c r="P3" s="386"/>
      <c r="Q3" s="386"/>
      <c r="R3" s="386"/>
      <c r="S3" s="386"/>
    </row>
    <row r="4" spans="1:19" ht="12.75" customHeight="1" x14ac:dyDescent="0.3">
      <c r="A4" s="386"/>
      <c r="B4" s="386"/>
      <c r="C4" s="386"/>
      <c r="D4" s="386"/>
      <c r="E4" s="386"/>
      <c r="F4" s="386"/>
      <c r="G4" s="386"/>
      <c r="H4" s="386"/>
      <c r="I4" s="386"/>
      <c r="J4" s="386"/>
      <c r="K4" s="386"/>
      <c r="L4" s="386"/>
      <c r="M4" s="386"/>
      <c r="N4" s="386"/>
      <c r="O4" s="386"/>
      <c r="P4" s="386"/>
      <c r="Q4" s="386"/>
      <c r="R4" s="386"/>
      <c r="S4" s="386"/>
    </row>
    <row r="5" spans="1:19" ht="21.75" customHeight="1" x14ac:dyDescent="0.3">
      <c r="B5" s="17"/>
      <c r="C5" s="17"/>
      <c r="D5" s="17"/>
      <c r="E5" s="17"/>
      <c r="F5" s="17"/>
      <c r="G5" s="17"/>
      <c r="H5" s="17"/>
      <c r="I5" s="17"/>
      <c r="J5" s="17"/>
      <c r="K5" s="17"/>
      <c r="L5" s="17"/>
    </row>
    <row r="6" spans="1:19" ht="21.75" customHeight="1" x14ac:dyDescent="0.3">
      <c r="B6" s="17"/>
      <c r="C6" s="17"/>
      <c r="D6" s="17"/>
      <c r="E6" s="17"/>
      <c r="F6" s="17"/>
      <c r="G6" s="17"/>
      <c r="H6" s="17"/>
      <c r="I6" s="17"/>
      <c r="J6" s="17"/>
      <c r="K6" s="17"/>
      <c r="L6" s="17"/>
    </row>
    <row r="7" spans="1:19" ht="13.5" customHeight="1" x14ac:dyDescent="0.3">
      <c r="B7" s="15"/>
      <c r="C7" s="15"/>
      <c r="D7" s="15"/>
      <c r="E7" s="15"/>
      <c r="F7" s="15"/>
      <c r="G7" s="15"/>
      <c r="H7" s="15"/>
      <c r="I7" s="15"/>
      <c r="J7" s="15"/>
      <c r="K7" s="15"/>
      <c r="L7" s="15"/>
    </row>
    <row r="8" spans="1:19" ht="14.25" customHeight="1" x14ac:dyDescent="0.3">
      <c r="A8" s="19"/>
      <c r="B8" s="82"/>
      <c r="C8" s="82"/>
      <c r="H8" s="390" t="str">
        <f>IF('Étape 1 - à remplir'!D14="","",'Étape 1 - à remplir'!D14&amp;" - ")&amp;'Étape 1 - à remplir'!D15</f>
        <v/>
      </c>
      <c r="I8" s="391"/>
      <c r="J8" s="391"/>
      <c r="K8" s="391"/>
      <c r="L8" s="392"/>
    </row>
    <row r="9" spans="1:19" ht="13.5" customHeight="1" thickBot="1" x14ac:dyDescent="0.35">
      <c r="A9" s="19"/>
      <c r="B9" s="19"/>
      <c r="C9" s="19"/>
      <c r="D9" s="19"/>
      <c r="E9" s="19"/>
      <c r="F9" s="19"/>
      <c r="G9" s="83"/>
      <c r="H9" s="83"/>
      <c r="I9" s="83"/>
      <c r="J9" s="83"/>
      <c r="K9" s="83"/>
    </row>
    <row r="10" spans="1:19" ht="24" customHeight="1" thickBot="1" x14ac:dyDescent="0.35">
      <c r="A10" s="19"/>
      <c r="B10" s="387" t="s">
        <v>4344</v>
      </c>
      <c r="C10" s="388"/>
      <c r="D10" s="388"/>
      <c r="E10" s="389"/>
      <c r="F10" s="92"/>
      <c r="G10" s="92"/>
      <c r="H10" s="92"/>
      <c r="I10" s="92"/>
      <c r="J10" s="92"/>
      <c r="K10" s="92"/>
      <c r="L10" s="92"/>
      <c r="M10" s="92"/>
      <c r="N10" s="92"/>
      <c r="O10" s="92"/>
      <c r="P10" s="92"/>
      <c r="Q10" s="92"/>
      <c r="R10" s="93"/>
    </row>
    <row r="11" spans="1:19" ht="24" customHeight="1" x14ac:dyDescent="0.2">
      <c r="A11" s="19"/>
      <c r="B11" s="86"/>
      <c r="C11" s="87"/>
      <c r="D11" s="87"/>
      <c r="E11" s="87"/>
      <c r="F11" s="87"/>
      <c r="G11" s="87"/>
      <c r="H11" s="88"/>
      <c r="I11" s="88"/>
      <c r="J11" s="88"/>
      <c r="K11" s="89"/>
      <c r="L11" s="90"/>
      <c r="M11" s="89"/>
      <c r="N11" s="89"/>
      <c r="O11" s="88"/>
      <c r="P11" s="88"/>
      <c r="Q11" s="88"/>
      <c r="R11" s="102"/>
    </row>
    <row r="12" spans="1:19" ht="24" customHeight="1" x14ac:dyDescent="0.3">
      <c r="A12" s="19"/>
      <c r="B12" s="95"/>
      <c r="D12" s="420" t="str">
        <f>IFERROR(IF(SUMIF('Étape 1 - à remplir'!G$31:G$400,"kg",'Étape 1 - à remplir'!F$31:F$400)/SUMIF('Étape 1 - à remplir'!G$19:G$28,"kg",'Étape 1 - à remplir'!F$19:F$28)=0,"L'exploitation n'a pas réalisé de traitements antibiotiques lors de l'année étudiée pour les animaux traités par lot","L'exploitation a un taux de traitement de "&amp;ROUND(SUMIF('Étape 1 - à remplir'!G$31:G$400,"kg",'Étape 1 - à remplir'!F$31:F$400)/SUMIF('Étape 1 - à remplir'!G$19:G$28,"kg",'Étape 1 - à remplir'!F$19:F$28),2)&amp;" sur l'année étudiée. Ce qui correspond à l'utilisation de "&amp;ROUND(SUMIF('Étape 1 - à remplir'!G$31:G$400,"kg",'Étape 1 - à remplir'!F$31:F$400)/SUMIF('Étape 1 - à remplir'!G$19:G$28,"kg",'Étape 1 - à remplir'!F$19:F$28),2)&amp;IF(SUMIF('Étape 1 - à remplir'!G$31:G$400,"kg",'Étape 1 - à remplir'!F$31:F$400)/SUMIF('Étape 1 - à remplir'!G$19:G$28,"kg",'Étape 1 - à remplir'!F$19:F$28)&lt;1," traitement antibiotique"," traitements antibiotiques")&amp;" par lot en moyenne."),"")</f>
        <v/>
      </c>
      <c r="E12" s="420"/>
      <c r="F12" s="420"/>
      <c r="G12" s="420"/>
      <c r="H12" s="420"/>
      <c r="I12" s="420"/>
      <c r="J12" s="420"/>
      <c r="K12" s="420"/>
      <c r="L12" s="420"/>
      <c r="M12" s="420"/>
      <c r="N12" s="420"/>
      <c r="O12" s="420"/>
      <c r="R12" s="103"/>
    </row>
    <row r="13" spans="1:19" ht="24" customHeight="1" x14ac:dyDescent="0.3">
      <c r="A13" s="19"/>
      <c r="B13" s="95"/>
      <c r="D13" s="420"/>
      <c r="E13" s="420"/>
      <c r="F13" s="420"/>
      <c r="G13" s="420"/>
      <c r="H13" s="420"/>
      <c r="I13" s="420"/>
      <c r="J13" s="420"/>
      <c r="K13" s="420"/>
      <c r="L13" s="420"/>
      <c r="M13" s="420"/>
      <c r="N13" s="420"/>
      <c r="O13" s="420"/>
      <c r="R13" s="103"/>
    </row>
    <row r="14" spans="1:19" ht="24" customHeight="1" x14ac:dyDescent="0.35">
      <c r="A14" s="19"/>
      <c r="B14" s="95"/>
      <c r="D14" s="203"/>
      <c r="E14" s="211"/>
      <c r="F14" s="211"/>
      <c r="G14" s="211"/>
      <c r="H14" s="211"/>
      <c r="I14" s="211"/>
      <c r="J14" s="211"/>
      <c r="K14" s="211"/>
      <c r="L14" s="211"/>
      <c r="M14" s="211"/>
      <c r="N14" s="211"/>
      <c r="O14" s="211"/>
      <c r="R14" s="103"/>
    </row>
    <row r="15" spans="1:19" ht="24" customHeight="1" x14ac:dyDescent="0.3">
      <c r="A15" s="19"/>
      <c r="B15" s="95"/>
      <c r="C15" s="393" t="s">
        <v>4335</v>
      </c>
      <c r="D15" s="394"/>
      <c r="E15" s="394"/>
      <c r="F15" s="395"/>
      <c r="G15" s="184" t="s">
        <v>572</v>
      </c>
      <c r="H15" s="184" t="s">
        <v>146</v>
      </c>
      <c r="I15" s="404" t="s">
        <v>147</v>
      </c>
      <c r="J15" s="394"/>
      <c r="K15" s="394"/>
      <c r="L15" s="394"/>
      <c r="M15" s="394"/>
      <c r="N15" s="394"/>
      <c r="O15" s="394"/>
      <c r="P15" s="394"/>
      <c r="R15" s="103"/>
    </row>
    <row r="16" spans="1:19" ht="21.75" customHeight="1" x14ac:dyDescent="0.3">
      <c r="A16" s="19"/>
      <c r="B16" s="95"/>
      <c r="C16" s="383" t="e">
        <f>MASQ2!DP16</f>
        <v>#N/A</v>
      </c>
      <c r="D16" s="383"/>
      <c r="E16" s="383"/>
      <c r="F16" s="383"/>
      <c r="G16" s="183" t="str">
        <f>IFERROR(MASQ2!DQ16,"")</f>
        <v/>
      </c>
      <c r="H16" s="94" t="str">
        <f>IFERROR(MASQ2!DR16,"")</f>
        <v/>
      </c>
      <c r="I16" s="383" t="str">
        <f>IF(H16="","",IF('Étape 1 - à remplir'!D$15="","Un kilo de ce groupe d'animaux reçoit "&amp;ROUND(H16,2)&amp;" traitement par an","En "&amp;'Étape 1 - à remplir'!D$15&amp;", un kilo de ce groupe d'animaux reçoit "&amp;ROUND(H16,2)&amp;" traitement par an"))</f>
        <v/>
      </c>
      <c r="J16" s="383"/>
      <c r="K16" s="383"/>
      <c r="L16" s="383"/>
      <c r="M16" s="383"/>
      <c r="N16" s="383"/>
      <c r="O16" s="383"/>
      <c r="P16" s="383"/>
      <c r="R16" s="103"/>
    </row>
    <row r="17" spans="1:18" ht="21.75" customHeight="1" x14ac:dyDescent="0.3">
      <c r="A17" s="19"/>
      <c r="B17" s="95"/>
      <c r="C17" s="383" t="e">
        <f>MASQ2!DP17</f>
        <v>#N/A</v>
      </c>
      <c r="D17" s="383"/>
      <c r="E17" s="383"/>
      <c r="F17" s="383"/>
      <c r="G17" s="183" t="str">
        <f>IFERROR(MASQ2!DQ17,"")</f>
        <v/>
      </c>
      <c r="H17" s="94" t="str">
        <f>IFERROR(MASQ2!DR17,"")</f>
        <v/>
      </c>
      <c r="I17" s="383" t="str">
        <f>IF(H17="","",IF('Étape 1 - à remplir'!D$15="","Un kilo de ce groupe d'animaux reçoit "&amp;ROUND(H17,2)&amp;" traitement par an","En "&amp;'Étape 1 - à remplir'!D$15&amp;", un kilo de ce groupe d'animaux reçoit "&amp;ROUND(H17,2)&amp;" traitement par an"))</f>
        <v/>
      </c>
      <c r="J17" s="383"/>
      <c r="K17" s="383"/>
      <c r="L17" s="383"/>
      <c r="M17" s="383"/>
      <c r="N17" s="383"/>
      <c r="O17" s="383"/>
      <c r="P17" s="383"/>
      <c r="R17" s="103"/>
    </row>
    <row r="18" spans="1:18" ht="21.75" customHeight="1" x14ac:dyDescent="0.3">
      <c r="A18" s="19"/>
      <c r="B18" s="95"/>
      <c r="C18" s="383" t="e">
        <f>MASQ2!DP18</f>
        <v>#N/A</v>
      </c>
      <c r="D18" s="383"/>
      <c r="E18" s="383"/>
      <c r="F18" s="383"/>
      <c r="G18" s="183" t="str">
        <f>IFERROR(MASQ2!DQ18,"")</f>
        <v/>
      </c>
      <c r="H18" s="94" t="str">
        <f>IFERROR(MASQ2!DR18,"")</f>
        <v/>
      </c>
      <c r="I18" s="383" t="str">
        <f>IF(H18="","",IF('Étape 1 - à remplir'!D$15="","Un kilo de ce groupe d'animaux reçoit "&amp;ROUND(H18,2)&amp;" traitement par an","En "&amp;'Étape 1 - à remplir'!D$15&amp;", un kilo de ce groupe d'animaux reçoit "&amp;ROUND(H18,2)&amp;" traitement par an"))</f>
        <v/>
      </c>
      <c r="J18" s="383"/>
      <c r="K18" s="383"/>
      <c r="L18" s="383"/>
      <c r="M18" s="383"/>
      <c r="N18" s="383"/>
      <c r="O18" s="383"/>
      <c r="P18" s="383"/>
      <c r="R18" s="103"/>
    </row>
    <row r="19" spans="1:18" ht="21.75" customHeight="1" x14ac:dyDescent="0.3">
      <c r="A19" s="19"/>
      <c r="B19" s="95"/>
      <c r="C19" s="383" t="e">
        <f>MASQ2!DP19</f>
        <v>#N/A</v>
      </c>
      <c r="D19" s="383"/>
      <c r="E19" s="383"/>
      <c r="F19" s="383"/>
      <c r="G19" s="183" t="str">
        <f>IFERROR(MASQ2!DQ19,"")</f>
        <v/>
      </c>
      <c r="H19" s="94" t="str">
        <f>IFERROR(MASQ2!DR19,"")</f>
        <v/>
      </c>
      <c r="I19" s="383" t="str">
        <f>IF(H19="","",IF('Étape 1 - à remplir'!D$15="","Un kilo de ce groupe d'animaux reçoit "&amp;ROUND(H19,2)&amp;" traitement par an","En "&amp;'Étape 1 - à remplir'!D$15&amp;", un kilo de ce groupe d'animaux reçoit "&amp;ROUND(H19,2)&amp;" traitement par an"))</f>
        <v/>
      </c>
      <c r="J19" s="383"/>
      <c r="K19" s="383"/>
      <c r="L19" s="383"/>
      <c r="M19" s="383"/>
      <c r="N19" s="383"/>
      <c r="O19" s="383"/>
      <c r="P19" s="383"/>
      <c r="R19" s="103"/>
    </row>
    <row r="20" spans="1:18" ht="21.75" customHeight="1" x14ac:dyDescent="0.3">
      <c r="A20" s="19"/>
      <c r="B20" s="95"/>
      <c r="C20" s="383" t="e">
        <f>MASQ2!DP20</f>
        <v>#N/A</v>
      </c>
      <c r="D20" s="383"/>
      <c r="E20" s="383"/>
      <c r="F20" s="383"/>
      <c r="G20" s="183" t="str">
        <f>IFERROR(MASQ2!DQ20,"")</f>
        <v/>
      </c>
      <c r="H20" s="94" t="str">
        <f>IFERROR(MASQ2!DR20,"")</f>
        <v/>
      </c>
      <c r="I20" s="383" t="str">
        <f>IF(H20="","",IF('Étape 1 - à remplir'!D$15="","Un kilo de ce groupe d'animaux reçoit "&amp;ROUND(H20,2)&amp;" traitement par an","En "&amp;'Étape 1 - à remplir'!D$15&amp;", un kilo de ce groupe d'animaux reçoit "&amp;ROUND(H20,2)&amp;" traitement par an"))</f>
        <v/>
      </c>
      <c r="J20" s="383"/>
      <c r="K20" s="383"/>
      <c r="L20" s="383"/>
      <c r="M20" s="383"/>
      <c r="N20" s="383"/>
      <c r="O20" s="383"/>
      <c r="P20" s="383"/>
      <c r="R20" s="103"/>
    </row>
    <row r="21" spans="1:18" ht="21.75" customHeight="1" x14ac:dyDescent="0.3">
      <c r="A21" s="19"/>
      <c r="B21" s="95"/>
      <c r="C21" s="383" t="e">
        <f>MASQ2!DP21</f>
        <v>#N/A</v>
      </c>
      <c r="D21" s="383"/>
      <c r="E21" s="383"/>
      <c r="F21" s="383"/>
      <c r="G21" s="183" t="str">
        <f>IFERROR(MASQ2!DQ21,"")</f>
        <v/>
      </c>
      <c r="H21" s="94" t="str">
        <f>IFERROR(MASQ2!DR21,"")</f>
        <v/>
      </c>
      <c r="I21" s="383" t="str">
        <f>IF(H21="","",IF('Étape 1 - à remplir'!D$15="","Un kilo de ce groupe d'animaux reçoit "&amp;ROUND(H21,2)&amp;" traitement par an","En "&amp;'Étape 1 - à remplir'!D$15&amp;", un kilo de ce groupe d'animaux reçoit "&amp;ROUND(H21,2)&amp;" traitement par an"))</f>
        <v/>
      </c>
      <c r="J21" s="383"/>
      <c r="K21" s="383"/>
      <c r="L21" s="383"/>
      <c r="M21" s="383"/>
      <c r="N21" s="383"/>
      <c r="O21" s="383"/>
      <c r="P21" s="383"/>
      <c r="R21" s="103"/>
    </row>
    <row r="22" spans="1:18" ht="21.75" customHeight="1" x14ac:dyDescent="0.3">
      <c r="A22" s="19"/>
      <c r="B22" s="95"/>
      <c r="C22" s="383" t="e">
        <f>MASQ2!DP22</f>
        <v>#N/A</v>
      </c>
      <c r="D22" s="383"/>
      <c r="E22" s="383"/>
      <c r="F22" s="383"/>
      <c r="G22" s="183" t="str">
        <f>IFERROR(MASQ2!DQ22,"")</f>
        <v/>
      </c>
      <c r="H22" s="94" t="str">
        <f>IFERROR(MASQ2!DR22,"")</f>
        <v/>
      </c>
      <c r="I22" s="383" t="str">
        <f>IF(H22="","",IF('Étape 1 - à remplir'!D$15="","Un kilo de ce groupe d'animaux reçoit "&amp;ROUND(H22,2)&amp;" traitement par an","En "&amp;'Étape 1 - à remplir'!D$15&amp;", un kilo de ce groupe d'animaux reçoit "&amp;ROUND(H22,2)&amp;" traitement par an"))</f>
        <v/>
      </c>
      <c r="J22" s="383"/>
      <c r="K22" s="383"/>
      <c r="L22" s="383"/>
      <c r="M22" s="383"/>
      <c r="N22" s="383"/>
      <c r="O22" s="383"/>
      <c r="P22" s="383"/>
      <c r="R22" s="103"/>
    </row>
    <row r="23" spans="1:18" ht="21.75" customHeight="1" x14ac:dyDescent="0.3">
      <c r="A23" s="19"/>
      <c r="B23" s="95"/>
      <c r="C23" s="383" t="e">
        <f>MASQ2!DP23</f>
        <v>#N/A</v>
      </c>
      <c r="D23" s="383"/>
      <c r="E23" s="383"/>
      <c r="F23" s="383"/>
      <c r="G23" s="183" t="str">
        <f>IFERROR(MASQ2!DQ23,"")</f>
        <v/>
      </c>
      <c r="H23" s="94" t="str">
        <f>IFERROR(MASQ2!DR23,"")</f>
        <v/>
      </c>
      <c r="I23" s="383" t="str">
        <f>IF(H23="","",IF('Étape 1 - à remplir'!D$15="","Un kilo de ce groupe d'animaux reçoit "&amp;ROUND(H23,2)&amp;" traitement par an","En "&amp;'Étape 1 - à remplir'!D$15&amp;", un kilo de ce groupe d'animaux reçoit "&amp;ROUND(H23,2)&amp;" traitement par an"))</f>
        <v/>
      </c>
      <c r="J23" s="383"/>
      <c r="K23" s="383"/>
      <c r="L23" s="383"/>
      <c r="M23" s="383"/>
      <c r="N23" s="383"/>
      <c r="O23" s="383"/>
      <c r="P23" s="383"/>
      <c r="R23" s="103"/>
    </row>
    <row r="24" spans="1:18" ht="21.75" customHeight="1" x14ac:dyDescent="0.3">
      <c r="A24" s="19"/>
      <c r="B24" s="86"/>
      <c r="C24" s="383" t="e">
        <f>MASQ2!DP24</f>
        <v>#N/A</v>
      </c>
      <c r="D24" s="383"/>
      <c r="E24" s="383"/>
      <c r="F24" s="383"/>
      <c r="G24" s="183" t="str">
        <f>IFERROR(MASQ2!DQ24,"")</f>
        <v/>
      </c>
      <c r="H24" s="94" t="str">
        <f>IFERROR(MASQ2!DR24,"")</f>
        <v/>
      </c>
      <c r="I24" s="383" t="str">
        <f>IF(H24="","",IF('Étape 1 - à remplir'!D$15="","Un kilo de ce groupe d'animaux reçoit "&amp;ROUND(H24,2)&amp;" traitement par an","En "&amp;'Étape 1 - à remplir'!D$15&amp;", un kilo de ce groupe d'animaux reçoit "&amp;ROUND(H24,2)&amp;" traitement par an"))</f>
        <v/>
      </c>
      <c r="J24" s="383"/>
      <c r="K24" s="383"/>
      <c r="L24" s="383"/>
      <c r="M24" s="383"/>
      <c r="N24" s="383"/>
      <c r="O24" s="383"/>
      <c r="P24" s="383"/>
      <c r="R24" s="102"/>
    </row>
    <row r="25" spans="1:18" ht="21.75" customHeight="1" x14ac:dyDescent="0.3">
      <c r="A25" s="19"/>
      <c r="B25" s="91" t="s">
        <v>208</v>
      </c>
      <c r="C25" s="383" t="e">
        <f>MASQ2!DP25</f>
        <v>#N/A</v>
      </c>
      <c r="D25" s="383"/>
      <c r="E25" s="383"/>
      <c r="F25" s="383"/>
      <c r="G25" s="183" t="str">
        <f>IFERROR(MASQ2!DQ25,"")</f>
        <v/>
      </c>
      <c r="H25" s="94" t="str">
        <f>IFERROR(MASQ2!DR25,"")</f>
        <v/>
      </c>
      <c r="I25" s="383" t="str">
        <f>IF(H25="","",IF('Étape 1 - à remplir'!D$15="","Un kilo de ce groupe d'animaux reçoit "&amp;ROUND(H25,2)&amp;" traitement par an","En "&amp;'Étape 1 - à remplir'!D$15&amp;", un kilo de ce groupe d'animaux reçoit "&amp;ROUND(H25,2)&amp;" traitement par an"))</f>
        <v/>
      </c>
      <c r="J25" s="383"/>
      <c r="K25" s="383"/>
      <c r="L25" s="383"/>
      <c r="M25" s="383"/>
      <c r="N25" s="383"/>
      <c r="O25" s="383"/>
      <c r="P25" s="383"/>
      <c r="Q25" s="88"/>
      <c r="R25" s="102"/>
    </row>
    <row r="26" spans="1:18" ht="14.25" customHeight="1" x14ac:dyDescent="0.3">
      <c r="A26" s="19"/>
      <c r="B26" s="85"/>
      <c r="C26" s="19"/>
      <c r="D26" s="19"/>
      <c r="E26" s="84"/>
      <c r="F26" s="19"/>
      <c r="G26" s="183"/>
      <c r="H26" s="94"/>
      <c r="I26" s="19"/>
      <c r="J26" s="19"/>
      <c r="K26" s="19"/>
      <c r="R26" s="103"/>
    </row>
    <row r="27" spans="1:18" ht="27.75" customHeight="1" x14ac:dyDescent="0.3">
      <c r="A27" s="19"/>
      <c r="B27" s="85"/>
      <c r="C27" s="19"/>
      <c r="D27" s="19"/>
      <c r="E27" s="405" t="s">
        <v>583</v>
      </c>
      <c r="F27" s="406"/>
      <c r="G27" s="421" t="s">
        <v>4342</v>
      </c>
      <c r="H27" s="421"/>
      <c r="I27" s="204"/>
      <c r="J27" s="204"/>
      <c r="K27" s="405" t="str">
        <f>IF(G27="","",IF(G27="Âge","Quel âge?",IF(G27="Atelier","Quel atelier?",IF(G27="Espèce","Quelle espèce?",IF(G27="Catégorie","Quel groupe?","")))))</f>
        <v>Quel groupe?</v>
      </c>
      <c r="L27" s="406"/>
      <c r="M27" s="402" t="s">
        <v>584</v>
      </c>
      <c r="N27" s="402"/>
      <c r="O27" s="403"/>
      <c r="R27" s="103"/>
    </row>
    <row r="28" spans="1:18" ht="21.75" customHeight="1" x14ac:dyDescent="0.3">
      <c r="A28" s="19"/>
      <c r="B28" s="85"/>
      <c r="C28" s="19"/>
      <c r="D28" s="19"/>
      <c r="E28" s="84"/>
      <c r="F28" s="19"/>
      <c r="G28" s="19"/>
      <c r="H28" s="19"/>
      <c r="I28" s="19"/>
      <c r="J28" s="19"/>
      <c r="K28" s="19"/>
      <c r="R28" s="103"/>
    </row>
    <row r="29" spans="1:18" ht="21.75" customHeight="1" x14ac:dyDescent="0.3">
      <c r="A29" s="19"/>
      <c r="B29" s="85"/>
      <c r="C29" s="19"/>
      <c r="D29" s="264" t="s">
        <v>573</v>
      </c>
      <c r="E29" s="419" t="str">
        <f>IFERROR(IF(ROUND(100*(COUNTIFS(kg_nb_medic,"&gt;0",kg_critique_medic,"x")/COUNTIF(kg_nb_medic,"&gt;0")),1)=0,"Vous ne semblez pas avoir utilisé d'antibiotiques critiques.",ROUND(100*(COUNTIFS(kg_nb_medic,"&gt;0",kg_critique_medic,"x")/COUNTIF(kg_nb_medic,"&gt;0")),1)&amp;" % des types de médicaments utilisés sont des antibiotiques critiques ou à limiter."),"Vous ne semblez pas avoir utilisé d'antibiotiques critiques.")</f>
        <v>Vous ne semblez pas avoir utilisé d'antibiotiques critiques.</v>
      </c>
      <c r="F29" s="419"/>
      <c r="G29" s="419"/>
      <c r="H29" s="419"/>
      <c r="I29" s="419"/>
      <c r="J29" s="419"/>
      <c r="K29" s="419"/>
      <c r="L29" s="419"/>
      <c r="M29" s="419"/>
      <c r="N29" s="419"/>
      <c r="O29" s="419"/>
      <c r="R29" s="103"/>
    </row>
    <row r="30" spans="1:18" ht="21.75" customHeight="1" x14ac:dyDescent="0.3">
      <c r="A30" s="19"/>
      <c r="B30" s="85"/>
      <c r="C30" s="19"/>
      <c r="D30" s="19"/>
      <c r="E30" s="419"/>
      <c r="F30" s="419"/>
      <c r="G30" s="419"/>
      <c r="H30" s="419"/>
      <c r="I30" s="419"/>
      <c r="J30" s="419"/>
      <c r="K30" s="419"/>
      <c r="L30" s="419"/>
      <c r="M30" s="419"/>
      <c r="N30" s="419"/>
      <c r="O30" s="419"/>
      <c r="R30" s="103"/>
    </row>
    <row r="31" spans="1:18" ht="21.75" customHeight="1" x14ac:dyDescent="0.3">
      <c r="A31" s="19"/>
      <c r="B31" s="85"/>
      <c r="C31" s="19"/>
      <c r="D31" s="19"/>
      <c r="E31" s="84"/>
      <c r="F31" s="19"/>
      <c r="G31" s="19"/>
      <c r="H31" s="19"/>
      <c r="I31" s="19"/>
      <c r="J31" s="19"/>
      <c r="K31" s="19"/>
      <c r="R31" s="103"/>
    </row>
    <row r="32" spans="1:18" ht="21.75" customHeight="1" x14ac:dyDescent="0.3">
      <c r="A32" s="19"/>
      <c r="B32" s="85"/>
      <c r="C32" s="19"/>
      <c r="D32" s="19"/>
      <c r="E32" s="84"/>
      <c r="F32" s="19"/>
      <c r="G32" s="19"/>
      <c r="H32" s="19"/>
      <c r="I32" s="19"/>
      <c r="J32" s="19"/>
      <c r="K32" s="19"/>
      <c r="R32" s="103"/>
    </row>
    <row r="33" spans="1:18" ht="21.75" customHeight="1" x14ac:dyDescent="0.3">
      <c r="A33" s="19"/>
      <c r="B33" s="85"/>
      <c r="C33" s="19"/>
      <c r="D33" s="19"/>
      <c r="E33" s="84"/>
      <c r="F33" s="19"/>
      <c r="G33" s="19"/>
      <c r="H33" s="19"/>
      <c r="I33" s="19"/>
      <c r="J33" s="19"/>
      <c r="K33" s="19"/>
      <c r="R33" s="103"/>
    </row>
    <row r="34" spans="1:18" ht="21.75" customHeight="1" x14ac:dyDescent="0.3">
      <c r="A34" s="19"/>
      <c r="B34" s="85"/>
      <c r="C34" s="19"/>
      <c r="D34" s="19"/>
      <c r="E34" s="84"/>
      <c r="F34" s="19"/>
      <c r="G34" s="19"/>
      <c r="H34" s="19"/>
      <c r="I34" s="19"/>
      <c r="J34" s="19"/>
      <c r="K34" s="19"/>
      <c r="R34" s="103"/>
    </row>
    <row r="35" spans="1:18" ht="21.75" customHeight="1" x14ac:dyDescent="0.3">
      <c r="A35" s="19"/>
      <c r="B35" s="85"/>
      <c r="C35" s="19"/>
      <c r="D35" s="19"/>
      <c r="E35" s="84"/>
      <c r="F35" s="19"/>
      <c r="G35" s="19"/>
      <c r="H35" s="19"/>
      <c r="I35" s="19"/>
      <c r="J35" s="19"/>
      <c r="K35" s="19"/>
      <c r="R35" s="103"/>
    </row>
    <row r="36" spans="1:18" ht="21.75" customHeight="1" x14ac:dyDescent="0.3">
      <c r="A36" s="19"/>
      <c r="B36" s="85"/>
      <c r="C36" s="19"/>
      <c r="D36" s="19"/>
      <c r="E36" s="84"/>
      <c r="F36" s="19"/>
      <c r="G36" s="19"/>
      <c r="H36" s="19"/>
      <c r="I36" s="19"/>
      <c r="J36" s="19"/>
      <c r="K36" s="19"/>
      <c r="R36" s="103"/>
    </row>
    <row r="37" spans="1:18" ht="21.75" customHeight="1" x14ac:dyDescent="0.3">
      <c r="A37" s="19"/>
      <c r="B37" s="85"/>
      <c r="C37" s="19"/>
      <c r="D37" s="19"/>
      <c r="E37" s="84"/>
      <c r="F37" s="19"/>
      <c r="G37" s="19"/>
      <c r="H37" s="19"/>
      <c r="I37" s="19"/>
      <c r="J37" s="19"/>
      <c r="K37" s="19"/>
      <c r="R37" s="103"/>
    </row>
    <row r="38" spans="1:18" ht="21.75" customHeight="1" x14ac:dyDescent="0.3">
      <c r="A38" s="19"/>
      <c r="B38" s="85"/>
      <c r="C38" s="19"/>
      <c r="D38" s="19"/>
      <c r="E38" s="84"/>
      <c r="F38" s="19"/>
      <c r="G38" s="19"/>
      <c r="H38" s="19"/>
      <c r="I38" s="19"/>
      <c r="J38" s="19"/>
      <c r="K38" s="19"/>
      <c r="R38" s="103"/>
    </row>
    <row r="39" spans="1:18" ht="21.75" customHeight="1" x14ac:dyDescent="0.3">
      <c r="A39" s="19"/>
      <c r="B39" s="85"/>
      <c r="C39" s="19"/>
      <c r="D39" s="19"/>
      <c r="E39" s="84"/>
      <c r="F39" s="19"/>
      <c r="G39" s="19"/>
      <c r="H39" s="19"/>
      <c r="I39" s="19"/>
      <c r="J39" s="19"/>
      <c r="K39" s="19"/>
      <c r="R39" s="103"/>
    </row>
    <row r="40" spans="1:18" ht="21.75" customHeight="1" x14ac:dyDescent="0.3">
      <c r="A40" s="19"/>
      <c r="B40" s="85"/>
      <c r="C40" s="19"/>
      <c r="D40" s="19"/>
      <c r="E40" s="84"/>
      <c r="F40" s="19"/>
      <c r="G40" s="19"/>
      <c r="H40" s="19"/>
      <c r="I40" s="19"/>
      <c r="J40" s="19"/>
      <c r="K40" s="19"/>
      <c r="R40" s="103"/>
    </row>
    <row r="41" spans="1:18" ht="21.75" customHeight="1" x14ac:dyDescent="0.3">
      <c r="A41" s="19"/>
      <c r="B41" s="85"/>
      <c r="C41" s="19"/>
      <c r="D41" s="19"/>
      <c r="E41" s="84"/>
      <c r="F41" s="19"/>
      <c r="G41" s="19"/>
      <c r="H41" s="19"/>
      <c r="I41" s="19"/>
      <c r="J41" s="19"/>
      <c r="K41" s="19"/>
      <c r="R41" s="103"/>
    </row>
    <row r="42" spans="1:18" ht="21.75" customHeight="1" x14ac:dyDescent="0.3">
      <c r="A42" s="19"/>
      <c r="B42" s="85"/>
      <c r="C42" s="19"/>
      <c r="D42" s="19"/>
      <c r="E42" s="84"/>
      <c r="F42" s="19"/>
      <c r="G42" s="19"/>
      <c r="H42" s="19"/>
      <c r="I42" s="19"/>
      <c r="J42" s="19"/>
      <c r="K42" s="19"/>
      <c r="R42" s="103"/>
    </row>
    <row r="43" spans="1:18" ht="21.75" customHeight="1" x14ac:dyDescent="0.3">
      <c r="A43" s="19"/>
      <c r="B43" s="85"/>
      <c r="C43" s="19"/>
      <c r="D43" s="19"/>
      <c r="E43" s="84"/>
      <c r="F43" s="19"/>
      <c r="G43" s="19"/>
      <c r="H43" s="19"/>
      <c r="I43" s="19"/>
      <c r="J43" s="19"/>
      <c r="K43" s="19"/>
      <c r="R43" s="103"/>
    </row>
    <row r="44" spans="1:18" ht="21.75" customHeight="1" x14ac:dyDescent="0.3">
      <c r="A44" s="19"/>
      <c r="B44" s="85"/>
      <c r="C44" s="19"/>
      <c r="D44" s="19"/>
      <c r="E44" s="84"/>
      <c r="F44" s="19"/>
      <c r="G44" s="19"/>
      <c r="H44" s="19"/>
      <c r="I44" s="19"/>
      <c r="J44" s="19"/>
      <c r="K44" s="19"/>
      <c r="R44" s="103"/>
    </row>
    <row r="45" spans="1:18" ht="21.75" customHeight="1" x14ac:dyDescent="0.3">
      <c r="A45" s="19"/>
      <c r="B45" s="85"/>
      <c r="C45" s="19"/>
      <c r="D45" s="19"/>
      <c r="E45" s="84"/>
      <c r="F45" s="19"/>
      <c r="G45" s="19"/>
      <c r="H45" s="19"/>
      <c r="I45" s="19"/>
      <c r="J45" s="19"/>
      <c r="K45" s="19"/>
      <c r="R45" s="103"/>
    </row>
    <row r="46" spans="1:18" ht="21.75" customHeight="1" x14ac:dyDescent="0.3">
      <c r="B46" s="95"/>
      <c r="E46" s="18"/>
      <c r="F46" s="19"/>
      <c r="G46" s="19"/>
      <c r="R46" s="103"/>
    </row>
    <row r="47" spans="1:18" ht="21.75" customHeight="1" x14ac:dyDescent="0.3">
      <c r="B47" s="95"/>
      <c r="E47" s="18"/>
      <c r="F47" s="19"/>
      <c r="G47" s="19"/>
      <c r="R47" s="103"/>
    </row>
    <row r="48" spans="1:18" ht="21.75" customHeight="1" x14ac:dyDescent="0.3">
      <c r="B48" s="95"/>
      <c r="E48" s="18"/>
      <c r="F48" s="19"/>
      <c r="G48" s="19"/>
      <c r="R48" s="103"/>
    </row>
    <row r="49" spans="1:18" ht="21.75" customHeight="1" x14ac:dyDescent="0.3">
      <c r="B49" s="95"/>
      <c r="E49" s="18"/>
      <c r="F49" s="19"/>
      <c r="G49" s="20"/>
      <c r="R49" s="103"/>
    </row>
    <row r="50" spans="1:18" ht="21.75" customHeight="1" x14ac:dyDescent="0.3">
      <c r="B50" s="95"/>
      <c r="E50" s="18"/>
      <c r="F50" s="19"/>
      <c r="G50" s="20"/>
      <c r="R50" s="103"/>
    </row>
    <row r="51" spans="1:18" ht="21.75" customHeight="1" x14ac:dyDescent="0.3">
      <c r="B51" s="95"/>
      <c r="E51" s="18"/>
      <c r="F51" s="19"/>
      <c r="G51" s="20"/>
      <c r="R51" s="103"/>
    </row>
    <row r="52" spans="1:18" ht="21.75" customHeight="1" x14ac:dyDescent="0.3">
      <c r="B52" s="95"/>
      <c r="E52" s="18"/>
      <c r="F52" s="19"/>
      <c r="G52" s="20"/>
      <c r="R52" s="103"/>
    </row>
    <row r="53" spans="1:18" ht="21.75" customHeight="1" x14ac:dyDescent="0.3">
      <c r="B53" s="95"/>
      <c r="E53" s="18"/>
      <c r="F53" s="19"/>
      <c r="G53" s="20"/>
      <c r="R53" s="103"/>
    </row>
    <row r="54" spans="1:18" ht="21.75" customHeight="1" x14ac:dyDescent="0.3">
      <c r="B54" s="95"/>
      <c r="E54" s="18"/>
      <c r="F54" s="19"/>
      <c r="G54" s="20"/>
      <c r="R54" s="103"/>
    </row>
    <row r="55" spans="1:18" ht="21.75" customHeight="1" x14ac:dyDescent="0.3">
      <c r="B55" s="95"/>
      <c r="E55" s="18"/>
      <c r="F55" s="19"/>
      <c r="G55" s="20"/>
      <c r="R55" s="103"/>
    </row>
    <row r="56" spans="1:18" ht="21.75" customHeight="1" x14ac:dyDescent="0.3">
      <c r="B56" s="95"/>
      <c r="E56" s="18"/>
      <c r="F56" s="19"/>
      <c r="G56" s="20"/>
      <c r="R56" s="103"/>
    </row>
    <row r="57" spans="1:18" ht="21.75" customHeight="1" x14ac:dyDescent="0.3">
      <c r="A57" s="12"/>
      <c r="B57" s="96"/>
      <c r="C57" s="81"/>
      <c r="D57" s="81"/>
      <c r="E57" s="81"/>
      <c r="F57" s="81"/>
      <c r="G57" s="81"/>
      <c r="R57" s="103"/>
    </row>
    <row r="58" spans="1:18" ht="15" customHeight="1" x14ac:dyDescent="0.3">
      <c r="A58" s="12"/>
      <c r="B58" s="97"/>
      <c r="C58" s="21"/>
      <c r="L58" s="112"/>
      <c r="R58" s="103"/>
    </row>
    <row r="59" spans="1:18" ht="15" customHeight="1" x14ac:dyDescent="0.3">
      <c r="A59" s="12"/>
      <c r="B59" s="98"/>
      <c r="C59" s="78"/>
      <c r="D59" s="80"/>
      <c r="E59" s="80"/>
      <c r="F59" s="80"/>
      <c r="G59" s="80"/>
      <c r="K59" s="399"/>
      <c r="L59" s="399"/>
      <c r="R59" s="103"/>
    </row>
    <row r="60" spans="1:18" ht="6" customHeight="1" x14ac:dyDescent="0.3">
      <c r="A60" s="12"/>
      <c r="B60" s="98"/>
      <c r="C60" s="78"/>
      <c r="D60" s="80"/>
      <c r="E60" s="80"/>
      <c r="F60" s="80"/>
      <c r="G60" s="80"/>
      <c r="K60" s="399"/>
      <c r="L60" s="399"/>
      <c r="R60" s="103"/>
    </row>
    <row r="61" spans="1:18" ht="24" customHeight="1" x14ac:dyDescent="0.3">
      <c r="A61" s="12"/>
      <c r="B61" s="99"/>
      <c r="C61" s="411" t="s">
        <v>4308</v>
      </c>
      <c r="D61" s="411"/>
      <c r="E61" s="411"/>
      <c r="F61" s="411"/>
      <c r="G61" s="411"/>
      <c r="H61" s="242" t="s">
        <v>146</v>
      </c>
      <c r="I61" s="270"/>
      <c r="K61" s="411" t="s">
        <v>580</v>
      </c>
      <c r="L61" s="411"/>
      <c r="M61" s="411"/>
      <c r="N61" s="411"/>
      <c r="O61" s="411"/>
      <c r="P61" s="242" t="s">
        <v>146</v>
      </c>
      <c r="Q61" s="270"/>
      <c r="R61" s="103"/>
    </row>
    <row r="62" spans="1:18" ht="29.25" customHeight="1" x14ac:dyDescent="0.3">
      <c r="A62" s="12"/>
      <c r="B62" s="99"/>
      <c r="C62" s="413" t="str">
        <f>IFERROR(INDEX(kg_tri_maladie,MATCH(TRUE,INDEX(kg_nb_tri_maladie&gt;0,0),0),1),"")</f>
        <v/>
      </c>
      <c r="D62" s="413"/>
      <c r="E62" s="413"/>
      <c r="F62" s="413"/>
      <c r="G62" s="414"/>
      <c r="H62" s="272" t="str">
        <f>IFERROR(ROUND(INDEX(kg_tri_maladie,MATCH(C62,kg_tri_nom_maladie,0),2)/SUMIF('Étape 1 - à remplir'!$G$19:$G$28,"kg",'Étape 1 - à remplir'!$F$19:$F$28),3),"")</f>
        <v/>
      </c>
      <c r="I62" s="271"/>
      <c r="J62" s="101"/>
      <c r="K62" s="412" t="str">
        <f>IFERROR(INDEX(kg_tri_voie,MATCH(TRUE,INDEX(kg_nb_tri_voie&gt;0,0),0),1),"")</f>
        <v/>
      </c>
      <c r="L62" s="413"/>
      <c r="M62" s="413"/>
      <c r="N62" s="413"/>
      <c r="O62" s="414"/>
      <c r="P62" s="272" t="str">
        <f>IFERROR(ROUND(INDEX(kg_tri_voie,MATCH(K62,kg_tri_nom_voie,0),2)/SUMIF('Étape 1 - à remplir'!$G$19:$G$28,"kg",'Étape 1 - à remplir'!$F$19:$F$28),3),"")</f>
        <v/>
      </c>
      <c r="Q62" s="271"/>
      <c r="R62" s="103"/>
    </row>
    <row r="63" spans="1:18" ht="29.25" customHeight="1" x14ac:dyDescent="0.3">
      <c r="A63" s="12"/>
      <c r="B63" s="99"/>
      <c r="C63" s="413" t="str">
        <f>IFERROR(INDEX(kg_tri_maladie,MATCH(TRUE,INDEX(kg_nb_tri_maladie&gt;0,0),0)+1,1),"")</f>
        <v/>
      </c>
      <c r="D63" s="413"/>
      <c r="E63" s="413"/>
      <c r="F63" s="413"/>
      <c r="G63" s="414"/>
      <c r="H63" s="269" t="str">
        <f>IFERROR(ROUND(INDEX(kg_tri_maladie,MATCH(C63,kg_tri_nom_maladie,0),2)/SUMIF('Étape 1 - à remplir'!$G$19:$G$28,"kg",'Étape 1 - à remplir'!$F$19:$F$28),3),"")</f>
        <v/>
      </c>
      <c r="I63" s="271"/>
      <c r="J63" s="104"/>
      <c r="K63" s="412" t="str">
        <f>IFERROR(INDEX(kg_tri_voie,MATCH(TRUE,INDEX(kg_nb_tri_voie&gt;0,0),0)+1,1),"")</f>
        <v/>
      </c>
      <c r="L63" s="413"/>
      <c r="M63" s="413"/>
      <c r="N63" s="413"/>
      <c r="O63" s="414"/>
      <c r="P63" s="269" t="str">
        <f>IFERROR(ROUND(INDEX(kg_tri_voie,MATCH(K63,kg_tri_nom_voie,0),2)/SUMIF('Étape 1 - à remplir'!$G$19:$G$28,"kg",'Étape 1 - à remplir'!$F$19:$F$28),3),"")</f>
        <v/>
      </c>
      <c r="Q63" s="271"/>
      <c r="R63" s="103"/>
    </row>
    <row r="64" spans="1:18" ht="29.25" customHeight="1" x14ac:dyDescent="0.3">
      <c r="B64" s="99"/>
      <c r="C64" s="413" t="str">
        <f>IFERROR(INDEX(kg_tri_maladie,MATCH(TRUE,INDEX(kg_nb_tri_maladie&gt;0,0),0)+2,1),"")</f>
        <v/>
      </c>
      <c r="D64" s="413"/>
      <c r="E64" s="413"/>
      <c r="F64" s="413"/>
      <c r="G64" s="414"/>
      <c r="H64" s="269" t="str">
        <f>IFERROR(ROUND(INDEX(kg_tri_maladie,MATCH(C64,kg_tri_nom_maladie,0),2)/SUMIF('Étape 1 - à remplir'!$G$19:$G$28,"kg",'Étape 1 - à remplir'!$F$19:$F$28),3),"")</f>
        <v/>
      </c>
      <c r="I64" s="271"/>
      <c r="J64" s="100"/>
      <c r="K64" s="412" t="str">
        <f>IFERROR(INDEX(kg_tri_voie,MATCH(TRUE,INDEX(kg_nb_tri_voie&gt;0,0),0)+2,1),"")</f>
        <v/>
      </c>
      <c r="L64" s="413"/>
      <c r="M64" s="413"/>
      <c r="N64" s="413"/>
      <c r="O64" s="414"/>
      <c r="P64" s="269" t="str">
        <f>IFERROR(ROUND(INDEX(kg_tri_voie,MATCH(K64,kg_tri_nom_voie,0),2)/SUMIF('Étape 1 - à remplir'!$G$19:$G$28,"kg",'Étape 1 - à remplir'!$F$19:$F$28),3),"")</f>
        <v/>
      </c>
      <c r="Q64" s="271"/>
      <c r="R64" s="103"/>
    </row>
    <row r="65" spans="2:18" ht="29.25" customHeight="1" x14ac:dyDescent="0.3">
      <c r="B65" s="96"/>
      <c r="C65" s="413" t="str">
        <f>IFERROR(INDEX(kg_tri_maladie,MATCH(TRUE,INDEX(kg_nb_tri_maladie&gt;0,0),0)+3,1),"")</f>
        <v/>
      </c>
      <c r="D65" s="413"/>
      <c r="E65" s="413"/>
      <c r="F65" s="413"/>
      <c r="G65" s="414"/>
      <c r="H65" s="269" t="str">
        <f>IFERROR(ROUND(INDEX(kg_tri_maladie,MATCH(C65,kg_tri_nom_maladie,0),2)/SUMIF('Étape 1 - à remplir'!$G$19:$G$28,"kg",'Étape 1 - à remplir'!$F$19:$F$28),3),"")</f>
        <v/>
      </c>
      <c r="I65" s="271"/>
      <c r="J65" s="100"/>
      <c r="K65" s="412" t="str">
        <f>IFERROR(INDEX(kg_tri_voie,MATCH(TRUE,INDEX(kg_nb_tri_voie&gt;0,0),0)+3,1),"")</f>
        <v/>
      </c>
      <c r="L65" s="413"/>
      <c r="M65" s="413"/>
      <c r="N65" s="413"/>
      <c r="O65" s="414"/>
      <c r="P65" s="269" t="str">
        <f>IFERROR(ROUND(INDEX(kg_tri_voie,MATCH(K65,kg_tri_nom_voie,0),2)/SUMIF('Étape 1 - à remplir'!$G$19:$G$28,"kg",'Étape 1 - à remplir'!$F$19:$F$28),3),"")</f>
        <v/>
      </c>
      <c r="Q65" s="271"/>
      <c r="R65" s="103"/>
    </row>
    <row r="66" spans="2:18" ht="29.25" customHeight="1" x14ac:dyDescent="0.3">
      <c r="B66" s="95"/>
      <c r="C66" s="413" t="str">
        <f>IFERROR(INDEX(kg_tri_maladie,MATCH(TRUE,INDEX(kg_nb_tri_maladie&gt;0,0),0)+4,1),"")</f>
        <v/>
      </c>
      <c r="D66" s="413"/>
      <c r="E66" s="413"/>
      <c r="F66" s="413"/>
      <c r="G66" s="414"/>
      <c r="H66" s="269" t="str">
        <f>IFERROR(ROUND(INDEX(kg_tri_maladie,MATCH(C66,kg_tri_nom_maladie,0),2)/SUMIF('Étape 1 - à remplir'!$G$19:$G$28,"kg",'Étape 1 - à remplir'!$F$19:$F$28),3),"")</f>
        <v/>
      </c>
      <c r="I66" s="271"/>
      <c r="J66" s="100"/>
      <c r="K66" s="412" t="str">
        <f>IFERROR(INDEX(kg_tri_voie,MATCH(TRUE,INDEX(kg_nb_tri_voie&gt;0,0),0)+4,1),"")</f>
        <v/>
      </c>
      <c r="L66" s="413"/>
      <c r="M66" s="413"/>
      <c r="N66" s="413"/>
      <c r="O66" s="414"/>
      <c r="P66" s="269" t="str">
        <f>IFERROR(ROUND(INDEX(kg_tri_voie,MATCH(K66,kg_tri_nom_voie,0),2)/SUMIF('Étape 1 - à remplir'!$G$19:$G$28,"kg",'Étape 1 - à remplir'!$F$19:$F$28),3),"")</f>
        <v/>
      </c>
      <c r="Q66" s="271"/>
      <c r="R66" s="103"/>
    </row>
    <row r="67" spans="2:18" ht="29.25" customHeight="1" x14ac:dyDescent="0.3">
      <c r="B67" s="98"/>
      <c r="C67" s="413" t="str">
        <f>IFERROR(INDEX(kg_tri_maladie,MATCH(TRUE,INDEX(kg_nb_tri_maladie&gt;0,0),0)+5,1),"")</f>
        <v/>
      </c>
      <c r="D67" s="413"/>
      <c r="E67" s="413"/>
      <c r="F67" s="413"/>
      <c r="G67" s="414"/>
      <c r="H67" s="269" t="str">
        <f>IFERROR(ROUND(INDEX(kg_tri_maladie,MATCH(C67,kg_tri_nom_maladie,0),2)/SUMIF('Étape 1 - à remplir'!$G$19:$G$28,"kg",'Étape 1 - à remplir'!$F$19:$F$28),3),"")</f>
        <v/>
      </c>
      <c r="I67" s="271"/>
      <c r="J67" s="100"/>
      <c r="K67" s="412" t="str">
        <f>IFERROR(INDEX(kg_tri_voie,MATCH(TRUE,INDEX(kg_nb_tri_voie&gt;0,0),0)+5,1),"")</f>
        <v/>
      </c>
      <c r="L67" s="413"/>
      <c r="M67" s="413"/>
      <c r="N67" s="413"/>
      <c r="O67" s="414"/>
      <c r="P67" s="269" t="str">
        <f>IFERROR(ROUND(INDEX(kg_tri_voie,MATCH(K67,kg_tri_nom_voie,0),2)/SUMIF('Étape 1 - à remplir'!$G$19:$G$28,"kg",'Étape 1 - à remplir'!$F$19:$F$28),3),"")</f>
        <v/>
      </c>
      <c r="Q67" s="271"/>
      <c r="R67" s="103"/>
    </row>
    <row r="68" spans="2:18" ht="29.25" customHeight="1" x14ac:dyDescent="0.3">
      <c r="B68" s="99"/>
      <c r="C68" s="413" t="str">
        <f>IFERROR(INDEX(kg_tri_maladie,MATCH(TRUE,INDEX(kg_nb_tri_maladie&gt;0,0),0)+6,1),"")</f>
        <v/>
      </c>
      <c r="D68" s="413"/>
      <c r="E68" s="413"/>
      <c r="F68" s="413"/>
      <c r="G68" s="414"/>
      <c r="H68" s="269" t="str">
        <f>IFERROR(ROUND(INDEX(kg_tri_maladie,MATCH(C68,kg_tri_nom_maladie,0),2)/SUMIF('Étape 1 - à remplir'!$G$19:$G$28,"kg",'Étape 1 - à remplir'!$F$19:$F$28),3),"")</f>
        <v/>
      </c>
      <c r="I68" s="271"/>
      <c r="J68" s="100"/>
      <c r="K68" s="412" t="str">
        <f>IFERROR(INDEX(kg_tri_voie,MATCH(TRUE,INDEX(kg_nb_tri_voie&gt;0,0),0)+6,1),"")</f>
        <v/>
      </c>
      <c r="L68" s="413"/>
      <c r="M68" s="413"/>
      <c r="N68" s="413"/>
      <c r="O68" s="414"/>
      <c r="P68" s="269" t="str">
        <f>IFERROR(ROUND(INDEX(kg_tri_voie,MATCH(K68,kg_tri_nom_voie,0),2)/SUMIF('Étape 1 - à remplir'!$G$19:$G$28,"kg",'Étape 1 - à remplir'!$F$19:$F$28),3),"")</f>
        <v/>
      </c>
      <c r="Q68" s="271"/>
      <c r="R68" s="103"/>
    </row>
    <row r="69" spans="2:18" ht="29.25" customHeight="1" x14ac:dyDescent="0.3">
      <c r="B69" s="99"/>
      <c r="C69" s="413" t="str">
        <f>IFERROR(INDEX(kg_tri_maladie,MATCH(TRUE,INDEX(kg_nb_tri_maladie&gt;0,0),0)+7,1),"")</f>
        <v/>
      </c>
      <c r="D69" s="413"/>
      <c r="E69" s="413"/>
      <c r="F69" s="413"/>
      <c r="G69" s="414"/>
      <c r="H69" s="269" t="str">
        <f>IFERROR(ROUND(INDEX(kg_tri_maladie,MATCH(C69,kg_tri_nom_maladie,0),2)/SUMIF('Étape 1 - à remplir'!$G$19:$G$28,"kg",'Étape 1 - à remplir'!$F$19:$F$28),3),"")</f>
        <v/>
      </c>
      <c r="I69" s="271"/>
      <c r="J69" s="100"/>
      <c r="K69" s="412" t="str">
        <f>IFERROR(INDEX(kg_tri_voie,MATCH(TRUE,INDEX(kg_nb_tri_voie&gt;0,0),0)+7,1),"")</f>
        <v/>
      </c>
      <c r="L69" s="413"/>
      <c r="M69" s="413"/>
      <c r="N69" s="413"/>
      <c r="O69" s="414"/>
      <c r="P69" s="269" t="str">
        <f>IFERROR(ROUND(INDEX(kg_tri_voie,MATCH(K69,kg_tri_nom_voie,0),2)/SUMIF('Étape 1 - à remplir'!$G$19:$G$28,"kg",'Étape 1 - à remplir'!$F$19:$F$28),3),"")</f>
        <v/>
      </c>
      <c r="Q69" s="271"/>
      <c r="R69" s="103"/>
    </row>
    <row r="70" spans="2:18" ht="12" customHeight="1" x14ac:dyDescent="0.3">
      <c r="B70" s="99"/>
      <c r="C70" s="22"/>
      <c r="D70" s="79"/>
      <c r="E70" s="79"/>
      <c r="F70" s="79"/>
      <c r="G70" s="79"/>
      <c r="R70" s="103"/>
    </row>
    <row r="71" spans="2:18" x14ac:dyDescent="0.3">
      <c r="B71" s="95"/>
      <c r="R71" s="103"/>
    </row>
    <row r="72" spans="2:18" x14ac:dyDescent="0.3">
      <c r="B72" s="95"/>
      <c r="R72" s="103"/>
    </row>
    <row r="73" spans="2:18" x14ac:dyDescent="0.3">
      <c r="B73" s="95"/>
      <c r="R73" s="103"/>
    </row>
    <row r="74" spans="2:18" x14ac:dyDescent="0.3">
      <c r="B74" s="95"/>
      <c r="R74" s="103"/>
    </row>
    <row r="75" spans="2:18" x14ac:dyDescent="0.3">
      <c r="B75" s="95"/>
      <c r="R75" s="103"/>
    </row>
    <row r="76" spans="2:18" x14ac:dyDescent="0.3">
      <c r="B76" s="95"/>
      <c r="R76" s="103"/>
    </row>
    <row r="77" spans="2:18" x14ac:dyDescent="0.3">
      <c r="B77" s="95"/>
      <c r="R77" s="103"/>
    </row>
    <row r="78" spans="2:18" x14ac:dyDescent="0.3">
      <c r="B78" s="95"/>
      <c r="R78" s="103"/>
    </row>
    <row r="79" spans="2:18" x14ac:dyDescent="0.3">
      <c r="B79" s="95"/>
      <c r="R79" s="103"/>
    </row>
    <row r="80" spans="2:18" x14ac:dyDescent="0.3">
      <c r="B80" s="95"/>
      <c r="R80" s="103"/>
    </row>
    <row r="81" spans="2:18" x14ac:dyDescent="0.3">
      <c r="B81" s="95"/>
      <c r="R81" s="103"/>
    </row>
    <row r="82" spans="2:18" x14ac:dyDescent="0.3">
      <c r="B82" s="95"/>
      <c r="R82" s="103"/>
    </row>
    <row r="83" spans="2:18" ht="18" customHeight="1" x14ac:dyDescent="0.3">
      <c r="B83" s="95"/>
      <c r="R83" s="103"/>
    </row>
    <row r="84" spans="2:18" ht="6.75" customHeight="1" x14ac:dyDescent="0.3">
      <c r="B84" s="95"/>
      <c r="R84" s="103"/>
    </row>
    <row r="85" spans="2:18" ht="27" customHeight="1" x14ac:dyDescent="0.3">
      <c r="B85" s="95"/>
      <c r="C85" s="384" t="s">
        <v>576</v>
      </c>
      <c r="D85" s="384"/>
      <c r="E85" s="384"/>
      <c r="F85" s="239" t="s">
        <v>146</v>
      </c>
      <c r="G85" s="240" t="s">
        <v>4356</v>
      </c>
      <c r="I85" s="384" t="s">
        <v>574</v>
      </c>
      <c r="J85" s="384"/>
      <c r="K85" s="239" t="s">
        <v>146</v>
      </c>
      <c r="L85" s="239" t="s">
        <v>4356</v>
      </c>
      <c r="N85" s="384" t="s">
        <v>575</v>
      </c>
      <c r="O85" s="384"/>
      <c r="P85" s="239" t="s">
        <v>146</v>
      </c>
      <c r="Q85" s="239" t="s">
        <v>4356</v>
      </c>
      <c r="R85" s="103"/>
    </row>
    <row r="86" spans="2:18" ht="24" customHeight="1" x14ac:dyDescent="0.3">
      <c r="B86" s="95"/>
      <c r="C86" s="383" t="str">
        <f>IFERROR(INDEX(kg_tri_medic,MATCH(TRUE,INDEX(kg_nb_tri_medic&gt;0,0),0),1),"")</f>
        <v/>
      </c>
      <c r="D86" s="383"/>
      <c r="E86" s="383"/>
      <c r="F86" s="237" t="str">
        <f>IFERROR(ROUND(INDEX(kg_tri_medic,MATCH(C86,kg_nom_tri_medic,0),2)/SUMIF('Étape 1 - à remplir'!G$19:G$28,"kg",'Étape 1 - à remplir'!F$19:F$28),3),"")</f>
        <v/>
      </c>
      <c r="G86" s="241" t="str">
        <f>IFERROR(F86/SUM(F$86:F$95),"")</f>
        <v/>
      </c>
      <c r="I86" s="383" t="str" cm="1">
        <f t="array" ref="I86">IFERROR(INDEX(kg_subst,MATCH(TRUE,INDEX(kg_subst_nb&gt;0,0),0),1),"")</f>
        <v/>
      </c>
      <c r="J86" s="383"/>
      <c r="K86" s="237" t="str">
        <f>IFERROR(ROUND(INDEX(kg_subst,MATCH(I86,kg_subst_nom,0),2)/SUMIF('Étape 1 - à remplir'!G$19:G$28,"kg",'Étape 1 - à remplir'!F$19:F$28),3),"")</f>
        <v/>
      </c>
      <c r="L86" s="241" t="str">
        <f>IFERROR(K86/SUM(K$86:K$95),"")</f>
        <v/>
      </c>
      <c r="N86" s="383" t="str" cm="1">
        <f t="array" ref="N86">IFERROR(INDEX(kg_famille,MATCH(TRUE,INDEX(kg_famille_nb&gt;0,0),0),1),"")</f>
        <v/>
      </c>
      <c r="O86" s="383"/>
      <c r="P86" s="237" t="str">
        <f>IFERROR(ROUND(INDEX(kg_famille,MATCH(N86,kg_famille_nom,0),2)/SUMIF('Étape 1 - à remplir'!G$19:G$28,"kg",'Étape 1 - à remplir'!F$19:F$28),3),"")</f>
        <v/>
      </c>
      <c r="Q86" s="241" t="str">
        <f>IFERROR(P86/SUM(P$86:P$95),"")</f>
        <v/>
      </c>
      <c r="R86" s="103"/>
    </row>
    <row r="87" spans="2:18" ht="24" customHeight="1" x14ac:dyDescent="0.3">
      <c r="B87" s="95"/>
      <c r="C87" s="383" t="str" cm="1">
        <f t="array" ref="C87">IFERROR(INDEX(kg_tri_medic,MATCH(TRUE,INDEX(kg_nb_tri_medic&gt;0,0),0)+1,1),"")</f>
        <v/>
      </c>
      <c r="D87" s="383"/>
      <c r="E87" s="383"/>
      <c r="F87" s="237" t="str">
        <f>IFERROR(ROUND(INDEX(kg_tri_medic,MATCH(C87,kg_nom_tri_medic,0),2)/SUMIF('Étape 1 - à remplir'!G$19:G$28,"kg",'Étape 1 - à remplir'!F$19:F$28),3),"")</f>
        <v/>
      </c>
      <c r="G87" s="241" t="str">
        <f t="shared" ref="G87:G95" si="0">IFERROR(F87/SUM(F$86:F$95),"")</f>
        <v/>
      </c>
      <c r="I87" s="383" t="str" cm="1">
        <f t="array" ref="I87">IFERROR(INDEX(kg_subst,MATCH(TRUE,INDEX(kg_subst_nb&gt;0,0),0)+1,1),"")</f>
        <v/>
      </c>
      <c r="J87" s="383"/>
      <c r="K87" s="237" t="str">
        <f>IFERROR(ROUND(INDEX(kg_subst,MATCH(I87,kg_subst_nom,0),2)/SUMIF('Étape 1 - à remplir'!G$19:G$28,"kg",'Étape 1 - à remplir'!F$19:F$28),3),"")</f>
        <v/>
      </c>
      <c r="L87" s="241" t="str">
        <f t="shared" ref="L87:L95" si="1">IFERROR(K87/SUM(K$86:K$95),"")</f>
        <v/>
      </c>
      <c r="N87" s="383" t="str" cm="1">
        <f t="array" ref="N87">IFERROR(INDEX(kg_famille,MATCH(TRUE,INDEX(kg_famille_nb&gt;0,0),0)+1,1),"")</f>
        <v/>
      </c>
      <c r="O87" s="383"/>
      <c r="P87" s="237" t="str">
        <f>IFERROR(ROUND(INDEX(kg_famille,MATCH(N87,kg_famille_nom,0),2)/SUMIF('Étape 1 - à remplir'!G$19:G$28,"kg",'Étape 1 - à remplir'!F$19:F$28),3),"")</f>
        <v/>
      </c>
      <c r="Q87" s="241" t="str">
        <f t="shared" ref="Q87:Q95" si="2">IFERROR(P87/SUM(P$86:P$95),"")</f>
        <v/>
      </c>
      <c r="R87" s="103"/>
    </row>
    <row r="88" spans="2:18" ht="24" customHeight="1" x14ac:dyDescent="0.3">
      <c r="B88" s="95"/>
      <c r="C88" s="383" t="str" cm="1">
        <f t="array" ref="C88">IFERROR(INDEX(kg_tri_medic,MATCH(TRUE,INDEX(kg_nb_tri_medic&gt;0,0),0)+2,1),"")</f>
        <v/>
      </c>
      <c r="D88" s="383"/>
      <c r="E88" s="383"/>
      <c r="F88" s="237" t="str">
        <f>IFERROR(ROUND(INDEX(kg_tri_medic,MATCH(C88,kg_nom_tri_medic,0),2)/SUMIF('Étape 1 - à remplir'!G$19:G$28,"kg",'Étape 1 - à remplir'!F$19:F$28),3),"")</f>
        <v/>
      </c>
      <c r="G88" s="241" t="str">
        <f t="shared" si="0"/>
        <v/>
      </c>
      <c r="I88" s="383" t="str" cm="1">
        <f t="array" ref="I88">IFERROR(INDEX(kg_subst,MATCH(TRUE,INDEX(kg_subst_nb&gt;0,0),0)+2,1),"")</f>
        <v/>
      </c>
      <c r="J88" s="383"/>
      <c r="K88" s="237" t="str">
        <f>IFERROR(ROUND(INDEX(kg_subst,MATCH(I88,kg_subst_nom,0),2)/SUMIF('Étape 1 - à remplir'!G$19:G$28,"kg",'Étape 1 - à remplir'!F$19:F$28),3),"")</f>
        <v/>
      </c>
      <c r="L88" s="241" t="str">
        <f t="shared" si="1"/>
        <v/>
      </c>
      <c r="N88" s="383" t="str" cm="1">
        <f t="array" ref="N88">IFERROR(INDEX(kg_famille,MATCH(TRUE,INDEX(kg_famille_nb&gt;0,0),0)+2,1),"")</f>
        <v/>
      </c>
      <c r="O88" s="383"/>
      <c r="P88" s="237" t="str">
        <f>IFERROR(ROUND(INDEX(kg_famille,MATCH(N88,kg_famille_nom,0),2)/SUMIF('Étape 1 - à remplir'!G$19:G$28,"kg",'Étape 1 - à remplir'!F$19:F$28),3),"")</f>
        <v/>
      </c>
      <c r="Q88" s="241" t="str">
        <f t="shared" si="2"/>
        <v/>
      </c>
      <c r="R88" s="103"/>
    </row>
    <row r="89" spans="2:18" ht="24" customHeight="1" x14ac:dyDescent="0.3">
      <c r="B89" s="95"/>
      <c r="C89" s="383" t="str" cm="1">
        <f t="array" ref="C89">IFERROR(INDEX(kg_tri_medic,MATCH(TRUE,INDEX(kg_nb_tri_medic&gt;0,0),0)+3,1),"")</f>
        <v/>
      </c>
      <c r="D89" s="383"/>
      <c r="E89" s="383"/>
      <c r="F89" s="237" t="str">
        <f>IFERROR(ROUND(INDEX(kg_tri_medic,MATCH(C89,kg_nom_tri_medic,0),2)/SUMIF('Étape 1 - à remplir'!G$19:G$28,"kg",'Étape 1 - à remplir'!F$19:F$28),3),"")</f>
        <v/>
      </c>
      <c r="G89" s="241" t="str">
        <f t="shared" si="0"/>
        <v/>
      </c>
      <c r="I89" s="383" t="str" cm="1">
        <f t="array" ref="I89">IFERROR(INDEX(kg_subst,MATCH(TRUE,INDEX(kg_subst_nb&gt;0,0),0)+3,1),"")</f>
        <v/>
      </c>
      <c r="J89" s="383"/>
      <c r="K89" s="237" t="str">
        <f>IFERROR(ROUND(INDEX(kg_subst,MATCH(I89,kg_subst_nom,0),2)/SUMIF('Étape 1 - à remplir'!G$19:G$28,"kg",'Étape 1 - à remplir'!F$19:F$28),3),"")</f>
        <v/>
      </c>
      <c r="L89" s="241" t="str">
        <f t="shared" si="1"/>
        <v/>
      </c>
      <c r="N89" s="383" t="str" cm="1">
        <f t="array" ref="N89">IFERROR(INDEX(kg_famille,MATCH(TRUE,INDEX(kg_famille_nb&gt;0,0),0)+3,1),"")</f>
        <v/>
      </c>
      <c r="O89" s="383"/>
      <c r="P89" s="237" t="str">
        <f>IFERROR(ROUND(INDEX(kg_famille,MATCH(N89,kg_famille_nom,0),2)/SUMIF('Étape 1 - à remplir'!G$19:G$28,"kg",'Étape 1 - à remplir'!F$19:F$28),3),"")</f>
        <v/>
      </c>
      <c r="Q89" s="241" t="str">
        <f t="shared" si="2"/>
        <v/>
      </c>
      <c r="R89" s="103"/>
    </row>
    <row r="90" spans="2:18" ht="24" customHeight="1" x14ac:dyDescent="0.3">
      <c r="B90" s="95"/>
      <c r="C90" s="383" t="str" cm="1">
        <f t="array" ref="C90">IFERROR(INDEX(kg_tri_medic,MATCH(TRUE,INDEX(kg_nb_tri_medic&gt;0,0),0)+4,1),"")</f>
        <v/>
      </c>
      <c r="D90" s="383"/>
      <c r="E90" s="383"/>
      <c r="F90" s="237" t="str">
        <f>IFERROR(ROUND(INDEX(kg_tri_medic,MATCH(C90,kg_nom_tri_medic,0),2)/SUMIF('Étape 1 - à remplir'!G$19:G$28,"kg",'Étape 1 - à remplir'!F$19:F$28),3),"")</f>
        <v/>
      </c>
      <c r="G90" s="241" t="str">
        <f t="shared" si="0"/>
        <v/>
      </c>
      <c r="I90" s="383" t="str" cm="1">
        <f t="array" ref="I90">IFERROR(INDEX(kg_subst,MATCH(TRUE,INDEX(kg_subst_nb&gt;0,0),0)+4,1),"")</f>
        <v/>
      </c>
      <c r="J90" s="383"/>
      <c r="K90" s="237" t="str">
        <f>IFERROR(ROUND(INDEX(kg_subst,MATCH(I90,kg_subst_nom,0),2)/SUMIF('Étape 1 - à remplir'!G$19:G$28,"kg",'Étape 1 - à remplir'!F$19:F$28),3),"")</f>
        <v/>
      </c>
      <c r="L90" s="241" t="str">
        <f t="shared" si="1"/>
        <v/>
      </c>
      <c r="N90" s="383" t="str" cm="1">
        <f t="array" ref="N90">IFERROR(INDEX(kg_famille,MATCH(TRUE,INDEX(kg_famille_nb&gt;0,0),0)+4,1),"")</f>
        <v/>
      </c>
      <c r="O90" s="383"/>
      <c r="P90" s="237" t="str">
        <f>IFERROR(ROUND(INDEX(kg_famille,MATCH(N90,kg_famille_nom,0),2)/SUMIF('Étape 1 - à remplir'!G$19:G$28,"kg",'Étape 1 - à remplir'!F$19:F$28),3),"")</f>
        <v/>
      </c>
      <c r="Q90" s="241" t="str">
        <f t="shared" si="2"/>
        <v/>
      </c>
      <c r="R90" s="103"/>
    </row>
    <row r="91" spans="2:18" ht="24" customHeight="1" x14ac:dyDescent="0.3">
      <c r="B91" s="95"/>
      <c r="C91" s="383" t="str" cm="1">
        <f t="array" ref="C91">IFERROR(INDEX(kg_tri_medic,MATCH(TRUE,INDEX(kg_nb_tri_medic&gt;0,0),0)+5,1),"")</f>
        <v/>
      </c>
      <c r="D91" s="383"/>
      <c r="E91" s="383"/>
      <c r="F91" s="237" t="str">
        <f>IFERROR(ROUND(INDEX(kg_tri_medic,MATCH(C91,kg_nom_tri_medic,0),2)/SUMIF('Étape 1 - à remplir'!G$19:G$28,"kg",'Étape 1 - à remplir'!F$19:F$28),3),"")</f>
        <v/>
      </c>
      <c r="G91" s="241" t="str">
        <f t="shared" si="0"/>
        <v/>
      </c>
      <c r="I91" s="383" t="str" cm="1">
        <f t="array" ref="I91">IFERROR(INDEX(kg_subst,MATCH(TRUE,INDEX(kg_subst_nb&gt;0,0),0)+5,1),"")</f>
        <v/>
      </c>
      <c r="J91" s="383"/>
      <c r="K91" s="237" t="str">
        <f>IFERROR(ROUND(INDEX(kg_subst,MATCH(I91,kg_subst_nom,0),2)/SUMIF('Étape 1 - à remplir'!G$19:G$28,"kg",'Étape 1 - à remplir'!F$19:F$28),3),"")</f>
        <v/>
      </c>
      <c r="L91" s="241" t="str">
        <f t="shared" si="1"/>
        <v/>
      </c>
      <c r="N91" s="382" t="str" cm="1">
        <f t="array" ref="N91">IFERROR(INDEX(kg_famille,MATCH(TRUE,INDEX(kg_famille_nb&gt;0,0),0)+5,1),"")</f>
        <v/>
      </c>
      <c r="O91" s="382"/>
      <c r="P91" s="237" t="str">
        <f>IFERROR(ROUND(INDEX(kg_famille,MATCH(N91,kg_famille_nom,0),2)/SUMIF('Étape 1 - à remplir'!G$19:G$28,"kg",'Étape 1 - à remplir'!F$19:F$28),3),"")</f>
        <v/>
      </c>
      <c r="Q91" s="241" t="str">
        <f t="shared" si="2"/>
        <v/>
      </c>
      <c r="R91" s="103"/>
    </row>
    <row r="92" spans="2:18" ht="24" customHeight="1" x14ac:dyDescent="0.3">
      <c r="B92" s="95"/>
      <c r="C92" s="383" t="str" cm="1">
        <f t="array" ref="C92">IFERROR(INDEX(kg_tri_medic,MATCH(TRUE,INDEX(kg_nb_tri_medic&gt;0,0),0)+6,1),"")</f>
        <v/>
      </c>
      <c r="D92" s="383"/>
      <c r="E92" s="383"/>
      <c r="F92" s="237" t="str">
        <f>IFERROR(ROUND(INDEX(kg_tri_medic,MATCH(C92,kg_nom_tri_medic,0),2)/SUMIF('Étape 1 - à remplir'!G$19:G$28,"kg",'Étape 1 - à remplir'!F$19:F$28),3),"")</f>
        <v/>
      </c>
      <c r="G92" s="241" t="str">
        <f t="shared" si="0"/>
        <v/>
      </c>
      <c r="I92" s="382" t="str" cm="1">
        <f t="array" ref="I92">IFERROR(INDEX(kg_subst,MATCH(TRUE,INDEX(kg_subst_nb&gt;0,0),0)+6,1),"")</f>
        <v/>
      </c>
      <c r="J92" s="382"/>
      <c r="K92" s="237" t="str">
        <f>IFERROR(ROUND(INDEX(kg_subst,MATCH(I92,kg_subst_nom,0),2)/SUMIF('Étape 1 - à remplir'!G$19:G$28,"kg",'Étape 1 - à remplir'!F$19:F$28),3),"")</f>
        <v/>
      </c>
      <c r="L92" s="241" t="str">
        <f t="shared" si="1"/>
        <v/>
      </c>
      <c r="N92" s="382" t="str" cm="1">
        <f t="array" ref="N92">IFERROR(INDEX(kg_famille,MATCH(TRUE,INDEX(kg_famille_nb&gt;0,0),0)+6,1),"")</f>
        <v/>
      </c>
      <c r="O92" s="382"/>
      <c r="P92" s="237" t="str">
        <f>IFERROR(ROUND(INDEX(kg_famille,MATCH(N92,kg_famille_nom,0),2)/SUMIF('Étape 1 - à remplir'!G$19:G$28,"kg",'Étape 1 - à remplir'!F$19:F$28),3),"")</f>
        <v/>
      </c>
      <c r="Q92" s="241" t="str">
        <f t="shared" si="2"/>
        <v/>
      </c>
      <c r="R92" s="103"/>
    </row>
    <row r="93" spans="2:18" ht="24" customHeight="1" x14ac:dyDescent="0.3">
      <c r="B93" s="95"/>
      <c r="C93" s="382" t="str" cm="1">
        <f t="array" ref="C93">IFERROR(INDEX(kg_tri_medic,MATCH(TRUE,INDEX(kg_nb_tri_medic&gt;0,0),0)+7,1),"")</f>
        <v/>
      </c>
      <c r="D93" s="382"/>
      <c r="E93" s="382"/>
      <c r="F93" s="237" t="str">
        <f>IFERROR(ROUND(INDEX(kg_tri_medic,MATCH(C93,kg_nom_tri_medic,0),2)/SUMIF('Étape 1 - à remplir'!G$19:G$28,"kg",'Étape 1 - à remplir'!F$19:F$28),3),"")</f>
        <v/>
      </c>
      <c r="G93" s="241" t="str">
        <f t="shared" si="0"/>
        <v/>
      </c>
      <c r="I93" s="382" t="str" cm="1">
        <f t="array" ref="I93">IFERROR(INDEX(kg_subst,MATCH(TRUE,INDEX(kg_subst_nb&gt;0,0),0)+7,1),"")</f>
        <v/>
      </c>
      <c r="J93" s="382"/>
      <c r="K93" s="237" t="str">
        <f>IFERROR(ROUND(INDEX(kg_subst,MATCH(I93,kg_subst_nom,0),2)/SUMIF('Étape 1 - à remplir'!G$19:G$28,"kg",'Étape 1 - à remplir'!F$19:F$28),3),"")</f>
        <v/>
      </c>
      <c r="L93" s="241" t="str">
        <f t="shared" si="1"/>
        <v/>
      </c>
      <c r="N93" s="382" t="str" cm="1">
        <f t="array" ref="N93">IFERROR(INDEX(kg_famille,MATCH(TRUE,INDEX(kg_famille_nb&gt;0,0),0)+7,1),"")</f>
        <v/>
      </c>
      <c r="O93" s="382"/>
      <c r="P93" s="237" t="str">
        <f>IFERROR(ROUND(INDEX(kg_famille,MATCH(N93,kg_famille_nom,0),2)/SUMIF('Étape 1 - à remplir'!G$19:G$28,"kg",'Étape 1 - à remplir'!F$19:F$28),3),"")</f>
        <v/>
      </c>
      <c r="Q93" s="241" t="str">
        <f t="shared" si="2"/>
        <v/>
      </c>
      <c r="R93" s="103"/>
    </row>
    <row r="94" spans="2:18" ht="24" customHeight="1" x14ac:dyDescent="0.3">
      <c r="B94" s="95"/>
      <c r="C94" s="401" t="str" cm="1">
        <f t="array" ref="C94">IFERROR(INDEX(kg_tri_medic,MATCH(TRUE,INDEX(kg_nb_tri_medic&gt;0,0),0)+8,1),"")</f>
        <v/>
      </c>
      <c r="D94" s="401"/>
      <c r="E94" s="401"/>
      <c r="F94" s="238" t="str">
        <f>IFERROR(ROUND(INDEX(kg_tri_medic,MATCH(C94,kg_nom_tri_medic,0),2)/SUMIF('Étape 1 - à remplir'!G$19:G$28,"kg",'Étape 1 - à remplir'!F$19:F$28),3),"")</f>
        <v/>
      </c>
      <c r="G94" s="241" t="str">
        <f t="shared" si="0"/>
        <v/>
      </c>
      <c r="I94" s="401" t="str" cm="1">
        <f t="array" ref="I94">IFERROR(INDEX(kg_subst,MATCH(TRUE,INDEX(kg_subst_nb&gt;0,0),0)+8,1),"")</f>
        <v/>
      </c>
      <c r="J94" s="401"/>
      <c r="K94" s="238" t="str">
        <f>IFERROR(ROUND(INDEX(kg_subst,MATCH(I94,kg_subst_nom,0),2)/SUMIF('Étape 1 - à remplir'!G$19:G$28,"kg",'Étape 1 - à remplir'!F$19:F$28),3),"")</f>
        <v/>
      </c>
      <c r="L94" s="241" t="str">
        <f t="shared" si="1"/>
        <v/>
      </c>
      <c r="N94" s="401" t="str" cm="1">
        <f t="array" ref="N94">IFERROR(INDEX(kg_famille,MATCH(TRUE,INDEX(kg_famille_nb&gt;0,0),0)+8,1),"")</f>
        <v/>
      </c>
      <c r="O94" s="401"/>
      <c r="P94" s="238" t="str">
        <f>IFERROR(ROUND(INDEX(kg_famille,MATCH(N94,kg_famille_nom,0),2)/SUMIF('Étape 1 - à remplir'!G$19:G$28,"kg",'Étape 1 - à remplir'!F$19:F$28),3),"")</f>
        <v/>
      </c>
      <c r="Q94" s="241" t="str">
        <f t="shared" si="2"/>
        <v/>
      </c>
      <c r="R94" s="103"/>
    </row>
    <row r="95" spans="2:18" ht="24" customHeight="1" x14ac:dyDescent="0.3">
      <c r="B95" s="95"/>
      <c r="C95" s="400" t="str" cm="1">
        <f t="array" ref="C95">IFERROR(INDEX(kg_tri_medic,MATCH(TRUE,INDEX(kg_nb_tri_medic&gt;0,0),0)+9,1),"")</f>
        <v/>
      </c>
      <c r="D95" s="400"/>
      <c r="E95" s="400"/>
      <c r="F95" s="236" t="str">
        <f>IFERROR(ROUND(INDEX(kg_tri_medic,MATCH(C95,kg_nom_tri_medic,0),2)/SUMIF('Étape 1 - à remplir'!G$19:G$28,"kg",'Étape 1 - à remplir'!F$19:F$28),3),"")</f>
        <v/>
      </c>
      <c r="G95" s="241" t="str">
        <f t="shared" si="0"/>
        <v/>
      </c>
      <c r="I95" s="400" t="str" cm="1">
        <f t="array" ref="I95">IFERROR(INDEX(kg_subst,MATCH(TRUE,INDEX(kg_subst_nb&gt;0,0),0)+9,1),"")</f>
        <v/>
      </c>
      <c r="J95" s="400"/>
      <c r="K95" s="236" t="str">
        <f>IFERROR(ROUND(INDEX(kg_subst,MATCH(I95,kg_subst_nom,0),2)/SUMIF('Étape 1 - à remplir'!G$19:G$28,"kg",'Étape 1 - à remplir'!F$19:F$28),3),"")</f>
        <v/>
      </c>
      <c r="L95" s="241" t="str">
        <f t="shared" si="1"/>
        <v/>
      </c>
      <c r="N95" s="400" t="str" cm="1">
        <f t="array" ref="N95">IFERROR(INDEX(kg_famille,MATCH(TRUE,INDEX(kg_famille_nb&gt;0,0),0)+9,1),"")</f>
        <v/>
      </c>
      <c r="O95" s="400"/>
      <c r="P95" s="236" t="str">
        <f>IFERROR(ROUND(INDEX(kg_famille,MATCH(N95,kg_famille_nom,0),2)/SUMIF('Étape 1 - à remplir'!G$19:G$28,"kg",'Étape 1 - à remplir'!F$19:F$28),3),"")</f>
        <v/>
      </c>
      <c r="Q95" s="241" t="str">
        <f t="shared" si="2"/>
        <v/>
      </c>
      <c r="R95" s="103"/>
    </row>
    <row r="96" spans="2:18" ht="24" customHeight="1" x14ac:dyDescent="0.3">
      <c r="B96" s="95"/>
      <c r="R96" s="103"/>
    </row>
    <row r="97" spans="2:18" ht="24" customHeight="1" x14ac:dyDescent="0.3">
      <c r="B97" s="95"/>
      <c r="C97" s="408" t="s">
        <v>4353</v>
      </c>
      <c r="D97" s="408"/>
      <c r="E97" s="408"/>
      <c r="F97" s="408"/>
      <c r="G97" s="408"/>
      <c r="H97" s="408"/>
      <c r="I97" s="408"/>
      <c r="J97" s="408"/>
      <c r="K97" s="408"/>
      <c r="L97" s="408"/>
      <c r="M97" s="408"/>
      <c r="N97" s="408"/>
      <c r="O97" s="408"/>
      <c r="P97" s="408"/>
      <c r="Q97" s="408"/>
      <c r="R97" s="103"/>
    </row>
    <row r="98" spans="2:18" ht="24" customHeight="1" x14ac:dyDescent="0.3">
      <c r="B98" s="95"/>
      <c r="R98" s="103"/>
    </row>
    <row r="99" spans="2:18" ht="36" customHeight="1" x14ac:dyDescent="0.3">
      <c r="B99" s="95"/>
      <c r="D99" s="409" t="s">
        <v>588</v>
      </c>
      <c r="E99" s="409"/>
      <c r="F99" s="244" t="s">
        <v>587</v>
      </c>
      <c r="G99" s="409" t="s">
        <v>586</v>
      </c>
      <c r="H99" s="409"/>
      <c r="I99" s="409" t="s">
        <v>4354</v>
      </c>
      <c r="J99" s="409"/>
      <c r="K99" s="244" t="s">
        <v>552</v>
      </c>
      <c r="L99" s="409" t="s">
        <v>4357</v>
      </c>
      <c r="M99" s="409"/>
      <c r="N99" s="409"/>
      <c r="O99" s="409" t="s">
        <v>146</v>
      </c>
      <c r="P99" s="409"/>
      <c r="R99" s="103"/>
    </row>
    <row r="100" spans="2:18" ht="24" customHeight="1" x14ac:dyDescent="0.3">
      <c r="B100" s="95"/>
      <c r="D100" s="407" t="str">
        <f>IF(MASQ2!ET77="","",MASQ2!ET77)</f>
        <v/>
      </c>
      <c r="E100" s="407"/>
      <c r="F100" s="243" t="str">
        <f>IF(MASQ2!EU77="","",MASQ2!EU77)</f>
        <v/>
      </c>
      <c r="G100" s="407" t="str">
        <f>IF(MASQ2!EV77="","",MASQ2!EV77)</f>
        <v/>
      </c>
      <c r="H100" s="407"/>
      <c r="I100" s="407" t="str">
        <f>IF(MASQ2!EW77="","",MASQ2!EW77)</f>
        <v/>
      </c>
      <c r="J100" s="407"/>
      <c r="K100" s="243" t="str">
        <f>IF(MASQ2!EX77="","",MASQ2!EX77)</f>
        <v/>
      </c>
      <c r="L100" s="407" t="str">
        <f>IF(MASQ2!EY77="","",MASQ2!EY77)</f>
        <v/>
      </c>
      <c r="M100" s="407"/>
      <c r="N100" s="407"/>
      <c r="O100" s="407" t="str">
        <f>IF(MASQ2!EZ77="","",ROUND(MASQ2!EZ77,2))</f>
        <v/>
      </c>
      <c r="P100" s="407"/>
      <c r="R100" s="103"/>
    </row>
    <row r="101" spans="2:18" ht="24" customHeight="1" x14ac:dyDescent="0.3">
      <c r="B101" s="95"/>
      <c r="D101" s="407" t="str">
        <f>IF(MASQ2!ET78="","",MASQ2!ET78)</f>
        <v/>
      </c>
      <c r="E101" s="407"/>
      <c r="F101" s="243" t="str">
        <f>IF(MASQ2!EU78="","",MASQ2!EU78)</f>
        <v/>
      </c>
      <c r="G101" s="407" t="str">
        <f>IF(MASQ2!EV78="","",MASQ2!EV78)</f>
        <v/>
      </c>
      <c r="H101" s="407"/>
      <c r="I101" s="407" t="str">
        <f>IF(MASQ2!EW78="","",MASQ2!EW78)</f>
        <v/>
      </c>
      <c r="J101" s="407"/>
      <c r="K101" s="243" t="str">
        <f>IF(MASQ2!EX78="","",MASQ2!EX78)</f>
        <v/>
      </c>
      <c r="L101" s="407" t="str">
        <f>IF(MASQ2!EY78="","",MASQ2!EY78)</f>
        <v/>
      </c>
      <c r="M101" s="407"/>
      <c r="N101" s="407"/>
      <c r="O101" s="407" t="str">
        <f>IF(MASQ2!EZ78="","",ROUND(MASQ2!EZ78,2))</f>
        <v/>
      </c>
      <c r="P101" s="407"/>
      <c r="R101" s="103"/>
    </row>
    <row r="102" spans="2:18" ht="24" customHeight="1" x14ac:dyDescent="0.3">
      <c r="B102" s="95"/>
      <c r="D102" s="407" t="str">
        <f>IF(MASQ2!ET79="","",MASQ2!ET79)</f>
        <v/>
      </c>
      <c r="E102" s="407"/>
      <c r="F102" s="243" t="str">
        <f>IF(MASQ2!EU79="","",MASQ2!EU79)</f>
        <v/>
      </c>
      <c r="G102" s="407" t="str">
        <f>IF(MASQ2!EV79="","",MASQ2!EV79)</f>
        <v/>
      </c>
      <c r="H102" s="407"/>
      <c r="I102" s="407" t="str">
        <f>IF(MASQ2!EW79="","",MASQ2!EW79)</f>
        <v/>
      </c>
      <c r="J102" s="407"/>
      <c r="K102" s="243" t="str">
        <f>IF(MASQ2!EX79="","",MASQ2!EX79)</f>
        <v/>
      </c>
      <c r="L102" s="407" t="str">
        <f>IF(MASQ2!EY79="","",MASQ2!EY79)</f>
        <v/>
      </c>
      <c r="M102" s="407"/>
      <c r="N102" s="407"/>
      <c r="O102" s="407" t="str">
        <f>IF(MASQ2!EZ79="","",ROUND(MASQ2!EZ79,2))</f>
        <v/>
      </c>
      <c r="P102" s="407"/>
      <c r="R102" s="103"/>
    </row>
    <row r="103" spans="2:18" ht="24" customHeight="1" x14ac:dyDescent="0.3">
      <c r="B103" s="95"/>
      <c r="D103" s="407" t="str">
        <f>IF(MASQ2!ET80="","",MASQ2!ET80)</f>
        <v/>
      </c>
      <c r="E103" s="407"/>
      <c r="F103" s="243" t="str">
        <f>IF(MASQ2!EU80="","",MASQ2!EU80)</f>
        <v/>
      </c>
      <c r="G103" s="407" t="str">
        <f>IF(MASQ2!EV80="","",MASQ2!EV80)</f>
        <v/>
      </c>
      <c r="H103" s="407"/>
      <c r="I103" s="407" t="str">
        <f>IF(MASQ2!EW80="","",MASQ2!EW80)</f>
        <v/>
      </c>
      <c r="J103" s="407"/>
      <c r="K103" s="243" t="str">
        <f>IF(MASQ2!EX80="","",MASQ2!EX80)</f>
        <v/>
      </c>
      <c r="L103" s="407" t="str">
        <f>IF(MASQ2!EY80="","",MASQ2!EY80)</f>
        <v/>
      </c>
      <c r="M103" s="407"/>
      <c r="N103" s="407"/>
      <c r="O103" s="407" t="str">
        <f>IF(MASQ2!EZ80="","",ROUND(MASQ2!EZ80,2))</f>
        <v/>
      </c>
      <c r="P103" s="407"/>
      <c r="R103" s="103"/>
    </row>
    <row r="104" spans="2:18" ht="24" customHeight="1" x14ac:dyDescent="0.3">
      <c r="B104" s="95"/>
      <c r="D104" s="407" t="str">
        <f>IF(MASQ2!ET81="","",MASQ2!ET81)</f>
        <v/>
      </c>
      <c r="E104" s="407"/>
      <c r="F104" s="243" t="str">
        <f>IF(MASQ2!EU81="","",MASQ2!EU81)</f>
        <v/>
      </c>
      <c r="G104" s="407" t="str">
        <f>IF(MASQ2!EV81="","",MASQ2!EV81)</f>
        <v/>
      </c>
      <c r="H104" s="407"/>
      <c r="I104" s="407" t="str">
        <f>IF(MASQ2!EW81="","",MASQ2!EW81)</f>
        <v/>
      </c>
      <c r="J104" s="407"/>
      <c r="K104" s="243" t="str">
        <f>IF(MASQ2!EX81="","",MASQ2!EX81)</f>
        <v/>
      </c>
      <c r="L104" s="407" t="str">
        <f>IF(MASQ2!EY81="","",MASQ2!EY81)</f>
        <v/>
      </c>
      <c r="M104" s="407"/>
      <c r="N104" s="407"/>
      <c r="O104" s="407" t="str">
        <f>IF(MASQ2!EZ81="","",ROUND(MASQ2!EZ81,2))</f>
        <v/>
      </c>
      <c r="P104" s="407"/>
      <c r="R104" s="103"/>
    </row>
    <row r="105" spans="2:18" ht="24" customHeight="1" x14ac:dyDescent="0.3">
      <c r="B105" s="95"/>
      <c r="D105" s="407" t="str">
        <f>IF(MASQ2!ET82="","",MASQ2!ET82)</f>
        <v/>
      </c>
      <c r="E105" s="407"/>
      <c r="F105" s="243" t="str">
        <f>IF(MASQ2!EU82="","",MASQ2!EU82)</f>
        <v/>
      </c>
      <c r="G105" s="407" t="str">
        <f>IF(MASQ2!EV82="","",MASQ2!EV82)</f>
        <v/>
      </c>
      <c r="H105" s="407"/>
      <c r="I105" s="407" t="str">
        <f>IF(MASQ2!EW82="","",MASQ2!EW82)</f>
        <v/>
      </c>
      <c r="J105" s="407"/>
      <c r="K105" s="243" t="str">
        <f>IF(MASQ2!EX82="","",MASQ2!EX82)</f>
        <v/>
      </c>
      <c r="L105" s="407" t="str">
        <f>IF(MASQ2!EY82="","",MASQ2!EY82)</f>
        <v/>
      </c>
      <c r="M105" s="407"/>
      <c r="N105" s="407"/>
      <c r="O105" s="407" t="str">
        <f>IF(MASQ2!EZ82="","",ROUND(MASQ2!EZ82,2))</f>
        <v/>
      </c>
      <c r="P105" s="407"/>
      <c r="R105" s="103"/>
    </row>
    <row r="106" spans="2:18" ht="24" customHeight="1" x14ac:dyDescent="0.3">
      <c r="B106" s="95"/>
      <c r="D106" s="407" t="str">
        <f>IF(MASQ2!ET83="","",MASQ2!ET83)</f>
        <v/>
      </c>
      <c r="E106" s="407"/>
      <c r="F106" s="243" t="str">
        <f>IF(MASQ2!EU83="","",MASQ2!EU83)</f>
        <v/>
      </c>
      <c r="G106" s="407" t="str">
        <f>IF(MASQ2!EV83="","",MASQ2!EV83)</f>
        <v/>
      </c>
      <c r="H106" s="407"/>
      <c r="I106" s="407" t="str">
        <f>IF(MASQ2!EW83="","",MASQ2!EW83)</f>
        <v/>
      </c>
      <c r="J106" s="407"/>
      <c r="K106" s="243" t="str">
        <f>IF(MASQ2!EX83="","",MASQ2!EX83)</f>
        <v/>
      </c>
      <c r="L106" s="407" t="str">
        <f>IF(MASQ2!EY83="","",MASQ2!EY83)</f>
        <v/>
      </c>
      <c r="M106" s="407"/>
      <c r="N106" s="407"/>
      <c r="O106" s="407" t="str">
        <f>IF(MASQ2!EZ83="","",ROUND(MASQ2!EZ83,2))</f>
        <v/>
      </c>
      <c r="P106" s="407"/>
      <c r="R106" s="103"/>
    </row>
    <row r="107" spans="2:18" ht="24" customHeight="1" x14ac:dyDescent="0.3">
      <c r="B107" s="95"/>
      <c r="D107" s="407" t="str">
        <f>IF(MASQ2!ET84="","",MASQ2!ET84)</f>
        <v/>
      </c>
      <c r="E107" s="407"/>
      <c r="F107" s="243" t="str">
        <f>IF(MASQ2!EU84="","",MASQ2!EU84)</f>
        <v/>
      </c>
      <c r="G107" s="407" t="str">
        <f>IF(MASQ2!EV84="","",MASQ2!EV84)</f>
        <v/>
      </c>
      <c r="H107" s="407"/>
      <c r="I107" s="407" t="str">
        <f>IF(MASQ2!EW84="","",MASQ2!EW84)</f>
        <v/>
      </c>
      <c r="J107" s="407"/>
      <c r="K107" s="243" t="str">
        <f>IF(MASQ2!EX84="","",MASQ2!EX84)</f>
        <v/>
      </c>
      <c r="L107" s="407" t="str">
        <f>IF(MASQ2!EY84="","",MASQ2!EY84)</f>
        <v/>
      </c>
      <c r="M107" s="407"/>
      <c r="N107" s="407"/>
      <c r="O107" s="407" t="str">
        <f>IF(MASQ2!EZ84="","",ROUND(MASQ2!EZ84,2))</f>
        <v/>
      </c>
      <c r="P107" s="407"/>
      <c r="R107" s="103"/>
    </row>
    <row r="108" spans="2:18" ht="24" customHeight="1" x14ac:dyDescent="0.3">
      <c r="B108" s="95"/>
      <c r="D108" s="407" t="str">
        <f>IF(MASQ2!ET85="","",MASQ2!ET85)</f>
        <v/>
      </c>
      <c r="E108" s="407"/>
      <c r="F108" s="243" t="str">
        <f>IF(MASQ2!EU85="","",MASQ2!EU85)</f>
        <v/>
      </c>
      <c r="G108" s="407" t="str">
        <f>IF(MASQ2!EV85="","",MASQ2!EV85)</f>
        <v/>
      </c>
      <c r="H108" s="407"/>
      <c r="I108" s="407" t="str">
        <f>IF(MASQ2!EW85="","",MASQ2!EW85)</f>
        <v/>
      </c>
      <c r="J108" s="407"/>
      <c r="K108" s="243" t="str">
        <f>IF(MASQ2!EX85="","",MASQ2!EX85)</f>
        <v/>
      </c>
      <c r="L108" s="407" t="str">
        <f>IF(MASQ2!EY85="","",MASQ2!EY85)</f>
        <v/>
      </c>
      <c r="M108" s="407"/>
      <c r="N108" s="407"/>
      <c r="O108" s="407" t="str">
        <f>IF(MASQ2!EZ85="","",ROUND(MASQ2!EZ85,2))</f>
        <v/>
      </c>
      <c r="P108" s="407"/>
      <c r="R108" s="103"/>
    </row>
    <row r="109" spans="2:18" ht="24" customHeight="1" x14ac:dyDescent="0.3">
      <c r="B109" s="95"/>
      <c r="D109" s="407" t="str">
        <f>IF(MASQ2!ET86="","",MASQ2!ET86)</f>
        <v/>
      </c>
      <c r="E109" s="407"/>
      <c r="F109" s="243" t="str">
        <f>IF(MASQ2!EU86="","",MASQ2!EU86)</f>
        <v/>
      </c>
      <c r="G109" s="407" t="str">
        <f>IF(MASQ2!EV86="","",MASQ2!EV86)</f>
        <v/>
      </c>
      <c r="H109" s="407"/>
      <c r="I109" s="407" t="str">
        <f>IF(MASQ2!EW86="","",MASQ2!EW86)</f>
        <v/>
      </c>
      <c r="J109" s="407"/>
      <c r="K109" s="243" t="str">
        <f>IF(MASQ2!EX86="","",MASQ2!EX86)</f>
        <v/>
      </c>
      <c r="L109" s="407" t="str">
        <f>IF(MASQ2!EY86="","",MASQ2!EY86)</f>
        <v/>
      </c>
      <c r="M109" s="407"/>
      <c r="N109" s="407"/>
      <c r="O109" s="407" t="str">
        <f>IF(MASQ2!EZ86="","",ROUND(MASQ2!EZ86,2))</f>
        <v/>
      </c>
      <c r="P109" s="407"/>
      <c r="R109" s="103"/>
    </row>
    <row r="110" spans="2:18" ht="24" customHeight="1" x14ac:dyDescent="0.3">
      <c r="B110" s="95"/>
      <c r="D110" s="243"/>
      <c r="E110" s="243"/>
      <c r="F110" s="243"/>
      <c r="G110" s="243"/>
      <c r="H110" s="243"/>
      <c r="I110" s="243"/>
      <c r="J110" s="243"/>
      <c r="K110" s="243"/>
      <c r="L110" s="243"/>
      <c r="M110" s="243"/>
      <c r="N110" s="243"/>
      <c r="O110" s="243"/>
      <c r="P110" s="243"/>
      <c r="R110" s="103"/>
    </row>
    <row r="111" spans="2:18" ht="24" customHeight="1" x14ac:dyDescent="0.3">
      <c r="B111" s="95"/>
      <c r="D111" s="243"/>
      <c r="E111" s="243"/>
      <c r="F111" s="243"/>
      <c r="G111" s="243"/>
      <c r="H111" s="243"/>
      <c r="I111" s="243"/>
      <c r="J111" s="243"/>
      <c r="K111" s="243"/>
      <c r="L111" s="243"/>
      <c r="M111" s="243"/>
      <c r="N111" s="243"/>
      <c r="O111" s="243"/>
      <c r="P111" s="243"/>
      <c r="R111" s="103"/>
    </row>
    <row r="112" spans="2:18" ht="24" customHeight="1" x14ac:dyDescent="0.3">
      <c r="B112" s="95"/>
      <c r="D112" s="243"/>
      <c r="E112" s="243"/>
      <c r="F112" s="243"/>
      <c r="G112" s="243"/>
      <c r="H112" s="243"/>
      <c r="I112" s="243"/>
      <c r="J112" s="243"/>
      <c r="K112" s="243"/>
      <c r="L112" s="243"/>
      <c r="M112" s="243"/>
      <c r="N112" s="243"/>
      <c r="O112" s="243"/>
      <c r="P112" s="243"/>
      <c r="R112" s="103"/>
    </row>
    <row r="113" spans="2:18" ht="24" customHeight="1" x14ac:dyDescent="0.3">
      <c r="B113" s="95"/>
      <c r="R113" s="103"/>
    </row>
    <row r="114" spans="2:18" ht="24" customHeight="1" thickBot="1" x14ac:dyDescent="0.35">
      <c r="B114" s="199"/>
      <c r="C114" s="105"/>
      <c r="D114" s="105"/>
      <c r="E114" s="105"/>
      <c r="F114" s="105"/>
      <c r="G114" s="105"/>
      <c r="H114" s="105"/>
      <c r="I114" s="105"/>
      <c r="J114" s="105"/>
      <c r="K114" s="105"/>
      <c r="L114" s="105"/>
      <c r="M114" s="105"/>
      <c r="N114" s="105"/>
      <c r="O114" s="105"/>
      <c r="P114" s="105"/>
      <c r="Q114" s="105"/>
      <c r="R114" s="106"/>
    </row>
    <row r="115" spans="2:18" ht="24" customHeight="1" x14ac:dyDescent="0.3"/>
    <row r="116" spans="2:18" ht="24" hidden="1" customHeight="1" x14ac:dyDescent="0.3"/>
    <row r="117" spans="2:18" ht="24" hidden="1" customHeight="1" x14ac:dyDescent="0.3"/>
    <row r="118" spans="2:18" ht="24" hidden="1" customHeight="1" x14ac:dyDescent="0.3"/>
    <row r="119" spans="2:18" ht="24" hidden="1" customHeight="1" x14ac:dyDescent="0.3"/>
    <row r="120" spans="2:18" ht="24" hidden="1" customHeight="1" x14ac:dyDescent="0.3"/>
    <row r="121" spans="2:18" ht="24" hidden="1" customHeight="1" x14ac:dyDescent="0.3"/>
    <row r="122" spans="2:18" ht="24" hidden="1" customHeight="1" x14ac:dyDescent="0.3"/>
    <row r="123" spans="2:18" ht="24" hidden="1" customHeight="1" x14ac:dyDescent="0.3"/>
    <row r="124" spans="2:18" ht="24" hidden="1" customHeight="1" x14ac:dyDescent="0.3"/>
    <row r="125" spans="2:18" ht="24" hidden="1" customHeight="1" x14ac:dyDescent="0.3"/>
    <row r="126" spans="2:18" ht="24" hidden="1" customHeight="1" x14ac:dyDescent="0.3"/>
  </sheetData>
  <sheetProtection algorithmName="SHA-512" hashValue="Y+A0dRm/5FplVLha5yhlNQMQueUfcWfwblpuTinwN3DVMtFbcX+uYJ8V9VGd7rUWspEcIeYva4xiqAbn6iZzfQ==" saltValue="5mM7L0rPAuZz0ns5rVFdyg==" spinCount="100000" sheet="1" scenarios="1"/>
  <mergeCells count="140">
    <mergeCell ref="E29:O30"/>
    <mergeCell ref="D12:O13"/>
    <mergeCell ref="C67:G67"/>
    <mergeCell ref="C66:G66"/>
    <mergeCell ref="C65:G65"/>
    <mergeCell ref="C64:G64"/>
    <mergeCell ref="C63:G63"/>
    <mergeCell ref="C62:G62"/>
    <mergeCell ref="C61:G61"/>
    <mergeCell ref="I25:P25"/>
    <mergeCell ref="E27:F27"/>
    <mergeCell ref="G27:H27"/>
    <mergeCell ref="K27:L27"/>
    <mergeCell ref="M27:O27"/>
    <mergeCell ref="C15:F15"/>
    <mergeCell ref="I15:P15"/>
    <mergeCell ref="C16:F16"/>
    <mergeCell ref="I16:P16"/>
    <mergeCell ref="C17:F17"/>
    <mergeCell ref="I17:P17"/>
    <mergeCell ref="K69:O69"/>
    <mergeCell ref="K68:O68"/>
    <mergeCell ref="K67:O67"/>
    <mergeCell ref="K66:O66"/>
    <mergeCell ref="K65:O65"/>
    <mergeCell ref="K64:O64"/>
    <mergeCell ref="K63:O63"/>
    <mergeCell ref="K62:O62"/>
    <mergeCell ref="K61:O61"/>
    <mergeCell ref="O107:P107"/>
    <mergeCell ref="I108:J108"/>
    <mergeCell ref="L108:N108"/>
    <mergeCell ref="O108:P108"/>
    <mergeCell ref="I109:J109"/>
    <mergeCell ref="L109:N109"/>
    <mergeCell ref="O109:P109"/>
    <mergeCell ref="C69:G69"/>
    <mergeCell ref="C68:G68"/>
    <mergeCell ref="D107:E107"/>
    <mergeCell ref="G107:H107"/>
    <mergeCell ref="D108:E108"/>
    <mergeCell ref="G108:H108"/>
    <mergeCell ref="D109:E109"/>
    <mergeCell ref="G109:H109"/>
    <mergeCell ref="D104:E104"/>
    <mergeCell ref="I104:J104"/>
    <mergeCell ref="L104:N104"/>
    <mergeCell ref="I107:J107"/>
    <mergeCell ref="L107:N107"/>
    <mergeCell ref="O104:P104"/>
    <mergeCell ref="I105:J105"/>
    <mergeCell ref="L105:N105"/>
    <mergeCell ref="O105:P105"/>
    <mergeCell ref="I106:J106"/>
    <mergeCell ref="L106:N106"/>
    <mergeCell ref="O106:P106"/>
    <mergeCell ref="G104:H104"/>
    <mergeCell ref="D105:E105"/>
    <mergeCell ref="G105:H105"/>
    <mergeCell ref="D106:E106"/>
    <mergeCell ref="G106:H106"/>
    <mergeCell ref="D101:E101"/>
    <mergeCell ref="I101:J101"/>
    <mergeCell ref="L101:N101"/>
    <mergeCell ref="O101:P101"/>
    <mergeCell ref="D102:E102"/>
    <mergeCell ref="I102:J102"/>
    <mergeCell ref="L102:N102"/>
    <mergeCell ref="O102:P102"/>
    <mergeCell ref="D103:E103"/>
    <mergeCell ref="I103:J103"/>
    <mergeCell ref="L103:N103"/>
    <mergeCell ref="O103:P103"/>
    <mergeCell ref="G101:H101"/>
    <mergeCell ref="G102:H102"/>
    <mergeCell ref="G103:H103"/>
    <mergeCell ref="C97:Q97"/>
    <mergeCell ref="D99:E99"/>
    <mergeCell ref="I99:J99"/>
    <mergeCell ref="L99:N99"/>
    <mergeCell ref="O99:P99"/>
    <mergeCell ref="D100:E100"/>
    <mergeCell ref="I100:J100"/>
    <mergeCell ref="L100:N100"/>
    <mergeCell ref="O100:P100"/>
    <mergeCell ref="G99:H99"/>
    <mergeCell ref="G100:H100"/>
    <mergeCell ref="C95:E95"/>
    <mergeCell ref="I95:J95"/>
    <mergeCell ref="N95:O95"/>
    <mergeCell ref="C93:E93"/>
    <mergeCell ref="N93:O93"/>
    <mergeCell ref="C94:E94"/>
    <mergeCell ref="I94:J94"/>
    <mergeCell ref="N94:O94"/>
    <mergeCell ref="C92:E92"/>
    <mergeCell ref="I92:J92"/>
    <mergeCell ref="N92:O92"/>
    <mergeCell ref="C91:E91"/>
    <mergeCell ref="I91:J91"/>
    <mergeCell ref="N91:O91"/>
    <mergeCell ref="C90:E90"/>
    <mergeCell ref="I90:J90"/>
    <mergeCell ref="N90:O90"/>
    <mergeCell ref="C89:E89"/>
    <mergeCell ref="I89:J89"/>
    <mergeCell ref="N89:O89"/>
    <mergeCell ref="I88:J88"/>
    <mergeCell ref="N88:O88"/>
    <mergeCell ref="C87:E87"/>
    <mergeCell ref="I87:J87"/>
    <mergeCell ref="N87:O87"/>
    <mergeCell ref="N85:O85"/>
    <mergeCell ref="C86:E86"/>
    <mergeCell ref="I86:J86"/>
    <mergeCell ref="N86:O86"/>
    <mergeCell ref="A1:S4"/>
    <mergeCell ref="H8:L8"/>
    <mergeCell ref="B10:E10"/>
    <mergeCell ref="C20:F20"/>
    <mergeCell ref="I20:P20"/>
    <mergeCell ref="C22:F22"/>
    <mergeCell ref="I93:J93"/>
    <mergeCell ref="C85:E85"/>
    <mergeCell ref="I85:J85"/>
    <mergeCell ref="C23:F23"/>
    <mergeCell ref="I23:P23"/>
    <mergeCell ref="I22:P22"/>
    <mergeCell ref="K59:L59"/>
    <mergeCell ref="K60:L60"/>
    <mergeCell ref="C21:F21"/>
    <mergeCell ref="I21:P21"/>
    <mergeCell ref="C18:F18"/>
    <mergeCell ref="I18:P18"/>
    <mergeCell ref="C19:F19"/>
    <mergeCell ref="I19:P19"/>
    <mergeCell ref="C24:F24"/>
    <mergeCell ref="I24:P24"/>
    <mergeCell ref="C25:F25"/>
    <mergeCell ref="C88:E88"/>
  </mergeCells>
  <conditionalFormatting sqref="C86:G95">
    <cfRule type="expression" dxfId="17" priority="18">
      <formula>$F86&lt;&gt;""</formula>
    </cfRule>
    <cfRule type="expression" dxfId="16" priority="19">
      <formula>$F86=""</formula>
    </cfRule>
  </conditionalFormatting>
  <conditionalFormatting sqref="C62:I69">
    <cfRule type="expression" dxfId="15" priority="195">
      <formula>$C62&lt;&gt;""</formula>
    </cfRule>
    <cfRule type="expression" dxfId="14" priority="196">
      <formula>$C62=""</formula>
    </cfRule>
  </conditionalFormatting>
  <conditionalFormatting sqref="C16:P25 G17:H26">
    <cfRule type="expression" dxfId="13" priority="16">
      <formula>$H16&lt;&gt;""</formula>
    </cfRule>
    <cfRule type="expression" dxfId="12" priority="17">
      <formula>$H16=""</formula>
    </cfRule>
  </conditionalFormatting>
  <conditionalFormatting sqref="D100:P110">
    <cfRule type="expression" dxfId="11" priority="5">
      <formula>$D89=""</formula>
    </cfRule>
  </conditionalFormatting>
  <conditionalFormatting sqref="D100:P112">
    <cfRule type="expression" dxfId="10" priority="3">
      <formula>$D100&lt;&gt;""</formula>
    </cfRule>
  </conditionalFormatting>
  <conditionalFormatting sqref="D111:P111">
    <cfRule type="expression" dxfId="9" priority="183">
      <formula>$D99=""</formula>
    </cfRule>
  </conditionalFormatting>
  <conditionalFormatting sqref="D112:P112">
    <cfRule type="expression" dxfId="8" priority="179">
      <formula>$D99=""</formula>
    </cfRule>
  </conditionalFormatting>
  <conditionalFormatting sqref="I86:L95">
    <cfRule type="expression" dxfId="6" priority="14">
      <formula>$I86&lt;&gt;""</formula>
    </cfRule>
    <cfRule type="expression" dxfId="5" priority="15">
      <formula>$I86=""</formula>
    </cfRule>
  </conditionalFormatting>
  <conditionalFormatting sqref="K62:Q69">
    <cfRule type="expression" dxfId="4" priority="6">
      <formula>$K62&lt;&gt;""</formula>
    </cfRule>
    <cfRule type="expression" dxfId="3" priority="7">
      <formula>$K62=""</formula>
    </cfRule>
  </conditionalFormatting>
  <conditionalFormatting sqref="N86:Q95">
    <cfRule type="expression" dxfId="1" priority="12">
      <formula>$N86&lt;&gt;""</formula>
    </cfRule>
    <cfRule type="expression" dxfId="0" priority="13">
      <formula>$N86=""</formula>
    </cfRule>
  </conditionalFormatting>
  <dataValidations count="2">
    <dataValidation type="list" allowBlank="1" showInputMessage="1" showErrorMessage="1" sqref="M27:O27" xr:uid="{C768E7E5-EF18-4596-9924-F471F246E2A3}">
      <formula1>OFFSET(IF(G27="Catégorie",groupe_kg,IF(G27="Âge",age_kg,IF(G27="Atelier",atelier_kg,IF(G27="Espèce",espece_kg,"")))),0,0,11-COUNTBLANK(IF(G27="Catégorie",groupe_kg,IF(G27="Âge",age_kg,IF(G27="Atelier",atelier_kg,IF(G27="Espèce",espece_kg,""))))))</formula1>
    </dataValidation>
    <dataValidation type="list" allowBlank="1" showInputMessage="1" showErrorMessage="1" sqref="G27:H27" xr:uid="{2017B553-93A1-4F6D-87A0-3C48586A65C8}">
      <formula1>"Âge,Atelier,Espèce,Catégorie"</formula1>
    </dataValidation>
  </dataValidations>
  <pageMargins left="0.25" right="0.25"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6" id="{6B375833-A5B5-414C-BD4D-3AB4A2805354}">
            <xm:f>INDEX(MASQ2!$M$4:$O$600,MATCH($C86,MASQ2!$O$4:$O$600,0),1)="x"</xm:f>
            <x14:dxf>
              <font>
                <b/>
                <i val="0"/>
              </font>
              <fill>
                <patternFill>
                  <bgColor rgb="FFFF0000"/>
                </patternFill>
              </fill>
            </x14:dxf>
          </x14:cfRule>
          <xm:sqref>C86:C95</xm:sqref>
        </x14:conditionalFormatting>
        <x14:conditionalFormatting xmlns:xm="http://schemas.microsoft.com/office/excel/2006/main">
          <x14:cfRule type="expression" priority="22" id="{B00B641A-B6B9-4245-B30B-BFE4B35D4E79}">
            <xm:f>INDEX(MASQ2!$AD$4:$AF$64,MATCH($I86,MASQ2!$AF$4:$AF$64,0),1)="x"</xm:f>
            <x14:dxf>
              <font>
                <b/>
                <i val="0"/>
              </font>
              <fill>
                <patternFill>
                  <bgColor rgb="FFFF0000"/>
                </patternFill>
              </fill>
            </x14:dxf>
          </x14:cfRule>
          <xm:sqref>I86:J95</xm:sqref>
        </x14:conditionalFormatting>
        <x14:conditionalFormatting xmlns:xm="http://schemas.microsoft.com/office/excel/2006/main">
          <x14:cfRule type="expression" priority="25" id="{323FE2F1-3A33-4510-BF59-F93754953C0E}">
            <xm:f>INDEX(MASQ2!$AL$4:$AN$27,MATCH($N86,MASQ2!$AN$4:$AN$27,0),1)="x"</xm:f>
            <x14:dxf>
              <font>
                <b/>
                <i val="0"/>
              </font>
              <fill>
                <patternFill>
                  <bgColor rgb="FFFF0000"/>
                </patternFill>
              </fill>
            </x14:dxf>
          </x14:cfRule>
          <xm:sqref>N86:O95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CCD8AB4150B4B4B91C72617E00BF2E2" ma:contentTypeVersion="2" ma:contentTypeDescription="Crée un document." ma:contentTypeScope="" ma:versionID="5c5239f9e90594ed4db4e74817b7eb23">
  <xsd:schema xmlns:xsd="http://www.w3.org/2001/XMLSchema" xmlns:xs="http://www.w3.org/2001/XMLSchema" xmlns:p="http://schemas.microsoft.com/office/2006/metadata/properties" xmlns:ns2="ab0c1bdc-b49d-46ef-8268-c3b1777a766b" targetNamespace="http://schemas.microsoft.com/office/2006/metadata/properties" ma:root="true" ma:fieldsID="c530f13bac366196933e2328e7c8d74e" ns2:_="">
    <xsd:import namespace="ab0c1bdc-b49d-46ef-8268-c3b1777a766b"/>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0c1bdc-b49d-46ef-8268-c3b1777a76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2EE315-AFE6-48CD-B679-04DDA88B7472}">
  <ds:schemaRefs>
    <ds:schemaRef ds:uri="http://schemas.microsoft.com/sharepoint/v3/contenttype/forms"/>
  </ds:schemaRefs>
</ds:datastoreItem>
</file>

<file path=customXml/itemProps2.xml><?xml version="1.0" encoding="utf-8"?>
<ds:datastoreItem xmlns:ds="http://schemas.openxmlformats.org/officeDocument/2006/customXml" ds:itemID="{33B9AC36-2453-4496-9238-50E18C643DAC}">
  <ds:schemaRefs>
    <ds:schemaRef ds:uri="http://purl.org/dc/dcmitype/"/>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ab0c1bdc-b49d-46ef-8268-c3b1777a766b"/>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1C8C256A-C0B4-4AA4-B403-B35917D685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0c1bdc-b49d-46ef-8268-c3b1777a76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8</vt:i4>
      </vt:variant>
      <vt:variant>
        <vt:lpstr>Plages nommées</vt:lpstr>
      </vt:variant>
      <vt:variant>
        <vt:i4>83</vt:i4>
      </vt:variant>
    </vt:vector>
  </HeadingPairs>
  <TitlesOfParts>
    <vt:vector size="91" baseType="lpstr">
      <vt:lpstr>Guide d'utilisation</vt:lpstr>
      <vt:lpstr>Table médicament</vt:lpstr>
      <vt:lpstr>Étape 1 - à remplir</vt:lpstr>
      <vt:lpstr>Données_ATB</vt:lpstr>
      <vt:lpstr>MASQ2</vt:lpstr>
      <vt:lpstr>Etape 2 - par animal</vt:lpstr>
      <vt:lpstr>Etape 2 - par lot</vt:lpstr>
      <vt:lpstr>Etape 2 - par kg</vt:lpstr>
      <vt:lpstr>age_a</vt:lpstr>
      <vt:lpstr>age_kg</vt:lpstr>
      <vt:lpstr>age_l</vt:lpstr>
      <vt:lpstr>anim_annee</vt:lpstr>
      <vt:lpstr>Animaux_Exploit</vt:lpstr>
      <vt:lpstr>anmx_critique_medic</vt:lpstr>
      <vt:lpstr>anmx_famille</vt:lpstr>
      <vt:lpstr>anmx_famille_nb</vt:lpstr>
      <vt:lpstr>anmx_famille_nom</vt:lpstr>
      <vt:lpstr>anmx_nb_maladie</vt:lpstr>
      <vt:lpstr>anmx_nb_medic</vt:lpstr>
      <vt:lpstr>anmx_nb_tri_medic</vt:lpstr>
      <vt:lpstr>anmx_nb_voie</vt:lpstr>
      <vt:lpstr>anmx_nom_maladie</vt:lpstr>
      <vt:lpstr>anmx_nom_tri_medic</vt:lpstr>
      <vt:lpstr>anmx_nom_voie</vt:lpstr>
      <vt:lpstr>anmx_subst</vt:lpstr>
      <vt:lpstr>anmx_subst_nb</vt:lpstr>
      <vt:lpstr>anmx_subst_nom</vt:lpstr>
      <vt:lpstr>anmx_tri_maladie</vt:lpstr>
      <vt:lpstr>anmx_tri_medic</vt:lpstr>
      <vt:lpstr>anmx_tri_voie</vt:lpstr>
      <vt:lpstr>atelier_a</vt:lpstr>
      <vt:lpstr>atelier_kg</vt:lpstr>
      <vt:lpstr>atelier_l</vt:lpstr>
      <vt:lpstr>d_animaux</vt:lpstr>
      <vt:lpstr>espece_a</vt:lpstr>
      <vt:lpstr>espece_kg</vt:lpstr>
      <vt:lpstr>espece_l</vt:lpstr>
      <vt:lpstr>etape1</vt:lpstr>
      <vt:lpstr>Etape1Guide</vt:lpstr>
      <vt:lpstr>etape1r</vt:lpstr>
      <vt:lpstr>etape2</vt:lpstr>
      <vt:lpstr>Etape3Guide</vt:lpstr>
      <vt:lpstr>groupe_a</vt:lpstr>
      <vt:lpstr>groupe_kg</vt:lpstr>
      <vt:lpstr>groupe_l</vt:lpstr>
      <vt:lpstr>guide</vt:lpstr>
      <vt:lpstr>kg_critique_medic</vt:lpstr>
      <vt:lpstr>kg_famille</vt:lpstr>
      <vt:lpstr>kg_famille_nb</vt:lpstr>
      <vt:lpstr>kg_famille_nom</vt:lpstr>
      <vt:lpstr>kg_nb_medic</vt:lpstr>
      <vt:lpstr>kg_nb_tri_maladie</vt:lpstr>
      <vt:lpstr>kg_nb_tri_medic</vt:lpstr>
      <vt:lpstr>kg_nb_tri_voie</vt:lpstr>
      <vt:lpstr>kg_nom_tri_medic</vt:lpstr>
      <vt:lpstr>kg_subst</vt:lpstr>
      <vt:lpstr>kg_subst_nb</vt:lpstr>
      <vt:lpstr>kg_subst_nom</vt:lpstr>
      <vt:lpstr>kg_tri_maladie</vt:lpstr>
      <vt:lpstr>kg_tri_medic</vt:lpstr>
      <vt:lpstr>kg_tri_nom_maladie</vt:lpstr>
      <vt:lpstr>kg_tri_nom_medic</vt:lpstr>
      <vt:lpstr>kg_tri_nom_voie</vt:lpstr>
      <vt:lpstr>kg_tri_voie</vt:lpstr>
      <vt:lpstr>L_groupe_anmx</vt:lpstr>
      <vt:lpstr>lot_critique_medic</vt:lpstr>
      <vt:lpstr>lot_famille</vt:lpstr>
      <vt:lpstr>lot_famille_nb</vt:lpstr>
      <vt:lpstr>lot_famille_nom</vt:lpstr>
      <vt:lpstr>lot_maladie</vt:lpstr>
      <vt:lpstr>lot_nb_maladie</vt:lpstr>
      <vt:lpstr>lot_nb_medic</vt:lpstr>
      <vt:lpstr>lot_nb_tri_medic</vt:lpstr>
      <vt:lpstr>lot_nb_voie</vt:lpstr>
      <vt:lpstr>lot_nom_maladie</vt:lpstr>
      <vt:lpstr>lot_nom_tri_medic</vt:lpstr>
      <vt:lpstr>lot_nom_voie</vt:lpstr>
      <vt:lpstr>lot_subst</vt:lpstr>
      <vt:lpstr>lot_subst_nb</vt:lpstr>
      <vt:lpstr>lot_subst_nom</vt:lpstr>
      <vt:lpstr>lot_tri_medic</vt:lpstr>
      <vt:lpstr>lot_voie</vt:lpstr>
      <vt:lpstr>Maladies</vt:lpstr>
      <vt:lpstr>MOIS</vt:lpstr>
      <vt:lpstr>MOIS_TOTAL</vt:lpstr>
      <vt:lpstr>nb</vt:lpstr>
      <vt:lpstr>'Étape 1 - à remplir'!Zone_d_impression</vt:lpstr>
      <vt:lpstr>'Etape 2 - par animal'!Zone_d_impression</vt:lpstr>
      <vt:lpstr>'Etape 2 - par lot'!Zone_d_impression</vt:lpstr>
      <vt:lpstr>'Guide d''utilisation'!Zone_d_impression</vt:lpstr>
      <vt:lpstr>'Table médicament'!Zone_d_impression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Juju et mama</dc:creator>
  <cp:lastModifiedBy>Florence Duyck</cp:lastModifiedBy>
  <cp:lastPrinted>2024-01-09T16:18:45Z</cp:lastPrinted>
  <dcterms:created xsi:type="dcterms:W3CDTF">2016-10-10T09:52:55Z</dcterms:created>
  <dcterms:modified xsi:type="dcterms:W3CDTF">2025-03-26T14:20:57Z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0x0101004CCD8AB4150B4B4B91C72617E00BF2E2</vt:lpwstr>
  </property>
  <property fmtid="{D5CDD505-2E9C-101B-9397-08002B2CF9AE}" pid="3" name="Order">
    <vt:r8>64500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ies>
</file>